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q32\AppData\Roaming\SketchUp\SketchUp 2017\SketchUp\Plugins\optimizer_liq\reference_materials\"/>
    </mc:Choice>
  </mc:AlternateContent>
  <bookViews>
    <workbookView xWindow="-120" yWindow="-120" windowWidth="19420" windowHeight="11020" tabRatio="867" firstSheet="2" activeTab="12"/>
  </bookViews>
  <sheets>
    <sheet name="Sheet1" sheetId="1" state="hidden" r:id="rId1"/>
    <sheet name="填报指引" sheetId="2" r:id="rId2"/>
    <sheet name="经济指标" sheetId="4" r:id="rId3"/>
    <sheet name="基础信息" sheetId="3" r:id="rId4"/>
    <sheet name="现金流量" sheetId="6" r:id="rId5"/>
    <sheet name="跟投测算" sheetId="7" r:id="rId6"/>
    <sheet name="销售计划" sheetId="5" r:id="rId7"/>
    <sheet name="勾稽关系" sheetId="8" r:id="rId8"/>
    <sheet name="土地增值税" sheetId="9" r:id="rId9"/>
    <sheet name="创造利润" sheetId="10" r:id="rId10"/>
    <sheet name="结算计划" sheetId="11" r:id="rId11"/>
    <sheet name="结算利润" sheetId="12" r:id="rId12"/>
    <sheet name="工程款付款计划" sheetId="13" r:id="rId13"/>
    <sheet name="1-成本过渡" sheetId="14" r:id="rId14"/>
    <sheet name="全期规划指标 " sheetId="56" r:id="rId15"/>
    <sheet name="成本汇总（分摊）" sheetId="57" r:id="rId16"/>
    <sheet name="成本汇总（测算）" sheetId="58" r:id="rId17"/>
    <sheet name="地价分摊表" sheetId="60" r:id="rId18"/>
    <sheet name="当期公摊测算表（全期）" sheetId="61" r:id="rId19"/>
    <sheet name="车位" sheetId="62" r:id="rId20"/>
    <sheet name="人防车位" sheetId="63" r:id="rId21"/>
    <sheet name="高层" sheetId="64" r:id="rId22"/>
    <sheet name="临街商业" sheetId="65" r:id="rId23"/>
    <sheet name="小高层" sheetId="66" r:id="rId24"/>
    <sheet name="幼儿园" sheetId="67" state="hidden" r:id="rId25"/>
    <sheet name="人才公寓销售" sheetId="68" r:id="rId26"/>
    <sheet name="配套用房" sheetId="69" r:id="rId27"/>
    <sheet name="1-人才公寓==" sheetId="20" state="hidden" r:id="rId28"/>
    <sheet name="1-商墅" sheetId="24" state="hidden" r:id="rId29"/>
    <sheet name="1-办公" sheetId="25" state="hidden" r:id="rId30"/>
    <sheet name="2-商墅" sheetId="37" state="hidden" r:id="rId31"/>
    <sheet name="1-商业网点" sheetId="23" state="hidden" r:id="rId32"/>
    <sheet name="本期合约金额规划表" sheetId="54" state="hidden" r:id="rId33"/>
    <sheet name="Sheet2" sheetId="52" state="hidden" r:id="rId34"/>
    <sheet name="1-配套用房" sheetId="27" state="hidden" r:id="rId35"/>
    <sheet name="2-成本过渡" sheetId="28" state="hidden" r:id="rId36"/>
    <sheet name="2-规划指标" sheetId="29" state="hidden" r:id="rId37"/>
    <sheet name="2-成本汇总（本期）" sheetId="30" state="hidden" r:id="rId38"/>
    <sheet name="2-地价分摊表" sheetId="31" state="hidden" r:id="rId39"/>
    <sheet name="2-公摊费用及期间费（本期）" sheetId="32" state="hidden" r:id="rId40"/>
    <sheet name="2-高层" sheetId="33" state="hidden" r:id="rId41"/>
    <sheet name="2-小叠拼" sheetId="34" state="hidden" r:id="rId42"/>
    <sheet name="2-小联排" sheetId="35" state="hidden" r:id="rId43"/>
    <sheet name="2-底商" sheetId="36" state="hidden" r:id="rId44"/>
    <sheet name="2-地下车库" sheetId="38" state="hidden" r:id="rId45"/>
    <sheet name="2-高层公寓" sheetId="39" state="hidden" r:id="rId46"/>
    <sheet name="2-配套用房" sheetId="40" state="hidden" r:id="rId47"/>
    <sheet name="3-成本过渡" sheetId="41" state="hidden" r:id="rId48"/>
    <sheet name="3-规划指标" sheetId="42" state="hidden" r:id="rId49"/>
    <sheet name="3-成本汇总（本期）" sheetId="43" state="hidden" r:id="rId50"/>
    <sheet name="3-地价分摊表" sheetId="44" state="hidden" r:id="rId51"/>
    <sheet name="3-公摊费用及期间费（本期）" sheetId="45" state="hidden" r:id="rId52"/>
    <sheet name="3-大商业" sheetId="46" state="hidden" r:id="rId53"/>
    <sheet name="3-星级办公" sheetId="47" state="hidden" r:id="rId54"/>
    <sheet name="3-商墅" sheetId="48" state="hidden" r:id="rId55"/>
    <sheet name="3-高层公寓" sheetId="49" state="hidden" r:id="rId56"/>
    <sheet name="3-地下车库" sheetId="50" state="hidden" r:id="rId57"/>
    <sheet name="3-配套用房" sheetId="51" state="hidden" r:id="rId58"/>
  </sheets>
  <externalReferences>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_1" localSheetId="24">EVALUATE+#REF!</definedName>
    <definedName name="_1">EVALUATE+#REF!</definedName>
    <definedName name="_5区东建筑面积" localSheetId="24">'[1]2.1设计部'!#REF!</definedName>
    <definedName name="_5区东建筑面积">'[2]2.1设计部'!#REF!</definedName>
    <definedName name="_5区建筑面积" localSheetId="24">'[1]2.1设计部'!#REF!</definedName>
    <definedName name="_5区建筑面积">'[2]2.1设计部'!#REF!</definedName>
    <definedName name="_5区西建筑面积" localSheetId="24">'[1]2.1设计部'!#REF!</definedName>
    <definedName name="_5区西建筑面积">'[2]2.1设计部'!#REF!</definedName>
    <definedName name="_8_8" localSheetId="24">EVALUATE+#REF!</definedName>
    <definedName name="_8_8">EVALUATE+#REF!</definedName>
    <definedName name="_xlnm._FilterDatabase" localSheetId="27" hidden="1">'1-人才公寓=='!$A$3:$AA$168</definedName>
    <definedName name="_xlnm._FilterDatabase" localSheetId="29" hidden="1">'1-办公'!$A$3:$AA$168</definedName>
    <definedName name="_xlnm._FilterDatabase" localSheetId="31" hidden="1">'1-商业网点'!$A$3:$AC$172</definedName>
    <definedName name="_xlnm._FilterDatabase" localSheetId="28" hidden="1">'1-商墅'!$A$3:$AA$168</definedName>
    <definedName name="_xlnm._FilterDatabase" localSheetId="34" hidden="1">'1-配套用房'!$A$3:$AC$68</definedName>
    <definedName name="_xlnm._FilterDatabase" localSheetId="39" hidden="1">'2-公摊费用及期间费（本期）'!$A$4:$R$237</definedName>
    <definedName name="_xlnm._FilterDatabase" localSheetId="30" hidden="1">'2-商墅'!$A$3:$AA$168</definedName>
    <definedName name="_xlnm._FilterDatabase" localSheetId="44" hidden="1">'2-地下车库'!$A$3:$AC$68</definedName>
    <definedName name="_xlnm._FilterDatabase" localSheetId="41" hidden="1">'2-小叠拼'!$A$3:$AC$68</definedName>
    <definedName name="_xlnm._FilterDatabase" localSheetId="42" hidden="1">'2-小联排'!$A$3:$AA$168</definedName>
    <definedName name="_xlnm._FilterDatabase" localSheetId="43" hidden="1">'2-底商'!$A$3:$AA$168</definedName>
    <definedName name="_xlnm._FilterDatabase" localSheetId="37" hidden="1">'2-成本汇总（本期）'!#REF!</definedName>
    <definedName name="_xlnm._FilterDatabase" localSheetId="46" hidden="1">'2-配套用房'!$A$3:$AC$68</definedName>
    <definedName name="_xlnm._FilterDatabase" localSheetId="40" hidden="1">'2-高层'!$A$3:$AA$168</definedName>
    <definedName name="_xlnm._FilterDatabase" localSheetId="45" hidden="1">'2-高层公寓'!$A$3:$AC$68</definedName>
    <definedName name="_xlnm._FilterDatabase" localSheetId="51" hidden="1">'3-公摊费用及期间费（本期）'!$A$4:$R$237</definedName>
    <definedName name="_xlnm._FilterDatabase" localSheetId="54" hidden="1">'3-商墅'!$A$3:$AA$168</definedName>
    <definedName name="_xlnm._FilterDatabase" localSheetId="56" hidden="1">'3-地下车库'!$A$3:$AC$68</definedName>
    <definedName name="_xlnm._FilterDatabase" localSheetId="52" hidden="1">'3-大商业'!$A$3:$AA$168</definedName>
    <definedName name="_xlnm._FilterDatabase" localSheetId="49" hidden="1">'3-成本汇总（本期）'!#REF!</definedName>
    <definedName name="_xlnm._FilterDatabase" localSheetId="53" hidden="1">'3-星级办公'!$A$3:$AA$168</definedName>
    <definedName name="_xlnm._FilterDatabase" localSheetId="57" hidden="1">'3-配套用房'!$A$3:$AC$68</definedName>
    <definedName name="_xlnm._FilterDatabase" localSheetId="55" hidden="1">'3-高层公寓'!$A$3:$AC$68</definedName>
    <definedName name="_xlnm._FilterDatabase" localSheetId="25" hidden="1">人才公寓销售!$A$10:$W$203</definedName>
    <definedName name="_xlnm._FilterDatabase" localSheetId="20" hidden="1">人防车位!$A$10:$AK$219</definedName>
    <definedName name="_xlnm._FilterDatabase" localSheetId="14" hidden="1">'全期规划指标 '!$A$19:$AA$54</definedName>
    <definedName name="_xlnm._FilterDatabase" localSheetId="23" hidden="1">小高层!$A$10:$AC$204</definedName>
    <definedName name="_xlnm._FilterDatabase" localSheetId="24" hidden="1">幼儿园!$A$10:$W$204</definedName>
    <definedName name="_xlnm._FilterDatabase" localSheetId="18" hidden="1">'当期公摊测算表（全期）'!$A$8:$AB$192</definedName>
    <definedName name="_xlnm._FilterDatabase" localSheetId="15" hidden="1">'成本汇总（分摊）'!$BJ$36:$BJ$41</definedName>
    <definedName name="_xlnm._FilterDatabase" localSheetId="16" hidden="1">'成本汇总（测算）'!$A$5:$ADG$380</definedName>
    <definedName name="_xlnm._FilterDatabase" localSheetId="32" hidden="1">本期合约金额规划表!$A$2:$M$108</definedName>
    <definedName name="_xlnm._FilterDatabase" localSheetId="4" hidden="1">现金流量!$A$29:$AR$33</definedName>
    <definedName name="_xlnm._FilterDatabase" localSheetId="19" hidden="1">车位!$A$9:$V$219</definedName>
    <definedName name="_xlnm._FilterDatabase" localSheetId="26" hidden="1">配套用房!$A$10:$W$204</definedName>
    <definedName name="_xlnm._FilterDatabase" localSheetId="21" hidden="1">高层!$A$10:$Y$204</definedName>
    <definedName name="_jhf" localSheetId="24">[3]设计部!#REF!</definedName>
    <definedName name="_jhf">[3]设计部!#REF!</definedName>
    <definedName name="_工程名称" localSheetId="32">[4]Sheet2!$A$1</definedName>
    <definedName name="_工程名称">[5]Sheet2!$A$1</definedName>
    <definedName name="bili" localSheetId="27">#REF!</definedName>
    <definedName name="bili" localSheetId="29">#REF!</definedName>
    <definedName name="bili" localSheetId="31">#REF!</definedName>
    <definedName name="bili" localSheetId="30">#REF!</definedName>
    <definedName name="bili" localSheetId="41">#REF!</definedName>
    <definedName name="bili" localSheetId="40">#REF!</definedName>
    <definedName name="bili" localSheetId="45">#REF!</definedName>
    <definedName name="bili" localSheetId="54">#REF!</definedName>
    <definedName name="bili" localSheetId="55">#REF!</definedName>
    <definedName name="bili" localSheetId="24">#REF!</definedName>
    <definedName name="bili">#REF!</definedName>
    <definedName name="B主筋锚长">[6]内围地梁钢筋说明!$C$17</definedName>
    <definedName name="chanpin成本分摊表" localSheetId="27">#REF!</definedName>
    <definedName name="chanpin成本分摊表" localSheetId="29">#REF!</definedName>
    <definedName name="chanpin成本分摊表" localSheetId="31">#REF!</definedName>
    <definedName name="chanpin成本分摊表" localSheetId="30">#REF!</definedName>
    <definedName name="chanpin成本分摊表" localSheetId="41">#REF!</definedName>
    <definedName name="chanpin成本分摊表" localSheetId="40">#REF!</definedName>
    <definedName name="chanpin成本分摊表" localSheetId="45">#REF!</definedName>
    <definedName name="chanpin成本分摊表" localSheetId="54">#REF!</definedName>
    <definedName name="chanpin成本分摊表" localSheetId="55">#REF!</definedName>
    <definedName name="chanpin成本分摊表" localSheetId="24">#REF!</definedName>
    <definedName name="chanpin成本分摊表">#REF!</definedName>
    <definedName name="daifashengchengbenyuce" localSheetId="27">#REF!</definedName>
    <definedName name="daifashengchengbenyuce" localSheetId="29">#REF!</definedName>
    <definedName name="daifashengchengbenyuce" localSheetId="31">#REF!</definedName>
    <definedName name="daifashengchengbenyuce" localSheetId="30">#REF!</definedName>
    <definedName name="daifashengchengbenyuce" localSheetId="41">#REF!</definedName>
    <definedName name="daifashengchengbenyuce" localSheetId="40">#REF!</definedName>
    <definedName name="daifashengchengbenyuce" localSheetId="45">#REF!</definedName>
    <definedName name="daifashengchengbenyuce" localSheetId="54">#REF!</definedName>
    <definedName name="daifashengchengbenyuce" localSheetId="55">#REF!</definedName>
    <definedName name="daifashengchengbenyuce" localSheetId="24">#REF!</definedName>
    <definedName name="daifashengchengbenyuce">#REF!</definedName>
    <definedName name="data" localSheetId="27">#REF!</definedName>
    <definedName name="data" localSheetId="29">#REF!</definedName>
    <definedName name="data" localSheetId="31">#REF!</definedName>
    <definedName name="data" localSheetId="28">#REF!</definedName>
    <definedName name="data" localSheetId="30">#REF!</definedName>
    <definedName name="data" localSheetId="41">#REF!</definedName>
    <definedName name="data" localSheetId="42">#REF!</definedName>
    <definedName name="data" localSheetId="43">#REF!</definedName>
    <definedName name="data" localSheetId="40">#REF!</definedName>
    <definedName name="data" localSheetId="45">#REF!</definedName>
    <definedName name="data" localSheetId="54">#REF!</definedName>
    <definedName name="data" localSheetId="52">#REF!</definedName>
    <definedName name="data" localSheetId="53">#REF!</definedName>
    <definedName name="data" localSheetId="55">#REF!</definedName>
    <definedName name="data" localSheetId="24">#REF!</definedName>
    <definedName name="data" localSheetId="32">#REF!</definedName>
    <definedName name="data" localSheetId="5">#REF!</definedName>
    <definedName name="data">#REF!</definedName>
    <definedName name="data1" localSheetId="27">#REF!</definedName>
    <definedName name="data1" localSheetId="29">#REF!</definedName>
    <definedName name="data1" localSheetId="31">#REF!</definedName>
    <definedName name="data1" localSheetId="30">#REF!</definedName>
    <definedName name="data1" localSheetId="41">#REF!</definedName>
    <definedName name="data1" localSheetId="40">#REF!</definedName>
    <definedName name="data1" localSheetId="45">#REF!</definedName>
    <definedName name="data1" localSheetId="54">#REF!</definedName>
    <definedName name="data1" localSheetId="55">#REF!</definedName>
    <definedName name="data1" localSheetId="24">#REF!</definedName>
    <definedName name="data1">#REF!</definedName>
    <definedName name="jhf" localSheetId="24">[3]设计部!#REF!</definedName>
    <definedName name="jhf">[3]设计部!#REF!</definedName>
    <definedName name="MRSL">[7]下拉框值!$K$4:$K$10</definedName>
    <definedName name="_xlnm.Print_Area" localSheetId="39">'2-公摊费用及期间费（本期）'!$A$2:$R$240</definedName>
    <definedName name="_xlnm.Print_Area" localSheetId="37">'2-成本汇总（本期）'!$A$1:$BF$49</definedName>
    <definedName name="_xlnm.Print_Area" localSheetId="51">'3-公摊费用及期间费（本期）'!$A$2:$R$240</definedName>
    <definedName name="_xlnm.Print_Area" localSheetId="49">'3-成本汇总（本期）'!$A$1:$BL$49</definedName>
    <definedName name="_xlnm.Print_Area" localSheetId="32">本期合约金额规划表!$A$1:$M$127</definedName>
    <definedName name="_xlnm.Print_Titles" localSheetId="31">'1-商业网点'!$1:$3</definedName>
    <definedName name="_xlnm.Print_Titles" localSheetId="34">'1-配套用房'!$1:$3</definedName>
    <definedName name="_xlnm.Print_Titles" localSheetId="39">'2-公摊费用及期间费（本期）'!$2:$4</definedName>
    <definedName name="_xlnm.Print_Titles" localSheetId="44">'2-地下车库'!$1:$3</definedName>
    <definedName name="_xlnm.Print_Titles" localSheetId="41">'2-小叠拼'!$1:$3</definedName>
    <definedName name="_xlnm.Print_Titles" localSheetId="37">'2-成本汇总（本期）'!$1:$4</definedName>
    <definedName name="_xlnm.Print_Titles" localSheetId="46">'2-配套用房'!$1:$3</definedName>
    <definedName name="_xlnm.Print_Titles" localSheetId="45">'2-高层公寓'!$1:$3</definedName>
    <definedName name="_xlnm.Print_Titles" localSheetId="51">'3-公摊费用及期间费（本期）'!$2:$4</definedName>
    <definedName name="_xlnm.Print_Titles" localSheetId="56">'3-地下车库'!$1:$3</definedName>
    <definedName name="_xlnm.Print_Titles" localSheetId="49">'3-成本汇总（本期）'!$1:$4</definedName>
    <definedName name="_xlnm.Print_Titles" localSheetId="57">'3-配套用房'!$1:$3</definedName>
    <definedName name="_xlnm.Print_Titles" localSheetId="55">'3-高层公寓'!$1:$3</definedName>
    <definedName name="_xlnm.Print_Titles" localSheetId="32">本期合约金额规划表!$1:$2</definedName>
    <definedName name="series01">#REF!</definedName>
    <definedName name="series02">#REF!</definedName>
    <definedName name="series03">#REF!</definedName>
    <definedName name="series04">#REF!</definedName>
    <definedName name="series05">#REF!</definedName>
    <definedName name="series06">#REF!</definedName>
    <definedName name="series07">#REF!</definedName>
    <definedName name="series08">#REF!</definedName>
    <definedName name="series09">#REF!</definedName>
    <definedName name="series10">#REF!</definedName>
    <definedName name="东建筑面积" localSheetId="24">'[1]2.1设计部'!#REF!</definedName>
    <definedName name="东建筑面积">'[1]2.1设计部'!#REF!</definedName>
    <definedName name="二期可售面积">[8]成本估算!$C$6</definedName>
    <definedName name="二期环境面积">[8]基本参数!$C$15</definedName>
    <definedName name="二次深化" localSheetId="17">#REF!</definedName>
    <definedName name="二次深化" localSheetId="24">#REF!</definedName>
    <definedName name="二次深化">#REF!</definedName>
    <definedName name="产品009" localSheetId="24">'[1]2.1设计部'!#REF!</definedName>
    <definedName name="产品009">'[1]2.1设计部'!#REF!</definedName>
    <definedName name="产品怕009" localSheetId="24">'[1]2.1设计部'!#REF!</definedName>
    <definedName name="产品怕009">'[2]2.1设计部'!#REF!</definedName>
    <definedName name="产品成本分摊表" localSheetId="27">#REF!</definedName>
    <definedName name="产品成本分摊表" localSheetId="29">#REF!</definedName>
    <definedName name="产品成本分摊表" localSheetId="31">#REF!</definedName>
    <definedName name="产品成本分摊表" localSheetId="28">#REF!</definedName>
    <definedName name="产品成本分摊表" localSheetId="30">#REF!</definedName>
    <definedName name="产品成本分摊表" localSheetId="41">#REF!</definedName>
    <definedName name="产品成本分摊表" localSheetId="42">#REF!</definedName>
    <definedName name="产品成本分摊表" localSheetId="43">#REF!</definedName>
    <definedName name="产品成本分摊表" localSheetId="40">#REF!</definedName>
    <definedName name="产品成本分摊表" localSheetId="45">#REF!</definedName>
    <definedName name="产品成本分摊表" localSheetId="54">#REF!</definedName>
    <definedName name="产品成本分摊表" localSheetId="52">#REF!</definedName>
    <definedName name="产品成本分摊表" localSheetId="53">#REF!</definedName>
    <definedName name="产品成本分摊表" localSheetId="55">#REF!</definedName>
    <definedName name="产品成本分摊表" localSheetId="24">#REF!</definedName>
    <definedName name="产品成本分摊表" localSheetId="32">#REF!</definedName>
    <definedName name="产品成本分摊表">#REF!</definedName>
    <definedName name="入口商业" localSheetId="24">EVALUATE+#REF!</definedName>
    <definedName name="入口商业">EVALUATE+#REF!</definedName>
    <definedName name="全项目动态成本表" localSheetId="27">#REF!</definedName>
    <definedName name="全项目动态成本表" localSheetId="29">#REF!</definedName>
    <definedName name="全项目动态成本表" localSheetId="31">#REF!</definedName>
    <definedName name="全项目动态成本表" localSheetId="28">#REF!</definedName>
    <definedName name="全项目动态成本表" localSheetId="30">#REF!</definedName>
    <definedName name="全项目动态成本表" localSheetId="41">#REF!</definedName>
    <definedName name="全项目动态成本表" localSheetId="42">#REF!</definedName>
    <definedName name="全项目动态成本表" localSheetId="43">#REF!</definedName>
    <definedName name="全项目动态成本表" localSheetId="40">#REF!</definedName>
    <definedName name="全项目动态成本表" localSheetId="45">#REF!</definedName>
    <definedName name="全项目动态成本表" localSheetId="54">#REF!</definedName>
    <definedName name="全项目动态成本表" localSheetId="52">#REF!</definedName>
    <definedName name="全项目动态成本表" localSheetId="53">#REF!</definedName>
    <definedName name="全项目动态成本表" localSheetId="55">#REF!</definedName>
    <definedName name="全项目动态成本表" localSheetId="24">#REF!</definedName>
    <definedName name="全项目动态成本表" localSheetId="32">#REF!</definedName>
    <definedName name="全项目动态成本表">#REF!</definedName>
    <definedName name="六号地" localSheetId="24">EVALUATE+#REF!</definedName>
    <definedName name="六号地">EVALUATE+#REF!</definedName>
    <definedName name="其它" localSheetId="17">#REF!</definedName>
    <definedName name="其它" localSheetId="24">#REF!</definedName>
    <definedName name="其它">#REF!</definedName>
    <definedName name="利息总额" localSheetId="27">#REF!</definedName>
    <definedName name="利息总额" localSheetId="29">#REF!</definedName>
    <definedName name="利息总额" localSheetId="31">#REF!</definedName>
    <definedName name="利息总额" localSheetId="28">#REF!</definedName>
    <definedName name="利息总额" localSheetId="30">#REF!</definedName>
    <definedName name="利息总额" localSheetId="41">#REF!</definedName>
    <definedName name="利息总额" localSheetId="42">#REF!</definedName>
    <definedName name="利息总额" localSheetId="43">#REF!</definedName>
    <definedName name="利息总额" localSheetId="40">#REF!</definedName>
    <definedName name="利息总额" localSheetId="45">#REF!</definedName>
    <definedName name="利息总额" localSheetId="54">#REF!</definedName>
    <definedName name="利息总额" localSheetId="52">#REF!</definedName>
    <definedName name="利息总额" localSheetId="53">#REF!</definedName>
    <definedName name="利息总额" localSheetId="55">#REF!</definedName>
    <definedName name="利息总额" localSheetId="24">#REF!</definedName>
    <definedName name="利息总额" localSheetId="32">#REF!</definedName>
    <definedName name="利息总额" localSheetId="5">#REF!</definedName>
    <definedName name="利息总额">#REF!</definedName>
    <definedName name="区东建筑面积" localSheetId="24">'[1]2.1设计部'!#REF!</definedName>
    <definedName name="区东建筑面积">'[1]2.1设计部'!#REF!</definedName>
    <definedName name="区西建筑面积" localSheetId="24">'[1]2.1设计部'!#REF!</definedName>
    <definedName name="区西建筑面积">'[1]2.1设计部'!#REF!</definedName>
    <definedName name="占地面积" localSheetId="17">#REF!</definedName>
    <definedName name="占地面积" localSheetId="24">#REF!</definedName>
    <definedName name="占地面积">#REF!</definedName>
    <definedName name="发1" localSheetId="24">[9]设计部!#REF!</definedName>
    <definedName name="发1">[9]设计部!#REF!</definedName>
    <definedName name="可售写字楼" localSheetId="27">#REF!</definedName>
    <definedName name="可售写字楼" localSheetId="29">#REF!</definedName>
    <definedName name="可售写字楼" localSheetId="31">#REF!</definedName>
    <definedName name="可售写字楼" localSheetId="28">#REF!</definedName>
    <definedName name="可售写字楼" localSheetId="30">#REF!</definedName>
    <definedName name="可售写字楼" localSheetId="41">#REF!</definedName>
    <definedName name="可售写字楼" localSheetId="42">#REF!</definedName>
    <definedName name="可售写字楼" localSheetId="43">#REF!</definedName>
    <definedName name="可售写字楼" localSheetId="40">#REF!</definedName>
    <definedName name="可售写字楼" localSheetId="45">#REF!</definedName>
    <definedName name="可售写字楼" localSheetId="54">#REF!</definedName>
    <definedName name="可售写字楼" localSheetId="52">#REF!</definedName>
    <definedName name="可售写字楼" localSheetId="53">#REF!</definedName>
    <definedName name="可售写字楼" localSheetId="55">#REF!</definedName>
    <definedName name="可售写字楼" localSheetId="24">#REF!</definedName>
    <definedName name="可售写字楼" localSheetId="32">#REF!</definedName>
    <definedName name="可售写字楼">#REF!</definedName>
    <definedName name="可售面积" localSheetId="25">#REF!</definedName>
    <definedName name="可售面积" localSheetId="20">#REF!</definedName>
    <definedName name="可售面积" localSheetId="17">#REF!</definedName>
    <definedName name="可售面积" localSheetId="23">#REF!</definedName>
    <definedName name="可售面积" localSheetId="24">#REF!</definedName>
    <definedName name="可售面积" localSheetId="18">#REF!</definedName>
    <definedName name="可售面积" localSheetId="16">#REF!</definedName>
    <definedName name="可售面积" localSheetId="19">#REF!</definedName>
    <definedName name="可售面积" localSheetId="26">#REF!</definedName>
    <definedName name="可售面积" localSheetId="21">#REF!</definedName>
    <definedName name="可售面积">#REF!</definedName>
    <definedName name="吊筋角度">[6]内围地梁钢筋说明!$C$22</definedName>
    <definedName name="吊筋锚长">[6]内围地梁钢筋说明!$C$23</definedName>
    <definedName name="地下车位" localSheetId="24">EVALUATE+#REF!</definedName>
    <definedName name="地下车位">EVALUATE+#REF!</definedName>
    <definedName name="地下车库" localSheetId="24">EVALUATE+#REF!</definedName>
    <definedName name="地下车库">EVALUATE+#REF!</definedName>
    <definedName name="地价分摊表1">[10]Sheet2!$A$1</definedName>
    <definedName name="地坪厚度">#REF!</definedName>
    <definedName name="垫层厚">#REF!</definedName>
    <definedName name="垫层突出单边宽">#REF!</definedName>
    <definedName name="基底面积" localSheetId="17">#REF!</definedName>
    <definedName name="基底面积" localSheetId="24">#REF!</definedName>
    <definedName name="基底面积">#REF!</definedName>
    <definedName name="室内专业" localSheetId="17">#REF!</definedName>
    <definedName name="室内专业" localSheetId="24">#REF!</definedName>
    <definedName name="室内专业">#REF!</definedName>
    <definedName name="室内外地台差">'[11]承台(砖模) '!#REF!</definedName>
    <definedName name="室内外高差">#REF!</definedName>
    <definedName name="室内装修价格明细" localSheetId="24">EVALUATE+#REF!</definedName>
    <definedName name="室内装修价格明细">EVALUATE+#REF!</definedName>
    <definedName name="工作面单边宽">#REF!</definedName>
    <definedName name="建筑专业" localSheetId="17">#REF!</definedName>
    <definedName name="建筑专业" localSheetId="24">#REF!</definedName>
    <definedName name="建筑专业">#REF!</definedName>
    <definedName name="建筑面积" localSheetId="17">#REF!</definedName>
    <definedName name="建筑面积" localSheetId="24">#REF!</definedName>
    <definedName name="建筑面积">'[12]建筑面积 '!$I$5</definedName>
    <definedName name="开间费" localSheetId="27">#REF!</definedName>
    <definedName name="开间费" localSheetId="29">#REF!</definedName>
    <definedName name="开间费" localSheetId="31">#REF!</definedName>
    <definedName name="开间费" localSheetId="28">#REF!</definedName>
    <definedName name="开间费" localSheetId="30">#REF!</definedName>
    <definedName name="开间费" localSheetId="41">#REF!</definedName>
    <definedName name="开间费" localSheetId="42">#REF!</definedName>
    <definedName name="开间费" localSheetId="43">#REF!</definedName>
    <definedName name="开间费" localSheetId="40">#REF!</definedName>
    <definedName name="开间费" localSheetId="45">#REF!</definedName>
    <definedName name="开间费" localSheetId="54">#REF!</definedName>
    <definedName name="开间费" localSheetId="52">#REF!</definedName>
    <definedName name="开间费" localSheetId="53">#REF!</definedName>
    <definedName name="开间费" localSheetId="55">#REF!</definedName>
    <definedName name="开间费" localSheetId="24">#REF!</definedName>
    <definedName name="开间费" localSheetId="32">#REF!</definedName>
    <definedName name="开间费">#REF!</definedName>
    <definedName name="待发生成本预测" localSheetId="27">#REF!</definedName>
    <definedName name="待发生成本预测" localSheetId="29">#REF!</definedName>
    <definedName name="待发生成本预测" localSheetId="31">#REF!</definedName>
    <definedName name="待发生成本预测" localSheetId="28">#REF!</definedName>
    <definedName name="待发生成本预测" localSheetId="30">#REF!</definedName>
    <definedName name="待发生成本预测" localSheetId="41">#REF!</definedName>
    <definedName name="待发生成本预测" localSheetId="42">#REF!</definedName>
    <definedName name="待发生成本预测" localSheetId="43">#REF!</definedName>
    <definedName name="待发生成本预测" localSheetId="40">#REF!</definedName>
    <definedName name="待发生成本预测" localSheetId="45">#REF!</definedName>
    <definedName name="待发生成本预测" localSheetId="54">#REF!</definedName>
    <definedName name="待发生成本预测" localSheetId="52">#REF!</definedName>
    <definedName name="待发生成本预测" localSheetId="53">#REF!</definedName>
    <definedName name="待发生成本预测" localSheetId="55">#REF!</definedName>
    <definedName name="待发生成本预测" localSheetId="24">#REF!</definedName>
    <definedName name="待发生成本预测" localSheetId="32">#REF!</definedName>
    <definedName name="待发生成本预测">#REF!</definedName>
    <definedName name="总建筑面积">[8]成本估算!$B$6</definedName>
    <definedName name="户数" localSheetId="32">[13]规划指标!$N$11:$O$14</definedName>
    <definedName name="户数">[13]规划指标!$N$11:$O$14</definedName>
    <definedName name="报批报建" localSheetId="24">'[14]设计费用-ICP'!#REF!</definedName>
    <definedName name="报批报建">'[14]设计费用-ICP'!#REF!</definedName>
    <definedName name="报批报建类" localSheetId="25">'[15]设计费用-ICP'!#REF!</definedName>
    <definedName name="报批报建类" localSheetId="20">'[15]设计费用-ICP'!#REF!</definedName>
    <definedName name="报批报建类" localSheetId="17">'[14]设计费用-ICP'!#REF!</definedName>
    <definedName name="报批报建类" localSheetId="23">'[15]设计费用-ICP'!#REF!</definedName>
    <definedName name="报批报建类" localSheetId="24">'[15]设计费用-ICP'!#REF!</definedName>
    <definedName name="报批报建类" localSheetId="18">'[16]设计费用-ICP'!#REF!</definedName>
    <definedName name="报批报建类" localSheetId="19">'[15]设计费用-ICP'!#REF!</definedName>
    <definedName name="报批报建类" localSheetId="26">'[15]设计费用-ICP'!#REF!</definedName>
    <definedName name="报批报建类" localSheetId="21">'[15]设计费用-ICP'!#REF!</definedName>
    <definedName name="报批报建类">#REF!</definedName>
    <definedName name="排水沟深">[6]内围地梁钢筋说明!$C$21</definedName>
    <definedName name="放坡系数1">'[11]承台(砖模) '!#REF!</definedName>
    <definedName name="放坡系数2">'[11]承台(砖模) '!#REF!</definedName>
    <definedName name="放坡系数A">'[11]承台(砖模) '!#REF!</definedName>
    <definedName name="明细分类账" localSheetId="27">#REF!</definedName>
    <definedName name="明细分类账" localSheetId="29">#REF!</definedName>
    <definedName name="明细分类账" localSheetId="31">#REF!</definedName>
    <definedName name="明细分类账" localSheetId="28">#REF!</definedName>
    <definedName name="明细分类账" localSheetId="30">#REF!</definedName>
    <definedName name="明细分类账" localSheetId="41">#REF!</definedName>
    <definedName name="明细分类账" localSheetId="42">#REF!</definedName>
    <definedName name="明细分类账" localSheetId="43">#REF!</definedName>
    <definedName name="明细分类账" localSheetId="40">#REF!</definedName>
    <definedName name="明细分类账" localSheetId="45">#REF!</definedName>
    <definedName name="明细分类账" localSheetId="54">#REF!</definedName>
    <definedName name="明细分类账" localSheetId="52">#REF!</definedName>
    <definedName name="明细分类账" localSheetId="53">#REF!</definedName>
    <definedName name="明细分类账" localSheetId="55">#REF!</definedName>
    <definedName name="明细分类账" localSheetId="24">#REF!</definedName>
    <definedName name="明细分类账" localSheetId="32">#REF!</definedName>
    <definedName name="明细分类账">#REF!</definedName>
    <definedName name="景观专业" localSheetId="17">#REF!</definedName>
    <definedName name="景观专业" localSheetId="24">#REF!</definedName>
    <definedName name="景观专业">#REF!</definedName>
    <definedName name="板厚">#REF!</definedName>
    <definedName name="栏杆价格明细" localSheetId="24">EVALUATE+#REF!</definedName>
    <definedName name="栏杆价格明细">EVALUATE+#REF!</definedName>
    <definedName name="栏杆价格明细1" localSheetId="24">EVALUATE+#REF!</definedName>
    <definedName name="栏杆价格明细1">EVALUATE+#REF!</definedName>
    <definedName name="核算项目明细账_1133_06_00" localSheetId="27">#REF!</definedName>
    <definedName name="核算项目明细账_1133_06_00" localSheetId="29">#REF!</definedName>
    <definedName name="核算项目明细账_1133_06_00" localSheetId="31">#REF!</definedName>
    <definedName name="核算项目明细账_1133_06_00" localSheetId="28">#REF!</definedName>
    <definedName name="核算项目明细账_1133_06_00" localSheetId="30">#REF!</definedName>
    <definedName name="核算项目明细账_1133_06_00" localSheetId="41">#REF!</definedName>
    <definedName name="核算项目明细账_1133_06_00" localSheetId="42">#REF!</definedName>
    <definedName name="核算项目明细账_1133_06_00" localSheetId="43">#REF!</definedName>
    <definedName name="核算项目明细账_1133_06_00" localSheetId="36">#REF!</definedName>
    <definedName name="核算项目明细账_1133_06_00" localSheetId="40">#REF!</definedName>
    <definedName name="核算项目明细账_1133_06_00" localSheetId="45">#REF!</definedName>
    <definedName name="核算项目明细账_1133_06_00" localSheetId="54">#REF!</definedName>
    <definedName name="核算项目明细账_1133_06_00" localSheetId="52">#REF!</definedName>
    <definedName name="核算项目明细账_1133_06_00" localSheetId="53">#REF!</definedName>
    <definedName name="核算项目明细账_1133_06_00" localSheetId="48">#REF!</definedName>
    <definedName name="核算项目明细账_1133_06_00" localSheetId="55">#REF!</definedName>
    <definedName name="核算项目明细账_1133_06_00" localSheetId="24">#REF!</definedName>
    <definedName name="核算项目明细账_1133_06_00" localSheetId="32">#REF!</definedName>
    <definedName name="核算项目明细账_1133_06_00">#REF!</definedName>
    <definedName name="楼栋数" localSheetId="17">#REF!</definedName>
    <definedName name="楼栋数" localSheetId="24">#REF!</definedName>
    <definedName name="楼栋数">#REF!</definedName>
    <definedName name="比例" localSheetId="27">#REF!</definedName>
    <definedName name="比例" localSheetId="29">#REF!</definedName>
    <definedName name="比例" localSheetId="31">#REF!</definedName>
    <definedName name="比例" localSheetId="28">#REF!</definedName>
    <definedName name="比例" localSheetId="30">#REF!</definedName>
    <definedName name="比例" localSheetId="41">#REF!</definedName>
    <definedName name="比例" localSheetId="42">#REF!</definedName>
    <definedName name="比例" localSheetId="43">#REF!</definedName>
    <definedName name="比例" localSheetId="40">#REF!</definedName>
    <definedName name="比例" localSheetId="45">#REF!</definedName>
    <definedName name="比例" localSheetId="54">#REF!</definedName>
    <definedName name="比例" localSheetId="52">#REF!</definedName>
    <definedName name="比例" localSheetId="53">#REF!</definedName>
    <definedName name="比例" localSheetId="55">#REF!</definedName>
    <definedName name="比例" localSheetId="24">#REF!</definedName>
    <definedName name="比例" localSheetId="32">#REF!</definedName>
    <definedName name="比例" localSheetId="5">#REF!</definedName>
    <definedName name="比例">#REF!</definedName>
    <definedName name="现金流量表" localSheetId="27">#REF!</definedName>
    <definedName name="现金流量表" localSheetId="29">#REF!</definedName>
    <definedName name="现金流量表" localSheetId="31">#REF!</definedName>
    <definedName name="现金流量表" localSheetId="28">#REF!</definedName>
    <definedName name="现金流量表" localSheetId="30">#REF!</definedName>
    <definedName name="现金流量表" localSheetId="41">#REF!</definedName>
    <definedName name="现金流量表" localSheetId="42">#REF!</definedName>
    <definedName name="现金流量表" localSheetId="43">#REF!</definedName>
    <definedName name="现金流量表" localSheetId="40">#REF!</definedName>
    <definedName name="现金流量表" localSheetId="45">#REF!</definedName>
    <definedName name="现金流量表" localSheetId="54">#REF!</definedName>
    <definedName name="现金流量表" localSheetId="52">#REF!</definedName>
    <definedName name="现金流量表" localSheetId="53">#REF!</definedName>
    <definedName name="现金流量表" localSheetId="55">#REF!</definedName>
    <definedName name="现金流量表" localSheetId="24">#REF!</definedName>
    <definedName name="现金流量表" localSheetId="32">#REF!</definedName>
    <definedName name="现金流量表" localSheetId="5">#REF!</definedName>
    <definedName name="现金流量表">#REF!</definedName>
    <definedName name="科目余额表" localSheetId="27">#REF!</definedName>
    <definedName name="科目余额表" localSheetId="29">#REF!</definedName>
    <definedName name="科目余额表" localSheetId="31">#REF!</definedName>
    <definedName name="科目余额表" localSheetId="28">#REF!</definedName>
    <definedName name="科目余额表" localSheetId="30">#REF!</definedName>
    <definedName name="科目余额表" localSheetId="41">#REF!</definedName>
    <definedName name="科目余额表" localSheetId="42">#REF!</definedName>
    <definedName name="科目余额表" localSheetId="43">#REF!</definedName>
    <definedName name="科目余额表" localSheetId="40">#REF!</definedName>
    <definedName name="科目余额表" localSheetId="45">#REF!</definedName>
    <definedName name="科目余额表" localSheetId="54">#REF!</definedName>
    <definedName name="科目余额表" localSheetId="52">#REF!</definedName>
    <definedName name="科目余额表" localSheetId="53">#REF!</definedName>
    <definedName name="科目余额表" localSheetId="55">#REF!</definedName>
    <definedName name="科目余额表" localSheetId="24">#REF!</definedName>
    <definedName name="科目余额表" localSheetId="32">#REF!</definedName>
    <definedName name="科目余额表">#REF!</definedName>
    <definedName name="结构专业类" localSheetId="17">#REF!</definedName>
    <definedName name="结构专业类" localSheetId="24">#REF!</definedName>
    <definedName name="结构专业类">#REF!</definedName>
    <definedName name="联排别墅不含地下室" localSheetId="27">#REF!</definedName>
    <definedName name="联排别墅不含地下室" localSheetId="29">#REF!</definedName>
    <definedName name="联排别墅不含地下室" localSheetId="31">#REF!</definedName>
    <definedName name="联排别墅不含地下室" localSheetId="28">#REF!</definedName>
    <definedName name="联排别墅不含地下室" localSheetId="30">#REF!</definedName>
    <definedName name="联排别墅不含地下室" localSheetId="41">#REF!</definedName>
    <definedName name="联排别墅不含地下室" localSheetId="42">#REF!</definedName>
    <definedName name="联排别墅不含地下室" localSheetId="43">#REF!</definedName>
    <definedName name="联排别墅不含地下室" localSheetId="40">#REF!</definedName>
    <definedName name="联排别墅不含地下室" localSheetId="45">#REF!</definedName>
    <definedName name="联排别墅不含地下室" localSheetId="54">#REF!</definedName>
    <definedName name="联排别墅不含地下室" localSheetId="52">#REF!</definedName>
    <definedName name="联排别墅不含地下室" localSheetId="53">#REF!</definedName>
    <definedName name="联排别墅不含地下室" localSheetId="55">#REF!</definedName>
    <definedName name="联排别墅不含地下室" localSheetId="24">#REF!</definedName>
    <definedName name="联排别墅不含地下室" localSheetId="32">#REF!</definedName>
    <definedName name="联排别墅不含地下室">#REF!</definedName>
    <definedName name="腰筋锚长">[6]内围地梁钢筋说明!$C$20</definedName>
    <definedName name="计容积率面积" localSheetId="17">#REF!</definedName>
    <definedName name="计容积率面积" localSheetId="24">#REF!</definedName>
    <definedName name="计容积率面积">#REF!</definedName>
    <definedName name="计容面积" localSheetId="17">#REF!</definedName>
    <definedName name="计容面积" localSheetId="24">#REF!</definedName>
    <definedName name="计容面积">#REF!</definedName>
    <definedName name="踢脚线高">[11]柱!#REF!</definedName>
    <definedName name="钢筋保护层">[6]内围地梁钢筋说明!$C$15</definedName>
    <definedName name="钢筋弯钩长度">#REF!</definedName>
    <definedName name="阿瑟">'[17]5201.2004'!$A$1:$I$24</definedName>
    <definedName name="面积" localSheetId="27">#REF!</definedName>
    <definedName name="面积" localSheetId="29">#REF!</definedName>
    <definedName name="面积" localSheetId="31">#REF!</definedName>
    <definedName name="面积" localSheetId="28">#REF!</definedName>
    <definedName name="面积" localSheetId="30">#REF!</definedName>
    <definedName name="面积" localSheetId="41">#REF!</definedName>
    <definedName name="面积" localSheetId="42">#REF!</definedName>
    <definedName name="面积" localSheetId="43">#REF!</definedName>
    <definedName name="面积" localSheetId="40">#REF!</definedName>
    <definedName name="面积" localSheetId="45">#REF!</definedName>
    <definedName name="面积" localSheetId="54">#REF!</definedName>
    <definedName name="面积" localSheetId="52">#REF!</definedName>
    <definedName name="面积" localSheetId="53">#REF!</definedName>
    <definedName name="面积" localSheetId="55">#REF!</definedName>
    <definedName name="面积" localSheetId="24">#REF!</definedName>
    <definedName name="面积" localSheetId="32">#REF!</definedName>
    <definedName name="面积">#REF!</definedName>
    <definedName name="高层1" localSheetId="24">EVALUATE+#REF!</definedName>
    <definedName name="高层1">EVALUATE+#REF!</definedName>
    <definedName name="高层2" localSheetId="24">EVALUATE+#REF!</definedName>
    <definedName name="高层2">EVALUATE+#REF!</definedName>
  </definedNames>
  <calcPr calcId="162913"/>
</workbook>
</file>

<file path=xl/calcChain.xml><?xml version="1.0" encoding="utf-8"?>
<calcChain xmlns="http://schemas.openxmlformats.org/spreadsheetml/2006/main">
  <c r="AC75" i="13" l="1"/>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AB75" i="13"/>
  <c r="AI5" i="6" l="1"/>
  <c r="B7" i="7"/>
  <c r="B30" i="7"/>
  <c r="B29" i="7"/>
  <c r="B28" i="7"/>
  <c r="B32" i="7"/>
  <c r="J35" i="4"/>
  <c r="L35" i="4"/>
  <c r="K35" i="4"/>
  <c r="I35" i="4"/>
  <c r="B26" i="12"/>
  <c r="B25" i="12"/>
  <c r="B14" i="12"/>
  <c r="B13" i="12"/>
  <c r="B10" i="12"/>
  <c r="B9" i="12"/>
  <c r="B8" i="12"/>
  <c r="B6" i="12"/>
  <c r="B5" i="12"/>
  <c r="B4" i="12"/>
  <c r="C30" i="11"/>
  <c r="C29" i="11"/>
  <c r="C27" i="11"/>
  <c r="C26" i="11"/>
  <c r="C24" i="11"/>
  <c r="C23" i="11"/>
  <c r="C21" i="11"/>
  <c r="C20" i="11"/>
  <c r="C18" i="11"/>
  <c r="C17" i="11"/>
  <c r="C15" i="11"/>
  <c r="C14" i="11"/>
  <c r="C12" i="11"/>
  <c r="C11" i="11"/>
  <c r="C9" i="11"/>
  <c r="A46" i="12"/>
  <c r="B46" i="12"/>
  <c r="C46" i="12"/>
  <c r="D46" i="12"/>
  <c r="E46" i="12"/>
  <c r="F46" i="12"/>
  <c r="G46" i="12"/>
  <c r="H46" i="12"/>
  <c r="I46" i="12"/>
  <c r="J46" i="12"/>
  <c r="K46" i="12"/>
  <c r="L46" i="12"/>
  <c r="M46" i="12"/>
  <c r="N46" i="12"/>
  <c r="O46" i="12"/>
  <c r="P46" i="12"/>
  <c r="Q46" i="12"/>
  <c r="R46" i="12"/>
  <c r="S46" i="12"/>
  <c r="T46" i="12"/>
  <c r="U46" i="12"/>
  <c r="BT13" i="12"/>
  <c r="A47" i="12"/>
  <c r="B47" i="12"/>
  <c r="C47" i="12"/>
  <c r="D47" i="12"/>
  <c r="E47" i="12"/>
  <c r="F47" i="12"/>
  <c r="G47" i="12"/>
  <c r="H47" i="12"/>
  <c r="I47" i="12"/>
  <c r="J47" i="12"/>
  <c r="K47" i="12"/>
  <c r="L47" i="12"/>
  <c r="M47" i="12"/>
  <c r="N47" i="12"/>
  <c r="O47" i="12"/>
  <c r="P47" i="12"/>
  <c r="Q47" i="12"/>
  <c r="R47" i="12"/>
  <c r="S47" i="12"/>
  <c r="T47" i="12"/>
  <c r="U47" i="12"/>
  <c r="A48" i="12"/>
  <c r="B48" i="12"/>
  <c r="C48" i="12"/>
  <c r="D48" i="12"/>
  <c r="E48" i="12"/>
  <c r="F48" i="12"/>
  <c r="G48" i="12"/>
  <c r="H48" i="12"/>
  <c r="I48" i="12"/>
  <c r="J48" i="12"/>
  <c r="K48" i="12"/>
  <c r="L48" i="12"/>
  <c r="M48" i="12"/>
  <c r="N48" i="12"/>
  <c r="O48" i="12"/>
  <c r="P48" i="12"/>
  <c r="Q48" i="12"/>
  <c r="R48" i="12"/>
  <c r="S48" i="12"/>
  <c r="T48" i="12"/>
  <c r="U48" i="12"/>
  <c r="A49" i="12"/>
  <c r="B49" i="12"/>
  <c r="C49" i="12"/>
  <c r="D49" i="12"/>
  <c r="E49" i="12"/>
  <c r="F49" i="12"/>
  <c r="G49" i="12"/>
  <c r="H49" i="12"/>
  <c r="I49" i="12"/>
  <c r="J49" i="12"/>
  <c r="K49" i="12"/>
  <c r="L49" i="12"/>
  <c r="M49" i="12"/>
  <c r="N49" i="12"/>
  <c r="O49" i="12"/>
  <c r="P49" i="12"/>
  <c r="Q49" i="12"/>
  <c r="R49" i="12"/>
  <c r="S49" i="12"/>
  <c r="T49" i="12"/>
  <c r="U49" i="12"/>
  <c r="A50" i="12"/>
  <c r="B50" i="12"/>
  <c r="C50" i="12"/>
  <c r="D50" i="12"/>
  <c r="E50" i="12"/>
  <c r="F50" i="12"/>
  <c r="G50" i="12"/>
  <c r="H50" i="12"/>
  <c r="I50" i="12"/>
  <c r="J50" i="12"/>
  <c r="K50" i="12"/>
  <c r="L50" i="12"/>
  <c r="M50" i="12"/>
  <c r="N50" i="12"/>
  <c r="O50" i="12"/>
  <c r="P50" i="12"/>
  <c r="Q50" i="12"/>
  <c r="R50" i="12"/>
  <c r="S50" i="12"/>
  <c r="T50" i="12"/>
  <c r="U50" i="12"/>
  <c r="A51" i="12"/>
  <c r="B51" i="12"/>
  <c r="C51" i="12"/>
  <c r="D51" i="12"/>
  <c r="E51" i="12"/>
  <c r="F51" i="12"/>
  <c r="G51" i="12"/>
  <c r="H51" i="12"/>
  <c r="I51" i="12"/>
  <c r="J51" i="12"/>
  <c r="K51" i="12"/>
  <c r="L51" i="12"/>
  <c r="M51" i="12"/>
  <c r="N51" i="12"/>
  <c r="O51" i="12"/>
  <c r="P51" i="12"/>
  <c r="Q51" i="12"/>
  <c r="R51" i="12"/>
  <c r="S51" i="12"/>
  <c r="T51" i="12"/>
  <c r="U51" i="12"/>
  <c r="A52" i="12"/>
  <c r="B52" i="12"/>
  <c r="C52" i="12"/>
  <c r="D52" i="12"/>
  <c r="E52" i="12"/>
  <c r="F52" i="12"/>
  <c r="G52" i="12"/>
  <c r="H52" i="12"/>
  <c r="I52" i="12"/>
  <c r="J52" i="12"/>
  <c r="K52" i="12"/>
  <c r="L52" i="12"/>
  <c r="M52" i="12"/>
  <c r="N52" i="12"/>
  <c r="O52" i="12"/>
  <c r="P52" i="12"/>
  <c r="Q52" i="12"/>
  <c r="R52" i="12"/>
  <c r="S52" i="12"/>
  <c r="T52" i="12"/>
  <c r="U52" i="12"/>
  <c r="A53" i="12"/>
  <c r="B53" i="12"/>
  <c r="C53" i="12"/>
  <c r="D53" i="12"/>
  <c r="E53" i="12"/>
  <c r="F53" i="12"/>
  <c r="G53" i="12"/>
  <c r="H53" i="12"/>
  <c r="I53" i="12"/>
  <c r="J53" i="12"/>
  <c r="K53" i="12"/>
  <c r="L53" i="12"/>
  <c r="M53" i="12"/>
  <c r="N53" i="12"/>
  <c r="O53" i="12"/>
  <c r="P53" i="12"/>
  <c r="Q53" i="12"/>
  <c r="R53" i="12"/>
  <c r="S53" i="12"/>
  <c r="T53" i="12"/>
  <c r="U53" i="12"/>
  <c r="BT14" i="12"/>
  <c r="A54" i="12"/>
  <c r="B54" i="12"/>
  <c r="C54" i="12"/>
  <c r="D54" i="12"/>
  <c r="E54" i="12"/>
  <c r="F54" i="12"/>
  <c r="G54" i="12"/>
  <c r="H54" i="12"/>
  <c r="I54" i="12"/>
  <c r="J54" i="12"/>
  <c r="K54" i="12"/>
  <c r="L54" i="12"/>
  <c r="M54" i="12"/>
  <c r="N54" i="12"/>
  <c r="O54" i="12"/>
  <c r="P54" i="12"/>
  <c r="Q54" i="12"/>
  <c r="R54" i="12"/>
  <c r="S54" i="12"/>
  <c r="T54" i="12"/>
  <c r="U54" i="12"/>
  <c r="A55" i="12"/>
  <c r="B55" i="12"/>
  <c r="C55" i="12"/>
  <c r="D55" i="12"/>
  <c r="E55" i="12"/>
  <c r="F55" i="12"/>
  <c r="G55" i="12"/>
  <c r="H55" i="12"/>
  <c r="I55" i="12"/>
  <c r="J55" i="12"/>
  <c r="K55" i="12"/>
  <c r="L55" i="12"/>
  <c r="M55" i="12"/>
  <c r="N55" i="12"/>
  <c r="O55" i="12"/>
  <c r="P55" i="12"/>
  <c r="Q55" i="12"/>
  <c r="R55" i="12"/>
  <c r="S55" i="12"/>
  <c r="T55" i="12"/>
  <c r="U55" i="12"/>
  <c r="A56" i="12"/>
  <c r="B56" i="12"/>
  <c r="C56" i="12"/>
  <c r="D56" i="12"/>
  <c r="E56" i="12"/>
  <c r="F56" i="12"/>
  <c r="G56" i="12"/>
  <c r="H56" i="12"/>
  <c r="I56" i="12"/>
  <c r="J56" i="12"/>
  <c r="K56" i="12"/>
  <c r="L56" i="12"/>
  <c r="M56" i="12"/>
  <c r="N56" i="12"/>
  <c r="O56" i="12"/>
  <c r="P56" i="12"/>
  <c r="Q56" i="12"/>
  <c r="R56" i="12"/>
  <c r="S56" i="12"/>
  <c r="T56" i="12"/>
  <c r="U56" i="12"/>
  <c r="A57" i="12"/>
  <c r="B57" i="12"/>
  <c r="C57" i="12"/>
  <c r="D57" i="12"/>
  <c r="E57" i="12"/>
  <c r="F57" i="12"/>
  <c r="G57" i="12"/>
  <c r="H57" i="12"/>
  <c r="I57" i="12"/>
  <c r="J57" i="12"/>
  <c r="K57" i="12"/>
  <c r="L57" i="12"/>
  <c r="M57" i="12"/>
  <c r="N57" i="12"/>
  <c r="O57" i="12"/>
  <c r="P57" i="12"/>
  <c r="Q57" i="12"/>
  <c r="R57" i="12"/>
  <c r="S57" i="12"/>
  <c r="T57" i="12"/>
  <c r="U57" i="12"/>
  <c r="A58" i="12"/>
  <c r="B58" i="12"/>
  <c r="C58" i="12"/>
  <c r="D58" i="12"/>
  <c r="E58" i="12"/>
  <c r="F58" i="12"/>
  <c r="G58" i="12"/>
  <c r="H58" i="12"/>
  <c r="I58" i="12"/>
  <c r="J58" i="12"/>
  <c r="K58" i="12"/>
  <c r="L58" i="12"/>
  <c r="M58" i="12"/>
  <c r="N58" i="12"/>
  <c r="O58" i="12"/>
  <c r="P58" i="12"/>
  <c r="Q58" i="12"/>
  <c r="R58" i="12"/>
  <c r="S58" i="12"/>
  <c r="T58" i="12"/>
  <c r="U58" i="12"/>
  <c r="A59" i="12"/>
  <c r="B59" i="12"/>
  <c r="C59" i="12"/>
  <c r="D59" i="12"/>
  <c r="E59" i="12"/>
  <c r="F59" i="12"/>
  <c r="G59" i="12"/>
  <c r="H59" i="12"/>
  <c r="I59" i="12"/>
  <c r="J59" i="12"/>
  <c r="K59" i="12"/>
  <c r="L59" i="12"/>
  <c r="M59" i="12"/>
  <c r="N59" i="12"/>
  <c r="O59" i="12"/>
  <c r="P59" i="12"/>
  <c r="Q59" i="12"/>
  <c r="R59" i="12"/>
  <c r="S59" i="12"/>
  <c r="T59" i="12"/>
  <c r="U59" i="12"/>
  <c r="BP38" i="12"/>
  <c r="BQ38" i="12"/>
  <c r="BR38" i="12"/>
  <c r="BS38" i="12"/>
  <c r="BT38" i="12"/>
  <c r="BP39" i="12"/>
  <c r="BQ39" i="12"/>
  <c r="BR39" i="12"/>
  <c r="BS39" i="12"/>
  <c r="BT39" i="12"/>
  <c r="BP40" i="12"/>
  <c r="BQ40" i="12"/>
  <c r="BR40" i="12"/>
  <c r="BS40" i="12"/>
  <c r="BT40" i="12"/>
  <c r="BP41" i="12"/>
  <c r="BQ41" i="12"/>
  <c r="BR41" i="12"/>
  <c r="BS41" i="12"/>
  <c r="BT41" i="12"/>
  <c r="BP42" i="12"/>
  <c r="BQ42" i="12"/>
  <c r="BR42" i="12"/>
  <c r="BS42" i="12"/>
  <c r="BT42" i="12"/>
  <c r="BP43" i="12"/>
  <c r="BQ43" i="12"/>
  <c r="BR43" i="12"/>
  <c r="BS43" i="12"/>
  <c r="BT43" i="12"/>
  <c r="BP44" i="12"/>
  <c r="BQ44" i="12"/>
  <c r="BR44" i="12"/>
  <c r="BS44" i="12"/>
  <c r="BT44" i="12"/>
  <c r="BP45" i="12"/>
  <c r="BQ45" i="12"/>
  <c r="BR45" i="12"/>
  <c r="BS45" i="12"/>
  <c r="BT45" i="12"/>
  <c r="BP13" i="12"/>
  <c r="BQ13" i="12"/>
  <c r="BP14" i="12"/>
  <c r="BQ14" i="12"/>
  <c r="BR14" i="12"/>
  <c r="BS14" i="12"/>
  <c r="BQ9" i="11"/>
  <c r="BQ10" i="11" s="1"/>
  <c r="BR9" i="11"/>
  <c r="BS9" i="11"/>
  <c r="BS6" i="11" s="1"/>
  <c r="BT9" i="11"/>
  <c r="BU9" i="11"/>
  <c r="BU10" i="11" s="1"/>
  <c r="BQ11" i="11"/>
  <c r="BR11" i="11"/>
  <c r="BS11" i="11"/>
  <c r="BS8" i="11" s="1"/>
  <c r="BT11" i="11"/>
  <c r="BU11" i="11"/>
  <c r="BQ12" i="11"/>
  <c r="BR12" i="11"/>
  <c r="BR13" i="11" s="1"/>
  <c r="BS12" i="11"/>
  <c r="BS13" i="11" s="1"/>
  <c r="BT12" i="11"/>
  <c r="BT13" i="11" s="1"/>
  <c r="BU12" i="11"/>
  <c r="BU13" i="11" s="1"/>
  <c r="BQ13" i="11"/>
  <c r="BQ14" i="11"/>
  <c r="BR14" i="11"/>
  <c r="BS14" i="11"/>
  <c r="BT14" i="11"/>
  <c r="BU14" i="11"/>
  <c r="BQ15" i="11"/>
  <c r="BQ6" i="11" s="1"/>
  <c r="BR15" i="11"/>
  <c r="BS15" i="11"/>
  <c r="BS16" i="11" s="1"/>
  <c r="BT15" i="11"/>
  <c r="BT16" i="11" s="1"/>
  <c r="BU15" i="11"/>
  <c r="BU16" i="11" s="1"/>
  <c r="BR16" i="11"/>
  <c r="BQ17" i="11"/>
  <c r="BR17" i="11"/>
  <c r="BS17" i="11"/>
  <c r="BT17" i="11"/>
  <c r="BU17" i="11"/>
  <c r="BQ18" i="11"/>
  <c r="BQ19" i="11" s="1"/>
  <c r="BR18" i="11"/>
  <c r="BR19" i="11" s="1"/>
  <c r="BS18" i="11"/>
  <c r="BS19" i="11" s="1"/>
  <c r="BT18" i="11"/>
  <c r="BT19" i="11" s="1"/>
  <c r="BU18" i="11"/>
  <c r="BU19" i="11" s="1"/>
  <c r="BQ20" i="11"/>
  <c r="BR20" i="11"/>
  <c r="BS20" i="11"/>
  <c r="BT20" i="11"/>
  <c r="BU20" i="11"/>
  <c r="BQ21" i="11"/>
  <c r="BR21" i="11"/>
  <c r="BR22" i="11" s="1"/>
  <c r="BS21" i="11"/>
  <c r="BS22" i="11" s="1"/>
  <c r="BT21" i="11"/>
  <c r="BT22" i="11" s="1"/>
  <c r="BU21" i="11"/>
  <c r="BQ22" i="11"/>
  <c r="BU22" i="11"/>
  <c r="BQ23" i="11"/>
  <c r="BR23" i="11"/>
  <c r="BS23" i="11"/>
  <c r="BT23" i="11"/>
  <c r="BU23" i="11"/>
  <c r="BQ24" i="11"/>
  <c r="BR24" i="11"/>
  <c r="BR25" i="11" s="1"/>
  <c r="BS24" i="11"/>
  <c r="BS25" i="11" s="1"/>
  <c r="BT24" i="11"/>
  <c r="BT25" i="11" s="1"/>
  <c r="BU24" i="11"/>
  <c r="BU25" i="11"/>
  <c r="BQ26" i="11"/>
  <c r="BR26" i="11"/>
  <c r="BS26" i="11"/>
  <c r="BT26" i="11"/>
  <c r="BU26" i="11"/>
  <c r="BQ27" i="11"/>
  <c r="BQ28" i="11" s="1"/>
  <c r="BR27" i="11"/>
  <c r="BR28" i="11" s="1"/>
  <c r="BS27" i="11"/>
  <c r="BS28" i="11" s="1"/>
  <c r="BT27" i="11"/>
  <c r="BT28" i="11" s="1"/>
  <c r="BU27" i="11"/>
  <c r="BU28" i="11"/>
  <c r="BQ29" i="11"/>
  <c r="BR29" i="11"/>
  <c r="BS29" i="11"/>
  <c r="BT29" i="11"/>
  <c r="BU29" i="11"/>
  <c r="BQ30" i="11"/>
  <c r="BQ31" i="11" s="1"/>
  <c r="BR30" i="11"/>
  <c r="BR31" i="11" s="1"/>
  <c r="BS30" i="11"/>
  <c r="BS31" i="11" s="1"/>
  <c r="BT30" i="11"/>
  <c r="BT31" i="11" s="1"/>
  <c r="BU30" i="11"/>
  <c r="BU31" i="11" s="1"/>
  <c r="BQ32" i="11"/>
  <c r="BR32" i="11"/>
  <c r="BS32" i="11"/>
  <c r="BT32" i="11"/>
  <c r="BU32" i="11"/>
  <c r="BQ36" i="11"/>
  <c r="BR36" i="11"/>
  <c r="BR37" i="11" s="1"/>
  <c r="BS36" i="11"/>
  <c r="BS33" i="11" s="1"/>
  <c r="BT36" i="11"/>
  <c r="BT37" i="11" s="1"/>
  <c r="BU36" i="11"/>
  <c r="BU33" i="11" s="1"/>
  <c r="BQ38" i="11"/>
  <c r="BR38" i="11"/>
  <c r="BR35" i="11" s="1"/>
  <c r="BQ9" i="12" s="1"/>
  <c r="BS38" i="11"/>
  <c r="BS35" i="11" s="1"/>
  <c r="BR9" i="12" s="1"/>
  <c r="BT38" i="11"/>
  <c r="BT35" i="11" s="1"/>
  <c r="BS9" i="12" s="1"/>
  <c r="BU38" i="11"/>
  <c r="BU35" i="11" s="1"/>
  <c r="BT9" i="12" s="1"/>
  <c r="BQ39" i="11"/>
  <c r="BR39" i="11"/>
  <c r="BS39" i="11"/>
  <c r="BS40" i="11" s="1"/>
  <c r="BT39" i="11"/>
  <c r="BU39" i="11"/>
  <c r="BU40" i="11" s="1"/>
  <c r="BQ40" i="11"/>
  <c r="BR40" i="11"/>
  <c r="BQ41" i="11"/>
  <c r="BR41" i="11"/>
  <c r="BS41" i="11"/>
  <c r="BT41" i="11"/>
  <c r="BU41" i="11"/>
  <c r="BQ42" i="11"/>
  <c r="BQ43" i="11" s="1"/>
  <c r="BR42" i="11"/>
  <c r="BR43" i="11" s="1"/>
  <c r="BS42" i="11"/>
  <c r="BS43" i="11" s="1"/>
  <c r="BT42" i="11"/>
  <c r="BT43" i="11" s="1"/>
  <c r="BU42" i="11"/>
  <c r="BU43" i="11" s="1"/>
  <c r="BQ44" i="11"/>
  <c r="BR44" i="11"/>
  <c r="BS44" i="11"/>
  <c r="BT44" i="11"/>
  <c r="BU44" i="11"/>
  <c r="BQ45" i="11"/>
  <c r="BQ46" i="11" s="1"/>
  <c r="BR45" i="11"/>
  <c r="BR46" i="11" s="1"/>
  <c r="BS45" i="11"/>
  <c r="BT45" i="11"/>
  <c r="BT46" i="11" s="1"/>
  <c r="BU45" i="11"/>
  <c r="BS46" i="11"/>
  <c r="BU46" i="11"/>
  <c r="BQ47" i="11"/>
  <c r="BR47" i="11"/>
  <c r="BS47" i="11"/>
  <c r="BT47" i="11"/>
  <c r="BU47" i="11"/>
  <c r="BQ48" i="11"/>
  <c r="BQ49" i="11" s="1"/>
  <c r="BR48" i="11"/>
  <c r="BR49" i="11" s="1"/>
  <c r="BS48" i="11"/>
  <c r="BS49" i="11" s="1"/>
  <c r="BT48" i="11"/>
  <c r="BT49" i="11" s="1"/>
  <c r="BU48" i="11"/>
  <c r="BU49" i="11"/>
  <c r="BQ50" i="11"/>
  <c r="BR50" i="11"/>
  <c r="BS50" i="11"/>
  <c r="BT50" i="11"/>
  <c r="BU50" i="11"/>
  <c r="BQ51" i="11"/>
  <c r="BQ52" i="11" s="1"/>
  <c r="BR51" i="11"/>
  <c r="BS51" i="11"/>
  <c r="BS52" i="11" s="1"/>
  <c r="BT51" i="11"/>
  <c r="BT52" i="11" s="1"/>
  <c r="BU51" i="11"/>
  <c r="BU52" i="11"/>
  <c r="BQ53" i="11"/>
  <c r="BR53" i="11"/>
  <c r="BS53" i="11"/>
  <c r="BT53" i="11"/>
  <c r="BU53" i="11"/>
  <c r="BQ54" i="11"/>
  <c r="BQ55" i="11" s="1"/>
  <c r="BR54" i="11"/>
  <c r="BR55" i="11" s="1"/>
  <c r="BS54" i="11"/>
  <c r="BS55" i="11" s="1"/>
  <c r="BT54" i="11"/>
  <c r="BT55" i="11" s="1"/>
  <c r="BU54" i="11"/>
  <c r="BU55" i="11" s="1"/>
  <c r="BQ56" i="11"/>
  <c r="BR56" i="11"/>
  <c r="BS56" i="11"/>
  <c r="BT56" i="11"/>
  <c r="BU56" i="11"/>
  <c r="BT57" i="11"/>
  <c r="BS6" i="12" s="1"/>
  <c r="BU57" i="11"/>
  <c r="BT6" i="12" s="1"/>
  <c r="BS59" i="11"/>
  <c r="BR10" i="12" s="1"/>
  <c r="BQ60" i="11"/>
  <c r="BQ61" i="11" s="1"/>
  <c r="BR60" i="11"/>
  <c r="BR61" i="11" s="1"/>
  <c r="BS60" i="11"/>
  <c r="BS57" i="11" s="1"/>
  <c r="BT60" i="11"/>
  <c r="BT61" i="11" s="1"/>
  <c r="BU60" i="11"/>
  <c r="BU61" i="11" s="1"/>
  <c r="BQ62" i="11"/>
  <c r="BR62" i="11"/>
  <c r="BR59" i="11" s="1"/>
  <c r="BQ10" i="12" s="1"/>
  <c r="BS62" i="11"/>
  <c r="BT62" i="11"/>
  <c r="BU62" i="11"/>
  <c r="BQ63" i="11"/>
  <c r="BR63" i="11"/>
  <c r="BS63" i="11"/>
  <c r="BS64" i="11" s="1"/>
  <c r="BT63" i="11"/>
  <c r="BT64" i="11" s="1"/>
  <c r="BU63" i="11"/>
  <c r="BU64" i="11" s="1"/>
  <c r="BQ64" i="11"/>
  <c r="BR64" i="11"/>
  <c r="BQ65" i="11"/>
  <c r="BR65" i="11"/>
  <c r="BS65" i="11"/>
  <c r="BT65" i="11"/>
  <c r="BU65" i="11"/>
  <c r="BQ66" i="11"/>
  <c r="BQ67" i="11" s="1"/>
  <c r="BR66" i="11"/>
  <c r="BS66" i="11"/>
  <c r="BT66" i="11"/>
  <c r="BU66" i="11"/>
  <c r="BU67" i="11" s="1"/>
  <c r="BR67" i="11"/>
  <c r="BS67" i="11"/>
  <c r="BT67" i="11"/>
  <c r="BQ68" i="11"/>
  <c r="BR68" i="11"/>
  <c r="BS68" i="11"/>
  <c r="BT68" i="11"/>
  <c r="BU68" i="11"/>
  <c r="BQ69" i="11"/>
  <c r="BQ70" i="11" s="1"/>
  <c r="BR69" i="11"/>
  <c r="BR70" i="11" s="1"/>
  <c r="BS69" i="11"/>
  <c r="BS70" i="11" s="1"/>
  <c r="BT69" i="11"/>
  <c r="BT70" i="11" s="1"/>
  <c r="BU69" i="11"/>
  <c r="BU70" i="11" s="1"/>
  <c r="BQ71" i="11"/>
  <c r="BR71" i="11"/>
  <c r="BS71" i="11"/>
  <c r="BT71" i="11"/>
  <c r="BU71" i="11"/>
  <c r="BQ72" i="11"/>
  <c r="BQ73" i="11" s="1"/>
  <c r="BR72" i="11"/>
  <c r="BS72" i="11"/>
  <c r="BT72" i="11"/>
  <c r="BT73" i="11" s="1"/>
  <c r="BU72" i="11"/>
  <c r="BS73" i="11"/>
  <c r="BU73" i="11"/>
  <c r="BQ74" i="11"/>
  <c r="BR74" i="11"/>
  <c r="BS74" i="11"/>
  <c r="BT74" i="11"/>
  <c r="BU74" i="11"/>
  <c r="BQ75" i="11"/>
  <c r="BQ76" i="11" s="1"/>
  <c r="BR75" i="11"/>
  <c r="BR76" i="11" s="1"/>
  <c r="BS75" i="11"/>
  <c r="BS76" i="11" s="1"/>
  <c r="BT75" i="11"/>
  <c r="BT76" i="11" s="1"/>
  <c r="BU75" i="11"/>
  <c r="BU76" i="11"/>
  <c r="BQ77" i="11"/>
  <c r="BQ59" i="11" s="1"/>
  <c r="BP10" i="12" s="1"/>
  <c r="BR77" i="11"/>
  <c r="BS77" i="11"/>
  <c r="BT77" i="11"/>
  <c r="BU77" i="11"/>
  <c r="BQ78" i="11"/>
  <c r="BQ79" i="11" s="1"/>
  <c r="BR78" i="11"/>
  <c r="BR79" i="11" s="1"/>
  <c r="BS78" i="11"/>
  <c r="BS79" i="11" s="1"/>
  <c r="BT78" i="11"/>
  <c r="BT79" i="11" s="1"/>
  <c r="BU78" i="11"/>
  <c r="BU79" i="11"/>
  <c r="BQ80" i="11"/>
  <c r="BR80" i="11"/>
  <c r="BS80" i="11"/>
  <c r="BT80" i="11"/>
  <c r="BU80" i="11"/>
  <c r="BR13" i="12"/>
  <c r="BS13" i="12"/>
  <c r="BP25" i="12"/>
  <c r="BQ25" i="12"/>
  <c r="BQ24" i="12" s="1"/>
  <c r="BR25" i="12"/>
  <c r="BS25" i="12"/>
  <c r="BT25" i="12"/>
  <c r="BP26" i="12"/>
  <c r="BQ26" i="12"/>
  <c r="BR26" i="12"/>
  <c r="BS26" i="12"/>
  <c r="BT26" i="12"/>
  <c r="B8" i="13"/>
  <c r="BS24" i="12" l="1"/>
  <c r="BP24" i="12"/>
  <c r="BR24" i="12"/>
  <c r="BT24" i="12"/>
  <c r="BU59" i="11"/>
  <c r="BT10" i="12" s="1"/>
  <c r="BT59" i="11"/>
  <c r="BS10" i="12" s="1"/>
  <c r="BU6" i="11"/>
  <c r="BT6" i="11"/>
  <c r="BU8" i="11"/>
  <c r="BT8" i="12" s="1"/>
  <c r="BT8" i="11"/>
  <c r="BS8" i="12" s="1"/>
  <c r="BT33" i="11"/>
  <c r="BR33" i="11"/>
  <c r="BR34" i="11" s="1"/>
  <c r="BQ33" i="11"/>
  <c r="BP5" i="12" s="1"/>
  <c r="BQ16" i="11"/>
  <c r="BQ35" i="11"/>
  <c r="BP9" i="12" s="1"/>
  <c r="BR57" i="11"/>
  <c r="BR58" i="11" s="1"/>
  <c r="BQ8" i="11"/>
  <c r="BQ7" i="11" s="1"/>
  <c r="BQ37" i="11"/>
  <c r="BQ57" i="11"/>
  <c r="BQ3" i="11" s="1"/>
  <c r="BQ4" i="11" s="1"/>
  <c r="BR6" i="11"/>
  <c r="BR3" i="11" s="1"/>
  <c r="BR4" i="11" s="1"/>
  <c r="BQ25" i="11"/>
  <c r="BR8" i="11"/>
  <c r="BQ5" i="12"/>
  <c r="BQ34" i="11"/>
  <c r="BT34" i="11"/>
  <c r="BS5" i="12"/>
  <c r="BU7" i="11"/>
  <c r="BT4" i="12"/>
  <c r="BU3" i="11"/>
  <c r="BU4" i="11" s="1"/>
  <c r="BQ5" i="11"/>
  <c r="BP8" i="12"/>
  <c r="BP7" i="12" s="1"/>
  <c r="BU5" i="11"/>
  <c r="BT3" i="11"/>
  <c r="BT4" i="11" s="1"/>
  <c r="BS4" i="12"/>
  <c r="BS3" i="12" s="1"/>
  <c r="BT7" i="11"/>
  <c r="BQ6" i="12"/>
  <c r="BS3" i="11"/>
  <c r="BS4" i="11" s="1"/>
  <c r="BR4" i="12"/>
  <c r="BS7" i="11"/>
  <c r="BQ58" i="11"/>
  <c r="BU34" i="11"/>
  <c r="BT5" i="12"/>
  <c r="BR8" i="12"/>
  <c r="BR7" i="12" s="1"/>
  <c r="BS5" i="11"/>
  <c r="BR5" i="11"/>
  <c r="BQ8" i="12"/>
  <c r="BQ7" i="12" s="1"/>
  <c r="BR6" i="12"/>
  <c r="BS58" i="11"/>
  <c r="BS34" i="11"/>
  <c r="BR5" i="12"/>
  <c r="BU58" i="11"/>
  <c r="BT58" i="11"/>
  <c r="BR52" i="11"/>
  <c r="BU37" i="11"/>
  <c r="BT10" i="11"/>
  <c r="BR73" i="11"/>
  <c r="BP4" i="12"/>
  <c r="BS10" i="11"/>
  <c r="BS61" i="11"/>
  <c r="BT40" i="11"/>
  <c r="BS37" i="11"/>
  <c r="BR10" i="11"/>
  <c r="BY11" i="7"/>
  <c r="BZ11" i="7"/>
  <c r="CA11" i="7"/>
  <c r="CB11" i="7"/>
  <c r="CC11" i="7"/>
  <c r="CD11" i="7"/>
  <c r="CE11" i="7"/>
  <c r="CF11" i="7"/>
  <c r="CG11" i="7"/>
  <c r="CH11" i="7"/>
  <c r="BT10" i="7"/>
  <c r="BU10" i="7"/>
  <c r="BV10" i="7"/>
  <c r="BW10" i="7"/>
  <c r="BX10" i="7"/>
  <c r="BY10" i="7"/>
  <c r="BZ10" i="7"/>
  <c r="CA10" i="7"/>
  <c r="CB10" i="7"/>
  <c r="CC10" i="7"/>
  <c r="CD10" i="7"/>
  <c r="CE10" i="7"/>
  <c r="CF10" i="7"/>
  <c r="CG10" i="7"/>
  <c r="CH10" i="7"/>
  <c r="BT7" i="12" l="1"/>
  <c r="BS7" i="12"/>
  <c r="BT3" i="12"/>
  <c r="BT5" i="11"/>
  <c r="BP6" i="12"/>
  <c r="BP3" i="12" s="1"/>
  <c r="BQ4" i="12"/>
  <c r="BQ3" i="12" s="1"/>
  <c r="BR7" i="11"/>
  <c r="BR3" i="12"/>
  <c r="AY23" i="5"/>
  <c r="AI7" i="6" l="1"/>
  <c r="AJ5" i="6"/>
  <c r="AM5" i="6" l="1"/>
  <c r="I26" i="56" l="1"/>
  <c r="AU24" i="5" s="1"/>
  <c r="C18" i="5"/>
  <c r="N70" i="61" l="1"/>
  <c r="I41" i="56"/>
  <c r="BG15" i="5" s="1"/>
  <c r="P24" i="56"/>
  <c r="P20" i="56"/>
  <c r="AD4" i="7" l="1"/>
  <c r="AE4" i="7"/>
  <c r="AF4" i="7"/>
  <c r="AG4" i="7"/>
  <c r="AH4" i="7"/>
  <c r="AC4" i="7"/>
  <c r="CH17" i="7"/>
  <c r="AR5" i="6"/>
  <c r="AS5" i="6"/>
  <c r="AU5" i="6"/>
  <c r="AV5" i="6"/>
  <c r="AX5" i="6"/>
  <c r="AY5" i="6"/>
  <c r="BA5" i="6"/>
  <c r="BB5" i="6"/>
  <c r="BC5" i="6"/>
  <c r="BD5" i="6"/>
  <c r="BE5" i="6"/>
  <c r="AC5" i="6" l="1"/>
  <c r="AD5" i="6"/>
  <c r="AE5" i="6"/>
  <c r="AF5" i="6"/>
  <c r="AG5" i="6"/>
  <c r="AH5" i="6"/>
  <c r="AL5" i="6"/>
  <c r="AN5" i="6"/>
  <c r="AO5" i="6"/>
  <c r="AP5" i="6"/>
  <c r="AQ5" i="6"/>
  <c r="BG5" i="6"/>
  <c r="BH5" i="6"/>
  <c r="BI5" i="6"/>
  <c r="BJ5" i="6"/>
  <c r="BK5" i="6"/>
  <c r="BL5" i="6"/>
  <c r="BM5" i="6"/>
  <c r="BN5" i="6"/>
  <c r="BO5" i="6"/>
  <c r="BP5" i="6"/>
  <c r="BQ5" i="6"/>
  <c r="BR5" i="6"/>
  <c r="BS5" i="6"/>
  <c r="BT5" i="6"/>
  <c r="BU5" i="6"/>
  <c r="BV5" i="6"/>
  <c r="BW5" i="6"/>
  <c r="BX5" i="6"/>
  <c r="BY5" i="6"/>
  <c r="BZ5" i="6"/>
  <c r="CA5" i="6"/>
  <c r="CB5" i="6"/>
  <c r="CC5" i="6"/>
  <c r="CD5" i="6"/>
  <c r="CE5" i="6"/>
  <c r="CF5" i="6"/>
  <c r="CG5" i="6"/>
  <c r="CH5" i="6"/>
  <c r="I208" i="62" l="1"/>
  <c r="I24" i="56"/>
  <c r="AX21" i="5" s="1"/>
  <c r="C21" i="5" s="1"/>
  <c r="N208" i="63"/>
  <c r="I208" i="63"/>
  <c r="I20" i="56"/>
  <c r="AU12" i="5" s="1"/>
  <c r="BV15" i="6" l="1"/>
  <c r="BW15" i="6"/>
  <c r="BX15" i="6"/>
  <c r="BY15" i="6"/>
  <c r="BZ15" i="6"/>
  <c r="CA15" i="6"/>
  <c r="CB15" i="6"/>
  <c r="CC15" i="6"/>
  <c r="CD15" i="6"/>
  <c r="CE15" i="6"/>
  <c r="CF15" i="6"/>
  <c r="CG15" i="6"/>
  <c r="CH15" i="6"/>
  <c r="BT3" i="6"/>
  <c r="BU4" i="6" s="1"/>
  <c r="BU3" i="6"/>
  <c r="BV3" i="6"/>
  <c r="BW4" i="6" s="1"/>
  <c r="BW8" i="6" s="1"/>
  <c r="BW4" i="7" s="1"/>
  <c r="BW3" i="6"/>
  <c r="BX3" i="6"/>
  <c r="BY3" i="6"/>
  <c r="BZ3" i="6"/>
  <c r="CA3" i="6"/>
  <c r="CB3" i="6"/>
  <c r="CC3" i="6"/>
  <c r="CD3" i="6"/>
  <c r="CE4" i="6" s="1"/>
  <c r="CE8" i="6" s="1"/>
  <c r="CE4" i="7" s="1"/>
  <c r="CE3" i="6"/>
  <c r="CF3" i="6"/>
  <c r="CG3" i="6"/>
  <c r="CH3" i="6"/>
  <c r="BY4" i="6" l="1"/>
  <c r="BY8" i="6" s="1"/>
  <c r="BY4" i="7" s="1"/>
  <c r="CG4" i="6"/>
  <c r="CG8" i="6" s="1"/>
  <c r="CG4" i="7" s="1"/>
  <c r="CF4" i="6"/>
  <c r="CF8" i="6" s="1"/>
  <c r="CF4" i="7" s="1"/>
  <c r="BX4" i="6"/>
  <c r="BX8" i="6" s="1"/>
  <c r="BX4" i="7" s="1"/>
  <c r="BV4" i="6"/>
  <c r="BV8" i="6" s="1"/>
  <c r="BV4" i="7" s="1"/>
  <c r="CD4" i="6"/>
  <c r="CD8" i="6" s="1"/>
  <c r="CD4" i="7" s="1"/>
  <c r="CA4" i="6"/>
  <c r="CA8" i="6" s="1"/>
  <c r="CA4" i="7" s="1"/>
  <c r="CC4" i="6"/>
  <c r="CC8" i="6" s="1"/>
  <c r="CC4" i="7" s="1"/>
  <c r="CB4" i="6"/>
  <c r="CB8" i="6" s="1"/>
  <c r="CB4" i="7" s="1"/>
  <c r="CH4" i="6"/>
  <c r="CH8" i="6" s="1"/>
  <c r="CH4" i="7" s="1"/>
  <c r="BZ4" i="6"/>
  <c r="BZ8" i="6" s="1"/>
  <c r="BZ4" i="7" s="1"/>
  <c r="BF5" i="6"/>
  <c r="AI43" i="10"/>
  <c r="AJ43" i="10"/>
  <c r="AK43" i="10"/>
  <c r="AL43" i="10"/>
  <c r="AJ82" i="5"/>
  <c r="AK82" i="5"/>
  <c r="AL82" i="5"/>
  <c r="AM82" i="5"/>
  <c r="AJ81" i="5"/>
  <c r="AK81" i="5"/>
  <c r="AL81" i="5"/>
  <c r="AM81" i="5"/>
  <c r="AM26" i="5" l="1"/>
  <c r="AM23" i="5"/>
  <c r="AN23" i="5"/>
  <c r="AO23" i="5"/>
  <c r="AO80" i="5" s="1"/>
  <c r="AP23" i="5"/>
  <c r="AP80" i="5" s="1"/>
  <c r="AL23" i="5"/>
  <c r="X6" i="5"/>
  <c r="AT5" i="6" l="1"/>
  <c r="C12" i="5"/>
  <c r="AK5" i="6"/>
  <c r="AI14" i="5"/>
  <c r="AX23" i="5"/>
  <c r="B11" i="3"/>
  <c r="CH27" i="6" s="1"/>
  <c r="B31" i="13"/>
  <c r="B30" i="13"/>
  <c r="B29" i="13"/>
  <c r="B28" i="13"/>
  <c r="B27" i="13"/>
  <c r="B26" i="13"/>
  <c r="AL6" i="6" l="1"/>
  <c r="AO6" i="6" s="1"/>
  <c r="AU14" i="5"/>
  <c r="AW5" i="6"/>
  <c r="AZ5" i="6"/>
  <c r="CD27" i="6"/>
  <c r="CC27" i="6"/>
  <c r="CA27" i="6"/>
  <c r="BV27" i="6"/>
  <c r="CH19" i="6"/>
  <c r="CH21" i="6"/>
  <c r="CA21" i="6"/>
  <c r="CA19" i="6"/>
  <c r="BZ19" i="6"/>
  <c r="BZ21" i="6"/>
  <c r="CE19" i="6"/>
  <c r="BW19" i="6"/>
  <c r="CB27" i="6"/>
  <c r="BZ27" i="6"/>
  <c r="CG27" i="6"/>
  <c r="BY27" i="6"/>
  <c r="CF27" i="6"/>
  <c r="BX27" i="6"/>
  <c r="CE27" i="6"/>
  <c r="BU27" i="6"/>
  <c r="CB21" i="6"/>
  <c r="CB19" i="6"/>
  <c r="BY19" i="6"/>
  <c r="BY21" i="6"/>
  <c r="CF21" i="6"/>
  <c r="BX21" i="6"/>
  <c r="CF19" i="6"/>
  <c r="BX19" i="6"/>
  <c r="CE21" i="6"/>
  <c r="BW21" i="6"/>
  <c r="AQ6" i="6" l="1"/>
  <c r="AU6" i="6" s="1"/>
  <c r="CG21" i="6"/>
  <c r="CG19" i="6"/>
  <c r="BU19" i="6"/>
  <c r="BU21" i="6"/>
  <c r="CC19" i="6"/>
  <c r="CC21" i="6"/>
  <c r="BV19" i="6"/>
  <c r="BV21" i="6"/>
  <c r="CD19" i="6"/>
  <c r="CD21" i="6"/>
  <c r="BO6" i="6" l="1"/>
  <c r="BU6" i="6" s="1"/>
  <c r="AL20" i="5"/>
  <c r="AM20" i="5"/>
  <c r="AN20" i="5"/>
  <c r="AG23" i="5"/>
  <c r="AH23" i="5"/>
  <c r="AI23" i="5"/>
  <c r="AI80" i="5" s="1"/>
  <c r="AJ23" i="5"/>
  <c r="AJ80" i="5" s="1"/>
  <c r="AK23" i="5"/>
  <c r="AK80" i="5" s="1"/>
  <c r="AL80" i="5"/>
  <c r="F58" i="56"/>
  <c r="N157" i="64"/>
  <c r="N102" i="64"/>
  <c r="N102" i="66"/>
  <c r="AJ26" i="5"/>
  <c r="AG14" i="5"/>
  <c r="AG17" i="5"/>
  <c r="C69" i="5"/>
  <c r="AF23" i="5"/>
  <c r="AJ14" i="5"/>
  <c r="AH14" i="5"/>
  <c r="AH71" i="5" s="1"/>
  <c r="AF14" i="5"/>
  <c r="N104" i="61"/>
  <c r="N178" i="61"/>
  <c r="O178" i="61" s="1"/>
  <c r="N176" i="61"/>
  <c r="N177" i="61"/>
  <c r="N157" i="68"/>
  <c r="J94" i="61"/>
  <c r="N103" i="66"/>
  <c r="AA103" i="66" s="1"/>
  <c r="AG11" i="5"/>
  <c r="F58" i="60"/>
  <c r="D20" i="56" s="1"/>
  <c r="D26" i="56"/>
  <c r="E26" i="56" s="1"/>
  <c r="D24" i="56"/>
  <c r="F52" i="56"/>
  <c r="L50" i="56"/>
  <c r="J50" i="56"/>
  <c r="H50" i="56"/>
  <c r="G50" i="56" s="1"/>
  <c r="E50" i="56"/>
  <c r="D50" i="56"/>
  <c r="I44" i="56"/>
  <c r="F44" i="56"/>
  <c r="F41" i="56"/>
  <c r="J36" i="56"/>
  <c r="I36" i="56"/>
  <c r="H36" i="56"/>
  <c r="G36" i="56"/>
  <c r="F36" i="56"/>
  <c r="D36" i="56"/>
  <c r="S31" i="56"/>
  <c r="R31" i="56"/>
  <c r="Q31" i="56"/>
  <c r="J31" i="56"/>
  <c r="H31" i="56"/>
  <c r="G31" i="56"/>
  <c r="F31" i="56"/>
  <c r="P26" i="56"/>
  <c r="S25" i="56"/>
  <c r="R25" i="56"/>
  <c r="W25" i="56" s="1"/>
  <c r="Q25" i="56"/>
  <c r="H25" i="56"/>
  <c r="G25" i="56"/>
  <c r="F25" i="56"/>
  <c r="V24" i="56"/>
  <c r="V20" i="56"/>
  <c r="J51" i="56"/>
  <c r="I31" i="56"/>
  <c r="AK26" i="5"/>
  <c r="I25" i="56"/>
  <c r="AI6" i="5"/>
  <c r="AI63" i="5" s="1"/>
  <c r="AU5" i="57"/>
  <c r="AU6" i="57" s="1"/>
  <c r="AR6" i="57"/>
  <c r="AT6" i="57" s="1"/>
  <c r="I78" i="68"/>
  <c r="M185" i="61"/>
  <c r="O185" i="61" s="1"/>
  <c r="D45" i="60"/>
  <c r="C45" i="60" s="1"/>
  <c r="O176" i="61"/>
  <c r="Q176" i="61" s="1"/>
  <c r="O89" i="61"/>
  <c r="O83" i="61"/>
  <c r="M192" i="61"/>
  <c r="O192" i="61" s="1"/>
  <c r="M191" i="61"/>
  <c r="O191" i="61" s="1"/>
  <c r="J185" i="61"/>
  <c r="M179" i="61"/>
  <c r="O179" i="61" s="1"/>
  <c r="M177" i="61"/>
  <c r="O177" i="61"/>
  <c r="M140" i="61"/>
  <c r="O140" i="61" s="1"/>
  <c r="M138" i="61"/>
  <c r="O138" i="61" s="1"/>
  <c r="U138" i="61" s="1"/>
  <c r="M98" i="61"/>
  <c r="O98" i="61" s="1"/>
  <c r="M92" i="61"/>
  <c r="O92" i="61"/>
  <c r="M88" i="61"/>
  <c r="O88" i="61" s="1"/>
  <c r="M81" i="61"/>
  <c r="O81" i="61" s="1"/>
  <c r="O77" i="61"/>
  <c r="U77" i="61" s="1"/>
  <c r="W77" i="61" s="1"/>
  <c r="L76" i="61"/>
  <c r="M26" i="61"/>
  <c r="M25" i="61"/>
  <c r="O25" i="61" s="1"/>
  <c r="U25" i="61" s="1"/>
  <c r="M24" i="61"/>
  <c r="O24" i="61"/>
  <c r="M23" i="61"/>
  <c r="O23" i="61" s="1"/>
  <c r="M20" i="61"/>
  <c r="M19" i="61"/>
  <c r="M18" i="61"/>
  <c r="O18" i="61" s="1"/>
  <c r="M17" i="61"/>
  <c r="O17" i="61" s="1"/>
  <c r="Q17" i="58" s="1"/>
  <c r="R17" i="58" s="1"/>
  <c r="M16" i="61"/>
  <c r="M13" i="61"/>
  <c r="O13" i="61" s="1"/>
  <c r="M12" i="61"/>
  <c r="O12" i="61" s="1"/>
  <c r="M11" i="61"/>
  <c r="O11" i="61" s="1"/>
  <c r="AO11" i="5"/>
  <c r="AO68" i="5" s="1"/>
  <c r="A14" i="14"/>
  <c r="A12" i="14"/>
  <c r="A10" i="14"/>
  <c r="A9" i="14"/>
  <c r="A8" i="14"/>
  <c r="A7" i="14"/>
  <c r="A6" i="14"/>
  <c r="A5" i="14"/>
  <c r="B23" i="10"/>
  <c r="B23" i="12"/>
  <c r="C13" i="3"/>
  <c r="Q2" i="14"/>
  <c r="R2" i="14"/>
  <c r="D2" i="14"/>
  <c r="A20" i="14" s="1"/>
  <c r="AL3" i="57"/>
  <c r="AF3" i="57"/>
  <c r="B2" i="14"/>
  <c r="I197" i="69"/>
  <c r="M197" i="69" s="1"/>
  <c r="O197" i="69" s="1"/>
  <c r="U197" i="69" s="1"/>
  <c r="I195" i="69"/>
  <c r="M195" i="69" s="1"/>
  <c r="O195" i="69" s="1"/>
  <c r="U195" i="69" s="1"/>
  <c r="I194" i="69"/>
  <c r="M194" i="69" s="1"/>
  <c r="O194" i="69" s="1"/>
  <c r="I190" i="69"/>
  <c r="M190" i="69"/>
  <c r="O190" i="69" s="1"/>
  <c r="I189" i="69"/>
  <c r="M189" i="69" s="1"/>
  <c r="O189" i="69" s="1"/>
  <c r="U189" i="69" s="1"/>
  <c r="I188" i="69"/>
  <c r="M188" i="69" s="1"/>
  <c r="O188" i="69" s="1"/>
  <c r="I187" i="69"/>
  <c r="M187" i="69" s="1"/>
  <c r="O187" i="69" s="1"/>
  <c r="L279" i="58" s="1"/>
  <c r="M183" i="69"/>
  <c r="O183" i="69" s="1"/>
  <c r="M178" i="69"/>
  <c r="O178" i="69" s="1"/>
  <c r="I177" i="69"/>
  <c r="M177" i="69" s="1"/>
  <c r="O177" i="69" s="1"/>
  <c r="Q177" i="69" s="1"/>
  <c r="I176" i="69"/>
  <c r="M176" i="69" s="1"/>
  <c r="O176" i="69" s="1"/>
  <c r="I175" i="69"/>
  <c r="M175" i="69" s="1"/>
  <c r="O175" i="69" s="1"/>
  <c r="I174" i="69"/>
  <c r="M174" i="69" s="1"/>
  <c r="O174" i="69" s="1"/>
  <c r="I172" i="69"/>
  <c r="M172" i="69" s="1"/>
  <c r="O172" i="69" s="1"/>
  <c r="U172" i="69" s="1"/>
  <c r="I171" i="69"/>
  <c r="M171" i="69" s="1"/>
  <c r="O171" i="69" s="1"/>
  <c r="U171" i="69" s="1"/>
  <c r="I167" i="69"/>
  <c r="M167" i="69" s="1"/>
  <c r="O167" i="69" s="1"/>
  <c r="I156" i="69"/>
  <c r="M156" i="69" s="1"/>
  <c r="O156" i="69" s="1"/>
  <c r="Q156" i="69" s="1"/>
  <c r="P156" i="69" s="1"/>
  <c r="I155" i="69"/>
  <c r="M155" i="69" s="1"/>
  <c r="O155" i="69" s="1"/>
  <c r="I154" i="69"/>
  <c r="M154" i="69" s="1"/>
  <c r="O154" i="69" s="1"/>
  <c r="Q154" i="69" s="1"/>
  <c r="I152" i="69"/>
  <c r="M152" i="69" s="1"/>
  <c r="O152" i="69" s="1"/>
  <c r="I150" i="69"/>
  <c r="M150" i="69" s="1"/>
  <c r="O150" i="69" s="1"/>
  <c r="I149" i="69"/>
  <c r="M149" i="69" s="1"/>
  <c r="O149" i="69" s="1"/>
  <c r="I148" i="69"/>
  <c r="M148" i="69" s="1"/>
  <c r="O148" i="69" s="1"/>
  <c r="I147" i="69"/>
  <c r="M147" i="69" s="1"/>
  <c r="O147" i="69" s="1"/>
  <c r="I146" i="69"/>
  <c r="M146" i="69" s="1"/>
  <c r="O146" i="69" s="1"/>
  <c r="U146" i="69" s="1"/>
  <c r="I145" i="69"/>
  <c r="M145" i="69" s="1"/>
  <c r="O145" i="69" s="1"/>
  <c r="Q145" i="69" s="1"/>
  <c r="I139" i="69"/>
  <c r="M139" i="69" s="1"/>
  <c r="O139" i="69" s="1"/>
  <c r="U139" i="69" s="1"/>
  <c r="J135" i="69"/>
  <c r="O125" i="69"/>
  <c r="O124" i="69"/>
  <c r="L220" i="58"/>
  <c r="I108" i="69"/>
  <c r="M108" i="69"/>
  <c r="O108" i="69" s="1"/>
  <c r="I107" i="69"/>
  <c r="M107" i="69" s="1"/>
  <c r="O107" i="69" s="1"/>
  <c r="I105" i="69"/>
  <c r="M105" i="69" s="1"/>
  <c r="O105" i="69" s="1"/>
  <c r="I104" i="69"/>
  <c r="M104" i="69" s="1"/>
  <c r="O104" i="69" s="1"/>
  <c r="Q104" i="69" s="1"/>
  <c r="I103" i="69"/>
  <c r="M103" i="69" s="1"/>
  <c r="O103" i="69" s="1"/>
  <c r="Q103" i="69" s="1"/>
  <c r="M81" i="69"/>
  <c r="O81" i="69"/>
  <c r="M80" i="69"/>
  <c r="O80" i="69" s="1"/>
  <c r="L156" i="58" s="1"/>
  <c r="I79" i="69"/>
  <c r="M79" i="69" s="1"/>
  <c r="O79" i="69" s="1"/>
  <c r="I78" i="69"/>
  <c r="M78" i="69"/>
  <c r="O78" i="69" s="1"/>
  <c r="I76" i="69"/>
  <c r="M76" i="69" s="1"/>
  <c r="O76" i="69" s="1"/>
  <c r="I74" i="69"/>
  <c r="M74" i="69" s="1"/>
  <c r="O74" i="69" s="1"/>
  <c r="Q74" i="69" s="1"/>
  <c r="P74" i="69" s="1"/>
  <c r="I69" i="69"/>
  <c r="M69" i="69" s="1"/>
  <c r="O69" i="69" s="1"/>
  <c r="Q69" i="69" s="1"/>
  <c r="I67" i="69"/>
  <c r="M67" i="69" s="1"/>
  <c r="O67" i="69" s="1"/>
  <c r="Q67" i="69" s="1"/>
  <c r="I52" i="69"/>
  <c r="M52" i="69" s="1"/>
  <c r="O52" i="69" s="1"/>
  <c r="M32" i="69"/>
  <c r="O32" i="69" s="1"/>
  <c r="L114" i="58" s="1"/>
  <c r="M31" i="69"/>
  <c r="O31" i="69" s="1"/>
  <c r="L113" i="58" s="1"/>
  <c r="N18" i="69"/>
  <c r="N17" i="69"/>
  <c r="N16" i="69"/>
  <c r="N15" i="69"/>
  <c r="I6" i="69"/>
  <c r="E4" i="69"/>
  <c r="I161" i="69" s="1"/>
  <c r="M178" i="68"/>
  <c r="O178" i="68" s="1"/>
  <c r="O270" i="58" s="1"/>
  <c r="N176" i="68"/>
  <c r="N172" i="68"/>
  <c r="N171" i="68"/>
  <c r="J156" i="68"/>
  <c r="O125" i="68"/>
  <c r="O124" i="68"/>
  <c r="M81" i="68"/>
  <c r="O81" i="68" s="1"/>
  <c r="O157" i="58" s="1"/>
  <c r="M80" i="68"/>
  <c r="O80" i="68" s="1"/>
  <c r="O156" i="58" s="1"/>
  <c r="M32" i="68"/>
  <c r="O32" i="68" s="1"/>
  <c r="M31" i="68"/>
  <c r="O31" i="68" s="1"/>
  <c r="O113" i="58" s="1"/>
  <c r="I7" i="68"/>
  <c r="G7" i="68"/>
  <c r="E7" i="68"/>
  <c r="I6" i="68"/>
  <c r="G6" i="68"/>
  <c r="I175" i="68"/>
  <c r="M175" i="68" s="1"/>
  <c r="O175" i="68" s="1"/>
  <c r="G5" i="68"/>
  <c r="I177" i="68" s="1"/>
  <c r="M177" i="68" s="1"/>
  <c r="O177" i="68" s="1"/>
  <c r="G4" i="68"/>
  <c r="I69" i="68" s="1"/>
  <c r="M69" i="68" s="1"/>
  <c r="O69" i="68" s="1"/>
  <c r="E4" i="68"/>
  <c r="I160" i="68" s="1"/>
  <c r="M160" i="68" s="1"/>
  <c r="O160" i="68" s="1"/>
  <c r="M183" i="67"/>
  <c r="O183" i="67" s="1"/>
  <c r="M178" i="67"/>
  <c r="O178" i="67" s="1"/>
  <c r="O125" i="67"/>
  <c r="O124" i="67"/>
  <c r="K220" i="58" s="1"/>
  <c r="M81" i="67"/>
  <c r="O81" i="67" s="1"/>
  <c r="M80" i="67"/>
  <c r="O80" i="67" s="1"/>
  <c r="M32" i="67"/>
  <c r="O32" i="67" s="1"/>
  <c r="K114" i="58" s="1"/>
  <c r="M31" i="67"/>
  <c r="O31" i="67" s="1"/>
  <c r="G7" i="67"/>
  <c r="G6" i="67"/>
  <c r="E6" i="67"/>
  <c r="G5" i="67"/>
  <c r="I79" i="67" s="1"/>
  <c r="M79" i="67" s="1"/>
  <c r="O79" i="67" s="1"/>
  <c r="K155" i="58"/>
  <c r="E5" i="67"/>
  <c r="I27" i="67" s="1"/>
  <c r="M27" i="67" s="1"/>
  <c r="O27" i="67" s="1"/>
  <c r="U27" i="67" s="1"/>
  <c r="G4" i="67"/>
  <c r="I69" i="67" s="1"/>
  <c r="M69" i="67" s="1"/>
  <c r="O69" i="67" s="1"/>
  <c r="E4" i="67"/>
  <c r="G3" i="67"/>
  <c r="AA202" i="66"/>
  <c r="Z202" i="66"/>
  <c r="AA201" i="66"/>
  <c r="Z201" i="66"/>
  <c r="AA200" i="66"/>
  <c r="Z200" i="66"/>
  <c r="AA199" i="66"/>
  <c r="Z199" i="66"/>
  <c r="AA198" i="66"/>
  <c r="Z198" i="66"/>
  <c r="AA197" i="66"/>
  <c r="Z197" i="66"/>
  <c r="AA196" i="66"/>
  <c r="Z196" i="66"/>
  <c r="AA195" i="66"/>
  <c r="Z195" i="66"/>
  <c r="Z194" i="66"/>
  <c r="AA194" i="66"/>
  <c r="AA193" i="66"/>
  <c r="Z193" i="66"/>
  <c r="AA192" i="66"/>
  <c r="Z192" i="66"/>
  <c r="AA191" i="66"/>
  <c r="Z191" i="66"/>
  <c r="AA190" i="66"/>
  <c r="Z190" i="66"/>
  <c r="AA189" i="66"/>
  <c r="Z189" i="66"/>
  <c r="AA188" i="66"/>
  <c r="Z188" i="66"/>
  <c r="AA187" i="66"/>
  <c r="Z187" i="66"/>
  <c r="AA186" i="66"/>
  <c r="Z186" i="66"/>
  <c r="AA185" i="66"/>
  <c r="Z185" i="66"/>
  <c r="AA184" i="66"/>
  <c r="Z184" i="66"/>
  <c r="AA183" i="66"/>
  <c r="Z183" i="66"/>
  <c r="M183" i="66"/>
  <c r="O183" i="66" s="1"/>
  <c r="AA182" i="66"/>
  <c r="Z182" i="66"/>
  <c r="AA181" i="66"/>
  <c r="Z181" i="66"/>
  <c r="AA180" i="66"/>
  <c r="Z180" i="66"/>
  <c r="AA179" i="66"/>
  <c r="Z179" i="66"/>
  <c r="AA178" i="66"/>
  <c r="Z178" i="66"/>
  <c r="M178" i="66"/>
  <c r="O178" i="66" s="1"/>
  <c r="Q178" i="66" s="1"/>
  <c r="AA177" i="66"/>
  <c r="Z177" i="66"/>
  <c r="AA176" i="66"/>
  <c r="Z176" i="66"/>
  <c r="AA175" i="66"/>
  <c r="Z175" i="66"/>
  <c r="AA174" i="66"/>
  <c r="Z174" i="66"/>
  <c r="AA173" i="66"/>
  <c r="Z173" i="66"/>
  <c r="Z172" i="66"/>
  <c r="AA172" i="66"/>
  <c r="Z171" i="66"/>
  <c r="AA171" i="66"/>
  <c r="AA170" i="66"/>
  <c r="Z170" i="66"/>
  <c r="AA169" i="66"/>
  <c r="Z169" i="66"/>
  <c r="AA168" i="66"/>
  <c r="Z168" i="66"/>
  <c r="AA167" i="66"/>
  <c r="Z167" i="66"/>
  <c r="AA166" i="66"/>
  <c r="Z166" i="66"/>
  <c r="AA165" i="66"/>
  <c r="Z165" i="66"/>
  <c r="AA164" i="66"/>
  <c r="Z164" i="66"/>
  <c r="AA163" i="66"/>
  <c r="Z163" i="66"/>
  <c r="AA162" i="66"/>
  <c r="Z162" i="66"/>
  <c r="AA161" i="66"/>
  <c r="Z161" i="66"/>
  <c r="AA160" i="66"/>
  <c r="Z160" i="66"/>
  <c r="AA159" i="66"/>
  <c r="Z159" i="66"/>
  <c r="AA158" i="66"/>
  <c r="Z158" i="66"/>
  <c r="AA157" i="66"/>
  <c r="Z157" i="66"/>
  <c r="AA156" i="66"/>
  <c r="Z156" i="66"/>
  <c r="AA155" i="66"/>
  <c r="Z155" i="66"/>
  <c r="AA154" i="66"/>
  <c r="Z154" i="66"/>
  <c r="H154" i="66"/>
  <c r="AA153" i="66"/>
  <c r="Z153" i="66"/>
  <c r="AA152" i="66"/>
  <c r="Z152" i="66"/>
  <c r="AA151" i="66"/>
  <c r="Z151" i="66"/>
  <c r="AA150" i="66"/>
  <c r="Z150" i="66"/>
  <c r="AA149" i="66"/>
  <c r="Z149" i="66"/>
  <c r="AA148" i="66"/>
  <c r="Z148" i="66"/>
  <c r="AA147" i="66"/>
  <c r="Z147" i="66"/>
  <c r="AA146" i="66"/>
  <c r="Z146" i="66"/>
  <c r="AA145" i="66"/>
  <c r="Z145" i="66"/>
  <c r="AA144" i="66"/>
  <c r="Z144" i="66"/>
  <c r="AA143" i="66"/>
  <c r="Z143" i="66"/>
  <c r="AA142" i="66"/>
  <c r="Z142" i="66"/>
  <c r="H142" i="66"/>
  <c r="AA141" i="66"/>
  <c r="Z141" i="66"/>
  <c r="AA140" i="66"/>
  <c r="Z140" i="66"/>
  <c r="AA139" i="66"/>
  <c r="Z139" i="66"/>
  <c r="H139" i="66"/>
  <c r="AA138" i="66"/>
  <c r="Z138" i="66"/>
  <c r="AA137" i="66"/>
  <c r="Z137" i="66"/>
  <c r="AA136" i="66"/>
  <c r="Z136" i="66"/>
  <c r="AA135" i="66"/>
  <c r="Z135" i="66"/>
  <c r="AA134" i="66"/>
  <c r="Z134" i="66"/>
  <c r="AA133" i="66"/>
  <c r="Z133" i="66"/>
  <c r="AA132" i="66"/>
  <c r="Z132" i="66"/>
  <c r="AA131" i="66"/>
  <c r="Z131" i="66"/>
  <c r="AA130" i="66"/>
  <c r="Z130" i="66"/>
  <c r="AA129" i="66"/>
  <c r="Z129" i="66"/>
  <c r="AA128" i="66"/>
  <c r="Z128" i="66"/>
  <c r="AA127" i="66"/>
  <c r="Z127" i="66"/>
  <c r="AA126" i="66"/>
  <c r="Z126" i="66"/>
  <c r="AA125" i="66"/>
  <c r="Z125" i="66"/>
  <c r="O125" i="66"/>
  <c r="AA124" i="66"/>
  <c r="Z124" i="66"/>
  <c r="O124" i="66"/>
  <c r="AA123" i="66"/>
  <c r="Z123" i="66"/>
  <c r="AA122" i="66"/>
  <c r="Z122" i="66"/>
  <c r="AA121" i="66"/>
  <c r="Z121" i="66"/>
  <c r="AA120" i="66"/>
  <c r="Z120" i="66"/>
  <c r="AA119" i="66"/>
  <c r="Z119" i="66"/>
  <c r="AA118" i="66"/>
  <c r="Z118" i="66"/>
  <c r="AA117" i="66"/>
  <c r="Z117" i="66"/>
  <c r="AA116" i="66"/>
  <c r="Z116" i="66"/>
  <c r="AA115" i="66"/>
  <c r="Z115" i="66"/>
  <c r="AA114" i="66"/>
  <c r="Z114" i="66"/>
  <c r="AA113" i="66"/>
  <c r="Z113" i="66"/>
  <c r="AA112" i="66"/>
  <c r="Z112" i="66"/>
  <c r="AA111" i="66"/>
  <c r="Z111" i="66"/>
  <c r="AA110" i="66"/>
  <c r="Z110" i="66"/>
  <c r="AA109" i="66"/>
  <c r="Z109" i="66"/>
  <c r="AA108" i="66"/>
  <c r="Z108" i="66"/>
  <c r="AA107" i="66"/>
  <c r="Z107" i="66"/>
  <c r="AA106" i="66"/>
  <c r="Z106" i="66"/>
  <c r="AA105" i="66"/>
  <c r="Z105" i="66"/>
  <c r="AA104" i="66"/>
  <c r="Z104" i="66"/>
  <c r="Z103" i="66"/>
  <c r="AA102" i="66"/>
  <c r="Z102" i="66"/>
  <c r="Z101" i="66"/>
  <c r="AA100" i="66"/>
  <c r="Z100" i="66"/>
  <c r="AA99" i="66"/>
  <c r="Z99" i="66"/>
  <c r="AA98" i="66"/>
  <c r="Z98" i="66"/>
  <c r="AA97" i="66"/>
  <c r="Z97" i="66"/>
  <c r="AA96" i="66"/>
  <c r="Z96" i="66"/>
  <c r="AA95" i="66"/>
  <c r="Z95" i="66"/>
  <c r="AA94" i="66"/>
  <c r="Z94" i="66"/>
  <c r="AA93" i="66"/>
  <c r="Z93" i="66"/>
  <c r="AA92" i="66"/>
  <c r="Z92" i="66"/>
  <c r="AA91" i="66"/>
  <c r="Z91" i="66"/>
  <c r="AA90" i="66"/>
  <c r="Z90" i="66"/>
  <c r="AA89" i="66"/>
  <c r="Z89" i="66"/>
  <c r="AA88" i="66"/>
  <c r="Z88" i="66"/>
  <c r="AA87" i="66"/>
  <c r="Z87" i="66"/>
  <c r="AA86" i="66"/>
  <c r="Z86" i="66"/>
  <c r="AA85" i="66"/>
  <c r="Z85" i="66"/>
  <c r="AA84" i="66"/>
  <c r="Z84" i="66"/>
  <c r="AA83" i="66"/>
  <c r="Z83" i="66"/>
  <c r="AA82" i="66"/>
  <c r="Z82" i="66"/>
  <c r="AA81" i="66"/>
  <c r="Z81" i="66"/>
  <c r="M81" i="66"/>
  <c r="O81" i="66" s="1"/>
  <c r="AA80" i="66"/>
  <c r="Z80" i="66"/>
  <c r="M80" i="66"/>
  <c r="O80" i="66"/>
  <c r="AA79" i="66"/>
  <c r="Z79" i="66"/>
  <c r="AA78" i="66"/>
  <c r="Z78" i="66"/>
  <c r="AA77" i="66"/>
  <c r="Z77" i="66"/>
  <c r="AA76" i="66"/>
  <c r="Z76" i="66"/>
  <c r="AA75" i="66"/>
  <c r="Z75" i="66"/>
  <c r="AA74" i="66"/>
  <c r="Z74" i="66"/>
  <c r="AA73" i="66"/>
  <c r="Z73" i="66"/>
  <c r="AA72" i="66"/>
  <c r="Z72" i="66"/>
  <c r="AA71" i="66"/>
  <c r="Z71" i="66"/>
  <c r="AA70" i="66"/>
  <c r="Z70" i="66"/>
  <c r="AA69" i="66"/>
  <c r="Z69" i="66"/>
  <c r="AA68" i="66"/>
  <c r="Z68" i="66"/>
  <c r="AA67" i="66"/>
  <c r="Z67" i="66"/>
  <c r="AA66" i="66"/>
  <c r="Z66" i="66"/>
  <c r="AA65" i="66"/>
  <c r="Z65" i="66"/>
  <c r="AA64" i="66"/>
  <c r="Z64" i="66"/>
  <c r="AA63" i="66"/>
  <c r="Z63" i="66"/>
  <c r="AA62" i="66"/>
  <c r="Z62" i="66"/>
  <c r="AA61" i="66"/>
  <c r="Z61" i="66"/>
  <c r="AA60" i="66"/>
  <c r="Z60" i="66"/>
  <c r="AA59" i="66"/>
  <c r="Z59" i="66"/>
  <c r="AA58" i="66"/>
  <c r="Z58" i="66"/>
  <c r="AA57" i="66"/>
  <c r="Z57" i="66"/>
  <c r="AA56" i="66"/>
  <c r="Z56" i="66"/>
  <c r="AA55" i="66"/>
  <c r="Z55" i="66"/>
  <c r="AA54" i="66"/>
  <c r="Z54" i="66"/>
  <c r="AA53" i="66"/>
  <c r="Z53" i="66"/>
  <c r="AA52" i="66"/>
  <c r="Z52" i="66"/>
  <c r="AA51" i="66"/>
  <c r="Z51" i="66"/>
  <c r="AA50" i="66"/>
  <c r="Z50" i="66"/>
  <c r="AA49" i="66"/>
  <c r="Z49" i="66"/>
  <c r="AA48" i="66"/>
  <c r="Z48" i="66"/>
  <c r="AA47" i="66"/>
  <c r="Z47" i="66"/>
  <c r="AA46" i="66"/>
  <c r="Z46" i="66"/>
  <c r="AA45" i="66"/>
  <c r="Z45" i="66"/>
  <c r="AA44" i="66"/>
  <c r="Z44" i="66"/>
  <c r="AA43" i="66"/>
  <c r="Z43" i="66"/>
  <c r="AA42" i="66"/>
  <c r="Z42" i="66"/>
  <c r="AA41" i="66"/>
  <c r="Z41" i="66"/>
  <c r="AA40" i="66"/>
  <c r="Z40" i="66"/>
  <c r="Z39" i="66"/>
  <c r="AA39" i="66"/>
  <c r="AA38" i="66"/>
  <c r="Z38" i="66"/>
  <c r="AA37" i="66"/>
  <c r="Z37" i="66"/>
  <c r="AA36" i="66"/>
  <c r="Z36" i="66"/>
  <c r="AA35" i="66"/>
  <c r="Z35" i="66"/>
  <c r="AA34" i="66"/>
  <c r="Z34" i="66"/>
  <c r="AA33" i="66"/>
  <c r="Z33" i="66"/>
  <c r="AA32" i="66"/>
  <c r="Z32" i="66"/>
  <c r="M32" i="66"/>
  <c r="O32" i="66" s="1"/>
  <c r="AA31" i="66"/>
  <c r="Z31" i="66"/>
  <c r="M31" i="66"/>
  <c r="O31" i="66" s="1"/>
  <c r="AA30" i="66"/>
  <c r="Z30" i="66"/>
  <c r="AA29" i="66"/>
  <c r="Z29" i="66"/>
  <c r="AA28" i="66"/>
  <c r="Z28" i="66"/>
  <c r="AA27" i="66"/>
  <c r="Z27" i="66"/>
  <c r="AA26" i="66"/>
  <c r="Z26" i="66"/>
  <c r="AA25" i="66"/>
  <c r="Z25" i="66"/>
  <c r="AA24" i="66"/>
  <c r="Z24" i="66"/>
  <c r="AA23" i="66"/>
  <c r="Z23" i="66"/>
  <c r="AA22" i="66"/>
  <c r="Z22" i="66"/>
  <c r="AA21" i="66"/>
  <c r="Z21" i="66"/>
  <c r="AA20" i="66"/>
  <c r="Z20" i="66"/>
  <c r="AA19" i="66"/>
  <c r="Z19" i="66"/>
  <c r="AA18" i="66"/>
  <c r="Z18" i="66"/>
  <c r="AA17" i="66"/>
  <c r="Z17" i="66"/>
  <c r="AA16" i="66"/>
  <c r="Z16" i="66"/>
  <c r="AA15" i="66"/>
  <c r="Z15" i="66"/>
  <c r="AA14" i="66"/>
  <c r="Z14" i="66"/>
  <c r="AA13" i="66"/>
  <c r="Z13" i="66"/>
  <c r="I7" i="66"/>
  <c r="G7" i="66"/>
  <c r="I6" i="66"/>
  <c r="G6" i="66"/>
  <c r="I146" i="66" s="1"/>
  <c r="M146" i="66" s="1"/>
  <c r="O146" i="66" s="1"/>
  <c r="I5" i="66"/>
  <c r="G5" i="66"/>
  <c r="E5" i="66"/>
  <c r="I137" i="66" s="1"/>
  <c r="M137" i="66" s="1"/>
  <c r="O137" i="66" s="1"/>
  <c r="G4" i="66"/>
  <c r="I69" i="66" s="1"/>
  <c r="M69" i="66" s="1"/>
  <c r="O69" i="66" s="1"/>
  <c r="E4" i="66"/>
  <c r="I13" i="66" s="1"/>
  <c r="M13" i="66" s="1"/>
  <c r="O13" i="66" s="1"/>
  <c r="P99" i="58" s="1"/>
  <c r="AA202" i="65"/>
  <c r="Z202" i="65"/>
  <c r="AA201" i="65"/>
  <c r="Z201" i="65"/>
  <c r="AA200" i="65"/>
  <c r="Z200" i="65"/>
  <c r="AA199" i="65"/>
  <c r="Z199" i="65"/>
  <c r="AA198" i="65"/>
  <c r="Z198" i="65"/>
  <c r="AA197" i="65"/>
  <c r="Z197" i="65"/>
  <c r="AA196" i="65"/>
  <c r="Z196" i="65"/>
  <c r="AA195" i="65"/>
  <c r="Z195" i="65"/>
  <c r="AA194" i="65"/>
  <c r="Z194" i="65"/>
  <c r="AA193" i="65"/>
  <c r="Z193" i="65"/>
  <c r="AA192" i="65"/>
  <c r="Z192" i="65"/>
  <c r="AA191" i="65"/>
  <c r="Z191" i="65"/>
  <c r="AA190" i="65"/>
  <c r="Z190" i="65"/>
  <c r="AA189" i="65"/>
  <c r="Z189" i="65"/>
  <c r="AA188" i="65"/>
  <c r="Z188" i="65"/>
  <c r="AA187" i="65"/>
  <c r="Z187" i="65"/>
  <c r="AA186" i="65"/>
  <c r="Z186" i="65"/>
  <c r="AA185" i="65"/>
  <c r="Z185" i="65"/>
  <c r="AA184" i="65"/>
  <c r="Z184" i="65"/>
  <c r="AA183" i="65"/>
  <c r="Z183" i="65"/>
  <c r="M183" i="65"/>
  <c r="O183" i="65" s="1"/>
  <c r="AA182" i="65"/>
  <c r="Z182" i="65"/>
  <c r="AA181" i="65"/>
  <c r="Z181" i="65"/>
  <c r="AA180" i="65"/>
  <c r="Z180" i="65"/>
  <c r="AA179" i="65"/>
  <c r="Z179" i="65"/>
  <c r="AA178" i="65"/>
  <c r="Z178" i="65"/>
  <c r="M178" i="65"/>
  <c r="O178" i="65" s="1"/>
  <c r="Q178" i="65" s="1"/>
  <c r="P178" i="65" s="1"/>
  <c r="AA177" i="65"/>
  <c r="Z177" i="65"/>
  <c r="AA176" i="65"/>
  <c r="Z176" i="65"/>
  <c r="AA175" i="65"/>
  <c r="Z175" i="65"/>
  <c r="AA174" i="65"/>
  <c r="Z174" i="65"/>
  <c r="AA173" i="65"/>
  <c r="Z173" i="65"/>
  <c r="AA172" i="65"/>
  <c r="Z172" i="65"/>
  <c r="AA171" i="65"/>
  <c r="Z171" i="65"/>
  <c r="AA170" i="65"/>
  <c r="Z170" i="65"/>
  <c r="AA169" i="65"/>
  <c r="Z169" i="65"/>
  <c r="AA168" i="65"/>
  <c r="Z168" i="65"/>
  <c r="AA167" i="65"/>
  <c r="Z167" i="65"/>
  <c r="AA166" i="65"/>
  <c r="Z166" i="65"/>
  <c r="AA165" i="65"/>
  <c r="Z165" i="65"/>
  <c r="AA164" i="65"/>
  <c r="Z164" i="65"/>
  <c r="AA163" i="65"/>
  <c r="Z163" i="65"/>
  <c r="AA162" i="65"/>
  <c r="Z162" i="65"/>
  <c r="AA161" i="65"/>
  <c r="Z161" i="65"/>
  <c r="AA160" i="65"/>
  <c r="Z160" i="65"/>
  <c r="AA159" i="65"/>
  <c r="Z159" i="65"/>
  <c r="AA158" i="65"/>
  <c r="Z158" i="65"/>
  <c r="AA157" i="65"/>
  <c r="Z157" i="65"/>
  <c r="AA156" i="65"/>
  <c r="Z156" i="65"/>
  <c r="AA155" i="65"/>
  <c r="Z155" i="65"/>
  <c r="AA154" i="65"/>
  <c r="Z154" i="65"/>
  <c r="AA153" i="65"/>
  <c r="Z153" i="65"/>
  <c r="AA152" i="65"/>
  <c r="Z152" i="65"/>
  <c r="AA151" i="65"/>
  <c r="Z151" i="65"/>
  <c r="AA150" i="65"/>
  <c r="Z150" i="65"/>
  <c r="AA149" i="65"/>
  <c r="Z149" i="65"/>
  <c r="AA148" i="65"/>
  <c r="Z148" i="65"/>
  <c r="AA147" i="65"/>
  <c r="Z147" i="65"/>
  <c r="AA146" i="65"/>
  <c r="Z146" i="65"/>
  <c r="AA145" i="65"/>
  <c r="Z145" i="65"/>
  <c r="AA144" i="65"/>
  <c r="Z144" i="65"/>
  <c r="AA143" i="65"/>
  <c r="Z143" i="65"/>
  <c r="AA142" i="65"/>
  <c r="Z142" i="65"/>
  <c r="AA141" i="65"/>
  <c r="Z141" i="65"/>
  <c r="AA140" i="65"/>
  <c r="Z140" i="65"/>
  <c r="AA139" i="65"/>
  <c r="Z139" i="65"/>
  <c r="AA138" i="65"/>
  <c r="Z138" i="65"/>
  <c r="AA137" i="65"/>
  <c r="Z137" i="65"/>
  <c r="AA136" i="65"/>
  <c r="Z136" i="65"/>
  <c r="AA135" i="65"/>
  <c r="Z135" i="65"/>
  <c r="O135" i="65"/>
  <c r="M227" i="58"/>
  <c r="AA134" i="65"/>
  <c r="Z134" i="65"/>
  <c r="AA133" i="65"/>
  <c r="Z133" i="65"/>
  <c r="AA132" i="65"/>
  <c r="Z132" i="65"/>
  <c r="AA131" i="65"/>
  <c r="Z131" i="65"/>
  <c r="AA130" i="65"/>
  <c r="Z130" i="65"/>
  <c r="AA129" i="65"/>
  <c r="Z129" i="65"/>
  <c r="AA128" i="65"/>
  <c r="Z128" i="65"/>
  <c r="AA127" i="65"/>
  <c r="Z127" i="65"/>
  <c r="AA126" i="65"/>
  <c r="Z126" i="65"/>
  <c r="AA125" i="65"/>
  <c r="Z125" i="65"/>
  <c r="O125" i="65"/>
  <c r="Q125" i="65" s="1"/>
  <c r="AA124" i="65"/>
  <c r="Z124" i="65"/>
  <c r="O124" i="65"/>
  <c r="AA123" i="65"/>
  <c r="Z123" i="65"/>
  <c r="AA122" i="65"/>
  <c r="Z122" i="65"/>
  <c r="AA121" i="65"/>
  <c r="Z121" i="65"/>
  <c r="AA120" i="65"/>
  <c r="Z120" i="65"/>
  <c r="AA119" i="65"/>
  <c r="Z119" i="65"/>
  <c r="AA118" i="65"/>
  <c r="Z118" i="65"/>
  <c r="AA117" i="65"/>
  <c r="Z117" i="65"/>
  <c r="AA116" i="65"/>
  <c r="Z116" i="65"/>
  <c r="AA115" i="65"/>
  <c r="Z115" i="65"/>
  <c r="AA114" i="65"/>
  <c r="Z114" i="65"/>
  <c r="AA113" i="65"/>
  <c r="Z113" i="65"/>
  <c r="AA112" i="65"/>
  <c r="Z112" i="65"/>
  <c r="AA111" i="65"/>
  <c r="Z111" i="65"/>
  <c r="AA110" i="65"/>
  <c r="Z110" i="65"/>
  <c r="AA109" i="65"/>
  <c r="Z109" i="65"/>
  <c r="AA108" i="65"/>
  <c r="Z108" i="65"/>
  <c r="AA107" i="65"/>
  <c r="Z107" i="65"/>
  <c r="AA106" i="65"/>
  <c r="Z106" i="65"/>
  <c r="AA105" i="65"/>
  <c r="Z105" i="65"/>
  <c r="AA104" i="65"/>
  <c r="Z104" i="65"/>
  <c r="AA103" i="65"/>
  <c r="Z103" i="65"/>
  <c r="AA102" i="65"/>
  <c r="Z102" i="65"/>
  <c r="AA101" i="65"/>
  <c r="Z101" i="65"/>
  <c r="AA100" i="65"/>
  <c r="Z100" i="65"/>
  <c r="AA99" i="65"/>
  <c r="Z99" i="65"/>
  <c r="AA98" i="65"/>
  <c r="Z98" i="65"/>
  <c r="AA97" i="65"/>
  <c r="Z97" i="65"/>
  <c r="AA96" i="65"/>
  <c r="Z96" i="65"/>
  <c r="AA95" i="65"/>
  <c r="Z95" i="65"/>
  <c r="AA94" i="65"/>
  <c r="Z94" i="65"/>
  <c r="AA93" i="65"/>
  <c r="Z93" i="65"/>
  <c r="AA92" i="65"/>
  <c r="Z92" i="65"/>
  <c r="AA91" i="65"/>
  <c r="Z91" i="65"/>
  <c r="AA90" i="65"/>
  <c r="Z90" i="65"/>
  <c r="AA89" i="65"/>
  <c r="Z89" i="65"/>
  <c r="AA88" i="65"/>
  <c r="Z88" i="65"/>
  <c r="AA87" i="65"/>
  <c r="Z87" i="65"/>
  <c r="AA86" i="65"/>
  <c r="Z86" i="65"/>
  <c r="AA85" i="65"/>
  <c r="Z85" i="65"/>
  <c r="AA84" i="65"/>
  <c r="Z84" i="65"/>
  <c r="AA83" i="65"/>
  <c r="Z83" i="65"/>
  <c r="AA82" i="65"/>
  <c r="Z82" i="65"/>
  <c r="AA81" i="65"/>
  <c r="Z81" i="65"/>
  <c r="M81" i="65"/>
  <c r="O81" i="65" s="1"/>
  <c r="AA80" i="65"/>
  <c r="Z80" i="65"/>
  <c r="M80" i="65"/>
  <c r="O80" i="65" s="1"/>
  <c r="AA79" i="65"/>
  <c r="Z79" i="65"/>
  <c r="AA78" i="65"/>
  <c r="Z78" i="65"/>
  <c r="AA77" i="65"/>
  <c r="Z77" i="65"/>
  <c r="AA76" i="65"/>
  <c r="Z76" i="65"/>
  <c r="AA75" i="65"/>
  <c r="Z75" i="65"/>
  <c r="AA74" i="65"/>
  <c r="Z74" i="65"/>
  <c r="AA73" i="65"/>
  <c r="Z73" i="65"/>
  <c r="AA72" i="65"/>
  <c r="Z72" i="65"/>
  <c r="AA71" i="65"/>
  <c r="Z71" i="65"/>
  <c r="AA70" i="65"/>
  <c r="Z70" i="65"/>
  <c r="AA69" i="65"/>
  <c r="Z69" i="65"/>
  <c r="AA68" i="65"/>
  <c r="Z68" i="65"/>
  <c r="AA67" i="65"/>
  <c r="Z67" i="65"/>
  <c r="AA66" i="65"/>
  <c r="Z66" i="65"/>
  <c r="AA65" i="65"/>
  <c r="Z65" i="65"/>
  <c r="AA64" i="65"/>
  <c r="Z64" i="65"/>
  <c r="AA63" i="65"/>
  <c r="Z63" i="65"/>
  <c r="AA62" i="65"/>
  <c r="Z62" i="65"/>
  <c r="AA61" i="65"/>
  <c r="Z61" i="65"/>
  <c r="AA60" i="65"/>
  <c r="Z60" i="65"/>
  <c r="AA59" i="65"/>
  <c r="Z59" i="65"/>
  <c r="AA58" i="65"/>
  <c r="Z58" i="65"/>
  <c r="AA57" i="65"/>
  <c r="Z57" i="65"/>
  <c r="AA56" i="65"/>
  <c r="Z56" i="65"/>
  <c r="AA55" i="65"/>
  <c r="Z55" i="65"/>
  <c r="AA54" i="65"/>
  <c r="Z54" i="65"/>
  <c r="AA53" i="65"/>
  <c r="Z53" i="65"/>
  <c r="AA52" i="65"/>
  <c r="Z52" i="65"/>
  <c r="AA51" i="65"/>
  <c r="Z51" i="65"/>
  <c r="AA50" i="65"/>
  <c r="Z50" i="65"/>
  <c r="AA49" i="65"/>
  <c r="Z49" i="65"/>
  <c r="AA48" i="65"/>
  <c r="Z48" i="65"/>
  <c r="AA47" i="65"/>
  <c r="Z47" i="65"/>
  <c r="AA46" i="65"/>
  <c r="Z46" i="65"/>
  <c r="AA45" i="65"/>
  <c r="Z45" i="65"/>
  <c r="AA44" i="65"/>
  <c r="Z44" i="65"/>
  <c r="AA43" i="65"/>
  <c r="Z43" i="65"/>
  <c r="AA42" i="65"/>
  <c r="Z42" i="65"/>
  <c r="AA41" i="65"/>
  <c r="Z41" i="65"/>
  <c r="AA40" i="65"/>
  <c r="Z40" i="65"/>
  <c r="AA39" i="65"/>
  <c r="Z39" i="65"/>
  <c r="AA38" i="65"/>
  <c r="Z38" i="65"/>
  <c r="AA37" i="65"/>
  <c r="Z37" i="65"/>
  <c r="AA36" i="65"/>
  <c r="Z36" i="65"/>
  <c r="AA35" i="65"/>
  <c r="Z35" i="65"/>
  <c r="AA34" i="65"/>
  <c r="Z34" i="65"/>
  <c r="AA33" i="65"/>
  <c r="Z33" i="65"/>
  <c r="AA32" i="65"/>
  <c r="Z32" i="65"/>
  <c r="M32" i="65"/>
  <c r="O32" i="65" s="1"/>
  <c r="AA31" i="65"/>
  <c r="Z31" i="65"/>
  <c r="M31" i="65"/>
  <c r="O31" i="65" s="1"/>
  <c r="Z30" i="65"/>
  <c r="N30" i="65"/>
  <c r="AA30" i="65" s="1"/>
  <c r="Z29" i="65"/>
  <c r="N29" i="65"/>
  <c r="AA29" i="65" s="1"/>
  <c r="N28" i="65"/>
  <c r="AA28" i="65" s="1"/>
  <c r="J28" i="65"/>
  <c r="Z28" i="65" s="1"/>
  <c r="AA27" i="65"/>
  <c r="Z27" i="65"/>
  <c r="Z26" i="65"/>
  <c r="N26" i="65"/>
  <c r="AA26" i="65" s="1"/>
  <c r="AA25" i="65"/>
  <c r="Z25" i="65"/>
  <c r="AA24" i="65"/>
  <c r="Z24" i="65"/>
  <c r="AA23" i="65"/>
  <c r="Z23" i="65"/>
  <c r="AA22" i="65"/>
  <c r="Z22" i="65"/>
  <c r="Z21" i="65"/>
  <c r="N21" i="65"/>
  <c r="AA21" i="65" s="1"/>
  <c r="Z20" i="65"/>
  <c r="N20" i="65"/>
  <c r="AA20" i="65" s="1"/>
  <c r="AA19" i="65"/>
  <c r="Z19" i="65"/>
  <c r="Z18" i="65"/>
  <c r="N18" i="65"/>
  <c r="AA18" i="65" s="1"/>
  <c r="Z17" i="65"/>
  <c r="N17" i="65"/>
  <c r="AA17" i="65" s="1"/>
  <c r="Z16" i="65"/>
  <c r="N16" i="65"/>
  <c r="AA16" i="65" s="1"/>
  <c r="Z15" i="65"/>
  <c r="N15" i="65"/>
  <c r="AA15" i="65" s="1"/>
  <c r="AA14" i="65"/>
  <c r="Z14" i="65"/>
  <c r="Z13" i="65"/>
  <c r="G7" i="65"/>
  <c r="G6" i="65"/>
  <c r="E6" i="65"/>
  <c r="G5" i="65"/>
  <c r="I78" i="65" s="1"/>
  <c r="M78" i="65" s="1"/>
  <c r="O78" i="65" s="1"/>
  <c r="E5" i="65"/>
  <c r="I43" i="65" s="1"/>
  <c r="M43" i="65" s="1"/>
  <c r="O43" i="65" s="1"/>
  <c r="G4" i="65"/>
  <c r="I69" i="65" s="1"/>
  <c r="M69" i="65" s="1"/>
  <c r="O69" i="65" s="1"/>
  <c r="E4" i="65"/>
  <c r="I151" i="65" s="1"/>
  <c r="M151" i="65" s="1"/>
  <c r="O151" i="65" s="1"/>
  <c r="M178" i="64"/>
  <c r="O178" i="64" s="1"/>
  <c r="J142" i="64"/>
  <c r="O125" i="64"/>
  <c r="O124" i="64"/>
  <c r="M81" i="64"/>
  <c r="O81" i="64" s="1"/>
  <c r="Q81" i="64" s="1"/>
  <c r="M80" i="64"/>
  <c r="O80" i="64" s="1"/>
  <c r="M32" i="64"/>
  <c r="O32" i="64"/>
  <c r="J114" i="58" s="1"/>
  <c r="M31" i="64"/>
  <c r="O31" i="64" s="1"/>
  <c r="J28" i="64"/>
  <c r="J27" i="64"/>
  <c r="J17" i="64"/>
  <c r="J16" i="64"/>
  <c r="J15" i="64"/>
  <c r="N13" i="65"/>
  <c r="AA13" i="65" s="1"/>
  <c r="I7" i="64"/>
  <c r="G7" i="64"/>
  <c r="I189" i="64" s="1"/>
  <c r="M189" i="64" s="1"/>
  <c r="O189" i="64" s="1"/>
  <c r="I6" i="64"/>
  <c r="G6" i="64"/>
  <c r="I5" i="64"/>
  <c r="G5" i="64"/>
  <c r="I154" i="64" s="1"/>
  <c r="M154" i="64" s="1"/>
  <c r="O154" i="64" s="1"/>
  <c r="G4" i="64"/>
  <c r="I69" i="64" s="1"/>
  <c r="M69" i="64" s="1"/>
  <c r="O69" i="64" s="1"/>
  <c r="E4" i="64"/>
  <c r="I30" i="64" s="1"/>
  <c r="M30" i="64" s="1"/>
  <c r="O30" i="64" s="1"/>
  <c r="T214" i="63"/>
  <c r="P213" i="63"/>
  <c r="P218" i="63" s="1"/>
  <c r="AA209" i="63"/>
  <c r="I203" i="63"/>
  <c r="M203" i="63" s="1"/>
  <c r="O203" i="63" s="1"/>
  <c r="I201" i="63"/>
  <c r="M201" i="63" s="1"/>
  <c r="O201" i="63" s="1"/>
  <c r="I200" i="63"/>
  <c r="M200" i="63" s="1"/>
  <c r="O200" i="63" s="1"/>
  <c r="I196" i="63"/>
  <c r="M196" i="63" s="1"/>
  <c r="O196" i="63" s="1"/>
  <c r="Q196" i="63" s="1"/>
  <c r="I195" i="63"/>
  <c r="M195" i="63"/>
  <c r="O195" i="63" s="1"/>
  <c r="I194" i="63"/>
  <c r="M194" i="63"/>
  <c r="O194" i="63" s="1"/>
  <c r="N280" i="58" s="1"/>
  <c r="I193" i="63"/>
  <c r="M193" i="63" s="1"/>
  <c r="O193" i="63" s="1"/>
  <c r="M184" i="63"/>
  <c r="O184" i="63" s="1"/>
  <c r="N270" i="58" s="1"/>
  <c r="I183" i="63"/>
  <c r="M183" i="63" s="1"/>
  <c r="O183" i="63" s="1"/>
  <c r="I180" i="63"/>
  <c r="M180" i="63" s="1"/>
  <c r="O180" i="63" s="1"/>
  <c r="N266" i="58" s="1"/>
  <c r="I178" i="63"/>
  <c r="M178" i="63" s="1"/>
  <c r="O178" i="63" s="1"/>
  <c r="I177" i="63"/>
  <c r="M177" i="63" s="1"/>
  <c r="O177" i="63" s="1"/>
  <c r="I173" i="63"/>
  <c r="M173" i="63"/>
  <c r="O173" i="63" s="1"/>
  <c r="U173" i="63" s="1"/>
  <c r="I161" i="63"/>
  <c r="M161" i="63" s="1"/>
  <c r="O161" i="63" s="1"/>
  <c r="N247" i="58" s="1"/>
  <c r="I160" i="63"/>
  <c r="M160" i="63" s="1"/>
  <c r="O160" i="63" s="1"/>
  <c r="I158" i="63"/>
  <c r="M158" i="63" s="1"/>
  <c r="O158" i="63" s="1"/>
  <c r="I156" i="63"/>
  <c r="M156" i="63" s="1"/>
  <c r="O156" i="63" s="1"/>
  <c r="I155" i="63"/>
  <c r="M155" i="63" s="1"/>
  <c r="O155" i="63" s="1"/>
  <c r="N241" i="58" s="1"/>
  <c r="I154" i="63"/>
  <c r="M154" i="63" s="1"/>
  <c r="O154" i="63" s="1"/>
  <c r="Q154" i="63" s="1"/>
  <c r="I153" i="63"/>
  <c r="M153" i="63" s="1"/>
  <c r="O153" i="63" s="1"/>
  <c r="Q153" i="63" s="1"/>
  <c r="I152" i="63"/>
  <c r="M152" i="63" s="1"/>
  <c r="O152" i="63" s="1"/>
  <c r="I151" i="63"/>
  <c r="M151" i="63" s="1"/>
  <c r="O151" i="63" s="1"/>
  <c r="O131" i="63"/>
  <c r="Q131" i="63" s="1"/>
  <c r="O130" i="63"/>
  <c r="N220" i="58" s="1"/>
  <c r="I114" i="63"/>
  <c r="M114" i="63"/>
  <c r="O114" i="63" s="1"/>
  <c r="I113" i="63"/>
  <c r="M113" i="63" s="1"/>
  <c r="O113" i="63" s="1"/>
  <c r="N203" i="58" s="1"/>
  <c r="I111" i="63"/>
  <c r="M111" i="63" s="1"/>
  <c r="O111" i="63" s="1"/>
  <c r="N201" i="58" s="1"/>
  <c r="I110" i="63"/>
  <c r="M110" i="63" s="1"/>
  <c r="O110" i="63" s="1"/>
  <c r="I109" i="63"/>
  <c r="M109" i="63" s="1"/>
  <c r="O109" i="63" s="1"/>
  <c r="M87" i="63"/>
  <c r="O87" i="63" s="1"/>
  <c r="M86" i="63"/>
  <c r="O86" i="63" s="1"/>
  <c r="Q86" i="63" s="1"/>
  <c r="I85" i="63"/>
  <c r="M85" i="63" s="1"/>
  <c r="O85" i="63" s="1"/>
  <c r="I84" i="63"/>
  <c r="M84" i="63" s="1"/>
  <c r="O84" i="63" s="1"/>
  <c r="I82" i="63"/>
  <c r="M82" i="63" s="1"/>
  <c r="O82" i="63" s="1"/>
  <c r="I80" i="63"/>
  <c r="M80" i="63"/>
  <c r="O80" i="63" s="1"/>
  <c r="I75" i="63"/>
  <c r="M75" i="63" s="1"/>
  <c r="O75" i="63" s="1"/>
  <c r="I73" i="63"/>
  <c r="M73" i="63" s="1"/>
  <c r="O73" i="63" s="1"/>
  <c r="I58" i="63"/>
  <c r="M58" i="63" s="1"/>
  <c r="O58" i="63" s="1"/>
  <c r="N132" i="58" s="1"/>
  <c r="M16" i="63"/>
  <c r="O16" i="63" s="1"/>
  <c r="Q16" i="63" s="1"/>
  <c r="I14" i="63"/>
  <c r="M14" i="63" s="1"/>
  <c r="O14" i="63" s="1"/>
  <c r="E6" i="63"/>
  <c r="E5" i="63"/>
  <c r="E4" i="63"/>
  <c r="T214" i="62"/>
  <c r="P213" i="62"/>
  <c r="P218" i="62" s="1"/>
  <c r="I203" i="62"/>
  <c r="M203" i="62" s="1"/>
  <c r="O203" i="62" s="1"/>
  <c r="I201" i="62"/>
  <c r="M201" i="62" s="1"/>
  <c r="O201" i="62" s="1"/>
  <c r="I200" i="62"/>
  <c r="M200" i="62" s="1"/>
  <c r="O200" i="62" s="1"/>
  <c r="Q200" i="62" s="1"/>
  <c r="I196" i="62"/>
  <c r="M196" i="62" s="1"/>
  <c r="O196" i="62" s="1"/>
  <c r="I195" i="62"/>
  <c r="M195" i="62" s="1"/>
  <c r="O195" i="62" s="1"/>
  <c r="Q195" i="62" s="1"/>
  <c r="P195" i="62" s="1"/>
  <c r="I194" i="62"/>
  <c r="M194" i="62" s="1"/>
  <c r="O194" i="62" s="1"/>
  <c r="Q194" i="62" s="1"/>
  <c r="P194" i="62" s="1"/>
  <c r="I193" i="62"/>
  <c r="M193" i="62" s="1"/>
  <c r="O193" i="62" s="1"/>
  <c r="M184" i="62"/>
  <c r="O184" i="62" s="1"/>
  <c r="I183" i="62"/>
  <c r="M183" i="62" s="1"/>
  <c r="O183" i="62" s="1"/>
  <c r="H269" i="58" s="1"/>
  <c r="I180" i="62"/>
  <c r="M180" i="62" s="1"/>
  <c r="O180" i="62" s="1"/>
  <c r="I178" i="62"/>
  <c r="M178" i="62" s="1"/>
  <c r="O178" i="62" s="1"/>
  <c r="X178" i="63" s="1"/>
  <c r="I177" i="62"/>
  <c r="M177" i="62" s="1"/>
  <c r="O177" i="62" s="1"/>
  <c r="I173" i="62"/>
  <c r="M173" i="62" s="1"/>
  <c r="O173" i="62" s="1"/>
  <c r="I161" i="62"/>
  <c r="M161" i="62" s="1"/>
  <c r="O161" i="62" s="1"/>
  <c r="X161" i="63" s="1"/>
  <c r="I160" i="62"/>
  <c r="M160" i="62"/>
  <c r="O160" i="62" s="1"/>
  <c r="H246" i="58" s="1"/>
  <c r="I158" i="62"/>
  <c r="M158" i="62" s="1"/>
  <c r="O158" i="62" s="1"/>
  <c r="I156" i="62"/>
  <c r="M156" i="62" s="1"/>
  <c r="O156" i="62" s="1"/>
  <c r="Q156" i="62" s="1"/>
  <c r="I155" i="62"/>
  <c r="M155" i="62" s="1"/>
  <c r="O155" i="62" s="1"/>
  <c r="H241" i="58" s="1"/>
  <c r="I154" i="62"/>
  <c r="M154" i="62" s="1"/>
  <c r="O154" i="62" s="1"/>
  <c r="X154" i="63" s="1"/>
  <c r="I153" i="62"/>
  <c r="M153" i="62" s="1"/>
  <c r="O153" i="62" s="1"/>
  <c r="I152" i="62"/>
  <c r="M152" i="62" s="1"/>
  <c r="O152" i="62" s="1"/>
  <c r="M151" i="62"/>
  <c r="O151" i="62" s="1"/>
  <c r="X151" i="63" s="1"/>
  <c r="O131" i="62"/>
  <c r="O130" i="62"/>
  <c r="I114" i="62"/>
  <c r="M114" i="62" s="1"/>
  <c r="O114" i="62" s="1"/>
  <c r="I113" i="62"/>
  <c r="M113" i="62" s="1"/>
  <c r="O113" i="62" s="1"/>
  <c r="H203" i="58" s="1"/>
  <c r="I111" i="62"/>
  <c r="M111" i="62" s="1"/>
  <c r="O111" i="62" s="1"/>
  <c r="H201" i="58" s="1"/>
  <c r="I110" i="62"/>
  <c r="M110" i="62" s="1"/>
  <c r="O110" i="62" s="1"/>
  <c r="Q110" i="62" s="1"/>
  <c r="I109" i="62"/>
  <c r="M109" i="62" s="1"/>
  <c r="O109" i="62" s="1"/>
  <c r="M87" i="62"/>
  <c r="O87" i="62" s="1"/>
  <c r="M86" i="62"/>
  <c r="O86" i="62"/>
  <c r="I85" i="62"/>
  <c r="M85" i="62" s="1"/>
  <c r="O85" i="62" s="1"/>
  <c r="I84" i="62"/>
  <c r="M84" i="62" s="1"/>
  <c r="O84" i="62" s="1"/>
  <c r="I82" i="62"/>
  <c r="M82" i="62" s="1"/>
  <c r="O82" i="62" s="1"/>
  <c r="H152" i="58" s="1"/>
  <c r="I80" i="62"/>
  <c r="M80" i="62" s="1"/>
  <c r="O80" i="62" s="1"/>
  <c r="I75" i="62"/>
  <c r="M75" i="62" s="1"/>
  <c r="O75" i="62" s="1"/>
  <c r="I73" i="62"/>
  <c r="M73" i="62" s="1"/>
  <c r="O73" i="62" s="1"/>
  <c r="I58" i="62"/>
  <c r="M58" i="62" s="1"/>
  <c r="O58" i="62" s="1"/>
  <c r="M16" i="62"/>
  <c r="O16" i="62" s="1"/>
  <c r="I14" i="62"/>
  <c r="M14" i="62" s="1"/>
  <c r="O14" i="62" s="1"/>
  <c r="H79" i="58" s="1"/>
  <c r="W89" i="61"/>
  <c r="V89" i="61"/>
  <c r="U89" i="61"/>
  <c r="S89" i="61"/>
  <c r="Q89" i="61"/>
  <c r="I87" i="61"/>
  <c r="M87" i="61" s="1"/>
  <c r="O87" i="61" s="1"/>
  <c r="W83" i="61"/>
  <c r="V83" i="61"/>
  <c r="U83" i="61"/>
  <c r="S83" i="61"/>
  <c r="Q83" i="61"/>
  <c r="U75" i="61"/>
  <c r="W75" i="61" s="1"/>
  <c r="V75" i="61" s="1"/>
  <c r="S59" i="58"/>
  <c r="R59" i="61"/>
  <c r="O26" i="61"/>
  <c r="Q26" i="58" s="1"/>
  <c r="R26" i="58" s="1"/>
  <c r="O20" i="61"/>
  <c r="Q20" i="58" s="1"/>
  <c r="R20" i="58" s="1"/>
  <c r="O19" i="61"/>
  <c r="O16" i="61"/>
  <c r="Q16" i="58" s="1"/>
  <c r="R16" i="58" s="1"/>
  <c r="B67" i="60"/>
  <c r="B66" i="60"/>
  <c r="J65" i="60"/>
  <c r="H65" i="60"/>
  <c r="F65" i="60"/>
  <c r="D65" i="60"/>
  <c r="J62" i="60"/>
  <c r="H62" i="60"/>
  <c r="F62" i="60"/>
  <c r="D62" i="60"/>
  <c r="B61" i="60"/>
  <c r="D60" i="60"/>
  <c r="E60" i="60" s="1"/>
  <c r="B60" i="60"/>
  <c r="B59" i="60"/>
  <c r="B58" i="60"/>
  <c r="F57" i="60"/>
  <c r="D49" i="60"/>
  <c r="C46" i="60"/>
  <c r="C49" i="60" s="1"/>
  <c r="M30" i="60"/>
  <c r="M29" i="60"/>
  <c r="M27" i="60"/>
  <c r="M26" i="60"/>
  <c r="M25" i="60"/>
  <c r="M24" i="60"/>
  <c r="M23" i="60"/>
  <c r="M22" i="60"/>
  <c r="I21" i="60"/>
  <c r="J21" i="60" s="1"/>
  <c r="M21" i="60" s="1"/>
  <c r="M20" i="60"/>
  <c r="M19" i="60"/>
  <c r="P15" i="60"/>
  <c r="S355" i="58"/>
  <c r="S354" i="58"/>
  <c r="S353" i="58"/>
  <c r="S352" i="58"/>
  <c r="P351" i="58"/>
  <c r="O351" i="58"/>
  <c r="N351" i="58"/>
  <c r="M351" i="58"/>
  <c r="L351" i="58"/>
  <c r="K351" i="58"/>
  <c r="J351" i="58"/>
  <c r="H351" i="58"/>
  <c r="S350" i="58"/>
  <c r="S349" i="58"/>
  <c r="S348" i="58"/>
  <c r="S347" i="58"/>
  <c r="S346" i="58"/>
  <c r="S345" i="58"/>
  <c r="S343" i="58"/>
  <c r="S341" i="58"/>
  <c r="S340" i="58"/>
  <c r="S339" i="58"/>
  <c r="S337" i="58"/>
  <c r="S336" i="58"/>
  <c r="S335" i="58"/>
  <c r="S334" i="58"/>
  <c r="S333" i="58"/>
  <c r="S331" i="58"/>
  <c r="S330" i="58"/>
  <c r="S329" i="58"/>
  <c r="S328" i="58"/>
  <c r="S327" i="58"/>
  <c r="S326" i="58"/>
  <c r="S325" i="58"/>
  <c r="S324" i="58"/>
  <c r="P321" i="58"/>
  <c r="O321" i="58"/>
  <c r="N321" i="58"/>
  <c r="M321" i="58"/>
  <c r="L321" i="58"/>
  <c r="K321" i="58"/>
  <c r="J321" i="58"/>
  <c r="H321" i="58"/>
  <c r="S320" i="58"/>
  <c r="S319" i="58"/>
  <c r="S318" i="58"/>
  <c r="S317" i="58"/>
  <c r="S316" i="58"/>
  <c r="S315" i="58"/>
  <c r="S314" i="58"/>
  <c r="S312" i="58"/>
  <c r="S311" i="58"/>
  <c r="S310" i="58"/>
  <c r="S309" i="58"/>
  <c r="S308" i="58"/>
  <c r="S307" i="58"/>
  <c r="S306" i="58"/>
  <c r="S304" i="58"/>
  <c r="S303" i="58"/>
  <c r="S302" i="58"/>
  <c r="Q302" i="58"/>
  <c r="R302" i="58" s="1"/>
  <c r="S301" i="58"/>
  <c r="S300" i="58"/>
  <c r="Q300" i="58"/>
  <c r="R300" i="58" s="1"/>
  <c r="S299" i="58"/>
  <c r="Q299" i="58"/>
  <c r="R299" i="58" s="1"/>
  <c r="S298" i="58"/>
  <c r="Q298" i="58"/>
  <c r="R298" i="58" s="1"/>
  <c r="S297" i="58"/>
  <c r="P295" i="58"/>
  <c r="O295" i="58"/>
  <c r="N295" i="58"/>
  <c r="M295" i="58"/>
  <c r="L295" i="58"/>
  <c r="K295" i="58"/>
  <c r="J295" i="58"/>
  <c r="H295" i="58"/>
  <c r="S285" i="58"/>
  <c r="Q285" i="58"/>
  <c r="S277" i="58"/>
  <c r="S276" i="58" s="1"/>
  <c r="Q277" i="58"/>
  <c r="Q276" i="58" s="1"/>
  <c r="S262" i="58"/>
  <c r="Q262" i="58"/>
  <c r="S255" i="58"/>
  <c r="Q255" i="58"/>
  <c r="S251" i="58"/>
  <c r="Q251" i="58"/>
  <c r="S245" i="58"/>
  <c r="Q245" i="58"/>
  <c r="S236" i="58"/>
  <c r="Q236" i="58"/>
  <c r="I224" i="58"/>
  <c r="S224" i="58"/>
  <c r="Q224" i="58"/>
  <c r="M221" i="58"/>
  <c r="L221" i="58"/>
  <c r="K221" i="58"/>
  <c r="S216" i="58"/>
  <c r="Q216" i="58"/>
  <c r="S197" i="58"/>
  <c r="Q197" i="58"/>
  <c r="S194" i="58"/>
  <c r="S193" i="58"/>
  <c r="S192" i="58"/>
  <c r="S191" i="58"/>
  <c r="S190" i="58"/>
  <c r="S189" i="58"/>
  <c r="S188" i="58"/>
  <c r="S186" i="58"/>
  <c r="S185" i="58"/>
  <c r="S184" i="58"/>
  <c r="S183" i="58"/>
  <c r="S181" i="58"/>
  <c r="S180" i="58"/>
  <c r="S178" i="58"/>
  <c r="S177" i="58"/>
  <c r="S176" i="58"/>
  <c r="S169" i="58"/>
  <c r="Q169" i="58"/>
  <c r="S158" i="58"/>
  <c r="Q158" i="58"/>
  <c r="I153" i="58"/>
  <c r="S153" i="58"/>
  <c r="Q153" i="58"/>
  <c r="S149" i="58"/>
  <c r="Q149" i="58"/>
  <c r="I136" i="58"/>
  <c r="S136" i="58"/>
  <c r="Q136" i="58"/>
  <c r="S128" i="58"/>
  <c r="Q128" i="58"/>
  <c r="I107" i="58"/>
  <c r="S98" i="58"/>
  <c r="Q98" i="58"/>
  <c r="S96" i="58"/>
  <c r="S95" i="58"/>
  <c r="P94" i="58"/>
  <c r="O94" i="58"/>
  <c r="N94" i="58"/>
  <c r="M94" i="58"/>
  <c r="L94" i="58"/>
  <c r="K94" i="58"/>
  <c r="J94" i="58"/>
  <c r="I94" i="58"/>
  <c r="H94" i="58"/>
  <c r="S93" i="58"/>
  <c r="S92" i="58"/>
  <c r="S91" i="58"/>
  <c r="S90" i="58"/>
  <c r="S89" i="58"/>
  <c r="S88" i="58"/>
  <c r="S87" i="58"/>
  <c r="S86" i="58"/>
  <c r="P85" i="58"/>
  <c r="O85" i="58"/>
  <c r="N85" i="58"/>
  <c r="M85" i="58"/>
  <c r="L85" i="58"/>
  <c r="K85" i="58"/>
  <c r="J85" i="58"/>
  <c r="I85" i="58"/>
  <c r="H85" i="58"/>
  <c r="S84" i="58"/>
  <c r="S83" i="58"/>
  <c r="Q83" i="58"/>
  <c r="S82" i="58"/>
  <c r="Q82" i="58"/>
  <c r="R82" i="58" s="1"/>
  <c r="S80" i="58"/>
  <c r="S79" i="58"/>
  <c r="P78" i="58"/>
  <c r="P74" i="58" s="1"/>
  <c r="O78" i="58"/>
  <c r="O74" i="58" s="1"/>
  <c r="M78" i="58"/>
  <c r="M74" i="58" s="1"/>
  <c r="L78" i="58"/>
  <c r="L74" i="58" s="1"/>
  <c r="K78" i="58"/>
  <c r="K74" i="58" s="1"/>
  <c r="J78" i="58"/>
  <c r="J74" i="58" s="1"/>
  <c r="I78" i="58"/>
  <c r="I74" i="58" s="1"/>
  <c r="S77" i="58"/>
  <c r="Q77" i="58"/>
  <c r="R77" i="58" s="1"/>
  <c r="S76" i="58"/>
  <c r="Q76" i="58"/>
  <c r="R76" i="58" s="1"/>
  <c r="S73" i="58"/>
  <c r="S72" i="58"/>
  <c r="S71" i="58"/>
  <c r="S70" i="58"/>
  <c r="S69" i="58"/>
  <c r="R69" i="58"/>
  <c r="S68" i="58"/>
  <c r="S67" i="58"/>
  <c r="Q67" i="58"/>
  <c r="R67" i="58" s="1"/>
  <c r="S66" i="58"/>
  <c r="T66" i="58" s="1"/>
  <c r="R66" i="58"/>
  <c r="P65" i="58"/>
  <c r="O65" i="58"/>
  <c r="N65" i="58"/>
  <c r="M65" i="58"/>
  <c r="L65" i="58"/>
  <c r="K65" i="58"/>
  <c r="J65" i="58"/>
  <c r="I65" i="58"/>
  <c r="H65" i="58"/>
  <c r="S63" i="58"/>
  <c r="S62" i="58"/>
  <c r="S61" i="58"/>
  <c r="S58" i="58"/>
  <c r="S57" i="58"/>
  <c r="S56" i="58"/>
  <c r="S55" i="58"/>
  <c r="S54" i="58"/>
  <c r="S53" i="58"/>
  <c r="S52" i="58"/>
  <c r="S51" i="58"/>
  <c r="S50" i="58"/>
  <c r="S49" i="58"/>
  <c r="S48" i="58"/>
  <c r="S47" i="58"/>
  <c r="S46" i="58"/>
  <c r="S45" i="58"/>
  <c r="S44" i="58"/>
  <c r="S43" i="58"/>
  <c r="S42" i="58"/>
  <c r="S40" i="58"/>
  <c r="S39" i="58"/>
  <c r="S37" i="58"/>
  <c r="S36" i="58"/>
  <c r="S35" i="58"/>
  <c r="S34" i="58"/>
  <c r="S33" i="58"/>
  <c r="S32" i="58"/>
  <c r="S31" i="58"/>
  <c r="S30" i="58"/>
  <c r="S29" i="58"/>
  <c r="P27" i="58"/>
  <c r="O27" i="58"/>
  <c r="N27" i="58"/>
  <c r="M27" i="58"/>
  <c r="L27" i="58"/>
  <c r="K27" i="58"/>
  <c r="J27" i="58"/>
  <c r="I27" i="58"/>
  <c r="H27" i="58"/>
  <c r="S26" i="58"/>
  <c r="S25" i="58"/>
  <c r="S23" i="58"/>
  <c r="S22" i="58"/>
  <c r="S21" i="58"/>
  <c r="S20" i="58"/>
  <c r="S19" i="58"/>
  <c r="S18" i="58"/>
  <c r="S17" i="58"/>
  <c r="S16" i="58"/>
  <c r="S15" i="58"/>
  <c r="S12" i="58"/>
  <c r="P10" i="58"/>
  <c r="O10" i="58"/>
  <c r="N10" i="58"/>
  <c r="M10" i="58"/>
  <c r="L10" i="58"/>
  <c r="K10" i="58"/>
  <c r="J10" i="58"/>
  <c r="I10" i="58"/>
  <c r="H10" i="58"/>
  <c r="N8" i="58"/>
  <c r="N7" i="58"/>
  <c r="H7" i="58"/>
  <c r="P6" i="58"/>
  <c r="O6" i="58"/>
  <c r="N6" i="58"/>
  <c r="M6" i="58"/>
  <c r="M7" i="58" s="1"/>
  <c r="K6" i="58"/>
  <c r="J6" i="58"/>
  <c r="H6" i="58"/>
  <c r="P4" i="58"/>
  <c r="O4" i="58"/>
  <c r="M4" i="58"/>
  <c r="L4" i="58"/>
  <c r="K4" i="58"/>
  <c r="J4" i="58"/>
  <c r="W90" i="57"/>
  <c r="W94" i="57" s="1"/>
  <c r="Q90" i="57"/>
  <c r="Q109" i="57" s="1"/>
  <c r="N90" i="57"/>
  <c r="K90" i="57"/>
  <c r="E90" i="57"/>
  <c r="AZ59" i="57"/>
  <c r="AY59" i="57"/>
  <c r="AX59" i="57"/>
  <c r="AZ58" i="57"/>
  <c r="AY58" i="57"/>
  <c r="AX58" i="57"/>
  <c r="AZ57" i="57"/>
  <c r="AY57" i="57"/>
  <c r="AX57" i="57"/>
  <c r="Y49" i="57"/>
  <c r="X49" i="57"/>
  <c r="W49" i="57"/>
  <c r="BI48" i="57"/>
  <c r="BH48" i="57"/>
  <c r="BD48" i="57"/>
  <c r="Y48" i="57"/>
  <c r="X48" i="57"/>
  <c r="W48" i="57"/>
  <c r="BI47" i="57"/>
  <c r="BH47" i="57"/>
  <c r="BD47" i="57"/>
  <c r="Y47" i="57"/>
  <c r="X47" i="57"/>
  <c r="W47" i="57"/>
  <c r="BI46" i="57"/>
  <c r="BH46" i="57"/>
  <c r="BD46" i="57"/>
  <c r="AL46" i="57"/>
  <c r="Y46" i="57"/>
  <c r="X46" i="57"/>
  <c r="W46" i="57"/>
  <c r="BI45" i="57"/>
  <c r="BH45" i="57"/>
  <c r="BD45" i="57"/>
  <c r="AL45" i="57"/>
  <c r="Y45" i="57"/>
  <c r="X45" i="57"/>
  <c r="W45" i="57"/>
  <c r="BF44" i="57"/>
  <c r="BE44" i="57"/>
  <c r="AH44" i="57"/>
  <c r="AG44" i="57"/>
  <c r="AF44" i="57"/>
  <c r="Y44" i="57"/>
  <c r="X44" i="57"/>
  <c r="W44" i="57"/>
  <c r="Y43" i="57"/>
  <c r="X43" i="57"/>
  <c r="W43" i="57"/>
  <c r="Y42" i="57"/>
  <c r="X42" i="57"/>
  <c r="W42" i="57"/>
  <c r="Y41" i="57"/>
  <c r="X41" i="57"/>
  <c r="W41" i="57"/>
  <c r="Y40" i="57"/>
  <c r="X40" i="57"/>
  <c r="W40" i="57"/>
  <c r="Y39" i="57"/>
  <c r="X39" i="57"/>
  <c r="W39" i="57"/>
  <c r="Y38" i="57"/>
  <c r="X38" i="57"/>
  <c r="W38" i="57"/>
  <c r="Y37" i="57"/>
  <c r="X37" i="57"/>
  <c r="W37" i="57"/>
  <c r="Y36" i="57"/>
  <c r="X36" i="57"/>
  <c r="W36" i="57"/>
  <c r="AN35" i="57"/>
  <c r="AM35" i="57"/>
  <c r="AL35" i="57"/>
  <c r="AH35" i="57"/>
  <c r="AG35" i="57"/>
  <c r="AF35" i="57"/>
  <c r="Y35" i="57"/>
  <c r="X35" i="57"/>
  <c r="W35" i="57"/>
  <c r="BI34" i="57"/>
  <c r="BH34" i="57"/>
  <c r="BD34" i="57"/>
  <c r="Y34" i="57"/>
  <c r="X34" i="57"/>
  <c r="W34" i="57"/>
  <c r="BI33" i="57"/>
  <c r="BH33" i="57"/>
  <c r="BD33" i="57"/>
  <c r="Y33" i="57"/>
  <c r="X33" i="57"/>
  <c r="W33" i="57"/>
  <c r="BI32" i="57"/>
  <c r="BH32" i="57"/>
  <c r="BD32" i="57"/>
  <c r="Y32" i="57"/>
  <c r="X32" i="57"/>
  <c r="W32" i="57"/>
  <c r="BF31" i="57"/>
  <c r="BE31" i="57"/>
  <c r="AH31" i="57"/>
  <c r="AG31" i="57"/>
  <c r="AF31" i="57"/>
  <c r="Y31" i="57"/>
  <c r="X31" i="57"/>
  <c r="W31" i="57"/>
  <c r="BI30" i="57"/>
  <c r="Y30" i="57"/>
  <c r="X30" i="57"/>
  <c r="W30" i="57"/>
  <c r="BH29" i="57"/>
  <c r="Y29" i="57"/>
  <c r="X29" i="57"/>
  <c r="W29" i="57"/>
  <c r="BH28" i="57"/>
  <c r="Y28" i="57"/>
  <c r="X28" i="57"/>
  <c r="W28" i="57"/>
  <c r="BI27" i="57"/>
  <c r="BH27" i="57"/>
  <c r="Y27" i="57"/>
  <c r="X27" i="57"/>
  <c r="W27" i="57"/>
  <c r="Y26" i="57"/>
  <c r="X26" i="57"/>
  <c r="W26" i="57"/>
  <c r="BI25" i="57"/>
  <c r="BH25" i="57"/>
  <c r="Y25" i="57"/>
  <c r="X25" i="57"/>
  <c r="W25" i="57"/>
  <c r="BI24" i="57"/>
  <c r="BD24" i="57"/>
  <c r="Y24" i="57"/>
  <c r="X24" i="57"/>
  <c r="W24" i="57"/>
  <c r="Y23" i="57"/>
  <c r="X23" i="57"/>
  <c r="W23" i="57"/>
  <c r="BI22" i="57"/>
  <c r="Y22" i="57"/>
  <c r="X22" i="57"/>
  <c r="W22" i="57"/>
  <c r="Y21" i="57"/>
  <c r="X21" i="57"/>
  <c r="W21" i="57"/>
  <c r="Y20" i="57"/>
  <c r="X20" i="57"/>
  <c r="W20" i="57"/>
  <c r="Y19" i="57"/>
  <c r="X19" i="57"/>
  <c r="W19" i="57"/>
  <c r="BI18" i="57"/>
  <c r="BH18" i="57"/>
  <c r="Y18" i="57"/>
  <c r="X18" i="57"/>
  <c r="W18" i="57"/>
  <c r="BH17" i="57"/>
  <c r="Y17" i="57"/>
  <c r="X17" i="57"/>
  <c r="W17" i="57"/>
  <c r="Y16" i="57"/>
  <c r="X16" i="57"/>
  <c r="W16" i="57"/>
  <c r="BI15" i="57"/>
  <c r="BH15" i="57"/>
  <c r="BD15" i="57"/>
  <c r="Y15" i="57"/>
  <c r="X15" i="57"/>
  <c r="W15" i="57"/>
  <c r="BI14" i="57"/>
  <c r="BH14" i="57"/>
  <c r="BD14" i="57"/>
  <c r="Y14" i="57"/>
  <c r="X14" i="57"/>
  <c r="W14" i="57"/>
  <c r="BI13" i="57"/>
  <c r="BH13" i="57"/>
  <c r="BD13" i="57"/>
  <c r="Y13" i="57"/>
  <c r="X13" i="57"/>
  <c r="W13" i="57"/>
  <c r="BI12" i="57"/>
  <c r="BH12" i="57"/>
  <c r="BD12" i="57"/>
  <c r="Y12" i="57"/>
  <c r="X12" i="57"/>
  <c r="W12" i="57"/>
  <c r="BF11" i="57"/>
  <c r="BE11" i="57"/>
  <c r="Y11" i="57"/>
  <c r="X11" i="57"/>
  <c r="W11" i="57"/>
  <c r="Y10" i="57"/>
  <c r="X10" i="57"/>
  <c r="W10" i="57"/>
  <c r="BP9" i="57"/>
  <c r="BF9" i="57"/>
  <c r="Y9" i="57"/>
  <c r="X9" i="57"/>
  <c r="W9" i="57"/>
  <c r="AN8" i="57"/>
  <c r="AM8" i="57"/>
  <c r="AL8" i="57"/>
  <c r="AH8" i="57"/>
  <c r="AG8" i="57"/>
  <c r="AF8" i="57"/>
  <c r="Y8" i="57"/>
  <c r="X8" i="57"/>
  <c r="W8" i="57"/>
  <c r="BI7" i="57"/>
  <c r="BH7" i="57"/>
  <c r="BG7" i="57"/>
  <c r="AG7" i="57"/>
  <c r="AH7" i="57" s="1"/>
  <c r="BI6" i="57"/>
  <c r="BH6" i="57"/>
  <c r="BG6" i="57"/>
  <c r="AL6" i="57"/>
  <c r="AF6" i="57"/>
  <c r="BI5" i="57"/>
  <c r="BH5" i="57"/>
  <c r="BG5" i="57"/>
  <c r="G4" i="14"/>
  <c r="P4" i="14" s="1"/>
  <c r="AR5" i="57"/>
  <c r="AS5" i="57" s="1"/>
  <c r="AO5" i="57"/>
  <c r="AP5" i="57" s="1"/>
  <c r="AQ5" i="57" s="1"/>
  <c r="AL5" i="57"/>
  <c r="AN5" i="57" s="1"/>
  <c r="AI5" i="57"/>
  <c r="AJ5" i="57" s="1"/>
  <c r="AF5" i="57"/>
  <c r="AH5" i="57" s="1"/>
  <c r="T3" i="57"/>
  <c r="Q3" i="57"/>
  <c r="AR3" i="57" s="1"/>
  <c r="N3" i="57"/>
  <c r="E2" i="14" s="1"/>
  <c r="H3" i="57"/>
  <c r="I3" i="61"/>
  <c r="C38" i="60"/>
  <c r="E38" i="60" s="1"/>
  <c r="AI6" i="57"/>
  <c r="AK6" i="57" s="1"/>
  <c r="I105" i="67"/>
  <c r="M105" i="67" s="1"/>
  <c r="O105" i="67" s="1"/>
  <c r="U175" i="69"/>
  <c r="U194" i="69"/>
  <c r="Q80" i="69"/>
  <c r="L282" i="58"/>
  <c r="I142" i="64"/>
  <c r="AV5" i="57"/>
  <c r="AO6" i="57"/>
  <c r="I172" i="64"/>
  <c r="M172" i="64" s="1"/>
  <c r="O172" i="64" s="1"/>
  <c r="J264" i="58" s="1"/>
  <c r="S342" i="58"/>
  <c r="U176" i="61"/>
  <c r="W176" i="61" s="1"/>
  <c r="I169" i="58"/>
  <c r="I262" i="58"/>
  <c r="G3" i="65"/>
  <c r="M8" i="58"/>
  <c r="E6" i="64"/>
  <c r="E5" i="64"/>
  <c r="I27" i="64" s="1"/>
  <c r="M27" i="64" s="1"/>
  <c r="O27" i="64" s="1"/>
  <c r="Q27" i="64" s="1"/>
  <c r="D58" i="60"/>
  <c r="J7" i="58"/>
  <c r="E6" i="66"/>
  <c r="D61" i="60"/>
  <c r="E61" i="60" s="1"/>
  <c r="P7" i="58"/>
  <c r="E5" i="69"/>
  <c r="I94" i="69" s="1"/>
  <c r="M94" i="69" s="1"/>
  <c r="O94" i="69" s="1"/>
  <c r="L6" i="58"/>
  <c r="F4" i="14"/>
  <c r="O4" i="14" s="1"/>
  <c r="I183" i="68"/>
  <c r="M183" i="68" s="1"/>
  <c r="O183" i="68" s="1"/>
  <c r="I183" i="64"/>
  <c r="M183" i="64" s="1"/>
  <c r="O183" i="64" s="1"/>
  <c r="E6" i="62"/>
  <c r="E5" i="62"/>
  <c r="I187" i="62" s="1"/>
  <c r="M187" i="62" s="1"/>
  <c r="O187" i="62" s="1"/>
  <c r="E4" i="62"/>
  <c r="I157" i="62" s="1"/>
  <c r="M157" i="62" s="1"/>
  <c r="O157" i="62" s="1"/>
  <c r="G3" i="61"/>
  <c r="I101" i="61" s="1"/>
  <c r="M101" i="61" s="1"/>
  <c r="O101" i="61" s="1"/>
  <c r="G3" i="68"/>
  <c r="O8" i="58"/>
  <c r="AU7" i="57"/>
  <c r="AV7" i="57" s="1"/>
  <c r="AW7" i="57" s="1"/>
  <c r="K5" i="61"/>
  <c r="I61" i="61" s="1"/>
  <c r="M61" i="61" s="1"/>
  <c r="O61" i="61" s="1"/>
  <c r="E5" i="68"/>
  <c r="E6" i="68"/>
  <c r="D59" i="60"/>
  <c r="E59" i="60" s="1"/>
  <c r="O7" i="58"/>
  <c r="K4" i="61"/>
  <c r="AO7" i="57"/>
  <c r="I277" i="58"/>
  <c r="I276" i="58" s="1"/>
  <c r="Q58" i="63"/>
  <c r="I97" i="63"/>
  <c r="M97" i="63" s="1"/>
  <c r="O97" i="63" s="1"/>
  <c r="Q180" i="63"/>
  <c r="S180" i="63" s="1"/>
  <c r="I169" i="65"/>
  <c r="M169" i="65" s="1"/>
  <c r="O169" i="65" s="1"/>
  <c r="I143" i="65"/>
  <c r="M143" i="65" s="1"/>
  <c r="O143" i="65" s="1"/>
  <c r="I39" i="65"/>
  <c r="M39" i="65" s="1"/>
  <c r="O39" i="65" s="1"/>
  <c r="I22" i="65"/>
  <c r="M22" i="65" s="1"/>
  <c r="O22" i="65" s="1"/>
  <c r="I54" i="65"/>
  <c r="M54" i="65" s="1"/>
  <c r="O54" i="65" s="1"/>
  <c r="I41" i="65"/>
  <c r="M41" i="65" s="1"/>
  <c r="O41" i="65" s="1"/>
  <c r="I175" i="64"/>
  <c r="M175" i="64" s="1"/>
  <c r="O175" i="64" s="1"/>
  <c r="Q175" i="64" s="1"/>
  <c r="I187" i="64"/>
  <c r="M187" i="64" s="1"/>
  <c r="O187" i="64" s="1"/>
  <c r="J279" i="58" s="1"/>
  <c r="Q183" i="65"/>
  <c r="I160" i="66"/>
  <c r="M160" i="66" s="1"/>
  <c r="O160" i="66" s="1"/>
  <c r="I175" i="66"/>
  <c r="M175" i="66" s="1"/>
  <c r="O175" i="66" s="1"/>
  <c r="P267" i="58" s="1"/>
  <c r="I154" i="67"/>
  <c r="M154" i="67" s="1"/>
  <c r="O154" i="67" s="1"/>
  <c r="I104" i="67"/>
  <c r="M104" i="67" s="1"/>
  <c r="O104" i="67" s="1"/>
  <c r="Q124" i="67"/>
  <c r="I187" i="67"/>
  <c r="M187" i="67" s="1"/>
  <c r="O187" i="67" s="1"/>
  <c r="I150" i="67"/>
  <c r="M150" i="67" s="1"/>
  <c r="O150" i="67" s="1"/>
  <c r="I146" i="67"/>
  <c r="M146" i="67" s="1"/>
  <c r="O146" i="67" s="1"/>
  <c r="I145" i="68"/>
  <c r="M145" i="68" s="1"/>
  <c r="O145" i="68" s="1"/>
  <c r="Q81" i="68"/>
  <c r="I197" i="68"/>
  <c r="M197" i="68" s="1"/>
  <c r="O197" i="68" s="1"/>
  <c r="I195" i="68"/>
  <c r="M195" i="68" s="1"/>
  <c r="O195" i="68" s="1"/>
  <c r="I194" i="68"/>
  <c r="M194" i="68" s="1"/>
  <c r="O194" i="68" s="1"/>
  <c r="I189" i="68"/>
  <c r="M189" i="68" s="1"/>
  <c r="O189" i="68" s="1"/>
  <c r="I150" i="68"/>
  <c r="M150" i="68" s="1"/>
  <c r="O150" i="68" s="1"/>
  <c r="I188" i="68"/>
  <c r="M188" i="68"/>
  <c r="O188" i="68" s="1"/>
  <c r="I152" i="68"/>
  <c r="M152" i="68" s="1"/>
  <c r="O152" i="68" s="1"/>
  <c r="I149" i="68"/>
  <c r="M149" i="68" s="1"/>
  <c r="O149" i="68" s="1"/>
  <c r="I148" i="68"/>
  <c r="M148" i="68" s="1"/>
  <c r="O148" i="68" s="1"/>
  <c r="I147" i="68"/>
  <c r="M147" i="68" s="1"/>
  <c r="O147" i="68" s="1"/>
  <c r="I187" i="68"/>
  <c r="M187" i="68" s="1"/>
  <c r="O187" i="68" s="1"/>
  <c r="I155" i="68"/>
  <c r="M155" i="68" s="1"/>
  <c r="O155" i="68" s="1"/>
  <c r="I167" i="68"/>
  <c r="M167" i="68" s="1"/>
  <c r="O167" i="68" s="1"/>
  <c r="I190" i="68"/>
  <c r="M190" i="68" s="1"/>
  <c r="O190" i="68" s="1"/>
  <c r="O282" i="58" s="1"/>
  <c r="I74" i="68"/>
  <c r="M74" i="68" s="1"/>
  <c r="O74" i="68" s="1"/>
  <c r="I67" i="68"/>
  <c r="M67" i="68" s="1"/>
  <c r="O67" i="68" s="1"/>
  <c r="I52" i="68"/>
  <c r="M52" i="68" s="1"/>
  <c r="O52" i="68" s="1"/>
  <c r="Q52" i="68" s="1"/>
  <c r="I76" i="68"/>
  <c r="M76" i="68" s="1"/>
  <c r="O76" i="68" s="1"/>
  <c r="I162" i="69"/>
  <c r="M162" i="69" s="1"/>
  <c r="O162" i="69" s="1"/>
  <c r="M161" i="69"/>
  <c r="O161" i="69" s="1"/>
  <c r="Q150" i="69"/>
  <c r="U74" i="69"/>
  <c r="Q108" i="69"/>
  <c r="T108" i="69" s="1"/>
  <c r="U80" i="69"/>
  <c r="Q152" i="69"/>
  <c r="P152" i="69" s="1"/>
  <c r="U125" i="69"/>
  <c r="U187" i="69"/>
  <c r="Q187" i="69"/>
  <c r="S187" i="69" s="1"/>
  <c r="Q125" i="69"/>
  <c r="T125" i="69" s="1"/>
  <c r="Q188" i="69"/>
  <c r="I175" i="62"/>
  <c r="M175" i="62" s="1"/>
  <c r="O175" i="62" s="1"/>
  <c r="I67" i="62"/>
  <c r="M67" i="62" s="1"/>
  <c r="O67" i="62" s="1"/>
  <c r="AS6" i="57"/>
  <c r="O267" i="58"/>
  <c r="Q77" i="61"/>
  <c r="B4" i="13"/>
  <c r="AD44" i="7"/>
  <c r="K43" i="4"/>
  <c r="AA168" i="51"/>
  <c r="P167" i="51"/>
  <c r="M167" i="51"/>
  <c r="P166" i="51"/>
  <c r="M166" i="51"/>
  <c r="P165" i="51"/>
  <c r="M165" i="51"/>
  <c r="P164" i="51"/>
  <c r="M164" i="51"/>
  <c r="L163" i="51"/>
  <c r="K163" i="51" s="1"/>
  <c r="I163" i="51"/>
  <c r="K162" i="51"/>
  <c r="I162" i="51"/>
  <c r="M160" i="51"/>
  <c r="M159" i="51"/>
  <c r="N159" i="51" s="1"/>
  <c r="K158" i="51"/>
  <c r="M158" i="51" s="1"/>
  <c r="K157" i="51"/>
  <c r="M157" i="51" s="1"/>
  <c r="K156" i="51"/>
  <c r="I156" i="51"/>
  <c r="K155" i="51"/>
  <c r="I155" i="51"/>
  <c r="M155" i="51" s="1"/>
  <c r="N155" i="51" s="1"/>
  <c r="K154" i="51"/>
  <c r="I154" i="51"/>
  <c r="K153" i="51"/>
  <c r="I153" i="51"/>
  <c r="K152" i="51"/>
  <c r="I152" i="51"/>
  <c r="K151" i="51"/>
  <c r="I151" i="51"/>
  <c r="M148" i="51"/>
  <c r="N148" i="51" s="1"/>
  <c r="M147" i="51"/>
  <c r="N147" i="51" s="1"/>
  <c r="M146" i="51"/>
  <c r="N146" i="51" s="1"/>
  <c r="M145" i="51"/>
  <c r="K144" i="51"/>
  <c r="I144" i="51"/>
  <c r="K143" i="51"/>
  <c r="I143" i="51"/>
  <c r="K142" i="51"/>
  <c r="I142" i="51"/>
  <c r="I140" i="51"/>
  <c r="M140" i="51" s="1"/>
  <c r="I139" i="51"/>
  <c r="M139" i="51" s="1"/>
  <c r="I138" i="51"/>
  <c r="M138" i="51" s="1"/>
  <c r="K137" i="51"/>
  <c r="I137" i="51"/>
  <c r="K136" i="51"/>
  <c r="I136" i="51"/>
  <c r="K135" i="51"/>
  <c r="I135" i="51"/>
  <c r="K133" i="51"/>
  <c r="I133" i="51"/>
  <c r="K132" i="51"/>
  <c r="I132" i="51"/>
  <c r="K131" i="51"/>
  <c r="I131" i="51"/>
  <c r="K128" i="51"/>
  <c r="I128" i="51"/>
  <c r="K127" i="51"/>
  <c r="K126" i="51"/>
  <c r="M126" i="51" s="1"/>
  <c r="K125" i="51"/>
  <c r="K123" i="51"/>
  <c r="K122" i="51"/>
  <c r="I122" i="51"/>
  <c r="K121" i="51"/>
  <c r="I121" i="51"/>
  <c r="K120" i="51"/>
  <c r="I120" i="51"/>
  <c r="K118" i="51"/>
  <c r="I118" i="51"/>
  <c r="K116" i="51"/>
  <c r="I116" i="51"/>
  <c r="K115" i="51"/>
  <c r="I115" i="51"/>
  <c r="K114" i="51"/>
  <c r="I114" i="51"/>
  <c r="K113" i="51"/>
  <c r="M113" i="51" s="1"/>
  <c r="N113" i="51" s="1"/>
  <c r="K112" i="51"/>
  <c r="I112" i="51"/>
  <c r="K110" i="51"/>
  <c r="M110" i="51" s="1"/>
  <c r="K109" i="51"/>
  <c r="K108" i="51"/>
  <c r="I108" i="51"/>
  <c r="K107" i="51"/>
  <c r="K106" i="51"/>
  <c r="I106" i="51"/>
  <c r="K105" i="51"/>
  <c r="M105" i="51" s="1"/>
  <c r="K104" i="51"/>
  <c r="K103" i="51"/>
  <c r="K101" i="51"/>
  <c r="K100" i="51"/>
  <c r="K98" i="51"/>
  <c r="K97" i="51"/>
  <c r="K96" i="51"/>
  <c r="K95" i="51"/>
  <c r="K93" i="51"/>
  <c r="K92" i="51"/>
  <c r="P87" i="51"/>
  <c r="M87" i="51"/>
  <c r="P86" i="51"/>
  <c r="M86" i="51"/>
  <c r="P85" i="51"/>
  <c r="I85" i="51"/>
  <c r="M85" i="51" s="1"/>
  <c r="P84" i="51"/>
  <c r="I84" i="51"/>
  <c r="M84" i="51" s="1"/>
  <c r="P83" i="51"/>
  <c r="I83" i="51"/>
  <c r="M83" i="51" s="1"/>
  <c r="P82" i="51"/>
  <c r="K81" i="51"/>
  <c r="K80" i="51"/>
  <c r="K79" i="51"/>
  <c r="K78" i="51"/>
  <c r="K77" i="51"/>
  <c r="K76" i="51"/>
  <c r="K75" i="51"/>
  <c r="K74" i="51"/>
  <c r="K73" i="51"/>
  <c r="K72" i="51"/>
  <c r="K71" i="51"/>
  <c r="K68" i="51"/>
  <c r="K67" i="51"/>
  <c r="K65" i="51"/>
  <c r="K64" i="51"/>
  <c r="M62" i="51"/>
  <c r="K62" i="51"/>
  <c r="M61" i="51"/>
  <c r="N61" i="51" s="1"/>
  <c r="K61" i="51"/>
  <c r="K59" i="51"/>
  <c r="I59" i="51"/>
  <c r="K58" i="51"/>
  <c r="I58" i="51"/>
  <c r="K54" i="51"/>
  <c r="K53" i="51"/>
  <c r="K52" i="51"/>
  <c r="K51" i="51"/>
  <c r="K50" i="51"/>
  <c r="K49" i="51"/>
  <c r="K48" i="51"/>
  <c r="K46" i="51"/>
  <c r="I46" i="51"/>
  <c r="K45" i="51"/>
  <c r="K43" i="51"/>
  <c r="I43" i="51"/>
  <c r="K42" i="51"/>
  <c r="K40" i="51"/>
  <c r="K39" i="51"/>
  <c r="K35" i="51"/>
  <c r="K34" i="51"/>
  <c r="K33" i="51"/>
  <c r="K32" i="51"/>
  <c r="K31" i="51"/>
  <c r="K30" i="51"/>
  <c r="K29" i="51"/>
  <c r="K28" i="51"/>
  <c r="K26" i="51"/>
  <c r="K25" i="51"/>
  <c r="K24" i="51"/>
  <c r="K23" i="51"/>
  <c r="K21" i="51"/>
  <c r="K20" i="51"/>
  <c r="K18" i="51"/>
  <c r="K17" i="51"/>
  <c r="K16" i="51"/>
  <c r="K15" i="51"/>
  <c r="K14" i="51"/>
  <c r="K12" i="51"/>
  <c r="K11" i="51"/>
  <c r="K8" i="51"/>
  <c r="K7" i="51"/>
  <c r="G2" i="51"/>
  <c r="I7" i="51" s="1"/>
  <c r="E2" i="51"/>
  <c r="I76" i="45" s="1"/>
  <c r="M71" i="50"/>
  <c r="M72" i="50" s="1"/>
  <c r="AA69" i="50"/>
  <c r="K68" i="50"/>
  <c r="K67" i="50"/>
  <c r="K65" i="50"/>
  <c r="K64" i="50"/>
  <c r="K62" i="50"/>
  <c r="M62" i="50" s="1"/>
  <c r="K61" i="50"/>
  <c r="M61" i="50" s="1"/>
  <c r="N61" i="50" s="1"/>
  <c r="K59" i="50"/>
  <c r="I59" i="50"/>
  <c r="K58" i="50"/>
  <c r="I58" i="50"/>
  <c r="K55" i="50"/>
  <c r="K54" i="50"/>
  <c r="K53" i="50"/>
  <c r="K52" i="50"/>
  <c r="K51" i="50"/>
  <c r="K50" i="50"/>
  <c r="K49" i="50"/>
  <c r="K48" i="50"/>
  <c r="K46" i="50"/>
  <c r="I46" i="50"/>
  <c r="K45" i="50"/>
  <c r="K43" i="50"/>
  <c r="I43" i="50"/>
  <c r="K42" i="50"/>
  <c r="K40" i="50"/>
  <c r="K39" i="50"/>
  <c r="K35" i="50"/>
  <c r="K34" i="50"/>
  <c r="K33" i="50"/>
  <c r="K32" i="50"/>
  <c r="K31" i="50"/>
  <c r="K30" i="50"/>
  <c r="K29" i="50"/>
  <c r="K28" i="50"/>
  <c r="K26" i="50"/>
  <c r="K25" i="50"/>
  <c r="K24" i="50"/>
  <c r="K23" i="50"/>
  <c r="K21" i="50"/>
  <c r="K20" i="50"/>
  <c r="K18" i="50"/>
  <c r="K17" i="50"/>
  <c r="K16" i="50"/>
  <c r="K15" i="50"/>
  <c r="K14" i="50"/>
  <c r="K11" i="50"/>
  <c r="K8" i="50"/>
  <c r="K7" i="50"/>
  <c r="AA168" i="49"/>
  <c r="P167" i="49"/>
  <c r="M167" i="49"/>
  <c r="P166" i="49"/>
  <c r="M166" i="49"/>
  <c r="P165" i="49"/>
  <c r="M165" i="49"/>
  <c r="P164" i="49"/>
  <c r="M164" i="49"/>
  <c r="L163" i="49"/>
  <c r="K163" i="49" s="1"/>
  <c r="K162" i="49"/>
  <c r="M160" i="49"/>
  <c r="N160" i="49" s="1"/>
  <c r="M159" i="49"/>
  <c r="N159" i="49" s="1"/>
  <c r="O159" i="49" s="1"/>
  <c r="K158" i="49"/>
  <c r="M158" i="49" s="1"/>
  <c r="K157" i="49"/>
  <c r="M157" i="49" s="1"/>
  <c r="K156" i="49"/>
  <c r="K155" i="49"/>
  <c r="K154" i="49"/>
  <c r="K153" i="49"/>
  <c r="K152" i="49"/>
  <c r="K151" i="49"/>
  <c r="M148" i="49"/>
  <c r="M147" i="49"/>
  <c r="N147" i="49" s="1"/>
  <c r="M146" i="49"/>
  <c r="N146" i="49" s="1"/>
  <c r="M145" i="49"/>
  <c r="K144" i="49"/>
  <c r="K143" i="49"/>
  <c r="K142" i="49"/>
  <c r="K137" i="49"/>
  <c r="K136" i="49"/>
  <c r="K135" i="49"/>
  <c r="K133" i="49"/>
  <c r="K132" i="49"/>
  <c r="K131" i="49"/>
  <c r="K128" i="49"/>
  <c r="K127" i="49"/>
  <c r="K126" i="49"/>
  <c r="M126" i="49" s="1"/>
  <c r="K125" i="49"/>
  <c r="K123" i="49"/>
  <c r="K122" i="49"/>
  <c r="K121" i="49"/>
  <c r="K120" i="49"/>
  <c r="K118" i="49"/>
  <c r="K116" i="49"/>
  <c r="K115" i="49"/>
  <c r="K114" i="49"/>
  <c r="K113" i="49"/>
  <c r="M113" i="49" s="1"/>
  <c r="N113" i="49" s="1"/>
  <c r="K112" i="49"/>
  <c r="K110" i="49"/>
  <c r="M110" i="49" s="1"/>
  <c r="N110" i="49" s="1"/>
  <c r="O110" i="49" s="1"/>
  <c r="P110" i="49" s="1"/>
  <c r="K109" i="49"/>
  <c r="K108" i="49"/>
  <c r="K107" i="49"/>
  <c r="K106" i="49"/>
  <c r="K105" i="49"/>
  <c r="M105" i="49" s="1"/>
  <c r="K104" i="49"/>
  <c r="K103" i="49"/>
  <c r="K101" i="49"/>
  <c r="K100" i="49"/>
  <c r="K98" i="49"/>
  <c r="K97" i="49"/>
  <c r="K96" i="49"/>
  <c r="K95" i="49"/>
  <c r="K93" i="49"/>
  <c r="K92" i="49"/>
  <c r="P87" i="49"/>
  <c r="M87" i="49"/>
  <c r="P86" i="49"/>
  <c r="M86" i="49"/>
  <c r="P85" i="49"/>
  <c r="I85" i="49"/>
  <c r="M85" i="49" s="1"/>
  <c r="P84" i="49"/>
  <c r="I84" i="49"/>
  <c r="M84" i="49" s="1"/>
  <c r="P83" i="49"/>
  <c r="I83" i="49"/>
  <c r="M83" i="49" s="1"/>
  <c r="P82" i="49"/>
  <c r="K81" i="49"/>
  <c r="K80" i="49"/>
  <c r="K79" i="49"/>
  <c r="K78" i="49"/>
  <c r="K77" i="49"/>
  <c r="K76" i="49"/>
  <c r="K75" i="49"/>
  <c r="K74" i="49"/>
  <c r="K73" i="49"/>
  <c r="K72" i="49"/>
  <c r="K71" i="49"/>
  <c r="K68" i="49"/>
  <c r="K67" i="49"/>
  <c r="K65" i="49"/>
  <c r="K64" i="49"/>
  <c r="M62" i="49"/>
  <c r="N62" i="49" s="1"/>
  <c r="K62" i="49"/>
  <c r="M61" i="49"/>
  <c r="K61" i="49"/>
  <c r="K59" i="49"/>
  <c r="K58" i="49"/>
  <c r="K54" i="49"/>
  <c r="K53" i="49"/>
  <c r="K52" i="49"/>
  <c r="K51" i="49"/>
  <c r="K50" i="49"/>
  <c r="K49" i="49"/>
  <c r="K48" i="49"/>
  <c r="K46" i="49"/>
  <c r="K45" i="49"/>
  <c r="K43" i="49"/>
  <c r="K42" i="49"/>
  <c r="K40" i="49"/>
  <c r="K39" i="49"/>
  <c r="K35" i="49"/>
  <c r="K34" i="49"/>
  <c r="K33" i="49"/>
  <c r="K32" i="49"/>
  <c r="K31" i="49"/>
  <c r="K30" i="49"/>
  <c r="K29" i="49"/>
  <c r="K28" i="49"/>
  <c r="K26" i="49"/>
  <c r="K25" i="49"/>
  <c r="K24" i="49"/>
  <c r="K23" i="49"/>
  <c r="K21" i="49"/>
  <c r="K20" i="49"/>
  <c r="K18" i="49"/>
  <c r="K17" i="49"/>
  <c r="K16" i="49"/>
  <c r="K15" i="49"/>
  <c r="K14" i="49"/>
  <c r="K12" i="49"/>
  <c r="K11" i="49"/>
  <c r="K8" i="49"/>
  <c r="K7" i="49"/>
  <c r="J2" i="49"/>
  <c r="I2" i="49"/>
  <c r="H2" i="49"/>
  <c r="I54" i="49" s="1"/>
  <c r="G2" i="49"/>
  <c r="I7" i="49" s="1"/>
  <c r="E2" i="49"/>
  <c r="Z169" i="48"/>
  <c r="Q167" i="48"/>
  <c r="P167" i="48"/>
  <c r="M167" i="48"/>
  <c r="Q166" i="48"/>
  <c r="P166" i="48"/>
  <c r="M166" i="48"/>
  <c r="Q165" i="48"/>
  <c r="P165" i="48"/>
  <c r="M165" i="48"/>
  <c r="Q164" i="48"/>
  <c r="P164" i="48"/>
  <c r="M164" i="48"/>
  <c r="L163" i="48"/>
  <c r="K163" i="48" s="1"/>
  <c r="K162" i="48"/>
  <c r="Q160" i="48"/>
  <c r="P160" i="48"/>
  <c r="M160" i="48"/>
  <c r="Q159" i="48"/>
  <c r="P159" i="48"/>
  <c r="M159" i="48"/>
  <c r="Q158" i="48"/>
  <c r="P158" i="48"/>
  <c r="M158" i="48"/>
  <c r="Q157" i="48"/>
  <c r="P157" i="48"/>
  <c r="M157" i="48"/>
  <c r="K156" i="48"/>
  <c r="K155" i="48"/>
  <c r="K154" i="48"/>
  <c r="K153" i="48"/>
  <c r="K152" i="48"/>
  <c r="K151" i="48"/>
  <c r="Q148" i="48"/>
  <c r="P148" i="48"/>
  <c r="Q147" i="48"/>
  <c r="P147" i="48"/>
  <c r="Q146" i="48"/>
  <c r="P146" i="48"/>
  <c r="Q145" i="48"/>
  <c r="P145" i="48"/>
  <c r="K144" i="48"/>
  <c r="K143" i="48"/>
  <c r="K142" i="48"/>
  <c r="K140" i="48"/>
  <c r="M140" i="48" s="1"/>
  <c r="K137" i="48"/>
  <c r="K136" i="48"/>
  <c r="K135" i="48"/>
  <c r="K133" i="48"/>
  <c r="K132" i="48"/>
  <c r="K131" i="48"/>
  <c r="K128" i="48"/>
  <c r="K127" i="48"/>
  <c r="M126" i="48"/>
  <c r="N126" i="48" s="1"/>
  <c r="K123" i="48"/>
  <c r="K122" i="48"/>
  <c r="K121" i="48"/>
  <c r="K120" i="48"/>
  <c r="K118" i="48"/>
  <c r="K116" i="48"/>
  <c r="K115" i="48"/>
  <c r="K114" i="48"/>
  <c r="K113" i="48"/>
  <c r="K112" i="48"/>
  <c r="M110" i="48"/>
  <c r="K109" i="48"/>
  <c r="K108" i="48"/>
  <c r="K107" i="48"/>
  <c r="K106" i="48"/>
  <c r="K105" i="48"/>
  <c r="M105" i="48" s="1"/>
  <c r="K104" i="48"/>
  <c r="K103" i="48"/>
  <c r="K101" i="48"/>
  <c r="K100" i="48"/>
  <c r="K98" i="48"/>
  <c r="K97" i="48"/>
  <c r="K96" i="48"/>
  <c r="K95" i="48"/>
  <c r="K93" i="48"/>
  <c r="K92" i="48"/>
  <c r="Q87" i="48"/>
  <c r="P87" i="48"/>
  <c r="M87" i="48"/>
  <c r="Q86" i="48"/>
  <c r="P86" i="48"/>
  <c r="M86" i="48"/>
  <c r="P85" i="48"/>
  <c r="I85" i="48"/>
  <c r="P84" i="48"/>
  <c r="I84" i="48"/>
  <c r="M84" i="48"/>
  <c r="P83" i="48"/>
  <c r="I83" i="48"/>
  <c r="Q82" i="48"/>
  <c r="P82" i="48"/>
  <c r="K81" i="48"/>
  <c r="K80" i="48"/>
  <c r="K79" i="48"/>
  <c r="K78" i="48"/>
  <c r="K77" i="48"/>
  <c r="K76" i="48"/>
  <c r="K75" i="48"/>
  <c r="K74" i="48"/>
  <c r="K73" i="48"/>
  <c r="K72" i="48"/>
  <c r="K71" i="48"/>
  <c r="K68" i="48"/>
  <c r="K67" i="48"/>
  <c r="K65" i="48"/>
  <c r="K64" i="48"/>
  <c r="M62" i="48"/>
  <c r="M61" i="48"/>
  <c r="N61" i="48" s="1"/>
  <c r="K59" i="48"/>
  <c r="K58" i="48"/>
  <c r="K54" i="48"/>
  <c r="K53" i="48"/>
  <c r="K52" i="48"/>
  <c r="K51" i="48"/>
  <c r="K50" i="48"/>
  <c r="K49" i="48"/>
  <c r="K48" i="48"/>
  <c r="K46" i="48"/>
  <c r="K43" i="48"/>
  <c r="K42" i="48"/>
  <c r="K40" i="48"/>
  <c r="K39" i="48"/>
  <c r="K34" i="48"/>
  <c r="K33" i="48"/>
  <c r="K32" i="48"/>
  <c r="K31" i="48"/>
  <c r="K30" i="48"/>
  <c r="K29" i="48"/>
  <c r="K28" i="48"/>
  <c r="K26" i="48"/>
  <c r="K25" i="48"/>
  <c r="K24" i="48"/>
  <c r="K23" i="48"/>
  <c r="K21" i="48"/>
  <c r="K20" i="48"/>
  <c r="K18" i="48"/>
  <c r="K17" i="48"/>
  <c r="K16" i="48"/>
  <c r="K15" i="48"/>
  <c r="K14" i="48"/>
  <c r="K12" i="48"/>
  <c r="K11" i="48"/>
  <c r="K8" i="48"/>
  <c r="K7" i="48"/>
  <c r="K2" i="48"/>
  <c r="I2" i="48"/>
  <c r="H2" i="48"/>
  <c r="G2" i="48"/>
  <c r="I7" i="48" s="1"/>
  <c r="E2" i="48"/>
  <c r="Z169" i="47"/>
  <c r="Q167" i="47"/>
  <c r="P167" i="47"/>
  <c r="M167" i="47"/>
  <c r="Q166" i="47"/>
  <c r="P166" i="47"/>
  <c r="M166" i="47"/>
  <c r="Q165" i="47"/>
  <c r="P165" i="47"/>
  <c r="M165" i="47"/>
  <c r="Q164" i="47"/>
  <c r="P164" i="47"/>
  <c r="M164" i="47"/>
  <c r="K163" i="47"/>
  <c r="K162" i="47"/>
  <c r="Q160" i="47"/>
  <c r="P160" i="47"/>
  <c r="M160" i="47"/>
  <c r="K159" i="47"/>
  <c r="Q158" i="47"/>
  <c r="P158" i="47"/>
  <c r="M158" i="47"/>
  <c r="Q157" i="47"/>
  <c r="P157" i="47"/>
  <c r="M157" i="47"/>
  <c r="K156" i="47"/>
  <c r="K155" i="47"/>
  <c r="K154" i="47"/>
  <c r="K153" i="47"/>
  <c r="K152" i="47"/>
  <c r="K151" i="47"/>
  <c r="Q148" i="47"/>
  <c r="P148" i="47"/>
  <c r="Q147" i="47"/>
  <c r="P147" i="47"/>
  <c r="Q146" i="47"/>
  <c r="P146" i="47"/>
  <c r="Q145" i="47"/>
  <c r="P145" i="47"/>
  <c r="K144" i="47"/>
  <c r="M144" i="47" s="1"/>
  <c r="K143" i="47"/>
  <c r="M143" i="47" s="1"/>
  <c r="K142" i="47"/>
  <c r="M142" i="47" s="1"/>
  <c r="N142" i="47" s="1"/>
  <c r="O142" i="47" s="1"/>
  <c r="P142" i="47" s="1"/>
  <c r="K140" i="47"/>
  <c r="M140" i="47" s="1"/>
  <c r="I139" i="47"/>
  <c r="M139" i="47" s="1"/>
  <c r="N139" i="47" s="1"/>
  <c r="I138" i="47"/>
  <c r="M138" i="47" s="1"/>
  <c r="N138" i="47" s="1"/>
  <c r="O138" i="47" s="1"/>
  <c r="K137" i="47"/>
  <c r="M137" i="47" s="1"/>
  <c r="K136" i="47"/>
  <c r="M136" i="47" s="1"/>
  <c r="K135" i="47"/>
  <c r="M135" i="47"/>
  <c r="K133" i="47"/>
  <c r="M133" i="47" s="1"/>
  <c r="K132" i="47"/>
  <c r="M132" i="47" s="1"/>
  <c r="N132" i="47" s="1"/>
  <c r="K131" i="47"/>
  <c r="M131" i="47" s="1"/>
  <c r="K128" i="47"/>
  <c r="M128" i="47" s="1"/>
  <c r="K127" i="47"/>
  <c r="M126" i="47"/>
  <c r="N126" i="47" s="1"/>
  <c r="K123" i="47"/>
  <c r="K122" i="47"/>
  <c r="K121" i="47"/>
  <c r="K120" i="47"/>
  <c r="K118" i="47"/>
  <c r="I118" i="47"/>
  <c r="K116" i="47"/>
  <c r="K115" i="47"/>
  <c r="K114" i="47"/>
  <c r="K113" i="47"/>
  <c r="K112" i="47"/>
  <c r="M110" i="47"/>
  <c r="N110" i="47" s="1"/>
  <c r="K109" i="47"/>
  <c r="K108" i="47"/>
  <c r="I108" i="47"/>
  <c r="K107" i="47"/>
  <c r="K106" i="47"/>
  <c r="I106" i="47"/>
  <c r="K105" i="47"/>
  <c r="M105" i="47" s="1"/>
  <c r="K104" i="47"/>
  <c r="K103" i="47"/>
  <c r="K101" i="47"/>
  <c r="M101" i="47" s="1"/>
  <c r="K100" i="47"/>
  <c r="K98" i="47"/>
  <c r="K97" i="47"/>
  <c r="K96" i="47"/>
  <c r="K95" i="47"/>
  <c r="K93" i="47"/>
  <c r="K92" i="47"/>
  <c r="Q87" i="47"/>
  <c r="P87" i="47"/>
  <c r="M87" i="47"/>
  <c r="Q86" i="47"/>
  <c r="P86" i="47"/>
  <c r="M86" i="47"/>
  <c r="P85" i="47"/>
  <c r="I85" i="47"/>
  <c r="M85" i="47"/>
  <c r="P84" i="47"/>
  <c r="I84" i="47"/>
  <c r="Q84" i="47" s="1"/>
  <c r="P83" i="47"/>
  <c r="I83" i="47"/>
  <c r="M83" i="47" s="1"/>
  <c r="Q82" i="47"/>
  <c r="P82" i="47"/>
  <c r="K81" i="47"/>
  <c r="K80" i="47"/>
  <c r="K79" i="47"/>
  <c r="K78" i="47"/>
  <c r="K77" i="47"/>
  <c r="K76" i="47"/>
  <c r="K75" i="47"/>
  <c r="K74" i="47"/>
  <c r="K73" i="47"/>
  <c r="K72" i="47"/>
  <c r="K71" i="47"/>
  <c r="K68" i="47"/>
  <c r="K67" i="47"/>
  <c r="K65" i="47"/>
  <c r="K64" i="47"/>
  <c r="M62" i="47"/>
  <c r="M61" i="47"/>
  <c r="K59" i="47"/>
  <c r="M59" i="47" s="1"/>
  <c r="K58" i="47"/>
  <c r="M58" i="47" s="1"/>
  <c r="K54" i="47"/>
  <c r="K53" i="47"/>
  <c r="K52" i="47"/>
  <c r="K51" i="47"/>
  <c r="K50" i="47"/>
  <c r="K49" i="47"/>
  <c r="K48" i="47"/>
  <c r="K46" i="47"/>
  <c r="K43" i="47"/>
  <c r="K42" i="47"/>
  <c r="K40" i="47"/>
  <c r="K39" i="47"/>
  <c r="K34" i="47"/>
  <c r="K33" i="47"/>
  <c r="K32" i="47"/>
  <c r="K31" i="47"/>
  <c r="K30" i="47"/>
  <c r="K29" i="47"/>
  <c r="K28" i="47"/>
  <c r="K26" i="47"/>
  <c r="K25" i="47"/>
  <c r="K24" i="47"/>
  <c r="K23" i="47"/>
  <c r="K21" i="47"/>
  <c r="K20" i="47"/>
  <c r="K18" i="47"/>
  <c r="K17" i="47"/>
  <c r="K16" i="47"/>
  <c r="K15" i="47"/>
  <c r="K14" i="47"/>
  <c r="K12" i="47"/>
  <c r="K11" i="47"/>
  <c r="K8" i="47"/>
  <c r="K7" i="47"/>
  <c r="K2" i="47"/>
  <c r="H2" i="47"/>
  <c r="I43" i="47" s="1"/>
  <c r="G2" i="47"/>
  <c r="E2" i="47"/>
  <c r="Z169" i="46"/>
  <c r="Q167" i="46"/>
  <c r="P167" i="46"/>
  <c r="M167" i="46"/>
  <c r="Q166" i="46"/>
  <c r="P166" i="46"/>
  <c r="M166" i="46"/>
  <c r="Q165" i="46"/>
  <c r="P165" i="46"/>
  <c r="M165" i="46"/>
  <c r="Q164" i="46"/>
  <c r="P164" i="46"/>
  <c r="M164" i="46"/>
  <c r="K163" i="46"/>
  <c r="K162" i="46"/>
  <c r="Q160" i="46"/>
  <c r="P160" i="46"/>
  <c r="M160" i="46"/>
  <c r="Q159" i="46"/>
  <c r="P159" i="46"/>
  <c r="M159" i="46"/>
  <c r="Q158" i="46"/>
  <c r="P158" i="46"/>
  <c r="M158" i="46"/>
  <c r="Q157" i="46"/>
  <c r="P157" i="46"/>
  <c r="M157" i="46"/>
  <c r="K156" i="46"/>
  <c r="K155" i="46"/>
  <c r="K154" i="46"/>
  <c r="K153" i="46"/>
  <c r="K152" i="46"/>
  <c r="K151" i="46"/>
  <c r="Q148" i="46"/>
  <c r="P148" i="46"/>
  <c r="Q147" i="46"/>
  <c r="P147" i="46"/>
  <c r="Q146" i="46"/>
  <c r="P146" i="46"/>
  <c r="Q145" i="46"/>
  <c r="P145" i="46"/>
  <c r="K144" i="46"/>
  <c r="K143" i="46"/>
  <c r="K142" i="46"/>
  <c r="K140" i="46"/>
  <c r="K137" i="46"/>
  <c r="K136" i="46"/>
  <c r="K135" i="46"/>
  <c r="K133" i="46"/>
  <c r="K132" i="46"/>
  <c r="K131" i="46"/>
  <c r="K128" i="46"/>
  <c r="K127" i="46"/>
  <c r="M126" i="46"/>
  <c r="K123" i="46"/>
  <c r="K122" i="46"/>
  <c r="K121" i="46"/>
  <c r="K120" i="46"/>
  <c r="K118" i="46"/>
  <c r="K116" i="46"/>
  <c r="K115" i="46"/>
  <c r="K114" i="46"/>
  <c r="K113" i="46"/>
  <c r="K112" i="46"/>
  <c r="M110" i="46"/>
  <c r="K109" i="46"/>
  <c r="K108" i="46"/>
  <c r="K107" i="46"/>
  <c r="K106" i="46"/>
  <c r="K105" i="46"/>
  <c r="M105" i="46" s="1"/>
  <c r="N105" i="46" s="1"/>
  <c r="O105" i="46" s="1"/>
  <c r="K104" i="46"/>
  <c r="K103" i="46"/>
  <c r="K101" i="46"/>
  <c r="K100" i="46"/>
  <c r="K98" i="46"/>
  <c r="K97" i="46"/>
  <c r="K96" i="46"/>
  <c r="K95" i="46"/>
  <c r="K93" i="46"/>
  <c r="K92" i="46"/>
  <c r="Q87" i="46"/>
  <c r="P87" i="46"/>
  <c r="M87" i="46"/>
  <c r="Q86" i="46"/>
  <c r="P86" i="46"/>
  <c r="M86" i="46"/>
  <c r="P85" i="46"/>
  <c r="I85" i="46"/>
  <c r="P84" i="46"/>
  <c r="I84" i="46"/>
  <c r="Q84" i="46" s="1"/>
  <c r="P83" i="46"/>
  <c r="I83" i="46"/>
  <c r="Q82" i="46"/>
  <c r="P82" i="46"/>
  <c r="K81" i="46"/>
  <c r="K80" i="46"/>
  <c r="K79" i="46"/>
  <c r="K78" i="46"/>
  <c r="K77" i="46"/>
  <c r="K76" i="46"/>
  <c r="K75" i="46"/>
  <c r="K74" i="46"/>
  <c r="K73" i="46"/>
  <c r="K72" i="46"/>
  <c r="K71" i="46"/>
  <c r="K68" i="46"/>
  <c r="K67" i="46"/>
  <c r="K65" i="46"/>
  <c r="K64" i="46"/>
  <c r="M62" i="46"/>
  <c r="M61" i="46"/>
  <c r="K59" i="46"/>
  <c r="K58" i="46"/>
  <c r="K54" i="46"/>
  <c r="K53" i="46"/>
  <c r="K52" i="46"/>
  <c r="K51" i="46"/>
  <c r="K50" i="46"/>
  <c r="K49" i="46"/>
  <c r="K48" i="46"/>
  <c r="K46" i="46"/>
  <c r="K43" i="46"/>
  <c r="K42" i="46"/>
  <c r="K40" i="46"/>
  <c r="K39" i="46"/>
  <c r="K34" i="46"/>
  <c r="K33" i="46"/>
  <c r="K32" i="46"/>
  <c r="K31" i="46"/>
  <c r="K30" i="46"/>
  <c r="K29" i="46"/>
  <c r="K28" i="46"/>
  <c r="K26" i="46"/>
  <c r="K25" i="46"/>
  <c r="K24" i="46"/>
  <c r="K23" i="46"/>
  <c r="K21" i="46"/>
  <c r="K20" i="46"/>
  <c r="K18" i="46"/>
  <c r="K17" i="46"/>
  <c r="K16" i="46"/>
  <c r="K15" i="46"/>
  <c r="K14" i="46"/>
  <c r="K12" i="46"/>
  <c r="K11" i="46"/>
  <c r="K8" i="46"/>
  <c r="K7" i="46"/>
  <c r="K2" i="46"/>
  <c r="I140" i="46" s="1"/>
  <c r="I2" i="46"/>
  <c r="I59" i="46" s="1"/>
  <c r="H2" i="46"/>
  <c r="G2" i="46"/>
  <c r="E2" i="46"/>
  <c r="I55" i="46" s="1"/>
  <c r="M55" i="46" s="1"/>
  <c r="N55" i="46" s="1"/>
  <c r="P234" i="45"/>
  <c r="P233" i="45"/>
  <c r="P232" i="45"/>
  <c r="Q231" i="45"/>
  <c r="P231" i="45"/>
  <c r="K230" i="45"/>
  <c r="P229" i="45"/>
  <c r="K229" i="45"/>
  <c r="M229" i="45" s="1"/>
  <c r="K227" i="45"/>
  <c r="K226" i="45"/>
  <c r="M226" i="45" s="1"/>
  <c r="N226" i="45" s="1"/>
  <c r="K225" i="45"/>
  <c r="M225" i="45" s="1"/>
  <c r="K223" i="45"/>
  <c r="M223" i="45" s="1"/>
  <c r="K222" i="45"/>
  <c r="M222" i="45" s="1"/>
  <c r="K221" i="45"/>
  <c r="M221" i="45" s="1"/>
  <c r="M219" i="45"/>
  <c r="K218" i="45"/>
  <c r="M218" i="45" s="1"/>
  <c r="K217" i="45"/>
  <c r="M217" i="45" s="1"/>
  <c r="Q217" i="45" s="1"/>
  <c r="M216" i="45"/>
  <c r="Q216" i="45" s="1"/>
  <c r="K215" i="45"/>
  <c r="M215" i="45" s="1"/>
  <c r="M213" i="45"/>
  <c r="K212" i="45"/>
  <c r="M212" i="45" s="1"/>
  <c r="K211" i="45"/>
  <c r="M211" i="45" s="1"/>
  <c r="Q211" i="45" s="1"/>
  <c r="K210" i="45"/>
  <c r="M210" i="45" s="1"/>
  <c r="K209" i="45"/>
  <c r="M209" i="45" s="1"/>
  <c r="N209" i="45" s="1"/>
  <c r="K206" i="45"/>
  <c r="K205" i="45"/>
  <c r="K204" i="45"/>
  <c r="K203" i="45"/>
  <c r="K202" i="45"/>
  <c r="K201" i="45"/>
  <c r="K199" i="45"/>
  <c r="M199" i="45" s="1"/>
  <c r="K198" i="45"/>
  <c r="M198" i="45" s="1"/>
  <c r="M197" i="45"/>
  <c r="M195" i="45"/>
  <c r="Q195" i="45" s="1"/>
  <c r="K194" i="45"/>
  <c r="K193" i="45"/>
  <c r="K192" i="45"/>
  <c r="K191" i="45"/>
  <c r="Q189" i="45"/>
  <c r="N189" i="45"/>
  <c r="O189" i="45" s="1"/>
  <c r="BH36" i="43" s="1"/>
  <c r="K188" i="45"/>
  <c r="M187" i="45"/>
  <c r="M186" i="45"/>
  <c r="N186" i="45" s="1"/>
  <c r="K185" i="45"/>
  <c r="M184" i="45"/>
  <c r="Q184" i="45" s="1"/>
  <c r="K183" i="45"/>
  <c r="K182" i="45"/>
  <c r="I182" i="45"/>
  <c r="K181" i="45"/>
  <c r="K180" i="45"/>
  <c r="K179" i="45"/>
  <c r="K178" i="45"/>
  <c r="K177" i="45"/>
  <c r="K176" i="45"/>
  <c r="K173" i="45"/>
  <c r="M172" i="45"/>
  <c r="K171" i="45"/>
  <c r="M171" i="45" s="1"/>
  <c r="N171" i="45" s="1"/>
  <c r="K169" i="45"/>
  <c r="K168" i="45"/>
  <c r="K166" i="45"/>
  <c r="I166" i="45"/>
  <c r="K165" i="45"/>
  <c r="I165" i="45"/>
  <c r="K163" i="45"/>
  <c r="K162" i="45"/>
  <c r="K161" i="45"/>
  <c r="K160" i="45"/>
  <c r="I160" i="45"/>
  <c r="K159" i="45"/>
  <c r="I159" i="45"/>
  <c r="K157" i="45"/>
  <c r="M157" i="45" s="1"/>
  <c r="Q157" i="45" s="1"/>
  <c r="K156" i="45"/>
  <c r="K155" i="45"/>
  <c r="K153" i="45"/>
  <c r="K152" i="45"/>
  <c r="K149" i="45"/>
  <c r="K148" i="45"/>
  <c r="K147" i="45"/>
  <c r="K146" i="45"/>
  <c r="K145" i="45"/>
  <c r="K144" i="45"/>
  <c r="K143" i="45"/>
  <c r="K141" i="45"/>
  <c r="M141" i="45" s="1"/>
  <c r="M140" i="45"/>
  <c r="N140" i="45" s="1"/>
  <c r="K139" i="45"/>
  <c r="M139" i="45" s="1"/>
  <c r="N139" i="45" s="1"/>
  <c r="M137" i="45"/>
  <c r="Q137" i="45" s="1"/>
  <c r="M136" i="45"/>
  <c r="N136" i="45" s="1"/>
  <c r="M135" i="45"/>
  <c r="Q135" i="45" s="1"/>
  <c r="M134" i="45"/>
  <c r="M133" i="45"/>
  <c r="I131" i="45"/>
  <c r="I132" i="45" s="1"/>
  <c r="M132" i="45" s="1"/>
  <c r="N132" i="45" s="1"/>
  <c r="O132" i="45" s="1"/>
  <c r="M129" i="45"/>
  <c r="Q129" i="45" s="1"/>
  <c r="K125" i="45"/>
  <c r="K124" i="45"/>
  <c r="K123" i="45"/>
  <c r="K122" i="45"/>
  <c r="K121" i="45"/>
  <c r="K120" i="45"/>
  <c r="K118" i="45"/>
  <c r="M118" i="45" s="1"/>
  <c r="K117" i="45"/>
  <c r="K116" i="45"/>
  <c r="K114" i="45"/>
  <c r="M114" i="45" s="1"/>
  <c r="K113" i="45"/>
  <c r="K111" i="45"/>
  <c r="K110" i="45"/>
  <c r="K109" i="45"/>
  <c r="P105" i="45"/>
  <c r="M105" i="45"/>
  <c r="Q105" i="45" s="1"/>
  <c r="K104" i="45"/>
  <c r="K102" i="45"/>
  <c r="M102" i="45" s="1"/>
  <c r="Q102" i="45" s="1"/>
  <c r="K101" i="45"/>
  <c r="K100" i="45"/>
  <c r="K99" i="45"/>
  <c r="G99" i="45"/>
  <c r="K98" i="45"/>
  <c r="Q96" i="45"/>
  <c r="P96" i="45"/>
  <c r="K96" i="45"/>
  <c r="Q95" i="45"/>
  <c r="P95" i="45"/>
  <c r="K95" i="45"/>
  <c r="Q94" i="45"/>
  <c r="P94" i="45"/>
  <c r="Q93" i="45"/>
  <c r="P93" i="45"/>
  <c r="Q92" i="45"/>
  <c r="P92" i="45"/>
  <c r="L92" i="45"/>
  <c r="Q91" i="45"/>
  <c r="P91" i="45"/>
  <c r="L91" i="45"/>
  <c r="Q90" i="45"/>
  <c r="P90" i="45"/>
  <c r="L90" i="45"/>
  <c r="Q89" i="45"/>
  <c r="P89" i="45"/>
  <c r="Q88" i="45"/>
  <c r="P88" i="45"/>
  <c r="L88" i="45"/>
  <c r="Q87" i="45"/>
  <c r="P87" i="45"/>
  <c r="K87" i="45"/>
  <c r="Q86" i="45"/>
  <c r="P86" i="45"/>
  <c r="O85" i="45"/>
  <c r="N85" i="45"/>
  <c r="BJ15" i="43" s="1"/>
  <c r="M85" i="45"/>
  <c r="Q85" i="45" s="1"/>
  <c r="Q84" i="45"/>
  <c r="N84" i="45"/>
  <c r="O84" i="45" s="1"/>
  <c r="K84" i="45"/>
  <c r="Q83" i="45"/>
  <c r="N83" i="45"/>
  <c r="O83" i="45" s="1"/>
  <c r="K83" i="45"/>
  <c r="Q82" i="45"/>
  <c r="N82" i="45"/>
  <c r="O82" i="45" s="1"/>
  <c r="K82" i="45"/>
  <c r="Q81" i="45"/>
  <c r="N81" i="45"/>
  <c r="O81" i="45" s="1"/>
  <c r="K81" i="45"/>
  <c r="Q80" i="45"/>
  <c r="N80" i="45"/>
  <c r="K80" i="45"/>
  <c r="Q79" i="45"/>
  <c r="O79" i="45"/>
  <c r="M78" i="45"/>
  <c r="Q78" i="45" s="1"/>
  <c r="Q74" i="45"/>
  <c r="N74" i="45"/>
  <c r="K74" i="45"/>
  <c r="K71" i="45"/>
  <c r="M71" i="45" s="1"/>
  <c r="K70" i="45"/>
  <c r="M70" i="45" s="1"/>
  <c r="Q70" i="45" s="1"/>
  <c r="K69" i="45"/>
  <c r="K67" i="45"/>
  <c r="K66" i="45"/>
  <c r="K65" i="45"/>
  <c r="K64" i="45"/>
  <c r="K63" i="45"/>
  <c r="K62" i="45"/>
  <c r="K61" i="45"/>
  <c r="K60" i="45"/>
  <c r="K59" i="45"/>
  <c r="K58" i="45"/>
  <c r="K57" i="45"/>
  <c r="K56" i="45"/>
  <c r="K55" i="45"/>
  <c r="K54" i="45"/>
  <c r="K53" i="45"/>
  <c r="K52" i="45"/>
  <c r="K51" i="45"/>
  <c r="K50" i="45"/>
  <c r="K49" i="45"/>
  <c r="K48" i="45"/>
  <c r="K47" i="45"/>
  <c r="M47" i="45" s="1"/>
  <c r="K46" i="45"/>
  <c r="K45" i="45"/>
  <c r="K44" i="45"/>
  <c r="I44" i="45"/>
  <c r="K43" i="45"/>
  <c r="K42" i="45"/>
  <c r="K41" i="45"/>
  <c r="K40" i="45"/>
  <c r="K39" i="45"/>
  <c r="K38" i="45"/>
  <c r="K37" i="45"/>
  <c r="K36" i="45"/>
  <c r="K35" i="45"/>
  <c r="K34" i="45"/>
  <c r="K33" i="45"/>
  <c r="K32" i="45"/>
  <c r="K28" i="45"/>
  <c r="K27" i="45"/>
  <c r="K26" i="45"/>
  <c r="K25" i="45"/>
  <c r="K24" i="45"/>
  <c r="K23" i="45"/>
  <c r="K22" i="45"/>
  <c r="K21" i="45"/>
  <c r="K20" i="45"/>
  <c r="P16" i="45"/>
  <c r="P15" i="45"/>
  <c r="R14" i="45"/>
  <c r="P14" i="45"/>
  <c r="R13" i="45"/>
  <c r="P13" i="45"/>
  <c r="P12" i="45"/>
  <c r="P7" i="45"/>
  <c r="C3" i="45"/>
  <c r="I20" i="45" s="1"/>
  <c r="F46" i="44"/>
  <c r="G46" i="44" s="1"/>
  <c r="F40" i="44"/>
  <c r="D40" i="44"/>
  <c r="D51" i="44" s="1"/>
  <c r="F39" i="44"/>
  <c r="D39" i="44"/>
  <c r="D50" i="44" s="1"/>
  <c r="F38" i="44"/>
  <c r="D38" i="44"/>
  <c r="D49" i="44" s="1"/>
  <c r="F37" i="44"/>
  <c r="G37" i="44" s="1"/>
  <c r="D37" i="44"/>
  <c r="D48" i="44" s="1"/>
  <c r="F36" i="44"/>
  <c r="E36" i="44"/>
  <c r="E47" i="44" s="1"/>
  <c r="D36" i="44"/>
  <c r="D47" i="44" s="1"/>
  <c r="G35" i="44"/>
  <c r="E35" i="44"/>
  <c r="E46" i="44" s="1"/>
  <c r="D35" i="44"/>
  <c r="D46" i="44" s="1"/>
  <c r="I31" i="44"/>
  <c r="H30" i="44"/>
  <c r="H31" i="44" s="1"/>
  <c r="G30" i="44"/>
  <c r="H29" i="44"/>
  <c r="G29" i="44"/>
  <c r="H27" i="44"/>
  <c r="G27" i="44"/>
  <c r="E23" i="44"/>
  <c r="G23" i="44" s="1"/>
  <c r="O20" i="44"/>
  <c r="P20" i="44" s="1"/>
  <c r="M16" i="44"/>
  <c r="M12" i="44"/>
  <c r="M11" i="44"/>
  <c r="M10" i="44"/>
  <c r="K8" i="44"/>
  <c r="I8" i="44"/>
  <c r="M8" i="44" s="1"/>
  <c r="K6" i="44"/>
  <c r="K5" i="44"/>
  <c r="BD51" i="43"/>
  <c r="BC51" i="43"/>
  <c r="BA51" i="43"/>
  <c r="AZ51" i="43"/>
  <c r="AX51" i="43"/>
  <c r="AW51" i="43"/>
  <c r="AU51" i="43"/>
  <c r="AT51" i="43"/>
  <c r="AR51" i="43"/>
  <c r="AQ51" i="43"/>
  <c r="AO51" i="43"/>
  <c r="AN51" i="43"/>
  <c r="AL51" i="43"/>
  <c r="AK51" i="43"/>
  <c r="BI43" i="43"/>
  <c r="BC43" i="43"/>
  <c r="AZ43" i="43"/>
  <c r="AW43" i="43"/>
  <c r="AT43" i="43"/>
  <c r="AQ43" i="43"/>
  <c r="AN43" i="43"/>
  <c r="AK43" i="43"/>
  <c r="AB42" i="43"/>
  <c r="AA42" i="43"/>
  <c r="Z42" i="43"/>
  <c r="BJ41" i="43"/>
  <c r="BI41" i="43"/>
  <c r="BH41" i="43"/>
  <c r="BN41" i="43" s="1"/>
  <c r="AB41" i="43"/>
  <c r="AA41" i="43"/>
  <c r="Z41" i="43"/>
  <c r="AB40" i="43"/>
  <c r="AA40" i="43"/>
  <c r="Z40" i="43"/>
  <c r="AB39" i="43"/>
  <c r="AA39" i="43"/>
  <c r="Z39" i="43"/>
  <c r="AB38" i="43"/>
  <c r="AA38" i="43"/>
  <c r="Z38" i="43"/>
  <c r="AB37" i="43"/>
  <c r="AA37" i="43"/>
  <c r="Z37" i="43"/>
  <c r="BI36" i="43"/>
  <c r="AK36" i="43" s="1"/>
  <c r="AB36" i="43"/>
  <c r="AA36" i="43"/>
  <c r="Z36" i="43"/>
  <c r="AB35" i="43"/>
  <c r="AA35" i="43"/>
  <c r="Z35" i="43"/>
  <c r="BD34" i="43"/>
  <c r="BC34" i="43"/>
  <c r="BB34" i="43"/>
  <c r="AB34" i="43"/>
  <c r="AA34" i="43"/>
  <c r="Z34" i="43"/>
  <c r="AB33" i="43"/>
  <c r="AA33" i="43"/>
  <c r="Z33" i="43"/>
  <c r="AB32" i="43"/>
  <c r="AA32" i="43"/>
  <c r="Z32" i="43"/>
  <c r="AB31" i="43"/>
  <c r="AA31" i="43"/>
  <c r="Z31" i="43"/>
  <c r="BD30" i="43"/>
  <c r="BC30" i="43"/>
  <c r="BB30" i="43"/>
  <c r="AB30" i="43"/>
  <c r="AA30" i="43"/>
  <c r="Z30" i="43"/>
  <c r="AB29" i="43"/>
  <c r="AA29" i="43"/>
  <c r="Z29" i="43"/>
  <c r="AB28" i="43"/>
  <c r="AA28" i="43"/>
  <c r="Z28" i="43"/>
  <c r="AB27" i="43"/>
  <c r="AA27" i="43"/>
  <c r="Z27" i="43"/>
  <c r="AB26" i="43"/>
  <c r="AA26" i="43"/>
  <c r="Z26" i="43"/>
  <c r="BD25" i="43"/>
  <c r="BC25" i="43"/>
  <c r="BB25" i="43"/>
  <c r="AB25" i="43"/>
  <c r="AA25" i="43"/>
  <c r="Z25" i="43"/>
  <c r="AB24" i="43"/>
  <c r="AA24" i="43"/>
  <c r="Z24" i="43"/>
  <c r="AB23" i="43"/>
  <c r="AA23" i="43"/>
  <c r="Z23" i="43"/>
  <c r="AB22" i="43"/>
  <c r="AA22" i="43"/>
  <c r="Z22" i="43"/>
  <c r="AB21" i="43"/>
  <c r="AA21" i="43"/>
  <c r="Z21" i="43"/>
  <c r="AB20" i="43"/>
  <c r="AA20" i="43"/>
  <c r="Z20" i="43"/>
  <c r="AB19" i="43"/>
  <c r="AA19" i="43"/>
  <c r="Z19" i="43"/>
  <c r="AB18" i="43"/>
  <c r="AA18" i="43"/>
  <c r="Z18" i="43"/>
  <c r="AB17" i="43"/>
  <c r="AA17" i="43"/>
  <c r="Z17" i="43"/>
  <c r="AB16" i="43"/>
  <c r="AA16" i="43"/>
  <c r="Z16" i="43"/>
  <c r="AB15" i="43"/>
  <c r="AA15" i="43"/>
  <c r="Z15" i="43"/>
  <c r="AB14" i="43"/>
  <c r="AA14" i="43"/>
  <c r="Z14" i="43"/>
  <c r="BD13" i="43"/>
  <c r="BC13" i="43"/>
  <c r="BB13" i="43"/>
  <c r="AB13" i="43"/>
  <c r="AA13" i="43"/>
  <c r="Z13" i="43"/>
  <c r="AB12" i="43"/>
  <c r="AA12" i="43"/>
  <c r="Z12" i="43"/>
  <c r="BJ11" i="43"/>
  <c r="AB11" i="43"/>
  <c r="AA11" i="43"/>
  <c r="Z11" i="43"/>
  <c r="AB10" i="43"/>
  <c r="AA10" i="43"/>
  <c r="Z10" i="43"/>
  <c r="BD9" i="43"/>
  <c r="BC9" i="43"/>
  <c r="BB9" i="43"/>
  <c r="AB9" i="43"/>
  <c r="AA9" i="43"/>
  <c r="Z9" i="43"/>
  <c r="BD8" i="43"/>
  <c r="BC8" i="43"/>
  <c r="AY8" i="43"/>
  <c r="BA8" i="43" s="1"/>
  <c r="AV8" i="43"/>
  <c r="AS8" i="43"/>
  <c r="AP8" i="43"/>
  <c r="AR8" i="43" s="1"/>
  <c r="AM8" i="43"/>
  <c r="AO8" i="43" s="1"/>
  <c r="AJ8" i="43"/>
  <c r="AM7" i="43"/>
  <c r="AJ7" i="43"/>
  <c r="E15" i="43" s="1"/>
  <c r="AY6" i="43"/>
  <c r="AV6" i="43"/>
  <c r="AW6" i="43" s="1"/>
  <c r="AS6" i="43"/>
  <c r="AT6" i="43" s="1"/>
  <c r="AP6" i="43"/>
  <c r="AQ6" i="43" s="1"/>
  <c r="AM6" i="43"/>
  <c r="AJ6" i="43"/>
  <c r="BE4" i="43"/>
  <c r="BB4" i="43"/>
  <c r="T4" i="43"/>
  <c r="AY4" i="43" s="1"/>
  <c r="Q4" i="43"/>
  <c r="N4" i="43"/>
  <c r="K4" i="43"/>
  <c r="AP4" i="43" s="1"/>
  <c r="H4" i="43"/>
  <c r="AM4" i="43" s="1"/>
  <c r="E4" i="43"/>
  <c r="J43" i="42"/>
  <c r="H43" i="42"/>
  <c r="E43" i="42"/>
  <c r="E44" i="42" s="1"/>
  <c r="I39" i="42"/>
  <c r="F39" i="42"/>
  <c r="I36" i="42"/>
  <c r="J32" i="42"/>
  <c r="H32" i="42"/>
  <c r="G32" i="42"/>
  <c r="F32" i="42"/>
  <c r="D32" i="42"/>
  <c r="I31" i="42"/>
  <c r="I32" i="42" s="1"/>
  <c r="N28" i="42"/>
  <c r="M3" i="45" s="1"/>
  <c r="I46" i="45" s="1"/>
  <c r="M28" i="42"/>
  <c r="J3" i="45" s="1"/>
  <c r="J28" i="42"/>
  <c r="H28" i="42"/>
  <c r="G28" i="42"/>
  <c r="F28" i="42"/>
  <c r="I3" i="45" s="1"/>
  <c r="I28" i="45" s="1"/>
  <c r="D28" i="42"/>
  <c r="I27" i="42"/>
  <c r="AY7" i="43"/>
  <c r="I26" i="42"/>
  <c r="E37" i="44" s="1"/>
  <c r="E48" i="44" s="1"/>
  <c r="I25" i="42"/>
  <c r="I24" i="42"/>
  <c r="E38" i="44" s="1"/>
  <c r="E49" i="44" s="1"/>
  <c r="D8" i="42"/>
  <c r="B6" i="42"/>
  <c r="I2" i="42"/>
  <c r="A14" i="41"/>
  <c r="M14" i="41" s="1"/>
  <c r="A12" i="41"/>
  <c r="A10" i="41"/>
  <c r="A9" i="41"/>
  <c r="A8" i="41"/>
  <c r="A7" i="41"/>
  <c r="A6" i="41"/>
  <c r="A5" i="41"/>
  <c r="H2" i="41"/>
  <c r="P2" i="41" s="1"/>
  <c r="B2" i="41"/>
  <c r="O2" i="41" s="1"/>
  <c r="AA168" i="40"/>
  <c r="P167" i="40"/>
  <c r="M167" i="40"/>
  <c r="P166" i="40"/>
  <c r="M166" i="40"/>
  <c r="P165" i="40"/>
  <c r="M165" i="40"/>
  <c r="P164" i="40"/>
  <c r="M164" i="40"/>
  <c r="L163" i="40"/>
  <c r="K163" i="40" s="1"/>
  <c r="I163" i="40"/>
  <c r="K162" i="40"/>
  <c r="I162" i="40"/>
  <c r="M160" i="40"/>
  <c r="M159" i="40"/>
  <c r="K158" i="40"/>
  <c r="M158" i="40" s="1"/>
  <c r="K157" i="40"/>
  <c r="M157" i="40" s="1"/>
  <c r="N157" i="40" s="1"/>
  <c r="K156" i="40"/>
  <c r="I156" i="40"/>
  <c r="K155" i="40"/>
  <c r="I155" i="40"/>
  <c r="K154" i="40"/>
  <c r="I154" i="40"/>
  <c r="K153" i="40"/>
  <c r="I153" i="40"/>
  <c r="K152" i="40"/>
  <c r="M152" i="40" s="1"/>
  <c r="I152" i="40"/>
  <c r="K151" i="40"/>
  <c r="I151" i="40"/>
  <c r="M148" i="40"/>
  <c r="M147" i="40"/>
  <c r="M146" i="40"/>
  <c r="N146" i="40" s="1"/>
  <c r="M145" i="40"/>
  <c r="K144" i="40"/>
  <c r="M144" i="40" s="1"/>
  <c r="I144" i="40"/>
  <c r="K143" i="40"/>
  <c r="I143" i="40"/>
  <c r="K142" i="40"/>
  <c r="I142" i="40"/>
  <c r="I140" i="40"/>
  <c r="M140" i="40" s="1"/>
  <c r="I139" i="40"/>
  <c r="M139" i="40" s="1"/>
  <c r="N139" i="40" s="1"/>
  <c r="I138" i="40"/>
  <c r="M138" i="40" s="1"/>
  <c r="K137" i="40"/>
  <c r="I137" i="40"/>
  <c r="K136" i="40"/>
  <c r="I136" i="40"/>
  <c r="K135" i="40"/>
  <c r="I135" i="40"/>
  <c r="K133" i="40"/>
  <c r="I133" i="40"/>
  <c r="K132" i="40"/>
  <c r="I132" i="40"/>
  <c r="K131" i="40"/>
  <c r="I131" i="40"/>
  <c r="K128" i="40"/>
  <c r="I128" i="40"/>
  <c r="K127" i="40"/>
  <c r="K126" i="40"/>
  <c r="M126" i="40" s="1"/>
  <c r="K125" i="40"/>
  <c r="K123" i="40"/>
  <c r="K122" i="40"/>
  <c r="I122" i="40"/>
  <c r="M122" i="40" s="1"/>
  <c r="K121" i="40"/>
  <c r="I121" i="40"/>
  <c r="K120" i="40"/>
  <c r="I120" i="40"/>
  <c r="K118" i="40"/>
  <c r="I118" i="40"/>
  <c r="K116" i="40"/>
  <c r="I116" i="40"/>
  <c r="M116" i="40" s="1"/>
  <c r="N116" i="40" s="1"/>
  <c r="K115" i="40"/>
  <c r="I115" i="40"/>
  <c r="K114" i="40"/>
  <c r="I114" i="40"/>
  <c r="K113" i="40"/>
  <c r="M113" i="40" s="1"/>
  <c r="K112" i="40"/>
  <c r="I112" i="40"/>
  <c r="K110" i="40"/>
  <c r="M110" i="40" s="1"/>
  <c r="K109" i="40"/>
  <c r="K108" i="40"/>
  <c r="I108" i="40"/>
  <c r="K107" i="40"/>
  <c r="K106" i="40"/>
  <c r="I106" i="40"/>
  <c r="K105" i="40"/>
  <c r="M105" i="40" s="1"/>
  <c r="K104" i="40"/>
  <c r="K103" i="40"/>
  <c r="K101" i="40"/>
  <c r="K100" i="40"/>
  <c r="K98" i="40"/>
  <c r="K97" i="40"/>
  <c r="K96" i="40"/>
  <c r="K95" i="40"/>
  <c r="K93" i="40"/>
  <c r="K92" i="40"/>
  <c r="P87" i="40"/>
  <c r="M87" i="40"/>
  <c r="P86" i="40"/>
  <c r="M86" i="40"/>
  <c r="P85" i="40"/>
  <c r="I85" i="40"/>
  <c r="M85" i="40" s="1"/>
  <c r="P84" i="40"/>
  <c r="I84" i="40"/>
  <c r="M84" i="40" s="1"/>
  <c r="P83" i="40"/>
  <c r="I83" i="40"/>
  <c r="M83" i="40" s="1"/>
  <c r="P82" i="40"/>
  <c r="K81" i="40"/>
  <c r="K80" i="40"/>
  <c r="K79" i="40"/>
  <c r="K78" i="40"/>
  <c r="K77" i="40"/>
  <c r="K76" i="40"/>
  <c r="K75" i="40"/>
  <c r="K74" i="40"/>
  <c r="K73" i="40"/>
  <c r="K72" i="40"/>
  <c r="K71" i="40"/>
  <c r="K68" i="40"/>
  <c r="K67" i="40"/>
  <c r="K65" i="40"/>
  <c r="K64" i="40"/>
  <c r="M62" i="40"/>
  <c r="N62" i="40" s="1"/>
  <c r="K62" i="40"/>
  <c r="M61" i="40"/>
  <c r="K61" i="40"/>
  <c r="K59" i="40"/>
  <c r="I59" i="40"/>
  <c r="K58" i="40"/>
  <c r="I58" i="40"/>
  <c r="K54" i="40"/>
  <c r="K53" i="40"/>
  <c r="K52" i="40"/>
  <c r="K51" i="40"/>
  <c r="K50" i="40"/>
  <c r="K49" i="40"/>
  <c r="K48" i="40"/>
  <c r="K46" i="40"/>
  <c r="I46" i="40"/>
  <c r="K45" i="40"/>
  <c r="K43" i="40"/>
  <c r="I43" i="40"/>
  <c r="K42" i="40"/>
  <c r="K40" i="40"/>
  <c r="K39" i="40"/>
  <c r="K35" i="40"/>
  <c r="K34" i="40"/>
  <c r="K33" i="40"/>
  <c r="K32" i="40"/>
  <c r="K31" i="40"/>
  <c r="K30" i="40"/>
  <c r="K29" i="40"/>
  <c r="K28" i="40"/>
  <c r="K26" i="40"/>
  <c r="K25" i="40"/>
  <c r="K24" i="40"/>
  <c r="K23" i="40"/>
  <c r="K21" i="40"/>
  <c r="K20" i="40"/>
  <c r="K18" i="40"/>
  <c r="K17" i="40"/>
  <c r="K16" i="40"/>
  <c r="K15" i="40"/>
  <c r="K14" i="40"/>
  <c r="K12" i="40"/>
  <c r="K11" i="40"/>
  <c r="K8" i="40"/>
  <c r="K7" i="40"/>
  <c r="G2" i="40"/>
  <c r="E2" i="40"/>
  <c r="AA168" i="39"/>
  <c r="P167" i="39"/>
  <c r="M167" i="39"/>
  <c r="P166" i="39"/>
  <c r="M166" i="39"/>
  <c r="P165" i="39"/>
  <c r="M165" i="39"/>
  <c r="P164" i="39"/>
  <c r="M164" i="39"/>
  <c r="L163" i="39"/>
  <c r="K162" i="39"/>
  <c r="M160" i="39"/>
  <c r="N160" i="39" s="1"/>
  <c r="O160" i="39" s="1"/>
  <c r="M159" i="39"/>
  <c r="K158" i="39"/>
  <c r="M158" i="39" s="1"/>
  <c r="K157" i="39"/>
  <c r="M157" i="39" s="1"/>
  <c r="K156" i="39"/>
  <c r="K155" i="39"/>
  <c r="K154" i="39"/>
  <c r="K153" i="39"/>
  <c r="K152" i="39"/>
  <c r="K151" i="39"/>
  <c r="M148" i="39"/>
  <c r="N148" i="39" s="1"/>
  <c r="M147" i="39"/>
  <c r="M146" i="39"/>
  <c r="M145" i="39"/>
  <c r="K144" i="39"/>
  <c r="K143" i="39"/>
  <c r="K142" i="39"/>
  <c r="K137" i="39"/>
  <c r="K136" i="39"/>
  <c r="K135" i="39"/>
  <c r="K133" i="39"/>
  <c r="K132" i="39"/>
  <c r="K131" i="39"/>
  <c r="K128" i="39"/>
  <c r="K127" i="39"/>
  <c r="K126" i="39"/>
  <c r="M126" i="39" s="1"/>
  <c r="N126" i="39" s="1"/>
  <c r="K125" i="39"/>
  <c r="K123" i="39"/>
  <c r="K122" i="39"/>
  <c r="K121" i="39"/>
  <c r="K120" i="39"/>
  <c r="K118" i="39"/>
  <c r="K116" i="39"/>
  <c r="K115" i="39"/>
  <c r="K114" i="39"/>
  <c r="K113" i="39"/>
  <c r="K112" i="39"/>
  <c r="K110" i="39"/>
  <c r="M110" i="39" s="1"/>
  <c r="K109" i="39"/>
  <c r="K108" i="39"/>
  <c r="K107" i="39"/>
  <c r="K106" i="39"/>
  <c r="K105" i="39"/>
  <c r="M105" i="39" s="1"/>
  <c r="K104" i="39"/>
  <c r="K103" i="39"/>
  <c r="K101" i="39"/>
  <c r="K100" i="39"/>
  <c r="K98" i="39"/>
  <c r="K97" i="39"/>
  <c r="K96" i="39"/>
  <c r="K95" i="39"/>
  <c r="K93" i="39"/>
  <c r="K92" i="39"/>
  <c r="P87" i="39"/>
  <c r="M87" i="39"/>
  <c r="P86" i="39"/>
  <c r="M86" i="39"/>
  <c r="P85" i="39"/>
  <c r="I85" i="39"/>
  <c r="M85" i="39" s="1"/>
  <c r="P84" i="39"/>
  <c r="I84" i="39"/>
  <c r="M84" i="39" s="1"/>
  <c r="P83" i="39"/>
  <c r="I83" i="39"/>
  <c r="M83" i="39" s="1"/>
  <c r="P82" i="39"/>
  <c r="K81" i="39"/>
  <c r="K80" i="39"/>
  <c r="K79" i="39"/>
  <c r="K78" i="39"/>
  <c r="K77" i="39"/>
  <c r="K76" i="39"/>
  <c r="K75" i="39"/>
  <c r="K74" i="39"/>
  <c r="K73" i="39"/>
  <c r="K72" i="39"/>
  <c r="K71" i="39"/>
  <c r="K68" i="39"/>
  <c r="K67" i="39"/>
  <c r="K65" i="39"/>
  <c r="K64" i="39"/>
  <c r="M62" i="39"/>
  <c r="K62" i="39"/>
  <c r="M61" i="39"/>
  <c r="K61" i="39"/>
  <c r="K59" i="39"/>
  <c r="K58" i="39"/>
  <c r="K54" i="39"/>
  <c r="K53" i="39"/>
  <c r="K52" i="39"/>
  <c r="K51" i="39"/>
  <c r="K50" i="39"/>
  <c r="K49" i="39"/>
  <c r="K48" i="39"/>
  <c r="K46" i="39"/>
  <c r="K45" i="39"/>
  <c r="K43" i="39"/>
  <c r="K42" i="39"/>
  <c r="K40" i="39"/>
  <c r="K39" i="39"/>
  <c r="K35" i="39"/>
  <c r="K34" i="39"/>
  <c r="K33" i="39"/>
  <c r="K32" i="39"/>
  <c r="K31" i="39"/>
  <c r="K30" i="39"/>
  <c r="K29" i="39"/>
  <c r="K28" i="39"/>
  <c r="K26" i="39"/>
  <c r="K25" i="39"/>
  <c r="K24" i="39"/>
  <c r="K23" i="39"/>
  <c r="K21" i="39"/>
  <c r="K20" i="39"/>
  <c r="K18" i="39"/>
  <c r="K17" i="39"/>
  <c r="K16" i="39"/>
  <c r="K15" i="39"/>
  <c r="K14" i="39"/>
  <c r="K12" i="39"/>
  <c r="K11" i="39"/>
  <c r="K8" i="39"/>
  <c r="K7" i="39"/>
  <c r="J2" i="39"/>
  <c r="I2" i="39"/>
  <c r="I133" i="39" s="1"/>
  <c r="H2" i="39"/>
  <c r="G2" i="39"/>
  <c r="E2" i="39"/>
  <c r="I49" i="39" s="1"/>
  <c r="M71" i="38"/>
  <c r="M72" i="38" s="1"/>
  <c r="AA69" i="38"/>
  <c r="K68" i="38"/>
  <c r="K67" i="38"/>
  <c r="K65" i="38"/>
  <c r="K64" i="38"/>
  <c r="K62" i="38"/>
  <c r="M62" i="38" s="1"/>
  <c r="K61" i="38"/>
  <c r="M61" i="38" s="1"/>
  <c r="K59" i="38"/>
  <c r="I59" i="38"/>
  <c r="K58" i="38"/>
  <c r="I58" i="38"/>
  <c r="K55" i="38"/>
  <c r="K54" i="38"/>
  <c r="K53" i="38"/>
  <c r="K52" i="38"/>
  <c r="K51" i="38"/>
  <c r="K50" i="38"/>
  <c r="K49" i="38"/>
  <c r="K48" i="38"/>
  <c r="K46" i="38"/>
  <c r="I46" i="38"/>
  <c r="K45" i="38"/>
  <c r="K43" i="38"/>
  <c r="I43" i="38"/>
  <c r="K42" i="38"/>
  <c r="K40" i="38"/>
  <c r="K39" i="38"/>
  <c r="K35" i="38"/>
  <c r="K34" i="38"/>
  <c r="K33" i="38"/>
  <c r="K32" i="38"/>
  <c r="K31" i="38"/>
  <c r="K30" i="38"/>
  <c r="K29" i="38"/>
  <c r="K28" i="38"/>
  <c r="K26" i="38"/>
  <c r="K25" i="38"/>
  <c r="K24" i="38"/>
  <c r="K23" i="38"/>
  <c r="K21" i="38"/>
  <c r="K20" i="38"/>
  <c r="K18" i="38"/>
  <c r="K17" i="38"/>
  <c r="K16" i="38"/>
  <c r="K15" i="38"/>
  <c r="K14" i="38"/>
  <c r="K12" i="38"/>
  <c r="K11" i="38"/>
  <c r="K8" i="38"/>
  <c r="K7" i="38"/>
  <c r="Z169" i="36"/>
  <c r="Q167" i="36"/>
  <c r="P167" i="36"/>
  <c r="M167" i="36"/>
  <c r="Q166" i="36"/>
  <c r="P166" i="36"/>
  <c r="M166" i="36"/>
  <c r="Q165" i="36"/>
  <c r="P165" i="36"/>
  <c r="M165" i="36"/>
  <c r="Q164" i="36"/>
  <c r="P164" i="36"/>
  <c r="M164" i="36"/>
  <c r="K163" i="36"/>
  <c r="K162" i="36"/>
  <c r="Q160" i="36"/>
  <c r="P160" i="36"/>
  <c r="M160" i="36"/>
  <c r="Q159" i="36"/>
  <c r="P159" i="36"/>
  <c r="M159" i="36"/>
  <c r="Q158" i="36"/>
  <c r="P158" i="36"/>
  <c r="M158" i="36"/>
  <c r="Q157" i="36"/>
  <c r="P157" i="36"/>
  <c r="M157" i="36"/>
  <c r="K156" i="36"/>
  <c r="K155" i="36"/>
  <c r="K154" i="36"/>
  <c r="K153" i="36"/>
  <c r="K152" i="36"/>
  <c r="K151" i="36"/>
  <c r="Q148" i="36"/>
  <c r="P148" i="36"/>
  <c r="Q147" i="36"/>
  <c r="P147" i="36"/>
  <c r="Q146" i="36"/>
  <c r="P146" i="36"/>
  <c r="Q145" i="36"/>
  <c r="P145" i="36"/>
  <c r="K144" i="36"/>
  <c r="K143" i="36"/>
  <c r="K142" i="36"/>
  <c r="K140" i="36"/>
  <c r="M140" i="36" s="1"/>
  <c r="N140" i="36" s="1"/>
  <c r="I139" i="36"/>
  <c r="M139" i="36" s="1"/>
  <c r="I138" i="36"/>
  <c r="K137" i="36"/>
  <c r="I137" i="36"/>
  <c r="K136" i="36"/>
  <c r="I136" i="36"/>
  <c r="K135" i="36"/>
  <c r="I135" i="36"/>
  <c r="K133" i="36"/>
  <c r="I133" i="36"/>
  <c r="K132" i="36"/>
  <c r="I132" i="36"/>
  <c r="K131" i="36"/>
  <c r="I131" i="36"/>
  <c r="K128" i="36"/>
  <c r="K127" i="36"/>
  <c r="M126" i="36"/>
  <c r="K123" i="36"/>
  <c r="K122" i="36"/>
  <c r="K121" i="36"/>
  <c r="K120" i="36"/>
  <c r="K118" i="36"/>
  <c r="I118" i="36"/>
  <c r="K116" i="36"/>
  <c r="K115" i="36"/>
  <c r="K114" i="36"/>
  <c r="K113" i="36"/>
  <c r="K112" i="36"/>
  <c r="M110" i="36"/>
  <c r="N110" i="36" s="1"/>
  <c r="K109" i="36"/>
  <c r="K108" i="36"/>
  <c r="I108" i="36"/>
  <c r="K107" i="36"/>
  <c r="K106" i="36"/>
  <c r="I106" i="36"/>
  <c r="M106" i="36" s="1"/>
  <c r="N106" i="36" s="1"/>
  <c r="K105" i="36"/>
  <c r="M105" i="36" s="1"/>
  <c r="K104" i="36"/>
  <c r="K103" i="36"/>
  <c r="K101" i="36"/>
  <c r="K100" i="36"/>
  <c r="K98" i="36"/>
  <c r="K97" i="36"/>
  <c r="K96" i="36"/>
  <c r="K95" i="36"/>
  <c r="K93" i="36"/>
  <c r="K92" i="36"/>
  <c r="Q87" i="36"/>
  <c r="P87" i="36"/>
  <c r="M87" i="36"/>
  <c r="Q86" i="36"/>
  <c r="P86" i="36"/>
  <c r="M86" i="36"/>
  <c r="P85" i="36"/>
  <c r="I85" i="36"/>
  <c r="Q85" i="36" s="1"/>
  <c r="P84" i="36"/>
  <c r="I84" i="36"/>
  <c r="P83" i="36"/>
  <c r="I83" i="36"/>
  <c r="Q83" i="36" s="1"/>
  <c r="Q82" i="36"/>
  <c r="P82" i="36"/>
  <c r="K81" i="36"/>
  <c r="K80" i="36"/>
  <c r="K79" i="36"/>
  <c r="K78" i="36"/>
  <c r="K77" i="36"/>
  <c r="K76" i="36"/>
  <c r="K75" i="36"/>
  <c r="K74" i="36"/>
  <c r="K73" i="36"/>
  <c r="K72" i="36"/>
  <c r="K71" i="36"/>
  <c r="K68" i="36"/>
  <c r="K67" i="36"/>
  <c r="K65" i="36"/>
  <c r="K64" i="36"/>
  <c r="M62" i="36"/>
  <c r="N62" i="36" s="1"/>
  <c r="M61" i="36"/>
  <c r="N61" i="36" s="1"/>
  <c r="K59" i="36"/>
  <c r="I59" i="36"/>
  <c r="K58" i="36"/>
  <c r="I58" i="36"/>
  <c r="K54" i="36"/>
  <c r="K53" i="36"/>
  <c r="M53" i="36" s="1"/>
  <c r="N53" i="36" s="1"/>
  <c r="K52" i="36"/>
  <c r="K51" i="36"/>
  <c r="K50" i="36"/>
  <c r="K49" i="36"/>
  <c r="K48" i="36"/>
  <c r="K46" i="36"/>
  <c r="K43" i="36"/>
  <c r="K42" i="36"/>
  <c r="K40" i="36"/>
  <c r="K39" i="36"/>
  <c r="K34" i="36"/>
  <c r="K33" i="36"/>
  <c r="K32" i="36"/>
  <c r="K31" i="36"/>
  <c r="K30" i="36"/>
  <c r="K29" i="36"/>
  <c r="K28" i="36"/>
  <c r="K26" i="36"/>
  <c r="K25" i="36"/>
  <c r="K24" i="36"/>
  <c r="K23" i="36"/>
  <c r="K21" i="36"/>
  <c r="K20" i="36"/>
  <c r="K18" i="36"/>
  <c r="K17" i="36"/>
  <c r="K16" i="36"/>
  <c r="K15" i="36"/>
  <c r="K14" i="36"/>
  <c r="K12" i="36"/>
  <c r="K11" i="36"/>
  <c r="K8" i="36"/>
  <c r="K7" i="36"/>
  <c r="K2" i="36"/>
  <c r="H2" i="36"/>
  <c r="G2" i="36"/>
  <c r="I125" i="36" s="1"/>
  <c r="M125" i="36" s="1"/>
  <c r="E2" i="36"/>
  <c r="I96" i="36" s="1"/>
  <c r="Z169" i="35"/>
  <c r="Q167" i="35"/>
  <c r="P167" i="35"/>
  <c r="M167" i="35"/>
  <c r="Q166" i="35"/>
  <c r="P166" i="35"/>
  <c r="M166" i="35"/>
  <c r="Q165" i="35"/>
  <c r="P165" i="35"/>
  <c r="M165" i="35"/>
  <c r="Q164" i="35"/>
  <c r="P164" i="35"/>
  <c r="M164" i="35"/>
  <c r="K163" i="35"/>
  <c r="K162" i="35"/>
  <c r="Q160" i="35"/>
  <c r="P160" i="35"/>
  <c r="M160" i="35"/>
  <c r="Q159" i="35"/>
  <c r="P159" i="35"/>
  <c r="M159" i="35"/>
  <c r="Q158" i="35"/>
  <c r="P158" i="35"/>
  <c r="M158" i="35"/>
  <c r="Q157" i="35"/>
  <c r="P157" i="35"/>
  <c r="M157" i="35"/>
  <c r="K156" i="35"/>
  <c r="K155" i="35"/>
  <c r="K154" i="35"/>
  <c r="K153" i="35"/>
  <c r="K152" i="35"/>
  <c r="K151" i="35"/>
  <c r="Q148" i="35"/>
  <c r="P148" i="35"/>
  <c r="Q147" i="35"/>
  <c r="P147" i="35"/>
  <c r="Q146" i="35"/>
  <c r="P146" i="35"/>
  <c r="Q145" i="35"/>
  <c r="P145" i="35"/>
  <c r="K144" i="35"/>
  <c r="K143" i="35"/>
  <c r="K142" i="35"/>
  <c r="K140" i="35"/>
  <c r="K137" i="35"/>
  <c r="K136" i="35"/>
  <c r="K135" i="35"/>
  <c r="K133" i="35"/>
  <c r="K132" i="35"/>
  <c r="K131" i="35"/>
  <c r="K128" i="35"/>
  <c r="K127" i="35"/>
  <c r="M126" i="35"/>
  <c r="K123" i="35"/>
  <c r="K122" i="35"/>
  <c r="K121" i="35"/>
  <c r="K120" i="35"/>
  <c r="K118" i="35"/>
  <c r="K116" i="35"/>
  <c r="K115" i="35"/>
  <c r="K114" i="35"/>
  <c r="K113" i="35"/>
  <c r="K112" i="35"/>
  <c r="M110" i="35"/>
  <c r="K109" i="35"/>
  <c r="K108" i="35"/>
  <c r="K107" i="35"/>
  <c r="K106" i="35"/>
  <c r="K105" i="35"/>
  <c r="M105" i="35" s="1"/>
  <c r="K104" i="35"/>
  <c r="K103" i="35"/>
  <c r="K101" i="35"/>
  <c r="K100" i="35"/>
  <c r="K98" i="35"/>
  <c r="K97" i="35"/>
  <c r="K96" i="35"/>
  <c r="K95" i="35"/>
  <c r="K93" i="35"/>
  <c r="K92" i="35"/>
  <c r="Q87" i="35"/>
  <c r="P87" i="35"/>
  <c r="M87" i="35"/>
  <c r="Q86" i="35"/>
  <c r="P86" i="35"/>
  <c r="M86" i="35"/>
  <c r="P85" i="35"/>
  <c r="I85" i="35"/>
  <c r="P84" i="35"/>
  <c r="I84" i="35"/>
  <c r="Q84" i="35" s="1"/>
  <c r="P83" i="35"/>
  <c r="I83" i="35"/>
  <c r="Q82" i="35"/>
  <c r="P82" i="35"/>
  <c r="K81" i="35"/>
  <c r="K80" i="35"/>
  <c r="K79" i="35"/>
  <c r="K78" i="35"/>
  <c r="K77" i="35"/>
  <c r="K76" i="35"/>
  <c r="K75" i="35"/>
  <c r="K74" i="35"/>
  <c r="K73" i="35"/>
  <c r="K72" i="35"/>
  <c r="K71" i="35"/>
  <c r="K68" i="35"/>
  <c r="K67" i="35"/>
  <c r="K65" i="35"/>
  <c r="K64" i="35"/>
  <c r="M62" i="35"/>
  <c r="N62" i="35" s="1"/>
  <c r="M61" i="35"/>
  <c r="K59" i="35"/>
  <c r="K58" i="35"/>
  <c r="K54" i="35"/>
  <c r="K53" i="35"/>
  <c r="K52" i="35"/>
  <c r="K51" i="35"/>
  <c r="K50" i="35"/>
  <c r="K49" i="35"/>
  <c r="K48" i="35"/>
  <c r="K46" i="35"/>
  <c r="K43" i="35"/>
  <c r="K42" i="35"/>
  <c r="K40" i="35"/>
  <c r="K39" i="35"/>
  <c r="K34" i="35"/>
  <c r="K33" i="35"/>
  <c r="K32" i="35"/>
  <c r="K31" i="35"/>
  <c r="K30" i="35"/>
  <c r="K29" i="35"/>
  <c r="K28" i="35"/>
  <c r="K26" i="35"/>
  <c r="K25" i="35"/>
  <c r="K24" i="35"/>
  <c r="K23" i="35"/>
  <c r="K21" i="35"/>
  <c r="K20" i="35"/>
  <c r="K18" i="35"/>
  <c r="K17" i="35"/>
  <c r="K16" i="35"/>
  <c r="K15" i="35"/>
  <c r="K14" i="35"/>
  <c r="K12" i="35"/>
  <c r="K11" i="35"/>
  <c r="K8" i="35"/>
  <c r="K7" i="35"/>
  <c r="K2" i="35"/>
  <c r="I140" i="35" s="1"/>
  <c r="M140" i="35" s="1"/>
  <c r="I2" i="35"/>
  <c r="H2" i="35"/>
  <c r="I151" i="35" s="1"/>
  <c r="G2" i="35"/>
  <c r="E2" i="35"/>
  <c r="I104" i="35" s="1"/>
  <c r="M104" i="35" s="1"/>
  <c r="AA168" i="34"/>
  <c r="P167" i="34"/>
  <c r="M167" i="34"/>
  <c r="P166" i="34"/>
  <c r="M166" i="34"/>
  <c r="P165" i="34"/>
  <c r="M165" i="34"/>
  <c r="P164" i="34"/>
  <c r="M164" i="34"/>
  <c r="K163" i="34"/>
  <c r="K162" i="34"/>
  <c r="M160" i="34"/>
  <c r="N160" i="34" s="1"/>
  <c r="M159" i="34"/>
  <c r="N159" i="34" s="1"/>
  <c r="K158" i="34"/>
  <c r="M158" i="34" s="1"/>
  <c r="K157" i="34"/>
  <c r="M157" i="34" s="1"/>
  <c r="K156" i="34"/>
  <c r="K155" i="34"/>
  <c r="K154" i="34"/>
  <c r="K153" i="34"/>
  <c r="K152" i="34"/>
  <c r="K151" i="34"/>
  <c r="M148" i="34"/>
  <c r="N148" i="34" s="1"/>
  <c r="M147" i="34"/>
  <c r="M146" i="34"/>
  <c r="M145" i="34"/>
  <c r="K144" i="34"/>
  <c r="K143" i="34"/>
  <c r="K142" i="34"/>
  <c r="K137" i="34"/>
  <c r="K136" i="34"/>
  <c r="K135" i="34"/>
  <c r="K133" i="34"/>
  <c r="K132" i="34"/>
  <c r="K131" i="34"/>
  <c r="K128" i="34"/>
  <c r="K127" i="34"/>
  <c r="K126" i="34"/>
  <c r="M126" i="34" s="1"/>
  <c r="K125" i="34"/>
  <c r="K123" i="34"/>
  <c r="K122" i="34"/>
  <c r="K121" i="34"/>
  <c r="K120" i="34"/>
  <c r="K118" i="34"/>
  <c r="K116" i="34"/>
  <c r="K115" i="34"/>
  <c r="K114" i="34"/>
  <c r="K113" i="34"/>
  <c r="M113" i="34" s="1"/>
  <c r="K112" i="34"/>
  <c r="K110" i="34"/>
  <c r="M110" i="34"/>
  <c r="K109" i="34"/>
  <c r="K108" i="34"/>
  <c r="K107" i="34"/>
  <c r="K106" i="34"/>
  <c r="K105" i="34"/>
  <c r="M105" i="34" s="1"/>
  <c r="K104" i="34"/>
  <c r="K103" i="34"/>
  <c r="K101" i="34"/>
  <c r="K100" i="34"/>
  <c r="K98" i="34"/>
  <c r="K97" i="34"/>
  <c r="K96" i="34"/>
  <c r="K95" i="34"/>
  <c r="K93" i="34"/>
  <c r="K92" i="34"/>
  <c r="P87" i="34"/>
  <c r="M87" i="34"/>
  <c r="P86" i="34"/>
  <c r="M86" i="34"/>
  <c r="P85" i="34"/>
  <c r="I85" i="34"/>
  <c r="M85" i="34" s="1"/>
  <c r="P84" i="34"/>
  <c r="I84" i="34"/>
  <c r="M84" i="34" s="1"/>
  <c r="P83" i="34"/>
  <c r="I83" i="34"/>
  <c r="M83" i="34" s="1"/>
  <c r="P82" i="34"/>
  <c r="K81" i="34"/>
  <c r="K80" i="34"/>
  <c r="K79" i="34"/>
  <c r="K78" i="34"/>
  <c r="K77" i="34"/>
  <c r="K76" i="34"/>
  <c r="K75" i="34"/>
  <c r="K74" i="34"/>
  <c r="K73" i="34"/>
  <c r="K72" i="34"/>
  <c r="K71" i="34"/>
  <c r="K68" i="34"/>
  <c r="K67" i="34"/>
  <c r="K65" i="34"/>
  <c r="K64" i="34"/>
  <c r="M62" i="34"/>
  <c r="N62" i="34" s="1"/>
  <c r="K62" i="34"/>
  <c r="M61" i="34"/>
  <c r="K61" i="34"/>
  <c r="K59" i="34"/>
  <c r="K58" i="34"/>
  <c r="K54" i="34"/>
  <c r="K53" i="34"/>
  <c r="K52" i="34"/>
  <c r="K51" i="34"/>
  <c r="K50" i="34"/>
  <c r="K49" i="34"/>
  <c r="K48" i="34"/>
  <c r="K46" i="34"/>
  <c r="K45" i="34"/>
  <c r="K43" i="34"/>
  <c r="K42" i="34"/>
  <c r="K40" i="34"/>
  <c r="K39" i="34"/>
  <c r="K35" i="34"/>
  <c r="K34" i="34"/>
  <c r="K33" i="34"/>
  <c r="K32" i="34"/>
  <c r="K31" i="34"/>
  <c r="K30" i="34"/>
  <c r="M30" i="34" s="1"/>
  <c r="N30" i="34" s="1"/>
  <c r="K29" i="34"/>
  <c r="K28" i="34"/>
  <c r="K26" i="34"/>
  <c r="K25" i="34"/>
  <c r="K24" i="34"/>
  <c r="K23" i="34"/>
  <c r="K21" i="34"/>
  <c r="K20" i="34"/>
  <c r="K18" i="34"/>
  <c r="K17" i="34"/>
  <c r="K16" i="34"/>
  <c r="K15" i="34"/>
  <c r="K14" i="34"/>
  <c r="K12" i="34"/>
  <c r="K11" i="34"/>
  <c r="K8" i="34"/>
  <c r="K7" i="34"/>
  <c r="J2" i="34"/>
  <c r="I2" i="34"/>
  <c r="I139" i="34" s="1"/>
  <c r="M139" i="34" s="1"/>
  <c r="H2" i="34"/>
  <c r="G2" i="34"/>
  <c r="E2" i="34"/>
  <c r="Z169" i="33"/>
  <c r="Q167" i="33"/>
  <c r="P167" i="33"/>
  <c r="M167" i="33"/>
  <c r="Q166" i="33"/>
  <c r="P166" i="33"/>
  <c r="M166" i="33"/>
  <c r="Q165" i="33"/>
  <c r="P165" i="33"/>
  <c r="M165" i="33"/>
  <c r="Q164" i="33"/>
  <c r="P164" i="33"/>
  <c r="M164" i="33"/>
  <c r="K163" i="33"/>
  <c r="K162" i="33"/>
  <c r="Q160" i="33"/>
  <c r="P160" i="33"/>
  <c r="M160" i="33"/>
  <c r="Q159" i="33"/>
  <c r="P159" i="33"/>
  <c r="M159" i="33"/>
  <c r="Q158" i="33"/>
  <c r="P158" i="33"/>
  <c r="M158" i="33"/>
  <c r="Q157" i="33"/>
  <c r="P157" i="33"/>
  <c r="M157" i="33"/>
  <c r="K156" i="33"/>
  <c r="K155" i="33"/>
  <c r="K154" i="33"/>
  <c r="K153" i="33"/>
  <c r="K152" i="33"/>
  <c r="K151" i="33"/>
  <c r="Q148" i="33"/>
  <c r="P148" i="33"/>
  <c r="Q147" i="33"/>
  <c r="P147" i="33"/>
  <c r="Q146" i="33"/>
  <c r="P146" i="33"/>
  <c r="Q145" i="33"/>
  <c r="P145" i="33"/>
  <c r="K144" i="33"/>
  <c r="K143" i="33"/>
  <c r="K142" i="33"/>
  <c r="K140" i="33"/>
  <c r="K137" i="33"/>
  <c r="K136" i="33"/>
  <c r="K135" i="33"/>
  <c r="K133" i="33"/>
  <c r="K132" i="33"/>
  <c r="K131" i="33"/>
  <c r="K128" i="33"/>
  <c r="K127" i="33"/>
  <c r="M126" i="33"/>
  <c r="N126" i="33" s="1"/>
  <c r="K123" i="33"/>
  <c r="K122" i="33"/>
  <c r="K121" i="33"/>
  <c r="K120" i="33"/>
  <c r="K118" i="33"/>
  <c r="K116" i="33"/>
  <c r="K115" i="33"/>
  <c r="K114" i="33"/>
  <c r="K113" i="33"/>
  <c r="K112" i="33"/>
  <c r="M110" i="33"/>
  <c r="N110" i="33" s="1"/>
  <c r="K109" i="33"/>
  <c r="K108" i="33"/>
  <c r="K107" i="33"/>
  <c r="K106" i="33"/>
  <c r="K105" i="33"/>
  <c r="M105" i="33" s="1"/>
  <c r="K104" i="33"/>
  <c r="K103" i="33"/>
  <c r="K101" i="33"/>
  <c r="K100" i="33"/>
  <c r="K98" i="33"/>
  <c r="K97" i="33"/>
  <c r="K96" i="33"/>
  <c r="K95" i="33"/>
  <c r="K93" i="33"/>
  <c r="K92" i="33"/>
  <c r="Q87" i="33"/>
  <c r="P87" i="33"/>
  <c r="M87" i="33"/>
  <c r="Q86" i="33"/>
  <c r="P86" i="33"/>
  <c r="M86" i="33"/>
  <c r="P85" i="33"/>
  <c r="I85" i="33"/>
  <c r="P84" i="33"/>
  <c r="I84" i="33"/>
  <c r="P83" i="33"/>
  <c r="I83" i="33"/>
  <c r="Q82" i="33"/>
  <c r="P82" i="33"/>
  <c r="K81" i="33"/>
  <c r="K80" i="33"/>
  <c r="K79" i="33"/>
  <c r="K78" i="33"/>
  <c r="K77" i="33"/>
  <c r="K76" i="33"/>
  <c r="K75" i="33"/>
  <c r="K74" i="33"/>
  <c r="K73" i="33"/>
  <c r="K72" i="33"/>
  <c r="K71" i="33"/>
  <c r="K68" i="33"/>
  <c r="K67" i="33"/>
  <c r="K65" i="33"/>
  <c r="K64" i="33"/>
  <c r="M62" i="33"/>
  <c r="M61" i="33"/>
  <c r="N61" i="33" s="1"/>
  <c r="O61" i="33" s="1"/>
  <c r="K59" i="33"/>
  <c r="K58" i="33"/>
  <c r="K54" i="33"/>
  <c r="K53" i="33"/>
  <c r="K52" i="33"/>
  <c r="K51" i="33"/>
  <c r="K50" i="33"/>
  <c r="K49" i="33"/>
  <c r="K48" i="33"/>
  <c r="K46" i="33"/>
  <c r="K43" i="33"/>
  <c r="K42" i="33"/>
  <c r="K40" i="33"/>
  <c r="K39" i="33"/>
  <c r="K34" i="33"/>
  <c r="K33" i="33"/>
  <c r="K32" i="33"/>
  <c r="K31" i="33"/>
  <c r="K30" i="33"/>
  <c r="K29" i="33"/>
  <c r="K28" i="33"/>
  <c r="K26" i="33"/>
  <c r="K25" i="33"/>
  <c r="K24" i="33"/>
  <c r="K23" i="33"/>
  <c r="K21" i="33"/>
  <c r="K20" i="33"/>
  <c r="K18" i="33"/>
  <c r="K17" i="33"/>
  <c r="K16" i="33"/>
  <c r="K15" i="33"/>
  <c r="K14" i="33"/>
  <c r="K12" i="33"/>
  <c r="K11" i="33"/>
  <c r="K8" i="33"/>
  <c r="K7" i="33"/>
  <c r="K2" i="33"/>
  <c r="I2" i="33"/>
  <c r="H2" i="33"/>
  <c r="G2" i="33"/>
  <c r="E2" i="33"/>
  <c r="I81" i="33" s="1"/>
  <c r="P234" i="32"/>
  <c r="P233" i="32"/>
  <c r="P232" i="32"/>
  <c r="Q231" i="32"/>
  <c r="P231" i="32"/>
  <c r="K230" i="32"/>
  <c r="P229" i="32"/>
  <c r="K229" i="32"/>
  <c r="M229" i="32" s="1"/>
  <c r="Q229" i="32" s="1"/>
  <c r="K227" i="32"/>
  <c r="K226" i="32"/>
  <c r="M226" i="32" s="1"/>
  <c r="N226" i="32" s="1"/>
  <c r="O226" i="32" s="1"/>
  <c r="K225" i="32"/>
  <c r="M225" i="32" s="1"/>
  <c r="K223" i="32"/>
  <c r="M223" i="32" s="1"/>
  <c r="Q223" i="32" s="1"/>
  <c r="K222" i="32"/>
  <c r="M222" i="32" s="1"/>
  <c r="K221" i="32"/>
  <c r="M221" i="32" s="1"/>
  <c r="M219" i="32"/>
  <c r="Q219" i="32" s="1"/>
  <c r="K218" i="32"/>
  <c r="M218" i="32" s="1"/>
  <c r="K217" i="32"/>
  <c r="M217" i="32" s="1"/>
  <c r="M216" i="32"/>
  <c r="Q216" i="32" s="1"/>
  <c r="K215" i="32"/>
  <c r="M215" i="32" s="1"/>
  <c r="M213" i="32"/>
  <c r="K212" i="32"/>
  <c r="M212" i="32" s="1"/>
  <c r="K211" i="32"/>
  <c r="M211" i="32" s="1"/>
  <c r="N211" i="32" s="1"/>
  <c r="K210" i="32"/>
  <c r="M210" i="32" s="1"/>
  <c r="K209" i="32"/>
  <c r="M209" i="32" s="1"/>
  <c r="K206" i="32"/>
  <c r="K205" i="32"/>
  <c r="K204" i="32"/>
  <c r="K203" i="32"/>
  <c r="K202" i="32"/>
  <c r="K201" i="32"/>
  <c r="K199" i="32"/>
  <c r="M199" i="32" s="1"/>
  <c r="Q199" i="32" s="1"/>
  <c r="K198" i="32"/>
  <c r="M198" i="32" s="1"/>
  <c r="Q198" i="32" s="1"/>
  <c r="M197" i="32"/>
  <c r="M195" i="32"/>
  <c r="N195" i="32" s="1"/>
  <c r="K194" i="32"/>
  <c r="K193" i="32"/>
  <c r="K192" i="32"/>
  <c r="K191" i="32"/>
  <c r="Q189" i="32"/>
  <c r="N189" i="32"/>
  <c r="K188" i="32"/>
  <c r="M187" i="32"/>
  <c r="N187" i="32" s="1"/>
  <c r="M186" i="32"/>
  <c r="N186" i="32" s="1"/>
  <c r="K185" i="32"/>
  <c r="M184" i="32"/>
  <c r="Q184" i="32" s="1"/>
  <c r="K183" i="32"/>
  <c r="K182" i="32"/>
  <c r="I182" i="32"/>
  <c r="K181" i="32"/>
  <c r="K180" i="32"/>
  <c r="K179" i="32"/>
  <c r="K178" i="32"/>
  <c r="K177" i="32"/>
  <c r="K176" i="32"/>
  <c r="K173" i="32"/>
  <c r="M172" i="32"/>
  <c r="K171" i="32"/>
  <c r="M171" i="32" s="1"/>
  <c r="N171" i="32" s="1"/>
  <c r="K169" i="32"/>
  <c r="K168" i="32"/>
  <c r="K166" i="32"/>
  <c r="I166" i="32"/>
  <c r="K165" i="32"/>
  <c r="I165" i="32"/>
  <c r="K163" i="32"/>
  <c r="I163" i="32"/>
  <c r="K162" i="32"/>
  <c r="I162" i="32"/>
  <c r="K161" i="32"/>
  <c r="K160" i="32"/>
  <c r="I160" i="32"/>
  <c r="K159" i="32"/>
  <c r="I159" i="32"/>
  <c r="M159" i="32" s="1"/>
  <c r="K157" i="32"/>
  <c r="M157" i="32" s="1"/>
  <c r="K156" i="32"/>
  <c r="K155" i="32"/>
  <c r="K153" i="32"/>
  <c r="K152" i="32"/>
  <c r="K149" i="32"/>
  <c r="K148" i="32"/>
  <c r="K147" i="32"/>
  <c r="K146" i="32"/>
  <c r="K145" i="32"/>
  <c r="K144" i="32"/>
  <c r="K143" i="32"/>
  <c r="K141" i="32"/>
  <c r="M141" i="32" s="1"/>
  <c r="M140" i="32"/>
  <c r="N140" i="32" s="1"/>
  <c r="K139" i="32"/>
  <c r="M139" i="32" s="1"/>
  <c r="M137" i="32"/>
  <c r="M136" i="32"/>
  <c r="M135" i="32"/>
  <c r="N135" i="32" s="1"/>
  <c r="M134" i="32"/>
  <c r="N134" i="32" s="1"/>
  <c r="M133" i="32"/>
  <c r="I131" i="32"/>
  <c r="M129" i="32"/>
  <c r="K125" i="32"/>
  <c r="K124" i="32"/>
  <c r="K123" i="32"/>
  <c r="K122" i="32"/>
  <c r="K121" i="32"/>
  <c r="K120" i="32"/>
  <c r="K118" i="32"/>
  <c r="M118" i="32" s="1"/>
  <c r="K117" i="32"/>
  <c r="K116" i="32"/>
  <c r="K114" i="32"/>
  <c r="M114" i="32" s="1"/>
  <c r="N114" i="32" s="1"/>
  <c r="K113" i="32"/>
  <c r="K111" i="32"/>
  <c r="K110" i="32"/>
  <c r="K109" i="32"/>
  <c r="P105" i="32"/>
  <c r="M105" i="32"/>
  <c r="Q105" i="32" s="1"/>
  <c r="K104" i="32"/>
  <c r="K102" i="32"/>
  <c r="M102" i="32" s="1"/>
  <c r="K101" i="32"/>
  <c r="K100" i="32"/>
  <c r="K99" i="32"/>
  <c r="G99" i="32"/>
  <c r="K98" i="32"/>
  <c r="Q96" i="32"/>
  <c r="P96" i="32"/>
  <c r="K96" i="32"/>
  <c r="Q95" i="32"/>
  <c r="P95" i="32"/>
  <c r="K95" i="32"/>
  <c r="Q94" i="32"/>
  <c r="P94" i="32"/>
  <c r="Q93" i="32"/>
  <c r="P93" i="32"/>
  <c r="Q92" i="32"/>
  <c r="P92" i="32"/>
  <c r="L92" i="32"/>
  <c r="Q91" i="32"/>
  <c r="P91" i="32"/>
  <c r="L91" i="32"/>
  <c r="Q90" i="32"/>
  <c r="P90" i="32"/>
  <c r="L90" i="32"/>
  <c r="Q89" i="32"/>
  <c r="P89" i="32"/>
  <c r="Q88" i="32"/>
  <c r="P88" i="32"/>
  <c r="L88" i="32"/>
  <c r="Q87" i="32"/>
  <c r="P87" i="32"/>
  <c r="K87" i="32"/>
  <c r="Q86" i="32"/>
  <c r="P86" i="32"/>
  <c r="O85" i="32"/>
  <c r="BB15" i="30" s="1"/>
  <c r="N85" i="32"/>
  <c r="BD15" i="30" s="1"/>
  <c r="M85" i="32"/>
  <c r="Q85" i="32" s="1"/>
  <c r="Q84" i="32"/>
  <c r="N84" i="32"/>
  <c r="O84" i="32" s="1"/>
  <c r="K84" i="32"/>
  <c r="Q83" i="32"/>
  <c r="N83" i="32"/>
  <c r="O83" i="32" s="1"/>
  <c r="K83" i="32"/>
  <c r="Q82" i="32"/>
  <c r="N82" i="32"/>
  <c r="O82" i="32" s="1"/>
  <c r="K82" i="32"/>
  <c r="Q81" i="32"/>
  <c r="N81" i="32"/>
  <c r="O81" i="32" s="1"/>
  <c r="K81" i="32"/>
  <c r="Q80" i="32"/>
  <c r="N80" i="32"/>
  <c r="O80" i="32" s="1"/>
  <c r="K80" i="32"/>
  <c r="Q79" i="32"/>
  <c r="O79" i="32"/>
  <c r="M78" i="32"/>
  <c r="Q78" i="32" s="1"/>
  <c r="Q74" i="32"/>
  <c r="N74" i="32"/>
  <c r="O74" i="32" s="1"/>
  <c r="K74" i="32"/>
  <c r="K71" i="32"/>
  <c r="M71" i="32" s="1"/>
  <c r="K70" i="32"/>
  <c r="M70" i="32" s="1"/>
  <c r="N70" i="32" s="1"/>
  <c r="K69" i="32"/>
  <c r="K67" i="32"/>
  <c r="K66" i="32"/>
  <c r="K65" i="32"/>
  <c r="K64" i="32"/>
  <c r="K63" i="32"/>
  <c r="K62" i="32"/>
  <c r="K61" i="32"/>
  <c r="K60" i="32"/>
  <c r="K59" i="32"/>
  <c r="K58" i="32"/>
  <c r="K57" i="32"/>
  <c r="K56" i="32"/>
  <c r="K55" i="32"/>
  <c r="K54" i="32"/>
  <c r="K53" i="32"/>
  <c r="K52" i="32"/>
  <c r="K51" i="32"/>
  <c r="K50" i="32"/>
  <c r="K49" i="32"/>
  <c r="K48" i="32"/>
  <c r="K47" i="32"/>
  <c r="M47" i="32" s="1"/>
  <c r="Q47" i="32" s="1"/>
  <c r="K46" i="32"/>
  <c r="K45" i="32"/>
  <c r="K44" i="32"/>
  <c r="K43" i="32"/>
  <c r="K42" i="32"/>
  <c r="K41" i="32"/>
  <c r="K40" i="32"/>
  <c r="K39" i="32"/>
  <c r="K38" i="32"/>
  <c r="K37" i="32"/>
  <c r="K36" i="32"/>
  <c r="K35" i="32"/>
  <c r="K34" i="32"/>
  <c r="K33" i="32"/>
  <c r="K32" i="32"/>
  <c r="K28" i="32"/>
  <c r="K27" i="32"/>
  <c r="K26" i="32"/>
  <c r="K25" i="32"/>
  <c r="K24" i="32"/>
  <c r="K23" i="32"/>
  <c r="K22" i="32"/>
  <c r="K21" i="32"/>
  <c r="K20" i="32"/>
  <c r="M20" i="32" s="1"/>
  <c r="P16" i="32"/>
  <c r="P15" i="32"/>
  <c r="R14" i="32"/>
  <c r="P14" i="32"/>
  <c r="R13" i="32"/>
  <c r="P13" i="32"/>
  <c r="P12" i="32"/>
  <c r="P7" i="32"/>
  <c r="C3" i="32"/>
  <c r="I20" i="32" s="1"/>
  <c r="F46" i="31"/>
  <c r="G46" i="31" s="1"/>
  <c r="F40" i="31"/>
  <c r="F51" i="31" s="1"/>
  <c r="G51" i="31" s="1"/>
  <c r="D40" i="31"/>
  <c r="D51" i="31" s="1"/>
  <c r="F39" i="31"/>
  <c r="F50" i="31" s="1"/>
  <c r="G50" i="31" s="1"/>
  <c r="D39" i="31"/>
  <c r="D50" i="31" s="1"/>
  <c r="F38" i="31"/>
  <c r="D38" i="31"/>
  <c r="D49" i="31" s="1"/>
  <c r="F37" i="31"/>
  <c r="F48" i="31" s="1"/>
  <c r="G48" i="31" s="1"/>
  <c r="D37" i="31"/>
  <c r="D48" i="31" s="1"/>
  <c r="F36" i="31"/>
  <c r="F47" i="31" s="1"/>
  <c r="G47" i="31" s="1"/>
  <c r="D36" i="31"/>
  <c r="D47" i="31" s="1"/>
  <c r="G35" i="31"/>
  <c r="D35" i="31"/>
  <c r="D46" i="31" s="1"/>
  <c r="I31" i="31"/>
  <c r="H30" i="31"/>
  <c r="G30" i="31"/>
  <c r="H29" i="31"/>
  <c r="G29" i="31"/>
  <c r="H27" i="31"/>
  <c r="G27" i="31"/>
  <c r="E23" i="31"/>
  <c r="O20" i="31"/>
  <c r="P20" i="31" s="1"/>
  <c r="I16" i="31"/>
  <c r="M16" i="31" s="1"/>
  <c r="N16" i="31" s="1"/>
  <c r="O16" i="31" s="1"/>
  <c r="M12" i="31"/>
  <c r="M11" i="31"/>
  <c r="M10" i="31"/>
  <c r="K8" i="31"/>
  <c r="I8" i="31"/>
  <c r="M8" i="31" s="1"/>
  <c r="K6" i="31"/>
  <c r="K5" i="31"/>
  <c r="BC43" i="30"/>
  <c r="AZ43" i="30"/>
  <c r="AW43" i="30"/>
  <c r="AT43" i="30"/>
  <c r="AQ43" i="30"/>
  <c r="AN43" i="30"/>
  <c r="AK43" i="30"/>
  <c r="AH43" i="30"/>
  <c r="BD41" i="30"/>
  <c r="BC41" i="30"/>
  <c r="BB41" i="30"/>
  <c r="BC36" i="30"/>
  <c r="AX34" i="30"/>
  <c r="AW34" i="30"/>
  <c r="AV34" i="30"/>
  <c r="AX30" i="30"/>
  <c r="AW30" i="30"/>
  <c r="AV30" i="30"/>
  <c r="AX25" i="30"/>
  <c r="AW25" i="30"/>
  <c r="AV25" i="30"/>
  <c r="AX13" i="30"/>
  <c r="AW13" i="30"/>
  <c r="AV13" i="30"/>
  <c r="BD11" i="30"/>
  <c r="AO11" i="30" s="1"/>
  <c r="AX9" i="30"/>
  <c r="AW9" i="30"/>
  <c r="AV9" i="30"/>
  <c r="AY8" i="30"/>
  <c r="AZ8" i="30" s="1"/>
  <c r="AX8" i="30"/>
  <c r="AW8" i="30"/>
  <c r="AS8" i="30"/>
  <c r="AU8" i="30" s="1"/>
  <c r="AP8" i="30"/>
  <c r="AQ8" i="30" s="1"/>
  <c r="AM8" i="30"/>
  <c r="AJ8" i="30"/>
  <c r="AG8" i="30"/>
  <c r="AY6" i="30"/>
  <c r="BA6" i="30" s="1"/>
  <c r="AS6" i="30"/>
  <c r="AU6" i="30" s="1"/>
  <c r="AP6" i="30"/>
  <c r="AQ6" i="30" s="1"/>
  <c r="AM6" i="30"/>
  <c r="AJ6" i="30"/>
  <c r="AG6" i="30"/>
  <c r="AV4" i="30"/>
  <c r="W4" i="30"/>
  <c r="Q4" i="30"/>
  <c r="AS4" i="30" s="1"/>
  <c r="N4" i="30"/>
  <c r="F2" i="28" s="1"/>
  <c r="K4" i="30"/>
  <c r="H4" i="30"/>
  <c r="AJ4" i="30" s="1"/>
  <c r="E4" i="30"/>
  <c r="C2" i="28" s="1"/>
  <c r="A19" i="28" s="1"/>
  <c r="J42" i="29"/>
  <c r="H42" i="29"/>
  <c r="E42" i="29"/>
  <c r="E43" i="29" s="1"/>
  <c r="I38" i="29"/>
  <c r="F38" i="29"/>
  <c r="I35" i="29"/>
  <c r="J31" i="29"/>
  <c r="H31" i="29"/>
  <c r="G31" i="29"/>
  <c r="F31" i="29"/>
  <c r="D31" i="29"/>
  <c r="I30" i="29"/>
  <c r="I31" i="29" s="1"/>
  <c r="N27" i="29"/>
  <c r="M27" i="29"/>
  <c r="J27" i="29"/>
  <c r="H27" i="29"/>
  <c r="G27" i="29"/>
  <c r="F27" i="29"/>
  <c r="D27" i="29"/>
  <c r="L26" i="29"/>
  <c r="I26" i="29"/>
  <c r="L25" i="29"/>
  <c r="I25" i="29"/>
  <c r="E39" i="31" s="1"/>
  <c r="E50" i="31" s="1"/>
  <c r="I24" i="29"/>
  <c r="AP7" i="30" s="1"/>
  <c r="N23" i="29"/>
  <c r="M23" i="29"/>
  <c r="J23" i="29"/>
  <c r="H23" i="29"/>
  <c r="G23" i="29"/>
  <c r="G43" i="29" s="1"/>
  <c r="F23" i="29"/>
  <c r="D23" i="29"/>
  <c r="L22" i="29"/>
  <c r="I22" i="29"/>
  <c r="L21" i="29"/>
  <c r="I21" i="29"/>
  <c r="L20" i="29"/>
  <c r="I20" i="29"/>
  <c r="D8" i="29"/>
  <c r="B6" i="29"/>
  <c r="I2" i="29"/>
  <c r="A14" i="28"/>
  <c r="A12" i="28"/>
  <c r="M12" i="28" s="1"/>
  <c r="A10" i="28"/>
  <c r="A9" i="28"/>
  <c r="A8" i="28"/>
  <c r="A7" i="28"/>
  <c r="A6" i="28"/>
  <c r="A5" i="28"/>
  <c r="B2" i="28"/>
  <c r="AA168" i="27"/>
  <c r="P167" i="27"/>
  <c r="M167" i="27"/>
  <c r="P166" i="27"/>
  <c r="M166" i="27"/>
  <c r="P165" i="27"/>
  <c r="M165" i="27"/>
  <c r="P164" i="27"/>
  <c r="M164" i="27"/>
  <c r="L163" i="27"/>
  <c r="K163" i="27" s="1"/>
  <c r="I163" i="27"/>
  <c r="K162" i="27"/>
  <c r="I162" i="27"/>
  <c r="M160" i="27"/>
  <c r="N160" i="27" s="1"/>
  <c r="M159" i="27"/>
  <c r="K158" i="27"/>
  <c r="M158" i="27" s="1"/>
  <c r="N158" i="27" s="1"/>
  <c r="K157" i="27"/>
  <c r="M157" i="27" s="1"/>
  <c r="N157" i="27" s="1"/>
  <c r="K156" i="27"/>
  <c r="I156" i="27"/>
  <c r="K155" i="27"/>
  <c r="M155" i="27" s="1"/>
  <c r="N155" i="27" s="1"/>
  <c r="O155" i="27" s="1"/>
  <c r="P155" i="27" s="1"/>
  <c r="I155" i="27"/>
  <c r="K154" i="27"/>
  <c r="I154" i="27"/>
  <c r="K153" i="27"/>
  <c r="I153" i="27"/>
  <c r="K152" i="27"/>
  <c r="M152" i="27" s="1"/>
  <c r="I152" i="27"/>
  <c r="K151" i="27"/>
  <c r="M151" i="27" s="1"/>
  <c r="I151" i="27"/>
  <c r="M148" i="27"/>
  <c r="M147" i="27"/>
  <c r="M146" i="27"/>
  <c r="N146" i="27" s="1"/>
  <c r="M145" i="27"/>
  <c r="N145" i="27" s="1"/>
  <c r="O145" i="27" s="1"/>
  <c r="K144" i="27"/>
  <c r="I144" i="27"/>
  <c r="K143" i="27"/>
  <c r="M143" i="27" s="1"/>
  <c r="I143" i="27"/>
  <c r="K142" i="27"/>
  <c r="I142" i="27"/>
  <c r="I140" i="27"/>
  <c r="M140" i="27" s="1"/>
  <c r="I139" i="27"/>
  <c r="M139" i="27" s="1"/>
  <c r="N139" i="27" s="1"/>
  <c r="I138" i="27"/>
  <c r="M138" i="27" s="1"/>
  <c r="K137" i="27"/>
  <c r="I137" i="27"/>
  <c r="M137" i="27" s="1"/>
  <c r="N137" i="27" s="1"/>
  <c r="K136" i="27"/>
  <c r="I136" i="27"/>
  <c r="K135" i="27"/>
  <c r="I135" i="27"/>
  <c r="K133" i="27"/>
  <c r="I133" i="27"/>
  <c r="K132" i="27"/>
  <c r="I132" i="27"/>
  <c r="K131" i="27"/>
  <c r="I131" i="27"/>
  <c r="K128" i="27"/>
  <c r="I128" i="27"/>
  <c r="K127" i="27"/>
  <c r="K126" i="27"/>
  <c r="M126" i="27" s="1"/>
  <c r="K125" i="27"/>
  <c r="K123" i="27"/>
  <c r="K122" i="27"/>
  <c r="I122" i="27"/>
  <c r="K121" i="27"/>
  <c r="I121" i="27"/>
  <c r="K120" i="27"/>
  <c r="I120" i="27"/>
  <c r="K118" i="27"/>
  <c r="I118" i="27"/>
  <c r="K116" i="27"/>
  <c r="I116" i="27"/>
  <c r="M116" i="27" s="1"/>
  <c r="K115" i="27"/>
  <c r="I115" i="27"/>
  <c r="K114" i="27"/>
  <c r="I114" i="27"/>
  <c r="M114" i="27" s="1"/>
  <c r="K113" i="27"/>
  <c r="M113" i="27"/>
  <c r="N113" i="27" s="1"/>
  <c r="O113" i="27" s="1"/>
  <c r="P113" i="27" s="1"/>
  <c r="K112" i="27"/>
  <c r="I112" i="27"/>
  <c r="K110" i="27"/>
  <c r="M110" i="27" s="1"/>
  <c r="N110" i="27" s="1"/>
  <c r="K109" i="27"/>
  <c r="K108" i="27"/>
  <c r="I108" i="27"/>
  <c r="K107" i="27"/>
  <c r="K106" i="27"/>
  <c r="M106" i="27" s="1"/>
  <c r="N106" i="27" s="1"/>
  <c r="O106" i="27" s="1"/>
  <c r="P106" i="27" s="1"/>
  <c r="I106" i="27"/>
  <c r="K105" i="27"/>
  <c r="M105" i="27" s="1"/>
  <c r="K104" i="27"/>
  <c r="K103" i="27"/>
  <c r="K101" i="27"/>
  <c r="K100" i="27"/>
  <c r="K98" i="27"/>
  <c r="K97" i="27"/>
  <c r="K96" i="27"/>
  <c r="K95" i="27"/>
  <c r="K93" i="27"/>
  <c r="K92" i="27"/>
  <c r="P87" i="27"/>
  <c r="M87" i="27"/>
  <c r="P86" i="27"/>
  <c r="M86" i="27"/>
  <c r="P85" i="27"/>
  <c r="I85" i="27"/>
  <c r="M85" i="27" s="1"/>
  <c r="P84" i="27"/>
  <c r="I84" i="27"/>
  <c r="M84" i="27" s="1"/>
  <c r="P83" i="27"/>
  <c r="I83" i="27"/>
  <c r="M83" i="27" s="1"/>
  <c r="P82" i="27"/>
  <c r="K81" i="27"/>
  <c r="K80" i="27"/>
  <c r="K79" i="27"/>
  <c r="K78" i="27"/>
  <c r="K77" i="27"/>
  <c r="K76" i="27"/>
  <c r="K75" i="27"/>
  <c r="K74" i="27"/>
  <c r="K73" i="27"/>
  <c r="K72" i="27"/>
  <c r="K71" i="27"/>
  <c r="K68" i="27"/>
  <c r="K67" i="27"/>
  <c r="K65" i="27"/>
  <c r="K64" i="27"/>
  <c r="M62" i="27"/>
  <c r="K62" i="27"/>
  <c r="M61" i="27"/>
  <c r="K61" i="27"/>
  <c r="K59" i="27"/>
  <c r="I59" i="27"/>
  <c r="K58" i="27"/>
  <c r="I58" i="27"/>
  <c r="K54" i="27"/>
  <c r="K53" i="27"/>
  <c r="K52" i="27"/>
  <c r="K51" i="27"/>
  <c r="K50" i="27"/>
  <c r="K49" i="27"/>
  <c r="K48" i="27"/>
  <c r="K46" i="27"/>
  <c r="I46" i="27"/>
  <c r="K45" i="27"/>
  <c r="K43" i="27"/>
  <c r="I43" i="27"/>
  <c r="K42" i="27"/>
  <c r="K40" i="27"/>
  <c r="K39" i="27"/>
  <c r="K35" i="27"/>
  <c r="K34" i="27"/>
  <c r="K33" i="27"/>
  <c r="K32" i="27"/>
  <c r="K31" i="27"/>
  <c r="K30" i="27"/>
  <c r="K29" i="27"/>
  <c r="K28" i="27"/>
  <c r="K26" i="27"/>
  <c r="K25" i="27"/>
  <c r="K24" i="27"/>
  <c r="K23" i="27"/>
  <c r="K21" i="27"/>
  <c r="K20" i="27"/>
  <c r="K18" i="27"/>
  <c r="K17" i="27"/>
  <c r="K16" i="27"/>
  <c r="K15" i="27"/>
  <c r="K14" i="27"/>
  <c r="K12" i="27"/>
  <c r="K11" i="27"/>
  <c r="K8" i="27"/>
  <c r="K7" i="27"/>
  <c r="G2" i="27"/>
  <c r="I8" i="27" s="1"/>
  <c r="I108" i="54"/>
  <c r="F108" i="54"/>
  <c r="K107" i="54"/>
  <c r="J107" i="54"/>
  <c r="H107" i="54"/>
  <c r="G107" i="54"/>
  <c r="E107" i="54"/>
  <c r="K106" i="54"/>
  <c r="J106" i="54"/>
  <c r="H106" i="54"/>
  <c r="G106" i="54"/>
  <c r="E106" i="54"/>
  <c r="K105" i="54"/>
  <c r="J105" i="54"/>
  <c r="H105" i="54"/>
  <c r="G105" i="54"/>
  <c r="K104" i="54"/>
  <c r="J104" i="54"/>
  <c r="H104" i="54"/>
  <c r="G104" i="54"/>
  <c r="K103" i="54"/>
  <c r="J103" i="54"/>
  <c r="H103" i="54"/>
  <c r="G103" i="54"/>
  <c r="K102" i="54"/>
  <c r="J102" i="54"/>
  <c r="H102" i="54"/>
  <c r="G102" i="54"/>
  <c r="K101" i="54"/>
  <c r="J101" i="54"/>
  <c r="H101" i="54"/>
  <c r="G101" i="54"/>
  <c r="K100" i="54"/>
  <c r="E100" i="54"/>
  <c r="K99" i="54"/>
  <c r="E99" i="54"/>
  <c r="K98" i="54"/>
  <c r="J98" i="54"/>
  <c r="H98" i="54"/>
  <c r="G98" i="54"/>
  <c r="E98" i="54"/>
  <c r="L98" i="54" s="1"/>
  <c r="P98" i="54" s="1"/>
  <c r="K97" i="54"/>
  <c r="J97" i="54"/>
  <c r="H97" i="54"/>
  <c r="G97" i="54"/>
  <c r="E97" i="54"/>
  <c r="K96" i="54"/>
  <c r="J96" i="54"/>
  <c r="E96" i="54"/>
  <c r="E95" i="54"/>
  <c r="K94" i="54"/>
  <c r="J94" i="54"/>
  <c r="E94" i="54"/>
  <c r="K93" i="54"/>
  <c r="J93" i="54"/>
  <c r="H93" i="54"/>
  <c r="G93" i="54"/>
  <c r="K92" i="54"/>
  <c r="E92" i="54"/>
  <c r="K91" i="54"/>
  <c r="E91" i="54"/>
  <c r="K90" i="54"/>
  <c r="K89" i="54"/>
  <c r="J89" i="54"/>
  <c r="H89" i="54"/>
  <c r="G89" i="54"/>
  <c r="K88" i="54"/>
  <c r="J88" i="54"/>
  <c r="H88" i="54"/>
  <c r="G88" i="54"/>
  <c r="K87" i="54"/>
  <c r="J87" i="54"/>
  <c r="H87" i="54"/>
  <c r="G87" i="54"/>
  <c r="E86" i="54"/>
  <c r="K85" i="54"/>
  <c r="J85" i="54"/>
  <c r="H85" i="54"/>
  <c r="G85" i="54"/>
  <c r="K84" i="54"/>
  <c r="E84" i="54"/>
  <c r="E83" i="54"/>
  <c r="K82" i="54"/>
  <c r="E82" i="54"/>
  <c r="K81" i="54"/>
  <c r="E81" i="54"/>
  <c r="K80" i="54"/>
  <c r="E80" i="54"/>
  <c r="K79" i="54"/>
  <c r="J79" i="54"/>
  <c r="H79" i="54"/>
  <c r="G79" i="54"/>
  <c r="E79" i="54"/>
  <c r="E78" i="54"/>
  <c r="E77" i="54"/>
  <c r="E76" i="54"/>
  <c r="E75" i="54"/>
  <c r="K74" i="54"/>
  <c r="J74" i="54"/>
  <c r="H74" i="54"/>
  <c r="G74" i="54"/>
  <c r="K73" i="54"/>
  <c r="J73" i="54"/>
  <c r="H73" i="54"/>
  <c r="G73" i="54"/>
  <c r="J72" i="54"/>
  <c r="G72" i="54"/>
  <c r="K71" i="54"/>
  <c r="J71" i="54"/>
  <c r="H71" i="54"/>
  <c r="G71" i="54"/>
  <c r="K70" i="54"/>
  <c r="J70" i="54"/>
  <c r="H70" i="54"/>
  <c r="G70" i="54"/>
  <c r="K69" i="54"/>
  <c r="J69" i="54"/>
  <c r="H69" i="54"/>
  <c r="G69" i="54"/>
  <c r="K68" i="54"/>
  <c r="J68" i="54"/>
  <c r="H68" i="54"/>
  <c r="G68" i="54"/>
  <c r="K67" i="54"/>
  <c r="E67" i="54"/>
  <c r="K66" i="54"/>
  <c r="E66" i="54"/>
  <c r="K65" i="54"/>
  <c r="E65" i="54"/>
  <c r="K64" i="54"/>
  <c r="E64" i="54"/>
  <c r="K63" i="54"/>
  <c r="E63" i="54"/>
  <c r="K62" i="54"/>
  <c r="K61" i="54"/>
  <c r="J61" i="54"/>
  <c r="H61" i="54"/>
  <c r="G61" i="54"/>
  <c r="K60" i="54"/>
  <c r="J60" i="54"/>
  <c r="H60" i="54"/>
  <c r="G60" i="54"/>
  <c r="K58" i="54"/>
  <c r="E58" i="54"/>
  <c r="K57" i="54"/>
  <c r="J57" i="54"/>
  <c r="H57" i="54"/>
  <c r="G57" i="54"/>
  <c r="E57" i="54"/>
  <c r="K56" i="54"/>
  <c r="E56" i="54"/>
  <c r="K55" i="54"/>
  <c r="J55" i="54"/>
  <c r="H55" i="54"/>
  <c r="G55" i="54"/>
  <c r="E54" i="54"/>
  <c r="K53" i="54"/>
  <c r="J53" i="54"/>
  <c r="H53" i="54"/>
  <c r="G53" i="54"/>
  <c r="E53" i="54"/>
  <c r="K52" i="54"/>
  <c r="E52" i="54"/>
  <c r="K51" i="54"/>
  <c r="E51" i="54"/>
  <c r="E50" i="54"/>
  <c r="E49" i="54"/>
  <c r="K48" i="54"/>
  <c r="E48" i="54"/>
  <c r="K46" i="54"/>
  <c r="E46" i="54"/>
  <c r="K45" i="54"/>
  <c r="E45" i="54"/>
  <c r="K44" i="54"/>
  <c r="E44" i="54"/>
  <c r="K43" i="54"/>
  <c r="E43" i="54"/>
  <c r="K42" i="54"/>
  <c r="E42" i="54"/>
  <c r="K41" i="54"/>
  <c r="E41" i="54"/>
  <c r="K40" i="54"/>
  <c r="E40" i="54"/>
  <c r="K39" i="54"/>
  <c r="J39" i="54"/>
  <c r="H39" i="54"/>
  <c r="G39" i="54"/>
  <c r="E39" i="54"/>
  <c r="K38" i="54"/>
  <c r="J38" i="54"/>
  <c r="H38" i="54"/>
  <c r="G38" i="54"/>
  <c r="E38" i="54"/>
  <c r="K37" i="54"/>
  <c r="J37" i="54"/>
  <c r="H37" i="54"/>
  <c r="G37" i="54"/>
  <c r="E37" i="54"/>
  <c r="E36" i="54"/>
  <c r="H35" i="54"/>
  <c r="G35" i="54"/>
  <c r="E35" i="54"/>
  <c r="H34" i="54"/>
  <c r="G34" i="54"/>
  <c r="E34" i="54"/>
  <c r="E33" i="54"/>
  <c r="E32" i="54"/>
  <c r="E30" i="54"/>
  <c r="K29" i="54"/>
  <c r="J29" i="54"/>
  <c r="H29" i="54"/>
  <c r="G29" i="54"/>
  <c r="E29" i="54"/>
  <c r="K28" i="54"/>
  <c r="J28" i="54"/>
  <c r="H28" i="54"/>
  <c r="G28" i="54"/>
  <c r="K27" i="54"/>
  <c r="J27" i="54"/>
  <c r="H27" i="54"/>
  <c r="G27" i="54"/>
  <c r="E27" i="54"/>
  <c r="K26" i="54"/>
  <c r="J26" i="54"/>
  <c r="H26" i="54"/>
  <c r="G26" i="54"/>
  <c r="K25" i="54"/>
  <c r="J25" i="54"/>
  <c r="H25" i="54"/>
  <c r="G25" i="54"/>
  <c r="K24" i="54"/>
  <c r="J24" i="54"/>
  <c r="H24" i="54"/>
  <c r="G24" i="54"/>
  <c r="K23" i="54"/>
  <c r="J23" i="54"/>
  <c r="H23" i="54"/>
  <c r="G23" i="54"/>
  <c r="K22" i="54"/>
  <c r="J22" i="54"/>
  <c r="H22" i="54"/>
  <c r="G22" i="54"/>
  <c r="K21" i="54"/>
  <c r="J21" i="54"/>
  <c r="H21" i="54"/>
  <c r="G21" i="54"/>
  <c r="K20" i="54"/>
  <c r="J20" i="54"/>
  <c r="H20" i="54"/>
  <c r="G20" i="54"/>
  <c r="K19" i="54"/>
  <c r="J19" i="54"/>
  <c r="H19" i="54"/>
  <c r="G19" i="54"/>
  <c r="K18" i="54"/>
  <c r="J18" i="54"/>
  <c r="H18" i="54"/>
  <c r="G18" i="54"/>
  <c r="K17" i="54"/>
  <c r="J17" i="54"/>
  <c r="H17" i="54"/>
  <c r="G17" i="54"/>
  <c r="K16" i="54"/>
  <c r="J16" i="54"/>
  <c r="H16" i="54"/>
  <c r="G16" i="54"/>
  <c r="K15" i="54"/>
  <c r="J15" i="54"/>
  <c r="H15" i="54"/>
  <c r="G15" i="54"/>
  <c r="K14" i="54"/>
  <c r="J14" i="54"/>
  <c r="H14" i="54"/>
  <c r="G14" i="54"/>
  <c r="K13" i="54"/>
  <c r="J13" i="54"/>
  <c r="H13" i="54"/>
  <c r="G13" i="54"/>
  <c r="K12" i="54"/>
  <c r="J12" i="54"/>
  <c r="H12" i="54"/>
  <c r="G12" i="54"/>
  <c r="K11" i="54"/>
  <c r="J11" i="54"/>
  <c r="H11" i="54"/>
  <c r="G11" i="54"/>
  <c r="K10" i="54"/>
  <c r="J10" i="54"/>
  <c r="H10" i="54"/>
  <c r="G10" i="54"/>
  <c r="E10" i="54"/>
  <c r="L10" i="54" s="1"/>
  <c r="K8" i="54"/>
  <c r="J8" i="54"/>
  <c r="H8" i="54"/>
  <c r="G8" i="54"/>
  <c r="E8" i="54"/>
  <c r="K7" i="54"/>
  <c r="J7" i="54"/>
  <c r="H7" i="54"/>
  <c r="G7" i="54"/>
  <c r="K6" i="54"/>
  <c r="J6" i="54"/>
  <c r="H6" i="54"/>
  <c r="G6" i="54"/>
  <c r="K5" i="54"/>
  <c r="J5" i="54"/>
  <c r="H5" i="54"/>
  <c r="G5" i="54"/>
  <c r="E5" i="54"/>
  <c r="K4" i="54"/>
  <c r="J4" i="54"/>
  <c r="H4" i="54"/>
  <c r="G4" i="54"/>
  <c r="K3" i="54"/>
  <c r="J3" i="54"/>
  <c r="H3" i="54"/>
  <c r="G3" i="54"/>
  <c r="J2" i="54"/>
  <c r="I2" i="54"/>
  <c r="H2" i="54"/>
  <c r="G2" i="54"/>
  <c r="F2" i="54"/>
  <c r="AA168" i="23"/>
  <c r="P167" i="23"/>
  <c r="M167" i="23"/>
  <c r="P166" i="23"/>
  <c r="M166" i="23"/>
  <c r="P165" i="23"/>
  <c r="M165" i="23"/>
  <c r="P164" i="23"/>
  <c r="M164" i="23"/>
  <c r="L163" i="23"/>
  <c r="K163" i="23" s="1"/>
  <c r="K162" i="23"/>
  <c r="M160" i="23"/>
  <c r="M159" i="23"/>
  <c r="N159" i="23" s="1"/>
  <c r="K158" i="23"/>
  <c r="M158" i="23" s="1"/>
  <c r="K157" i="23"/>
  <c r="M157" i="23" s="1"/>
  <c r="K156" i="23"/>
  <c r="K155" i="23"/>
  <c r="K154" i="23"/>
  <c r="K153" i="23"/>
  <c r="K152" i="23"/>
  <c r="K151" i="23"/>
  <c r="M148" i="23"/>
  <c r="N148" i="23" s="1"/>
  <c r="O148" i="23" s="1"/>
  <c r="M147" i="23"/>
  <c r="N147" i="23" s="1"/>
  <c r="M146" i="23"/>
  <c r="N146" i="23" s="1"/>
  <c r="O146" i="23" s="1"/>
  <c r="M145" i="23"/>
  <c r="N145" i="23" s="1"/>
  <c r="K144" i="23"/>
  <c r="K143" i="23"/>
  <c r="K142" i="23"/>
  <c r="K137" i="23"/>
  <c r="K136" i="23"/>
  <c r="K135" i="23"/>
  <c r="K133" i="23"/>
  <c r="K132" i="23"/>
  <c r="K131" i="23"/>
  <c r="K128" i="23"/>
  <c r="K127" i="23"/>
  <c r="K126" i="23"/>
  <c r="M126" i="23" s="1"/>
  <c r="K125" i="23"/>
  <c r="K123" i="23"/>
  <c r="K122" i="23"/>
  <c r="K121" i="23"/>
  <c r="K120" i="23"/>
  <c r="K118" i="23"/>
  <c r="K116" i="23"/>
  <c r="K115" i="23"/>
  <c r="K114" i="23"/>
  <c r="K113" i="23"/>
  <c r="M113" i="23" s="1"/>
  <c r="K112" i="23"/>
  <c r="K110" i="23"/>
  <c r="K109" i="23"/>
  <c r="K108" i="23"/>
  <c r="K107" i="23"/>
  <c r="K106" i="23"/>
  <c r="K105" i="23"/>
  <c r="M105" i="23" s="1"/>
  <c r="K104" i="23"/>
  <c r="K103" i="23"/>
  <c r="K101" i="23"/>
  <c r="K100" i="23"/>
  <c r="K98" i="23"/>
  <c r="K97" i="23"/>
  <c r="K96" i="23"/>
  <c r="K95" i="23"/>
  <c r="K93" i="23"/>
  <c r="K92" i="23"/>
  <c r="P87" i="23"/>
  <c r="M87" i="23"/>
  <c r="P86" i="23"/>
  <c r="M86" i="23"/>
  <c r="P85" i="23"/>
  <c r="I85" i="23"/>
  <c r="M85" i="23" s="1"/>
  <c r="P84" i="23"/>
  <c r="I84" i="23"/>
  <c r="M84" i="23" s="1"/>
  <c r="P83" i="23"/>
  <c r="I83" i="23"/>
  <c r="M83" i="23" s="1"/>
  <c r="P82" i="23"/>
  <c r="K81" i="23"/>
  <c r="K80" i="23"/>
  <c r="K79" i="23"/>
  <c r="K78" i="23"/>
  <c r="K77" i="23"/>
  <c r="K76" i="23"/>
  <c r="K75" i="23"/>
  <c r="K74" i="23"/>
  <c r="K73" i="23"/>
  <c r="K72" i="23"/>
  <c r="K71" i="23"/>
  <c r="K68" i="23"/>
  <c r="K67" i="23"/>
  <c r="K65" i="23"/>
  <c r="K64" i="23"/>
  <c r="M62" i="23"/>
  <c r="K62" i="23"/>
  <c r="M61" i="23"/>
  <c r="K61" i="23"/>
  <c r="K59" i="23"/>
  <c r="K58" i="23"/>
  <c r="K54" i="23"/>
  <c r="K53" i="23"/>
  <c r="K52" i="23"/>
  <c r="K51" i="23"/>
  <c r="K50" i="23"/>
  <c r="K49" i="23"/>
  <c r="K48" i="23"/>
  <c r="K46" i="23"/>
  <c r="K45" i="23"/>
  <c r="K43" i="23"/>
  <c r="K42" i="23"/>
  <c r="K40" i="23"/>
  <c r="K39" i="23"/>
  <c r="K35" i="23"/>
  <c r="K34" i="23"/>
  <c r="K33" i="23"/>
  <c r="K32" i="23"/>
  <c r="K31" i="23"/>
  <c r="K30" i="23"/>
  <c r="K29" i="23"/>
  <c r="K28" i="23"/>
  <c r="K26" i="23"/>
  <c r="K25" i="23"/>
  <c r="K24" i="23"/>
  <c r="K23" i="23"/>
  <c r="K21" i="23"/>
  <c r="K20" i="23"/>
  <c r="K18" i="23"/>
  <c r="K17" i="23"/>
  <c r="K16" i="23"/>
  <c r="K15" i="23"/>
  <c r="K14" i="23"/>
  <c r="K12" i="23"/>
  <c r="K11" i="23"/>
  <c r="K8" i="23"/>
  <c r="K7" i="23"/>
  <c r="J2" i="23"/>
  <c r="I2" i="23"/>
  <c r="H2" i="23"/>
  <c r="I151" i="23" s="1"/>
  <c r="G2" i="23"/>
  <c r="E2" i="23"/>
  <c r="D1" i="23"/>
  <c r="Z169" i="37"/>
  <c r="Q167" i="37"/>
  <c r="P167" i="37"/>
  <c r="M167" i="37"/>
  <c r="Q166" i="37"/>
  <c r="P166" i="37"/>
  <c r="M166" i="37"/>
  <c r="Q165" i="37"/>
  <c r="P165" i="37"/>
  <c r="M165" i="37"/>
  <c r="Q164" i="37"/>
  <c r="P164" i="37"/>
  <c r="M164" i="37"/>
  <c r="L163" i="37"/>
  <c r="K163" i="37" s="1"/>
  <c r="K162" i="37"/>
  <c r="Q160" i="37"/>
  <c r="P160" i="37"/>
  <c r="M160" i="37"/>
  <c r="Q159" i="37"/>
  <c r="P159" i="37"/>
  <c r="M159" i="37"/>
  <c r="Q158" i="37"/>
  <c r="P158" i="37"/>
  <c r="M158" i="37"/>
  <c r="Q157" i="37"/>
  <c r="P157" i="37"/>
  <c r="M157" i="37"/>
  <c r="K156" i="37"/>
  <c r="K155" i="37"/>
  <c r="K154" i="37"/>
  <c r="K153" i="37"/>
  <c r="K152" i="37"/>
  <c r="K151" i="37"/>
  <c r="Q148" i="37"/>
  <c r="P148" i="37"/>
  <c r="Q147" i="37"/>
  <c r="P147" i="37"/>
  <c r="Q146" i="37"/>
  <c r="P146" i="37"/>
  <c r="Q145" i="37"/>
  <c r="P145" i="37"/>
  <c r="K144" i="37"/>
  <c r="K143" i="37"/>
  <c r="K142" i="37"/>
  <c r="K140" i="37"/>
  <c r="M140" i="37" s="1"/>
  <c r="K137" i="37"/>
  <c r="K136" i="37"/>
  <c r="K135" i="37"/>
  <c r="K133" i="37"/>
  <c r="K132" i="37"/>
  <c r="K131" i="37"/>
  <c r="K128" i="37"/>
  <c r="K127" i="37"/>
  <c r="M126" i="37"/>
  <c r="N126" i="37" s="1"/>
  <c r="K123" i="37"/>
  <c r="K122" i="37"/>
  <c r="K121" i="37"/>
  <c r="K120" i="37"/>
  <c r="K118" i="37"/>
  <c r="K116" i="37"/>
  <c r="K115" i="37"/>
  <c r="K114" i="37"/>
  <c r="K113" i="37"/>
  <c r="K112" i="37"/>
  <c r="M110" i="37"/>
  <c r="K109" i="37"/>
  <c r="K108" i="37"/>
  <c r="K107" i="37"/>
  <c r="K106" i="37"/>
  <c r="K105" i="37"/>
  <c r="M105" i="37" s="1"/>
  <c r="K104" i="37"/>
  <c r="K103" i="37"/>
  <c r="K101" i="37"/>
  <c r="K100" i="37"/>
  <c r="K98" i="37"/>
  <c r="K97" i="37"/>
  <c r="K96" i="37"/>
  <c r="K95" i="37"/>
  <c r="K93" i="37"/>
  <c r="K92" i="37"/>
  <c r="Q87" i="37"/>
  <c r="P87" i="37"/>
  <c r="M87" i="37"/>
  <c r="Q86" i="37"/>
  <c r="P86" i="37"/>
  <c r="M86" i="37"/>
  <c r="P85" i="37"/>
  <c r="I85" i="37"/>
  <c r="Q85" i="37" s="1"/>
  <c r="P84" i="37"/>
  <c r="I84" i="37"/>
  <c r="Q84" i="37" s="1"/>
  <c r="P83" i="37"/>
  <c r="I83" i="37"/>
  <c r="M83" i="37"/>
  <c r="Q82" i="37"/>
  <c r="P82" i="37"/>
  <c r="K81" i="37"/>
  <c r="K80" i="37"/>
  <c r="K79" i="37"/>
  <c r="K78" i="37"/>
  <c r="K77" i="37"/>
  <c r="K76" i="37"/>
  <c r="K75" i="37"/>
  <c r="K74" i="37"/>
  <c r="K73" i="37"/>
  <c r="K72" i="37"/>
  <c r="K71" i="37"/>
  <c r="K68" i="37"/>
  <c r="K67" i="37"/>
  <c r="K65" i="37"/>
  <c r="K64" i="37"/>
  <c r="M62" i="37"/>
  <c r="M61" i="37"/>
  <c r="N61" i="37" s="1"/>
  <c r="K59" i="37"/>
  <c r="K58" i="37"/>
  <c r="K54" i="37"/>
  <c r="K53" i="37"/>
  <c r="K52" i="37"/>
  <c r="K51" i="37"/>
  <c r="K50" i="37"/>
  <c r="K49" i="37"/>
  <c r="K48" i="37"/>
  <c r="K46" i="37"/>
  <c r="K43" i="37"/>
  <c r="K42" i="37"/>
  <c r="K40" i="37"/>
  <c r="K39" i="37"/>
  <c r="K34" i="37"/>
  <c r="K33" i="37"/>
  <c r="K32" i="37"/>
  <c r="K31" i="37"/>
  <c r="K30" i="37"/>
  <c r="K29" i="37"/>
  <c r="K28" i="37"/>
  <c r="K26" i="37"/>
  <c r="K25" i="37"/>
  <c r="K24" i="37"/>
  <c r="K23" i="37"/>
  <c r="K21" i="37"/>
  <c r="K20" i="37"/>
  <c r="K18" i="37"/>
  <c r="K17" i="37"/>
  <c r="K16" i="37"/>
  <c r="K15" i="37"/>
  <c r="K14" i="37"/>
  <c r="K12" i="37"/>
  <c r="K11" i="37"/>
  <c r="K8" i="37"/>
  <c r="K7" i="37"/>
  <c r="K2" i="37"/>
  <c r="I2" i="37"/>
  <c r="H2" i="37"/>
  <c r="I120" i="37" s="1"/>
  <c r="G2" i="37"/>
  <c r="I8" i="37" s="1"/>
  <c r="E2" i="37"/>
  <c r="Z169" i="25"/>
  <c r="Q167" i="25"/>
  <c r="P167" i="25"/>
  <c r="M167" i="25"/>
  <c r="Q166" i="25"/>
  <c r="P166" i="25"/>
  <c r="M166" i="25"/>
  <c r="Q165" i="25"/>
  <c r="P165" i="25"/>
  <c r="M165" i="25"/>
  <c r="Q164" i="25"/>
  <c r="P164" i="25"/>
  <c r="M164" i="25"/>
  <c r="L163" i="25"/>
  <c r="K163" i="25" s="1"/>
  <c r="K162" i="25"/>
  <c r="F162" i="25"/>
  <c r="Q160" i="25"/>
  <c r="P160" i="25"/>
  <c r="M160" i="25"/>
  <c r="Q159" i="25"/>
  <c r="P159" i="25"/>
  <c r="M159" i="25"/>
  <c r="Q158" i="25"/>
  <c r="P158" i="25"/>
  <c r="M158" i="25"/>
  <c r="Q157" i="25"/>
  <c r="P157" i="25"/>
  <c r="M157" i="25"/>
  <c r="K156" i="25"/>
  <c r="K155" i="25"/>
  <c r="K154" i="25"/>
  <c r="K153" i="25"/>
  <c r="K152" i="25"/>
  <c r="K151" i="25"/>
  <c r="Q148" i="25"/>
  <c r="P148" i="25"/>
  <c r="Q147" i="25"/>
  <c r="P147" i="25"/>
  <c r="Q146" i="25"/>
  <c r="P146" i="25"/>
  <c r="Q145" i="25"/>
  <c r="P145" i="25"/>
  <c r="K144" i="25"/>
  <c r="K143" i="25"/>
  <c r="K142" i="25"/>
  <c r="K140" i="25"/>
  <c r="K137" i="25"/>
  <c r="K136" i="25"/>
  <c r="K135" i="25"/>
  <c r="K133" i="25"/>
  <c r="K132" i="25"/>
  <c r="K131" i="25"/>
  <c r="K128" i="25"/>
  <c r="M128" i="25" s="1"/>
  <c r="K127" i="25"/>
  <c r="M126" i="25"/>
  <c r="N126" i="25" s="1"/>
  <c r="K123" i="25"/>
  <c r="K122" i="25"/>
  <c r="K121" i="25"/>
  <c r="K120" i="25"/>
  <c r="K118" i="25"/>
  <c r="K116" i="25"/>
  <c r="K115" i="25"/>
  <c r="K114" i="25"/>
  <c r="K113" i="25"/>
  <c r="K112" i="25"/>
  <c r="M110" i="25"/>
  <c r="N110" i="25"/>
  <c r="K109" i="25"/>
  <c r="K108" i="25"/>
  <c r="K107" i="25"/>
  <c r="K106" i="25"/>
  <c r="K105" i="25"/>
  <c r="M105" i="25" s="1"/>
  <c r="K104" i="25"/>
  <c r="K103" i="25"/>
  <c r="K101" i="25"/>
  <c r="K100" i="25"/>
  <c r="K98" i="25"/>
  <c r="K97" i="25"/>
  <c r="K96" i="25"/>
  <c r="K95" i="25"/>
  <c r="K93" i="25"/>
  <c r="K92" i="25"/>
  <c r="Q87" i="25"/>
  <c r="P87" i="25"/>
  <c r="M87" i="25"/>
  <c r="Q86" i="25"/>
  <c r="P86" i="25"/>
  <c r="M86" i="25"/>
  <c r="P85" i="25"/>
  <c r="I85" i="25"/>
  <c r="P84" i="25"/>
  <c r="I84" i="25"/>
  <c r="P83" i="25"/>
  <c r="I83" i="25"/>
  <c r="M83" i="25" s="1"/>
  <c r="Q82" i="25"/>
  <c r="P82" i="25"/>
  <c r="K81" i="25"/>
  <c r="K80" i="25"/>
  <c r="K79" i="25"/>
  <c r="K78" i="25"/>
  <c r="K77" i="25"/>
  <c r="K76" i="25"/>
  <c r="K75" i="25"/>
  <c r="K74" i="25"/>
  <c r="K73" i="25"/>
  <c r="K72" i="25"/>
  <c r="K71" i="25"/>
  <c r="K68" i="25"/>
  <c r="K67" i="25"/>
  <c r="K65" i="25"/>
  <c r="K64" i="25"/>
  <c r="M62" i="25"/>
  <c r="N62" i="25" s="1"/>
  <c r="M61" i="25"/>
  <c r="K59" i="25"/>
  <c r="K58" i="25"/>
  <c r="K54" i="25"/>
  <c r="K53" i="25"/>
  <c r="K52" i="25"/>
  <c r="K51" i="25"/>
  <c r="K50" i="25"/>
  <c r="K49" i="25"/>
  <c r="K48" i="25"/>
  <c r="K46" i="25"/>
  <c r="K43" i="25"/>
  <c r="K42" i="25"/>
  <c r="K40" i="25"/>
  <c r="K39" i="25"/>
  <c r="J35" i="25"/>
  <c r="J34" i="25"/>
  <c r="K34" i="25" s="1"/>
  <c r="J33" i="25"/>
  <c r="K33" i="25" s="1"/>
  <c r="J32" i="25"/>
  <c r="K32" i="25" s="1"/>
  <c r="K31" i="25"/>
  <c r="J30" i="25"/>
  <c r="K30" i="25"/>
  <c r="J28" i="25"/>
  <c r="K28" i="25" s="1"/>
  <c r="J27" i="25"/>
  <c r="J26" i="25"/>
  <c r="K26" i="25" s="1"/>
  <c r="J25" i="25"/>
  <c r="K25" i="25" s="1"/>
  <c r="J24" i="25"/>
  <c r="K24" i="25" s="1"/>
  <c r="J23" i="25"/>
  <c r="K23" i="25" s="1"/>
  <c r="J22" i="25"/>
  <c r="J21" i="25"/>
  <c r="K21" i="25" s="1"/>
  <c r="J20" i="25"/>
  <c r="K20" i="25"/>
  <c r="J19" i="25"/>
  <c r="J18" i="25"/>
  <c r="K18" i="25" s="1"/>
  <c r="J16" i="25"/>
  <c r="K16" i="25" s="1"/>
  <c r="G15" i="25"/>
  <c r="G14" i="25"/>
  <c r="J13" i="25"/>
  <c r="G12" i="25"/>
  <c r="G11" i="25"/>
  <c r="J10" i="25"/>
  <c r="J9" i="25"/>
  <c r="J8" i="25"/>
  <c r="K8" i="25" s="1"/>
  <c r="J7" i="25"/>
  <c r="K7" i="25" s="1"/>
  <c r="I2" i="25"/>
  <c r="H2" i="25"/>
  <c r="I162" i="25" s="1"/>
  <c r="G2" i="25"/>
  <c r="E2" i="25"/>
  <c r="D1" i="25"/>
  <c r="Z169" i="24"/>
  <c r="Q167" i="24"/>
  <c r="P167" i="24"/>
  <c r="M167" i="24"/>
  <c r="Q166" i="24"/>
  <c r="P166" i="24"/>
  <c r="M166" i="24"/>
  <c r="Q165" i="24"/>
  <c r="P165" i="24"/>
  <c r="M165" i="24"/>
  <c r="Q164" i="24"/>
  <c r="P164" i="24"/>
  <c r="M164" i="24"/>
  <c r="K163" i="24"/>
  <c r="K162" i="24"/>
  <c r="Q160" i="24"/>
  <c r="P160" i="24"/>
  <c r="M160" i="24"/>
  <c r="Q159" i="24"/>
  <c r="P159" i="24"/>
  <c r="M159" i="24"/>
  <c r="Q158" i="24"/>
  <c r="P158" i="24"/>
  <c r="M158" i="24"/>
  <c r="Q157" i="24"/>
  <c r="P157" i="24"/>
  <c r="M157" i="24"/>
  <c r="K156" i="24"/>
  <c r="K155" i="24"/>
  <c r="K154" i="24"/>
  <c r="K153" i="24"/>
  <c r="K152" i="24"/>
  <c r="K151" i="24"/>
  <c r="Q148" i="24"/>
  <c r="P148" i="24"/>
  <c r="Q147" i="24"/>
  <c r="P147" i="24"/>
  <c r="Q146" i="24"/>
  <c r="P146" i="24"/>
  <c r="Q145" i="24"/>
  <c r="P145" i="24"/>
  <c r="K144" i="24"/>
  <c r="K143" i="24"/>
  <c r="K142" i="24"/>
  <c r="K140" i="24"/>
  <c r="M140" i="24" s="1"/>
  <c r="K137" i="24"/>
  <c r="K136" i="24"/>
  <c r="K135" i="24"/>
  <c r="K133" i="24"/>
  <c r="K132" i="24"/>
  <c r="K131" i="24"/>
  <c r="K128" i="24"/>
  <c r="K127" i="24"/>
  <c r="M126" i="24"/>
  <c r="N126" i="24" s="1"/>
  <c r="O126" i="24" s="1"/>
  <c r="K123" i="24"/>
  <c r="K122" i="24"/>
  <c r="K121" i="24"/>
  <c r="K120" i="24"/>
  <c r="K118" i="24"/>
  <c r="K116" i="24"/>
  <c r="K115" i="24"/>
  <c r="K114" i="24"/>
  <c r="K113" i="24"/>
  <c r="K112" i="24"/>
  <c r="M110" i="24"/>
  <c r="N110" i="24" s="1"/>
  <c r="K109" i="24"/>
  <c r="K108" i="24"/>
  <c r="K107" i="24"/>
  <c r="K106" i="24"/>
  <c r="K105" i="24"/>
  <c r="M105" i="24" s="1"/>
  <c r="K104" i="24"/>
  <c r="K103" i="24"/>
  <c r="K101" i="24"/>
  <c r="K100" i="24"/>
  <c r="K98" i="24"/>
  <c r="K97" i="24"/>
  <c r="K96" i="24"/>
  <c r="K95" i="24"/>
  <c r="K93" i="24"/>
  <c r="K92" i="24"/>
  <c r="Q87" i="24"/>
  <c r="P87" i="24"/>
  <c r="M87" i="24"/>
  <c r="Q86" i="24"/>
  <c r="P86" i="24"/>
  <c r="M86" i="24"/>
  <c r="P85" i="24"/>
  <c r="I85" i="24"/>
  <c r="Q85" i="24"/>
  <c r="P84" i="24"/>
  <c r="I84" i="24"/>
  <c r="Q84" i="24" s="1"/>
  <c r="P83" i="24"/>
  <c r="I83" i="24"/>
  <c r="Q82" i="24"/>
  <c r="P82" i="24"/>
  <c r="K81" i="24"/>
  <c r="K80" i="24"/>
  <c r="K79" i="24"/>
  <c r="K78" i="24"/>
  <c r="K77" i="24"/>
  <c r="K76" i="24"/>
  <c r="K75" i="24"/>
  <c r="K74" i="24"/>
  <c r="K73" i="24"/>
  <c r="K72" i="24"/>
  <c r="K71" i="24"/>
  <c r="K68" i="24"/>
  <c r="K67" i="24"/>
  <c r="K65" i="24"/>
  <c r="K64" i="24"/>
  <c r="M62" i="24"/>
  <c r="M61" i="24"/>
  <c r="N61" i="24" s="1"/>
  <c r="K59" i="24"/>
  <c r="K58" i="24"/>
  <c r="K54" i="24"/>
  <c r="K53" i="24"/>
  <c r="K52" i="24"/>
  <c r="K51" i="24"/>
  <c r="K50" i="24"/>
  <c r="K49" i="24"/>
  <c r="K48" i="24"/>
  <c r="K46" i="24"/>
  <c r="K43" i="24"/>
  <c r="K42" i="24"/>
  <c r="K40" i="24"/>
  <c r="K39" i="24"/>
  <c r="K34" i="24"/>
  <c r="K33" i="24"/>
  <c r="K32" i="24"/>
  <c r="K31" i="24"/>
  <c r="K30" i="24"/>
  <c r="K29" i="24"/>
  <c r="K28" i="24"/>
  <c r="K26" i="24"/>
  <c r="K25" i="24"/>
  <c r="K24" i="24"/>
  <c r="K23" i="24"/>
  <c r="K21" i="24"/>
  <c r="K20" i="24"/>
  <c r="K18" i="24"/>
  <c r="K17" i="24"/>
  <c r="K16" i="24"/>
  <c r="K15" i="24"/>
  <c r="K14" i="24"/>
  <c r="K12" i="24"/>
  <c r="K11" i="24"/>
  <c r="K8" i="24"/>
  <c r="K7" i="24"/>
  <c r="K2" i="24"/>
  <c r="I2" i="24"/>
  <c r="H2" i="24"/>
  <c r="I154" i="24" s="1"/>
  <c r="G2" i="24"/>
  <c r="I7" i="24" s="1"/>
  <c r="E2" i="24"/>
  <c r="D1" i="24"/>
  <c r="Z169" i="20"/>
  <c r="Q167" i="20"/>
  <c r="P167" i="20"/>
  <c r="M167" i="20"/>
  <c r="Q166" i="20"/>
  <c r="P166" i="20"/>
  <c r="M166" i="20"/>
  <c r="Q165" i="20"/>
  <c r="P165" i="20"/>
  <c r="M165" i="20"/>
  <c r="Q164" i="20"/>
  <c r="P164" i="20"/>
  <c r="M164" i="20"/>
  <c r="K163" i="20"/>
  <c r="I163" i="20"/>
  <c r="K162" i="20"/>
  <c r="I162" i="20"/>
  <c r="F162" i="20"/>
  <c r="Q160" i="20"/>
  <c r="P160" i="20"/>
  <c r="M160" i="20"/>
  <c r="Q159" i="20"/>
  <c r="P159" i="20"/>
  <c r="M159" i="20"/>
  <c r="Q158" i="20"/>
  <c r="P158" i="20"/>
  <c r="M158" i="20"/>
  <c r="Q157" i="20"/>
  <c r="P157" i="20"/>
  <c r="M157" i="20"/>
  <c r="K156" i="20"/>
  <c r="I156" i="20"/>
  <c r="K155" i="20"/>
  <c r="I155" i="20"/>
  <c r="K154" i="20"/>
  <c r="I154" i="20"/>
  <c r="K153" i="20"/>
  <c r="I153" i="20"/>
  <c r="K152" i="20"/>
  <c r="I152" i="20"/>
  <c r="K151" i="20"/>
  <c r="I151" i="20"/>
  <c r="Q148" i="20"/>
  <c r="P148" i="20"/>
  <c r="Q147" i="20"/>
  <c r="P147" i="20"/>
  <c r="Q146" i="20"/>
  <c r="P146" i="20"/>
  <c r="Q145" i="20"/>
  <c r="P145" i="20"/>
  <c r="K144" i="20"/>
  <c r="I144" i="20"/>
  <c r="K143" i="20"/>
  <c r="I143" i="20"/>
  <c r="K142" i="20"/>
  <c r="I142" i="20"/>
  <c r="K140" i="20"/>
  <c r="I140" i="20"/>
  <c r="I139" i="20"/>
  <c r="I138" i="20"/>
  <c r="M138" i="20" s="1"/>
  <c r="N138" i="20" s="1"/>
  <c r="O138" i="20" s="1"/>
  <c r="K137" i="20"/>
  <c r="I137" i="20"/>
  <c r="K136" i="20"/>
  <c r="I136" i="20"/>
  <c r="K135" i="20"/>
  <c r="I135" i="20"/>
  <c r="K133" i="20"/>
  <c r="I133" i="20"/>
  <c r="K132" i="20"/>
  <c r="I132" i="20"/>
  <c r="K131" i="20"/>
  <c r="I131" i="20"/>
  <c r="K128" i="20"/>
  <c r="I128" i="20"/>
  <c r="K127" i="20"/>
  <c r="M127" i="20" s="1"/>
  <c r="I127" i="20"/>
  <c r="M126" i="20"/>
  <c r="I125" i="20"/>
  <c r="M125" i="20" s="1"/>
  <c r="J123" i="20"/>
  <c r="K123" i="20" s="1"/>
  <c r="I123" i="20"/>
  <c r="K122" i="20"/>
  <c r="I122" i="20"/>
  <c r="K121" i="20"/>
  <c r="I121" i="20"/>
  <c r="K120" i="20"/>
  <c r="I120" i="20"/>
  <c r="K118" i="20"/>
  <c r="I118" i="20"/>
  <c r="K116" i="20"/>
  <c r="I116" i="20"/>
  <c r="K115" i="20"/>
  <c r="I115" i="20"/>
  <c r="K114" i="20"/>
  <c r="I114" i="20"/>
  <c r="K113" i="20"/>
  <c r="K112" i="20"/>
  <c r="I112" i="20"/>
  <c r="M110" i="20"/>
  <c r="K109" i="20"/>
  <c r="M109" i="20" s="1"/>
  <c r="I109" i="20"/>
  <c r="K108" i="20"/>
  <c r="I108" i="20"/>
  <c r="K107" i="20"/>
  <c r="I107" i="20"/>
  <c r="K106" i="20"/>
  <c r="M106" i="20" s="1"/>
  <c r="I106" i="20"/>
  <c r="K105" i="20"/>
  <c r="M105" i="20" s="1"/>
  <c r="K104" i="20"/>
  <c r="I104" i="20"/>
  <c r="K103" i="20"/>
  <c r="I103" i="20"/>
  <c r="K101" i="20"/>
  <c r="I101" i="20"/>
  <c r="K100" i="20"/>
  <c r="I100" i="20"/>
  <c r="K98" i="20"/>
  <c r="I98" i="20"/>
  <c r="K97" i="20"/>
  <c r="I97" i="20"/>
  <c r="K96" i="20"/>
  <c r="I96" i="20"/>
  <c r="K95" i="20"/>
  <c r="I95" i="20"/>
  <c r="K93" i="20"/>
  <c r="I93" i="20"/>
  <c r="K92" i="20"/>
  <c r="I92" i="20"/>
  <c r="Q87" i="20"/>
  <c r="P87" i="20"/>
  <c r="M87" i="20"/>
  <c r="Q86" i="20"/>
  <c r="P86" i="20"/>
  <c r="M86" i="20"/>
  <c r="P85" i="20"/>
  <c r="I85" i="20"/>
  <c r="P84" i="20"/>
  <c r="I84" i="20"/>
  <c r="M84" i="20" s="1"/>
  <c r="P83" i="20"/>
  <c r="I83" i="20"/>
  <c r="M83" i="20" s="1"/>
  <c r="Q82" i="20"/>
  <c r="P82" i="20"/>
  <c r="K81" i="20"/>
  <c r="I81" i="20"/>
  <c r="K80" i="20"/>
  <c r="I80" i="20"/>
  <c r="K79" i="20"/>
  <c r="I79" i="20"/>
  <c r="K78" i="20"/>
  <c r="I78" i="20"/>
  <c r="K77" i="20"/>
  <c r="I77" i="20"/>
  <c r="K76" i="20"/>
  <c r="I76" i="20"/>
  <c r="K75" i="20"/>
  <c r="I75" i="20"/>
  <c r="K74" i="20"/>
  <c r="I74" i="20"/>
  <c r="K73" i="20"/>
  <c r="I73" i="20"/>
  <c r="K72" i="20"/>
  <c r="I72" i="20"/>
  <c r="K71" i="20"/>
  <c r="I71" i="20"/>
  <c r="K68" i="20"/>
  <c r="I68" i="20"/>
  <c r="K67" i="20"/>
  <c r="I67" i="20"/>
  <c r="K65" i="20"/>
  <c r="I65" i="20"/>
  <c r="K64" i="20"/>
  <c r="I64" i="20"/>
  <c r="M62" i="20"/>
  <c r="N62" i="20" s="1"/>
  <c r="O62" i="20" s="1"/>
  <c r="M61" i="20"/>
  <c r="K59" i="20"/>
  <c r="I59" i="20"/>
  <c r="K58" i="20"/>
  <c r="I58" i="20"/>
  <c r="I55" i="20"/>
  <c r="M55" i="20" s="1"/>
  <c r="N55" i="20" s="1"/>
  <c r="O55" i="20" s="1"/>
  <c r="K54" i="20"/>
  <c r="I54" i="20"/>
  <c r="K53" i="20"/>
  <c r="I53" i="20"/>
  <c r="K52" i="20"/>
  <c r="I52" i="20"/>
  <c r="K51" i="20"/>
  <c r="M51" i="20" s="1"/>
  <c r="N51" i="20" s="1"/>
  <c r="I51" i="20"/>
  <c r="K50" i="20"/>
  <c r="I50" i="20"/>
  <c r="K49" i="20"/>
  <c r="I49" i="20"/>
  <c r="K48" i="20"/>
  <c r="I48" i="20"/>
  <c r="K46" i="20"/>
  <c r="M46" i="20" s="1"/>
  <c r="N46" i="20" s="1"/>
  <c r="I46" i="20"/>
  <c r="I45" i="20"/>
  <c r="M45" i="20"/>
  <c r="K43" i="20"/>
  <c r="I43" i="20"/>
  <c r="K42" i="20"/>
  <c r="I42" i="20"/>
  <c r="K40" i="20"/>
  <c r="I40" i="20"/>
  <c r="K39" i="20"/>
  <c r="I39" i="20"/>
  <c r="M39" i="20" s="1"/>
  <c r="I35" i="20"/>
  <c r="K34" i="20"/>
  <c r="I34" i="20"/>
  <c r="K33" i="20"/>
  <c r="I33" i="20"/>
  <c r="K32" i="20"/>
  <c r="I32" i="20"/>
  <c r="K31" i="20"/>
  <c r="I31" i="20"/>
  <c r="K30" i="20"/>
  <c r="I30" i="20"/>
  <c r="M30" i="20" s="1"/>
  <c r="N30" i="20" s="1"/>
  <c r="J29" i="20"/>
  <c r="I29" i="20"/>
  <c r="K28" i="20"/>
  <c r="I28" i="20"/>
  <c r="K26" i="20"/>
  <c r="I26" i="20"/>
  <c r="K25" i="20"/>
  <c r="I25" i="20"/>
  <c r="K24" i="20"/>
  <c r="I24" i="20"/>
  <c r="M24" i="20" s="1"/>
  <c r="K23" i="20"/>
  <c r="I23" i="20"/>
  <c r="K21" i="20"/>
  <c r="I21" i="20"/>
  <c r="G21" i="20"/>
  <c r="M21" i="20" s="1"/>
  <c r="K20" i="20"/>
  <c r="I20" i="20"/>
  <c r="K18" i="20"/>
  <c r="I18" i="20"/>
  <c r="J17" i="20"/>
  <c r="I17" i="20"/>
  <c r="K16" i="20"/>
  <c r="I16" i="20"/>
  <c r="J15" i="20"/>
  <c r="I15" i="20"/>
  <c r="G15" i="20"/>
  <c r="J14" i="20"/>
  <c r="K14" i="20" s="1"/>
  <c r="I14" i="20"/>
  <c r="G14" i="20"/>
  <c r="J12" i="20"/>
  <c r="K12" i="20" s="1"/>
  <c r="I12" i="20"/>
  <c r="G12" i="20"/>
  <c r="J11" i="20"/>
  <c r="I11" i="20"/>
  <c r="G11" i="20"/>
  <c r="K8" i="20"/>
  <c r="I8" i="20"/>
  <c r="K7" i="20"/>
  <c r="I7" i="20"/>
  <c r="D1" i="20"/>
  <c r="E2" i="27"/>
  <c r="A25" i="14"/>
  <c r="B47" i="13"/>
  <c r="B46" i="13"/>
  <c r="B45" i="13"/>
  <c r="B44" i="13"/>
  <c r="B43" i="13"/>
  <c r="B42" i="13"/>
  <c r="B39" i="13"/>
  <c r="A39" i="13"/>
  <c r="A47" i="13" s="1"/>
  <c r="B38" i="13"/>
  <c r="A38" i="13"/>
  <c r="A46" i="13" s="1"/>
  <c r="B37" i="13"/>
  <c r="A37" i="13"/>
  <c r="A45" i="13" s="1"/>
  <c r="B36" i="13"/>
  <c r="A36" i="13"/>
  <c r="A44" i="13" s="1"/>
  <c r="B35" i="13"/>
  <c r="A35" i="13"/>
  <c r="A43" i="13" s="1"/>
  <c r="B34" i="13"/>
  <c r="A34" i="13"/>
  <c r="A42" i="13" s="1"/>
  <c r="E14" i="13"/>
  <c r="G14" i="13" s="1"/>
  <c r="D14" i="13"/>
  <c r="F14" i="13" s="1"/>
  <c r="A38" i="12"/>
  <c r="A39" i="12" s="1"/>
  <c r="A41" i="12" s="1"/>
  <c r="A42" i="12" s="1"/>
  <c r="A43" i="12" s="1"/>
  <c r="A44" i="12" s="1"/>
  <c r="A45" i="12" s="1"/>
  <c r="A80" i="11"/>
  <c r="A79" i="11"/>
  <c r="A78" i="11"/>
  <c r="A77" i="11"/>
  <c r="A76" i="11"/>
  <c r="A75" i="11"/>
  <c r="A74" i="11"/>
  <c r="A73" i="11"/>
  <c r="A72" i="11"/>
  <c r="A71" i="11"/>
  <c r="A70" i="11"/>
  <c r="A69" i="11"/>
  <c r="A68" i="11"/>
  <c r="A67" i="11"/>
  <c r="A66" i="11"/>
  <c r="A65" i="11"/>
  <c r="A64" i="11"/>
  <c r="A63" i="11"/>
  <c r="A62" i="11"/>
  <c r="A61" i="11"/>
  <c r="A60" i="11"/>
  <c r="A57" i="11"/>
  <c r="A56" i="11"/>
  <c r="A55" i="11"/>
  <c r="A54" i="11"/>
  <c r="A53" i="11"/>
  <c r="A52" i="11"/>
  <c r="A51" i="11"/>
  <c r="A50" i="11"/>
  <c r="A49" i="11"/>
  <c r="A48" i="11"/>
  <c r="A47" i="11"/>
  <c r="A46" i="11"/>
  <c r="A45" i="11"/>
  <c r="A44" i="11"/>
  <c r="A43" i="11"/>
  <c r="A42" i="11"/>
  <c r="A41" i="11"/>
  <c r="A40" i="11"/>
  <c r="A39" i="11"/>
  <c r="A33" i="11"/>
  <c r="A29" i="11"/>
  <c r="A28" i="11"/>
  <c r="A26" i="11"/>
  <c r="A25" i="11"/>
  <c r="A14" i="11"/>
  <c r="A13" i="11"/>
  <c r="A11" i="11"/>
  <c r="A10" i="11"/>
  <c r="A6" i="11"/>
  <c r="B56" i="10"/>
  <c r="B55" i="10"/>
  <c r="B54" i="10"/>
  <c r="V53" i="10"/>
  <c r="U53" i="10"/>
  <c r="T53" i="10"/>
  <c r="S53" i="10"/>
  <c r="R53" i="10"/>
  <c r="Q53" i="10"/>
  <c r="P53" i="10"/>
  <c r="O53" i="10"/>
  <c r="N53" i="10"/>
  <c r="M53" i="10"/>
  <c r="L53" i="10"/>
  <c r="K53" i="10"/>
  <c r="J53" i="10"/>
  <c r="I53" i="10"/>
  <c r="H53" i="10"/>
  <c r="G53" i="10"/>
  <c r="F53" i="10"/>
  <c r="E53" i="10"/>
  <c r="D53" i="10"/>
  <c r="C53" i="10"/>
  <c r="B53" i="10"/>
  <c r="A53" i="10"/>
  <c r="A54" i="10" s="1"/>
  <c r="A55" i="10" s="1"/>
  <c r="A56" i="10" s="1"/>
  <c r="A57" i="10" s="1"/>
  <c r="A58" i="10" s="1"/>
  <c r="A59" i="10" s="1"/>
  <c r="V52" i="10"/>
  <c r="U52" i="10"/>
  <c r="T52" i="10"/>
  <c r="S52" i="10"/>
  <c r="R52" i="10"/>
  <c r="Q52" i="10"/>
  <c r="P52" i="10"/>
  <c r="O52" i="10"/>
  <c r="N52" i="10"/>
  <c r="M52" i="10"/>
  <c r="L52" i="10"/>
  <c r="K52" i="10"/>
  <c r="J52" i="10"/>
  <c r="I52" i="10"/>
  <c r="H52" i="10"/>
  <c r="G52" i="10"/>
  <c r="F52" i="10"/>
  <c r="E52" i="10"/>
  <c r="D52" i="10"/>
  <c r="C52" i="10"/>
  <c r="B52" i="10"/>
  <c r="V51" i="10"/>
  <c r="U51" i="10"/>
  <c r="T51" i="10"/>
  <c r="S51" i="10"/>
  <c r="R51" i="10"/>
  <c r="Q51" i="10"/>
  <c r="P51" i="10"/>
  <c r="O51" i="10"/>
  <c r="N51" i="10"/>
  <c r="M51" i="10"/>
  <c r="L51" i="10"/>
  <c r="K51" i="10"/>
  <c r="J51" i="10"/>
  <c r="I51" i="10"/>
  <c r="H51" i="10"/>
  <c r="G51" i="10"/>
  <c r="F51" i="10"/>
  <c r="E51" i="10"/>
  <c r="D51" i="10"/>
  <c r="C51" i="10"/>
  <c r="B51" i="10"/>
  <c r="B50" i="10"/>
  <c r="V49" i="10"/>
  <c r="U49" i="10"/>
  <c r="T49" i="10"/>
  <c r="S49" i="10"/>
  <c r="R49" i="10"/>
  <c r="Q49" i="10"/>
  <c r="P49" i="10"/>
  <c r="O49" i="10"/>
  <c r="N49" i="10"/>
  <c r="M49" i="10"/>
  <c r="L49" i="10"/>
  <c r="K49" i="10"/>
  <c r="J49" i="10"/>
  <c r="I49" i="10"/>
  <c r="H49" i="10"/>
  <c r="G49" i="10"/>
  <c r="F49" i="10"/>
  <c r="E49" i="10"/>
  <c r="D49" i="10"/>
  <c r="C49" i="10"/>
  <c r="B49" i="10"/>
  <c r="V48" i="10"/>
  <c r="U48" i="10"/>
  <c r="T48" i="10"/>
  <c r="S48" i="10"/>
  <c r="R48" i="10"/>
  <c r="Q48" i="10"/>
  <c r="P48" i="10"/>
  <c r="O48" i="10"/>
  <c r="N48" i="10"/>
  <c r="M48" i="10"/>
  <c r="L48" i="10"/>
  <c r="K48" i="10"/>
  <c r="J48" i="10"/>
  <c r="I48" i="10"/>
  <c r="H48" i="10"/>
  <c r="G48" i="10"/>
  <c r="F48" i="10"/>
  <c r="E48" i="10"/>
  <c r="D48" i="10"/>
  <c r="C48" i="10"/>
  <c r="B48" i="10"/>
  <c r="V47" i="10"/>
  <c r="U47" i="10"/>
  <c r="T47" i="10"/>
  <c r="S47" i="10"/>
  <c r="R47" i="10"/>
  <c r="Q47" i="10"/>
  <c r="P47" i="10"/>
  <c r="O47" i="10"/>
  <c r="N47" i="10"/>
  <c r="M47" i="10"/>
  <c r="L47" i="10"/>
  <c r="K47" i="10"/>
  <c r="J47" i="10"/>
  <c r="I47" i="10"/>
  <c r="H47" i="10"/>
  <c r="G47" i="10"/>
  <c r="F47" i="10"/>
  <c r="E47" i="10"/>
  <c r="D47" i="10"/>
  <c r="C47" i="10"/>
  <c r="B47" i="10"/>
  <c r="B46" i="10"/>
  <c r="A46" i="10"/>
  <c r="A47" i="10" s="1"/>
  <c r="A48" i="10" s="1"/>
  <c r="A49" i="10" s="1"/>
  <c r="A50" i="10" s="1"/>
  <c r="A51" i="10" s="1"/>
  <c r="A52" i="10" s="1"/>
  <c r="BP45" i="10"/>
  <c r="BO45" i="10"/>
  <c r="BN45" i="10"/>
  <c r="BM45" i="10"/>
  <c r="BL45" i="10"/>
  <c r="BK45" i="10"/>
  <c r="BJ45" i="10"/>
  <c r="BI45" i="10"/>
  <c r="BH45" i="10"/>
  <c r="BG45" i="10"/>
  <c r="BF45" i="10"/>
  <c r="BE45" i="10"/>
  <c r="BD45" i="10"/>
  <c r="BC45" i="10"/>
  <c r="BB45" i="10"/>
  <c r="BA45" i="10"/>
  <c r="AZ45" i="10"/>
  <c r="AY45" i="10"/>
  <c r="AX45" i="10"/>
  <c r="AW45" i="10"/>
  <c r="AV45" i="10"/>
  <c r="AU45" i="10"/>
  <c r="AT45" i="10"/>
  <c r="AS45" i="10"/>
  <c r="AR45" i="10"/>
  <c r="AQ45" i="10"/>
  <c r="AP45" i="10"/>
  <c r="AO45" i="10"/>
  <c r="AN45" i="10"/>
  <c r="AM45" i="10"/>
  <c r="AL45" i="10"/>
  <c r="AK45" i="10"/>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E45" i="10"/>
  <c r="D45" i="10"/>
  <c r="C45" i="10"/>
  <c r="BP44" i="10"/>
  <c r="BO44" i="10"/>
  <c r="BN44" i="10"/>
  <c r="BM44" i="10"/>
  <c r="BL44" i="10"/>
  <c r="BK44" i="10"/>
  <c r="BJ44" i="10"/>
  <c r="BI44" i="10"/>
  <c r="BH44" i="10"/>
  <c r="BG44" i="10"/>
  <c r="BF44" i="10"/>
  <c r="BE44" i="10"/>
  <c r="BD44" i="10"/>
  <c r="BC44" i="10"/>
  <c r="BB44" i="10"/>
  <c r="BA44" i="10"/>
  <c r="AZ44" i="10"/>
  <c r="AY44" i="10"/>
  <c r="AX44" i="10"/>
  <c r="AW44" i="10"/>
  <c r="AV44" i="10"/>
  <c r="AU44" i="10"/>
  <c r="AT44" i="10"/>
  <c r="AS44" i="10"/>
  <c r="AR44" i="10"/>
  <c r="AQ44" i="10"/>
  <c r="AP44" i="10"/>
  <c r="AO44" i="10"/>
  <c r="AN44" i="10"/>
  <c r="AM44" i="10"/>
  <c r="AL44" i="10"/>
  <c r="AK44" i="10"/>
  <c r="AJ44" i="10"/>
  <c r="AI44" i="10"/>
  <c r="AH44" i="10"/>
  <c r="AG44" i="10"/>
  <c r="AF44" i="10"/>
  <c r="AE44" i="10"/>
  <c r="AD44" i="10"/>
  <c r="AC44" i="10"/>
  <c r="AB44" i="10"/>
  <c r="AA44" i="10"/>
  <c r="Z44" i="10"/>
  <c r="Y44" i="10"/>
  <c r="T44" i="10"/>
  <c r="S44" i="10"/>
  <c r="R44" i="10"/>
  <c r="Q44" i="10"/>
  <c r="P44" i="10"/>
  <c r="O44" i="10"/>
  <c r="N44" i="10"/>
  <c r="M44" i="10"/>
  <c r="L44" i="10"/>
  <c r="K44" i="10"/>
  <c r="J44" i="10"/>
  <c r="I44" i="10"/>
  <c r="H44" i="10"/>
  <c r="G44" i="10"/>
  <c r="F44" i="10"/>
  <c r="E44" i="10"/>
  <c r="D44" i="10"/>
  <c r="C44" i="10"/>
  <c r="BP43" i="10"/>
  <c r="BO43" i="10"/>
  <c r="BN43" i="10"/>
  <c r="BM43" i="10"/>
  <c r="BL43" i="10"/>
  <c r="BK43" i="10"/>
  <c r="BJ43" i="10"/>
  <c r="BI43" i="10"/>
  <c r="BH43" i="10"/>
  <c r="BG43" i="10"/>
  <c r="BF43" i="10"/>
  <c r="BE43" i="10"/>
  <c r="BD43" i="10"/>
  <c r="BC43" i="10"/>
  <c r="BB43" i="10"/>
  <c r="BA43" i="10"/>
  <c r="AZ43" i="10"/>
  <c r="AY43" i="10"/>
  <c r="AX43" i="10"/>
  <c r="AW43" i="10"/>
  <c r="AV43" i="10"/>
  <c r="AU43" i="10"/>
  <c r="AT43" i="10"/>
  <c r="AS43" i="10"/>
  <c r="AR43" i="10"/>
  <c r="AQ43" i="10"/>
  <c r="AP43" i="10"/>
  <c r="AO43" i="10"/>
  <c r="AN43" i="10"/>
  <c r="AM43" i="10"/>
  <c r="AG43" i="10"/>
  <c r="AF43" i="10"/>
  <c r="AE43" i="10"/>
  <c r="AD43" i="10"/>
  <c r="AC43" i="10"/>
  <c r="AB43" i="10"/>
  <c r="AA43" i="10"/>
  <c r="Z43" i="10"/>
  <c r="Y43" i="10"/>
  <c r="X43" i="10"/>
  <c r="W43" i="10"/>
  <c r="V43" i="10"/>
  <c r="U43" i="10"/>
  <c r="T43" i="10"/>
  <c r="S43" i="10"/>
  <c r="R43" i="10"/>
  <c r="Q43" i="10"/>
  <c r="P43" i="10"/>
  <c r="O43" i="10"/>
  <c r="N43" i="10"/>
  <c r="M43" i="10"/>
  <c r="L43" i="10"/>
  <c r="K43" i="10"/>
  <c r="J43" i="10"/>
  <c r="I43" i="10"/>
  <c r="H43" i="10"/>
  <c r="G43" i="10"/>
  <c r="F43" i="10"/>
  <c r="C43" i="10"/>
  <c r="BP42" i="10"/>
  <c r="BO42" i="10"/>
  <c r="BN42" i="10"/>
  <c r="BM42" i="10"/>
  <c r="BL42" i="10"/>
  <c r="BK42" i="10"/>
  <c r="BJ42" i="10"/>
  <c r="BI42" i="10"/>
  <c r="BH42" i="10"/>
  <c r="BG42" i="10"/>
  <c r="BF42" i="10"/>
  <c r="BE42" i="10"/>
  <c r="BD42" i="10"/>
  <c r="BC42" i="10"/>
  <c r="BB42" i="10"/>
  <c r="BA42" i="10"/>
  <c r="AZ42" i="10"/>
  <c r="AY42" i="10"/>
  <c r="AX42" i="10"/>
  <c r="AW42" i="10"/>
  <c r="AV42" i="10"/>
  <c r="AU42" i="10"/>
  <c r="AT42" i="10"/>
  <c r="AS42" i="10"/>
  <c r="AR42" i="10"/>
  <c r="AQ42" i="10"/>
  <c r="AP42" i="10"/>
  <c r="AO42" i="10"/>
  <c r="AN42" i="10"/>
  <c r="AM42" i="10"/>
  <c r="AL42" i="10"/>
  <c r="AK42" i="10"/>
  <c r="AJ42" i="10"/>
  <c r="AA42" i="10"/>
  <c r="Z42" i="10"/>
  <c r="Y42" i="10"/>
  <c r="X42" i="10"/>
  <c r="W42" i="10"/>
  <c r="V42" i="10"/>
  <c r="U42" i="10"/>
  <c r="T42" i="10"/>
  <c r="S42" i="10"/>
  <c r="R42" i="10"/>
  <c r="Q42" i="10"/>
  <c r="P42" i="10"/>
  <c r="O42" i="10"/>
  <c r="N42" i="10"/>
  <c r="M42" i="10"/>
  <c r="L42" i="10"/>
  <c r="K42" i="10"/>
  <c r="J42" i="10"/>
  <c r="I42" i="10"/>
  <c r="H42" i="10"/>
  <c r="G42" i="10"/>
  <c r="F42" i="10"/>
  <c r="E42" i="10"/>
  <c r="D42" i="10"/>
  <c r="C42" i="10"/>
  <c r="BP41" i="10"/>
  <c r="BO41" i="10"/>
  <c r="BN41" i="10"/>
  <c r="BM41" i="10"/>
  <c r="BL41" i="10"/>
  <c r="BK41" i="10"/>
  <c r="BJ41" i="10"/>
  <c r="BI41" i="10"/>
  <c r="BH41" i="10"/>
  <c r="BG41" i="10"/>
  <c r="BF41" i="10"/>
  <c r="BE41" i="10"/>
  <c r="BD41" i="10"/>
  <c r="BC41" i="10"/>
  <c r="BB41" i="10"/>
  <c r="BA41" i="10"/>
  <c r="AZ41" i="10"/>
  <c r="AY41" i="10"/>
  <c r="AX41" i="10"/>
  <c r="AW41" i="10"/>
  <c r="AV41" i="10"/>
  <c r="AU41" i="10"/>
  <c r="AT41" i="10"/>
  <c r="AS41" i="10"/>
  <c r="AR41" i="10"/>
  <c r="AQ41" i="10"/>
  <c r="AP41" i="10"/>
  <c r="AO41" i="10"/>
  <c r="AN41" i="10"/>
  <c r="AM41" i="10"/>
  <c r="AL41" i="10"/>
  <c r="AK41" i="10"/>
  <c r="AJ41" i="10"/>
  <c r="AA41" i="10"/>
  <c r="Z41" i="10"/>
  <c r="Y41" i="10"/>
  <c r="X41" i="10"/>
  <c r="W41" i="10"/>
  <c r="V41" i="10"/>
  <c r="U41" i="10"/>
  <c r="T41" i="10"/>
  <c r="S41" i="10"/>
  <c r="R41" i="10"/>
  <c r="Q41" i="10"/>
  <c r="P41" i="10"/>
  <c r="O41" i="10"/>
  <c r="N41" i="10"/>
  <c r="M41" i="10"/>
  <c r="L41" i="10"/>
  <c r="K41" i="10"/>
  <c r="J41" i="10"/>
  <c r="I41" i="10"/>
  <c r="H41" i="10"/>
  <c r="G41" i="10"/>
  <c r="F41" i="10"/>
  <c r="E41" i="10"/>
  <c r="D41" i="10"/>
  <c r="C41" i="10"/>
  <c r="BP40" i="10"/>
  <c r="BO40" i="10"/>
  <c r="BN40" i="10"/>
  <c r="BM40" i="10"/>
  <c r="BL40" i="10"/>
  <c r="BK40" i="10"/>
  <c r="BJ40" i="10"/>
  <c r="BI40" i="10"/>
  <c r="BH40" i="10"/>
  <c r="BG40" i="10"/>
  <c r="BF40" i="10"/>
  <c r="BE40" i="10"/>
  <c r="BD40" i="10"/>
  <c r="BC40" i="10"/>
  <c r="BB40" i="10"/>
  <c r="BA40" i="10"/>
  <c r="AZ40" i="10"/>
  <c r="AY40" i="10"/>
  <c r="AX40" i="10"/>
  <c r="AW40" i="10"/>
  <c r="AV40" i="10"/>
  <c r="AU40" i="10"/>
  <c r="AT40" i="10"/>
  <c r="AS40" i="10"/>
  <c r="AR40" i="10"/>
  <c r="AQ40" i="10"/>
  <c r="AP40" i="10"/>
  <c r="AO40" i="10"/>
  <c r="AN40" i="10"/>
  <c r="AM40" i="10"/>
  <c r="AL40" i="10"/>
  <c r="AK40" i="10"/>
  <c r="AJ40" i="10"/>
  <c r="AI40" i="10"/>
  <c r="AH40" i="10"/>
  <c r="AG40" i="10"/>
  <c r="AF40" i="10"/>
  <c r="AE40" i="10"/>
  <c r="AD40" i="10"/>
  <c r="AC40" i="10"/>
  <c r="AB40" i="10"/>
  <c r="AA40" i="10"/>
  <c r="Z40" i="10"/>
  <c r="Y40" i="10"/>
  <c r="X40" i="10"/>
  <c r="W40" i="10"/>
  <c r="V40" i="10"/>
  <c r="U40" i="10"/>
  <c r="T40" i="10"/>
  <c r="S40" i="10"/>
  <c r="R40" i="10"/>
  <c r="Q40" i="10"/>
  <c r="P40" i="10"/>
  <c r="O40" i="10"/>
  <c r="N40" i="10"/>
  <c r="M40" i="10"/>
  <c r="L40" i="10"/>
  <c r="K40" i="10"/>
  <c r="J40" i="10"/>
  <c r="I40" i="10"/>
  <c r="H40" i="10"/>
  <c r="G40" i="10"/>
  <c r="F40" i="10"/>
  <c r="E40" i="10"/>
  <c r="D40" i="10"/>
  <c r="C40" i="10"/>
  <c r="BP39" i="10"/>
  <c r="BO39" i="10"/>
  <c r="BN39" i="10"/>
  <c r="BL39" i="10"/>
  <c r="BK39" i="10"/>
  <c r="BJ39" i="10"/>
  <c r="BI39" i="10"/>
  <c r="BH39" i="10"/>
  <c r="BG39" i="10"/>
  <c r="BF39" i="10"/>
  <c r="BE39" i="10"/>
  <c r="BD39" i="10"/>
  <c r="BC39" i="10"/>
  <c r="BB39" i="10"/>
  <c r="BA39" i="10"/>
  <c r="AZ39" i="10"/>
  <c r="AY39" i="10"/>
  <c r="AX39"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E39" i="10"/>
  <c r="D39" i="10"/>
  <c r="C39" i="10"/>
  <c r="BP38" i="10"/>
  <c r="BO38" i="10"/>
  <c r="BN38" i="10"/>
  <c r="BL38" i="10"/>
  <c r="BK38" i="10"/>
  <c r="BJ38" i="10"/>
  <c r="BI38" i="10"/>
  <c r="BH38" i="10"/>
  <c r="BG38" i="10"/>
  <c r="BE38" i="10"/>
  <c r="BD38" i="10"/>
  <c r="BC38" i="10"/>
  <c r="BB38" i="10"/>
  <c r="BA38" i="10"/>
  <c r="AZ38" i="10"/>
  <c r="AY38" i="10"/>
  <c r="AX38" i="10"/>
  <c r="AW38" i="10"/>
  <c r="AV38" i="10"/>
  <c r="AU38" i="10"/>
  <c r="AT38" i="10"/>
  <c r="AS38" i="10"/>
  <c r="AR38" i="10"/>
  <c r="AQ38" i="10"/>
  <c r="AP38" i="10"/>
  <c r="AO38" i="10"/>
  <c r="AA38" i="10"/>
  <c r="Z38" i="10"/>
  <c r="Y38" i="10"/>
  <c r="X38" i="10"/>
  <c r="W38" i="10"/>
  <c r="V38" i="10"/>
  <c r="U38" i="10"/>
  <c r="T38" i="10"/>
  <c r="S38" i="10"/>
  <c r="R38" i="10"/>
  <c r="Q38" i="10"/>
  <c r="P38" i="10"/>
  <c r="O38" i="10"/>
  <c r="N38" i="10"/>
  <c r="M38" i="10"/>
  <c r="L38" i="10"/>
  <c r="K38" i="10"/>
  <c r="J38" i="10"/>
  <c r="I38" i="10"/>
  <c r="H38" i="10"/>
  <c r="G38" i="10"/>
  <c r="F38" i="10"/>
  <c r="E38" i="10"/>
  <c r="D38" i="10"/>
  <c r="C38" i="10"/>
  <c r="A38" i="10"/>
  <c r="A39" i="10" s="1"/>
  <c r="A40" i="10" s="1"/>
  <c r="A41" i="10" s="1"/>
  <c r="A42" i="10" s="1"/>
  <c r="A43" i="10" s="1"/>
  <c r="A44" i="10" s="1"/>
  <c r="A45" i="10" s="1"/>
  <c r="BP10" i="10"/>
  <c r="BO10" i="10"/>
  <c r="BN10" i="10"/>
  <c r="BM10" i="10"/>
  <c r="BL10" i="10"/>
  <c r="BK10" i="10"/>
  <c r="BJ10" i="10"/>
  <c r="BI10" i="10"/>
  <c r="BH10" i="10"/>
  <c r="BG10" i="10"/>
  <c r="BF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P6" i="10"/>
  <c r="BO6" i="10"/>
  <c r="BN6" i="10"/>
  <c r="BM6" i="10"/>
  <c r="BL6" i="10"/>
  <c r="BK6" i="10"/>
  <c r="BJ6" i="10"/>
  <c r="BI6" i="10"/>
  <c r="BH6" i="10"/>
  <c r="BG6" i="10"/>
  <c r="BF6" i="10"/>
  <c r="BE6" i="10"/>
  <c r="BD6" i="10"/>
  <c r="BC6" i="10"/>
  <c r="BB6" i="10"/>
  <c r="BA6" i="10"/>
  <c r="AZ6" i="10"/>
  <c r="AY6" i="10"/>
  <c r="AX6" i="10"/>
  <c r="AW6" i="10"/>
  <c r="AV6" i="10"/>
  <c r="AU6" i="10"/>
  <c r="AT6" i="10"/>
  <c r="AS6" i="10"/>
  <c r="AR6" i="10"/>
  <c r="AQ6" i="10"/>
  <c r="AP6" i="10"/>
  <c r="AO6" i="10"/>
  <c r="AN6" i="10"/>
  <c r="AM6" i="10"/>
  <c r="AL6" i="10"/>
  <c r="AK6" i="10"/>
  <c r="AJ6" i="10"/>
  <c r="AI6" i="10"/>
  <c r="AH6"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5" i="9"/>
  <c r="B44" i="9"/>
  <c r="E26" i="9"/>
  <c r="E47" i="9" s="1"/>
  <c r="E68" i="9" s="1"/>
  <c r="B23" i="9"/>
  <c r="BQ113" i="5"/>
  <c r="BP113" i="5"/>
  <c r="BO113" i="5"/>
  <c r="BN113" i="5"/>
  <c r="BM113" i="5"/>
  <c r="BL113" i="5"/>
  <c r="BK113" i="5"/>
  <c r="BJ113" i="5"/>
  <c r="BI113" i="5"/>
  <c r="BH113" i="5"/>
  <c r="BG113" i="5"/>
  <c r="BF113" i="5"/>
  <c r="BE113" i="5"/>
  <c r="BD113" i="5"/>
  <c r="BC113" i="5"/>
  <c r="BB113" i="5"/>
  <c r="BA113" i="5"/>
  <c r="AZ113" i="5"/>
  <c r="AY113" i="5"/>
  <c r="AX113" i="5"/>
  <c r="AW113" i="5"/>
  <c r="AV113" i="5"/>
  <c r="AU113" i="5"/>
  <c r="AT113" i="5"/>
  <c r="AS113" i="5"/>
  <c r="AR113" i="5"/>
  <c r="AQ113" i="5"/>
  <c r="AP113" i="5"/>
  <c r="AO113" i="5"/>
  <c r="AN113" i="5"/>
  <c r="AM113" i="5"/>
  <c r="AL113" i="5"/>
  <c r="AK113" i="5"/>
  <c r="AJ113" i="5"/>
  <c r="AI113" i="5"/>
  <c r="AH113" i="5"/>
  <c r="AG113" i="5"/>
  <c r="AF113" i="5"/>
  <c r="AE113" i="5"/>
  <c r="AD113" i="5"/>
  <c r="AC113" i="5"/>
  <c r="AB113" i="5"/>
  <c r="AA113" i="5"/>
  <c r="Z113" i="5"/>
  <c r="Y113" i="5"/>
  <c r="X113" i="5"/>
  <c r="W113" i="5"/>
  <c r="V113" i="5"/>
  <c r="U113" i="5"/>
  <c r="T113" i="5"/>
  <c r="S113" i="5"/>
  <c r="R113" i="5"/>
  <c r="Q113" i="5"/>
  <c r="P113" i="5"/>
  <c r="O113" i="5"/>
  <c r="N113" i="5"/>
  <c r="M113" i="5"/>
  <c r="L113" i="5"/>
  <c r="K113" i="5"/>
  <c r="J113" i="5"/>
  <c r="I113" i="5"/>
  <c r="H113" i="5"/>
  <c r="G113" i="5"/>
  <c r="F113" i="5"/>
  <c r="E113" i="5"/>
  <c r="D113" i="5"/>
  <c r="BQ112" i="5"/>
  <c r="BP112" i="5"/>
  <c r="BO112" i="5"/>
  <c r="BN112" i="5"/>
  <c r="BM112" i="5"/>
  <c r="BL112" i="5"/>
  <c r="BK112" i="5"/>
  <c r="BJ112" i="5"/>
  <c r="BI112" i="5"/>
  <c r="BH112" i="5"/>
  <c r="BG112" i="5"/>
  <c r="BF112" i="5"/>
  <c r="BE112" i="5"/>
  <c r="BD112" i="5"/>
  <c r="BC112" i="5"/>
  <c r="BB112" i="5"/>
  <c r="BA112" i="5"/>
  <c r="AZ112" i="5"/>
  <c r="AY112" i="5"/>
  <c r="AX112" i="5"/>
  <c r="AW112" i="5"/>
  <c r="AV112" i="5"/>
  <c r="AU112" i="5"/>
  <c r="AT112" i="5"/>
  <c r="AS112" i="5"/>
  <c r="AR112" i="5"/>
  <c r="AQ112" i="5"/>
  <c r="AP112" i="5"/>
  <c r="AO112" i="5"/>
  <c r="AN112" i="5"/>
  <c r="AM112" i="5"/>
  <c r="AL112" i="5"/>
  <c r="AK112" i="5"/>
  <c r="AJ112" i="5"/>
  <c r="AI112" i="5"/>
  <c r="AH112" i="5"/>
  <c r="AG112" i="5"/>
  <c r="AF112" i="5"/>
  <c r="AE112" i="5"/>
  <c r="AD112" i="5"/>
  <c r="AC112" i="5"/>
  <c r="AB112" i="5"/>
  <c r="AA112" i="5"/>
  <c r="Z112" i="5"/>
  <c r="Y112" i="5"/>
  <c r="X112" i="5"/>
  <c r="W112" i="5"/>
  <c r="V112" i="5"/>
  <c r="U112" i="5"/>
  <c r="T112" i="5"/>
  <c r="S112" i="5"/>
  <c r="R112" i="5"/>
  <c r="Q112" i="5"/>
  <c r="P112" i="5"/>
  <c r="O112" i="5"/>
  <c r="N112" i="5"/>
  <c r="M112" i="5"/>
  <c r="L112" i="5"/>
  <c r="K112" i="5"/>
  <c r="J112" i="5"/>
  <c r="I112" i="5"/>
  <c r="H112" i="5"/>
  <c r="G112" i="5"/>
  <c r="F112" i="5"/>
  <c r="E112" i="5"/>
  <c r="D112" i="5"/>
  <c r="BQ111" i="5"/>
  <c r="BP111" i="5"/>
  <c r="BO111" i="5"/>
  <c r="BN111" i="5"/>
  <c r="BM111" i="5"/>
  <c r="BL111" i="5"/>
  <c r="BK111" i="5"/>
  <c r="BJ111" i="5"/>
  <c r="BI111" i="5"/>
  <c r="BH111" i="5"/>
  <c r="BG111" i="5"/>
  <c r="BF111" i="5"/>
  <c r="BE111" i="5"/>
  <c r="BD111" i="5"/>
  <c r="BC111" i="5"/>
  <c r="BB111" i="5"/>
  <c r="BA111" i="5"/>
  <c r="AZ111" i="5"/>
  <c r="AY111" i="5"/>
  <c r="AX111" i="5"/>
  <c r="AW111" i="5"/>
  <c r="AV111" i="5"/>
  <c r="AU111" i="5"/>
  <c r="AT111" i="5"/>
  <c r="AS111" i="5"/>
  <c r="AR111" i="5"/>
  <c r="AQ111" i="5"/>
  <c r="AP111" i="5"/>
  <c r="AO111" i="5"/>
  <c r="AN111" i="5"/>
  <c r="AM111" i="5"/>
  <c r="AL111" i="5"/>
  <c r="AK111" i="5"/>
  <c r="AJ111" i="5"/>
  <c r="AI111" i="5"/>
  <c r="AH111"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BQ110" i="5"/>
  <c r="BP9" i="10" s="1"/>
  <c r="BP110" i="5"/>
  <c r="BO9" i="10" s="1"/>
  <c r="BO110" i="5"/>
  <c r="BN9" i="10" s="1"/>
  <c r="BN110" i="5"/>
  <c r="BM9" i="10" s="1"/>
  <c r="BM110" i="5"/>
  <c r="BL9" i="10" s="1"/>
  <c r="BL110" i="5"/>
  <c r="BK9" i="10"/>
  <c r="BK110" i="5"/>
  <c r="BJ9" i="10" s="1"/>
  <c r="BJ110" i="5"/>
  <c r="BI9" i="10"/>
  <c r="BI110" i="5"/>
  <c r="BH9" i="10" s="1"/>
  <c r="BH110" i="5"/>
  <c r="BG9" i="10"/>
  <c r="BG110" i="5"/>
  <c r="BF9" i="10" s="1"/>
  <c r="BF110" i="5"/>
  <c r="BE9" i="10" s="1"/>
  <c r="BE110" i="5"/>
  <c r="BD9" i="10" s="1"/>
  <c r="BD110" i="5"/>
  <c r="BC9" i="10" s="1"/>
  <c r="BC110" i="5"/>
  <c r="BB9" i="10" s="1"/>
  <c r="BB110" i="5"/>
  <c r="BA9" i="10" s="1"/>
  <c r="BA110" i="5"/>
  <c r="AZ9" i="10"/>
  <c r="AZ110" i="5"/>
  <c r="AY9" i="10" s="1"/>
  <c r="AY110" i="5"/>
  <c r="AX9" i="10" s="1"/>
  <c r="AX110" i="5"/>
  <c r="AW9" i="10" s="1"/>
  <c r="AW110" i="5"/>
  <c r="AV9" i="10" s="1"/>
  <c r="AV110" i="5"/>
  <c r="AU9" i="10" s="1"/>
  <c r="AU110" i="5"/>
  <c r="AT9" i="10" s="1"/>
  <c r="AT110" i="5"/>
  <c r="AS9" i="10" s="1"/>
  <c r="AS110" i="5"/>
  <c r="AR9" i="10"/>
  <c r="AR110" i="5"/>
  <c r="AQ9" i="10" s="1"/>
  <c r="AQ110" i="5"/>
  <c r="AP9" i="10" s="1"/>
  <c r="AP110" i="5"/>
  <c r="AO9" i="10" s="1"/>
  <c r="AO110" i="5"/>
  <c r="AN9" i="10" s="1"/>
  <c r="AN110" i="5"/>
  <c r="AM9" i="10" s="1"/>
  <c r="AM110" i="5"/>
  <c r="AL9" i="10" s="1"/>
  <c r="AL110" i="5"/>
  <c r="AK9" i="10" s="1"/>
  <c r="AK110" i="5"/>
  <c r="AJ9" i="10" s="1"/>
  <c r="AJ110" i="5"/>
  <c r="AI9" i="10" s="1"/>
  <c r="AI110" i="5"/>
  <c r="AH9" i="10" s="1"/>
  <c r="AH110" i="5"/>
  <c r="AG9" i="10" s="1"/>
  <c r="AG110" i="5"/>
  <c r="AF9" i="10" s="1"/>
  <c r="AF110" i="5"/>
  <c r="AE9" i="10" s="1"/>
  <c r="AE110" i="5"/>
  <c r="AD9" i="10" s="1"/>
  <c r="AD110" i="5"/>
  <c r="AC9" i="10" s="1"/>
  <c r="AC110" i="5"/>
  <c r="AB9" i="10"/>
  <c r="AB110" i="5"/>
  <c r="AA9" i="10"/>
  <c r="AA110" i="5"/>
  <c r="Z9" i="10" s="1"/>
  <c r="Z110" i="5"/>
  <c r="Y9" i="10" s="1"/>
  <c r="Y110" i="5"/>
  <c r="X9" i="10" s="1"/>
  <c r="X110" i="5"/>
  <c r="W9" i="10" s="1"/>
  <c r="W110" i="5"/>
  <c r="V9" i="10" s="1"/>
  <c r="V110" i="5"/>
  <c r="U9" i="10" s="1"/>
  <c r="U110" i="5"/>
  <c r="T9" i="10"/>
  <c r="T110" i="5"/>
  <c r="S9" i="10" s="1"/>
  <c r="S110" i="5"/>
  <c r="R9" i="10" s="1"/>
  <c r="R110" i="5"/>
  <c r="Q9" i="10" s="1"/>
  <c r="Q110" i="5"/>
  <c r="P9" i="10" s="1"/>
  <c r="P110" i="5"/>
  <c r="O9" i="10" s="1"/>
  <c r="O110" i="5"/>
  <c r="N9" i="10" s="1"/>
  <c r="N110" i="5"/>
  <c r="M9" i="10"/>
  <c r="M110" i="5"/>
  <c r="L9" i="10" s="1"/>
  <c r="L110" i="5"/>
  <c r="K9" i="10" s="1"/>
  <c r="K110" i="5"/>
  <c r="J9" i="10" s="1"/>
  <c r="J110" i="5"/>
  <c r="I9" i="10" s="1"/>
  <c r="I110" i="5"/>
  <c r="H9" i="10" s="1"/>
  <c r="H110" i="5"/>
  <c r="G9" i="10" s="1"/>
  <c r="G110" i="5"/>
  <c r="F9" i="10" s="1"/>
  <c r="F110" i="5"/>
  <c r="E9" i="10" s="1"/>
  <c r="E7" i="10" s="1"/>
  <c r="E26" i="10" s="1"/>
  <c r="D26" i="12" s="1"/>
  <c r="E110" i="5"/>
  <c r="D9" i="10"/>
  <c r="D110" i="5"/>
  <c r="C9" i="10" s="1"/>
  <c r="C7" i="10" s="1"/>
  <c r="C26" i="10" s="1"/>
  <c r="BQ109" i="5"/>
  <c r="BP109" i="5"/>
  <c r="BO109" i="5"/>
  <c r="BN109" i="5"/>
  <c r="BM109" i="5"/>
  <c r="BL109" i="5"/>
  <c r="BK109" i="5"/>
  <c r="BJ109" i="5"/>
  <c r="BI109" i="5"/>
  <c r="BH109" i="5"/>
  <c r="BG109" i="5"/>
  <c r="BF109" i="5"/>
  <c r="BE109" i="5"/>
  <c r="BD109" i="5"/>
  <c r="BC109" i="5"/>
  <c r="BB109" i="5"/>
  <c r="BA109" i="5"/>
  <c r="AZ109" i="5"/>
  <c r="AY109" i="5"/>
  <c r="AX109" i="5"/>
  <c r="AW109" i="5"/>
  <c r="AV109" i="5"/>
  <c r="AU109" i="5"/>
  <c r="AT109" i="5"/>
  <c r="AS109" i="5"/>
  <c r="AR109" i="5"/>
  <c r="AQ109" i="5"/>
  <c r="AP109" i="5"/>
  <c r="AO109" i="5"/>
  <c r="AN109" i="5"/>
  <c r="AM109" i="5"/>
  <c r="AL109" i="5"/>
  <c r="AK109" i="5"/>
  <c r="AJ109" i="5"/>
  <c r="AI109" i="5"/>
  <c r="AH109" i="5"/>
  <c r="AG109" i="5"/>
  <c r="AF109" i="5"/>
  <c r="AE109" i="5"/>
  <c r="AD109" i="5"/>
  <c r="AC109" i="5"/>
  <c r="AB109" i="5"/>
  <c r="AA109" i="5"/>
  <c r="Z109" i="5"/>
  <c r="Y109" i="5"/>
  <c r="X109" i="5"/>
  <c r="W109" i="5"/>
  <c r="V109" i="5"/>
  <c r="U109" i="5"/>
  <c r="T109" i="5"/>
  <c r="S109" i="5"/>
  <c r="R109" i="5"/>
  <c r="Q109" i="5"/>
  <c r="P109" i="5"/>
  <c r="O109" i="5"/>
  <c r="N109" i="5"/>
  <c r="M109" i="5"/>
  <c r="L109" i="5"/>
  <c r="K109" i="5"/>
  <c r="J109" i="5"/>
  <c r="I109" i="5"/>
  <c r="H109" i="5"/>
  <c r="G109" i="5"/>
  <c r="F109" i="5"/>
  <c r="E109" i="5"/>
  <c r="D109" i="5"/>
  <c r="BQ108" i="5"/>
  <c r="BP5" i="10" s="1"/>
  <c r="BP108" i="5"/>
  <c r="BO5" i="10"/>
  <c r="BO108" i="5"/>
  <c r="BN5" i="10" s="1"/>
  <c r="BN108" i="5"/>
  <c r="BM5" i="10" s="1"/>
  <c r="BM108" i="5"/>
  <c r="BL5" i="10" s="1"/>
  <c r="BL108" i="5"/>
  <c r="BK5" i="10" s="1"/>
  <c r="BK108" i="5"/>
  <c r="BJ5" i="10" s="1"/>
  <c r="BJ108" i="5"/>
  <c r="BI5" i="10" s="1"/>
  <c r="BI108" i="5"/>
  <c r="BH5" i="10" s="1"/>
  <c r="BH108" i="5"/>
  <c r="BG5" i="10"/>
  <c r="BG108" i="5"/>
  <c r="BF5" i="10" s="1"/>
  <c r="BF108" i="5"/>
  <c r="BE5" i="10" s="1"/>
  <c r="BE108" i="5"/>
  <c r="BD5" i="10" s="1"/>
  <c r="BD108" i="5"/>
  <c r="BC5" i="10" s="1"/>
  <c r="BC108" i="5"/>
  <c r="BB5" i="10" s="1"/>
  <c r="BB108" i="5"/>
  <c r="BA5" i="10" s="1"/>
  <c r="BA108" i="5"/>
  <c r="AZ5" i="10"/>
  <c r="AZ108" i="5"/>
  <c r="AY5" i="10" s="1"/>
  <c r="AY108" i="5"/>
  <c r="AX5" i="10" s="1"/>
  <c r="AX108" i="5"/>
  <c r="AW5" i="10" s="1"/>
  <c r="AW108" i="5"/>
  <c r="AV5" i="10" s="1"/>
  <c r="AV108" i="5"/>
  <c r="AU5" i="10" s="1"/>
  <c r="AU108" i="5"/>
  <c r="AT5" i="10" s="1"/>
  <c r="AT108" i="5"/>
  <c r="AS5" i="10" s="1"/>
  <c r="AS108" i="5"/>
  <c r="AR5" i="10" s="1"/>
  <c r="AR108" i="5"/>
  <c r="AQ5" i="10" s="1"/>
  <c r="AQ108" i="5"/>
  <c r="AP5" i="10" s="1"/>
  <c r="AP108" i="5"/>
  <c r="AO5" i="10" s="1"/>
  <c r="AO108" i="5"/>
  <c r="AN5" i="10" s="1"/>
  <c r="AN108" i="5"/>
  <c r="AM5" i="10"/>
  <c r="AM108" i="5"/>
  <c r="AL5" i="10" s="1"/>
  <c r="AL108" i="5"/>
  <c r="AK5" i="10" s="1"/>
  <c r="AK108" i="5"/>
  <c r="AJ5" i="10" s="1"/>
  <c r="AJ108" i="5"/>
  <c r="AI5" i="10" s="1"/>
  <c r="AI108" i="5"/>
  <c r="AH5" i="10" s="1"/>
  <c r="AH108" i="5"/>
  <c r="AG5" i="10" s="1"/>
  <c r="AG108" i="5"/>
  <c r="AF5" i="10" s="1"/>
  <c r="AF108" i="5"/>
  <c r="AE5" i="10" s="1"/>
  <c r="AE108" i="5"/>
  <c r="AD5" i="10" s="1"/>
  <c r="AD108" i="5"/>
  <c r="AC5" i="10" s="1"/>
  <c r="AC108" i="5"/>
  <c r="AB5" i="10" s="1"/>
  <c r="AB108" i="5"/>
  <c r="AA5" i="10" s="1"/>
  <c r="AA108" i="5"/>
  <c r="Z5" i="10"/>
  <c r="Z108" i="5"/>
  <c r="Y5" i="10" s="1"/>
  <c r="Y108" i="5"/>
  <c r="X5" i="10" s="1"/>
  <c r="X108" i="5"/>
  <c r="W5" i="10" s="1"/>
  <c r="W108" i="5"/>
  <c r="V5" i="10" s="1"/>
  <c r="V108" i="5"/>
  <c r="U5" i="10" s="1"/>
  <c r="U108" i="5"/>
  <c r="T5" i="10" s="1"/>
  <c r="T108" i="5"/>
  <c r="S5" i="10"/>
  <c r="S108" i="5"/>
  <c r="R5" i="10" s="1"/>
  <c r="R108" i="5"/>
  <c r="Q5" i="10" s="1"/>
  <c r="Q108" i="5"/>
  <c r="P5" i="10" s="1"/>
  <c r="P108" i="5"/>
  <c r="O5" i="10" s="1"/>
  <c r="O108" i="5"/>
  <c r="N5" i="10" s="1"/>
  <c r="N108" i="5"/>
  <c r="M5" i="10" s="1"/>
  <c r="M108" i="5"/>
  <c r="L5" i="10" s="1"/>
  <c r="L108" i="5"/>
  <c r="K5" i="10" s="1"/>
  <c r="K108" i="5"/>
  <c r="J5" i="10" s="1"/>
  <c r="J108" i="5"/>
  <c r="I5" i="10" s="1"/>
  <c r="I108" i="5"/>
  <c r="H5" i="10" s="1"/>
  <c r="H108" i="5"/>
  <c r="G5" i="10" s="1"/>
  <c r="G108" i="5"/>
  <c r="F5" i="10" s="1"/>
  <c r="F108" i="5"/>
  <c r="E5" i="10" s="1"/>
  <c r="E108" i="5"/>
  <c r="D5" i="10" s="1"/>
  <c r="D108" i="5"/>
  <c r="C5" i="10"/>
  <c r="BQ107" i="5"/>
  <c r="BP107" i="5"/>
  <c r="BO107" i="5"/>
  <c r="BN107" i="5"/>
  <c r="BM107" i="5"/>
  <c r="BL107" i="5"/>
  <c r="BK107" i="5"/>
  <c r="BJ107" i="5"/>
  <c r="BI107" i="5"/>
  <c r="BH107" i="5"/>
  <c r="BG107" i="5"/>
  <c r="BF107" i="5"/>
  <c r="BE107" i="5"/>
  <c r="BD107" i="5"/>
  <c r="BC107" i="5"/>
  <c r="BB107" i="5"/>
  <c r="BA107" i="5"/>
  <c r="AZ107" i="5"/>
  <c r="AY107" i="5"/>
  <c r="AX107" i="5"/>
  <c r="AW107" i="5"/>
  <c r="AV107" i="5"/>
  <c r="AU107" i="5"/>
  <c r="AT107" i="5"/>
  <c r="AS107" i="5"/>
  <c r="AR107" i="5"/>
  <c r="AQ107" i="5"/>
  <c r="AP107" i="5"/>
  <c r="AO107" i="5"/>
  <c r="AN107" i="5"/>
  <c r="AM107" i="5"/>
  <c r="AL107" i="5"/>
  <c r="AK107" i="5"/>
  <c r="AJ107" i="5"/>
  <c r="AI107" i="5"/>
  <c r="AH107" i="5"/>
  <c r="AG107" i="5"/>
  <c r="AF107" i="5"/>
  <c r="AE107" i="5"/>
  <c r="AD107" i="5"/>
  <c r="AC107" i="5"/>
  <c r="AB107" i="5"/>
  <c r="AA107" i="5"/>
  <c r="Z107" i="5"/>
  <c r="Y107" i="5"/>
  <c r="X107" i="5"/>
  <c r="W107" i="5"/>
  <c r="V107" i="5"/>
  <c r="U107" i="5"/>
  <c r="T107" i="5"/>
  <c r="S107" i="5"/>
  <c r="R107" i="5"/>
  <c r="Q107" i="5"/>
  <c r="P107" i="5"/>
  <c r="O107" i="5"/>
  <c r="N107" i="5"/>
  <c r="M107" i="5"/>
  <c r="L107" i="5"/>
  <c r="K107" i="5"/>
  <c r="J107" i="5"/>
  <c r="I107" i="5"/>
  <c r="H107" i="5"/>
  <c r="G107" i="5"/>
  <c r="F107" i="5"/>
  <c r="E107" i="5"/>
  <c r="D107" i="5"/>
  <c r="BQ106" i="5"/>
  <c r="BP106" i="5"/>
  <c r="BO106" i="5"/>
  <c r="BN106" i="5"/>
  <c r="BM106" i="5"/>
  <c r="BL106" i="5"/>
  <c r="BK106" i="5"/>
  <c r="BJ106" i="5"/>
  <c r="BI106" i="5"/>
  <c r="BH106" i="5"/>
  <c r="BG106" i="5"/>
  <c r="BF106" i="5"/>
  <c r="BE106" i="5"/>
  <c r="BD106" i="5"/>
  <c r="BC106" i="5"/>
  <c r="BB106" i="5"/>
  <c r="BA106" i="5"/>
  <c r="AZ106" i="5"/>
  <c r="AY106" i="5"/>
  <c r="AX106" i="5"/>
  <c r="AW106" i="5"/>
  <c r="AV106" i="5"/>
  <c r="AU106" i="5"/>
  <c r="AT106" i="5"/>
  <c r="AS106" i="5"/>
  <c r="AR106" i="5"/>
  <c r="AQ106" i="5"/>
  <c r="AP106" i="5"/>
  <c r="AO106" i="5"/>
  <c r="AN106" i="5"/>
  <c r="AM106" i="5"/>
  <c r="AL106" i="5"/>
  <c r="AK106" i="5"/>
  <c r="AJ106" i="5"/>
  <c r="AI106" i="5"/>
  <c r="AH106" i="5"/>
  <c r="AG106" i="5"/>
  <c r="AF106" i="5"/>
  <c r="AE106" i="5"/>
  <c r="AD106" i="5"/>
  <c r="AC106" i="5"/>
  <c r="AB106" i="5"/>
  <c r="AA106" i="5"/>
  <c r="Z106" i="5"/>
  <c r="Y106" i="5"/>
  <c r="X106" i="5"/>
  <c r="W106" i="5"/>
  <c r="V106" i="5"/>
  <c r="U106" i="5"/>
  <c r="T106" i="5"/>
  <c r="S106" i="5"/>
  <c r="R106" i="5"/>
  <c r="Q106" i="5"/>
  <c r="P106" i="5"/>
  <c r="O106" i="5"/>
  <c r="N106" i="5"/>
  <c r="M106" i="5"/>
  <c r="L106" i="5"/>
  <c r="K106" i="5"/>
  <c r="J106" i="5"/>
  <c r="I106" i="5"/>
  <c r="H106" i="5"/>
  <c r="G106" i="5"/>
  <c r="F106" i="5"/>
  <c r="E106" i="5"/>
  <c r="D106" i="5"/>
  <c r="BQ105" i="5"/>
  <c r="BP105" i="5"/>
  <c r="BO105" i="5"/>
  <c r="BN105" i="5"/>
  <c r="BM105" i="5"/>
  <c r="BL105" i="5"/>
  <c r="BK105" i="5"/>
  <c r="BJ105" i="5"/>
  <c r="BI105" i="5"/>
  <c r="BH105" i="5"/>
  <c r="BG105" i="5"/>
  <c r="BF105" i="5"/>
  <c r="BE105" i="5"/>
  <c r="BD105" i="5"/>
  <c r="BC105" i="5"/>
  <c r="BB105" i="5"/>
  <c r="BA105" i="5"/>
  <c r="AZ105" i="5"/>
  <c r="AY105" i="5"/>
  <c r="AX105" i="5"/>
  <c r="AW105" i="5"/>
  <c r="AV105" i="5"/>
  <c r="AU105" i="5"/>
  <c r="AT105" i="5"/>
  <c r="AS105" i="5"/>
  <c r="AR105" i="5"/>
  <c r="AQ105" i="5"/>
  <c r="AP105" i="5"/>
  <c r="AO105" i="5"/>
  <c r="AN105" i="5"/>
  <c r="AM105" i="5"/>
  <c r="AL105" i="5"/>
  <c r="AK105" i="5"/>
  <c r="AJ105" i="5"/>
  <c r="AI105" i="5"/>
  <c r="AH105" i="5"/>
  <c r="AG105" i="5"/>
  <c r="AF105" i="5"/>
  <c r="AE105" i="5"/>
  <c r="AD105" i="5"/>
  <c r="AC105" i="5"/>
  <c r="AB105" i="5"/>
  <c r="AA105" i="5"/>
  <c r="Z105" i="5"/>
  <c r="Y105" i="5"/>
  <c r="X105" i="5"/>
  <c r="W105" i="5"/>
  <c r="V105" i="5"/>
  <c r="U105" i="5"/>
  <c r="T105" i="5"/>
  <c r="S105" i="5"/>
  <c r="R105" i="5"/>
  <c r="Q105" i="5"/>
  <c r="P105" i="5"/>
  <c r="O105" i="5"/>
  <c r="N105" i="5"/>
  <c r="M105" i="5"/>
  <c r="L105" i="5"/>
  <c r="K105" i="5"/>
  <c r="J105" i="5"/>
  <c r="I105" i="5"/>
  <c r="H105" i="5"/>
  <c r="G105" i="5"/>
  <c r="F105" i="5"/>
  <c r="E105" i="5"/>
  <c r="D105" i="5"/>
  <c r="BQ101" i="5"/>
  <c r="BP101" i="5"/>
  <c r="BO101" i="5"/>
  <c r="BN101" i="5"/>
  <c r="BM101" i="5"/>
  <c r="BL101" i="5"/>
  <c r="BK101" i="5"/>
  <c r="BJ101" i="5"/>
  <c r="BI101" i="5"/>
  <c r="BH101" i="5"/>
  <c r="BG101" i="5"/>
  <c r="BF101" i="5"/>
  <c r="BE101" i="5"/>
  <c r="BD101" i="5"/>
  <c r="BC101" i="5"/>
  <c r="BB101" i="5"/>
  <c r="BA101" i="5"/>
  <c r="AZ101" i="5"/>
  <c r="AY101" i="5"/>
  <c r="AX101" i="5"/>
  <c r="AW101" i="5"/>
  <c r="AV101" i="5"/>
  <c r="AU101" i="5"/>
  <c r="AT101" i="5"/>
  <c r="AS101" i="5"/>
  <c r="AR101" i="5"/>
  <c r="AQ101" i="5"/>
  <c r="AP101" i="5"/>
  <c r="AO101" i="5"/>
  <c r="AN101" i="5"/>
  <c r="AM101" i="5"/>
  <c r="AL101" i="5"/>
  <c r="AK101" i="5"/>
  <c r="AJ101" i="5"/>
  <c r="AI101" i="5"/>
  <c r="AH101"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C101" i="5"/>
  <c r="A101" i="5"/>
  <c r="BQ100" i="5"/>
  <c r="BP100" i="5"/>
  <c r="BO100" i="5"/>
  <c r="BN100" i="5"/>
  <c r="BM100" i="5"/>
  <c r="BL100" i="5"/>
  <c r="BK100" i="5"/>
  <c r="BJ100" i="5"/>
  <c r="BI100" i="5"/>
  <c r="BH100" i="5"/>
  <c r="BG100" i="5"/>
  <c r="BF100" i="5"/>
  <c r="BE100" i="5"/>
  <c r="BD100" i="5"/>
  <c r="BC100" i="5"/>
  <c r="BB100" i="5"/>
  <c r="BA100" i="5"/>
  <c r="AZ100" i="5"/>
  <c r="AY100" i="5"/>
  <c r="AX100" i="5"/>
  <c r="AW100" i="5"/>
  <c r="AV100" i="5"/>
  <c r="AU100" i="5"/>
  <c r="AT100" i="5"/>
  <c r="AS100" i="5"/>
  <c r="AR100" i="5"/>
  <c r="AQ100" i="5"/>
  <c r="AP100" i="5"/>
  <c r="AO100" i="5"/>
  <c r="AN100" i="5"/>
  <c r="AM100" i="5"/>
  <c r="AL100" i="5"/>
  <c r="AK100" i="5"/>
  <c r="AJ100" i="5"/>
  <c r="AI100" i="5"/>
  <c r="AH100" i="5"/>
  <c r="AG100" i="5"/>
  <c r="AF100" i="5"/>
  <c r="AE100" i="5"/>
  <c r="AD100" i="5"/>
  <c r="AC100" i="5"/>
  <c r="AB100" i="5"/>
  <c r="AA100" i="5"/>
  <c r="Z100" i="5"/>
  <c r="Y100" i="5"/>
  <c r="X100" i="5"/>
  <c r="W100" i="5"/>
  <c r="V100" i="5"/>
  <c r="U100" i="5"/>
  <c r="T100" i="5"/>
  <c r="S100" i="5"/>
  <c r="R100" i="5"/>
  <c r="Q100" i="5"/>
  <c r="P100" i="5"/>
  <c r="O100" i="5"/>
  <c r="N100" i="5"/>
  <c r="M100" i="5"/>
  <c r="L100" i="5"/>
  <c r="K100" i="5"/>
  <c r="J100" i="5"/>
  <c r="I100" i="5"/>
  <c r="H100" i="5"/>
  <c r="G100" i="5"/>
  <c r="F100" i="5"/>
  <c r="E43" i="10" s="1"/>
  <c r="E100" i="5"/>
  <c r="D43" i="10" s="1"/>
  <c r="D100" i="5"/>
  <c r="C100" i="5"/>
  <c r="A100" i="5"/>
  <c r="A22" i="11"/>
  <c r="BQ99" i="5"/>
  <c r="BP99" i="5"/>
  <c r="BO99" i="5"/>
  <c r="BN99" i="5"/>
  <c r="BM99" i="5"/>
  <c r="BL99" i="5"/>
  <c r="BK99" i="5"/>
  <c r="BJ99" i="5"/>
  <c r="BI99" i="5"/>
  <c r="BH99" i="5"/>
  <c r="BG99" i="5"/>
  <c r="BF99" i="5"/>
  <c r="BE99" i="5"/>
  <c r="BD99" i="5"/>
  <c r="BC99" i="5"/>
  <c r="BB99" i="5"/>
  <c r="BA99" i="5"/>
  <c r="AZ99" i="5"/>
  <c r="AY99" i="5"/>
  <c r="AX99" i="5"/>
  <c r="AW99" i="5"/>
  <c r="AV99" i="5"/>
  <c r="AU99" i="5"/>
  <c r="AT99" i="5"/>
  <c r="AS99" i="5"/>
  <c r="AR99" i="5"/>
  <c r="AQ99" i="5"/>
  <c r="AP99" i="5"/>
  <c r="AO99" i="5"/>
  <c r="AN99" i="5"/>
  <c r="AM99" i="5"/>
  <c r="AL99" i="5"/>
  <c r="AK99" i="5"/>
  <c r="AJ99" i="5"/>
  <c r="AI99" i="5"/>
  <c r="AH99" i="5"/>
  <c r="AG99" i="5"/>
  <c r="AF99" i="5"/>
  <c r="AE99" i="5"/>
  <c r="AD99" i="5"/>
  <c r="AC99" i="5"/>
  <c r="AB99" i="5"/>
  <c r="AA99" i="5"/>
  <c r="Z99" i="5"/>
  <c r="Y99" i="5"/>
  <c r="X99" i="5"/>
  <c r="W99" i="5"/>
  <c r="V99" i="5"/>
  <c r="U99" i="5"/>
  <c r="T99" i="5"/>
  <c r="S99" i="5"/>
  <c r="R99" i="5"/>
  <c r="Q99" i="5"/>
  <c r="P99" i="5"/>
  <c r="O99" i="5"/>
  <c r="N99" i="5"/>
  <c r="M99" i="5"/>
  <c r="L99" i="5"/>
  <c r="K99" i="5"/>
  <c r="J99" i="5"/>
  <c r="I99" i="5"/>
  <c r="H99" i="5"/>
  <c r="G99" i="5"/>
  <c r="F99" i="5"/>
  <c r="E99" i="5"/>
  <c r="D99" i="5"/>
  <c r="C99" i="5"/>
  <c r="BQ98" i="5"/>
  <c r="BP98" i="5"/>
  <c r="BO98" i="5"/>
  <c r="BN98" i="5"/>
  <c r="BM98" i="5"/>
  <c r="BL98" i="5"/>
  <c r="BK98" i="5"/>
  <c r="BJ98" i="5"/>
  <c r="BI98" i="5"/>
  <c r="BH98" i="5"/>
  <c r="BG98" i="5"/>
  <c r="BF98" i="5"/>
  <c r="BE98" i="5"/>
  <c r="BD98" i="5"/>
  <c r="BC98" i="5"/>
  <c r="BB98" i="5"/>
  <c r="BA98" i="5"/>
  <c r="AZ98" i="5"/>
  <c r="AY98" i="5"/>
  <c r="AX98" i="5"/>
  <c r="AW98" i="5"/>
  <c r="AV98" i="5"/>
  <c r="AU98" i="5"/>
  <c r="AT98" i="5"/>
  <c r="AS98" i="5"/>
  <c r="AR98" i="5"/>
  <c r="AQ98" i="5"/>
  <c r="AP98" i="5"/>
  <c r="AO98" i="5"/>
  <c r="AN98" i="5"/>
  <c r="AM98" i="5"/>
  <c r="AL98" i="5"/>
  <c r="AK98" i="5"/>
  <c r="AJ98" i="5"/>
  <c r="AI98" i="5"/>
  <c r="AH98" i="5"/>
  <c r="AG98" i="5"/>
  <c r="AF98" i="5"/>
  <c r="AE98" i="5"/>
  <c r="AD98" i="5"/>
  <c r="AC98" i="5"/>
  <c r="AB98" i="5"/>
  <c r="AA98" i="5"/>
  <c r="Z98" i="5"/>
  <c r="Y98" i="5"/>
  <c r="X98" i="5"/>
  <c r="W98" i="5"/>
  <c r="V98" i="5"/>
  <c r="U98" i="5"/>
  <c r="T98" i="5"/>
  <c r="S98" i="5"/>
  <c r="R98" i="5"/>
  <c r="Q98" i="5"/>
  <c r="P98" i="5"/>
  <c r="O98" i="5"/>
  <c r="N98" i="5"/>
  <c r="M98" i="5"/>
  <c r="L98" i="5"/>
  <c r="K98" i="5"/>
  <c r="J98" i="5"/>
  <c r="I98" i="5"/>
  <c r="H98" i="5"/>
  <c r="G98" i="5"/>
  <c r="F98" i="5"/>
  <c r="E98" i="5"/>
  <c r="D98" i="5"/>
  <c r="C98" i="5"/>
  <c r="A98" i="5"/>
  <c r="BQ97" i="5"/>
  <c r="BP97" i="5"/>
  <c r="BO97" i="5"/>
  <c r="BN97" i="5"/>
  <c r="BM97" i="5"/>
  <c r="BL97" i="5"/>
  <c r="BK97" i="5"/>
  <c r="BJ97" i="5"/>
  <c r="BI97" i="5"/>
  <c r="BH97" i="5"/>
  <c r="BG97" i="5"/>
  <c r="BF97" i="5"/>
  <c r="BE97" i="5"/>
  <c r="BD97" i="5"/>
  <c r="BC97" i="5"/>
  <c r="BB97" i="5"/>
  <c r="BA97" i="5"/>
  <c r="AZ97" i="5"/>
  <c r="AY97" i="5"/>
  <c r="AX97" i="5"/>
  <c r="AW97" i="5"/>
  <c r="AV97" i="5"/>
  <c r="AU97" i="5"/>
  <c r="AT97" i="5"/>
  <c r="AS97" i="5"/>
  <c r="AR97" i="5"/>
  <c r="AQ97" i="5"/>
  <c r="AP97" i="5"/>
  <c r="AO97" i="5"/>
  <c r="AN97" i="5"/>
  <c r="AM97" i="5"/>
  <c r="AL97" i="5"/>
  <c r="AK97" i="5"/>
  <c r="AJ97" i="5"/>
  <c r="AI97" i="5"/>
  <c r="AH97" i="5"/>
  <c r="AG97" i="5"/>
  <c r="AF97" i="5"/>
  <c r="AE97" i="5"/>
  <c r="AD97" i="5"/>
  <c r="AC97" i="5"/>
  <c r="AB97" i="5"/>
  <c r="AA97" i="5"/>
  <c r="Z97" i="5"/>
  <c r="Y97" i="5"/>
  <c r="X97" i="5"/>
  <c r="W97" i="5"/>
  <c r="V97" i="5"/>
  <c r="U97" i="5"/>
  <c r="T97" i="5"/>
  <c r="S97" i="5"/>
  <c r="R97" i="5"/>
  <c r="Q97" i="5"/>
  <c r="P97" i="5"/>
  <c r="O97" i="5"/>
  <c r="N97" i="5"/>
  <c r="M97" i="5"/>
  <c r="L97" i="5"/>
  <c r="K97" i="5"/>
  <c r="J97" i="5"/>
  <c r="I97" i="5"/>
  <c r="H97" i="5"/>
  <c r="G97" i="5"/>
  <c r="F97" i="5"/>
  <c r="E97" i="5"/>
  <c r="D97" i="5"/>
  <c r="C97" i="5"/>
  <c r="A97" i="5"/>
  <c r="A19" i="11" s="1"/>
  <c r="BQ96" i="5"/>
  <c r="BP96" i="5"/>
  <c r="BO96" i="5"/>
  <c r="BN96" i="5"/>
  <c r="BM96" i="5"/>
  <c r="BL96" i="5"/>
  <c r="BK96" i="5"/>
  <c r="BJ96" i="5"/>
  <c r="BI96" i="5"/>
  <c r="BH96" i="5"/>
  <c r="BG96" i="5"/>
  <c r="BF96" i="5"/>
  <c r="BE96" i="5"/>
  <c r="BD96" i="5"/>
  <c r="BC96" i="5"/>
  <c r="BB96" i="5"/>
  <c r="BA96" i="5"/>
  <c r="AZ96" i="5"/>
  <c r="AY96" i="5"/>
  <c r="AX96" i="5"/>
  <c r="AW96" i="5"/>
  <c r="AV96" i="5"/>
  <c r="AU96" i="5"/>
  <c r="AT96" i="5"/>
  <c r="AS96" i="5"/>
  <c r="AR96" i="5"/>
  <c r="AQ96" i="5"/>
  <c r="AP96" i="5"/>
  <c r="AO96" i="5"/>
  <c r="AN96" i="5"/>
  <c r="AM96" i="5"/>
  <c r="AL96" i="5"/>
  <c r="AK96" i="5"/>
  <c r="AJ96" i="5"/>
  <c r="AI96" i="5"/>
  <c r="AH96" i="5"/>
  <c r="AG96" i="5"/>
  <c r="AF96" i="5"/>
  <c r="AE96" i="5"/>
  <c r="AD96" i="5"/>
  <c r="AC96" i="5"/>
  <c r="AB96" i="5"/>
  <c r="AA96" i="5"/>
  <c r="Z96" i="5"/>
  <c r="Y96" i="5"/>
  <c r="X96" i="5"/>
  <c r="W96" i="5"/>
  <c r="V96" i="5"/>
  <c r="U96" i="5"/>
  <c r="T96" i="5"/>
  <c r="S96" i="5"/>
  <c r="R96" i="5"/>
  <c r="Q96" i="5"/>
  <c r="P96" i="5"/>
  <c r="O96" i="5"/>
  <c r="N96" i="5"/>
  <c r="M96" i="5"/>
  <c r="L96" i="5"/>
  <c r="K96" i="5"/>
  <c r="J96" i="5"/>
  <c r="I96" i="5"/>
  <c r="H96" i="5"/>
  <c r="G96" i="5"/>
  <c r="F96" i="5"/>
  <c r="E96" i="5"/>
  <c r="D96" i="5"/>
  <c r="C96" i="5"/>
  <c r="BQ95" i="5"/>
  <c r="BP95" i="5"/>
  <c r="BO95" i="5"/>
  <c r="BN95" i="5"/>
  <c r="BM95" i="5"/>
  <c r="BL95" i="5"/>
  <c r="BK95" i="5"/>
  <c r="BJ95" i="5"/>
  <c r="BI95" i="5"/>
  <c r="BH95" i="5"/>
  <c r="BG95" i="5"/>
  <c r="BF95" i="5"/>
  <c r="BE95" i="5"/>
  <c r="BD95" i="5"/>
  <c r="BC95" i="5"/>
  <c r="BB95" i="5"/>
  <c r="BA95" i="5"/>
  <c r="AZ95" i="5"/>
  <c r="AY95" i="5"/>
  <c r="AX95" i="5"/>
  <c r="AW95" i="5"/>
  <c r="AV95" i="5"/>
  <c r="AU95" i="5"/>
  <c r="AT95" i="5"/>
  <c r="AS95" i="5"/>
  <c r="AR95" i="5"/>
  <c r="AQ95" i="5"/>
  <c r="AP95" i="5"/>
  <c r="AO95" i="5"/>
  <c r="AN95" i="5"/>
  <c r="AM95" i="5"/>
  <c r="AL95" i="5"/>
  <c r="AK95" i="5"/>
  <c r="AJ95" i="5"/>
  <c r="AI95" i="5"/>
  <c r="AH95" i="5"/>
  <c r="AG95" i="5"/>
  <c r="AF95" i="5"/>
  <c r="AE95" i="5"/>
  <c r="AD95" i="5"/>
  <c r="AC95" i="5"/>
  <c r="AB95" i="5"/>
  <c r="AA95" i="5"/>
  <c r="Z95" i="5"/>
  <c r="Y95" i="5"/>
  <c r="X95" i="5"/>
  <c r="W95" i="5"/>
  <c r="V95" i="5"/>
  <c r="U95" i="5"/>
  <c r="T95" i="5"/>
  <c r="S95" i="5"/>
  <c r="R95" i="5"/>
  <c r="Q95" i="5"/>
  <c r="P95" i="5"/>
  <c r="O95" i="5"/>
  <c r="N95" i="5"/>
  <c r="M95" i="5"/>
  <c r="L95" i="5"/>
  <c r="K95" i="5"/>
  <c r="J95" i="5"/>
  <c r="I95" i="5"/>
  <c r="H95" i="5"/>
  <c r="G95" i="5"/>
  <c r="F95" i="5"/>
  <c r="E95" i="5"/>
  <c r="D95" i="5"/>
  <c r="C95" i="5"/>
  <c r="A95" i="5"/>
  <c r="A17" i="11" s="1"/>
  <c r="BQ94" i="5"/>
  <c r="BP94" i="5"/>
  <c r="BO94" i="5"/>
  <c r="BN94" i="5"/>
  <c r="BM94" i="5"/>
  <c r="BL94" i="5"/>
  <c r="BK94" i="5"/>
  <c r="BJ94" i="5"/>
  <c r="BI94" i="5"/>
  <c r="BH94" i="5"/>
  <c r="BG94" i="5"/>
  <c r="BF94" i="5"/>
  <c r="BE94" i="5"/>
  <c r="BD94" i="5"/>
  <c r="BC94" i="5"/>
  <c r="BB94" i="5"/>
  <c r="BA94" i="5"/>
  <c r="AZ94" i="5"/>
  <c r="AY94" i="5"/>
  <c r="AX94" i="5"/>
  <c r="AW94" i="5"/>
  <c r="AV94" i="5"/>
  <c r="AU94" i="5"/>
  <c r="AT94" i="5"/>
  <c r="AS94" i="5"/>
  <c r="AR94" i="5"/>
  <c r="AQ94" i="5"/>
  <c r="AP94" i="5"/>
  <c r="AO94" i="5"/>
  <c r="AN94" i="5"/>
  <c r="AM94" i="5"/>
  <c r="AL94" i="5"/>
  <c r="AK94" i="5"/>
  <c r="AJ94" i="5"/>
  <c r="AI94" i="5"/>
  <c r="AH94" i="5"/>
  <c r="AG94" i="5"/>
  <c r="AF94" i="5"/>
  <c r="AE94" i="5"/>
  <c r="AD94" i="5"/>
  <c r="AC94" i="5"/>
  <c r="AB94" i="5"/>
  <c r="AA94" i="5"/>
  <c r="Z94" i="5"/>
  <c r="Y94" i="5"/>
  <c r="X94" i="5"/>
  <c r="W94" i="5"/>
  <c r="V94" i="5"/>
  <c r="U94" i="5"/>
  <c r="T94" i="5"/>
  <c r="S94" i="5"/>
  <c r="R94" i="5"/>
  <c r="Q94" i="5"/>
  <c r="P94" i="5"/>
  <c r="O94" i="5"/>
  <c r="N94" i="5"/>
  <c r="M94" i="5"/>
  <c r="L94" i="5"/>
  <c r="K94" i="5"/>
  <c r="J94" i="5"/>
  <c r="I94" i="5"/>
  <c r="H94" i="5"/>
  <c r="G94" i="5"/>
  <c r="F94" i="5"/>
  <c r="E94" i="5"/>
  <c r="D94" i="5"/>
  <c r="C94" i="5"/>
  <c r="A94" i="5"/>
  <c r="BQ93" i="5"/>
  <c r="BP93" i="5"/>
  <c r="BO93" i="5"/>
  <c r="BN93" i="5"/>
  <c r="BM93" i="5"/>
  <c r="BL93" i="5"/>
  <c r="BK93" i="5"/>
  <c r="BJ93" i="5"/>
  <c r="BI93" i="5"/>
  <c r="BH93" i="5"/>
  <c r="BG93" i="5"/>
  <c r="BF93" i="5"/>
  <c r="BE93" i="5"/>
  <c r="BD93" i="5"/>
  <c r="BC93" i="5"/>
  <c r="BB93" i="5"/>
  <c r="BA93" i="5"/>
  <c r="AZ93" i="5"/>
  <c r="AY93" i="5"/>
  <c r="AX93" i="5"/>
  <c r="AW93" i="5"/>
  <c r="AV93" i="5"/>
  <c r="AU93" i="5"/>
  <c r="AT93" i="5"/>
  <c r="AS93" i="5"/>
  <c r="AR93" i="5"/>
  <c r="AQ93" i="5"/>
  <c r="AP93" i="5"/>
  <c r="AO93" i="5"/>
  <c r="AN93" i="5"/>
  <c r="AM93" i="5"/>
  <c r="AL93" i="5"/>
  <c r="AK93" i="5"/>
  <c r="AJ93" i="5"/>
  <c r="AI93" i="5"/>
  <c r="AH93" i="5"/>
  <c r="AG93" i="5"/>
  <c r="AF93" i="5"/>
  <c r="AE93" i="5"/>
  <c r="AD93" i="5"/>
  <c r="AC93" i="5"/>
  <c r="AB93" i="5"/>
  <c r="AA93" i="5"/>
  <c r="Z93" i="5"/>
  <c r="Y93" i="5"/>
  <c r="X93" i="5"/>
  <c r="W93" i="5"/>
  <c r="V93" i="5"/>
  <c r="U93" i="5"/>
  <c r="T93" i="5"/>
  <c r="S93" i="5"/>
  <c r="R93" i="5"/>
  <c r="Q93" i="5"/>
  <c r="P93" i="5"/>
  <c r="O93" i="5"/>
  <c r="N93" i="5"/>
  <c r="M93" i="5"/>
  <c r="L93" i="5"/>
  <c r="K93" i="5"/>
  <c r="J93" i="5"/>
  <c r="I93" i="5"/>
  <c r="H93" i="5"/>
  <c r="G93" i="5"/>
  <c r="F93" i="5"/>
  <c r="E93" i="5"/>
  <c r="D93" i="5"/>
  <c r="C93" i="5"/>
  <c r="A93" i="5"/>
  <c r="A105" i="5" s="1"/>
  <c r="BQ89" i="5"/>
  <c r="BP89" i="5"/>
  <c r="BO89" i="5"/>
  <c r="BN89" i="5"/>
  <c r="BM89" i="5"/>
  <c r="BL89" i="5"/>
  <c r="BK89" i="5"/>
  <c r="BJ89" i="5"/>
  <c r="BI89" i="5"/>
  <c r="BH89" i="5"/>
  <c r="BG89" i="5"/>
  <c r="BF89" i="5"/>
  <c r="BE89" i="5"/>
  <c r="BD89" i="5"/>
  <c r="BC89" i="5"/>
  <c r="BB89" i="5"/>
  <c r="BA89" i="5"/>
  <c r="AZ89" i="5"/>
  <c r="AY89" i="5"/>
  <c r="AX89" i="5"/>
  <c r="AW89" i="5"/>
  <c r="AV89" i="5"/>
  <c r="AU89" i="5"/>
  <c r="AT89" i="5"/>
  <c r="AS89" i="5"/>
  <c r="AR89" i="5"/>
  <c r="AQ89" i="5"/>
  <c r="AP89" i="5"/>
  <c r="AO89" i="5"/>
  <c r="AN89" i="5"/>
  <c r="AM89" i="5"/>
  <c r="AL89" i="5"/>
  <c r="AK89" i="5"/>
  <c r="AJ89" i="5"/>
  <c r="AI89" i="5"/>
  <c r="BQ88" i="5"/>
  <c r="BP88" i="5"/>
  <c r="BO88" i="5"/>
  <c r="BN88" i="5"/>
  <c r="BM88" i="5"/>
  <c r="BL88" i="5"/>
  <c r="BK88" i="5"/>
  <c r="BJ88" i="5"/>
  <c r="BI88" i="5"/>
  <c r="BH88" i="5"/>
  <c r="BG88" i="5"/>
  <c r="BF88" i="5"/>
  <c r="BE88" i="5"/>
  <c r="BD88" i="5"/>
  <c r="BC88" i="5"/>
  <c r="BB88" i="5"/>
  <c r="BA88" i="5"/>
  <c r="AZ88" i="5"/>
  <c r="AY88" i="5"/>
  <c r="AX88" i="5"/>
  <c r="AW88" i="5"/>
  <c r="AV88" i="5"/>
  <c r="AU88" i="5"/>
  <c r="AT88" i="5"/>
  <c r="AS88" i="5"/>
  <c r="AR88" i="5"/>
  <c r="AQ88" i="5"/>
  <c r="AP88" i="5"/>
  <c r="AO88" i="5"/>
  <c r="AN88" i="5"/>
  <c r="AM88" i="5"/>
  <c r="AL88" i="5"/>
  <c r="AK88" i="5"/>
  <c r="AJ88" i="5"/>
  <c r="AI88" i="5"/>
  <c r="AH88" i="5"/>
  <c r="AG88" i="5"/>
  <c r="AF88" i="5"/>
  <c r="AE88" i="5"/>
  <c r="AD88" i="5"/>
  <c r="AC88" i="5"/>
  <c r="AB88" i="5"/>
  <c r="AA88" i="5"/>
  <c r="Z88" i="5"/>
  <c r="Y88" i="5"/>
  <c r="X88" i="5"/>
  <c r="W88" i="5"/>
  <c r="V88" i="5"/>
  <c r="U88" i="5"/>
  <c r="T88" i="5"/>
  <c r="S88" i="5"/>
  <c r="R88" i="5"/>
  <c r="Q88" i="5"/>
  <c r="P88" i="5"/>
  <c r="O88" i="5"/>
  <c r="N88" i="5"/>
  <c r="M88" i="5"/>
  <c r="L88" i="5"/>
  <c r="K88" i="5"/>
  <c r="J88" i="5"/>
  <c r="I88" i="5"/>
  <c r="H88" i="5"/>
  <c r="BQ87" i="5"/>
  <c r="BP87" i="5"/>
  <c r="BO87" i="5"/>
  <c r="BN87" i="5"/>
  <c r="BM87" i="5"/>
  <c r="BL87" i="5"/>
  <c r="BK87" i="5"/>
  <c r="BJ87" i="5"/>
  <c r="BI87" i="5"/>
  <c r="BH87" i="5"/>
  <c r="BG87" i="5"/>
  <c r="BF87" i="5"/>
  <c r="BE87" i="5"/>
  <c r="BD87" i="5"/>
  <c r="BC87" i="5"/>
  <c r="BB87" i="5"/>
  <c r="BA87" i="5"/>
  <c r="AZ87" i="5"/>
  <c r="AY87" i="5"/>
  <c r="AX87" i="5"/>
  <c r="AW87" i="5"/>
  <c r="AV87" i="5"/>
  <c r="AU87" i="5"/>
  <c r="AT87" i="5"/>
  <c r="AS87" i="5"/>
  <c r="AR87" i="5"/>
  <c r="AQ87" i="5"/>
  <c r="AP87" i="5"/>
  <c r="AO87" i="5"/>
  <c r="AN87" i="5"/>
  <c r="AM87" i="5"/>
  <c r="AL87" i="5"/>
  <c r="AK87" i="5"/>
  <c r="AJ87" i="5"/>
  <c r="AI87" i="5"/>
  <c r="AH87" i="5"/>
  <c r="AG87" i="5"/>
  <c r="AF87" i="5"/>
  <c r="AE87" i="5"/>
  <c r="AD87" i="5"/>
  <c r="AC87" i="5"/>
  <c r="AB87" i="5"/>
  <c r="AA87" i="5"/>
  <c r="Z87" i="5"/>
  <c r="Y87" i="5"/>
  <c r="X87" i="5"/>
  <c r="W87" i="5"/>
  <c r="V87" i="5"/>
  <c r="U87" i="5"/>
  <c r="T87" i="5"/>
  <c r="S87" i="5"/>
  <c r="R87" i="5"/>
  <c r="Q87" i="5"/>
  <c r="P87" i="5"/>
  <c r="O87" i="5"/>
  <c r="N87" i="5"/>
  <c r="M87" i="5"/>
  <c r="L87" i="5"/>
  <c r="K87" i="5"/>
  <c r="J87" i="5"/>
  <c r="I87" i="5"/>
  <c r="H87" i="5"/>
  <c r="J86" i="5"/>
  <c r="I8" i="10" s="1"/>
  <c r="I86" i="5"/>
  <c r="H8" i="10" s="1"/>
  <c r="H86" i="5"/>
  <c r="G8" i="10" s="1"/>
  <c r="G86" i="5"/>
  <c r="F8" i="10" s="1"/>
  <c r="F86" i="5"/>
  <c r="E8" i="10" s="1"/>
  <c r="E86" i="5"/>
  <c r="D8" i="10"/>
  <c r="D86" i="5"/>
  <c r="C8" i="10" s="1"/>
  <c r="BQ85" i="5"/>
  <c r="BP85" i="5"/>
  <c r="BO85" i="5"/>
  <c r="BN85" i="5"/>
  <c r="BM85" i="5"/>
  <c r="BL85" i="5"/>
  <c r="BK85" i="5"/>
  <c r="BJ85" i="5"/>
  <c r="BI85" i="5"/>
  <c r="BH85" i="5"/>
  <c r="BG85" i="5"/>
  <c r="BF85" i="5"/>
  <c r="BE85" i="5"/>
  <c r="BD85" i="5"/>
  <c r="BC85" i="5"/>
  <c r="BB85" i="5"/>
  <c r="BA85" i="5"/>
  <c r="AZ85" i="5"/>
  <c r="AY85" i="5"/>
  <c r="AX85" i="5"/>
  <c r="AW85" i="5"/>
  <c r="AV85" i="5"/>
  <c r="AU85" i="5"/>
  <c r="AT85" i="5"/>
  <c r="AS85" i="5"/>
  <c r="AR85" i="5"/>
  <c r="AQ85" i="5"/>
  <c r="AP85" i="5"/>
  <c r="AO85" i="5"/>
  <c r="AN85" i="5"/>
  <c r="AM85" i="5"/>
  <c r="AL85" i="5"/>
  <c r="AK85" i="5"/>
  <c r="AJ85" i="5"/>
  <c r="AI85" i="5"/>
  <c r="AH85" i="5"/>
  <c r="AG85" i="5"/>
  <c r="AF85" i="5"/>
  <c r="AE85" i="5"/>
  <c r="AD85" i="5"/>
  <c r="AC85" i="5"/>
  <c r="AB85" i="5"/>
  <c r="AA85" i="5"/>
  <c r="Z85" i="5"/>
  <c r="Y85" i="5"/>
  <c r="X85" i="5"/>
  <c r="W85" i="5"/>
  <c r="V85" i="5"/>
  <c r="U85" i="5"/>
  <c r="T85" i="5"/>
  <c r="S85" i="5"/>
  <c r="R85" i="5"/>
  <c r="Q85" i="5"/>
  <c r="P85" i="5"/>
  <c r="O85" i="5"/>
  <c r="N85" i="5"/>
  <c r="M85" i="5"/>
  <c r="L85" i="5"/>
  <c r="K85" i="5"/>
  <c r="J85" i="5"/>
  <c r="I85" i="5"/>
  <c r="H85" i="5"/>
  <c r="G85" i="5"/>
  <c r="F85" i="5"/>
  <c r="E85" i="5"/>
  <c r="D85" i="5"/>
  <c r="BQ84" i="5"/>
  <c r="BP84" i="5"/>
  <c r="BO84" i="5"/>
  <c r="BN84" i="5"/>
  <c r="BM84" i="5"/>
  <c r="BL84" i="5"/>
  <c r="BK84" i="5"/>
  <c r="BJ84" i="5"/>
  <c r="BI84" i="5"/>
  <c r="BH84" i="5"/>
  <c r="BG84" i="5"/>
  <c r="BF84" i="5"/>
  <c r="BE84" i="5"/>
  <c r="BD84" i="5"/>
  <c r="BC84" i="5"/>
  <c r="BB84" i="5"/>
  <c r="BA84" i="5"/>
  <c r="AZ84" i="5"/>
  <c r="AY84" i="5"/>
  <c r="AX84" i="5"/>
  <c r="AW84" i="5"/>
  <c r="AV84" i="5"/>
  <c r="AU84" i="5"/>
  <c r="AT84" i="5"/>
  <c r="AS84" i="5"/>
  <c r="AR84" i="5"/>
  <c r="AQ84" i="5"/>
  <c r="AP84" i="5"/>
  <c r="AO84" i="5"/>
  <c r="AN84" i="5"/>
  <c r="AM84" i="5"/>
  <c r="AL84" i="5"/>
  <c r="AK84" i="5"/>
  <c r="AJ84" i="5"/>
  <c r="AI84" i="5"/>
  <c r="AH84" i="5"/>
  <c r="AG84" i="5"/>
  <c r="AF84" i="5"/>
  <c r="AE84" i="5"/>
  <c r="AD84" i="5"/>
  <c r="AC84" i="5"/>
  <c r="AB84" i="5"/>
  <c r="AA84" i="5"/>
  <c r="Z84" i="5"/>
  <c r="U84" i="5"/>
  <c r="T84" i="5"/>
  <c r="S84" i="5"/>
  <c r="R84" i="5"/>
  <c r="Q84" i="5"/>
  <c r="P84" i="5"/>
  <c r="O84" i="5"/>
  <c r="N84" i="5"/>
  <c r="M84" i="5"/>
  <c r="L84" i="5"/>
  <c r="K84" i="5"/>
  <c r="J84" i="5"/>
  <c r="I84" i="5"/>
  <c r="H84" i="5"/>
  <c r="G4" i="10" s="1"/>
  <c r="G84" i="5"/>
  <c r="F4" i="10" s="1"/>
  <c r="F84" i="5"/>
  <c r="E4" i="10" s="1"/>
  <c r="E84" i="5"/>
  <c r="D4" i="10" s="1"/>
  <c r="D84" i="5"/>
  <c r="C4" i="10" s="1"/>
  <c r="V83" i="5"/>
  <c r="BQ82" i="5"/>
  <c r="BP82" i="5"/>
  <c r="BO82" i="5"/>
  <c r="BN82" i="5"/>
  <c r="BM82" i="5"/>
  <c r="BL82" i="5"/>
  <c r="BK82" i="5"/>
  <c r="BJ82" i="5"/>
  <c r="BI82" i="5"/>
  <c r="BH82" i="5"/>
  <c r="BG82" i="5"/>
  <c r="BF82" i="5"/>
  <c r="BE82" i="5"/>
  <c r="BD82" i="5"/>
  <c r="BC82" i="5"/>
  <c r="BB82" i="5"/>
  <c r="BA82" i="5"/>
  <c r="AZ82" i="5"/>
  <c r="AY82" i="5"/>
  <c r="AX82" i="5"/>
  <c r="AW82" i="5"/>
  <c r="AV82" i="5"/>
  <c r="AU82" i="5"/>
  <c r="AT82" i="5"/>
  <c r="AS82" i="5"/>
  <c r="AR82" i="5"/>
  <c r="AQ82" i="5"/>
  <c r="AP82" i="5"/>
  <c r="AO82" i="5"/>
  <c r="AN82" i="5"/>
  <c r="AI82" i="5"/>
  <c r="AH82" i="5"/>
  <c r="AG82" i="5"/>
  <c r="AF82" i="5"/>
  <c r="AE82" i="5"/>
  <c r="AD82" i="5"/>
  <c r="AC82" i="5"/>
  <c r="AB82" i="5"/>
  <c r="AA82" i="5"/>
  <c r="Z82" i="5"/>
  <c r="Y82" i="5"/>
  <c r="X82" i="5"/>
  <c r="W82" i="5"/>
  <c r="V82" i="5"/>
  <c r="U82" i="5"/>
  <c r="T82" i="5"/>
  <c r="S82" i="5"/>
  <c r="R82" i="5"/>
  <c r="Q82" i="5"/>
  <c r="P82" i="5"/>
  <c r="O82" i="5"/>
  <c r="N82" i="5"/>
  <c r="M82" i="5"/>
  <c r="L82" i="5"/>
  <c r="K82" i="5"/>
  <c r="J82" i="5"/>
  <c r="I82" i="5"/>
  <c r="H82" i="5"/>
  <c r="BQ81" i="5"/>
  <c r="BP81" i="5"/>
  <c r="BO81" i="5"/>
  <c r="BN81" i="5"/>
  <c r="BM81" i="5"/>
  <c r="BL81" i="5"/>
  <c r="BK81" i="5"/>
  <c r="BJ81" i="5"/>
  <c r="BI81" i="5"/>
  <c r="BH81" i="5"/>
  <c r="BG81" i="5"/>
  <c r="BF81" i="5"/>
  <c r="BE81" i="5"/>
  <c r="BD81" i="5"/>
  <c r="BC81" i="5"/>
  <c r="BB81" i="5"/>
  <c r="BA81" i="5"/>
  <c r="AZ81" i="5"/>
  <c r="AY81" i="5"/>
  <c r="AX81" i="5"/>
  <c r="AW81" i="5"/>
  <c r="AV81" i="5"/>
  <c r="AU81" i="5"/>
  <c r="AT81" i="5"/>
  <c r="AS81" i="5"/>
  <c r="AR81" i="5"/>
  <c r="AQ81" i="5"/>
  <c r="AP81" i="5"/>
  <c r="AO81" i="5"/>
  <c r="AN81" i="5"/>
  <c r="AH81" i="5"/>
  <c r="AG81" i="5"/>
  <c r="AF81" i="5"/>
  <c r="AE81" i="5"/>
  <c r="AD81" i="5"/>
  <c r="AC81" i="5"/>
  <c r="AB81" i="5"/>
  <c r="AA81" i="5"/>
  <c r="Z81" i="5"/>
  <c r="Y81" i="5"/>
  <c r="X81" i="5"/>
  <c r="W81" i="5"/>
  <c r="V81" i="5"/>
  <c r="U81" i="5"/>
  <c r="T81" i="5"/>
  <c r="S81" i="5"/>
  <c r="R81" i="5"/>
  <c r="Q81" i="5"/>
  <c r="P81" i="5"/>
  <c r="O81" i="5"/>
  <c r="N81" i="5"/>
  <c r="M81" i="5"/>
  <c r="L81" i="5"/>
  <c r="K81" i="5"/>
  <c r="J81" i="5"/>
  <c r="I81" i="5"/>
  <c r="H81" i="5"/>
  <c r="X80" i="5"/>
  <c r="J80" i="5"/>
  <c r="I80" i="5"/>
  <c r="H80" i="5"/>
  <c r="G80" i="5"/>
  <c r="F80" i="5"/>
  <c r="E80" i="5"/>
  <c r="D80" i="5"/>
  <c r="BQ79" i="5"/>
  <c r="BP79" i="5"/>
  <c r="BO79" i="5"/>
  <c r="BN79" i="5"/>
  <c r="BM79" i="5"/>
  <c r="BL79" i="5"/>
  <c r="BK79" i="5"/>
  <c r="BJ79" i="5"/>
  <c r="BI79" i="5"/>
  <c r="BH79" i="5"/>
  <c r="BG79" i="5"/>
  <c r="BF79" i="5"/>
  <c r="BE79" i="5"/>
  <c r="BD79" i="5"/>
  <c r="BC79" i="5"/>
  <c r="BB79" i="5"/>
  <c r="BA79" i="5"/>
  <c r="AZ79" i="5"/>
  <c r="AY79" i="5"/>
  <c r="AX79" i="5"/>
  <c r="AW79" i="5"/>
  <c r="AV79" i="5"/>
  <c r="AU79" i="5"/>
  <c r="AT79" i="5"/>
  <c r="AS79" i="5"/>
  <c r="AR79" i="5"/>
  <c r="AQ79" i="5"/>
  <c r="AP79" i="5"/>
  <c r="AO79" i="5"/>
  <c r="AN79" i="5"/>
  <c r="AM79" i="5"/>
  <c r="AL79" i="5"/>
  <c r="AK79" i="5"/>
  <c r="AJ79" i="5"/>
  <c r="AI79" i="5"/>
  <c r="AH79" i="5"/>
  <c r="AG79" i="5"/>
  <c r="AF79" i="5"/>
  <c r="AD79" i="5"/>
  <c r="AC79" i="5"/>
  <c r="AB79" i="5"/>
  <c r="AA79" i="5"/>
  <c r="Z79" i="5"/>
  <c r="Y79" i="5"/>
  <c r="X79" i="5"/>
  <c r="W79" i="5"/>
  <c r="V79" i="5"/>
  <c r="U79" i="5"/>
  <c r="T79" i="5"/>
  <c r="S79" i="5"/>
  <c r="R79" i="5"/>
  <c r="Q79" i="5"/>
  <c r="P79" i="5"/>
  <c r="O79" i="5"/>
  <c r="N79" i="5"/>
  <c r="M79" i="5"/>
  <c r="L79" i="5"/>
  <c r="K79" i="5"/>
  <c r="J79" i="5"/>
  <c r="I79" i="5"/>
  <c r="H79" i="5"/>
  <c r="G79" i="5"/>
  <c r="F79" i="5"/>
  <c r="E79" i="5"/>
  <c r="D79" i="5"/>
  <c r="BQ78" i="5"/>
  <c r="BP78" i="5"/>
  <c r="BO78" i="5"/>
  <c r="BN78" i="5"/>
  <c r="BM78" i="5"/>
  <c r="BL78" i="5"/>
  <c r="BK78" i="5"/>
  <c r="BJ78" i="5"/>
  <c r="BI78" i="5"/>
  <c r="BH78" i="5"/>
  <c r="BG78" i="5"/>
  <c r="BF78" i="5"/>
  <c r="BE78" i="5"/>
  <c r="BD78" i="5"/>
  <c r="BC78" i="5"/>
  <c r="BB78" i="5"/>
  <c r="BA78" i="5"/>
  <c r="AZ78" i="5"/>
  <c r="AY78" i="5"/>
  <c r="AX78" i="5"/>
  <c r="AW78" i="5"/>
  <c r="AV78" i="5"/>
  <c r="AU78" i="5"/>
  <c r="AT78" i="5"/>
  <c r="AS78" i="5"/>
  <c r="AR78" i="5"/>
  <c r="AQ78" i="5"/>
  <c r="AP78" i="5"/>
  <c r="AO78" i="5"/>
  <c r="AN78" i="5"/>
  <c r="AM78" i="5"/>
  <c r="AL78" i="5"/>
  <c r="AK78" i="5"/>
  <c r="AB78" i="5"/>
  <c r="AA78" i="5"/>
  <c r="Z78" i="5"/>
  <c r="Y78" i="5"/>
  <c r="X78" i="5"/>
  <c r="W78" i="5"/>
  <c r="V78" i="5"/>
  <c r="U78" i="5"/>
  <c r="T78" i="5"/>
  <c r="S78" i="5"/>
  <c r="R78" i="5"/>
  <c r="Q78" i="5"/>
  <c r="P78" i="5"/>
  <c r="O78" i="5"/>
  <c r="N78" i="5"/>
  <c r="M78" i="5"/>
  <c r="L78" i="5"/>
  <c r="K78" i="5"/>
  <c r="J78" i="5"/>
  <c r="I78" i="5"/>
  <c r="H78" i="5"/>
  <c r="G78" i="5"/>
  <c r="F78" i="5"/>
  <c r="E78" i="5"/>
  <c r="D78" i="5"/>
  <c r="J77" i="5"/>
  <c r="I77" i="5"/>
  <c r="H77" i="5"/>
  <c r="G77" i="5"/>
  <c r="F77" i="5"/>
  <c r="E77" i="5"/>
  <c r="D77" i="5"/>
  <c r="BQ76" i="5"/>
  <c r="BP76" i="5"/>
  <c r="BO76" i="5"/>
  <c r="BN76" i="5"/>
  <c r="BM76" i="5"/>
  <c r="BL76" i="5"/>
  <c r="BK76" i="5"/>
  <c r="BJ76" i="5"/>
  <c r="BI76" i="5"/>
  <c r="BH76" i="5"/>
  <c r="BF76" i="5"/>
  <c r="BE76" i="5"/>
  <c r="BD76" i="5"/>
  <c r="BC76" i="5"/>
  <c r="BB76" i="5"/>
  <c r="BA76" i="5"/>
  <c r="AZ76" i="5"/>
  <c r="AY76" i="5"/>
  <c r="AX76" i="5"/>
  <c r="AW76" i="5"/>
  <c r="AV76" i="5"/>
  <c r="AU76" i="5"/>
  <c r="AT76" i="5"/>
  <c r="AS76" i="5"/>
  <c r="AR76" i="5"/>
  <c r="AQ76" i="5"/>
  <c r="AP76" i="5"/>
  <c r="AO76" i="5"/>
  <c r="AN76" i="5"/>
  <c r="AM76" i="5"/>
  <c r="AL76" i="5"/>
  <c r="AK76" i="5"/>
  <c r="AJ76" i="5"/>
  <c r="AI76" i="5"/>
  <c r="AH76" i="5"/>
  <c r="AG76" i="5"/>
  <c r="AF76" i="5"/>
  <c r="AE76" i="5"/>
  <c r="AD76" i="5"/>
  <c r="AC76" i="5"/>
  <c r="AB76" i="5"/>
  <c r="AA76" i="5"/>
  <c r="Z76" i="5"/>
  <c r="Y76" i="5"/>
  <c r="X76" i="5"/>
  <c r="W76" i="5"/>
  <c r="V76" i="5"/>
  <c r="U76" i="5"/>
  <c r="T76" i="5"/>
  <c r="S76" i="5"/>
  <c r="R76" i="5"/>
  <c r="Q76" i="5"/>
  <c r="P76" i="5"/>
  <c r="O76" i="5"/>
  <c r="N76" i="5"/>
  <c r="M76" i="5"/>
  <c r="L76" i="5"/>
  <c r="K76" i="5"/>
  <c r="J76" i="5"/>
  <c r="I76" i="5"/>
  <c r="H76" i="5"/>
  <c r="G76" i="5"/>
  <c r="F76" i="5"/>
  <c r="E76" i="5"/>
  <c r="D76" i="5"/>
  <c r="BQ75" i="5"/>
  <c r="BP75" i="5"/>
  <c r="BO75" i="5"/>
  <c r="BN75" i="5"/>
  <c r="BM75" i="5"/>
  <c r="BL75" i="5"/>
  <c r="BK75" i="5"/>
  <c r="BJ75" i="5"/>
  <c r="BI75" i="5"/>
  <c r="BH75" i="5"/>
  <c r="BG75" i="5"/>
  <c r="BF75" i="5"/>
  <c r="BE75" i="5"/>
  <c r="BD75" i="5"/>
  <c r="BC75" i="5"/>
  <c r="BB75" i="5"/>
  <c r="BA75" i="5"/>
  <c r="AZ75" i="5"/>
  <c r="AY75" i="5"/>
  <c r="AX75" i="5"/>
  <c r="AW75" i="5"/>
  <c r="AV75" i="5"/>
  <c r="AU75" i="5"/>
  <c r="AT75" i="5"/>
  <c r="AS75" i="5"/>
  <c r="AR75" i="5"/>
  <c r="AQ75" i="5"/>
  <c r="AP75" i="5"/>
  <c r="AO75" i="5"/>
  <c r="AN75" i="5"/>
  <c r="AM75" i="5"/>
  <c r="AL75" i="5"/>
  <c r="AK75" i="5"/>
  <c r="AB75" i="5"/>
  <c r="AA75" i="5"/>
  <c r="Z75" i="5"/>
  <c r="Y75" i="5"/>
  <c r="X75" i="5"/>
  <c r="W75" i="5"/>
  <c r="V75" i="5"/>
  <c r="U75" i="5"/>
  <c r="T75" i="5"/>
  <c r="S75" i="5"/>
  <c r="R75" i="5"/>
  <c r="Q75" i="5"/>
  <c r="P75" i="5"/>
  <c r="O75" i="5"/>
  <c r="N75" i="5"/>
  <c r="M75" i="5"/>
  <c r="L75" i="5"/>
  <c r="K75" i="5"/>
  <c r="J75" i="5"/>
  <c r="I75" i="5"/>
  <c r="H75" i="5"/>
  <c r="G75" i="5"/>
  <c r="F75" i="5"/>
  <c r="E75" i="5"/>
  <c r="D75" i="5"/>
  <c r="I74" i="5"/>
  <c r="H74" i="5"/>
  <c r="G74" i="5"/>
  <c r="F74" i="5"/>
  <c r="E74" i="5"/>
  <c r="D74" i="5"/>
  <c r="BQ73" i="5"/>
  <c r="BP73" i="5"/>
  <c r="BO73" i="5"/>
  <c r="BN73" i="5"/>
  <c r="BM73" i="5"/>
  <c r="BL73" i="5"/>
  <c r="BK73" i="5"/>
  <c r="BJ73" i="5"/>
  <c r="BI73" i="5"/>
  <c r="BH73" i="5"/>
  <c r="BG73" i="5"/>
  <c r="BF73" i="5"/>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3" i="5"/>
  <c r="G73" i="5"/>
  <c r="F73" i="5"/>
  <c r="E73" i="5"/>
  <c r="D73" i="5"/>
  <c r="BQ72" i="5"/>
  <c r="BP72" i="5"/>
  <c r="BO72" i="5"/>
  <c r="BN72" i="5"/>
  <c r="BM72" i="5"/>
  <c r="BL72" i="5"/>
  <c r="BK72" i="5"/>
  <c r="BJ72" i="5"/>
  <c r="BI72" i="5"/>
  <c r="BH72" i="5"/>
  <c r="BG72" i="5"/>
  <c r="BF72" i="5"/>
  <c r="BE72" i="5"/>
  <c r="BD72" i="5"/>
  <c r="BC72" i="5"/>
  <c r="BB72" i="5"/>
  <c r="BA72" i="5"/>
  <c r="AZ72" i="5"/>
  <c r="AY72" i="5"/>
  <c r="AX72" i="5"/>
  <c r="AW72" i="5"/>
  <c r="AV72" i="5"/>
  <c r="AU72" i="5"/>
  <c r="AT72" i="5"/>
  <c r="AS72" i="5"/>
  <c r="AR72" i="5"/>
  <c r="AQ72" i="5"/>
  <c r="AP72" i="5"/>
  <c r="AO72" i="5"/>
  <c r="AN72" i="5"/>
  <c r="AM72" i="5"/>
  <c r="AL72" i="5"/>
  <c r="AK72" i="5"/>
  <c r="AJ72" i="5"/>
  <c r="AI72" i="5"/>
  <c r="AH72" i="5"/>
  <c r="AG72" i="5"/>
  <c r="AF72" i="5"/>
  <c r="AE72" i="5"/>
  <c r="AD72" i="5"/>
  <c r="AC72" i="5"/>
  <c r="AB72" i="5"/>
  <c r="AA72" i="5"/>
  <c r="Z72" i="5"/>
  <c r="Y72" i="5"/>
  <c r="X72" i="5"/>
  <c r="W72" i="5"/>
  <c r="V72" i="5"/>
  <c r="U72" i="5"/>
  <c r="T72" i="5"/>
  <c r="S72" i="5"/>
  <c r="R72" i="5"/>
  <c r="Q72" i="5"/>
  <c r="P72" i="5"/>
  <c r="O72" i="5"/>
  <c r="N72" i="5"/>
  <c r="M72" i="5"/>
  <c r="L72" i="5"/>
  <c r="K72" i="5"/>
  <c r="J72" i="5"/>
  <c r="I72" i="5"/>
  <c r="H72" i="5"/>
  <c r="G58" i="10"/>
  <c r="G72" i="5"/>
  <c r="F72" i="5"/>
  <c r="E72" i="5"/>
  <c r="D72" i="5"/>
  <c r="I71" i="5"/>
  <c r="H71" i="5"/>
  <c r="G71" i="5"/>
  <c r="F71" i="5"/>
  <c r="E71" i="5"/>
  <c r="D71" i="5"/>
  <c r="BQ70" i="5"/>
  <c r="BP70" i="5"/>
  <c r="BO70" i="5"/>
  <c r="BN70" i="5"/>
  <c r="BM70" i="5"/>
  <c r="BL70" i="5"/>
  <c r="BK70" i="5"/>
  <c r="BJ70" i="5"/>
  <c r="BI70" i="5"/>
  <c r="BH70" i="5"/>
  <c r="BG70" i="5"/>
  <c r="BF70" i="5"/>
  <c r="BE70" i="5"/>
  <c r="BD70" i="5"/>
  <c r="BC70" i="5"/>
  <c r="BB70" i="5"/>
  <c r="BA70" i="5"/>
  <c r="AZ70" i="5"/>
  <c r="AY70" i="5"/>
  <c r="AX70" i="5"/>
  <c r="AW70" i="5"/>
  <c r="AV70" i="5"/>
  <c r="AU70" i="5"/>
  <c r="AT70" i="5"/>
  <c r="AS70" i="5"/>
  <c r="AR70" i="5"/>
  <c r="AQ70" i="5"/>
  <c r="AP70" i="5"/>
  <c r="AO70" i="5"/>
  <c r="AN70" i="5"/>
  <c r="AM70" i="5"/>
  <c r="AL70" i="5"/>
  <c r="AK70" i="5"/>
  <c r="AJ70" i="5"/>
  <c r="AI70" i="5"/>
  <c r="AH70" i="5"/>
  <c r="AG70" i="5"/>
  <c r="AF70" i="5"/>
  <c r="AE70" i="5"/>
  <c r="AD70" i="5"/>
  <c r="AC70" i="5"/>
  <c r="AB70" i="5"/>
  <c r="AA70" i="5"/>
  <c r="Z70" i="5"/>
  <c r="Y70" i="5"/>
  <c r="X70" i="5"/>
  <c r="W70" i="5"/>
  <c r="V70" i="5"/>
  <c r="U70" i="5"/>
  <c r="T70" i="5"/>
  <c r="S70" i="5"/>
  <c r="R70" i="5"/>
  <c r="Q70" i="5"/>
  <c r="P70" i="5"/>
  <c r="O70" i="5"/>
  <c r="N70" i="5"/>
  <c r="M70" i="5"/>
  <c r="L70" i="5"/>
  <c r="K70" i="5"/>
  <c r="J70" i="5"/>
  <c r="I70" i="5"/>
  <c r="H70" i="5"/>
  <c r="G70" i="5"/>
  <c r="F70" i="5"/>
  <c r="E70" i="5"/>
  <c r="D70" i="5"/>
  <c r="BQ69" i="5"/>
  <c r="BP69" i="5"/>
  <c r="BO69" i="5"/>
  <c r="BM69" i="5"/>
  <c r="BL69" i="5"/>
  <c r="BK69" i="5"/>
  <c r="BJ69" i="5"/>
  <c r="BI69" i="5"/>
  <c r="BH69" i="5"/>
  <c r="BG69" i="5"/>
  <c r="BF69" i="5"/>
  <c r="BE69" i="5"/>
  <c r="BD69" i="5"/>
  <c r="BC69" i="5"/>
  <c r="BB69" i="5"/>
  <c r="BA69" i="5"/>
  <c r="AZ69" i="5"/>
  <c r="AY69" i="5"/>
  <c r="AX69" i="5"/>
  <c r="AW69" i="5"/>
  <c r="AV69" i="5"/>
  <c r="AU69" i="5"/>
  <c r="AT69" i="5"/>
  <c r="AS69" i="5"/>
  <c r="AR69" i="5"/>
  <c r="AQ69" i="5"/>
  <c r="AP69" i="5"/>
  <c r="AO69" i="5"/>
  <c r="AN69" i="5"/>
  <c r="AM69" i="5"/>
  <c r="AL69" i="5"/>
  <c r="AK69" i="5"/>
  <c r="AJ69" i="5"/>
  <c r="AI69" i="5"/>
  <c r="AH69"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D69" i="5"/>
  <c r="T68" i="5"/>
  <c r="J68" i="5"/>
  <c r="I68" i="5"/>
  <c r="H68" i="5"/>
  <c r="G68" i="5"/>
  <c r="F68" i="5"/>
  <c r="E68" i="5"/>
  <c r="D68" i="5"/>
  <c r="BQ67" i="5"/>
  <c r="BP67" i="5"/>
  <c r="BO67" i="5"/>
  <c r="BM67" i="5"/>
  <c r="BL67" i="5"/>
  <c r="BK67" i="5"/>
  <c r="BJ67" i="5"/>
  <c r="BI67" i="5"/>
  <c r="BH67" i="5"/>
  <c r="BG67" i="5"/>
  <c r="BF67" i="5"/>
  <c r="BE67" i="5"/>
  <c r="BD67" i="5"/>
  <c r="BC67" i="5"/>
  <c r="BB67" i="5"/>
  <c r="BA67" i="5"/>
  <c r="AZ67" i="5"/>
  <c r="AY67" i="5"/>
  <c r="AX67" i="5"/>
  <c r="AW67" i="5"/>
  <c r="AV67" i="5"/>
  <c r="AU67" i="5"/>
  <c r="AT67" i="5"/>
  <c r="AS67" i="5"/>
  <c r="AR67" i="5"/>
  <c r="AQ67" i="5"/>
  <c r="AP67" i="5"/>
  <c r="AO67" i="5"/>
  <c r="AN67" i="5"/>
  <c r="AM67" i="5"/>
  <c r="AB67" i="5"/>
  <c r="AA67" i="5"/>
  <c r="Z67" i="5"/>
  <c r="Y67" i="5"/>
  <c r="X67" i="5"/>
  <c r="W67" i="5"/>
  <c r="V67" i="5"/>
  <c r="U67" i="5"/>
  <c r="T67" i="5"/>
  <c r="S67" i="5"/>
  <c r="R67" i="5"/>
  <c r="Q67" i="5"/>
  <c r="P67" i="5"/>
  <c r="O67" i="5"/>
  <c r="N67" i="5"/>
  <c r="M67" i="5"/>
  <c r="L67" i="5"/>
  <c r="K67" i="5"/>
  <c r="J67" i="5"/>
  <c r="I67" i="5"/>
  <c r="H67" i="5"/>
  <c r="G67" i="5"/>
  <c r="F67" i="5"/>
  <c r="E67" i="5"/>
  <c r="D67" i="5"/>
  <c r="BQ66" i="5"/>
  <c r="BP66" i="5"/>
  <c r="BO66" i="5"/>
  <c r="BM66" i="5"/>
  <c r="BL66" i="5"/>
  <c r="BK66" i="5"/>
  <c r="BJ66" i="5"/>
  <c r="BI66" i="5"/>
  <c r="BH66" i="5"/>
  <c r="BF66" i="5"/>
  <c r="BE66" i="5"/>
  <c r="BD66" i="5"/>
  <c r="BC66" i="5"/>
  <c r="BB66" i="5"/>
  <c r="BA66" i="5"/>
  <c r="AZ66" i="5"/>
  <c r="AY66" i="5"/>
  <c r="AX66" i="5"/>
  <c r="AW66" i="5"/>
  <c r="AV66" i="5"/>
  <c r="AU66" i="5"/>
  <c r="AT66" i="5"/>
  <c r="AS66" i="5"/>
  <c r="AR66" i="5"/>
  <c r="AQ66" i="5"/>
  <c r="AP66" i="5"/>
  <c r="AB66" i="5"/>
  <c r="AA66" i="5"/>
  <c r="Z66" i="5"/>
  <c r="Y66" i="5"/>
  <c r="X66" i="5"/>
  <c r="W66" i="5"/>
  <c r="V66" i="5"/>
  <c r="U66" i="5"/>
  <c r="T66" i="5"/>
  <c r="S66" i="5"/>
  <c r="R66" i="5"/>
  <c r="Q66" i="5"/>
  <c r="P66" i="5"/>
  <c r="O66" i="5"/>
  <c r="N66" i="5"/>
  <c r="M66" i="5"/>
  <c r="L66" i="5"/>
  <c r="K66" i="5"/>
  <c r="J66" i="5"/>
  <c r="I66" i="5"/>
  <c r="H66" i="5"/>
  <c r="G66" i="5"/>
  <c r="F66" i="5"/>
  <c r="E66" i="5"/>
  <c r="D66" i="5"/>
  <c r="C56" i="5"/>
  <c r="C54" i="5"/>
  <c r="C111" i="5" s="1"/>
  <c r="C53" i="5"/>
  <c r="C110" i="5" s="1"/>
  <c r="C51" i="5"/>
  <c r="C108" i="5" s="1"/>
  <c r="C50" i="5"/>
  <c r="C107" i="5" s="1"/>
  <c r="C48" i="5"/>
  <c r="BQ47" i="5"/>
  <c r="BQ104" i="5" s="1"/>
  <c r="BP47" i="5"/>
  <c r="BP104" i="5" s="1"/>
  <c r="BO47" i="5"/>
  <c r="BO104" i="5" s="1"/>
  <c r="BN47" i="5"/>
  <c r="BN104" i="5" s="1"/>
  <c r="BM47" i="5"/>
  <c r="BM104" i="5" s="1"/>
  <c r="BL47" i="5"/>
  <c r="BL104" i="5" s="1"/>
  <c r="BK47" i="5"/>
  <c r="BK104" i="5" s="1"/>
  <c r="BJ47" i="5"/>
  <c r="BJ104" i="5" s="1"/>
  <c r="BI47" i="5"/>
  <c r="BI104" i="5" s="1"/>
  <c r="BH47" i="5"/>
  <c r="BH104" i="5" s="1"/>
  <c r="BG47" i="5"/>
  <c r="BG104" i="5" s="1"/>
  <c r="BF47" i="5"/>
  <c r="BF104" i="5" s="1"/>
  <c r="BE47" i="5"/>
  <c r="BE104" i="5" s="1"/>
  <c r="BD47" i="5"/>
  <c r="BD104" i="5" s="1"/>
  <c r="BC47" i="5"/>
  <c r="BC104" i="5" s="1"/>
  <c r="BB47" i="5"/>
  <c r="BB104" i="5" s="1"/>
  <c r="BA47" i="5"/>
  <c r="BA104" i="5" s="1"/>
  <c r="AZ47" i="5"/>
  <c r="AZ104" i="5" s="1"/>
  <c r="AY47" i="5"/>
  <c r="AY104" i="5" s="1"/>
  <c r="AX47" i="5"/>
  <c r="AX104" i="5" s="1"/>
  <c r="AW47" i="5"/>
  <c r="AW104" i="5"/>
  <c r="AV47" i="5"/>
  <c r="AV104" i="5" s="1"/>
  <c r="AU47" i="5"/>
  <c r="AU104" i="5" s="1"/>
  <c r="AT47" i="5"/>
  <c r="AT104" i="5" s="1"/>
  <c r="AS47" i="5"/>
  <c r="AS104" i="5" s="1"/>
  <c r="AR47" i="5"/>
  <c r="AR104" i="5" s="1"/>
  <c r="AQ47" i="5"/>
  <c r="AQ104" i="5" s="1"/>
  <c r="AP47" i="5"/>
  <c r="AP104" i="5" s="1"/>
  <c r="AO47" i="5"/>
  <c r="AO104" i="5"/>
  <c r="AN47" i="5"/>
  <c r="AN104" i="5" s="1"/>
  <c r="AM47" i="5"/>
  <c r="AM104" i="5" s="1"/>
  <c r="AL47" i="5"/>
  <c r="AL104" i="5" s="1"/>
  <c r="AK47" i="5"/>
  <c r="AK104" i="5" s="1"/>
  <c r="AJ47" i="5"/>
  <c r="AJ104" i="5" s="1"/>
  <c r="AI47" i="5"/>
  <c r="AI104" i="5" s="1"/>
  <c r="AH47" i="5"/>
  <c r="AH104" i="5" s="1"/>
  <c r="AG47" i="5"/>
  <c r="AG104" i="5" s="1"/>
  <c r="AF47" i="5"/>
  <c r="AF104" i="5" s="1"/>
  <c r="AE47" i="5"/>
  <c r="AE104" i="5" s="1"/>
  <c r="AD47" i="5"/>
  <c r="AD104" i="5" s="1"/>
  <c r="AC47" i="5"/>
  <c r="AC104" i="5" s="1"/>
  <c r="AB47" i="5"/>
  <c r="AB104" i="5" s="1"/>
  <c r="AA47" i="5"/>
  <c r="AA104" i="5" s="1"/>
  <c r="Z47" i="5"/>
  <c r="Z104" i="5" s="1"/>
  <c r="Y47" i="5"/>
  <c r="Y104" i="5" s="1"/>
  <c r="X47" i="5"/>
  <c r="X104" i="5" s="1"/>
  <c r="W47" i="5"/>
  <c r="W104" i="5" s="1"/>
  <c r="V47" i="5"/>
  <c r="V104" i="5" s="1"/>
  <c r="U47" i="5"/>
  <c r="U104" i="5" s="1"/>
  <c r="T47" i="5"/>
  <c r="T104" i="5" s="1"/>
  <c r="S47" i="5"/>
  <c r="S104" i="5" s="1"/>
  <c r="R47" i="5"/>
  <c r="R104" i="5" s="1"/>
  <c r="Q47" i="5"/>
  <c r="Q104" i="5" s="1"/>
  <c r="P47" i="5"/>
  <c r="P104" i="5" s="1"/>
  <c r="O47" i="5"/>
  <c r="O104" i="5"/>
  <c r="N47" i="5"/>
  <c r="N104" i="5" s="1"/>
  <c r="M47" i="5"/>
  <c r="M104" i="5" s="1"/>
  <c r="L47" i="5"/>
  <c r="L104" i="5" s="1"/>
  <c r="K47" i="5"/>
  <c r="K104" i="5" s="1"/>
  <c r="J47" i="5"/>
  <c r="J104" i="5" s="1"/>
  <c r="I47" i="5"/>
  <c r="I104" i="5" s="1"/>
  <c r="H47" i="5"/>
  <c r="G47" i="5"/>
  <c r="G104" i="5" s="1"/>
  <c r="F47" i="5"/>
  <c r="F104" i="5" s="1"/>
  <c r="E47" i="5"/>
  <c r="E104" i="5" s="1"/>
  <c r="D47" i="5"/>
  <c r="D104" i="5" s="1"/>
  <c r="BQ45" i="5"/>
  <c r="BP45" i="5"/>
  <c r="BO45" i="5"/>
  <c r="BN45" i="5"/>
  <c r="BM45" i="5"/>
  <c r="BL45" i="5"/>
  <c r="BK45" i="5"/>
  <c r="BK46" i="5"/>
  <c r="BK103" i="5" s="1"/>
  <c r="BJ45" i="5"/>
  <c r="BI45" i="5"/>
  <c r="BH45" i="5"/>
  <c r="BG45" i="5"/>
  <c r="BF45" i="5"/>
  <c r="BE45" i="5"/>
  <c r="BD45" i="5"/>
  <c r="BD102" i="5" s="1"/>
  <c r="BC45" i="5"/>
  <c r="BB45" i="5"/>
  <c r="BA45" i="5"/>
  <c r="AZ45" i="5"/>
  <c r="AY45" i="5"/>
  <c r="AX45" i="5"/>
  <c r="AW45" i="5"/>
  <c r="AV45" i="5"/>
  <c r="AU45" i="5"/>
  <c r="AT45" i="5"/>
  <c r="AT46" i="5" s="1"/>
  <c r="AT103" i="5" s="1"/>
  <c r="AS45" i="5"/>
  <c r="AR45" i="5"/>
  <c r="AQ45" i="5"/>
  <c r="AP45" i="5"/>
  <c r="AO45" i="5"/>
  <c r="AN45" i="5"/>
  <c r="AM45" i="5"/>
  <c r="AL45" i="5"/>
  <c r="AK45" i="5"/>
  <c r="AJ45" i="5"/>
  <c r="AI45" i="5"/>
  <c r="AH45" i="5"/>
  <c r="AG45" i="5"/>
  <c r="AF45" i="5"/>
  <c r="AE45" i="5"/>
  <c r="AD45" i="5"/>
  <c r="AC45" i="5"/>
  <c r="AB45" i="5"/>
  <c r="AA45" i="5"/>
  <c r="Z45" i="5"/>
  <c r="Y45" i="5"/>
  <c r="X45" i="5"/>
  <c r="W45" i="5"/>
  <c r="V45" i="5"/>
  <c r="U45" i="5"/>
  <c r="T45" i="5"/>
  <c r="S45" i="5"/>
  <c r="R45" i="5"/>
  <c r="Q45" i="5"/>
  <c r="P45" i="5"/>
  <c r="O45" i="5"/>
  <c r="O102" i="5" s="1"/>
  <c r="N45" i="5"/>
  <c r="M45" i="5"/>
  <c r="L50" i="10" s="1"/>
  <c r="L45" i="5"/>
  <c r="K45" i="5"/>
  <c r="K102" i="5" s="1"/>
  <c r="J45" i="5"/>
  <c r="I45" i="5"/>
  <c r="I46" i="5" s="1"/>
  <c r="I103" i="5" s="1"/>
  <c r="H45" i="5"/>
  <c r="G45" i="5"/>
  <c r="F50" i="10" s="1"/>
  <c r="F45" i="5"/>
  <c r="F102" i="5" s="1"/>
  <c r="E45" i="5"/>
  <c r="D50" i="10"/>
  <c r="D45" i="5"/>
  <c r="BQ35" i="5"/>
  <c r="BQ92" i="5" s="1"/>
  <c r="BP35" i="5"/>
  <c r="BP92" i="5" s="1"/>
  <c r="BO35" i="5"/>
  <c r="BO92" i="5" s="1"/>
  <c r="BN35" i="5"/>
  <c r="BN92" i="5" s="1"/>
  <c r="BM35" i="5"/>
  <c r="BM92" i="5" s="1"/>
  <c r="BL35" i="5"/>
  <c r="BL92" i="5" s="1"/>
  <c r="BK35" i="5"/>
  <c r="BK92" i="5"/>
  <c r="BJ35" i="5"/>
  <c r="BJ92" i="5" s="1"/>
  <c r="BI35" i="5"/>
  <c r="BI92" i="5" s="1"/>
  <c r="BH35" i="5"/>
  <c r="BH92" i="5" s="1"/>
  <c r="BG35" i="5"/>
  <c r="BG92" i="5" s="1"/>
  <c r="BF35" i="5"/>
  <c r="BF92" i="5" s="1"/>
  <c r="BE35" i="5"/>
  <c r="BE92" i="5" s="1"/>
  <c r="BD35" i="5"/>
  <c r="BD92" i="5" s="1"/>
  <c r="BC35" i="5"/>
  <c r="BC92" i="5" s="1"/>
  <c r="BB35" i="5"/>
  <c r="BB92" i="5" s="1"/>
  <c r="BA35" i="5"/>
  <c r="BA92" i="5" s="1"/>
  <c r="AZ35" i="5"/>
  <c r="AZ92" i="5" s="1"/>
  <c r="AY35" i="5"/>
  <c r="AY92" i="5" s="1"/>
  <c r="AX35" i="5"/>
  <c r="AX92" i="5" s="1"/>
  <c r="AW35" i="5"/>
  <c r="AW92" i="5" s="1"/>
  <c r="AV35" i="5"/>
  <c r="AV92" i="5" s="1"/>
  <c r="AU35" i="5"/>
  <c r="AU92" i="5" s="1"/>
  <c r="AT35" i="5"/>
  <c r="AT92" i="5" s="1"/>
  <c r="AS35" i="5"/>
  <c r="AS92" i="5" s="1"/>
  <c r="AR35" i="5"/>
  <c r="AR92" i="5" s="1"/>
  <c r="AQ35" i="5"/>
  <c r="AQ92" i="5" s="1"/>
  <c r="AP35" i="5"/>
  <c r="AP92" i="5" s="1"/>
  <c r="AO35" i="5"/>
  <c r="AO92" i="5" s="1"/>
  <c r="AN35" i="5"/>
  <c r="AN92" i="5" s="1"/>
  <c r="AM35" i="5"/>
  <c r="AM92" i="5" s="1"/>
  <c r="AL35" i="5"/>
  <c r="AL92" i="5" s="1"/>
  <c r="AK35" i="5"/>
  <c r="AK92" i="5"/>
  <c r="AJ35" i="5"/>
  <c r="AJ92" i="5" s="1"/>
  <c r="AI35" i="5"/>
  <c r="AI92" i="5" s="1"/>
  <c r="AH35" i="5"/>
  <c r="AH92" i="5" s="1"/>
  <c r="AG35" i="5"/>
  <c r="AG92" i="5" s="1"/>
  <c r="AF35" i="5"/>
  <c r="AF92" i="5" s="1"/>
  <c r="AE35" i="5"/>
  <c r="AE92" i="5" s="1"/>
  <c r="AD35" i="5"/>
  <c r="AD92" i="5" s="1"/>
  <c r="AC35" i="5"/>
  <c r="AC92" i="5" s="1"/>
  <c r="AB35" i="5"/>
  <c r="AB92" i="5" s="1"/>
  <c r="AA35" i="5"/>
  <c r="AA92" i="5" s="1"/>
  <c r="Z35" i="5"/>
  <c r="Z92" i="5" s="1"/>
  <c r="Y35" i="5"/>
  <c r="Y92" i="5" s="1"/>
  <c r="X35" i="5"/>
  <c r="X92" i="5" s="1"/>
  <c r="W35" i="5"/>
  <c r="W92" i="5" s="1"/>
  <c r="V35" i="5"/>
  <c r="V92" i="5" s="1"/>
  <c r="U35" i="5"/>
  <c r="U92" i="5" s="1"/>
  <c r="T35" i="5"/>
  <c r="T92" i="5" s="1"/>
  <c r="S35" i="5"/>
  <c r="S92" i="5" s="1"/>
  <c r="R35" i="5"/>
  <c r="R92" i="5" s="1"/>
  <c r="Q35" i="5"/>
  <c r="Q92" i="5" s="1"/>
  <c r="P35" i="5"/>
  <c r="P92" i="5" s="1"/>
  <c r="O35" i="5"/>
  <c r="O92" i="5" s="1"/>
  <c r="N35" i="5"/>
  <c r="N92" i="5" s="1"/>
  <c r="M35" i="5"/>
  <c r="M92" i="5" s="1"/>
  <c r="L35" i="5"/>
  <c r="L92" i="5" s="1"/>
  <c r="K35" i="5"/>
  <c r="K92" i="5" s="1"/>
  <c r="J35" i="5"/>
  <c r="J92" i="5" s="1"/>
  <c r="I35" i="5"/>
  <c r="H35" i="5"/>
  <c r="H92" i="5" s="1"/>
  <c r="G35" i="5"/>
  <c r="G92" i="5" s="1"/>
  <c r="F35" i="5"/>
  <c r="F92" i="5" s="1"/>
  <c r="E35" i="5"/>
  <c r="E92" i="5" s="1"/>
  <c r="D35" i="5"/>
  <c r="C35" i="5"/>
  <c r="C92" i="5" s="1"/>
  <c r="BQ33" i="5"/>
  <c r="BQ90" i="5" s="1"/>
  <c r="BP33" i="5"/>
  <c r="BP90" i="5" s="1"/>
  <c r="BO33" i="5"/>
  <c r="BN33" i="5"/>
  <c r="BM33" i="5"/>
  <c r="BL33" i="5"/>
  <c r="BK33" i="5"/>
  <c r="BJ33" i="5"/>
  <c r="BI33" i="5"/>
  <c r="BH33" i="5"/>
  <c r="BG33" i="5"/>
  <c r="BF33" i="5"/>
  <c r="BE33" i="5"/>
  <c r="BD33" i="5"/>
  <c r="BC33" i="5"/>
  <c r="BB33" i="5"/>
  <c r="BA33" i="5"/>
  <c r="AZ33" i="5"/>
  <c r="AY33" i="5"/>
  <c r="AY90" i="5" s="1"/>
  <c r="AX33" i="5"/>
  <c r="AX90" i="5" s="1"/>
  <c r="AW33" i="5"/>
  <c r="AV33" i="5"/>
  <c r="AU33" i="5"/>
  <c r="AT33" i="5"/>
  <c r="AS33" i="5"/>
  <c r="AR33" i="5"/>
  <c r="AQ33" i="5"/>
  <c r="AQ34" i="5" s="1"/>
  <c r="AQ91" i="5" s="1"/>
  <c r="AP33" i="5"/>
  <c r="AO33" i="5"/>
  <c r="AN33" i="5"/>
  <c r="AM33" i="5"/>
  <c r="AM90" i="5" s="1"/>
  <c r="AL33" i="5"/>
  <c r="AK33" i="5"/>
  <c r="AJ33" i="5"/>
  <c r="AI33" i="5"/>
  <c r="AI90" i="5" s="1"/>
  <c r="AH33" i="5"/>
  <c r="AG33" i="5"/>
  <c r="AF33" i="5"/>
  <c r="AE33" i="5"/>
  <c r="AD33" i="5"/>
  <c r="AD34" i="5" s="1"/>
  <c r="AD91" i="5" s="1"/>
  <c r="AC33" i="5"/>
  <c r="AB33" i="5"/>
  <c r="AA33" i="5"/>
  <c r="Z33" i="5"/>
  <c r="Y33" i="5"/>
  <c r="X33" i="5"/>
  <c r="W33" i="5"/>
  <c r="V33" i="5"/>
  <c r="U33" i="5"/>
  <c r="T33" i="5"/>
  <c r="S33" i="5"/>
  <c r="R33" i="5"/>
  <c r="Q33" i="5"/>
  <c r="P33" i="5"/>
  <c r="O33" i="5"/>
  <c r="N33" i="5"/>
  <c r="N34" i="5" s="1"/>
  <c r="N91" i="5" s="1"/>
  <c r="M33" i="5"/>
  <c r="L33" i="5"/>
  <c r="L34" i="5" s="1"/>
  <c r="L91" i="5" s="1"/>
  <c r="K33" i="5"/>
  <c r="J46" i="10" s="1"/>
  <c r="J33" i="5"/>
  <c r="I33" i="5"/>
  <c r="H33" i="5"/>
  <c r="G46" i="10" s="1"/>
  <c r="G33" i="5"/>
  <c r="F33" i="5"/>
  <c r="E33" i="5"/>
  <c r="E90" i="5" s="1"/>
  <c r="D33" i="5"/>
  <c r="C33" i="5"/>
  <c r="C34" i="5" s="1"/>
  <c r="C91" i="5" s="1"/>
  <c r="AH32" i="5"/>
  <c r="AH89" i="5" s="1"/>
  <c r="AG32" i="5"/>
  <c r="AG89" i="5" s="1"/>
  <c r="AF32" i="5"/>
  <c r="AF89" i="5" s="1"/>
  <c r="AE32" i="5"/>
  <c r="AE89" i="5" s="1"/>
  <c r="AD32" i="5"/>
  <c r="AD89" i="5" s="1"/>
  <c r="AC32" i="5"/>
  <c r="AC89" i="5" s="1"/>
  <c r="AB32" i="5"/>
  <c r="AB89" i="5" s="1"/>
  <c r="AA32" i="5"/>
  <c r="AA89" i="5" s="1"/>
  <c r="Z32" i="5"/>
  <c r="Z89" i="5" s="1"/>
  <c r="Y32" i="5"/>
  <c r="Y89" i="5" s="1"/>
  <c r="X32" i="5"/>
  <c r="X89" i="5" s="1"/>
  <c r="W32" i="5"/>
  <c r="W89" i="5" s="1"/>
  <c r="V32" i="5"/>
  <c r="V89" i="5"/>
  <c r="U32" i="5"/>
  <c r="U89" i="5" s="1"/>
  <c r="T32" i="5"/>
  <c r="T89" i="5" s="1"/>
  <c r="S32" i="5"/>
  <c r="R32" i="5"/>
  <c r="R89" i="5" s="1"/>
  <c r="Q32" i="5"/>
  <c r="Q89" i="5" s="1"/>
  <c r="P32" i="5"/>
  <c r="P89" i="5" s="1"/>
  <c r="O32" i="5"/>
  <c r="O89" i="5" s="1"/>
  <c r="N32" i="5"/>
  <c r="M32" i="5"/>
  <c r="M89" i="5"/>
  <c r="L32" i="5"/>
  <c r="L89" i="5" s="1"/>
  <c r="K32" i="5"/>
  <c r="K89" i="5" s="1"/>
  <c r="C30" i="5"/>
  <c r="BQ29" i="5"/>
  <c r="BQ86" i="5" s="1"/>
  <c r="BP29" i="5"/>
  <c r="BP86" i="5" s="1"/>
  <c r="BO29" i="5"/>
  <c r="BO86" i="5" s="1"/>
  <c r="BN29" i="5"/>
  <c r="BN86" i="5" s="1"/>
  <c r="BM29" i="5"/>
  <c r="BM86" i="5" s="1"/>
  <c r="BL29" i="5"/>
  <c r="BL86" i="5" s="1"/>
  <c r="BK29" i="5"/>
  <c r="BK86" i="5" s="1"/>
  <c r="BJ29" i="5"/>
  <c r="BJ86" i="5" s="1"/>
  <c r="BI29" i="5"/>
  <c r="BH29" i="5"/>
  <c r="BH86" i="5" s="1"/>
  <c r="BG29" i="5"/>
  <c r="BG86" i="5" s="1"/>
  <c r="BF29" i="5"/>
  <c r="BF86" i="5" s="1"/>
  <c r="BE29" i="5"/>
  <c r="BE86" i="5" s="1"/>
  <c r="BD29" i="5"/>
  <c r="BD86" i="5" s="1"/>
  <c r="BC29" i="5"/>
  <c r="BC86" i="5" s="1"/>
  <c r="BB29" i="5"/>
  <c r="BB86" i="5" s="1"/>
  <c r="BA29" i="5"/>
  <c r="BA86" i="5" s="1"/>
  <c r="AZ29" i="5"/>
  <c r="AZ86" i="5" s="1"/>
  <c r="AY29" i="5"/>
  <c r="AY86" i="5" s="1"/>
  <c r="AX29" i="5"/>
  <c r="AX86" i="5" s="1"/>
  <c r="AW29" i="5"/>
  <c r="AW86" i="5" s="1"/>
  <c r="AV29" i="5"/>
  <c r="AV86" i="5" s="1"/>
  <c r="AU29" i="5"/>
  <c r="AU86" i="5" s="1"/>
  <c r="AT29" i="5"/>
  <c r="AT86" i="5" s="1"/>
  <c r="AS29" i="5"/>
  <c r="AS86" i="5" s="1"/>
  <c r="AR29" i="5"/>
  <c r="AR86" i="5" s="1"/>
  <c r="AQ29" i="5"/>
  <c r="AQ86" i="5" s="1"/>
  <c r="AP29" i="5"/>
  <c r="AP86" i="5" s="1"/>
  <c r="AO29" i="5"/>
  <c r="AO86" i="5" s="1"/>
  <c r="AN29" i="5"/>
  <c r="AN86" i="5" s="1"/>
  <c r="AM29" i="5"/>
  <c r="AM86" i="5" s="1"/>
  <c r="AL29" i="5"/>
  <c r="AL86" i="5" s="1"/>
  <c r="AK29" i="5"/>
  <c r="AK86" i="5" s="1"/>
  <c r="AJ29" i="5"/>
  <c r="AJ86" i="5" s="1"/>
  <c r="AI29" i="5"/>
  <c r="AI86" i="5" s="1"/>
  <c r="AH29" i="5"/>
  <c r="AH86" i="5" s="1"/>
  <c r="AG29" i="5"/>
  <c r="AG86" i="5" s="1"/>
  <c r="AF29" i="5"/>
  <c r="AF86" i="5" s="1"/>
  <c r="AE29" i="5"/>
  <c r="AE86" i="5" s="1"/>
  <c r="AD29" i="5"/>
  <c r="AD86" i="5" s="1"/>
  <c r="AC29" i="5"/>
  <c r="AC86" i="5" s="1"/>
  <c r="AB29" i="5"/>
  <c r="AA29" i="5"/>
  <c r="AA86" i="5" s="1"/>
  <c r="Z29" i="5"/>
  <c r="Z86" i="5" s="1"/>
  <c r="U29" i="5"/>
  <c r="U86" i="5" s="1"/>
  <c r="T29" i="5"/>
  <c r="T86" i="5" s="1"/>
  <c r="S29" i="5"/>
  <c r="S86" i="5" s="1"/>
  <c r="R29" i="5"/>
  <c r="Q29" i="5"/>
  <c r="Q86" i="5" s="1"/>
  <c r="P29" i="5"/>
  <c r="P86" i="5" s="1"/>
  <c r="O29" i="5"/>
  <c r="O86" i="5" s="1"/>
  <c r="N29" i="5"/>
  <c r="N86" i="5" s="1"/>
  <c r="M29" i="5"/>
  <c r="L29" i="5"/>
  <c r="K29" i="5"/>
  <c r="X44" i="10"/>
  <c r="W44" i="10"/>
  <c r="V44" i="10"/>
  <c r="BQ26" i="5"/>
  <c r="BQ83" i="5" s="1"/>
  <c r="BP26" i="5"/>
  <c r="BP83" i="5" s="1"/>
  <c r="BO26" i="5"/>
  <c r="BO83" i="5" s="1"/>
  <c r="BN26" i="5"/>
  <c r="BN83" i="5" s="1"/>
  <c r="BM26" i="5"/>
  <c r="BM83" i="5" s="1"/>
  <c r="BL26" i="5"/>
  <c r="BL83" i="5" s="1"/>
  <c r="BK26" i="5"/>
  <c r="BK83" i="5" s="1"/>
  <c r="BJ26" i="5"/>
  <c r="BJ83" i="5" s="1"/>
  <c r="BI26" i="5"/>
  <c r="BI83" i="5" s="1"/>
  <c r="BH26" i="5"/>
  <c r="BH83" i="5" s="1"/>
  <c r="BG26" i="5"/>
  <c r="BG83" i="5" s="1"/>
  <c r="BF26" i="5"/>
  <c r="BF83" i="5" s="1"/>
  <c r="BE26" i="5"/>
  <c r="BE83" i="5" s="1"/>
  <c r="BD26" i="5"/>
  <c r="BD83" i="5" s="1"/>
  <c r="BC26" i="5"/>
  <c r="BC83" i="5" s="1"/>
  <c r="BB26" i="5"/>
  <c r="BB83" i="5" s="1"/>
  <c r="BA26" i="5"/>
  <c r="BA83" i="5" s="1"/>
  <c r="AZ26" i="5"/>
  <c r="AZ83" i="5" s="1"/>
  <c r="AY26" i="5"/>
  <c r="AY83" i="5" s="1"/>
  <c r="AX26" i="5"/>
  <c r="AX83" i="5" s="1"/>
  <c r="AW26" i="5"/>
  <c r="AW83" i="5" s="1"/>
  <c r="AV26" i="5"/>
  <c r="AV83" i="5" s="1"/>
  <c r="AU26" i="5"/>
  <c r="AU83" i="5" s="1"/>
  <c r="AT26" i="5"/>
  <c r="AT83" i="5" s="1"/>
  <c r="AS26" i="5"/>
  <c r="AS83" i="5" s="1"/>
  <c r="AR26" i="5"/>
  <c r="AR83" i="5" s="1"/>
  <c r="AQ26" i="5"/>
  <c r="AQ83" i="5" s="1"/>
  <c r="AP26" i="5"/>
  <c r="AP83" i="5" s="1"/>
  <c r="AO26" i="5"/>
  <c r="AO83" i="5" s="1"/>
  <c r="AN26" i="5"/>
  <c r="AN83" i="5" s="1"/>
  <c r="AM83" i="5"/>
  <c r="AL26" i="5"/>
  <c r="AL83" i="5" s="1"/>
  <c r="AK83" i="5"/>
  <c r="AJ83" i="5"/>
  <c r="AI26" i="5"/>
  <c r="AI83" i="5" s="1"/>
  <c r="AH26" i="5"/>
  <c r="AH83" i="5" s="1"/>
  <c r="AG26" i="5"/>
  <c r="AF26" i="5"/>
  <c r="AF83" i="5" s="1"/>
  <c r="AE26" i="5"/>
  <c r="AE83" i="5" s="1"/>
  <c r="AD26" i="5"/>
  <c r="AD83" i="5" s="1"/>
  <c r="AC26" i="5"/>
  <c r="AC83" i="5" s="1"/>
  <c r="AB26" i="5"/>
  <c r="AB83" i="5" s="1"/>
  <c r="AA26" i="5"/>
  <c r="AA83" i="5" s="1"/>
  <c r="Z26" i="5"/>
  <c r="Z83" i="5" s="1"/>
  <c r="Y26" i="5"/>
  <c r="Y83" i="5"/>
  <c r="X26" i="5"/>
  <c r="X83" i="5" s="1"/>
  <c r="W26" i="5"/>
  <c r="W83" i="5" s="1"/>
  <c r="U26" i="5"/>
  <c r="U83" i="5" s="1"/>
  <c r="T26" i="5"/>
  <c r="T83" i="5" s="1"/>
  <c r="S26" i="5"/>
  <c r="S83" i="5" s="1"/>
  <c r="R26" i="5"/>
  <c r="R83" i="5" s="1"/>
  <c r="Q26" i="5"/>
  <c r="Q83" i="5" s="1"/>
  <c r="P26" i="5"/>
  <c r="P83" i="5" s="1"/>
  <c r="O26" i="5"/>
  <c r="O83" i="5" s="1"/>
  <c r="N26" i="5"/>
  <c r="N83" i="5" s="1"/>
  <c r="M26" i="5"/>
  <c r="M86" i="5" s="1"/>
  <c r="L26" i="5"/>
  <c r="L86" i="5" s="1"/>
  <c r="K26" i="5"/>
  <c r="K83" i="5" s="1"/>
  <c r="BQ23" i="5"/>
  <c r="BQ80" i="5" s="1"/>
  <c r="BP23" i="5"/>
  <c r="BP80" i="5" s="1"/>
  <c r="BO23" i="5"/>
  <c r="BO80" i="5" s="1"/>
  <c r="BN23" i="5"/>
  <c r="BN80" i="5" s="1"/>
  <c r="BM23" i="5"/>
  <c r="BM80" i="5" s="1"/>
  <c r="BL23" i="5"/>
  <c r="BL80" i="5" s="1"/>
  <c r="BK23" i="5"/>
  <c r="BK80" i="5" s="1"/>
  <c r="BJ23" i="5"/>
  <c r="BJ80" i="5" s="1"/>
  <c r="BI23" i="5"/>
  <c r="BI80" i="5" s="1"/>
  <c r="BH23" i="5"/>
  <c r="BH80" i="5" s="1"/>
  <c r="BG23" i="5"/>
  <c r="BG80" i="5" s="1"/>
  <c r="BF23" i="5"/>
  <c r="BF80" i="5" s="1"/>
  <c r="BE23" i="5"/>
  <c r="BE80" i="5" s="1"/>
  <c r="BD23" i="5"/>
  <c r="BD80" i="5" s="1"/>
  <c r="BC23" i="5"/>
  <c r="BC80" i="5" s="1"/>
  <c r="BB23" i="5"/>
  <c r="BB80" i="5" s="1"/>
  <c r="BA80" i="5"/>
  <c r="AZ80" i="5"/>
  <c r="AY80" i="5"/>
  <c r="AX80" i="5"/>
  <c r="AW23" i="5"/>
  <c r="AW80" i="5" s="1"/>
  <c r="AV23" i="5"/>
  <c r="AV80" i="5" s="1"/>
  <c r="AU23" i="5"/>
  <c r="AU80" i="5" s="1"/>
  <c r="AT23" i="5"/>
  <c r="AT80" i="5" s="1"/>
  <c r="AS23" i="5"/>
  <c r="AS80" i="5" s="1"/>
  <c r="AR23" i="5"/>
  <c r="AR80" i="5" s="1"/>
  <c r="AQ23" i="5"/>
  <c r="AN80" i="5"/>
  <c r="AM80" i="5"/>
  <c r="AB23" i="5"/>
  <c r="AB80" i="5" s="1"/>
  <c r="AA23" i="5"/>
  <c r="AA80" i="5"/>
  <c r="Z23" i="5"/>
  <c r="Z80" i="5" s="1"/>
  <c r="Y23" i="5"/>
  <c r="Y80" i="5" s="1"/>
  <c r="W23" i="5"/>
  <c r="W80" i="5" s="1"/>
  <c r="V23" i="5"/>
  <c r="V80" i="5" s="1"/>
  <c r="U23" i="5"/>
  <c r="U80" i="5" s="1"/>
  <c r="T23" i="5"/>
  <c r="S23" i="5"/>
  <c r="S80" i="5" s="1"/>
  <c r="R23" i="5"/>
  <c r="R80" i="5" s="1"/>
  <c r="Q23" i="5"/>
  <c r="Q80" i="5" s="1"/>
  <c r="P23" i="5"/>
  <c r="P80" i="5" s="1"/>
  <c r="O23" i="5"/>
  <c r="O80" i="5" s="1"/>
  <c r="N23" i="5"/>
  <c r="N80" i="5" s="1"/>
  <c r="M23" i="5"/>
  <c r="M80" i="5" s="1"/>
  <c r="L23" i="5"/>
  <c r="K23" i="5"/>
  <c r="BQ20" i="5"/>
  <c r="BQ77" i="5" s="1"/>
  <c r="BP20" i="5"/>
  <c r="BP77" i="5" s="1"/>
  <c r="BO20" i="5"/>
  <c r="BO77" i="5"/>
  <c r="BN20" i="5"/>
  <c r="BN77" i="5" s="1"/>
  <c r="BM20" i="5"/>
  <c r="BM77" i="5" s="1"/>
  <c r="BL20" i="5"/>
  <c r="BK20" i="5"/>
  <c r="BK77" i="5"/>
  <c r="BJ20" i="5"/>
  <c r="BI20" i="5"/>
  <c r="BI77" i="5" s="1"/>
  <c r="BH20" i="5"/>
  <c r="BF20" i="5"/>
  <c r="BF77" i="5" s="1"/>
  <c r="BE20" i="5"/>
  <c r="BE77" i="5" s="1"/>
  <c r="BD20" i="5"/>
  <c r="BD77" i="5" s="1"/>
  <c r="BC20" i="5"/>
  <c r="BC77" i="5" s="1"/>
  <c r="BB20" i="5"/>
  <c r="BB77" i="5" s="1"/>
  <c r="BA20" i="5"/>
  <c r="BA77" i="5" s="1"/>
  <c r="AZ20" i="5"/>
  <c r="AZ77" i="5" s="1"/>
  <c r="AY20" i="5"/>
  <c r="AY77" i="5" s="1"/>
  <c r="AX20" i="5"/>
  <c r="AX77" i="5" s="1"/>
  <c r="AW20" i="5"/>
  <c r="AW77" i="5" s="1"/>
  <c r="AV20" i="5"/>
  <c r="AU20" i="5"/>
  <c r="AU77" i="5" s="1"/>
  <c r="AT20" i="5"/>
  <c r="AT77" i="5" s="1"/>
  <c r="AS20" i="5"/>
  <c r="AS77" i="5" s="1"/>
  <c r="AR20" i="5"/>
  <c r="AR77" i="5" s="1"/>
  <c r="AQ20" i="5"/>
  <c r="AQ77" i="5" s="1"/>
  <c r="AP20" i="5"/>
  <c r="AP77" i="5" s="1"/>
  <c r="AO20" i="5"/>
  <c r="AO77" i="5" s="1"/>
  <c r="AN77" i="5"/>
  <c r="AM77" i="5"/>
  <c r="AL77" i="5"/>
  <c r="AK20" i="5"/>
  <c r="AK77" i="5" s="1"/>
  <c r="AB20" i="5"/>
  <c r="AA20" i="5"/>
  <c r="Z20" i="5"/>
  <c r="Z77" i="5" s="1"/>
  <c r="Y20" i="5"/>
  <c r="Y77" i="5" s="1"/>
  <c r="X20" i="5"/>
  <c r="X77" i="5" s="1"/>
  <c r="W20" i="5"/>
  <c r="W77" i="5"/>
  <c r="V20" i="5"/>
  <c r="V77" i="5" s="1"/>
  <c r="U20" i="5"/>
  <c r="U77" i="5" s="1"/>
  <c r="T20" i="5"/>
  <c r="T77" i="5" s="1"/>
  <c r="S20" i="5"/>
  <c r="S77" i="5" s="1"/>
  <c r="R20" i="5"/>
  <c r="R77" i="5" s="1"/>
  <c r="Q20" i="5"/>
  <c r="Q77" i="5" s="1"/>
  <c r="P20" i="5"/>
  <c r="P77" i="5" s="1"/>
  <c r="O20" i="5"/>
  <c r="O77" i="5" s="1"/>
  <c r="N20" i="5"/>
  <c r="N77" i="5" s="1"/>
  <c r="M20" i="5"/>
  <c r="M77" i="5" s="1"/>
  <c r="L20" i="5"/>
  <c r="L77" i="5" s="1"/>
  <c r="K20" i="5"/>
  <c r="BQ17" i="5"/>
  <c r="BQ74" i="5" s="1"/>
  <c r="BP17" i="5"/>
  <c r="BP74" i="5" s="1"/>
  <c r="BO17" i="5"/>
  <c r="BO74" i="5" s="1"/>
  <c r="BN17" i="5"/>
  <c r="BM17" i="5"/>
  <c r="BM74" i="5" s="1"/>
  <c r="BL17" i="5"/>
  <c r="BL74" i="5" s="1"/>
  <c r="BK17" i="5"/>
  <c r="BK74" i="5" s="1"/>
  <c r="BJ17" i="5"/>
  <c r="BJ74" i="5" s="1"/>
  <c r="BI17" i="5"/>
  <c r="BI74" i="5" s="1"/>
  <c r="BH17" i="5"/>
  <c r="BH74" i="5" s="1"/>
  <c r="BG17" i="5"/>
  <c r="BG74" i="5" s="1"/>
  <c r="BF17" i="5"/>
  <c r="BF74" i="5" s="1"/>
  <c r="BE17" i="5"/>
  <c r="BE74" i="5" s="1"/>
  <c r="BD17" i="5"/>
  <c r="BD74" i="5" s="1"/>
  <c r="BC17" i="5"/>
  <c r="BC74" i="5" s="1"/>
  <c r="BB17" i="5"/>
  <c r="BB74" i="5" s="1"/>
  <c r="BA17" i="5"/>
  <c r="BA74" i="5" s="1"/>
  <c r="AZ17" i="5"/>
  <c r="AZ74" i="5" s="1"/>
  <c r="AY17" i="5"/>
  <c r="AY74" i="5" s="1"/>
  <c r="AX17" i="5"/>
  <c r="AX74" i="5" s="1"/>
  <c r="AW17" i="5"/>
  <c r="AW74" i="5" s="1"/>
  <c r="AV17" i="5"/>
  <c r="AV74" i="5" s="1"/>
  <c r="AU17" i="5"/>
  <c r="AU74" i="5" s="1"/>
  <c r="AT17" i="5"/>
  <c r="AT74" i="5" s="1"/>
  <c r="AS17" i="5"/>
  <c r="AS74" i="5" s="1"/>
  <c r="AR17" i="5"/>
  <c r="AR74" i="5" s="1"/>
  <c r="AQ17" i="5"/>
  <c r="AQ74" i="5" s="1"/>
  <c r="AP17" i="5"/>
  <c r="AP74" i="5" s="1"/>
  <c r="AO17" i="5"/>
  <c r="AO74" i="5" s="1"/>
  <c r="AN17" i="5"/>
  <c r="AN74" i="5" s="1"/>
  <c r="AM17" i="5"/>
  <c r="AM74" i="5" s="1"/>
  <c r="AL17" i="5"/>
  <c r="AL74" i="5" s="1"/>
  <c r="AK17" i="5"/>
  <c r="AK74" i="5" s="1"/>
  <c r="AJ17" i="5"/>
  <c r="AJ74" i="5" s="1"/>
  <c r="AI17" i="5"/>
  <c r="AI74" i="5" s="1"/>
  <c r="AH17" i="5"/>
  <c r="AH74" i="5" s="1"/>
  <c r="AG74" i="5"/>
  <c r="AF17" i="5"/>
  <c r="AF74" i="5" s="1"/>
  <c r="AE17" i="5"/>
  <c r="AE74" i="5" s="1"/>
  <c r="AD17" i="5"/>
  <c r="AD74" i="5" s="1"/>
  <c r="AC17" i="5"/>
  <c r="AC74" i="5" s="1"/>
  <c r="AB17" i="5"/>
  <c r="AB74" i="5" s="1"/>
  <c r="AA17" i="5"/>
  <c r="AA74" i="5" s="1"/>
  <c r="Z17" i="5"/>
  <c r="Z74" i="5" s="1"/>
  <c r="Y17" i="5"/>
  <c r="Y74" i="5" s="1"/>
  <c r="X17" i="5"/>
  <c r="X74" i="5" s="1"/>
  <c r="W17" i="5"/>
  <c r="W74" i="5" s="1"/>
  <c r="V17" i="5"/>
  <c r="V74" i="5" s="1"/>
  <c r="U17" i="5"/>
  <c r="T17" i="5"/>
  <c r="T74" i="5" s="1"/>
  <c r="S17" i="5"/>
  <c r="S74" i="5" s="1"/>
  <c r="R17" i="5"/>
  <c r="R74" i="5" s="1"/>
  <c r="Q17" i="5"/>
  <c r="P17" i="5"/>
  <c r="O17" i="5"/>
  <c r="O74" i="5" s="1"/>
  <c r="N17" i="5"/>
  <c r="M17" i="5"/>
  <c r="M74" i="5" s="1"/>
  <c r="L17" i="5"/>
  <c r="L74" i="5" s="1"/>
  <c r="K17" i="5"/>
  <c r="K74" i="5" s="1"/>
  <c r="J17" i="5"/>
  <c r="J74" i="5" s="1"/>
  <c r="C15" i="5"/>
  <c r="BQ14" i="5"/>
  <c r="BQ71" i="5" s="1"/>
  <c r="BP14" i="5"/>
  <c r="BO14" i="5"/>
  <c r="BO71" i="5" s="1"/>
  <c r="BN14" i="5"/>
  <c r="BN71" i="5" s="1"/>
  <c r="BM14" i="5"/>
  <c r="BM71" i="5" s="1"/>
  <c r="BL14" i="5"/>
  <c r="BL71" i="5" s="1"/>
  <c r="BK14" i="5"/>
  <c r="BK71" i="5" s="1"/>
  <c r="BJ14" i="5"/>
  <c r="BJ71" i="5" s="1"/>
  <c r="BI14" i="5"/>
  <c r="BI71" i="5" s="1"/>
  <c r="BH14" i="5"/>
  <c r="BH71" i="5" s="1"/>
  <c r="BG14" i="5"/>
  <c r="BG71" i="5" s="1"/>
  <c r="BF14" i="5"/>
  <c r="BF71" i="5" s="1"/>
  <c r="BE14" i="5"/>
  <c r="BD14" i="5"/>
  <c r="BD71" i="5"/>
  <c r="BC14" i="5"/>
  <c r="BC71" i="5" s="1"/>
  <c r="BB14" i="5"/>
  <c r="BB71" i="5" s="1"/>
  <c r="BA14" i="5"/>
  <c r="AZ14" i="5"/>
  <c r="AY14" i="5"/>
  <c r="AY71" i="5" s="1"/>
  <c r="AX14" i="5"/>
  <c r="AW14" i="5"/>
  <c r="AW71" i="5" s="1"/>
  <c r="AV14" i="5"/>
  <c r="AV71" i="5" s="1"/>
  <c r="AU71" i="5"/>
  <c r="AT14" i="5"/>
  <c r="AS14" i="5"/>
  <c r="AS71" i="5" s="1"/>
  <c r="AR14" i="5"/>
  <c r="AR71" i="5" s="1"/>
  <c r="AQ14" i="5"/>
  <c r="AP14" i="5"/>
  <c r="AP71" i="5" s="1"/>
  <c r="AO14" i="5"/>
  <c r="AO71" i="5" s="1"/>
  <c r="AN14" i="5"/>
  <c r="AN71" i="5" s="1"/>
  <c r="AM14" i="5"/>
  <c r="AM71" i="5" s="1"/>
  <c r="AL14" i="5"/>
  <c r="AL71" i="5" s="1"/>
  <c r="AK14" i="5"/>
  <c r="AK71" i="5" s="1"/>
  <c r="AJ71" i="5"/>
  <c r="AI71" i="5"/>
  <c r="AF71" i="5"/>
  <c r="AE14" i="5"/>
  <c r="AE71" i="5" s="1"/>
  <c r="AD14" i="5"/>
  <c r="AD71" i="5" s="1"/>
  <c r="AC14" i="5"/>
  <c r="AC71" i="5" s="1"/>
  <c r="AB14" i="5"/>
  <c r="AB71" i="5" s="1"/>
  <c r="AA14" i="5"/>
  <c r="AA71" i="5"/>
  <c r="Z14" i="5"/>
  <c r="Z71" i="5" s="1"/>
  <c r="Y14" i="5"/>
  <c r="Y71" i="5"/>
  <c r="X14" i="5"/>
  <c r="X71" i="5" s="1"/>
  <c r="W14" i="5"/>
  <c r="V14" i="5"/>
  <c r="V71" i="5" s="1"/>
  <c r="U14" i="5"/>
  <c r="U71" i="5" s="1"/>
  <c r="T14" i="5"/>
  <c r="T71" i="5" s="1"/>
  <c r="S14" i="5"/>
  <c r="S71" i="5" s="1"/>
  <c r="R14" i="5"/>
  <c r="Q14" i="5"/>
  <c r="Q71" i="5" s="1"/>
  <c r="P14" i="5"/>
  <c r="P71" i="5" s="1"/>
  <c r="O14" i="5"/>
  <c r="N14" i="5"/>
  <c r="N71" i="5" s="1"/>
  <c r="M14" i="5"/>
  <c r="L14" i="5"/>
  <c r="L71" i="5" s="1"/>
  <c r="K14" i="5"/>
  <c r="K71" i="5" s="1"/>
  <c r="J14" i="5"/>
  <c r="BN69" i="5"/>
  <c r="BQ11" i="5"/>
  <c r="BP11" i="5"/>
  <c r="BP68" i="5" s="1"/>
  <c r="BO11" i="5"/>
  <c r="BO68" i="5" s="1"/>
  <c r="BM11" i="5"/>
  <c r="BM68" i="5" s="1"/>
  <c r="BL11" i="5"/>
  <c r="BL68" i="5" s="1"/>
  <c r="BK11" i="5"/>
  <c r="BK68" i="5" s="1"/>
  <c r="BJ11" i="5"/>
  <c r="BJ68" i="5" s="1"/>
  <c r="BI11" i="5"/>
  <c r="BI68" i="5" s="1"/>
  <c r="BH11" i="5"/>
  <c r="BH68" i="5" s="1"/>
  <c r="BF11" i="5"/>
  <c r="BE11" i="5"/>
  <c r="BE68" i="5" s="1"/>
  <c r="BD11" i="5"/>
  <c r="BD68" i="5" s="1"/>
  <c r="BC11" i="5"/>
  <c r="BC68" i="5" s="1"/>
  <c r="BB11" i="5"/>
  <c r="BB68" i="5" s="1"/>
  <c r="BA11" i="5"/>
  <c r="BA68" i="5" s="1"/>
  <c r="AZ11" i="5"/>
  <c r="AZ68" i="5" s="1"/>
  <c r="AY11" i="5"/>
  <c r="AY68" i="5" s="1"/>
  <c r="AX11" i="5"/>
  <c r="AX68" i="5" s="1"/>
  <c r="AW11" i="5"/>
  <c r="AW68" i="5" s="1"/>
  <c r="AV11" i="5"/>
  <c r="AV68" i="5" s="1"/>
  <c r="AU11" i="5"/>
  <c r="AU68" i="5" s="1"/>
  <c r="AT11" i="5"/>
  <c r="AT68" i="5" s="1"/>
  <c r="AS11" i="5"/>
  <c r="AR11" i="5"/>
  <c r="AR68" i="5" s="1"/>
  <c r="AQ11" i="5"/>
  <c r="AQ68" i="5" s="1"/>
  <c r="AP11" i="5"/>
  <c r="AP68" i="5" s="1"/>
  <c r="AB11" i="5"/>
  <c r="AB68" i="5" s="1"/>
  <c r="AA11" i="5"/>
  <c r="AA68" i="5" s="1"/>
  <c r="Z11" i="5"/>
  <c r="Y11" i="5"/>
  <c r="Y68" i="5" s="1"/>
  <c r="X11" i="5"/>
  <c r="X68" i="5" s="1"/>
  <c r="W11" i="5"/>
  <c r="W68" i="5" s="1"/>
  <c r="V11" i="5"/>
  <c r="V68" i="5" s="1"/>
  <c r="U11" i="5"/>
  <c r="U68" i="5" s="1"/>
  <c r="S11" i="5"/>
  <c r="S68" i="5" s="1"/>
  <c r="R11" i="5"/>
  <c r="R68" i="5" s="1"/>
  <c r="Q11" i="5"/>
  <c r="Q68" i="5" s="1"/>
  <c r="P11" i="5"/>
  <c r="P68" i="5" s="1"/>
  <c r="O11" i="5"/>
  <c r="O68" i="5" s="1"/>
  <c r="N11" i="5"/>
  <c r="N68" i="5" s="1"/>
  <c r="M11" i="5"/>
  <c r="M68" i="5"/>
  <c r="L11" i="5"/>
  <c r="L68" i="5" s="1"/>
  <c r="K11" i="5"/>
  <c r="K68" i="5" s="1"/>
  <c r="I8" i="5"/>
  <c r="I65" i="5" s="1"/>
  <c r="H8" i="5"/>
  <c r="H65" i="5" s="1"/>
  <c r="G8" i="5"/>
  <c r="F8" i="5"/>
  <c r="E8" i="5"/>
  <c r="D8" i="5"/>
  <c r="D65" i="5" s="1"/>
  <c r="BQ6" i="5"/>
  <c r="BQ63" i="5" s="1"/>
  <c r="BP4" i="10" s="1"/>
  <c r="BP6" i="5"/>
  <c r="BP63" i="5" s="1"/>
  <c r="BO6" i="5"/>
  <c r="BM6" i="5"/>
  <c r="BL6" i="5"/>
  <c r="BL7" i="5" s="1"/>
  <c r="BL64" i="5" s="1"/>
  <c r="BK6" i="5"/>
  <c r="BJ6" i="5"/>
  <c r="BI6" i="5"/>
  <c r="BI63" i="5" s="1"/>
  <c r="BH6" i="5"/>
  <c r="BF6" i="5"/>
  <c r="BF63" i="5" s="1"/>
  <c r="BE6" i="5"/>
  <c r="BD6" i="5"/>
  <c r="BD63" i="5" s="1"/>
  <c r="BC6" i="5"/>
  <c r="BB6" i="5"/>
  <c r="BA6" i="5"/>
  <c r="AZ6" i="5"/>
  <c r="AZ63" i="5" s="1"/>
  <c r="AY6" i="5"/>
  <c r="AY63" i="5" s="1"/>
  <c r="AX6" i="5"/>
  <c r="AX63" i="5" s="1"/>
  <c r="AW6" i="5"/>
  <c r="AW3" i="5" s="1"/>
  <c r="AW60" i="5" s="1"/>
  <c r="AV6" i="5"/>
  <c r="AV63" i="5" s="1"/>
  <c r="AU6" i="5"/>
  <c r="AU3" i="5" s="1"/>
  <c r="AU60" i="5" s="1"/>
  <c r="AT6" i="5"/>
  <c r="AT63" i="5" s="1"/>
  <c r="AS6" i="5"/>
  <c r="AR6" i="5"/>
  <c r="AQ6" i="5"/>
  <c r="AP6" i="5"/>
  <c r="AP63" i="5" s="1"/>
  <c r="AB6" i="5"/>
  <c r="AB63" i="5" s="1"/>
  <c r="AA6" i="5"/>
  <c r="AA7" i="5" s="1"/>
  <c r="AA64" i="5" s="1"/>
  <c r="Z6" i="5"/>
  <c r="Y6" i="5"/>
  <c r="W6" i="5"/>
  <c r="U6" i="5"/>
  <c r="T6" i="5"/>
  <c r="S6" i="5"/>
  <c r="R6" i="5"/>
  <c r="Q6" i="5"/>
  <c r="Q7" i="5" s="1"/>
  <c r="Q64" i="5" s="1"/>
  <c r="P6" i="5"/>
  <c r="O6" i="5"/>
  <c r="O7" i="5" s="1"/>
  <c r="O64" i="5" s="1"/>
  <c r="N6" i="5"/>
  <c r="M6" i="5"/>
  <c r="M63" i="5" s="1"/>
  <c r="L6" i="5"/>
  <c r="K6" i="5"/>
  <c r="K63" i="5" s="1"/>
  <c r="J6" i="5"/>
  <c r="I6" i="5"/>
  <c r="H6" i="5"/>
  <c r="G6" i="5"/>
  <c r="G63" i="5" s="1"/>
  <c r="F55" i="10" s="1"/>
  <c r="F6" i="5"/>
  <c r="E6" i="5"/>
  <c r="E7" i="5" s="1"/>
  <c r="E64" i="5" s="1"/>
  <c r="D6" i="5"/>
  <c r="M33" i="7"/>
  <c r="L33" i="7"/>
  <c r="K33" i="7"/>
  <c r="J33" i="7"/>
  <c r="I33" i="7"/>
  <c r="H33" i="7"/>
  <c r="Q29" i="7"/>
  <c r="B23" i="7"/>
  <c r="F20" i="7"/>
  <c r="E20" i="7"/>
  <c r="D20" i="7"/>
  <c r="C20" i="7"/>
  <c r="C31" i="7" s="1"/>
  <c r="C4" i="7"/>
  <c r="J39" i="3"/>
  <c r="J40" i="3" s="1"/>
  <c r="K41" i="4" s="1"/>
  <c r="K40" i="4" s="1"/>
  <c r="K49" i="4" s="1"/>
  <c r="I39" i="3"/>
  <c r="H39" i="3"/>
  <c r="G39" i="3"/>
  <c r="B39" i="3"/>
  <c r="A39" i="3"/>
  <c r="H38" i="3"/>
  <c r="G38" i="3"/>
  <c r="F38" i="3"/>
  <c r="E38" i="3"/>
  <c r="D38" i="3"/>
  <c r="C38" i="3"/>
  <c r="A38" i="3"/>
  <c r="A37" i="3"/>
  <c r="J36" i="3"/>
  <c r="D15" i="3"/>
  <c r="E15" i="3" s="1"/>
  <c r="B15" i="3"/>
  <c r="F15" i="3" s="1"/>
  <c r="A15" i="3"/>
  <c r="D14" i="3"/>
  <c r="B14" i="3"/>
  <c r="A14" i="3"/>
  <c r="A5" i="12" s="1"/>
  <c r="A9" i="12" s="1"/>
  <c r="B13" i="3"/>
  <c r="A13" i="3"/>
  <c r="AL27" i="6"/>
  <c r="J7" i="3"/>
  <c r="J5" i="3"/>
  <c r="I5" i="3"/>
  <c r="H5" i="3"/>
  <c r="G5" i="3"/>
  <c r="B5" i="3"/>
  <c r="H4" i="3"/>
  <c r="E4" i="3"/>
  <c r="D4" i="3"/>
  <c r="C4" i="3"/>
  <c r="K38" i="4"/>
  <c r="D22" i="4"/>
  <c r="Q209" i="32"/>
  <c r="N209" i="32"/>
  <c r="O209" i="32" s="1"/>
  <c r="AM36" i="43"/>
  <c r="I12" i="25"/>
  <c r="G37" i="31"/>
  <c r="Q195" i="32"/>
  <c r="I30" i="33"/>
  <c r="M30" i="33" s="1"/>
  <c r="I39" i="33"/>
  <c r="I93" i="33"/>
  <c r="M93" i="33" s="1"/>
  <c r="I64" i="35"/>
  <c r="M64" i="35" s="1"/>
  <c r="N64" i="35" s="1"/>
  <c r="O64" i="35" s="1"/>
  <c r="P64" i="35" s="1"/>
  <c r="I33" i="36"/>
  <c r="M33" i="36" s="1"/>
  <c r="I101" i="39"/>
  <c r="M101" i="39" s="1"/>
  <c r="AU6" i="43"/>
  <c r="I18" i="46"/>
  <c r="I50" i="46"/>
  <c r="I144" i="46"/>
  <c r="M144" i="46" s="1"/>
  <c r="M116" i="51"/>
  <c r="M132" i="27"/>
  <c r="N132" i="27" s="1"/>
  <c r="N219" i="32"/>
  <c r="O219" i="32" s="1"/>
  <c r="E9" i="43"/>
  <c r="I64" i="51"/>
  <c r="M64" i="51" s="1"/>
  <c r="J14" i="25"/>
  <c r="K14" i="25" s="1"/>
  <c r="M14" i="25" s="1"/>
  <c r="N14" i="25" s="1"/>
  <c r="N13" i="25" s="1"/>
  <c r="AP4" i="30"/>
  <c r="N184" i="32"/>
  <c r="O184" i="32" s="1"/>
  <c r="I103" i="33"/>
  <c r="M103" i="33" s="1"/>
  <c r="I20" i="35"/>
  <c r="I20" i="46"/>
  <c r="M20" i="46" s="1"/>
  <c r="N20" i="46" s="1"/>
  <c r="I98" i="51"/>
  <c r="M98" i="51" s="1"/>
  <c r="M93" i="20"/>
  <c r="N93" i="20" s="1"/>
  <c r="I31" i="37"/>
  <c r="N148" i="27"/>
  <c r="O148" i="27" s="1"/>
  <c r="P148" i="27" s="1"/>
  <c r="M14" i="28"/>
  <c r="I53" i="33"/>
  <c r="M53" i="33" s="1"/>
  <c r="I96" i="33"/>
  <c r="M96" i="33" s="1"/>
  <c r="AQ8" i="43"/>
  <c r="H35" i="43"/>
  <c r="I101" i="47"/>
  <c r="M122" i="51"/>
  <c r="I33" i="33"/>
  <c r="M33" i="33" s="1"/>
  <c r="I67" i="33"/>
  <c r="M67" i="33" s="1"/>
  <c r="I14" i="35"/>
  <c r="I40" i="36"/>
  <c r="N61" i="39"/>
  <c r="I53" i="46"/>
  <c r="N110" i="48"/>
  <c r="O110" i="48" s="1"/>
  <c r="M68" i="20"/>
  <c r="N68" i="20" s="1"/>
  <c r="M104" i="20"/>
  <c r="N62" i="24"/>
  <c r="M85" i="24"/>
  <c r="I25" i="25"/>
  <c r="I75" i="40"/>
  <c r="M75" i="40"/>
  <c r="BJ36" i="43"/>
  <c r="I23" i="46"/>
  <c r="M23" i="46" s="1"/>
  <c r="BM34" i="5"/>
  <c r="BM91" i="5" s="1"/>
  <c r="I45" i="25"/>
  <c r="M45" i="25" s="1"/>
  <c r="M118" i="27"/>
  <c r="N118" i="27" s="1"/>
  <c r="O118" i="27" s="1"/>
  <c r="P118" i="27" s="1"/>
  <c r="AS7" i="30"/>
  <c r="I34" i="33"/>
  <c r="M34" i="33" s="1"/>
  <c r="I68" i="33"/>
  <c r="M68" i="33" s="1"/>
  <c r="I77" i="33"/>
  <c r="M77" i="33" s="1"/>
  <c r="I92" i="33"/>
  <c r="M118" i="36"/>
  <c r="N118" i="36" s="1"/>
  <c r="AN7" i="43"/>
  <c r="AR11" i="43"/>
  <c r="I52" i="47"/>
  <c r="Q226" i="32"/>
  <c r="A40" i="12"/>
  <c r="Q139" i="32"/>
  <c r="N139" i="32"/>
  <c r="O139" i="32" s="1"/>
  <c r="N199" i="32"/>
  <c r="O199" i="32" s="1"/>
  <c r="N222" i="32"/>
  <c r="O222" i="32" s="1"/>
  <c r="Q222" i="32"/>
  <c r="N71" i="32"/>
  <c r="O71" i="32" s="1"/>
  <c r="Q71" i="32"/>
  <c r="O171" i="32"/>
  <c r="Q171" i="32"/>
  <c r="N223" i="32"/>
  <c r="O223" i="32" s="1"/>
  <c r="A30" i="5"/>
  <c r="I2" i="3" s="1"/>
  <c r="Q55" i="20"/>
  <c r="M108" i="20"/>
  <c r="G2" i="28"/>
  <c r="A23" i="28" s="1"/>
  <c r="M3" i="29"/>
  <c r="I74" i="34"/>
  <c r="M74" i="34"/>
  <c r="N74" i="34" s="1"/>
  <c r="O74" i="34" s="1"/>
  <c r="P74" i="34" s="1"/>
  <c r="I75" i="34"/>
  <c r="M75" i="34" s="1"/>
  <c r="I65" i="34"/>
  <c r="M65" i="34" s="1"/>
  <c r="I51" i="34"/>
  <c r="M51" i="34" s="1"/>
  <c r="I92" i="34"/>
  <c r="M92" i="34" s="1"/>
  <c r="N92" i="34" s="1"/>
  <c r="I25" i="34"/>
  <c r="I100" i="34"/>
  <c r="M100" i="34" s="1"/>
  <c r="I79" i="34"/>
  <c r="M79" i="34" s="1"/>
  <c r="I78" i="34"/>
  <c r="I53" i="34"/>
  <c r="M53" i="34" s="1"/>
  <c r="N53" i="34" s="1"/>
  <c r="O53" i="34" s="1"/>
  <c r="P53" i="34" s="1"/>
  <c r="N58" i="47"/>
  <c r="M46" i="27"/>
  <c r="N46" i="27" s="1"/>
  <c r="L14" i="28"/>
  <c r="AN36" i="30"/>
  <c r="M165" i="32"/>
  <c r="I125" i="34"/>
  <c r="M125" i="34" s="1"/>
  <c r="N125" i="34" s="1"/>
  <c r="I30" i="34"/>
  <c r="I152" i="35"/>
  <c r="M152" i="35" s="1"/>
  <c r="I115" i="35"/>
  <c r="M115" i="35" s="1"/>
  <c r="N115" i="35" s="1"/>
  <c r="I114" i="35"/>
  <c r="I43" i="35"/>
  <c r="M43" i="35" s="1"/>
  <c r="N105" i="51"/>
  <c r="Q213" i="45"/>
  <c r="N213" i="45"/>
  <c r="O213" i="45" s="1"/>
  <c r="M114" i="20"/>
  <c r="M118" i="20"/>
  <c r="M128" i="20"/>
  <c r="I97" i="25"/>
  <c r="I81" i="37"/>
  <c r="M81" i="37" s="1"/>
  <c r="M84" i="37"/>
  <c r="N216" i="32"/>
  <c r="O216" i="32" s="1"/>
  <c r="I12" i="34"/>
  <c r="M12" i="34" s="1"/>
  <c r="M10" i="34" s="1"/>
  <c r="M60" i="36"/>
  <c r="P14" i="41"/>
  <c r="M60" i="47"/>
  <c r="N62" i="47"/>
  <c r="O62" i="47" s="1"/>
  <c r="Q62" i="47" s="1"/>
  <c r="N158" i="49"/>
  <c r="O158" i="49" s="1"/>
  <c r="O160" i="27"/>
  <c r="P160" i="27" s="1"/>
  <c r="I43" i="34"/>
  <c r="M43" i="34" s="1"/>
  <c r="M120" i="20"/>
  <c r="I151" i="25"/>
  <c r="M162" i="27"/>
  <c r="AZ6" i="30"/>
  <c r="BA8" i="30"/>
  <c r="G36" i="31"/>
  <c r="M182" i="32"/>
  <c r="I40" i="33"/>
  <c r="M40" i="33"/>
  <c r="I78" i="33"/>
  <c r="M78" i="33" s="1"/>
  <c r="N78" i="33" s="1"/>
  <c r="I97" i="33"/>
  <c r="M97" i="33" s="1"/>
  <c r="N146" i="34"/>
  <c r="O146" i="34" s="1"/>
  <c r="P146" i="34" s="1"/>
  <c r="N145" i="39"/>
  <c r="O145" i="39" s="1"/>
  <c r="P145" i="39" s="1"/>
  <c r="M74" i="20"/>
  <c r="N74" i="20" s="1"/>
  <c r="M60" i="24"/>
  <c r="M162" i="25"/>
  <c r="N162" i="25" s="1"/>
  <c r="I43" i="25"/>
  <c r="M43" i="25" s="1"/>
  <c r="I114" i="25"/>
  <c r="M114" i="25" s="1"/>
  <c r="M144" i="27"/>
  <c r="Q172" i="45"/>
  <c r="N172" i="45"/>
  <c r="O172" i="45" s="1"/>
  <c r="I118" i="49"/>
  <c r="M118" i="49" s="1"/>
  <c r="I59" i="49"/>
  <c r="R12" i="32"/>
  <c r="R6" i="32" s="1"/>
  <c r="I8" i="34"/>
  <c r="I15" i="34"/>
  <c r="M15" i="34" s="1"/>
  <c r="M13" i="34" s="1"/>
  <c r="I163" i="35"/>
  <c r="I127" i="39"/>
  <c r="M127" i="39" s="1"/>
  <c r="N127" i="39" s="1"/>
  <c r="I123" i="39"/>
  <c r="I53" i="39"/>
  <c r="I25" i="39"/>
  <c r="I74" i="39"/>
  <c r="I65" i="39"/>
  <c r="M65" i="39" s="1"/>
  <c r="I98" i="39"/>
  <c r="M98" i="39" s="1"/>
  <c r="I92" i="39"/>
  <c r="M92" i="39" s="1"/>
  <c r="I80" i="39"/>
  <c r="I52" i="39"/>
  <c r="M52" i="39" s="1"/>
  <c r="I29" i="39"/>
  <c r="M29" i="39" s="1"/>
  <c r="I16" i="39"/>
  <c r="M16" i="39" s="1"/>
  <c r="I33" i="39"/>
  <c r="M33" i="39" s="1"/>
  <c r="I28" i="39"/>
  <c r="I15" i="39"/>
  <c r="I103" i="39"/>
  <c r="M103" i="39" s="1"/>
  <c r="I71" i="39"/>
  <c r="M71" i="39" s="1"/>
  <c r="N71" i="39" s="1"/>
  <c r="I50" i="39"/>
  <c r="M50" i="39" s="1"/>
  <c r="I96" i="39"/>
  <c r="I32" i="39"/>
  <c r="I26" i="39"/>
  <c r="M26" i="39" s="1"/>
  <c r="I12" i="39"/>
  <c r="M12" i="39" s="1"/>
  <c r="N12" i="39" s="1"/>
  <c r="AJ4" i="43"/>
  <c r="C2" i="41"/>
  <c r="J2" i="41" s="1"/>
  <c r="BF46" i="5"/>
  <c r="BF103" i="5" s="1"/>
  <c r="O126" i="25"/>
  <c r="Q126" i="25" s="1"/>
  <c r="I11" i="37"/>
  <c r="I20" i="37"/>
  <c r="M20" i="37" s="1"/>
  <c r="O139" i="27"/>
  <c r="P139" i="27" s="1"/>
  <c r="O12" i="28"/>
  <c r="I45" i="34"/>
  <c r="M58" i="36"/>
  <c r="N58" i="36" s="1"/>
  <c r="I59" i="35"/>
  <c r="M59" i="35" s="1"/>
  <c r="I12" i="40"/>
  <c r="I23" i="40"/>
  <c r="M46" i="40"/>
  <c r="M114" i="40"/>
  <c r="N114" i="40" s="1"/>
  <c r="E31" i="44"/>
  <c r="I8" i="48"/>
  <c r="M8" i="48" s="1"/>
  <c r="N8" i="48" s="1"/>
  <c r="I46" i="48"/>
  <c r="M46" i="48" s="1"/>
  <c r="N46" i="48" s="1"/>
  <c r="Q84" i="48"/>
  <c r="I125" i="48"/>
  <c r="M125" i="48" s="1"/>
  <c r="N125" i="48" s="1"/>
  <c r="I15" i="35"/>
  <c r="M15" i="35" s="1"/>
  <c r="I29" i="35"/>
  <c r="M29" i="35" s="1"/>
  <c r="I21" i="36"/>
  <c r="M21" i="36" s="1"/>
  <c r="I34" i="36"/>
  <c r="I53" i="36"/>
  <c r="M85" i="36"/>
  <c r="I103" i="36"/>
  <c r="O110" i="36"/>
  <c r="N159" i="39"/>
  <c r="O159" i="39" s="1"/>
  <c r="P159" i="39" s="1"/>
  <c r="I18" i="40"/>
  <c r="I123" i="40"/>
  <c r="M123" i="40" s="1"/>
  <c r="N123" i="40" s="1"/>
  <c r="AX6" i="43"/>
  <c r="H11" i="43"/>
  <c r="AX11" i="43"/>
  <c r="E14" i="43"/>
  <c r="H19" i="43"/>
  <c r="M166" i="45"/>
  <c r="I21" i="46"/>
  <c r="M21" i="46" s="1"/>
  <c r="N21" i="46" s="1"/>
  <c r="I125" i="47"/>
  <c r="M125" i="47" s="1"/>
  <c r="M59" i="51"/>
  <c r="I23" i="35"/>
  <c r="M23" i="35" s="1"/>
  <c r="N23" i="35"/>
  <c r="I16" i="36"/>
  <c r="M16" i="36" s="1"/>
  <c r="I78" i="36"/>
  <c r="M138" i="36"/>
  <c r="N138" i="36" s="1"/>
  <c r="I154" i="36"/>
  <c r="M154" i="36" s="1"/>
  <c r="I54" i="40"/>
  <c r="M54" i="40" s="1"/>
  <c r="C4" i="41"/>
  <c r="J4" i="41" s="1"/>
  <c r="BA11" i="43"/>
  <c r="H24" i="43"/>
  <c r="E26" i="43"/>
  <c r="M182" i="45"/>
  <c r="I11" i="46"/>
  <c r="M11" i="46" s="1"/>
  <c r="I17" i="46"/>
  <c r="M17" i="46" s="1"/>
  <c r="I29" i="46"/>
  <c r="I39" i="46"/>
  <c r="M39" i="46" s="1"/>
  <c r="M84" i="47"/>
  <c r="I31" i="36"/>
  <c r="M31" i="36" s="1"/>
  <c r="N31" i="36" s="1"/>
  <c r="I42" i="36"/>
  <c r="M42" i="36"/>
  <c r="I50" i="36"/>
  <c r="I54" i="36"/>
  <c r="M54" i="36" s="1"/>
  <c r="N54" i="36" s="1"/>
  <c r="M83" i="36"/>
  <c r="I93" i="36"/>
  <c r="M93" i="36" s="1"/>
  <c r="N93" i="36" s="1"/>
  <c r="I100" i="36"/>
  <c r="M100" i="36" s="1"/>
  <c r="I104" i="36"/>
  <c r="M104" i="36" s="1"/>
  <c r="I107" i="36"/>
  <c r="M107" i="36" s="1"/>
  <c r="N126" i="36"/>
  <c r="O126" i="36" s="1"/>
  <c r="Q126" i="36" s="1"/>
  <c r="M59" i="38"/>
  <c r="P160" i="39"/>
  <c r="I14" i="40"/>
  <c r="M14" i="40" s="1"/>
  <c r="M13" i="40" s="1"/>
  <c r="I20" i="40"/>
  <c r="M20" i="40" s="1"/>
  <c r="I50" i="40"/>
  <c r="M50" i="40" s="1"/>
  <c r="N50" i="40" s="1"/>
  <c r="O50" i="40" s="1"/>
  <c r="P50" i="40" s="1"/>
  <c r="I107" i="40"/>
  <c r="M107" i="40" s="1"/>
  <c r="N107" i="40" s="1"/>
  <c r="E39" i="43"/>
  <c r="M7" i="48"/>
  <c r="I30" i="48"/>
  <c r="M30" i="48" s="1"/>
  <c r="N30" i="48" s="1"/>
  <c r="I24" i="35"/>
  <c r="M24" i="35" s="1"/>
  <c r="I71" i="35"/>
  <c r="M71" i="35" s="1"/>
  <c r="I11" i="36"/>
  <c r="M11" i="36" s="1"/>
  <c r="N11" i="36" s="1"/>
  <c r="I17" i="36"/>
  <c r="M17" i="36" s="1"/>
  <c r="I26" i="40"/>
  <c r="M26" i="40" s="1"/>
  <c r="O62" i="40"/>
  <c r="P62" i="40" s="1"/>
  <c r="I73" i="40"/>
  <c r="M73" i="40" s="1"/>
  <c r="AZ8" i="43"/>
  <c r="E12" i="43"/>
  <c r="M131" i="45"/>
  <c r="N216" i="45"/>
  <c r="O216" i="45" s="1"/>
  <c r="N62" i="46"/>
  <c r="O62" i="46" s="1"/>
  <c r="M84" i="46"/>
  <c r="I32" i="36"/>
  <c r="M32" i="36" s="1"/>
  <c r="I39" i="36"/>
  <c r="M39" i="36" s="1"/>
  <c r="N39" i="36" s="1"/>
  <c r="I43" i="36"/>
  <c r="M43" i="36" s="1"/>
  <c r="N43" i="36" s="1"/>
  <c r="I51" i="36"/>
  <c r="M51" i="36" s="1"/>
  <c r="I68" i="36"/>
  <c r="M68" i="36" s="1"/>
  <c r="I75" i="36"/>
  <c r="I101" i="36"/>
  <c r="M101" i="36" s="1"/>
  <c r="I120" i="36"/>
  <c r="I15" i="40"/>
  <c r="M15" i="40" s="1"/>
  <c r="N15" i="40" s="1"/>
  <c r="O15" i="40" s="1"/>
  <c r="P15" i="40" s="1"/>
  <c r="I34" i="40"/>
  <c r="M34" i="40" s="1"/>
  <c r="N34" i="40" s="1"/>
  <c r="O34" i="40" s="1"/>
  <c r="I51" i="40"/>
  <c r="M51" i="40" s="1"/>
  <c r="M131" i="40"/>
  <c r="N131" i="40" s="1"/>
  <c r="D2" i="41"/>
  <c r="K2" i="41" s="1"/>
  <c r="AN8" i="43"/>
  <c r="AL11" i="43"/>
  <c r="H18" i="43"/>
  <c r="N137" i="45"/>
  <c r="O137" i="45" s="1"/>
  <c r="I24" i="46"/>
  <c r="I8" i="51"/>
  <c r="M8" i="51" s="1"/>
  <c r="I12" i="36"/>
  <c r="M12" i="36" s="1"/>
  <c r="I18" i="36"/>
  <c r="I26" i="36"/>
  <c r="M26" i="36" s="1"/>
  <c r="I114" i="36"/>
  <c r="M114" i="36" s="1"/>
  <c r="I127" i="36"/>
  <c r="M127" i="36" s="1"/>
  <c r="I151" i="36"/>
  <c r="M151" i="36" s="1"/>
  <c r="N151" i="36" s="1"/>
  <c r="I21" i="40"/>
  <c r="M21" i="40" s="1"/>
  <c r="N21" i="40" s="1"/>
  <c r="O21" i="40" s="1"/>
  <c r="P21" i="40" s="1"/>
  <c r="I28" i="40"/>
  <c r="M59" i="40"/>
  <c r="M163" i="40"/>
  <c r="N163" i="40" s="1"/>
  <c r="H16" i="43"/>
  <c r="H23" i="43"/>
  <c r="I21" i="45"/>
  <c r="M21" i="45" s="1"/>
  <c r="I14" i="46"/>
  <c r="I64" i="46"/>
  <c r="M64" i="46" s="1"/>
  <c r="N61" i="47"/>
  <c r="O61" i="47" s="1"/>
  <c r="I73" i="51"/>
  <c r="M73" i="51" s="1"/>
  <c r="M128" i="51"/>
  <c r="N128" i="51" s="1"/>
  <c r="M154" i="51"/>
  <c r="I71" i="24"/>
  <c r="I39" i="25"/>
  <c r="M39" i="25" s="1"/>
  <c r="I138" i="25"/>
  <c r="M138" i="25" s="1"/>
  <c r="I154" i="25"/>
  <c r="M154" i="25"/>
  <c r="I152" i="23"/>
  <c r="M152" i="23" s="1"/>
  <c r="I34" i="24"/>
  <c r="M34" i="24" s="1"/>
  <c r="I32" i="25"/>
  <c r="I46" i="25"/>
  <c r="I120" i="25"/>
  <c r="M120" i="25" s="1"/>
  <c r="I114" i="24"/>
  <c r="M114" i="24" s="1"/>
  <c r="I155" i="24"/>
  <c r="M155" i="24" s="1"/>
  <c r="I26" i="25"/>
  <c r="M26" i="25" s="1"/>
  <c r="I92" i="25"/>
  <c r="I127" i="25"/>
  <c r="M127" i="25" s="1"/>
  <c r="I152" i="25"/>
  <c r="I155" i="25"/>
  <c r="M155" i="25" s="1"/>
  <c r="I43" i="24"/>
  <c r="M43" i="24" s="1"/>
  <c r="I152" i="24"/>
  <c r="M152" i="24" s="1"/>
  <c r="I24" i="24"/>
  <c r="M24" i="24" s="1"/>
  <c r="N24" i="24" s="1"/>
  <c r="I46" i="24"/>
  <c r="I120" i="24"/>
  <c r="M120" i="24" s="1"/>
  <c r="I153" i="24"/>
  <c r="M153" i="24" s="1"/>
  <c r="I67" i="25"/>
  <c r="M67" i="25" s="1"/>
  <c r="I115" i="25"/>
  <c r="I121" i="25"/>
  <c r="I163" i="25"/>
  <c r="M163" i="25" s="1"/>
  <c r="I71" i="23"/>
  <c r="I156" i="24"/>
  <c r="I163" i="24"/>
  <c r="I153" i="25"/>
  <c r="M153" i="25" s="1"/>
  <c r="I55" i="23"/>
  <c r="M55" i="23" s="1"/>
  <c r="I115" i="24"/>
  <c r="I121" i="24"/>
  <c r="I16" i="25"/>
  <c r="I116" i="25"/>
  <c r="M116" i="25" s="1"/>
  <c r="N116" i="25" s="1"/>
  <c r="J46" i="5"/>
  <c r="J103" i="5" s="1"/>
  <c r="BN46" i="5"/>
  <c r="BN103" i="5" s="1"/>
  <c r="BH102" i="5"/>
  <c r="R46" i="5"/>
  <c r="R103" i="5"/>
  <c r="Q90" i="5"/>
  <c r="P57" i="10"/>
  <c r="W29" i="5"/>
  <c r="W86" i="5" s="1"/>
  <c r="L102" i="5"/>
  <c r="L56" i="10"/>
  <c r="Y29" i="5"/>
  <c r="AO90" i="5"/>
  <c r="T102" i="5"/>
  <c r="A109" i="5"/>
  <c r="A112" i="5"/>
  <c r="A37" i="11" s="1"/>
  <c r="AW90" i="5"/>
  <c r="BM90" i="5"/>
  <c r="AZ102" i="5"/>
  <c r="A107" i="5"/>
  <c r="A32" i="11" s="1"/>
  <c r="E4" i="7"/>
  <c r="P59" i="10"/>
  <c r="AH67" i="5"/>
  <c r="AD67" i="5"/>
  <c r="AE38" i="10"/>
  <c r="AE66" i="5"/>
  <c r="AE78" i="5"/>
  <c r="C55" i="5"/>
  <c r="C112" i="5" s="1"/>
  <c r="AG67" i="5"/>
  <c r="AF67" i="5"/>
  <c r="BN67" i="5"/>
  <c r="AE67" i="5"/>
  <c r="AC67" i="5"/>
  <c r="D4" i="7"/>
  <c r="U63" i="5"/>
  <c r="U7" i="5"/>
  <c r="U64" i="5" s="1"/>
  <c r="AD66" i="5"/>
  <c r="AC38" i="10"/>
  <c r="AD6" i="5"/>
  <c r="E32" i="9"/>
  <c r="E53" i="9" s="1"/>
  <c r="E18" i="9"/>
  <c r="F4" i="7"/>
  <c r="U44" i="10"/>
  <c r="V84" i="5"/>
  <c r="V29" i="5"/>
  <c r="C27" i="5"/>
  <c r="V6" i="5"/>
  <c r="G4" i="7"/>
  <c r="AE42" i="10"/>
  <c r="AF6" i="5"/>
  <c r="AF63" i="5" s="1"/>
  <c r="AF78" i="5"/>
  <c r="L58" i="10"/>
  <c r="K77" i="5"/>
  <c r="F90" i="5"/>
  <c r="N90" i="5"/>
  <c r="AD90" i="5"/>
  <c r="BJ34" i="5"/>
  <c r="BJ91" i="5" s="1"/>
  <c r="H56" i="10"/>
  <c r="T58" i="10"/>
  <c r="E46" i="5"/>
  <c r="E103" i="5" s="1"/>
  <c r="E102" i="5"/>
  <c r="M102" i="5"/>
  <c r="U102" i="5"/>
  <c r="AK46" i="5"/>
  <c r="AK103" i="5" s="1"/>
  <c r="AS46" i="5"/>
  <c r="AS103" i="5" s="1"/>
  <c r="AS102" i="5"/>
  <c r="BA46" i="5"/>
  <c r="BA103" i="5" s="1"/>
  <c r="BA102" i="5"/>
  <c r="BI46" i="5"/>
  <c r="BI103" i="5" s="1"/>
  <c r="BI102" i="5"/>
  <c r="J59" i="10"/>
  <c r="R59" i="10"/>
  <c r="J34" i="5"/>
  <c r="J91" i="5" s="1"/>
  <c r="Z34" i="5"/>
  <c r="Z91" i="5" s="1"/>
  <c r="AP34" i="5"/>
  <c r="AP91" i="5" s="1"/>
  <c r="BF34" i="5"/>
  <c r="BF91" i="5" s="1"/>
  <c r="AF66" i="5"/>
  <c r="AN90" i="5"/>
  <c r="S102" i="5"/>
  <c r="AA102" i="5"/>
  <c r="AI102" i="5"/>
  <c r="AQ102" i="5"/>
  <c r="BG102" i="5"/>
  <c r="BO102" i="5"/>
  <c r="C50" i="10"/>
  <c r="K50" i="10"/>
  <c r="S50" i="10"/>
  <c r="S56" i="10"/>
  <c r="G59" i="10"/>
  <c r="O59" i="10"/>
  <c r="AZ34" i="5"/>
  <c r="AZ91" i="5" s="1"/>
  <c r="K46" i="5"/>
  <c r="K103" i="5" s="1"/>
  <c r="S46" i="5"/>
  <c r="S103" i="5" s="1"/>
  <c r="AA46" i="5"/>
  <c r="AA103" i="5" s="1"/>
  <c r="AI46" i="5"/>
  <c r="AI103" i="5" s="1"/>
  <c r="AQ46" i="5"/>
  <c r="AQ103" i="5" s="1"/>
  <c r="BG46" i="5"/>
  <c r="BG103" i="5" s="1"/>
  <c r="BO46" i="5"/>
  <c r="BO103" i="5"/>
  <c r="BN66" i="5"/>
  <c r="AH78" i="5"/>
  <c r="AH90" i="5"/>
  <c r="AP90" i="5"/>
  <c r="BF90" i="5"/>
  <c r="BM39" i="10"/>
  <c r="AC42" i="10"/>
  <c r="U50" i="10"/>
  <c r="U56" i="10"/>
  <c r="I57" i="10"/>
  <c r="Q57" i="10"/>
  <c r="U58" i="10"/>
  <c r="I59" i="10"/>
  <c r="Q59" i="10"/>
  <c r="E34" i="5"/>
  <c r="E91" i="5" s="1"/>
  <c r="M34" i="5"/>
  <c r="M91" i="5" s="1"/>
  <c r="AC34" i="5"/>
  <c r="AC91" i="5" s="1"/>
  <c r="BI34" i="5"/>
  <c r="BI91" i="5" s="1"/>
  <c r="D46" i="5"/>
  <c r="D103" i="5" s="1"/>
  <c r="L46" i="5"/>
  <c r="L103" i="5" s="1"/>
  <c r="T46" i="5"/>
  <c r="T103" i="5"/>
  <c r="AZ46" i="5"/>
  <c r="AZ103" i="5" s="1"/>
  <c r="BH46" i="5"/>
  <c r="BH103" i="5" s="1"/>
  <c r="AI78" i="5"/>
  <c r="W84" i="5"/>
  <c r="AT102" i="5"/>
  <c r="BB102" i="5"/>
  <c r="N46" i="10"/>
  <c r="V46" i="10"/>
  <c r="F56" i="10"/>
  <c r="N56" i="10"/>
  <c r="J57" i="10"/>
  <c r="R57" i="10"/>
  <c r="F58" i="10"/>
  <c r="N58" i="10"/>
  <c r="V58" i="10"/>
  <c r="AG80" i="5"/>
  <c r="X29" i="5"/>
  <c r="X86" i="5" s="1"/>
  <c r="C52" i="5"/>
  <c r="C109" i="5" s="1"/>
  <c r="X84" i="5"/>
  <c r="AB90" i="5"/>
  <c r="AJ90" i="5"/>
  <c r="AU102" i="5"/>
  <c r="O50" i="10"/>
  <c r="G56" i="10"/>
  <c r="O56" i="10"/>
  <c r="C57" i="10"/>
  <c r="K57" i="10"/>
  <c r="S57" i="10"/>
  <c r="O58" i="10"/>
  <c r="S59" i="10"/>
  <c r="O34" i="5"/>
  <c r="O91" i="5" s="1"/>
  <c r="W34" i="5"/>
  <c r="W91" i="5" s="1"/>
  <c r="F46" i="5"/>
  <c r="F103" i="5" s="1"/>
  <c r="N46" i="5"/>
  <c r="N103" i="5" s="1"/>
  <c r="V46" i="5"/>
  <c r="V103" i="5" s="1"/>
  <c r="L83" i="5"/>
  <c r="Y84" i="5"/>
  <c r="M90" i="5"/>
  <c r="AC90" i="5"/>
  <c r="AF102" i="5"/>
  <c r="AN102" i="5"/>
  <c r="AV102" i="5"/>
  <c r="BL102" i="5"/>
  <c r="H46" i="10"/>
  <c r="P46" i="10"/>
  <c r="D57" i="10"/>
  <c r="T57" i="10"/>
  <c r="H58" i="10"/>
  <c r="D59" i="10"/>
  <c r="L59" i="10"/>
  <c r="AF34" i="5"/>
  <c r="AF91" i="5" s="1"/>
  <c r="AV34" i="5"/>
  <c r="AV91" i="5" s="1"/>
  <c r="BD34" i="5"/>
  <c r="BD91" i="5" s="1"/>
  <c r="O46" i="5"/>
  <c r="O103" i="5" s="1"/>
  <c r="AU46" i="5"/>
  <c r="AU103" i="5" s="1"/>
  <c r="Q46" i="10"/>
  <c r="I50" i="10"/>
  <c r="Q50" i="10"/>
  <c r="E57" i="10"/>
  <c r="U57" i="10"/>
  <c r="Q58" i="10"/>
  <c r="E59" i="10"/>
  <c r="M59" i="10"/>
  <c r="U59" i="10"/>
  <c r="I34" i="5"/>
  <c r="I91" i="5" s="1"/>
  <c r="Q34" i="5"/>
  <c r="Q91" i="5" s="1"/>
  <c r="X46" i="5"/>
  <c r="X103" i="5" s="1"/>
  <c r="AV46" i="5"/>
  <c r="AV103" i="5" s="1"/>
  <c r="O90" i="5"/>
  <c r="BK90" i="5"/>
  <c r="J102" i="5"/>
  <c r="R102" i="5"/>
  <c r="AX102" i="5"/>
  <c r="BF102" i="5"/>
  <c r="BN102" i="5"/>
  <c r="J50" i="10"/>
  <c r="R50" i="10"/>
  <c r="J58" i="10"/>
  <c r="F59" i="10"/>
  <c r="N59" i="10"/>
  <c r="G77" i="54"/>
  <c r="M25" i="20"/>
  <c r="J17" i="25"/>
  <c r="K17" i="25" s="1"/>
  <c r="K17" i="20"/>
  <c r="A15" i="5"/>
  <c r="G86" i="54"/>
  <c r="J11" i="25"/>
  <c r="K11" i="25" s="1"/>
  <c r="K11" i="20"/>
  <c r="M43" i="20"/>
  <c r="M143" i="20"/>
  <c r="N105" i="24"/>
  <c r="O105" i="24" s="1"/>
  <c r="M35" i="20"/>
  <c r="M58" i="20"/>
  <c r="N125" i="20"/>
  <c r="O125" i="20" s="1"/>
  <c r="M98" i="20"/>
  <c r="I123" i="27"/>
  <c r="M123" i="27" s="1"/>
  <c r="N123" i="27" s="1"/>
  <c r="I127" i="27"/>
  <c r="I95" i="27"/>
  <c r="M95" i="27" s="1"/>
  <c r="N95" i="27" s="1"/>
  <c r="N94" i="27" s="1"/>
  <c r="I92" i="27"/>
  <c r="I55" i="27"/>
  <c r="M55" i="27" s="1"/>
  <c r="I51" i="27"/>
  <c r="M51" i="27" s="1"/>
  <c r="I33" i="27"/>
  <c r="I29" i="27"/>
  <c r="I26" i="27"/>
  <c r="M26" i="27" s="1"/>
  <c r="N26" i="27" s="1"/>
  <c r="I16" i="27"/>
  <c r="M16" i="27" s="1"/>
  <c r="N16" i="27" s="1"/>
  <c r="O16" i="27" s="1"/>
  <c r="P16" i="27" s="1"/>
  <c r="I80" i="27"/>
  <c r="M80" i="27" s="1"/>
  <c r="I76" i="27"/>
  <c r="M76" i="27" s="1"/>
  <c r="N76" i="27" s="1"/>
  <c r="I72" i="27"/>
  <c r="M72" i="27" s="1"/>
  <c r="I97" i="27"/>
  <c r="I52" i="27"/>
  <c r="M52" i="27" s="1"/>
  <c r="N52" i="27" s="1"/>
  <c r="O52" i="27" s="1"/>
  <c r="P52" i="27" s="1"/>
  <c r="I45" i="27"/>
  <c r="M45" i="27" s="1"/>
  <c r="N45" i="27" s="1"/>
  <c r="N44" i="27" s="1"/>
  <c r="I35" i="27"/>
  <c r="I30" i="27"/>
  <c r="M30" i="27" s="1"/>
  <c r="N30" i="27" s="1"/>
  <c r="I104" i="27"/>
  <c r="M104" i="27" s="1"/>
  <c r="I93" i="27"/>
  <c r="M93" i="27" s="1"/>
  <c r="I75" i="27"/>
  <c r="I50" i="27"/>
  <c r="M50" i="27"/>
  <c r="N50" i="27" s="1"/>
  <c r="O50" i="27" s="1"/>
  <c r="P50" i="27" s="1"/>
  <c r="I28" i="27"/>
  <c r="M28" i="27" s="1"/>
  <c r="M27" i="27" s="1"/>
  <c r="I17" i="27"/>
  <c r="M17" i="27" s="1"/>
  <c r="I109" i="27"/>
  <c r="M109" i="27" s="1"/>
  <c r="I107" i="27"/>
  <c r="M107" i="27" s="1"/>
  <c r="I73" i="27"/>
  <c r="I39" i="27"/>
  <c r="M39" i="27" s="1"/>
  <c r="N39" i="27" s="1"/>
  <c r="N38" i="27" s="1"/>
  <c r="I24" i="27"/>
  <c r="M24" i="27" s="1"/>
  <c r="I15" i="27"/>
  <c r="M15" i="27" s="1"/>
  <c r="I100" i="27"/>
  <c r="I98" i="27"/>
  <c r="M98" i="27" s="1"/>
  <c r="N98" i="27" s="1"/>
  <c r="I78" i="27"/>
  <c r="M78" i="27" s="1"/>
  <c r="I67" i="27"/>
  <c r="M67" i="27" s="1"/>
  <c r="I65" i="27"/>
  <c r="M65" i="27" s="1"/>
  <c r="I53" i="27"/>
  <c r="I48" i="27"/>
  <c r="M48" i="27" s="1"/>
  <c r="I31" i="27"/>
  <c r="M31" i="27" s="1"/>
  <c r="N31" i="27" s="1"/>
  <c r="O31" i="27" s="1"/>
  <c r="P31" i="27" s="1"/>
  <c r="I81" i="27"/>
  <c r="M81" i="27" s="1"/>
  <c r="I71" i="27"/>
  <c r="M71" i="27" s="1"/>
  <c r="I20" i="27"/>
  <c r="M20" i="27" s="1"/>
  <c r="I18" i="27"/>
  <c r="M18" i="27" s="1"/>
  <c r="I11" i="27"/>
  <c r="M11" i="27"/>
  <c r="I96" i="27"/>
  <c r="M96" i="27" s="1"/>
  <c r="N96" i="27" s="1"/>
  <c r="I42" i="27"/>
  <c r="M42" i="27" s="1"/>
  <c r="M41" i="27" s="1"/>
  <c r="I40" i="27"/>
  <c r="I34" i="27"/>
  <c r="M34" i="27" s="1"/>
  <c r="I25" i="27"/>
  <c r="M25" i="27" s="1"/>
  <c r="I103" i="27"/>
  <c r="I101" i="27"/>
  <c r="M101" i="27" s="1"/>
  <c r="I79" i="27"/>
  <c r="M79" i="27" s="1"/>
  <c r="I74" i="27"/>
  <c r="M74" i="27"/>
  <c r="I54" i="27"/>
  <c r="M54" i="27" s="1"/>
  <c r="I49" i="27"/>
  <c r="I32" i="27"/>
  <c r="M32" i="27" s="1"/>
  <c r="I77" i="27"/>
  <c r="M77" i="27" s="1"/>
  <c r="I68" i="27"/>
  <c r="M68" i="27" s="1"/>
  <c r="I64" i="27"/>
  <c r="M64" i="27" s="1"/>
  <c r="I23" i="27"/>
  <c r="M23" i="27" s="1"/>
  <c r="M22" i="27" s="1"/>
  <c r="I21" i="27"/>
  <c r="M21" i="27" s="1"/>
  <c r="N21" i="27" s="1"/>
  <c r="I14" i="27"/>
  <c r="I12" i="27"/>
  <c r="M12" i="27" s="1"/>
  <c r="N12" i="27" s="1"/>
  <c r="O12" i="27" s="1"/>
  <c r="P12" i="27" s="1"/>
  <c r="J29" i="25"/>
  <c r="K29" i="25"/>
  <c r="K29" i="20"/>
  <c r="M29" i="20" s="1"/>
  <c r="N29" i="20" s="1"/>
  <c r="O29" i="20" s="1"/>
  <c r="M153" i="20"/>
  <c r="M34" i="20"/>
  <c r="N34" i="20" s="1"/>
  <c r="O34" i="20" s="1"/>
  <c r="M48" i="20"/>
  <c r="N48" i="20" s="1"/>
  <c r="M67" i="20"/>
  <c r="N126" i="20"/>
  <c r="O126" i="20" s="1"/>
  <c r="Q126" i="20" s="1"/>
  <c r="Q83" i="24"/>
  <c r="M83" i="24"/>
  <c r="M120" i="37"/>
  <c r="M53" i="20"/>
  <c r="M60" i="20"/>
  <c r="N61" i="20"/>
  <c r="Q84" i="25"/>
  <c r="M84" i="25"/>
  <c r="I65" i="24"/>
  <c r="I25" i="24"/>
  <c r="I33" i="24"/>
  <c r="M33" i="24" s="1"/>
  <c r="I79" i="24"/>
  <c r="M79" i="24" s="1"/>
  <c r="I12" i="24"/>
  <c r="I23" i="24"/>
  <c r="I78" i="24"/>
  <c r="I42" i="25"/>
  <c r="M42" i="25" s="1"/>
  <c r="I74" i="25"/>
  <c r="I104" i="25"/>
  <c r="N62" i="37"/>
  <c r="I128" i="37"/>
  <c r="M128" i="37" s="1"/>
  <c r="P146" i="23"/>
  <c r="I40" i="24"/>
  <c r="I92" i="24"/>
  <c r="I20" i="25"/>
  <c r="M20" i="25" s="1"/>
  <c r="M19" i="25" s="1"/>
  <c r="I24" i="25"/>
  <c r="M24" i="25"/>
  <c r="I35" i="25"/>
  <c r="I49" i="25"/>
  <c r="I34" i="37"/>
  <c r="M34" i="37" s="1"/>
  <c r="N34" i="37" s="1"/>
  <c r="O34" i="37" s="1"/>
  <c r="I116" i="37"/>
  <c r="I93" i="23"/>
  <c r="M93" i="23" s="1"/>
  <c r="I42" i="23"/>
  <c r="M42" i="23" s="1"/>
  <c r="M41" i="23" s="1"/>
  <c r="I17" i="23"/>
  <c r="M17" i="23" s="1"/>
  <c r="I80" i="23"/>
  <c r="I76" i="23"/>
  <c r="M76" i="23" s="1"/>
  <c r="I100" i="23"/>
  <c r="M100" i="23" s="1"/>
  <c r="N100" i="23" s="1"/>
  <c r="O100" i="23" s="1"/>
  <c r="P100" i="23" s="1"/>
  <c r="I49" i="23"/>
  <c r="I32" i="23"/>
  <c r="M32" i="23" s="1"/>
  <c r="I12" i="23"/>
  <c r="M12" i="23" s="1"/>
  <c r="I68" i="23"/>
  <c r="I29" i="23"/>
  <c r="M29" i="23" s="1"/>
  <c r="I26" i="23"/>
  <c r="I18" i="23"/>
  <c r="M18" i="23"/>
  <c r="N18" i="23" s="1"/>
  <c r="I76" i="37"/>
  <c r="I52" i="37"/>
  <c r="I18" i="37"/>
  <c r="I127" i="37"/>
  <c r="M127" i="37" s="1"/>
  <c r="N127" i="37" s="1"/>
  <c r="I80" i="37"/>
  <c r="I72" i="37"/>
  <c r="I64" i="37"/>
  <c r="I29" i="37"/>
  <c r="I24" i="37"/>
  <c r="I14" i="37"/>
  <c r="M14" i="37" s="1"/>
  <c r="I100" i="37"/>
  <c r="I79" i="37"/>
  <c r="M79" i="37" s="1"/>
  <c r="N79" i="37" s="1"/>
  <c r="O79" i="37" s="1"/>
  <c r="I39" i="37"/>
  <c r="I109" i="37"/>
  <c r="I92" i="37"/>
  <c r="M92" i="37" s="1"/>
  <c r="I73" i="37"/>
  <c r="I55" i="37"/>
  <c r="M55" i="37" s="1"/>
  <c r="I33" i="37"/>
  <c r="I17" i="37"/>
  <c r="I101" i="37"/>
  <c r="I98" i="37"/>
  <c r="I49" i="37"/>
  <c r="I42" i="37"/>
  <c r="M42" i="37" s="1"/>
  <c r="N42" i="37" s="1"/>
  <c r="O42" i="37" s="1"/>
  <c r="I40" i="37"/>
  <c r="I25" i="37"/>
  <c r="M25" i="37" s="1"/>
  <c r="I12" i="37"/>
  <c r="I123" i="37"/>
  <c r="I107" i="37"/>
  <c r="M107" i="37" s="1"/>
  <c r="I71" i="37"/>
  <c r="I53" i="37"/>
  <c r="I50" i="37"/>
  <c r="M50" i="37" s="1"/>
  <c r="N50" i="37" s="1"/>
  <c r="O50" i="37" s="1"/>
  <c r="I45" i="37"/>
  <c r="I28" i="37"/>
  <c r="I26" i="37"/>
  <c r="M26" i="37" s="1"/>
  <c r="I15" i="37"/>
  <c r="I32" i="37"/>
  <c r="M32" i="37" s="1"/>
  <c r="I75" i="37"/>
  <c r="N110" i="37"/>
  <c r="O110" i="37" s="1"/>
  <c r="P110" i="37" s="1"/>
  <c r="I125" i="23"/>
  <c r="I8" i="23"/>
  <c r="M8" i="23" s="1"/>
  <c r="I7" i="23"/>
  <c r="M7" i="23" s="1"/>
  <c r="M16" i="20"/>
  <c r="I32" i="24"/>
  <c r="M32" i="24" s="1"/>
  <c r="I80" i="24"/>
  <c r="M80" i="24" s="1"/>
  <c r="N80" i="24" s="1"/>
  <c r="M84" i="24"/>
  <c r="I123" i="25"/>
  <c r="I103" i="25"/>
  <c r="I93" i="25"/>
  <c r="M93" i="25" s="1"/>
  <c r="I78" i="25"/>
  <c r="I68" i="25"/>
  <c r="I40" i="25"/>
  <c r="I31" i="25"/>
  <c r="M31" i="25" s="1"/>
  <c r="N31" i="25" s="1"/>
  <c r="I29" i="25"/>
  <c r="I28" i="25"/>
  <c r="I11" i="25"/>
  <c r="I101" i="25"/>
  <c r="M101" i="25" s="1"/>
  <c r="I79" i="25"/>
  <c r="I65" i="25"/>
  <c r="I55" i="25"/>
  <c r="M55" i="25" s="1"/>
  <c r="I33" i="25"/>
  <c r="I17" i="25"/>
  <c r="I15" i="25"/>
  <c r="I109" i="25"/>
  <c r="M109" i="25" s="1"/>
  <c r="N109" i="25" s="1"/>
  <c r="I98" i="25"/>
  <c r="M98" i="25" s="1"/>
  <c r="N98" i="25" s="1"/>
  <c r="O98" i="25" s="1"/>
  <c r="I80" i="25"/>
  <c r="I75" i="25"/>
  <c r="I51" i="25"/>
  <c r="M51" i="25" s="1"/>
  <c r="I34" i="25"/>
  <c r="M34" i="25" s="1"/>
  <c r="I18" i="25"/>
  <c r="I95" i="25"/>
  <c r="I81" i="25"/>
  <c r="M81" i="25" s="1"/>
  <c r="I76" i="25"/>
  <c r="I72" i="25"/>
  <c r="I52" i="25"/>
  <c r="I48" i="25"/>
  <c r="I23" i="25"/>
  <c r="I14" i="25"/>
  <c r="I96" i="25"/>
  <c r="M96" i="25" s="1"/>
  <c r="I7" i="37"/>
  <c r="M7" i="37" s="1"/>
  <c r="N7" i="37" s="1"/>
  <c r="I30" i="37"/>
  <c r="I125" i="37"/>
  <c r="M125" i="37" s="1"/>
  <c r="N125" i="37" s="1"/>
  <c r="O125" i="37" s="1"/>
  <c r="I51" i="37"/>
  <c r="I81" i="23"/>
  <c r="M81" i="23" s="1"/>
  <c r="I153" i="37"/>
  <c r="I154" i="37"/>
  <c r="I121" i="37"/>
  <c r="I43" i="37"/>
  <c r="M43" i="37" s="1"/>
  <c r="I163" i="37"/>
  <c r="I115" i="37"/>
  <c r="I46" i="37"/>
  <c r="I152" i="37"/>
  <c r="I114" i="37"/>
  <c r="I155" i="37"/>
  <c r="M155" i="37" s="1"/>
  <c r="N155" i="37" s="1"/>
  <c r="O155" i="37" s="1"/>
  <c r="I35" i="37"/>
  <c r="I67" i="37"/>
  <c r="I151" i="37"/>
  <c r="I156" i="37"/>
  <c r="I162" i="37"/>
  <c r="M162" i="37" s="1"/>
  <c r="M7" i="24"/>
  <c r="I21" i="25"/>
  <c r="I64" i="25"/>
  <c r="M64" i="25" s="1"/>
  <c r="I73" i="25"/>
  <c r="M73" i="25" s="1"/>
  <c r="I77" i="25"/>
  <c r="Q83" i="25"/>
  <c r="I107" i="25"/>
  <c r="N128" i="25"/>
  <c r="O128" i="25" s="1"/>
  <c r="I54" i="37"/>
  <c r="O61" i="37"/>
  <c r="I78" i="37"/>
  <c r="M78" i="37" s="1"/>
  <c r="I65" i="37"/>
  <c r="I93" i="37"/>
  <c r="M93" i="37" s="1"/>
  <c r="N47" i="32"/>
  <c r="O47" i="32" s="1"/>
  <c r="N116" i="27"/>
  <c r="O116" i="27" s="1"/>
  <c r="P116" i="27" s="1"/>
  <c r="N36" i="30"/>
  <c r="N18" i="30"/>
  <c r="N17" i="30"/>
  <c r="N16" i="30"/>
  <c r="N15" i="30"/>
  <c r="N14" i="30"/>
  <c r="F4" i="28"/>
  <c r="M4" i="28" s="1"/>
  <c r="N25" i="30"/>
  <c r="N20" i="30"/>
  <c r="N42" i="30"/>
  <c r="N41" i="30"/>
  <c r="N39" i="30"/>
  <c r="N37" i="30"/>
  <c r="N34" i="30"/>
  <c r="N13" i="30"/>
  <c r="N12" i="30"/>
  <c r="N11" i="30"/>
  <c r="N10" i="30"/>
  <c r="N35" i="30"/>
  <c r="N33" i="30"/>
  <c r="N32" i="30"/>
  <c r="N31" i="30"/>
  <c r="AQ7" i="30"/>
  <c r="N40" i="30"/>
  <c r="N38" i="30"/>
  <c r="N30" i="30"/>
  <c r="N29" i="30"/>
  <c r="N28" i="30"/>
  <c r="N27" i="30"/>
  <c r="N26" i="30"/>
  <c r="N24" i="30"/>
  <c r="N23" i="30"/>
  <c r="N22" i="30"/>
  <c r="N21" i="30"/>
  <c r="N19" i="30"/>
  <c r="AR7" i="30"/>
  <c r="P37" i="30"/>
  <c r="N9" i="30"/>
  <c r="I142" i="25"/>
  <c r="I137" i="25"/>
  <c r="I108" i="37"/>
  <c r="I137" i="37"/>
  <c r="I58" i="23"/>
  <c r="M58" i="23" s="1"/>
  <c r="I118" i="23"/>
  <c r="M118" i="23"/>
  <c r="M117" i="23" s="1"/>
  <c r="N158" i="23"/>
  <c r="O158" i="23" s="1"/>
  <c r="N140" i="27"/>
  <c r="O140" i="27" s="1"/>
  <c r="P140" i="27" s="1"/>
  <c r="I30" i="24"/>
  <c r="I8" i="24"/>
  <c r="I133" i="25"/>
  <c r="M133" i="25" s="1"/>
  <c r="I136" i="25"/>
  <c r="M136" i="25" s="1"/>
  <c r="N136" i="25" s="1"/>
  <c r="I151" i="24"/>
  <c r="I128" i="24"/>
  <c r="I116" i="24"/>
  <c r="I54" i="24"/>
  <c r="I125" i="24"/>
  <c r="I162" i="24"/>
  <c r="I106" i="37"/>
  <c r="N62" i="23"/>
  <c r="M8" i="27"/>
  <c r="M112" i="27"/>
  <c r="E23" i="29"/>
  <c r="L23" i="29"/>
  <c r="H43" i="29"/>
  <c r="D4" i="29"/>
  <c r="I5" i="31" s="1"/>
  <c r="Q215" i="32"/>
  <c r="N215" i="32"/>
  <c r="M214" i="32"/>
  <c r="Q214" i="32" s="1"/>
  <c r="M2" i="28"/>
  <c r="A22" i="28"/>
  <c r="AI6" i="30"/>
  <c r="BA11" i="30"/>
  <c r="AL11" i="30"/>
  <c r="Q118" i="32"/>
  <c r="N118" i="32"/>
  <c r="O118" i="32" s="1"/>
  <c r="I7" i="27"/>
  <c r="I125" i="27"/>
  <c r="M125" i="27" s="1"/>
  <c r="N125" i="27" s="1"/>
  <c r="A18" i="28"/>
  <c r="O2" i="28"/>
  <c r="AH6" i="30"/>
  <c r="N62" i="27"/>
  <c r="O62" i="27" s="1"/>
  <c r="P62" i="27" s="1"/>
  <c r="O110" i="27"/>
  <c r="P110" i="27" s="1"/>
  <c r="O157" i="27"/>
  <c r="P157" i="27" s="1"/>
  <c r="O8" i="28"/>
  <c r="S30" i="29"/>
  <c r="AL6" i="30"/>
  <c r="AK6" i="30"/>
  <c r="AL8" i="30"/>
  <c r="AK8" i="30"/>
  <c r="Q70" i="32"/>
  <c r="O70" i="32"/>
  <c r="Q212" i="32"/>
  <c r="N212" i="32"/>
  <c r="O212" i="32"/>
  <c r="M92" i="33"/>
  <c r="E38" i="31"/>
  <c r="E49" i="31" s="1"/>
  <c r="M59" i="27"/>
  <c r="N59" i="27" s="1"/>
  <c r="N105" i="27"/>
  <c r="O105" i="27" s="1"/>
  <c r="P105" i="27" s="1"/>
  <c r="M128" i="27"/>
  <c r="N138" i="27"/>
  <c r="O138" i="27" s="1"/>
  <c r="P138" i="27" s="1"/>
  <c r="N147" i="27"/>
  <c r="O147" i="27" s="1"/>
  <c r="P147" i="27" s="1"/>
  <c r="O5" i="28"/>
  <c r="O9" i="28"/>
  <c r="G40" i="31"/>
  <c r="Q217" i="32"/>
  <c r="N217" i="32"/>
  <c r="O217" i="32" s="1"/>
  <c r="M81" i="33"/>
  <c r="N81" i="33" s="1"/>
  <c r="O81" i="33" s="1"/>
  <c r="I54" i="25"/>
  <c r="I156" i="25"/>
  <c r="N160" i="23"/>
  <c r="O160" i="23" s="1"/>
  <c r="I3" i="32"/>
  <c r="I24" i="32" s="1"/>
  <c r="L27" i="29"/>
  <c r="Q172" i="32"/>
  <c r="N172" i="32"/>
  <c r="O172" i="32" s="1"/>
  <c r="Q218" i="32"/>
  <c r="N61" i="27"/>
  <c r="O6" i="28"/>
  <c r="O10" i="28"/>
  <c r="I3" i="29"/>
  <c r="D3" i="29"/>
  <c r="E2" i="38"/>
  <c r="H3" i="32"/>
  <c r="I99" i="32" s="1"/>
  <c r="M99" i="32" s="1"/>
  <c r="AV6" i="30"/>
  <c r="AR6" i="30"/>
  <c r="AR8" i="30"/>
  <c r="N218" i="32"/>
  <c r="O218" i="32" s="1"/>
  <c r="Q114" i="32"/>
  <c r="O114" i="32"/>
  <c r="N198" i="32"/>
  <c r="O198" i="32"/>
  <c r="I125" i="35"/>
  <c r="I7" i="35"/>
  <c r="M7" i="35"/>
  <c r="I23" i="29"/>
  <c r="AY7" i="30"/>
  <c r="AT36" i="30"/>
  <c r="AQ36" i="30"/>
  <c r="N8" i="31"/>
  <c r="N11" i="32"/>
  <c r="M11" i="32"/>
  <c r="M131" i="32"/>
  <c r="I132" i="32"/>
  <c r="M132" i="32" s="1"/>
  <c r="I153" i="33"/>
  <c r="I154" i="33"/>
  <c r="I120" i="33"/>
  <c r="I151" i="33"/>
  <c r="I116" i="33"/>
  <c r="I121" i="33"/>
  <c r="I152" i="33"/>
  <c r="M152" i="33" s="1"/>
  <c r="N152" i="33" s="1"/>
  <c r="I46" i="33"/>
  <c r="I43" i="33"/>
  <c r="O110" i="33"/>
  <c r="I65" i="32"/>
  <c r="M65" i="32"/>
  <c r="I57" i="32"/>
  <c r="M57" i="32" s="1"/>
  <c r="I104" i="32"/>
  <c r="M104" i="32" s="1"/>
  <c r="M103" i="32" s="1"/>
  <c r="I25" i="32"/>
  <c r="M25" i="32" s="1"/>
  <c r="I181" i="32"/>
  <c r="M181" i="32" s="1"/>
  <c r="I32" i="32"/>
  <c r="I21" i="32"/>
  <c r="M21" i="32" s="1"/>
  <c r="Q210" i="32"/>
  <c r="N210" i="32"/>
  <c r="O210" i="32" s="1"/>
  <c r="Q225" i="32"/>
  <c r="N225" i="32"/>
  <c r="I136" i="33"/>
  <c r="I131" i="33"/>
  <c r="I106" i="33"/>
  <c r="M106" i="33" s="1"/>
  <c r="I132" i="33"/>
  <c r="I108" i="33"/>
  <c r="M108" i="33" s="1"/>
  <c r="I138" i="33"/>
  <c r="I118" i="33"/>
  <c r="I58" i="33"/>
  <c r="I135" i="33"/>
  <c r="M135" i="33" s="1"/>
  <c r="N135" i="33" s="1"/>
  <c r="I133" i="33"/>
  <c r="I59" i="33"/>
  <c r="M59" i="33" s="1"/>
  <c r="I137" i="33"/>
  <c r="N157" i="34"/>
  <c r="O157" i="34" s="1"/>
  <c r="P157" i="34" s="1"/>
  <c r="AT6" i="30"/>
  <c r="AT8" i="30"/>
  <c r="Q197" i="32"/>
  <c r="N197" i="32"/>
  <c r="O197" i="32" s="1"/>
  <c r="M39" i="33"/>
  <c r="I156" i="33"/>
  <c r="J3" i="32"/>
  <c r="G23" i="31"/>
  <c r="G31" i="31"/>
  <c r="E31" i="31"/>
  <c r="G39" i="31"/>
  <c r="Q102" i="32"/>
  <c r="N102" i="32"/>
  <c r="O102" i="32" s="1"/>
  <c r="Q137" i="32"/>
  <c r="N137" i="32"/>
  <c r="O137" i="32" s="1"/>
  <c r="M138" i="32"/>
  <c r="Q138" i="32" s="1"/>
  <c r="N182" i="32"/>
  <c r="O182" i="32" s="1"/>
  <c r="Q182" i="32"/>
  <c r="Q211" i="32"/>
  <c r="O211" i="32"/>
  <c r="N34" i="33"/>
  <c r="O34" i="33" s="1"/>
  <c r="I139" i="33"/>
  <c r="N139" i="34"/>
  <c r="O139" i="34" s="1"/>
  <c r="P139" i="34" s="1"/>
  <c r="I7" i="33"/>
  <c r="M7" i="33" s="1"/>
  <c r="I23" i="33"/>
  <c r="M23" i="33"/>
  <c r="I28" i="33"/>
  <c r="I35" i="33"/>
  <c r="I55" i="33"/>
  <c r="I71" i="33"/>
  <c r="M71" i="33" s="1"/>
  <c r="I79" i="33"/>
  <c r="I104" i="33"/>
  <c r="I112" i="33"/>
  <c r="I127" i="33"/>
  <c r="I28" i="34"/>
  <c r="I52" i="34"/>
  <c r="M52" i="34" s="1"/>
  <c r="I18" i="33"/>
  <c r="M18" i="33" s="1"/>
  <c r="I52" i="33"/>
  <c r="I76" i="33"/>
  <c r="I80" i="34"/>
  <c r="M80" i="34" s="1"/>
  <c r="N80" i="34" s="1"/>
  <c r="I76" i="34"/>
  <c r="I72" i="34"/>
  <c r="I123" i="34"/>
  <c r="M123" i="34" s="1"/>
  <c r="N123" i="34" s="1"/>
  <c r="I107" i="34"/>
  <c r="M107" i="34"/>
  <c r="I81" i="34"/>
  <c r="M81" i="34" s="1"/>
  <c r="I77" i="34"/>
  <c r="M77" i="34" s="1"/>
  <c r="I73" i="34"/>
  <c r="M73" i="34"/>
  <c r="I67" i="34"/>
  <c r="M67" i="34" s="1"/>
  <c r="M66" i="34" s="1"/>
  <c r="I64" i="34"/>
  <c r="M64" i="34" s="1"/>
  <c r="I104" i="34"/>
  <c r="I101" i="34"/>
  <c r="M101" i="34" s="1"/>
  <c r="N101" i="34" s="1"/>
  <c r="I98" i="34"/>
  <c r="M98" i="34" s="1"/>
  <c r="I50" i="34"/>
  <c r="M50" i="34"/>
  <c r="I32" i="34"/>
  <c r="M32" i="34" s="1"/>
  <c r="N32" i="34" s="1"/>
  <c r="O32" i="34" s="1"/>
  <c r="P32" i="34" s="1"/>
  <c r="I109" i="34"/>
  <c r="M109" i="34" s="1"/>
  <c r="I95" i="34"/>
  <c r="M95" i="34" s="1"/>
  <c r="N95" i="34" s="1"/>
  <c r="I40" i="34"/>
  <c r="M40" i="34" s="1"/>
  <c r="N40" i="34" s="1"/>
  <c r="O40" i="34" s="1"/>
  <c r="P40" i="34" s="1"/>
  <c r="I35" i="34"/>
  <c r="M35" i="34" s="1"/>
  <c r="I103" i="34"/>
  <c r="M103" i="34" s="1"/>
  <c r="I97" i="34"/>
  <c r="M97" i="34" s="1"/>
  <c r="I42" i="34"/>
  <c r="M42" i="34" s="1"/>
  <c r="I31" i="34"/>
  <c r="M31" i="34" s="1"/>
  <c r="I29" i="34"/>
  <c r="M29" i="34" s="1"/>
  <c r="I23" i="34"/>
  <c r="I20" i="34"/>
  <c r="I17" i="34"/>
  <c r="I48" i="34"/>
  <c r="M48" i="34" s="1"/>
  <c r="I24" i="34"/>
  <c r="M24" i="34"/>
  <c r="I21" i="34"/>
  <c r="M21" i="34"/>
  <c r="I18" i="34"/>
  <c r="M18" i="34" s="1"/>
  <c r="N18" i="34" s="1"/>
  <c r="I14" i="34"/>
  <c r="M14" i="34" s="1"/>
  <c r="I11" i="34"/>
  <c r="M11" i="34" s="1"/>
  <c r="N11" i="34" s="1"/>
  <c r="I55" i="34"/>
  <c r="M55" i="34" s="1"/>
  <c r="I39" i="34"/>
  <c r="I34" i="34"/>
  <c r="M34" i="34"/>
  <c r="N34" i="34" s="1"/>
  <c r="I127" i="34"/>
  <c r="M127" i="34" s="1"/>
  <c r="N127" i="34" s="1"/>
  <c r="I93" i="34"/>
  <c r="M93" i="34" s="1"/>
  <c r="N93" i="34" s="1"/>
  <c r="O93" i="34" s="1"/>
  <c r="P93" i="34" s="1"/>
  <c r="I68" i="34"/>
  <c r="M68" i="34" s="1"/>
  <c r="N68" i="34" s="1"/>
  <c r="I49" i="34"/>
  <c r="M49" i="34" s="1"/>
  <c r="I33" i="34"/>
  <c r="M33" i="34" s="1"/>
  <c r="I26" i="34"/>
  <c r="M26" i="34" s="1"/>
  <c r="I16" i="34"/>
  <c r="M16" i="34" s="1"/>
  <c r="I71" i="34"/>
  <c r="M71" i="34" s="1"/>
  <c r="N71" i="34" s="1"/>
  <c r="O71" i="34" s="1"/>
  <c r="N105" i="34"/>
  <c r="O105" i="34" s="1"/>
  <c r="P105" i="34" s="1"/>
  <c r="N158" i="34"/>
  <c r="O158" i="34" s="1"/>
  <c r="P158" i="34" s="1"/>
  <c r="N24" i="35"/>
  <c r="O24" i="35" s="1"/>
  <c r="N105" i="35"/>
  <c r="O105" i="35" s="1"/>
  <c r="I122" i="36"/>
  <c r="M122" i="36" s="1"/>
  <c r="I143" i="36"/>
  <c r="I12" i="33"/>
  <c r="M12" i="33" s="1"/>
  <c r="I17" i="33"/>
  <c r="M17" i="33" s="1"/>
  <c r="I32" i="33"/>
  <c r="M32" i="33"/>
  <c r="N32" i="33" s="1"/>
  <c r="O32" i="33" s="1"/>
  <c r="P32" i="33" s="1"/>
  <c r="I42" i="33"/>
  <c r="I51" i="33"/>
  <c r="I75" i="33"/>
  <c r="I109" i="33"/>
  <c r="I11" i="33"/>
  <c r="M11" i="33" s="1"/>
  <c r="I16" i="33"/>
  <c r="I21" i="33"/>
  <c r="M21" i="33"/>
  <c r="N21" i="33" s="1"/>
  <c r="I26" i="33"/>
  <c r="M26" i="33" s="1"/>
  <c r="I31" i="33"/>
  <c r="I50" i="33"/>
  <c r="I74" i="33"/>
  <c r="I116" i="34"/>
  <c r="M116" i="34" s="1"/>
  <c r="I154" i="34"/>
  <c r="I54" i="34"/>
  <c r="I152" i="34"/>
  <c r="M152" i="34" s="1"/>
  <c r="I120" i="34"/>
  <c r="I163" i="34"/>
  <c r="M163" i="34" s="1"/>
  <c r="N163" i="34" s="1"/>
  <c r="O163" i="34" s="1"/>
  <c r="P163" i="34" s="1"/>
  <c r="I128" i="34"/>
  <c r="M128" i="34" s="1"/>
  <c r="I96" i="34"/>
  <c r="M96" i="34" s="1"/>
  <c r="I114" i="34"/>
  <c r="M114" i="34" s="1"/>
  <c r="N126" i="34"/>
  <c r="O126" i="34" s="1"/>
  <c r="P126" i="34" s="1"/>
  <c r="M133" i="36"/>
  <c r="N133" i="36" s="1"/>
  <c r="O133" i="36" s="1"/>
  <c r="I15" i="33"/>
  <c r="M15" i="33" s="1"/>
  <c r="N15" i="33" s="1"/>
  <c r="O15" i="33" s="1"/>
  <c r="I20" i="33"/>
  <c r="I25" i="33"/>
  <c r="M25" i="33" s="1"/>
  <c r="N25" i="33" s="1"/>
  <c r="I45" i="33"/>
  <c r="I49" i="33"/>
  <c r="I65" i="33"/>
  <c r="M65" i="33" s="1"/>
  <c r="I73" i="33"/>
  <c r="M73" i="33" s="1"/>
  <c r="I122" i="34"/>
  <c r="M122" i="34"/>
  <c r="N122" i="34" s="1"/>
  <c r="O122" i="34" s="1"/>
  <c r="P122" i="34" s="1"/>
  <c r="I106" i="34"/>
  <c r="I58" i="34"/>
  <c r="M58" i="34" s="1"/>
  <c r="N58" i="34" s="1"/>
  <c r="I138" i="34"/>
  <c r="M138" i="34" s="1"/>
  <c r="I131" i="34"/>
  <c r="I59" i="34"/>
  <c r="M59" i="34" s="1"/>
  <c r="I135" i="34"/>
  <c r="M135" i="34" s="1"/>
  <c r="I132" i="34"/>
  <c r="M132" i="34" s="1"/>
  <c r="N132" i="34" s="1"/>
  <c r="I118" i="34"/>
  <c r="M118" i="34" s="1"/>
  <c r="N118" i="34" s="1"/>
  <c r="O118" i="34" s="1"/>
  <c r="P118" i="34" s="1"/>
  <c r="I137" i="34"/>
  <c r="I136" i="34"/>
  <c r="M136" i="34" s="1"/>
  <c r="N136" i="34" s="1"/>
  <c r="I133" i="34"/>
  <c r="M133" i="34" s="1"/>
  <c r="I108" i="34"/>
  <c r="I156" i="34"/>
  <c r="M156" i="34"/>
  <c r="N156" i="34" s="1"/>
  <c r="I101" i="33"/>
  <c r="I95" i="33"/>
  <c r="I14" i="33"/>
  <c r="M14" i="33" s="1"/>
  <c r="I24" i="33"/>
  <c r="I29" i="33"/>
  <c r="I48" i="33"/>
  <c r="M48" i="33" s="1"/>
  <c r="I64" i="33"/>
  <c r="I72" i="33"/>
  <c r="M72" i="33" s="1"/>
  <c r="N72" i="33" s="1"/>
  <c r="I80" i="33"/>
  <c r="M80" i="33" s="1"/>
  <c r="I98" i="33"/>
  <c r="I123" i="33"/>
  <c r="M123" i="33" s="1"/>
  <c r="I140" i="33"/>
  <c r="I115" i="34"/>
  <c r="M115" i="34" s="1"/>
  <c r="I7" i="34"/>
  <c r="M7" i="34" s="1"/>
  <c r="I80" i="35"/>
  <c r="M80" i="35" s="1"/>
  <c r="M96" i="36"/>
  <c r="N96" i="36" s="1"/>
  <c r="M120" i="36"/>
  <c r="O140" i="36"/>
  <c r="M46" i="38"/>
  <c r="N144" i="40"/>
  <c r="O144" i="40" s="1"/>
  <c r="P144" i="40" s="1"/>
  <c r="I142" i="34"/>
  <c r="M142" i="34" s="1"/>
  <c r="N147" i="34"/>
  <c r="O147" i="34" s="1"/>
  <c r="P147" i="34" s="1"/>
  <c r="I28" i="35"/>
  <c r="N16" i="36"/>
  <c r="O16" i="36" s="1"/>
  <c r="M136" i="36"/>
  <c r="N59" i="40"/>
  <c r="O59" i="40" s="1"/>
  <c r="P59" i="40" s="1"/>
  <c r="I100" i="35"/>
  <c r="I81" i="35"/>
  <c r="M81" i="35" s="1"/>
  <c r="I73" i="35"/>
  <c r="M73" i="35" s="1"/>
  <c r="I65" i="35"/>
  <c r="M65" i="35" s="1"/>
  <c r="I49" i="35"/>
  <c r="M49" i="35"/>
  <c r="I45" i="35"/>
  <c r="M45" i="35" s="1"/>
  <c r="I101" i="35"/>
  <c r="M101" i="35" s="1"/>
  <c r="M99" i="35" s="1"/>
  <c r="I95" i="35"/>
  <c r="M95" i="35" s="1"/>
  <c r="I74" i="35"/>
  <c r="I50" i="35"/>
  <c r="M50" i="35" s="1"/>
  <c r="I31" i="35"/>
  <c r="I26" i="35"/>
  <c r="I21" i="35"/>
  <c r="I16" i="35"/>
  <c r="M16" i="35" s="1"/>
  <c r="N16" i="35" s="1"/>
  <c r="I11" i="35"/>
  <c r="M11" i="35" s="1"/>
  <c r="I107" i="35"/>
  <c r="I96" i="35"/>
  <c r="I75" i="35"/>
  <c r="I51" i="35"/>
  <c r="I42" i="35"/>
  <c r="M42" i="35" s="1"/>
  <c r="I32" i="35"/>
  <c r="M32" i="35" s="1"/>
  <c r="I17" i="35"/>
  <c r="M17" i="35"/>
  <c r="N17" i="35" s="1"/>
  <c r="O17" i="35" s="1"/>
  <c r="I12" i="35"/>
  <c r="M12" i="35" s="1"/>
  <c r="I97" i="35"/>
  <c r="I76" i="35"/>
  <c r="I52" i="35"/>
  <c r="I18" i="35"/>
  <c r="I109" i="35"/>
  <c r="M109" i="35" s="1"/>
  <c r="I98" i="35"/>
  <c r="I92" i="35"/>
  <c r="M92" i="35" s="1"/>
  <c r="M91" i="35" s="1"/>
  <c r="I77" i="35"/>
  <c r="I67" i="35"/>
  <c r="I53" i="35"/>
  <c r="I39" i="35"/>
  <c r="I33" i="35"/>
  <c r="I123" i="35"/>
  <c r="M123" i="35"/>
  <c r="I103" i="35"/>
  <c r="M103" i="35" s="1"/>
  <c r="I93" i="35"/>
  <c r="M93" i="35" s="1"/>
  <c r="I78" i="35"/>
  <c r="I68" i="35"/>
  <c r="I40" i="35"/>
  <c r="I34" i="35"/>
  <c r="I25" i="35"/>
  <c r="M25" i="35" s="1"/>
  <c r="N25" i="35" s="1"/>
  <c r="I35" i="35"/>
  <c r="M35" i="35" s="1"/>
  <c r="I48" i="35"/>
  <c r="M48" i="35" s="1"/>
  <c r="I72" i="35"/>
  <c r="M72" i="35" s="1"/>
  <c r="Q85" i="35"/>
  <c r="M85" i="35"/>
  <c r="N98" i="39"/>
  <c r="O98" i="39" s="1"/>
  <c r="P98" i="39" s="1"/>
  <c r="N145" i="34"/>
  <c r="O145" i="34"/>
  <c r="P145" i="34" s="1"/>
  <c r="I55" i="35"/>
  <c r="I79" i="35"/>
  <c r="M79" i="35" s="1"/>
  <c r="N79" i="35" s="1"/>
  <c r="Q83" i="35"/>
  <c r="M83" i="35"/>
  <c r="I127" i="35"/>
  <c r="M151" i="35"/>
  <c r="M163" i="35"/>
  <c r="N163" i="35"/>
  <c r="O163" i="35" s="1"/>
  <c r="O11" i="36"/>
  <c r="O54" i="36"/>
  <c r="P54" i="36" s="1"/>
  <c r="Q84" i="36"/>
  <c r="M84" i="36"/>
  <c r="N62" i="38"/>
  <c r="O62" i="38" s="1"/>
  <c r="AW8" i="43"/>
  <c r="AX8" i="43"/>
  <c r="BH8" i="43"/>
  <c r="I54" i="35"/>
  <c r="I139" i="35"/>
  <c r="M139" i="35" s="1"/>
  <c r="I162" i="35"/>
  <c r="I74" i="36"/>
  <c r="I95" i="36"/>
  <c r="I162" i="36"/>
  <c r="K163" i="39"/>
  <c r="N110" i="40"/>
  <c r="O110" i="40" s="1"/>
  <c r="P110" i="40" s="1"/>
  <c r="N61" i="35"/>
  <c r="N110" i="35"/>
  <c r="O110" i="35"/>
  <c r="P110" i="35" s="1"/>
  <c r="I112" i="35"/>
  <c r="I156" i="35"/>
  <c r="M156" i="35" s="1"/>
  <c r="N156" i="35" s="1"/>
  <c r="I8" i="36"/>
  <c r="M8" i="36" s="1"/>
  <c r="I15" i="36"/>
  <c r="M15" i="36" s="1"/>
  <c r="I20" i="36"/>
  <c r="M20" i="36" s="1"/>
  <c r="I25" i="36"/>
  <c r="M25" i="36" s="1"/>
  <c r="I30" i="36"/>
  <c r="M30" i="36" s="1"/>
  <c r="N30" i="36" s="1"/>
  <c r="O30" i="36" s="1"/>
  <c r="I45" i="36"/>
  <c r="M45" i="36" s="1"/>
  <c r="I49" i="36"/>
  <c r="I65" i="36"/>
  <c r="I73" i="36"/>
  <c r="I81" i="36"/>
  <c r="N139" i="36"/>
  <c r="O139" i="36" s="1"/>
  <c r="I153" i="36"/>
  <c r="M153" i="36"/>
  <c r="N153" i="36" s="1"/>
  <c r="O153" i="36" s="1"/>
  <c r="I125" i="39"/>
  <c r="I30" i="39"/>
  <c r="M30" i="39" s="1"/>
  <c r="N30" i="39" s="1"/>
  <c r="I8" i="39"/>
  <c r="M8" i="39" s="1"/>
  <c r="I7" i="39"/>
  <c r="M7" i="39" s="1"/>
  <c r="N7" i="39" s="1"/>
  <c r="O7" i="39" s="1"/>
  <c r="P7" i="39" s="1"/>
  <c r="N52" i="39"/>
  <c r="O52" i="39" s="1"/>
  <c r="P52" i="39" s="1"/>
  <c r="O126" i="39"/>
  <c r="P126" i="39" s="1"/>
  <c r="N158" i="40"/>
  <c r="O158" i="40" s="1"/>
  <c r="P158" i="40" s="1"/>
  <c r="O5" i="41"/>
  <c r="I121" i="35"/>
  <c r="M121" i="35" s="1"/>
  <c r="N126" i="35"/>
  <c r="O126" i="35" s="1"/>
  <c r="P126" i="35" s="1"/>
  <c r="I133" i="35"/>
  <c r="M133" i="35" s="1"/>
  <c r="I155" i="35"/>
  <c r="I14" i="36"/>
  <c r="I24" i="36"/>
  <c r="I29" i="36"/>
  <c r="M29" i="36" s="1"/>
  <c r="N29" i="36" s="1"/>
  <c r="O29" i="36" s="1"/>
  <c r="I48" i="36"/>
  <c r="M48" i="36" s="1"/>
  <c r="I64" i="36"/>
  <c r="I72" i="36"/>
  <c r="M72" i="36" s="1"/>
  <c r="I80" i="36"/>
  <c r="M80" i="36" s="1"/>
  <c r="M132" i="36"/>
  <c r="M135" i="36"/>
  <c r="I115" i="39"/>
  <c r="I128" i="39"/>
  <c r="I155" i="39"/>
  <c r="M155" i="39" s="1"/>
  <c r="N155" i="39" s="1"/>
  <c r="I54" i="39"/>
  <c r="M54" i="39" s="1"/>
  <c r="I46" i="39"/>
  <c r="M46" i="39" s="1"/>
  <c r="M15" i="39"/>
  <c r="M32" i="39"/>
  <c r="N32" i="39" s="1"/>
  <c r="N146" i="39"/>
  <c r="O146" i="39"/>
  <c r="P146" i="39" s="1"/>
  <c r="I154" i="39"/>
  <c r="M154" i="39" s="1"/>
  <c r="I46" i="35"/>
  <c r="I120" i="35"/>
  <c r="I132" i="35"/>
  <c r="M132" i="35" s="1"/>
  <c r="I154" i="35"/>
  <c r="I109" i="36"/>
  <c r="I98" i="36"/>
  <c r="I7" i="36"/>
  <c r="M7" i="36" s="1"/>
  <c r="I23" i="36"/>
  <c r="M23" i="36" s="1"/>
  <c r="I28" i="36"/>
  <c r="I35" i="36"/>
  <c r="M35" i="36"/>
  <c r="I55" i="36"/>
  <c r="M55" i="36" s="1"/>
  <c r="I71" i="36"/>
  <c r="M71" i="36" s="1"/>
  <c r="N71" i="36" s="1"/>
  <c r="I79" i="36"/>
  <c r="I116" i="36"/>
  <c r="I118" i="39"/>
  <c r="M118" i="39" s="1"/>
  <c r="N118" i="39" s="1"/>
  <c r="I140" i="39"/>
  <c r="M140" i="39" s="1"/>
  <c r="I137" i="39"/>
  <c r="I135" i="39"/>
  <c r="M135" i="39" s="1"/>
  <c r="I132" i="39"/>
  <c r="M132" i="39"/>
  <c r="I59" i="39"/>
  <c r="I106" i="39"/>
  <c r="M106" i="39" s="1"/>
  <c r="I58" i="39"/>
  <c r="M58" i="39" s="1"/>
  <c r="N58" i="39" s="1"/>
  <c r="I138" i="39"/>
  <c r="M138" i="39" s="1"/>
  <c r="I108" i="39"/>
  <c r="M108" i="39" s="1"/>
  <c r="I136" i="39"/>
  <c r="I112" i="39"/>
  <c r="M112" i="39"/>
  <c r="N112" i="39" s="1"/>
  <c r="O112" i="39" s="1"/>
  <c r="I131" i="39"/>
  <c r="M131" i="39" s="1"/>
  <c r="I122" i="39"/>
  <c r="M122" i="39" s="1"/>
  <c r="I139" i="39"/>
  <c r="M139" i="39" s="1"/>
  <c r="I153" i="35"/>
  <c r="I142" i="39"/>
  <c r="M142" i="39" s="1"/>
  <c r="N147" i="39"/>
  <c r="O147" i="39" s="1"/>
  <c r="P147" i="39" s="1"/>
  <c r="N138" i="40"/>
  <c r="O138" i="40" s="1"/>
  <c r="P138" i="40" s="1"/>
  <c r="I116" i="35"/>
  <c r="M116" i="35" s="1"/>
  <c r="N116" i="35" s="1"/>
  <c r="O116" i="35" s="1"/>
  <c r="P116" i="35" s="1"/>
  <c r="I128" i="35"/>
  <c r="I155" i="36"/>
  <c r="M155" i="36" s="1"/>
  <c r="I156" i="36"/>
  <c r="I67" i="36"/>
  <c r="M67" i="36" s="1"/>
  <c r="I77" i="36"/>
  <c r="M77" i="36" s="1"/>
  <c r="I92" i="36"/>
  <c r="M92" i="36" s="1"/>
  <c r="I97" i="36"/>
  <c r="I115" i="36"/>
  <c r="M115" i="36" s="1"/>
  <c r="I121" i="36"/>
  <c r="I128" i="36"/>
  <c r="M128" i="36" s="1"/>
  <c r="N128" i="36" s="1"/>
  <c r="M74" i="39"/>
  <c r="N158" i="39"/>
  <c r="O158" i="39" s="1"/>
  <c r="P158" i="39" s="1"/>
  <c r="O139" i="40"/>
  <c r="P139" i="40" s="1"/>
  <c r="N147" i="40"/>
  <c r="O147" i="40" s="1"/>
  <c r="P147" i="40" s="1"/>
  <c r="AL8" i="43"/>
  <c r="AK8" i="43"/>
  <c r="M82" i="40"/>
  <c r="N148" i="40"/>
  <c r="O148" i="40" s="1"/>
  <c r="P148" i="40" s="1"/>
  <c r="O8" i="41"/>
  <c r="I11" i="39"/>
  <c r="I14" i="39"/>
  <c r="M14" i="39" s="1"/>
  <c r="I18" i="39"/>
  <c r="M18" i="39" s="1"/>
  <c r="N18" i="39" s="1"/>
  <c r="I21" i="39"/>
  <c r="I24" i="39"/>
  <c r="M24" i="39" s="1"/>
  <c r="I31" i="39"/>
  <c r="M31" i="39" s="1"/>
  <c r="I35" i="39"/>
  <c r="M35" i="39" s="1"/>
  <c r="I40" i="39"/>
  <c r="M40" i="39" s="1"/>
  <c r="N40" i="39" s="1"/>
  <c r="I55" i="39"/>
  <c r="M55" i="39" s="1"/>
  <c r="I76" i="39"/>
  <c r="M76" i="39" s="1"/>
  <c r="I79" i="39"/>
  <c r="M79" i="39" s="1"/>
  <c r="I97" i="39"/>
  <c r="M97" i="39" s="1"/>
  <c r="I103" i="40"/>
  <c r="M103" i="40" s="1"/>
  <c r="I100" i="40"/>
  <c r="M100" i="40" s="1"/>
  <c r="I97" i="40"/>
  <c r="M97" i="40" s="1"/>
  <c r="I53" i="40"/>
  <c r="M53" i="40" s="1"/>
  <c r="I49" i="40"/>
  <c r="M49" i="40" s="1"/>
  <c r="I40" i="40"/>
  <c r="M40" i="40" s="1"/>
  <c r="N40" i="40" s="1"/>
  <c r="I35" i="40"/>
  <c r="M35" i="40" s="1"/>
  <c r="I31" i="40"/>
  <c r="M31" i="40" s="1"/>
  <c r="I24" i="40"/>
  <c r="M24" i="40" s="1"/>
  <c r="I109" i="40"/>
  <c r="I101" i="40"/>
  <c r="M101" i="40" s="1"/>
  <c r="I72" i="40"/>
  <c r="I65" i="40"/>
  <c r="M65" i="40" s="1"/>
  <c r="I42" i="40"/>
  <c r="M42" i="40" s="1"/>
  <c r="I33" i="40"/>
  <c r="M33" i="40" s="1"/>
  <c r="I30" i="40"/>
  <c r="M30" i="40" s="1"/>
  <c r="I25" i="40"/>
  <c r="M25" i="40" s="1"/>
  <c r="I16" i="40"/>
  <c r="M16" i="40" s="1"/>
  <c r="I127" i="40"/>
  <c r="M127" i="40" s="1"/>
  <c r="I96" i="40"/>
  <c r="I79" i="40"/>
  <c r="M79" i="40" s="1"/>
  <c r="I68" i="40"/>
  <c r="M68" i="40" s="1"/>
  <c r="I45" i="40"/>
  <c r="M45" i="40" s="1"/>
  <c r="I71" i="40"/>
  <c r="M71" i="40" s="1"/>
  <c r="I55" i="40"/>
  <c r="M55" i="40" s="1"/>
  <c r="I52" i="40"/>
  <c r="I32" i="40"/>
  <c r="I29" i="40"/>
  <c r="M29" i="40" s="1"/>
  <c r="N29" i="40" s="1"/>
  <c r="I98" i="40"/>
  <c r="M98" i="40" s="1"/>
  <c r="N98" i="40" s="1"/>
  <c r="I95" i="40"/>
  <c r="M95" i="40" s="1"/>
  <c r="I81" i="40"/>
  <c r="M81" i="40" s="1"/>
  <c r="I78" i="40"/>
  <c r="M78" i="40" s="1"/>
  <c r="I64" i="40"/>
  <c r="M64" i="40" s="1"/>
  <c r="I39" i="40"/>
  <c r="M39" i="40" s="1"/>
  <c r="N39" i="40" s="1"/>
  <c r="O39" i="40" s="1"/>
  <c r="P39" i="40" s="1"/>
  <c r="I11" i="40"/>
  <c r="M11" i="40" s="1"/>
  <c r="N11" i="40" s="1"/>
  <c r="O11" i="40" s="1"/>
  <c r="P11" i="40" s="1"/>
  <c r="I17" i="40"/>
  <c r="M17" i="40" s="1"/>
  <c r="I92" i="40"/>
  <c r="M92" i="40"/>
  <c r="N105" i="40"/>
  <c r="O105" i="40" s="1"/>
  <c r="P105" i="40" s="1"/>
  <c r="N113" i="40"/>
  <c r="O113" i="40" s="1"/>
  <c r="P113" i="40" s="1"/>
  <c r="N159" i="40"/>
  <c r="O159" i="40" s="1"/>
  <c r="P159" i="40" s="1"/>
  <c r="O10" i="41"/>
  <c r="I48" i="39"/>
  <c r="I93" i="39"/>
  <c r="M93" i="39" s="1"/>
  <c r="N105" i="39"/>
  <c r="O105" i="39" s="1"/>
  <c r="P105" i="39" s="1"/>
  <c r="I48" i="40"/>
  <c r="M48" i="40" s="1"/>
  <c r="I76" i="40"/>
  <c r="M76" i="40" s="1"/>
  <c r="N76" i="40" s="1"/>
  <c r="O76" i="40" s="1"/>
  <c r="P76" i="40" s="1"/>
  <c r="N152" i="40"/>
  <c r="O152" i="40" s="1"/>
  <c r="P152" i="40" s="1"/>
  <c r="N160" i="40"/>
  <c r="O160" i="40" s="1"/>
  <c r="P160" i="40" s="1"/>
  <c r="I17" i="39"/>
  <c r="M17" i="39" s="1"/>
  <c r="I20" i="39"/>
  <c r="M20" i="39" s="1"/>
  <c r="I23" i="39"/>
  <c r="M23" i="39" s="1"/>
  <c r="I34" i="39"/>
  <c r="I39" i="39"/>
  <c r="M39" i="39" s="1"/>
  <c r="I42" i="39"/>
  <c r="M42" i="39" s="1"/>
  <c r="I45" i="39"/>
  <c r="M45" i="39" s="1"/>
  <c r="I51" i="39"/>
  <c r="M51" i="39" s="1"/>
  <c r="I68" i="39"/>
  <c r="I104" i="39"/>
  <c r="M104" i="39" s="1"/>
  <c r="M102" i="39" s="1"/>
  <c r="I74" i="40"/>
  <c r="M74" i="40" s="1"/>
  <c r="I95" i="39"/>
  <c r="M95" i="39" s="1"/>
  <c r="N95" i="39" s="1"/>
  <c r="O95" i="39" s="1"/>
  <c r="P95" i="39" s="1"/>
  <c r="I109" i="39"/>
  <c r="I107" i="39"/>
  <c r="M107" i="39" s="1"/>
  <c r="N107" i="39" s="1"/>
  <c r="O107" i="39" s="1"/>
  <c r="P107" i="39" s="1"/>
  <c r="I81" i="39"/>
  <c r="M81" i="39" s="1"/>
  <c r="I77" i="39"/>
  <c r="M77" i="39" s="1"/>
  <c r="I73" i="39"/>
  <c r="I67" i="39"/>
  <c r="M67" i="39" s="1"/>
  <c r="I64" i="39"/>
  <c r="M64" i="39" s="1"/>
  <c r="I72" i="39"/>
  <c r="M72" i="39" s="1"/>
  <c r="I75" i="39"/>
  <c r="I78" i="39"/>
  <c r="M78" i="39" s="1"/>
  <c r="I100" i="39"/>
  <c r="I93" i="40"/>
  <c r="M93" i="40" s="1"/>
  <c r="I104" i="40"/>
  <c r="M104" i="40"/>
  <c r="M112" i="40"/>
  <c r="N112" i="40" s="1"/>
  <c r="O157" i="40"/>
  <c r="P157" i="40" s="1"/>
  <c r="D44" i="42"/>
  <c r="L14" i="41"/>
  <c r="R35" i="42"/>
  <c r="I43" i="42"/>
  <c r="I18" i="43"/>
  <c r="D7" i="41" s="1"/>
  <c r="O9" i="41"/>
  <c r="G44" i="42"/>
  <c r="I3" i="42" s="1"/>
  <c r="D3" i="42"/>
  <c r="AR6" i="43"/>
  <c r="N14" i="41"/>
  <c r="O14" i="41"/>
  <c r="K14" i="41"/>
  <c r="J14" i="41"/>
  <c r="E2" i="50"/>
  <c r="H3" i="45"/>
  <c r="I99" i="45" s="1"/>
  <c r="M99" i="45" s="1"/>
  <c r="BB6" i="43"/>
  <c r="I28" i="43"/>
  <c r="I37" i="43"/>
  <c r="I32" i="43"/>
  <c r="I17" i="43"/>
  <c r="I10" i="43"/>
  <c r="I22" i="43"/>
  <c r="I12" i="43"/>
  <c r="N16" i="44"/>
  <c r="O16" i="44" s="1"/>
  <c r="T21" i="43"/>
  <c r="T26" i="43"/>
  <c r="T42" i="43"/>
  <c r="E2" i="41"/>
  <c r="L2" i="41" s="1"/>
  <c r="L28" i="42"/>
  <c r="AL6" i="43"/>
  <c r="AK6" i="43"/>
  <c r="E37" i="43"/>
  <c r="E32" i="43"/>
  <c r="E41" i="43"/>
  <c r="E40" i="43"/>
  <c r="E33" i="43"/>
  <c r="E29" i="43"/>
  <c r="E34" i="43"/>
  <c r="E25" i="43"/>
  <c r="E24" i="43"/>
  <c r="AL7" i="43"/>
  <c r="E35" i="43"/>
  <c r="E16" i="43"/>
  <c r="AK7" i="43"/>
  <c r="F29" i="43" s="1"/>
  <c r="E20" i="43"/>
  <c r="E19" i="43"/>
  <c r="E13" i="43"/>
  <c r="E11" i="43"/>
  <c r="E36" i="43"/>
  <c r="E31" i="43"/>
  <c r="E42" i="43"/>
  <c r="E28" i="43"/>
  <c r="E27" i="43"/>
  <c r="E22" i="43"/>
  <c r="E21" i="43"/>
  <c r="E10" i="43"/>
  <c r="H12" i="43"/>
  <c r="E23" i="43"/>
  <c r="H36" i="43"/>
  <c r="H33" i="43"/>
  <c r="H41" i="43"/>
  <c r="H30" i="43"/>
  <c r="H29" i="43"/>
  <c r="H28" i="43"/>
  <c r="H27" i="43"/>
  <c r="H32" i="43"/>
  <c r="H31" i="43"/>
  <c r="H26" i="43"/>
  <c r="H20" i="43"/>
  <c r="H14" i="43"/>
  <c r="H9" i="43"/>
  <c r="H17" i="43"/>
  <c r="H38" i="43"/>
  <c r="H34" i="43"/>
  <c r="H21" i="43"/>
  <c r="H10" i="43"/>
  <c r="H40" i="43"/>
  <c r="H25" i="43"/>
  <c r="AO7" i="43"/>
  <c r="J34" i="43"/>
  <c r="H15" i="43"/>
  <c r="AL15" i="43"/>
  <c r="E17" i="43"/>
  <c r="H22" i="43"/>
  <c r="E30" i="43"/>
  <c r="M3" i="42"/>
  <c r="E40" i="44"/>
  <c r="I41" i="45"/>
  <c r="M41" i="45" s="1"/>
  <c r="I58" i="45"/>
  <c r="M58" i="45" s="1"/>
  <c r="AR15" i="43"/>
  <c r="AU15" i="43"/>
  <c r="E18" i="43"/>
  <c r="H42" i="43"/>
  <c r="M140" i="46"/>
  <c r="N140" i="46" s="1"/>
  <c r="H37" i="43"/>
  <c r="I28" i="42"/>
  <c r="AS7" i="43"/>
  <c r="N40" i="43" s="1"/>
  <c r="I24" i="45"/>
  <c r="M24" i="45" s="1"/>
  <c r="M28" i="45"/>
  <c r="I26" i="45"/>
  <c r="M26" i="45" s="1"/>
  <c r="E38" i="43"/>
  <c r="Q199" i="45"/>
  <c r="N199" i="45"/>
  <c r="O199" i="45" s="1"/>
  <c r="J12" i="41"/>
  <c r="N218" i="45"/>
  <c r="Q218" i="45"/>
  <c r="AW36" i="43"/>
  <c r="AN36" i="43"/>
  <c r="AQ36" i="43"/>
  <c r="AZ36" i="43"/>
  <c r="AT36" i="43"/>
  <c r="G31" i="44"/>
  <c r="F51" i="44"/>
  <c r="G51" i="44" s="1"/>
  <c r="G40" i="44"/>
  <c r="F48" i="44"/>
  <c r="G48" i="44" s="1"/>
  <c r="M20" i="45"/>
  <c r="N20" i="45" s="1"/>
  <c r="N114" i="45"/>
  <c r="O114" i="45" s="1"/>
  <c r="Q114" i="45"/>
  <c r="Q222" i="45"/>
  <c r="N222" i="45"/>
  <c r="O222" i="45" s="1"/>
  <c r="N47" i="45"/>
  <c r="O47" i="45"/>
  <c r="Q223" i="45"/>
  <c r="N223" i="45"/>
  <c r="O223" i="45" s="1"/>
  <c r="F50" i="44"/>
  <c r="G50" i="44" s="1"/>
  <c r="G39" i="44"/>
  <c r="I181" i="45"/>
  <c r="M181" i="45" s="1"/>
  <c r="I57" i="45"/>
  <c r="M57" i="45" s="1"/>
  <c r="I65" i="45"/>
  <c r="M65" i="45" s="1"/>
  <c r="I104" i="45"/>
  <c r="M104" i="45" s="1"/>
  <c r="M103" i="45" s="1"/>
  <c r="Q47" i="45"/>
  <c r="M59" i="46"/>
  <c r="N59" i="46" s="1"/>
  <c r="O59" i="46" s="1"/>
  <c r="Q118" i="45"/>
  <c r="N118" i="45"/>
  <c r="O118" i="45" s="1"/>
  <c r="Q219" i="45"/>
  <c r="N219" i="45"/>
  <c r="O219" i="45" s="1"/>
  <c r="Q132" i="45"/>
  <c r="Q215" i="45"/>
  <c r="Q133" i="45"/>
  <c r="N133" i="45"/>
  <c r="O133" i="45" s="1"/>
  <c r="N141" i="45"/>
  <c r="O141" i="45" s="1"/>
  <c r="N70" i="45"/>
  <c r="O70" i="45" s="1"/>
  <c r="Q136" i="45"/>
  <c r="O136" i="45"/>
  <c r="Q139" i="45"/>
  <c r="O139" i="45"/>
  <c r="M138" i="45"/>
  <c r="Q138" i="45" s="1"/>
  <c r="N211" i="45"/>
  <c r="O211" i="45" s="1"/>
  <c r="M50" i="46"/>
  <c r="M43" i="47"/>
  <c r="O155" i="51"/>
  <c r="P155" i="51" s="1"/>
  <c r="Q134" i="45"/>
  <c r="N134" i="45"/>
  <c r="O134" i="45" s="1"/>
  <c r="Q209" i="45"/>
  <c r="O209" i="45"/>
  <c r="Q225" i="45"/>
  <c r="N225" i="45"/>
  <c r="O225" i="45" s="1"/>
  <c r="Q229" i="45"/>
  <c r="Q71" i="45"/>
  <c r="N157" i="45"/>
  <c r="O157" i="45" s="1"/>
  <c r="N217" i="45"/>
  <c r="O217" i="45" s="1"/>
  <c r="M220" i="45"/>
  <c r="Q220" i="45" s="1"/>
  <c r="N221" i="45"/>
  <c r="Q221" i="45"/>
  <c r="N136" i="47"/>
  <c r="O136" i="47" s="1"/>
  <c r="N71" i="45"/>
  <c r="O71" i="45" s="1"/>
  <c r="O74" i="45"/>
  <c r="N102" i="45"/>
  <c r="O102" i="45" s="1"/>
  <c r="P102" i="45" s="1"/>
  <c r="Q171" i="45"/>
  <c r="O171" i="45"/>
  <c r="N198" i="45"/>
  <c r="Q198" i="45"/>
  <c r="Q226" i="45"/>
  <c r="O226" i="45"/>
  <c r="M14" i="46"/>
  <c r="M13" i="46" s="1"/>
  <c r="I71" i="46"/>
  <c r="M71" i="46" s="1"/>
  <c r="N71" i="46" s="1"/>
  <c r="O71" i="46" s="1"/>
  <c r="Q71" i="46" s="1"/>
  <c r="I77" i="46"/>
  <c r="M77" i="46" s="1"/>
  <c r="N77" i="46" s="1"/>
  <c r="I162" i="47"/>
  <c r="M162" i="47" s="1"/>
  <c r="I153" i="47"/>
  <c r="I163" i="47"/>
  <c r="M163" i="47" s="1"/>
  <c r="N163" i="47" s="1"/>
  <c r="I154" i="47"/>
  <c r="M154" i="47" s="1"/>
  <c r="I155" i="47"/>
  <c r="I114" i="47"/>
  <c r="I156" i="47"/>
  <c r="M156" i="47" s="1"/>
  <c r="I115" i="47"/>
  <c r="M115" i="47" s="1"/>
  <c r="N115" i="47" s="1"/>
  <c r="O115" i="47" s="1"/>
  <c r="P115" i="47" s="1"/>
  <c r="I116" i="47"/>
  <c r="M116" i="47" s="1"/>
  <c r="I152" i="47"/>
  <c r="I121" i="47"/>
  <c r="M121" i="47" s="1"/>
  <c r="I120" i="47"/>
  <c r="M120" i="47" s="1"/>
  <c r="N120" i="47" s="1"/>
  <c r="I151" i="47"/>
  <c r="M151" i="47" s="1"/>
  <c r="I46" i="47"/>
  <c r="M46" i="47" s="1"/>
  <c r="I131" i="46"/>
  <c r="I132" i="46" s="1"/>
  <c r="I101" i="46"/>
  <c r="M101" i="46" s="1"/>
  <c r="N101" i="46" s="1"/>
  <c r="I95" i="46"/>
  <c r="I107" i="46"/>
  <c r="I96" i="46"/>
  <c r="M96" i="46" s="1"/>
  <c r="I75" i="46"/>
  <c r="M75" i="46" s="1"/>
  <c r="I51" i="46"/>
  <c r="I42" i="46"/>
  <c r="M42" i="46" s="1"/>
  <c r="I32" i="46"/>
  <c r="M32" i="46" s="1"/>
  <c r="I97" i="46"/>
  <c r="I76" i="46"/>
  <c r="M76" i="46" s="1"/>
  <c r="I52" i="46"/>
  <c r="M52" i="46" s="1"/>
  <c r="N52" i="46" s="1"/>
  <c r="I109" i="46"/>
  <c r="M109" i="46" s="1"/>
  <c r="N109" i="46" s="1"/>
  <c r="I98" i="46"/>
  <c r="M98" i="46"/>
  <c r="I123" i="46"/>
  <c r="M123" i="46" s="1"/>
  <c r="N123" i="46" s="1"/>
  <c r="I103" i="46"/>
  <c r="M103" i="46" s="1"/>
  <c r="I93" i="46"/>
  <c r="I78" i="46"/>
  <c r="I68" i="46"/>
  <c r="M68" i="46" s="1"/>
  <c r="N68" i="46" s="1"/>
  <c r="O68" i="46" s="1"/>
  <c r="Q68" i="46" s="1"/>
  <c r="I40" i="46"/>
  <c r="M40" i="46" s="1"/>
  <c r="I34" i="46"/>
  <c r="M34" i="46"/>
  <c r="N34" i="46" s="1"/>
  <c r="O34" i="46" s="1"/>
  <c r="I100" i="46"/>
  <c r="M100" i="46" s="1"/>
  <c r="I81" i="46"/>
  <c r="M81" i="46" s="1"/>
  <c r="N81" i="46" s="1"/>
  <c r="O81" i="46" s="1"/>
  <c r="I73" i="46"/>
  <c r="I65" i="46"/>
  <c r="M65" i="46"/>
  <c r="I49" i="46"/>
  <c r="I45" i="46"/>
  <c r="M45" i="46" s="1"/>
  <c r="I26" i="46"/>
  <c r="M26" i="46" s="1"/>
  <c r="I28" i="46"/>
  <c r="M28" i="46" s="1"/>
  <c r="I48" i="46"/>
  <c r="I74" i="46"/>
  <c r="I30" i="46"/>
  <c r="M30" i="46" s="1"/>
  <c r="N30" i="46" s="1"/>
  <c r="O30" i="46" s="1"/>
  <c r="I16" i="46"/>
  <c r="M16" i="46" s="1"/>
  <c r="I67" i="46"/>
  <c r="M67" i="46" s="1"/>
  <c r="N67" i="46" s="1"/>
  <c r="I72" i="46"/>
  <c r="M72" i="46" s="1"/>
  <c r="N72" i="46" s="1"/>
  <c r="I80" i="46"/>
  <c r="M80" i="46" s="1"/>
  <c r="Q85" i="46"/>
  <c r="M85" i="46"/>
  <c r="I92" i="46"/>
  <c r="M92" i="46" s="1"/>
  <c r="N92" i="46" s="1"/>
  <c r="O92" i="46" s="1"/>
  <c r="I104" i="46"/>
  <c r="N129" i="45"/>
  <c r="O129" i="45" s="1"/>
  <c r="N135" i="45"/>
  <c r="O135" i="45" s="1"/>
  <c r="N184" i="45"/>
  <c r="O184" i="45" s="1"/>
  <c r="N187" i="45"/>
  <c r="O187" i="45" s="1"/>
  <c r="N195" i="45"/>
  <c r="O195" i="45" s="1"/>
  <c r="I153" i="46"/>
  <c r="I154" i="46"/>
  <c r="M154" i="46" s="1"/>
  <c r="N154" i="46" s="1"/>
  <c r="I120" i="46"/>
  <c r="M120" i="46" s="1"/>
  <c r="I46" i="46"/>
  <c r="M46" i="46" s="1"/>
  <c r="I155" i="46"/>
  <c r="M155" i="46" s="1"/>
  <c r="I121" i="46"/>
  <c r="M121" i="46" s="1"/>
  <c r="I43" i="46"/>
  <c r="M43" i="46" s="1"/>
  <c r="I156" i="46"/>
  <c r="M156" i="46" s="1"/>
  <c r="N156" i="46" s="1"/>
  <c r="I162" i="46"/>
  <c r="I54" i="46"/>
  <c r="M54" i="46" s="1"/>
  <c r="I152" i="46"/>
  <c r="I128" i="46"/>
  <c r="I116" i="46"/>
  <c r="M116" i="46"/>
  <c r="I114" i="46"/>
  <c r="I151" i="46"/>
  <c r="I163" i="46"/>
  <c r="M163" i="46" s="1"/>
  <c r="I136" i="46"/>
  <c r="M136" i="46" s="1"/>
  <c r="I106" i="46"/>
  <c r="I137" i="46"/>
  <c r="M137" i="46" s="1"/>
  <c r="I138" i="46"/>
  <c r="I108" i="46"/>
  <c r="M108" i="46" s="1"/>
  <c r="I122" i="46"/>
  <c r="M122" i="46" s="1"/>
  <c r="I139" i="46"/>
  <c r="M139" i="46" s="1"/>
  <c r="N139" i="46" s="1"/>
  <c r="O139" i="46" s="1"/>
  <c r="I118" i="46"/>
  <c r="I135" i="46"/>
  <c r="M135" i="46" s="1"/>
  <c r="N135" i="46" s="1"/>
  <c r="O135" i="46" s="1"/>
  <c r="I58" i="46"/>
  <c r="M58" i="46" s="1"/>
  <c r="I12" i="46"/>
  <c r="M12" i="46" s="1"/>
  <c r="I15" i="46"/>
  <c r="M15" i="46" s="1"/>
  <c r="I25" i="46"/>
  <c r="I31" i="46"/>
  <c r="M31" i="46" s="1"/>
  <c r="I33" i="46"/>
  <c r="I35" i="46"/>
  <c r="Q83" i="46"/>
  <c r="M83" i="46"/>
  <c r="N128" i="47"/>
  <c r="O128" i="47" s="1"/>
  <c r="I142" i="46"/>
  <c r="I112" i="46"/>
  <c r="I143" i="46"/>
  <c r="M143" i="46" s="1"/>
  <c r="O55" i="46"/>
  <c r="P55" i="46" s="1"/>
  <c r="I115" i="46"/>
  <c r="M115" i="46" s="1"/>
  <c r="I127" i="46"/>
  <c r="M127" i="46" s="1"/>
  <c r="I34" i="47"/>
  <c r="I40" i="47"/>
  <c r="I54" i="47"/>
  <c r="I76" i="47"/>
  <c r="M76" i="47" s="1"/>
  <c r="N76" i="47" s="1"/>
  <c r="I79" i="47"/>
  <c r="M79" i="47" s="1"/>
  <c r="I107" i="47"/>
  <c r="N144" i="47"/>
  <c r="O144" i="47" s="1"/>
  <c r="I12" i="47"/>
  <c r="M12" i="47" s="1"/>
  <c r="I17" i="47"/>
  <c r="I32" i="47"/>
  <c r="M32" i="47" s="1"/>
  <c r="N32" i="47" s="1"/>
  <c r="I42" i="47"/>
  <c r="M42" i="47" s="1"/>
  <c r="I51" i="47"/>
  <c r="M51" i="47" s="1"/>
  <c r="N51" i="47" s="1"/>
  <c r="O51" i="47" s="1"/>
  <c r="P51" i="47" s="1"/>
  <c r="I65" i="47"/>
  <c r="I73" i="47"/>
  <c r="M73" i="47" s="1"/>
  <c r="N133" i="47"/>
  <c r="O133" i="47" s="1"/>
  <c r="I123" i="48"/>
  <c r="M123" i="48" s="1"/>
  <c r="N123" i="48" s="1"/>
  <c r="I96" i="48"/>
  <c r="M96" i="48" s="1"/>
  <c r="I109" i="48"/>
  <c r="I98" i="48"/>
  <c r="M98" i="48" s="1"/>
  <c r="N98" i="48" s="1"/>
  <c r="I67" i="48"/>
  <c r="M67" i="48" s="1"/>
  <c r="I33" i="48"/>
  <c r="M33" i="48" s="1"/>
  <c r="N33" i="48" s="1"/>
  <c r="I93" i="48"/>
  <c r="M93" i="48" s="1"/>
  <c r="I78" i="48"/>
  <c r="M78" i="48" s="1"/>
  <c r="N78" i="48" s="1"/>
  <c r="I34" i="48"/>
  <c r="M34" i="48" s="1"/>
  <c r="I79" i="48"/>
  <c r="I55" i="48"/>
  <c r="M55" i="48" s="1"/>
  <c r="I35" i="48"/>
  <c r="I95" i="48"/>
  <c r="M95" i="48" s="1"/>
  <c r="I50" i="48"/>
  <c r="I42" i="48"/>
  <c r="I65" i="48"/>
  <c r="I72" i="48"/>
  <c r="I31" i="48"/>
  <c r="I52" i="48"/>
  <c r="M52" i="48" s="1"/>
  <c r="I20" i="48"/>
  <c r="M20" i="48" s="1"/>
  <c r="I18" i="48"/>
  <c r="M18" i="48"/>
  <c r="I51" i="48"/>
  <c r="M51" i="48" s="1"/>
  <c r="I11" i="48"/>
  <c r="M11" i="48" s="1"/>
  <c r="I11" i="47"/>
  <c r="I16" i="47"/>
  <c r="M16" i="47" s="1"/>
  <c r="N16" i="47" s="1"/>
  <c r="I21" i="47"/>
  <c r="M21" i="47" s="1"/>
  <c r="I26" i="47"/>
  <c r="I31" i="47"/>
  <c r="M31" i="47" s="1"/>
  <c r="I50" i="47"/>
  <c r="M50" i="47" s="1"/>
  <c r="N50" i="47" s="1"/>
  <c r="I64" i="47"/>
  <c r="I72" i="47"/>
  <c r="I95" i="47"/>
  <c r="M95" i="47" s="1"/>
  <c r="Q142" i="47"/>
  <c r="I49" i="48"/>
  <c r="M49" i="48" s="1"/>
  <c r="N126" i="46"/>
  <c r="O126" i="46" s="1"/>
  <c r="I15" i="47"/>
  <c r="M15" i="47" s="1"/>
  <c r="I20" i="47"/>
  <c r="I25" i="47"/>
  <c r="M25" i="47" s="1"/>
  <c r="N25" i="47" s="1"/>
  <c r="I45" i="47"/>
  <c r="M45" i="47" s="1"/>
  <c r="I49" i="47"/>
  <c r="M49" i="47" s="1"/>
  <c r="I71" i="47"/>
  <c r="N143" i="47"/>
  <c r="I73" i="48"/>
  <c r="M73" i="48" s="1"/>
  <c r="I14" i="47"/>
  <c r="M14" i="47" s="1"/>
  <c r="M13" i="47" s="1"/>
  <c r="I24" i="47"/>
  <c r="I29" i="47"/>
  <c r="I48" i="47"/>
  <c r="M48" i="47" s="1"/>
  <c r="P62" i="47"/>
  <c r="I68" i="47"/>
  <c r="M68" i="47" s="1"/>
  <c r="I96" i="47"/>
  <c r="M96" i="47" s="1"/>
  <c r="M130" i="47"/>
  <c r="N131" i="47"/>
  <c r="O131" i="47" s="1"/>
  <c r="Q131" i="47" s="1"/>
  <c r="N140" i="47"/>
  <c r="O140" i="47" s="1"/>
  <c r="P140" i="47" s="1"/>
  <c r="I109" i="47"/>
  <c r="M109" i="47" s="1"/>
  <c r="N109" i="47" s="1"/>
  <c r="I98" i="47"/>
  <c r="I92" i="47"/>
  <c r="I123" i="47"/>
  <c r="I103" i="47"/>
  <c r="M103" i="47" s="1"/>
  <c r="I93" i="47"/>
  <c r="M93" i="47" s="1"/>
  <c r="I78" i="47"/>
  <c r="M78" i="47" s="1"/>
  <c r="I104" i="47"/>
  <c r="I127" i="47"/>
  <c r="I80" i="47"/>
  <c r="M80" i="47" s="1"/>
  <c r="I100" i="47"/>
  <c r="M100" i="47"/>
  <c r="I81" i="47"/>
  <c r="M81" i="47" s="1"/>
  <c r="N81" i="47" s="1"/>
  <c r="O81" i="47" s="1"/>
  <c r="P81" i="47" s="1"/>
  <c r="I97" i="47"/>
  <c r="M97" i="47" s="1"/>
  <c r="N97" i="47" s="1"/>
  <c r="I23" i="47"/>
  <c r="M23" i="47" s="1"/>
  <c r="I28" i="47"/>
  <c r="M28" i="47" s="1"/>
  <c r="I35" i="47"/>
  <c r="M35" i="47"/>
  <c r="I55" i="47"/>
  <c r="M55" i="47" s="1"/>
  <c r="N55" i="47" s="1"/>
  <c r="I67" i="47"/>
  <c r="M67" i="47" s="1"/>
  <c r="M66" i="47" s="1"/>
  <c r="I77" i="47"/>
  <c r="M77" i="47" s="1"/>
  <c r="N126" i="49"/>
  <c r="O126" i="49" s="1"/>
  <c r="Q83" i="47"/>
  <c r="Q85" i="47"/>
  <c r="O46" i="48"/>
  <c r="Q46" i="48" s="1"/>
  <c r="I138" i="48"/>
  <c r="M138" i="48" s="1"/>
  <c r="I139" i="48"/>
  <c r="M139" i="48" s="1"/>
  <c r="N139" i="48" s="1"/>
  <c r="O139" i="48" s="1"/>
  <c r="Q139" i="48" s="1"/>
  <c r="I108" i="48"/>
  <c r="M108" i="48" s="1"/>
  <c r="I131" i="48"/>
  <c r="M131" i="48" s="1"/>
  <c r="I132" i="48"/>
  <c r="M132" i="48" s="1"/>
  <c r="I106" i="48"/>
  <c r="M106" i="48" s="1"/>
  <c r="N105" i="48"/>
  <c r="O105" i="48" s="1"/>
  <c r="I142" i="48"/>
  <c r="M142" i="48" s="1"/>
  <c r="N142" i="48" s="1"/>
  <c r="I112" i="48"/>
  <c r="I144" i="48"/>
  <c r="M144" i="48" s="1"/>
  <c r="N144" i="48" s="1"/>
  <c r="O144" i="48" s="1"/>
  <c r="N105" i="47"/>
  <c r="O105" i="47" s="1"/>
  <c r="M60" i="48"/>
  <c r="N62" i="48"/>
  <c r="N60" i="48" s="1"/>
  <c r="M59" i="49"/>
  <c r="I128" i="48"/>
  <c r="I143" i="49"/>
  <c r="M143" i="49" s="1"/>
  <c r="N143" i="49" s="1"/>
  <c r="I142" i="49"/>
  <c r="M142" i="49" s="1"/>
  <c r="I140" i="49"/>
  <c r="M140" i="49"/>
  <c r="N140" i="49" s="1"/>
  <c r="I112" i="49"/>
  <c r="M112" i="49" s="1"/>
  <c r="I144" i="49"/>
  <c r="M144" i="49" s="1"/>
  <c r="I75" i="49"/>
  <c r="M75" i="49" s="1"/>
  <c r="O113" i="49"/>
  <c r="P113" i="49" s="1"/>
  <c r="I114" i="48"/>
  <c r="M114" i="48" s="1"/>
  <c r="N114" i="48" s="1"/>
  <c r="I153" i="48"/>
  <c r="M153" i="48" s="1"/>
  <c r="I154" i="48"/>
  <c r="M154" i="48" s="1"/>
  <c r="I155" i="48"/>
  <c r="M155" i="48" s="1"/>
  <c r="N155" i="48" s="1"/>
  <c r="O155" i="48" s="1"/>
  <c r="P155" i="48" s="1"/>
  <c r="I156" i="48"/>
  <c r="M156" i="48" s="1"/>
  <c r="N156" i="48" s="1"/>
  <c r="I151" i="48"/>
  <c r="M151" i="48" s="1"/>
  <c r="I54" i="48"/>
  <c r="I121" i="48"/>
  <c r="M121" i="48" s="1"/>
  <c r="N121" i="48" s="1"/>
  <c r="N119" i="48" s="1"/>
  <c r="N140" i="48"/>
  <c r="O140" i="48" s="1"/>
  <c r="I101" i="49"/>
  <c r="M101" i="49" s="1"/>
  <c r="I78" i="49"/>
  <c r="M78" i="49" s="1"/>
  <c r="I65" i="49"/>
  <c r="M65" i="49" s="1"/>
  <c r="N65" i="49" s="1"/>
  <c r="I127" i="49"/>
  <c r="M127" i="49" s="1"/>
  <c r="I55" i="49"/>
  <c r="M55" i="49" s="1"/>
  <c r="N55" i="49" s="1"/>
  <c r="O55" i="49" s="1"/>
  <c r="P55" i="49" s="1"/>
  <c r="I76" i="49"/>
  <c r="M76" i="49" s="1"/>
  <c r="N76" i="49"/>
  <c r="I100" i="49"/>
  <c r="M100" i="49" s="1"/>
  <c r="N100" i="49" s="1"/>
  <c r="I79" i="49"/>
  <c r="M79" i="49" s="1"/>
  <c r="N79" i="49" s="1"/>
  <c r="O79" i="49" s="1"/>
  <c r="P79" i="49" s="1"/>
  <c r="I45" i="49"/>
  <c r="M45" i="49" s="1"/>
  <c r="I29" i="49"/>
  <c r="M29" i="49" s="1"/>
  <c r="I16" i="49"/>
  <c r="M16" i="49" s="1"/>
  <c r="N16" i="49" s="1"/>
  <c r="I97" i="49"/>
  <c r="M97" i="49"/>
  <c r="N97" i="49" s="1"/>
  <c r="I81" i="49"/>
  <c r="M81" i="49" s="1"/>
  <c r="N81" i="49" s="1"/>
  <c r="I34" i="49"/>
  <c r="M34" i="49" s="1"/>
  <c r="N34" i="49" s="1"/>
  <c r="I30" i="49"/>
  <c r="M30" i="49" s="1"/>
  <c r="I17" i="49"/>
  <c r="M17" i="49" s="1"/>
  <c r="I71" i="49"/>
  <c r="M71" i="49" s="1"/>
  <c r="I48" i="49"/>
  <c r="M48" i="49" s="1"/>
  <c r="I42" i="49"/>
  <c r="M42" i="49" s="1"/>
  <c r="I21" i="49"/>
  <c r="M21" i="49" s="1"/>
  <c r="I14" i="49"/>
  <c r="M14" i="49" s="1"/>
  <c r="I11" i="49"/>
  <c r="M11" i="49" s="1"/>
  <c r="I28" i="49"/>
  <c r="M28" i="49"/>
  <c r="N28" i="49" s="1"/>
  <c r="O28" i="49" s="1"/>
  <c r="P28" i="49" s="1"/>
  <c r="M60" i="49"/>
  <c r="N61" i="49"/>
  <c r="O61" i="49" s="1"/>
  <c r="P61" i="49" s="1"/>
  <c r="I125" i="49"/>
  <c r="M125" i="49" s="1"/>
  <c r="I8" i="49"/>
  <c r="M8" i="49" s="1"/>
  <c r="I73" i="49"/>
  <c r="M73" i="49" s="1"/>
  <c r="N73" i="49" s="1"/>
  <c r="I123" i="49"/>
  <c r="M123" i="49" s="1"/>
  <c r="I120" i="48"/>
  <c r="M120" i="48" s="1"/>
  <c r="I152" i="48"/>
  <c r="M152" i="48" s="1"/>
  <c r="I163" i="48"/>
  <c r="M163" i="48" s="1"/>
  <c r="N163" i="48" s="1"/>
  <c r="I138" i="49"/>
  <c r="M138" i="49" s="1"/>
  <c r="I135" i="49"/>
  <c r="M135" i="49"/>
  <c r="N135" i="49" s="1"/>
  <c r="I132" i="49"/>
  <c r="I139" i="49"/>
  <c r="M139" i="49" s="1"/>
  <c r="N139" i="49" s="1"/>
  <c r="I108" i="49"/>
  <c r="M108" i="49" s="1"/>
  <c r="I136" i="49"/>
  <c r="M136" i="49" s="1"/>
  <c r="N136" i="49" s="1"/>
  <c r="I133" i="49"/>
  <c r="M133" i="49" s="1"/>
  <c r="N133" i="49" s="1"/>
  <c r="O133" i="49" s="1"/>
  <c r="P133" i="49" s="1"/>
  <c r="I122" i="49"/>
  <c r="M122" i="49" s="1"/>
  <c r="I106" i="49"/>
  <c r="M106" i="49" s="1"/>
  <c r="N106" i="49" s="1"/>
  <c r="I131" i="49"/>
  <c r="M131" i="49" s="1"/>
  <c r="N131" i="49" s="1"/>
  <c r="I58" i="49"/>
  <c r="M58" i="49" s="1"/>
  <c r="N58" i="49" s="1"/>
  <c r="I137" i="49"/>
  <c r="M137" i="49" s="1"/>
  <c r="N137" i="49" s="1"/>
  <c r="I162" i="49"/>
  <c r="M162" i="49" s="1"/>
  <c r="N162" i="49" s="1"/>
  <c r="I154" i="49"/>
  <c r="M154" i="49" s="1"/>
  <c r="N154" i="49" s="1"/>
  <c r="I163" i="49"/>
  <c r="M163" i="49" s="1"/>
  <c r="N163" i="49" s="1"/>
  <c r="I155" i="49"/>
  <c r="I151" i="49"/>
  <c r="M151" i="49" s="1"/>
  <c r="I156" i="49"/>
  <c r="M156" i="49" s="1"/>
  <c r="N156" i="49" s="1"/>
  <c r="I152" i="49"/>
  <c r="M152" i="49" s="1"/>
  <c r="I153" i="49"/>
  <c r="M153" i="49" s="1"/>
  <c r="N153" i="49" s="1"/>
  <c r="O153" i="49" s="1"/>
  <c r="P153" i="49" s="1"/>
  <c r="I120" i="49"/>
  <c r="M120" i="49" s="1"/>
  <c r="I114" i="49"/>
  <c r="M114" i="49" s="1"/>
  <c r="N114" i="49" s="1"/>
  <c r="I116" i="49"/>
  <c r="M116" i="49" s="1"/>
  <c r="I115" i="49"/>
  <c r="M115" i="49" s="1"/>
  <c r="N115" i="49" s="1"/>
  <c r="I128" i="49"/>
  <c r="M128" i="49" s="1"/>
  <c r="O146" i="49"/>
  <c r="I46" i="49"/>
  <c r="M46" i="49" s="1"/>
  <c r="I121" i="49"/>
  <c r="P159" i="49"/>
  <c r="N8" i="51"/>
  <c r="O8" i="51" s="1"/>
  <c r="P8" i="51" s="1"/>
  <c r="I43" i="49"/>
  <c r="M43" i="49" s="1"/>
  <c r="N157" i="49"/>
  <c r="O157" i="49" s="1"/>
  <c r="P157" i="49" s="1"/>
  <c r="N126" i="51"/>
  <c r="O126" i="51" s="1"/>
  <c r="P126" i="51" s="1"/>
  <c r="O147" i="49"/>
  <c r="P147" i="49"/>
  <c r="M60" i="50"/>
  <c r="O61" i="50"/>
  <c r="N98" i="51"/>
  <c r="N139" i="51"/>
  <c r="O139" i="51"/>
  <c r="P139" i="51" s="1"/>
  <c r="N148" i="49"/>
  <c r="O148" i="49" s="1"/>
  <c r="P148" i="49" s="1"/>
  <c r="N62" i="50"/>
  <c r="N122" i="51"/>
  <c r="O122" i="51" s="1"/>
  <c r="P122" i="51" s="1"/>
  <c r="N158" i="51"/>
  <c r="O158" i="51" s="1"/>
  <c r="P158" i="51" s="1"/>
  <c r="N73" i="51"/>
  <c r="N116" i="51"/>
  <c r="O116" i="51" s="1"/>
  <c r="P116" i="51" s="1"/>
  <c r="I104" i="51"/>
  <c r="M104" i="51" s="1"/>
  <c r="I127" i="51"/>
  <c r="M127" i="51" s="1"/>
  <c r="N127" i="51"/>
  <c r="O127" i="51" s="1"/>
  <c r="P127" i="51" s="1"/>
  <c r="I95" i="51"/>
  <c r="M95" i="51" s="1"/>
  <c r="I92" i="51"/>
  <c r="M92" i="51" s="1"/>
  <c r="I55" i="51"/>
  <c r="M55" i="51" s="1"/>
  <c r="I51" i="51"/>
  <c r="M51" i="51" s="1"/>
  <c r="I33" i="51"/>
  <c r="M33" i="51" s="1"/>
  <c r="N33" i="51" s="1"/>
  <c r="I29" i="51"/>
  <c r="M29" i="51" s="1"/>
  <c r="N29" i="51" s="1"/>
  <c r="I26" i="51"/>
  <c r="M26" i="51" s="1"/>
  <c r="N26" i="51" s="1"/>
  <c r="I16" i="51"/>
  <c r="M16" i="51" s="1"/>
  <c r="I109" i="51"/>
  <c r="M109" i="51" s="1"/>
  <c r="N109" i="51" s="1"/>
  <c r="I79" i="51"/>
  <c r="M79" i="51" s="1"/>
  <c r="N79" i="51" s="1"/>
  <c r="I75" i="51"/>
  <c r="M75" i="51" s="1"/>
  <c r="N75" i="51" s="1"/>
  <c r="O75" i="51" s="1"/>
  <c r="P75" i="51" s="1"/>
  <c r="I71" i="51"/>
  <c r="M71" i="51" s="1"/>
  <c r="I96" i="51"/>
  <c r="M96" i="51" s="1"/>
  <c r="I93" i="51"/>
  <c r="M93" i="51" s="1"/>
  <c r="I52" i="51"/>
  <c r="M52" i="51" s="1"/>
  <c r="N52" i="51" s="1"/>
  <c r="O52" i="51" s="1"/>
  <c r="P52" i="51" s="1"/>
  <c r="I48" i="51"/>
  <c r="M48" i="51" s="1"/>
  <c r="I45" i="51"/>
  <c r="M45" i="51" s="1"/>
  <c r="N45" i="51" s="1"/>
  <c r="I42" i="51"/>
  <c r="M42" i="51" s="1"/>
  <c r="I39" i="51"/>
  <c r="M39" i="51" s="1"/>
  <c r="I34" i="51"/>
  <c r="M34" i="51" s="1"/>
  <c r="N34" i="51" s="1"/>
  <c r="I30" i="51"/>
  <c r="M30" i="51" s="1"/>
  <c r="N30" i="51" s="1"/>
  <c r="I23" i="51"/>
  <c r="M23" i="51" s="1"/>
  <c r="I20" i="51"/>
  <c r="M20" i="51" s="1"/>
  <c r="I17" i="51"/>
  <c r="M17" i="51" s="1"/>
  <c r="N17" i="51" s="1"/>
  <c r="I80" i="51"/>
  <c r="M80" i="51" s="1"/>
  <c r="N80" i="51" s="1"/>
  <c r="O80" i="51" s="1"/>
  <c r="P80" i="51" s="1"/>
  <c r="I76" i="51"/>
  <c r="M76" i="51" s="1"/>
  <c r="N76" i="51" s="1"/>
  <c r="O76" i="51" s="1"/>
  <c r="P76" i="51" s="1"/>
  <c r="I72" i="51"/>
  <c r="M72" i="51" s="1"/>
  <c r="N72" i="51" s="1"/>
  <c r="I103" i="51"/>
  <c r="M103" i="51" s="1"/>
  <c r="I100" i="51"/>
  <c r="M100" i="51" s="1"/>
  <c r="I97" i="51"/>
  <c r="M97" i="51"/>
  <c r="N97" i="51" s="1"/>
  <c r="I53" i="51"/>
  <c r="M53" i="51" s="1"/>
  <c r="I49" i="51"/>
  <c r="M49" i="51"/>
  <c r="N49" i="51" s="1"/>
  <c r="I40" i="51"/>
  <c r="M40" i="51" s="1"/>
  <c r="I35" i="51"/>
  <c r="M35" i="51" s="1"/>
  <c r="I31" i="51"/>
  <c r="M31" i="51" s="1"/>
  <c r="I24" i="51"/>
  <c r="M24" i="51" s="1"/>
  <c r="N24" i="51" s="1"/>
  <c r="I21" i="51"/>
  <c r="M21" i="51"/>
  <c r="I18" i="51"/>
  <c r="M18" i="51" s="1"/>
  <c r="I14" i="51"/>
  <c r="M14" i="51" s="1"/>
  <c r="I78" i="51"/>
  <c r="M78" i="51" s="1"/>
  <c r="I74" i="51"/>
  <c r="M74" i="51"/>
  <c r="N74" i="51" s="1"/>
  <c r="I68" i="51"/>
  <c r="M68" i="51" s="1"/>
  <c r="N68" i="51" s="1"/>
  <c r="I65" i="51"/>
  <c r="M65" i="51" s="1"/>
  <c r="N65" i="51" s="1"/>
  <c r="I12" i="51"/>
  <c r="M12" i="51" s="1"/>
  <c r="I107" i="51"/>
  <c r="M107" i="51" s="1"/>
  <c r="N107" i="51" s="1"/>
  <c r="O107" i="51" s="1"/>
  <c r="P107" i="51" s="1"/>
  <c r="M135" i="51"/>
  <c r="N135" i="51" s="1"/>
  <c r="N140" i="51"/>
  <c r="O140" i="51" s="1"/>
  <c r="P140" i="51" s="1"/>
  <c r="I28" i="51"/>
  <c r="M28" i="51" s="1"/>
  <c r="N28" i="51" s="1"/>
  <c r="O28" i="51" s="1"/>
  <c r="I50" i="51"/>
  <c r="M50" i="51"/>
  <c r="N50" i="51" s="1"/>
  <c r="I67" i="51"/>
  <c r="M67" i="51" s="1"/>
  <c r="N67" i="51" s="1"/>
  <c r="M82" i="51"/>
  <c r="I11" i="51"/>
  <c r="M11" i="51" s="1"/>
  <c r="N11" i="51" s="1"/>
  <c r="I32" i="51"/>
  <c r="M32" i="51" s="1"/>
  <c r="N32" i="51" s="1"/>
  <c r="I54" i="51"/>
  <c r="M54" i="51" s="1"/>
  <c r="I101" i="51"/>
  <c r="M101" i="51" s="1"/>
  <c r="N160" i="51"/>
  <c r="O160" i="51" s="1"/>
  <c r="P160" i="51" s="1"/>
  <c r="N59" i="51"/>
  <c r="O59" i="51"/>
  <c r="P59" i="51" s="1"/>
  <c r="O128" i="51"/>
  <c r="P128" i="51" s="1"/>
  <c r="N154" i="51"/>
  <c r="O154" i="51" s="1"/>
  <c r="P154" i="51" s="1"/>
  <c r="O159" i="51"/>
  <c r="P159" i="51" s="1"/>
  <c r="N110" i="51"/>
  <c r="O110" i="51" s="1"/>
  <c r="P110" i="51" s="1"/>
  <c r="N157" i="51"/>
  <c r="O157" i="51" s="1"/>
  <c r="P157" i="51" s="1"/>
  <c r="E47" i="54"/>
  <c r="K86" i="54"/>
  <c r="H58" i="54"/>
  <c r="L39" i="54"/>
  <c r="N39" i="54" s="1"/>
  <c r="L27" i="54"/>
  <c r="N27" i="54"/>
  <c r="L38" i="54"/>
  <c r="L57" i="54"/>
  <c r="L5" i="54"/>
  <c r="G76" i="54"/>
  <c r="L29" i="54"/>
  <c r="N29" i="54" s="1"/>
  <c r="L79" i="54"/>
  <c r="J12" i="25"/>
  <c r="K12" i="25" s="1"/>
  <c r="M12" i="25" s="1"/>
  <c r="N12" i="25" s="1"/>
  <c r="O12" i="25" s="1"/>
  <c r="M14" i="20"/>
  <c r="L107" i="54"/>
  <c r="P107" i="54" s="1"/>
  <c r="L8" i="54"/>
  <c r="P8" i="54" s="1"/>
  <c r="L53" i="54"/>
  <c r="N53" i="54" s="1"/>
  <c r="L106" i="54"/>
  <c r="N106" i="54" s="1"/>
  <c r="L37" i="54"/>
  <c r="L97" i="54"/>
  <c r="N97" i="54" s="1"/>
  <c r="Q110" i="48"/>
  <c r="I14" i="43"/>
  <c r="AU36" i="43"/>
  <c r="AL36" i="43"/>
  <c r="AX36" i="43"/>
  <c r="AR36" i="43"/>
  <c r="O163" i="40"/>
  <c r="P163" i="40" s="1"/>
  <c r="O58" i="47"/>
  <c r="N2" i="28"/>
  <c r="Q110" i="36"/>
  <c r="P110" i="36"/>
  <c r="A30" i="11"/>
  <c r="O8" i="31"/>
  <c r="N128" i="20"/>
  <c r="O128" i="20" s="1"/>
  <c r="Y86" i="5"/>
  <c r="Y8" i="5"/>
  <c r="Y65" i="5" s="1"/>
  <c r="X8" i="10" s="1"/>
  <c r="X7" i="10" s="1"/>
  <c r="X26" i="10" s="1"/>
  <c r="W26" i="12" s="1"/>
  <c r="H4" i="7"/>
  <c r="AL67" i="5"/>
  <c r="AD11" i="5"/>
  <c r="AK67" i="5"/>
  <c r="H66" i="54"/>
  <c r="BM38" i="10"/>
  <c r="BN6" i="5"/>
  <c r="BN3" i="5" s="1"/>
  <c r="BN60" i="5" s="1"/>
  <c r="AD38" i="10"/>
  <c r="AC66" i="5"/>
  <c r="AB38" i="10"/>
  <c r="AF11" i="5"/>
  <c r="AF68" i="5" s="1"/>
  <c r="AC23" i="5"/>
  <c r="AG78" i="5"/>
  <c r="AF42" i="10"/>
  <c r="AD23" i="5"/>
  <c r="AD80" i="5" s="1"/>
  <c r="AD78" i="5"/>
  <c r="AD42" i="10"/>
  <c r="AH80" i="5"/>
  <c r="AG42" i="10"/>
  <c r="AH42" i="10"/>
  <c r="AB42" i="10"/>
  <c r="AC78" i="5"/>
  <c r="AJ78" i="5"/>
  <c r="AI42" i="10"/>
  <c r="AD75" i="5"/>
  <c r="AC41" i="10"/>
  <c r="AD20" i="5"/>
  <c r="AF41" i="10"/>
  <c r="AG20" i="5"/>
  <c r="AG75" i="5"/>
  <c r="AE41" i="10"/>
  <c r="AF20" i="5"/>
  <c r="AF77" i="5" s="1"/>
  <c r="AF75" i="5"/>
  <c r="AI20" i="5"/>
  <c r="AI77" i="5" s="1"/>
  <c r="AI75" i="5"/>
  <c r="AH41" i="10"/>
  <c r="AH75" i="5"/>
  <c r="AG41" i="10"/>
  <c r="AH20" i="5"/>
  <c r="AH77" i="5" s="1"/>
  <c r="AD41" i="10"/>
  <c r="AE20" i="5"/>
  <c r="AE77" i="5" s="1"/>
  <c r="AE6" i="5"/>
  <c r="AE75" i="5"/>
  <c r="AJ75" i="5"/>
  <c r="AI41" i="10"/>
  <c r="AJ20" i="5"/>
  <c r="AJ77" i="5" s="1"/>
  <c r="AC75" i="5"/>
  <c r="AB41" i="10"/>
  <c r="AC20" i="5"/>
  <c r="AC77" i="5" s="1"/>
  <c r="E3" i="3"/>
  <c r="E6" i="3" s="1"/>
  <c r="F39" i="4" s="1"/>
  <c r="J11" i="4" s="1"/>
  <c r="AC6" i="5"/>
  <c r="BN11" i="5"/>
  <c r="AE11" i="5"/>
  <c r="AE68" i="5" s="1"/>
  <c r="AC11" i="5"/>
  <c r="AC68" i="5" s="1"/>
  <c r="AJ67" i="5"/>
  <c r="AI67" i="5"/>
  <c r="P128" i="25"/>
  <c r="Q128" i="25"/>
  <c r="Q138" i="20"/>
  <c r="P138" i="20"/>
  <c r="Q125" i="20"/>
  <c r="P125" i="20"/>
  <c r="G58" i="54"/>
  <c r="L58" i="54"/>
  <c r="Q126" i="24"/>
  <c r="P126" i="24"/>
  <c r="Q105" i="35"/>
  <c r="P105" i="35"/>
  <c r="M64" i="47"/>
  <c r="N64" i="47" s="1"/>
  <c r="J31" i="43"/>
  <c r="J18" i="43"/>
  <c r="J42" i="43"/>
  <c r="J17" i="43"/>
  <c r="M153" i="35"/>
  <c r="M162" i="35"/>
  <c r="N42" i="36"/>
  <c r="O42" i="36" s="1"/>
  <c r="Q42" i="36" s="1"/>
  <c r="M31" i="33"/>
  <c r="N77" i="34"/>
  <c r="O77" i="34" s="1"/>
  <c r="P77" i="34" s="1"/>
  <c r="M52" i="33"/>
  <c r="I113" i="33"/>
  <c r="M112" i="33"/>
  <c r="M121" i="33"/>
  <c r="N121" i="33" s="1"/>
  <c r="O121" i="33" s="1"/>
  <c r="M153" i="33"/>
  <c r="N153" i="33" s="1"/>
  <c r="O153" i="33" s="1"/>
  <c r="M116" i="24"/>
  <c r="M30" i="24"/>
  <c r="M137" i="37"/>
  <c r="M48" i="25"/>
  <c r="M40" i="25"/>
  <c r="M15" i="37"/>
  <c r="N15" i="37" s="1"/>
  <c r="N13" i="37" s="1"/>
  <c r="M98" i="37"/>
  <c r="M109" i="37"/>
  <c r="M64" i="37"/>
  <c r="N64" i="37" s="1"/>
  <c r="M104" i="25"/>
  <c r="M23" i="24"/>
  <c r="M25" i="24"/>
  <c r="N25" i="24" s="1"/>
  <c r="O25" i="24" s="1"/>
  <c r="N53" i="20"/>
  <c r="O53" i="20" s="1"/>
  <c r="N67" i="25"/>
  <c r="N34" i="27"/>
  <c r="O34" i="27" s="1"/>
  <c r="P34" i="27" s="1"/>
  <c r="N81" i="27"/>
  <c r="N28" i="27"/>
  <c r="O28" i="27" s="1"/>
  <c r="N65" i="40"/>
  <c r="O65" i="40" s="1"/>
  <c r="P65" i="40" s="1"/>
  <c r="N49" i="40"/>
  <c r="O49" i="40" s="1"/>
  <c r="P49" i="40" s="1"/>
  <c r="M121" i="36"/>
  <c r="M128" i="35"/>
  <c r="N128" i="35" s="1"/>
  <c r="O128" i="35" s="1"/>
  <c r="M127" i="35"/>
  <c r="M98" i="35"/>
  <c r="M21" i="35"/>
  <c r="M28" i="35"/>
  <c r="N115" i="34"/>
  <c r="O115" i="34" s="1"/>
  <c r="P115" i="34" s="1"/>
  <c r="M98" i="33"/>
  <c r="M95" i="33"/>
  <c r="N95" i="33" s="1"/>
  <c r="O95" i="33" s="1"/>
  <c r="N21" i="34"/>
  <c r="O21" i="34" s="1"/>
  <c r="P21" i="34" s="1"/>
  <c r="N42" i="34"/>
  <c r="N50" i="34"/>
  <c r="O50" i="34" s="1"/>
  <c r="P50" i="34" s="1"/>
  <c r="M104" i="33"/>
  <c r="M156" i="33"/>
  <c r="N156" i="33" s="1"/>
  <c r="O156" i="33" s="1"/>
  <c r="N33" i="33"/>
  <c r="O33" i="33" s="1"/>
  <c r="Q61" i="33"/>
  <c r="P61" i="33"/>
  <c r="N40" i="33"/>
  <c r="O40" i="33" s="1"/>
  <c r="M128" i="24"/>
  <c r="O42" i="30"/>
  <c r="O25" i="30"/>
  <c r="F8" i="28" s="1"/>
  <c r="O20" i="30"/>
  <c r="O41" i="30"/>
  <c r="F14" i="28" s="1"/>
  <c r="O39" i="30"/>
  <c r="O37" i="30"/>
  <c r="O34" i="30"/>
  <c r="F10" i="28" s="1"/>
  <c r="O13" i="30"/>
  <c r="F6" i="28" s="1"/>
  <c r="O12" i="30"/>
  <c r="O11" i="30"/>
  <c r="O10" i="30"/>
  <c r="O35" i="30"/>
  <c r="O33" i="30"/>
  <c r="O32" i="30"/>
  <c r="O31" i="30"/>
  <c r="O19" i="30"/>
  <c r="O36" i="30"/>
  <c r="O18" i="30"/>
  <c r="F7" i="28"/>
  <c r="O17" i="30"/>
  <c r="O16" i="30"/>
  <c r="O15" i="30"/>
  <c r="O14" i="30"/>
  <c r="O23" i="30"/>
  <c r="O21" i="30"/>
  <c r="O30" i="30"/>
  <c r="F9" i="28"/>
  <c r="O28" i="30"/>
  <c r="O26" i="30"/>
  <c r="O24" i="30"/>
  <c r="F12" i="28"/>
  <c r="O22" i="30"/>
  <c r="O40" i="30"/>
  <c r="O29" i="30"/>
  <c r="O27" i="30"/>
  <c r="O9" i="30"/>
  <c r="F5" i="28" s="1"/>
  <c r="O38" i="30"/>
  <c r="M77" i="25"/>
  <c r="N153" i="24"/>
  <c r="O153" i="24" s="1"/>
  <c r="M114" i="37"/>
  <c r="M153" i="37"/>
  <c r="N153" i="37" s="1"/>
  <c r="O153" i="37" s="1"/>
  <c r="M75" i="25"/>
  <c r="N75" i="25" s="1"/>
  <c r="M65" i="25"/>
  <c r="N65" i="25" s="1"/>
  <c r="O65" i="25" s="1"/>
  <c r="Q65" i="25" s="1"/>
  <c r="M68" i="25"/>
  <c r="M123" i="37"/>
  <c r="M101" i="37"/>
  <c r="N101" i="37" s="1"/>
  <c r="O101" i="37" s="1"/>
  <c r="M72" i="37"/>
  <c r="N72" i="37" s="1"/>
  <c r="O72" i="37" s="1"/>
  <c r="N17" i="23"/>
  <c r="O17" i="23" s="1"/>
  <c r="P17" i="23" s="1"/>
  <c r="M92" i="24"/>
  <c r="M74" i="25"/>
  <c r="M78" i="24"/>
  <c r="N78" i="24" s="1"/>
  <c r="O78" i="24" s="1"/>
  <c r="P78" i="24" s="1"/>
  <c r="N15" i="27"/>
  <c r="O15" i="27" s="1"/>
  <c r="P15" i="27" s="1"/>
  <c r="N51" i="27"/>
  <c r="O51" i="27" s="1"/>
  <c r="P51" i="27" s="1"/>
  <c r="B40" i="10"/>
  <c r="A72" i="5"/>
  <c r="A15" i="11"/>
  <c r="D2" i="3"/>
  <c r="D36" i="3" s="1"/>
  <c r="A24" i="14"/>
  <c r="M65" i="48"/>
  <c r="N65" i="48" s="1"/>
  <c r="O65" i="48" s="1"/>
  <c r="P65" i="48" s="1"/>
  <c r="M54" i="47"/>
  <c r="M25" i="46"/>
  <c r="M74" i="46"/>
  <c r="M95" i="46"/>
  <c r="N95" i="46" s="1"/>
  <c r="O95" i="46" s="1"/>
  <c r="G42" i="43"/>
  <c r="N93" i="39"/>
  <c r="O93" i="39" s="1"/>
  <c r="P93" i="39" s="1"/>
  <c r="N74" i="39"/>
  <c r="O74" i="39" s="1"/>
  <c r="M28" i="36"/>
  <c r="M120" i="35"/>
  <c r="M119" i="35" s="1"/>
  <c r="M64" i="36"/>
  <c r="N35" i="35"/>
  <c r="O35" i="35" s="1"/>
  <c r="M26" i="35"/>
  <c r="M101" i="33"/>
  <c r="N101" i="33" s="1"/>
  <c r="O101" i="33" s="1"/>
  <c r="M49" i="33"/>
  <c r="N49" i="33" s="1"/>
  <c r="O49" i="33" s="1"/>
  <c r="N24" i="34"/>
  <c r="O24" i="34" s="1"/>
  <c r="P24" i="34" s="1"/>
  <c r="N97" i="34"/>
  <c r="N98" i="34"/>
  <c r="O98" i="34" s="1"/>
  <c r="M79" i="33"/>
  <c r="N79" i="33" s="1"/>
  <c r="O79" i="33" s="1"/>
  <c r="M139" i="33"/>
  <c r="W42" i="30"/>
  <c r="W38" i="30"/>
  <c r="W13" i="30"/>
  <c r="W12" i="30"/>
  <c r="W11" i="30"/>
  <c r="BA7" i="30"/>
  <c r="W31" i="30"/>
  <c r="W39" i="30"/>
  <c r="W37" i="30"/>
  <c r="W19" i="30"/>
  <c r="W17" i="30"/>
  <c r="W15" i="30"/>
  <c r="W14" i="30"/>
  <c r="H4" i="28"/>
  <c r="P4" i="28" s="1"/>
  <c r="W24" i="30"/>
  <c r="W29" i="30"/>
  <c r="W23" i="30"/>
  <c r="W21" i="30"/>
  <c r="W28" i="30"/>
  <c r="AZ7" i="30"/>
  <c r="N151" i="27"/>
  <c r="M156" i="25"/>
  <c r="N128" i="27"/>
  <c r="O128" i="27" s="1"/>
  <c r="P128" i="27" s="1"/>
  <c r="M151" i="24"/>
  <c r="M142" i="25"/>
  <c r="M141" i="25" s="1"/>
  <c r="N7" i="24"/>
  <c r="M6" i="24"/>
  <c r="M152" i="37"/>
  <c r="M72" i="25"/>
  <c r="N72" i="25" s="1"/>
  <c r="M80" i="25"/>
  <c r="N80" i="25" s="1"/>
  <c r="M79" i="25"/>
  <c r="N79" i="25" s="1"/>
  <c r="M78" i="25"/>
  <c r="M28" i="37"/>
  <c r="M12" i="37"/>
  <c r="M17" i="37"/>
  <c r="M80" i="37"/>
  <c r="N26" i="25"/>
  <c r="O26" i="25" s="1"/>
  <c r="N155" i="24"/>
  <c r="O155" i="24" s="1"/>
  <c r="N120" i="37"/>
  <c r="N153" i="20"/>
  <c r="O153" i="20" s="1"/>
  <c r="N74" i="27"/>
  <c r="O74" i="27" s="1"/>
  <c r="P74" i="27" s="1"/>
  <c r="N42" i="27"/>
  <c r="N24" i="27"/>
  <c r="O24" i="27" s="1"/>
  <c r="P24" i="27" s="1"/>
  <c r="N72" i="27"/>
  <c r="O72" i="27" s="1"/>
  <c r="P72" i="27" s="1"/>
  <c r="N55" i="27"/>
  <c r="O55" i="27" s="1"/>
  <c r="P55" i="27"/>
  <c r="N58" i="20"/>
  <c r="G46" i="54"/>
  <c r="N25" i="20"/>
  <c r="O25" i="20" s="1"/>
  <c r="P25" i="20" s="1"/>
  <c r="X8" i="5"/>
  <c r="X65" i="5" s="1"/>
  <c r="AD63" i="5"/>
  <c r="AC4" i="10" s="1"/>
  <c r="AC3" i="10" s="1"/>
  <c r="AD3" i="5"/>
  <c r="T4" i="10"/>
  <c r="T3" i="10" s="1"/>
  <c r="T55" i="10"/>
  <c r="M92" i="47"/>
  <c r="M20" i="47"/>
  <c r="M26" i="47"/>
  <c r="N26" i="47" s="1"/>
  <c r="O26" i="47" s="1"/>
  <c r="M42" i="48"/>
  <c r="M35" i="48"/>
  <c r="N35" i="48" s="1"/>
  <c r="O35" i="48" s="1"/>
  <c r="M138" i="46"/>
  <c r="N138" i="46" s="1"/>
  <c r="O138" i="46" s="1"/>
  <c r="M49" i="46"/>
  <c r="M78" i="46"/>
  <c r="M97" i="46"/>
  <c r="N97" i="46" s="1"/>
  <c r="O198" i="45"/>
  <c r="N23" i="46"/>
  <c r="O23" i="46" s="1"/>
  <c r="N45" i="39"/>
  <c r="O45" i="39" s="1"/>
  <c r="P45" i="39" s="1"/>
  <c r="N97" i="40"/>
  <c r="M97" i="36"/>
  <c r="N97" i="36" s="1"/>
  <c r="N108" i="39"/>
  <c r="O108" i="39" s="1"/>
  <c r="P108" i="39" s="1"/>
  <c r="M46" i="35"/>
  <c r="M81" i="36"/>
  <c r="Q110" i="35"/>
  <c r="M33" i="35"/>
  <c r="N33" i="35"/>
  <c r="M18" i="35"/>
  <c r="N18" i="35" s="1"/>
  <c r="O18" i="35" s="1"/>
  <c r="M51" i="35"/>
  <c r="M31" i="35"/>
  <c r="N127" i="36"/>
  <c r="O127" i="36" s="1"/>
  <c r="N133" i="34"/>
  <c r="O133" i="34" s="1"/>
  <c r="P133" i="34" s="1"/>
  <c r="N138" i="34"/>
  <c r="O138" i="34" s="1"/>
  <c r="P138" i="34" s="1"/>
  <c r="M45" i="33"/>
  <c r="N128" i="34"/>
  <c r="O128" i="34" s="1"/>
  <c r="P128" i="34" s="1"/>
  <c r="N116" i="34"/>
  <c r="M16" i="33"/>
  <c r="N16" i="33" s="1"/>
  <c r="O16" i="33" s="1"/>
  <c r="Q16" i="33" s="1"/>
  <c r="M143" i="36"/>
  <c r="N48" i="34"/>
  <c r="O48" i="34" s="1"/>
  <c r="P48" i="34" s="1"/>
  <c r="N104" i="35"/>
  <c r="O104" i="35" s="1"/>
  <c r="N7" i="33"/>
  <c r="O7" i="33" s="1"/>
  <c r="O140" i="32"/>
  <c r="I22" i="32"/>
  <c r="M22" i="32" s="1"/>
  <c r="Q22" i="32" s="1"/>
  <c r="I23" i="32"/>
  <c r="M23" i="32" s="1"/>
  <c r="I44" i="32"/>
  <c r="M44" i="32" s="1"/>
  <c r="M125" i="35"/>
  <c r="M54" i="25"/>
  <c r="N54" i="25" s="1"/>
  <c r="O54" i="25" s="1"/>
  <c r="Q54" i="25" s="1"/>
  <c r="M124" i="27"/>
  <c r="M57" i="23"/>
  <c r="M56" i="23" s="1"/>
  <c r="N58" i="23"/>
  <c r="N57" i="23" s="1"/>
  <c r="N56" i="23" s="1"/>
  <c r="M67" i="37"/>
  <c r="N67" i="37" s="1"/>
  <c r="O67" i="37" s="1"/>
  <c r="P67" i="37" s="1"/>
  <c r="M46" i="37"/>
  <c r="M76" i="25"/>
  <c r="M45" i="37"/>
  <c r="M33" i="37"/>
  <c r="M100" i="37"/>
  <c r="O18" i="23"/>
  <c r="P18" i="23" s="1"/>
  <c r="N93" i="23"/>
  <c r="O93" i="23" s="1"/>
  <c r="P93" i="23" s="1"/>
  <c r="M12" i="24"/>
  <c r="N12" i="24" s="1"/>
  <c r="O12" i="24" s="1"/>
  <c r="M65" i="24"/>
  <c r="N39" i="20"/>
  <c r="N23" i="27"/>
  <c r="N22" i="27" s="1"/>
  <c r="N79" i="27"/>
  <c r="O79" i="27" s="1"/>
  <c r="P79" i="27" s="1"/>
  <c r="M38" i="27"/>
  <c r="M37" i="27" s="1"/>
  <c r="M36" i="27" s="1"/>
  <c r="N93" i="27"/>
  <c r="O93" i="27" s="1"/>
  <c r="P93" i="27" s="1"/>
  <c r="O76" i="27"/>
  <c r="P76" i="27" s="1"/>
  <c r="N151" i="49"/>
  <c r="N138" i="49"/>
  <c r="O138" i="49" s="1"/>
  <c r="P138" i="49" s="1"/>
  <c r="M98" i="47"/>
  <c r="M94" i="47" s="1"/>
  <c r="N21" i="47"/>
  <c r="O21" i="47" s="1"/>
  <c r="Q21" i="47" s="1"/>
  <c r="M31" i="48"/>
  <c r="N31" i="48" s="1"/>
  <c r="P144" i="47"/>
  <c r="Q144" i="47"/>
  <c r="M34" i="47"/>
  <c r="M142" i="46"/>
  <c r="M152" i="46"/>
  <c r="N152" i="46" s="1"/>
  <c r="O152" i="46" s="1"/>
  <c r="N32" i="46"/>
  <c r="O32" i="46" s="1"/>
  <c r="P32" i="46" s="1"/>
  <c r="I133" i="46"/>
  <c r="M133" i="46" s="1"/>
  <c r="N133" i="46" s="1"/>
  <c r="O133" i="46" s="1"/>
  <c r="Q133" i="46" s="1"/>
  <c r="M131" i="46"/>
  <c r="M155" i="47"/>
  <c r="I100" i="45"/>
  <c r="M100" i="45" s="1"/>
  <c r="Q100" i="45" s="1"/>
  <c r="N16" i="40"/>
  <c r="O16" i="40" s="1"/>
  <c r="P16" i="40" s="1"/>
  <c r="N100" i="40"/>
  <c r="O100" i="40" s="1"/>
  <c r="P100" i="40" s="1"/>
  <c r="N35" i="39"/>
  <c r="O35" i="39" s="1"/>
  <c r="P35" i="39" s="1"/>
  <c r="O71" i="39"/>
  <c r="P71" i="39" s="1"/>
  <c r="N139" i="39"/>
  <c r="O139" i="39" s="1"/>
  <c r="P139" i="39" s="1"/>
  <c r="N138" i="39"/>
  <c r="O138" i="39" s="1"/>
  <c r="P138" i="39" s="1"/>
  <c r="N7" i="36"/>
  <c r="O7" i="36" s="1"/>
  <c r="P7" i="36" s="1"/>
  <c r="M73" i="36"/>
  <c r="N73" i="36"/>
  <c r="O73" i="36" s="1"/>
  <c r="Q73" i="36" s="1"/>
  <c r="M162" i="36"/>
  <c r="N162" i="36" s="1"/>
  <c r="M54" i="35"/>
  <c r="N54" i="35" s="1"/>
  <c r="O54" i="35" s="1"/>
  <c r="O23" i="35"/>
  <c r="O118" i="36"/>
  <c r="P118" i="36" s="1"/>
  <c r="M34" i="35"/>
  <c r="M39" i="35"/>
  <c r="M52" i="35"/>
  <c r="N52" i="35" s="1"/>
  <c r="N142" i="34"/>
  <c r="O142" i="34" s="1"/>
  <c r="P142" i="34" s="1"/>
  <c r="M64" i="33"/>
  <c r="M63" i="33" s="1"/>
  <c r="N114" i="36"/>
  <c r="O114" i="36" s="1"/>
  <c r="N35" i="34"/>
  <c r="O35" i="34" s="1"/>
  <c r="P35" i="34" s="1"/>
  <c r="N107" i="36"/>
  <c r="O107" i="36" s="1"/>
  <c r="P107" i="36" s="1"/>
  <c r="M133" i="33"/>
  <c r="M131" i="33"/>
  <c r="AX6" i="30"/>
  <c r="AW6" i="30"/>
  <c r="I26" i="32"/>
  <c r="M26" i="32" s="1"/>
  <c r="I28" i="32"/>
  <c r="M28" i="32" s="1"/>
  <c r="E3" i="32"/>
  <c r="I4" i="29"/>
  <c r="N112" i="27"/>
  <c r="P34" i="30"/>
  <c r="P25" i="30"/>
  <c r="P20" i="30"/>
  <c r="P41" i="30"/>
  <c r="P39" i="30"/>
  <c r="P13" i="30"/>
  <c r="P12" i="30"/>
  <c r="P11" i="30"/>
  <c r="P10" i="30"/>
  <c r="P42" i="30"/>
  <c r="P35" i="30"/>
  <c r="P33" i="30"/>
  <c r="P31" i="30"/>
  <c r="P19" i="30"/>
  <c r="P9" i="30"/>
  <c r="P30" i="30"/>
  <c r="P28" i="30"/>
  <c r="P26" i="30"/>
  <c r="P17" i="30"/>
  <c r="P36" i="30"/>
  <c r="P24" i="30"/>
  <c r="P22" i="30"/>
  <c r="P40" i="30"/>
  <c r="P29" i="30"/>
  <c r="P27" i="30"/>
  <c r="P38" i="30"/>
  <c r="P16" i="30"/>
  <c r="P23" i="30"/>
  <c r="P21" i="30"/>
  <c r="P14" i="30"/>
  <c r="Q61" i="37"/>
  <c r="P61" i="37"/>
  <c r="M35" i="37"/>
  <c r="M115" i="37"/>
  <c r="M51" i="37"/>
  <c r="N51" i="37" s="1"/>
  <c r="Q110" i="37"/>
  <c r="M40" i="37"/>
  <c r="M63" i="27"/>
  <c r="N64" i="27"/>
  <c r="O64" i="27" s="1"/>
  <c r="N101" i="27"/>
  <c r="O101" i="27" s="1"/>
  <c r="P101" i="27" s="1"/>
  <c r="M10" i="27"/>
  <c r="N11" i="27"/>
  <c r="N65" i="27"/>
  <c r="O65" i="27" s="1"/>
  <c r="P65" i="27" s="1"/>
  <c r="N80" i="27"/>
  <c r="O80" i="27" s="1"/>
  <c r="P80" i="27" s="1"/>
  <c r="M94" i="27"/>
  <c r="O95" i="27"/>
  <c r="O94" i="27" s="1"/>
  <c r="P94" i="27" s="1"/>
  <c r="N35" i="20"/>
  <c r="O35" i="20" s="1"/>
  <c r="Q35" i="20" s="1"/>
  <c r="N81" i="37"/>
  <c r="O81" i="37" s="1"/>
  <c r="P4" i="7"/>
  <c r="AF80" i="5"/>
  <c r="V63" i="5"/>
  <c r="V7" i="5"/>
  <c r="V64" i="5" s="1"/>
  <c r="V3" i="5"/>
  <c r="V4" i="5" s="1"/>
  <c r="V61" i="5" s="1"/>
  <c r="N48" i="51"/>
  <c r="O48" i="51" s="1"/>
  <c r="P48" i="51" s="1"/>
  <c r="N45" i="49"/>
  <c r="O45" i="49" s="1"/>
  <c r="M54" i="48"/>
  <c r="N54" i="48" s="1"/>
  <c r="O54" i="48" s="1"/>
  <c r="N75" i="49"/>
  <c r="O75" i="49" s="1"/>
  <c r="P75" i="49" s="1"/>
  <c r="M128" i="48"/>
  <c r="M127" i="47"/>
  <c r="M29" i="47"/>
  <c r="N29" i="47" s="1"/>
  <c r="O29" i="47" s="1"/>
  <c r="P29" i="47" s="1"/>
  <c r="M50" i="48"/>
  <c r="M17" i="47"/>
  <c r="Q55" i="46"/>
  <c r="M106" i="46"/>
  <c r="N106" i="46" s="1"/>
  <c r="O106" i="46" s="1"/>
  <c r="M151" i="46"/>
  <c r="M73" i="46"/>
  <c r="N73" i="46" s="1"/>
  <c r="O73" i="46" s="1"/>
  <c r="N14" i="46"/>
  <c r="N50" i="46"/>
  <c r="Q20" i="45"/>
  <c r="N42" i="43"/>
  <c r="N39" i="43"/>
  <c r="N29" i="43"/>
  <c r="N32" i="43"/>
  <c r="N36" i="43"/>
  <c r="N16" i="43"/>
  <c r="N38" i="43"/>
  <c r="N19" i="43"/>
  <c r="N11" i="43"/>
  <c r="N30" i="43"/>
  <c r="N14" i="43"/>
  <c r="N15" i="43"/>
  <c r="N37" i="43"/>
  <c r="N17" i="43"/>
  <c r="N34" i="43"/>
  <c r="N31" i="43"/>
  <c r="N35" i="43"/>
  <c r="N27" i="43"/>
  <c r="N10" i="43"/>
  <c r="N9" i="43"/>
  <c r="I11" i="50"/>
  <c r="M11" i="50" s="1"/>
  <c r="I67" i="50"/>
  <c r="M67" i="50" s="1"/>
  <c r="N67" i="50" s="1"/>
  <c r="O67" i="50" s="1"/>
  <c r="P67" i="50" s="1"/>
  <c r="I64" i="50"/>
  <c r="M64" i="50" s="1"/>
  <c r="N64" i="50" s="1"/>
  <c r="I53" i="50"/>
  <c r="M53" i="50" s="1"/>
  <c r="N53" i="50" s="1"/>
  <c r="O53" i="50" s="1"/>
  <c r="P53" i="50" s="1"/>
  <c r="I49" i="50"/>
  <c r="M49" i="50" s="1"/>
  <c r="N49" i="50" s="1"/>
  <c r="O49" i="50" s="1"/>
  <c r="P49" i="50" s="1"/>
  <c r="I40" i="50"/>
  <c r="M40" i="50"/>
  <c r="I35" i="50"/>
  <c r="M35" i="50" s="1"/>
  <c r="I24" i="50"/>
  <c r="M24" i="50" s="1"/>
  <c r="N24" i="50" s="1"/>
  <c r="O24" i="50" s="1"/>
  <c r="P24" i="50" s="1"/>
  <c r="I21" i="50"/>
  <c r="M21" i="50" s="1"/>
  <c r="I18" i="50"/>
  <c r="M18" i="50" s="1"/>
  <c r="I14" i="50"/>
  <c r="M14" i="50" s="1"/>
  <c r="G2" i="50"/>
  <c r="I12" i="50"/>
  <c r="M12" i="50" s="1"/>
  <c r="I68" i="50"/>
  <c r="M68" i="50"/>
  <c r="N68" i="50" s="1"/>
  <c r="O68" i="50" s="1"/>
  <c r="P68" i="50" s="1"/>
  <c r="I54" i="50"/>
  <c r="M54" i="50" s="1"/>
  <c r="I50" i="50"/>
  <c r="M50" i="50" s="1"/>
  <c r="I32" i="50"/>
  <c r="M32" i="50" s="1"/>
  <c r="N32" i="50" s="1"/>
  <c r="O32" i="50" s="1"/>
  <c r="P32" i="50" s="1"/>
  <c r="I28" i="50"/>
  <c r="M28" i="50" s="1"/>
  <c r="I25" i="50"/>
  <c r="M25" i="50" s="1"/>
  <c r="N25" i="50" s="1"/>
  <c r="I15" i="50"/>
  <c r="M15" i="50" s="1"/>
  <c r="I48" i="50"/>
  <c r="M48" i="50" s="1"/>
  <c r="I45" i="50"/>
  <c r="M45" i="50" s="1"/>
  <c r="N45" i="50" s="1"/>
  <c r="I42" i="50"/>
  <c r="M42" i="50" s="1"/>
  <c r="I39" i="50"/>
  <c r="M39" i="50" s="1"/>
  <c r="I34" i="50"/>
  <c r="M34" i="50" s="1"/>
  <c r="N34" i="50" s="1"/>
  <c r="I23" i="50"/>
  <c r="M23" i="50" s="1"/>
  <c r="N23" i="50" s="1"/>
  <c r="I20" i="50"/>
  <c r="M20" i="50" s="1"/>
  <c r="I51" i="50"/>
  <c r="M51" i="50" s="1"/>
  <c r="N51" i="50" s="1"/>
  <c r="O51" i="50" s="1"/>
  <c r="P51" i="50" s="1"/>
  <c r="I26" i="50"/>
  <c r="M26" i="50" s="1"/>
  <c r="N26" i="50" s="1"/>
  <c r="I33" i="50"/>
  <c r="M33" i="50" s="1"/>
  <c r="I29" i="50"/>
  <c r="M29" i="50" s="1"/>
  <c r="I55" i="50"/>
  <c r="M55" i="50" s="1"/>
  <c r="N55" i="50" s="1"/>
  <c r="I16" i="50"/>
  <c r="M16" i="50" s="1"/>
  <c r="I88" i="45"/>
  <c r="K88" i="45" s="1"/>
  <c r="I93" i="45"/>
  <c r="I95" i="45"/>
  <c r="I91" i="45"/>
  <c r="K91" i="45" s="1"/>
  <c r="I89" i="45"/>
  <c r="I94" i="45"/>
  <c r="I87" i="45"/>
  <c r="I92" i="45"/>
  <c r="K92" i="45" s="1"/>
  <c r="N55" i="40"/>
  <c r="O55" i="40" s="1"/>
  <c r="P55" i="40" s="1"/>
  <c r="N24" i="40"/>
  <c r="O24" i="40" s="1"/>
  <c r="P24" i="40" s="1"/>
  <c r="N103" i="40"/>
  <c r="N31" i="39"/>
  <c r="O31" i="39" s="1"/>
  <c r="P31" i="39" s="1"/>
  <c r="M116" i="36"/>
  <c r="N116" i="36" s="1"/>
  <c r="M98" i="36"/>
  <c r="N103" i="39"/>
  <c r="O103" i="39" s="1"/>
  <c r="P103" i="39" s="1"/>
  <c r="M24" i="36"/>
  <c r="N24" i="36" s="1"/>
  <c r="O24" i="36" s="1"/>
  <c r="P24" i="36" s="1"/>
  <c r="M65" i="36"/>
  <c r="N151" i="35"/>
  <c r="O151" i="35" s="1"/>
  <c r="M40" i="35"/>
  <c r="M53" i="35"/>
  <c r="N53" i="35" s="1"/>
  <c r="M76" i="35"/>
  <c r="N76" i="35" s="1"/>
  <c r="O76" i="35" s="1"/>
  <c r="M96" i="35"/>
  <c r="N96" i="35" s="1"/>
  <c r="O96" i="35" s="1"/>
  <c r="M74" i="35"/>
  <c r="N74" i="35" s="1"/>
  <c r="M100" i="35"/>
  <c r="N100" i="35" s="1"/>
  <c r="N120" i="36"/>
  <c r="N140" i="35"/>
  <c r="O140" i="35" s="1"/>
  <c r="M20" i="33"/>
  <c r="M109" i="33"/>
  <c r="N109" i="33" s="1"/>
  <c r="N77" i="33"/>
  <c r="O77" i="33" s="1"/>
  <c r="Q77" i="33" s="1"/>
  <c r="N181" i="32"/>
  <c r="O181" i="32" s="1"/>
  <c r="Q181" i="32"/>
  <c r="M43" i="33"/>
  <c r="N43" i="33" s="1"/>
  <c r="O43" i="33" s="1"/>
  <c r="Q43" i="33" s="1"/>
  <c r="M151" i="33"/>
  <c r="N151" i="33" s="1"/>
  <c r="N114" i="27"/>
  <c r="O114" i="27" s="1"/>
  <c r="P114" i="27" s="1"/>
  <c r="N8" i="27"/>
  <c r="O8" i="27" s="1"/>
  <c r="P8" i="27" s="1"/>
  <c r="M162" i="24"/>
  <c r="M156" i="37"/>
  <c r="N156" i="37"/>
  <c r="O156" i="37" s="1"/>
  <c r="M163" i="37"/>
  <c r="M95" i="25"/>
  <c r="M123" i="25"/>
  <c r="M75" i="37"/>
  <c r="N75" i="37" s="1"/>
  <c r="O75" i="37" s="1"/>
  <c r="M53" i="37"/>
  <c r="M73" i="37"/>
  <c r="M24" i="37"/>
  <c r="M52" i="37"/>
  <c r="N12" i="23"/>
  <c r="O12" i="23" s="1"/>
  <c r="P12" i="23" s="1"/>
  <c r="N76" i="23"/>
  <c r="O76" i="23" s="1"/>
  <c r="M40" i="24"/>
  <c r="N40" i="24" s="1"/>
  <c r="O40" i="24" s="1"/>
  <c r="N68" i="27"/>
  <c r="O68" i="27" s="1"/>
  <c r="P68" i="27" s="1"/>
  <c r="N18" i="27"/>
  <c r="O18" i="27" s="1"/>
  <c r="P18" i="27" s="1"/>
  <c r="N67" i="27"/>
  <c r="M66" i="27"/>
  <c r="N107" i="27"/>
  <c r="O107" i="27" s="1"/>
  <c r="P107" i="27" s="1"/>
  <c r="N161" i="25"/>
  <c r="C84" i="5"/>
  <c r="C28" i="5"/>
  <c r="C85" i="5" s="1"/>
  <c r="H3" i="3"/>
  <c r="N53" i="51"/>
  <c r="O53" i="51" s="1"/>
  <c r="P53" i="51" s="1"/>
  <c r="N104" i="51"/>
  <c r="N59" i="49"/>
  <c r="M112" i="48"/>
  <c r="I113" i="48"/>
  <c r="M113" i="48" s="1"/>
  <c r="M104" i="47"/>
  <c r="N104" i="47" s="1"/>
  <c r="O104" i="47" s="1"/>
  <c r="M24" i="47"/>
  <c r="N24" i="47" s="1"/>
  <c r="O24" i="47" s="1"/>
  <c r="M11" i="47"/>
  <c r="N11" i="47" s="1"/>
  <c r="O11" i="47" s="1"/>
  <c r="M72" i="48"/>
  <c r="N72" i="48" s="1"/>
  <c r="M79" i="48"/>
  <c r="M109" i="48"/>
  <c r="N109" i="48" s="1"/>
  <c r="O109" i="48" s="1"/>
  <c r="Q109" i="48" s="1"/>
  <c r="M114" i="46"/>
  <c r="M162" i="46"/>
  <c r="M161" i="46" s="1"/>
  <c r="AQ29" i="43" s="1"/>
  <c r="M48" i="46"/>
  <c r="N48" i="46" s="1"/>
  <c r="M51" i="46"/>
  <c r="N51" i="46" s="1"/>
  <c r="O51" i="46" s="1"/>
  <c r="Q136" i="47"/>
  <c r="P136" i="47"/>
  <c r="I45" i="45"/>
  <c r="M45" i="45" s="1"/>
  <c r="N45" i="45" s="1"/>
  <c r="O45" i="45" s="1"/>
  <c r="F3" i="45"/>
  <c r="I44" i="42"/>
  <c r="I15" i="44"/>
  <c r="I14" i="44" s="1"/>
  <c r="F23" i="44" s="1"/>
  <c r="F31" i="44" s="1"/>
  <c r="N64" i="39"/>
  <c r="O64" i="39" s="1"/>
  <c r="P64" i="39" s="1"/>
  <c r="N30" i="40"/>
  <c r="O30" i="40" s="1"/>
  <c r="P30" i="40" s="1"/>
  <c r="N31" i="40"/>
  <c r="O31" i="40" s="1"/>
  <c r="P31" i="40" s="1"/>
  <c r="N24" i="39"/>
  <c r="O24" i="39" s="1"/>
  <c r="P24" i="39" s="1"/>
  <c r="N106" i="39"/>
  <c r="O106" i="39" s="1"/>
  <c r="P106" i="39" s="1"/>
  <c r="M79" i="36"/>
  <c r="N79" i="36" s="1"/>
  <c r="O79" i="36" s="1"/>
  <c r="M109" i="36"/>
  <c r="N109" i="36" s="1"/>
  <c r="O109" i="36" s="1"/>
  <c r="P109" i="36" s="1"/>
  <c r="N135" i="36"/>
  <c r="M14" i="36"/>
  <c r="N8" i="39"/>
  <c r="M49" i="36"/>
  <c r="N49" i="36" s="1"/>
  <c r="O49" i="36" s="1"/>
  <c r="M95" i="36"/>
  <c r="N17" i="36"/>
  <c r="O17" i="36" s="1"/>
  <c r="P17" i="36" s="1"/>
  <c r="M67" i="35"/>
  <c r="M97" i="35"/>
  <c r="N97" i="35" s="1"/>
  <c r="M107" i="35"/>
  <c r="N136" i="36"/>
  <c r="O136" i="36" s="1"/>
  <c r="N46" i="38"/>
  <c r="O46" i="38" s="1"/>
  <c r="M140" i="33"/>
  <c r="M29" i="33"/>
  <c r="M74" i="33"/>
  <c r="N74" i="33" s="1"/>
  <c r="N51" i="36"/>
  <c r="O51" i="36" s="1"/>
  <c r="N33" i="34"/>
  <c r="O33" i="34" s="1"/>
  <c r="P33" i="34" s="1"/>
  <c r="M35" i="33"/>
  <c r="M58" i="33"/>
  <c r="M46" i="33"/>
  <c r="M120" i="33"/>
  <c r="N97" i="33"/>
  <c r="O97" i="33" s="1"/>
  <c r="I54" i="38"/>
  <c r="M54" i="38" s="1"/>
  <c r="N54" i="38" s="1"/>
  <c r="I50" i="38"/>
  <c r="M50" i="38" s="1"/>
  <c r="N50" i="38" s="1"/>
  <c r="I32" i="38"/>
  <c r="M32" i="38" s="1"/>
  <c r="N32" i="38" s="1"/>
  <c r="I28" i="38"/>
  <c r="M28" i="38" s="1"/>
  <c r="I55" i="38"/>
  <c r="M55" i="38" s="1"/>
  <c r="I33" i="38"/>
  <c r="M33" i="38" s="1"/>
  <c r="I26" i="38"/>
  <c r="M26" i="38"/>
  <c r="N26" i="38" s="1"/>
  <c r="O26" i="38" s="1"/>
  <c r="P26" i="38" s="1"/>
  <c r="I16" i="38"/>
  <c r="M16" i="38" s="1"/>
  <c r="N16" i="38" s="1"/>
  <c r="O16" i="38" s="1"/>
  <c r="P16" i="38" s="1"/>
  <c r="I48" i="38"/>
  <c r="M48" i="38" s="1"/>
  <c r="I40" i="38"/>
  <c r="M40" i="38" s="1"/>
  <c r="N40" i="38" s="1"/>
  <c r="I34" i="38"/>
  <c r="M34" i="38" s="1"/>
  <c r="I12" i="38"/>
  <c r="M12" i="38" s="1"/>
  <c r="I64" i="38"/>
  <c r="M64" i="38" s="1"/>
  <c r="I52" i="38"/>
  <c r="M52" i="38" s="1"/>
  <c r="I14" i="38"/>
  <c r="M14" i="38" s="1"/>
  <c r="I31" i="38"/>
  <c r="M31" i="38" s="1"/>
  <c r="N31" i="38" s="1"/>
  <c r="O31" i="38" s="1"/>
  <c r="P31" i="38" s="1"/>
  <c r="I21" i="38"/>
  <c r="M21" i="38" s="1"/>
  <c r="N21" i="38" s="1"/>
  <c r="O21" i="38" s="1"/>
  <c r="P21" i="38" s="1"/>
  <c r="I18" i="38"/>
  <c r="M18" i="38" s="1"/>
  <c r="N18" i="38" s="1"/>
  <c r="O18" i="38" s="1"/>
  <c r="P18" i="38" s="1"/>
  <c r="I20" i="38"/>
  <c r="M20" i="38" s="1"/>
  <c r="N20" i="38" s="1"/>
  <c r="I35" i="38"/>
  <c r="M35" i="38" s="1"/>
  <c r="N35" i="38" s="1"/>
  <c r="I23" i="38"/>
  <c r="M23" i="38" s="1"/>
  <c r="I94" i="32"/>
  <c r="I96" i="32"/>
  <c r="I95" i="32"/>
  <c r="I91" i="32"/>
  <c r="K91" i="32" s="1"/>
  <c r="I93" i="32"/>
  <c r="N60" i="27"/>
  <c r="O125" i="34"/>
  <c r="BB6" i="30"/>
  <c r="M125" i="24"/>
  <c r="N125" i="24" s="1"/>
  <c r="M65" i="37"/>
  <c r="N65" i="37" s="1"/>
  <c r="O65" i="37" s="1"/>
  <c r="Q65" i="37" s="1"/>
  <c r="M107" i="25"/>
  <c r="M151" i="37"/>
  <c r="M18" i="25"/>
  <c r="M17" i="25"/>
  <c r="N17" i="25" s="1"/>
  <c r="M29" i="25"/>
  <c r="N32" i="37"/>
  <c r="O32" i="37" s="1"/>
  <c r="P32" i="37" s="1"/>
  <c r="M71" i="37"/>
  <c r="N71" i="37" s="1"/>
  <c r="M49" i="37"/>
  <c r="N49" i="37" s="1"/>
  <c r="O49" i="37" s="1"/>
  <c r="M29" i="37"/>
  <c r="N29" i="37" s="1"/>
  <c r="O29" i="37" s="1"/>
  <c r="M76" i="37"/>
  <c r="N76" i="37" s="1"/>
  <c r="N29" i="23"/>
  <c r="O29" i="23" s="1"/>
  <c r="P29" i="23" s="1"/>
  <c r="M116" i="37"/>
  <c r="N60" i="20"/>
  <c r="O61" i="20"/>
  <c r="O60" i="20" s="1"/>
  <c r="Q60" i="20" s="1"/>
  <c r="N77" i="27"/>
  <c r="O77" i="27" s="1"/>
  <c r="P77" i="27" s="1"/>
  <c r="N20" i="27"/>
  <c r="M19" i="27"/>
  <c r="N78" i="27"/>
  <c r="O78" i="27" s="1"/>
  <c r="P78" i="27" s="1"/>
  <c r="G43" i="54"/>
  <c r="N143" i="20"/>
  <c r="O143" i="20" s="1"/>
  <c r="N43" i="20"/>
  <c r="O43" i="20" s="1"/>
  <c r="P43" i="20" s="1"/>
  <c r="O162" i="25"/>
  <c r="V8" i="5"/>
  <c r="V5" i="5" s="1"/>
  <c r="V62" i="5" s="1"/>
  <c r="V86" i="5"/>
  <c r="E39" i="9"/>
  <c r="N18" i="51"/>
  <c r="O18" i="51" s="1"/>
  <c r="P18" i="51" s="1"/>
  <c r="N93" i="51"/>
  <c r="N101" i="49"/>
  <c r="M71" i="47"/>
  <c r="M35" i="46"/>
  <c r="M118" i="46"/>
  <c r="N101" i="47"/>
  <c r="O101" i="47"/>
  <c r="P101" i="47" s="1"/>
  <c r="M152" i="47"/>
  <c r="N152" i="47" s="1"/>
  <c r="O152" i="47" s="1"/>
  <c r="M153" i="47"/>
  <c r="N17" i="46"/>
  <c r="O17" i="46"/>
  <c r="Q17" i="46" s="1"/>
  <c r="N43" i="47"/>
  <c r="O43" i="47" s="1"/>
  <c r="F39" i="43"/>
  <c r="F40" i="43"/>
  <c r="F33" i="43"/>
  <c r="F34" i="43"/>
  <c r="C10" i="41" s="1"/>
  <c r="F24" i="43"/>
  <c r="C12" i="41" s="1"/>
  <c r="F32" i="43"/>
  <c r="F37" i="43"/>
  <c r="F35" i="43"/>
  <c r="F16" i="43"/>
  <c r="F19" i="43"/>
  <c r="F13" i="43"/>
  <c r="C6" i="41"/>
  <c r="F14" i="43"/>
  <c r="F38" i="43"/>
  <c r="F30" i="43"/>
  <c r="C9" i="41" s="1"/>
  <c r="F15" i="43"/>
  <c r="F27" i="43"/>
  <c r="F41" i="43"/>
  <c r="C14" i="41" s="1"/>
  <c r="F22" i="43"/>
  <c r="F9" i="43"/>
  <c r="C5" i="41" s="1"/>
  <c r="F18" i="43"/>
  <c r="C7" i="41" s="1"/>
  <c r="F12" i="43"/>
  <c r="F21" i="43"/>
  <c r="F17" i="43"/>
  <c r="F28" i="43"/>
  <c r="BB7" i="43"/>
  <c r="W20" i="43" s="1"/>
  <c r="P34" i="40"/>
  <c r="N67" i="39"/>
  <c r="O67" i="39" s="1"/>
  <c r="N23" i="39"/>
  <c r="O23" i="39" s="1"/>
  <c r="P23" i="39" s="1"/>
  <c r="N81" i="40"/>
  <c r="O81" i="40" s="1"/>
  <c r="P81" i="40" s="1"/>
  <c r="M156" i="36"/>
  <c r="N156" i="36"/>
  <c r="N122" i="39"/>
  <c r="O122" i="39" s="1"/>
  <c r="P122" i="39" s="1"/>
  <c r="M154" i="35"/>
  <c r="N154" i="35"/>
  <c r="O154" i="35" s="1"/>
  <c r="Q154" i="35" s="1"/>
  <c r="N15" i="39"/>
  <c r="O15" i="39" s="1"/>
  <c r="P15" i="39" s="1"/>
  <c r="O155" i="39"/>
  <c r="P155" i="39" s="1"/>
  <c r="N132" i="36"/>
  <c r="M155" i="35"/>
  <c r="N155" i="35" s="1"/>
  <c r="O155" i="35" s="1"/>
  <c r="P155" i="35" s="1"/>
  <c r="M112" i="35"/>
  <c r="N112" i="35" s="1"/>
  <c r="I113" i="35"/>
  <c r="M113" i="35" s="1"/>
  <c r="N113" i="35" s="1"/>
  <c r="O113" i="35" s="1"/>
  <c r="M74" i="36"/>
  <c r="M55" i="35"/>
  <c r="N55" i="35" s="1"/>
  <c r="M78" i="35"/>
  <c r="M77" i="35"/>
  <c r="M24" i="33"/>
  <c r="M51" i="33"/>
  <c r="N51" i="33" s="1"/>
  <c r="O51" i="33" s="1"/>
  <c r="N49" i="34"/>
  <c r="O49" i="34" s="1"/>
  <c r="P49" i="34" s="1"/>
  <c r="N14" i="34"/>
  <c r="N29" i="34"/>
  <c r="N73" i="34"/>
  <c r="M76" i="33"/>
  <c r="M127" i="33"/>
  <c r="N127" i="33" s="1"/>
  <c r="O127" i="33" s="1"/>
  <c r="Q127" i="33" s="1"/>
  <c r="M38" i="33"/>
  <c r="N39" i="33"/>
  <c r="N79" i="34"/>
  <c r="O79" i="34" s="1"/>
  <c r="P79" i="34" s="1"/>
  <c r="M118" i="33"/>
  <c r="M154" i="33"/>
  <c r="N154" i="33" s="1"/>
  <c r="O154" i="33" s="1"/>
  <c r="Q131" i="32"/>
  <c r="N131" i="32"/>
  <c r="O131" i="32" s="1"/>
  <c r="N93" i="33"/>
  <c r="O93" i="33" s="1"/>
  <c r="Q93" i="33" s="1"/>
  <c r="G3" i="32"/>
  <c r="I173" i="32" s="1"/>
  <c r="M173" i="32" s="1"/>
  <c r="B8" i="29"/>
  <c r="P3" i="32" s="1"/>
  <c r="I169" i="32" s="1"/>
  <c r="M169" i="32" s="1"/>
  <c r="Q169" i="32"/>
  <c r="N68" i="33"/>
  <c r="O61" i="27"/>
  <c r="P61" i="27" s="1"/>
  <c r="M91" i="33"/>
  <c r="N92" i="33"/>
  <c r="M124" i="34"/>
  <c r="N96" i="33"/>
  <c r="O96" i="33" s="1"/>
  <c r="M54" i="24"/>
  <c r="N54" i="24" s="1"/>
  <c r="M8" i="24"/>
  <c r="N8" i="24" s="1"/>
  <c r="M137" i="25"/>
  <c r="N137" i="25" s="1"/>
  <c r="O137" i="25" s="1"/>
  <c r="M54" i="37"/>
  <c r="N54" i="37" s="1"/>
  <c r="O54" i="37" s="1"/>
  <c r="M121" i="37"/>
  <c r="M30" i="37"/>
  <c r="M23" i="25"/>
  <c r="M22" i="25" s="1"/>
  <c r="M33" i="25"/>
  <c r="N33" i="25" s="1"/>
  <c r="N32" i="24"/>
  <c r="O32" i="24" s="1"/>
  <c r="P32" i="24" s="1"/>
  <c r="N7" i="23"/>
  <c r="O7" i="23" s="1"/>
  <c r="O6" i="23" s="1"/>
  <c r="P6" i="23" s="1"/>
  <c r="M6" i="23"/>
  <c r="M5" i="23" s="1"/>
  <c r="M35" i="25"/>
  <c r="N35" i="25" s="1"/>
  <c r="O35" i="25" s="1"/>
  <c r="M82" i="24"/>
  <c r="N127" i="25"/>
  <c r="O127" i="25" s="1"/>
  <c r="N67" i="20"/>
  <c r="N66" i="20" s="1"/>
  <c r="M66" i="20"/>
  <c r="N138" i="25"/>
  <c r="O138" i="25" s="1"/>
  <c r="N32" i="27"/>
  <c r="O32" i="27" s="1"/>
  <c r="P32" i="27" s="1"/>
  <c r="N17" i="27"/>
  <c r="O17" i="27" s="1"/>
  <c r="P17" i="27" s="1"/>
  <c r="M44" i="27"/>
  <c r="N98" i="20"/>
  <c r="O98" i="20" s="1"/>
  <c r="M161" i="25"/>
  <c r="C78" i="5"/>
  <c r="F3" i="3"/>
  <c r="E16" i="54"/>
  <c r="L16" i="54" s="1"/>
  <c r="E61" i="54"/>
  <c r="L61" i="54" s="1"/>
  <c r="N61" i="54" s="1"/>
  <c r="E60" i="54"/>
  <c r="L60" i="54" s="1"/>
  <c r="E15" i="54"/>
  <c r="L15" i="54" s="1"/>
  <c r="E89" i="54"/>
  <c r="L89" i="54" s="1"/>
  <c r="N89" i="54" s="1"/>
  <c r="E24" i="54"/>
  <c r="L24" i="54" s="1"/>
  <c r="K49" i="54"/>
  <c r="K33" i="54"/>
  <c r="K83" i="54"/>
  <c r="E101" i="54"/>
  <c r="L101" i="54" s="1"/>
  <c r="P101" i="54" s="1"/>
  <c r="K54" i="54"/>
  <c r="K47" i="54"/>
  <c r="K36" i="54"/>
  <c r="K77" i="54"/>
  <c r="K32" i="54"/>
  <c r="K95" i="54"/>
  <c r="H50" i="54"/>
  <c r="H49" i="54"/>
  <c r="H64" i="54"/>
  <c r="H40" i="54"/>
  <c r="H41" i="54"/>
  <c r="H30" i="54"/>
  <c r="H63" i="54"/>
  <c r="H43" i="54"/>
  <c r="H84" i="54"/>
  <c r="H99" i="54"/>
  <c r="H77" i="54"/>
  <c r="P39" i="54"/>
  <c r="H76" i="54"/>
  <c r="H33" i="54"/>
  <c r="H31" i="54"/>
  <c r="H36" i="54"/>
  <c r="P57" i="54"/>
  <c r="G49" i="54"/>
  <c r="P10" i="54"/>
  <c r="N37" i="54"/>
  <c r="N14" i="20"/>
  <c r="M13" i="20"/>
  <c r="P226" i="45"/>
  <c r="O127" i="34"/>
  <c r="P58" i="47"/>
  <c r="Q58" i="47"/>
  <c r="O131" i="40"/>
  <c r="P131" i="40" s="1"/>
  <c r="I36" i="3"/>
  <c r="B45" i="12"/>
  <c r="J38" i="4"/>
  <c r="A27" i="5"/>
  <c r="O48" i="20"/>
  <c r="Y5" i="5"/>
  <c r="Y62" i="5" s="1"/>
  <c r="BN68" i="5"/>
  <c r="AF8" i="5"/>
  <c r="AF65" i="5" s="1"/>
  <c r="AH3" i="6" s="1"/>
  <c r="AD7" i="5"/>
  <c r="AD64" i="5" s="1"/>
  <c r="H83" i="54"/>
  <c r="H62" i="54"/>
  <c r="L77" i="54"/>
  <c r="H16" i="14"/>
  <c r="G66" i="54"/>
  <c r="G32" i="54"/>
  <c r="G63" i="54"/>
  <c r="L63" i="54"/>
  <c r="N63" i="54"/>
  <c r="G64" i="54"/>
  <c r="L64" i="54"/>
  <c r="G41" i="54"/>
  <c r="N140" i="33"/>
  <c r="O140" i="33" s="1"/>
  <c r="G50" i="54"/>
  <c r="N109" i="37"/>
  <c r="O109" i="37" s="1"/>
  <c r="Q109" i="37" s="1"/>
  <c r="E62" i="54"/>
  <c r="G52" i="54"/>
  <c r="O123" i="27"/>
  <c r="P123" i="27" s="1"/>
  <c r="P189" i="45"/>
  <c r="N151" i="46"/>
  <c r="O151" i="46" s="1"/>
  <c r="N28" i="32"/>
  <c r="O39" i="27"/>
  <c r="P39" i="27" s="1"/>
  <c r="M63" i="25"/>
  <c r="N64" i="25"/>
  <c r="N125" i="35"/>
  <c r="O125" i="35" s="1"/>
  <c r="N59" i="33"/>
  <c r="O59" i="33" s="1"/>
  <c r="N73" i="35"/>
  <c r="O73" i="35" s="1"/>
  <c r="N81" i="36"/>
  <c r="O81" i="36" s="1"/>
  <c r="M41" i="47"/>
  <c r="N42" i="47"/>
  <c r="O42" i="47" s="1"/>
  <c r="N20" i="47"/>
  <c r="M19" i="47"/>
  <c r="N156" i="25"/>
  <c r="O156" i="25" s="1"/>
  <c r="N25" i="46"/>
  <c r="O25" i="46" s="1"/>
  <c r="N26" i="37"/>
  <c r="O26" i="37" s="1"/>
  <c r="P26" i="37" s="1"/>
  <c r="N68" i="25"/>
  <c r="O68" i="25" s="1"/>
  <c r="P68" i="25" s="1"/>
  <c r="N128" i="24"/>
  <c r="O128" i="24"/>
  <c r="P128" i="24" s="1"/>
  <c r="N108" i="33"/>
  <c r="O108" i="33" s="1"/>
  <c r="N28" i="35"/>
  <c r="O28" i="35" s="1"/>
  <c r="N120" i="48"/>
  <c r="O120" i="48" s="1"/>
  <c r="O7" i="37"/>
  <c r="P7" i="37" s="1"/>
  <c r="N155" i="36"/>
  <c r="O155" i="36" s="1"/>
  <c r="N116" i="47"/>
  <c r="O116" i="47" s="1"/>
  <c r="Q116" i="47" s="1"/>
  <c r="N48" i="33"/>
  <c r="O48" i="33" s="1"/>
  <c r="P48" i="33" s="1"/>
  <c r="N77" i="36"/>
  <c r="O77" i="36" s="1"/>
  <c r="I66" i="32"/>
  <c r="M66" i="32" s="1"/>
  <c r="Q66" i="32" s="1"/>
  <c r="I60" i="32"/>
  <c r="M60" i="32" s="1"/>
  <c r="N60" i="32" s="1"/>
  <c r="O60" i="32" s="1"/>
  <c r="N142" i="46"/>
  <c r="O142" i="46" s="1"/>
  <c r="Q142" i="46" s="1"/>
  <c r="N78" i="37"/>
  <c r="O78" i="37" s="1"/>
  <c r="Q78" i="37" s="1"/>
  <c r="N31" i="35"/>
  <c r="O31" i="35" s="1"/>
  <c r="Q31" i="35" s="1"/>
  <c r="N121" i="35"/>
  <c r="O121" i="35" s="1"/>
  <c r="P121" i="35" s="1"/>
  <c r="N12" i="37"/>
  <c r="N120" i="35"/>
  <c r="B40" i="12"/>
  <c r="E38" i="4"/>
  <c r="N77" i="25"/>
  <c r="O77" i="25" s="1"/>
  <c r="Q77" i="25" s="1"/>
  <c r="N26" i="33"/>
  <c r="O26" i="33" s="1"/>
  <c r="N49" i="35"/>
  <c r="O49" i="35"/>
  <c r="P49" i="35" s="1"/>
  <c r="N45" i="47"/>
  <c r="O45" i="47" s="1"/>
  <c r="Q45" i="47" s="1"/>
  <c r="M44" i="47"/>
  <c r="K4" i="7"/>
  <c r="N79" i="24"/>
  <c r="O79" i="24" s="1"/>
  <c r="N55" i="25"/>
  <c r="O55" i="25" s="1"/>
  <c r="N31" i="33"/>
  <c r="N96" i="46"/>
  <c r="O96" i="46" s="1"/>
  <c r="N106" i="48"/>
  <c r="O106" i="48" s="1"/>
  <c r="L41" i="54"/>
  <c r="N41" i="54" s="1"/>
  <c r="N80" i="33"/>
  <c r="O80" i="33" s="1"/>
  <c r="P80" i="33" s="1"/>
  <c r="N72" i="36"/>
  <c r="O72" i="36" s="1"/>
  <c r="N96" i="48"/>
  <c r="O96" i="48" s="1"/>
  <c r="N35" i="47"/>
  <c r="O35" i="47" s="1"/>
  <c r="H67" i="54"/>
  <c r="N162" i="46"/>
  <c r="N12" i="47"/>
  <c r="O12" i="47"/>
  <c r="Q12" i="47" s="1"/>
  <c r="M10" i="47"/>
  <c r="AC7" i="5"/>
  <c r="AC64" i="5" s="1"/>
  <c r="O156" i="35"/>
  <c r="N17" i="47"/>
  <c r="N63" i="27"/>
  <c r="M13" i="37"/>
  <c r="N14" i="37"/>
  <c r="N115" i="37"/>
  <c r="O115" i="37" s="1"/>
  <c r="N131" i="33"/>
  <c r="N81" i="35"/>
  <c r="O81" i="35" s="1"/>
  <c r="N33" i="24"/>
  <c r="O33" i="24"/>
  <c r="N45" i="33"/>
  <c r="N49" i="46"/>
  <c r="O49" i="46" s="1"/>
  <c r="P49" i="46" s="1"/>
  <c r="N51" i="48"/>
  <c r="O51" i="48" s="1"/>
  <c r="Q51" i="48" s="1"/>
  <c r="AD60" i="5"/>
  <c r="N139" i="35"/>
  <c r="O139" i="35" s="1"/>
  <c r="N116" i="46"/>
  <c r="O116" i="46" s="1"/>
  <c r="N52" i="48"/>
  <c r="O52" i="48" s="1"/>
  <c r="N114" i="37"/>
  <c r="O114" i="37" s="1"/>
  <c r="Q114" i="37" s="1"/>
  <c r="N23" i="33"/>
  <c r="O23" i="33" s="1"/>
  <c r="N25" i="36"/>
  <c r="O25" i="36" s="1"/>
  <c r="N35" i="36"/>
  <c r="O35" i="36" s="1"/>
  <c r="Q35" i="36" s="1"/>
  <c r="O52" i="46"/>
  <c r="N127" i="46"/>
  <c r="O127" i="46"/>
  <c r="P127" i="46" s="1"/>
  <c r="N138" i="48"/>
  <c r="O138" i="48" s="1"/>
  <c r="M66" i="25"/>
  <c r="N51" i="25"/>
  <c r="O51" i="25" s="1"/>
  <c r="P51" i="25" s="1"/>
  <c r="M66" i="46"/>
  <c r="N79" i="47"/>
  <c r="O79" i="47" s="1"/>
  <c r="Q45" i="45"/>
  <c r="N64" i="36"/>
  <c r="N152" i="48"/>
  <c r="O152" i="48" s="1"/>
  <c r="K78" i="54"/>
  <c r="N98" i="46"/>
  <c r="O98" i="46" s="1"/>
  <c r="N120" i="33"/>
  <c r="N67" i="36"/>
  <c r="M66" i="36"/>
  <c r="O48" i="46"/>
  <c r="Q48" i="46" s="1"/>
  <c r="O55" i="50"/>
  <c r="P55" i="50" s="1"/>
  <c r="N14" i="50"/>
  <c r="P95" i="27"/>
  <c r="N64" i="33"/>
  <c r="M132" i="46"/>
  <c r="N163" i="46"/>
  <c r="O163" i="46" s="1"/>
  <c r="N80" i="47"/>
  <c r="O80" i="47" s="1"/>
  <c r="Q80" i="47" s="1"/>
  <c r="N33" i="37"/>
  <c r="O33" i="37" s="1"/>
  <c r="N71" i="33"/>
  <c r="O71" i="33" s="1"/>
  <c r="N48" i="36"/>
  <c r="O48" i="36" s="1"/>
  <c r="P48" i="36" s="1"/>
  <c r="N46" i="47"/>
  <c r="X5" i="5"/>
  <c r="X62" i="5" s="1"/>
  <c r="O58" i="20"/>
  <c r="P58" i="20" s="1"/>
  <c r="N37" i="27"/>
  <c r="N36" i="27" s="1"/>
  <c r="N80" i="37"/>
  <c r="O80" i="37" s="1"/>
  <c r="O80" i="25"/>
  <c r="P80" i="25" s="1"/>
  <c r="N77" i="47"/>
  <c r="O77" i="47" s="1"/>
  <c r="P77" i="47" s="1"/>
  <c r="O65" i="49"/>
  <c r="P65" i="49" s="1"/>
  <c r="E4" i="54"/>
  <c r="L4" i="54" s="1"/>
  <c r="N20" i="25"/>
  <c r="N19" i="25" s="1"/>
  <c r="N21" i="35"/>
  <c r="N48" i="35"/>
  <c r="O48" i="35" s="1"/>
  <c r="N122" i="46"/>
  <c r="O122" i="46" s="1"/>
  <c r="N20" i="48"/>
  <c r="O20" i="48" s="1"/>
  <c r="N73" i="48"/>
  <c r="O73" i="48" s="1"/>
  <c r="N154" i="48"/>
  <c r="O154" i="48" s="1"/>
  <c r="N24" i="25"/>
  <c r="O24" i="25" s="1"/>
  <c r="N98" i="37"/>
  <c r="N116" i="24"/>
  <c r="O116" i="24" s="1"/>
  <c r="N93" i="35"/>
  <c r="O109" i="46"/>
  <c r="P109" i="46" s="1"/>
  <c r="N93" i="47"/>
  <c r="O93" i="47" s="1"/>
  <c r="M5" i="31"/>
  <c r="N5" i="31" s="1"/>
  <c r="Q107" i="36"/>
  <c r="N65" i="46"/>
  <c r="O65" i="46" s="1"/>
  <c r="N132" i="35"/>
  <c r="O132" i="35" s="1"/>
  <c r="Q132" i="35" s="1"/>
  <c r="N12" i="35"/>
  <c r="O12" i="35" s="1"/>
  <c r="P12" i="35" s="1"/>
  <c r="O132" i="36"/>
  <c r="Q132" i="36" s="1"/>
  <c r="N29" i="25"/>
  <c r="O29" i="25" s="1"/>
  <c r="N72" i="35"/>
  <c r="O72" i="35" s="1"/>
  <c r="N114" i="46"/>
  <c r="O114" i="46" s="1"/>
  <c r="P114" i="46" s="1"/>
  <c r="N95" i="47"/>
  <c r="O95" i="47" s="1"/>
  <c r="N18" i="50"/>
  <c r="O18" i="50" s="1"/>
  <c r="P18" i="50" s="1"/>
  <c r="N55" i="37"/>
  <c r="O55" i="37" s="1"/>
  <c r="N133" i="25"/>
  <c r="O133" i="25" s="1"/>
  <c r="Q133" i="25" s="1"/>
  <c r="N100" i="45"/>
  <c r="O100" i="45" s="1"/>
  <c r="P100" i="45" s="1"/>
  <c r="N137" i="46"/>
  <c r="O137" i="46" s="1"/>
  <c r="O123" i="48"/>
  <c r="O80" i="24"/>
  <c r="Q80" i="24" s="1"/>
  <c r="N22" i="32"/>
  <c r="O22" i="32" s="1"/>
  <c r="N46" i="35"/>
  <c r="O46" i="35" s="1"/>
  <c r="O101" i="46"/>
  <c r="N15" i="46"/>
  <c r="O15" i="46" s="1"/>
  <c r="M99" i="47"/>
  <c r="O131" i="49"/>
  <c r="Q25" i="20"/>
  <c r="N73" i="25"/>
  <c r="O73" i="25" s="1"/>
  <c r="N42" i="35"/>
  <c r="N76" i="46"/>
  <c r="O76" i="46" s="1"/>
  <c r="N54" i="47"/>
  <c r="O54" i="47" s="1"/>
  <c r="J52" i="54"/>
  <c r="O99" i="23"/>
  <c r="P99" i="23" s="1"/>
  <c r="N104" i="33"/>
  <c r="N31" i="46"/>
  <c r="O31" i="46" s="1"/>
  <c r="Q31" i="46" s="1"/>
  <c r="N11" i="48"/>
  <c r="O11" i="48" s="1"/>
  <c r="N96" i="47"/>
  <c r="O96" i="47" s="1"/>
  <c r="N132" i="48"/>
  <c r="O132" i="48" s="1"/>
  <c r="N112" i="33"/>
  <c r="O112" i="33" s="1"/>
  <c r="O16" i="35"/>
  <c r="N162" i="35"/>
  <c r="N161" i="35" s="1"/>
  <c r="AO29" i="30" s="1"/>
  <c r="N153" i="35"/>
  <c r="O153" i="35" s="1"/>
  <c r="Q153" i="35" s="1"/>
  <c r="M161" i="47"/>
  <c r="AT29" i="43" s="1"/>
  <c r="N162" i="47"/>
  <c r="N73" i="47"/>
  <c r="O73" i="47" s="1"/>
  <c r="Q103" i="45"/>
  <c r="BI17" i="43"/>
  <c r="AQ17" i="43" s="1"/>
  <c r="N93" i="37"/>
  <c r="O93" i="37" s="1"/>
  <c r="N98" i="36"/>
  <c r="O98" i="36" s="1"/>
  <c r="V60" i="5"/>
  <c r="N98" i="47"/>
  <c r="N65" i="24"/>
  <c r="P131" i="47"/>
  <c r="N18" i="33"/>
  <c r="O18" i="33" s="1"/>
  <c r="P18" i="33" s="1"/>
  <c r="N127" i="35"/>
  <c r="O127" i="35" s="1"/>
  <c r="P42" i="36"/>
  <c r="H44" i="54"/>
  <c r="N74" i="36"/>
  <c r="N71" i="47"/>
  <c r="O71" i="47" s="1"/>
  <c r="E74" i="9"/>
  <c r="E60" i="9"/>
  <c r="N92" i="37"/>
  <c r="N151" i="37"/>
  <c r="N58" i="33"/>
  <c r="N57" i="33" s="1"/>
  <c r="M57" i="33"/>
  <c r="O95" i="34"/>
  <c r="P95" i="34" s="1"/>
  <c r="O11" i="34"/>
  <c r="N107" i="35"/>
  <c r="O107" i="35" s="1"/>
  <c r="O135" i="36"/>
  <c r="Q135" i="36" s="1"/>
  <c r="N151" i="48"/>
  <c r="O151" i="48" s="1"/>
  <c r="N52" i="37"/>
  <c r="N53" i="37"/>
  <c r="O53" i="37" s="1"/>
  <c r="N123" i="25"/>
  <c r="O123" i="25" s="1"/>
  <c r="Q123" i="25" s="1"/>
  <c r="N163" i="37"/>
  <c r="O163" i="37" s="1"/>
  <c r="N33" i="50"/>
  <c r="N42" i="50"/>
  <c r="O42" i="50" s="1"/>
  <c r="P42" i="50" s="1"/>
  <c r="N50" i="50"/>
  <c r="O50" i="50" s="1"/>
  <c r="P50" i="50" s="1"/>
  <c r="N21" i="50"/>
  <c r="O21" i="50" s="1"/>
  <c r="P21" i="50" s="1"/>
  <c r="N154" i="47"/>
  <c r="O154" i="47" s="1"/>
  <c r="N18" i="48"/>
  <c r="O18" i="48" s="1"/>
  <c r="N108" i="48"/>
  <c r="O108" i="48" s="1"/>
  <c r="N133" i="33"/>
  <c r="O133" i="33" s="1"/>
  <c r="P133" i="33" s="1"/>
  <c r="N80" i="35"/>
  <c r="O80" i="35" s="1"/>
  <c r="N34" i="35"/>
  <c r="O34" i="35" s="1"/>
  <c r="Q34" i="35" s="1"/>
  <c r="N8" i="36"/>
  <c r="N155" i="47"/>
  <c r="O155" i="47" s="1"/>
  <c r="N15" i="47"/>
  <c r="O151" i="49"/>
  <c r="P151" i="49" s="1"/>
  <c r="O39" i="20"/>
  <c r="N93" i="25"/>
  <c r="O93" i="25" s="1"/>
  <c r="N106" i="33"/>
  <c r="O106" i="33" s="1"/>
  <c r="P71" i="34"/>
  <c r="N15" i="36"/>
  <c r="O15" i="36" s="1"/>
  <c r="P198" i="45"/>
  <c r="N46" i="46"/>
  <c r="O46" i="46"/>
  <c r="N67" i="47"/>
  <c r="O67" i="47" s="1"/>
  <c r="N152" i="37"/>
  <c r="O152" i="37" s="1"/>
  <c r="Q152" i="37" s="1"/>
  <c r="N17" i="33"/>
  <c r="O17" i="33" s="1"/>
  <c r="P17" i="33" s="1"/>
  <c r="N16" i="46"/>
  <c r="O16" i="46" s="1"/>
  <c r="N108" i="46"/>
  <c r="O108" i="46" s="1"/>
  <c r="N68" i="47"/>
  <c r="N34" i="48"/>
  <c r="O34" i="48" s="1"/>
  <c r="N10" i="54"/>
  <c r="N48" i="25"/>
  <c r="N47" i="25" s="1"/>
  <c r="M47" i="25"/>
  <c r="M113" i="33"/>
  <c r="N113" i="33" s="1"/>
  <c r="O113" i="33" s="1"/>
  <c r="P113" i="33" s="1"/>
  <c r="N80" i="36"/>
  <c r="O80" i="36"/>
  <c r="N43" i="46"/>
  <c r="O43" i="46" s="1"/>
  <c r="M22" i="47"/>
  <c r="N23" i="47"/>
  <c r="O23" i="47" s="1"/>
  <c r="P23" i="47" s="1"/>
  <c r="N8" i="54"/>
  <c r="N35" i="46"/>
  <c r="O35" i="46"/>
  <c r="N98" i="35"/>
  <c r="O98" i="35" s="1"/>
  <c r="G48" i="54"/>
  <c r="Q64" i="35"/>
  <c r="E105" i="54"/>
  <c r="L105" i="54" s="1"/>
  <c r="N128" i="37"/>
  <c r="N23" i="25"/>
  <c r="O23" i="25" s="1"/>
  <c r="P23" i="25" s="1"/>
  <c r="N78" i="35"/>
  <c r="N118" i="46"/>
  <c r="O118" i="46" s="1"/>
  <c r="N14" i="47"/>
  <c r="O14" i="47" s="1"/>
  <c r="P14" i="47" s="1"/>
  <c r="O32" i="38"/>
  <c r="P32" i="38" s="1"/>
  <c r="N46" i="33"/>
  <c r="O46" i="33" s="1"/>
  <c r="Q46" i="33" s="1"/>
  <c r="N29" i="33"/>
  <c r="K26" i="42"/>
  <c r="P59" i="46"/>
  <c r="Q59" i="46"/>
  <c r="N80" i="46"/>
  <c r="O80" i="46" s="1"/>
  <c r="N40" i="35"/>
  <c r="N54" i="50"/>
  <c r="O54" i="50" s="1"/>
  <c r="P54" i="50" s="1"/>
  <c r="O20" i="45"/>
  <c r="N103" i="46"/>
  <c r="O103" i="46" s="1"/>
  <c r="N54" i="46"/>
  <c r="O54" i="46" s="1"/>
  <c r="N93" i="48"/>
  <c r="M9" i="27"/>
  <c r="N40" i="37"/>
  <c r="O40" i="37" s="1"/>
  <c r="N11" i="33"/>
  <c r="N151" i="47"/>
  <c r="O151" i="47" s="1"/>
  <c r="N120" i="46"/>
  <c r="N34" i="47"/>
  <c r="O34" i="47"/>
  <c r="P34" i="47" s="1"/>
  <c r="N48" i="47"/>
  <c r="O48" i="47" s="1"/>
  <c r="N25" i="37"/>
  <c r="O25" i="37" s="1"/>
  <c r="P25" i="37" s="1"/>
  <c r="N46" i="37"/>
  <c r="O46" i="37" s="1"/>
  <c r="P104" i="35"/>
  <c r="Q104" i="35"/>
  <c r="P163" i="35"/>
  <c r="Q163" i="35"/>
  <c r="N23" i="36"/>
  <c r="O23" i="36" s="1"/>
  <c r="M22" i="36"/>
  <c r="N17" i="37"/>
  <c r="O17" i="37" s="1"/>
  <c r="N78" i="25"/>
  <c r="O78" i="25" s="1"/>
  <c r="Q78" i="25" s="1"/>
  <c r="N96" i="25"/>
  <c r="O96" i="25" s="1"/>
  <c r="N142" i="25"/>
  <c r="N139" i="33"/>
  <c r="O139" i="33" s="1"/>
  <c r="N109" i="35"/>
  <c r="O109" i="35" s="1"/>
  <c r="P109" i="35" s="1"/>
  <c r="N123" i="37"/>
  <c r="O123" i="37" s="1"/>
  <c r="Q123" i="37" s="1"/>
  <c r="L43" i="54"/>
  <c r="P43" i="54" s="1"/>
  <c r="N65" i="33"/>
  <c r="O65" i="33" s="1"/>
  <c r="N133" i="35"/>
  <c r="O133" i="35" s="1"/>
  <c r="N26" i="46"/>
  <c r="N103" i="47"/>
  <c r="O103" i="47" s="1"/>
  <c r="P103" i="47" s="1"/>
  <c r="M102" i="47"/>
  <c r="N57" i="54"/>
  <c r="N104" i="25"/>
  <c r="O104" i="25" s="1"/>
  <c r="M63" i="37"/>
  <c r="N40" i="25"/>
  <c r="O40" i="25" s="1"/>
  <c r="M38" i="25"/>
  <c r="M37" i="25" s="1"/>
  <c r="M36" i="25" s="1"/>
  <c r="N137" i="37"/>
  <c r="N55" i="36"/>
  <c r="O55" i="36" s="1"/>
  <c r="N49" i="47"/>
  <c r="O49" i="47" s="1"/>
  <c r="P135" i="45"/>
  <c r="G65" i="54"/>
  <c r="G80" i="54"/>
  <c r="K30" i="54"/>
  <c r="K34" i="54"/>
  <c r="L34" i="54"/>
  <c r="N34" i="54" s="1"/>
  <c r="K75" i="54"/>
  <c r="K76" i="54"/>
  <c r="L76" i="54"/>
  <c r="E69" i="54"/>
  <c r="L69" i="54" s="1"/>
  <c r="E72" i="54"/>
  <c r="L72" i="54" s="1"/>
  <c r="N72" i="54" s="1"/>
  <c r="K50" i="54"/>
  <c r="K31" i="54"/>
  <c r="K72" i="54"/>
  <c r="K35" i="54"/>
  <c r="H95" i="54"/>
  <c r="H46" i="54"/>
  <c r="L46" i="54"/>
  <c r="P46" i="54" s="1"/>
  <c r="H47" i="54"/>
  <c r="H81" i="54"/>
  <c r="H52" i="54"/>
  <c r="L52" i="54"/>
  <c r="N52" i="54" s="1"/>
  <c r="H82" i="54"/>
  <c r="L49" i="54"/>
  <c r="N49" i="54" s="1"/>
  <c r="H72" i="54"/>
  <c r="G75" i="54"/>
  <c r="O14" i="37"/>
  <c r="P14" i="37" s="1"/>
  <c r="O65" i="24"/>
  <c r="P65" i="24" s="1"/>
  <c r="L50" i="54"/>
  <c r="N50" i="54" s="1"/>
  <c r="K9" i="54"/>
  <c r="Q49" i="46"/>
  <c r="Q121" i="35"/>
  <c r="Q109" i="36"/>
  <c r="Q115" i="47"/>
  <c r="G91" i="54"/>
  <c r="Q128" i="24"/>
  <c r="G47" i="54"/>
  <c r="P153" i="33"/>
  <c r="Q153" i="33"/>
  <c r="G92" i="54"/>
  <c r="P155" i="36"/>
  <c r="P21" i="47"/>
  <c r="P65" i="25"/>
  <c r="E73" i="54"/>
  <c r="L73" i="54" s="1"/>
  <c r="N73" i="54" s="1"/>
  <c r="Q24" i="36"/>
  <c r="G31" i="54"/>
  <c r="P98" i="25"/>
  <c r="Q98" i="25"/>
  <c r="G44" i="54"/>
  <c r="L44" i="54"/>
  <c r="N44" i="54" s="1"/>
  <c r="G84" i="54"/>
  <c r="L84" i="54"/>
  <c r="P84" i="54" s="1"/>
  <c r="P40" i="24"/>
  <c r="Q40" i="24"/>
  <c r="P54" i="35"/>
  <c r="Q54" i="35"/>
  <c r="P116" i="47"/>
  <c r="P112" i="39"/>
  <c r="G94" i="54"/>
  <c r="O162" i="36"/>
  <c r="P28" i="35"/>
  <c r="Q28" i="35"/>
  <c r="M4" i="23"/>
  <c r="L47" i="54"/>
  <c r="N47" i="54" s="1"/>
  <c r="L35" i="54"/>
  <c r="N35" i="54" s="1"/>
  <c r="N4" i="7"/>
  <c r="P109" i="48"/>
  <c r="O64" i="47"/>
  <c r="G30" i="54"/>
  <c r="L30" i="54"/>
  <c r="N30" i="54"/>
  <c r="Q80" i="25"/>
  <c r="Q58" i="20"/>
  <c r="P71" i="33"/>
  <c r="Q71" i="33"/>
  <c r="G78" i="54"/>
  <c r="Q81" i="47"/>
  <c r="AD4" i="5"/>
  <c r="AD61" i="5" s="1"/>
  <c r="N10" i="47"/>
  <c r="G36" i="54"/>
  <c r="L36" i="54"/>
  <c r="N36" i="54" s="1"/>
  <c r="G45" i="54"/>
  <c r="G81" i="54"/>
  <c r="L81" i="54"/>
  <c r="N81" i="54" s="1"/>
  <c r="P132" i="35"/>
  <c r="P7" i="33"/>
  <c r="P65" i="37"/>
  <c r="G56" i="54"/>
  <c r="Q49" i="35"/>
  <c r="P77" i="25"/>
  <c r="I4" i="7"/>
  <c r="P72" i="37"/>
  <c r="Q72" i="37"/>
  <c r="L66" i="54"/>
  <c r="N66" i="54" s="1"/>
  <c r="G51" i="54"/>
  <c r="G42" i="54"/>
  <c r="P131" i="49"/>
  <c r="P16" i="33"/>
  <c r="G100" i="54"/>
  <c r="P155" i="37"/>
  <c r="Q155" i="37"/>
  <c r="G96" i="54"/>
  <c r="P25" i="24"/>
  <c r="Q25" i="24"/>
  <c r="J4" i="7"/>
  <c r="M5" i="24"/>
  <c r="M4" i="24"/>
  <c r="P68" i="46"/>
  <c r="P73" i="35"/>
  <c r="Q73" i="35"/>
  <c r="Q125" i="35"/>
  <c r="G99" i="54"/>
  <c r="L99" i="54"/>
  <c r="N99" i="54" s="1"/>
  <c r="G82" i="54"/>
  <c r="L82" i="54"/>
  <c r="P82" i="54" s="1"/>
  <c r="AW17" i="43"/>
  <c r="E74" i="54"/>
  <c r="L74" i="54"/>
  <c r="P74" i="54" s="1"/>
  <c r="S4" i="7"/>
  <c r="O67" i="36"/>
  <c r="P67" i="36" s="1"/>
  <c r="O4" i="7"/>
  <c r="O71" i="36"/>
  <c r="O120" i="47"/>
  <c r="P120" i="47" s="1"/>
  <c r="J59" i="54"/>
  <c r="N4" i="54"/>
  <c r="W8" i="10"/>
  <c r="W7" i="10" s="1"/>
  <c r="W26" i="10" s="1"/>
  <c r="V26" i="12" s="1"/>
  <c r="N63" i="33"/>
  <c r="P42" i="37"/>
  <c r="Q42" i="37"/>
  <c r="Q65" i="48"/>
  <c r="G67" i="54"/>
  <c r="L67" i="54"/>
  <c r="N67" i="54" s="1"/>
  <c r="N63" i="25"/>
  <c r="G62" i="54"/>
  <c r="L62" i="54"/>
  <c r="P62" i="54" s="1"/>
  <c r="I7" i="3"/>
  <c r="I16" i="14"/>
  <c r="G40" i="54"/>
  <c r="L40" i="54"/>
  <c r="N40" i="54" s="1"/>
  <c r="E81" i="9"/>
  <c r="U54" i="10"/>
  <c r="O142" i="48"/>
  <c r="G54" i="54"/>
  <c r="N132" i="46"/>
  <c r="O132" i="46" s="1"/>
  <c r="Q132" i="46" s="1"/>
  <c r="O131" i="33"/>
  <c r="Q43" i="20"/>
  <c r="O25" i="35"/>
  <c r="P25" i="35" s="1"/>
  <c r="AA4" i="7"/>
  <c r="P34" i="35"/>
  <c r="Q116" i="35"/>
  <c r="G83" i="54"/>
  <c r="L83" i="54"/>
  <c r="N83" i="54" s="1"/>
  <c r="O64" i="33"/>
  <c r="P64" i="33" s="1"/>
  <c r="G33" i="54"/>
  <c r="L33" i="54"/>
  <c r="P51" i="48"/>
  <c r="P35" i="47"/>
  <c r="Q35" i="47"/>
  <c r="Q60" i="32"/>
  <c r="P125" i="37"/>
  <c r="Q125" i="37"/>
  <c r="P25" i="46"/>
  <c r="Q25" i="46"/>
  <c r="O64" i="25"/>
  <c r="O63" i="25" s="1"/>
  <c r="P63" i="25" s="1"/>
  <c r="N113" i="48"/>
  <c r="O113" i="48" s="1"/>
  <c r="P154" i="35"/>
  <c r="H78" i="54"/>
  <c r="L78" i="54"/>
  <c r="K59" i="54"/>
  <c r="K108" i="54"/>
  <c r="K110" i="54" s="1"/>
  <c r="H86" i="54"/>
  <c r="L86" i="54"/>
  <c r="N86" i="54" s="1"/>
  <c r="H51" i="54"/>
  <c r="H45" i="54"/>
  <c r="H75" i="54"/>
  <c r="L75" i="54"/>
  <c r="H59" i="54"/>
  <c r="H42" i="54"/>
  <c r="L42" i="54"/>
  <c r="L51" i="54"/>
  <c r="N51" i="54" s="1"/>
  <c r="H56" i="54"/>
  <c r="L56" i="54"/>
  <c r="E22" i="54"/>
  <c r="L22" i="54" s="1"/>
  <c r="E55" i="54"/>
  <c r="L55" i="54" s="1"/>
  <c r="E14" i="54"/>
  <c r="L14" i="54" s="1"/>
  <c r="N14" i="54" s="1"/>
  <c r="E85" i="54"/>
  <c r="L85" i="54" s="1"/>
  <c r="N85" i="54" s="1"/>
  <c r="E12" i="54"/>
  <c r="L12" i="54" s="1"/>
  <c r="P12" i="54"/>
  <c r="E88" i="54"/>
  <c r="L88" i="54" s="1"/>
  <c r="N88" i="54" s="1"/>
  <c r="E70" i="54"/>
  <c r="L70" i="54" s="1"/>
  <c r="P70" i="54" s="1"/>
  <c r="E19" i="54"/>
  <c r="L19" i="54"/>
  <c r="E7" i="54"/>
  <c r="L7" i="54" s="1"/>
  <c r="T4" i="7"/>
  <c r="E9" i="54"/>
  <c r="L9" i="54" s="1"/>
  <c r="N9" i="54" s="1"/>
  <c r="H92" i="54"/>
  <c r="L92" i="54"/>
  <c r="N92" i="54" s="1"/>
  <c r="U4" i="7"/>
  <c r="E18" i="54"/>
  <c r="L18" i="54" s="1"/>
  <c r="E17" i="54"/>
  <c r="L17" i="54" s="1"/>
  <c r="N17" i="54" s="1"/>
  <c r="E25" i="54"/>
  <c r="L25" i="54" s="1"/>
  <c r="G95" i="54"/>
  <c r="L95" i="54"/>
  <c r="N95" i="54" s="1"/>
  <c r="H94" i="54"/>
  <c r="L94" i="54"/>
  <c r="N94" i="54" s="1"/>
  <c r="H65" i="54"/>
  <c r="L65" i="54"/>
  <c r="Y4" i="7"/>
  <c r="N84" i="54"/>
  <c r="E68" i="54"/>
  <c r="L68" i="54" s="1"/>
  <c r="N68" i="54" s="1"/>
  <c r="Q4" i="7"/>
  <c r="R4" i="7"/>
  <c r="Z4" i="7"/>
  <c r="E71" i="54"/>
  <c r="L71" i="54" s="1"/>
  <c r="N71" i="54" s="1"/>
  <c r="L45" i="54"/>
  <c r="N45" i="54" s="1"/>
  <c r="H96" i="54"/>
  <c r="L96" i="54"/>
  <c r="M4" i="7"/>
  <c r="E59" i="54"/>
  <c r="L59" i="54" s="1"/>
  <c r="N59" i="54" s="1"/>
  <c r="E23" i="54"/>
  <c r="L23" i="54"/>
  <c r="N23" i="54" s="1"/>
  <c r="G9" i="54"/>
  <c r="G59" i="54"/>
  <c r="L4" i="7"/>
  <c r="V4" i="7"/>
  <c r="G90" i="54"/>
  <c r="E90" i="54"/>
  <c r="L90" i="54" s="1"/>
  <c r="N90" i="54" s="1"/>
  <c r="Q48" i="33"/>
  <c r="H48" i="54"/>
  <c r="L48" i="54"/>
  <c r="P48" i="54" s="1"/>
  <c r="H90" i="54"/>
  <c r="E87" i="54"/>
  <c r="L87" i="54" s="1"/>
  <c r="E93" i="54"/>
  <c r="L93" i="54" s="1"/>
  <c r="E13" i="54"/>
  <c r="L13" i="54" s="1"/>
  <c r="H91" i="54"/>
  <c r="L91" i="54"/>
  <c r="N91" i="54" s="1"/>
  <c r="W4" i="7"/>
  <c r="H32" i="54"/>
  <c r="L32" i="54"/>
  <c r="N32" i="54" s="1"/>
  <c r="H80" i="54"/>
  <c r="L80" i="54"/>
  <c r="N80" i="54" s="1"/>
  <c r="E6" i="54"/>
  <c r="L6" i="54" s="1"/>
  <c r="X4" i="7"/>
  <c r="X8" i="7" s="1"/>
  <c r="E102" i="54"/>
  <c r="L102" i="54" s="1"/>
  <c r="N102" i="54" s="1"/>
  <c r="O5" i="23"/>
  <c r="E11" i="54"/>
  <c r="L11" i="54" s="1"/>
  <c r="E20" i="54"/>
  <c r="L20" i="54" s="1"/>
  <c r="E31" i="54"/>
  <c r="L31" i="54"/>
  <c r="E28" i="54"/>
  <c r="L28" i="54" s="1"/>
  <c r="N28" i="54" s="1"/>
  <c r="G108" i="54"/>
  <c r="G110" i="54" s="1"/>
  <c r="AB4" i="7"/>
  <c r="E104" i="54"/>
  <c r="L104" i="54" s="1"/>
  <c r="P104" i="54" s="1"/>
  <c r="AC10" i="6"/>
  <c r="E3" i="54"/>
  <c r="E26" i="54"/>
  <c r="L26" i="54" s="1"/>
  <c r="E21" i="54"/>
  <c r="L21" i="54" s="1"/>
  <c r="E103" i="54"/>
  <c r="L103" i="54" s="1"/>
  <c r="N103" i="54" s="1"/>
  <c r="H9" i="54"/>
  <c r="H54" i="54"/>
  <c r="L54" i="54"/>
  <c r="N54" i="54" s="1"/>
  <c r="H100" i="54"/>
  <c r="L100" i="54"/>
  <c r="N100" i="54" s="1"/>
  <c r="E36" i="9"/>
  <c r="E37" i="9" s="1"/>
  <c r="E19" i="9"/>
  <c r="H108" i="54"/>
  <c r="H110" i="54" s="1"/>
  <c r="E29" i="9"/>
  <c r="E50" i="9" s="1"/>
  <c r="E71" i="9" s="1"/>
  <c r="L5" i="7"/>
  <c r="X5" i="7"/>
  <c r="T5" i="7"/>
  <c r="W5" i="7"/>
  <c r="AA5" i="7"/>
  <c r="K5" i="7"/>
  <c r="K8" i="7" s="1"/>
  <c r="Z5" i="7"/>
  <c r="P5" i="7"/>
  <c r="N5" i="7"/>
  <c r="O5" i="7"/>
  <c r="S5" i="7"/>
  <c r="R5" i="7"/>
  <c r="AB5" i="7"/>
  <c r="V5" i="7"/>
  <c r="M5" i="7"/>
  <c r="E9" i="9"/>
  <c r="E10" i="9" s="1"/>
  <c r="E28" i="9"/>
  <c r="E49" i="9" s="1"/>
  <c r="E70" i="9" s="1"/>
  <c r="Y5" i="7"/>
  <c r="U5" i="7"/>
  <c r="Q5" i="7"/>
  <c r="C5" i="7"/>
  <c r="D5" i="7"/>
  <c r="D8" i="7" s="1"/>
  <c r="E5" i="7"/>
  <c r="E8" i="7" s="1"/>
  <c r="F5" i="7"/>
  <c r="F8" i="7" s="1"/>
  <c r="G5" i="7"/>
  <c r="H5" i="7"/>
  <c r="H8" i="7" s="1"/>
  <c r="I5" i="7"/>
  <c r="J5" i="7"/>
  <c r="AK66" i="5"/>
  <c r="AH66" i="5"/>
  <c r="AL66" i="5"/>
  <c r="AM66" i="5"/>
  <c r="AJ66" i="5"/>
  <c r="AN66" i="5"/>
  <c r="AN6" i="5"/>
  <c r="AN63" i="5" s="1"/>
  <c r="AI66" i="5"/>
  <c r="AO66" i="5"/>
  <c r="AH6" i="5"/>
  <c r="AH63" i="5" s="1"/>
  <c r="AO6" i="5"/>
  <c r="AO3" i="5" s="1"/>
  <c r="AL6" i="5"/>
  <c r="AL3" i="5" s="1"/>
  <c r="AM6" i="5"/>
  <c r="AM63" i="5" s="1"/>
  <c r="AG6" i="5"/>
  <c r="AG63" i="5" s="1"/>
  <c r="AJ6" i="5"/>
  <c r="AJ63" i="5" s="1"/>
  <c r="AM38" i="10"/>
  <c r="AH38" i="10"/>
  <c r="AI38" i="10"/>
  <c r="AF38" i="10"/>
  <c r="AG38" i="10"/>
  <c r="AG66" i="5"/>
  <c r="AN38" i="10"/>
  <c r="AL38" i="10"/>
  <c r="AK38" i="10"/>
  <c r="AN11" i="5"/>
  <c r="AN68" i="5" s="1"/>
  <c r="AK11" i="5"/>
  <c r="AK68" i="5" s="1"/>
  <c r="AJ38" i="10"/>
  <c r="AL11" i="5"/>
  <c r="AL68" i="5" s="1"/>
  <c r="AH11" i="5"/>
  <c r="AH68" i="5" s="1"/>
  <c r="AI11" i="5"/>
  <c r="AI68" i="5" s="1"/>
  <c r="AM11" i="5"/>
  <c r="AM68" i="5" s="1"/>
  <c r="AJ11" i="5"/>
  <c r="AG68" i="5"/>
  <c r="W190" i="61"/>
  <c r="O135" i="33"/>
  <c r="N28" i="47"/>
  <c r="O28" i="47" s="1"/>
  <c r="N119" i="33"/>
  <c r="Q18" i="33"/>
  <c r="O20" i="38"/>
  <c r="O120" i="35"/>
  <c r="O119" i="35" s="1"/>
  <c r="N119" i="35"/>
  <c r="Q26" i="37"/>
  <c r="O74" i="35"/>
  <c r="P48" i="46"/>
  <c r="O162" i="46"/>
  <c r="O161" i="46" s="1"/>
  <c r="BI53" i="43"/>
  <c r="BD7" i="43"/>
  <c r="P53" i="54"/>
  <c r="I31" i="50"/>
  <c r="M31" i="50" s="1"/>
  <c r="N31" i="50" s="1"/>
  <c r="I65" i="50"/>
  <c r="M65" i="50" s="1"/>
  <c r="I52" i="50"/>
  <c r="M52" i="50" s="1"/>
  <c r="I17" i="50"/>
  <c r="M17" i="50" s="1"/>
  <c r="N17" i="50" s="1"/>
  <c r="I90" i="45"/>
  <c r="K90" i="45"/>
  <c r="I96" i="45"/>
  <c r="F42" i="43"/>
  <c r="F31" i="43"/>
  <c r="F11" i="43"/>
  <c r="F25" i="43"/>
  <c r="C8" i="41" s="1"/>
  <c r="F10" i="43"/>
  <c r="W13" i="43"/>
  <c r="M119" i="33"/>
  <c r="N104" i="27"/>
  <c r="O104" i="27" s="1"/>
  <c r="P104" i="27" s="1"/>
  <c r="S34" i="5"/>
  <c r="S91" i="5" s="1"/>
  <c r="V65" i="5"/>
  <c r="U8" i="10" s="1"/>
  <c r="U7" i="10" s="1"/>
  <c r="Q17" i="36"/>
  <c r="O59" i="27"/>
  <c r="N41" i="43"/>
  <c r="N24" i="43"/>
  <c r="AT7" i="43"/>
  <c r="N21" i="43"/>
  <c r="N18" i="43"/>
  <c r="G27" i="43"/>
  <c r="G11" i="43"/>
  <c r="N45" i="20"/>
  <c r="O45" i="20" s="1"/>
  <c r="M44" i="20"/>
  <c r="I131" i="25"/>
  <c r="I108" i="25"/>
  <c r="I143" i="25"/>
  <c r="I58" i="25"/>
  <c r="M58" i="25" s="1"/>
  <c r="I112" i="25"/>
  <c r="I106" i="25"/>
  <c r="I59" i="25"/>
  <c r="I140" i="25"/>
  <c r="I144" i="25"/>
  <c r="M144" i="25" s="1"/>
  <c r="I139" i="25"/>
  <c r="I132" i="25"/>
  <c r="I118" i="37"/>
  <c r="M118" i="37" s="1"/>
  <c r="I132" i="37"/>
  <c r="M132" i="37" s="1"/>
  <c r="I139" i="37"/>
  <c r="I131" i="37"/>
  <c r="M131" i="37" s="1"/>
  <c r="I136" i="37"/>
  <c r="M136" i="37" s="1"/>
  <c r="N136" i="37" s="1"/>
  <c r="O136" i="37" s="1"/>
  <c r="I135" i="37"/>
  <c r="I138" i="37"/>
  <c r="M138" i="37" s="1"/>
  <c r="N138" i="37" s="1"/>
  <c r="I133" i="37"/>
  <c r="M133" i="37" s="1"/>
  <c r="I163" i="23"/>
  <c r="M163" i="23" s="1"/>
  <c r="I115" i="23"/>
  <c r="M115" i="23" s="1"/>
  <c r="I156" i="23"/>
  <c r="M156" i="23" s="1"/>
  <c r="N156" i="23"/>
  <c r="O156" i="23" s="1"/>
  <c r="P156" i="23" s="1"/>
  <c r="I121" i="23"/>
  <c r="M121" i="23"/>
  <c r="I43" i="23"/>
  <c r="M43" i="23" s="1"/>
  <c r="N43" i="23" s="1"/>
  <c r="I116" i="23"/>
  <c r="M116" i="23" s="1"/>
  <c r="N116" i="23" s="1"/>
  <c r="I114" i="23"/>
  <c r="I46" i="23"/>
  <c r="M46" i="23" s="1"/>
  <c r="I54" i="23"/>
  <c r="M54" i="23" s="1"/>
  <c r="N54" i="23"/>
  <c r="I162" i="23"/>
  <c r="M162" i="23" s="1"/>
  <c r="I120" i="23"/>
  <c r="M120" i="23" s="1"/>
  <c r="S69" i="69"/>
  <c r="T69" i="69"/>
  <c r="I118" i="25"/>
  <c r="M118" i="25" s="1"/>
  <c r="N118" i="25" s="1"/>
  <c r="S58" i="10"/>
  <c r="M121" i="25"/>
  <c r="I155" i="23"/>
  <c r="M41" i="36"/>
  <c r="D58" i="10"/>
  <c r="M39" i="37"/>
  <c r="Q83" i="20"/>
  <c r="I154" i="23"/>
  <c r="M154" i="23" s="1"/>
  <c r="I153" i="23"/>
  <c r="M153" i="23" s="1"/>
  <c r="N153" i="23" s="1"/>
  <c r="C113" i="5"/>
  <c r="B38" i="3" s="1"/>
  <c r="C47" i="5"/>
  <c r="C104" i="5" s="1"/>
  <c r="J56" i="10"/>
  <c r="AA90" i="5"/>
  <c r="AI34" i="5"/>
  <c r="AI91" i="5" s="1"/>
  <c r="BG90" i="5"/>
  <c r="E50" i="10"/>
  <c r="N102" i="5"/>
  <c r="M50" i="10"/>
  <c r="V102" i="5"/>
  <c r="AD46" i="5"/>
  <c r="AD103" i="5" s="1"/>
  <c r="AD102" i="5"/>
  <c r="AL46" i="5"/>
  <c r="AL103" i="5" s="1"/>
  <c r="AL102" i="5"/>
  <c r="BB46" i="5"/>
  <c r="BB103" i="5" s="1"/>
  <c r="N15" i="34"/>
  <c r="O15" i="34" s="1"/>
  <c r="P15" i="34" s="1"/>
  <c r="X63" i="5"/>
  <c r="X3" i="5"/>
  <c r="X60" i="5" s="1"/>
  <c r="K46" i="10"/>
  <c r="L90" i="5"/>
  <c r="S46" i="10"/>
  <c r="T34" i="5"/>
  <c r="T91" i="5" s="1"/>
  <c r="T90" i="5"/>
  <c r="AJ34" i="5"/>
  <c r="AJ91" i="5" s="1"/>
  <c r="O80" i="45"/>
  <c r="N78" i="45"/>
  <c r="BM15" i="43"/>
  <c r="BH15" i="43"/>
  <c r="Q197" i="45"/>
  <c r="N197" i="45"/>
  <c r="O197" i="45" s="1"/>
  <c r="P197" i="45" s="1"/>
  <c r="I162" i="48"/>
  <c r="M162" i="48" s="1"/>
  <c r="I116" i="48"/>
  <c r="I115" i="48"/>
  <c r="M115" i="48" s="1"/>
  <c r="N115" i="48" s="1"/>
  <c r="I43" i="48"/>
  <c r="M43" i="48" s="1"/>
  <c r="M156" i="24"/>
  <c r="N156" i="24" s="1"/>
  <c r="O156" i="24" s="1"/>
  <c r="Q156" i="24" s="1"/>
  <c r="N165" i="32"/>
  <c r="O165" i="32" s="1"/>
  <c r="Q165" i="32"/>
  <c r="BJ63" i="5"/>
  <c r="BJ7" i="5"/>
  <c r="BJ64" i="5" s="1"/>
  <c r="M11" i="45"/>
  <c r="N8" i="44"/>
  <c r="F49" i="44"/>
  <c r="G49" i="44" s="1"/>
  <c r="G38" i="44"/>
  <c r="P199" i="45"/>
  <c r="I122" i="25"/>
  <c r="M122" i="25" s="1"/>
  <c r="N122" i="25" s="1"/>
  <c r="Q56" i="10"/>
  <c r="I135" i="25"/>
  <c r="I128" i="23"/>
  <c r="M128" i="23" s="1"/>
  <c r="I59" i="37"/>
  <c r="I58" i="37"/>
  <c r="M58" i="37" s="1"/>
  <c r="AY4" i="30"/>
  <c r="H2" i="28"/>
  <c r="P2" i="28" s="1"/>
  <c r="AI8" i="30"/>
  <c r="AH8" i="30"/>
  <c r="AK36" i="30"/>
  <c r="AZ36" i="30"/>
  <c r="AH36" i="30"/>
  <c r="N129" i="32"/>
  <c r="Q129" i="32"/>
  <c r="Q221" i="32"/>
  <c r="M220" i="32"/>
  <c r="Q220" i="32" s="1"/>
  <c r="N221" i="32"/>
  <c r="O221" i="32" s="1"/>
  <c r="I128" i="33"/>
  <c r="M128" i="33" s="1"/>
  <c r="N128" i="33" s="1"/>
  <c r="I115" i="33"/>
  <c r="M115" i="33" s="1"/>
  <c r="I54" i="33"/>
  <c r="M54" i="33" s="1"/>
  <c r="N54" i="33" s="1"/>
  <c r="I163" i="33"/>
  <c r="M163" i="33" s="1"/>
  <c r="N163" i="33" s="1"/>
  <c r="O163" i="33" s="1"/>
  <c r="P163" i="33" s="1"/>
  <c r="I162" i="33"/>
  <c r="M162" i="33" s="1"/>
  <c r="N162" i="33" s="1"/>
  <c r="I114" i="33"/>
  <c r="M114" i="33" s="1"/>
  <c r="I155" i="33"/>
  <c r="M155" i="33" s="1"/>
  <c r="N62" i="33"/>
  <c r="O62" i="33" s="1"/>
  <c r="P62" i="33" s="1"/>
  <c r="M60" i="33"/>
  <c r="N105" i="33"/>
  <c r="O105" i="33" s="1"/>
  <c r="I155" i="34"/>
  <c r="M155" i="34"/>
  <c r="I46" i="34"/>
  <c r="M46" i="34" s="1"/>
  <c r="I153" i="34"/>
  <c r="M153" i="34" s="1"/>
  <c r="I151" i="34"/>
  <c r="I121" i="34"/>
  <c r="M121" i="34" s="1"/>
  <c r="I162" i="34"/>
  <c r="M162" i="34" s="1"/>
  <c r="I8" i="35"/>
  <c r="I30" i="35"/>
  <c r="M30" i="35"/>
  <c r="I163" i="39"/>
  <c r="M163" i="39" s="1"/>
  <c r="I162" i="39"/>
  <c r="I43" i="39"/>
  <c r="N157" i="39"/>
  <c r="O157" i="39" s="1"/>
  <c r="P157" i="39" s="1"/>
  <c r="I8" i="40"/>
  <c r="M8" i="40" s="1"/>
  <c r="N8" i="40" s="1"/>
  <c r="I7" i="40"/>
  <c r="I125" i="40"/>
  <c r="M125" i="40" s="1"/>
  <c r="T30" i="43"/>
  <c r="T39" i="43"/>
  <c r="T19" i="43"/>
  <c r="T25" i="43"/>
  <c r="AZ7" i="43"/>
  <c r="M135" i="40"/>
  <c r="I151" i="66"/>
  <c r="M151" i="66" s="1"/>
  <c r="O151" i="66" s="1"/>
  <c r="P243" i="58" s="1"/>
  <c r="I161" i="66"/>
  <c r="M161" i="66" s="1"/>
  <c r="O161" i="66" s="1"/>
  <c r="I63" i="63"/>
  <c r="M63" i="63" s="1"/>
  <c r="O63" i="63" s="1"/>
  <c r="I119" i="63"/>
  <c r="M119" i="63" s="1"/>
  <c r="O119" i="63" s="1"/>
  <c r="U119" i="63" s="1"/>
  <c r="I49" i="63"/>
  <c r="M49" i="63" s="1"/>
  <c r="O49" i="63" s="1"/>
  <c r="I32" i="63"/>
  <c r="M32" i="63" s="1"/>
  <c r="O32" i="63" s="1"/>
  <c r="I189" i="63"/>
  <c r="M189" i="63" s="1"/>
  <c r="O189" i="63" s="1"/>
  <c r="Q189" i="63" s="1"/>
  <c r="I139" i="63"/>
  <c r="M139" i="63" s="1"/>
  <c r="O139" i="63" s="1"/>
  <c r="Q139" i="63" s="1"/>
  <c r="I104" i="63"/>
  <c r="M104" i="63" s="1"/>
  <c r="O104" i="63" s="1"/>
  <c r="M34" i="36"/>
  <c r="N34" i="36" s="1"/>
  <c r="M25" i="34"/>
  <c r="N25" i="34" s="1"/>
  <c r="O25" i="34" s="1"/>
  <c r="P25" i="34" s="1"/>
  <c r="M82" i="27"/>
  <c r="H31" i="31"/>
  <c r="M118" i="47"/>
  <c r="N118" i="47" s="1"/>
  <c r="I122" i="48"/>
  <c r="M122" i="48" s="1"/>
  <c r="M108" i="51"/>
  <c r="N108" i="51" s="1"/>
  <c r="I37" i="68"/>
  <c r="M37" i="68" s="1"/>
  <c r="O37" i="68" s="1"/>
  <c r="I30" i="66"/>
  <c r="M30" i="66" s="1"/>
  <c r="O30" i="66" s="1"/>
  <c r="I172" i="65"/>
  <c r="M172" i="65" s="1"/>
  <c r="O172" i="65" s="1"/>
  <c r="I42" i="63"/>
  <c r="M42" i="63" s="1"/>
  <c r="O42" i="63" s="1"/>
  <c r="I53" i="63"/>
  <c r="M53" i="63" s="1"/>
  <c r="O53" i="63" s="1"/>
  <c r="N129" i="58" s="1"/>
  <c r="I47" i="63"/>
  <c r="M47" i="63" s="1"/>
  <c r="O47" i="63" s="1"/>
  <c r="U47" i="63" s="1"/>
  <c r="I197" i="63"/>
  <c r="M197" i="63" s="1"/>
  <c r="O197" i="63" s="1"/>
  <c r="I142" i="63"/>
  <c r="M142" i="63" s="1"/>
  <c r="O142" i="63" s="1"/>
  <c r="I162" i="63"/>
  <c r="M162" i="63" s="1"/>
  <c r="O162" i="63" s="1"/>
  <c r="M100" i="27"/>
  <c r="M165" i="45"/>
  <c r="I42" i="68"/>
  <c r="M42" i="68" s="1"/>
  <c r="O42" i="68" s="1"/>
  <c r="Q31" i="69"/>
  <c r="I162" i="66"/>
  <c r="M162" i="66" s="1"/>
  <c r="O162" i="66" s="1"/>
  <c r="I171" i="65"/>
  <c r="M171" i="65" s="1"/>
  <c r="O171" i="65" s="1"/>
  <c r="I40" i="63"/>
  <c r="M40" i="63" s="1"/>
  <c r="O40" i="63" s="1"/>
  <c r="I30" i="63"/>
  <c r="M30" i="63" s="1"/>
  <c r="O30" i="63" s="1"/>
  <c r="I41" i="63"/>
  <c r="M41" i="63" s="1"/>
  <c r="O41" i="63" s="1"/>
  <c r="I198" i="63"/>
  <c r="M198" i="63" s="1"/>
  <c r="O198" i="63" s="1"/>
  <c r="I163" i="63"/>
  <c r="M163" i="63" s="1"/>
  <c r="O163" i="63" s="1"/>
  <c r="I164" i="63"/>
  <c r="M164" i="63" s="1"/>
  <c r="O164" i="63" s="1"/>
  <c r="S195" i="62"/>
  <c r="J157" i="58"/>
  <c r="M50" i="36"/>
  <c r="M25" i="39"/>
  <c r="I59" i="68"/>
  <c r="M59" i="68" s="1"/>
  <c r="O59" i="68" s="1"/>
  <c r="U31" i="69"/>
  <c r="I13" i="67"/>
  <c r="M13" i="67" s="1"/>
  <c r="O13" i="67" s="1"/>
  <c r="K99" i="58" s="1"/>
  <c r="I79" i="65"/>
  <c r="M79" i="65" s="1"/>
  <c r="O79" i="65"/>
  <c r="I70" i="63"/>
  <c r="M70" i="63" s="1"/>
  <c r="O70" i="63" s="1"/>
  <c r="I23" i="63"/>
  <c r="M23" i="63" s="1"/>
  <c r="O23" i="63" s="1"/>
  <c r="I146" i="63"/>
  <c r="M146" i="63" s="1"/>
  <c r="O146" i="63" s="1"/>
  <c r="I136" i="63"/>
  <c r="M136" i="63" s="1"/>
  <c r="O136" i="63" s="1"/>
  <c r="I54" i="63"/>
  <c r="M54" i="63" s="1"/>
  <c r="O54" i="63" s="1"/>
  <c r="Q54" i="63" s="1"/>
  <c r="P54" i="63" s="1"/>
  <c r="I137" i="63"/>
  <c r="M137" i="63" s="1"/>
  <c r="O137" i="63" s="1"/>
  <c r="I174" i="63"/>
  <c r="M174" i="63" s="1"/>
  <c r="O174" i="63" s="1"/>
  <c r="U174" i="63" s="1"/>
  <c r="I205" i="63"/>
  <c r="M205" i="63" s="1"/>
  <c r="O205" i="63" s="1"/>
  <c r="X195" i="63"/>
  <c r="I200" i="68"/>
  <c r="M200" i="68" s="1"/>
  <c r="O200" i="68" s="1"/>
  <c r="U200" i="68" s="1"/>
  <c r="S81" i="64"/>
  <c r="I54" i="62"/>
  <c r="M54" i="62" s="1"/>
  <c r="O54" i="62" s="1"/>
  <c r="T187" i="69"/>
  <c r="Q32" i="67"/>
  <c r="I30" i="67"/>
  <c r="M30" i="67" s="1"/>
  <c r="O30" i="67" s="1"/>
  <c r="I68" i="63"/>
  <c r="M68" i="63"/>
  <c r="O68" i="63" s="1"/>
  <c r="I21" i="63"/>
  <c r="M21" i="63" s="1"/>
  <c r="O21" i="63" s="1"/>
  <c r="I120" i="63"/>
  <c r="M120" i="63" s="1"/>
  <c r="O120" i="63" s="1"/>
  <c r="Q120" i="63" s="1"/>
  <c r="P120" i="63" s="1"/>
  <c r="I89" i="63"/>
  <c r="M89" i="63" s="1"/>
  <c r="O89" i="63" s="1"/>
  <c r="I127" i="63"/>
  <c r="M127" i="63" s="1"/>
  <c r="O127" i="63" s="1"/>
  <c r="I128" i="63"/>
  <c r="M128" i="63" s="1"/>
  <c r="O128" i="63" s="1"/>
  <c r="U128" i="63" s="1"/>
  <c r="P114" i="58"/>
  <c r="M104" i="34"/>
  <c r="N104" i="34" s="1"/>
  <c r="M137" i="33"/>
  <c r="M24" i="32"/>
  <c r="M68" i="23"/>
  <c r="N68" i="23" s="1"/>
  <c r="M46" i="25"/>
  <c r="N46" i="25" s="1"/>
  <c r="M123" i="39"/>
  <c r="N123" i="39" s="1"/>
  <c r="O123" i="39" s="1"/>
  <c r="P123" i="39" s="1"/>
  <c r="M52" i="47"/>
  <c r="I192" i="68"/>
  <c r="M192" i="68" s="1"/>
  <c r="O192" i="68" s="1"/>
  <c r="Q13" i="66"/>
  <c r="P13" i="66" s="1"/>
  <c r="I66" i="63"/>
  <c r="M66" i="63" s="1"/>
  <c r="O66" i="63" s="1"/>
  <c r="I81" i="63"/>
  <c r="M81" i="63" s="1"/>
  <c r="O81" i="63" s="1"/>
  <c r="I99" i="63"/>
  <c r="M99" i="63" s="1"/>
  <c r="O99" i="63" s="1"/>
  <c r="U99" i="63" s="1"/>
  <c r="I100" i="63"/>
  <c r="M100" i="63" s="1"/>
  <c r="O100" i="63" s="1"/>
  <c r="I172" i="63"/>
  <c r="M172" i="63" s="1"/>
  <c r="O172" i="63" s="1"/>
  <c r="I130" i="63"/>
  <c r="I149" i="63"/>
  <c r="M149" i="63" s="1"/>
  <c r="O149" i="63" s="1"/>
  <c r="M32" i="25"/>
  <c r="M28" i="40"/>
  <c r="N28" i="40" s="1"/>
  <c r="O28" i="40" s="1"/>
  <c r="P28" i="40" s="1"/>
  <c r="M103" i="36"/>
  <c r="N103" i="36" s="1"/>
  <c r="O103" i="36" s="1"/>
  <c r="M78" i="34"/>
  <c r="N78" i="34" s="1"/>
  <c r="O78" i="34" s="1"/>
  <c r="P78" i="34" s="1"/>
  <c r="M14" i="35"/>
  <c r="N14" i="35" s="1"/>
  <c r="E3" i="10"/>
  <c r="M7" i="49"/>
  <c r="M6" i="49" s="1"/>
  <c r="I50" i="62"/>
  <c r="M50" i="62" s="1"/>
  <c r="O50" i="62" s="1"/>
  <c r="I68" i="62"/>
  <c r="M68" i="62" s="1"/>
  <c r="O68" i="62" s="1"/>
  <c r="I121" i="63"/>
  <c r="M121" i="63" s="1"/>
  <c r="O121" i="63" s="1"/>
  <c r="I56" i="63"/>
  <c r="M56" i="63" s="1"/>
  <c r="O56" i="63" s="1"/>
  <c r="I98" i="63"/>
  <c r="M98" i="63" s="1"/>
  <c r="O98" i="63" s="1"/>
  <c r="I94" i="63"/>
  <c r="M94" i="63" s="1"/>
  <c r="O94" i="63" s="1"/>
  <c r="I175" i="63"/>
  <c r="M175" i="63" s="1"/>
  <c r="O175" i="63" s="1"/>
  <c r="I170" i="63"/>
  <c r="M170" i="63" s="1"/>
  <c r="O170" i="63" s="1"/>
  <c r="E62" i="60"/>
  <c r="X110" i="63"/>
  <c r="Y110" i="63" s="1"/>
  <c r="AB110" i="63" s="1"/>
  <c r="X153" i="63"/>
  <c r="H200" i="58"/>
  <c r="I102" i="62"/>
  <c r="M102" i="62" s="1"/>
  <c r="O102" i="62" s="1"/>
  <c r="I185" i="62"/>
  <c r="M185" i="62" s="1"/>
  <c r="O185" i="62" s="1"/>
  <c r="I121" i="62"/>
  <c r="M121" i="62" s="1"/>
  <c r="O121" i="62" s="1"/>
  <c r="I146" i="62"/>
  <c r="M146" i="62" s="1"/>
  <c r="O146" i="62" s="1"/>
  <c r="I137" i="62"/>
  <c r="M137" i="62" s="1"/>
  <c r="O137" i="62" s="1"/>
  <c r="U137" i="62" s="1"/>
  <c r="I116" i="62"/>
  <c r="M116" i="62" s="1"/>
  <c r="O116" i="62" s="1"/>
  <c r="I108" i="62"/>
  <c r="M108" i="62" s="1"/>
  <c r="O108" i="62" s="1"/>
  <c r="U108" i="62" s="1"/>
  <c r="I141" i="62"/>
  <c r="M141" i="62" s="1"/>
  <c r="O141" i="62" s="1"/>
  <c r="X141" i="63" s="1"/>
  <c r="I119" i="62"/>
  <c r="M119" i="62" s="1"/>
  <c r="O119" i="62" s="1"/>
  <c r="I162" i="62"/>
  <c r="M162" i="62" s="1"/>
  <c r="O162" i="62" s="1"/>
  <c r="H248" i="58" s="1"/>
  <c r="I124" i="62"/>
  <c r="M124" i="62" s="1"/>
  <c r="O124" i="62" s="1"/>
  <c r="H214" i="58" s="1"/>
  <c r="I32" i="62"/>
  <c r="M32" i="62" s="1"/>
  <c r="O32" i="62" s="1"/>
  <c r="I72" i="62"/>
  <c r="M72" i="62" s="1"/>
  <c r="O72" i="62" s="1"/>
  <c r="I130" i="62"/>
  <c r="I188" i="62"/>
  <c r="M188" i="62" s="1"/>
  <c r="O188" i="62" s="1"/>
  <c r="I41" i="62"/>
  <c r="M41" i="62" s="1"/>
  <c r="O41" i="62" s="1"/>
  <c r="I123" i="62"/>
  <c r="M123" i="62" s="1"/>
  <c r="O123" i="62" s="1"/>
  <c r="I207" i="62"/>
  <c r="M207" i="62" s="1"/>
  <c r="O207" i="62" s="1"/>
  <c r="I136" i="62"/>
  <c r="M136" i="62" s="1"/>
  <c r="O136" i="62" s="1"/>
  <c r="I99" i="62"/>
  <c r="M99" i="62" s="1"/>
  <c r="O99" i="62" s="1"/>
  <c r="I100" i="62"/>
  <c r="M100" i="62" s="1"/>
  <c r="O100" i="62" s="1"/>
  <c r="I71" i="62"/>
  <c r="M71" i="62" s="1"/>
  <c r="O71" i="62" s="1"/>
  <c r="X71" i="63" s="1"/>
  <c r="I118" i="62"/>
  <c r="M118" i="62" s="1"/>
  <c r="O118" i="62" s="1"/>
  <c r="I70" i="62"/>
  <c r="M70" i="62" s="1"/>
  <c r="O70" i="62" s="1"/>
  <c r="P78" i="54"/>
  <c r="N78" i="54"/>
  <c r="O93" i="35"/>
  <c r="P65" i="46"/>
  <c r="P11" i="47"/>
  <c r="Q11" i="47"/>
  <c r="N95" i="36"/>
  <c r="M94" i="36"/>
  <c r="O38" i="27"/>
  <c r="N76" i="25"/>
  <c r="O76" i="25" s="1"/>
  <c r="N66" i="46"/>
  <c r="O67" i="46"/>
  <c r="P95" i="46"/>
  <c r="Q95" i="46"/>
  <c r="Q67" i="36"/>
  <c r="N93" i="54"/>
  <c r="P93" i="54"/>
  <c r="Q64" i="25"/>
  <c r="P64" i="25"/>
  <c r="N42" i="48"/>
  <c r="X34" i="30"/>
  <c r="H10" i="28" s="1"/>
  <c r="X32" i="30"/>
  <c r="X35" i="30"/>
  <c r="X29" i="30"/>
  <c r="X36" i="30"/>
  <c r="X31" i="30"/>
  <c r="X9" i="30"/>
  <c r="H5" i="28" s="1"/>
  <c r="X27" i="30"/>
  <c r="X28" i="30"/>
  <c r="X25" i="30"/>
  <c r="H8" i="28" s="1"/>
  <c r="X41" i="30"/>
  <c r="X40" i="30"/>
  <c r="X18" i="30"/>
  <c r="H7" i="28" s="1"/>
  <c r="X26" i="30"/>
  <c r="X20" i="30"/>
  <c r="X39" i="30"/>
  <c r="X38" i="30"/>
  <c r="X16" i="30"/>
  <c r="X13" i="30"/>
  <c r="H6" i="28" s="1"/>
  <c r="X37" i="30"/>
  <c r="X17" i="30"/>
  <c r="X23" i="30"/>
  <c r="X11" i="30"/>
  <c r="X21" i="30"/>
  <c r="X33" i="30"/>
  <c r="X30" i="30"/>
  <c r="H9" i="28" s="1"/>
  <c r="X19" i="30"/>
  <c r="X42" i="30"/>
  <c r="X15" i="30"/>
  <c r="X24" i="30"/>
  <c r="H12" i="28" s="1"/>
  <c r="X12" i="30"/>
  <c r="X22" i="30"/>
  <c r="Y31" i="30"/>
  <c r="Y34" i="30"/>
  <c r="Y22" i="30"/>
  <c r="Y16" i="30"/>
  <c r="Y39" i="30"/>
  <c r="Y29" i="30"/>
  <c r="Y36" i="30"/>
  <c r="Y38" i="30"/>
  <c r="Y13" i="30"/>
  <c r="Y37" i="30"/>
  <c r="Y28" i="30"/>
  <c r="Y25" i="30"/>
  <c r="Y17" i="30"/>
  <c r="Y12" i="30"/>
  <c r="Y33" i="30"/>
  <c r="Y27" i="30"/>
  <c r="Y20" i="30"/>
  <c r="Y15" i="30"/>
  <c r="Y10" i="30"/>
  <c r="Y24" i="30"/>
  <c r="Y41" i="30"/>
  <c r="Y21" i="30"/>
  <c r="Y19" i="30"/>
  <c r="Y9" i="30"/>
  <c r="Y42" i="30"/>
  <c r="Y40" i="30"/>
  <c r="Y35" i="30"/>
  <c r="Y18" i="30"/>
  <c r="Y30" i="30"/>
  <c r="Y14" i="30"/>
  <c r="Y11" i="30"/>
  <c r="Y26" i="30"/>
  <c r="M161" i="33"/>
  <c r="AH29" i="30" s="1"/>
  <c r="P133" i="25"/>
  <c r="P80" i="37"/>
  <c r="Q80" i="37"/>
  <c r="O46" i="47"/>
  <c r="N44" i="47"/>
  <c r="AC80" i="5"/>
  <c r="AC8" i="5"/>
  <c r="W39" i="43"/>
  <c r="W41" i="43"/>
  <c r="W32" i="43"/>
  <c r="W16" i="43"/>
  <c r="I7" i="50"/>
  <c r="M7" i="50" s="1"/>
  <c r="I30" i="50"/>
  <c r="M30" i="50" s="1"/>
  <c r="I8" i="50"/>
  <c r="M8" i="50" s="1"/>
  <c r="M99" i="37"/>
  <c r="N100" i="37"/>
  <c r="W30" i="43"/>
  <c r="W14" i="43"/>
  <c r="W22" i="43"/>
  <c r="N67" i="35"/>
  <c r="M13" i="33"/>
  <c r="N14" i="33"/>
  <c r="O58" i="34"/>
  <c r="P58" i="34" s="1"/>
  <c r="N12" i="36"/>
  <c r="M10" i="36"/>
  <c r="Q99" i="32"/>
  <c r="N99" i="32"/>
  <c r="O99" i="32" s="1"/>
  <c r="P46" i="33"/>
  <c r="W12" i="43"/>
  <c r="W24" i="43"/>
  <c r="W28" i="43"/>
  <c r="Q101" i="47"/>
  <c r="N67" i="48"/>
  <c r="O67" i="48" s="1"/>
  <c r="W21" i="43"/>
  <c r="W25" i="43"/>
  <c r="W35" i="43"/>
  <c r="M161" i="24"/>
  <c r="N162" i="24"/>
  <c r="M119" i="47"/>
  <c r="N121" i="47"/>
  <c r="P131" i="33"/>
  <c r="BC7" i="43"/>
  <c r="W26" i="43"/>
  <c r="W27" i="43"/>
  <c r="W37" i="43"/>
  <c r="O29" i="40"/>
  <c r="W10" i="43"/>
  <c r="W40" i="43"/>
  <c r="W11" i="43"/>
  <c r="W38" i="43"/>
  <c r="N127" i="47"/>
  <c r="W23" i="43"/>
  <c r="W17" i="43"/>
  <c r="W19" i="43"/>
  <c r="W42" i="43"/>
  <c r="N14" i="38"/>
  <c r="O14" i="38" s="1"/>
  <c r="P14" i="38" s="1"/>
  <c r="E51" i="44"/>
  <c r="J35" i="43"/>
  <c r="J26" i="43"/>
  <c r="J12" i="43"/>
  <c r="J32" i="43"/>
  <c r="J30" i="43"/>
  <c r="J22" i="43"/>
  <c r="J39" i="43"/>
  <c r="J24" i="43"/>
  <c r="J23" i="43"/>
  <c r="J15" i="43"/>
  <c r="J19" i="43"/>
  <c r="J20" i="43"/>
  <c r="J38" i="43"/>
  <c r="J40" i="43"/>
  <c r="J28" i="43"/>
  <c r="J11" i="43"/>
  <c r="J27" i="43"/>
  <c r="J37" i="43"/>
  <c r="J41" i="43"/>
  <c r="J36" i="43"/>
  <c r="J13" i="43"/>
  <c r="J33" i="43"/>
  <c r="J14" i="43"/>
  <c r="J21" i="43"/>
  <c r="J16" i="43"/>
  <c r="J10" i="43"/>
  <c r="J25" i="43"/>
  <c r="J29" i="43"/>
  <c r="J9" i="43"/>
  <c r="BH6" i="43"/>
  <c r="BC6" i="43"/>
  <c r="N21" i="32"/>
  <c r="O21" i="32" s="1"/>
  <c r="Q21" i="32"/>
  <c r="N43" i="34"/>
  <c r="O43" i="34" s="1"/>
  <c r="P43" i="34" s="1"/>
  <c r="M41" i="34"/>
  <c r="N71" i="49"/>
  <c r="O71" i="49" s="1"/>
  <c r="P71" i="49" s="1"/>
  <c r="O224" i="45"/>
  <c r="P224" i="45" s="1"/>
  <c r="N51" i="39"/>
  <c r="O51" i="39" s="1"/>
  <c r="P51" i="39" s="1"/>
  <c r="N215" i="45"/>
  <c r="O215" i="45"/>
  <c r="P215" i="45" s="1"/>
  <c r="M214" i="45"/>
  <c r="Q214" i="45" s="1"/>
  <c r="I112" i="47"/>
  <c r="I122" i="47"/>
  <c r="N135" i="47"/>
  <c r="O135" i="47" s="1"/>
  <c r="M134" i="47"/>
  <c r="I81" i="48"/>
  <c r="I97" i="48"/>
  <c r="I39" i="48"/>
  <c r="I127" i="48"/>
  <c r="M127" i="48" s="1"/>
  <c r="I101" i="48"/>
  <c r="I17" i="48"/>
  <c r="M17" i="48" s="1"/>
  <c r="N17" i="48" s="1"/>
  <c r="O17" i="48" s="1"/>
  <c r="I15" i="48"/>
  <c r="M15" i="48" s="1"/>
  <c r="N15" i="48" s="1"/>
  <c r="I21" i="48"/>
  <c r="M21" i="48" s="1"/>
  <c r="I16" i="48"/>
  <c r="M16" i="48" s="1"/>
  <c r="I64" i="48"/>
  <c r="M64" i="48" s="1"/>
  <c r="N64" i="48" s="1"/>
  <c r="I76" i="48"/>
  <c r="I103" i="48"/>
  <c r="I71" i="48"/>
  <c r="M71" i="48" s="1"/>
  <c r="N71" i="48" s="1"/>
  <c r="I80" i="48"/>
  <c r="I12" i="48"/>
  <c r="I24" i="48"/>
  <c r="M24" i="48" s="1"/>
  <c r="N24" i="48" s="1"/>
  <c r="I100" i="48"/>
  <c r="I32" i="48"/>
  <c r="M32" i="48" s="1"/>
  <c r="I92" i="48"/>
  <c r="I68" i="48"/>
  <c r="I28" i="48"/>
  <c r="M28" i="48" s="1"/>
  <c r="I25" i="48"/>
  <c r="I45" i="48"/>
  <c r="M45" i="48" s="1"/>
  <c r="I77" i="48"/>
  <c r="I40" i="48"/>
  <c r="I23" i="48"/>
  <c r="M23" i="48" s="1"/>
  <c r="I14" i="48"/>
  <c r="I26" i="48"/>
  <c r="M26" i="48" s="1"/>
  <c r="N26" i="48" s="1"/>
  <c r="I29" i="48"/>
  <c r="I107" i="48"/>
  <c r="M107" i="48" s="1"/>
  <c r="N107" i="48" s="1"/>
  <c r="I53" i="48"/>
  <c r="I104" i="48"/>
  <c r="M104" i="48" s="1"/>
  <c r="I74" i="48"/>
  <c r="M74" i="48" s="1"/>
  <c r="N74" i="48" s="1"/>
  <c r="O74" i="48"/>
  <c r="P74" i="48" s="1"/>
  <c r="I48" i="48"/>
  <c r="M48" i="48" s="1"/>
  <c r="I75" i="48"/>
  <c r="P110" i="48"/>
  <c r="M85" i="48"/>
  <c r="Q85" i="48"/>
  <c r="I35" i="49"/>
  <c r="I25" i="49"/>
  <c r="M25" i="49" s="1"/>
  <c r="I74" i="49"/>
  <c r="M74" i="49" s="1"/>
  <c r="I80" i="49"/>
  <c r="M80" i="49" s="1"/>
  <c r="N80" i="49" s="1"/>
  <c r="I39" i="49"/>
  <c r="M39" i="49" s="1"/>
  <c r="I64" i="49"/>
  <c r="M64" i="49" s="1"/>
  <c r="I68" i="49"/>
  <c r="M68" i="49" s="1"/>
  <c r="I72" i="49"/>
  <c r="M72" i="49" s="1"/>
  <c r="I26" i="49"/>
  <c r="M26" i="49" s="1"/>
  <c r="N26" i="49" s="1"/>
  <c r="I67" i="49"/>
  <c r="M67" i="49" s="1"/>
  <c r="I50" i="49"/>
  <c r="M50" i="49" s="1"/>
  <c r="N50" i="49" s="1"/>
  <c r="O50" i="49" s="1"/>
  <c r="P50" i="49" s="1"/>
  <c r="I18" i="49"/>
  <c r="M18" i="49" s="1"/>
  <c r="I95" i="49"/>
  <c r="M95" i="49" s="1"/>
  <c r="I77" i="49"/>
  <c r="M77" i="49" s="1"/>
  <c r="I52" i="49"/>
  <c r="M52" i="49" s="1"/>
  <c r="N52" i="49" s="1"/>
  <c r="I23" i="49"/>
  <c r="M23" i="49" s="1"/>
  <c r="I40" i="49"/>
  <c r="M40" i="49" s="1"/>
  <c r="I103" i="49"/>
  <c r="M103" i="49" s="1"/>
  <c r="I12" i="49"/>
  <c r="M12" i="49" s="1"/>
  <c r="M10" i="49" s="1"/>
  <c r="I104" i="49"/>
  <c r="M104" i="49" s="1"/>
  <c r="I92" i="49"/>
  <c r="M92" i="49" s="1"/>
  <c r="I49" i="49"/>
  <c r="M49" i="49" s="1"/>
  <c r="I109" i="49"/>
  <c r="M109" i="49" s="1"/>
  <c r="N109" i="49" s="1"/>
  <c r="O109" i="49" s="1"/>
  <c r="P109" i="49" s="1"/>
  <c r="I20" i="49"/>
  <c r="M20" i="49" s="1"/>
  <c r="M19" i="49" s="1"/>
  <c r="I31" i="49"/>
  <c r="M31" i="49" s="1"/>
  <c r="N31" i="49" s="1"/>
  <c r="I15" i="49"/>
  <c r="M15" i="49" s="1"/>
  <c r="I32" i="49"/>
  <c r="M32" i="49" s="1"/>
  <c r="I98" i="49"/>
  <c r="M98" i="49" s="1"/>
  <c r="I51" i="49"/>
  <c r="M51" i="49" s="1"/>
  <c r="N51" i="49" s="1"/>
  <c r="I33" i="49"/>
  <c r="M33" i="49" s="1"/>
  <c r="N33" i="49"/>
  <c r="O33" i="49" s="1"/>
  <c r="P33" i="49" s="1"/>
  <c r="I107" i="49"/>
  <c r="M107" i="49" s="1"/>
  <c r="N107" i="49" s="1"/>
  <c r="O107" i="49" s="1"/>
  <c r="P107" i="49" s="1"/>
  <c r="I96" i="49"/>
  <c r="M96" i="49" s="1"/>
  <c r="I24" i="49"/>
  <c r="M24" i="49" s="1"/>
  <c r="N24" i="49" s="1"/>
  <c r="I93" i="49"/>
  <c r="M93" i="49" s="1"/>
  <c r="I53" i="49"/>
  <c r="M53" i="49" s="1"/>
  <c r="N145" i="49"/>
  <c r="O145" i="49" s="1"/>
  <c r="P145" i="49" s="1"/>
  <c r="B5" i="13"/>
  <c r="C3" i="13"/>
  <c r="B15" i="13"/>
  <c r="C15" i="13" s="1"/>
  <c r="P61" i="47"/>
  <c r="O62" i="48"/>
  <c r="M44" i="49"/>
  <c r="M40" i="47"/>
  <c r="N40" i="47" s="1"/>
  <c r="W20" i="30"/>
  <c r="W41" i="30"/>
  <c r="W16" i="30"/>
  <c r="W27" i="30"/>
  <c r="W40" i="30"/>
  <c r="W10" i="30"/>
  <c r="W33" i="30"/>
  <c r="W35" i="30"/>
  <c r="W30" i="30"/>
  <c r="W36" i="30"/>
  <c r="W32" i="30"/>
  <c r="W18" i="30"/>
  <c r="W22" i="30"/>
  <c r="W26" i="30"/>
  <c r="Q61" i="47"/>
  <c r="I101" i="32"/>
  <c r="M101" i="32" s="1"/>
  <c r="O114" i="49"/>
  <c r="P114" i="49" s="1"/>
  <c r="I100" i="32"/>
  <c r="M100" i="32"/>
  <c r="BD6" i="43"/>
  <c r="I98" i="32"/>
  <c r="M98" i="32" s="1"/>
  <c r="I113" i="39"/>
  <c r="M113" i="39"/>
  <c r="AG77" i="5"/>
  <c r="N98" i="54"/>
  <c r="M65" i="47"/>
  <c r="M114" i="47"/>
  <c r="Q27" i="30"/>
  <c r="Q20" i="30"/>
  <c r="Q23" i="30"/>
  <c r="Q11" i="30"/>
  <c r="Q28" i="30"/>
  <c r="Q39" i="30"/>
  <c r="Q29" i="30"/>
  <c r="Q31" i="30"/>
  <c r="Q40" i="30"/>
  <c r="Q32" i="30"/>
  <c r="AU7" i="30"/>
  <c r="Q19" i="30"/>
  <c r="Q37" i="30"/>
  <c r="Q22" i="30"/>
  <c r="Q24" i="30"/>
  <c r="AT7" i="30"/>
  <c r="G4" i="28" s="1"/>
  <c r="N4" i="28" s="1"/>
  <c r="G34" i="5"/>
  <c r="G91" i="5" s="1"/>
  <c r="F46" i="10"/>
  <c r="G90" i="5"/>
  <c r="W90" i="5"/>
  <c r="AU90" i="5"/>
  <c r="AU34" i="5"/>
  <c r="AU91" i="5" s="1"/>
  <c r="Q140" i="47"/>
  <c r="P146" i="49"/>
  <c r="M132" i="49"/>
  <c r="AA3" i="5"/>
  <c r="M155" i="49"/>
  <c r="N155" i="49" s="1"/>
  <c r="M128" i="46"/>
  <c r="N128" i="46" s="1"/>
  <c r="I11" i="43"/>
  <c r="I41" i="43"/>
  <c r="D14" i="41" s="1"/>
  <c r="I25" i="43"/>
  <c r="D8" i="41" s="1"/>
  <c r="I33" i="43"/>
  <c r="I16" i="43"/>
  <c r="V59" i="10"/>
  <c r="A16" i="11"/>
  <c r="A106" i="5"/>
  <c r="A31" i="11" s="1"/>
  <c r="AX15" i="43"/>
  <c r="BA15" i="43"/>
  <c r="AO15" i="43"/>
  <c r="S125" i="69"/>
  <c r="P125" i="69"/>
  <c r="X4" i="5"/>
  <c r="X61" i="5" s="1"/>
  <c r="P126" i="36"/>
  <c r="M107" i="46"/>
  <c r="N107" i="46" s="1"/>
  <c r="AE90" i="5"/>
  <c r="AA63" i="5"/>
  <c r="N51" i="40"/>
  <c r="O51" i="40"/>
  <c r="P51" i="40" s="1"/>
  <c r="M29" i="46"/>
  <c r="B45" i="10"/>
  <c r="A87" i="5"/>
  <c r="I7" i="5"/>
  <c r="I64" i="5" s="1"/>
  <c r="I63" i="5"/>
  <c r="Z7" i="5"/>
  <c r="Z64" i="5" s="1"/>
  <c r="Z63" i="5"/>
  <c r="AS68" i="5"/>
  <c r="AT8" i="43"/>
  <c r="AU8" i="43"/>
  <c r="X85" i="63"/>
  <c r="H155" i="58"/>
  <c r="J7" i="5"/>
  <c r="J64" i="5" s="1"/>
  <c r="J3" i="5"/>
  <c r="R7" i="5"/>
  <c r="R64" i="5" s="1"/>
  <c r="R63" i="5"/>
  <c r="Q55" i="10" s="1"/>
  <c r="N50" i="10"/>
  <c r="AE46" i="5"/>
  <c r="AE103" i="5" s="1"/>
  <c r="AM46" i="5"/>
  <c r="AM103" i="5" s="1"/>
  <c r="AM102" i="5"/>
  <c r="BK102" i="5"/>
  <c r="K56" i="10"/>
  <c r="S32" i="42"/>
  <c r="BA6" i="43"/>
  <c r="AZ6" i="43"/>
  <c r="I140" i="23"/>
  <c r="M140" i="23" s="1"/>
  <c r="I144" i="23"/>
  <c r="M144" i="23" s="1"/>
  <c r="N144" i="23" s="1"/>
  <c r="I122" i="23"/>
  <c r="M122" i="23" s="1"/>
  <c r="N122" i="23" s="1"/>
  <c r="N61" i="23"/>
  <c r="O61" i="23"/>
  <c r="N126" i="23"/>
  <c r="O126" i="23" s="1"/>
  <c r="N159" i="27"/>
  <c r="O159" i="27" s="1"/>
  <c r="P159" i="27" s="1"/>
  <c r="J14" i="28"/>
  <c r="O14" i="28"/>
  <c r="N14" i="28"/>
  <c r="P14" i="28"/>
  <c r="K14" i="28"/>
  <c r="E37" i="31"/>
  <c r="E48" i="31" s="1"/>
  <c r="AM7" i="30"/>
  <c r="AN8" i="30"/>
  <c r="AO8" i="30"/>
  <c r="BB8" i="30"/>
  <c r="BA15" i="30"/>
  <c r="AL15" i="30"/>
  <c r="AI15" i="30"/>
  <c r="N133" i="32"/>
  <c r="O133" i="32" s="1"/>
  <c r="Q133" i="32"/>
  <c r="N213" i="32"/>
  <c r="O213" i="32" s="1"/>
  <c r="M208" i="32"/>
  <c r="I144" i="33"/>
  <c r="I122" i="33"/>
  <c r="M122" i="33" s="1"/>
  <c r="I143" i="33"/>
  <c r="M143" i="33" s="1"/>
  <c r="N143" i="33" s="1"/>
  <c r="M83" i="33"/>
  <c r="Q83" i="33"/>
  <c r="I140" i="34"/>
  <c r="M140" i="34" s="1"/>
  <c r="I112" i="34"/>
  <c r="M112" i="34" s="1"/>
  <c r="N112" i="34" s="1"/>
  <c r="I144" i="34"/>
  <c r="M144" i="34" s="1"/>
  <c r="I143" i="34"/>
  <c r="M143" i="34" s="1"/>
  <c r="I135" i="35"/>
  <c r="M135" i="35" s="1"/>
  <c r="I143" i="35"/>
  <c r="I106" i="35"/>
  <c r="I122" i="35"/>
  <c r="I108" i="35"/>
  <c r="I137" i="35"/>
  <c r="M137" i="35" s="1"/>
  <c r="N137" i="35" s="1"/>
  <c r="O137" i="35" s="1"/>
  <c r="I142" i="35"/>
  <c r="I136" i="35"/>
  <c r="I131" i="35"/>
  <c r="I118" i="35"/>
  <c r="I138" i="35"/>
  <c r="I58" i="35"/>
  <c r="M58" i="35" s="1"/>
  <c r="I142" i="36"/>
  <c r="I144" i="36"/>
  <c r="M144" i="36" s="1"/>
  <c r="I112" i="36"/>
  <c r="I143" i="39"/>
  <c r="I144" i="39"/>
  <c r="M144" i="39" s="1"/>
  <c r="M121" i="49"/>
  <c r="M119" i="48"/>
  <c r="O8" i="48"/>
  <c r="M123" i="47"/>
  <c r="N123" i="47" s="1"/>
  <c r="O123" i="47" s="1"/>
  <c r="BB90" i="5"/>
  <c r="BB34" i="5"/>
  <c r="BB91" i="5" s="1"/>
  <c r="M140" i="20"/>
  <c r="N140" i="20" s="1"/>
  <c r="O140" i="20"/>
  <c r="M155" i="20"/>
  <c r="N155" i="20" s="1"/>
  <c r="M59" i="36"/>
  <c r="I114" i="68"/>
  <c r="M114" i="68" s="1"/>
  <c r="O114" i="68" s="1"/>
  <c r="I158" i="68"/>
  <c r="M158" i="68" s="1"/>
  <c r="O158" i="68" s="1"/>
  <c r="O250" i="58" s="1"/>
  <c r="M39" i="34"/>
  <c r="M17" i="34"/>
  <c r="N17" i="34" s="1"/>
  <c r="O17" i="34"/>
  <c r="P17" i="34" s="1"/>
  <c r="M72" i="34"/>
  <c r="M18" i="37"/>
  <c r="N18" i="37" s="1"/>
  <c r="M29" i="27"/>
  <c r="AN34" i="5"/>
  <c r="AN91" i="5" s="1"/>
  <c r="AF90" i="5"/>
  <c r="M71" i="24"/>
  <c r="M18" i="40"/>
  <c r="M40" i="36"/>
  <c r="D3" i="10"/>
  <c r="I16" i="68"/>
  <c r="M16" i="68" s="1"/>
  <c r="O16" i="68" s="1"/>
  <c r="I64" i="68"/>
  <c r="M64" i="68" s="1"/>
  <c r="O64" i="68" s="1"/>
  <c r="I180" i="68"/>
  <c r="M180" i="68" s="1"/>
  <c r="O180" i="68" s="1"/>
  <c r="N221" i="58"/>
  <c r="M151" i="34"/>
  <c r="M28" i="34"/>
  <c r="N138" i="32"/>
  <c r="AN46" i="5"/>
  <c r="AN103" i="5" s="1"/>
  <c r="P34" i="5"/>
  <c r="P91" i="5" s="1"/>
  <c r="P102" i="5"/>
  <c r="AZ90" i="5"/>
  <c r="BQ34" i="5"/>
  <c r="BQ91" i="5" s="1"/>
  <c r="BH4" i="10"/>
  <c r="E63" i="5"/>
  <c r="BG34" i="5"/>
  <c r="BG91" i="5" s="1"/>
  <c r="M102" i="36"/>
  <c r="P158" i="49"/>
  <c r="BJ3" i="5"/>
  <c r="BJ60" i="5" s="1"/>
  <c r="BM3" i="5"/>
  <c r="G3" i="10"/>
  <c r="M162" i="32"/>
  <c r="BI15" i="43"/>
  <c r="I39" i="68"/>
  <c r="M39" i="68" s="1"/>
  <c r="O39" i="68" s="1"/>
  <c r="I73" i="68"/>
  <c r="M73" i="68" s="1"/>
  <c r="O73" i="68" s="1"/>
  <c r="M220" i="58"/>
  <c r="M137" i="34"/>
  <c r="M106" i="34"/>
  <c r="M28" i="33"/>
  <c r="M80" i="23"/>
  <c r="M92" i="27"/>
  <c r="AF46" i="5"/>
  <c r="AF103" i="5" s="1"/>
  <c r="O46" i="10"/>
  <c r="M151" i="23"/>
  <c r="M53" i="46"/>
  <c r="M118" i="40"/>
  <c r="M151" i="40"/>
  <c r="N151" i="40" s="1"/>
  <c r="M162" i="40"/>
  <c r="N162" i="40" s="1"/>
  <c r="O162" i="40" s="1"/>
  <c r="I26" i="68"/>
  <c r="M26" i="68" s="1"/>
  <c r="O26" i="68" s="1"/>
  <c r="I119" i="68"/>
  <c r="M119" i="68" s="1"/>
  <c r="O119" i="68" s="1"/>
  <c r="M25" i="25"/>
  <c r="M18" i="46"/>
  <c r="N18" i="46" s="1"/>
  <c r="M21" i="25"/>
  <c r="N21" i="25" s="1"/>
  <c r="M7" i="51"/>
  <c r="M153" i="51"/>
  <c r="I61" i="68"/>
  <c r="M61" i="68" s="1"/>
  <c r="O61" i="68" s="1"/>
  <c r="I99" i="68"/>
  <c r="M99" i="68" s="1"/>
  <c r="O99" i="68" s="1"/>
  <c r="Q99" i="68" s="1"/>
  <c r="T81" i="68"/>
  <c r="U196" i="63"/>
  <c r="P126" i="49"/>
  <c r="M109" i="40"/>
  <c r="M136" i="39"/>
  <c r="N136" i="39" s="1"/>
  <c r="M125" i="39"/>
  <c r="N125" i="39" s="1"/>
  <c r="P62" i="38"/>
  <c r="N214" i="32"/>
  <c r="M108" i="37"/>
  <c r="M49" i="25"/>
  <c r="N49" i="25" s="1"/>
  <c r="M103" i="27"/>
  <c r="P55" i="20"/>
  <c r="P46" i="5"/>
  <c r="P103" i="5" s="1"/>
  <c r="AV90" i="5"/>
  <c r="BK34" i="5"/>
  <c r="BK91" i="5" s="1"/>
  <c r="M7" i="40"/>
  <c r="M28" i="39"/>
  <c r="M27" i="39" s="1"/>
  <c r="I98" i="68"/>
  <c r="M98" i="68" s="1"/>
  <c r="O98" i="68" s="1"/>
  <c r="I113" i="68"/>
  <c r="M113" i="68" s="1"/>
  <c r="O113" i="68" s="1"/>
  <c r="Q113" i="68" s="1"/>
  <c r="T113" i="68" s="1"/>
  <c r="AF3" i="5"/>
  <c r="AF60" i="5" s="1"/>
  <c r="AF7" i="5"/>
  <c r="AF64" i="5" s="1"/>
  <c r="AE63" i="5"/>
  <c r="Q25" i="37"/>
  <c r="O11" i="33"/>
  <c r="P11" i="33" s="1"/>
  <c r="Q122" i="46"/>
  <c r="P122" i="46"/>
  <c r="P96" i="47"/>
  <c r="Q96" i="47"/>
  <c r="N131" i="37"/>
  <c r="N125" i="36"/>
  <c r="M124" i="36"/>
  <c r="N96" i="34"/>
  <c r="O96" i="34"/>
  <c r="P96" i="34" s="1"/>
  <c r="M94" i="34"/>
  <c r="M42" i="33"/>
  <c r="N26" i="34"/>
  <c r="O26" i="34" s="1"/>
  <c r="N55" i="34"/>
  <c r="O55" i="34" s="1"/>
  <c r="P55" i="34" s="1"/>
  <c r="N24" i="32"/>
  <c r="O24" i="32" s="1"/>
  <c r="Q24" i="32"/>
  <c r="M2" i="29"/>
  <c r="D3" i="32" s="1"/>
  <c r="BD53" i="30"/>
  <c r="M115" i="24"/>
  <c r="N115" i="24" s="1"/>
  <c r="M132" i="25"/>
  <c r="N132" i="25" s="1"/>
  <c r="O132" i="25" s="1"/>
  <c r="P132" i="25" s="1"/>
  <c r="N121" i="34"/>
  <c r="M20" i="35"/>
  <c r="N30" i="33"/>
  <c r="O30" i="33" s="1"/>
  <c r="O64" i="50"/>
  <c r="Q135" i="46"/>
  <c r="P71" i="54"/>
  <c r="O58" i="33"/>
  <c r="Q151" i="48"/>
  <c r="P151" i="48"/>
  <c r="P135" i="36"/>
  <c r="P80" i="24"/>
  <c r="N19" i="27"/>
  <c r="O20" i="27"/>
  <c r="N99" i="45"/>
  <c r="O99" i="45" s="1"/>
  <c r="P99" i="45" s="1"/>
  <c r="Q99" i="45"/>
  <c r="O221" i="45"/>
  <c r="O220" i="45" s="1"/>
  <c r="P220" i="45" s="1"/>
  <c r="N220" i="45"/>
  <c r="O42" i="35"/>
  <c r="P22" i="54"/>
  <c r="N22" i="54"/>
  <c r="P83" i="54"/>
  <c r="Q8" i="7"/>
  <c r="P96" i="54"/>
  <c r="N96" i="54"/>
  <c r="P123" i="25"/>
  <c r="O23" i="50"/>
  <c r="P23" i="50" s="1"/>
  <c r="N161" i="47"/>
  <c r="AU29" i="43" s="1"/>
  <c r="O162" i="47"/>
  <c r="P119" i="35"/>
  <c r="O48" i="25"/>
  <c r="O47" i="25" s="1"/>
  <c r="P47" i="25" s="1"/>
  <c r="Q17" i="33"/>
  <c r="Q51" i="33"/>
  <c r="P51" i="33"/>
  <c r="Q120" i="48"/>
  <c r="P120" i="48"/>
  <c r="P133" i="46"/>
  <c r="O120" i="46"/>
  <c r="P99" i="54"/>
  <c r="Q14" i="47"/>
  <c r="O151" i="37"/>
  <c r="O127" i="37"/>
  <c r="N76" i="33"/>
  <c r="O76" i="33" s="1"/>
  <c r="N66" i="32"/>
  <c r="O66" i="32" s="1"/>
  <c r="M94" i="25"/>
  <c r="N95" i="25"/>
  <c r="U55" i="10"/>
  <c r="U4" i="10"/>
  <c r="U3" i="10" s="1"/>
  <c r="M10" i="33"/>
  <c r="N12" i="33"/>
  <c r="O12" i="33"/>
  <c r="M63" i="35"/>
  <c r="N65" i="35"/>
  <c r="O118" i="39"/>
  <c r="P118" i="39" s="1"/>
  <c r="O92" i="34"/>
  <c r="P110" i="33"/>
  <c r="Q110" i="33"/>
  <c r="M130" i="32"/>
  <c r="Q132" i="32"/>
  <c r="N132" i="32"/>
  <c r="O132" i="32" s="1"/>
  <c r="N71" i="27"/>
  <c r="O71" i="27" s="1"/>
  <c r="M70" i="27"/>
  <c r="M69" i="27" s="1"/>
  <c r="Q40" i="37"/>
  <c r="P40" i="37"/>
  <c r="M94" i="35"/>
  <c r="N24" i="37"/>
  <c r="O24" i="37" s="1"/>
  <c r="N50" i="48"/>
  <c r="O50" i="48" s="1"/>
  <c r="BF27" i="6"/>
  <c r="AE27" i="6"/>
  <c r="AE24" i="6" s="1"/>
  <c r="AC27" i="6"/>
  <c r="BI27" i="6"/>
  <c r="AU27" i="6"/>
  <c r="BR27" i="6"/>
  <c r="BA27" i="6"/>
  <c r="BS27" i="6"/>
  <c r="AI27" i="6"/>
  <c r="AN27" i="6"/>
  <c r="BD27" i="6"/>
  <c r="AS27" i="6"/>
  <c r="BG27" i="6"/>
  <c r="BE27" i="6"/>
  <c r="BK27" i="6"/>
  <c r="BQ27" i="6"/>
  <c r="F63" i="5"/>
  <c r="F7" i="5"/>
  <c r="F64" i="5" s="1"/>
  <c r="F3" i="5"/>
  <c r="N63" i="5"/>
  <c r="N7" i="5"/>
  <c r="N64" i="5" s="1"/>
  <c r="I133" i="24"/>
  <c r="M133" i="24" s="1"/>
  <c r="N133" i="24" s="1"/>
  <c r="I135" i="24"/>
  <c r="I58" i="24"/>
  <c r="I143" i="24"/>
  <c r="M143" i="24"/>
  <c r="N143" i="24" s="1"/>
  <c r="I112" i="24"/>
  <c r="I7" i="25"/>
  <c r="M7" i="25" s="1"/>
  <c r="I30" i="25"/>
  <c r="I8" i="25"/>
  <c r="I125" i="25"/>
  <c r="Q137" i="25"/>
  <c r="P137" i="25"/>
  <c r="P115" i="37"/>
  <c r="Q115" i="37"/>
  <c r="P54" i="48"/>
  <c r="Q54" i="48"/>
  <c r="Q143" i="20"/>
  <c r="P143" i="20"/>
  <c r="O67" i="27"/>
  <c r="N66" i="27"/>
  <c r="O42" i="43"/>
  <c r="O20" i="43"/>
  <c r="O14" i="43"/>
  <c r="O28" i="43"/>
  <c r="O16" i="43"/>
  <c r="O40" i="43"/>
  <c r="O11" i="43"/>
  <c r="O12" i="43"/>
  <c r="O31" i="43"/>
  <c r="O22" i="43"/>
  <c r="O9" i="43"/>
  <c r="F5" i="41" s="1"/>
  <c r="O15" i="43"/>
  <c r="O39" i="43"/>
  <c r="O38" i="43"/>
  <c r="O37" i="43"/>
  <c r="O27" i="43"/>
  <c r="O33" i="43"/>
  <c r="O19" i="43"/>
  <c r="O32" i="43"/>
  <c r="O26" i="43"/>
  <c r="N28" i="37"/>
  <c r="M27" i="37"/>
  <c r="O7" i="24"/>
  <c r="N6" i="24"/>
  <c r="N5" i="24" s="1"/>
  <c r="N4" i="24" s="1"/>
  <c r="P79" i="54"/>
  <c r="N79" i="54"/>
  <c r="O100" i="49"/>
  <c r="N99" i="49"/>
  <c r="AM27" i="6"/>
  <c r="Q64" i="33"/>
  <c r="P127" i="34"/>
  <c r="P96" i="33"/>
  <c r="I155" i="32"/>
  <c r="M155" i="32"/>
  <c r="Q155" i="32" s="1"/>
  <c r="I153" i="32"/>
  <c r="M153" i="32" s="1"/>
  <c r="I152" i="32"/>
  <c r="M152" i="32" s="1"/>
  <c r="N64" i="38"/>
  <c r="O163" i="49"/>
  <c r="P163" i="49" s="1"/>
  <c r="N161" i="49"/>
  <c r="BA29" i="43" s="1"/>
  <c r="M94" i="33"/>
  <c r="N98" i="33"/>
  <c r="O67" i="25"/>
  <c r="N66" i="25"/>
  <c r="P31" i="35"/>
  <c r="P73" i="36"/>
  <c r="N20" i="33"/>
  <c r="M19" i="33"/>
  <c r="P45" i="49"/>
  <c r="P26" i="25"/>
  <c r="Q26" i="25"/>
  <c r="M19" i="50"/>
  <c r="N20" i="50"/>
  <c r="N39" i="35"/>
  <c r="M38" i="35"/>
  <c r="N12" i="46"/>
  <c r="M10" i="46"/>
  <c r="N124" i="27"/>
  <c r="O125" i="27"/>
  <c r="N41" i="47"/>
  <c r="P40" i="33"/>
  <c r="Q40" i="33"/>
  <c r="G39" i="43"/>
  <c r="G20" i="43"/>
  <c r="G26" i="43"/>
  <c r="G16" i="43"/>
  <c r="G41" i="43"/>
  <c r="G36" i="43"/>
  <c r="G38" i="43"/>
  <c r="G17" i="43"/>
  <c r="G40" i="43"/>
  <c r="G33" i="43"/>
  <c r="G37" i="43"/>
  <c r="G23" i="43"/>
  <c r="G15" i="43"/>
  <c r="G34" i="43"/>
  <c r="G35" i="43"/>
  <c r="G18" i="43"/>
  <c r="G10" i="43"/>
  <c r="G32" i="43"/>
  <c r="G19" i="43"/>
  <c r="G12" i="43"/>
  <c r="G25" i="43"/>
  <c r="G31" i="43"/>
  <c r="G13" i="43"/>
  <c r="G21" i="43"/>
  <c r="G22" i="43"/>
  <c r="G14" i="43"/>
  <c r="G28" i="43"/>
  <c r="M114" i="35"/>
  <c r="F57" i="10"/>
  <c r="N57" i="10"/>
  <c r="V57" i="10"/>
  <c r="N43" i="54"/>
  <c r="Q29" i="47"/>
  <c r="N13" i="46"/>
  <c r="W33" i="43"/>
  <c r="W34" i="43"/>
  <c r="W9" i="43"/>
  <c r="W18" i="43"/>
  <c r="B4" i="41"/>
  <c r="O4" i="41" s="1"/>
  <c r="AD77" i="5"/>
  <c r="Q24" i="35"/>
  <c r="P24" i="35"/>
  <c r="O156" i="46"/>
  <c r="N136" i="46"/>
  <c r="M134" i="46"/>
  <c r="M124" i="37"/>
  <c r="N118" i="23"/>
  <c r="M6" i="36"/>
  <c r="M47" i="46"/>
  <c r="B10" i="10"/>
  <c r="G7" i="10"/>
  <c r="G26" i="10" s="1"/>
  <c r="F26" i="12" s="1"/>
  <c r="M124" i="20"/>
  <c r="N127" i="20"/>
  <c r="Q159" i="32"/>
  <c r="N159" i="32"/>
  <c r="O159" i="32" s="1"/>
  <c r="Q126" i="35"/>
  <c r="N118" i="49"/>
  <c r="O118" i="49" s="1"/>
  <c r="P118" i="49" s="1"/>
  <c r="I102" i="5"/>
  <c r="H50" i="10"/>
  <c r="I3" i="5"/>
  <c r="Q46" i="5"/>
  <c r="Q103" i="5" s="1"/>
  <c r="Q102" i="5"/>
  <c r="P50" i="10"/>
  <c r="Y46" i="5"/>
  <c r="Y103" i="5"/>
  <c r="Y102" i="5"/>
  <c r="AG46" i="5"/>
  <c r="AG103" i="5" s="1"/>
  <c r="AG102" i="5"/>
  <c r="AO46" i="5"/>
  <c r="AO103" i="5" s="1"/>
  <c r="AO102" i="5"/>
  <c r="BM46" i="5"/>
  <c r="BM103" i="5" s="1"/>
  <c r="BM102" i="5"/>
  <c r="E56" i="10"/>
  <c r="M56" i="10"/>
  <c r="T56" i="10"/>
  <c r="N91" i="37"/>
  <c r="N38" i="33"/>
  <c r="P219" i="45"/>
  <c r="N120" i="20"/>
  <c r="AX71" i="5"/>
  <c r="O14" i="46"/>
  <c r="B8" i="42"/>
  <c r="G3" i="45"/>
  <c r="I173" i="45" s="1"/>
  <c r="M173" i="45" s="1"/>
  <c r="I58" i="10"/>
  <c r="P58" i="10"/>
  <c r="F49" i="31"/>
  <c r="G49" i="31" s="1"/>
  <c r="G52" i="31" s="1"/>
  <c r="G38" i="31"/>
  <c r="G41" i="31" s="1"/>
  <c r="N61" i="40"/>
  <c r="N60" i="40"/>
  <c r="M60" i="40"/>
  <c r="D4" i="42"/>
  <c r="H44" i="42"/>
  <c r="M96" i="40"/>
  <c r="N96" i="40" s="1"/>
  <c r="M32" i="32"/>
  <c r="K7" i="5"/>
  <c r="K64" i="5" s="1"/>
  <c r="AB7" i="5"/>
  <c r="AB64" i="5" s="1"/>
  <c r="BC15" i="30"/>
  <c r="S183" i="65"/>
  <c r="P183" i="65"/>
  <c r="N261" i="58"/>
  <c r="N237" i="58"/>
  <c r="Q151" i="63"/>
  <c r="S151" i="63" s="1"/>
  <c r="M157" i="58"/>
  <c r="Q81" i="65"/>
  <c r="P275" i="58"/>
  <c r="Q183" i="66"/>
  <c r="I188" i="67"/>
  <c r="M188" i="67" s="1"/>
  <c r="O188" i="67"/>
  <c r="U188" i="67" s="1"/>
  <c r="I167" i="67"/>
  <c r="M167" i="67"/>
  <c r="O167" i="67" s="1"/>
  <c r="I197" i="67"/>
  <c r="M197" i="67" s="1"/>
  <c r="O197" i="67" s="1"/>
  <c r="I189" i="67"/>
  <c r="M189" i="67" s="1"/>
  <c r="O189" i="67" s="1"/>
  <c r="U189" i="67" s="1"/>
  <c r="I107" i="67"/>
  <c r="M107" i="67" s="1"/>
  <c r="O107" i="67" s="1"/>
  <c r="Q107" i="67" s="1"/>
  <c r="I152" i="67"/>
  <c r="M152" i="67" s="1"/>
  <c r="O152" i="67" s="1"/>
  <c r="I149" i="67"/>
  <c r="M149" i="67" s="1"/>
  <c r="O149" i="67" s="1"/>
  <c r="U149" i="67" s="1"/>
  <c r="I155" i="67"/>
  <c r="M155" i="67" s="1"/>
  <c r="O155" i="67" s="1"/>
  <c r="I108" i="67"/>
  <c r="M108" i="67" s="1"/>
  <c r="O108" i="67" s="1"/>
  <c r="K204" i="58" s="1"/>
  <c r="I148" i="67"/>
  <c r="M148" i="67" s="1"/>
  <c r="O148" i="67" s="1"/>
  <c r="I195" i="67"/>
  <c r="M195" i="67" s="1"/>
  <c r="O195" i="67" s="1"/>
  <c r="I74" i="67"/>
  <c r="M74" i="67" s="1"/>
  <c r="O74" i="67" s="1"/>
  <c r="I52" i="67"/>
  <c r="M52" i="67" s="1"/>
  <c r="O52" i="67" s="1"/>
  <c r="K132" i="58" s="1"/>
  <c r="I194" i="67"/>
  <c r="M194" i="67" s="1"/>
  <c r="O194" i="67" s="1"/>
  <c r="I67" i="67"/>
  <c r="M67" i="67" s="1"/>
  <c r="O67" i="67" s="1"/>
  <c r="I190" i="67"/>
  <c r="M190" i="67"/>
  <c r="O190" i="67" s="1"/>
  <c r="U190" i="67" s="1"/>
  <c r="I103" i="67"/>
  <c r="M103" i="67" s="1"/>
  <c r="O103" i="67" s="1"/>
  <c r="I147" i="67"/>
  <c r="M147" i="67" s="1"/>
  <c r="O147" i="67" s="1"/>
  <c r="U147" i="67" s="1"/>
  <c r="L201" i="58"/>
  <c r="U105" i="69"/>
  <c r="Q105" i="69"/>
  <c r="S105" i="69" s="1"/>
  <c r="Q146" i="69"/>
  <c r="P146" i="69" s="1"/>
  <c r="L238" i="58"/>
  <c r="Q84" i="58"/>
  <c r="R84" i="58" s="1"/>
  <c r="U92" i="61"/>
  <c r="W92" i="61" s="1"/>
  <c r="V92" i="61" s="1"/>
  <c r="Q92" i="61"/>
  <c r="Q355" i="58"/>
  <c r="R355" i="58" s="1"/>
  <c r="U192" i="61"/>
  <c r="W192" i="61" s="1"/>
  <c r="BK48" i="57" s="1"/>
  <c r="Q192" i="61"/>
  <c r="P192" i="61" s="1"/>
  <c r="M32" i="40"/>
  <c r="M11" i="39"/>
  <c r="Q42" i="30"/>
  <c r="Q26" i="30"/>
  <c r="M17" i="20"/>
  <c r="S7" i="5"/>
  <c r="S64" i="5" s="1"/>
  <c r="M53" i="39"/>
  <c r="N53" i="39" s="1"/>
  <c r="I166" i="63"/>
  <c r="M166" i="63" s="1"/>
  <c r="O166" i="63" s="1"/>
  <c r="Q80" i="63"/>
  <c r="U80" i="63"/>
  <c r="N200" i="58"/>
  <c r="Q110" i="63"/>
  <c r="Q195" i="63"/>
  <c r="T195" i="63" s="1"/>
  <c r="N281" i="58"/>
  <c r="I44" i="65"/>
  <c r="M44" i="65" s="1"/>
  <c r="O44" i="65" s="1"/>
  <c r="M126" i="58" s="1"/>
  <c r="I173" i="65"/>
  <c r="M173" i="65" s="1"/>
  <c r="O173" i="65" s="1"/>
  <c r="I94" i="65"/>
  <c r="M94" i="65" s="1"/>
  <c r="O94" i="65" s="1"/>
  <c r="Q94" i="65" s="1"/>
  <c r="P94" i="65" s="1"/>
  <c r="I192" i="65"/>
  <c r="M192" i="65" s="1"/>
  <c r="O192" i="65" s="1"/>
  <c r="I123" i="65"/>
  <c r="M123" i="65" s="1"/>
  <c r="O123" i="65" s="1"/>
  <c r="I141" i="65"/>
  <c r="M141" i="65" s="1"/>
  <c r="O141" i="65" s="1"/>
  <c r="I62" i="65"/>
  <c r="M62" i="65" s="1"/>
  <c r="O62" i="65" s="1"/>
  <c r="Q62" i="65" s="1"/>
  <c r="I119" i="65"/>
  <c r="M119" i="65" s="1"/>
  <c r="O119" i="65" s="1"/>
  <c r="U119" i="65" s="1"/>
  <c r="I115" i="65"/>
  <c r="M115" i="65" s="1"/>
  <c r="O115" i="65" s="1"/>
  <c r="I109" i="65"/>
  <c r="M109" i="65" s="1"/>
  <c r="O109" i="65" s="1"/>
  <c r="Q109" i="65" s="1"/>
  <c r="S109" i="65" s="1"/>
  <c r="I92" i="65"/>
  <c r="M92" i="65" s="1"/>
  <c r="O92" i="65" s="1"/>
  <c r="Q92" i="65" s="1"/>
  <c r="T92" i="65" s="1"/>
  <c r="I21" i="65"/>
  <c r="M21" i="65" s="1"/>
  <c r="O21" i="65" s="1"/>
  <c r="I116" i="65"/>
  <c r="M116" i="65" s="1"/>
  <c r="O116" i="65" s="1"/>
  <c r="I98" i="65"/>
  <c r="M98" i="65" s="1"/>
  <c r="O98" i="65" s="1"/>
  <c r="I36" i="65"/>
  <c r="M36" i="65" s="1"/>
  <c r="O36" i="65" s="1"/>
  <c r="I164" i="65"/>
  <c r="M164" i="65" s="1"/>
  <c r="O164" i="65" s="1"/>
  <c r="I86" i="65"/>
  <c r="M86" i="65" s="1"/>
  <c r="O86" i="65" s="1"/>
  <c r="U86" i="65" s="1"/>
  <c r="I180" i="65"/>
  <c r="M180" i="65" s="1"/>
  <c r="O180" i="65" s="1"/>
  <c r="I114" i="65"/>
  <c r="M114" i="65" s="1"/>
  <c r="O114" i="65" s="1"/>
  <c r="I139" i="65"/>
  <c r="M139" i="65" s="1"/>
  <c r="O139" i="65" s="1"/>
  <c r="M231" i="58" s="1"/>
  <c r="I55" i="65"/>
  <c r="M55" i="65" s="1"/>
  <c r="O55" i="65" s="1"/>
  <c r="I111" i="65"/>
  <c r="M111" i="65" s="1"/>
  <c r="O111" i="65" s="1"/>
  <c r="I91" i="65"/>
  <c r="M91" i="65" s="1"/>
  <c r="O91" i="65" s="1"/>
  <c r="Q91" i="65" s="1"/>
  <c r="I97" i="65"/>
  <c r="M97" i="65" s="1"/>
  <c r="O97" i="65" s="1"/>
  <c r="I90" i="65"/>
  <c r="M90" i="65" s="1"/>
  <c r="O90" i="65" s="1"/>
  <c r="U90" i="65" s="1"/>
  <c r="I17" i="65"/>
  <c r="M17" i="65" s="1"/>
  <c r="O17" i="65" s="1"/>
  <c r="I34" i="65"/>
  <c r="M34" i="65"/>
  <c r="O34" i="65" s="1"/>
  <c r="I53" i="65"/>
  <c r="M53" i="65" s="1"/>
  <c r="O53" i="65" s="1"/>
  <c r="M133" i="58" s="1"/>
  <c r="I200" i="65"/>
  <c r="M200" i="65" s="1"/>
  <c r="O200" i="65" s="1"/>
  <c r="I154" i="65"/>
  <c r="M154" i="65" s="1"/>
  <c r="O154" i="65" s="1"/>
  <c r="I59" i="65"/>
  <c r="M59" i="65" s="1"/>
  <c r="O59" i="65" s="1"/>
  <c r="I168" i="65"/>
  <c r="M168" i="65" s="1"/>
  <c r="O168" i="65" s="1"/>
  <c r="I106" i="65"/>
  <c r="M106" i="65" s="1"/>
  <c r="O106" i="65" s="1"/>
  <c r="I138" i="65"/>
  <c r="M138" i="65" s="1"/>
  <c r="O138" i="65" s="1"/>
  <c r="M230" i="58" s="1"/>
  <c r="I51" i="65"/>
  <c r="M51" i="65" s="1"/>
  <c r="O51" i="65" s="1"/>
  <c r="I199" i="65"/>
  <c r="M199" i="65" s="1"/>
  <c r="O199" i="65" s="1"/>
  <c r="I75" i="65"/>
  <c r="M75" i="65" s="1"/>
  <c r="O75" i="65" s="1"/>
  <c r="I37" i="65"/>
  <c r="M37" i="65" s="1"/>
  <c r="O37" i="65" s="1"/>
  <c r="I68" i="65"/>
  <c r="M68" i="65" s="1"/>
  <c r="O68" i="65" s="1"/>
  <c r="I83" i="65"/>
  <c r="M83" i="65" s="1"/>
  <c r="O83" i="65" s="1"/>
  <c r="I29" i="65"/>
  <c r="M29" i="65" s="1"/>
  <c r="O29" i="65" s="1"/>
  <c r="U29" i="65" s="1"/>
  <c r="I47" i="65"/>
  <c r="M47" i="65" s="1"/>
  <c r="O47" i="65" s="1"/>
  <c r="M129" i="58" s="1"/>
  <c r="I191" i="65"/>
  <c r="M191" i="65" s="1"/>
  <c r="O191" i="65" s="1"/>
  <c r="I122" i="65"/>
  <c r="M122" i="65" s="1"/>
  <c r="O122" i="65" s="1"/>
  <c r="I140" i="65"/>
  <c r="M140" i="65" s="1"/>
  <c r="O140" i="65" s="1"/>
  <c r="I142" i="65"/>
  <c r="M142" i="65" s="1"/>
  <c r="O142" i="65" s="1"/>
  <c r="I35" i="65"/>
  <c r="M35" i="65" s="1"/>
  <c r="O35" i="65" s="1"/>
  <c r="I63" i="65"/>
  <c r="M63" i="65" s="1"/>
  <c r="O63" i="65" s="1"/>
  <c r="I131" i="65"/>
  <c r="M131" i="65" s="1"/>
  <c r="O131" i="65" s="1"/>
  <c r="U131" i="65" s="1"/>
  <c r="I40" i="65"/>
  <c r="M40" i="65" s="1"/>
  <c r="O40" i="65" s="1"/>
  <c r="I24" i="65"/>
  <c r="M24" i="65" s="1"/>
  <c r="O24" i="65" s="1"/>
  <c r="Q24" i="65" s="1"/>
  <c r="I202" i="65"/>
  <c r="M202" i="65" s="1"/>
  <c r="O202" i="65" s="1"/>
  <c r="I113" i="65"/>
  <c r="M113" i="65" s="1"/>
  <c r="O113" i="65" s="1"/>
  <c r="I165" i="65"/>
  <c r="M165" i="65" s="1"/>
  <c r="O165" i="65" s="1"/>
  <c r="I99" i="65"/>
  <c r="M99" i="65" s="1"/>
  <c r="O99" i="65" s="1"/>
  <c r="I124" i="65"/>
  <c r="I198" i="65"/>
  <c r="M198" i="65" s="1"/>
  <c r="O198" i="65" s="1"/>
  <c r="I93" i="65"/>
  <c r="M93" i="65" s="1"/>
  <c r="O93" i="65" s="1"/>
  <c r="Q93" i="65" s="1"/>
  <c r="T93" i="65" s="1"/>
  <c r="I26" i="65"/>
  <c r="M26" i="65" s="1"/>
  <c r="O26" i="65" s="1"/>
  <c r="I57" i="65"/>
  <c r="M57" i="65" s="1"/>
  <c r="O57" i="65" s="1"/>
  <c r="I201" i="65"/>
  <c r="M201" i="65" s="1"/>
  <c r="O201" i="65" s="1"/>
  <c r="I48" i="65"/>
  <c r="M48" i="65" s="1"/>
  <c r="O48" i="65" s="1"/>
  <c r="U48" i="65" s="1"/>
  <c r="I137" i="65"/>
  <c r="M137" i="65" s="1"/>
  <c r="O137" i="65" s="1"/>
  <c r="Q137" i="65" s="1"/>
  <c r="I89" i="65"/>
  <c r="M89" i="65"/>
  <c r="O89" i="65" s="1"/>
  <c r="I121" i="65"/>
  <c r="M121" i="65" s="1"/>
  <c r="O121" i="65" s="1"/>
  <c r="I135" i="65"/>
  <c r="I65" i="65"/>
  <c r="M65" i="65" s="1"/>
  <c r="O65" i="65" s="1"/>
  <c r="I112" i="65"/>
  <c r="M112" i="65" s="1"/>
  <c r="O112" i="65" s="1"/>
  <c r="U112" i="65" s="1"/>
  <c r="I27" i="65"/>
  <c r="M27" i="65" s="1"/>
  <c r="O27" i="65" s="1"/>
  <c r="I196" i="65"/>
  <c r="M196" i="65" s="1"/>
  <c r="O196" i="65" s="1"/>
  <c r="I38" i="65"/>
  <c r="M38" i="65" s="1"/>
  <c r="O38" i="65" s="1"/>
  <c r="I134" i="65"/>
  <c r="M134" i="65" s="1"/>
  <c r="O134" i="65" s="1"/>
  <c r="I73" i="65"/>
  <c r="M73" i="65" s="1"/>
  <c r="O73" i="65" s="1"/>
  <c r="I118" i="65"/>
  <c r="M118" i="65" s="1"/>
  <c r="O118" i="65" s="1"/>
  <c r="I130" i="65"/>
  <c r="M130" i="65" s="1"/>
  <c r="O130" i="65" s="1"/>
  <c r="I64" i="65"/>
  <c r="M64" i="65" s="1"/>
  <c r="O64" i="65" s="1"/>
  <c r="I85" i="65"/>
  <c r="M85" i="65" s="1"/>
  <c r="O85" i="65" s="1"/>
  <c r="I16" i="65"/>
  <c r="M16" i="65" s="1"/>
  <c r="O16" i="65" s="1"/>
  <c r="I179" i="65"/>
  <c r="M179" i="65" s="1"/>
  <c r="O179" i="65" s="1"/>
  <c r="I186" i="65"/>
  <c r="M186" i="65" s="1"/>
  <c r="O186" i="65" s="1"/>
  <c r="I96" i="65"/>
  <c r="M96" i="65" s="1"/>
  <c r="O96" i="65" s="1"/>
  <c r="I70" i="65"/>
  <c r="M70" i="65" s="1"/>
  <c r="O70" i="65" s="1"/>
  <c r="I110" i="65"/>
  <c r="M110" i="65" s="1"/>
  <c r="O110" i="65" s="1"/>
  <c r="M206" i="58" s="1"/>
  <c r="I117" i="65"/>
  <c r="M117" i="65" s="1"/>
  <c r="O117" i="65" s="1"/>
  <c r="U117" i="65" s="1"/>
  <c r="I61" i="65"/>
  <c r="M61" i="65" s="1"/>
  <c r="O61" i="65" s="1"/>
  <c r="I15" i="65"/>
  <c r="M15" i="65" s="1"/>
  <c r="O15" i="65" s="1"/>
  <c r="I20" i="65"/>
  <c r="M20" i="65" s="1"/>
  <c r="O20" i="65" s="1"/>
  <c r="I136" i="65"/>
  <c r="M136" i="65" s="1"/>
  <c r="O136" i="65" s="1"/>
  <c r="I181" i="65"/>
  <c r="M181" i="65" s="1"/>
  <c r="O181" i="65" s="1"/>
  <c r="I87" i="65"/>
  <c r="M87" i="65" s="1"/>
  <c r="O87" i="65" s="1"/>
  <c r="M161" i="58" s="1"/>
  <c r="I66" i="65"/>
  <c r="M66" i="65" s="1"/>
  <c r="O66" i="65" s="1"/>
  <c r="Q66" i="65" s="1"/>
  <c r="I102" i="65"/>
  <c r="M102" i="65" s="1"/>
  <c r="O102" i="65" s="1"/>
  <c r="I28" i="65"/>
  <c r="M28" i="65" s="1"/>
  <c r="O28" i="65" s="1"/>
  <c r="I60" i="65"/>
  <c r="M60" i="65" s="1"/>
  <c r="O60" i="65" s="1"/>
  <c r="Q60" i="65" s="1"/>
  <c r="I50" i="65"/>
  <c r="M50" i="65" s="1"/>
  <c r="O50" i="65" s="1"/>
  <c r="M113" i="58"/>
  <c r="U31" i="65"/>
  <c r="Q31" i="65"/>
  <c r="U183" i="65"/>
  <c r="M275" i="58"/>
  <c r="I74" i="66"/>
  <c r="M74" i="66" s="1"/>
  <c r="O74" i="66" s="1"/>
  <c r="I197" i="66"/>
  <c r="M197" i="66" s="1"/>
  <c r="O197" i="66" s="1"/>
  <c r="I150" i="66"/>
  <c r="M150" i="66"/>
  <c r="O150" i="66" s="1"/>
  <c r="I151" i="68"/>
  <c r="M151" i="68" s="1"/>
  <c r="O151" i="68" s="1"/>
  <c r="Q107" i="69"/>
  <c r="L203" i="58"/>
  <c r="U107" i="69"/>
  <c r="U147" i="69"/>
  <c r="Q147" i="69"/>
  <c r="S147" i="69" s="1"/>
  <c r="L239" i="58"/>
  <c r="Q24" i="58"/>
  <c r="R24" i="58" s="1"/>
  <c r="Q24" i="61"/>
  <c r="S24" i="61" s="1"/>
  <c r="M52" i="40"/>
  <c r="N52" i="40" s="1"/>
  <c r="M72" i="40"/>
  <c r="N72" i="40" s="1"/>
  <c r="M43" i="39"/>
  <c r="N43" i="39"/>
  <c r="O43" i="39" s="1"/>
  <c r="P43" i="39" s="1"/>
  <c r="M162" i="39"/>
  <c r="N162" i="39" s="1"/>
  <c r="S63" i="5"/>
  <c r="M23" i="40"/>
  <c r="M22" i="40" s="1"/>
  <c r="M100" i="39"/>
  <c r="M143" i="39"/>
  <c r="M128" i="39"/>
  <c r="M12" i="40"/>
  <c r="U139" i="63"/>
  <c r="M163" i="24"/>
  <c r="T150" i="69"/>
  <c r="S150" i="69"/>
  <c r="P150" i="69"/>
  <c r="P32" i="67"/>
  <c r="S32" i="67"/>
  <c r="O215" i="32"/>
  <c r="P126" i="20"/>
  <c r="P61" i="50"/>
  <c r="M75" i="39"/>
  <c r="N75" i="39" s="1"/>
  <c r="O75" i="39" s="1"/>
  <c r="P75" i="39" s="1"/>
  <c r="M109" i="39"/>
  <c r="N109" i="39" s="1"/>
  <c r="O107" i="40"/>
  <c r="P107" i="40" s="1"/>
  <c r="Q13" i="30"/>
  <c r="Q35" i="30"/>
  <c r="Q38" i="30"/>
  <c r="Q21" i="30"/>
  <c r="AW34" i="5"/>
  <c r="AW91" i="5"/>
  <c r="J90" i="5"/>
  <c r="M7" i="20"/>
  <c r="T81" i="64"/>
  <c r="P81" i="64"/>
  <c r="I157" i="65"/>
  <c r="M157" i="65" s="1"/>
  <c r="O157" i="65" s="1"/>
  <c r="I125" i="65"/>
  <c r="Q136" i="63"/>
  <c r="N12" i="43"/>
  <c r="N23" i="43"/>
  <c r="N20" i="43"/>
  <c r="N25" i="43"/>
  <c r="P18" i="30"/>
  <c r="P15" i="30"/>
  <c r="P32" i="30"/>
  <c r="M21" i="39"/>
  <c r="O34" i="36"/>
  <c r="Q12" i="30"/>
  <c r="Q34" i="30"/>
  <c r="Q30" i="30"/>
  <c r="AO34" i="5"/>
  <c r="AO91" i="5"/>
  <c r="BI7" i="5"/>
  <c r="BI64" i="5" s="1"/>
  <c r="BD90" i="5"/>
  <c r="BE63" i="5"/>
  <c r="N60" i="47"/>
  <c r="M50" i="20"/>
  <c r="M143" i="40"/>
  <c r="M155" i="40"/>
  <c r="T120" i="63"/>
  <c r="Q104" i="67"/>
  <c r="P104" i="67" s="1"/>
  <c r="K200" i="58"/>
  <c r="M160" i="32"/>
  <c r="X109" i="63"/>
  <c r="Y109" i="63" s="1"/>
  <c r="AB109" i="63" s="1"/>
  <c r="H199" i="58"/>
  <c r="I185" i="63"/>
  <c r="M185" i="63" s="1"/>
  <c r="O185" i="63" s="1"/>
  <c r="I124" i="63"/>
  <c r="M124" i="63" s="1"/>
  <c r="O124" i="63" s="1"/>
  <c r="I117" i="63"/>
  <c r="M117" i="63" s="1"/>
  <c r="O117" i="63" s="1"/>
  <c r="N207" i="58" s="1"/>
  <c r="I105" i="63"/>
  <c r="M105" i="63" s="1"/>
  <c r="O105" i="63" s="1"/>
  <c r="I147" i="63"/>
  <c r="M147" i="63" s="1"/>
  <c r="O147" i="63" s="1"/>
  <c r="I140" i="63"/>
  <c r="M140" i="63" s="1"/>
  <c r="O140" i="63" s="1"/>
  <c r="Q140" i="63" s="1"/>
  <c r="P140" i="63" s="1"/>
  <c r="I123" i="63"/>
  <c r="M123" i="63" s="1"/>
  <c r="O123" i="63" s="1"/>
  <c r="I57" i="63"/>
  <c r="M57" i="63" s="1"/>
  <c r="O57" i="63" s="1"/>
  <c r="I15" i="63"/>
  <c r="M15" i="63" s="1"/>
  <c r="O15" i="63" s="1"/>
  <c r="I92" i="63"/>
  <c r="M92" i="63" s="1"/>
  <c r="O92" i="63" s="1"/>
  <c r="I65" i="63"/>
  <c r="M65" i="63" s="1"/>
  <c r="O65" i="63" s="1"/>
  <c r="I143" i="63"/>
  <c r="M143" i="63" s="1"/>
  <c r="O143" i="63" s="1"/>
  <c r="I44" i="63"/>
  <c r="M44" i="63" s="1"/>
  <c r="O44" i="63" s="1"/>
  <c r="I76" i="63"/>
  <c r="M76" i="63" s="1"/>
  <c r="O76" i="63" s="1"/>
  <c r="Q76" i="63" s="1"/>
  <c r="I187" i="63"/>
  <c r="M187" i="63" s="1"/>
  <c r="O187" i="63" s="1"/>
  <c r="I108" i="63"/>
  <c r="M108" i="63" s="1"/>
  <c r="O108" i="63" s="1"/>
  <c r="U108" i="63" s="1"/>
  <c r="I148" i="63"/>
  <c r="M148" i="63" s="1"/>
  <c r="O148" i="63" s="1"/>
  <c r="I144" i="63"/>
  <c r="M144" i="63" s="1"/>
  <c r="O144" i="63" s="1"/>
  <c r="I125" i="63"/>
  <c r="M125" i="63" s="1"/>
  <c r="O125" i="63" s="1"/>
  <c r="I129" i="63"/>
  <c r="M129" i="63" s="1"/>
  <c r="O129" i="63" s="1"/>
  <c r="I59" i="63"/>
  <c r="M59" i="63" s="1"/>
  <c r="O59" i="63"/>
  <c r="I22" i="63"/>
  <c r="M22" i="63" s="1"/>
  <c r="O22" i="63" s="1"/>
  <c r="I95" i="63"/>
  <c r="M95" i="63" s="1"/>
  <c r="O95" i="63" s="1"/>
  <c r="I67" i="63"/>
  <c r="M67" i="63" s="1"/>
  <c r="O67" i="63" s="1"/>
  <c r="I33" i="63"/>
  <c r="M33" i="63" s="1"/>
  <c r="O33" i="63" s="1"/>
  <c r="O31" i="63" s="1"/>
  <c r="I46" i="63"/>
  <c r="M46" i="63" s="1"/>
  <c r="O46" i="63" s="1"/>
  <c r="I26" i="63"/>
  <c r="M26" i="63" s="1"/>
  <c r="O26" i="63" s="1"/>
  <c r="U26" i="63" s="1"/>
  <c r="I118" i="63"/>
  <c r="M118" i="63" s="1"/>
  <c r="O118" i="63" s="1"/>
  <c r="N208" i="58" s="1"/>
  <c r="I207" i="63"/>
  <c r="M207" i="63" s="1"/>
  <c r="O207" i="63" s="1"/>
  <c r="I179" i="63"/>
  <c r="M179" i="63" s="1"/>
  <c r="O179" i="63" s="1"/>
  <c r="I103" i="63"/>
  <c r="M103" i="63" s="1"/>
  <c r="O103" i="63" s="1"/>
  <c r="I145" i="63"/>
  <c r="M145" i="63" s="1"/>
  <c r="O145" i="63" s="1"/>
  <c r="I141" i="63"/>
  <c r="M141" i="63" s="1"/>
  <c r="O141" i="63" s="1"/>
  <c r="I122" i="63"/>
  <c r="M122" i="63" s="1"/>
  <c r="O122" i="63" s="1"/>
  <c r="N212" i="58" s="1"/>
  <c r="I115" i="63"/>
  <c r="M115" i="63" s="1"/>
  <c r="O115" i="63" s="1"/>
  <c r="U115" i="63" s="1"/>
  <c r="I61" i="63"/>
  <c r="M61" i="63" s="1"/>
  <c r="O61" i="63" s="1"/>
  <c r="U61" i="63" s="1"/>
  <c r="I24" i="63"/>
  <c r="M24" i="63" s="1"/>
  <c r="O24" i="63" s="1"/>
  <c r="N104" i="58" s="1"/>
  <c r="I96" i="63"/>
  <c r="M96" i="63" s="1"/>
  <c r="O96" i="63" s="1"/>
  <c r="I69" i="63"/>
  <c r="M69" i="63" s="1"/>
  <c r="O69" i="63" s="1"/>
  <c r="I35" i="63"/>
  <c r="M35" i="63" s="1"/>
  <c r="O35" i="63" s="1"/>
  <c r="I28" i="63"/>
  <c r="M28" i="63" s="1"/>
  <c r="O28" i="63" s="1"/>
  <c r="N263" i="58"/>
  <c r="Q177" i="63"/>
  <c r="T177" i="63" s="1"/>
  <c r="I177" i="65"/>
  <c r="M177" i="65" s="1"/>
  <c r="O177" i="65" s="1"/>
  <c r="M269" i="58" s="1"/>
  <c r="I174" i="65"/>
  <c r="M174" i="65" s="1"/>
  <c r="O174" i="65" s="1"/>
  <c r="I146" i="65"/>
  <c r="M146" i="65" s="1"/>
  <c r="O146" i="65" s="1"/>
  <c r="M238" i="58" s="1"/>
  <c r="I160" i="67"/>
  <c r="M160" i="67" s="1"/>
  <c r="O160" i="67" s="1"/>
  <c r="U160" i="67" s="1"/>
  <c r="I151" i="67"/>
  <c r="M151" i="67" s="1"/>
  <c r="O151" i="67" s="1"/>
  <c r="O147" i="58"/>
  <c r="Q69" i="68"/>
  <c r="Q78" i="69"/>
  <c r="L154" i="58"/>
  <c r="U78" i="69"/>
  <c r="U148" i="69"/>
  <c r="Q148" i="69"/>
  <c r="S148" i="69" s="1"/>
  <c r="L240" i="58"/>
  <c r="M137" i="36"/>
  <c r="M108" i="47"/>
  <c r="X14" i="63"/>
  <c r="Y14" i="63" s="1"/>
  <c r="AB14" i="63" s="1"/>
  <c r="Q14" i="62"/>
  <c r="H263" i="58"/>
  <c r="X177" i="63"/>
  <c r="Y177" i="63" s="1"/>
  <c r="AB177" i="63" s="1"/>
  <c r="Q177" i="62"/>
  <c r="P177" i="62" s="1"/>
  <c r="U109" i="63"/>
  <c r="U58" i="63"/>
  <c r="U131" i="63"/>
  <c r="T180" i="63"/>
  <c r="U75" i="63"/>
  <c r="U201" i="63"/>
  <c r="M18" i="20"/>
  <c r="N18" i="20" s="1"/>
  <c r="O18" i="20" s="1"/>
  <c r="M101" i="20"/>
  <c r="N101" i="20" s="1"/>
  <c r="M156" i="27"/>
  <c r="N156" i="27" s="1"/>
  <c r="O156" i="27" s="1"/>
  <c r="P156" i="27" s="1"/>
  <c r="K9" i="14"/>
  <c r="H240" i="58"/>
  <c r="Q154" i="62"/>
  <c r="S154" i="62" s="1"/>
  <c r="U14" i="63"/>
  <c r="M58" i="40"/>
  <c r="N282" i="58"/>
  <c r="M81" i="20"/>
  <c r="M92" i="20"/>
  <c r="M107" i="20"/>
  <c r="N107" i="20" s="1"/>
  <c r="M131" i="20"/>
  <c r="N131" i="20" s="1"/>
  <c r="M136" i="20"/>
  <c r="N136" i="20" s="1"/>
  <c r="M142" i="20"/>
  <c r="N142" i="20" s="1"/>
  <c r="O142" i="20" s="1"/>
  <c r="M156" i="20"/>
  <c r="M163" i="20"/>
  <c r="M16" i="25"/>
  <c r="N16" i="25"/>
  <c r="O16" i="25" s="1"/>
  <c r="P16" i="25" s="1"/>
  <c r="M151" i="25"/>
  <c r="M82" i="23"/>
  <c r="M121" i="40"/>
  <c r="N121" i="40" s="1"/>
  <c r="I127" i="62"/>
  <c r="M127" i="62" s="1"/>
  <c r="O127" i="62" s="1"/>
  <c r="I115" i="62"/>
  <c r="M115" i="62" s="1"/>
  <c r="O115" i="62" s="1"/>
  <c r="I189" i="62"/>
  <c r="M189" i="62" s="1"/>
  <c r="O189" i="62" s="1"/>
  <c r="I69" i="62"/>
  <c r="M69" i="62" s="1"/>
  <c r="O69" i="62" s="1"/>
  <c r="I74" i="63"/>
  <c r="M74" i="63" s="1"/>
  <c r="O74" i="63" s="1"/>
  <c r="I50" i="63"/>
  <c r="M50" i="63" s="1"/>
  <c r="O50" i="63" s="1"/>
  <c r="I79" i="63"/>
  <c r="M79" i="63" s="1"/>
  <c r="O79" i="63" s="1"/>
  <c r="O78" i="63" s="1"/>
  <c r="N150" i="58" s="1"/>
  <c r="I71" i="63"/>
  <c r="M71" i="63" s="1"/>
  <c r="O71" i="63" s="1"/>
  <c r="I45" i="63"/>
  <c r="M45" i="63" s="1"/>
  <c r="O45" i="63" s="1"/>
  <c r="Q45" i="63" s="1"/>
  <c r="I38" i="63"/>
  <c r="M38" i="63" s="1"/>
  <c r="O38" i="63" s="1"/>
  <c r="I93" i="63"/>
  <c r="M93" i="63" s="1"/>
  <c r="O93" i="63" s="1"/>
  <c r="U93" i="63" s="1"/>
  <c r="I202" i="63"/>
  <c r="M202" i="63" s="1"/>
  <c r="O202" i="63" s="1"/>
  <c r="I206" i="63"/>
  <c r="M206" i="63" s="1"/>
  <c r="O206" i="63" s="1"/>
  <c r="I171" i="63"/>
  <c r="M171" i="63" s="1"/>
  <c r="O171" i="63" s="1"/>
  <c r="K10" i="14"/>
  <c r="M132" i="20"/>
  <c r="M43" i="38"/>
  <c r="I72" i="63"/>
  <c r="M72" i="63" s="1"/>
  <c r="O72" i="63" s="1"/>
  <c r="I48" i="63"/>
  <c r="M48" i="63" s="1"/>
  <c r="O48" i="63" s="1"/>
  <c r="I60" i="63"/>
  <c r="M60" i="63" s="1"/>
  <c r="O60" i="63" s="1"/>
  <c r="I27" i="63"/>
  <c r="M27" i="63" s="1"/>
  <c r="O27" i="63" s="1"/>
  <c r="I43" i="63"/>
  <c r="M43" i="63" s="1"/>
  <c r="O43" i="63" s="1"/>
  <c r="I34" i="63"/>
  <c r="M34" i="63" s="1"/>
  <c r="O34" i="63" s="1"/>
  <c r="I112" i="63"/>
  <c r="M112" i="63" s="1"/>
  <c r="O112" i="63" s="1"/>
  <c r="M208" i="63"/>
  <c r="O208" i="63" s="1"/>
  <c r="I131" i="63"/>
  <c r="I186" i="63"/>
  <c r="M186" i="63" s="1"/>
  <c r="O186" i="63"/>
  <c r="N272" i="58" s="1"/>
  <c r="I53" i="62"/>
  <c r="M53" i="62" s="1"/>
  <c r="O53" i="62" s="1"/>
  <c r="I22" i="62"/>
  <c r="M22" i="62" s="1"/>
  <c r="O22" i="62" s="1"/>
  <c r="Q22" i="62" s="1"/>
  <c r="I122" i="62"/>
  <c r="M122" i="62" s="1"/>
  <c r="O122" i="62" s="1"/>
  <c r="I40" i="62"/>
  <c r="M40" i="62" s="1"/>
  <c r="O40" i="62" s="1"/>
  <c r="I35" i="62"/>
  <c r="M35" i="62" s="1"/>
  <c r="O35" i="62" s="1"/>
  <c r="I79" i="62"/>
  <c r="M79" i="62" s="1"/>
  <c r="O79" i="62" s="1"/>
  <c r="I44" i="62"/>
  <c r="M44" i="62" s="1"/>
  <c r="O44" i="62" s="1"/>
  <c r="I205" i="62"/>
  <c r="M205" i="62" s="1"/>
  <c r="O205" i="62" s="1"/>
  <c r="I23" i="62"/>
  <c r="M23" i="62" s="1"/>
  <c r="O23" i="62" s="1"/>
  <c r="U23" i="62" s="1"/>
  <c r="I192" i="62"/>
  <c r="M192" i="62" s="1"/>
  <c r="O192" i="62" s="1"/>
  <c r="I97" i="62"/>
  <c r="M97" i="62" s="1"/>
  <c r="O97" i="62" s="1"/>
  <c r="I128" i="62"/>
  <c r="M128" i="62" s="1"/>
  <c r="O128" i="62" s="1"/>
  <c r="U128" i="62" s="1"/>
  <c r="I30" i="62"/>
  <c r="M30" i="62" s="1"/>
  <c r="O30" i="62" s="1"/>
  <c r="I66" i="62"/>
  <c r="M66" i="62" s="1"/>
  <c r="O66" i="62" s="1"/>
  <c r="U66" i="62" s="1"/>
  <c r="I34" i="62"/>
  <c r="M34" i="62" s="1"/>
  <c r="O34" i="62" s="1"/>
  <c r="S127" i="58"/>
  <c r="M10" i="14"/>
  <c r="Q223" i="58"/>
  <c r="F69" i="60"/>
  <c r="Y85" i="63"/>
  <c r="AB85" i="63" s="1"/>
  <c r="I171" i="68"/>
  <c r="M171" i="68" s="1"/>
  <c r="O171" i="68" s="1"/>
  <c r="I139" i="64"/>
  <c r="M139" i="64" s="1"/>
  <c r="O139" i="64" s="1"/>
  <c r="Q341" i="58"/>
  <c r="R341" i="58" s="1"/>
  <c r="Q339" i="58"/>
  <c r="I114" i="69"/>
  <c r="M114" i="69" s="1"/>
  <c r="O114" i="69" s="1"/>
  <c r="I166" i="69"/>
  <c r="M166" i="69" s="1"/>
  <c r="O166" i="69" s="1"/>
  <c r="S13" i="66"/>
  <c r="U152" i="68"/>
  <c r="P17" i="54"/>
  <c r="P23" i="33"/>
  <c r="Q23" i="33"/>
  <c r="N21" i="54"/>
  <c r="P21" i="54"/>
  <c r="P46" i="46"/>
  <c r="Q46" i="46"/>
  <c r="X36" i="43"/>
  <c r="X42" i="43"/>
  <c r="X17" i="43"/>
  <c r="X22" i="43"/>
  <c r="X16" i="43"/>
  <c r="X41" i="43"/>
  <c r="B14" i="41" s="1"/>
  <c r="X40" i="43"/>
  <c r="X35" i="43"/>
  <c r="X19" i="43"/>
  <c r="A27" i="11"/>
  <c r="B44" i="10"/>
  <c r="A84" i="5"/>
  <c r="N143" i="46"/>
  <c r="O24" i="48"/>
  <c r="M161" i="37"/>
  <c r="AT29" i="30" s="1"/>
  <c r="N162" i="37"/>
  <c r="M103" i="25"/>
  <c r="X12" i="43"/>
  <c r="X20" i="43"/>
  <c r="X39" i="43"/>
  <c r="N40" i="46"/>
  <c r="M38" i="46"/>
  <c r="M63" i="48"/>
  <c r="M19" i="36"/>
  <c r="N20" i="36"/>
  <c r="E57" i="9"/>
  <c r="N8" i="32"/>
  <c r="X15" i="43"/>
  <c r="X31" i="43"/>
  <c r="X27" i="43"/>
  <c r="N70" i="27"/>
  <c r="N69" i="27" s="1"/>
  <c r="N131" i="48"/>
  <c r="N162" i="48"/>
  <c r="M161" i="48"/>
  <c r="AW29" i="43" s="1"/>
  <c r="X23" i="43"/>
  <c r="X37" i="43"/>
  <c r="X28" i="43"/>
  <c r="P54" i="25"/>
  <c r="H2" i="3"/>
  <c r="N24" i="33"/>
  <c r="O24" i="33" s="1"/>
  <c r="M22" i="33"/>
  <c r="Q62" i="46"/>
  <c r="P62" i="46"/>
  <c r="P86" i="54"/>
  <c r="N12" i="54"/>
  <c r="Q58" i="33"/>
  <c r="Q25" i="35"/>
  <c r="X26" i="43"/>
  <c r="X9" i="43"/>
  <c r="B5" i="41" s="1"/>
  <c r="X29" i="43"/>
  <c r="Q128" i="35"/>
  <c r="P128" i="35"/>
  <c r="N6" i="36"/>
  <c r="O8" i="36"/>
  <c r="Q98" i="20"/>
  <c r="P98" i="20"/>
  <c r="P58" i="33"/>
  <c r="N74" i="54"/>
  <c r="X18" i="43"/>
  <c r="B7" i="41" s="1"/>
  <c r="X14" i="43"/>
  <c r="M124" i="24"/>
  <c r="N19" i="46"/>
  <c r="O20" i="46"/>
  <c r="Q131" i="33"/>
  <c r="Q155" i="35"/>
  <c r="N155" i="32"/>
  <c r="O155" i="32" s="1"/>
  <c r="X13" i="43"/>
  <c r="B6" i="41" s="1"/>
  <c r="X38" i="43"/>
  <c r="X24" i="43"/>
  <c r="B12" i="41" s="1"/>
  <c r="X30" i="43"/>
  <c r="B9" i="41" s="1"/>
  <c r="Q104" i="25"/>
  <c r="P104" i="25"/>
  <c r="O65" i="35"/>
  <c r="N63" i="35"/>
  <c r="Q12" i="25"/>
  <c r="P12" i="25"/>
  <c r="N101" i="54"/>
  <c r="P71" i="46"/>
  <c r="P132" i="46"/>
  <c r="N62" i="54"/>
  <c r="X11" i="43"/>
  <c r="X34" i="43"/>
  <c r="B10" i="41" s="1"/>
  <c r="B11" i="41" s="1"/>
  <c r="B13" i="41" s="1"/>
  <c r="B15" i="41" s="1"/>
  <c r="B16" i="41" s="1"/>
  <c r="X25" i="43"/>
  <c r="B8" i="41" s="1"/>
  <c r="X33" i="43"/>
  <c r="Q51" i="47"/>
  <c r="Q155" i="36"/>
  <c r="O137" i="27"/>
  <c r="P137" i="27" s="1"/>
  <c r="K275" i="58"/>
  <c r="Q183" i="67"/>
  <c r="T183" i="67" s="1"/>
  <c r="I156" i="32"/>
  <c r="M156" i="32" s="1"/>
  <c r="I161" i="32"/>
  <c r="M161" i="32" s="1"/>
  <c r="M19" i="38"/>
  <c r="M63" i="34"/>
  <c r="N64" i="34"/>
  <c r="O64" i="34" s="1"/>
  <c r="P64" i="34" s="1"/>
  <c r="Q65" i="32"/>
  <c r="N65" i="32"/>
  <c r="O65" i="32" s="1"/>
  <c r="Q105" i="48"/>
  <c r="P105" i="48"/>
  <c r="Q105" i="46"/>
  <c r="P105" i="46"/>
  <c r="N151" i="34"/>
  <c r="O151" i="34" s="1"/>
  <c r="P151" i="34" s="1"/>
  <c r="N14" i="51"/>
  <c r="O14" i="51" s="1"/>
  <c r="P14" i="51" s="1"/>
  <c r="N104" i="36"/>
  <c r="N17" i="49"/>
  <c r="O17" i="49" s="1"/>
  <c r="P17" i="49" s="1"/>
  <c r="N39" i="49"/>
  <c r="M38" i="49"/>
  <c r="M38" i="39"/>
  <c r="N39" i="39"/>
  <c r="N15" i="35"/>
  <c r="M13" i="35"/>
  <c r="O61" i="36"/>
  <c r="N60" i="36"/>
  <c r="N24" i="45"/>
  <c r="O24" i="45" s="1"/>
  <c r="P24" i="45" s="1"/>
  <c r="Q24" i="45"/>
  <c r="Y4" i="10"/>
  <c r="Y3" i="10" s="1"/>
  <c r="N163" i="25"/>
  <c r="O163" i="25" s="1"/>
  <c r="N11" i="45"/>
  <c r="O11" i="45" s="1"/>
  <c r="P11" i="45" s="1"/>
  <c r="O8" i="44"/>
  <c r="O93" i="51"/>
  <c r="P93" i="51" s="1"/>
  <c r="O218" i="45"/>
  <c r="O61" i="35"/>
  <c r="Q61" i="35" s="1"/>
  <c r="N60" i="35"/>
  <c r="M82" i="36"/>
  <c r="A6" i="12"/>
  <c r="A10" i="12" s="1"/>
  <c r="A6" i="10"/>
  <c r="A10" i="10" s="1"/>
  <c r="A14" i="10" s="1"/>
  <c r="A22" i="10" s="1"/>
  <c r="D3" i="5"/>
  <c r="T63" i="5"/>
  <c r="T7" i="5"/>
  <c r="T64" i="5" s="1"/>
  <c r="BB8" i="5"/>
  <c r="BB5" i="5" s="1"/>
  <c r="P46" i="48"/>
  <c r="O31" i="36"/>
  <c r="K86" i="5"/>
  <c r="J8" i="10" s="1"/>
  <c r="J7" i="10" s="1"/>
  <c r="K58" i="10"/>
  <c r="T104" i="69"/>
  <c r="P104" i="69"/>
  <c r="S104" i="69"/>
  <c r="T103" i="69"/>
  <c r="P103" i="69"/>
  <c r="S103" i="69"/>
  <c r="M22" i="50"/>
  <c r="R71" i="5"/>
  <c r="G36" i="44"/>
  <c r="G41" i="44"/>
  <c r="F47" i="44"/>
  <c r="G47" i="44" s="1"/>
  <c r="G52" i="44" s="1"/>
  <c r="N61" i="46"/>
  <c r="O61" i="46" s="1"/>
  <c r="I75" i="47"/>
  <c r="I159" i="47"/>
  <c r="I18" i="47"/>
  <c r="I74" i="47"/>
  <c r="I39" i="47"/>
  <c r="I33" i="47"/>
  <c r="I53" i="47"/>
  <c r="M57" i="47"/>
  <c r="N59" i="47"/>
  <c r="M83" i="48"/>
  <c r="M82" i="48" s="1"/>
  <c r="Q83" i="48"/>
  <c r="K34" i="30"/>
  <c r="K17" i="30"/>
  <c r="K24" i="30"/>
  <c r="K18" i="30"/>
  <c r="K26" i="30"/>
  <c r="K31" i="30"/>
  <c r="K27" i="30"/>
  <c r="K14" i="30"/>
  <c r="K37" i="30"/>
  <c r="K32" i="30"/>
  <c r="K28" i="30"/>
  <c r="K21" i="30"/>
  <c r="K30" i="30"/>
  <c r="K10" i="30"/>
  <c r="AV77" i="5"/>
  <c r="G57" i="10"/>
  <c r="O57" i="10"/>
  <c r="Q85" i="20"/>
  <c r="M85" i="20"/>
  <c r="M82" i="20" s="1"/>
  <c r="I31" i="24"/>
  <c r="M31" i="24" s="1"/>
  <c r="N31" i="24" s="1"/>
  <c r="O31" i="24" s="1"/>
  <c r="P31" i="24" s="1"/>
  <c r="I95" i="24"/>
  <c r="I64" i="24"/>
  <c r="I109" i="24"/>
  <c r="M109" i="24" s="1"/>
  <c r="I20" i="24"/>
  <c r="I75" i="24"/>
  <c r="I101" i="24"/>
  <c r="I107" i="24"/>
  <c r="M107" i="24" s="1"/>
  <c r="N107" i="24" s="1"/>
  <c r="O107" i="24" s="1"/>
  <c r="I96" i="24"/>
  <c r="I104" i="24"/>
  <c r="I100" i="24"/>
  <c r="I15" i="24"/>
  <c r="I50" i="24"/>
  <c r="M50" i="24" s="1"/>
  <c r="I51" i="24"/>
  <c r="I127" i="24"/>
  <c r="M127" i="24" s="1"/>
  <c r="I123" i="24"/>
  <c r="M123" i="24" s="1"/>
  <c r="N123" i="24" s="1"/>
  <c r="O123" i="24" s="1"/>
  <c r="I39" i="24"/>
  <c r="M39" i="24" s="1"/>
  <c r="I48" i="24"/>
  <c r="M48" i="24" s="1"/>
  <c r="I81" i="24"/>
  <c r="M81" i="24" s="1"/>
  <c r="I74" i="24"/>
  <c r="I29" i="24"/>
  <c r="I67" i="24"/>
  <c r="M67" i="24" s="1"/>
  <c r="I103" i="24"/>
  <c r="I52" i="24"/>
  <c r="M52" i="24"/>
  <c r="N52" i="24" s="1"/>
  <c r="O52" i="24" s="1"/>
  <c r="I77" i="24"/>
  <c r="I18" i="24"/>
  <c r="I73" i="24"/>
  <c r="I68" i="24"/>
  <c r="I26" i="24"/>
  <c r="I76" i="24"/>
  <c r="M76" i="24" s="1"/>
  <c r="I35" i="24"/>
  <c r="M35" i="24" s="1"/>
  <c r="I16" i="24"/>
  <c r="I93" i="24"/>
  <c r="M93" i="24" s="1"/>
  <c r="N93" i="24" s="1"/>
  <c r="O93" i="24" s="1"/>
  <c r="I98" i="24"/>
  <c r="M98" i="24" s="1"/>
  <c r="N98" i="24" s="1"/>
  <c r="O98" i="24" s="1"/>
  <c r="I49" i="24"/>
  <c r="I14" i="24"/>
  <c r="I17" i="24"/>
  <c r="I42" i="24"/>
  <c r="I55" i="24"/>
  <c r="I28" i="24"/>
  <c r="M28" i="24" s="1"/>
  <c r="I45" i="24"/>
  <c r="I11" i="24"/>
  <c r="I21" i="24"/>
  <c r="I97" i="24"/>
  <c r="I53" i="24"/>
  <c r="I72" i="24"/>
  <c r="M85" i="25"/>
  <c r="M82" i="25" s="1"/>
  <c r="Q85" i="25"/>
  <c r="I142" i="37"/>
  <c r="I144" i="37"/>
  <c r="I112" i="37"/>
  <c r="I143" i="37"/>
  <c r="I122" i="37"/>
  <c r="I59" i="23"/>
  <c r="M59" i="23" s="1"/>
  <c r="I112" i="23"/>
  <c r="M112" i="23" s="1"/>
  <c r="M111" i="23" s="1"/>
  <c r="I139" i="23"/>
  <c r="M139" i="23" s="1"/>
  <c r="I136" i="23"/>
  <c r="M136" i="23" s="1"/>
  <c r="I133" i="23"/>
  <c r="M133" i="23"/>
  <c r="N133" i="23" s="1"/>
  <c r="O133" i="23" s="1"/>
  <c r="P133" i="23" s="1"/>
  <c r="I132" i="23"/>
  <c r="M132" i="23" s="1"/>
  <c r="I143" i="23"/>
  <c r="M143" i="23" s="1"/>
  <c r="I108" i="23"/>
  <c r="M108" i="23" s="1"/>
  <c r="N108" i="23" s="1"/>
  <c r="I135" i="23"/>
  <c r="M135" i="23" s="1"/>
  <c r="M134" i="23" s="1"/>
  <c r="I142" i="23"/>
  <c r="M142" i="23" s="1"/>
  <c r="I138" i="23"/>
  <c r="M138" i="23" s="1"/>
  <c r="I137" i="23"/>
  <c r="M137" i="23"/>
  <c r="I131" i="23"/>
  <c r="M131" i="23" s="1"/>
  <c r="M99" i="49"/>
  <c r="N20" i="40"/>
  <c r="N19" i="40" s="1"/>
  <c r="M19" i="40"/>
  <c r="F65" i="5"/>
  <c r="F5" i="5"/>
  <c r="F62" i="5" s="1"/>
  <c r="AS34" i="5"/>
  <c r="AS91" i="5" s="1"/>
  <c r="AS90" i="5"/>
  <c r="BH90" i="5"/>
  <c r="BH34" i="5"/>
  <c r="BH91" i="5" s="1"/>
  <c r="A20" i="11"/>
  <c r="A110" i="5"/>
  <c r="B5" i="10"/>
  <c r="F3" i="10"/>
  <c r="M114" i="23"/>
  <c r="Q80" i="64"/>
  <c r="P80" i="64" s="1"/>
  <c r="J156" i="58"/>
  <c r="M121" i="24"/>
  <c r="N121" i="24" s="1"/>
  <c r="O121" i="24" s="1"/>
  <c r="P121" i="24" s="1"/>
  <c r="Q15" i="30"/>
  <c r="Q36" i="30"/>
  <c r="Q41" i="30"/>
  <c r="M49" i="20"/>
  <c r="S183" i="66"/>
  <c r="P183" i="66"/>
  <c r="M92" i="25"/>
  <c r="M91" i="25" s="1"/>
  <c r="M90" i="25" s="1"/>
  <c r="M89" i="25" s="1"/>
  <c r="M88" i="25" s="1"/>
  <c r="O78" i="32"/>
  <c r="O189" i="32"/>
  <c r="BD36" i="30"/>
  <c r="Q146" i="67"/>
  <c r="K238" i="58"/>
  <c r="M82" i="47"/>
  <c r="BH3" i="5"/>
  <c r="AO6" i="30"/>
  <c r="AN6" i="30"/>
  <c r="AO11" i="43"/>
  <c r="AU11" i="43"/>
  <c r="Q49" i="63"/>
  <c r="Q10" i="30"/>
  <c r="Q33" i="30"/>
  <c r="P126" i="25"/>
  <c r="M125" i="23"/>
  <c r="X7" i="5"/>
  <c r="X64" i="5" s="1"/>
  <c r="AT27" i="6"/>
  <c r="G7" i="5"/>
  <c r="G64" i="5"/>
  <c r="AY27" i="6"/>
  <c r="AV27" i="6"/>
  <c r="I90" i="5"/>
  <c r="M59" i="25"/>
  <c r="N59" i="25" s="1"/>
  <c r="R3" i="5"/>
  <c r="M95" i="20"/>
  <c r="N95" i="20" s="1"/>
  <c r="O95" i="20" s="1"/>
  <c r="I195" i="65"/>
  <c r="M195" i="65" s="1"/>
  <c r="O195" i="65" s="1"/>
  <c r="I152" i="65"/>
  <c r="M152" i="65" s="1"/>
  <c r="O152" i="65" s="1"/>
  <c r="I74" i="65"/>
  <c r="M74" i="65" s="1"/>
  <c r="O74" i="65" s="1"/>
  <c r="I189" i="65"/>
  <c r="M189" i="65" s="1"/>
  <c r="O189" i="65" s="1"/>
  <c r="I150" i="65"/>
  <c r="M150" i="65" s="1"/>
  <c r="O150" i="65" s="1"/>
  <c r="I104" i="65"/>
  <c r="M104" i="65" s="1"/>
  <c r="O104" i="65" s="1"/>
  <c r="I194" i="65"/>
  <c r="M194" i="65" s="1"/>
  <c r="O194" i="65" s="1"/>
  <c r="I148" i="65"/>
  <c r="M148" i="65" s="1"/>
  <c r="O148" i="65" s="1"/>
  <c r="I52" i="65"/>
  <c r="M52" i="65" s="1"/>
  <c r="O52" i="65" s="1"/>
  <c r="M132" i="58" s="1"/>
  <c r="I149" i="65"/>
  <c r="M149" i="65" s="1"/>
  <c r="O149" i="65" s="1"/>
  <c r="I167" i="65"/>
  <c r="M167" i="65" s="1"/>
  <c r="O167" i="65" s="1"/>
  <c r="I190" i="65"/>
  <c r="M190" i="65" s="1"/>
  <c r="O190" i="65" s="1"/>
  <c r="I155" i="65"/>
  <c r="M155" i="65" s="1"/>
  <c r="O155" i="65" s="1"/>
  <c r="I107" i="65"/>
  <c r="M107" i="65" s="1"/>
  <c r="O107" i="65" s="1"/>
  <c r="U107" i="65" s="1"/>
  <c r="I105" i="65"/>
  <c r="M105" i="65" s="1"/>
  <c r="O105" i="65" s="1"/>
  <c r="I103" i="65"/>
  <c r="M103" i="65" s="1"/>
  <c r="O103" i="65" s="1"/>
  <c r="I187" i="65"/>
  <c r="M187" i="65" s="1"/>
  <c r="O187" i="65" s="1"/>
  <c r="M156" i="58"/>
  <c r="Q80" i="65"/>
  <c r="I171" i="66"/>
  <c r="M171" i="66" s="1"/>
  <c r="O171" i="66" s="1"/>
  <c r="P263" i="58" s="1"/>
  <c r="M71" i="23"/>
  <c r="O116" i="40"/>
  <c r="P116" i="40" s="1"/>
  <c r="J8" i="5"/>
  <c r="B6" i="10"/>
  <c r="M26" i="23"/>
  <c r="N26" i="23" s="1"/>
  <c r="O26" i="23" s="1"/>
  <c r="P26" i="23" s="1"/>
  <c r="M49" i="23"/>
  <c r="N44" i="20"/>
  <c r="M46" i="24"/>
  <c r="N46" i="24" s="1"/>
  <c r="O46" i="24" s="1"/>
  <c r="B9" i="10"/>
  <c r="Q154" i="67"/>
  <c r="K246" i="58"/>
  <c r="Q160" i="66"/>
  <c r="S160" i="66" s="1"/>
  <c r="P252" i="58"/>
  <c r="U171" i="65"/>
  <c r="Q171" i="65"/>
  <c r="M263" i="58"/>
  <c r="M106" i="51"/>
  <c r="N106" i="51" s="1"/>
  <c r="Q32" i="69"/>
  <c r="I172" i="67"/>
  <c r="M172" i="67" s="1"/>
  <c r="O172" i="67" s="1"/>
  <c r="Q79" i="67"/>
  <c r="O77" i="65"/>
  <c r="U77" i="65" s="1"/>
  <c r="F2" i="14"/>
  <c r="O2" i="14" s="1"/>
  <c r="O9" i="58"/>
  <c r="O64" i="58"/>
  <c r="K64" i="58"/>
  <c r="M72" i="20"/>
  <c r="M76" i="20"/>
  <c r="M60" i="27"/>
  <c r="M136" i="40"/>
  <c r="O6" i="41"/>
  <c r="M44" i="45"/>
  <c r="I20" i="68"/>
  <c r="M20" i="68" s="1"/>
  <c r="O20" i="68" s="1"/>
  <c r="I47" i="68"/>
  <c r="M47" i="68" s="1"/>
  <c r="O47" i="68" s="1"/>
  <c r="I138" i="68"/>
  <c r="M138" i="68" s="1"/>
  <c r="O138" i="68" s="1"/>
  <c r="I173" i="68"/>
  <c r="M173" i="68" s="1"/>
  <c r="O173" i="68" s="1"/>
  <c r="Q124" i="69"/>
  <c r="S124" i="69" s="1"/>
  <c r="U32" i="69"/>
  <c r="I174" i="67"/>
  <c r="M174" i="67" s="1"/>
  <c r="O174" i="67" s="1"/>
  <c r="Q85" i="62"/>
  <c r="S85" i="62" s="1"/>
  <c r="I177" i="64"/>
  <c r="M177" i="64" s="1"/>
  <c r="O177" i="64" s="1"/>
  <c r="U177" i="64" s="1"/>
  <c r="I174" i="64"/>
  <c r="M174" i="64" s="1"/>
  <c r="O174" i="64" s="1"/>
  <c r="M77" i="20"/>
  <c r="M80" i="20"/>
  <c r="M49" i="39"/>
  <c r="M82" i="39"/>
  <c r="M137" i="40"/>
  <c r="N137" i="40" s="1"/>
  <c r="S120" i="63"/>
  <c r="I54" i="68"/>
  <c r="M54" i="68" s="1"/>
  <c r="O54" i="68" s="1"/>
  <c r="I50" i="68"/>
  <c r="M50" i="68" s="1"/>
  <c r="O50" i="68" s="1"/>
  <c r="Q50" i="68" s="1"/>
  <c r="S50" i="68" s="1"/>
  <c r="I85" i="68"/>
  <c r="M85" i="68" s="1"/>
  <c r="O85" i="68" s="1"/>
  <c r="I169" i="68"/>
  <c r="M169" i="68" s="1"/>
  <c r="O169" i="68" s="1"/>
  <c r="P180" i="63"/>
  <c r="P69" i="69"/>
  <c r="N248" i="58"/>
  <c r="P187" i="69"/>
  <c r="I156" i="68"/>
  <c r="M156" i="68" s="1"/>
  <c r="O156" i="68" s="1"/>
  <c r="I78" i="67"/>
  <c r="M78" i="67" s="1"/>
  <c r="O78" i="67" s="1"/>
  <c r="I139" i="67"/>
  <c r="M139" i="67" s="1"/>
  <c r="O139" i="67" s="1"/>
  <c r="I79" i="64"/>
  <c r="M79" i="64" s="1"/>
  <c r="O79" i="64" s="1"/>
  <c r="M156" i="40"/>
  <c r="M159" i="45"/>
  <c r="Q66" i="63"/>
  <c r="I176" i="68"/>
  <c r="M176" i="68" s="1"/>
  <c r="O176" i="68" s="1"/>
  <c r="Q176" i="68" s="1"/>
  <c r="Q14" i="63"/>
  <c r="P14" i="63" s="1"/>
  <c r="M142" i="64"/>
  <c r="O142" i="64" s="1"/>
  <c r="K5" i="14"/>
  <c r="M133" i="27"/>
  <c r="M120" i="40"/>
  <c r="I75" i="68"/>
  <c r="M75" i="68" s="1"/>
  <c r="O75" i="68" s="1"/>
  <c r="I97" i="68"/>
  <c r="M97" i="68" s="1"/>
  <c r="O97" i="68" s="1"/>
  <c r="I51" i="68"/>
  <c r="M51" i="68" s="1"/>
  <c r="O51" i="68" s="1"/>
  <c r="I123" i="68"/>
  <c r="M123" i="68" s="1"/>
  <c r="O123" i="68" s="1"/>
  <c r="O219" i="58" s="1"/>
  <c r="I202" i="68"/>
  <c r="M202" i="68" s="1"/>
  <c r="O202" i="68" s="1"/>
  <c r="Q13" i="67"/>
  <c r="S13" i="67" s="1"/>
  <c r="U124" i="69"/>
  <c r="I171" i="67"/>
  <c r="M171" i="67" s="1"/>
  <c r="O171" i="67" s="1"/>
  <c r="Q113" i="63"/>
  <c r="S113" i="63" s="1"/>
  <c r="Q155" i="62"/>
  <c r="S155" i="62" s="1"/>
  <c r="I78" i="64"/>
  <c r="M78" i="64" s="1"/>
  <c r="O78" i="64" s="1"/>
  <c r="N155" i="58"/>
  <c r="Q196" i="58"/>
  <c r="G62" i="60"/>
  <c r="M8" i="20"/>
  <c r="M26" i="20"/>
  <c r="M31" i="20"/>
  <c r="N31" i="20"/>
  <c r="O31" i="20" s="1"/>
  <c r="M71" i="20"/>
  <c r="M75" i="20"/>
  <c r="M133" i="20"/>
  <c r="J43" i="29"/>
  <c r="R12" i="45"/>
  <c r="R6" i="45" s="1"/>
  <c r="I55" i="68"/>
  <c r="M55" i="68" s="1"/>
  <c r="O55" i="68" s="1"/>
  <c r="U55" i="68" s="1"/>
  <c r="I62" i="68"/>
  <c r="M62" i="68" s="1"/>
  <c r="O62" i="68" s="1"/>
  <c r="I91" i="68"/>
  <c r="M91" i="68" s="1"/>
  <c r="O91" i="68" s="1"/>
  <c r="I141" i="68"/>
  <c r="M141" i="68" s="1"/>
  <c r="O141" i="68" s="1"/>
  <c r="U146" i="66"/>
  <c r="I177" i="67"/>
  <c r="M177" i="67" s="1"/>
  <c r="O177" i="67" s="1"/>
  <c r="K269" i="58" s="1"/>
  <c r="Q201" i="62"/>
  <c r="S201" i="62" s="1"/>
  <c r="X155" i="63"/>
  <c r="Y155" i="63" s="1"/>
  <c r="AB155" i="63" s="1"/>
  <c r="I171" i="64"/>
  <c r="M171" i="64" s="1"/>
  <c r="O171" i="64" s="1"/>
  <c r="BG12" i="57"/>
  <c r="S223" i="58"/>
  <c r="S222" i="58" s="1"/>
  <c r="P101" i="33"/>
  <c r="Q101" i="33"/>
  <c r="P154" i="47"/>
  <c r="Q154" i="47"/>
  <c r="P55" i="37"/>
  <c r="Q55" i="37"/>
  <c r="P80" i="35"/>
  <c r="Q80" i="35"/>
  <c r="P55" i="54"/>
  <c r="N55" i="54"/>
  <c r="P18" i="48"/>
  <c r="Q18" i="48"/>
  <c r="P90" i="54"/>
  <c r="Q26" i="47"/>
  <c r="P26" i="47"/>
  <c r="P16" i="35"/>
  <c r="Q16" i="35"/>
  <c r="P35" i="46"/>
  <c r="Q35" i="46"/>
  <c r="Q101" i="46"/>
  <c r="P101" i="46"/>
  <c r="P67" i="46"/>
  <c r="P135" i="46"/>
  <c r="BC6" i="30"/>
  <c r="BD6" i="30"/>
  <c r="P133" i="36"/>
  <c r="Q133" i="36"/>
  <c r="O137" i="49"/>
  <c r="P137" i="49" s="1"/>
  <c r="N134" i="49"/>
  <c r="W8" i="7"/>
  <c r="N48" i="54"/>
  <c r="N82" i="54"/>
  <c r="N48" i="38"/>
  <c r="O103" i="40"/>
  <c r="N79" i="48"/>
  <c r="O58" i="39"/>
  <c r="O10" i="47"/>
  <c r="P10" i="47" s="1"/>
  <c r="M13" i="50"/>
  <c r="N15" i="50"/>
  <c r="O15" i="50" s="1"/>
  <c r="P15" i="50" s="1"/>
  <c r="N51" i="35"/>
  <c r="N77" i="35"/>
  <c r="O77" i="35" s="1"/>
  <c r="N45" i="36"/>
  <c r="P81" i="33"/>
  <c r="Q81" i="33"/>
  <c r="N128" i="48"/>
  <c r="N70" i="54"/>
  <c r="P43" i="47"/>
  <c r="Q43" i="47"/>
  <c r="D17" i="7"/>
  <c r="E30" i="9"/>
  <c r="E51" i="9" s="1"/>
  <c r="E72" i="9" s="1"/>
  <c r="R8" i="7"/>
  <c r="N42" i="54"/>
  <c r="P42" i="54"/>
  <c r="Q65" i="46"/>
  <c r="O26" i="46"/>
  <c r="P97" i="33"/>
  <c r="Q97" i="33"/>
  <c r="O33" i="50"/>
  <c r="P33" i="50" s="1"/>
  <c r="O12" i="37"/>
  <c r="P138" i="25"/>
  <c r="Q138" i="25"/>
  <c r="P7" i="23"/>
  <c r="M94" i="51"/>
  <c r="N95" i="51"/>
  <c r="O95" i="51" s="1"/>
  <c r="P95" i="51" s="1"/>
  <c r="N14" i="49"/>
  <c r="O14" i="49" s="1"/>
  <c r="P14" i="49" s="1"/>
  <c r="O39" i="33"/>
  <c r="N15" i="54"/>
  <c r="P15" i="54"/>
  <c r="F52" i="43"/>
  <c r="F53" i="43" s="1"/>
  <c r="N60" i="54"/>
  <c r="P60" i="54"/>
  <c r="N7" i="34"/>
  <c r="N64" i="54"/>
  <c r="P64" i="54"/>
  <c r="O45" i="27"/>
  <c r="N135" i="34"/>
  <c r="N54" i="27"/>
  <c r="O54" i="27" s="1"/>
  <c r="P54" i="27" s="1"/>
  <c r="N26" i="45"/>
  <c r="O26" i="45" s="1"/>
  <c r="P26" i="45" s="1"/>
  <c r="Q26" i="45"/>
  <c r="N16" i="54"/>
  <c r="P16" i="54"/>
  <c r="O52" i="49"/>
  <c r="P52" i="49" s="1"/>
  <c r="P105" i="24"/>
  <c r="Q105" i="24"/>
  <c r="N16" i="39"/>
  <c r="O16" i="39" s="1"/>
  <c r="P16" i="39" s="1"/>
  <c r="G65" i="5"/>
  <c r="G5" i="5"/>
  <c r="G62" i="5" s="1"/>
  <c r="L46" i="10"/>
  <c r="AY34" i="5"/>
  <c r="AY91" i="5" s="1"/>
  <c r="BJ46" i="5"/>
  <c r="BJ103" i="5" s="1"/>
  <c r="BJ102" i="5"/>
  <c r="BQ46" i="5"/>
  <c r="BQ103" i="5" s="1"/>
  <c r="BQ102" i="5"/>
  <c r="Q80" i="67"/>
  <c r="S80" i="67" s="1"/>
  <c r="U80" i="67"/>
  <c r="K156" i="58"/>
  <c r="L152" i="58"/>
  <c r="Q76" i="69"/>
  <c r="U76" i="69"/>
  <c r="L259" i="58"/>
  <c r="U167" i="69"/>
  <c r="Q167" i="69"/>
  <c r="AH43" i="10"/>
  <c r="AI81" i="5"/>
  <c r="O42" i="34"/>
  <c r="M13" i="25"/>
  <c r="J63" i="5"/>
  <c r="Q17" i="30"/>
  <c r="Q9" i="30"/>
  <c r="Q14" i="30"/>
  <c r="M4" i="10"/>
  <c r="M3" i="10" s="1"/>
  <c r="M55" i="10"/>
  <c r="W63" i="5"/>
  <c r="W7" i="5"/>
  <c r="W64" i="5" s="1"/>
  <c r="BO63" i="5"/>
  <c r="BO7" i="5"/>
  <c r="BO64" i="5" s="1"/>
  <c r="F34" i="5"/>
  <c r="F91" i="5" s="1"/>
  <c r="E46" i="10"/>
  <c r="AR34" i="5"/>
  <c r="AR91" i="5" s="1"/>
  <c r="AR90" i="5"/>
  <c r="BC46" i="5"/>
  <c r="BC103" i="5" s="1"/>
  <c r="BC102" i="5"/>
  <c r="J71" i="5"/>
  <c r="O93" i="20"/>
  <c r="O62" i="24"/>
  <c r="N60" i="24"/>
  <c r="O3" i="5"/>
  <c r="O63" i="5"/>
  <c r="Z68" i="5"/>
  <c r="Z8" i="5"/>
  <c r="AQ71" i="5"/>
  <c r="AK34" i="5"/>
  <c r="AK91" i="5" s="1"/>
  <c r="AK90" i="5"/>
  <c r="S175" i="64"/>
  <c r="T175" i="64"/>
  <c r="P175" i="64"/>
  <c r="N104" i="20"/>
  <c r="O104" i="20" s="1"/>
  <c r="H63" i="5"/>
  <c r="H7" i="5"/>
  <c r="H64" i="5" s="1"/>
  <c r="P3" i="5"/>
  <c r="P7" i="5"/>
  <c r="P64" i="5" s="1"/>
  <c r="P63" i="5"/>
  <c r="Y7" i="5"/>
  <c r="Y64" i="5" s="1"/>
  <c r="Y3" i="5"/>
  <c r="Y63" i="5"/>
  <c r="K8" i="5"/>
  <c r="K80" i="5"/>
  <c r="H34" i="5"/>
  <c r="H91" i="5" s="1"/>
  <c r="H90" i="5"/>
  <c r="BP3" i="5"/>
  <c r="BP4" i="5" s="1"/>
  <c r="BP61" i="5" s="1"/>
  <c r="BP34" i="5"/>
  <c r="BP91" i="5" s="1"/>
  <c r="AP46" i="5"/>
  <c r="AP103" i="5" s="1"/>
  <c r="AW102" i="5"/>
  <c r="AW46" i="5"/>
  <c r="AW103" i="5" s="1"/>
  <c r="N130" i="47"/>
  <c r="O32" i="51"/>
  <c r="P32" i="51" s="1"/>
  <c r="Q16" i="30"/>
  <c r="N143" i="27"/>
  <c r="W71" i="5"/>
  <c r="W8" i="5"/>
  <c r="AE34" i="5"/>
  <c r="AE91" i="5" s="1"/>
  <c r="AM34" i="5"/>
  <c r="AM91" i="5" s="1"/>
  <c r="BI4" i="10"/>
  <c r="BI3" i="10" s="1"/>
  <c r="Y90" i="5"/>
  <c r="Y34" i="5"/>
  <c r="Y91" i="5" s="1"/>
  <c r="BC34" i="5"/>
  <c r="BC91" i="5" s="1"/>
  <c r="BC90" i="5"/>
  <c r="BJ90" i="5"/>
  <c r="T50" i="10"/>
  <c r="U46" i="5"/>
  <c r="U103" i="5" s="1"/>
  <c r="AC46" i="5"/>
  <c r="AC103" i="5" s="1"/>
  <c r="AC102" i="5"/>
  <c r="AK102" i="5"/>
  <c r="F60" i="5"/>
  <c r="F4" i="5"/>
  <c r="F61" i="5" s="1"/>
  <c r="K25" i="30"/>
  <c r="K12" i="30"/>
  <c r="K41" i="30"/>
  <c r="E4" i="28"/>
  <c r="L4" i="28" s="1"/>
  <c r="K16" i="30"/>
  <c r="K15" i="30"/>
  <c r="K20" i="30"/>
  <c r="AO7" i="30"/>
  <c r="K39" i="30"/>
  <c r="R34" i="5"/>
  <c r="R91" i="5" s="1"/>
  <c r="R90" i="5"/>
  <c r="AG90" i="5"/>
  <c r="AG34" i="5"/>
  <c r="AG91" i="5" s="1"/>
  <c r="I137" i="24"/>
  <c r="M137" i="24" s="1"/>
  <c r="N137" i="24" s="1"/>
  <c r="O137" i="24"/>
  <c r="P137" i="24" s="1"/>
  <c r="I132" i="24"/>
  <c r="M132" i="24" s="1"/>
  <c r="I136" i="24"/>
  <c r="I59" i="24"/>
  <c r="I142" i="24"/>
  <c r="I122" i="24"/>
  <c r="I138" i="24"/>
  <c r="M138" i="24"/>
  <c r="N138" i="24" s="1"/>
  <c r="O138" i="24" s="1"/>
  <c r="I139" i="24"/>
  <c r="I106" i="24"/>
  <c r="I108" i="24"/>
  <c r="I131" i="24"/>
  <c r="K35" i="30"/>
  <c r="BL63" i="5"/>
  <c r="BL3" i="5"/>
  <c r="BF68" i="5"/>
  <c r="AA34" i="5"/>
  <c r="AA91" i="5" s="1"/>
  <c r="AX34" i="5"/>
  <c r="AX91" i="5" s="1"/>
  <c r="BE90" i="5"/>
  <c r="BL34" i="5"/>
  <c r="BL91" i="5" s="1"/>
  <c r="BL90" i="5"/>
  <c r="AJ27" i="6"/>
  <c r="BB27" i="6"/>
  <c r="BM27" i="6"/>
  <c r="AK27" i="6"/>
  <c r="BO27" i="6"/>
  <c r="AR27" i="6"/>
  <c r="T34" i="43"/>
  <c r="H4" i="41"/>
  <c r="P4" i="41" s="1"/>
  <c r="AS4" i="43"/>
  <c r="F2" i="41"/>
  <c r="M2" i="41" s="1"/>
  <c r="S107" i="67"/>
  <c r="P107" i="67"/>
  <c r="T107" i="67"/>
  <c r="S179" i="58"/>
  <c r="H132" i="58"/>
  <c r="X58" i="63"/>
  <c r="Y58" i="63"/>
  <c r="AB58" i="63" s="1"/>
  <c r="Q58" i="62"/>
  <c r="X86" i="63"/>
  <c r="Y86" i="63" s="1"/>
  <c r="AB86" i="63" s="1"/>
  <c r="Q86" i="62"/>
  <c r="H156" i="58"/>
  <c r="U86" i="62"/>
  <c r="U87" i="63"/>
  <c r="N157" i="58"/>
  <c r="Q87" i="63"/>
  <c r="U130" i="63"/>
  <c r="Q130" i="63"/>
  <c r="P130" i="63" s="1"/>
  <c r="N242" i="58"/>
  <c r="U156" i="63"/>
  <c r="Q156" i="63"/>
  <c r="P156" i="63"/>
  <c r="N289" i="58"/>
  <c r="Q203" i="63"/>
  <c r="I146" i="64"/>
  <c r="M146" i="64" s="1"/>
  <c r="O146" i="64" s="1"/>
  <c r="U146" i="64" s="1"/>
  <c r="I145" i="64"/>
  <c r="M145" i="64" s="1"/>
  <c r="O145" i="64" s="1"/>
  <c r="I156" i="64"/>
  <c r="M156" i="64" s="1"/>
  <c r="O156" i="64" s="1"/>
  <c r="I179" i="64"/>
  <c r="M179" i="64" s="1"/>
  <c r="O179" i="64" s="1"/>
  <c r="U179" i="64" s="1"/>
  <c r="I176" i="64"/>
  <c r="M176" i="64" s="1"/>
  <c r="O176" i="64" s="1"/>
  <c r="J221" i="58"/>
  <c r="Q125" i="64"/>
  <c r="P125" i="64" s="1"/>
  <c r="I176" i="65"/>
  <c r="M176" i="65" s="1"/>
  <c r="O176" i="65" s="1"/>
  <c r="I145" i="65"/>
  <c r="M145" i="65" s="1"/>
  <c r="O145" i="65" s="1"/>
  <c r="I175" i="65"/>
  <c r="M175" i="65" s="1"/>
  <c r="O175" i="65" s="1"/>
  <c r="I156" i="65"/>
  <c r="M156" i="65" s="1"/>
  <c r="O156" i="65" s="1"/>
  <c r="M248" i="58" s="1"/>
  <c r="M114" i="58"/>
  <c r="Q32" i="65"/>
  <c r="U32" i="65"/>
  <c r="I181" i="66"/>
  <c r="M181" i="66" s="1"/>
  <c r="O181" i="66" s="1"/>
  <c r="I28" i="66"/>
  <c r="M28" i="66" s="1"/>
  <c r="O28" i="66" s="1"/>
  <c r="P110" i="58" s="1"/>
  <c r="I57" i="66"/>
  <c r="M57" i="66" s="1"/>
  <c r="O57" i="66" s="1"/>
  <c r="I73" i="66"/>
  <c r="M73" i="66" s="1"/>
  <c r="O73" i="66" s="1"/>
  <c r="I50" i="66"/>
  <c r="M50" i="66" s="1"/>
  <c r="O50" i="66" s="1"/>
  <c r="I186" i="66"/>
  <c r="M186" i="66" s="1"/>
  <c r="O186" i="66" s="1"/>
  <c r="I55" i="66"/>
  <c r="M55" i="66" s="1"/>
  <c r="O55" i="66" s="1"/>
  <c r="I112" i="66"/>
  <c r="M112" i="66" s="1"/>
  <c r="O112" i="66" s="1"/>
  <c r="I130" i="66"/>
  <c r="M130" i="66" s="1"/>
  <c r="O130" i="66" s="1"/>
  <c r="I105" i="66"/>
  <c r="M105" i="66" s="1"/>
  <c r="O105" i="66" s="1"/>
  <c r="I138" i="66"/>
  <c r="M138" i="66" s="1"/>
  <c r="O138" i="66" s="1"/>
  <c r="Q138" i="66" s="1"/>
  <c r="Q124" i="66"/>
  <c r="P220" i="58"/>
  <c r="U124" i="66"/>
  <c r="I191" i="67"/>
  <c r="M191" i="67" s="1"/>
  <c r="O191" i="67" s="1"/>
  <c r="U31" i="67"/>
  <c r="I36" i="67"/>
  <c r="M36" i="67" s="1"/>
  <c r="O36" i="67" s="1"/>
  <c r="U36" i="67" s="1"/>
  <c r="I43" i="67"/>
  <c r="M43" i="67" s="1"/>
  <c r="O43" i="67" s="1"/>
  <c r="I182" i="67"/>
  <c r="M182" i="67"/>
  <c r="O182" i="67" s="1"/>
  <c r="I140" i="67"/>
  <c r="M140" i="67" s="1"/>
  <c r="O140" i="67" s="1"/>
  <c r="I202" i="67"/>
  <c r="M202" i="67" s="1"/>
  <c r="O202" i="67" s="1"/>
  <c r="I164" i="67"/>
  <c r="M164" i="67" s="1"/>
  <c r="O164" i="67" s="1"/>
  <c r="I83" i="67"/>
  <c r="M83" i="67" s="1"/>
  <c r="O83" i="67" s="1"/>
  <c r="I62" i="67"/>
  <c r="M62" i="67" s="1"/>
  <c r="O62" i="67" s="1"/>
  <c r="I89" i="67"/>
  <c r="M89" i="67" s="1"/>
  <c r="O89" i="67" s="1"/>
  <c r="I47" i="67"/>
  <c r="M47" i="67" s="1"/>
  <c r="O47" i="67" s="1"/>
  <c r="U47" i="67" s="1"/>
  <c r="I121" i="67"/>
  <c r="M121" i="67" s="1"/>
  <c r="O121" i="67" s="1"/>
  <c r="U121" i="67" s="1"/>
  <c r="I88" i="67"/>
  <c r="M88" i="67" s="1"/>
  <c r="O88" i="67" s="1"/>
  <c r="I28" i="67"/>
  <c r="M28" i="67" s="1"/>
  <c r="O28" i="67" s="1"/>
  <c r="I17" i="67"/>
  <c r="M17" i="67" s="1"/>
  <c r="O17" i="67" s="1"/>
  <c r="I114" i="67"/>
  <c r="M114" i="67" s="1"/>
  <c r="O114" i="67" s="1"/>
  <c r="I51" i="67"/>
  <c r="M51" i="67" s="1"/>
  <c r="O51" i="67" s="1"/>
  <c r="U79" i="67"/>
  <c r="U32" i="67"/>
  <c r="I37" i="67"/>
  <c r="M37" i="67" s="1"/>
  <c r="O37" i="67" s="1"/>
  <c r="I44" i="67"/>
  <c r="M44" i="67" s="1"/>
  <c r="O44" i="67" s="1"/>
  <c r="I181" i="67"/>
  <c r="M181" i="67" s="1"/>
  <c r="O181" i="67" s="1"/>
  <c r="I138" i="67"/>
  <c r="M138" i="67" s="1"/>
  <c r="O138" i="67" s="1"/>
  <c r="I201" i="67"/>
  <c r="M201" i="67" s="1"/>
  <c r="O201" i="67" s="1"/>
  <c r="U201" i="67" s="1"/>
  <c r="I157" i="67"/>
  <c r="M157" i="67" s="1"/>
  <c r="O157" i="67" s="1"/>
  <c r="I186" i="67"/>
  <c r="M186" i="67" s="1"/>
  <c r="O186" i="67" s="1"/>
  <c r="I63" i="67"/>
  <c r="M63" i="67" s="1"/>
  <c r="O63" i="67" s="1"/>
  <c r="Q63" i="67" s="1"/>
  <c r="P63" i="67" s="1"/>
  <c r="I111" i="67"/>
  <c r="M111" i="67" s="1"/>
  <c r="O111" i="67" s="1"/>
  <c r="I91" i="67"/>
  <c r="M91" i="67" s="1"/>
  <c r="O91" i="67" s="1"/>
  <c r="I29" i="67"/>
  <c r="M29" i="67" s="1"/>
  <c r="O29" i="67" s="1"/>
  <c r="I18" i="67"/>
  <c r="M18" i="67" s="1"/>
  <c r="O18" i="67" s="1"/>
  <c r="U18" i="67" s="1"/>
  <c r="I122" i="67"/>
  <c r="M122" i="67" s="1"/>
  <c r="O122" i="67" s="1"/>
  <c r="K218" i="58" s="1"/>
  <c r="I124" i="67"/>
  <c r="I38" i="67"/>
  <c r="M38" i="67" s="1"/>
  <c r="O38" i="67" s="1"/>
  <c r="I92" i="67"/>
  <c r="M92" i="67" s="1"/>
  <c r="O92" i="67" s="1"/>
  <c r="K166" i="58" s="1"/>
  <c r="I137" i="67"/>
  <c r="M137" i="67" s="1"/>
  <c r="O137" i="67" s="1"/>
  <c r="I200" i="67"/>
  <c r="M200" i="67" s="1"/>
  <c r="O200" i="67" s="1"/>
  <c r="I192" i="67"/>
  <c r="M192" i="67" s="1"/>
  <c r="O192" i="67" s="1"/>
  <c r="I173" i="67"/>
  <c r="M173" i="67" s="1"/>
  <c r="O173" i="67" s="1"/>
  <c r="I64" i="67"/>
  <c r="M64" i="67" s="1"/>
  <c r="O64" i="67" s="1"/>
  <c r="U64" i="67" s="1"/>
  <c r="I48" i="67"/>
  <c r="M48" i="67" s="1"/>
  <c r="O48" i="67" s="1"/>
  <c r="I20" i="67"/>
  <c r="M20" i="67" s="1"/>
  <c r="O20" i="67" s="1"/>
  <c r="I94" i="67"/>
  <c r="M94" i="67"/>
  <c r="O94" i="67" s="1"/>
  <c r="I73" i="67"/>
  <c r="M73" i="67" s="1"/>
  <c r="O73" i="67" s="1"/>
  <c r="I54" i="67"/>
  <c r="M54" i="67" s="1"/>
  <c r="O54" i="67" s="1"/>
  <c r="I24" i="67"/>
  <c r="M24" i="67" s="1"/>
  <c r="O24" i="67" s="1"/>
  <c r="I40" i="67"/>
  <c r="M40" i="67" s="1"/>
  <c r="O40" i="67" s="1"/>
  <c r="U124" i="67"/>
  <c r="I179" i="67"/>
  <c r="M179" i="67" s="1"/>
  <c r="O179" i="67" s="1"/>
  <c r="U179" i="67" s="1"/>
  <c r="I135" i="67"/>
  <c r="M135" i="67" s="1"/>
  <c r="O135" i="67" s="1"/>
  <c r="I198" i="67"/>
  <c r="M198" i="67" s="1"/>
  <c r="O198" i="67" s="1"/>
  <c r="I130" i="67"/>
  <c r="M130" i="67" s="1"/>
  <c r="O130" i="67" s="1"/>
  <c r="I158" i="67"/>
  <c r="M158" i="67"/>
  <c r="O158" i="67" s="1"/>
  <c r="I66" i="67"/>
  <c r="M66" i="67" s="1"/>
  <c r="O66" i="67" s="1"/>
  <c r="I22" i="67"/>
  <c r="M22" i="67" s="1"/>
  <c r="O22" i="67" s="1"/>
  <c r="Q22" i="67" s="1"/>
  <c r="I106" i="67"/>
  <c r="M106" i="67" s="1"/>
  <c r="O106" i="67" s="1"/>
  <c r="K202" i="58" s="1"/>
  <c r="I112" i="67"/>
  <c r="M112" i="67" s="1"/>
  <c r="O112" i="67" s="1"/>
  <c r="I90" i="67"/>
  <c r="M90" i="67" s="1"/>
  <c r="O90" i="67" s="1"/>
  <c r="I86" i="67"/>
  <c r="M86" i="67" s="1"/>
  <c r="O86" i="67" s="1"/>
  <c r="I41" i="67"/>
  <c r="M41" i="67" s="1"/>
  <c r="O41" i="67" s="1"/>
  <c r="U41" i="67" s="1"/>
  <c r="I143" i="67"/>
  <c r="M143" i="67" s="1"/>
  <c r="O143" i="67" s="1"/>
  <c r="I134" i="67"/>
  <c r="M134" i="67" s="1"/>
  <c r="O134" i="67" s="1"/>
  <c r="I196" i="67"/>
  <c r="M196" i="67" s="1"/>
  <c r="O196" i="67" s="1"/>
  <c r="I118" i="67"/>
  <c r="M118" i="67" s="1"/>
  <c r="O118" i="67" s="1"/>
  <c r="I59" i="67"/>
  <c r="M59" i="67" s="1"/>
  <c r="O59" i="67" s="1"/>
  <c r="Q59" i="67" s="1"/>
  <c r="I75" i="67"/>
  <c r="M75" i="67" s="1"/>
  <c r="O75" i="67" s="1"/>
  <c r="I117" i="67"/>
  <c r="M117" i="67" s="1"/>
  <c r="O117" i="67" s="1"/>
  <c r="I119" i="67"/>
  <c r="M119" i="67" s="1"/>
  <c r="O119" i="67" s="1"/>
  <c r="I131" i="67"/>
  <c r="M131" i="67" s="1"/>
  <c r="O131" i="67"/>
  <c r="I93" i="67"/>
  <c r="M93" i="67" s="1"/>
  <c r="O93" i="67" s="1"/>
  <c r="Q93" i="67" s="1"/>
  <c r="U183" i="67"/>
  <c r="I116" i="67"/>
  <c r="M116" i="67" s="1"/>
  <c r="O116" i="67" s="1"/>
  <c r="K212" i="58" s="1"/>
  <c r="I34" i="67"/>
  <c r="M34" i="67" s="1"/>
  <c r="O34" i="67" s="1"/>
  <c r="I180" i="67"/>
  <c r="M180" i="67" s="1"/>
  <c r="O180" i="67" s="1"/>
  <c r="Q180" i="67" s="1"/>
  <c r="I68" i="67"/>
  <c r="M68" i="67" s="1"/>
  <c r="O68" i="67" s="1"/>
  <c r="U68" i="67" s="1"/>
  <c r="I87" i="67"/>
  <c r="M87" i="67" s="1"/>
  <c r="O87" i="67" s="1"/>
  <c r="U146" i="67"/>
  <c r="U197" i="67"/>
  <c r="I53" i="67"/>
  <c r="M53" i="67" s="1"/>
  <c r="O53" i="67" s="1"/>
  <c r="K133" i="58" s="1"/>
  <c r="U81" i="67"/>
  <c r="I35" i="67"/>
  <c r="M35" i="67" s="1"/>
  <c r="O35" i="67" s="1"/>
  <c r="I142" i="67"/>
  <c r="M142" i="67" s="1"/>
  <c r="O142" i="67" s="1"/>
  <c r="I169" i="67"/>
  <c r="M169" i="67" s="1"/>
  <c r="O169" i="67" s="1"/>
  <c r="K261" i="58" s="1"/>
  <c r="I76" i="67"/>
  <c r="M76" i="67" s="1"/>
  <c r="O76" i="67" s="1"/>
  <c r="I96" i="67"/>
  <c r="M96" i="67" s="1"/>
  <c r="O96" i="67" s="1"/>
  <c r="I98" i="67"/>
  <c r="M98" i="67" s="1"/>
  <c r="O98" i="67" s="1"/>
  <c r="I15" i="67"/>
  <c r="M15" i="67" s="1"/>
  <c r="O15" i="67" s="1"/>
  <c r="U178" i="67"/>
  <c r="U104" i="67"/>
  <c r="I55" i="67"/>
  <c r="M55" i="67" s="1"/>
  <c r="O55" i="67" s="1"/>
  <c r="I39" i="67"/>
  <c r="M39" i="67" s="1"/>
  <c r="O39" i="67" s="1"/>
  <c r="K121" i="58" s="1"/>
  <c r="I141" i="67"/>
  <c r="M141" i="67" s="1"/>
  <c r="O141" i="67" s="1"/>
  <c r="I110" i="67"/>
  <c r="M110" i="67" s="1"/>
  <c r="O110" i="67" s="1"/>
  <c r="I85" i="67"/>
  <c r="M85" i="67" s="1"/>
  <c r="O85" i="67"/>
  <c r="I123" i="67"/>
  <c r="M123" i="67" s="1"/>
  <c r="O123" i="67" s="1"/>
  <c r="I16" i="67"/>
  <c r="M16" i="67" s="1"/>
  <c r="O16" i="67" s="1"/>
  <c r="I99" i="67"/>
  <c r="M99" i="67" s="1"/>
  <c r="O99" i="67"/>
  <c r="I136" i="67"/>
  <c r="M136" i="67" s="1"/>
  <c r="O136" i="67" s="1"/>
  <c r="I102" i="67"/>
  <c r="M102" i="67" s="1"/>
  <c r="O102" i="67" s="1"/>
  <c r="I113" i="67"/>
  <c r="M113" i="67" s="1"/>
  <c r="O113" i="67" s="1"/>
  <c r="U151" i="67"/>
  <c r="I42" i="67"/>
  <c r="M42" i="67" s="1"/>
  <c r="O42" i="67" s="1"/>
  <c r="I133" i="67"/>
  <c r="M133" i="67" s="1"/>
  <c r="O133" i="67" s="1"/>
  <c r="Q133" i="67" s="1"/>
  <c r="I165" i="67"/>
  <c r="M165" i="67" s="1"/>
  <c r="O165" i="67" s="1"/>
  <c r="I115" i="67"/>
  <c r="M115" i="67" s="1"/>
  <c r="O115" i="67" s="1"/>
  <c r="I57" i="67"/>
  <c r="M57" i="67"/>
  <c r="O57" i="67" s="1"/>
  <c r="I97" i="67"/>
  <c r="M97" i="67" s="1"/>
  <c r="O97" i="67" s="1"/>
  <c r="U97" i="67" s="1"/>
  <c r="I109" i="67"/>
  <c r="M109" i="67" s="1"/>
  <c r="O109" i="67" s="1"/>
  <c r="I125" i="67"/>
  <c r="I60" i="67"/>
  <c r="M60" i="67" s="1"/>
  <c r="O60" i="67" s="1"/>
  <c r="I199" i="67"/>
  <c r="M199" i="67" s="1"/>
  <c r="O199" i="67" s="1"/>
  <c r="I61" i="67"/>
  <c r="M61" i="67" s="1"/>
  <c r="O61" i="67" s="1"/>
  <c r="I21" i="67"/>
  <c r="M21" i="67"/>
  <c r="O21" i="67" s="1"/>
  <c r="O19" i="67" s="1"/>
  <c r="I168" i="67"/>
  <c r="M168" i="67" s="1"/>
  <c r="O168" i="67" s="1"/>
  <c r="I26" i="67"/>
  <c r="M26" i="67" s="1"/>
  <c r="O26" i="67" s="1"/>
  <c r="U150" i="68"/>
  <c r="Q150" i="68"/>
  <c r="O242" i="58"/>
  <c r="U187" i="67"/>
  <c r="Q187" i="67"/>
  <c r="S187" i="67" s="1"/>
  <c r="K279" i="58"/>
  <c r="M106" i="58"/>
  <c r="K15" i="20"/>
  <c r="M15" i="20" s="1"/>
  <c r="N15" i="20" s="1"/>
  <c r="J15" i="25"/>
  <c r="Q85" i="33"/>
  <c r="M85" i="33"/>
  <c r="N104" i="57"/>
  <c r="N94" i="57"/>
  <c r="N96" i="57"/>
  <c r="BH3" i="10"/>
  <c r="AZ27" i="6"/>
  <c r="AH27" i="6"/>
  <c r="BN27" i="6"/>
  <c r="M64" i="24"/>
  <c r="BC3" i="5"/>
  <c r="W46" i="5"/>
  <c r="W103" i="5" s="1"/>
  <c r="AQ27" i="6"/>
  <c r="AF27" i="6"/>
  <c r="AF24" i="6" s="1"/>
  <c r="BP3" i="10"/>
  <c r="K154" i="58"/>
  <c r="BL27" i="6"/>
  <c r="AG27" i="6"/>
  <c r="AO27" i="6"/>
  <c r="AX27" i="6"/>
  <c r="BL46" i="5"/>
  <c r="BL103" i="5" s="1"/>
  <c r="O51" i="20"/>
  <c r="Q3" i="5"/>
  <c r="M127" i="27"/>
  <c r="AE102" i="5"/>
  <c r="BH27" i="6"/>
  <c r="BC27" i="6"/>
  <c r="BT27" i="6"/>
  <c r="AW27" i="6"/>
  <c r="AD27" i="6"/>
  <c r="AD24" i="6" s="1"/>
  <c r="BJ27" i="6"/>
  <c r="AY15" i="30"/>
  <c r="AS15" i="30"/>
  <c r="AG15" i="30"/>
  <c r="AZ15" i="43"/>
  <c r="AT15" i="43"/>
  <c r="AK15" i="43"/>
  <c r="N291" i="58"/>
  <c r="M73" i="20"/>
  <c r="M135" i="20"/>
  <c r="I144" i="24"/>
  <c r="M121" i="27"/>
  <c r="I42" i="29"/>
  <c r="M163" i="32"/>
  <c r="I144" i="35"/>
  <c r="M54" i="49"/>
  <c r="M152" i="51"/>
  <c r="O132" i="58"/>
  <c r="U152" i="67"/>
  <c r="H237" i="58"/>
  <c r="Q151" i="62"/>
  <c r="P151" i="62" s="1"/>
  <c r="N199" i="58"/>
  <c r="Q109" i="63"/>
  <c r="P131" i="63"/>
  <c r="S131" i="63"/>
  <c r="AN25" i="57" s="1"/>
  <c r="AM25" i="57"/>
  <c r="T131" i="63"/>
  <c r="L204" i="58"/>
  <c r="U108" i="69"/>
  <c r="F7" i="10"/>
  <c r="M152" i="20"/>
  <c r="M60" i="23"/>
  <c r="M122" i="27"/>
  <c r="M153" i="27"/>
  <c r="D43" i="29"/>
  <c r="S31" i="42"/>
  <c r="M115" i="51"/>
  <c r="M121" i="51"/>
  <c r="N121" i="51" s="1"/>
  <c r="M133" i="51"/>
  <c r="M163" i="51"/>
  <c r="U146" i="65"/>
  <c r="Q146" i="65"/>
  <c r="T178" i="65"/>
  <c r="S178" i="65"/>
  <c r="K203" i="58"/>
  <c r="U107" i="67"/>
  <c r="Q19" i="58"/>
  <c r="U19" i="61"/>
  <c r="Q19" i="61"/>
  <c r="S19" i="61" s="1"/>
  <c r="Q79" i="69"/>
  <c r="S79" i="69" s="1"/>
  <c r="U79" i="69"/>
  <c r="M84" i="35"/>
  <c r="M82" i="35"/>
  <c r="M9" i="44"/>
  <c r="M43" i="51"/>
  <c r="P9" i="58"/>
  <c r="Q32" i="64"/>
  <c r="P32" i="64" s="1"/>
  <c r="I162" i="65"/>
  <c r="M162" i="65" s="1"/>
  <c r="O162" i="65" s="1"/>
  <c r="I13" i="65"/>
  <c r="M13" i="65" s="1"/>
  <c r="O13" i="65" s="1"/>
  <c r="I30" i="65"/>
  <c r="M30" i="65" s="1"/>
  <c r="O30" i="65" s="1"/>
  <c r="I160" i="65"/>
  <c r="M160" i="65" s="1"/>
  <c r="O160" i="65" s="1"/>
  <c r="I161" i="65"/>
  <c r="M161" i="65" s="1"/>
  <c r="O161" i="65" s="1"/>
  <c r="U135" i="65"/>
  <c r="Q135" i="65"/>
  <c r="I145" i="66"/>
  <c r="M145" i="66" s="1"/>
  <c r="O145" i="66" s="1"/>
  <c r="P237" i="58" s="1"/>
  <c r="I156" i="66"/>
  <c r="M156" i="66" s="1"/>
  <c r="O156" i="66" s="1"/>
  <c r="I179" i="66"/>
  <c r="M179" i="66" s="1"/>
  <c r="O179" i="66" s="1"/>
  <c r="I176" i="66"/>
  <c r="M176" i="66" s="1"/>
  <c r="O176" i="66" s="1"/>
  <c r="P268" i="58" s="1"/>
  <c r="P113" i="58"/>
  <c r="Q31" i="66"/>
  <c r="P221" i="58"/>
  <c r="Q125" i="66"/>
  <c r="S125" i="66" s="1"/>
  <c r="AT25" i="57" s="1"/>
  <c r="I156" i="67"/>
  <c r="M156" i="67" s="1"/>
  <c r="O156" i="67" s="1"/>
  <c r="I176" i="67"/>
  <c r="M176" i="67" s="1"/>
  <c r="O176" i="67" s="1"/>
  <c r="I145" i="67"/>
  <c r="M145" i="67" s="1"/>
  <c r="O145" i="67"/>
  <c r="Q145" i="67" s="1"/>
  <c r="I175" i="67"/>
  <c r="M175" i="67" s="1"/>
  <c r="O175" i="67" s="1"/>
  <c r="Q125" i="67"/>
  <c r="U125" i="67"/>
  <c r="I105" i="68"/>
  <c r="M105" i="68" s="1"/>
  <c r="O105" i="68" s="1"/>
  <c r="I103" i="68"/>
  <c r="M103" i="68" s="1"/>
  <c r="O103" i="68" s="1"/>
  <c r="I104" i="68"/>
  <c r="M104" i="68" s="1"/>
  <c r="O104" i="68" s="1"/>
  <c r="Q124" i="68"/>
  <c r="O220" i="58"/>
  <c r="I30" i="69"/>
  <c r="M30" i="69" s="1"/>
  <c r="O30" i="69" s="1"/>
  <c r="I160" i="69"/>
  <c r="M160" i="69" s="1"/>
  <c r="O160" i="69" s="1"/>
  <c r="I151" i="69"/>
  <c r="M151" i="69" s="1"/>
  <c r="O151" i="69" s="1"/>
  <c r="I13" i="69"/>
  <c r="M13" i="69" s="1"/>
  <c r="O13" i="69" s="1"/>
  <c r="U52" i="69"/>
  <c r="Q52" i="69"/>
  <c r="L132" i="58"/>
  <c r="M78" i="20"/>
  <c r="Q23" i="58"/>
  <c r="R23" i="58" s="1"/>
  <c r="U23" i="61"/>
  <c r="W23" i="61" s="1"/>
  <c r="V23" i="61" s="1"/>
  <c r="Q16" i="62"/>
  <c r="P16" i="62" s="1"/>
  <c r="X16" i="63"/>
  <c r="Y16" i="63" s="1"/>
  <c r="AB16" i="63" s="1"/>
  <c r="Q111" i="62"/>
  <c r="X111" i="63"/>
  <c r="Y111" i="63" s="1"/>
  <c r="AB111" i="63"/>
  <c r="U113" i="63"/>
  <c r="U200" i="63"/>
  <c r="U180" i="63"/>
  <c r="U193" i="63"/>
  <c r="U161" i="63"/>
  <c r="U110" i="63"/>
  <c r="U177" i="63"/>
  <c r="Q173" i="63"/>
  <c r="N259" i="58"/>
  <c r="I161" i="64"/>
  <c r="M161" i="64" s="1"/>
  <c r="O161" i="64" s="1"/>
  <c r="Q161" i="64" s="1"/>
  <c r="T161" i="64" s="1"/>
  <c r="I13" i="64"/>
  <c r="M13" i="64" s="1"/>
  <c r="O13" i="64" s="1"/>
  <c r="Q13" i="64" s="1"/>
  <c r="I151" i="64"/>
  <c r="M151" i="64"/>
  <c r="O151" i="64" s="1"/>
  <c r="U151" i="64" s="1"/>
  <c r="I160" i="64"/>
  <c r="M160" i="64" s="1"/>
  <c r="O160" i="64" s="1"/>
  <c r="J252" i="58" s="1"/>
  <c r="Q175" i="69"/>
  <c r="L267" i="58"/>
  <c r="M166" i="32"/>
  <c r="J44" i="42"/>
  <c r="K28" i="42" s="1"/>
  <c r="M160" i="45"/>
  <c r="M43" i="50"/>
  <c r="M41" i="50" s="1"/>
  <c r="M142" i="51"/>
  <c r="I192" i="69"/>
  <c r="M192" i="69" s="1"/>
  <c r="O192" i="69" s="1"/>
  <c r="I109" i="69"/>
  <c r="M109" i="69" s="1"/>
  <c r="O109" i="69" s="1"/>
  <c r="I40" i="69"/>
  <c r="M40" i="69" s="1"/>
  <c r="O40" i="69" s="1"/>
  <c r="I61" i="69"/>
  <c r="M61" i="69" s="1"/>
  <c r="O61" i="69" s="1"/>
  <c r="I29" i="69"/>
  <c r="M29" i="69" s="1"/>
  <c r="O29" i="69" s="1"/>
  <c r="L199" i="58"/>
  <c r="U103" i="69"/>
  <c r="L231" i="58"/>
  <c r="Q139" i="69"/>
  <c r="L246" i="58"/>
  <c r="U154" i="69"/>
  <c r="U176" i="69"/>
  <c r="L268" i="58"/>
  <c r="Q176" i="69"/>
  <c r="M135" i="25"/>
  <c r="I100" i="33"/>
  <c r="M46" i="45"/>
  <c r="N165" i="58"/>
  <c r="Q97" i="63"/>
  <c r="S97" i="63" s="1"/>
  <c r="L200" i="58"/>
  <c r="U104" i="69"/>
  <c r="L247" i="58"/>
  <c r="Q155" i="69"/>
  <c r="U155" i="69"/>
  <c r="M116" i="20"/>
  <c r="N116" i="20" s="1"/>
  <c r="O116" i="20" s="1"/>
  <c r="M122" i="20"/>
  <c r="N78" i="32"/>
  <c r="M108" i="40"/>
  <c r="M133" i="40"/>
  <c r="N133" i="40" s="1"/>
  <c r="M58" i="51"/>
  <c r="M57" i="51" s="1"/>
  <c r="M132" i="51"/>
  <c r="M137" i="51"/>
  <c r="BG32" i="57"/>
  <c r="Q124" i="64"/>
  <c r="J220" i="58"/>
  <c r="U124" i="64"/>
  <c r="U125" i="65"/>
  <c r="U81" i="65"/>
  <c r="U178" i="65"/>
  <c r="U80" i="65"/>
  <c r="T183" i="65"/>
  <c r="P147" i="58"/>
  <c r="Q69" i="66"/>
  <c r="K147" i="58"/>
  <c r="U69" i="67"/>
  <c r="Q69" i="67"/>
  <c r="S69" i="67" s="1"/>
  <c r="I13" i="68"/>
  <c r="M13" i="68" s="1"/>
  <c r="O13" i="68" s="1"/>
  <c r="I30" i="68"/>
  <c r="M30" i="68" s="1"/>
  <c r="O30" i="68" s="1"/>
  <c r="I161" i="68"/>
  <c r="M161" i="68" s="1"/>
  <c r="O161" i="68" s="1"/>
  <c r="I162" i="68"/>
  <c r="M162" i="68" s="1"/>
  <c r="O162" i="68" s="1"/>
  <c r="L248" i="58"/>
  <c r="U156" i="69"/>
  <c r="L270" i="58"/>
  <c r="U178" i="69"/>
  <c r="Q178" i="69"/>
  <c r="L287" i="58"/>
  <c r="Q195" i="69"/>
  <c r="U154" i="67"/>
  <c r="U13" i="67"/>
  <c r="T151" i="63"/>
  <c r="U140" i="63"/>
  <c r="M5" i="14"/>
  <c r="I64" i="58"/>
  <c r="U198" i="63"/>
  <c r="T14" i="63"/>
  <c r="BG13" i="57"/>
  <c r="BP13" i="57" s="1"/>
  <c r="S196" i="58"/>
  <c r="U150" i="66"/>
  <c r="Y195" i="63"/>
  <c r="AB195" i="63" s="1"/>
  <c r="U143" i="65"/>
  <c r="U164" i="63"/>
  <c r="K9" i="58"/>
  <c r="N9" i="58"/>
  <c r="Q190" i="68"/>
  <c r="S190" i="68" s="1"/>
  <c r="Q31" i="68"/>
  <c r="U190" i="68"/>
  <c r="U111" i="65"/>
  <c r="M235" i="58"/>
  <c r="M171" i="58"/>
  <c r="O114" i="58"/>
  <c r="Q32" i="68"/>
  <c r="T32" i="68" s="1"/>
  <c r="O252" i="58"/>
  <c r="Q188" i="68"/>
  <c r="T188" i="68" s="1"/>
  <c r="U188" i="68"/>
  <c r="O280" i="58"/>
  <c r="Q178" i="68"/>
  <c r="O152" i="58"/>
  <c r="Q80" i="68"/>
  <c r="T80" i="68" s="1"/>
  <c r="S192" i="61"/>
  <c r="Q23" i="61"/>
  <c r="S23" i="61" s="1"/>
  <c r="Q17" i="61"/>
  <c r="S17" i="61" s="1"/>
  <c r="P72" i="54"/>
  <c r="P50" i="54"/>
  <c r="BD18" i="57"/>
  <c r="BG18" i="57"/>
  <c r="BH24" i="57"/>
  <c r="P51" i="54"/>
  <c r="P45" i="54"/>
  <c r="P67" i="54"/>
  <c r="I128" i="58"/>
  <c r="N11" i="54"/>
  <c r="P11" i="54"/>
  <c r="N7" i="54"/>
  <c r="P7" i="54"/>
  <c r="N87" i="54"/>
  <c r="P87" i="54"/>
  <c r="P20" i="54"/>
  <c r="N20" i="54"/>
  <c r="P113" i="48"/>
  <c r="Q113" i="48"/>
  <c r="P91" i="54"/>
  <c r="N22" i="47"/>
  <c r="Q17" i="37"/>
  <c r="P17" i="37"/>
  <c r="P67" i="39"/>
  <c r="O64" i="37"/>
  <c r="N13" i="47"/>
  <c r="Q35" i="48"/>
  <c r="P35" i="48"/>
  <c r="N104" i="54"/>
  <c r="O10" i="33"/>
  <c r="P10" i="33" s="1"/>
  <c r="Q11" i="33"/>
  <c r="N141" i="25"/>
  <c r="O142" i="25"/>
  <c r="O20" i="36"/>
  <c r="O67" i="20"/>
  <c r="N66" i="50"/>
  <c r="N11" i="49"/>
  <c r="O31" i="49"/>
  <c r="P31" i="49" s="1"/>
  <c r="N72" i="49"/>
  <c r="O72" i="49" s="1"/>
  <c r="P72" i="49" s="1"/>
  <c r="N181" i="45"/>
  <c r="O181" i="45" s="1"/>
  <c r="Q181" i="45"/>
  <c r="O109" i="39"/>
  <c r="P109" i="39" s="1"/>
  <c r="M102" i="51"/>
  <c r="N103" i="51"/>
  <c r="N144" i="49"/>
  <c r="O59" i="49"/>
  <c r="O12" i="36"/>
  <c r="O10" i="36" s="1"/>
  <c r="P10" i="36" s="1"/>
  <c r="N10" i="36"/>
  <c r="N59" i="34"/>
  <c r="N57" i="34" s="1"/>
  <c r="M57" i="34"/>
  <c r="O8" i="40"/>
  <c r="O62" i="37"/>
  <c r="N60" i="37"/>
  <c r="M151" i="20"/>
  <c r="T148" i="69"/>
  <c r="P148" i="69"/>
  <c r="AM6" i="57"/>
  <c r="L41" i="57" s="1"/>
  <c r="K8" i="57"/>
  <c r="BD17" i="57"/>
  <c r="BI17" i="57"/>
  <c r="BG17" i="57" s="1"/>
  <c r="E94" i="57"/>
  <c r="E93" i="57"/>
  <c r="E109" i="57"/>
  <c r="N55" i="51"/>
  <c r="O55" i="51" s="1"/>
  <c r="P55" i="51" s="1"/>
  <c r="M134" i="49"/>
  <c r="O135" i="49"/>
  <c r="N42" i="49"/>
  <c r="M41" i="49"/>
  <c r="Q96" i="33"/>
  <c r="O135" i="51"/>
  <c r="N21" i="51"/>
  <c r="N104" i="49"/>
  <c r="O104" i="49" s="1"/>
  <c r="P104" i="49" s="1"/>
  <c r="M112" i="46"/>
  <c r="N112" i="46" s="1"/>
  <c r="I113" i="46"/>
  <c r="N52" i="47"/>
  <c r="Q11" i="36"/>
  <c r="P11" i="36"/>
  <c r="N104" i="45"/>
  <c r="Q104" i="45"/>
  <c r="C11" i="41"/>
  <c r="C13" i="41" s="1"/>
  <c r="C15" i="41" s="1"/>
  <c r="C16" i="41" s="1"/>
  <c r="N94" i="34"/>
  <c r="O97" i="34"/>
  <c r="P97" i="34" s="1"/>
  <c r="N8" i="49"/>
  <c r="N39" i="51"/>
  <c r="M38" i="51"/>
  <c r="O156" i="49"/>
  <c r="P156" i="49" s="1"/>
  <c r="O136" i="49"/>
  <c r="P136" i="49" s="1"/>
  <c r="M27" i="49"/>
  <c r="N30" i="49"/>
  <c r="O30" i="49" s="1"/>
  <c r="O50" i="46"/>
  <c r="O34" i="34"/>
  <c r="P34" i="34" s="1"/>
  <c r="O21" i="46"/>
  <c r="N65" i="34"/>
  <c r="P62" i="20"/>
  <c r="Q62" i="20"/>
  <c r="M99" i="39"/>
  <c r="M66" i="49"/>
  <c r="N67" i="49"/>
  <c r="M141" i="49"/>
  <c r="N104" i="39"/>
  <c r="N102" i="39" s="1"/>
  <c r="M91" i="40"/>
  <c r="N92" i="40"/>
  <c r="N114" i="34"/>
  <c r="O114" i="34" s="1"/>
  <c r="P114" i="34" s="1"/>
  <c r="M111" i="34"/>
  <c r="N121" i="23"/>
  <c r="O121" i="23" s="1"/>
  <c r="N166" i="45"/>
  <c r="M164" i="45"/>
  <c r="Q164" i="45" s="1"/>
  <c r="N93" i="49"/>
  <c r="N95" i="49"/>
  <c r="N17" i="40"/>
  <c r="O17" i="40" s="1"/>
  <c r="P17" i="40" s="1"/>
  <c r="N131" i="39"/>
  <c r="E46" i="57"/>
  <c r="E40" i="57"/>
  <c r="B4" i="14"/>
  <c r="K4" i="14" s="1"/>
  <c r="E47" i="57"/>
  <c r="E39" i="57"/>
  <c r="E32" i="57"/>
  <c r="E43" i="57"/>
  <c r="E19" i="57"/>
  <c r="E37" i="57"/>
  <c r="E15" i="57"/>
  <c r="E35" i="57"/>
  <c r="E34" i="57"/>
  <c r="M47" i="50"/>
  <c r="O30" i="20"/>
  <c r="Q41" i="45"/>
  <c r="N12" i="51"/>
  <c r="N10" i="51" s="1"/>
  <c r="N48" i="49"/>
  <c r="O143" i="47"/>
  <c r="N141" i="47"/>
  <c r="Q65" i="45"/>
  <c r="N65" i="45"/>
  <c r="O65" i="45" s="1"/>
  <c r="P65" i="45" s="1"/>
  <c r="N144" i="39"/>
  <c r="O144" i="39" s="1"/>
  <c r="P144" i="39" s="1"/>
  <c r="N135" i="39"/>
  <c r="N7" i="35"/>
  <c r="O81" i="27"/>
  <c r="P81" i="27" s="1"/>
  <c r="J5" i="5"/>
  <c r="J62" i="5" s="1"/>
  <c r="J65" i="5"/>
  <c r="V90" i="5"/>
  <c r="V34" i="5"/>
  <c r="V91" i="5" s="1"/>
  <c r="U46" i="10"/>
  <c r="D92" i="5"/>
  <c r="D5" i="5"/>
  <c r="D62" i="5" s="1"/>
  <c r="N25" i="40"/>
  <c r="O115" i="48"/>
  <c r="N55" i="39"/>
  <c r="O55" i="39"/>
  <c r="P55" i="39" s="1"/>
  <c r="M44" i="39"/>
  <c r="N46" i="39"/>
  <c r="O46" i="39" s="1"/>
  <c r="O11" i="32"/>
  <c r="N125" i="23"/>
  <c r="M124" i="23"/>
  <c r="N32" i="23"/>
  <c r="O32" i="23" s="1"/>
  <c r="M99" i="27"/>
  <c r="N100" i="27"/>
  <c r="N99" i="27" s="1"/>
  <c r="E65" i="5"/>
  <c r="E5" i="5"/>
  <c r="E62" i="5" s="1"/>
  <c r="BQ68" i="5"/>
  <c r="BQ8" i="5"/>
  <c r="BI86" i="5"/>
  <c r="BI8" i="5"/>
  <c r="N89" i="5"/>
  <c r="K34" i="5"/>
  <c r="K91" i="5" s="1"/>
  <c r="K3" i="5"/>
  <c r="K90" i="5"/>
  <c r="BN90" i="5"/>
  <c r="BN34" i="5"/>
  <c r="BN91" i="5" s="1"/>
  <c r="N101" i="40"/>
  <c r="O101" i="40" s="1"/>
  <c r="N53" i="40"/>
  <c r="O53" i="40" s="1"/>
  <c r="P53" i="40" s="1"/>
  <c r="Q139" i="36"/>
  <c r="P139" i="36"/>
  <c r="N100" i="36"/>
  <c r="M99" i="36"/>
  <c r="Q104" i="32"/>
  <c r="N104" i="32"/>
  <c r="N103" i="32" s="1"/>
  <c r="BD17" i="30" s="1"/>
  <c r="AU17" i="30" s="1"/>
  <c r="N27" i="51"/>
  <c r="M57" i="49"/>
  <c r="M102" i="49"/>
  <c r="N103" i="49"/>
  <c r="P140" i="48"/>
  <c r="Q140" i="48"/>
  <c r="N140" i="39"/>
  <c r="O140" i="39" s="1"/>
  <c r="P140" i="39" s="1"/>
  <c r="N101" i="39"/>
  <c r="O101" i="39" s="1"/>
  <c r="M10" i="51"/>
  <c r="N20" i="37"/>
  <c r="O20" i="37" s="1"/>
  <c r="N40" i="36"/>
  <c r="O40" i="36" s="1"/>
  <c r="P40" i="36" s="1"/>
  <c r="M38" i="36"/>
  <c r="H3" i="5"/>
  <c r="H102" i="5"/>
  <c r="G50" i="10"/>
  <c r="H46" i="5"/>
  <c r="H103" i="5" s="1"/>
  <c r="N51" i="34"/>
  <c r="AZ71" i="5"/>
  <c r="I5" i="5"/>
  <c r="I62" i="5" s="1"/>
  <c r="I92" i="5"/>
  <c r="N113" i="23"/>
  <c r="O113" i="23" s="1"/>
  <c r="P113" i="23" s="1"/>
  <c r="P97" i="54"/>
  <c r="O135" i="34"/>
  <c r="N152" i="24"/>
  <c r="O152" i="24" s="1"/>
  <c r="BP60" i="5"/>
  <c r="N100" i="34"/>
  <c r="M99" i="34"/>
  <c r="K38" i="3"/>
  <c r="L38" i="3" s="1"/>
  <c r="K39" i="3"/>
  <c r="L39" i="3" s="1"/>
  <c r="AB86" i="5"/>
  <c r="P195" i="45"/>
  <c r="M27" i="40"/>
  <c r="O62" i="23"/>
  <c r="Q4" i="10"/>
  <c r="Q3" i="10" s="1"/>
  <c r="W4" i="10"/>
  <c r="W3" i="10" s="1"/>
  <c r="BJ8" i="5"/>
  <c r="BJ77" i="5"/>
  <c r="H104" i="5"/>
  <c r="H5" i="5"/>
  <c r="H62" i="5" s="1"/>
  <c r="C105" i="5"/>
  <c r="C45" i="5"/>
  <c r="C49" i="5"/>
  <c r="C106" i="5" s="1"/>
  <c r="G4" i="3"/>
  <c r="D56" i="10"/>
  <c r="N224" i="45"/>
  <c r="AA77" i="5"/>
  <c r="AA8" i="5"/>
  <c r="BP46" i="5"/>
  <c r="BP103" i="5" s="1"/>
  <c r="BP102" i="5"/>
  <c r="M94" i="49"/>
  <c r="M82" i="46"/>
  <c r="N109" i="20"/>
  <c r="O109" i="20" s="1"/>
  <c r="G46" i="5"/>
  <c r="G103" i="5" s="1"/>
  <c r="G102" i="5"/>
  <c r="N3" i="5"/>
  <c r="BO8" i="5"/>
  <c r="G3" i="5"/>
  <c r="G60" i="5"/>
  <c r="Q74" i="5"/>
  <c r="Q8" i="5"/>
  <c r="M155" i="23"/>
  <c r="N155" i="23" s="1"/>
  <c r="O155" i="23" s="1"/>
  <c r="BA36" i="43"/>
  <c r="AO36" i="43"/>
  <c r="M8" i="5"/>
  <c r="M71" i="5"/>
  <c r="BE71" i="5"/>
  <c r="BE8" i="5"/>
  <c r="BE5" i="5" s="1"/>
  <c r="U3" i="5"/>
  <c r="N61" i="25"/>
  <c r="N60" i="25" s="1"/>
  <c r="P4" i="54"/>
  <c r="P30" i="54"/>
  <c r="P44" i="54"/>
  <c r="E36" i="31"/>
  <c r="AJ7" i="30"/>
  <c r="S31" i="29"/>
  <c r="U90" i="5"/>
  <c r="U34" i="5"/>
  <c r="U91" i="5" s="1"/>
  <c r="C56" i="10"/>
  <c r="M46" i="5"/>
  <c r="M103" i="5" s="1"/>
  <c r="M3" i="5"/>
  <c r="T46" i="10"/>
  <c r="BQ3" i="5"/>
  <c r="BM63" i="5"/>
  <c r="BM7" i="5"/>
  <c r="BM64" i="5" s="1"/>
  <c r="BI90" i="5"/>
  <c r="I77" i="45"/>
  <c r="I123" i="51"/>
  <c r="M123" i="51" s="1"/>
  <c r="N123" i="51" s="1"/>
  <c r="I25" i="51"/>
  <c r="M25" i="51" s="1"/>
  <c r="N25" i="51" s="1"/>
  <c r="I81" i="51"/>
  <c r="M81" i="51" s="1"/>
  <c r="I15" i="51"/>
  <c r="M15" i="51" s="1"/>
  <c r="I77" i="51"/>
  <c r="M77" i="51" s="1"/>
  <c r="AB34" i="5"/>
  <c r="AB91" i="5" s="1"/>
  <c r="H59" i="10"/>
  <c r="M60" i="34"/>
  <c r="N61" i="34"/>
  <c r="M58" i="38"/>
  <c r="M130" i="45"/>
  <c r="M60" i="25"/>
  <c r="BB63" i="5"/>
  <c r="BB3" i="5"/>
  <c r="BB60" i="5" s="1"/>
  <c r="L8" i="5"/>
  <c r="L80" i="5"/>
  <c r="E2" i="28"/>
  <c r="AM4" i="30"/>
  <c r="M161" i="40"/>
  <c r="E3" i="5"/>
  <c r="AU15" i="30"/>
  <c r="AO15" i="30"/>
  <c r="AR15" i="30"/>
  <c r="P188" i="69"/>
  <c r="S188" i="69"/>
  <c r="T188" i="69"/>
  <c r="S67" i="69"/>
  <c r="T67" i="69"/>
  <c r="P67" i="69"/>
  <c r="Q150" i="67"/>
  <c r="S150" i="67" s="1"/>
  <c r="U150" i="67"/>
  <c r="K242" i="58"/>
  <c r="U88" i="67"/>
  <c r="Q121" i="67"/>
  <c r="T121" i="67" s="1"/>
  <c r="BK8" i="5"/>
  <c r="N110" i="20"/>
  <c r="O110" i="20" s="1"/>
  <c r="M135" i="27"/>
  <c r="M118" i="51"/>
  <c r="I8" i="33"/>
  <c r="I125" i="33"/>
  <c r="M132" i="40"/>
  <c r="N132" i="40" s="1"/>
  <c r="M152" i="25"/>
  <c r="N152" i="25" s="1"/>
  <c r="S77" i="61"/>
  <c r="P77" i="61"/>
  <c r="N62" i="39"/>
  <c r="N60" i="39" s="1"/>
  <c r="S140" i="63"/>
  <c r="T140" i="63"/>
  <c r="P69" i="67"/>
  <c r="T69" i="67"/>
  <c r="Q160" i="67"/>
  <c r="S160" i="67" s="1"/>
  <c r="K252" i="58"/>
  <c r="P125" i="65"/>
  <c r="S125" i="65"/>
  <c r="AW25" i="57" s="1"/>
  <c r="AV25" i="57"/>
  <c r="T125" i="65"/>
  <c r="O62" i="36"/>
  <c r="S52" i="68"/>
  <c r="T52" i="68"/>
  <c r="P52" i="68"/>
  <c r="K237" i="58"/>
  <c r="P124" i="67"/>
  <c r="S124" i="67"/>
  <c r="T124" i="67"/>
  <c r="M23" i="20"/>
  <c r="P9" i="54"/>
  <c r="P36" i="54"/>
  <c r="P41" i="54"/>
  <c r="P47" i="54"/>
  <c r="P88" i="54"/>
  <c r="P95" i="54"/>
  <c r="P102" i="54"/>
  <c r="M9" i="31"/>
  <c r="AK25" i="43"/>
  <c r="J8" i="41" s="1"/>
  <c r="M46" i="51"/>
  <c r="T167" i="69"/>
  <c r="Q169" i="67"/>
  <c r="U169" i="67"/>
  <c r="U78" i="65"/>
  <c r="M154" i="58"/>
  <c r="Q78" i="65"/>
  <c r="Q117" i="63"/>
  <c r="T117" i="63" s="1"/>
  <c r="N198" i="58"/>
  <c r="Q108" i="63"/>
  <c r="S108" i="63" s="1"/>
  <c r="P178" i="66"/>
  <c r="S178" i="66"/>
  <c r="AM24" i="57"/>
  <c r="M43" i="27"/>
  <c r="AV4" i="43"/>
  <c r="G2" i="41"/>
  <c r="N2" i="41" s="1"/>
  <c r="AM25" i="43"/>
  <c r="AM48" i="43" s="1"/>
  <c r="AM51" i="43" s="1"/>
  <c r="AL25" i="43"/>
  <c r="P160" i="66"/>
  <c r="M282" i="58"/>
  <c r="AV6" i="57"/>
  <c r="AW5" i="57"/>
  <c r="AW6" i="57" s="1"/>
  <c r="K104" i="57"/>
  <c r="K109" i="57"/>
  <c r="M40" i="20"/>
  <c r="M97" i="20"/>
  <c r="M103" i="20"/>
  <c r="M137" i="20"/>
  <c r="P27" i="54"/>
  <c r="P80" i="54"/>
  <c r="P85" i="54"/>
  <c r="M131" i="27"/>
  <c r="AJ15" i="30"/>
  <c r="I142" i="33"/>
  <c r="O159" i="34"/>
  <c r="P159" i="34" s="1"/>
  <c r="I123" i="36"/>
  <c r="M133" i="39"/>
  <c r="M43" i="40"/>
  <c r="M41" i="40" s="1"/>
  <c r="AN15" i="43"/>
  <c r="K12" i="41"/>
  <c r="AO25" i="43"/>
  <c r="AN25" i="43"/>
  <c r="K8" i="41" s="1"/>
  <c r="M144" i="51"/>
  <c r="S108" i="69"/>
  <c r="P108" i="69"/>
  <c r="Q148" i="68"/>
  <c r="O240" i="58"/>
  <c r="U175" i="68"/>
  <c r="Q175" i="68"/>
  <c r="T175" i="68" s="1"/>
  <c r="Q97" i="67"/>
  <c r="K171" i="58"/>
  <c r="Q147" i="67"/>
  <c r="K239" i="58"/>
  <c r="Q175" i="66"/>
  <c r="S175" i="66" s="1"/>
  <c r="M155" i="58"/>
  <c r="U79" i="65"/>
  <c r="Q79" i="65"/>
  <c r="M8" i="37"/>
  <c r="P40" i="54"/>
  <c r="P49" i="54"/>
  <c r="P52" i="54"/>
  <c r="P89" i="54"/>
  <c r="P92" i="54"/>
  <c r="P103" i="54"/>
  <c r="P106" i="54"/>
  <c r="AM15" i="30"/>
  <c r="I76" i="32"/>
  <c r="N145" i="40"/>
  <c r="O145" i="40" s="1"/>
  <c r="P145" i="40" s="1"/>
  <c r="T177" i="69"/>
  <c r="S177" i="69"/>
  <c r="P177" i="69"/>
  <c r="T152" i="69"/>
  <c r="S152" i="69"/>
  <c r="S76" i="69"/>
  <c r="T76" i="69"/>
  <c r="P76" i="69"/>
  <c r="U59" i="67"/>
  <c r="U133" i="67"/>
  <c r="N2" i="14"/>
  <c r="A21" i="14"/>
  <c r="A18" i="5" s="1"/>
  <c r="B41" i="10" s="1"/>
  <c r="I7" i="10"/>
  <c r="M42" i="20"/>
  <c r="M41" i="20" s="1"/>
  <c r="M65" i="20"/>
  <c r="M85" i="37"/>
  <c r="M82" i="37" s="1"/>
  <c r="P37" i="54"/>
  <c r="P63" i="54"/>
  <c r="P73" i="54"/>
  <c r="P94" i="54"/>
  <c r="P100" i="54"/>
  <c r="M82" i="34"/>
  <c r="M106" i="40"/>
  <c r="N106" i="40" s="1"/>
  <c r="O106" i="40" s="1"/>
  <c r="P106" i="40" s="1"/>
  <c r="M35" i="49"/>
  <c r="N145" i="51"/>
  <c r="O145" i="51" s="1"/>
  <c r="P145" i="51" s="1"/>
  <c r="P238" i="58"/>
  <c r="M59" i="20"/>
  <c r="M123" i="20"/>
  <c r="M144" i="20"/>
  <c r="P23" i="54"/>
  <c r="P59" i="54"/>
  <c r="P66" i="54"/>
  <c r="P68" i="54"/>
  <c r="M115" i="27"/>
  <c r="D2" i="28"/>
  <c r="AP15" i="30"/>
  <c r="O126" i="33"/>
  <c r="M108" i="36"/>
  <c r="N108" i="36" s="1"/>
  <c r="O108" i="36" s="1"/>
  <c r="O146" i="40"/>
  <c r="P146" i="40" s="1"/>
  <c r="AJ25" i="43"/>
  <c r="AJ48" i="43" s="1"/>
  <c r="AJ51" i="43" s="1"/>
  <c r="I25" i="45"/>
  <c r="M25" i="45" s="1"/>
  <c r="I32" i="45"/>
  <c r="M32" i="45" s="1"/>
  <c r="Q189" i="65"/>
  <c r="I191" i="68"/>
  <c r="M191" i="68" s="1"/>
  <c r="O191" i="68" s="1"/>
  <c r="I199" i="68"/>
  <c r="M199" i="68" s="1"/>
  <c r="O199" i="68" s="1"/>
  <c r="I117" i="68"/>
  <c r="M117" i="68" s="1"/>
  <c r="O117" i="68" s="1"/>
  <c r="U117" i="68" s="1"/>
  <c r="I125" i="68"/>
  <c r="I93" i="68"/>
  <c r="M93" i="68" s="1"/>
  <c r="O93" i="68" s="1"/>
  <c r="I116" i="68"/>
  <c r="M116" i="68" s="1"/>
  <c r="O116" i="68" s="1"/>
  <c r="I48" i="68"/>
  <c r="M48" i="68" s="1"/>
  <c r="O48" i="68" s="1"/>
  <c r="I181" i="68"/>
  <c r="M181" i="68" s="1"/>
  <c r="O181" i="68" s="1"/>
  <c r="I106" i="68"/>
  <c r="M106" i="68" s="1"/>
  <c r="O106" i="68" s="1"/>
  <c r="I94" i="68"/>
  <c r="M94" i="68" s="1"/>
  <c r="O94" i="68" s="1"/>
  <c r="I27" i="68"/>
  <c r="M27" i="68" s="1"/>
  <c r="O27" i="68" s="1"/>
  <c r="Q27" i="68" s="1"/>
  <c r="I60" i="68"/>
  <c r="M60" i="68"/>
  <c r="O60" i="68" s="1"/>
  <c r="I41" i="68"/>
  <c r="M41" i="68" s="1"/>
  <c r="O41" i="68" s="1"/>
  <c r="O123" i="58" s="1"/>
  <c r="I24" i="68"/>
  <c r="M24" i="68" s="1"/>
  <c r="O24" i="68" s="1"/>
  <c r="I182" i="68"/>
  <c r="M182" i="68" s="1"/>
  <c r="O182" i="68" s="1"/>
  <c r="I186" i="68"/>
  <c r="M186" i="68" s="1"/>
  <c r="O186" i="68" s="1"/>
  <c r="I157" i="68"/>
  <c r="M157" i="68" s="1"/>
  <c r="O157" i="68" s="1"/>
  <c r="U157" i="68" s="1"/>
  <c r="I179" i="68"/>
  <c r="M179" i="68" s="1"/>
  <c r="O179" i="68" s="1"/>
  <c r="I122" i="68"/>
  <c r="M122" i="68" s="1"/>
  <c r="O122" i="68" s="1"/>
  <c r="I136" i="68"/>
  <c r="M136" i="68" s="1"/>
  <c r="O136" i="68" s="1"/>
  <c r="U136" i="68" s="1"/>
  <c r="I66" i="68"/>
  <c r="M66" i="68" s="1"/>
  <c r="O66" i="68" s="1"/>
  <c r="I29" i="68"/>
  <c r="M29" i="68" s="1"/>
  <c r="O29" i="68" s="1"/>
  <c r="I118" i="68"/>
  <c r="M118" i="68" s="1"/>
  <c r="O118" i="68" s="1"/>
  <c r="I87" i="68"/>
  <c r="M87" i="68" s="1"/>
  <c r="O87" i="68" s="1"/>
  <c r="I63" i="68"/>
  <c r="M63" i="68" s="1"/>
  <c r="O63" i="68" s="1"/>
  <c r="I22" i="68"/>
  <c r="M22" i="68" s="1"/>
  <c r="O22" i="68" s="1"/>
  <c r="I38" i="68"/>
  <c r="M38" i="68" s="1"/>
  <c r="O38" i="68" s="1"/>
  <c r="I17" i="68"/>
  <c r="M17" i="68" s="1"/>
  <c r="O17" i="68" s="1"/>
  <c r="U17" i="68" s="1"/>
  <c r="I201" i="68"/>
  <c r="M201" i="68" s="1"/>
  <c r="O201" i="68" s="1"/>
  <c r="I109" i="68"/>
  <c r="M109" i="68" s="1"/>
  <c r="O109" i="68" s="1"/>
  <c r="I143" i="68"/>
  <c r="M143" i="68" s="1"/>
  <c r="O143" i="68" s="1"/>
  <c r="I111" i="68"/>
  <c r="M111" i="68" s="1"/>
  <c r="O111" i="68" s="1"/>
  <c r="I102" i="68"/>
  <c r="M102" i="68" s="1"/>
  <c r="O102" i="68" s="1"/>
  <c r="I89" i="68"/>
  <c r="M89" i="68" s="1"/>
  <c r="O89" i="68" s="1"/>
  <c r="I110" i="68"/>
  <c r="M110" i="68" s="1"/>
  <c r="O110" i="68" s="1"/>
  <c r="U110" i="68" s="1"/>
  <c r="I86" i="68"/>
  <c r="M86" i="68" s="1"/>
  <c r="O86" i="68" s="1"/>
  <c r="I21" i="68"/>
  <c r="M21" i="68" s="1"/>
  <c r="O21" i="68" s="1"/>
  <c r="I35" i="68"/>
  <c r="M35" i="68" s="1"/>
  <c r="O35" i="68" s="1"/>
  <c r="I43" i="68"/>
  <c r="M43" i="68" s="1"/>
  <c r="O43" i="68" s="1"/>
  <c r="O125" i="58" s="1"/>
  <c r="I168" i="68"/>
  <c r="M168" i="68" s="1"/>
  <c r="O168" i="68" s="1"/>
  <c r="I164" i="68"/>
  <c r="M164" i="68" s="1"/>
  <c r="O164" i="68" s="1"/>
  <c r="I133" i="68"/>
  <c r="M133" i="68" s="1"/>
  <c r="O133" i="68" s="1"/>
  <c r="I112" i="68"/>
  <c r="M112" i="68" s="1"/>
  <c r="O112" i="68" s="1"/>
  <c r="O208" i="58" s="1"/>
  <c r="I131" i="68"/>
  <c r="M131" i="68" s="1"/>
  <c r="O131" i="68" s="1"/>
  <c r="Q131" i="68" s="1"/>
  <c r="I65" i="68"/>
  <c r="M65" i="68" s="1"/>
  <c r="O65" i="68" s="1"/>
  <c r="I135" i="68"/>
  <c r="M135" i="68" s="1"/>
  <c r="O135" i="68" s="1"/>
  <c r="I70" i="68"/>
  <c r="M70" i="68" s="1"/>
  <c r="O70" i="68" s="1"/>
  <c r="O148" i="58" s="1"/>
  <c r="I44" i="68"/>
  <c r="M44" i="68" s="1"/>
  <c r="O44" i="68" s="1"/>
  <c r="I40" i="68"/>
  <c r="M40" i="68" s="1"/>
  <c r="O40" i="68" s="1"/>
  <c r="O122" i="58" s="1"/>
  <c r="I15" i="68"/>
  <c r="M15" i="68" s="1"/>
  <c r="O15" i="68" s="1"/>
  <c r="I198" i="68"/>
  <c r="M198" i="68" s="1"/>
  <c r="O198" i="68" s="1"/>
  <c r="I130" i="68"/>
  <c r="M130" i="68" s="1"/>
  <c r="O130" i="68" s="1"/>
  <c r="I115" i="68"/>
  <c r="M115" i="68" s="1"/>
  <c r="O115" i="68" s="1"/>
  <c r="I134" i="68"/>
  <c r="M134" i="68" s="1"/>
  <c r="O134" i="68" s="1"/>
  <c r="I121" i="68"/>
  <c r="M121" i="68" s="1"/>
  <c r="O121" i="68" s="1"/>
  <c r="I88" i="68"/>
  <c r="M88" i="68" s="1"/>
  <c r="O88" i="68" s="1"/>
  <c r="O162" i="58" s="1"/>
  <c r="I57" i="68"/>
  <c r="M57" i="68" s="1"/>
  <c r="O57" i="68" s="1"/>
  <c r="I196" i="68"/>
  <c r="M196" i="68" s="1"/>
  <c r="O196" i="68" s="1"/>
  <c r="I124" i="68"/>
  <c r="I96" i="68"/>
  <c r="M96" i="68" s="1"/>
  <c r="O96" i="68" s="1"/>
  <c r="I90" i="68"/>
  <c r="M90" i="68" s="1"/>
  <c r="O90" i="68" s="1"/>
  <c r="I83" i="68"/>
  <c r="M83" i="68" s="1"/>
  <c r="O83" i="68" s="1"/>
  <c r="I68" i="68"/>
  <c r="M68" i="68" s="1"/>
  <c r="O68" i="68" s="1"/>
  <c r="I18" i="68"/>
  <c r="M18" i="68" s="1"/>
  <c r="O18" i="68" s="1"/>
  <c r="I166" i="68"/>
  <c r="M166" i="68" s="1"/>
  <c r="O166" i="68" s="1"/>
  <c r="I137" i="68"/>
  <c r="M137" i="68" s="1"/>
  <c r="O137" i="68" s="1"/>
  <c r="I140" i="68"/>
  <c r="M140" i="68" s="1"/>
  <c r="O140" i="68" s="1"/>
  <c r="I92" i="68"/>
  <c r="M92" i="68" s="1"/>
  <c r="O92" i="68" s="1"/>
  <c r="I34" i="68"/>
  <c r="M34" i="68" s="1"/>
  <c r="O34" i="68" s="1"/>
  <c r="O116" i="58" s="1"/>
  <c r="I28" i="68"/>
  <c r="M28" i="68" s="1"/>
  <c r="O28" i="68" s="1"/>
  <c r="Q28" i="68" s="1"/>
  <c r="T28" i="68" s="1"/>
  <c r="I36" i="68"/>
  <c r="M36" i="68" s="1"/>
  <c r="O36" i="68" s="1"/>
  <c r="I95" i="61"/>
  <c r="M95" i="61" s="1"/>
  <c r="O95" i="61" s="1"/>
  <c r="Q95" i="61" s="1"/>
  <c r="I96" i="61"/>
  <c r="M96" i="61" s="1"/>
  <c r="O96" i="61" s="1"/>
  <c r="I97" i="61"/>
  <c r="M97" i="61" s="1"/>
  <c r="O97" i="61" s="1"/>
  <c r="I94" i="61"/>
  <c r="M94" i="61" s="1"/>
  <c r="O94" i="61" s="1"/>
  <c r="E58" i="60"/>
  <c r="D57" i="60"/>
  <c r="E57" i="60" s="1"/>
  <c r="M120" i="51"/>
  <c r="T156" i="69"/>
  <c r="S156" i="69"/>
  <c r="M210" i="58"/>
  <c r="N209" i="58"/>
  <c r="Q119" i="63"/>
  <c r="Q65" i="63"/>
  <c r="I140" i="62"/>
  <c r="M140" i="62" s="1"/>
  <c r="O140" i="62" s="1"/>
  <c r="I47" i="62"/>
  <c r="M47" i="62" s="1"/>
  <c r="O47" i="62" s="1"/>
  <c r="U47" i="62" s="1"/>
  <c r="I139" i="62"/>
  <c r="M139" i="62" s="1"/>
  <c r="O139" i="62" s="1"/>
  <c r="I46" i="62"/>
  <c r="M46" i="62" s="1"/>
  <c r="O46" i="62" s="1"/>
  <c r="I104" i="62"/>
  <c r="M104" i="62" s="1"/>
  <c r="O104" i="62" s="1"/>
  <c r="I164" i="62"/>
  <c r="M164" i="62" s="1"/>
  <c r="O164" i="62" s="1"/>
  <c r="I163" i="62"/>
  <c r="M163" i="62" s="1"/>
  <c r="O163" i="62" s="1"/>
  <c r="H249" i="58" s="1"/>
  <c r="I48" i="62"/>
  <c r="M48" i="62" s="1"/>
  <c r="O48" i="62" s="1"/>
  <c r="I172" i="62"/>
  <c r="M172" i="62" s="1"/>
  <c r="O172" i="62" s="1"/>
  <c r="I103" i="62"/>
  <c r="M103" i="62" s="1"/>
  <c r="O103" i="62" s="1"/>
  <c r="I98" i="62"/>
  <c r="M98" i="62" s="1"/>
  <c r="O98" i="62" s="1"/>
  <c r="Q98" i="62" s="1"/>
  <c r="P98" i="62" s="1"/>
  <c r="I89" i="62"/>
  <c r="M89" i="62" s="1"/>
  <c r="O89" i="62" s="1"/>
  <c r="I171" i="62"/>
  <c r="M171" i="62" s="1"/>
  <c r="O171" i="62" s="1"/>
  <c r="I60" i="62"/>
  <c r="M60" i="62" s="1"/>
  <c r="O60" i="62" s="1"/>
  <c r="I148" i="62"/>
  <c r="M148" i="62" s="1"/>
  <c r="O148" i="62" s="1"/>
  <c r="I37" i="62"/>
  <c r="M37" i="62" s="1"/>
  <c r="O37" i="62" s="1"/>
  <c r="I131" i="62"/>
  <c r="I186" i="62"/>
  <c r="M186" i="62" s="1"/>
  <c r="O186" i="62" s="1"/>
  <c r="I45" i="62"/>
  <c r="M45" i="62" s="1"/>
  <c r="O45" i="62" s="1"/>
  <c r="I49" i="62"/>
  <c r="M49" i="62" s="1"/>
  <c r="O49" i="62" s="1"/>
  <c r="I57" i="62"/>
  <c r="M57" i="62" s="1"/>
  <c r="O57" i="62" s="1"/>
  <c r="I198" i="62"/>
  <c r="M198" i="62" s="1"/>
  <c r="O198" i="62" s="1"/>
  <c r="Q198" i="62" s="1"/>
  <c r="I38" i="62"/>
  <c r="M38" i="62" s="1"/>
  <c r="O38" i="62" s="1"/>
  <c r="I61" i="62"/>
  <c r="M61" i="62" s="1"/>
  <c r="O61" i="62" s="1"/>
  <c r="U61" i="62" s="1"/>
  <c r="I74" i="62"/>
  <c r="M74" i="62" s="1"/>
  <c r="O74" i="62" s="1"/>
  <c r="I63" i="62"/>
  <c r="M63" i="62" s="1"/>
  <c r="O63" i="62" s="1"/>
  <c r="I27" i="62"/>
  <c r="M27" i="62" s="1"/>
  <c r="O27" i="62" s="1"/>
  <c r="I112" i="62"/>
  <c r="M112" i="62" s="1"/>
  <c r="O112" i="62" s="1"/>
  <c r="I204" i="62"/>
  <c r="M204" i="62" s="1"/>
  <c r="O204" i="62" s="1"/>
  <c r="I105" i="62"/>
  <c r="M105" i="62" s="1"/>
  <c r="O105" i="62" s="1"/>
  <c r="I129" i="62"/>
  <c r="M129" i="62" s="1"/>
  <c r="O129" i="62" s="1"/>
  <c r="X129" i="63" s="1"/>
  <c r="I170" i="62"/>
  <c r="M170" i="62" s="1"/>
  <c r="O170" i="62" s="1"/>
  <c r="I149" i="62"/>
  <c r="M149" i="62" s="1"/>
  <c r="O149" i="62" s="1"/>
  <c r="Q149" i="62" s="1"/>
  <c r="I24" i="62"/>
  <c r="M24" i="62" s="1"/>
  <c r="O24" i="62" s="1"/>
  <c r="I117" i="62"/>
  <c r="M117" i="62" s="1"/>
  <c r="O117" i="62" s="1"/>
  <c r="I28" i="62"/>
  <c r="M28" i="62" s="1"/>
  <c r="O28" i="62" s="1"/>
  <c r="X28" i="63" s="1"/>
  <c r="I145" i="62"/>
  <c r="M145" i="62" s="1"/>
  <c r="O145" i="62" s="1"/>
  <c r="I33" i="62"/>
  <c r="M33" i="62" s="1"/>
  <c r="O33" i="62" s="1"/>
  <c r="X33" i="63" s="1"/>
  <c r="I91" i="62"/>
  <c r="M91" i="62" s="1"/>
  <c r="O91" i="62" s="1"/>
  <c r="I179" i="62"/>
  <c r="M179" i="62" s="1"/>
  <c r="O179" i="62" s="1"/>
  <c r="X179" i="63" s="1"/>
  <c r="I26" i="62"/>
  <c r="M26" i="62" s="1"/>
  <c r="O26" i="62" s="1"/>
  <c r="I94" i="62"/>
  <c r="M94" i="62" s="1"/>
  <c r="O94" i="62" s="1"/>
  <c r="I76" i="62"/>
  <c r="M76" i="62" s="1"/>
  <c r="O76" i="62" s="1"/>
  <c r="I206" i="62"/>
  <c r="M206" i="62" s="1"/>
  <c r="O206" i="62" s="1"/>
  <c r="I144" i="62"/>
  <c r="M144" i="62" s="1"/>
  <c r="O144" i="62" s="1"/>
  <c r="Q144" i="62" s="1"/>
  <c r="M208" i="62"/>
  <c r="O208" i="62" s="1"/>
  <c r="I59" i="62"/>
  <c r="M59" i="62" s="1"/>
  <c r="O59" i="62" s="1"/>
  <c r="U59" i="62" s="1"/>
  <c r="I197" i="62"/>
  <c r="M197" i="62" s="1"/>
  <c r="O197" i="62" s="1"/>
  <c r="I42" i="62"/>
  <c r="M42" i="62" s="1"/>
  <c r="O42" i="62" s="1"/>
  <c r="Q42" i="62" s="1"/>
  <c r="T42" i="62" s="1"/>
  <c r="I95" i="62"/>
  <c r="M95" i="62" s="1"/>
  <c r="O95" i="62" s="1"/>
  <c r="X95" i="63" s="1"/>
  <c r="I147" i="62"/>
  <c r="M147" i="62" s="1"/>
  <c r="O147" i="62" s="1"/>
  <c r="I174" i="62"/>
  <c r="M174" i="62" s="1"/>
  <c r="O174" i="62" s="1"/>
  <c r="U174" i="62" s="1"/>
  <c r="I142" i="62"/>
  <c r="M142" i="62" s="1"/>
  <c r="O142" i="62" s="1"/>
  <c r="U142" i="62" s="1"/>
  <c r="I96" i="62"/>
  <c r="M96" i="62" s="1"/>
  <c r="O96" i="62" s="1"/>
  <c r="I125" i="62"/>
  <c r="M125" i="62" s="1"/>
  <c r="O125" i="62" s="1"/>
  <c r="I202" i="62"/>
  <c r="M202" i="62" s="1"/>
  <c r="O202" i="62" s="1"/>
  <c r="I81" i="62"/>
  <c r="M81" i="62" s="1"/>
  <c r="O81" i="62" s="1"/>
  <c r="I15" i="62"/>
  <c r="M15" i="62" s="1"/>
  <c r="O15" i="62" s="1"/>
  <c r="U15" i="62" s="1"/>
  <c r="I121" i="69"/>
  <c r="M121" i="69" s="1"/>
  <c r="O121" i="69" s="1"/>
  <c r="I201" i="69"/>
  <c r="M201" i="69" s="1"/>
  <c r="O201" i="69" s="1"/>
  <c r="I38" i="69"/>
  <c r="M38" i="69" s="1"/>
  <c r="O38" i="69" s="1"/>
  <c r="I37" i="69"/>
  <c r="M37" i="69" s="1"/>
  <c r="O37" i="69" s="1"/>
  <c r="I198" i="69"/>
  <c r="M198" i="69" s="1"/>
  <c r="O198" i="69" s="1"/>
  <c r="I55" i="69"/>
  <c r="M55" i="69" s="1"/>
  <c r="O55" i="69" s="1"/>
  <c r="I164" i="69"/>
  <c r="M164" i="69" s="1"/>
  <c r="O164" i="69" s="1"/>
  <c r="I125" i="69"/>
  <c r="I168" i="69"/>
  <c r="M168" i="69" s="1"/>
  <c r="O168" i="69" s="1"/>
  <c r="I39" i="69"/>
  <c r="M39" i="69" s="1"/>
  <c r="O39" i="69" s="1"/>
  <c r="I118" i="69"/>
  <c r="M118" i="69" s="1"/>
  <c r="O118" i="69" s="1"/>
  <c r="I36" i="69"/>
  <c r="M36" i="69" s="1"/>
  <c r="O36" i="69" s="1"/>
  <c r="Q36" i="69" s="1"/>
  <c r="I86" i="69"/>
  <c r="M86" i="69" s="1"/>
  <c r="O86" i="69" s="1"/>
  <c r="S74" i="69"/>
  <c r="T74" i="69"/>
  <c r="Q108" i="67"/>
  <c r="U108" i="67"/>
  <c r="M102" i="58"/>
  <c r="BH11" i="57"/>
  <c r="Q179" i="67"/>
  <c r="K271" i="58"/>
  <c r="S125" i="64"/>
  <c r="AK25" i="57" s="1"/>
  <c r="J25" i="57" s="1"/>
  <c r="Q70" i="63"/>
  <c r="U70" i="63"/>
  <c r="U42" i="63"/>
  <c r="N118" i="58"/>
  <c r="U45" i="63"/>
  <c r="N121" i="58"/>
  <c r="N260" i="58"/>
  <c r="Q174" i="63"/>
  <c r="S58" i="63"/>
  <c r="T58" i="63"/>
  <c r="P58" i="63"/>
  <c r="S104" i="67"/>
  <c r="T104" i="67"/>
  <c r="T69" i="68"/>
  <c r="S69" i="68"/>
  <c r="P69" i="68"/>
  <c r="AI3" i="57"/>
  <c r="C2" i="14"/>
  <c r="BG48" i="57"/>
  <c r="BP48" i="57" s="1"/>
  <c r="P64" i="58"/>
  <c r="S81" i="68"/>
  <c r="P81" i="68"/>
  <c r="Q27" i="67"/>
  <c r="S27" i="67" s="1"/>
  <c r="P113" i="63"/>
  <c r="W104" i="57"/>
  <c r="W96" i="57"/>
  <c r="W109" i="57"/>
  <c r="W93" i="57"/>
  <c r="W92" i="57" s="1"/>
  <c r="I115" i="58"/>
  <c r="I100" i="58" s="1"/>
  <c r="I98" i="58" s="1"/>
  <c r="BG15" i="57"/>
  <c r="BP15" i="57" s="1"/>
  <c r="I197" i="58"/>
  <c r="J113" i="58"/>
  <c r="Q31" i="64"/>
  <c r="T31" i="64" s="1"/>
  <c r="L263" i="58"/>
  <c r="Q171" i="69"/>
  <c r="P171" i="69" s="1"/>
  <c r="L155" i="58"/>
  <c r="O77" i="69"/>
  <c r="U77" i="69" s="1"/>
  <c r="L289" i="58"/>
  <c r="Q197" i="69"/>
  <c r="L275" i="58"/>
  <c r="U183" i="69"/>
  <c r="I216" i="58"/>
  <c r="I245" i="58"/>
  <c r="M2" i="14"/>
  <c r="I236" i="58"/>
  <c r="U194" i="63"/>
  <c r="Y151" i="63"/>
  <c r="AB151" i="63" s="1"/>
  <c r="H9" i="58"/>
  <c r="I9" i="58"/>
  <c r="I158" i="58"/>
  <c r="I285" i="58"/>
  <c r="U16" i="61"/>
  <c r="U17" i="61"/>
  <c r="W17" i="61" s="1"/>
  <c r="V17" i="61" s="1"/>
  <c r="U20" i="61"/>
  <c r="U26" i="61"/>
  <c r="W26" i="61" s="1"/>
  <c r="V26" i="61" s="1"/>
  <c r="Q20" i="61"/>
  <c r="S20" i="61" s="1"/>
  <c r="Q16" i="61"/>
  <c r="S16" i="61" s="1"/>
  <c r="I76" i="66"/>
  <c r="M76" i="66" s="1"/>
  <c r="O76" i="66" s="1"/>
  <c r="I52" i="66"/>
  <c r="M52" i="66" s="1"/>
  <c r="O52" i="66" s="1"/>
  <c r="I149" i="66"/>
  <c r="M149" i="66" s="1"/>
  <c r="O149" i="66" s="1"/>
  <c r="Q74" i="66"/>
  <c r="P74" i="66" s="1"/>
  <c r="I67" i="66"/>
  <c r="M67" i="66" s="1"/>
  <c r="O67" i="66" s="1"/>
  <c r="I155" i="66"/>
  <c r="M155" i="66" s="1"/>
  <c r="O155" i="66" s="1"/>
  <c r="P247" i="58" s="1"/>
  <c r="I190" i="66"/>
  <c r="M190" i="66" s="1"/>
  <c r="O190" i="66" s="1"/>
  <c r="I189" i="66"/>
  <c r="M189" i="66" s="1"/>
  <c r="O189" i="66" s="1"/>
  <c r="I187" i="66"/>
  <c r="M187" i="66" s="1"/>
  <c r="O187" i="66" s="1"/>
  <c r="P279" i="58" s="1"/>
  <c r="I194" i="66"/>
  <c r="M194" i="66" s="1"/>
  <c r="O194" i="66" s="1"/>
  <c r="P286" i="58" s="1"/>
  <c r="I195" i="66"/>
  <c r="M195" i="66" s="1"/>
  <c r="O195" i="66" s="1"/>
  <c r="P287" i="58" s="1"/>
  <c r="I148" i="66"/>
  <c r="M148" i="66" s="1"/>
  <c r="O148" i="66" s="1"/>
  <c r="I152" i="66"/>
  <c r="M152" i="66" s="1"/>
  <c r="O152" i="66" s="1"/>
  <c r="I188" i="66"/>
  <c r="M188" i="66" s="1"/>
  <c r="O188" i="66" s="1"/>
  <c r="I147" i="66"/>
  <c r="M147" i="66" s="1"/>
  <c r="O147" i="66" s="1"/>
  <c r="I167" i="66"/>
  <c r="M167" i="66" s="1"/>
  <c r="O167" i="66" s="1"/>
  <c r="N162" i="58"/>
  <c r="N145" i="58"/>
  <c r="Q73" i="63"/>
  <c r="S73" i="63" s="1"/>
  <c r="U84" i="63"/>
  <c r="N154" i="58"/>
  <c r="O83" i="63"/>
  <c r="U83" i="63" s="1"/>
  <c r="Q84" i="63"/>
  <c r="S84" i="63" s="1"/>
  <c r="U22" i="63"/>
  <c r="P153" i="63"/>
  <c r="T153" i="63"/>
  <c r="S153" i="63"/>
  <c r="N239" i="58"/>
  <c r="U153" i="63"/>
  <c r="U30" i="63"/>
  <c r="N204" i="58"/>
  <c r="Q114" i="63"/>
  <c r="N244" i="58"/>
  <c r="Q158" i="63"/>
  <c r="Q183" i="63"/>
  <c r="N269" i="58"/>
  <c r="N120" i="58"/>
  <c r="Q44" i="63"/>
  <c r="P44" i="63" s="1"/>
  <c r="U44" i="63"/>
  <c r="S86" i="63"/>
  <c r="P86" i="63"/>
  <c r="T86" i="63"/>
  <c r="Q178" i="63"/>
  <c r="N264" i="58"/>
  <c r="Q170" i="63"/>
  <c r="U170" i="63"/>
  <c r="N256" i="58"/>
  <c r="Q128" i="63"/>
  <c r="U185" i="63"/>
  <c r="Q185" i="63"/>
  <c r="N271" i="58"/>
  <c r="N152" i="58"/>
  <c r="Q82" i="63"/>
  <c r="S82" i="63" s="1"/>
  <c r="Q111" i="63"/>
  <c r="T111" i="63" s="1"/>
  <c r="S196" i="63"/>
  <c r="P196" i="63"/>
  <c r="N275" i="58"/>
  <c r="U189" i="63"/>
  <c r="N246" i="58"/>
  <c r="Q160" i="63"/>
  <c r="S160" i="63" s="1"/>
  <c r="Q184" i="63"/>
  <c r="S184" i="63" s="1"/>
  <c r="S16" i="63"/>
  <c r="T16" i="63"/>
  <c r="P16" i="63"/>
  <c r="N238" i="58"/>
  <c r="Q152" i="63"/>
  <c r="S152" i="63" s="1"/>
  <c r="N156" i="58"/>
  <c r="Y178" i="63"/>
  <c r="AB178" i="63" s="1"/>
  <c r="P97" i="63"/>
  <c r="T97" i="63"/>
  <c r="Q163" i="63"/>
  <c r="Q161" i="63"/>
  <c r="Y153" i="63"/>
  <c r="AB153" i="63" s="1"/>
  <c r="O13" i="63"/>
  <c r="O12" i="63" s="1"/>
  <c r="O11" i="63" s="1"/>
  <c r="S195" i="63"/>
  <c r="P136" i="63"/>
  <c r="T54" i="63"/>
  <c r="T136" i="63"/>
  <c r="P195" i="63"/>
  <c r="N111" i="58"/>
  <c r="P151" i="63"/>
  <c r="Q194" i="63"/>
  <c r="S194" i="63" s="1"/>
  <c r="Y161" i="63"/>
  <c r="AB161" i="63" s="1"/>
  <c r="N80" i="58"/>
  <c r="N142" i="58"/>
  <c r="U203" i="63"/>
  <c r="Y154" i="63"/>
  <c r="AB154" i="63" s="1"/>
  <c r="U111" i="63"/>
  <c r="H145" i="58"/>
  <c r="Q73" i="62"/>
  <c r="P73" i="62" s="1"/>
  <c r="X73" i="63"/>
  <c r="Y73" i="63" s="1"/>
  <c r="AB73" i="63" s="1"/>
  <c r="Q109" i="62"/>
  <c r="P109" i="62" s="1"/>
  <c r="P110" i="62"/>
  <c r="S110" i="62"/>
  <c r="Q136" i="62"/>
  <c r="T136" i="62" s="1"/>
  <c r="P154" i="62"/>
  <c r="S200" i="62"/>
  <c r="H281" i="58"/>
  <c r="X87" i="63"/>
  <c r="Y87" i="63" s="1"/>
  <c r="AB87" i="63" s="1"/>
  <c r="Q87" i="62"/>
  <c r="H157" i="58"/>
  <c r="H154" i="58"/>
  <c r="X84" i="63"/>
  <c r="Y84" i="63" s="1"/>
  <c r="AB84" i="63" s="1"/>
  <c r="O83" i="62"/>
  <c r="X83" i="63" s="1"/>
  <c r="Y83" i="63" s="1"/>
  <c r="AB83" i="63" s="1"/>
  <c r="Q84" i="62"/>
  <c r="P84" i="62" s="1"/>
  <c r="H139" i="58"/>
  <c r="Q75" i="62"/>
  <c r="P75" i="62" s="1"/>
  <c r="H244" i="58"/>
  <c r="O150" i="62"/>
  <c r="Q158" i="62"/>
  <c r="S158" i="62" s="1"/>
  <c r="X158" i="63"/>
  <c r="Y158" i="63" s="1"/>
  <c r="AB158" i="63" s="1"/>
  <c r="P201" i="62"/>
  <c r="X82" i="63"/>
  <c r="Y82" i="63" s="1"/>
  <c r="AB82" i="63" s="1"/>
  <c r="Q82" i="62"/>
  <c r="P82" i="62" s="1"/>
  <c r="H238" i="58"/>
  <c r="X152" i="63"/>
  <c r="Y152" i="63" s="1"/>
  <c r="AB152" i="63" s="1"/>
  <c r="Q152" i="62"/>
  <c r="T152" i="62" s="1"/>
  <c r="S156" i="62"/>
  <c r="H242" i="58"/>
  <c r="X183" i="63"/>
  <c r="Y183" i="63" s="1"/>
  <c r="AB183" i="63" s="1"/>
  <c r="Q183" i="62"/>
  <c r="H286" i="58"/>
  <c r="X200" i="63"/>
  <c r="Y200" i="63" s="1"/>
  <c r="AB200" i="63" s="1"/>
  <c r="S177" i="62"/>
  <c r="S86" i="62"/>
  <c r="X131" i="63"/>
  <c r="Y131" i="63" s="1"/>
  <c r="AB131" i="63" s="1"/>
  <c r="Q131" i="62"/>
  <c r="P131" i="62" s="1"/>
  <c r="P156" i="62"/>
  <c r="T156" i="62"/>
  <c r="Q113" i="62"/>
  <c r="X113" i="63"/>
  <c r="Y113" i="63" s="1"/>
  <c r="AB113" i="63" s="1"/>
  <c r="X184" i="63"/>
  <c r="Y184" i="63"/>
  <c r="AB184" i="63" s="1"/>
  <c r="H270" i="58"/>
  <c r="Q184" i="62"/>
  <c r="H147" i="58"/>
  <c r="X75" i="63"/>
  <c r="Y75" i="63" s="1"/>
  <c r="AB75" i="63" s="1"/>
  <c r="Q80" i="62"/>
  <c r="P80" i="62" s="1"/>
  <c r="X80" i="63"/>
  <c r="Y80" i="63" s="1"/>
  <c r="AB80" i="63" s="1"/>
  <c r="H282" i="58"/>
  <c r="X196" i="63"/>
  <c r="Y196" i="63" s="1"/>
  <c r="AB196" i="63" s="1"/>
  <c r="Q196" i="62"/>
  <c r="P196" i="62" s="1"/>
  <c r="H165" i="58"/>
  <c r="P200" i="62"/>
  <c r="X180" i="63"/>
  <c r="Y180" i="63" s="1"/>
  <c r="AB180" i="63" s="1"/>
  <c r="Q180" i="62"/>
  <c r="T180" i="62" s="1"/>
  <c r="H266" i="58"/>
  <c r="H279" i="58"/>
  <c r="Q193" i="62"/>
  <c r="T193" i="62" s="1"/>
  <c r="X193" i="63"/>
  <c r="Y193" i="63" s="1"/>
  <c r="AB193" i="63" s="1"/>
  <c r="U79" i="62"/>
  <c r="H204" i="58"/>
  <c r="X114" i="63"/>
  <c r="Y114" i="63" s="1"/>
  <c r="AB114" i="63" s="1"/>
  <c r="Q114" i="62"/>
  <c r="P114" i="62" s="1"/>
  <c r="H289" i="58"/>
  <c r="X203" i="63"/>
  <c r="Y203" i="63" s="1"/>
  <c r="AB203" i="63" s="1"/>
  <c r="Q203" i="62"/>
  <c r="S203" i="62" s="1"/>
  <c r="H280" i="58"/>
  <c r="X194" i="63"/>
  <c r="Y194" i="63" s="1"/>
  <c r="AB194" i="63" s="1"/>
  <c r="X116" i="63"/>
  <c r="S194" i="62"/>
  <c r="S16" i="62"/>
  <c r="S58" i="62"/>
  <c r="P58" i="62"/>
  <c r="Q160" i="62"/>
  <c r="P160" i="62"/>
  <c r="X160" i="63"/>
  <c r="Y160" i="63" s="1"/>
  <c r="AB160" i="63" s="1"/>
  <c r="H259" i="58"/>
  <c r="X173" i="63"/>
  <c r="Y173" i="63" s="1"/>
  <c r="AB173" i="63" s="1"/>
  <c r="U173" i="62"/>
  <c r="Q173" i="62"/>
  <c r="P173" i="62" s="1"/>
  <c r="Q178" i="62"/>
  <c r="P178" i="62" s="1"/>
  <c r="H264" i="58"/>
  <c r="H227" i="58"/>
  <c r="Q141" i="62"/>
  <c r="S141" i="62" s="1"/>
  <c r="U141" i="62"/>
  <c r="P155" i="62"/>
  <c r="C3" i="3"/>
  <c r="C6" i="3" s="1"/>
  <c r="D39" i="4" s="1"/>
  <c r="J10" i="4" s="1"/>
  <c r="I21" i="69"/>
  <c r="M21" i="69" s="1"/>
  <c r="O21" i="69" s="1"/>
  <c r="I63" i="69"/>
  <c r="M63" i="69" s="1"/>
  <c r="O63" i="69" s="1"/>
  <c r="I173" i="69"/>
  <c r="M173" i="69" s="1"/>
  <c r="O173" i="69" s="1"/>
  <c r="U36" i="69"/>
  <c r="I42" i="69"/>
  <c r="M42" i="69" s="1"/>
  <c r="O42" i="69" s="1"/>
  <c r="I24" i="69"/>
  <c r="M24" i="69" s="1"/>
  <c r="O24" i="69" s="1"/>
  <c r="AK6" i="5"/>
  <c r="AK3" i="5" s="1"/>
  <c r="U123" i="65"/>
  <c r="U102" i="65"/>
  <c r="C24" i="5"/>
  <c r="G3" i="3" s="1"/>
  <c r="G6" i="3" s="1"/>
  <c r="H39" i="4" s="1"/>
  <c r="Q105" i="66"/>
  <c r="I16" i="66"/>
  <c r="M16" i="66" s="1"/>
  <c r="O16" i="66" s="1"/>
  <c r="I15" i="66"/>
  <c r="M15" i="66" s="1"/>
  <c r="O15" i="66" s="1"/>
  <c r="I118" i="66"/>
  <c r="M118" i="66" s="1"/>
  <c r="O118" i="66" s="1"/>
  <c r="I113" i="66"/>
  <c r="M113" i="66" s="1"/>
  <c r="O113" i="66" s="1"/>
  <c r="I65" i="66"/>
  <c r="M65" i="66" s="1"/>
  <c r="O65" i="66" s="1"/>
  <c r="P143" i="58" s="1"/>
  <c r="I60" i="66"/>
  <c r="M60" i="66" s="1"/>
  <c r="O60" i="66" s="1"/>
  <c r="I135" i="66"/>
  <c r="M135" i="66" s="1"/>
  <c r="O135" i="66" s="1"/>
  <c r="I90" i="66"/>
  <c r="M90" i="66" s="1"/>
  <c r="O90" i="66" s="1"/>
  <c r="P164" i="58" s="1"/>
  <c r="I66" i="66"/>
  <c r="M66" i="66" s="1"/>
  <c r="O66" i="66" s="1"/>
  <c r="I35" i="66"/>
  <c r="M35" i="66" s="1"/>
  <c r="O35" i="66" s="1"/>
  <c r="I121" i="66"/>
  <c r="M121" i="66" s="1"/>
  <c r="O121" i="66" s="1"/>
  <c r="I202" i="66"/>
  <c r="M202" i="66" s="1"/>
  <c r="O202" i="66" s="1"/>
  <c r="I200" i="66"/>
  <c r="M200" i="66" s="1"/>
  <c r="O200" i="66" s="1"/>
  <c r="I133" i="66"/>
  <c r="M133" i="66" s="1"/>
  <c r="O133" i="66" s="1"/>
  <c r="Q133" i="66" s="1"/>
  <c r="I48" i="66"/>
  <c r="M48" i="66" s="1"/>
  <c r="O48" i="66" s="1"/>
  <c r="I29" i="66"/>
  <c r="M29" i="66" s="1"/>
  <c r="O29" i="66" s="1"/>
  <c r="I122" i="66"/>
  <c r="M122" i="66" s="1"/>
  <c r="O122" i="66" s="1"/>
  <c r="I75" i="66"/>
  <c r="M75" i="66" s="1"/>
  <c r="O75" i="66" s="1"/>
  <c r="I68" i="66"/>
  <c r="M68" i="66" s="1"/>
  <c r="O68" i="66" s="1"/>
  <c r="I141" i="66"/>
  <c r="M141" i="66" s="1"/>
  <c r="O141" i="66" s="1"/>
  <c r="I106" i="66"/>
  <c r="M106" i="66" s="1"/>
  <c r="O106" i="66" s="1"/>
  <c r="U106" i="66" s="1"/>
  <c r="I85" i="66"/>
  <c r="M85" i="66" s="1"/>
  <c r="O85" i="66" s="1"/>
  <c r="I40" i="66"/>
  <c r="M40" i="66" s="1"/>
  <c r="O40" i="66" s="1"/>
  <c r="P122" i="58" s="1"/>
  <c r="I131" i="66"/>
  <c r="M131" i="66" s="1"/>
  <c r="O131" i="66" s="1"/>
  <c r="Q131" i="66" s="1"/>
  <c r="I165" i="66"/>
  <c r="M165" i="66" s="1"/>
  <c r="O165" i="66" s="1"/>
  <c r="I43" i="66"/>
  <c r="M43" i="66" s="1"/>
  <c r="O43" i="66" s="1"/>
  <c r="I59" i="66"/>
  <c r="M59" i="66" s="1"/>
  <c r="O59" i="66" s="1"/>
  <c r="I36" i="66"/>
  <c r="M36" i="66" s="1"/>
  <c r="O36" i="66" s="1"/>
  <c r="I125" i="66"/>
  <c r="I83" i="66"/>
  <c r="M83" i="66" s="1"/>
  <c r="O83" i="66" s="1"/>
  <c r="I20" i="66"/>
  <c r="M20" i="66" s="1"/>
  <c r="O20" i="66" s="1"/>
  <c r="I114" i="66"/>
  <c r="M114" i="66" s="1"/>
  <c r="O114" i="66" s="1"/>
  <c r="I143" i="66"/>
  <c r="M143" i="66" s="1"/>
  <c r="O143" i="66" s="1"/>
  <c r="Q143" i="66" s="1"/>
  <c r="I191" i="66"/>
  <c r="M191" i="66" s="1"/>
  <c r="O191" i="66" s="1"/>
  <c r="I158" i="66"/>
  <c r="M158" i="66" s="1"/>
  <c r="O158" i="66" s="1"/>
  <c r="I24" i="66"/>
  <c r="M24" i="66" s="1"/>
  <c r="O24" i="66" s="1"/>
  <c r="I86" i="66"/>
  <c r="M86" i="66" s="1"/>
  <c r="O86" i="66" s="1"/>
  <c r="M41" i="66"/>
  <c r="O41" i="66" s="1"/>
  <c r="Q41" i="66" s="1"/>
  <c r="I201" i="66"/>
  <c r="M201" i="66" s="1"/>
  <c r="O201" i="66" s="1"/>
  <c r="I92" i="66"/>
  <c r="M92" i="66" s="1"/>
  <c r="O92" i="66" s="1"/>
  <c r="I87" i="66"/>
  <c r="M87" i="66" s="1"/>
  <c r="O87" i="66" s="1"/>
  <c r="I37" i="66"/>
  <c r="M37" i="66" s="1"/>
  <c r="O37" i="66" s="1"/>
  <c r="I123" i="66"/>
  <c r="M123" i="66" s="1"/>
  <c r="O123" i="66" s="1"/>
  <c r="I93" i="66"/>
  <c r="M93" i="66" s="1"/>
  <c r="O93" i="66" s="1"/>
  <c r="Q93" i="66" s="1"/>
  <c r="I51" i="66"/>
  <c r="M51" i="66" s="1"/>
  <c r="O51" i="66" s="1"/>
  <c r="I196" i="66"/>
  <c r="M196" i="66" s="1"/>
  <c r="O196" i="66" s="1"/>
  <c r="I140" i="66"/>
  <c r="M140" i="66" s="1"/>
  <c r="O140" i="66" s="1"/>
  <c r="I168" i="66"/>
  <c r="M168" i="66" s="1"/>
  <c r="O168" i="66" s="1"/>
  <c r="I54" i="66"/>
  <c r="M54" i="66" s="1"/>
  <c r="O54" i="66" s="1"/>
  <c r="I124" i="66"/>
  <c r="I94" i="66"/>
  <c r="M94" i="66" s="1"/>
  <c r="O94" i="66" s="1"/>
  <c r="P168" i="58" s="1"/>
  <c r="I62" i="66"/>
  <c r="M62" i="66" s="1"/>
  <c r="O62" i="66" s="1"/>
  <c r="I22" i="66"/>
  <c r="M22" i="66" s="1"/>
  <c r="O22" i="66" s="1"/>
  <c r="I108" i="66"/>
  <c r="M108" i="66" s="1"/>
  <c r="O108" i="66" s="1"/>
  <c r="I96" i="66"/>
  <c r="M96" i="66" s="1"/>
  <c r="O96" i="66" s="1"/>
  <c r="I42" i="66"/>
  <c r="M42" i="66" s="1"/>
  <c r="O42" i="66" s="1"/>
  <c r="I157" i="66"/>
  <c r="M157" i="66" s="1"/>
  <c r="O157" i="66" s="1"/>
  <c r="I109" i="66"/>
  <c r="M109" i="66" s="1"/>
  <c r="O109" i="66" s="1"/>
  <c r="I61" i="66"/>
  <c r="M61" i="66" s="1"/>
  <c r="O61" i="66" s="1"/>
  <c r="I169" i="66"/>
  <c r="M169" i="66" s="1"/>
  <c r="O169" i="66" s="1"/>
  <c r="I192" i="66"/>
  <c r="M192" i="66" s="1"/>
  <c r="O192" i="66" s="1"/>
  <c r="I107" i="66"/>
  <c r="M107" i="66" s="1"/>
  <c r="O107" i="66" s="1"/>
  <c r="I64" i="66"/>
  <c r="M64" i="66"/>
  <c r="O64" i="66" s="1"/>
  <c r="P142" i="58" s="1"/>
  <c r="I102" i="66"/>
  <c r="M102" i="66" s="1"/>
  <c r="O102" i="66" s="1"/>
  <c r="P198" i="58" s="1"/>
  <c r="I70" i="66"/>
  <c r="M70" i="66" s="1"/>
  <c r="O70" i="66" s="1"/>
  <c r="I39" i="66"/>
  <c r="M39" i="66" s="1"/>
  <c r="O39" i="66" s="1"/>
  <c r="I116" i="66"/>
  <c r="M116" i="66" s="1"/>
  <c r="O116" i="66" s="1"/>
  <c r="I103" i="66"/>
  <c r="M103" i="66" s="1"/>
  <c r="O103" i="66" s="1"/>
  <c r="I53" i="66"/>
  <c r="M53" i="66" s="1"/>
  <c r="O53" i="66" s="1"/>
  <c r="Q53" i="66" s="1"/>
  <c r="I182" i="66"/>
  <c r="M182" i="66" s="1"/>
  <c r="O182" i="66" s="1"/>
  <c r="I136" i="66"/>
  <c r="M136" i="66" s="1"/>
  <c r="O136" i="66" s="1"/>
  <c r="I88" i="66"/>
  <c r="M88" i="66" s="1"/>
  <c r="O88" i="66" s="1"/>
  <c r="I180" i="66"/>
  <c r="M180" i="66" s="1"/>
  <c r="O180" i="66" s="1"/>
  <c r="I173" i="66"/>
  <c r="M173" i="66" s="1"/>
  <c r="O173" i="66" s="1"/>
  <c r="I198" i="66"/>
  <c r="M198" i="66" s="1"/>
  <c r="O198" i="66" s="1"/>
  <c r="I115" i="66"/>
  <c r="M115" i="66" s="1"/>
  <c r="O115" i="66" s="1"/>
  <c r="U115" i="66" s="1"/>
  <c r="I110" i="66"/>
  <c r="M110" i="66" s="1"/>
  <c r="O110" i="66" s="1"/>
  <c r="I89" i="66"/>
  <c r="M89" i="66" s="1"/>
  <c r="O89" i="66" s="1"/>
  <c r="I44" i="66"/>
  <c r="M44" i="66" s="1"/>
  <c r="O44" i="66" s="1"/>
  <c r="I34" i="66"/>
  <c r="M34" i="66" s="1"/>
  <c r="O34" i="66" s="1"/>
  <c r="Q34" i="66" s="1"/>
  <c r="I111" i="66"/>
  <c r="M111" i="66" s="1"/>
  <c r="O111" i="66" s="1"/>
  <c r="I63" i="66"/>
  <c r="M63" i="66" s="1"/>
  <c r="O63" i="66" s="1"/>
  <c r="I47" i="66"/>
  <c r="M47" i="66" s="1"/>
  <c r="O47" i="66" s="1"/>
  <c r="I17" i="66"/>
  <c r="M17" i="66" s="1"/>
  <c r="O17" i="66" s="1"/>
  <c r="I104" i="66"/>
  <c r="M104" i="66" s="1"/>
  <c r="O104" i="66" s="1"/>
  <c r="I199" i="66"/>
  <c r="M199" i="66" s="1"/>
  <c r="O199" i="66" s="1"/>
  <c r="I136" i="64"/>
  <c r="M136" i="64" s="1"/>
  <c r="O136" i="64" s="1"/>
  <c r="U80" i="64"/>
  <c r="BA6" i="57"/>
  <c r="BJ6" i="57" s="1"/>
  <c r="BL6" i="57" s="1"/>
  <c r="U31" i="64"/>
  <c r="I22" i="64"/>
  <c r="M22" i="64" s="1"/>
  <c r="O22" i="64" s="1"/>
  <c r="I164" i="64"/>
  <c r="M164" i="64" s="1"/>
  <c r="O164" i="64" s="1"/>
  <c r="Q164" i="64" s="1"/>
  <c r="P164" i="64" s="1"/>
  <c r="U81" i="64"/>
  <c r="U125" i="64"/>
  <c r="AG71" i="5"/>
  <c r="BG24" i="57"/>
  <c r="BP24" i="57" s="1"/>
  <c r="I149" i="58"/>
  <c r="P29" i="54"/>
  <c r="BD25" i="57"/>
  <c r="P14" i="54"/>
  <c r="P61" i="54"/>
  <c r="BD27" i="57"/>
  <c r="P54" i="54"/>
  <c r="P35" i="54"/>
  <c r="BG25" i="57"/>
  <c r="BG27" i="57"/>
  <c r="I255" i="58"/>
  <c r="E12" i="9"/>
  <c r="E13" i="9"/>
  <c r="AJ68" i="5"/>
  <c r="P6" i="54"/>
  <c r="N6" i="54"/>
  <c r="P28" i="54"/>
  <c r="N31" i="54"/>
  <c r="P31" i="54"/>
  <c r="P13" i="54"/>
  <c r="N13" i="54"/>
  <c r="P65" i="54"/>
  <c r="N65" i="54"/>
  <c r="N75" i="54"/>
  <c r="P75" i="54"/>
  <c r="P135" i="33"/>
  <c r="Q135" i="33"/>
  <c r="P123" i="37"/>
  <c r="P46" i="37"/>
  <c r="Q46" i="37"/>
  <c r="P75" i="37"/>
  <c r="Q75" i="37"/>
  <c r="Q23" i="25"/>
  <c r="O22" i="25"/>
  <c r="P22" i="25" s="1"/>
  <c r="P49" i="37"/>
  <c r="Q49" i="37"/>
  <c r="P15" i="36"/>
  <c r="Q15" i="36"/>
  <c r="P73" i="47"/>
  <c r="Q73" i="47"/>
  <c r="N54" i="51"/>
  <c r="O54" i="51" s="1"/>
  <c r="P54" i="51" s="1"/>
  <c r="M47" i="51"/>
  <c r="N23" i="51"/>
  <c r="M22" i="51"/>
  <c r="N16" i="51"/>
  <c r="N121" i="49"/>
  <c r="O121" i="49" s="1"/>
  <c r="P121" i="49" s="1"/>
  <c r="M150" i="49"/>
  <c r="M149" i="49" s="1"/>
  <c r="AZ28" i="43" s="1"/>
  <c r="N152" i="49"/>
  <c r="N150" i="49" s="1"/>
  <c r="N149" i="49" s="1"/>
  <c r="BA28" i="43" s="1"/>
  <c r="N132" i="49"/>
  <c r="N130" i="49" s="1"/>
  <c r="M130" i="49"/>
  <c r="N123" i="49"/>
  <c r="O123" i="49" s="1"/>
  <c r="P123" i="49" s="1"/>
  <c r="N15" i="49"/>
  <c r="O15" i="49" s="1"/>
  <c r="P15" i="49" s="1"/>
  <c r="M13" i="49"/>
  <c r="M70" i="49"/>
  <c r="N77" i="49"/>
  <c r="P138" i="47"/>
  <c r="Q138" i="47"/>
  <c r="N81" i="39"/>
  <c r="O81" i="39" s="1"/>
  <c r="P81" i="39" s="1"/>
  <c r="N42" i="39"/>
  <c r="N41" i="39" s="1"/>
  <c r="M41" i="39"/>
  <c r="N78" i="40"/>
  <c r="O78" i="40" s="1"/>
  <c r="P78" i="40" s="1"/>
  <c r="N127" i="40"/>
  <c r="O127" i="40" s="1"/>
  <c r="P127" i="40" s="1"/>
  <c r="M38" i="40"/>
  <c r="N97" i="39"/>
  <c r="N143" i="39"/>
  <c r="M141" i="39"/>
  <c r="P96" i="25"/>
  <c r="Q96" i="25"/>
  <c r="P54" i="46"/>
  <c r="Q54" i="46"/>
  <c r="O29" i="33"/>
  <c r="O78" i="35"/>
  <c r="O143" i="33"/>
  <c r="O21" i="35"/>
  <c r="N8" i="50"/>
  <c r="O124" i="35"/>
  <c r="P125" i="35"/>
  <c r="P17" i="35"/>
  <c r="Q17" i="35"/>
  <c r="P133" i="35"/>
  <c r="Q133" i="35"/>
  <c r="N105" i="54"/>
  <c r="P105" i="54"/>
  <c r="P43" i="46"/>
  <c r="Q43" i="46"/>
  <c r="O68" i="47"/>
  <c r="N66" i="47"/>
  <c r="P121" i="33"/>
  <c r="Q121" i="33"/>
  <c r="P24" i="25"/>
  <c r="Q24" i="25"/>
  <c r="P154" i="48"/>
  <c r="Q154" i="48"/>
  <c r="P108" i="33"/>
  <c r="Q108" i="33"/>
  <c r="P23" i="46"/>
  <c r="Q23" i="46"/>
  <c r="O120" i="37"/>
  <c r="P98" i="34"/>
  <c r="N26" i="35"/>
  <c r="N22" i="35" s="1"/>
  <c r="M22" i="35"/>
  <c r="P74" i="39"/>
  <c r="P78" i="25"/>
  <c r="Q67" i="37"/>
  <c r="P65" i="33"/>
  <c r="Q65" i="33"/>
  <c r="Q103" i="46"/>
  <c r="P103" i="46"/>
  <c r="P80" i="46"/>
  <c r="Q80" i="46"/>
  <c r="P34" i="46"/>
  <c r="Q34" i="46"/>
  <c r="P79" i="37"/>
  <c r="Q79" i="37"/>
  <c r="P77" i="36"/>
  <c r="Q77" i="36"/>
  <c r="Q120" i="35"/>
  <c r="P139" i="33"/>
  <c r="Q139" i="33"/>
  <c r="P34" i="48"/>
  <c r="Q34" i="48"/>
  <c r="P24" i="47"/>
  <c r="Q24" i="47"/>
  <c r="N94" i="47"/>
  <c r="O98" i="47"/>
  <c r="O51" i="35"/>
  <c r="Y41" i="43"/>
  <c r="Y42" i="43"/>
  <c r="Y20" i="43"/>
  <c r="Y13" i="43"/>
  <c r="Y18" i="43"/>
  <c r="Y30" i="43"/>
  <c r="Y39" i="43"/>
  <c r="Y10" i="43"/>
  <c r="Y25" i="43"/>
  <c r="Y14" i="43"/>
  <c r="Y28" i="43"/>
  <c r="Y34" i="43"/>
  <c r="Y15" i="43"/>
  <c r="Y12" i="43"/>
  <c r="P120" i="35"/>
  <c r="O137" i="37"/>
  <c r="O102" i="47"/>
  <c r="Q103" i="47"/>
  <c r="P18" i="35"/>
  <c r="Q18" i="35"/>
  <c r="P80" i="36"/>
  <c r="Q80" i="36"/>
  <c r="AN17" i="43"/>
  <c r="AK17" i="43"/>
  <c r="AT17" i="43"/>
  <c r="AZ17" i="43"/>
  <c r="O40" i="47"/>
  <c r="P35" i="35"/>
  <c r="Q35" i="35"/>
  <c r="Q133" i="33"/>
  <c r="P79" i="36"/>
  <c r="Q79" i="36"/>
  <c r="P81" i="46"/>
  <c r="Q81" i="46"/>
  <c r="P49" i="33"/>
  <c r="Q49" i="33"/>
  <c r="P29" i="25"/>
  <c r="Q29" i="25"/>
  <c r="O44" i="47"/>
  <c r="P44" i="47" s="1"/>
  <c r="P45" i="47"/>
  <c r="N75" i="46"/>
  <c r="O75" i="46" s="1"/>
  <c r="P156" i="33"/>
  <c r="Q156" i="33"/>
  <c r="P139" i="48"/>
  <c r="P144" i="48"/>
  <c r="Q144" i="48"/>
  <c r="N169" i="32"/>
  <c r="O169" i="32" s="1"/>
  <c r="N102" i="47"/>
  <c r="N22" i="25"/>
  <c r="O15" i="47"/>
  <c r="P151" i="35"/>
  <c r="Q151" i="35"/>
  <c r="N40" i="50"/>
  <c r="O101" i="34"/>
  <c r="O133" i="24"/>
  <c r="N43" i="37"/>
  <c r="N41" i="37" s="1"/>
  <c r="M41" i="37"/>
  <c r="N13" i="50"/>
  <c r="O14" i="50"/>
  <c r="Q130" i="32"/>
  <c r="M128" i="32"/>
  <c r="O73" i="34"/>
  <c r="O104" i="33"/>
  <c r="P135" i="51"/>
  <c r="P127" i="25"/>
  <c r="Q127" i="25"/>
  <c r="N173" i="32"/>
  <c r="M170" i="32"/>
  <c r="Q170" i="32" s="1"/>
  <c r="Q173" i="32"/>
  <c r="Q109" i="35"/>
  <c r="Q34" i="47"/>
  <c r="O45" i="50"/>
  <c r="O112" i="27"/>
  <c r="N156" i="47"/>
  <c r="N155" i="46"/>
  <c r="O107" i="48"/>
  <c r="O30" i="48"/>
  <c r="O97" i="51"/>
  <c r="O112" i="40"/>
  <c r="O31" i="25"/>
  <c r="O132" i="34"/>
  <c r="O30" i="39"/>
  <c r="N13" i="34"/>
  <c r="O14" i="34"/>
  <c r="O26" i="48"/>
  <c r="O68" i="33"/>
  <c r="O50" i="38"/>
  <c r="O18" i="37"/>
  <c r="O92" i="33"/>
  <c r="N91" i="33"/>
  <c r="I179" i="32"/>
  <c r="M179" i="32" s="1"/>
  <c r="I168" i="32"/>
  <c r="M168" i="32" s="1"/>
  <c r="O162" i="49"/>
  <c r="M161" i="49"/>
  <c r="AZ29" i="43" s="1"/>
  <c r="BI29" i="43" s="1"/>
  <c r="Q58" i="45"/>
  <c r="N58" i="45"/>
  <c r="O58" i="45" s="1"/>
  <c r="P58" i="45" s="1"/>
  <c r="O72" i="40"/>
  <c r="N79" i="39"/>
  <c r="O79" i="39"/>
  <c r="P79" i="39" s="1"/>
  <c r="P157" i="45"/>
  <c r="M66" i="51"/>
  <c r="M94" i="40"/>
  <c r="N95" i="40"/>
  <c r="N76" i="39"/>
  <c r="O76" i="39" s="1"/>
  <c r="P76" i="39" s="1"/>
  <c r="P171" i="45"/>
  <c r="P217" i="45"/>
  <c r="M124" i="49"/>
  <c r="N125" i="49"/>
  <c r="M47" i="40"/>
  <c r="N48" i="40"/>
  <c r="O18" i="39"/>
  <c r="P18" i="39" s="1"/>
  <c r="N68" i="40"/>
  <c r="O68" i="40"/>
  <c r="P68" i="40" s="1"/>
  <c r="N14" i="39"/>
  <c r="N13" i="39" s="1"/>
  <c r="M13" i="39"/>
  <c r="M119" i="49"/>
  <c r="M117" i="49" s="1"/>
  <c r="N120" i="49"/>
  <c r="P126" i="46"/>
  <c r="Q126" i="46"/>
  <c r="Q57" i="45"/>
  <c r="N57" i="45"/>
  <c r="Q28" i="45"/>
  <c r="N28" i="45"/>
  <c r="O28" i="45" s="1"/>
  <c r="P28" i="45" s="1"/>
  <c r="N20" i="39"/>
  <c r="N108" i="49"/>
  <c r="O108" i="49" s="1"/>
  <c r="P108" i="49" s="1"/>
  <c r="N51" i="51"/>
  <c r="N42" i="40"/>
  <c r="M124" i="39"/>
  <c r="N128" i="39"/>
  <c r="N124" i="39" s="1"/>
  <c r="M111" i="49"/>
  <c r="N112" i="49"/>
  <c r="P128" i="47"/>
  <c r="Q128" i="47"/>
  <c r="N77" i="39"/>
  <c r="O77" i="39" s="1"/>
  <c r="P77" i="39" s="1"/>
  <c r="N55" i="23"/>
  <c r="O55" i="23" s="1"/>
  <c r="P55" i="23" s="1"/>
  <c r="N43" i="24"/>
  <c r="O43" i="24" s="1"/>
  <c r="N32" i="25"/>
  <c r="O32" i="25" s="1"/>
  <c r="P32" i="25" s="1"/>
  <c r="N115" i="23"/>
  <c r="O115" i="23" s="1"/>
  <c r="P115" i="23" s="1"/>
  <c r="O61" i="39"/>
  <c r="O71" i="5"/>
  <c r="O8" i="5"/>
  <c r="C72" i="5"/>
  <c r="D3" i="3"/>
  <c r="D6" i="3" s="1"/>
  <c r="P74" i="5"/>
  <c r="P8" i="5"/>
  <c r="BH77" i="5"/>
  <c r="BH8" i="5"/>
  <c r="BM8" i="5"/>
  <c r="S89" i="5"/>
  <c r="S8" i="5"/>
  <c r="C32" i="5"/>
  <c r="C89" i="5" s="1"/>
  <c r="I37" i="3" s="1"/>
  <c r="I40" i="3" s="1"/>
  <c r="J41" i="4" s="1"/>
  <c r="J40" i="4" s="1"/>
  <c r="J49" i="4" s="1"/>
  <c r="AT90" i="5"/>
  <c r="AT34" i="5"/>
  <c r="AT91" i="5" s="1"/>
  <c r="BO3" i="5"/>
  <c r="BO34" i="5"/>
  <c r="BO91" i="5" s="1"/>
  <c r="BO90" i="5"/>
  <c r="E58" i="10"/>
  <c r="C59" i="10"/>
  <c r="T59" i="10"/>
  <c r="N113" i="34"/>
  <c r="N60" i="49"/>
  <c r="N153" i="25"/>
  <c r="O153" i="25" s="1"/>
  <c r="P153" i="25" s="1"/>
  <c r="N140" i="34"/>
  <c r="O140" i="34" s="1"/>
  <c r="P140" i="34" s="1"/>
  <c r="E14" i="3"/>
  <c r="F14" i="3"/>
  <c r="G4" i="5"/>
  <c r="G61" i="5" s="1"/>
  <c r="J6" i="3"/>
  <c r="K5" i="3"/>
  <c r="O153" i="23"/>
  <c r="N50" i="36"/>
  <c r="O50" i="36" s="1"/>
  <c r="L63" i="5"/>
  <c r="L7" i="5"/>
  <c r="L64" i="5" s="1"/>
  <c r="L3" i="5"/>
  <c r="N154" i="23"/>
  <c r="O154" i="23" s="1"/>
  <c r="P154" i="23" s="1"/>
  <c r="N92" i="25"/>
  <c r="N91" i="25" s="1"/>
  <c r="N90" i="25" s="1"/>
  <c r="N89" i="25" s="1"/>
  <c r="N88" i="25" s="1"/>
  <c r="N152" i="27"/>
  <c r="BH60" i="5"/>
  <c r="BH4" i="5"/>
  <c r="BH61" i="5" s="1"/>
  <c r="O14" i="25"/>
  <c r="N163" i="24"/>
  <c r="O163" i="24" s="1"/>
  <c r="P163" i="24" s="1"/>
  <c r="M70" i="23"/>
  <c r="M69" i="23" s="1"/>
  <c r="N71" i="23"/>
  <c r="N70" i="23" s="1"/>
  <c r="N69" i="23" s="1"/>
  <c r="N24" i="20"/>
  <c r="G55" i="10"/>
  <c r="N50" i="39"/>
  <c r="O50" i="39" s="1"/>
  <c r="N155" i="25"/>
  <c r="O155" i="25" s="1"/>
  <c r="N114" i="24"/>
  <c r="O114" i="24" s="1"/>
  <c r="O93" i="36"/>
  <c r="N155" i="34"/>
  <c r="N21" i="20"/>
  <c r="N105" i="37"/>
  <c r="BE34" i="5"/>
  <c r="BE91" i="5" s="1"/>
  <c r="O58" i="36"/>
  <c r="O138" i="36"/>
  <c r="Q30" i="7"/>
  <c r="BH63" i="5"/>
  <c r="BH7" i="5"/>
  <c r="BH64" i="5" s="1"/>
  <c r="C90" i="5"/>
  <c r="B4" i="3"/>
  <c r="N220" i="32"/>
  <c r="T3" i="5"/>
  <c r="O127" i="39"/>
  <c r="O132" i="27"/>
  <c r="N50" i="20"/>
  <c r="N135" i="20"/>
  <c r="M154" i="24"/>
  <c r="N136" i="32"/>
  <c r="Q136" i="32"/>
  <c r="M96" i="20"/>
  <c r="N60" i="33"/>
  <c r="O187" i="32"/>
  <c r="BI3" i="5"/>
  <c r="N141" i="32"/>
  <c r="O141" i="32" s="1"/>
  <c r="N110" i="34"/>
  <c r="O110" i="34" s="1"/>
  <c r="P110" i="34" s="1"/>
  <c r="O134" i="32"/>
  <c r="O145" i="23"/>
  <c r="P145" i="23" s="1"/>
  <c r="O129" i="32"/>
  <c r="I107" i="33"/>
  <c r="N43" i="50"/>
  <c r="N41" i="50" s="1"/>
  <c r="Q84" i="20"/>
  <c r="Q83" i="37"/>
  <c r="Q134" i="32"/>
  <c r="O62" i="25"/>
  <c r="I68" i="37"/>
  <c r="Q135" i="32"/>
  <c r="O195" i="32"/>
  <c r="Q213" i="32"/>
  <c r="O148" i="34"/>
  <c r="P148" i="34" s="1"/>
  <c r="N137" i="47"/>
  <c r="N138" i="51"/>
  <c r="O138" i="51" s="1"/>
  <c r="P138" i="51" s="1"/>
  <c r="I77" i="37"/>
  <c r="M60" i="37"/>
  <c r="A24" i="28"/>
  <c r="N126" i="40"/>
  <c r="O126" i="40" s="1"/>
  <c r="N115" i="51"/>
  <c r="O146" i="27"/>
  <c r="P146" i="27" s="1"/>
  <c r="O62" i="35"/>
  <c r="I76" i="36"/>
  <c r="N105" i="49"/>
  <c r="I118" i="24"/>
  <c r="O110" i="25"/>
  <c r="M128" i="40"/>
  <c r="M124" i="40" s="1"/>
  <c r="I52" i="36"/>
  <c r="I67" i="40"/>
  <c r="M67" i="40" s="1"/>
  <c r="I80" i="40"/>
  <c r="M80" i="40" s="1"/>
  <c r="I79" i="46"/>
  <c r="M60" i="46"/>
  <c r="O110" i="47"/>
  <c r="O126" i="47"/>
  <c r="O132" i="47"/>
  <c r="O146" i="51"/>
  <c r="P146" i="51" s="1"/>
  <c r="I125" i="51"/>
  <c r="M125" i="51" s="1"/>
  <c r="N125" i="51" s="1"/>
  <c r="AP7" i="43"/>
  <c r="O113" i="51"/>
  <c r="O147" i="51"/>
  <c r="P147" i="51"/>
  <c r="O62" i="49"/>
  <c r="O160" i="49"/>
  <c r="P160" i="49" s="1"/>
  <c r="S154" i="69"/>
  <c r="T154" i="69"/>
  <c r="P154" i="69"/>
  <c r="T105" i="69"/>
  <c r="P105" i="69"/>
  <c r="S80" i="69"/>
  <c r="P80" i="69"/>
  <c r="T80" i="69"/>
  <c r="K201" i="58"/>
  <c r="U105" i="67"/>
  <c r="BD22" i="57"/>
  <c r="BH22" i="57"/>
  <c r="BE21" i="57"/>
  <c r="BG45" i="57"/>
  <c r="BH44" i="57"/>
  <c r="BG46" i="57"/>
  <c r="BP46" i="57" s="1"/>
  <c r="BI44" i="57"/>
  <c r="S145" i="69"/>
  <c r="P145" i="69"/>
  <c r="T145" i="69"/>
  <c r="U195" i="62"/>
  <c r="U155" i="62"/>
  <c r="U193" i="62"/>
  <c r="U113" i="62"/>
  <c r="U194" i="62"/>
  <c r="U87" i="62"/>
  <c r="U110" i="62"/>
  <c r="U201" i="62"/>
  <c r="T85" i="62"/>
  <c r="U130" i="62"/>
  <c r="U178" i="62"/>
  <c r="U196" i="62"/>
  <c r="T194" i="62"/>
  <c r="T114" i="62"/>
  <c r="T155" i="62"/>
  <c r="U82" i="62"/>
  <c r="T200" i="62"/>
  <c r="U158" i="62"/>
  <c r="U131" i="62"/>
  <c r="T154" i="62"/>
  <c r="T58" i="62"/>
  <c r="U184" i="62"/>
  <c r="T16" i="62"/>
  <c r="U189" i="62"/>
  <c r="U111" i="62"/>
  <c r="T201" i="62"/>
  <c r="U84" i="62"/>
  <c r="U156" i="62"/>
  <c r="L39" i="57"/>
  <c r="L10" i="57"/>
  <c r="L9" i="57"/>
  <c r="L35" i="57"/>
  <c r="D10" i="14" s="1"/>
  <c r="L40" i="57"/>
  <c r="X50" i="63"/>
  <c r="Q50" i="62"/>
  <c r="U50" i="62"/>
  <c r="H126" i="58"/>
  <c r="S14" i="62"/>
  <c r="P14" i="62"/>
  <c r="Q152" i="66"/>
  <c r="P244" i="58"/>
  <c r="T81" i="65"/>
  <c r="S81" i="65"/>
  <c r="P81" i="65"/>
  <c r="U172" i="65"/>
  <c r="Q172" i="65"/>
  <c r="M264" i="58"/>
  <c r="U74" i="65"/>
  <c r="Q156" i="65"/>
  <c r="U156" i="65"/>
  <c r="M232" i="58"/>
  <c r="U197" i="63"/>
  <c r="Q106" i="67"/>
  <c r="U106" i="67"/>
  <c r="Q201" i="67"/>
  <c r="S201" i="67" s="1"/>
  <c r="K120" i="58"/>
  <c r="S154" i="63"/>
  <c r="T154" i="63"/>
  <c r="P154" i="63"/>
  <c r="S110" i="63"/>
  <c r="T110" i="63"/>
  <c r="P110" i="63"/>
  <c r="S107" i="69"/>
  <c r="P107" i="69"/>
  <c r="T107" i="69"/>
  <c r="K104" i="58"/>
  <c r="Q18" i="67"/>
  <c r="BI29" i="57"/>
  <c r="BG29" i="57" s="1"/>
  <c r="BF26" i="57"/>
  <c r="BD29" i="57"/>
  <c r="Q150" i="66"/>
  <c r="P242" i="58"/>
  <c r="P230" i="58"/>
  <c r="M120" i="58"/>
  <c r="U125" i="63"/>
  <c r="N215" i="58"/>
  <c r="N172" i="58"/>
  <c r="BP12" i="57"/>
  <c r="BD31" i="57"/>
  <c r="BP32" i="57"/>
  <c r="BI31" i="57"/>
  <c r="AM5" i="57"/>
  <c r="BP18" i="57"/>
  <c r="E104" i="57"/>
  <c r="E96" i="57"/>
  <c r="U197" i="68"/>
  <c r="Q197" i="68"/>
  <c r="O289" i="58"/>
  <c r="U93" i="67"/>
  <c r="U174" i="65"/>
  <c r="Q198" i="63"/>
  <c r="N284" i="58"/>
  <c r="U105" i="63"/>
  <c r="K40" i="57"/>
  <c r="K41" i="57"/>
  <c r="K9" i="57"/>
  <c r="K35" i="57"/>
  <c r="K46" i="57"/>
  <c r="K14" i="57"/>
  <c r="K45" i="57"/>
  <c r="K38" i="57"/>
  <c r="BI11" i="57"/>
  <c r="BH30" i="57"/>
  <c r="BD30" i="57"/>
  <c r="BE26" i="57"/>
  <c r="K37" i="57"/>
  <c r="I137" i="69"/>
  <c r="M137" i="69" s="1"/>
  <c r="O137" i="69" s="1"/>
  <c r="I136" i="69"/>
  <c r="M136" i="69" s="1"/>
  <c r="O136" i="69" s="1"/>
  <c r="I182" i="69"/>
  <c r="M182" i="69" s="1"/>
  <c r="O182" i="69" s="1"/>
  <c r="I65" i="69"/>
  <c r="M65" i="69" s="1"/>
  <c r="O65" i="69" s="1"/>
  <c r="I140" i="69"/>
  <c r="M140" i="69" s="1"/>
  <c r="O140" i="69" s="1"/>
  <c r="I113" i="69"/>
  <c r="M113" i="69" s="1"/>
  <c r="O113" i="69" s="1"/>
  <c r="I73" i="69"/>
  <c r="M73" i="69" s="1"/>
  <c r="O73" i="69" s="1"/>
  <c r="I68" i="69"/>
  <c r="M68" i="69" s="1"/>
  <c r="O68" i="69" s="1"/>
  <c r="I59" i="69"/>
  <c r="M59" i="69" s="1"/>
  <c r="O59" i="69" s="1"/>
  <c r="I180" i="69"/>
  <c r="M180" i="69" s="1"/>
  <c r="O180" i="69" s="1"/>
  <c r="I141" i="69"/>
  <c r="M141" i="69" s="1"/>
  <c r="O141" i="69" s="1"/>
  <c r="I20" i="69"/>
  <c r="M20" i="69" s="1"/>
  <c r="O20" i="69" s="1"/>
  <c r="I43" i="69"/>
  <c r="M43" i="69" s="1"/>
  <c r="O43" i="69" s="1"/>
  <c r="I41" i="69"/>
  <c r="M41" i="69" s="1"/>
  <c r="O41" i="69" s="1"/>
  <c r="I116" i="69"/>
  <c r="M116" i="69" s="1"/>
  <c r="O116" i="69" s="1"/>
  <c r="I179" i="69"/>
  <c r="M179" i="69" s="1"/>
  <c r="O179" i="69" s="1"/>
  <c r="I122" i="69"/>
  <c r="M122" i="69" s="1"/>
  <c r="O122" i="69" s="1"/>
  <c r="I119" i="69"/>
  <c r="M119" i="69" s="1"/>
  <c r="O119" i="69" s="1"/>
  <c r="Q119" i="69" s="1"/>
  <c r="I123" i="69"/>
  <c r="M123" i="69" s="1"/>
  <c r="O123" i="69" s="1"/>
  <c r="I169" i="69"/>
  <c r="M169" i="69" s="1"/>
  <c r="O169" i="69" s="1"/>
  <c r="I97" i="69"/>
  <c r="M97" i="69" s="1"/>
  <c r="O97" i="69" s="1"/>
  <c r="I64" i="69"/>
  <c r="M64" i="69" s="1"/>
  <c r="O64" i="69" s="1"/>
  <c r="I93" i="69"/>
  <c r="M93" i="69" s="1"/>
  <c r="O93" i="69" s="1"/>
  <c r="I96" i="69"/>
  <c r="M96" i="69" s="1"/>
  <c r="O96" i="69" s="1"/>
  <c r="I51" i="69"/>
  <c r="M51" i="69" s="1"/>
  <c r="O51" i="69" s="1"/>
  <c r="I28" i="69"/>
  <c r="M28" i="69" s="1"/>
  <c r="O28" i="69" s="1"/>
  <c r="Q28" i="69" s="1"/>
  <c r="I35" i="69"/>
  <c r="M35" i="69" s="1"/>
  <c r="O35" i="69" s="1"/>
  <c r="I18" i="69"/>
  <c r="M18" i="69" s="1"/>
  <c r="O18" i="69" s="1"/>
  <c r="I165" i="69"/>
  <c r="M165" i="69" s="1"/>
  <c r="O165" i="69" s="1"/>
  <c r="U165" i="69" s="1"/>
  <c r="I111" i="69"/>
  <c r="M111" i="69" s="1"/>
  <c r="O111" i="69" s="1"/>
  <c r="I117" i="69"/>
  <c r="M117" i="69" s="1"/>
  <c r="O117" i="69" s="1"/>
  <c r="I142" i="69"/>
  <c r="M142" i="69" s="1"/>
  <c r="O142" i="69" s="1"/>
  <c r="I131" i="69"/>
  <c r="M131" i="69" s="1"/>
  <c r="O131" i="69" s="1"/>
  <c r="I92" i="69"/>
  <c r="M92" i="69" s="1"/>
  <c r="O92" i="69" s="1"/>
  <c r="U92" i="69" s="1"/>
  <c r="I60" i="69"/>
  <c r="M60" i="69" s="1"/>
  <c r="O60" i="69" s="1"/>
  <c r="I89" i="69"/>
  <c r="M89" i="69" s="1"/>
  <c r="O89" i="69" s="1"/>
  <c r="I34" i="69"/>
  <c r="M34" i="69" s="1"/>
  <c r="O34" i="69" s="1"/>
  <c r="I91" i="69"/>
  <c r="M91" i="69" s="1"/>
  <c r="O91" i="69" s="1"/>
  <c r="I16" i="69"/>
  <c r="M16" i="69" s="1"/>
  <c r="O16" i="69" s="1"/>
  <c r="I112" i="69"/>
  <c r="M112" i="69" s="1"/>
  <c r="O112" i="69" s="1"/>
  <c r="I157" i="69"/>
  <c r="M157" i="69" s="1"/>
  <c r="O157" i="69" s="1"/>
  <c r="I90" i="69"/>
  <c r="M90" i="69" s="1"/>
  <c r="O90" i="69" s="1"/>
  <c r="I124" i="69"/>
  <c r="I115" i="69"/>
  <c r="M115" i="69" s="1"/>
  <c r="O115" i="69" s="1"/>
  <c r="I70" i="69"/>
  <c r="M70" i="69" s="1"/>
  <c r="O70" i="69" s="1"/>
  <c r="I106" i="69"/>
  <c r="M106" i="69" s="1"/>
  <c r="O106" i="69" s="1"/>
  <c r="I133" i="69"/>
  <c r="M133" i="69" s="1"/>
  <c r="O133" i="69" s="1"/>
  <c r="I26" i="69"/>
  <c r="M26" i="69" s="1"/>
  <c r="O26" i="69" s="1"/>
  <c r="I186" i="69"/>
  <c r="M186" i="69" s="1"/>
  <c r="O186" i="69" s="1"/>
  <c r="I202" i="69"/>
  <c r="M202" i="69" s="1"/>
  <c r="O202" i="69" s="1"/>
  <c r="I143" i="69"/>
  <c r="M143" i="69" s="1"/>
  <c r="O143" i="69" s="1"/>
  <c r="I134" i="69"/>
  <c r="M134" i="69" s="1"/>
  <c r="O134" i="69" s="1"/>
  <c r="I98" i="69"/>
  <c r="M98" i="69" s="1"/>
  <c r="O98" i="69" s="1"/>
  <c r="I83" i="69"/>
  <c r="M83" i="69" s="1"/>
  <c r="O83" i="69" s="1"/>
  <c r="I66" i="69"/>
  <c r="M66" i="69" s="1"/>
  <c r="O66" i="69" s="1"/>
  <c r="I88" i="69"/>
  <c r="M88" i="69" s="1"/>
  <c r="O88" i="69" s="1"/>
  <c r="I54" i="69"/>
  <c r="M54" i="69" s="1"/>
  <c r="O54" i="69" s="1"/>
  <c r="I99" i="69"/>
  <c r="M99" i="69" s="1"/>
  <c r="O99" i="69" s="1"/>
  <c r="I17" i="69"/>
  <c r="M17" i="69" s="1"/>
  <c r="O17" i="69" s="1"/>
  <c r="I196" i="69"/>
  <c r="M196" i="69" s="1"/>
  <c r="O196" i="69" s="1"/>
  <c r="I191" i="69"/>
  <c r="M191" i="69" s="1"/>
  <c r="O191" i="69" s="1"/>
  <c r="U191" i="69" s="1"/>
  <c r="I200" i="69"/>
  <c r="M200" i="69" s="1"/>
  <c r="O200" i="69" s="1"/>
  <c r="I181" i="69"/>
  <c r="M181" i="69" s="1"/>
  <c r="O181" i="69" s="1"/>
  <c r="I75" i="69"/>
  <c r="M75" i="69" s="1"/>
  <c r="O75" i="69" s="1"/>
  <c r="I87" i="69"/>
  <c r="M87" i="69" s="1"/>
  <c r="O87" i="69" s="1"/>
  <c r="I53" i="69"/>
  <c r="M53" i="69" s="1"/>
  <c r="O53" i="69" s="1"/>
  <c r="I50" i="69"/>
  <c r="M50" i="69" s="1"/>
  <c r="O50" i="69" s="1"/>
  <c r="I15" i="69"/>
  <c r="M15" i="69" s="1"/>
  <c r="O15" i="69" s="1"/>
  <c r="I138" i="69"/>
  <c r="M138" i="69" s="1"/>
  <c r="O138" i="69" s="1"/>
  <c r="I158" i="69"/>
  <c r="M158" i="69" s="1"/>
  <c r="O158" i="69" s="1"/>
  <c r="I199" i="69"/>
  <c r="M199" i="69" s="1"/>
  <c r="O199" i="69" s="1"/>
  <c r="I110" i="69"/>
  <c r="M110" i="69" s="1"/>
  <c r="O110" i="69" s="1"/>
  <c r="I135" i="69"/>
  <c r="M135" i="69" s="1"/>
  <c r="O135" i="69" s="1"/>
  <c r="I27" i="69"/>
  <c r="M27" i="69" s="1"/>
  <c r="O27" i="69" s="1"/>
  <c r="I62" i="69"/>
  <c r="M62" i="69" s="1"/>
  <c r="O62" i="69" s="1"/>
  <c r="I85" i="69"/>
  <c r="M85" i="69" s="1"/>
  <c r="O85" i="69" s="1"/>
  <c r="I48" i="69"/>
  <c r="M48" i="69" s="1"/>
  <c r="O48" i="69" s="1"/>
  <c r="I57" i="69"/>
  <c r="M57" i="69" s="1"/>
  <c r="O57" i="69" s="1"/>
  <c r="I44" i="69"/>
  <c r="M44" i="69" s="1"/>
  <c r="O44" i="69" s="1"/>
  <c r="I41" i="64"/>
  <c r="M41" i="64" s="1"/>
  <c r="O41" i="64" s="1"/>
  <c r="J123" i="58" s="1"/>
  <c r="I99" i="64"/>
  <c r="M99" i="64" s="1"/>
  <c r="O99" i="64" s="1"/>
  <c r="J173" i="58" s="1"/>
  <c r="I91" i="64"/>
  <c r="M91" i="64" s="1"/>
  <c r="O91" i="64" s="1"/>
  <c r="I112" i="64"/>
  <c r="M112" i="64" s="1"/>
  <c r="O112" i="64" s="1"/>
  <c r="U112" i="64" s="1"/>
  <c r="I121" i="64"/>
  <c r="M121" i="64" s="1"/>
  <c r="O121" i="64" s="1"/>
  <c r="S176" i="69"/>
  <c r="T176" i="69"/>
  <c r="P176" i="69"/>
  <c r="S31" i="69"/>
  <c r="P31" i="69"/>
  <c r="T31" i="69"/>
  <c r="U180" i="67"/>
  <c r="K272" i="58"/>
  <c r="Q40" i="67"/>
  <c r="Q74" i="63"/>
  <c r="U74" i="63"/>
  <c r="N146" i="58"/>
  <c r="T156" i="63"/>
  <c r="U69" i="68"/>
  <c r="U148" i="68"/>
  <c r="U76" i="68"/>
  <c r="U52" i="68"/>
  <c r="I19" i="62"/>
  <c r="M19" i="62" s="1"/>
  <c r="O19" i="62" s="1"/>
  <c r="I168" i="62"/>
  <c r="M168" i="62" s="1"/>
  <c r="O168" i="62" s="1"/>
  <c r="I36" i="62"/>
  <c r="M36" i="62" s="1"/>
  <c r="O36" i="62" s="1"/>
  <c r="U36" i="62" s="1"/>
  <c r="I167" i="62"/>
  <c r="M167" i="62" s="1"/>
  <c r="O167" i="62" s="1"/>
  <c r="I166" i="62"/>
  <c r="M166" i="62" s="1"/>
  <c r="O166" i="62" s="1"/>
  <c r="Q118" i="67"/>
  <c r="Q104" i="57"/>
  <c r="Q93" i="57"/>
  <c r="Q94" i="57"/>
  <c r="Q96" i="57"/>
  <c r="L9" i="58"/>
  <c r="M249" i="58"/>
  <c r="U175" i="64"/>
  <c r="J267" i="58"/>
  <c r="S146" i="69"/>
  <c r="T146" i="69"/>
  <c r="G2" i="14"/>
  <c r="AU3" i="57"/>
  <c r="BD23" i="57"/>
  <c r="BH23" i="57"/>
  <c r="K96" i="57"/>
  <c r="K94" i="57"/>
  <c r="K93" i="57"/>
  <c r="BF21" i="57"/>
  <c r="BI23" i="57"/>
  <c r="BI21" i="57"/>
  <c r="BG34" i="57"/>
  <c r="BP34" i="57" s="1"/>
  <c r="BG47" i="57"/>
  <c r="BP47" i="57" s="1"/>
  <c r="N109" i="57"/>
  <c r="N93" i="57"/>
  <c r="N92" i="57" s="1"/>
  <c r="T32" i="67"/>
  <c r="U76" i="63"/>
  <c r="N148" i="58"/>
  <c r="U145" i="64"/>
  <c r="E10" i="57"/>
  <c r="E20" i="57"/>
  <c r="AG6" i="57"/>
  <c r="F47" i="57" s="1"/>
  <c r="E45" i="57"/>
  <c r="AH6" i="57"/>
  <c r="E33" i="57"/>
  <c r="E36" i="57"/>
  <c r="E38" i="57"/>
  <c r="E41" i="57"/>
  <c r="E31" i="57"/>
  <c r="BI28" i="57"/>
  <c r="BD28" i="57"/>
  <c r="BG33" i="57"/>
  <c r="BH31" i="57"/>
  <c r="BD44" i="57"/>
  <c r="BG14" i="57"/>
  <c r="BP14" i="57" s="1"/>
  <c r="S111" i="63"/>
  <c r="P111" i="63"/>
  <c r="BD11" i="57"/>
  <c r="Q161" i="62"/>
  <c r="T161" i="62" s="1"/>
  <c r="H247" i="58"/>
  <c r="L237" i="58"/>
  <c r="U145" i="69"/>
  <c r="K270" i="58"/>
  <c r="Q178" i="67"/>
  <c r="Q127" i="58"/>
  <c r="U188" i="69"/>
  <c r="L280" i="58"/>
  <c r="I251" i="58"/>
  <c r="I223" i="58" s="1"/>
  <c r="I222" i="58" s="1"/>
  <c r="Q340" i="58"/>
  <c r="R340" i="58" s="1"/>
  <c r="AP7" i="57"/>
  <c r="AQ7" i="57" s="1"/>
  <c r="S174" i="63"/>
  <c r="T174" i="63"/>
  <c r="P174" i="63"/>
  <c r="S189" i="63"/>
  <c r="P189" i="63"/>
  <c r="T189" i="63"/>
  <c r="P188" i="68"/>
  <c r="P146" i="67"/>
  <c r="T146" i="67"/>
  <c r="S146" i="67"/>
  <c r="X40" i="63"/>
  <c r="Y40" i="63" s="1"/>
  <c r="AB40" i="63" s="1"/>
  <c r="Q40" i="62"/>
  <c r="S40" i="62" s="1"/>
  <c r="H116" i="58"/>
  <c r="U40" i="62"/>
  <c r="Q119" i="62"/>
  <c r="H209" i="58"/>
  <c r="U74" i="68"/>
  <c r="Q74" i="68"/>
  <c r="S74" i="68" s="1"/>
  <c r="U139" i="67"/>
  <c r="X66" i="63"/>
  <c r="Y66" i="63" s="1"/>
  <c r="AB66" i="63" s="1"/>
  <c r="Q66" i="62"/>
  <c r="H218" i="58"/>
  <c r="X128" i="63"/>
  <c r="Y128" i="63" s="1"/>
  <c r="AB128" i="63" s="1"/>
  <c r="Q128" i="62"/>
  <c r="U124" i="68"/>
  <c r="U32" i="68"/>
  <c r="U178" i="68"/>
  <c r="T31" i="68"/>
  <c r="U93" i="65"/>
  <c r="M167" i="58"/>
  <c r="Q145" i="64"/>
  <c r="S145" i="64" s="1"/>
  <c r="J237" i="58"/>
  <c r="M118" i="58"/>
  <c r="M144" i="58"/>
  <c r="N202" i="58"/>
  <c r="T32" i="64"/>
  <c r="U172" i="64"/>
  <c r="T125" i="64"/>
  <c r="U178" i="64"/>
  <c r="U32" i="64"/>
  <c r="T124" i="64"/>
  <c r="U174" i="64"/>
  <c r="U52" i="65"/>
  <c r="Q52" i="65"/>
  <c r="U14" i="62"/>
  <c r="U58" i="62"/>
  <c r="U203" i="62"/>
  <c r="U114" i="62"/>
  <c r="U152" i="62"/>
  <c r="U85" i="62"/>
  <c r="T177" i="62"/>
  <c r="U177" i="62"/>
  <c r="U109" i="62"/>
  <c r="U161" i="62"/>
  <c r="U160" i="62"/>
  <c r="T110" i="62"/>
  <c r="U200" i="62"/>
  <c r="U80" i="62"/>
  <c r="T195" i="62"/>
  <c r="U180" i="62"/>
  <c r="T14" i="62"/>
  <c r="U183" i="62"/>
  <c r="U73" i="62"/>
  <c r="U154" i="62"/>
  <c r="T151" i="62"/>
  <c r="U40" i="63"/>
  <c r="U53" i="63"/>
  <c r="Q53" i="63"/>
  <c r="Q44" i="65"/>
  <c r="A22" i="14"/>
  <c r="A21" i="5" s="1"/>
  <c r="AG5" i="57"/>
  <c r="AO3" i="57"/>
  <c r="Q52" i="67"/>
  <c r="Q105" i="67"/>
  <c r="A18" i="11"/>
  <c r="U93" i="68"/>
  <c r="U71" i="62"/>
  <c r="X187" i="63"/>
  <c r="Y187" i="63" s="1"/>
  <c r="AB187" i="63" s="1"/>
  <c r="U187" i="62"/>
  <c r="H273" i="58"/>
  <c r="L253" i="58"/>
  <c r="U161" i="69"/>
  <c r="Q161" i="69"/>
  <c r="S161" i="69" s="1"/>
  <c r="Q165" i="67"/>
  <c r="S165" i="67" s="1"/>
  <c r="U165" i="67"/>
  <c r="K257" i="58"/>
  <c r="P228" i="58"/>
  <c r="Q36" i="67"/>
  <c r="K118" i="58"/>
  <c r="U171" i="68"/>
  <c r="Q171" i="68"/>
  <c r="O263" i="58"/>
  <c r="U148" i="67"/>
  <c r="K240" i="58"/>
  <c r="Q148" i="67"/>
  <c r="S148" i="67" s="1"/>
  <c r="O144" i="67"/>
  <c r="K293" i="58"/>
  <c r="P137" i="58"/>
  <c r="Q187" i="68"/>
  <c r="U187" i="68"/>
  <c r="O279" i="58"/>
  <c r="Q40" i="65"/>
  <c r="S40" i="65" s="1"/>
  <c r="Q155" i="67"/>
  <c r="U155" i="67"/>
  <c r="K247" i="58"/>
  <c r="Q194" i="67"/>
  <c r="S194" i="67" s="1"/>
  <c r="U194" i="67"/>
  <c r="K286" i="58"/>
  <c r="U91" i="67"/>
  <c r="Q91" i="67"/>
  <c r="K165" i="58"/>
  <c r="U174" i="67"/>
  <c r="Q174" i="67"/>
  <c r="S174" i="67" s="1"/>
  <c r="K266" i="58"/>
  <c r="Q187" i="66"/>
  <c r="U34" i="65"/>
  <c r="U191" i="65"/>
  <c r="O269" i="58"/>
  <c r="U177" i="68"/>
  <c r="Q177" i="68"/>
  <c r="T177" i="68" s="1"/>
  <c r="U39" i="67"/>
  <c r="Q39" i="67"/>
  <c r="U123" i="67"/>
  <c r="Q123" i="67"/>
  <c r="K219" i="58"/>
  <c r="Q61" i="63"/>
  <c r="N135" i="58"/>
  <c r="Q51" i="67"/>
  <c r="S51" i="67" s="1"/>
  <c r="U51" i="67"/>
  <c r="Q152" i="68"/>
  <c r="P152" i="68" s="1"/>
  <c r="O244" i="58"/>
  <c r="Q179" i="63"/>
  <c r="U168" i="67"/>
  <c r="K260" i="58"/>
  <c r="J155" i="58"/>
  <c r="U80" i="68"/>
  <c r="U81" i="68"/>
  <c r="U31" i="68"/>
  <c r="U125" i="68"/>
  <c r="U54" i="67"/>
  <c r="Q78" i="64"/>
  <c r="T78" i="64" s="1"/>
  <c r="U52" i="67"/>
  <c r="U151" i="63"/>
  <c r="U86" i="63"/>
  <c r="U184" i="63"/>
  <c r="U154" i="63"/>
  <c r="U152" i="63"/>
  <c r="U183" i="63"/>
  <c r="U178" i="63"/>
  <c r="U114" i="63"/>
  <c r="U158" i="63"/>
  <c r="U16" i="63"/>
  <c r="U82" i="63"/>
  <c r="U73" i="63"/>
  <c r="U195" i="63"/>
  <c r="U160" i="63"/>
  <c r="E12" i="57"/>
  <c r="E9" i="57"/>
  <c r="E44" i="57"/>
  <c r="I164" i="66"/>
  <c r="M164" i="66" s="1"/>
  <c r="O164" i="66" s="1"/>
  <c r="I166" i="66"/>
  <c r="M166" i="66" s="1"/>
  <c r="O166" i="66" s="1"/>
  <c r="P258" i="58" s="1"/>
  <c r="I97" i="66"/>
  <c r="M97" i="66" s="1"/>
  <c r="O97" i="66" s="1"/>
  <c r="I117" i="66"/>
  <c r="M117" i="66" s="1"/>
  <c r="O117" i="66" s="1"/>
  <c r="I99" i="66"/>
  <c r="M99" i="66" s="1"/>
  <c r="O99" i="66" s="1"/>
  <c r="I119" i="66"/>
  <c r="M119" i="66" s="1"/>
  <c r="O119" i="66" s="1"/>
  <c r="I27" i="66"/>
  <c r="M27" i="66" s="1"/>
  <c r="O27" i="66" s="1"/>
  <c r="I134" i="66"/>
  <c r="M134" i="66" s="1"/>
  <c r="O134" i="66" s="1"/>
  <c r="Q134" i="66" s="1"/>
  <c r="I98" i="66"/>
  <c r="M98" i="66" s="1"/>
  <c r="O98" i="66" s="1"/>
  <c r="I18" i="66"/>
  <c r="M18" i="66" s="1"/>
  <c r="O18" i="66" s="1"/>
  <c r="Q18" i="66" s="1"/>
  <c r="I26" i="66"/>
  <c r="M26" i="66" s="1"/>
  <c r="O26" i="66" s="1"/>
  <c r="I21" i="66"/>
  <c r="M21" i="66" s="1"/>
  <c r="O21" i="66" s="1"/>
  <c r="Q21" i="66" s="1"/>
  <c r="I91" i="66"/>
  <c r="M91" i="66" s="1"/>
  <c r="O91" i="66" s="1"/>
  <c r="I38" i="66"/>
  <c r="M38" i="66" s="1"/>
  <c r="O38" i="66" s="1"/>
  <c r="K39" i="57"/>
  <c r="D4" i="14"/>
  <c r="M4" i="14" s="1"/>
  <c r="K43" i="57"/>
  <c r="K10" i="57"/>
  <c r="K36" i="57"/>
  <c r="K42" i="57"/>
  <c r="AN6" i="57"/>
  <c r="E4" i="14"/>
  <c r="N4" i="14" s="1"/>
  <c r="AP6" i="57"/>
  <c r="Q98" i="68"/>
  <c r="P98" i="68" s="1"/>
  <c r="Q94" i="68"/>
  <c r="U97" i="68"/>
  <c r="U50" i="68"/>
  <c r="U113" i="68"/>
  <c r="U24" i="68"/>
  <c r="Q68" i="68"/>
  <c r="Q90" i="68"/>
  <c r="Q54" i="68"/>
  <c r="T54" i="68" s="1"/>
  <c r="Q141" i="68"/>
  <c r="O290" i="58"/>
  <c r="Q26" i="68"/>
  <c r="U87" i="68"/>
  <c r="O121" i="58"/>
  <c r="Q66" i="68"/>
  <c r="T66" i="68" s="1"/>
  <c r="O230" i="58"/>
  <c r="U133" i="68"/>
  <c r="O205" i="58"/>
  <c r="U61" i="67"/>
  <c r="K139" i="58"/>
  <c r="Q61" i="67"/>
  <c r="K146" i="58"/>
  <c r="Q68" i="67"/>
  <c r="Q41" i="67"/>
  <c r="S41" i="67" s="1"/>
  <c r="K123" i="58"/>
  <c r="Q115" i="66"/>
  <c r="P211" i="58"/>
  <c r="K244" i="58"/>
  <c r="Q152" i="67"/>
  <c r="U153" i="62"/>
  <c r="U75" i="62"/>
  <c r="U151" i="62"/>
  <c r="U16" i="62"/>
  <c r="Q172" i="64"/>
  <c r="Q174" i="64"/>
  <c r="S174" i="64" s="1"/>
  <c r="J266" i="58"/>
  <c r="C2" i="8"/>
  <c r="C4" i="14"/>
  <c r="L4" i="14" s="1"/>
  <c r="AJ6" i="57"/>
  <c r="E14" i="57"/>
  <c r="E8" i="57"/>
  <c r="E42" i="57"/>
  <c r="E48" i="57"/>
  <c r="K15" i="57"/>
  <c r="K12" i="57"/>
  <c r="AK5" i="57"/>
  <c r="N79" i="58"/>
  <c r="S14" i="63"/>
  <c r="J50" i="54"/>
  <c r="P61" i="23"/>
  <c r="N163" i="39"/>
  <c r="M161" i="39"/>
  <c r="AZ29" i="30" s="1"/>
  <c r="O66" i="50"/>
  <c r="P66" i="50" s="1"/>
  <c r="Q62" i="33"/>
  <c r="AS15" i="43"/>
  <c r="AV15" i="43"/>
  <c r="AY15" i="43"/>
  <c r="AP15" i="43"/>
  <c r="AJ15" i="43"/>
  <c r="AM15" i="43"/>
  <c r="M161" i="23"/>
  <c r="N162" i="23"/>
  <c r="Y40" i="43"/>
  <c r="Y16" i="43"/>
  <c r="Y37" i="43"/>
  <c r="Y24" i="43"/>
  <c r="Y26" i="43"/>
  <c r="Y33" i="43"/>
  <c r="Y11" i="43"/>
  <c r="Y29" i="43"/>
  <c r="Y23" i="43"/>
  <c r="Y38" i="43"/>
  <c r="Y22" i="43"/>
  <c r="Y21" i="43"/>
  <c r="Y31" i="43"/>
  <c r="Y19" i="43"/>
  <c r="Y17" i="43"/>
  <c r="Y9" i="43"/>
  <c r="Y35" i="43"/>
  <c r="Y36" i="43"/>
  <c r="Y32" i="43"/>
  <c r="Y27" i="43"/>
  <c r="P148" i="58"/>
  <c r="BN15" i="43"/>
  <c r="M117" i="25"/>
  <c r="N163" i="23"/>
  <c r="O163" i="23" s="1"/>
  <c r="P163" i="23" s="1"/>
  <c r="N60" i="23"/>
  <c r="Q162" i="63"/>
  <c r="U162" i="63"/>
  <c r="M41" i="48"/>
  <c r="N43" i="48"/>
  <c r="O43" i="48" s="1"/>
  <c r="M143" i="25"/>
  <c r="N65" i="50"/>
  <c r="M63" i="50"/>
  <c r="U112" i="68"/>
  <c r="P32" i="68"/>
  <c r="Q121" i="24"/>
  <c r="P103" i="36"/>
  <c r="Q103" i="36"/>
  <c r="O78" i="45"/>
  <c r="P78" i="45"/>
  <c r="P80" i="45"/>
  <c r="N39" i="37"/>
  <c r="N38" i="37" s="1"/>
  <c r="M139" i="25"/>
  <c r="N139" i="25" s="1"/>
  <c r="M108" i="25"/>
  <c r="N108" i="25" s="1"/>
  <c r="O29" i="43"/>
  <c r="O25" i="43"/>
  <c r="F8" i="41" s="1"/>
  <c r="O34" i="43"/>
  <c r="F10" i="41" s="1"/>
  <c r="O10" i="43"/>
  <c r="O13" i="43"/>
  <c r="F6" i="41" s="1"/>
  <c r="O23" i="43"/>
  <c r="O36" i="43"/>
  <c r="O35" i="43"/>
  <c r="O41" i="43"/>
  <c r="F14" i="41" s="1"/>
  <c r="O24" i="43"/>
  <c r="F12" i="41" s="1"/>
  <c r="O30" i="43"/>
  <c r="F9" i="41"/>
  <c r="O17" i="43"/>
  <c r="O18" i="43"/>
  <c r="F7" i="41" s="1"/>
  <c r="O21" i="43"/>
  <c r="M102" i="34"/>
  <c r="S32" i="68"/>
  <c r="T73" i="62"/>
  <c r="O61" i="40"/>
  <c r="N46" i="34"/>
  <c r="O46" i="34" s="1"/>
  <c r="P46" i="34" s="1"/>
  <c r="N114" i="33"/>
  <c r="M116" i="48"/>
  <c r="M38" i="37"/>
  <c r="M135" i="37"/>
  <c r="M131" i="25"/>
  <c r="P162" i="46"/>
  <c r="Q162" i="46"/>
  <c r="S73" i="62"/>
  <c r="N165" i="45"/>
  <c r="Q165" i="45"/>
  <c r="M140" i="25"/>
  <c r="P161" i="46"/>
  <c r="AP29" i="43"/>
  <c r="O60" i="33"/>
  <c r="P74" i="35"/>
  <c r="Q74" i="35"/>
  <c r="P136" i="62"/>
  <c r="N7" i="49"/>
  <c r="O7" i="49" s="1"/>
  <c r="P7" i="49" s="1"/>
  <c r="N25" i="39"/>
  <c r="M22" i="39"/>
  <c r="Q105" i="33"/>
  <c r="P105" i="33"/>
  <c r="N58" i="37"/>
  <c r="Q45" i="20"/>
  <c r="P45" i="20"/>
  <c r="P59" i="27"/>
  <c r="S151" i="62"/>
  <c r="U32" i="43"/>
  <c r="U41" i="43"/>
  <c r="H14" i="41" s="1"/>
  <c r="U33" i="43"/>
  <c r="U17" i="43"/>
  <c r="U36" i="43"/>
  <c r="U25" i="43"/>
  <c r="H8" i="41" s="1"/>
  <c r="U22" i="43"/>
  <c r="U42" i="43"/>
  <c r="U24" i="43"/>
  <c r="H12" i="41" s="1"/>
  <c r="U12" i="43"/>
  <c r="U35" i="43"/>
  <c r="U11" i="43"/>
  <c r="U9" i="43"/>
  <c r="H5" i="41" s="1"/>
  <c r="U40" i="43"/>
  <c r="U37" i="43"/>
  <c r="U23" i="43"/>
  <c r="U31" i="43"/>
  <c r="U21" i="43"/>
  <c r="U20" i="43"/>
  <c r="U28" i="43"/>
  <c r="U29" i="43"/>
  <c r="U16" i="43"/>
  <c r="U19" i="43"/>
  <c r="U13" i="43"/>
  <c r="H6" i="41" s="1"/>
  <c r="U15" i="43"/>
  <c r="U27" i="43"/>
  <c r="U34" i="43"/>
  <c r="H10" i="41" s="1"/>
  <c r="U26" i="43"/>
  <c r="U30" i="43"/>
  <c r="H9" i="41" s="1"/>
  <c r="U10" i="43"/>
  <c r="U39" i="43"/>
  <c r="U18" i="43"/>
  <c r="H7" i="41" s="1"/>
  <c r="U38" i="43"/>
  <c r="U14" i="43"/>
  <c r="M8" i="35"/>
  <c r="M59" i="37"/>
  <c r="N59" i="37" s="1"/>
  <c r="O59" i="37" s="1"/>
  <c r="M119" i="23"/>
  <c r="N120" i="23"/>
  <c r="N119" i="23" s="1"/>
  <c r="M139" i="37"/>
  <c r="N139" i="37" s="1"/>
  <c r="M106" i="25"/>
  <c r="N106" i="25" s="1"/>
  <c r="O19" i="38"/>
  <c r="P19" i="38" s="1"/>
  <c r="P20" i="38"/>
  <c r="O13" i="62"/>
  <c r="U13" i="62"/>
  <c r="T131" i="62"/>
  <c r="H80" i="58"/>
  <c r="U95" i="62"/>
  <c r="T196" i="62"/>
  <c r="U206" i="62"/>
  <c r="H141" i="58"/>
  <c r="H137" i="58"/>
  <c r="U97" i="62"/>
  <c r="Q95" i="62"/>
  <c r="S95" i="62" s="1"/>
  <c r="T84" i="62"/>
  <c r="H163" i="58"/>
  <c r="U63" i="62"/>
  <c r="Q47" i="62"/>
  <c r="T47" i="62" s="1"/>
  <c r="S198" i="62"/>
  <c r="T198" i="62"/>
  <c r="X47" i="63"/>
  <c r="Y47" i="63" s="1"/>
  <c r="AB47" i="63" s="1"/>
  <c r="X164" i="63"/>
  <c r="Y164" i="63" s="1"/>
  <c r="AB164" i="63" s="1"/>
  <c r="X198" i="63"/>
  <c r="Y198" i="63" s="1"/>
  <c r="AB198" i="63" s="1"/>
  <c r="Q33" i="62"/>
  <c r="U33" i="62"/>
  <c r="P95" i="61"/>
  <c r="S95" i="61"/>
  <c r="W19" i="61"/>
  <c r="V19" i="61" s="1"/>
  <c r="I196" i="58"/>
  <c r="S42" i="62"/>
  <c r="P42" i="62"/>
  <c r="L38" i="57"/>
  <c r="L45" i="57"/>
  <c r="L46" i="57"/>
  <c r="P162" i="40"/>
  <c r="O161" i="40"/>
  <c r="P161" i="40" s="1"/>
  <c r="Q76" i="25"/>
  <c r="P76" i="25"/>
  <c r="E2" i="3"/>
  <c r="A75" i="5"/>
  <c r="T158" i="62"/>
  <c r="X174" i="63"/>
  <c r="Y174" i="63" s="1"/>
  <c r="AB174" i="63" s="1"/>
  <c r="T178" i="62"/>
  <c r="Q39" i="66"/>
  <c r="Q62" i="66"/>
  <c r="P140" i="58"/>
  <c r="H235" i="58"/>
  <c r="X76" i="63"/>
  <c r="Y76" i="63" s="1"/>
  <c r="AB76" i="63" s="1"/>
  <c r="Q76" i="62"/>
  <c r="X45" i="63"/>
  <c r="Y45" i="63" s="1"/>
  <c r="AB45" i="63" s="1"/>
  <c r="H121" i="58"/>
  <c r="P121" i="67"/>
  <c r="S109" i="62"/>
  <c r="T109" i="62"/>
  <c r="U30" i="68"/>
  <c r="Q30" i="68"/>
  <c r="O112" i="58"/>
  <c r="Q176" i="66"/>
  <c r="H118" i="58"/>
  <c r="U42" i="62"/>
  <c r="O162" i="39"/>
  <c r="P126" i="23"/>
  <c r="J58" i="54"/>
  <c r="S121" i="67"/>
  <c r="BP17" i="57"/>
  <c r="Q16" i="25"/>
  <c r="O20" i="40"/>
  <c r="N214" i="45"/>
  <c r="R33" i="30"/>
  <c r="M27" i="33"/>
  <c r="M9" i="33" s="1"/>
  <c r="N7" i="40"/>
  <c r="N6" i="40" s="1"/>
  <c r="M6" i="40"/>
  <c r="M57" i="35"/>
  <c r="N58" i="35"/>
  <c r="O58" i="35" s="1"/>
  <c r="M122" i="35"/>
  <c r="N122" i="35" s="1"/>
  <c r="K33" i="30"/>
  <c r="K22" i="30"/>
  <c r="K23" i="30"/>
  <c r="K38" i="30"/>
  <c r="K19" i="30"/>
  <c r="AN7" i="30"/>
  <c r="K40" i="30"/>
  <c r="K13" i="30"/>
  <c r="K36" i="30"/>
  <c r="K42" i="30"/>
  <c r="K11" i="30"/>
  <c r="K9" i="30"/>
  <c r="K29" i="30"/>
  <c r="N65" i="47"/>
  <c r="M63" i="47"/>
  <c r="M56" i="47" s="1"/>
  <c r="M77" i="48"/>
  <c r="M100" i="48"/>
  <c r="M81" i="48"/>
  <c r="N81" i="48" s="1"/>
  <c r="P96" i="35"/>
  <c r="Q96" i="35"/>
  <c r="O162" i="33"/>
  <c r="N161" i="33"/>
  <c r="AI29" i="30" s="1"/>
  <c r="S156" i="63"/>
  <c r="Q181" i="67"/>
  <c r="X34" i="63"/>
  <c r="U198" i="67"/>
  <c r="T80" i="65"/>
  <c r="U145" i="67"/>
  <c r="N63" i="34"/>
  <c r="O26" i="49"/>
  <c r="O55" i="63"/>
  <c r="N131" i="58" s="1"/>
  <c r="Q115" i="63"/>
  <c r="P115" i="63" s="1"/>
  <c r="Q86" i="65"/>
  <c r="S86" i="65" s="1"/>
  <c r="U69" i="62"/>
  <c r="Q74" i="48"/>
  <c r="R27" i="30"/>
  <c r="BJ4" i="5"/>
  <c r="BJ61" i="5" s="1"/>
  <c r="P221" i="45"/>
  <c r="AQ15" i="43"/>
  <c r="AW15" i="43"/>
  <c r="Q140" i="20"/>
  <c r="P140" i="20"/>
  <c r="M138" i="35"/>
  <c r="N138" i="35" s="1"/>
  <c r="O138" i="35" s="1"/>
  <c r="M106" i="35"/>
  <c r="N106" i="35" s="1"/>
  <c r="O106" i="35" s="1"/>
  <c r="P106" i="35" s="1"/>
  <c r="M53" i="48"/>
  <c r="P67" i="48"/>
  <c r="Q67" i="48"/>
  <c r="O37" i="27"/>
  <c r="P38" i="27"/>
  <c r="P93" i="35"/>
  <c r="Q93" i="35"/>
  <c r="N161" i="40"/>
  <c r="R16" i="30"/>
  <c r="Q162" i="32"/>
  <c r="N162" i="32"/>
  <c r="O162" i="32" s="1"/>
  <c r="N28" i="34"/>
  <c r="M27" i="34"/>
  <c r="N72" i="34"/>
  <c r="O72" i="34" s="1"/>
  <c r="P72" i="34" s="1"/>
  <c r="M118" i="35"/>
  <c r="M143" i="35"/>
  <c r="N29" i="46"/>
  <c r="M27" i="46"/>
  <c r="N41" i="34"/>
  <c r="N100" i="32"/>
  <c r="O100" i="32" s="1"/>
  <c r="Q100" i="32"/>
  <c r="P28" i="51"/>
  <c r="N20" i="49"/>
  <c r="N45" i="48"/>
  <c r="M44" i="48"/>
  <c r="M12" i="48"/>
  <c r="Q135" i="47"/>
  <c r="P135" i="47"/>
  <c r="X21" i="43"/>
  <c r="X32" i="43"/>
  <c r="X10" i="43"/>
  <c r="O100" i="37"/>
  <c r="N99" i="37"/>
  <c r="Q46" i="47"/>
  <c r="P46" i="47"/>
  <c r="K167" i="58"/>
  <c r="P85" i="62"/>
  <c r="H120" i="58"/>
  <c r="T113" i="63"/>
  <c r="X44" i="63"/>
  <c r="Y44" i="63" s="1"/>
  <c r="AB44" i="63" s="1"/>
  <c r="M203" i="58"/>
  <c r="T63" i="67"/>
  <c r="U60" i="65"/>
  <c r="N205" i="58"/>
  <c r="A18" i="10"/>
  <c r="N71" i="24"/>
  <c r="M70" i="24"/>
  <c r="M69" i="24" s="1"/>
  <c r="M131" i="35"/>
  <c r="N135" i="35"/>
  <c r="N122" i="33"/>
  <c r="M117" i="33"/>
  <c r="N68" i="49"/>
  <c r="M29" i="48"/>
  <c r="N29" i="48" s="1"/>
  <c r="O29" i="48" s="1"/>
  <c r="M25" i="48"/>
  <c r="M80" i="48"/>
  <c r="N80" i="48" s="1"/>
  <c r="O80" i="48" s="1"/>
  <c r="Q17" i="48"/>
  <c r="P17" i="48"/>
  <c r="O121" i="47"/>
  <c r="N119" i="47"/>
  <c r="P183" i="67"/>
  <c r="Q107" i="65"/>
  <c r="H110" i="58"/>
  <c r="U63" i="67"/>
  <c r="T147" i="69"/>
  <c r="U160" i="68"/>
  <c r="P177" i="63"/>
  <c r="O25" i="63"/>
  <c r="N91" i="34"/>
  <c r="N118" i="40"/>
  <c r="O118" i="40" s="1"/>
  <c r="P118" i="40" s="1"/>
  <c r="M91" i="27"/>
  <c r="M90" i="27" s="1"/>
  <c r="M89" i="27" s="1"/>
  <c r="M88" i="27" s="1"/>
  <c r="N92" i="27"/>
  <c r="N91" i="27" s="1"/>
  <c r="N90" i="27" s="1"/>
  <c r="N89" i="27" s="1"/>
  <c r="N88" i="27" s="1"/>
  <c r="BM60" i="5"/>
  <c r="BM4" i="5"/>
  <c r="BM61" i="5" s="1"/>
  <c r="D55" i="10"/>
  <c r="M38" i="34"/>
  <c r="N39" i="34"/>
  <c r="O39" i="34" s="1"/>
  <c r="M136" i="35"/>
  <c r="N136" i="35" s="1"/>
  <c r="M144" i="33"/>
  <c r="N144" i="33" s="1"/>
  <c r="S35" i="30"/>
  <c r="S24" i="30"/>
  <c r="S16" i="30"/>
  <c r="S34" i="30"/>
  <c r="S13" i="30"/>
  <c r="S30" i="30"/>
  <c r="S21" i="30"/>
  <c r="S36" i="30"/>
  <c r="S31" i="30"/>
  <c r="S29" i="30"/>
  <c r="S40" i="30"/>
  <c r="S42" i="30"/>
  <c r="S20" i="30"/>
  <c r="S27" i="30"/>
  <c r="S18" i="30"/>
  <c r="S39" i="30"/>
  <c r="S10" i="30"/>
  <c r="S28" i="30"/>
  <c r="S41" i="30"/>
  <c r="S26" i="30"/>
  <c r="S37" i="30"/>
  <c r="S23" i="30"/>
  <c r="S33" i="30"/>
  <c r="S22" i="30"/>
  <c r="S32" i="30"/>
  <c r="S38" i="30"/>
  <c r="S12" i="30"/>
  <c r="S17" i="30"/>
  <c r="S25" i="30"/>
  <c r="S19" i="30"/>
  <c r="S9" i="30"/>
  <c r="S15" i="30"/>
  <c r="S14" i="30"/>
  <c r="S11" i="30"/>
  <c r="B6" i="13"/>
  <c r="C4" i="13"/>
  <c r="N49" i="49"/>
  <c r="O49" i="49" s="1"/>
  <c r="P49" i="49" s="1"/>
  <c r="N64" i="49"/>
  <c r="M63" i="49"/>
  <c r="N28" i="48"/>
  <c r="M101" i="48"/>
  <c r="M122" i="47"/>
  <c r="N122" i="47" s="1"/>
  <c r="O122" i="47" s="1"/>
  <c r="P122" i="47" s="1"/>
  <c r="O95" i="36"/>
  <c r="N94" i="36"/>
  <c r="O94" i="34"/>
  <c r="Q26" i="63"/>
  <c r="S183" i="67"/>
  <c r="S130" i="63"/>
  <c r="AN24" i="57" s="1"/>
  <c r="S63" i="67"/>
  <c r="N112" i="23"/>
  <c r="N111" i="23" s="1"/>
  <c r="Q137" i="24"/>
  <c r="N208" i="32"/>
  <c r="P147" i="69"/>
  <c r="M290" i="58"/>
  <c r="S177" i="63"/>
  <c r="N103" i="27"/>
  <c r="N102" i="27" s="1"/>
  <c r="M102" i="27"/>
  <c r="N53" i="46"/>
  <c r="N47" i="46" s="1"/>
  <c r="Q123" i="47"/>
  <c r="P123" i="47"/>
  <c r="M112" i="36"/>
  <c r="I113" i="36"/>
  <c r="M142" i="35"/>
  <c r="BC8" i="30"/>
  <c r="BD8" i="30"/>
  <c r="Z4" i="10"/>
  <c r="Z3" i="10" s="1"/>
  <c r="Q62" i="48"/>
  <c r="P62" i="48"/>
  <c r="M91" i="49"/>
  <c r="N92" i="49"/>
  <c r="O92" i="49" s="1"/>
  <c r="M75" i="48"/>
  <c r="N75" i="48" s="1"/>
  <c r="O75" i="48" s="1"/>
  <c r="P75" i="48" s="1"/>
  <c r="M14" i="48"/>
  <c r="M68" i="48"/>
  <c r="M103" i="48"/>
  <c r="M102" i="48" s="1"/>
  <c r="N127" i="48"/>
  <c r="O127" i="48" s="1"/>
  <c r="M112" i="47"/>
  <c r="I113" i="47"/>
  <c r="BI6" i="43"/>
  <c r="BJ6" i="43"/>
  <c r="P29" i="40"/>
  <c r="O27" i="40"/>
  <c r="P27" i="40" s="1"/>
  <c r="Q23" i="36"/>
  <c r="P23" i="36"/>
  <c r="N161" i="24"/>
  <c r="O162" i="24"/>
  <c r="O67" i="35"/>
  <c r="O42" i="48"/>
  <c r="K199" i="58"/>
  <c r="T130" i="63"/>
  <c r="K141" i="58"/>
  <c r="Q8" i="48"/>
  <c r="P8" i="48"/>
  <c r="J60" i="5"/>
  <c r="J4" i="5"/>
  <c r="J61" i="5" s="1"/>
  <c r="H4" i="10"/>
  <c r="H3" i="10" s="1"/>
  <c r="C27" i="4" s="1"/>
  <c r="H55" i="10"/>
  <c r="N48" i="48"/>
  <c r="O48" i="48" s="1"/>
  <c r="N23" i="48"/>
  <c r="O23" i="48" s="1"/>
  <c r="M92" i="48"/>
  <c r="M76" i="48"/>
  <c r="N76" i="48" s="1"/>
  <c r="M39" i="48"/>
  <c r="O127" i="47"/>
  <c r="O14" i="33"/>
  <c r="N13" i="33"/>
  <c r="M27" i="50"/>
  <c r="N30" i="50"/>
  <c r="N28" i="39"/>
  <c r="M6" i="51"/>
  <c r="N7" i="51"/>
  <c r="M150" i="23"/>
  <c r="M149" i="23" s="1"/>
  <c r="N151" i="23"/>
  <c r="N150" i="23" s="1"/>
  <c r="N149" i="23" s="1"/>
  <c r="N59" i="36"/>
  <c r="N57" i="36" s="1"/>
  <c r="M57" i="36"/>
  <c r="M142" i="36"/>
  <c r="M108" i="35"/>
  <c r="N108" i="35" s="1"/>
  <c r="O108" i="35" s="1"/>
  <c r="P108" i="35" s="1"/>
  <c r="R40" i="30"/>
  <c r="R37" i="30"/>
  <c r="R9" i="30"/>
  <c r="G5" i="28" s="1"/>
  <c r="R21" i="30"/>
  <c r="R10" i="30"/>
  <c r="R34" i="30"/>
  <c r="G10" i="28" s="1"/>
  <c r="R26" i="30"/>
  <c r="R14" i="30"/>
  <c r="R39" i="30"/>
  <c r="R31" i="30"/>
  <c r="R23" i="30"/>
  <c r="R12" i="30"/>
  <c r="R30" i="30"/>
  <c r="G9" i="28" s="1"/>
  <c r="R13" i="30"/>
  <c r="G6" i="28" s="1"/>
  <c r="R41" i="30"/>
  <c r="R29" i="30"/>
  <c r="R11" i="30"/>
  <c r="R38" i="30"/>
  <c r="R28" i="30"/>
  <c r="R25" i="30"/>
  <c r="G8" i="28"/>
  <c r="R36" i="30"/>
  <c r="R24" i="30"/>
  <c r="G12" i="28" s="1"/>
  <c r="R20" i="30"/>
  <c r="R35" i="30"/>
  <c r="R22" i="30"/>
  <c r="R32" i="30"/>
  <c r="R19" i="30"/>
  <c r="R18" i="30"/>
  <c r="G7" i="28" s="1"/>
  <c r="R17" i="30"/>
  <c r="R15" i="30"/>
  <c r="R42" i="30"/>
  <c r="Q98" i="32"/>
  <c r="N98" i="32"/>
  <c r="O98" i="32" s="1"/>
  <c r="N32" i="49"/>
  <c r="O32" i="49" s="1"/>
  <c r="P32" i="49" s="1"/>
  <c r="M40" i="48"/>
  <c r="N40" i="48" s="1"/>
  <c r="O40" i="48" s="1"/>
  <c r="M97" i="48"/>
  <c r="O97" i="46"/>
  <c r="N94" i="46"/>
  <c r="M6" i="50"/>
  <c r="N7" i="50"/>
  <c r="O7" i="50" s="1"/>
  <c r="Q67" i="46"/>
  <c r="O66" i="46"/>
  <c r="AF4" i="5"/>
  <c r="AF61" i="5" s="1"/>
  <c r="AD4" i="10"/>
  <c r="AD3" i="10" s="1"/>
  <c r="M247" i="58"/>
  <c r="U155" i="65"/>
  <c r="Q155" i="65"/>
  <c r="U150" i="65"/>
  <c r="Q150" i="65"/>
  <c r="S150" i="65" s="1"/>
  <c r="M242" i="58"/>
  <c r="X79" i="63"/>
  <c r="Y79" i="63" s="1"/>
  <c r="AB79" i="63" s="1"/>
  <c r="Q79" i="62"/>
  <c r="O78" i="62"/>
  <c r="U26" i="67"/>
  <c r="Q26" i="67"/>
  <c r="S26" i="67" s="1"/>
  <c r="S25" i="67" s="1"/>
  <c r="O25" i="67"/>
  <c r="K109" i="58" s="1"/>
  <c r="U17" i="67"/>
  <c r="Q17" i="67"/>
  <c r="K103" i="58"/>
  <c r="Q55" i="66"/>
  <c r="S55" i="66" s="1"/>
  <c r="P135" i="58"/>
  <c r="S32" i="65"/>
  <c r="T32" i="65"/>
  <c r="P32" i="65"/>
  <c r="N102" i="36"/>
  <c r="O104" i="36"/>
  <c r="Q142" i="62"/>
  <c r="S142" i="62" s="1"/>
  <c r="X142" i="63"/>
  <c r="Y142" i="63" s="1"/>
  <c r="AB142" i="63" s="1"/>
  <c r="H228" i="58"/>
  <c r="U144" i="62"/>
  <c r="H230" i="58"/>
  <c r="X144" i="63"/>
  <c r="U204" i="62"/>
  <c r="H290" i="58"/>
  <c r="X204" i="63"/>
  <c r="X57" i="63"/>
  <c r="Y57" i="63" s="1"/>
  <c r="AB57" i="63" s="1"/>
  <c r="U57" i="62"/>
  <c r="Q57" i="62"/>
  <c r="T57" i="62" s="1"/>
  <c r="X104" i="63"/>
  <c r="Y104" i="63" s="1"/>
  <c r="AB104" i="63" s="1"/>
  <c r="P61" i="35"/>
  <c r="N173" i="45"/>
  <c r="O173" i="45" s="1"/>
  <c r="N170" i="45"/>
  <c r="Q173" i="45"/>
  <c r="M170" i="45"/>
  <c r="Q170" i="45" s="1"/>
  <c r="U17" i="65"/>
  <c r="Q17" i="65"/>
  <c r="M103" i="58"/>
  <c r="P92" i="61"/>
  <c r="S92" i="61"/>
  <c r="Q74" i="67"/>
  <c r="U74" i="67"/>
  <c r="Q189" i="67"/>
  <c r="K281" i="58"/>
  <c r="N38" i="35"/>
  <c r="O39" i="35"/>
  <c r="P24" i="37"/>
  <c r="Q24" i="37"/>
  <c r="P69" i="66"/>
  <c r="S69" i="66"/>
  <c r="T109" i="63"/>
  <c r="P109" i="63"/>
  <c r="U110" i="65"/>
  <c r="Q110" i="65"/>
  <c r="T110" i="65" s="1"/>
  <c r="U130" i="65"/>
  <c r="M143" i="58"/>
  <c r="Q65" i="65"/>
  <c r="S65" i="65" s="1"/>
  <c r="U65" i="65"/>
  <c r="M108" i="58"/>
  <c r="U24" i="65"/>
  <c r="Q51" i="65"/>
  <c r="S51" i="65" s="1"/>
  <c r="U51" i="65"/>
  <c r="M116" i="58"/>
  <c r="Q34" i="65"/>
  <c r="T34" i="65" s="1"/>
  <c r="U114" i="65"/>
  <c r="Q114" i="65"/>
  <c r="U92" i="65"/>
  <c r="U94" i="65"/>
  <c r="Q11" i="48"/>
  <c r="P11" i="48"/>
  <c r="Q177" i="65"/>
  <c r="U177" i="65"/>
  <c r="U118" i="63"/>
  <c r="Q118" i="63"/>
  <c r="S118" i="63" s="1"/>
  <c r="N155" i="40"/>
  <c r="O155" i="40" s="1"/>
  <c r="P155" i="40" s="1"/>
  <c r="N21" i="39"/>
  <c r="O21" i="39" s="1"/>
  <c r="P21" i="39" s="1"/>
  <c r="M19" i="39"/>
  <c r="P31" i="20"/>
  <c r="Q31" i="20"/>
  <c r="U202" i="63"/>
  <c r="M57" i="40"/>
  <c r="N58" i="40"/>
  <c r="N57" i="40" s="1"/>
  <c r="O101" i="20"/>
  <c r="P100" i="49"/>
  <c r="O28" i="37"/>
  <c r="E55" i="10"/>
  <c r="Q186" i="63"/>
  <c r="U186" i="63"/>
  <c r="N126" i="58"/>
  <c r="Q142" i="20"/>
  <c r="P142" i="20"/>
  <c r="N164" i="58"/>
  <c r="U96" i="63"/>
  <c r="Q96" i="63"/>
  <c r="S76" i="63"/>
  <c r="T76" i="63"/>
  <c r="P76" i="63"/>
  <c r="O138" i="63"/>
  <c r="Q123" i="65"/>
  <c r="M219" i="58"/>
  <c r="U166" i="63"/>
  <c r="N32" i="32"/>
  <c r="O32" i="32" s="1"/>
  <c r="Q32" i="32"/>
  <c r="O127" i="20"/>
  <c r="O124" i="20" s="1"/>
  <c r="P124" i="20" s="1"/>
  <c r="N124" i="20"/>
  <c r="O136" i="46"/>
  <c r="N134" i="46"/>
  <c r="O12" i="46"/>
  <c r="O6" i="24"/>
  <c r="P7" i="24"/>
  <c r="P67" i="27"/>
  <c r="O66" i="27"/>
  <c r="P66" i="27" s="1"/>
  <c r="N7" i="25"/>
  <c r="M6" i="25"/>
  <c r="M5" i="25" s="1"/>
  <c r="M4" i="25" s="1"/>
  <c r="N94" i="25"/>
  <c r="O95" i="25"/>
  <c r="P151" i="37"/>
  <c r="Q151" i="37"/>
  <c r="Q162" i="47"/>
  <c r="P162" i="47"/>
  <c r="O128" i="48"/>
  <c r="Q128" i="48" s="1"/>
  <c r="N22" i="33"/>
  <c r="U24" i="63"/>
  <c r="Q24" i="63"/>
  <c r="U59" i="63"/>
  <c r="N133" i="58"/>
  <c r="Q59" i="63"/>
  <c r="P59" i="63" s="1"/>
  <c r="P34" i="36"/>
  <c r="Q34" i="36"/>
  <c r="N100" i="39"/>
  <c r="O100" i="39" s="1"/>
  <c r="P100" i="39" s="1"/>
  <c r="Q117" i="65"/>
  <c r="M213" i="58"/>
  <c r="U53" i="65"/>
  <c r="Q53" i="65"/>
  <c r="P53" i="65" s="1"/>
  <c r="Q139" i="65"/>
  <c r="U139" i="65"/>
  <c r="N17" i="20"/>
  <c r="O17" i="20" s="1"/>
  <c r="M111" i="35"/>
  <c r="N114" i="35"/>
  <c r="P64" i="50"/>
  <c r="M41" i="33"/>
  <c r="N42" i="33"/>
  <c r="P198" i="62"/>
  <c r="N60" i="46"/>
  <c r="X30" i="63"/>
  <c r="Q30" i="62"/>
  <c r="Q93" i="63"/>
  <c r="N161" i="58"/>
  <c r="Q125" i="63"/>
  <c r="S125" i="63" s="1"/>
  <c r="N143" i="40"/>
  <c r="S31" i="65"/>
  <c r="P31" i="65"/>
  <c r="T31" i="65"/>
  <c r="M272" i="58"/>
  <c r="Q180" i="65"/>
  <c r="U180" i="65"/>
  <c r="U173" i="65"/>
  <c r="M265" i="58"/>
  <c r="Q173" i="65"/>
  <c r="S173" i="65" s="1"/>
  <c r="Q197" i="67"/>
  <c r="K289" i="58"/>
  <c r="M2" i="42"/>
  <c r="D3" i="45" s="1"/>
  <c r="BJ53" i="43"/>
  <c r="H8" i="42"/>
  <c r="I163" i="45" s="1"/>
  <c r="M163" i="45" s="1"/>
  <c r="N163" i="45" s="1"/>
  <c r="P3" i="45"/>
  <c r="O120" i="20"/>
  <c r="Q67" i="25"/>
  <c r="O66" i="25"/>
  <c r="P66" i="25" s="1"/>
  <c r="P67" i="25"/>
  <c r="P46" i="38"/>
  <c r="M112" i="24"/>
  <c r="I113" i="24"/>
  <c r="P92" i="34"/>
  <c r="O91" i="34"/>
  <c r="P91" i="34" s="1"/>
  <c r="N20" i="35"/>
  <c r="O20" i="35" s="1"/>
  <c r="M19" i="35"/>
  <c r="I144" i="32"/>
  <c r="M144" i="32" s="1"/>
  <c r="I115" i="32"/>
  <c r="I121" i="32"/>
  <c r="M121" i="32" s="1"/>
  <c r="I180" i="32"/>
  <c r="M180" i="32" s="1"/>
  <c r="I51" i="32"/>
  <c r="M51" i="32" s="1"/>
  <c r="Q51" i="32" s="1"/>
  <c r="I52" i="32"/>
  <c r="M52" i="32" s="1"/>
  <c r="N52" i="32" s="1"/>
  <c r="I63" i="32"/>
  <c r="M63" i="32" s="1"/>
  <c r="I38" i="32"/>
  <c r="M38" i="32" s="1"/>
  <c r="I145" i="32"/>
  <c r="M145" i="32" s="1"/>
  <c r="I146" i="32"/>
  <c r="M146" i="32" s="1"/>
  <c r="I147" i="32"/>
  <c r="M147" i="32" s="1"/>
  <c r="I30" i="32"/>
  <c r="M30" i="32" s="1"/>
  <c r="I176" i="32"/>
  <c r="M176" i="32" s="1"/>
  <c r="I124" i="32"/>
  <c r="M124" i="32" s="1"/>
  <c r="Q124" i="32" s="1"/>
  <c r="I177" i="32"/>
  <c r="M177" i="32" s="1"/>
  <c r="I109" i="32"/>
  <c r="M109" i="32"/>
  <c r="I50" i="32"/>
  <c r="M50" i="32" s="1"/>
  <c r="N50" i="32" s="1"/>
  <c r="O50" i="32" s="1"/>
  <c r="I116" i="32"/>
  <c r="M116" i="32" s="1"/>
  <c r="I148" i="32"/>
  <c r="M148" i="32" s="1"/>
  <c r="I126" i="32"/>
  <c r="M126" i="32" s="1"/>
  <c r="I193" i="32"/>
  <c r="M193" i="32" s="1"/>
  <c r="Q193" i="32" s="1"/>
  <c r="I54" i="32"/>
  <c r="M54" i="32"/>
  <c r="Q54" i="32" s="1"/>
  <c r="I49" i="32"/>
  <c r="M49" i="32" s="1"/>
  <c r="N49" i="32" s="1"/>
  <c r="O49" i="32" s="1"/>
  <c r="I35" i="32"/>
  <c r="M35" i="32" s="1"/>
  <c r="I67" i="32"/>
  <c r="M67" i="32" s="1"/>
  <c r="I117" i="32"/>
  <c r="M117" i="32" s="1"/>
  <c r="N117" i="32" s="1"/>
  <c r="O117" i="32" s="1"/>
  <c r="I69" i="32"/>
  <c r="M69" i="32" s="1"/>
  <c r="I61" i="32"/>
  <c r="M61" i="32" s="1"/>
  <c r="N61" i="32" s="1"/>
  <c r="I53" i="32"/>
  <c r="M53" i="32" s="1"/>
  <c r="I203" i="32"/>
  <c r="M203" i="32" s="1"/>
  <c r="N203" i="32" s="1"/>
  <c r="I204" i="32"/>
  <c r="M204" i="32" s="1"/>
  <c r="I191" i="32"/>
  <c r="M191" i="32" s="1"/>
  <c r="Q191" i="32" s="1"/>
  <c r="I37" i="32"/>
  <c r="M37" i="32"/>
  <c r="I40" i="32"/>
  <c r="M40" i="32" s="1"/>
  <c r="I227" i="32"/>
  <c r="M227" i="32" s="1"/>
  <c r="I125" i="32"/>
  <c r="M125" i="32" s="1"/>
  <c r="I120" i="32"/>
  <c r="M120" i="32" s="1"/>
  <c r="I122" i="32"/>
  <c r="M122" i="32" s="1"/>
  <c r="I143" i="32"/>
  <c r="M143" i="32" s="1"/>
  <c r="I230" i="32"/>
  <c r="M230" i="32" s="1"/>
  <c r="I111" i="32"/>
  <c r="M111" i="32" s="1"/>
  <c r="I119" i="32"/>
  <c r="I27" i="32"/>
  <c r="M27" i="32" s="1"/>
  <c r="N27" i="32" s="1"/>
  <c r="I42" i="32"/>
  <c r="M42" i="32" s="1"/>
  <c r="I59" i="32"/>
  <c r="M59" i="32" s="1"/>
  <c r="I55" i="32"/>
  <c r="M55" i="32" s="1"/>
  <c r="I183" i="32"/>
  <c r="M183" i="32" s="1"/>
  <c r="I202" i="32"/>
  <c r="M202" i="32" s="1"/>
  <c r="I110" i="32"/>
  <c r="M110" i="32" s="1"/>
  <c r="I192" i="32"/>
  <c r="M192" i="32" s="1"/>
  <c r="I62" i="32"/>
  <c r="M62" i="32" s="1"/>
  <c r="Q62" i="32" s="1"/>
  <c r="I56" i="32"/>
  <c r="M56" i="32" s="1"/>
  <c r="I43" i="32"/>
  <c r="M43" i="32" s="1"/>
  <c r="N43" i="32" s="1"/>
  <c r="I123" i="32"/>
  <c r="M123" i="32" s="1"/>
  <c r="I113" i="32"/>
  <c r="M113" i="32"/>
  <c r="I33" i="32"/>
  <c r="I194" i="32"/>
  <c r="M194" i="32" s="1"/>
  <c r="I178" i="32"/>
  <c r="M178" i="32" s="1"/>
  <c r="N178" i="32" s="1"/>
  <c r="O178" i="32" s="1"/>
  <c r="I39" i="32"/>
  <c r="M39" i="32" s="1"/>
  <c r="I185" i="32"/>
  <c r="M185" i="32" s="1"/>
  <c r="I149" i="32"/>
  <c r="M149" i="32"/>
  <c r="I205" i="32"/>
  <c r="M205" i="32" s="1"/>
  <c r="I31" i="32"/>
  <c r="M31" i="32" s="1"/>
  <c r="I188" i="32"/>
  <c r="M188" i="32" s="1"/>
  <c r="I36" i="32"/>
  <c r="M36" i="32" s="1"/>
  <c r="N36" i="32" s="1"/>
  <c r="O36" i="32" s="1"/>
  <c r="I112" i="32"/>
  <c r="I201" i="32"/>
  <c r="M201" i="32" s="1"/>
  <c r="O131" i="37"/>
  <c r="O104" i="39"/>
  <c r="N151" i="25"/>
  <c r="M150" i="25"/>
  <c r="M149" i="25" s="1"/>
  <c r="N92" i="20"/>
  <c r="N91" i="20" s="1"/>
  <c r="M91" i="20"/>
  <c r="N108" i="47"/>
  <c r="O108" i="47" s="1"/>
  <c r="Q46" i="63"/>
  <c r="N160" i="32"/>
  <c r="O160" i="32" s="1"/>
  <c r="Q160" i="32"/>
  <c r="N12" i="40"/>
  <c r="N10" i="40"/>
  <c r="M10" i="40"/>
  <c r="T80" i="63"/>
  <c r="P80" i="63"/>
  <c r="N11" i="39"/>
  <c r="N10" i="39"/>
  <c r="M10" i="39"/>
  <c r="I4" i="42"/>
  <c r="E3" i="45"/>
  <c r="I5" i="44"/>
  <c r="P14" i="46"/>
  <c r="Q14" i="46"/>
  <c r="O13" i="46"/>
  <c r="P13" i="46"/>
  <c r="I60" i="5"/>
  <c r="I4" i="5"/>
  <c r="I61" i="5" s="1"/>
  <c r="O20" i="33"/>
  <c r="N19" i="33"/>
  <c r="O98" i="33"/>
  <c r="N94" i="33"/>
  <c r="O64" i="38"/>
  <c r="P64" i="38"/>
  <c r="P12" i="33"/>
  <c r="Q12" i="33"/>
  <c r="P42" i="35"/>
  <c r="Q42" i="35"/>
  <c r="P30" i="33"/>
  <c r="Q30" i="33"/>
  <c r="P26" i="34"/>
  <c r="N10" i="33"/>
  <c r="N43" i="38"/>
  <c r="N137" i="36"/>
  <c r="N134" i="36" s="1"/>
  <c r="M134" i="36"/>
  <c r="U15" i="63"/>
  <c r="U13" i="63" s="1"/>
  <c r="U12" i="63" s="1"/>
  <c r="U11" i="63" s="1"/>
  <c r="Q15" i="63"/>
  <c r="N23" i="40"/>
  <c r="O23" i="40" s="1"/>
  <c r="P23" i="40" s="1"/>
  <c r="Q63" i="65"/>
  <c r="T63" i="65" s="1"/>
  <c r="U63" i="65"/>
  <c r="M141" i="58"/>
  <c r="M215" i="58"/>
  <c r="Q119" i="65"/>
  <c r="S80" i="63"/>
  <c r="K280" i="58"/>
  <c r="Q188" i="67"/>
  <c r="AT15" i="30"/>
  <c r="AQ15" i="30"/>
  <c r="AH15" i="30"/>
  <c r="AK15" i="30"/>
  <c r="AN15" i="30"/>
  <c r="AZ15" i="30"/>
  <c r="N117" i="23"/>
  <c r="O118" i="23"/>
  <c r="O124" i="27"/>
  <c r="P124" i="27" s="1"/>
  <c r="P125" i="27"/>
  <c r="M125" i="25"/>
  <c r="M58" i="24"/>
  <c r="O130" i="32"/>
  <c r="P127" i="37"/>
  <c r="Q127" i="37"/>
  <c r="X22" i="63"/>
  <c r="Y22" i="63" s="1"/>
  <c r="AB22" i="63" s="1"/>
  <c r="N132" i="20"/>
  <c r="O132" i="20" s="1"/>
  <c r="N163" i="20"/>
  <c r="Q151" i="67"/>
  <c r="K243" i="58"/>
  <c r="Q67" i="63"/>
  <c r="P67" i="63" s="1"/>
  <c r="R4" i="10"/>
  <c r="R3" i="10" s="1"/>
  <c r="R55" i="10"/>
  <c r="Q190" i="67"/>
  <c r="S190" i="67" s="1"/>
  <c r="K282" i="58"/>
  <c r="Q28" i="47"/>
  <c r="P28" i="47"/>
  <c r="N152" i="32"/>
  <c r="M151" i="32"/>
  <c r="Q151" i="32"/>
  <c r="Q152" i="32"/>
  <c r="M135" i="24"/>
  <c r="P50" i="48"/>
  <c r="Q50" i="48"/>
  <c r="Q76" i="33"/>
  <c r="P76" i="33"/>
  <c r="P120" i="46"/>
  <c r="Q120" i="46"/>
  <c r="O20" i="50"/>
  <c r="O19" i="50" s="1"/>
  <c r="P19" i="50" s="1"/>
  <c r="Q132" i="25"/>
  <c r="O132" i="67"/>
  <c r="M130" i="20"/>
  <c r="U79" i="63"/>
  <c r="Q79" i="63"/>
  <c r="Q115" i="62"/>
  <c r="H205" i="58"/>
  <c r="N7" i="20"/>
  <c r="O7" i="20" s="1"/>
  <c r="P7" i="20" s="1"/>
  <c r="Q111" i="65"/>
  <c r="S111" i="65" s="1"/>
  <c r="M207" i="58"/>
  <c r="K241" i="58"/>
  <c r="Q149" i="67"/>
  <c r="Q156" i="46"/>
  <c r="P156" i="46"/>
  <c r="N153" i="32"/>
  <c r="O153" i="32" s="1"/>
  <c r="Q153" i="32"/>
  <c r="M30" i="25"/>
  <c r="N30" i="25" s="1"/>
  <c r="O30" i="25" s="1"/>
  <c r="P20" i="27"/>
  <c r="O19" i="27"/>
  <c r="P19" i="27" s="1"/>
  <c r="O125" i="36"/>
  <c r="P204" i="58"/>
  <c r="Q40" i="66"/>
  <c r="Q108" i="66"/>
  <c r="P145" i="67"/>
  <c r="T145" i="67"/>
  <c r="S145" i="67"/>
  <c r="Q24" i="33"/>
  <c r="P24" i="33"/>
  <c r="T45" i="63"/>
  <c r="O42" i="49"/>
  <c r="P42" i="49" s="1"/>
  <c r="M134" i="40"/>
  <c r="N136" i="40"/>
  <c r="N49" i="20"/>
  <c r="O49" i="20" s="1"/>
  <c r="M122" i="37"/>
  <c r="N122" i="37" s="1"/>
  <c r="O122" i="37" s="1"/>
  <c r="M53" i="24"/>
  <c r="M17" i="24"/>
  <c r="M26" i="24"/>
  <c r="N26" i="24" s="1"/>
  <c r="O26" i="24" s="1"/>
  <c r="Q26" i="24" s="1"/>
  <c r="M29" i="24"/>
  <c r="N50" i="24"/>
  <c r="O50" i="24" s="1"/>
  <c r="M20" i="24"/>
  <c r="M53" i="47"/>
  <c r="O64" i="48"/>
  <c r="N63" i="48"/>
  <c r="N161" i="37"/>
  <c r="AU29" i="30" s="1"/>
  <c r="O162" i="37"/>
  <c r="P45" i="63"/>
  <c r="N26" i="20"/>
  <c r="T13" i="67"/>
  <c r="P13" i="67"/>
  <c r="Q159" i="45"/>
  <c r="N159" i="45"/>
  <c r="O159" i="45" s="1"/>
  <c r="P159" i="45" s="1"/>
  <c r="AO36" i="30"/>
  <c r="AU36" i="30"/>
  <c r="AR36" i="30"/>
  <c r="AI36" i="30"/>
  <c r="BA36" i="30"/>
  <c r="AL36" i="30"/>
  <c r="M143" i="37"/>
  <c r="M97" i="24"/>
  <c r="M14" i="24"/>
  <c r="M68" i="24"/>
  <c r="N68" i="24" s="1"/>
  <c r="O68" i="24" s="1"/>
  <c r="P68" i="24" s="1"/>
  <c r="M74" i="24"/>
  <c r="N74" i="24" s="1"/>
  <c r="O74" i="24" s="1"/>
  <c r="M15" i="24"/>
  <c r="N15" i="24"/>
  <c r="M33" i="47"/>
  <c r="N33" i="47" s="1"/>
  <c r="O33" i="47" s="1"/>
  <c r="P33" i="47" s="1"/>
  <c r="P31" i="36"/>
  <c r="Q31" i="36"/>
  <c r="A18" i="12"/>
  <c r="A14" i="12"/>
  <c r="A22" i="12" s="1"/>
  <c r="O214" i="45"/>
  <c r="P214" i="45"/>
  <c r="P218" i="45"/>
  <c r="O15" i="35"/>
  <c r="N13" i="35"/>
  <c r="O162" i="48"/>
  <c r="N161" i="48"/>
  <c r="AX29" i="43" s="1"/>
  <c r="O143" i="46"/>
  <c r="O31" i="62"/>
  <c r="X31" i="63" s="1"/>
  <c r="N38" i="36"/>
  <c r="O61" i="25"/>
  <c r="S32" i="64"/>
  <c r="M6" i="20"/>
  <c r="N8" i="20"/>
  <c r="N156" i="40"/>
  <c r="N76" i="20"/>
  <c r="O76" i="20" s="1"/>
  <c r="T79" i="67"/>
  <c r="S79" i="67"/>
  <c r="P79" i="67"/>
  <c r="Q167" i="65"/>
  <c r="U167" i="65"/>
  <c r="M259" i="58"/>
  <c r="BB36" i="30"/>
  <c r="N132" i="23"/>
  <c r="O132" i="23" s="1"/>
  <c r="P132" i="23" s="1"/>
  <c r="I113" i="37"/>
  <c r="M112" i="37"/>
  <c r="M21" i="24"/>
  <c r="N21" i="24" s="1"/>
  <c r="M49" i="24"/>
  <c r="N49" i="24" s="1"/>
  <c r="O49" i="24" s="1"/>
  <c r="M73" i="24"/>
  <c r="N73" i="24" s="1"/>
  <c r="M100" i="24"/>
  <c r="M39" i="47"/>
  <c r="N38" i="39"/>
  <c r="O39" i="39"/>
  <c r="P20" i="46"/>
  <c r="Q20" i="46"/>
  <c r="O131" i="48"/>
  <c r="Q131" i="48" s="1"/>
  <c r="N72" i="20"/>
  <c r="O72" i="20" s="1"/>
  <c r="U149" i="65"/>
  <c r="Q149" i="65"/>
  <c r="M241" i="58"/>
  <c r="M130" i="23"/>
  <c r="M129" i="23" s="1"/>
  <c r="N131" i="23"/>
  <c r="N130" i="23" s="1"/>
  <c r="N129" i="23" s="1"/>
  <c r="M144" i="37"/>
  <c r="N144" i="37" s="1"/>
  <c r="M11" i="24"/>
  <c r="M18" i="24"/>
  <c r="N18" i="24" s="1"/>
  <c r="O18" i="24" s="1"/>
  <c r="N48" i="24"/>
  <c r="M47" i="24"/>
  <c r="M104" i="24"/>
  <c r="N104" i="24" s="1"/>
  <c r="O104" i="24" s="1"/>
  <c r="M95" i="24"/>
  <c r="M74" i="47"/>
  <c r="P163" i="25"/>
  <c r="Q163" i="25"/>
  <c r="AR28" i="43"/>
  <c r="E58" i="9"/>
  <c r="E78" i="9"/>
  <c r="O40" i="46"/>
  <c r="O65" i="34"/>
  <c r="T154" i="67"/>
  <c r="P154" i="67"/>
  <c r="S154" i="67"/>
  <c r="U187" i="65"/>
  <c r="N137" i="23"/>
  <c r="O137" i="23" s="1"/>
  <c r="P137" i="23" s="1"/>
  <c r="M142" i="37"/>
  <c r="M45" i="24"/>
  <c r="M77" i="24"/>
  <c r="N77" i="24" s="1"/>
  <c r="O77" i="24" s="1"/>
  <c r="P77" i="24"/>
  <c r="M38" i="24"/>
  <c r="M37" i="24" s="1"/>
  <c r="M36" i="24" s="1"/>
  <c r="N39" i="24"/>
  <c r="M96" i="24"/>
  <c r="M18" i="47"/>
  <c r="S4" i="10"/>
  <c r="S3" i="10" s="1"/>
  <c r="S55" i="10"/>
  <c r="P136" i="37"/>
  <c r="Q136" i="37"/>
  <c r="T173" i="62"/>
  <c r="BP27" i="57"/>
  <c r="X42" i="63"/>
  <c r="Y42" i="63" s="1"/>
  <c r="AB42" i="63" s="1"/>
  <c r="Q204" i="62"/>
  <c r="U164" i="62"/>
  <c r="H134" i="58"/>
  <c r="S109" i="63"/>
  <c r="T66" i="63"/>
  <c r="P66" i="63"/>
  <c r="N49" i="39"/>
  <c r="U103" i="65"/>
  <c r="Q103" i="65"/>
  <c r="M199" i="58"/>
  <c r="M27" i="24"/>
  <c r="N28" i="24"/>
  <c r="M16" i="24"/>
  <c r="N16" i="24" s="1"/>
  <c r="Q52" i="24"/>
  <c r="P52" i="24"/>
  <c r="M159" i="47"/>
  <c r="D60" i="5"/>
  <c r="D4" i="5"/>
  <c r="D61" i="5" s="1"/>
  <c r="O39" i="49"/>
  <c r="B44" i="12"/>
  <c r="I38" i="4"/>
  <c r="F13" i="4" s="1"/>
  <c r="H36" i="3"/>
  <c r="M102" i="25"/>
  <c r="N103" i="25"/>
  <c r="N75" i="20"/>
  <c r="O75" i="20" s="1"/>
  <c r="N120" i="40"/>
  <c r="M119" i="40"/>
  <c r="M117" i="40" s="1"/>
  <c r="N80" i="20"/>
  <c r="O80" i="20" s="1"/>
  <c r="T124" i="69"/>
  <c r="P124" i="69"/>
  <c r="N44" i="45"/>
  <c r="O44" i="45" s="1"/>
  <c r="P44" i="45" s="1"/>
  <c r="Q44" i="45"/>
  <c r="Q95" i="20"/>
  <c r="P95" i="20"/>
  <c r="S80" i="64"/>
  <c r="N142" i="23"/>
  <c r="N141" i="23" s="1"/>
  <c r="M141" i="23"/>
  <c r="M55" i="24"/>
  <c r="N55" i="24"/>
  <c r="O55" i="24" s="1"/>
  <c r="P55" i="24" s="1"/>
  <c r="M103" i="24"/>
  <c r="M101" i="24"/>
  <c r="N101" i="24" s="1"/>
  <c r="O59" i="47"/>
  <c r="N57" i="47"/>
  <c r="M75" i="47"/>
  <c r="N75" i="47" s="1"/>
  <c r="O75" i="47" s="1"/>
  <c r="Q161" i="32"/>
  <c r="N161" i="32"/>
  <c r="O161" i="32" s="1"/>
  <c r="O6" i="36"/>
  <c r="P6" i="36" s="1"/>
  <c r="P8" i="36"/>
  <c r="Q8" i="36"/>
  <c r="N71" i="20"/>
  <c r="O71" i="20" s="1"/>
  <c r="N133" i="27"/>
  <c r="O133" i="27"/>
  <c r="P133" i="27" s="1"/>
  <c r="T171" i="65"/>
  <c r="P171" i="65"/>
  <c r="S171" i="65"/>
  <c r="R60" i="5"/>
  <c r="R4" i="5"/>
  <c r="R61" i="5" s="1"/>
  <c r="N135" i="23"/>
  <c r="N134" i="23" s="1"/>
  <c r="M72" i="24"/>
  <c r="N72" i="24"/>
  <c r="O72" i="24" s="1"/>
  <c r="P72" i="24" s="1"/>
  <c r="M42" i="24"/>
  <c r="N67" i="24"/>
  <c r="M66" i="24"/>
  <c r="M51" i="24"/>
  <c r="M75" i="24"/>
  <c r="N75" i="24" s="1"/>
  <c r="O75" i="24" s="1"/>
  <c r="P61" i="46"/>
  <c r="Q61" i="46"/>
  <c r="O60" i="46"/>
  <c r="Q61" i="36"/>
  <c r="P61" i="36"/>
  <c r="O63" i="35"/>
  <c r="P63" i="35" s="1"/>
  <c r="P65" i="35"/>
  <c r="Q65" i="35"/>
  <c r="O125" i="24"/>
  <c r="N124" i="24"/>
  <c r="Q46" i="24"/>
  <c r="P46" i="24"/>
  <c r="P123" i="58"/>
  <c r="S149" i="62"/>
  <c r="P149" i="62"/>
  <c r="T149" i="62"/>
  <c r="P92" i="65"/>
  <c r="S195" i="69"/>
  <c r="T195" i="69"/>
  <c r="P195" i="69"/>
  <c r="Q161" i="68"/>
  <c r="U161" i="68"/>
  <c r="O253" i="58"/>
  <c r="N58" i="51"/>
  <c r="N57" i="51" s="1"/>
  <c r="M100" i="33"/>
  <c r="P175" i="69"/>
  <c r="T175" i="69"/>
  <c r="S175" i="69"/>
  <c r="S111" i="62"/>
  <c r="P111" i="62"/>
  <c r="T111" i="62"/>
  <c r="T125" i="67"/>
  <c r="S125" i="67"/>
  <c r="P125" i="67"/>
  <c r="T31" i="66"/>
  <c r="P31" i="66"/>
  <c r="S31" i="66"/>
  <c r="N54" i="49"/>
  <c r="O54" i="49" s="1"/>
  <c r="P54" i="49" s="1"/>
  <c r="M47" i="49"/>
  <c r="M37" i="49" s="1"/>
  <c r="S115" i="63"/>
  <c r="T115" i="63"/>
  <c r="Q197" i="62"/>
  <c r="U197" i="62"/>
  <c r="H283" i="58"/>
  <c r="X197" i="63"/>
  <c r="H256" i="58"/>
  <c r="U170" i="62"/>
  <c r="X170" i="63"/>
  <c r="Y170" i="63" s="1"/>
  <c r="AB170" i="63" s="1"/>
  <c r="O67" i="49"/>
  <c r="Q20" i="65"/>
  <c r="T20" i="65" s="1"/>
  <c r="U20" i="65"/>
  <c r="S155" i="69"/>
  <c r="T155" i="69"/>
  <c r="P155" i="69"/>
  <c r="N135" i="25"/>
  <c r="M134" i="25"/>
  <c r="N22" i="51"/>
  <c r="O23" i="51"/>
  <c r="P128" i="48"/>
  <c r="P77" i="35"/>
  <c r="Q77" i="35"/>
  <c r="P183" i="62"/>
  <c r="T183" i="62"/>
  <c r="P70" i="63"/>
  <c r="S70" i="63"/>
  <c r="X91" i="63"/>
  <c r="Q91" i="62"/>
  <c r="T91" i="62" s="1"/>
  <c r="U91" i="62"/>
  <c r="U38" i="62"/>
  <c r="U148" i="62"/>
  <c r="Q148" i="62"/>
  <c r="S148" i="62" s="1"/>
  <c r="Q163" i="62"/>
  <c r="P163" i="62" s="1"/>
  <c r="O159" i="62"/>
  <c r="X159" i="63" s="1"/>
  <c r="X163" i="63"/>
  <c r="O132" i="49"/>
  <c r="U163" i="62"/>
  <c r="O60" i="5"/>
  <c r="O4" i="5"/>
  <c r="O61" i="5" s="1"/>
  <c r="V55" i="10"/>
  <c r="V4" i="10"/>
  <c r="V3" i="10" s="1"/>
  <c r="P167" i="69"/>
  <c r="S167" i="69"/>
  <c r="P26" i="46"/>
  <c r="Q26" i="46"/>
  <c r="O155" i="34"/>
  <c r="P141" i="62"/>
  <c r="T141" i="62"/>
  <c r="H124" i="58"/>
  <c r="Q170" i="62"/>
  <c r="S178" i="68"/>
  <c r="P178" i="68"/>
  <c r="Q138" i="24"/>
  <c r="P138" i="24"/>
  <c r="P60" i="5"/>
  <c r="P4" i="5"/>
  <c r="P61" i="5" s="1"/>
  <c r="X148" i="63"/>
  <c r="Y148" i="63" s="1"/>
  <c r="AB148" i="63" s="1"/>
  <c r="Q129" i="62"/>
  <c r="M122" i="24"/>
  <c r="P103" i="40"/>
  <c r="U83" i="62"/>
  <c r="N134" i="47"/>
  <c r="N129" i="47" s="1"/>
  <c r="AU27" i="43" s="1"/>
  <c r="O137" i="47"/>
  <c r="O134" i="47"/>
  <c r="P134" i="47" s="1"/>
  <c r="H234" i="58"/>
  <c r="T70" i="63"/>
  <c r="T171" i="69"/>
  <c r="S171" i="69"/>
  <c r="O100" i="34"/>
  <c r="P100" i="34" s="1"/>
  <c r="N99" i="34"/>
  <c r="L37" i="57"/>
  <c r="L12" i="57"/>
  <c r="L36" i="57"/>
  <c r="L14" i="57"/>
  <c r="L42" i="57"/>
  <c r="L43" i="57"/>
  <c r="Q60" i="67"/>
  <c r="S60" i="67" s="1"/>
  <c r="U60" i="67"/>
  <c r="Q15" i="67"/>
  <c r="S15" i="67" s="1"/>
  <c r="U15" i="67"/>
  <c r="K101" i="58"/>
  <c r="Q53" i="67"/>
  <c r="S53" i="67"/>
  <c r="U53" i="67"/>
  <c r="Q116" i="67"/>
  <c r="T116" i="67" s="1"/>
  <c r="U116" i="67"/>
  <c r="U118" i="67"/>
  <c r="K214" i="58"/>
  <c r="Q64" i="67"/>
  <c r="S64" i="67" s="1"/>
  <c r="K142" i="58"/>
  <c r="O120" i="67"/>
  <c r="U120" i="67" s="1"/>
  <c r="P201" i="58"/>
  <c r="S105" i="66"/>
  <c r="Q28" i="66"/>
  <c r="M268" i="58"/>
  <c r="U176" i="65"/>
  <c r="Q176" i="65"/>
  <c r="P203" i="63"/>
  <c r="T203" i="63"/>
  <c r="P87" i="63"/>
  <c r="T87" i="63"/>
  <c r="S87" i="63"/>
  <c r="BL60" i="5"/>
  <c r="BL4" i="5"/>
  <c r="BL61" i="5" s="1"/>
  <c r="P58" i="39"/>
  <c r="P162" i="39"/>
  <c r="O48" i="40"/>
  <c r="BP25" i="57"/>
  <c r="Q48" i="62"/>
  <c r="S48" i="62" s="1"/>
  <c r="F26" i="10"/>
  <c r="E26" i="12" s="1"/>
  <c r="N152" i="51"/>
  <c r="N73" i="20"/>
  <c r="O73" i="20" s="1"/>
  <c r="U42" i="67"/>
  <c r="Q98" i="67"/>
  <c r="U98" i="67"/>
  <c r="K172" i="58"/>
  <c r="K106" i="58"/>
  <c r="U22" i="67"/>
  <c r="K265" i="58"/>
  <c r="U173" i="67"/>
  <c r="Q173" i="67"/>
  <c r="S173" i="67" s="1"/>
  <c r="K140" i="58"/>
  <c r="U62" i="67"/>
  <c r="Q62" i="67"/>
  <c r="T62" i="67" s="1"/>
  <c r="Q181" i="66"/>
  <c r="S181" i="66" s="1"/>
  <c r="P273" i="58"/>
  <c r="S203" i="63"/>
  <c r="S26" i="63"/>
  <c r="M9" i="40"/>
  <c r="O104" i="32"/>
  <c r="S178" i="69"/>
  <c r="T178" i="69"/>
  <c r="P178" i="69"/>
  <c r="N142" i="51"/>
  <c r="O142" i="51" s="1"/>
  <c r="P142" i="51" s="1"/>
  <c r="N78" i="20"/>
  <c r="O78" i="20" s="1"/>
  <c r="P78" i="20" s="1"/>
  <c r="M41" i="51"/>
  <c r="N43" i="51"/>
  <c r="M144" i="35"/>
  <c r="K15" i="25"/>
  <c r="M15" i="25" s="1"/>
  <c r="U110" i="67"/>
  <c r="K206" i="58"/>
  <c r="Q110" i="67"/>
  <c r="T110" i="67" s="1"/>
  <c r="S93" i="67"/>
  <c r="P93" i="67"/>
  <c r="T93" i="67"/>
  <c r="Q134" i="67"/>
  <c r="S134" i="67" s="1"/>
  <c r="U134" i="67"/>
  <c r="U29" i="67"/>
  <c r="Q29" i="67"/>
  <c r="P29" i="67" s="1"/>
  <c r="K111" i="58"/>
  <c r="BK4" i="10"/>
  <c r="BK3" i="10" s="1"/>
  <c r="M142" i="24"/>
  <c r="N142" i="24" s="1"/>
  <c r="W65" i="5"/>
  <c r="V8" i="10" s="1"/>
  <c r="V7" i="10" s="1"/>
  <c r="V26" i="10" s="1"/>
  <c r="U26" i="12" s="1"/>
  <c r="W5" i="5"/>
  <c r="W62" i="5" s="1"/>
  <c r="Q62" i="24"/>
  <c r="P62" i="24"/>
  <c r="BN4" i="10"/>
  <c r="BN3" i="10" s="1"/>
  <c r="I4" i="10"/>
  <c r="I3" i="10" s="1"/>
  <c r="I55" i="10"/>
  <c r="T80" i="67"/>
  <c r="P80" i="67"/>
  <c r="P45" i="27"/>
  <c r="O44" i="27"/>
  <c r="P44" i="27" s="1"/>
  <c r="O7" i="34"/>
  <c r="S124" i="68"/>
  <c r="AQ24" i="57" s="1"/>
  <c r="T124" i="68"/>
  <c r="P124" i="68"/>
  <c r="AP24" i="57"/>
  <c r="T79" i="69"/>
  <c r="P79" i="69"/>
  <c r="Q163" i="32"/>
  <c r="N163" i="32"/>
  <c r="N158" i="32" s="1"/>
  <c r="M158" i="32"/>
  <c r="Q158" i="32" s="1"/>
  <c r="N127" i="27"/>
  <c r="O127" i="27" s="1"/>
  <c r="P127" i="27" s="1"/>
  <c r="Q60" i="5"/>
  <c r="Q4" i="5"/>
  <c r="Q61" i="5" s="1"/>
  <c r="Q113" i="67"/>
  <c r="U113" i="67"/>
  <c r="K209" i="58"/>
  <c r="K152" i="58"/>
  <c r="Q76" i="67"/>
  <c r="S76" i="67" s="1"/>
  <c r="U76" i="67"/>
  <c r="Q131" i="67"/>
  <c r="U131" i="67"/>
  <c r="Q158" i="67"/>
  <c r="S158" i="67" s="1"/>
  <c r="U158" i="67"/>
  <c r="K250" i="58"/>
  <c r="Q200" i="67"/>
  <c r="U200" i="67"/>
  <c r="K292" i="58"/>
  <c r="Q44" i="67"/>
  <c r="U44" i="67"/>
  <c r="K126" i="58"/>
  <c r="Q164" i="67"/>
  <c r="S164" i="67" s="1"/>
  <c r="K256" i="58"/>
  <c r="U164" i="67"/>
  <c r="K283" i="58"/>
  <c r="U191" i="67"/>
  <c r="Q191" i="67"/>
  <c r="J268" i="58"/>
  <c r="Q176" i="64"/>
  <c r="P176" i="64" s="1"/>
  <c r="U176" i="64"/>
  <c r="P93" i="20"/>
  <c r="Q93" i="20"/>
  <c r="P12" i="37"/>
  <c r="Q12" i="37"/>
  <c r="O79" i="48"/>
  <c r="P79" i="48" s="1"/>
  <c r="O42" i="39"/>
  <c r="S31" i="64"/>
  <c r="M130" i="40"/>
  <c r="O12" i="51"/>
  <c r="P12" i="51" s="1"/>
  <c r="AJ24" i="57"/>
  <c r="P124" i="64"/>
  <c r="S124" i="64"/>
  <c r="AK24" i="57" s="1"/>
  <c r="J24" i="57" s="1"/>
  <c r="N122" i="20"/>
  <c r="O122" i="20" s="1"/>
  <c r="P122" i="20" s="1"/>
  <c r="Q160" i="45"/>
  <c r="N160" i="45"/>
  <c r="S52" i="69"/>
  <c r="P52" i="69"/>
  <c r="T52" i="69"/>
  <c r="K248" i="58"/>
  <c r="U156" i="67"/>
  <c r="Q156" i="67"/>
  <c r="Q156" i="66"/>
  <c r="P248" i="58"/>
  <c r="N153" i="27"/>
  <c r="AV7" i="30"/>
  <c r="BC60" i="5"/>
  <c r="Q168" i="67"/>
  <c r="S168" i="67" s="1"/>
  <c r="Q87" i="67"/>
  <c r="U87" i="67"/>
  <c r="K161" i="58"/>
  <c r="Q130" i="67"/>
  <c r="U130" i="67"/>
  <c r="O129" i="67"/>
  <c r="Q73" i="67"/>
  <c r="O72" i="67"/>
  <c r="U73" i="67"/>
  <c r="Q137" i="67"/>
  <c r="K229" i="58"/>
  <c r="U137" i="67"/>
  <c r="Q37" i="67"/>
  <c r="U37" i="67"/>
  <c r="K119" i="58"/>
  <c r="U202" i="67"/>
  <c r="Q202" i="67"/>
  <c r="K294" i="58"/>
  <c r="M131" i="24"/>
  <c r="M130" i="24" s="1"/>
  <c r="M136" i="24"/>
  <c r="N136" i="24" s="1"/>
  <c r="O136" i="24" s="1"/>
  <c r="X4" i="10"/>
  <c r="X3" i="10" s="1"/>
  <c r="M90" i="49"/>
  <c r="M89" i="49"/>
  <c r="O166" i="45"/>
  <c r="P166" i="45" s="1"/>
  <c r="O52" i="47"/>
  <c r="P52" i="47" s="1"/>
  <c r="O21" i="51"/>
  <c r="P21" i="51" s="1"/>
  <c r="P116" i="20"/>
  <c r="Q116" i="20"/>
  <c r="K43" i="42"/>
  <c r="K32" i="42"/>
  <c r="N122" i="27"/>
  <c r="O122" i="27" s="1"/>
  <c r="P122" i="27" s="1"/>
  <c r="N121" i="27"/>
  <c r="O121" i="27" s="1"/>
  <c r="P121" i="27" s="1"/>
  <c r="P51" i="20"/>
  <c r="Q51" i="20"/>
  <c r="S150" i="68"/>
  <c r="P150" i="68"/>
  <c r="T150" i="68"/>
  <c r="U136" i="67"/>
  <c r="Q136" i="67"/>
  <c r="K228" i="58"/>
  <c r="Q94" i="67"/>
  <c r="U94" i="67"/>
  <c r="K168" i="58"/>
  <c r="U140" i="67"/>
  <c r="Q140" i="67"/>
  <c r="K232" i="58"/>
  <c r="M108" i="24"/>
  <c r="N108" i="24" s="1"/>
  <c r="N132" i="24"/>
  <c r="O132" i="24" s="1"/>
  <c r="O143" i="27"/>
  <c r="K5" i="5"/>
  <c r="K62" i="5" s="1"/>
  <c r="K65" i="5"/>
  <c r="P104" i="20"/>
  <c r="Q104" i="20"/>
  <c r="Z65" i="5"/>
  <c r="Y8" i="10" s="1"/>
  <c r="Y7" i="10" s="1"/>
  <c r="Z5" i="5"/>
  <c r="Z62" i="5" s="1"/>
  <c r="N130" i="40"/>
  <c r="O268" i="58"/>
  <c r="U176" i="68"/>
  <c r="N137" i="51"/>
  <c r="N166" i="32"/>
  <c r="N164" i="32" s="1"/>
  <c r="M164" i="32"/>
  <c r="Q164" i="32" s="1"/>
  <c r="S173" i="63"/>
  <c r="P125" i="66"/>
  <c r="AS25" i="57"/>
  <c r="AR25" i="57" s="1"/>
  <c r="Q25" i="57" s="1"/>
  <c r="S146" i="65"/>
  <c r="T146" i="65"/>
  <c r="P146" i="65"/>
  <c r="N163" i="51"/>
  <c r="M144" i="24"/>
  <c r="N64" i="24"/>
  <c r="M63" i="24"/>
  <c r="U115" i="67"/>
  <c r="K211" i="58"/>
  <c r="Q115" i="67"/>
  <c r="Q35" i="67"/>
  <c r="U35" i="67"/>
  <c r="K117" i="58"/>
  <c r="Q75" i="67"/>
  <c r="U75" i="67"/>
  <c r="K151" i="58"/>
  <c r="U90" i="67"/>
  <c r="Q90" i="67"/>
  <c r="K164" i="58"/>
  <c r="U20" i="67"/>
  <c r="Q20" i="67"/>
  <c r="AS24" i="57"/>
  <c r="P124" i="66"/>
  <c r="S124" i="66"/>
  <c r="AT24" i="57" s="1"/>
  <c r="M267" i="58"/>
  <c r="U175" i="65"/>
  <c r="Q175" i="65"/>
  <c r="M106" i="24"/>
  <c r="M41" i="30"/>
  <c r="M30" i="30"/>
  <c r="M21" i="30"/>
  <c r="M42" i="30"/>
  <c r="M31" i="30"/>
  <c r="M40" i="30"/>
  <c r="M29" i="30"/>
  <c r="M18" i="30"/>
  <c r="M13" i="30"/>
  <c r="M19" i="30"/>
  <c r="M39" i="30"/>
  <c r="M28" i="30"/>
  <c r="M17" i="30"/>
  <c r="M12" i="30"/>
  <c r="M38" i="30"/>
  <c r="M27" i="30"/>
  <c r="M16" i="30"/>
  <c r="M11" i="30"/>
  <c r="M37" i="30"/>
  <c r="M26" i="30"/>
  <c r="M15" i="30"/>
  <c r="M10" i="30"/>
  <c r="M36" i="30"/>
  <c r="M24" i="30"/>
  <c r="M14" i="30"/>
  <c r="M9" i="30"/>
  <c r="M35" i="30"/>
  <c r="M23" i="30"/>
  <c r="M25" i="30"/>
  <c r="M33" i="30"/>
  <c r="M34" i="30"/>
  <c r="M22" i="30"/>
  <c r="M20" i="30"/>
  <c r="M32" i="30"/>
  <c r="P42" i="34"/>
  <c r="O41" i="34"/>
  <c r="P41" i="34" s="1"/>
  <c r="O38" i="33"/>
  <c r="P39" i="33"/>
  <c r="Q39" i="33"/>
  <c r="O45" i="36"/>
  <c r="O48" i="38"/>
  <c r="P48" i="38" s="1"/>
  <c r="N132" i="51"/>
  <c r="Q46" i="45"/>
  <c r="N46" i="45"/>
  <c r="O46" i="45" s="1"/>
  <c r="P46" i="45" s="1"/>
  <c r="S139" i="69"/>
  <c r="T139" i="69"/>
  <c r="P139" i="69"/>
  <c r="N152" i="20"/>
  <c r="O152" i="20" s="1"/>
  <c r="P187" i="67"/>
  <c r="T187" i="67"/>
  <c r="U199" i="67"/>
  <c r="K291" i="58"/>
  <c r="Q199" i="67"/>
  <c r="K102" i="58"/>
  <c r="U16" i="67"/>
  <c r="Q16" i="67"/>
  <c r="O58" i="67"/>
  <c r="U112" i="67"/>
  <c r="K208" i="58"/>
  <c r="Q112" i="67"/>
  <c r="Q48" i="67"/>
  <c r="U48" i="67"/>
  <c r="K130" i="58"/>
  <c r="Q157" i="67"/>
  <c r="U157" i="67"/>
  <c r="K249" i="58"/>
  <c r="K125" i="58"/>
  <c r="Q43" i="67"/>
  <c r="U43" i="67"/>
  <c r="Q145" i="65"/>
  <c r="U145" i="65"/>
  <c r="M237" i="58"/>
  <c r="J238" i="58"/>
  <c r="M139" i="24"/>
  <c r="N139" i="24" s="1"/>
  <c r="E54" i="10"/>
  <c r="O4" i="10"/>
  <c r="O3" i="10" s="1"/>
  <c r="O55" i="10"/>
  <c r="N55" i="10"/>
  <c r="N4" i="10"/>
  <c r="N3" i="10" s="1"/>
  <c r="S175" i="68"/>
  <c r="P175" i="68"/>
  <c r="T178" i="68"/>
  <c r="T190" i="68"/>
  <c r="P190" i="68"/>
  <c r="S80" i="68"/>
  <c r="O283" i="58"/>
  <c r="Q164" i="68"/>
  <c r="T164" i="68" s="1"/>
  <c r="P80" i="68"/>
  <c r="T176" i="68"/>
  <c r="P176" i="68"/>
  <c r="BD26" i="57"/>
  <c r="J65" i="54"/>
  <c r="P121" i="23"/>
  <c r="Q110" i="20"/>
  <c r="P110" i="20"/>
  <c r="P101" i="39"/>
  <c r="P109" i="20"/>
  <c r="Q109" i="20"/>
  <c r="P101" i="40"/>
  <c r="O99" i="40"/>
  <c r="P99" i="40" s="1"/>
  <c r="J83" i="54"/>
  <c r="P32" i="23"/>
  <c r="P152" i="24"/>
  <c r="Q152" i="24"/>
  <c r="P181" i="45"/>
  <c r="Q20" i="37"/>
  <c r="P20" i="37"/>
  <c r="Q92" i="57"/>
  <c r="O113" i="34"/>
  <c r="P113" i="34" s="1"/>
  <c r="O14" i="39"/>
  <c r="P14" i="39" s="1"/>
  <c r="O125" i="49"/>
  <c r="P125" i="49" s="1"/>
  <c r="O43" i="37"/>
  <c r="O143" i="39"/>
  <c r="P143" i="39" s="1"/>
  <c r="O77" i="49"/>
  <c r="S197" i="69"/>
  <c r="T197" i="69"/>
  <c r="P197" i="69"/>
  <c r="U149" i="62"/>
  <c r="X149" i="63"/>
  <c r="Y149" i="63" s="1"/>
  <c r="AB149" i="63" s="1"/>
  <c r="X74" i="63"/>
  <c r="Y74" i="63" s="1"/>
  <c r="AB74" i="63" s="1"/>
  <c r="H146" i="58"/>
  <c r="U74" i="62"/>
  <c r="Q74" i="62"/>
  <c r="T74" i="62" s="1"/>
  <c r="Q64" i="63"/>
  <c r="T64" i="63" s="1"/>
  <c r="K226" i="58"/>
  <c r="U132" i="67"/>
  <c r="K2" i="28"/>
  <c r="A20" i="28"/>
  <c r="N59" i="20"/>
  <c r="N57" i="20" s="1"/>
  <c r="M57" i="20"/>
  <c r="P175" i="66"/>
  <c r="N43" i="27"/>
  <c r="O43" i="27" s="1"/>
  <c r="P43" i="27" s="1"/>
  <c r="S169" i="67"/>
  <c r="T169" i="67"/>
  <c r="P169" i="67"/>
  <c r="Q62" i="36"/>
  <c r="P62" i="36"/>
  <c r="O60" i="36"/>
  <c r="E60" i="5"/>
  <c r="E4" i="5"/>
  <c r="E61" i="5" s="1"/>
  <c r="O112" i="23"/>
  <c r="M4" i="5"/>
  <c r="M61" i="5" s="1"/>
  <c r="M60" i="5"/>
  <c r="E47" i="31"/>
  <c r="U60" i="5"/>
  <c r="U4" i="5"/>
  <c r="U61" i="5" s="1"/>
  <c r="AA65" i="5"/>
  <c r="AA5" i="5"/>
  <c r="AA62" i="5" s="1"/>
  <c r="O92" i="40"/>
  <c r="O103" i="32"/>
  <c r="O39" i="51"/>
  <c r="L15" i="57"/>
  <c r="L8" i="57"/>
  <c r="D5" i="14" s="1"/>
  <c r="N151" i="20"/>
  <c r="N102" i="51"/>
  <c r="O103" i="51"/>
  <c r="T179" i="67"/>
  <c r="P179" i="67"/>
  <c r="S179" i="67"/>
  <c r="H113" i="58"/>
  <c r="S119" i="63"/>
  <c r="T119" i="63"/>
  <c r="P119" i="63"/>
  <c r="M119" i="51"/>
  <c r="M117" i="51" s="1"/>
  <c r="N120" i="51"/>
  <c r="O120" i="51" s="1"/>
  <c r="P120" i="51" s="1"/>
  <c r="N115" i="27"/>
  <c r="N111" i="27" s="1"/>
  <c r="M111" i="27"/>
  <c r="N43" i="40"/>
  <c r="O43" i="40" s="1"/>
  <c r="P43" i="40" s="1"/>
  <c r="BK65" i="5"/>
  <c r="BM3" i="6" s="1"/>
  <c r="BK5" i="5"/>
  <c r="BK62" i="5" s="1"/>
  <c r="Q130" i="45"/>
  <c r="M128" i="45"/>
  <c r="BE65" i="5"/>
  <c r="N99" i="39"/>
  <c r="O51" i="34"/>
  <c r="Q40" i="36"/>
  <c r="N44" i="39"/>
  <c r="M56" i="49"/>
  <c r="AL17" i="30"/>
  <c r="AR17" i="30"/>
  <c r="AI17" i="30"/>
  <c r="BA17" i="30"/>
  <c r="AO17" i="30"/>
  <c r="N99" i="40"/>
  <c r="M113" i="46"/>
  <c r="O59" i="34"/>
  <c r="B18" i="41"/>
  <c r="O152" i="49"/>
  <c r="P152" i="49" s="1"/>
  <c r="S24" i="65"/>
  <c r="T24" i="65"/>
  <c r="P24" i="65"/>
  <c r="Q59" i="62"/>
  <c r="X59" i="63"/>
  <c r="Y59" i="63" s="1"/>
  <c r="AB59" i="63" s="1"/>
  <c r="H133" i="58"/>
  <c r="N25" i="45"/>
  <c r="N35" i="49"/>
  <c r="O35" i="49" s="1"/>
  <c r="P35" i="49" s="1"/>
  <c r="N144" i="51"/>
  <c r="N133" i="39"/>
  <c r="O133" i="39" s="1"/>
  <c r="P133" i="39" s="1"/>
  <c r="T108" i="63"/>
  <c r="P108" i="63"/>
  <c r="M44" i="51"/>
  <c r="M37" i="51" s="1"/>
  <c r="N46" i="51"/>
  <c r="T173" i="67"/>
  <c r="L65" i="5"/>
  <c r="K8" i="10" s="1"/>
  <c r="K7" i="10" s="1"/>
  <c r="K26" i="10" s="1"/>
  <c r="J26" i="12" s="1"/>
  <c r="L5" i="5"/>
  <c r="L62" i="5" s="1"/>
  <c r="N58" i="38"/>
  <c r="M57" i="38"/>
  <c r="Q65" i="5"/>
  <c r="P8" i="10" s="1"/>
  <c r="P7" i="10" s="1"/>
  <c r="P26" i="10" s="1"/>
  <c r="O26" i="12" s="1"/>
  <c r="Q5" i="5"/>
  <c r="Q62" i="5" s="1"/>
  <c r="N4" i="5"/>
  <c r="N61" i="5" s="1"/>
  <c r="N60" i="5"/>
  <c r="C46" i="5"/>
  <c r="C103" i="5" s="1"/>
  <c r="C102" i="5"/>
  <c r="F4" i="3"/>
  <c r="J77" i="54"/>
  <c r="O60" i="23"/>
  <c r="P60" i="23" s="1"/>
  <c r="P62" i="23"/>
  <c r="N124" i="23"/>
  <c r="O125" i="23"/>
  <c r="O25" i="40"/>
  <c r="O131" i="39"/>
  <c r="P104" i="39"/>
  <c r="O102" i="39"/>
  <c r="P102" i="39" s="1"/>
  <c r="P65" i="34"/>
  <c r="O63" i="34"/>
  <c r="P63" i="34" s="1"/>
  <c r="P50" i="46"/>
  <c r="Q50" i="46"/>
  <c r="N6" i="49"/>
  <c r="O8" i="49"/>
  <c r="O112" i="46"/>
  <c r="O141" i="25"/>
  <c r="P141" i="25"/>
  <c r="Q142" i="25"/>
  <c r="P142" i="25"/>
  <c r="U198" i="62"/>
  <c r="H284" i="58"/>
  <c r="U131" i="68"/>
  <c r="T150" i="65"/>
  <c r="P116" i="67"/>
  <c r="N8" i="37"/>
  <c r="M6" i="37"/>
  <c r="S147" i="67"/>
  <c r="P147" i="67"/>
  <c r="T147" i="67"/>
  <c r="S97" i="67"/>
  <c r="T97" i="67"/>
  <c r="P97" i="67"/>
  <c r="S148" i="68"/>
  <c r="T148" i="68"/>
  <c r="P148" i="68"/>
  <c r="N32" i="45"/>
  <c r="O32" i="45" s="1"/>
  <c r="P32" i="45" s="1"/>
  <c r="Q32" i="45"/>
  <c r="M123" i="36"/>
  <c r="S107" i="65"/>
  <c r="P107" i="65"/>
  <c r="T107" i="65"/>
  <c r="V25" i="57"/>
  <c r="M125" i="33"/>
  <c r="S30" i="68"/>
  <c r="P30" i="68"/>
  <c r="T30" i="68"/>
  <c r="O61" i="34"/>
  <c r="N60" i="34"/>
  <c r="BI65" i="5"/>
  <c r="BK3" i="6" s="1"/>
  <c r="BI5" i="5"/>
  <c r="BI62" i="5" s="1"/>
  <c r="O7" i="35"/>
  <c r="M130" i="39"/>
  <c r="Q21" i="46"/>
  <c r="O19" i="46"/>
  <c r="P19" i="46" s="1"/>
  <c r="P21" i="46"/>
  <c r="P30" i="49"/>
  <c r="N103" i="45"/>
  <c r="BJ17" i="43" s="1"/>
  <c r="O104" i="45"/>
  <c r="E92" i="57"/>
  <c r="Q12" i="36"/>
  <c r="P12" i="36"/>
  <c r="O100" i="36"/>
  <c r="X145" i="63"/>
  <c r="Y145" i="63" s="1"/>
  <c r="AB145" i="63" s="1"/>
  <c r="Q145" i="62"/>
  <c r="U145" i="62"/>
  <c r="H231" i="58"/>
  <c r="Q94" i="61"/>
  <c r="U94" i="61"/>
  <c r="Q86" i="58"/>
  <c r="R86" i="58" s="1"/>
  <c r="S133" i="67"/>
  <c r="P133" i="67"/>
  <c r="Q132" i="67"/>
  <c r="T132" i="67" s="1"/>
  <c r="T133" i="67"/>
  <c r="N23" i="20"/>
  <c r="M22" i="20"/>
  <c r="M8" i="33"/>
  <c r="A21" i="28"/>
  <c r="L2" i="28"/>
  <c r="BA4" i="10"/>
  <c r="BA3" i="10" s="1"/>
  <c r="M65" i="5"/>
  <c r="L8" i="10" s="1"/>
  <c r="L7" i="10" s="1"/>
  <c r="L26" i="10" s="1"/>
  <c r="K26" i="12" s="1"/>
  <c r="M5" i="5"/>
  <c r="M62" i="5" s="1"/>
  <c r="O208" i="32"/>
  <c r="O100" i="27"/>
  <c r="P46" i="39"/>
  <c r="O44" i="39"/>
  <c r="P44" i="39" s="1"/>
  <c r="Q115" i="48"/>
  <c r="P115" i="48"/>
  <c r="O141" i="47"/>
  <c r="P141" i="47" s="1"/>
  <c r="P143" i="47"/>
  <c r="Q143" i="47"/>
  <c r="P30" i="20"/>
  <c r="Q30" i="20"/>
  <c r="O134" i="49"/>
  <c r="P134" i="49" s="1"/>
  <c r="P135" i="49"/>
  <c r="Q62" i="37"/>
  <c r="P62" i="37"/>
  <c r="O60" i="37"/>
  <c r="O132" i="40"/>
  <c r="O92" i="25"/>
  <c r="O26" i="35"/>
  <c r="P26" i="35" s="1"/>
  <c r="S196" i="62"/>
  <c r="S108" i="67"/>
  <c r="T108" i="67"/>
  <c r="P108" i="67"/>
  <c r="H292" i="58"/>
  <c r="X49" i="63"/>
  <c r="Y49" i="63" s="1"/>
  <c r="AB49" i="63" s="1"/>
  <c r="N65" i="20"/>
  <c r="T79" i="65"/>
  <c r="P79" i="65"/>
  <c r="S79" i="65"/>
  <c r="U25" i="67"/>
  <c r="M142" i="33"/>
  <c r="N137" i="20"/>
  <c r="M134" i="20"/>
  <c r="S117" i="63"/>
  <c r="P117" i="63"/>
  <c r="Q77" i="65"/>
  <c r="T77" i="65" s="1"/>
  <c r="S78" i="65"/>
  <c r="T180" i="67"/>
  <c r="P180" i="67"/>
  <c r="N118" i="51"/>
  <c r="O118" i="51" s="1"/>
  <c r="P118" i="51" s="1"/>
  <c r="BQ65" i="5"/>
  <c r="BQ5" i="5"/>
  <c r="BQ62" i="5" s="1"/>
  <c r="P67" i="49"/>
  <c r="P59" i="49"/>
  <c r="O11" i="49"/>
  <c r="Q67" i="20"/>
  <c r="P67" i="20"/>
  <c r="P20" i="36"/>
  <c r="Q20" i="36"/>
  <c r="O136" i="32"/>
  <c r="O105" i="37"/>
  <c r="Q105" i="37" s="1"/>
  <c r="P158" i="62"/>
  <c r="T129" i="62"/>
  <c r="T27" i="67"/>
  <c r="P27" i="67"/>
  <c r="H148" i="58"/>
  <c r="U76" i="62"/>
  <c r="Q117" i="62"/>
  <c r="U117" i="62"/>
  <c r="H207" i="58"/>
  <c r="X117" i="63"/>
  <c r="Y117" i="63" s="1"/>
  <c r="AB117" i="63" s="1"/>
  <c r="Q102" i="68"/>
  <c r="T102" i="68" s="1"/>
  <c r="U102" i="68"/>
  <c r="Q126" i="33"/>
  <c r="P126" i="33"/>
  <c r="N144" i="20"/>
  <c r="N141" i="20" s="1"/>
  <c r="M141" i="20"/>
  <c r="N42" i="20"/>
  <c r="N41" i="20" s="1"/>
  <c r="M102" i="20"/>
  <c r="N103" i="20"/>
  <c r="S180" i="67"/>
  <c r="T160" i="67"/>
  <c r="P160" i="67"/>
  <c r="N135" i="27"/>
  <c r="T150" i="67"/>
  <c r="P150" i="67"/>
  <c r="N77" i="51"/>
  <c r="H4" i="5"/>
  <c r="H61" i="5" s="1"/>
  <c r="H60" i="5"/>
  <c r="K4" i="5"/>
  <c r="K61" i="5" s="1"/>
  <c r="K60" i="5"/>
  <c r="O48" i="49"/>
  <c r="O95" i="49"/>
  <c r="P95" i="49" s="1"/>
  <c r="P26" i="49"/>
  <c r="P8" i="40"/>
  <c r="O144" i="49"/>
  <c r="L2" i="14"/>
  <c r="A19" i="14"/>
  <c r="A12" i="5" s="1"/>
  <c r="Q15" i="62"/>
  <c r="X15" i="63"/>
  <c r="Y15" i="63" s="1"/>
  <c r="AB15" i="63" s="1"/>
  <c r="X186" i="63"/>
  <c r="Y186" i="63" s="1"/>
  <c r="AB186" i="63" s="1"/>
  <c r="Q87" i="58"/>
  <c r="R87" i="58" s="1"/>
  <c r="U95" i="61"/>
  <c r="P189" i="65"/>
  <c r="T189" i="65"/>
  <c r="S189" i="65"/>
  <c r="N123" i="20"/>
  <c r="I26" i="10"/>
  <c r="H26" i="12" s="1"/>
  <c r="S59" i="67"/>
  <c r="S58" i="67" s="1"/>
  <c r="Q58" i="67"/>
  <c r="T58" i="67" s="1"/>
  <c r="P59" i="67"/>
  <c r="T59" i="67"/>
  <c r="N131" i="27"/>
  <c r="M130" i="27"/>
  <c r="N97" i="20"/>
  <c r="O97" i="20" s="1"/>
  <c r="N15" i="51"/>
  <c r="M13" i="51"/>
  <c r="BL4" i="10"/>
  <c r="BL3" i="10" s="1"/>
  <c r="BQ60" i="5"/>
  <c r="BQ4" i="5"/>
  <c r="BQ61" i="5" s="1"/>
  <c r="H12" i="30"/>
  <c r="H40" i="30"/>
  <c r="H21" i="30"/>
  <c r="H11" i="30"/>
  <c r="H38" i="30"/>
  <c r="H23" i="30"/>
  <c r="H34" i="30"/>
  <c r="H10" i="30"/>
  <c r="H19" i="30"/>
  <c r="H14" i="30"/>
  <c r="H42" i="30"/>
  <c r="AL7" i="30"/>
  <c r="H36" i="30"/>
  <c r="H15" i="30"/>
  <c r="H13" i="30"/>
  <c r="AK7" i="30"/>
  <c r="H9" i="30"/>
  <c r="H16" i="30"/>
  <c r="H18" i="30"/>
  <c r="H41" i="30"/>
  <c r="H22" i="30"/>
  <c r="D4" i="28"/>
  <c r="K4" i="28" s="1"/>
  <c r="H35" i="30"/>
  <c r="H39" i="30"/>
  <c r="H24" i="30"/>
  <c r="H17" i="30"/>
  <c r="H27" i="30"/>
  <c r="H25" i="30"/>
  <c r="H37" i="30"/>
  <c r="H29" i="30"/>
  <c r="H32" i="30"/>
  <c r="H28" i="30"/>
  <c r="H31" i="30"/>
  <c r="H30" i="30"/>
  <c r="H20" i="30"/>
  <c r="H33" i="30"/>
  <c r="H26" i="30"/>
  <c r="BO5" i="5"/>
  <c r="BO62" i="5" s="1"/>
  <c r="BO65" i="5"/>
  <c r="BQ3" i="6" s="1"/>
  <c r="BJ65" i="5"/>
  <c r="BL3" i="6" s="1"/>
  <c r="BJ5" i="5"/>
  <c r="BJ62" i="5" s="1"/>
  <c r="N102" i="49"/>
  <c r="O103" i="49"/>
  <c r="O102" i="49" s="1"/>
  <c r="P102" i="49" s="1"/>
  <c r="M56" i="34"/>
  <c r="P64" i="37"/>
  <c r="O63" i="37"/>
  <c r="P63" i="37"/>
  <c r="Q64" i="37"/>
  <c r="W20" i="61"/>
  <c r="V20" i="61" s="1"/>
  <c r="W16" i="61"/>
  <c r="V16" i="61" s="1"/>
  <c r="Q155" i="66"/>
  <c r="S155" i="66" s="1"/>
  <c r="U148" i="66"/>
  <c r="P240" i="58"/>
  <c r="Q148" i="66"/>
  <c r="S148" i="66" s="1"/>
  <c r="Q67" i="66"/>
  <c r="P145" i="58"/>
  <c r="Q52" i="66"/>
  <c r="P132" i="58"/>
  <c r="Q76" i="66"/>
  <c r="S76" i="66" s="1"/>
  <c r="P152" i="58"/>
  <c r="T114" i="63"/>
  <c r="P114" i="63"/>
  <c r="S161" i="63"/>
  <c r="T161" i="63"/>
  <c r="P161" i="63"/>
  <c r="S114" i="63"/>
  <c r="P184" i="63"/>
  <c r="T184" i="63"/>
  <c r="P84" i="63"/>
  <c r="T84" i="63"/>
  <c r="T152" i="63"/>
  <c r="P152" i="63"/>
  <c r="P185" i="63"/>
  <c r="P160" i="63"/>
  <c r="T160" i="63"/>
  <c r="T82" i="63"/>
  <c r="P82" i="63"/>
  <c r="P178" i="63"/>
  <c r="T178" i="63"/>
  <c r="S178" i="63"/>
  <c r="S183" i="63"/>
  <c r="T183" i="63"/>
  <c r="P183" i="63"/>
  <c r="T158" i="63"/>
  <c r="P158" i="63"/>
  <c r="S158" i="63"/>
  <c r="T128" i="63"/>
  <c r="P128" i="63"/>
  <c r="T73" i="63"/>
  <c r="P73" i="63"/>
  <c r="T82" i="62"/>
  <c r="T95" i="62"/>
  <c r="P95" i="62"/>
  <c r="T98" i="62"/>
  <c r="P148" i="62"/>
  <c r="Q83" i="62"/>
  <c r="T83" i="62" s="1"/>
  <c r="S160" i="62"/>
  <c r="T148" i="62"/>
  <c r="T160" i="62"/>
  <c r="S183" i="62"/>
  <c r="S82" i="62"/>
  <c r="S91" i="62"/>
  <c r="P91" i="62"/>
  <c r="P33" i="62"/>
  <c r="T33" i="62"/>
  <c r="P76" i="62"/>
  <c r="T76" i="62"/>
  <c r="S76" i="62"/>
  <c r="P48" i="62"/>
  <c r="T80" i="62"/>
  <c r="S84" i="62"/>
  <c r="S75" i="62"/>
  <c r="S178" i="62"/>
  <c r="S80" i="62"/>
  <c r="S87" i="62"/>
  <c r="T87" i="62"/>
  <c r="P87" i="62"/>
  <c r="S173" i="62"/>
  <c r="P203" i="62"/>
  <c r="T203" i="62"/>
  <c r="H150" i="58"/>
  <c r="X78" i="63"/>
  <c r="Y78" i="63" s="1"/>
  <c r="AB78" i="63" s="1"/>
  <c r="U78" i="62"/>
  <c r="Q26" i="62"/>
  <c r="X26" i="63"/>
  <c r="Y26" i="63" s="1"/>
  <c r="AB26" i="63" s="1"/>
  <c r="U26" i="62"/>
  <c r="P152" i="62"/>
  <c r="S193" i="62"/>
  <c r="P193" i="62"/>
  <c r="P144" i="62"/>
  <c r="T144" i="62"/>
  <c r="S131" i="62"/>
  <c r="S152" i="62"/>
  <c r="S114" i="62"/>
  <c r="S180" i="62"/>
  <c r="P180" i="62"/>
  <c r="S113" i="62"/>
  <c r="L141" i="58"/>
  <c r="Q63" i="69"/>
  <c r="S63" i="69" s="1"/>
  <c r="U63" i="69"/>
  <c r="P116" i="58"/>
  <c r="P274" i="58"/>
  <c r="Q182" i="66"/>
  <c r="Q109" i="66"/>
  <c r="P205" i="58"/>
  <c r="Q59" i="66"/>
  <c r="Q121" i="66"/>
  <c r="S121" i="66" s="1"/>
  <c r="P217" i="58"/>
  <c r="Q157" i="66"/>
  <c r="P157" i="66" s="1"/>
  <c r="P249" i="58"/>
  <c r="Q85" i="66"/>
  <c r="Q35" i="66"/>
  <c r="P35" i="66" s="1"/>
  <c r="P117" i="58"/>
  <c r="Q15" i="66"/>
  <c r="S15" i="66" s="1"/>
  <c r="P101" i="58"/>
  <c r="U199" i="66"/>
  <c r="P291" i="58"/>
  <c r="Q199" i="66"/>
  <c r="P235" i="58"/>
  <c r="U198" i="66"/>
  <c r="Q198" i="66"/>
  <c r="S198" i="66" s="1"/>
  <c r="P290" i="58"/>
  <c r="P288" i="58"/>
  <c r="Q196" i="66"/>
  <c r="S196" i="66" s="1"/>
  <c r="S41" i="66"/>
  <c r="P41" i="66"/>
  <c r="P105" i="66"/>
  <c r="Q17" i="66"/>
  <c r="S17" i="66" s="1"/>
  <c r="P103" i="58"/>
  <c r="Q51" i="66"/>
  <c r="S51" i="66" s="1"/>
  <c r="Q86" i="66"/>
  <c r="S86" i="66" s="1"/>
  <c r="P202" i="58"/>
  <c r="Q47" i="66"/>
  <c r="P129" i="58"/>
  <c r="U83" i="66"/>
  <c r="Q106" i="66"/>
  <c r="S106" i="66" s="1"/>
  <c r="Q102" i="66"/>
  <c r="S102" i="66" s="1"/>
  <c r="Q123" i="66"/>
  <c r="S123" i="66" s="1"/>
  <c r="P219" i="58"/>
  <c r="Q122" i="66"/>
  <c r="P218" i="58"/>
  <c r="Q65" i="66"/>
  <c r="Q111" i="66"/>
  <c r="S111" i="66" s="1"/>
  <c r="P207" i="58"/>
  <c r="P139" i="58"/>
  <c r="Q61" i="66"/>
  <c r="P118" i="58"/>
  <c r="Q36" i="66"/>
  <c r="S36" i="66" s="1"/>
  <c r="Q202" i="66"/>
  <c r="S202" i="66" s="1"/>
  <c r="P294" i="58"/>
  <c r="Q113" i="66"/>
  <c r="S113" i="66" s="1"/>
  <c r="P209" i="58"/>
  <c r="U164" i="64"/>
  <c r="BG23" i="57"/>
  <c r="BP23" i="57" s="1"/>
  <c r="BP29" i="57"/>
  <c r="P155" i="25"/>
  <c r="Q155" i="25"/>
  <c r="Q163" i="24"/>
  <c r="P75" i="46"/>
  <c r="Q75" i="46"/>
  <c r="P50" i="36"/>
  <c r="Q50" i="36"/>
  <c r="P98" i="24"/>
  <c r="Q98" i="24"/>
  <c r="P126" i="40"/>
  <c r="P114" i="24"/>
  <c r="Q114" i="24"/>
  <c r="P48" i="40"/>
  <c r="P73" i="34"/>
  <c r="S143" i="66"/>
  <c r="P143" i="66"/>
  <c r="Q168" i="62"/>
  <c r="T74" i="63"/>
  <c r="S74" i="63"/>
  <c r="P74" i="63"/>
  <c r="Q75" i="69"/>
  <c r="U75" i="69"/>
  <c r="L151" i="58"/>
  <c r="L162" i="58"/>
  <c r="U88" i="69"/>
  <c r="Q88" i="69"/>
  <c r="U68" i="69"/>
  <c r="Q68" i="69"/>
  <c r="S68" i="69" s="1"/>
  <c r="L146" i="58"/>
  <c r="S138" i="66"/>
  <c r="P138" i="66"/>
  <c r="M79" i="46"/>
  <c r="O105" i="49"/>
  <c r="P62" i="25"/>
  <c r="Q62" i="25"/>
  <c r="O43" i="50"/>
  <c r="O135" i="20"/>
  <c r="P127" i="39"/>
  <c r="BG4" i="10"/>
  <c r="BG3" i="10" s="1"/>
  <c r="Q153" i="25"/>
  <c r="N19" i="39"/>
  <c r="O20" i="39"/>
  <c r="P26" i="48"/>
  <c r="Q26" i="48"/>
  <c r="P30" i="39"/>
  <c r="P112" i="40"/>
  <c r="Q128" i="32"/>
  <c r="BC31" i="30"/>
  <c r="P101" i="34"/>
  <c r="O99" i="34"/>
  <c r="P99" i="34" s="1"/>
  <c r="P98" i="47"/>
  <c r="Q98" i="47"/>
  <c r="O13" i="49"/>
  <c r="P13" i="49" s="1"/>
  <c r="P23" i="51"/>
  <c r="P50" i="62"/>
  <c r="S50" i="62"/>
  <c r="T50" i="62"/>
  <c r="P161" i="62"/>
  <c r="S161" i="62"/>
  <c r="S40" i="67"/>
  <c r="T40" i="67"/>
  <c r="P40" i="67"/>
  <c r="S197" i="68"/>
  <c r="T197" i="68"/>
  <c r="P197" i="68"/>
  <c r="S106" i="67"/>
  <c r="T106" i="67"/>
  <c r="P106" i="67"/>
  <c r="S152" i="66"/>
  <c r="P152" i="66"/>
  <c r="P113" i="51"/>
  <c r="N124" i="51"/>
  <c r="M76" i="36"/>
  <c r="P132" i="40"/>
  <c r="M107" i="33"/>
  <c r="T4" i="5"/>
  <c r="T61" i="5" s="1"/>
  <c r="T60" i="5"/>
  <c r="P50" i="39"/>
  <c r="K4" i="10"/>
  <c r="K3" i="10" s="1"/>
  <c r="K55" i="10"/>
  <c r="BH5" i="5"/>
  <c r="BH62" i="5" s="1"/>
  <c r="BH65" i="5"/>
  <c r="O65" i="5"/>
  <c r="N8" i="10" s="1"/>
  <c r="N7" i="10" s="1"/>
  <c r="N26" i="10" s="1"/>
  <c r="M26" i="12" s="1"/>
  <c r="O5" i="5"/>
  <c r="O62" i="5" s="1"/>
  <c r="O95" i="40"/>
  <c r="N94" i="40"/>
  <c r="P43" i="37"/>
  <c r="Q43" i="37"/>
  <c r="O41" i="37"/>
  <c r="P41" i="37" s="1"/>
  <c r="Q102" i="47"/>
  <c r="P102" i="47"/>
  <c r="P94" i="34"/>
  <c r="P137" i="35"/>
  <c r="Q137" i="35"/>
  <c r="P124" i="35"/>
  <c r="F43" i="57"/>
  <c r="T13" i="64"/>
  <c r="P13" i="64"/>
  <c r="M68" i="37"/>
  <c r="O41" i="39"/>
  <c r="P42" i="39"/>
  <c r="O16" i="51"/>
  <c r="P2" i="14"/>
  <c r="A23" i="14"/>
  <c r="A24" i="5" s="1"/>
  <c r="L137" i="58"/>
  <c r="U57" i="69"/>
  <c r="Q57" i="69"/>
  <c r="S57" i="69" s="1"/>
  <c r="Q158" i="69"/>
  <c r="S158" i="69" s="1"/>
  <c r="L250" i="58"/>
  <c r="U158" i="69"/>
  <c r="BP45" i="57"/>
  <c r="BG44" i="57"/>
  <c r="BP44" i="57" s="1"/>
  <c r="K26" i="43"/>
  <c r="E4" i="41"/>
  <c r="L4" i="41" s="1"/>
  <c r="K21" i="43"/>
  <c r="K13" i="43"/>
  <c r="AR7" i="43"/>
  <c r="K37" i="43"/>
  <c r="K15" i="43"/>
  <c r="K20" i="43"/>
  <c r="K11" i="43"/>
  <c r="K30" i="43"/>
  <c r="K29" i="43"/>
  <c r="K14" i="43"/>
  <c r="AQ7" i="43"/>
  <c r="K36" i="43"/>
  <c r="K28" i="43"/>
  <c r="K9" i="43"/>
  <c r="K19" i="43"/>
  <c r="K42" i="43"/>
  <c r="K18" i="43"/>
  <c r="K33" i="43"/>
  <c r="K16" i="43"/>
  <c r="K39" i="43"/>
  <c r="K12" i="43"/>
  <c r="K32" i="43"/>
  <c r="K10" i="43"/>
  <c r="K35" i="43"/>
  <c r="K38" i="43"/>
  <c r="K31" i="43"/>
  <c r="K25" i="43"/>
  <c r="K34" i="43"/>
  <c r="K41" i="43"/>
  <c r="K27" i="43"/>
  <c r="K24" i="43"/>
  <c r="K40" i="43"/>
  <c r="K22" i="43"/>
  <c r="K23" i="43"/>
  <c r="K17" i="43"/>
  <c r="N128" i="40"/>
  <c r="Q62" i="35"/>
  <c r="P62" i="35"/>
  <c r="O60" i="35"/>
  <c r="O50" i="20"/>
  <c r="P138" i="36"/>
  <c r="Q138" i="36"/>
  <c r="Q14" i="25"/>
  <c r="P14" i="25"/>
  <c r="O13" i="25"/>
  <c r="P13" i="25" s="1"/>
  <c r="O112" i="49"/>
  <c r="P72" i="40"/>
  <c r="P93" i="24"/>
  <c r="Q93" i="24"/>
  <c r="P132" i="34"/>
  <c r="P30" i="48"/>
  <c r="Q30" i="48"/>
  <c r="P112" i="27"/>
  <c r="P45" i="50"/>
  <c r="O13" i="50"/>
  <c r="P13" i="50" s="1"/>
  <c r="P14" i="50"/>
  <c r="O40" i="50"/>
  <c r="P15" i="47"/>
  <c r="Q15" i="47"/>
  <c r="O13" i="47"/>
  <c r="P40" i="47"/>
  <c r="Q40" i="47"/>
  <c r="Q51" i="35"/>
  <c r="P51" i="35"/>
  <c r="O8" i="50"/>
  <c r="N154" i="24"/>
  <c r="O154" i="24" s="1"/>
  <c r="P154" i="24" s="1"/>
  <c r="P178" i="67"/>
  <c r="T178" i="67"/>
  <c r="S178" i="67"/>
  <c r="L257" i="58"/>
  <c r="Q97" i="69"/>
  <c r="U97" i="69"/>
  <c r="L171" i="58"/>
  <c r="U43" i="69"/>
  <c r="Q43" i="69"/>
  <c r="S43" i="69" s="1"/>
  <c r="L125" i="58"/>
  <c r="Q110" i="25"/>
  <c r="P110" i="25"/>
  <c r="N96" i="20"/>
  <c r="N94" i="20" s="1"/>
  <c r="M94" i="20"/>
  <c r="O21" i="20"/>
  <c r="O24" i="20"/>
  <c r="Q24" i="20" s="1"/>
  <c r="O71" i="23"/>
  <c r="K44" i="4"/>
  <c r="J45" i="3"/>
  <c r="K39" i="4"/>
  <c r="P61" i="39"/>
  <c r="N119" i="49"/>
  <c r="O120" i="49"/>
  <c r="P18" i="37"/>
  <c r="Q18" i="37"/>
  <c r="O13" i="34"/>
  <c r="P13" i="34" s="1"/>
  <c r="P14" i="34"/>
  <c r="Q107" i="48"/>
  <c r="P107" i="48"/>
  <c r="Q133" i="24"/>
  <c r="P133" i="24"/>
  <c r="P137" i="37"/>
  <c r="Q137" i="37"/>
  <c r="Q78" i="35"/>
  <c r="P78" i="35"/>
  <c r="O97" i="39"/>
  <c r="P97" i="39" s="1"/>
  <c r="BI26" i="57"/>
  <c r="BG28" i="57"/>
  <c r="P132" i="27"/>
  <c r="P93" i="36"/>
  <c r="Q93" i="36"/>
  <c r="BG11" i="57"/>
  <c r="BP11" i="57" s="1"/>
  <c r="S150" i="66"/>
  <c r="P150" i="66"/>
  <c r="S172" i="65"/>
  <c r="P172" i="65"/>
  <c r="T172" i="65"/>
  <c r="BG22" i="57"/>
  <c r="BH21" i="57"/>
  <c r="P62" i="49"/>
  <c r="O60" i="49"/>
  <c r="Q132" i="47"/>
  <c r="P132" i="47"/>
  <c r="O130" i="47"/>
  <c r="N80" i="40"/>
  <c r="O80" i="40" s="1"/>
  <c r="P80" i="40" s="1"/>
  <c r="M118" i="24"/>
  <c r="O121" i="51"/>
  <c r="M77" i="37"/>
  <c r="P5" i="5"/>
  <c r="P62" i="5" s="1"/>
  <c r="P65" i="5"/>
  <c r="O8" i="10" s="1"/>
  <c r="O7" i="10" s="1"/>
  <c r="O26" i="10" s="1"/>
  <c r="N26" i="12" s="1"/>
  <c r="O128" i="39"/>
  <c r="P128" i="39" s="1"/>
  <c r="O51" i="51"/>
  <c r="O57" i="45"/>
  <c r="P57" i="45" s="1"/>
  <c r="Q168" i="32"/>
  <c r="M167" i="32"/>
  <c r="N168" i="32"/>
  <c r="N167" i="32" s="1"/>
  <c r="P97" i="51"/>
  <c r="O155" i="46"/>
  <c r="P120" i="37"/>
  <c r="Q120" i="37"/>
  <c r="P21" i="35"/>
  <c r="Q21" i="35"/>
  <c r="O19" i="35"/>
  <c r="P143" i="33"/>
  <c r="Q143" i="33"/>
  <c r="P77" i="49"/>
  <c r="P118" i="67"/>
  <c r="T118" i="67"/>
  <c r="S118" i="67"/>
  <c r="P137" i="47"/>
  <c r="Q137" i="47"/>
  <c r="L4" i="5"/>
  <c r="L61" i="5" s="1"/>
  <c r="L60" i="5"/>
  <c r="F54" i="10"/>
  <c r="N41" i="40"/>
  <c r="O42" i="40"/>
  <c r="O161" i="49"/>
  <c r="P162" i="49"/>
  <c r="P68" i="33"/>
  <c r="Q68" i="33"/>
  <c r="N170" i="32"/>
  <c r="O173" i="32"/>
  <c r="BP33" i="57"/>
  <c r="BG31" i="57"/>
  <c r="BP31" i="57" s="1"/>
  <c r="G10" i="57"/>
  <c r="G15" i="57"/>
  <c r="G36" i="57"/>
  <c r="G44" i="57"/>
  <c r="G39" i="57"/>
  <c r="G47" i="57"/>
  <c r="G12" i="57"/>
  <c r="G48" i="57"/>
  <c r="G41" i="57"/>
  <c r="G45" i="57"/>
  <c r="G34" i="57"/>
  <c r="G38" i="57"/>
  <c r="G42" i="57"/>
  <c r="G32" i="57"/>
  <c r="G20" i="57"/>
  <c r="G40" i="57"/>
  <c r="G46" i="57"/>
  <c r="G37" i="57"/>
  <c r="G43" i="57"/>
  <c r="G35" i="57"/>
  <c r="G14" i="57"/>
  <c r="G9" i="57"/>
  <c r="G33" i="57"/>
  <c r="G19" i="57"/>
  <c r="G8" i="57"/>
  <c r="G31" i="57"/>
  <c r="U62" i="69"/>
  <c r="Q62" i="69"/>
  <c r="S62" i="69" s="1"/>
  <c r="L140" i="58"/>
  <c r="Q143" i="69"/>
  <c r="S143" i="69" s="1"/>
  <c r="U143" i="69"/>
  <c r="L235" i="58"/>
  <c r="T201" i="67"/>
  <c r="P201" i="67"/>
  <c r="S22" i="67"/>
  <c r="P22" i="67"/>
  <c r="T22" i="67"/>
  <c r="BD21" i="57"/>
  <c r="Q126" i="47"/>
  <c r="P126" i="47"/>
  <c r="BI60" i="5"/>
  <c r="BI4" i="5"/>
  <c r="BI61" i="5" s="1"/>
  <c r="P58" i="36"/>
  <c r="Q58" i="36"/>
  <c r="P155" i="34"/>
  <c r="S5" i="5"/>
  <c r="S62" i="5" s="1"/>
  <c r="S65" i="5"/>
  <c r="R8" i="10" s="1"/>
  <c r="R7" i="10" s="1"/>
  <c r="R26" i="10" s="1"/>
  <c r="Q26" i="12" s="1"/>
  <c r="P43" i="24"/>
  <c r="Q43" i="24"/>
  <c r="Q179" i="32"/>
  <c r="N179" i="32"/>
  <c r="P50" i="38"/>
  <c r="P104" i="33"/>
  <c r="Q104" i="33"/>
  <c r="Q29" i="33"/>
  <c r="P29" i="33"/>
  <c r="O40" i="40"/>
  <c r="BM5" i="5"/>
  <c r="BM62" i="5" s="1"/>
  <c r="BM65" i="5"/>
  <c r="BO3" i="6" s="1"/>
  <c r="O91" i="33"/>
  <c r="P92" i="33"/>
  <c r="Q92" i="33"/>
  <c r="Q167" i="62"/>
  <c r="T167" i="62" s="1"/>
  <c r="X167" i="63"/>
  <c r="S13" i="64"/>
  <c r="L166" i="58"/>
  <c r="L272" i="58"/>
  <c r="BH26" i="57"/>
  <c r="BG30" i="57"/>
  <c r="BP30" i="57" s="1"/>
  <c r="T18" i="67"/>
  <c r="P18" i="67"/>
  <c r="S18" i="67"/>
  <c r="T181" i="67"/>
  <c r="P181" i="67"/>
  <c r="S181" i="67"/>
  <c r="S156" i="65"/>
  <c r="T156" i="65"/>
  <c r="P156" i="65"/>
  <c r="P110" i="47"/>
  <c r="Q110" i="47"/>
  <c r="M52" i="36"/>
  <c r="O115" i="51"/>
  <c r="P115" i="51" s="1"/>
  <c r="O152" i="27"/>
  <c r="J92" i="54"/>
  <c r="P153" i="23"/>
  <c r="BO60" i="5"/>
  <c r="BO4" i="5"/>
  <c r="BO61" i="5" s="1"/>
  <c r="P31" i="25"/>
  <c r="Q31" i="25"/>
  <c r="O156" i="47"/>
  <c r="Q68" i="47"/>
  <c r="O66" i="47"/>
  <c r="P66" i="47" s="1"/>
  <c r="P68" i="47"/>
  <c r="P132" i="49"/>
  <c r="O130" i="49"/>
  <c r="B42" i="10"/>
  <c r="A78" i="5"/>
  <c r="A99" i="5" s="1"/>
  <c r="A111" i="5" s="1"/>
  <c r="A36" i="11" s="1"/>
  <c r="A21" i="11"/>
  <c r="F2" i="3"/>
  <c r="G38" i="4" s="1"/>
  <c r="F12" i="4" s="1"/>
  <c r="S52" i="65"/>
  <c r="T52" i="65"/>
  <c r="P52" i="65"/>
  <c r="T52" i="67"/>
  <c r="P52" i="67"/>
  <c r="S52" i="67"/>
  <c r="P53" i="63"/>
  <c r="T53" i="63"/>
  <c r="U12" i="62"/>
  <c r="U11" i="62" s="1"/>
  <c r="P145" i="64"/>
  <c r="T145" i="64"/>
  <c r="S108" i="66"/>
  <c r="P108" i="66"/>
  <c r="P40" i="62"/>
  <c r="T40" i="62"/>
  <c r="S44" i="65"/>
  <c r="T44" i="65"/>
  <c r="P44" i="65"/>
  <c r="S53" i="63"/>
  <c r="S128" i="62"/>
  <c r="T128" i="62"/>
  <c r="P128" i="62"/>
  <c r="P66" i="62"/>
  <c r="S164" i="68"/>
  <c r="P164" i="68"/>
  <c r="P105" i="67"/>
  <c r="T105" i="67"/>
  <c r="S105" i="67"/>
  <c r="S119" i="62"/>
  <c r="P119" i="62"/>
  <c r="T119" i="62"/>
  <c r="AQ6" i="57"/>
  <c r="P24" i="57" s="1"/>
  <c r="O24" i="57"/>
  <c r="P104" i="58"/>
  <c r="Q166" i="66"/>
  <c r="P166" i="66" s="1"/>
  <c r="S123" i="67"/>
  <c r="T123" i="67"/>
  <c r="P123" i="67"/>
  <c r="S155" i="67"/>
  <c r="T155" i="67"/>
  <c r="P155" i="67"/>
  <c r="T187" i="68"/>
  <c r="P187" i="68"/>
  <c r="Q98" i="66"/>
  <c r="S98" i="66" s="1"/>
  <c r="P172" i="58"/>
  <c r="B59" i="10"/>
  <c r="O132" i="66"/>
  <c r="P226" i="58" s="1"/>
  <c r="T61" i="63"/>
  <c r="S61" i="63"/>
  <c r="P61" i="63"/>
  <c r="M46" i="57"/>
  <c r="M14" i="57"/>
  <c r="M39" i="57"/>
  <c r="M10" i="57"/>
  <c r="M38" i="57"/>
  <c r="M9" i="57"/>
  <c r="M12" i="57"/>
  <c r="M42" i="57"/>
  <c r="M41" i="57"/>
  <c r="M40" i="57"/>
  <c r="M37" i="57"/>
  <c r="M45" i="57"/>
  <c r="M36" i="57"/>
  <c r="M15" i="57"/>
  <c r="M43" i="57"/>
  <c r="M35" i="57"/>
  <c r="M8" i="57"/>
  <c r="U27" i="66"/>
  <c r="Q27" i="66"/>
  <c r="S131" i="66"/>
  <c r="P131" i="66"/>
  <c r="T152" i="68"/>
  <c r="S171" i="68"/>
  <c r="T171" i="68"/>
  <c r="P171" i="68"/>
  <c r="Q38" i="66"/>
  <c r="S38" i="66" s="1"/>
  <c r="P120" i="58"/>
  <c r="T174" i="67"/>
  <c r="P174" i="67"/>
  <c r="P161" i="69"/>
  <c r="Q91" i="66"/>
  <c r="T91" i="66" s="1"/>
  <c r="P165" i="58"/>
  <c r="Q99" i="66"/>
  <c r="S99" i="66" s="1"/>
  <c r="P173" i="58"/>
  <c r="S177" i="68"/>
  <c r="P177" i="68"/>
  <c r="S187" i="66"/>
  <c r="P187" i="66"/>
  <c r="P194" i="67"/>
  <c r="T194" i="67"/>
  <c r="U144" i="67"/>
  <c r="P78" i="64"/>
  <c r="S78" i="64"/>
  <c r="S39" i="67"/>
  <c r="P39" i="67"/>
  <c r="T39" i="67"/>
  <c r="P40" i="65"/>
  <c r="P148" i="67"/>
  <c r="T148" i="67"/>
  <c r="T36" i="67"/>
  <c r="P36" i="67"/>
  <c r="S36" i="67"/>
  <c r="O25" i="66"/>
  <c r="P109" i="58" s="1"/>
  <c r="P171" i="58"/>
  <c r="T179" i="63"/>
  <c r="P179" i="63"/>
  <c r="S179" i="63"/>
  <c r="T51" i="67"/>
  <c r="P51" i="67"/>
  <c r="P91" i="67"/>
  <c r="T91" i="67"/>
  <c r="S91" i="67"/>
  <c r="S187" i="68"/>
  <c r="P165" i="67"/>
  <c r="T165" i="67"/>
  <c r="P141" i="68"/>
  <c r="T141" i="68"/>
  <c r="T98" i="68"/>
  <c r="P28" i="68"/>
  <c r="S61" i="67"/>
  <c r="P61" i="67"/>
  <c r="T61" i="67"/>
  <c r="T50" i="68"/>
  <c r="P50" i="68"/>
  <c r="S94" i="68"/>
  <c r="S152" i="67"/>
  <c r="Q144" i="67"/>
  <c r="T144" i="67" s="1"/>
  <c r="P152" i="67"/>
  <c r="T152" i="67"/>
  <c r="P174" i="64"/>
  <c r="T174" i="64"/>
  <c r="P90" i="68"/>
  <c r="T90" i="68"/>
  <c r="T68" i="68"/>
  <c r="P68" i="68"/>
  <c r="S68" i="68"/>
  <c r="T41" i="67"/>
  <c r="P41" i="67"/>
  <c r="S115" i="66"/>
  <c r="T68" i="67"/>
  <c r="P68" i="67"/>
  <c r="S68" i="67"/>
  <c r="S172" i="64"/>
  <c r="T172" i="64"/>
  <c r="P172" i="64"/>
  <c r="T26" i="68"/>
  <c r="P26" i="68"/>
  <c r="S141" i="68"/>
  <c r="S113" i="68"/>
  <c r="B41" i="12"/>
  <c r="E36" i="3"/>
  <c r="F38" i="4"/>
  <c r="F11" i="4" s="1"/>
  <c r="O25" i="39"/>
  <c r="N116" i="48"/>
  <c r="O116" i="48" s="1"/>
  <c r="P116" i="48" s="1"/>
  <c r="M111" i="48"/>
  <c r="Q106" i="35"/>
  <c r="O7" i="40"/>
  <c r="P7" i="40" s="1"/>
  <c r="O120" i="23"/>
  <c r="O58" i="37"/>
  <c r="N57" i="37"/>
  <c r="N41" i="48"/>
  <c r="O162" i="23"/>
  <c r="N161" i="23"/>
  <c r="N27" i="48"/>
  <c r="M57" i="37"/>
  <c r="N140" i="25"/>
  <c r="O140" i="25" s="1"/>
  <c r="O114" i="33"/>
  <c r="O65" i="50"/>
  <c r="N63" i="50"/>
  <c r="S162" i="63"/>
  <c r="T162" i="63"/>
  <c r="P162" i="63"/>
  <c r="M130" i="25"/>
  <c r="M129" i="25" s="1"/>
  <c r="N131" i="25"/>
  <c r="P177" i="65"/>
  <c r="O29" i="46"/>
  <c r="Q29" i="46" s="1"/>
  <c r="N135" i="37"/>
  <c r="O135" i="37" s="1"/>
  <c r="M134" i="37"/>
  <c r="F11" i="41"/>
  <c r="F13" i="41"/>
  <c r="F15" i="41" s="1"/>
  <c r="N155" i="33"/>
  <c r="N117" i="25"/>
  <c r="O118" i="25"/>
  <c r="Q60" i="33"/>
  <c r="P60" i="33"/>
  <c r="O39" i="37"/>
  <c r="N8" i="35"/>
  <c r="M6" i="35"/>
  <c r="Q43" i="48"/>
  <c r="P43" i="48"/>
  <c r="S33" i="62"/>
  <c r="O12" i="62"/>
  <c r="X13" i="63"/>
  <c r="Y13" i="63" s="1"/>
  <c r="AB13" i="63" s="1"/>
  <c r="U159" i="62"/>
  <c r="S47" i="62"/>
  <c r="P47" i="62"/>
  <c r="Q48" i="48"/>
  <c r="P48" i="48"/>
  <c r="P92" i="49"/>
  <c r="O13" i="33"/>
  <c r="P13" i="33" s="1"/>
  <c r="P14" i="33"/>
  <c r="Q14" i="33"/>
  <c r="Q67" i="35"/>
  <c r="P67" i="35"/>
  <c r="N103" i="48"/>
  <c r="N91" i="49"/>
  <c r="P121" i="47"/>
  <c r="Q121" i="47"/>
  <c r="O119" i="47"/>
  <c r="N118" i="35"/>
  <c r="M117" i="35"/>
  <c r="O65" i="47"/>
  <c r="N63" i="47"/>
  <c r="N56" i="47" s="1"/>
  <c r="O23" i="67"/>
  <c r="O43" i="51"/>
  <c r="P43" i="51" s="1"/>
  <c r="Q33" i="47"/>
  <c r="N92" i="48"/>
  <c r="M91" i="48"/>
  <c r="O161" i="24"/>
  <c r="P161" i="24" s="1"/>
  <c r="P162" i="24"/>
  <c r="Q162" i="24"/>
  <c r="N68" i="48"/>
  <c r="M66" i="48"/>
  <c r="Q122" i="47"/>
  <c r="O64" i="49"/>
  <c r="N63" i="49"/>
  <c r="N105" i="58"/>
  <c r="U25" i="63"/>
  <c r="N131" i="35"/>
  <c r="M130" i="35"/>
  <c r="U55" i="63"/>
  <c r="O52" i="63"/>
  <c r="U52" i="63" s="1"/>
  <c r="Q162" i="33"/>
  <c r="P162" i="33"/>
  <c r="O161" i="33"/>
  <c r="N100" i="48"/>
  <c r="P20" i="40"/>
  <c r="O19" i="40"/>
  <c r="P19" i="40" s="1"/>
  <c r="O99" i="39"/>
  <c r="P99" i="39" s="1"/>
  <c r="O58" i="51"/>
  <c r="P58" i="51" s="1"/>
  <c r="O94" i="46"/>
  <c r="P97" i="46"/>
  <c r="Q97" i="46"/>
  <c r="Q127" i="47"/>
  <c r="P127" i="47"/>
  <c r="I54" i="10"/>
  <c r="M113" i="47"/>
  <c r="M111" i="47" s="1"/>
  <c r="N142" i="35"/>
  <c r="O142" i="35" s="1"/>
  <c r="O99" i="37"/>
  <c r="P100" i="37"/>
  <c r="Q100" i="37"/>
  <c r="N53" i="48"/>
  <c r="M47" i="48"/>
  <c r="K245" i="58"/>
  <c r="O11" i="39"/>
  <c r="P11" i="39" s="1"/>
  <c r="O12" i="40"/>
  <c r="P12" i="40" s="1"/>
  <c r="O92" i="20"/>
  <c r="Q92" i="20" s="1"/>
  <c r="P66" i="46"/>
  <c r="Q66" i="46"/>
  <c r="Q108" i="35"/>
  <c r="N112" i="47"/>
  <c r="O112" i="47" s="1"/>
  <c r="N14" i="48"/>
  <c r="M13" i="48"/>
  <c r="T26" i="63"/>
  <c r="P26" i="63"/>
  <c r="O92" i="27"/>
  <c r="O71" i="24"/>
  <c r="N70" i="24"/>
  <c r="N69" i="24" s="1"/>
  <c r="N12" i="48"/>
  <c r="M10" i="48"/>
  <c r="O28" i="34"/>
  <c r="N27" i="34"/>
  <c r="O151" i="23"/>
  <c r="J90" i="54" s="1"/>
  <c r="N97" i="48"/>
  <c r="M94" i="48"/>
  <c r="H14" i="28"/>
  <c r="G14" i="28"/>
  <c r="O30" i="50"/>
  <c r="Q75" i="48"/>
  <c r="M113" i="36"/>
  <c r="N113" i="36" s="1"/>
  <c r="O113" i="36" s="1"/>
  <c r="O53" i="46"/>
  <c r="P95" i="36"/>
  <c r="Q95" i="36"/>
  <c r="O163" i="20"/>
  <c r="P163" i="20" s="1"/>
  <c r="G11" i="28"/>
  <c r="G13" i="28" s="1"/>
  <c r="N39" i="48"/>
  <c r="N38" i="48" s="1"/>
  <c r="M38" i="48"/>
  <c r="N112" i="36"/>
  <c r="M27" i="48"/>
  <c r="C5" i="13"/>
  <c r="B16" i="13"/>
  <c r="C16" i="13" s="1"/>
  <c r="B7" i="13"/>
  <c r="N25" i="48"/>
  <c r="O25" i="48" s="1"/>
  <c r="M22" i="48"/>
  <c r="O122" i="33"/>
  <c r="N44" i="48"/>
  <c r="O45" i="48"/>
  <c r="N143" i="35"/>
  <c r="O143" i="35" s="1"/>
  <c r="L30" i="30"/>
  <c r="E9" i="28" s="1"/>
  <c r="L21" i="30"/>
  <c r="L37" i="30"/>
  <c r="L35" i="30"/>
  <c r="L29" i="30"/>
  <c r="L18" i="30"/>
  <c r="E7" i="28" s="1"/>
  <c r="L34" i="30"/>
  <c r="E10" i="28" s="1"/>
  <c r="L33" i="30"/>
  <c r="L28" i="30"/>
  <c r="L17" i="30"/>
  <c r="L25" i="30"/>
  <c r="E8" i="28" s="1"/>
  <c r="L31" i="30"/>
  <c r="L42" i="30"/>
  <c r="L27" i="30"/>
  <c r="L16" i="30"/>
  <c r="L20" i="30"/>
  <c r="L12" i="30"/>
  <c r="L40" i="30"/>
  <c r="L26" i="30"/>
  <c r="L15" i="30"/>
  <c r="L19" i="30"/>
  <c r="L10" i="30"/>
  <c r="L14" i="30"/>
  <c r="L38" i="30"/>
  <c r="L39" i="30"/>
  <c r="L9" i="30"/>
  <c r="E5" i="28" s="1"/>
  <c r="L32" i="30"/>
  <c r="L36" i="30"/>
  <c r="L13" i="30"/>
  <c r="E6" i="28" s="1"/>
  <c r="L24" i="30"/>
  <c r="E12" i="28" s="1"/>
  <c r="L11" i="30"/>
  <c r="L23" i="30"/>
  <c r="L22" i="30"/>
  <c r="L41" i="30"/>
  <c r="E14" i="28" s="1"/>
  <c r="N6" i="50"/>
  <c r="O166" i="32"/>
  <c r="N142" i="36"/>
  <c r="M141" i="36"/>
  <c r="O7" i="51"/>
  <c r="N6" i="51"/>
  <c r="Q42" i="48"/>
  <c r="O41" i="48"/>
  <c r="P41" i="48"/>
  <c r="P42" i="48"/>
  <c r="O103" i="27"/>
  <c r="O28" i="48"/>
  <c r="N117" i="47"/>
  <c r="O135" i="35"/>
  <c r="N134" i="35"/>
  <c r="O20" i="49"/>
  <c r="O36" i="27"/>
  <c r="P36" i="27" s="1"/>
  <c r="P37" i="27"/>
  <c r="O135" i="27"/>
  <c r="S151" i="67"/>
  <c r="P151" i="67"/>
  <c r="T151" i="67"/>
  <c r="Q149" i="32"/>
  <c r="N149" i="32"/>
  <c r="O149" i="32" s="1"/>
  <c r="Q43" i="32"/>
  <c r="O43" i="32"/>
  <c r="N59" i="32"/>
  <c r="O59" i="32"/>
  <c r="Q59" i="32"/>
  <c r="N120" i="32"/>
  <c r="O120" i="32" s="1"/>
  <c r="Q120" i="32"/>
  <c r="N193" i="32"/>
  <c r="O193" i="32" s="1"/>
  <c r="N51" i="32"/>
  <c r="O51" i="32" s="1"/>
  <c r="P120" i="20"/>
  <c r="Q120" i="20"/>
  <c r="P6" i="24"/>
  <c r="O5" i="24"/>
  <c r="P136" i="46"/>
  <c r="Q136" i="46"/>
  <c r="O134" i="46"/>
  <c r="P134" i="46" s="1"/>
  <c r="S186" i="63"/>
  <c r="Q28" i="37"/>
  <c r="P28" i="37"/>
  <c r="S34" i="65"/>
  <c r="T189" i="67"/>
  <c r="T142" i="62"/>
  <c r="P142" i="62"/>
  <c r="T155" i="65"/>
  <c r="S155" i="65"/>
  <c r="P155" i="65"/>
  <c r="I60" i="45"/>
  <c r="M60" i="45" s="1"/>
  <c r="I64" i="45"/>
  <c r="M64" i="45" s="1"/>
  <c r="N64" i="45" s="1"/>
  <c r="O64" i="45" s="1"/>
  <c r="P64" i="45" s="1"/>
  <c r="I66" i="45"/>
  <c r="M66" i="45" s="1"/>
  <c r="Q66" i="45" s="1"/>
  <c r="I48" i="45"/>
  <c r="M48" i="45" s="1"/>
  <c r="N48" i="45" s="1"/>
  <c r="O48" i="45" s="1"/>
  <c r="P48" i="45" s="1"/>
  <c r="N227" i="32"/>
  <c r="BD39" i="30" s="1"/>
  <c r="Q227" i="32"/>
  <c r="BC39" i="30"/>
  <c r="AK39" i="30" s="1"/>
  <c r="N121" i="32"/>
  <c r="O121" i="32" s="1"/>
  <c r="Q121" i="32"/>
  <c r="S132" i="67"/>
  <c r="O142" i="23"/>
  <c r="O141" i="23" s="1"/>
  <c r="P141" i="23" s="1"/>
  <c r="S149" i="65"/>
  <c r="P125" i="36"/>
  <c r="Q125" i="36"/>
  <c r="P111" i="65"/>
  <c r="S115" i="62"/>
  <c r="P115" i="62"/>
  <c r="T115" i="62"/>
  <c r="P20" i="50"/>
  <c r="S22" i="62"/>
  <c r="P22" i="62"/>
  <c r="T22" i="62"/>
  <c r="O117" i="23"/>
  <c r="P117" i="23" s="1"/>
  <c r="P118" i="23"/>
  <c r="T188" i="67"/>
  <c r="S188" i="67"/>
  <c r="P188" i="67"/>
  <c r="O43" i="38"/>
  <c r="P43" i="38" s="1"/>
  <c r="Q20" i="33"/>
  <c r="P20" i="33"/>
  <c r="M5" i="44"/>
  <c r="N5" i="44" s="1"/>
  <c r="N8" i="45" s="1"/>
  <c r="I6" i="44"/>
  <c r="R5" i="44"/>
  <c r="S46" i="63"/>
  <c r="P46" i="63"/>
  <c r="T46" i="63"/>
  <c r="O151" i="25"/>
  <c r="Q151" i="25" s="1"/>
  <c r="N150" i="25"/>
  <c r="N149" i="25" s="1"/>
  <c r="P131" i="37"/>
  <c r="Q131" i="37"/>
  <c r="Q185" i="32"/>
  <c r="N185" i="32"/>
  <c r="O185" i="32" s="1"/>
  <c r="N56" i="32"/>
  <c r="O56" i="32"/>
  <c r="Q56" i="32"/>
  <c r="Q42" i="32"/>
  <c r="N42" i="32"/>
  <c r="O42" i="32" s="1"/>
  <c r="Q125" i="32"/>
  <c r="Q61" i="32"/>
  <c r="O61" i="32"/>
  <c r="N30" i="32"/>
  <c r="Q30" i="32"/>
  <c r="G8" i="42"/>
  <c r="I162" i="45"/>
  <c r="M162" i="45" s="1"/>
  <c r="N162" i="45" s="1"/>
  <c r="O162" i="45" s="1"/>
  <c r="P162" i="45" s="1"/>
  <c r="S93" i="63"/>
  <c r="T93" i="63"/>
  <c r="P93" i="63"/>
  <c r="O42" i="33"/>
  <c r="N41" i="33"/>
  <c r="O114" i="35"/>
  <c r="N111" i="35"/>
  <c r="O94" i="25"/>
  <c r="P95" i="25"/>
  <c r="Q95" i="25"/>
  <c r="Q163" i="20"/>
  <c r="Q27" i="32"/>
  <c r="M19" i="32"/>
  <c r="Q19" i="32" s="1"/>
  <c r="Q148" i="32"/>
  <c r="N148" i="32"/>
  <c r="O148" i="32" s="1"/>
  <c r="Q66" i="25"/>
  <c r="S197" i="67"/>
  <c r="T197" i="67"/>
  <c r="P197" i="67"/>
  <c r="T74" i="67"/>
  <c r="P74" i="67"/>
  <c r="S74" i="67"/>
  <c r="P173" i="45"/>
  <c r="O170" i="45"/>
  <c r="P170" i="45" s="1"/>
  <c r="O144" i="20"/>
  <c r="Q144" i="20" s="1"/>
  <c r="Q13" i="63"/>
  <c r="Q12" i="63" s="1"/>
  <c r="Q11" i="63" s="1"/>
  <c r="P15" i="63"/>
  <c r="T15" i="63"/>
  <c r="T13" i="63" s="1"/>
  <c r="T12" i="63" s="1"/>
  <c r="T11" i="63" s="1"/>
  <c r="S15" i="63"/>
  <c r="S13" i="63" s="1"/>
  <c r="S12" i="63" s="1"/>
  <c r="S11" i="63" s="1"/>
  <c r="Q178" i="32"/>
  <c r="Q192" i="32"/>
  <c r="N192" i="32"/>
  <c r="O192" i="32" s="1"/>
  <c r="Q40" i="32"/>
  <c r="N40" i="32"/>
  <c r="O40" i="32" s="1"/>
  <c r="Q117" i="32"/>
  <c r="M115" i="32"/>
  <c r="Q115" i="32" s="1"/>
  <c r="N146" i="32"/>
  <c r="O146" i="32" s="1"/>
  <c r="Q146" i="32"/>
  <c r="M113" i="24"/>
  <c r="Q163" i="45"/>
  <c r="O163" i="45"/>
  <c r="P163" i="45" s="1"/>
  <c r="O143" i="40"/>
  <c r="P17" i="20"/>
  <c r="Q17" i="20"/>
  <c r="N171" i="25"/>
  <c r="N172" i="25" s="1"/>
  <c r="P12" i="46"/>
  <c r="Q12" i="46"/>
  <c r="Q39" i="35"/>
  <c r="P39" i="35"/>
  <c r="Q78" i="63"/>
  <c r="T79" i="63"/>
  <c r="S79" i="63"/>
  <c r="S78" i="63" s="1"/>
  <c r="P79" i="63"/>
  <c r="Q201" i="32"/>
  <c r="M200" i="32"/>
  <c r="M196" i="32" s="1"/>
  <c r="N201" i="32"/>
  <c r="O201" i="32" s="1"/>
  <c r="N62" i="32"/>
  <c r="O62" i="32" s="1"/>
  <c r="N69" i="32"/>
  <c r="N68" i="32" s="1"/>
  <c r="Q147" i="32"/>
  <c r="N147" i="32"/>
  <c r="O147" i="32" s="1"/>
  <c r="I153" i="45"/>
  <c r="M153" i="45" s="1"/>
  <c r="I168" i="45"/>
  <c r="M168" i="45" s="1"/>
  <c r="I161" i="45"/>
  <c r="M161" i="45" s="1"/>
  <c r="N161" i="45" s="1"/>
  <c r="O161" i="45" s="1"/>
  <c r="I156" i="45"/>
  <c r="M156" i="45" s="1"/>
  <c r="N156" i="45" s="1"/>
  <c r="O156" i="45" s="1"/>
  <c r="I169" i="45"/>
  <c r="M169" i="45" s="1"/>
  <c r="N169" i="45" s="1"/>
  <c r="O169" i="45" s="1"/>
  <c r="P169" i="45" s="1"/>
  <c r="I155" i="45"/>
  <c r="M155" i="45" s="1"/>
  <c r="I152" i="45"/>
  <c r="M152" i="45"/>
  <c r="I179" i="45"/>
  <c r="M179" i="45" s="1"/>
  <c r="T30" i="62"/>
  <c r="P30" i="62"/>
  <c r="S30" i="62"/>
  <c r="T118" i="63"/>
  <c r="Q25" i="67"/>
  <c r="T25" i="67" s="1"/>
  <c r="P149" i="67"/>
  <c r="S149" i="67"/>
  <c r="T149" i="67"/>
  <c r="N135" i="24"/>
  <c r="N134" i="24" s="1"/>
  <c r="M134" i="24"/>
  <c r="N125" i="25"/>
  <c r="N124" i="25" s="1"/>
  <c r="M124" i="25"/>
  <c r="S119" i="65"/>
  <c r="P119" i="65"/>
  <c r="T119" i="65"/>
  <c r="O10" i="40"/>
  <c r="P10" i="40" s="1"/>
  <c r="Q36" i="32"/>
  <c r="Q194" i="32"/>
  <c r="Q110" i="32"/>
  <c r="N110" i="32"/>
  <c r="O110" i="32" s="1"/>
  <c r="Q111" i="32"/>
  <c r="N37" i="32"/>
  <c r="O37" i="32" s="1"/>
  <c r="Q37" i="32"/>
  <c r="Q50" i="32"/>
  <c r="N145" i="32"/>
  <c r="O145" i="32" s="1"/>
  <c r="N144" i="32"/>
  <c r="O144" i="32" s="1"/>
  <c r="Q144" i="32"/>
  <c r="M111" i="24"/>
  <c r="N112" i="24"/>
  <c r="O112" i="24" s="1"/>
  <c r="T59" i="63"/>
  <c r="S59" i="63"/>
  <c r="P127" i="20"/>
  <c r="Q127" i="20"/>
  <c r="T123" i="65"/>
  <c r="S123" i="65"/>
  <c r="P123" i="65"/>
  <c r="Q101" i="20"/>
  <c r="P101" i="20"/>
  <c r="T17" i="65"/>
  <c r="S17" i="65"/>
  <c r="P17" i="65"/>
  <c r="M57" i="24"/>
  <c r="M56" i="24" s="1"/>
  <c r="N58" i="24"/>
  <c r="N57" i="24" s="1"/>
  <c r="N56" i="24" s="1"/>
  <c r="P186" i="63"/>
  <c r="T186" i="63"/>
  <c r="P118" i="63"/>
  <c r="T26" i="67"/>
  <c r="O152" i="51"/>
  <c r="P152" i="51" s="1"/>
  <c r="Q77" i="24"/>
  <c r="H54" i="10"/>
  <c r="N188" i="32"/>
  <c r="O188" i="32" s="1"/>
  <c r="Q188" i="32"/>
  <c r="M33" i="32"/>
  <c r="I34" i="32"/>
  <c r="M34" i="32" s="1"/>
  <c r="Q202" i="32"/>
  <c r="N202" i="32"/>
  <c r="O202" i="32" s="1"/>
  <c r="M228" i="32"/>
  <c r="Q228" i="32" s="1"/>
  <c r="N191" i="32"/>
  <c r="Q35" i="32"/>
  <c r="N35" i="32"/>
  <c r="O35" i="32" s="1"/>
  <c r="Q38" i="32"/>
  <c r="N38" i="32"/>
  <c r="I177" i="45"/>
  <c r="M177" i="45" s="1"/>
  <c r="N177" i="45" s="1"/>
  <c r="O177" i="45" s="1"/>
  <c r="I59" i="45"/>
  <c r="M59" i="45" s="1"/>
  <c r="I43" i="45"/>
  <c r="M43" i="45" s="1"/>
  <c r="I146" i="45"/>
  <c r="M146" i="45" s="1"/>
  <c r="I227" i="45"/>
  <c r="M227" i="45" s="1"/>
  <c r="I37" i="45"/>
  <c r="M37" i="45" s="1"/>
  <c r="I61" i="45"/>
  <c r="M61" i="45" s="1"/>
  <c r="N61" i="45" s="1"/>
  <c r="O61" i="45" s="1"/>
  <c r="P61" i="45" s="1"/>
  <c r="I109" i="45"/>
  <c r="M109" i="45" s="1"/>
  <c r="I180" i="45"/>
  <c r="M180" i="45" s="1"/>
  <c r="I40" i="45"/>
  <c r="M40" i="45" s="1"/>
  <c r="Q40" i="45" s="1"/>
  <c r="I194" i="45"/>
  <c r="M194" i="45" s="1"/>
  <c r="I126" i="45"/>
  <c r="M126" i="45" s="1"/>
  <c r="I178" i="45"/>
  <c r="M178" i="45" s="1"/>
  <c r="I115" i="45"/>
  <c r="I203" i="45"/>
  <c r="M203" i="45" s="1"/>
  <c r="Q203" i="45" s="1"/>
  <c r="I112" i="45"/>
  <c r="I144" i="45"/>
  <c r="M144" i="45" s="1"/>
  <c r="Q144" i="45" s="1"/>
  <c r="I147" i="45"/>
  <c r="M147" i="45" s="1"/>
  <c r="I205" i="45"/>
  <c r="M205" i="45" s="1"/>
  <c r="I119" i="45"/>
  <c r="I125" i="45"/>
  <c r="M125" i="45" s="1"/>
  <c r="Q125" i="45" s="1"/>
  <c r="I230" i="45"/>
  <c r="M230" i="45" s="1"/>
  <c r="Q230" i="45" s="1"/>
  <c r="I110" i="45"/>
  <c r="I35" i="45"/>
  <c r="M35" i="45" s="1"/>
  <c r="I122" i="45"/>
  <c r="M122" i="45" s="1"/>
  <c r="I191" i="45"/>
  <c r="M191" i="45" s="1"/>
  <c r="I202" i="45"/>
  <c r="M202" i="45" s="1"/>
  <c r="I113" i="45"/>
  <c r="M113" i="45" s="1"/>
  <c r="I62" i="45"/>
  <c r="M62" i="45" s="1"/>
  <c r="Q62" i="45" s="1"/>
  <c r="I67" i="45"/>
  <c r="M67" i="45" s="1"/>
  <c r="N67" i="45" s="1"/>
  <c r="O67" i="45" s="1"/>
  <c r="P67" i="45" s="1"/>
  <c r="I52" i="45"/>
  <c r="M52" i="45" s="1"/>
  <c r="I123" i="45"/>
  <c r="M123" i="45" s="1"/>
  <c r="I188" i="45"/>
  <c r="M188" i="45" s="1"/>
  <c r="Q188" i="45" s="1"/>
  <c r="I50" i="45"/>
  <c r="M50" i="45" s="1"/>
  <c r="Q50" i="45" s="1"/>
  <c r="I31" i="45"/>
  <c r="M31" i="45" s="1"/>
  <c r="Q31" i="45" s="1"/>
  <c r="I54" i="45"/>
  <c r="M54" i="45" s="1"/>
  <c r="Q54" i="45" s="1"/>
  <c r="I39" i="45"/>
  <c r="M39" i="45" s="1"/>
  <c r="I204" i="45"/>
  <c r="M204" i="45" s="1"/>
  <c r="Q204" i="45" s="1"/>
  <c r="I120" i="45"/>
  <c r="M120" i="45" s="1"/>
  <c r="Q120" i="45" s="1"/>
  <c r="I117" i="45"/>
  <c r="M117" i="45" s="1"/>
  <c r="I185" i="45"/>
  <c r="M185" i="45" s="1"/>
  <c r="I56" i="45"/>
  <c r="M56" i="45" s="1"/>
  <c r="I116" i="45"/>
  <c r="M116" i="45" s="1"/>
  <c r="I49" i="45"/>
  <c r="M49" i="45"/>
  <c r="I51" i="45"/>
  <c r="M51" i="45" s="1"/>
  <c r="I145" i="45"/>
  <c r="M145" i="45" s="1"/>
  <c r="Q145" i="45" s="1"/>
  <c r="I193" i="45"/>
  <c r="M193" i="45" s="1"/>
  <c r="N193" i="45" s="1"/>
  <c r="I176" i="45"/>
  <c r="M176" i="45" s="1"/>
  <c r="I124" i="45"/>
  <c r="M124" i="45" s="1"/>
  <c r="I55" i="45"/>
  <c r="M55" i="45"/>
  <c r="Q55" i="45" s="1"/>
  <c r="I63" i="45"/>
  <c r="M63" i="45" s="1"/>
  <c r="N63" i="45" s="1"/>
  <c r="O63" i="45" s="1"/>
  <c r="P63" i="45" s="1"/>
  <c r="I36" i="45"/>
  <c r="M36" i="45" s="1"/>
  <c r="I27" i="45"/>
  <c r="M27" i="45" s="1"/>
  <c r="I201" i="45"/>
  <c r="M201" i="45" s="1"/>
  <c r="I69" i="45"/>
  <c r="M69" i="45" s="1"/>
  <c r="I143" i="45"/>
  <c r="M143" i="45" s="1"/>
  <c r="I183" i="45"/>
  <c r="M183" i="45" s="1"/>
  <c r="I192" i="45"/>
  <c r="M192" i="45" s="1"/>
  <c r="Q192" i="45" s="1"/>
  <c r="I53" i="45"/>
  <c r="M53" i="45" s="1"/>
  <c r="Q53" i="45" s="1"/>
  <c r="I42" i="45"/>
  <c r="M42" i="45" s="1"/>
  <c r="I38" i="45"/>
  <c r="M38" i="45" s="1"/>
  <c r="I149" i="45"/>
  <c r="M149" i="45" s="1"/>
  <c r="I121" i="45"/>
  <c r="M121" i="45" s="1"/>
  <c r="I30" i="45"/>
  <c r="M30" i="45" s="1"/>
  <c r="I33" i="45"/>
  <c r="I148" i="45"/>
  <c r="M148" i="45" s="1"/>
  <c r="T125" i="63"/>
  <c r="P125" i="63"/>
  <c r="P117" i="65"/>
  <c r="S117" i="65"/>
  <c r="T117" i="65"/>
  <c r="N226" i="58"/>
  <c r="U138" i="63"/>
  <c r="S96" i="63"/>
  <c r="T96" i="63"/>
  <c r="P96" i="63"/>
  <c r="S57" i="62"/>
  <c r="P57" i="62"/>
  <c r="P55" i="66"/>
  <c r="P26" i="67"/>
  <c r="P110" i="65"/>
  <c r="S67" i="63"/>
  <c r="T67" i="63"/>
  <c r="Q31" i="32"/>
  <c r="N31" i="32"/>
  <c r="Q113" i="32"/>
  <c r="N113" i="32"/>
  <c r="O113" i="32" s="1"/>
  <c r="O112" i="32" s="1"/>
  <c r="M112" i="32"/>
  <c r="Q112" i="32" s="1"/>
  <c r="N183" i="32"/>
  <c r="O183" i="32" s="1"/>
  <c r="Q183" i="32"/>
  <c r="Q143" i="32"/>
  <c r="N143" i="32"/>
  <c r="Q204" i="32"/>
  <c r="N204" i="32"/>
  <c r="O204" i="32" s="1"/>
  <c r="Q49" i="32"/>
  <c r="N177" i="32"/>
  <c r="O177" i="32" s="1"/>
  <c r="Q177" i="32"/>
  <c r="N63" i="32"/>
  <c r="O63" i="32" s="1"/>
  <c r="Q63" i="32"/>
  <c r="P20" i="35"/>
  <c r="Q20" i="35"/>
  <c r="P139" i="65"/>
  <c r="S139" i="65"/>
  <c r="T139" i="65"/>
  <c r="Q55" i="24"/>
  <c r="Q68" i="24"/>
  <c r="N151" i="32"/>
  <c r="O152" i="32"/>
  <c r="P190" i="67"/>
  <c r="T190" i="67"/>
  <c r="P98" i="33"/>
  <c r="Q98" i="33"/>
  <c r="O94" i="33"/>
  <c r="N205" i="32"/>
  <c r="O205" i="32" s="1"/>
  <c r="Q205" i="32"/>
  <c r="N123" i="32"/>
  <c r="O123" i="32" s="1"/>
  <c r="Q123" i="32"/>
  <c r="N55" i="32"/>
  <c r="O55" i="32" s="1"/>
  <c r="Q55" i="32"/>
  <c r="Q203" i="32"/>
  <c r="O203" i="32"/>
  <c r="N54" i="32"/>
  <c r="O54" i="32" s="1"/>
  <c r="N124" i="32"/>
  <c r="O124" i="32" s="1"/>
  <c r="O52" i="32"/>
  <c r="Q52" i="32"/>
  <c r="S180" i="65"/>
  <c r="T180" i="65"/>
  <c r="P180" i="65"/>
  <c r="T53" i="65"/>
  <c r="T24" i="63"/>
  <c r="P24" i="63"/>
  <c r="S24" i="63"/>
  <c r="O58" i="40"/>
  <c r="P181" i="66"/>
  <c r="P80" i="20"/>
  <c r="Q80" i="20"/>
  <c r="Q75" i="20"/>
  <c r="P75" i="20"/>
  <c r="Q50" i="24"/>
  <c r="P50" i="24"/>
  <c r="P71" i="20"/>
  <c r="Q71" i="20"/>
  <c r="O120" i="40"/>
  <c r="N119" i="40"/>
  <c r="O103" i="25"/>
  <c r="N102" i="25"/>
  <c r="N74" i="47"/>
  <c r="N29" i="24"/>
  <c r="O29" i="24"/>
  <c r="M41" i="24"/>
  <c r="N42" i="24"/>
  <c r="N41" i="24" s="1"/>
  <c r="C54" i="10"/>
  <c r="S103" i="65"/>
  <c r="P103" i="65"/>
  <c r="T103" i="65"/>
  <c r="E79" i="9"/>
  <c r="P131" i="48"/>
  <c r="AP36" i="30"/>
  <c r="AM36" i="30"/>
  <c r="AJ36" i="30"/>
  <c r="AY36" i="30"/>
  <c r="AG36" i="30"/>
  <c r="AS36" i="30"/>
  <c r="N143" i="37"/>
  <c r="O143" i="37" s="1"/>
  <c r="Q72" i="24"/>
  <c r="Q54" i="10"/>
  <c r="N95" i="24"/>
  <c r="N94" i="24" s="1"/>
  <c r="M94" i="24"/>
  <c r="N11" i="24"/>
  <c r="M10" i="24"/>
  <c r="M9" i="24" s="1"/>
  <c r="P72" i="20"/>
  <c r="Q72" i="20"/>
  <c r="M38" i="47"/>
  <c r="N39" i="47"/>
  <c r="N38" i="47" s="1"/>
  <c r="P143" i="46"/>
  <c r="Q143" i="46"/>
  <c r="P64" i="48"/>
  <c r="Q64" i="48"/>
  <c r="O63" i="48"/>
  <c r="N53" i="47"/>
  <c r="M47" i="47"/>
  <c r="Q49" i="20"/>
  <c r="P49" i="20"/>
  <c r="O123" i="20"/>
  <c r="Q123" i="20" s="1"/>
  <c r="O160" i="45"/>
  <c r="P160" i="45" s="1"/>
  <c r="O124" i="24"/>
  <c r="P124" i="24" s="1"/>
  <c r="Q125" i="24"/>
  <c r="P125" i="24"/>
  <c r="P60" i="46"/>
  <c r="Q60" i="46"/>
  <c r="Q59" i="47"/>
  <c r="P59" i="47"/>
  <c r="O57" i="47"/>
  <c r="P57" i="47" s="1"/>
  <c r="N18" i="47"/>
  <c r="M44" i="24"/>
  <c r="N45" i="24"/>
  <c r="N44" i="24" s="1"/>
  <c r="N112" i="37"/>
  <c r="O112" i="37" s="1"/>
  <c r="Q15" i="35"/>
  <c r="P15" i="35"/>
  <c r="N20" i="24"/>
  <c r="N19" i="24" s="1"/>
  <c r="M19" i="24"/>
  <c r="O136" i="40"/>
  <c r="P136" i="40" s="1"/>
  <c r="O28" i="24"/>
  <c r="Q28" i="24" s="1"/>
  <c r="N27" i="24"/>
  <c r="N100" i="24"/>
  <c r="M99" i="24"/>
  <c r="S167" i="65"/>
  <c r="T167" i="65"/>
  <c r="P167" i="65"/>
  <c r="N17" i="24"/>
  <c r="O17" i="24" s="1"/>
  <c r="N66" i="24"/>
  <c r="O67" i="24"/>
  <c r="N159" i="47"/>
  <c r="M150" i="47"/>
  <c r="M149" i="47" s="1"/>
  <c r="AT28" i="43" s="1"/>
  <c r="N96" i="24"/>
  <c r="O96" i="24" s="1"/>
  <c r="O131" i="23"/>
  <c r="P149" i="65"/>
  <c r="T149" i="65"/>
  <c r="P39" i="39"/>
  <c r="M113" i="37"/>
  <c r="O156" i="40"/>
  <c r="P156" i="40" s="1"/>
  <c r="H109" i="58"/>
  <c r="U31" i="62"/>
  <c r="O135" i="23"/>
  <c r="O39" i="24"/>
  <c r="P39" i="24" s="1"/>
  <c r="N38" i="24"/>
  <c r="N37" i="24" s="1"/>
  <c r="N36" i="24" s="1"/>
  <c r="O48" i="24"/>
  <c r="N47" i="24"/>
  <c r="O8" i="20"/>
  <c r="N6" i="20"/>
  <c r="Q162" i="48"/>
  <c r="P162" i="48"/>
  <c r="N103" i="24"/>
  <c r="N102" i="24" s="1"/>
  <c r="M102" i="24"/>
  <c r="P39" i="49"/>
  <c r="P40" i="46"/>
  <c r="Q40" i="46"/>
  <c r="N97" i="24"/>
  <c r="O97" i="24"/>
  <c r="O161" i="37"/>
  <c r="P162" i="37"/>
  <c r="Q162" i="37"/>
  <c r="AZ26" i="43"/>
  <c r="P200" i="67"/>
  <c r="P37" i="67"/>
  <c r="S37" i="67"/>
  <c r="T37" i="67"/>
  <c r="B4" i="28"/>
  <c r="O4" i="28" s="1"/>
  <c r="T11" i="30"/>
  <c r="T26" i="30"/>
  <c r="T17" i="30"/>
  <c r="T31" i="30"/>
  <c r="T19" i="30"/>
  <c r="T13" i="30"/>
  <c r="T42" i="30"/>
  <c r="T39" i="30"/>
  <c r="T41" i="30"/>
  <c r="T35" i="30"/>
  <c r="T23" i="30"/>
  <c r="T30" i="30"/>
  <c r="T34" i="30"/>
  <c r="T37" i="30"/>
  <c r="T12" i="30"/>
  <c r="T36" i="30"/>
  <c r="T28" i="30"/>
  <c r="T16" i="30"/>
  <c r="T9" i="30"/>
  <c r="T29" i="30"/>
  <c r="T20" i="30"/>
  <c r="T15" i="30"/>
  <c r="T32" i="30"/>
  <c r="AX7" i="30"/>
  <c r="V24" i="30" s="1"/>
  <c r="T38" i="30"/>
  <c r="T22" i="30"/>
  <c r="T27" i="30"/>
  <c r="T14" i="30"/>
  <c r="T18" i="30"/>
  <c r="T21" i="30"/>
  <c r="T24" i="30"/>
  <c r="AW7" i="30"/>
  <c r="U37" i="30" s="1"/>
  <c r="T10" i="30"/>
  <c r="T40" i="30"/>
  <c r="T33" i="30"/>
  <c r="T25" i="30"/>
  <c r="S131" i="67"/>
  <c r="P131" i="67"/>
  <c r="T131" i="67"/>
  <c r="O135" i="25"/>
  <c r="Q135" i="25" s="1"/>
  <c r="N134" i="25"/>
  <c r="T197" i="62"/>
  <c r="P197" i="62"/>
  <c r="O57" i="51"/>
  <c r="P57" i="51" s="1"/>
  <c r="P20" i="65"/>
  <c r="M99" i="33"/>
  <c r="N100" i="33"/>
  <c r="O96" i="20"/>
  <c r="P96" i="20" s="1"/>
  <c r="K138" i="58"/>
  <c r="U58" i="67"/>
  <c r="O137" i="51"/>
  <c r="P143" i="27"/>
  <c r="Q122" i="20"/>
  <c r="S176" i="64"/>
  <c r="T164" i="67"/>
  <c r="P164" i="67"/>
  <c r="P110" i="67"/>
  <c r="S110" i="67"/>
  <c r="T98" i="67"/>
  <c r="N122" i="24"/>
  <c r="O122" i="24" s="1"/>
  <c r="M141" i="35"/>
  <c r="N144" i="35"/>
  <c r="N141" i="35" s="1"/>
  <c r="O163" i="32"/>
  <c r="T136" i="67"/>
  <c r="P136" i="67"/>
  <c r="U129" i="67"/>
  <c r="K225" i="58"/>
  <c r="T16" i="67"/>
  <c r="S75" i="67"/>
  <c r="T75" i="67"/>
  <c r="P75" i="67"/>
  <c r="N131" i="24"/>
  <c r="O131" i="24" s="1"/>
  <c r="M129" i="24"/>
  <c r="O115" i="27"/>
  <c r="T145" i="65"/>
  <c r="S145" i="65"/>
  <c r="P145" i="65"/>
  <c r="S20" i="67"/>
  <c r="T20" i="67"/>
  <c r="P20" i="67"/>
  <c r="S137" i="67"/>
  <c r="T137" i="67"/>
  <c r="P137" i="67"/>
  <c r="T156" i="66"/>
  <c r="P156" i="66"/>
  <c r="S156" i="66"/>
  <c r="T191" i="67"/>
  <c r="S191" i="67"/>
  <c r="P191" i="67"/>
  <c r="T158" i="67"/>
  <c r="P158" i="67"/>
  <c r="P76" i="67"/>
  <c r="T76" i="67"/>
  <c r="N141" i="24"/>
  <c r="M141" i="24"/>
  <c r="Q78" i="20"/>
  <c r="T60" i="67"/>
  <c r="P60" i="67"/>
  <c r="P113" i="67"/>
  <c r="S113" i="67"/>
  <c r="T113" i="67"/>
  <c r="T15" i="67"/>
  <c r="N106" i="24"/>
  <c r="O106" i="24" s="1"/>
  <c r="O64" i="24"/>
  <c r="Q64" i="24" s="1"/>
  <c r="N63" i="24"/>
  <c r="S202" i="67"/>
  <c r="P202" i="67"/>
  <c r="T202" i="67"/>
  <c r="T87" i="67"/>
  <c r="S87" i="67"/>
  <c r="P87" i="67"/>
  <c r="P156" i="67"/>
  <c r="T156" i="67"/>
  <c r="S156" i="67"/>
  <c r="Q79" i="48"/>
  <c r="S44" i="67"/>
  <c r="T44" i="67"/>
  <c r="P44" i="67"/>
  <c r="O54" i="10"/>
  <c r="S170" i="62"/>
  <c r="P170" i="62"/>
  <c r="T170" i="62"/>
  <c r="T163" i="62"/>
  <c r="S163" i="62"/>
  <c r="S20" i="65"/>
  <c r="T176" i="65"/>
  <c r="S176" i="65"/>
  <c r="P176" i="65"/>
  <c r="S140" i="67"/>
  <c r="T140" i="67"/>
  <c r="P140" i="67"/>
  <c r="K4" i="3"/>
  <c r="P15" i="67"/>
  <c r="S43" i="67"/>
  <c r="P43" i="67"/>
  <c r="T43" i="67"/>
  <c r="T48" i="67"/>
  <c r="S48" i="67"/>
  <c r="P48" i="67"/>
  <c r="S199" i="67"/>
  <c r="T199" i="67"/>
  <c r="P199" i="67"/>
  <c r="O132" i="51"/>
  <c r="P132" i="51" s="1"/>
  <c r="T175" i="65"/>
  <c r="S175" i="65"/>
  <c r="P175" i="65"/>
  <c r="T35" i="67"/>
  <c r="S35" i="67"/>
  <c r="P35" i="67"/>
  <c r="S136" i="67"/>
  <c r="O71" i="67"/>
  <c r="U71" i="67" s="1"/>
  <c r="U72" i="67"/>
  <c r="K150" i="58"/>
  <c r="P54" i="10"/>
  <c r="T134" i="67"/>
  <c r="P134" i="67"/>
  <c r="P53" i="67"/>
  <c r="T53" i="67"/>
  <c r="S129" i="62"/>
  <c r="P129" i="62"/>
  <c r="S197" i="62"/>
  <c r="P38" i="33"/>
  <c r="O163" i="51"/>
  <c r="O77" i="51"/>
  <c r="N119" i="51"/>
  <c r="O59" i="20"/>
  <c r="P59" i="20" s="1"/>
  <c r="S112" i="67"/>
  <c r="P112" i="67"/>
  <c r="T112" i="67"/>
  <c r="S90" i="67"/>
  <c r="P90" i="67"/>
  <c r="T90" i="67"/>
  <c r="S115" i="67"/>
  <c r="T115" i="67"/>
  <c r="P115" i="67"/>
  <c r="T94" i="67"/>
  <c r="S94" i="67"/>
  <c r="P94" i="67"/>
  <c r="S73" i="67"/>
  <c r="S72" i="67" s="1"/>
  <c r="S71" i="67" s="1"/>
  <c r="T73" i="67"/>
  <c r="Q72" i="67"/>
  <c r="P73" i="67"/>
  <c r="T168" i="67"/>
  <c r="P168" i="67"/>
  <c r="S29" i="67"/>
  <c r="T29" i="67"/>
  <c r="P62" i="67"/>
  <c r="S62" i="67"/>
  <c r="P64" i="67"/>
  <c r="T64" i="67"/>
  <c r="N54" i="10"/>
  <c r="P161" i="68"/>
  <c r="J33" i="30"/>
  <c r="J27" i="30"/>
  <c r="J16" i="30"/>
  <c r="J25" i="30"/>
  <c r="J41" i="30"/>
  <c r="J32" i="30"/>
  <c r="J26" i="30"/>
  <c r="J15" i="30"/>
  <c r="J42" i="30"/>
  <c r="J40" i="30"/>
  <c r="J31" i="30"/>
  <c r="J24" i="30"/>
  <c r="J14" i="30"/>
  <c r="J20" i="30"/>
  <c r="J39" i="30"/>
  <c r="J19" i="30"/>
  <c r="J23" i="30"/>
  <c r="J13" i="30"/>
  <c r="J35" i="30"/>
  <c r="J28" i="30"/>
  <c r="J17" i="30"/>
  <c r="J34" i="30"/>
  <c r="J9" i="30"/>
  <c r="J10" i="30"/>
  <c r="J29" i="30"/>
  <c r="J22" i="30"/>
  <c r="J38" i="30"/>
  <c r="J18" i="30"/>
  <c r="J37" i="30"/>
  <c r="J12" i="30"/>
  <c r="J11" i="30"/>
  <c r="J36" i="30"/>
  <c r="J30" i="30"/>
  <c r="J21" i="30"/>
  <c r="P144" i="49"/>
  <c r="O103" i="45"/>
  <c r="P104" i="45"/>
  <c r="P7" i="35"/>
  <c r="S131" i="68"/>
  <c r="P131" i="68"/>
  <c r="T131" i="68"/>
  <c r="O6" i="49"/>
  <c r="P6" i="49" s="1"/>
  <c r="P8" i="49"/>
  <c r="O46" i="51"/>
  <c r="P46" i="51" s="1"/>
  <c r="N44" i="51"/>
  <c r="M111" i="46"/>
  <c r="N113" i="46"/>
  <c r="O113" i="46" s="1"/>
  <c r="BJ8" i="10"/>
  <c r="BJ7" i="10" s="1"/>
  <c r="BJ26" i="10" s="1"/>
  <c r="BI26" i="12" s="1"/>
  <c r="BB17" i="30"/>
  <c r="L54" i="10"/>
  <c r="W95" i="61"/>
  <c r="V95" i="61" s="1"/>
  <c r="N142" i="33"/>
  <c r="M141" i="33"/>
  <c r="P60" i="37"/>
  <c r="Q60" i="37"/>
  <c r="AX17" i="43"/>
  <c r="O124" i="23"/>
  <c r="P124" i="23" s="1"/>
  <c r="P125" i="23"/>
  <c r="O151" i="20"/>
  <c r="C2" i="3"/>
  <c r="C36" i="3" s="1"/>
  <c r="A12" i="11"/>
  <c r="A69" i="5"/>
  <c r="B39" i="10"/>
  <c r="G54" i="10"/>
  <c r="O42" i="20"/>
  <c r="O99" i="27"/>
  <c r="P99" i="27" s="1"/>
  <c r="P100" i="27"/>
  <c r="P100" i="36"/>
  <c r="Q100" i="36"/>
  <c r="N123" i="36"/>
  <c r="O123" i="36" s="1"/>
  <c r="P123" i="36" s="1"/>
  <c r="T59" i="62"/>
  <c r="S59" i="62"/>
  <c r="P59" i="62"/>
  <c r="Q128" i="45"/>
  <c r="BI31" i="43"/>
  <c r="P92" i="40"/>
  <c r="BI8" i="10"/>
  <c r="BI7" i="10"/>
  <c r="BI26" i="10" s="1"/>
  <c r="BH26" i="12" s="1"/>
  <c r="W94" i="61"/>
  <c r="V94" i="61" s="1"/>
  <c r="BH8" i="10"/>
  <c r="BH7" i="10" s="1"/>
  <c r="BH26" i="10" s="1"/>
  <c r="BG26" i="12" s="1"/>
  <c r="P131" i="39"/>
  <c r="O111" i="23"/>
  <c r="P111" i="23" s="1"/>
  <c r="P112" i="23"/>
  <c r="J80" i="54"/>
  <c r="P103" i="49"/>
  <c r="BN8" i="10"/>
  <c r="BN7" i="10" s="1"/>
  <c r="I13" i="30"/>
  <c r="D6" i="28" s="1"/>
  <c r="I40" i="30"/>
  <c r="I27" i="30"/>
  <c r="I35" i="30"/>
  <c r="I14" i="30"/>
  <c r="I12" i="30"/>
  <c r="I19" i="30"/>
  <c r="I24" i="30"/>
  <c r="D12" i="28" s="1"/>
  <c r="I25" i="30"/>
  <c r="D8" i="28" s="1"/>
  <c r="I15" i="30"/>
  <c r="I11" i="30"/>
  <c r="I36" i="30"/>
  <c r="I33" i="30"/>
  <c r="I26" i="30"/>
  <c r="I16" i="30"/>
  <c r="I32" i="30"/>
  <c r="I23" i="30"/>
  <c r="I9" i="30"/>
  <c r="D5" i="28" s="1"/>
  <c r="I31" i="30"/>
  <c r="I22" i="30"/>
  <c r="I37" i="30"/>
  <c r="I38" i="30"/>
  <c r="I21" i="30"/>
  <c r="I17" i="30"/>
  <c r="I30" i="30"/>
  <c r="D9" i="28" s="1"/>
  <c r="I42" i="30"/>
  <c r="I41" i="30"/>
  <c r="D14" i="28" s="1"/>
  <c r="I34" i="30"/>
  <c r="D10" i="28" s="1"/>
  <c r="I39" i="30"/>
  <c r="I29" i="30"/>
  <c r="I18" i="30"/>
  <c r="D7" i="28" s="1"/>
  <c r="D11" i="28" s="1"/>
  <c r="D13" i="28" s="1"/>
  <c r="D15" i="28" s="1"/>
  <c r="I10" i="30"/>
  <c r="I28" i="30"/>
  <c r="I20" i="30"/>
  <c r="O15" i="51"/>
  <c r="N13" i="51"/>
  <c r="P11" i="49"/>
  <c r="O65" i="20"/>
  <c r="P65" i="20" s="1"/>
  <c r="P94" i="61"/>
  <c r="S94" i="61"/>
  <c r="N125" i="33"/>
  <c r="N124" i="33" s="1"/>
  <c r="M124" i="33"/>
  <c r="M54" i="10"/>
  <c r="O58" i="38"/>
  <c r="P123" i="20"/>
  <c r="J54" i="10"/>
  <c r="O141" i="20"/>
  <c r="P141" i="20" s="1"/>
  <c r="M6" i="33"/>
  <c r="M5" i="33" s="1"/>
  <c r="AH19" i="30" s="1"/>
  <c r="N8" i="33"/>
  <c r="O23" i="20"/>
  <c r="P103" i="51"/>
  <c r="P39" i="51"/>
  <c r="D54" i="10"/>
  <c r="P15" i="62"/>
  <c r="Q13" i="62"/>
  <c r="Q12" i="62" s="1"/>
  <c r="Q11" i="62" s="1"/>
  <c r="S117" i="62"/>
  <c r="P117" i="62"/>
  <c r="T117" i="62"/>
  <c r="P112" i="46"/>
  <c r="Q112" i="46"/>
  <c r="P51" i="34"/>
  <c r="P74" i="62"/>
  <c r="S74" i="62"/>
  <c r="P48" i="49"/>
  <c r="P77" i="51"/>
  <c r="P61" i="34"/>
  <c r="P25" i="40"/>
  <c r="O144" i="51"/>
  <c r="Q60" i="36"/>
  <c r="P60" i="36"/>
  <c r="P148" i="66"/>
  <c r="P76" i="66"/>
  <c r="P155" i="66"/>
  <c r="S67" i="66"/>
  <c r="P67" i="66"/>
  <c r="S83" i="62"/>
  <c r="S26" i="62"/>
  <c r="P26" i="62"/>
  <c r="T26" i="62"/>
  <c r="P63" i="69"/>
  <c r="T63" i="69"/>
  <c r="P123" i="66"/>
  <c r="T123" i="66"/>
  <c r="S35" i="66"/>
  <c r="S59" i="66"/>
  <c r="P59" i="66"/>
  <c r="S109" i="66"/>
  <c r="P109" i="66"/>
  <c r="P47" i="66"/>
  <c r="S47" i="66"/>
  <c r="P86" i="66"/>
  <c r="P198" i="66"/>
  <c r="P17" i="66"/>
  <c r="P113" i="66"/>
  <c r="S157" i="66"/>
  <c r="S122" i="66"/>
  <c r="P122" i="66"/>
  <c r="P51" i="66"/>
  <c r="S85" i="66"/>
  <c r="P85" i="66"/>
  <c r="P53" i="66"/>
  <c r="T202" i="66"/>
  <c r="P202" i="66"/>
  <c r="S182" i="66"/>
  <c r="P182" i="66"/>
  <c r="P61" i="66"/>
  <c r="T15" i="66"/>
  <c r="P15" i="66"/>
  <c r="T164" i="64"/>
  <c r="P105" i="49"/>
  <c r="P152" i="27"/>
  <c r="P91" i="33"/>
  <c r="J40" i="54"/>
  <c r="P71" i="23"/>
  <c r="O70" i="23"/>
  <c r="P95" i="40"/>
  <c r="N107" i="33"/>
  <c r="BL8" i="10"/>
  <c r="BL7" i="10" s="1"/>
  <c r="BL26" i="10" s="1"/>
  <c r="BK26" i="12" s="1"/>
  <c r="O179" i="32"/>
  <c r="AY29" i="43"/>
  <c r="P161" i="49"/>
  <c r="P51" i="51"/>
  <c r="N77" i="37"/>
  <c r="O77" i="37" s="1"/>
  <c r="P24" i="20"/>
  <c r="P8" i="50"/>
  <c r="O128" i="40"/>
  <c r="P128" i="40" s="1"/>
  <c r="N52" i="36"/>
  <c r="M47" i="36"/>
  <c r="O41" i="40"/>
  <c r="P41" i="40" s="1"/>
  <c r="P42" i="40"/>
  <c r="P60" i="49"/>
  <c r="Q21" i="20"/>
  <c r="P21" i="20"/>
  <c r="S97" i="69"/>
  <c r="P97" i="69"/>
  <c r="T97" i="69"/>
  <c r="P40" i="50"/>
  <c r="AQ31" i="30"/>
  <c r="AH31" i="30"/>
  <c r="AZ31" i="30"/>
  <c r="AN31" i="30"/>
  <c r="AT31" i="30"/>
  <c r="AK31" i="30"/>
  <c r="Q135" i="20"/>
  <c r="P135" i="20"/>
  <c r="S75" i="69"/>
  <c r="T75" i="69"/>
  <c r="P75" i="69"/>
  <c r="O170" i="32"/>
  <c r="P19" i="35"/>
  <c r="P50" i="20"/>
  <c r="Q50" i="20"/>
  <c r="P16" i="51"/>
  <c r="P43" i="50"/>
  <c r="O41" i="50"/>
  <c r="P41" i="50" s="1"/>
  <c r="T68" i="69"/>
  <c r="P68" i="69"/>
  <c r="P130" i="49"/>
  <c r="Q66" i="47"/>
  <c r="P156" i="47"/>
  <c r="Q156" i="47"/>
  <c r="N118" i="24"/>
  <c r="N117" i="24" s="1"/>
  <c r="M117" i="24"/>
  <c r="P120" i="49"/>
  <c r="O119" i="49"/>
  <c r="S54" i="10"/>
  <c r="N76" i="36"/>
  <c r="P13" i="47"/>
  <c r="P40" i="40"/>
  <c r="O38" i="40"/>
  <c r="BP28" i="57"/>
  <c r="BG26" i="57"/>
  <c r="BP26" i="57" s="1"/>
  <c r="Q154" i="24"/>
  <c r="P158" i="69"/>
  <c r="T158" i="69"/>
  <c r="O19" i="39"/>
  <c r="P19" i="39" s="1"/>
  <c r="P20" i="39"/>
  <c r="P155" i="46"/>
  <c r="Q155" i="46"/>
  <c r="P130" i="47"/>
  <c r="N68" i="37"/>
  <c r="N66" i="37" s="1"/>
  <c r="M66" i="37"/>
  <c r="BG21" i="57"/>
  <c r="BP22" i="57"/>
  <c r="P43" i="69"/>
  <c r="T43" i="69"/>
  <c r="P112" i="49"/>
  <c r="P60" i="35"/>
  <c r="Q60" i="35"/>
  <c r="L42" i="43"/>
  <c r="L25" i="43"/>
  <c r="E8" i="41" s="1"/>
  <c r="L13" i="43"/>
  <c r="E6" i="41"/>
  <c r="L19" i="43"/>
  <c r="L39" i="43"/>
  <c r="L29" i="43"/>
  <c r="L11" i="43"/>
  <c r="L38" i="43"/>
  <c r="L18" i="43"/>
  <c r="E7" i="41" s="1"/>
  <c r="L24" i="43"/>
  <c r="E12" i="41"/>
  <c r="L41" i="43"/>
  <c r="E14" i="41" s="1"/>
  <c r="L10" i="43"/>
  <c r="L51" i="43" s="1"/>
  <c r="L35" i="43"/>
  <c r="L15" i="43"/>
  <c r="L40" i="43"/>
  <c r="L28" i="43"/>
  <c r="L12" i="43"/>
  <c r="L16" i="43"/>
  <c r="L14" i="43"/>
  <c r="L9" i="43"/>
  <c r="E5" i="41" s="1"/>
  <c r="L37" i="43"/>
  <c r="L21" i="43"/>
  <c r="L31" i="43"/>
  <c r="L17" i="43"/>
  <c r="L30" i="43"/>
  <c r="E9" i="41" s="1"/>
  <c r="L32" i="43"/>
  <c r="L33" i="43"/>
  <c r="L27" i="43"/>
  <c r="L20" i="43"/>
  <c r="L26" i="43"/>
  <c r="L22" i="43"/>
  <c r="L36" i="43"/>
  <c r="L34" i="43"/>
  <c r="E10" i="41" s="1"/>
  <c r="L23" i="43"/>
  <c r="M37" i="43"/>
  <c r="M34" i="43"/>
  <c r="M16" i="43"/>
  <c r="M21" i="43"/>
  <c r="M30" i="43"/>
  <c r="M32" i="43"/>
  <c r="M31" i="43"/>
  <c r="M19" i="43"/>
  <c r="M18" i="43"/>
  <c r="M15" i="43"/>
  <c r="M42" i="43"/>
  <c r="M27" i="43"/>
  <c r="M13" i="43"/>
  <c r="M14" i="43"/>
  <c r="M39" i="43"/>
  <c r="M23" i="43"/>
  <c r="M11" i="43"/>
  <c r="M38" i="43"/>
  <c r="M40" i="43"/>
  <c r="M26" i="43"/>
  <c r="M17" i="43"/>
  <c r="M35" i="43"/>
  <c r="M36" i="43"/>
  <c r="M10" i="43"/>
  <c r="M12" i="43"/>
  <c r="M33" i="43"/>
  <c r="M28" i="43"/>
  <c r="M25" i="43"/>
  <c r="M29" i="43"/>
  <c r="M20" i="43"/>
  <c r="M41" i="43"/>
  <c r="M24" i="43"/>
  <c r="M9" i="43"/>
  <c r="M22" i="43"/>
  <c r="P41" i="39"/>
  <c r="O125" i="51"/>
  <c r="S168" i="62"/>
  <c r="P168" i="62"/>
  <c r="T168" i="62"/>
  <c r="B42" i="12"/>
  <c r="F36" i="3"/>
  <c r="P134" i="66"/>
  <c r="P91" i="66"/>
  <c r="S134" i="66"/>
  <c r="P38" i="66"/>
  <c r="S91" i="66"/>
  <c r="P98" i="66"/>
  <c r="O155" i="33"/>
  <c r="P65" i="50"/>
  <c r="O63" i="50"/>
  <c r="P63" i="50" s="1"/>
  <c r="O8" i="35"/>
  <c r="N6" i="35"/>
  <c r="O57" i="37"/>
  <c r="P57" i="37" s="1"/>
  <c r="Q58" i="37"/>
  <c r="P58" i="37"/>
  <c r="P39" i="37"/>
  <c r="O38" i="37"/>
  <c r="P38" i="37" s="1"/>
  <c r="Q39" i="37"/>
  <c r="N134" i="37"/>
  <c r="Q114" i="33"/>
  <c r="P114" i="33"/>
  <c r="O119" i="23"/>
  <c r="P119" i="23" s="1"/>
  <c r="J48" i="54"/>
  <c r="P120" i="23"/>
  <c r="P140" i="25"/>
  <c r="Q140" i="25"/>
  <c r="O117" i="25"/>
  <c r="P117" i="25" s="1"/>
  <c r="Q118" i="25"/>
  <c r="P118" i="25"/>
  <c r="P25" i="39"/>
  <c r="O227" i="32"/>
  <c r="O131" i="25"/>
  <c r="N130" i="25"/>
  <c r="N129" i="25" s="1"/>
  <c r="O39" i="48"/>
  <c r="X12" i="63"/>
  <c r="Y12" i="63" s="1"/>
  <c r="AB12" i="63" s="1"/>
  <c r="O11" i="62"/>
  <c r="X11" i="63" s="1"/>
  <c r="Q135" i="35"/>
  <c r="P135" i="35"/>
  <c r="P122" i="33"/>
  <c r="Q122" i="33"/>
  <c r="P53" i="46"/>
  <c r="Q53" i="46"/>
  <c r="O47" i="46"/>
  <c r="P47" i="46" s="1"/>
  <c r="N113" i="47"/>
  <c r="O113" i="47" s="1"/>
  <c r="O100" i="48"/>
  <c r="P65" i="47"/>
  <c r="Q65" i="47"/>
  <c r="O63" i="47"/>
  <c r="P63" i="47" s="1"/>
  <c r="O97" i="48"/>
  <c r="O70" i="24"/>
  <c r="O69" i="24" s="1"/>
  <c r="P69" i="24" s="1"/>
  <c r="P71" i="24"/>
  <c r="Q71" i="24"/>
  <c r="Q94" i="46"/>
  <c r="P94" i="46"/>
  <c r="O68" i="48"/>
  <c r="Q68" i="48" s="1"/>
  <c r="N66" i="48"/>
  <c r="P25" i="48"/>
  <c r="Q25" i="48"/>
  <c r="O22" i="48"/>
  <c r="P22" i="48" s="1"/>
  <c r="P28" i="34"/>
  <c r="O14" i="48"/>
  <c r="P14" i="48" s="1"/>
  <c r="N13" i="48"/>
  <c r="O131" i="35"/>
  <c r="N130" i="35"/>
  <c r="P28" i="48"/>
  <c r="Q28" i="48"/>
  <c r="O27" i="48"/>
  <c r="P27" i="48" s="1"/>
  <c r="P143" i="35"/>
  <c r="Q143" i="35"/>
  <c r="C6" i="13"/>
  <c r="B17" i="13" s="1"/>
  <c r="O53" i="48"/>
  <c r="P142" i="35"/>
  <c r="Q142" i="35"/>
  <c r="P161" i="33"/>
  <c r="AG29" i="30"/>
  <c r="O103" i="48"/>
  <c r="P103" i="48" s="1"/>
  <c r="L51" i="30"/>
  <c r="P7" i="51"/>
  <c r="O6" i="51"/>
  <c r="P6" i="51" s="1"/>
  <c r="P92" i="27"/>
  <c r="O91" i="27"/>
  <c r="O90" i="27" s="1"/>
  <c r="O103" i="24"/>
  <c r="O27" i="32"/>
  <c r="G15" i="28"/>
  <c r="B23" i="28" s="1"/>
  <c r="P30" i="50"/>
  <c r="N22" i="48"/>
  <c r="P20" i="49"/>
  <c r="O102" i="27"/>
  <c r="P102" i="27" s="1"/>
  <c r="P103" i="27"/>
  <c r="O142" i="36"/>
  <c r="M111" i="36"/>
  <c r="Q99" i="37"/>
  <c r="P99" i="37"/>
  <c r="P64" i="49"/>
  <c r="O63" i="49"/>
  <c r="P63" i="49" s="1"/>
  <c r="O92" i="48"/>
  <c r="Q92" i="48" s="1"/>
  <c r="N91" i="48"/>
  <c r="P119" i="47"/>
  <c r="O112" i="36"/>
  <c r="P112" i="36" s="1"/>
  <c r="P151" i="23"/>
  <c r="O150" i="23"/>
  <c r="O200" i="32"/>
  <c r="O196" i="32" s="1"/>
  <c r="O143" i="32"/>
  <c r="N142" i="32"/>
  <c r="BD32" i="30" s="1"/>
  <c r="AL32" i="30" s="1"/>
  <c r="Q201" i="45"/>
  <c r="N201" i="45"/>
  <c r="N145" i="45"/>
  <c r="Q67" i="45"/>
  <c r="Q37" i="45"/>
  <c r="N37" i="45"/>
  <c r="O37" i="45" s="1"/>
  <c r="P37" i="45" s="1"/>
  <c r="Q33" i="32"/>
  <c r="N33" i="32"/>
  <c r="O33" i="32" s="1"/>
  <c r="P42" i="33"/>
  <c r="O41" i="33"/>
  <c r="P41" i="33" s="1"/>
  <c r="Q42" i="33"/>
  <c r="O30" i="32"/>
  <c r="Q48" i="45"/>
  <c r="Q193" i="45"/>
  <c r="Q52" i="45"/>
  <c r="N52" i="45"/>
  <c r="O52" i="45" s="1"/>
  <c r="P52" i="45" s="1"/>
  <c r="M110" i="45"/>
  <c r="I111" i="45"/>
  <c r="M111" i="45" s="1"/>
  <c r="Q111" i="45" s="1"/>
  <c r="Q38" i="45"/>
  <c r="N38" i="45"/>
  <c r="O38" i="45" s="1"/>
  <c r="P38" i="45" s="1"/>
  <c r="Q27" i="45"/>
  <c r="N27" i="45"/>
  <c r="Q51" i="45"/>
  <c r="N51" i="45"/>
  <c r="O51" i="45" s="1"/>
  <c r="P51" i="45" s="1"/>
  <c r="N62" i="45"/>
  <c r="O62" i="45" s="1"/>
  <c r="P62" i="45" s="1"/>
  <c r="N125" i="45"/>
  <c r="BJ22" i="43" s="1"/>
  <c r="BI22" i="43"/>
  <c r="AQ22" i="43" s="1"/>
  <c r="N178" i="45"/>
  <c r="O178" i="45" s="1"/>
  <c r="P178" i="45" s="1"/>
  <c r="Q178" i="45"/>
  <c r="Q227" i="45"/>
  <c r="N227" i="45"/>
  <c r="BJ39" i="43" s="1"/>
  <c r="AL39" i="43" s="1"/>
  <c r="BI39" i="43"/>
  <c r="AT39" i="43" s="1"/>
  <c r="O191" i="32"/>
  <c r="M158" i="45"/>
  <c r="Q158" i="45" s="1"/>
  <c r="Q69" i="45"/>
  <c r="N69" i="45"/>
  <c r="N68" i="45" s="1"/>
  <c r="M68" i="45"/>
  <c r="Q68" i="45" s="1"/>
  <c r="O142" i="24"/>
  <c r="O141" i="24" s="1"/>
  <c r="P141" i="24" s="1"/>
  <c r="O159" i="47"/>
  <c r="Q159" i="47" s="1"/>
  <c r="P94" i="33"/>
  <c r="Q94" i="33"/>
  <c r="O69" i="32"/>
  <c r="O68" i="32" s="1"/>
  <c r="Q36" i="45"/>
  <c r="N36" i="45"/>
  <c r="O36" i="45" s="1"/>
  <c r="P36" i="45" s="1"/>
  <c r="N54" i="45"/>
  <c r="O54" i="45" s="1"/>
  <c r="P54" i="45" s="1"/>
  <c r="Q126" i="45"/>
  <c r="BI23" i="43"/>
  <c r="N126" i="45"/>
  <c r="N146" i="45"/>
  <c r="O146" i="45" s="1"/>
  <c r="P146" i="45" s="1"/>
  <c r="Q146" i="45"/>
  <c r="Q64" i="45"/>
  <c r="Q121" i="45"/>
  <c r="N34" i="32"/>
  <c r="O34" i="32" s="1"/>
  <c r="Q34" i="32"/>
  <c r="O57" i="40"/>
  <c r="P57" i="40" s="1"/>
  <c r="P58" i="40"/>
  <c r="N53" i="45"/>
  <c r="O53" i="45" s="1"/>
  <c r="P53" i="45" s="1"/>
  <c r="Q116" i="45"/>
  <c r="N116" i="45"/>
  <c r="O116" i="45" s="1"/>
  <c r="N31" i="45"/>
  <c r="O31" i="45" s="1"/>
  <c r="P31" i="45" s="1"/>
  <c r="N202" i="45"/>
  <c r="N200" i="45" s="1"/>
  <c r="Q205" i="45"/>
  <c r="N205" i="45"/>
  <c r="O205" i="45"/>
  <c r="P205" i="45" s="1"/>
  <c r="Q194" i="45"/>
  <c r="N194" i="45"/>
  <c r="O194" i="45" s="1"/>
  <c r="P194" i="45" s="1"/>
  <c r="Q43" i="45"/>
  <c r="N43" i="45"/>
  <c r="O43" i="45" s="1"/>
  <c r="P43" i="45" s="1"/>
  <c r="N153" i="45"/>
  <c r="Q153" i="45"/>
  <c r="P94" i="25"/>
  <c r="Q94" i="25"/>
  <c r="AZ39" i="30"/>
  <c r="AQ39" i="30"/>
  <c r="AN39" i="30"/>
  <c r="AH39" i="30"/>
  <c r="AT39" i="30"/>
  <c r="N60" i="45"/>
  <c r="O60" i="45" s="1"/>
  <c r="P60" i="45" s="1"/>
  <c r="Q60" i="45"/>
  <c r="Q148" i="45"/>
  <c r="N148" i="45"/>
  <c r="O148" i="45" s="1"/>
  <c r="P148" i="45" s="1"/>
  <c r="N55" i="45"/>
  <c r="O55" i="45" s="1"/>
  <c r="P55" i="45" s="1"/>
  <c r="N50" i="45"/>
  <c r="O50" i="45" s="1"/>
  <c r="P50" i="45" s="1"/>
  <c r="N40" i="45"/>
  <c r="O40" i="45" s="1"/>
  <c r="P40" i="45" s="1"/>
  <c r="Q59" i="45"/>
  <c r="N59" i="45"/>
  <c r="O59" i="45" s="1"/>
  <c r="P59" i="45" s="1"/>
  <c r="O58" i="24"/>
  <c r="Q179" i="45"/>
  <c r="N179" i="45"/>
  <c r="O179" i="45" s="1"/>
  <c r="P179" i="45" s="1"/>
  <c r="Q162" i="45"/>
  <c r="M8" i="45"/>
  <c r="O151" i="32"/>
  <c r="N112" i="32"/>
  <c r="I34" i="45"/>
  <c r="M34" i="45" s="1"/>
  <c r="M33" i="45"/>
  <c r="Q183" i="45"/>
  <c r="N183" i="45"/>
  <c r="O183" i="45" s="1"/>
  <c r="P183" i="45" s="1"/>
  <c r="N124" i="45"/>
  <c r="O124" i="45" s="1"/>
  <c r="P124" i="45" s="1"/>
  <c r="Q124" i="45"/>
  <c r="N185" i="45"/>
  <c r="O185" i="45" s="1"/>
  <c r="P185" i="45" s="1"/>
  <c r="Q185" i="45"/>
  <c r="N188" i="45"/>
  <c r="O188" i="45" s="1"/>
  <c r="P188" i="45" s="1"/>
  <c r="Q122" i="45"/>
  <c r="N122" i="45"/>
  <c r="O122" i="45" s="1"/>
  <c r="P122" i="45" s="1"/>
  <c r="N144" i="45"/>
  <c r="O144" i="45" s="1"/>
  <c r="P144" i="45" s="1"/>
  <c r="Q152" i="45"/>
  <c r="N152" i="45"/>
  <c r="O152" i="45" s="1"/>
  <c r="P152" i="45" s="1"/>
  <c r="M151" i="45"/>
  <c r="Q151" i="45" s="1"/>
  <c r="O4" i="24"/>
  <c r="P4" i="24" s="1"/>
  <c r="P5" i="24"/>
  <c r="N120" i="45"/>
  <c r="N203" i="45"/>
  <c r="O203" i="45" s="1"/>
  <c r="P203" i="45" s="1"/>
  <c r="Q143" i="45"/>
  <c r="N143" i="45"/>
  <c r="O143" i="45" s="1"/>
  <c r="P143" i="45" s="1"/>
  <c r="Q123" i="45"/>
  <c r="N123" i="45"/>
  <c r="O123" i="45" s="1"/>
  <c r="P123" i="45" s="1"/>
  <c r="Q35" i="45"/>
  <c r="N35" i="45"/>
  <c r="O35" i="45" s="1"/>
  <c r="P35" i="45" s="1"/>
  <c r="N109" i="45"/>
  <c r="O109" i="45" s="1"/>
  <c r="P109" i="45" s="1"/>
  <c r="Q109" i="45"/>
  <c r="O125" i="25"/>
  <c r="N155" i="45"/>
  <c r="O155" i="45" s="1"/>
  <c r="P155" i="45" s="1"/>
  <c r="Q155" i="45"/>
  <c r="M154" i="45"/>
  <c r="Q154" i="45" s="1"/>
  <c r="Q200" i="32"/>
  <c r="T78" i="63"/>
  <c r="P143" i="40"/>
  <c r="O150" i="25"/>
  <c r="P151" i="25"/>
  <c r="P29" i="24"/>
  <c r="Q29" i="24"/>
  <c r="P97" i="24"/>
  <c r="Q97" i="24"/>
  <c r="AS29" i="30"/>
  <c r="P161" i="37"/>
  <c r="Q39" i="24"/>
  <c r="P96" i="24"/>
  <c r="Q96" i="24"/>
  <c r="O66" i="24"/>
  <c r="P66" i="24" s="1"/>
  <c r="Q67" i="24"/>
  <c r="P67" i="24"/>
  <c r="O20" i="24"/>
  <c r="O95" i="24"/>
  <c r="O68" i="37"/>
  <c r="O66" i="37" s="1"/>
  <c r="O18" i="47"/>
  <c r="P18" i="47" s="1"/>
  <c r="M37" i="47"/>
  <c r="M36" i="47" s="1"/>
  <c r="O39" i="47"/>
  <c r="P39" i="47" s="1"/>
  <c r="P131" i="23"/>
  <c r="O130" i="23"/>
  <c r="O129" i="23" s="1"/>
  <c r="P129" i="23" s="1"/>
  <c r="O100" i="24"/>
  <c r="Q100" i="24" s="1"/>
  <c r="N99" i="24"/>
  <c r="O102" i="25"/>
  <c r="P102" i="25" s="1"/>
  <c r="P103" i="25"/>
  <c r="Q103" i="25"/>
  <c r="P63" i="48"/>
  <c r="Q8" i="20"/>
  <c r="O6" i="20"/>
  <c r="P6" i="20" s="1"/>
  <c r="P8" i="20"/>
  <c r="O27" i="24"/>
  <c r="P27" i="24" s="1"/>
  <c r="P120" i="40"/>
  <c r="O45" i="24"/>
  <c r="Q45" i="24" s="1"/>
  <c r="O42" i="24"/>
  <c r="O41" i="24" s="1"/>
  <c r="P41" i="24" s="1"/>
  <c r="O74" i="47"/>
  <c r="P74" i="47" s="1"/>
  <c r="O11" i="24"/>
  <c r="O10" i="24" s="1"/>
  <c r="N10" i="24"/>
  <c r="N9" i="24"/>
  <c r="Q143" i="37"/>
  <c r="P106" i="24"/>
  <c r="Q106" i="24"/>
  <c r="O144" i="35"/>
  <c r="O57" i="20"/>
  <c r="P57" i="20" s="1"/>
  <c r="P137" i="51"/>
  <c r="P135" i="25"/>
  <c r="T72" i="67"/>
  <c r="Q71" i="67"/>
  <c r="T71" i="67" s="1"/>
  <c r="P163" i="51"/>
  <c r="P64" i="24"/>
  <c r="P122" i="24"/>
  <c r="Q122" i="24"/>
  <c r="N130" i="24"/>
  <c r="N129" i="24" s="1"/>
  <c r="U13" i="30"/>
  <c r="B6" i="28" s="1"/>
  <c r="U33" i="30"/>
  <c r="U31" i="30"/>
  <c r="U15" i="30"/>
  <c r="U25" i="30"/>
  <c r="B8" i="28" s="1"/>
  <c r="U38" i="30"/>
  <c r="U9" i="30"/>
  <c r="B5" i="28" s="1"/>
  <c r="U28" i="30"/>
  <c r="U11" i="30"/>
  <c r="U10" i="30"/>
  <c r="U18" i="30"/>
  <c r="B7" i="28" s="1"/>
  <c r="U34" i="30"/>
  <c r="B10" i="28" s="1"/>
  <c r="U39" i="30"/>
  <c r="U29" i="30"/>
  <c r="U26" i="30"/>
  <c r="U23" i="30"/>
  <c r="U24" i="30"/>
  <c r="B12" i="28" s="1"/>
  <c r="U35" i="30"/>
  <c r="U42" i="30"/>
  <c r="U14" i="30"/>
  <c r="U32" i="30"/>
  <c r="V12" i="30"/>
  <c r="V31" i="30"/>
  <c r="V17" i="30"/>
  <c r="V27" i="30"/>
  <c r="V19" i="30"/>
  <c r="V11" i="30"/>
  <c r="V21" i="30"/>
  <c r="V41" i="30"/>
  <c r="V37" i="30"/>
  <c r="V34" i="30"/>
  <c r="V16" i="30"/>
  <c r="V14" i="30"/>
  <c r="V38" i="30"/>
  <c r="V29" i="30"/>
  <c r="V20" i="30"/>
  <c r="V36" i="30"/>
  <c r="V28" i="30"/>
  <c r="V26" i="30"/>
  <c r="V23" i="30"/>
  <c r="V33" i="30"/>
  <c r="V9" i="30"/>
  <c r="V18" i="30"/>
  <c r="P144" i="51"/>
  <c r="P58" i="38"/>
  <c r="A96" i="5"/>
  <c r="A108" i="5" s="1"/>
  <c r="AP17" i="30"/>
  <c r="AG17" i="30"/>
  <c r="AM17" i="30"/>
  <c r="AS17" i="30"/>
  <c r="Q23" i="20"/>
  <c r="P23" i="20"/>
  <c r="Q42" i="20"/>
  <c r="O41" i="20"/>
  <c r="P41" i="20" s="1"/>
  <c r="P42" i="20"/>
  <c r="D38" i="4"/>
  <c r="F10" i="4" s="1"/>
  <c r="B39" i="12"/>
  <c r="O125" i="33"/>
  <c r="P103" i="45"/>
  <c r="O118" i="24"/>
  <c r="O117" i="24" s="1"/>
  <c r="P117" i="24" s="1"/>
  <c r="Q65" i="20"/>
  <c r="AK31" i="43"/>
  <c r="AZ31" i="43"/>
  <c r="AN31" i="43"/>
  <c r="AW31" i="43"/>
  <c r="AT31" i="43"/>
  <c r="AQ31" i="43"/>
  <c r="P15" i="51"/>
  <c r="O13" i="51"/>
  <c r="P151" i="20"/>
  <c r="Q151" i="20"/>
  <c r="O142" i="33"/>
  <c r="Q142" i="33" s="1"/>
  <c r="N141" i="33"/>
  <c r="P70" i="23"/>
  <c r="O69" i="23"/>
  <c r="P69" i="23" s="1"/>
  <c r="P119" i="49"/>
  <c r="O107" i="33"/>
  <c r="P107" i="33" s="1"/>
  <c r="L52" i="43"/>
  <c r="L53" i="43" s="1"/>
  <c r="P38" i="40"/>
  <c r="O76" i="36"/>
  <c r="Q76" i="36" s="1"/>
  <c r="Q142" i="24"/>
  <c r="Q116" i="48"/>
  <c r="P135" i="37"/>
  <c r="Q135" i="37"/>
  <c r="O134" i="37"/>
  <c r="P134" i="37" s="1"/>
  <c r="P8" i="35"/>
  <c r="Q8" i="35"/>
  <c r="O6" i="35"/>
  <c r="P6" i="35" s="1"/>
  <c r="P131" i="25"/>
  <c r="O130" i="25"/>
  <c r="P130" i="25" s="1"/>
  <c r="Q131" i="25"/>
  <c r="Q112" i="36"/>
  <c r="P142" i="36"/>
  <c r="Q142" i="36"/>
  <c r="O227" i="45"/>
  <c r="P227" i="45" s="1"/>
  <c r="B9" i="13"/>
  <c r="C7" i="13"/>
  <c r="B18" i="13" s="1"/>
  <c r="G16" i="28"/>
  <c r="P100" i="48"/>
  <c r="Q100" i="48"/>
  <c r="P53" i="48"/>
  <c r="Q53" i="48"/>
  <c r="Q14" i="48"/>
  <c r="P125" i="25"/>
  <c r="N110" i="45"/>
  <c r="Q110" i="45"/>
  <c r="M108" i="45"/>
  <c r="Q108" i="45" s="1"/>
  <c r="Q112" i="24"/>
  <c r="O149" i="25"/>
  <c r="P149" i="25" s="1"/>
  <c r="P150" i="25"/>
  <c r="Q123" i="36"/>
  <c r="P159" i="47"/>
  <c r="Q196" i="32"/>
  <c r="Q34" i="45"/>
  <c r="O201" i="45"/>
  <c r="P201" i="45" s="1"/>
  <c r="AZ22" i="43"/>
  <c r="AW22" i="43"/>
  <c r="AN22" i="43"/>
  <c r="AO22" i="43"/>
  <c r="AR22" i="43"/>
  <c r="AU22" i="43"/>
  <c r="AX22" i="43"/>
  <c r="AW23" i="43"/>
  <c r="AQ39" i="43"/>
  <c r="AN39" i="43"/>
  <c r="O27" i="45"/>
  <c r="P27" i="45" s="1"/>
  <c r="O69" i="45"/>
  <c r="O68" i="45" s="1"/>
  <c r="P68" i="45" s="1"/>
  <c r="Q102" i="25"/>
  <c r="P95" i="24"/>
  <c r="O94" i="24"/>
  <c r="Q94" i="24" s="1"/>
  <c r="Q95" i="24"/>
  <c r="O19" i="24"/>
  <c r="P19" i="24" s="1"/>
  <c r="P20" i="24"/>
  <c r="Q20" i="24"/>
  <c r="O38" i="47"/>
  <c r="P38" i="47" s="1"/>
  <c r="Q39" i="47"/>
  <c r="Q74" i="47"/>
  <c r="O44" i="24"/>
  <c r="P44" i="24" s="1"/>
  <c r="P45" i="24"/>
  <c r="P112" i="37"/>
  <c r="Q112" i="37"/>
  <c r="P131" i="24"/>
  <c r="O130" i="24"/>
  <c r="P130" i="24" s="1"/>
  <c r="Q131" i="24"/>
  <c r="P13" i="51"/>
  <c r="Q107" i="33"/>
  <c r="O129" i="25"/>
  <c r="P129" i="25" s="1"/>
  <c r="BH39" i="43"/>
  <c r="AP39" i="43" s="1"/>
  <c r="P161" i="45"/>
  <c r="O9" i="24"/>
  <c r="P9" i="24" s="1"/>
  <c r="P10" i="24"/>
  <c r="O129" i="24"/>
  <c r="P129" i="24" s="1"/>
  <c r="B24" i="14"/>
  <c r="B25" i="14"/>
  <c r="AE79" i="5"/>
  <c r="AE23" i="5"/>
  <c r="AE80" i="5" s="1"/>
  <c r="T87" i="58" l="1"/>
  <c r="W87" i="58" s="1"/>
  <c r="Q77" i="37"/>
  <c r="P77" i="37"/>
  <c r="Q92" i="25"/>
  <c r="O91" i="25"/>
  <c r="O90" i="25" s="1"/>
  <c r="P92" i="25"/>
  <c r="N6" i="37"/>
  <c r="O8" i="37"/>
  <c r="T54" i="10"/>
  <c r="P136" i="24"/>
  <c r="Q136" i="24"/>
  <c r="S130" i="67"/>
  <c r="S129" i="67" s="1"/>
  <c r="Q129" i="67"/>
  <c r="T129" i="67" s="1"/>
  <c r="P130" i="67"/>
  <c r="AE8" i="5"/>
  <c r="AE65" i="5" s="1"/>
  <c r="AG3" i="6" s="1"/>
  <c r="AH4" i="6" s="1"/>
  <c r="T130" i="67"/>
  <c r="Q49" i="45"/>
  <c r="N49" i="45"/>
  <c r="O49" i="45" s="1"/>
  <c r="P49" i="45" s="1"/>
  <c r="Q39" i="45"/>
  <c r="N39" i="45"/>
  <c r="O39" i="45" s="1"/>
  <c r="P39" i="45" s="1"/>
  <c r="K54" i="10"/>
  <c r="S52" i="66"/>
  <c r="P52" i="66"/>
  <c r="T145" i="62"/>
  <c r="S145" i="62"/>
  <c r="P145" i="62"/>
  <c r="O109" i="32"/>
  <c r="Q109" i="32"/>
  <c r="N109" i="32"/>
  <c r="BJ3" i="6"/>
  <c r="BK4" i="6" s="1"/>
  <c r="BK8" i="6" s="1"/>
  <c r="BK4" i="7" s="1"/>
  <c r="BG8" i="10"/>
  <c r="BG7" i="10" s="1"/>
  <c r="BG26" i="10" s="1"/>
  <c r="BF26" i="12" s="1"/>
  <c r="O137" i="20"/>
  <c r="N134" i="20"/>
  <c r="Q132" i="24"/>
  <c r="P132" i="24"/>
  <c r="P49" i="24"/>
  <c r="Q49" i="24"/>
  <c r="K170" i="58"/>
  <c r="K169" i="58" s="1"/>
  <c r="O95" i="67"/>
  <c r="U95" i="67" s="1"/>
  <c r="Q114" i="67"/>
  <c r="U114" i="67"/>
  <c r="S114" i="67"/>
  <c r="O152" i="33"/>
  <c r="N150" i="33"/>
  <c r="N149" i="33" s="1"/>
  <c r="AI28" i="30" s="1"/>
  <c r="P90" i="27"/>
  <c r="O89" i="27"/>
  <c r="S176" i="66"/>
  <c r="P176" i="66"/>
  <c r="Q30" i="45"/>
  <c r="N30" i="45"/>
  <c r="N191" i="45"/>
  <c r="O191" i="45" s="1"/>
  <c r="P191" i="45" s="1"/>
  <c r="Q191" i="45"/>
  <c r="N168" i="45"/>
  <c r="N167" i="45" s="1"/>
  <c r="Q168" i="45"/>
  <c r="O142" i="32"/>
  <c r="S65" i="66"/>
  <c r="P65" i="66"/>
  <c r="S199" i="66"/>
  <c r="P199" i="66"/>
  <c r="O103" i="20"/>
  <c r="N102" i="20"/>
  <c r="P98" i="67"/>
  <c r="S98" i="67"/>
  <c r="N22" i="20"/>
  <c r="O26" i="20"/>
  <c r="AZ39" i="43"/>
  <c r="AK39" i="43"/>
  <c r="P97" i="48"/>
  <c r="Q97" i="48"/>
  <c r="N117" i="51"/>
  <c r="O53" i="47"/>
  <c r="N47" i="47"/>
  <c r="N37" i="47" s="1"/>
  <c r="N36" i="47" s="1"/>
  <c r="AU20" i="43" s="1"/>
  <c r="P114" i="35"/>
  <c r="Q114" i="35"/>
  <c r="O12" i="48"/>
  <c r="N10" i="48"/>
  <c r="P112" i="47"/>
  <c r="Q112" i="47"/>
  <c r="O161" i="23"/>
  <c r="P161" i="23" s="1"/>
  <c r="P162" i="23"/>
  <c r="P121" i="51"/>
  <c r="O119" i="51"/>
  <c r="P119" i="51" s="1"/>
  <c r="P88" i="69"/>
  <c r="S88" i="69"/>
  <c r="T88" i="69"/>
  <c r="S157" i="67"/>
  <c r="S153" i="67" s="1"/>
  <c r="T157" i="67"/>
  <c r="P157" i="67"/>
  <c r="S16" i="67"/>
  <c r="P16" i="67"/>
  <c r="S200" i="67"/>
  <c r="T200" i="67"/>
  <c r="P7" i="34"/>
  <c r="C8" i="13"/>
  <c r="B19" i="13" s="1"/>
  <c r="B10" i="13"/>
  <c r="C10" i="13" s="1"/>
  <c r="P131" i="35"/>
  <c r="Q131" i="35"/>
  <c r="O130" i="35"/>
  <c r="P130" i="35" s="1"/>
  <c r="O158" i="32"/>
  <c r="P59" i="34"/>
  <c r="O57" i="34"/>
  <c r="P57" i="34" s="1"/>
  <c r="N142" i="37"/>
  <c r="O142" i="37" s="1"/>
  <c r="M141" i="37"/>
  <c r="P104" i="24"/>
  <c r="Q104" i="24"/>
  <c r="N101" i="48"/>
  <c r="N99" i="48" s="1"/>
  <c r="M99" i="48"/>
  <c r="M90" i="48" s="1"/>
  <c r="AT23" i="43"/>
  <c r="AN23" i="43"/>
  <c r="AK23" i="43"/>
  <c r="AQ23" i="43"/>
  <c r="AW39" i="43"/>
  <c r="AJ17" i="30"/>
  <c r="AY17" i="30"/>
  <c r="Q17" i="24"/>
  <c r="P17" i="24"/>
  <c r="O44" i="48"/>
  <c r="P44" i="48" s="1"/>
  <c r="P45" i="48"/>
  <c r="Q45" i="48"/>
  <c r="M70" i="46"/>
  <c r="M69" i="46" s="1"/>
  <c r="AQ24" i="43" s="1"/>
  <c r="L12" i="41" s="1"/>
  <c r="O79" i="46"/>
  <c r="N79" i="46"/>
  <c r="Q59" i="20"/>
  <c r="E11" i="28"/>
  <c r="E13" i="28" s="1"/>
  <c r="E15" i="28" s="1"/>
  <c r="L52" i="30"/>
  <c r="L53" i="30" s="1"/>
  <c r="Q147" i="62"/>
  <c r="H233" i="58"/>
  <c r="U186" i="67"/>
  <c r="O185" i="67"/>
  <c r="Q186" i="67"/>
  <c r="K278" i="58"/>
  <c r="K277" i="58" s="1"/>
  <c r="Q89" i="67"/>
  <c r="U89" i="67"/>
  <c r="K163" i="58"/>
  <c r="Q187" i="65"/>
  <c r="M279" i="58"/>
  <c r="O163" i="39"/>
  <c r="N161" i="39"/>
  <c r="BA29" i="30" s="1"/>
  <c r="Q138" i="67"/>
  <c r="U138" i="67"/>
  <c r="K230" i="58"/>
  <c r="M200" i="58"/>
  <c r="Q104" i="65"/>
  <c r="U104" i="65"/>
  <c r="O56" i="37"/>
  <c r="P56" i="37" s="1"/>
  <c r="U192" i="67"/>
  <c r="Q192" i="67"/>
  <c r="K284" i="58"/>
  <c r="Q18" i="20"/>
  <c r="P18" i="20"/>
  <c r="Q103" i="48"/>
  <c r="Q11" i="24"/>
  <c r="BA39" i="43"/>
  <c r="P70" i="24"/>
  <c r="P68" i="37"/>
  <c r="O164" i="32"/>
  <c r="M37" i="48"/>
  <c r="O22" i="35"/>
  <c r="P22" i="35" s="1"/>
  <c r="P71" i="27"/>
  <c r="O70" i="27"/>
  <c r="Q26" i="35"/>
  <c r="K116" i="58"/>
  <c r="O33" i="67"/>
  <c r="U33" i="67" s="1"/>
  <c r="U34" i="67"/>
  <c r="Q34" i="67"/>
  <c r="Q111" i="67"/>
  <c r="S111" i="67" s="1"/>
  <c r="U111" i="67"/>
  <c r="K207" i="58"/>
  <c r="P11" i="24"/>
  <c r="AR39" i="43"/>
  <c r="P91" i="27"/>
  <c r="AU39" i="43"/>
  <c r="Q42" i="67"/>
  <c r="K124" i="58"/>
  <c r="U129" i="63"/>
  <c r="N219" i="58"/>
  <c r="Q129" i="63"/>
  <c r="Y129" i="63"/>
  <c r="AB129" i="63" s="1"/>
  <c r="P33" i="54"/>
  <c r="N33" i="54"/>
  <c r="N76" i="54"/>
  <c r="P76" i="54"/>
  <c r="Q73" i="46"/>
  <c r="P73" i="46"/>
  <c r="O11" i="27"/>
  <c r="N10" i="27"/>
  <c r="N9" i="27" s="1"/>
  <c r="N74" i="25"/>
  <c r="O74" i="25"/>
  <c r="Q74" i="25" s="1"/>
  <c r="M136" i="33"/>
  <c r="N136" i="33" s="1"/>
  <c r="O136" i="33" s="1"/>
  <c r="P136" i="33" s="1"/>
  <c r="Q136" i="33"/>
  <c r="N25" i="32"/>
  <c r="O25" i="32" s="1"/>
  <c r="Q25" i="32"/>
  <c r="D63" i="5"/>
  <c r="D7" i="5"/>
  <c r="D64" i="5" s="1"/>
  <c r="Q32" i="66"/>
  <c r="P32" i="66" s="1"/>
  <c r="S32" i="66"/>
  <c r="I162" i="67"/>
  <c r="M162" i="67" s="1"/>
  <c r="O162" i="67" s="1"/>
  <c r="I161" i="67"/>
  <c r="M161" i="67" s="1"/>
  <c r="O161" i="67" s="1"/>
  <c r="O128" i="37"/>
  <c r="N124" i="37"/>
  <c r="Q127" i="36"/>
  <c r="P127" i="36"/>
  <c r="N92" i="47"/>
  <c r="M91" i="47"/>
  <c r="P153" i="20"/>
  <c r="Q153" i="20"/>
  <c r="AE3" i="5"/>
  <c r="AE7" i="5"/>
  <c r="AE64" i="5" s="1"/>
  <c r="AD68" i="5"/>
  <c r="AD8" i="5"/>
  <c r="N40" i="51"/>
  <c r="N38" i="51" s="1"/>
  <c r="O40" i="51"/>
  <c r="M107" i="47"/>
  <c r="N107" i="47" s="1"/>
  <c r="O107" i="47" s="1"/>
  <c r="P107" i="47" s="1"/>
  <c r="O28" i="46"/>
  <c r="M99" i="46"/>
  <c r="N100" i="46"/>
  <c r="N42" i="46"/>
  <c r="N41" i="46" s="1"/>
  <c r="M41" i="46"/>
  <c r="N72" i="39"/>
  <c r="O72" i="39" s="1"/>
  <c r="P72" i="39" s="1"/>
  <c r="Q153" i="36"/>
  <c r="P153" i="36"/>
  <c r="P30" i="36"/>
  <c r="Q30" i="36"/>
  <c r="S144" i="62"/>
  <c r="AJ25" i="57"/>
  <c r="I25" i="57" s="1"/>
  <c r="Q48" i="25"/>
  <c r="N28" i="46"/>
  <c r="O26" i="50"/>
  <c r="P26" i="50" s="1"/>
  <c r="N22" i="50"/>
  <c r="P81" i="37"/>
  <c r="Q81" i="37"/>
  <c r="N143" i="36"/>
  <c r="O143" i="36" s="1"/>
  <c r="O71" i="35"/>
  <c r="N71" i="35"/>
  <c r="N125" i="47"/>
  <c r="M124" i="47"/>
  <c r="BN74" i="5"/>
  <c r="BN8" i="5"/>
  <c r="S90" i="5"/>
  <c r="R46" i="10"/>
  <c r="S3" i="5"/>
  <c r="N38" i="34"/>
  <c r="H11" i="41"/>
  <c r="H13" i="41" s="1"/>
  <c r="H15" i="41" s="1"/>
  <c r="P48" i="25"/>
  <c r="BQ7" i="5"/>
  <c r="BQ64" i="5" s="1"/>
  <c r="M124" i="48"/>
  <c r="N107" i="54"/>
  <c r="P25" i="36"/>
  <c r="Q25" i="36"/>
  <c r="P155" i="24"/>
  <c r="Q155" i="24"/>
  <c r="N130" i="32"/>
  <c r="N128" i="32" s="1"/>
  <c r="BD31" i="30" s="1"/>
  <c r="P152" i="37"/>
  <c r="N53" i="49"/>
  <c r="N47" i="49" s="1"/>
  <c r="I113" i="25"/>
  <c r="M113" i="25" s="1"/>
  <c r="N113" i="25" s="1"/>
  <c r="M112" i="25"/>
  <c r="P155" i="47"/>
  <c r="Q155" i="47"/>
  <c r="O120" i="36"/>
  <c r="Q23" i="32"/>
  <c r="N23" i="32"/>
  <c r="Y31" i="63"/>
  <c r="AB31" i="63" s="1"/>
  <c r="O15" i="24"/>
  <c r="N27" i="46"/>
  <c r="M129" i="49"/>
  <c r="T80" i="64"/>
  <c r="V17" i="7"/>
  <c r="M94" i="46"/>
  <c r="P81" i="54"/>
  <c r="M91" i="34"/>
  <c r="M90" i="34" s="1"/>
  <c r="M27" i="51"/>
  <c r="Q98" i="46"/>
  <c r="P98" i="46"/>
  <c r="O45" i="33"/>
  <c r="N44" i="33"/>
  <c r="P61" i="20"/>
  <c r="Q61" i="20"/>
  <c r="M24" i="57"/>
  <c r="N25" i="25"/>
  <c r="O25" i="25" s="1"/>
  <c r="O4" i="23"/>
  <c r="P4" i="23" s="1"/>
  <c r="P5" i="23"/>
  <c r="P142" i="48"/>
  <c r="Q142" i="48"/>
  <c r="P125" i="34"/>
  <c r="O124" i="34"/>
  <c r="P124" i="34" s="1"/>
  <c r="N131" i="46"/>
  <c r="O131" i="46" s="1"/>
  <c r="M130" i="46"/>
  <c r="M9" i="50"/>
  <c r="M5" i="50" s="1"/>
  <c r="BC19" i="43" s="1"/>
  <c r="I127" i="58"/>
  <c r="O20" i="25"/>
  <c r="P152" i="48"/>
  <c r="Q152" i="48"/>
  <c r="P79" i="24"/>
  <c r="Q79" i="24"/>
  <c r="N121" i="37"/>
  <c r="M119" i="37"/>
  <c r="M117" i="37" s="1"/>
  <c r="Q152" i="47"/>
  <c r="P152" i="47"/>
  <c r="P136" i="36"/>
  <c r="Q136" i="36"/>
  <c r="M13" i="36"/>
  <c r="N14" i="36"/>
  <c r="Q92" i="46"/>
  <c r="P92" i="46"/>
  <c r="N45" i="40"/>
  <c r="M44" i="40"/>
  <c r="M37" i="40" s="1"/>
  <c r="N33" i="40"/>
  <c r="O33" i="40"/>
  <c r="P33" i="40" s="1"/>
  <c r="N35" i="40"/>
  <c r="O35" i="40" s="1"/>
  <c r="P35" i="40" s="1"/>
  <c r="N124" i="36"/>
  <c r="P49" i="47"/>
  <c r="Q49" i="47"/>
  <c r="P77" i="33"/>
  <c r="N101" i="35"/>
  <c r="O101" i="35" s="1"/>
  <c r="N35" i="51"/>
  <c r="O35" i="51" s="1"/>
  <c r="P35" i="51" s="1"/>
  <c r="N74" i="46"/>
  <c r="O74" i="46" s="1"/>
  <c r="P140" i="36"/>
  <c r="Q140" i="36"/>
  <c r="D34" i="5"/>
  <c r="D91" i="5" s="1"/>
  <c r="C46" i="10"/>
  <c r="C58" i="10"/>
  <c r="Q39" i="20"/>
  <c r="P39" i="20"/>
  <c r="Q116" i="46"/>
  <c r="P116" i="46"/>
  <c r="N42" i="23"/>
  <c r="K24" i="42"/>
  <c r="K25" i="42"/>
  <c r="K27" i="42"/>
  <c r="O17" i="47"/>
  <c r="O138" i="32"/>
  <c r="N123" i="35"/>
  <c r="O123" i="35" s="1"/>
  <c r="N45" i="35"/>
  <c r="M44" i="35"/>
  <c r="O29" i="34"/>
  <c r="P29" i="34" s="1"/>
  <c r="N43" i="35"/>
  <c r="N41" i="35" s="1"/>
  <c r="O43" i="35"/>
  <c r="M41" i="35"/>
  <c r="O144" i="23"/>
  <c r="P144" i="23" s="1"/>
  <c r="O121" i="48"/>
  <c r="D90" i="5"/>
  <c r="Q127" i="46"/>
  <c r="Q118" i="36"/>
  <c r="P93" i="33"/>
  <c r="O79" i="25"/>
  <c r="O31" i="33"/>
  <c r="M24" i="46"/>
  <c r="Q182" i="45"/>
  <c r="N182" i="45"/>
  <c r="O182" i="45" s="1"/>
  <c r="P182" i="45" s="1"/>
  <c r="M78" i="36"/>
  <c r="N78" i="36" s="1"/>
  <c r="O78" i="36" s="1"/>
  <c r="P78" i="36" s="1"/>
  <c r="Q78" i="36"/>
  <c r="H11" i="28"/>
  <c r="H13" i="28" s="1"/>
  <c r="H15" i="28" s="1"/>
  <c r="O58" i="23"/>
  <c r="P80" i="47"/>
  <c r="P34" i="54"/>
  <c r="N92" i="35"/>
  <c r="O40" i="35"/>
  <c r="O38" i="35" s="1"/>
  <c r="P38" i="35" s="1"/>
  <c r="X10" i="30"/>
  <c r="X14" i="30"/>
  <c r="N55" i="48"/>
  <c r="O55" i="48" s="1"/>
  <c r="I68" i="38"/>
  <c r="M68" i="38" s="1"/>
  <c r="N68" i="38" s="1"/>
  <c r="I15" i="38"/>
  <c r="M15" i="38" s="1"/>
  <c r="I53" i="38"/>
  <c r="M53" i="38" s="1"/>
  <c r="I67" i="38"/>
  <c r="M67" i="38" s="1"/>
  <c r="M66" i="38" s="1"/>
  <c r="I39" i="38"/>
  <c r="M39" i="38" s="1"/>
  <c r="I49" i="38"/>
  <c r="M49" i="38" s="1"/>
  <c r="N49" i="38" s="1"/>
  <c r="O49" i="38" s="1"/>
  <c r="P49" i="38" s="1"/>
  <c r="I90" i="32"/>
  <c r="K90" i="32" s="1"/>
  <c r="I65" i="38"/>
  <c r="M65" i="38" s="1"/>
  <c r="I51" i="38"/>
  <c r="M51" i="38" s="1"/>
  <c r="I42" i="38"/>
  <c r="M42" i="38" s="1"/>
  <c r="M41" i="38" s="1"/>
  <c r="I11" i="38"/>
  <c r="M11" i="38" s="1"/>
  <c r="I92" i="32"/>
  <c r="K92" i="32" s="1"/>
  <c r="I29" i="38"/>
  <c r="M29" i="38" s="1"/>
  <c r="I24" i="38"/>
  <c r="M24" i="38" s="1"/>
  <c r="N24" i="38" s="1"/>
  <c r="G2" i="38"/>
  <c r="I88" i="32"/>
  <c r="K88" i="32" s="1"/>
  <c r="I25" i="38"/>
  <c r="M25" i="38" s="1"/>
  <c r="I17" i="38"/>
  <c r="M17" i="38" s="1"/>
  <c r="I45" i="38"/>
  <c r="M45" i="38" s="1"/>
  <c r="M44" i="38" s="1"/>
  <c r="I87" i="32"/>
  <c r="I89" i="32"/>
  <c r="O92" i="37"/>
  <c r="M91" i="37"/>
  <c r="N48" i="27"/>
  <c r="M47" i="27"/>
  <c r="P132" i="36"/>
  <c r="M150" i="33"/>
  <c r="M149" i="33" s="1"/>
  <c r="AH28" i="30" s="1"/>
  <c r="P153" i="35"/>
  <c r="O20" i="47"/>
  <c r="N19" i="47"/>
  <c r="M10" i="50"/>
  <c r="N11" i="50"/>
  <c r="O11" i="50" s="1"/>
  <c r="P11" i="50" s="1"/>
  <c r="M161" i="35"/>
  <c r="AN29" i="30" s="1"/>
  <c r="O162" i="35"/>
  <c r="P105" i="47"/>
  <c r="Q105" i="47"/>
  <c r="N100" i="47"/>
  <c r="N99" i="47" s="1"/>
  <c r="N58" i="46"/>
  <c r="M57" i="46"/>
  <c r="N162" i="27"/>
  <c r="O120" i="33"/>
  <c r="O119" i="33" s="1"/>
  <c r="P119" i="33" s="1"/>
  <c r="M99" i="23"/>
  <c r="N152" i="23"/>
  <c r="O152" i="23" s="1"/>
  <c r="Z90" i="5"/>
  <c r="Z102" i="5"/>
  <c r="Z46" i="5"/>
  <c r="Z103" i="5" s="1"/>
  <c r="AH102" i="5"/>
  <c r="AH46" i="5"/>
  <c r="AH103" i="5" s="1"/>
  <c r="AP102" i="5"/>
  <c r="R56" i="10"/>
  <c r="K59" i="10"/>
  <c r="I51" i="23"/>
  <c r="I52" i="23"/>
  <c r="M52" i="23" s="1"/>
  <c r="I20" i="23"/>
  <c r="M20" i="23" s="1"/>
  <c r="I123" i="23"/>
  <c r="M123" i="23" s="1"/>
  <c r="N123" i="23" s="1"/>
  <c r="O123" i="23" s="1"/>
  <c r="P123" i="23" s="1"/>
  <c r="I98" i="23"/>
  <c r="M98" i="23" s="1"/>
  <c r="N98" i="23" s="1"/>
  <c r="O98" i="23" s="1"/>
  <c r="P98" i="23" s="1"/>
  <c r="I127" i="23"/>
  <c r="M127" i="23" s="1"/>
  <c r="N127" i="23" s="1"/>
  <c r="I24" i="23"/>
  <c r="M24" i="23" s="1"/>
  <c r="N24" i="23" s="1"/>
  <c r="O24" i="23" s="1"/>
  <c r="P24" i="23" s="1"/>
  <c r="I11" i="23"/>
  <c r="I64" i="23"/>
  <c r="I30" i="23"/>
  <c r="M30" i="23" s="1"/>
  <c r="I72" i="23"/>
  <c r="M72" i="23" s="1"/>
  <c r="N72" i="23" s="1"/>
  <c r="O72" i="23" s="1"/>
  <c r="I78" i="23"/>
  <c r="M78" i="23" s="1"/>
  <c r="N78" i="23" s="1"/>
  <c r="O78" i="23" s="1"/>
  <c r="I75" i="23"/>
  <c r="I35" i="23"/>
  <c r="M35" i="23" s="1"/>
  <c r="I77" i="23"/>
  <c r="M77" i="23" s="1"/>
  <c r="N77" i="23" s="1"/>
  <c r="O77" i="23" s="1"/>
  <c r="P148" i="23"/>
  <c r="I96" i="23"/>
  <c r="M96" i="23" s="1"/>
  <c r="N96" i="23" s="1"/>
  <c r="O96" i="23" s="1"/>
  <c r="P96" i="23" s="1"/>
  <c r="I23" i="23"/>
  <c r="M23" i="23" s="1"/>
  <c r="I103" i="23"/>
  <c r="M103" i="23" s="1"/>
  <c r="I50" i="23"/>
  <c r="M50" i="23" s="1"/>
  <c r="N50" i="23" s="1"/>
  <c r="I74" i="23"/>
  <c r="M74" i="23" s="1"/>
  <c r="I31" i="23"/>
  <c r="I40" i="23"/>
  <c r="M40" i="23" s="1"/>
  <c r="N40" i="23" s="1"/>
  <c r="O40" i="23" s="1"/>
  <c r="I79" i="23"/>
  <c r="M79" i="23" s="1"/>
  <c r="N79" i="23" s="1"/>
  <c r="O79" i="23" s="1"/>
  <c r="I48" i="23"/>
  <c r="M48" i="23" s="1"/>
  <c r="I110" i="23"/>
  <c r="M110" i="23" s="1"/>
  <c r="I97" i="23"/>
  <c r="M97" i="23" s="1"/>
  <c r="N97" i="23" s="1"/>
  <c r="I28" i="23"/>
  <c r="M28" i="23" s="1"/>
  <c r="I65" i="23"/>
  <c r="M65" i="23" s="1"/>
  <c r="N65" i="23" s="1"/>
  <c r="O65" i="23" s="1"/>
  <c r="P65" i="23" s="1"/>
  <c r="I21" i="23"/>
  <c r="I67" i="23"/>
  <c r="M67" i="23" s="1"/>
  <c r="I45" i="23"/>
  <c r="M45" i="23" s="1"/>
  <c r="I53" i="23"/>
  <c r="I25" i="23"/>
  <c r="M25" i="23" s="1"/>
  <c r="N25" i="23" s="1"/>
  <c r="O25" i="23" s="1"/>
  <c r="P25" i="23" s="1"/>
  <c r="I92" i="23"/>
  <c r="M92" i="23" s="1"/>
  <c r="I16" i="23"/>
  <c r="M16" i="23" s="1"/>
  <c r="N16" i="23" s="1"/>
  <c r="O16" i="23" s="1"/>
  <c r="P16" i="23" s="1"/>
  <c r="I109" i="23"/>
  <c r="M109" i="23" s="1"/>
  <c r="N109" i="23" s="1"/>
  <c r="O109" i="23" s="1"/>
  <c r="I39" i="23"/>
  <c r="M39" i="23" s="1"/>
  <c r="I104" i="23"/>
  <c r="M104" i="23" s="1"/>
  <c r="N104" i="23" s="1"/>
  <c r="I14" i="23"/>
  <c r="M14" i="23" s="1"/>
  <c r="I34" i="23"/>
  <c r="M34" i="23" s="1"/>
  <c r="N34" i="23" s="1"/>
  <c r="I101" i="23"/>
  <c r="M101" i="23" s="1"/>
  <c r="N101" i="23" s="1"/>
  <c r="I95" i="23"/>
  <c r="M95" i="23" s="1"/>
  <c r="I73" i="23"/>
  <c r="M73" i="23" s="1"/>
  <c r="N73" i="23" s="1"/>
  <c r="O73" i="23" s="1"/>
  <c r="I107" i="23"/>
  <c r="M107" i="23" s="1"/>
  <c r="I106" i="23"/>
  <c r="M106" i="23" s="1"/>
  <c r="N106" i="23" s="1"/>
  <c r="I15" i="23"/>
  <c r="M15" i="23" s="1"/>
  <c r="N15" i="23" s="1"/>
  <c r="I33" i="23"/>
  <c r="M33" i="23" s="1"/>
  <c r="N33" i="23" s="1"/>
  <c r="O33" i="23" s="1"/>
  <c r="P33" i="23" s="1"/>
  <c r="P16" i="36"/>
  <c r="Q16" i="36"/>
  <c r="N103" i="33"/>
  <c r="N102" i="33" s="1"/>
  <c r="O103" i="33"/>
  <c r="M119" i="36"/>
  <c r="M117" i="36" s="1"/>
  <c r="N121" i="36"/>
  <c r="O121" i="36" s="1"/>
  <c r="I38" i="43"/>
  <c r="I34" i="43"/>
  <c r="D10" i="41" s="1"/>
  <c r="I13" i="43"/>
  <c r="D6" i="41" s="1"/>
  <c r="I31" i="43"/>
  <c r="I21" i="43"/>
  <c r="I20" i="43"/>
  <c r="I30" i="43"/>
  <c r="D9" i="41" s="1"/>
  <c r="I35" i="43"/>
  <c r="I40" i="43"/>
  <c r="I9" i="43"/>
  <c r="D5" i="41" s="1"/>
  <c r="I29" i="43"/>
  <c r="I42" i="43"/>
  <c r="I36" i="43"/>
  <c r="I19" i="43"/>
  <c r="I27" i="43"/>
  <c r="I15" i="43"/>
  <c r="I26" i="43"/>
  <c r="I24" i="43"/>
  <c r="D12" i="41" s="1"/>
  <c r="I23" i="43"/>
  <c r="I39" i="43"/>
  <c r="N67" i="34"/>
  <c r="M102" i="33"/>
  <c r="M90" i="33" s="1"/>
  <c r="O151" i="27"/>
  <c r="P151" i="27" s="1"/>
  <c r="AG7" i="30"/>
  <c r="E35" i="31"/>
  <c r="E40" i="31"/>
  <c r="E51" i="31" s="1"/>
  <c r="I27" i="29"/>
  <c r="M60" i="38"/>
  <c r="N61" i="38"/>
  <c r="AV7" i="43"/>
  <c r="E39" i="44"/>
  <c r="I137" i="48"/>
  <c r="M137" i="48" s="1"/>
  <c r="I59" i="48"/>
  <c r="I135" i="48"/>
  <c r="M135" i="48" s="1"/>
  <c r="I133" i="48"/>
  <c r="M133" i="48" s="1"/>
  <c r="M130" i="48" s="1"/>
  <c r="I136" i="48"/>
  <c r="I118" i="48"/>
  <c r="I143" i="48"/>
  <c r="M143" i="48" s="1"/>
  <c r="I58" i="48"/>
  <c r="N62" i="51"/>
  <c r="M60" i="51"/>
  <c r="I188" i="65"/>
  <c r="M188" i="65" s="1"/>
  <c r="O188" i="65" s="1"/>
  <c r="I197" i="65"/>
  <c r="M197" i="65" s="1"/>
  <c r="O197" i="65" s="1"/>
  <c r="I147" i="65"/>
  <c r="M147" i="65" s="1"/>
  <c r="O147" i="65" s="1"/>
  <c r="I76" i="65"/>
  <c r="M76" i="65" s="1"/>
  <c r="O76" i="65" s="1"/>
  <c r="I67" i="65"/>
  <c r="M67" i="65" s="1"/>
  <c r="O67" i="65" s="1"/>
  <c r="I108" i="65"/>
  <c r="M108" i="65" s="1"/>
  <c r="O108" i="65" s="1"/>
  <c r="M112" i="20"/>
  <c r="N112" i="20" s="1"/>
  <c r="O112" i="20" s="1"/>
  <c r="I113" i="20"/>
  <c r="N157" i="23"/>
  <c r="O157" i="23"/>
  <c r="P157" i="23" s="1"/>
  <c r="N126" i="27"/>
  <c r="O126" i="27"/>
  <c r="P126" i="27" s="1"/>
  <c r="I120" i="39"/>
  <c r="M120" i="39" s="1"/>
  <c r="I153" i="39"/>
  <c r="M153" i="39" s="1"/>
  <c r="I156" i="39"/>
  <c r="M156" i="39" s="1"/>
  <c r="I116" i="39"/>
  <c r="M116" i="39" s="1"/>
  <c r="I152" i="39"/>
  <c r="M152" i="39" s="1"/>
  <c r="I151" i="39"/>
  <c r="I121" i="39"/>
  <c r="M121" i="39" s="1"/>
  <c r="I114" i="39"/>
  <c r="M114" i="39" s="1"/>
  <c r="N114" i="39" s="1"/>
  <c r="O114" i="39" s="1"/>
  <c r="P114" i="39" s="1"/>
  <c r="N140" i="40"/>
  <c r="O140" i="40" s="1"/>
  <c r="P140" i="40" s="1"/>
  <c r="M12" i="41"/>
  <c r="O12" i="41"/>
  <c r="T23" i="43"/>
  <c r="T35" i="43"/>
  <c r="T27" i="43"/>
  <c r="T11" i="43"/>
  <c r="I8" i="46"/>
  <c r="I125" i="46"/>
  <c r="I7" i="46"/>
  <c r="M7" i="46" s="1"/>
  <c r="I30" i="47"/>
  <c r="M30" i="47" s="1"/>
  <c r="I8" i="47"/>
  <c r="M8" i="47" s="1"/>
  <c r="N8" i="47" s="1"/>
  <c r="I7" i="47"/>
  <c r="M7" i="47" s="1"/>
  <c r="N39" i="25"/>
  <c r="N38" i="25" s="1"/>
  <c r="N37" i="25" s="1"/>
  <c r="N36" i="25" s="1"/>
  <c r="O39" i="25"/>
  <c r="O38" i="25" s="1"/>
  <c r="M130" i="33"/>
  <c r="M99" i="40"/>
  <c r="Q20" i="32"/>
  <c r="N20" i="32"/>
  <c r="O20" i="32" s="1"/>
  <c r="W25" i="30"/>
  <c r="W34" i="30"/>
  <c r="W9" i="30"/>
  <c r="M52" i="25"/>
  <c r="N52" i="25" s="1"/>
  <c r="O52" i="25" s="1"/>
  <c r="N39" i="46"/>
  <c r="N38" i="46" s="1"/>
  <c r="M97" i="25"/>
  <c r="N97" i="25" s="1"/>
  <c r="D102" i="5"/>
  <c r="I77" i="32"/>
  <c r="I77" i="40"/>
  <c r="M77" i="40" s="1"/>
  <c r="M70" i="40" s="1"/>
  <c r="M69" i="40" s="1"/>
  <c r="M77" i="32" s="1"/>
  <c r="M34" i="39"/>
  <c r="P158" i="23"/>
  <c r="M53" i="27"/>
  <c r="N53" i="27" s="1"/>
  <c r="O53" i="27" s="1"/>
  <c r="P53" i="27" s="1"/>
  <c r="N46" i="40"/>
  <c r="O46" i="40"/>
  <c r="P46" i="40" s="1"/>
  <c r="M224" i="32"/>
  <c r="Q224" i="32" s="1"/>
  <c r="AG4" i="30"/>
  <c r="I152" i="36"/>
  <c r="I46" i="36"/>
  <c r="M46" i="36" s="1"/>
  <c r="I163" i="36"/>
  <c r="M163" i="36" s="1"/>
  <c r="M72" i="47"/>
  <c r="M33" i="46"/>
  <c r="N33" i="46" s="1"/>
  <c r="O33" i="46" s="1"/>
  <c r="P33" i="46" s="1"/>
  <c r="M108" i="34"/>
  <c r="AR11" i="30"/>
  <c r="AI11" i="30"/>
  <c r="M73" i="27"/>
  <c r="N73" i="27" s="1"/>
  <c r="O73" i="27" s="1"/>
  <c r="P73" i="27" s="1"/>
  <c r="M11" i="20"/>
  <c r="M7" i="5"/>
  <c r="M64" i="5" s="1"/>
  <c r="M115" i="25"/>
  <c r="N115" i="25" s="1"/>
  <c r="O115" i="25" s="1"/>
  <c r="O160" i="34"/>
  <c r="P160" i="34" s="1"/>
  <c r="O135" i="32"/>
  <c r="R58" i="10"/>
  <c r="C3" i="10"/>
  <c r="Q84" i="33"/>
  <c r="M84" i="33"/>
  <c r="M82" i="33" s="1"/>
  <c r="M153" i="46"/>
  <c r="P3" i="42"/>
  <c r="M68" i="39"/>
  <c r="M66" i="39" s="1"/>
  <c r="M48" i="39"/>
  <c r="J2" i="28"/>
  <c r="AU11" i="30"/>
  <c r="M14" i="27"/>
  <c r="L57" i="10"/>
  <c r="M11" i="37"/>
  <c r="M8" i="34"/>
  <c r="X102" i="5"/>
  <c r="I23" i="37"/>
  <c r="M23" i="37" s="1"/>
  <c r="M22" i="37" s="1"/>
  <c r="I96" i="37"/>
  <c r="I74" i="37"/>
  <c r="I97" i="37"/>
  <c r="M97" i="37" s="1"/>
  <c r="I48" i="37"/>
  <c r="I103" i="37"/>
  <c r="M103" i="37" s="1"/>
  <c r="N103" i="37" s="1"/>
  <c r="O103" i="37" s="1"/>
  <c r="I95" i="37"/>
  <c r="I104" i="37"/>
  <c r="M104" i="37" s="1"/>
  <c r="N104" i="37" s="1"/>
  <c r="N102" i="37" s="1"/>
  <c r="I21" i="37"/>
  <c r="I16" i="37"/>
  <c r="D4" i="41"/>
  <c r="K4" i="41" s="1"/>
  <c r="H13" i="43"/>
  <c r="M93" i="46"/>
  <c r="M59" i="39"/>
  <c r="M20" i="34"/>
  <c r="M132" i="33"/>
  <c r="N132" i="33" s="1"/>
  <c r="P160" i="23"/>
  <c r="M106" i="37"/>
  <c r="N106" i="37" s="1"/>
  <c r="O106" i="37" s="1"/>
  <c r="M35" i="27"/>
  <c r="N35" i="27" s="1"/>
  <c r="O35" i="27" s="1"/>
  <c r="P35" i="27" s="1"/>
  <c r="M31" i="37"/>
  <c r="N31" i="37" s="1"/>
  <c r="O31" i="37" s="1"/>
  <c r="M75" i="27"/>
  <c r="N75" i="27" s="1"/>
  <c r="O75" i="27" s="1"/>
  <c r="P75" i="27" s="1"/>
  <c r="M97" i="27"/>
  <c r="N97" i="27" s="1"/>
  <c r="O97" i="27" s="1"/>
  <c r="P97" i="27" s="1"/>
  <c r="M33" i="27"/>
  <c r="N33" i="27" s="1"/>
  <c r="O33" i="27" s="1"/>
  <c r="P33" i="27" s="1"/>
  <c r="O60" i="47"/>
  <c r="M18" i="36"/>
  <c r="N18" i="36" s="1"/>
  <c r="M75" i="36"/>
  <c r="M80" i="39"/>
  <c r="N80" i="39" s="1"/>
  <c r="O80" i="39" s="1"/>
  <c r="P80" i="39" s="1"/>
  <c r="Z3" i="5"/>
  <c r="M64" i="20"/>
  <c r="M63" i="20" s="1"/>
  <c r="M56" i="20" s="1"/>
  <c r="M79" i="20"/>
  <c r="M70" i="20" s="1"/>
  <c r="U97" i="63"/>
  <c r="M20" i="20"/>
  <c r="M28" i="25"/>
  <c r="N138" i="45"/>
  <c r="M58" i="50"/>
  <c r="M114" i="51"/>
  <c r="N114" i="51" s="1"/>
  <c r="O114" i="51" s="1"/>
  <c r="P114" i="51" s="1"/>
  <c r="M143" i="51"/>
  <c r="I166" i="67"/>
  <c r="M166" i="67" s="1"/>
  <c r="O166" i="67" s="1"/>
  <c r="X156" i="63"/>
  <c r="Y156" i="63" s="1"/>
  <c r="AB156" i="63" s="1"/>
  <c r="M163" i="27"/>
  <c r="M59" i="50"/>
  <c r="BA3" i="5"/>
  <c r="BA60" i="5" s="1"/>
  <c r="M82" i="49"/>
  <c r="M69" i="49" s="1"/>
  <c r="AZ24" i="43" s="1"/>
  <c r="P12" i="41" s="1"/>
  <c r="H7" i="10"/>
  <c r="AQ80" i="5"/>
  <c r="C23" i="5"/>
  <c r="C22" i="5" s="1"/>
  <c r="D31" i="7"/>
  <c r="C33" i="7"/>
  <c r="Q42" i="45"/>
  <c r="N42" i="45"/>
  <c r="O42" i="45" s="1"/>
  <c r="P42" i="45" s="1"/>
  <c r="Q176" i="45"/>
  <c r="N176" i="45"/>
  <c r="O176" i="45" s="1"/>
  <c r="P176" i="45" s="1"/>
  <c r="M175" i="45"/>
  <c r="Q147" i="45"/>
  <c r="N147" i="45"/>
  <c r="O147" i="45" s="1"/>
  <c r="P147" i="45" s="1"/>
  <c r="O144" i="37"/>
  <c r="N141" i="37"/>
  <c r="P74" i="24"/>
  <c r="Q74" i="24"/>
  <c r="P122" i="37"/>
  <c r="Q122" i="37"/>
  <c r="N180" i="32"/>
  <c r="O180" i="32" s="1"/>
  <c r="Q180" i="32"/>
  <c r="P144" i="35"/>
  <c r="Q144" i="35"/>
  <c r="P142" i="33"/>
  <c r="Q33" i="45"/>
  <c r="N33" i="45"/>
  <c r="O33" i="45" s="1"/>
  <c r="P33" i="45" s="1"/>
  <c r="P155" i="33"/>
  <c r="Q155" i="33"/>
  <c r="P135" i="23"/>
  <c r="O134" i="23"/>
  <c r="P134" i="23" s="1"/>
  <c r="P58" i="35"/>
  <c r="Q58" i="35"/>
  <c r="BM17" i="43"/>
  <c r="BH17" i="43"/>
  <c r="O141" i="35"/>
  <c r="P141" i="35" s="1"/>
  <c r="P125" i="33"/>
  <c r="Q125" i="33"/>
  <c r="M142" i="45"/>
  <c r="O153" i="45"/>
  <c r="N151" i="45"/>
  <c r="O110" i="45"/>
  <c r="P110" i="45" s="1"/>
  <c r="N47" i="36"/>
  <c r="O52" i="36"/>
  <c r="P52" i="36" s="1"/>
  <c r="O158" i="45"/>
  <c r="P158" i="45" s="1"/>
  <c r="AR39" i="30"/>
  <c r="AO39" i="30"/>
  <c r="AU39" i="30"/>
  <c r="P30" i="25"/>
  <c r="Q30" i="25"/>
  <c r="B57" i="10"/>
  <c r="P91" i="25"/>
  <c r="Q132" i="20"/>
  <c r="P132" i="20"/>
  <c r="P7" i="50"/>
  <c r="O6" i="50"/>
  <c r="P6" i="50" s="1"/>
  <c r="P127" i="48"/>
  <c r="Q127" i="48"/>
  <c r="O88" i="27"/>
  <c r="P88" i="27" s="1"/>
  <c r="P89" i="27"/>
  <c r="O120" i="45"/>
  <c r="P120" i="45" s="1"/>
  <c r="N111" i="45"/>
  <c r="O111" i="45" s="1"/>
  <c r="P111" i="45" s="1"/>
  <c r="N129" i="35"/>
  <c r="AO27" i="30" s="1"/>
  <c r="P90" i="25"/>
  <c r="O89" i="25"/>
  <c r="P143" i="37"/>
  <c r="N113" i="45"/>
  <c r="Q113" i="45"/>
  <c r="M112" i="45"/>
  <c r="Q112" i="45" s="1"/>
  <c r="BJ23" i="43"/>
  <c r="O126" i="45"/>
  <c r="BH23" i="43" s="1"/>
  <c r="O124" i="51"/>
  <c r="P124" i="51" s="1"/>
  <c r="P125" i="51"/>
  <c r="P115" i="27"/>
  <c r="O111" i="27"/>
  <c r="P111" i="27" s="1"/>
  <c r="Q149" i="45"/>
  <c r="N149" i="45"/>
  <c r="O149" i="45" s="1"/>
  <c r="P149" i="45" s="1"/>
  <c r="Q202" i="45"/>
  <c r="M200" i="45"/>
  <c r="O202" i="45"/>
  <c r="P202" i="45" s="1"/>
  <c r="A81" i="5"/>
  <c r="B43" i="10"/>
  <c r="A24" i="11"/>
  <c r="G2" i="3"/>
  <c r="O38" i="34"/>
  <c r="P38" i="34" s="1"/>
  <c r="P39" i="34"/>
  <c r="BB32" i="30"/>
  <c r="Q18" i="47"/>
  <c r="N158" i="45"/>
  <c r="Q68" i="37"/>
  <c r="Q56" i="45"/>
  <c r="N56" i="45"/>
  <c r="O56" i="45" s="1"/>
  <c r="P56" i="45" s="1"/>
  <c r="N67" i="32"/>
  <c r="O67" i="32" s="1"/>
  <c r="Q67" i="32"/>
  <c r="N67" i="40"/>
  <c r="N66" i="40" s="1"/>
  <c r="M66" i="40"/>
  <c r="O67" i="40"/>
  <c r="P67" i="40" s="1"/>
  <c r="Q161" i="45"/>
  <c r="P92" i="48"/>
  <c r="V40" i="30"/>
  <c r="V30" i="30"/>
  <c r="V39" i="30"/>
  <c r="V10" i="30"/>
  <c r="U17" i="30"/>
  <c r="U41" i="30"/>
  <c r="B14" i="28" s="1"/>
  <c r="U36" i="30"/>
  <c r="O63" i="24"/>
  <c r="P63" i="24" s="1"/>
  <c r="O125" i="45"/>
  <c r="Q61" i="45"/>
  <c r="O168" i="45"/>
  <c r="P142" i="24"/>
  <c r="M228" i="45"/>
  <c r="BI40" i="43" s="1"/>
  <c r="C17" i="13"/>
  <c r="C18" i="13" s="1"/>
  <c r="P135" i="27"/>
  <c r="N124" i="48"/>
  <c r="P108" i="46"/>
  <c r="Q108" i="46"/>
  <c r="Q72" i="36"/>
  <c r="P72" i="36"/>
  <c r="P42" i="47"/>
  <c r="O41" i="47"/>
  <c r="P41" i="47" s="1"/>
  <c r="Q42" i="47"/>
  <c r="Q177" i="45"/>
  <c r="N111" i="24"/>
  <c r="N230" i="45"/>
  <c r="N122" i="48"/>
  <c r="O122" i="48"/>
  <c r="N26" i="54"/>
  <c r="P26" i="54"/>
  <c r="Q71" i="47"/>
  <c r="P71" i="47"/>
  <c r="P93" i="47"/>
  <c r="Q93" i="47"/>
  <c r="N24" i="54"/>
  <c r="P24" i="54"/>
  <c r="Q63" i="45"/>
  <c r="BC40" i="30"/>
  <c r="O6" i="40"/>
  <c r="P6" i="40" s="1"/>
  <c r="Q153" i="67"/>
  <c r="T153" i="67" s="1"/>
  <c r="O139" i="25"/>
  <c r="P139" i="25" s="1"/>
  <c r="N21" i="48"/>
  <c r="M19" i="48"/>
  <c r="M9" i="48" s="1"/>
  <c r="P153" i="37"/>
  <c r="Q153" i="37"/>
  <c r="Q26" i="33"/>
  <c r="P26" i="33"/>
  <c r="P29" i="37"/>
  <c r="Q29" i="37"/>
  <c r="N200" i="32"/>
  <c r="N196" i="32" s="1"/>
  <c r="N192" i="45"/>
  <c r="O192" i="45" s="1"/>
  <c r="P192" i="45" s="1"/>
  <c r="O30" i="45"/>
  <c r="P30" i="45" s="1"/>
  <c r="Q84" i="66"/>
  <c r="O59" i="36"/>
  <c r="Q59" i="36" s="1"/>
  <c r="U23" i="63"/>
  <c r="Q23" i="63"/>
  <c r="N103" i="58"/>
  <c r="Q50" i="37"/>
  <c r="P50" i="37"/>
  <c r="P34" i="37"/>
  <c r="Q34" i="37"/>
  <c r="Q95" i="47"/>
  <c r="P95" i="47"/>
  <c r="P151" i="46"/>
  <c r="Q151" i="46"/>
  <c r="P140" i="33"/>
  <c r="Q140" i="33"/>
  <c r="P51" i="46"/>
  <c r="Q51" i="46"/>
  <c r="O135" i="24"/>
  <c r="K44" i="42"/>
  <c r="E14" i="9"/>
  <c r="P107" i="24"/>
  <c r="Q107" i="24"/>
  <c r="Q112" i="33"/>
  <c r="P112" i="33"/>
  <c r="Q156" i="25"/>
  <c r="P156" i="25"/>
  <c r="P120" i="33"/>
  <c r="Q30" i="66"/>
  <c r="P112" i="58"/>
  <c r="N58" i="25"/>
  <c r="M57" i="25"/>
  <c r="M56" i="25" s="1"/>
  <c r="N18" i="54"/>
  <c r="P18" i="54"/>
  <c r="P15" i="33"/>
  <c r="Q15" i="33"/>
  <c r="U167" i="67"/>
  <c r="K259" i="58"/>
  <c r="Q167" i="67"/>
  <c r="P154" i="33"/>
  <c r="Q154" i="33"/>
  <c r="M70" i="51"/>
  <c r="M69" i="51" s="1"/>
  <c r="M77" i="45" s="1"/>
  <c r="O121" i="40"/>
  <c r="O18" i="46"/>
  <c r="N161" i="46"/>
  <c r="AR29" i="43" s="1"/>
  <c r="BJ29" i="43" s="1"/>
  <c r="Q120" i="47"/>
  <c r="M8" i="32"/>
  <c r="Q65" i="24"/>
  <c r="P103" i="33"/>
  <c r="N99" i="23"/>
  <c r="N124" i="34"/>
  <c r="O112" i="35"/>
  <c r="N57" i="49"/>
  <c r="N60" i="50"/>
  <c r="O62" i="50"/>
  <c r="Q12" i="35"/>
  <c r="P109" i="37"/>
  <c r="O8" i="24"/>
  <c r="N41" i="45"/>
  <c r="O41" i="45"/>
  <c r="P41" i="45" s="1"/>
  <c r="G30" i="43"/>
  <c r="G9" i="43"/>
  <c r="G29" i="43"/>
  <c r="G24" i="43"/>
  <c r="O80" i="49"/>
  <c r="P80" i="49" s="1"/>
  <c r="O113" i="25"/>
  <c r="P58" i="54"/>
  <c r="N58" i="54"/>
  <c r="N142" i="49"/>
  <c r="N141" i="49" s="1"/>
  <c r="N129" i="49" s="1"/>
  <c r="BA27" i="43" s="1"/>
  <c r="N120" i="24"/>
  <c r="M119" i="24"/>
  <c r="N73" i="40"/>
  <c r="O73" i="40" s="1"/>
  <c r="P73" i="40" s="1"/>
  <c r="N157" i="32"/>
  <c r="O157" i="32" s="1"/>
  <c r="Q157" i="32"/>
  <c r="O163" i="67"/>
  <c r="U163" i="67" s="1"/>
  <c r="O8" i="32"/>
  <c r="N49" i="48"/>
  <c r="N47" i="48" s="1"/>
  <c r="N37" i="48" s="1"/>
  <c r="P33" i="33"/>
  <c r="Q33" i="33"/>
  <c r="P114" i="45"/>
  <c r="O125" i="39"/>
  <c r="P32" i="54"/>
  <c r="N99" i="35"/>
  <c r="P142" i="46"/>
  <c r="Q113" i="33"/>
  <c r="Q80" i="33"/>
  <c r="Q14" i="37"/>
  <c r="O60" i="27"/>
  <c r="P60" i="27" s="1"/>
  <c r="O15" i="37"/>
  <c r="O54" i="24"/>
  <c r="M124" i="35"/>
  <c r="O97" i="40"/>
  <c r="P97" i="40" s="1"/>
  <c r="M69" i="20"/>
  <c r="O57" i="33"/>
  <c r="P57" i="33" s="1"/>
  <c r="Q51" i="25"/>
  <c r="O104" i="37"/>
  <c r="M102" i="37"/>
  <c r="F51" i="43"/>
  <c r="Q33" i="46"/>
  <c r="O5" i="31"/>
  <c r="I7" i="31" s="1"/>
  <c r="M7" i="31" s="1"/>
  <c r="P12" i="47"/>
  <c r="Q109" i="46"/>
  <c r="P35" i="36"/>
  <c r="P17" i="46"/>
  <c r="N19" i="38"/>
  <c r="O8" i="39"/>
  <c r="N6" i="39"/>
  <c r="N41" i="27"/>
  <c r="O42" i="27"/>
  <c r="N81" i="23"/>
  <c r="O81" i="23" s="1"/>
  <c r="P81" i="23" s="1"/>
  <c r="Q210" i="45"/>
  <c r="N210" i="45"/>
  <c r="O210" i="45" s="1"/>
  <c r="P210" i="45" s="1"/>
  <c r="Q178" i="61"/>
  <c r="U178" i="61"/>
  <c r="W178" i="61" s="1"/>
  <c r="F23" i="43"/>
  <c r="F26" i="43"/>
  <c r="F36" i="43"/>
  <c r="M44" i="33"/>
  <c r="N26" i="43"/>
  <c r="N22" i="43"/>
  <c r="N28" i="43"/>
  <c r="N105" i="25"/>
  <c r="O105" i="25" s="1"/>
  <c r="N45" i="25"/>
  <c r="N44" i="25" s="1"/>
  <c r="O45" i="25"/>
  <c r="M44" i="25"/>
  <c r="N105" i="23"/>
  <c r="O105" i="23" s="1"/>
  <c r="P105" i="23" s="1"/>
  <c r="F20" i="43"/>
  <c r="F4" i="41"/>
  <c r="M4" i="41" s="1"/>
  <c r="AU7" i="43"/>
  <c r="N13" i="43"/>
  <c r="N33" i="43"/>
  <c r="N31" i="34"/>
  <c r="O31" i="34" s="1"/>
  <c r="P31" i="34" s="1"/>
  <c r="Q81" i="67"/>
  <c r="K157" i="58"/>
  <c r="K153" i="58" s="1"/>
  <c r="N152" i="39"/>
  <c r="O152" i="39" s="1"/>
  <c r="P152" i="39" s="1"/>
  <c r="N41" i="36"/>
  <c r="N38" i="40"/>
  <c r="AV36" i="43"/>
  <c r="AP36" i="43"/>
  <c r="AY36" i="43"/>
  <c r="AJ36" i="43"/>
  <c r="AS36" i="43"/>
  <c r="O105" i="51"/>
  <c r="P105" i="51" s="1"/>
  <c r="Q14" i="41"/>
  <c r="M141" i="46"/>
  <c r="M120" i="27"/>
  <c r="M60" i="39"/>
  <c r="M153" i="40"/>
  <c r="H39" i="43"/>
  <c r="O61" i="51"/>
  <c r="I42" i="65"/>
  <c r="M42" i="65" s="1"/>
  <c r="O42" i="65" s="1"/>
  <c r="I182" i="65"/>
  <c r="M182" i="65" s="1"/>
  <c r="O182" i="65" s="1"/>
  <c r="P270" i="58"/>
  <c r="BG9" i="5"/>
  <c r="BG66" i="5" s="1"/>
  <c r="M83" i="5"/>
  <c r="M28" i="20"/>
  <c r="M32" i="20"/>
  <c r="N32" i="20" s="1"/>
  <c r="O32" i="20" s="1"/>
  <c r="P32" i="20" s="1"/>
  <c r="M51" i="23"/>
  <c r="N51" i="23" s="1"/>
  <c r="O51" i="23" s="1"/>
  <c r="M21" i="23"/>
  <c r="M31" i="23"/>
  <c r="N31" i="23" s="1"/>
  <c r="O31" i="23" s="1"/>
  <c r="M64" i="23"/>
  <c r="M40" i="27"/>
  <c r="N40" i="27" s="1"/>
  <c r="O40" i="27" s="1"/>
  <c r="P40" i="27" s="1"/>
  <c r="M54" i="34"/>
  <c r="M76" i="34"/>
  <c r="M154" i="34"/>
  <c r="N154" i="34" s="1"/>
  <c r="O154" i="34" s="1"/>
  <c r="P154" i="34" s="1"/>
  <c r="M137" i="39"/>
  <c r="I18" i="65"/>
  <c r="M18" i="65" s="1"/>
  <c r="O18" i="65" s="1"/>
  <c r="I158" i="65"/>
  <c r="M158" i="65" s="1"/>
  <c r="O158" i="65" s="1"/>
  <c r="M100" i="20"/>
  <c r="M115" i="20"/>
  <c r="M154" i="20"/>
  <c r="M142" i="27"/>
  <c r="M154" i="40"/>
  <c r="N154" i="40" s="1"/>
  <c r="O154" i="40" s="1"/>
  <c r="P154" i="40" s="1"/>
  <c r="M46" i="50"/>
  <c r="M44" i="50" s="1"/>
  <c r="M112" i="51"/>
  <c r="M111" i="51" s="1"/>
  <c r="J9" i="58"/>
  <c r="M9" i="58"/>
  <c r="K14" i="14"/>
  <c r="D31" i="56"/>
  <c r="E31" i="56" s="1"/>
  <c r="M136" i="27"/>
  <c r="M154" i="27"/>
  <c r="M3" i="32"/>
  <c r="M60" i="35"/>
  <c r="M131" i="51"/>
  <c r="I166" i="65"/>
  <c r="M166" i="65" s="1"/>
  <c r="O166" i="65" s="1"/>
  <c r="U166" i="65" s="1"/>
  <c r="I133" i="65"/>
  <c r="M133" i="65" s="1"/>
  <c r="O133" i="65" s="1"/>
  <c r="M270" i="58"/>
  <c r="T69" i="58"/>
  <c r="W69" i="58" s="1"/>
  <c r="I50" i="56"/>
  <c r="D7" i="10"/>
  <c r="D26" i="10" s="1"/>
  <c r="C26" i="12" s="1"/>
  <c r="AQ90" i="5"/>
  <c r="M131" i="36"/>
  <c r="I88" i="65"/>
  <c r="M88" i="65" s="1"/>
  <c r="O88" i="65" s="1"/>
  <c r="M19" i="46"/>
  <c r="AQ3" i="5"/>
  <c r="AQ60" i="5" s="1"/>
  <c r="D46" i="10"/>
  <c r="S28" i="69"/>
  <c r="T28" i="69"/>
  <c r="P28" i="69"/>
  <c r="T57" i="69"/>
  <c r="Q92" i="69"/>
  <c r="T161" i="69"/>
  <c r="T62" i="69"/>
  <c r="P62" i="69"/>
  <c r="U28" i="69"/>
  <c r="L110" i="58"/>
  <c r="P57" i="69"/>
  <c r="M289" i="58"/>
  <c r="U197" i="65"/>
  <c r="Q197" i="65"/>
  <c r="U105" i="65"/>
  <c r="Q105" i="65"/>
  <c r="S105" i="65" s="1"/>
  <c r="M201" i="58"/>
  <c r="M287" i="58"/>
  <c r="Q195" i="65"/>
  <c r="S195" i="65" s="1"/>
  <c r="U195" i="65"/>
  <c r="P150" i="65"/>
  <c r="P51" i="65"/>
  <c r="T111" i="65"/>
  <c r="T51" i="65"/>
  <c r="P34" i="65"/>
  <c r="T40" i="65"/>
  <c r="J281" i="58"/>
  <c r="S189" i="64"/>
  <c r="Q189" i="64"/>
  <c r="U189" i="64"/>
  <c r="J246" i="58"/>
  <c r="Q154" i="64"/>
  <c r="S154" i="64" s="1"/>
  <c r="U154" i="64"/>
  <c r="S146" i="64"/>
  <c r="I152" i="64"/>
  <c r="M152" i="64" s="1"/>
  <c r="O152" i="64" s="1"/>
  <c r="I76" i="64"/>
  <c r="M76" i="64" s="1"/>
  <c r="O76" i="64" s="1"/>
  <c r="I155" i="64"/>
  <c r="M155" i="64" s="1"/>
  <c r="O155" i="64" s="1"/>
  <c r="T176" i="64"/>
  <c r="I148" i="64"/>
  <c r="M148" i="64" s="1"/>
  <c r="O148" i="64" s="1"/>
  <c r="Q146" i="64"/>
  <c r="Q187" i="64"/>
  <c r="U187" i="64"/>
  <c r="I74" i="64"/>
  <c r="M74" i="64" s="1"/>
  <c r="O74" i="64" s="1"/>
  <c r="U74" i="64" s="1"/>
  <c r="I162" i="64"/>
  <c r="M162" i="64" s="1"/>
  <c r="O162" i="64" s="1"/>
  <c r="O159" i="64" s="1"/>
  <c r="U159" i="64" s="1"/>
  <c r="G4" i="61"/>
  <c r="F6" i="3"/>
  <c r="G39" i="4" s="1"/>
  <c r="J12" i="4" s="1"/>
  <c r="BA63" i="5"/>
  <c r="AW63" i="5"/>
  <c r="BD4" i="10"/>
  <c r="BD3" i="10" s="1"/>
  <c r="BG6" i="5"/>
  <c r="BG63" i="5" s="1"/>
  <c r="C9" i="5"/>
  <c r="BE4" i="10"/>
  <c r="BE3" i="10" s="1"/>
  <c r="AW8" i="5"/>
  <c r="AW7" i="5" s="1"/>
  <c r="AW64" i="5" s="1"/>
  <c r="BF3" i="5"/>
  <c r="BF60" i="5" s="1"/>
  <c r="BF8" i="5"/>
  <c r="AQ8" i="5"/>
  <c r="AQ5" i="5" s="1"/>
  <c r="AQ62" i="5" s="1"/>
  <c r="AY8" i="5"/>
  <c r="AZ8" i="5"/>
  <c r="AZ4" i="10"/>
  <c r="AZ3" i="10" s="1"/>
  <c r="AS8" i="5"/>
  <c r="AS7" i="5" s="1"/>
  <c r="AS64" i="5" s="1"/>
  <c r="AU8" i="5"/>
  <c r="AU65" i="5" s="1"/>
  <c r="AW3" i="6" s="1"/>
  <c r="B20" i="28"/>
  <c r="D16" i="28"/>
  <c r="AQ40" i="43"/>
  <c r="AT40" i="43"/>
  <c r="AK40" i="43"/>
  <c r="AZ40" i="43"/>
  <c r="AY23" i="43"/>
  <c r="O108" i="45"/>
  <c r="P108" i="45" s="1"/>
  <c r="N108" i="45"/>
  <c r="P76" i="36"/>
  <c r="N154" i="45"/>
  <c r="AV17" i="43"/>
  <c r="AS17" i="43"/>
  <c r="N122" i="32"/>
  <c r="N119" i="32" s="1"/>
  <c r="Q122" i="32"/>
  <c r="Q126" i="32"/>
  <c r="N126" i="32"/>
  <c r="BD23" i="30" s="1"/>
  <c r="BC23" i="30"/>
  <c r="Q176" i="32"/>
  <c r="M175" i="32"/>
  <c r="N176" i="32"/>
  <c r="O60" i="40"/>
  <c r="P60" i="40" s="1"/>
  <c r="P61" i="40"/>
  <c r="O57" i="24"/>
  <c r="P58" i="24"/>
  <c r="P94" i="24"/>
  <c r="O99" i="24"/>
  <c r="P100" i="24"/>
  <c r="AX39" i="43"/>
  <c r="AO39" i="43"/>
  <c r="O100" i="33"/>
  <c r="N99" i="33"/>
  <c r="N90" i="33" s="1"/>
  <c r="O47" i="24"/>
  <c r="P47" i="24" s="1"/>
  <c r="Q48" i="24"/>
  <c r="P48" i="24"/>
  <c r="P142" i="23"/>
  <c r="O137" i="36"/>
  <c r="Q108" i="47"/>
  <c r="P108" i="47"/>
  <c r="P103" i="24"/>
  <c r="O102" i="24"/>
  <c r="Q103" i="24"/>
  <c r="N6" i="33"/>
  <c r="O8" i="33"/>
  <c r="Q58" i="24"/>
  <c r="O124" i="25"/>
  <c r="P124" i="25" s="1"/>
  <c r="Q125" i="25"/>
  <c r="P116" i="45"/>
  <c r="P113" i="46"/>
  <c r="Q113" i="46"/>
  <c r="M13" i="24"/>
  <c r="N14" i="24"/>
  <c r="P80" i="48"/>
  <c r="Q80" i="48"/>
  <c r="P42" i="24"/>
  <c r="Q42" i="24"/>
  <c r="O111" i="24"/>
  <c r="P111" i="24" s="1"/>
  <c r="P112" i="24"/>
  <c r="BB39" i="30"/>
  <c r="M56" i="37"/>
  <c r="P76" i="20"/>
  <c r="Q76" i="20"/>
  <c r="P130" i="23"/>
  <c r="AZ23" i="43"/>
  <c r="Q228" i="45"/>
  <c r="AT22" i="43"/>
  <c r="AK22" i="43"/>
  <c r="O49" i="39"/>
  <c r="P204" i="62"/>
  <c r="S204" i="62"/>
  <c r="T204" i="62"/>
  <c r="AM39" i="43"/>
  <c r="P69" i="45"/>
  <c r="AL22" i="43"/>
  <c r="BA22" i="43"/>
  <c r="P68" i="48"/>
  <c r="O66" i="48"/>
  <c r="Q180" i="45"/>
  <c r="N180" i="45"/>
  <c r="N175" i="45" s="1"/>
  <c r="BJ35" i="43" s="1"/>
  <c r="AL39" i="30"/>
  <c r="BA39" i="30"/>
  <c r="AI39" i="30"/>
  <c r="O118" i="35"/>
  <c r="N117" i="35"/>
  <c r="Q152" i="20"/>
  <c r="P152" i="20"/>
  <c r="AY39" i="43"/>
  <c r="D13" i="3"/>
  <c r="C9" i="13"/>
  <c r="B20" i="13" s="1"/>
  <c r="Q66" i="37"/>
  <c r="P66" i="37"/>
  <c r="Q118" i="24"/>
  <c r="P118" i="24"/>
  <c r="P150" i="23"/>
  <c r="O149" i="23"/>
  <c r="P149" i="23" s="1"/>
  <c r="P39" i="48"/>
  <c r="O38" i="48"/>
  <c r="Q39" i="48"/>
  <c r="N113" i="37"/>
  <c r="M111" i="37"/>
  <c r="N121" i="45"/>
  <c r="O121" i="45" s="1"/>
  <c r="M119" i="45"/>
  <c r="Q119" i="45" s="1"/>
  <c r="O145" i="45"/>
  <c r="M115" i="45"/>
  <c r="Q115" i="45" s="1"/>
  <c r="Q117" i="45"/>
  <c r="N117" i="45"/>
  <c r="O8" i="45"/>
  <c r="P8" i="45" s="1"/>
  <c r="E11" i="41"/>
  <c r="E13" i="41" s="1"/>
  <c r="E15" i="41" s="1"/>
  <c r="E16" i="41" s="1"/>
  <c r="P29" i="46"/>
  <c r="Q73" i="20"/>
  <c r="P73" i="20"/>
  <c r="Q39" i="32"/>
  <c r="N39" i="32"/>
  <c r="M119" i="32"/>
  <c r="Q119" i="32" s="1"/>
  <c r="P59" i="36"/>
  <c r="O57" i="36"/>
  <c r="P57" i="36" s="1"/>
  <c r="T66" i="62"/>
  <c r="S66" i="62"/>
  <c r="N40" i="20"/>
  <c r="M38" i="20"/>
  <c r="T173" i="63"/>
  <c r="P173" i="63"/>
  <c r="P92" i="20"/>
  <c r="O91" i="20"/>
  <c r="P91" i="20" s="1"/>
  <c r="P15" i="24"/>
  <c r="Q15" i="24"/>
  <c r="BC22" i="30"/>
  <c r="N125" i="32"/>
  <c r="N116" i="32"/>
  <c r="Q116" i="32"/>
  <c r="O7" i="25"/>
  <c r="N6" i="25"/>
  <c r="N5" i="25" s="1"/>
  <c r="N4" i="25" s="1"/>
  <c r="T114" i="65"/>
  <c r="S114" i="65"/>
  <c r="P114" i="65"/>
  <c r="Q202" i="62"/>
  <c r="S202" i="62" s="1"/>
  <c r="X202" i="63"/>
  <c r="Y202" i="63" s="1"/>
  <c r="AB202" i="63" s="1"/>
  <c r="M154" i="32"/>
  <c r="Q156" i="32"/>
  <c r="N156" i="32"/>
  <c r="N154" i="32" s="1"/>
  <c r="N150" i="32" s="1"/>
  <c r="O52" i="37"/>
  <c r="A17" i="12"/>
  <c r="A13" i="12"/>
  <c r="A21" i="12" s="1"/>
  <c r="N113" i="24"/>
  <c r="O113" i="24" s="1"/>
  <c r="P45" i="36"/>
  <c r="Q45" i="36"/>
  <c r="S40" i="66"/>
  <c r="P40" i="66"/>
  <c r="P104" i="36"/>
  <c r="O102" i="36"/>
  <c r="S17" i="67"/>
  <c r="T17" i="67"/>
  <c r="P17" i="67"/>
  <c r="P40" i="48"/>
  <c r="Q40" i="48"/>
  <c r="O76" i="48"/>
  <c r="Q168" i="66"/>
  <c r="P260" i="58"/>
  <c r="P166" i="58"/>
  <c r="Q92" i="66"/>
  <c r="S92" i="66" s="1"/>
  <c r="U176" i="67"/>
  <c r="Q176" i="67"/>
  <c r="S176" i="67" s="1"/>
  <c r="K268" i="58"/>
  <c r="P144" i="20"/>
  <c r="N130" i="27"/>
  <c r="O131" i="27"/>
  <c r="P18" i="24"/>
  <c r="Q18" i="24"/>
  <c r="O31" i="32"/>
  <c r="N194" i="32"/>
  <c r="O194" i="32" s="1"/>
  <c r="Q53" i="32"/>
  <c r="N53" i="32"/>
  <c r="O53" i="32" s="1"/>
  <c r="Q185" i="67"/>
  <c r="S189" i="67"/>
  <c r="P189" i="67"/>
  <c r="P29" i="48"/>
  <c r="Q29" i="48"/>
  <c r="P59" i="37"/>
  <c r="Q59" i="37"/>
  <c r="O128" i="32"/>
  <c r="AA4" i="5"/>
  <c r="AA61" i="5" s="1"/>
  <c r="AA60" i="5"/>
  <c r="N46" i="23"/>
  <c r="O46" i="23"/>
  <c r="P46" i="23" s="1"/>
  <c r="Q66" i="24"/>
  <c r="V35" i="30"/>
  <c r="V32" i="30"/>
  <c r="V15" i="30"/>
  <c r="V22" i="30"/>
  <c r="U40" i="30"/>
  <c r="U19" i="30"/>
  <c r="U16" i="30"/>
  <c r="U30" i="30"/>
  <c r="B9" i="28" s="1"/>
  <c r="B11" i="28" s="1"/>
  <c r="B13" i="28" s="1"/>
  <c r="B15" i="28" s="1"/>
  <c r="U21" i="30"/>
  <c r="O134" i="25"/>
  <c r="P134" i="25" s="1"/>
  <c r="P28" i="24"/>
  <c r="O38" i="24"/>
  <c r="N66" i="45"/>
  <c r="O66" i="45" s="1"/>
  <c r="P66" i="45" s="1"/>
  <c r="Q169" i="45"/>
  <c r="O193" i="45"/>
  <c r="Q156" i="45"/>
  <c r="N204" i="45"/>
  <c r="O204" i="45" s="1"/>
  <c r="BP21" i="57"/>
  <c r="Q96" i="20"/>
  <c r="N144" i="24"/>
  <c r="O144" i="24"/>
  <c r="S161" i="68"/>
  <c r="T161" i="68"/>
  <c r="P75" i="24"/>
  <c r="Q75" i="24"/>
  <c r="Q104" i="36"/>
  <c r="M108" i="32"/>
  <c r="N111" i="32"/>
  <c r="P23" i="48"/>
  <c r="Q23" i="48"/>
  <c r="N66" i="49"/>
  <c r="N56" i="49" s="1"/>
  <c r="O68" i="49"/>
  <c r="M70" i="48"/>
  <c r="M69" i="48" s="1"/>
  <c r="AW24" i="43" s="1"/>
  <c r="N77" i="48"/>
  <c r="N70" i="48" s="1"/>
  <c r="N69" i="48" s="1"/>
  <c r="AX24" i="43" s="1"/>
  <c r="O135" i="39"/>
  <c r="C55" i="10"/>
  <c r="O5" i="44"/>
  <c r="V42" i="30"/>
  <c r="V13" i="30"/>
  <c r="V25" i="30"/>
  <c r="U22" i="30"/>
  <c r="U27" i="30"/>
  <c r="U12" i="30"/>
  <c r="U20" i="30"/>
  <c r="M167" i="45"/>
  <c r="M150" i="45" s="1"/>
  <c r="O168" i="32"/>
  <c r="N230" i="32"/>
  <c r="Q230" i="32"/>
  <c r="M68" i="32"/>
  <c r="Q68" i="32" s="1"/>
  <c r="Q69" i="32"/>
  <c r="Q145" i="32"/>
  <c r="M142" i="32"/>
  <c r="T94" i="68"/>
  <c r="P94" i="68"/>
  <c r="J56" i="54"/>
  <c r="P155" i="23"/>
  <c r="U171" i="67"/>
  <c r="K263" i="58"/>
  <c r="Q171" i="67"/>
  <c r="S171" i="67" s="1"/>
  <c r="T32" i="69"/>
  <c r="P32" i="69"/>
  <c r="S32" i="69"/>
  <c r="U152" i="65"/>
  <c r="M244" i="58"/>
  <c r="Q152" i="65"/>
  <c r="S152" i="65" s="1"/>
  <c r="BS3" i="6"/>
  <c r="BT4" i="6" s="1"/>
  <c r="BT8" i="6" s="1"/>
  <c r="BT4" i="7" s="1"/>
  <c r="BP8" i="10"/>
  <c r="BP7" i="10" s="1"/>
  <c r="BP26" i="10" s="1"/>
  <c r="BO26" i="12" s="1"/>
  <c r="O153" i="27"/>
  <c r="P153" i="27" s="1"/>
  <c r="T28" i="66"/>
  <c r="S28" i="66"/>
  <c r="P28" i="66"/>
  <c r="Q61" i="25"/>
  <c r="P61" i="25"/>
  <c r="O60" i="25"/>
  <c r="O38" i="32"/>
  <c r="S62" i="66"/>
  <c r="P62" i="66"/>
  <c r="U19" i="67"/>
  <c r="K105" i="58"/>
  <c r="U117" i="67"/>
  <c r="Q117" i="67"/>
  <c r="K213" i="58"/>
  <c r="U143" i="67"/>
  <c r="Q143" i="67"/>
  <c r="K235" i="58"/>
  <c r="O128" i="67"/>
  <c r="U28" i="67"/>
  <c r="Q28" i="67"/>
  <c r="K110" i="58"/>
  <c r="U83" i="67"/>
  <c r="Q83" i="67"/>
  <c r="K159" i="58"/>
  <c r="Y60" i="5"/>
  <c r="Y4" i="5"/>
  <c r="Y61" i="5" s="1"/>
  <c r="N106" i="58"/>
  <c r="U28" i="63"/>
  <c r="Q28" i="63"/>
  <c r="S28" i="63" s="1"/>
  <c r="N227" i="58"/>
  <c r="Q141" i="63"/>
  <c r="S141" i="63" s="1"/>
  <c r="U141" i="63"/>
  <c r="U195" i="67"/>
  <c r="K287" i="58"/>
  <c r="Q195" i="67"/>
  <c r="S195" i="67" s="1"/>
  <c r="O13" i="39"/>
  <c r="P13" i="39" s="1"/>
  <c r="N19" i="35"/>
  <c r="AO28" i="30" s="1"/>
  <c r="Y28" i="63"/>
  <c r="AB28" i="63" s="1"/>
  <c r="K134" i="58"/>
  <c r="Q54" i="67"/>
  <c r="M59" i="24"/>
  <c r="Q55" i="68"/>
  <c r="P55" i="68" s="1"/>
  <c r="O135" i="58"/>
  <c r="Q156" i="68"/>
  <c r="U156" i="68"/>
  <c r="O248" i="58"/>
  <c r="U189" i="65"/>
  <c r="M281" i="58"/>
  <c r="P289" i="58"/>
  <c r="Q197" i="66"/>
  <c r="N55" i="38"/>
  <c r="O55" i="38" s="1"/>
  <c r="P55" i="38" s="1"/>
  <c r="M47" i="38"/>
  <c r="N44" i="32"/>
  <c r="O44" i="32" s="1"/>
  <c r="Q44" i="32"/>
  <c r="M99" i="51"/>
  <c r="N100" i="51"/>
  <c r="O100" i="51" s="1"/>
  <c r="P100" i="51" s="1"/>
  <c r="N78" i="47"/>
  <c r="N104" i="40"/>
  <c r="N102" i="40" s="1"/>
  <c r="O104" i="40"/>
  <c r="M102" i="40"/>
  <c r="M90" i="40" s="1"/>
  <c r="N64" i="40"/>
  <c r="N63" i="40" s="1"/>
  <c r="N56" i="40" s="1"/>
  <c r="M63" i="40"/>
  <c r="M56" i="40" s="1"/>
  <c r="M36" i="40" s="1"/>
  <c r="N79" i="40"/>
  <c r="O79" i="40"/>
  <c r="P79" i="40" s="1"/>
  <c r="M63" i="39"/>
  <c r="N65" i="39"/>
  <c r="N63" i="39" s="1"/>
  <c r="O65" i="39"/>
  <c r="N92" i="36"/>
  <c r="N91" i="36" s="1"/>
  <c r="M91" i="36"/>
  <c r="M90" i="36" s="1"/>
  <c r="M89" i="36" s="1"/>
  <c r="O92" i="36"/>
  <c r="N59" i="39"/>
  <c r="N57" i="39" s="1"/>
  <c r="M57" i="39"/>
  <c r="M75" i="35"/>
  <c r="N50" i="35"/>
  <c r="M47" i="35"/>
  <c r="M37" i="35" s="1"/>
  <c r="M50" i="33"/>
  <c r="M75" i="33"/>
  <c r="N103" i="34"/>
  <c r="N102" i="34" s="1"/>
  <c r="M55" i="33"/>
  <c r="N55" i="33" s="1"/>
  <c r="O55" i="33" s="1"/>
  <c r="P55" i="33" s="1"/>
  <c r="P34" i="33"/>
  <c r="Q34" i="33"/>
  <c r="M138" i="33"/>
  <c r="N138" i="33" s="1"/>
  <c r="O138" i="33" s="1"/>
  <c r="P138" i="33" s="1"/>
  <c r="N57" i="32"/>
  <c r="O57" i="32" s="1"/>
  <c r="Q57" i="32"/>
  <c r="O114" i="40"/>
  <c r="Q14" i="28"/>
  <c r="N64" i="51"/>
  <c r="M63" i="51"/>
  <c r="M56" i="51" s="1"/>
  <c r="M36" i="51" s="1"/>
  <c r="A4" i="10"/>
  <c r="A8" i="10" s="1"/>
  <c r="A4" i="12"/>
  <c r="A8" i="12" s="1"/>
  <c r="AT71" i="5"/>
  <c r="AT8" i="5"/>
  <c r="AT65" i="5" s="1"/>
  <c r="AV3" i="6" s="1"/>
  <c r="BA71" i="5"/>
  <c r="BA8" i="5"/>
  <c r="BA7" i="5" s="1"/>
  <c r="BA64" i="5" s="1"/>
  <c r="BP8" i="5"/>
  <c r="BP71" i="5"/>
  <c r="N74" i="5"/>
  <c r="N8" i="5"/>
  <c r="U74" i="5"/>
  <c r="U8" i="5"/>
  <c r="AB77" i="5"/>
  <c r="AB8" i="5"/>
  <c r="BL77" i="5"/>
  <c r="BL8" i="5"/>
  <c r="T80" i="5"/>
  <c r="T8" i="5"/>
  <c r="AG83" i="5"/>
  <c r="C26" i="5"/>
  <c r="C83" i="5" s="1"/>
  <c r="G37" i="3" s="1"/>
  <c r="G40" i="3" s="1"/>
  <c r="R86" i="5"/>
  <c r="C29" i="5"/>
  <c r="C86" i="5" s="1"/>
  <c r="H37" i="3" s="1"/>
  <c r="H40" i="3" s="1"/>
  <c r="I41" i="4" s="1"/>
  <c r="I40" i="4" s="1"/>
  <c r="R8" i="5"/>
  <c r="AB102" i="5"/>
  <c r="AB46" i="5"/>
  <c r="AB103" i="5" s="1"/>
  <c r="AB3" i="5"/>
  <c r="AJ102" i="5"/>
  <c r="AJ46" i="5"/>
  <c r="AJ103" i="5" s="1"/>
  <c r="AR102" i="5"/>
  <c r="AR46" i="5"/>
  <c r="AR103" i="5" s="1"/>
  <c r="AY102" i="5"/>
  <c r="AY46" i="5"/>
  <c r="AY103" i="5" s="1"/>
  <c r="BE3" i="5"/>
  <c r="BE60" i="5" s="1"/>
  <c r="BE46" i="5"/>
  <c r="BE103" i="5" s="1"/>
  <c r="BE102" i="5"/>
  <c r="U109" i="67"/>
  <c r="K205" i="58"/>
  <c r="Q109" i="67"/>
  <c r="S109" i="67"/>
  <c r="Q119" i="67"/>
  <c r="U119" i="67"/>
  <c r="K215" i="58"/>
  <c r="N114" i="23"/>
  <c r="O114" i="23" s="1"/>
  <c r="P114" i="23" s="1"/>
  <c r="P60" i="65"/>
  <c r="T60" i="65"/>
  <c r="O220" i="32"/>
  <c r="N128" i="23"/>
  <c r="O128" i="23" s="1"/>
  <c r="P138" i="48"/>
  <c r="Q138" i="48"/>
  <c r="Q33" i="24"/>
  <c r="P33" i="24"/>
  <c r="Q156" i="35"/>
  <c r="P156" i="35"/>
  <c r="Q96" i="48"/>
  <c r="P96" i="48"/>
  <c r="P96" i="46"/>
  <c r="Q96" i="46"/>
  <c r="BL4" i="6"/>
  <c r="BL8" i="6" s="1"/>
  <c r="BL4" i="7" s="1"/>
  <c r="O108" i="24"/>
  <c r="M117" i="47"/>
  <c r="M5" i="40"/>
  <c r="U37" i="69"/>
  <c r="Q37" i="69"/>
  <c r="U57" i="67"/>
  <c r="Q57" i="67"/>
  <c r="S57" i="67" s="1"/>
  <c r="K137" i="58"/>
  <c r="U96" i="67"/>
  <c r="Q96" i="67"/>
  <c r="Q135" i="67"/>
  <c r="S135" i="67" s="1"/>
  <c r="U43" i="63"/>
  <c r="N119" i="58"/>
  <c r="Q43" i="63"/>
  <c r="S43" i="63"/>
  <c r="N156" i="20"/>
  <c r="O156" i="20"/>
  <c r="U35" i="63"/>
  <c r="Q35" i="63"/>
  <c r="N231" i="58"/>
  <c r="U145" i="63"/>
  <c r="Q145" i="63"/>
  <c r="Q147" i="63"/>
  <c r="U147" i="63"/>
  <c r="N233" i="58"/>
  <c r="M293" i="58"/>
  <c r="U201" i="65"/>
  <c r="Q201" i="65"/>
  <c r="Q103" i="67"/>
  <c r="U103" i="67"/>
  <c r="M207" i="32"/>
  <c r="O93" i="49"/>
  <c r="P105" i="37"/>
  <c r="BM4" i="6"/>
  <c r="BM8" i="6" s="1"/>
  <c r="BM4" i="7" s="1"/>
  <c r="Q52" i="47"/>
  <c r="M36" i="49"/>
  <c r="AZ20" i="43" s="1"/>
  <c r="T113" i="62"/>
  <c r="P113" i="62"/>
  <c r="Q27" i="63"/>
  <c r="U27" i="63"/>
  <c r="N173" i="58"/>
  <c r="Q105" i="63"/>
  <c r="O214" i="32"/>
  <c r="O112" i="34"/>
  <c r="N111" i="34"/>
  <c r="Q30" i="67"/>
  <c r="S30" i="67" s="1"/>
  <c r="K112" i="58"/>
  <c r="U30" i="67"/>
  <c r="N25" i="54"/>
  <c r="P25" i="54"/>
  <c r="N56" i="54"/>
  <c r="P56" i="54"/>
  <c r="N133" i="51"/>
  <c r="O133" i="51" s="1"/>
  <c r="P80" i="65"/>
  <c r="S80" i="65"/>
  <c r="S77" i="65" s="1"/>
  <c r="M266" i="58"/>
  <c r="Q174" i="65"/>
  <c r="N265" i="58"/>
  <c r="U179" i="63"/>
  <c r="E108" i="54"/>
  <c r="E110" i="54" s="1"/>
  <c r="L110" i="54" s="1"/>
  <c r="L3" i="54"/>
  <c r="O161" i="35"/>
  <c r="P162" i="35"/>
  <c r="Q162" i="35"/>
  <c r="Q55" i="36"/>
  <c r="P55" i="36"/>
  <c r="S144" i="67"/>
  <c r="N164" i="45"/>
  <c r="N150" i="45" s="1"/>
  <c r="BJ33" i="43" s="1"/>
  <c r="O165" i="45"/>
  <c r="P78" i="65"/>
  <c r="T78" i="65"/>
  <c r="U40" i="67"/>
  <c r="K122" i="58"/>
  <c r="U92" i="67"/>
  <c r="Q92" i="67"/>
  <c r="U182" i="67"/>
  <c r="K274" i="58"/>
  <c r="Q182" i="67"/>
  <c r="S182" i="67" s="1"/>
  <c r="P86" i="62"/>
  <c r="T86" i="62"/>
  <c r="U78" i="64"/>
  <c r="O77" i="64"/>
  <c r="U77" i="64" s="1"/>
  <c r="J154" i="58"/>
  <c r="J153" i="58" s="1"/>
  <c r="Q139" i="67"/>
  <c r="K231" i="58"/>
  <c r="O108" i="23"/>
  <c r="P108" i="23" s="1"/>
  <c r="P24" i="48"/>
  <c r="Q24" i="48"/>
  <c r="N234" i="58"/>
  <c r="U148" i="63"/>
  <c r="Q148" i="63"/>
  <c r="S148" i="63" s="1"/>
  <c r="U40" i="65"/>
  <c r="M122" i="58"/>
  <c r="S139" i="63"/>
  <c r="S138" i="63" s="1"/>
  <c r="P139" i="63"/>
  <c r="Q138" i="63"/>
  <c r="T138" i="63" s="1"/>
  <c r="T139" i="63"/>
  <c r="X105" i="63"/>
  <c r="Y105" i="63" s="1"/>
  <c r="AB105" i="63" s="1"/>
  <c r="Q105" i="62"/>
  <c r="Q85" i="67"/>
  <c r="U85" i="67"/>
  <c r="O84" i="67"/>
  <c r="S78" i="69"/>
  <c r="P78" i="69"/>
  <c r="T78" i="69"/>
  <c r="N101" i="32"/>
  <c r="Q101" i="32"/>
  <c r="N115" i="33"/>
  <c r="O115" i="33" s="1"/>
  <c r="K92" i="57"/>
  <c r="K115" i="58"/>
  <c r="P31" i="64"/>
  <c r="O101" i="62"/>
  <c r="X101" i="63" s="1"/>
  <c r="O62" i="39"/>
  <c r="O52" i="40"/>
  <c r="O53" i="39"/>
  <c r="P53" i="39" s="1"/>
  <c r="Q208" i="32"/>
  <c r="O106" i="23"/>
  <c r="N30" i="35"/>
  <c r="O30" i="35" s="1"/>
  <c r="M27" i="35"/>
  <c r="O37" i="25"/>
  <c r="P38" i="25"/>
  <c r="Q67" i="47"/>
  <c r="P67" i="47"/>
  <c r="Y179" i="63"/>
  <c r="AB179" i="63" s="1"/>
  <c r="S74" i="66"/>
  <c r="O122" i="23"/>
  <c r="N104" i="48"/>
  <c r="N102" i="48" s="1"/>
  <c r="N135" i="40"/>
  <c r="N134" i="40" s="1"/>
  <c r="P64" i="47"/>
  <c r="Q64" i="47"/>
  <c r="P162" i="36"/>
  <c r="Q108" i="48"/>
  <c r="P108" i="48"/>
  <c r="O64" i="36"/>
  <c r="N12" i="38"/>
  <c r="O12" i="38"/>
  <c r="M10" i="38"/>
  <c r="M63" i="36"/>
  <c r="M56" i="36" s="1"/>
  <c r="N65" i="36"/>
  <c r="O65" i="36" s="1"/>
  <c r="P53" i="20"/>
  <c r="Q53" i="20"/>
  <c r="N30" i="24"/>
  <c r="O30" i="24" s="1"/>
  <c r="N52" i="33"/>
  <c r="O52" i="33" s="1"/>
  <c r="M104" i="46"/>
  <c r="N64" i="46"/>
  <c r="N63" i="46" s="1"/>
  <c r="M63" i="46"/>
  <c r="M56" i="46" s="1"/>
  <c r="N93" i="40"/>
  <c r="N91" i="40" s="1"/>
  <c r="O93" i="40"/>
  <c r="P29" i="36"/>
  <c r="Q29" i="36"/>
  <c r="N67" i="33"/>
  <c r="N66" i="33" s="1"/>
  <c r="N56" i="33" s="1"/>
  <c r="M66" i="33"/>
  <c r="M56" i="33" s="1"/>
  <c r="N53" i="33"/>
  <c r="O53" i="33"/>
  <c r="W102" i="5"/>
  <c r="V50" i="10"/>
  <c r="W3" i="5"/>
  <c r="H239" i="58"/>
  <c r="Q153" i="62"/>
  <c r="N147" i="58"/>
  <c r="Q75" i="63"/>
  <c r="S75" i="63"/>
  <c r="Q124" i="65"/>
  <c r="U124" i="65"/>
  <c r="I107" i="68"/>
  <c r="M107" i="68" s="1"/>
  <c r="O107" i="68" s="1"/>
  <c r="O101" i="68" s="1"/>
  <c r="I108" i="68"/>
  <c r="M108" i="68" s="1"/>
  <c r="O108" i="68" s="1"/>
  <c r="O133" i="40"/>
  <c r="P133" i="40" s="1"/>
  <c r="O153" i="67"/>
  <c r="U153" i="67" s="1"/>
  <c r="O59" i="25"/>
  <c r="K236" i="58"/>
  <c r="O123" i="40"/>
  <c r="P123" i="40" s="1"/>
  <c r="A5" i="10"/>
  <c r="A9" i="10" s="1"/>
  <c r="N96" i="49"/>
  <c r="O96" i="49" s="1"/>
  <c r="P96" i="49" s="1"/>
  <c r="N77" i="54"/>
  <c r="P77" i="54"/>
  <c r="P48" i="20"/>
  <c r="Q48" i="20"/>
  <c r="H123" i="58"/>
  <c r="O137" i="40"/>
  <c r="P137" i="40" s="1"/>
  <c r="O131" i="20"/>
  <c r="O193" i="65"/>
  <c r="U193" i="65" s="1"/>
  <c r="O143" i="24"/>
  <c r="O136" i="39"/>
  <c r="P136" i="39" s="1"/>
  <c r="N96" i="51"/>
  <c r="N94" i="51" s="1"/>
  <c r="M161" i="34"/>
  <c r="AK29" i="30" s="1"/>
  <c r="N162" i="34"/>
  <c r="M22" i="24"/>
  <c r="N23" i="24"/>
  <c r="N22" i="24" s="1"/>
  <c r="N107" i="37"/>
  <c r="O107" i="37" s="1"/>
  <c r="O84" i="66"/>
  <c r="P160" i="58" s="1"/>
  <c r="O121" i="34"/>
  <c r="P121" i="34" s="1"/>
  <c r="P101" i="37"/>
  <c r="Q101" i="37"/>
  <c r="Q55" i="25"/>
  <c r="P55" i="25"/>
  <c r="T75" i="62"/>
  <c r="N109" i="40"/>
  <c r="O109" i="40" s="1"/>
  <c r="P109" i="40" s="1"/>
  <c r="N78" i="39"/>
  <c r="O78" i="39"/>
  <c r="P78" i="39" s="1"/>
  <c r="Q162" i="36"/>
  <c r="N45" i="37"/>
  <c r="N44" i="37" s="1"/>
  <c r="M44" i="37"/>
  <c r="I97" i="58"/>
  <c r="N124" i="35"/>
  <c r="M38" i="50"/>
  <c r="N39" i="50"/>
  <c r="N38" i="50" s="1"/>
  <c r="Q48" i="36"/>
  <c r="Q54" i="37"/>
  <c r="P54" i="37"/>
  <c r="N35" i="33"/>
  <c r="O35" i="33" s="1"/>
  <c r="N73" i="37"/>
  <c r="Q26" i="32"/>
  <c r="N26" i="32"/>
  <c r="O26" i="32" s="1"/>
  <c r="N29" i="49"/>
  <c r="N27" i="49" s="1"/>
  <c r="O8" i="47"/>
  <c r="P52" i="46"/>
  <c r="Q52" i="46"/>
  <c r="Q162" i="25"/>
  <c r="O161" i="25"/>
  <c r="P161" i="25" s="1"/>
  <c r="P162" i="25"/>
  <c r="P23" i="35"/>
  <c r="Q23" i="35"/>
  <c r="N116" i="49"/>
  <c r="N111" i="49" s="1"/>
  <c r="O116" i="49"/>
  <c r="P116" i="49" s="1"/>
  <c r="N115" i="46"/>
  <c r="N111" i="46" s="1"/>
  <c r="O128" i="33"/>
  <c r="Q155" i="48"/>
  <c r="W29" i="43"/>
  <c r="W36" i="43"/>
  <c r="W31" i="43"/>
  <c r="W15" i="43"/>
  <c r="P216" i="45"/>
  <c r="P82" i="45"/>
  <c r="P136" i="45"/>
  <c r="P118" i="45"/>
  <c r="P222" i="45"/>
  <c r="P84" i="45"/>
  <c r="P172" i="45"/>
  <c r="P184" i="45"/>
  <c r="P211" i="45"/>
  <c r="P213" i="45"/>
  <c r="P83" i="45"/>
  <c r="P132" i="45"/>
  <c r="P79" i="45"/>
  <c r="P139" i="45"/>
  <c r="P129" i="45"/>
  <c r="P134" i="45"/>
  <c r="P225" i="45"/>
  <c r="P209" i="45"/>
  <c r="I206" i="45"/>
  <c r="M206" i="45" s="1"/>
  <c r="P74" i="45"/>
  <c r="P70" i="45"/>
  <c r="P20" i="45"/>
  <c r="P137" i="45"/>
  <c r="P81" i="45"/>
  <c r="P47" i="45"/>
  <c r="P85" i="45"/>
  <c r="Q104" i="47"/>
  <c r="P104" i="47"/>
  <c r="Q34" i="20"/>
  <c r="P34" i="20"/>
  <c r="P114" i="36"/>
  <c r="Q114" i="36"/>
  <c r="N31" i="47"/>
  <c r="O31" i="47"/>
  <c r="P16" i="46"/>
  <c r="Q16" i="46"/>
  <c r="N38" i="54"/>
  <c r="P38" i="54"/>
  <c r="N42" i="51"/>
  <c r="N41" i="51" s="1"/>
  <c r="N153" i="48"/>
  <c r="N150" i="48" s="1"/>
  <c r="N149" i="48" s="1"/>
  <c r="AX28" i="43" s="1"/>
  <c r="M150" i="48"/>
  <c r="M149" i="48" s="1"/>
  <c r="AW28" i="43" s="1"/>
  <c r="N130" i="46"/>
  <c r="O43" i="23"/>
  <c r="P60" i="20"/>
  <c r="Q77" i="47"/>
  <c r="P78" i="37"/>
  <c r="P11" i="34"/>
  <c r="Q68" i="25"/>
  <c r="P127" i="33"/>
  <c r="P35" i="20"/>
  <c r="P79" i="33"/>
  <c r="Q79" i="33"/>
  <c r="N33" i="38"/>
  <c r="O33" i="38" s="1"/>
  <c r="P33" i="38" s="1"/>
  <c r="R5" i="31"/>
  <c r="R6" i="31" s="1"/>
  <c r="I6" i="31"/>
  <c r="M6" i="31" s="1"/>
  <c r="N73" i="33"/>
  <c r="O73" i="33" s="1"/>
  <c r="O116" i="34"/>
  <c r="P116" i="34" s="1"/>
  <c r="N101" i="25"/>
  <c r="O101" i="25" s="1"/>
  <c r="L8" i="7"/>
  <c r="J17" i="7" s="1"/>
  <c r="Q114" i="46"/>
  <c r="N27" i="27"/>
  <c r="Q81" i="36"/>
  <c r="P81" i="36"/>
  <c r="O74" i="36"/>
  <c r="M27" i="25"/>
  <c r="N28" i="25"/>
  <c r="N27" i="25" s="1"/>
  <c r="M150" i="24"/>
  <c r="M149" i="24" s="1"/>
  <c r="N151" i="24"/>
  <c r="B58" i="10"/>
  <c r="N92" i="24"/>
  <c r="M91" i="24"/>
  <c r="M90" i="24" s="1"/>
  <c r="M89" i="24" s="1"/>
  <c r="M88" i="24" s="1"/>
  <c r="N171" i="24" s="1"/>
  <c r="N172" i="24" s="1"/>
  <c r="N121" i="46"/>
  <c r="M119" i="46"/>
  <c r="M117" i="46" s="1"/>
  <c r="N92" i="51"/>
  <c r="M91" i="51"/>
  <c r="M90" i="51" s="1"/>
  <c r="N63" i="37"/>
  <c r="N56" i="37" s="1"/>
  <c r="N34" i="25"/>
  <c r="O34" i="25"/>
  <c r="P71" i="35"/>
  <c r="Q71" i="35"/>
  <c r="O17" i="25"/>
  <c r="O93" i="48"/>
  <c r="N78" i="46"/>
  <c r="N70" i="46" s="1"/>
  <c r="N69" i="46" s="1"/>
  <c r="AR24" i="43" s="1"/>
  <c r="Y32" i="30"/>
  <c r="Y23" i="30"/>
  <c r="O98" i="37"/>
  <c r="O101" i="49"/>
  <c r="N103" i="35"/>
  <c r="M102" i="35"/>
  <c r="M90" i="35" s="1"/>
  <c r="M89" i="35" s="1"/>
  <c r="N54" i="40"/>
  <c r="N47" i="40" s="1"/>
  <c r="O54" i="40"/>
  <c r="P54" i="40" s="1"/>
  <c r="I8" i="7"/>
  <c r="U8" i="7"/>
  <c r="S8" i="7"/>
  <c r="T8" i="7"/>
  <c r="Y8" i="7"/>
  <c r="N46" i="54"/>
  <c r="BN4" i="5"/>
  <c r="BN61" i="5" s="1"/>
  <c r="O63" i="33"/>
  <c r="P114" i="37"/>
  <c r="P74" i="25"/>
  <c r="O153" i="47"/>
  <c r="N153" i="47"/>
  <c r="N150" i="47" s="1"/>
  <c r="N149" i="47" s="1"/>
  <c r="AU28" i="43" s="1"/>
  <c r="N28" i="38"/>
  <c r="O28" i="38"/>
  <c r="N112" i="48"/>
  <c r="N111" i="48" s="1"/>
  <c r="O112" i="48"/>
  <c r="I48" i="32"/>
  <c r="M48" i="32" s="1"/>
  <c r="I64" i="32"/>
  <c r="M64" i="32" s="1"/>
  <c r="O31" i="48"/>
  <c r="M27" i="36"/>
  <c r="N28" i="36"/>
  <c r="N43" i="49"/>
  <c r="N41" i="49" s="1"/>
  <c r="I101" i="45"/>
  <c r="M101" i="45" s="1"/>
  <c r="I98" i="45"/>
  <c r="M98" i="45" s="1"/>
  <c r="M119" i="25"/>
  <c r="N120" i="25"/>
  <c r="N119" i="25" s="1"/>
  <c r="N101" i="36"/>
  <c r="N154" i="36"/>
  <c r="O53" i="36"/>
  <c r="O125" i="48"/>
  <c r="N29" i="39"/>
  <c r="O29" i="39" s="1"/>
  <c r="P29" i="39" s="1"/>
  <c r="P45" i="45"/>
  <c r="Q81" i="35"/>
  <c r="P81" i="35"/>
  <c r="N11" i="35"/>
  <c r="M10" i="35"/>
  <c r="M9" i="35" s="1"/>
  <c r="M5" i="35" s="1"/>
  <c r="N35" i="37"/>
  <c r="O35" i="37" s="1"/>
  <c r="M41" i="25"/>
  <c r="N42" i="25"/>
  <c r="P39" i="25"/>
  <c r="Q39" i="25"/>
  <c r="O162" i="27"/>
  <c r="N137" i="48"/>
  <c r="O137" i="48" s="1"/>
  <c r="Q133" i="47"/>
  <c r="P133" i="47"/>
  <c r="N16" i="20"/>
  <c r="O16" i="20" s="1"/>
  <c r="O128" i="36"/>
  <c r="O72" i="48"/>
  <c r="O63" i="27"/>
  <c r="P63" i="27" s="1"/>
  <c r="P64" i="27"/>
  <c r="P141" i="45"/>
  <c r="P128" i="20"/>
  <c r="Q128" i="20"/>
  <c r="N66" i="51"/>
  <c r="N31" i="51"/>
  <c r="O31" i="51" s="1"/>
  <c r="P31" i="51" s="1"/>
  <c r="N20" i="51"/>
  <c r="O20" i="51" s="1"/>
  <c r="M19" i="51"/>
  <c r="N71" i="51"/>
  <c r="O71" i="51" s="1"/>
  <c r="P71" i="51" s="1"/>
  <c r="O104" i="51"/>
  <c r="N109" i="34"/>
  <c r="O109" i="34" s="1"/>
  <c r="P109" i="34" s="1"/>
  <c r="O225" i="32"/>
  <c r="N224" i="32"/>
  <c r="N207" i="32" s="1"/>
  <c r="BD38" i="30" s="1"/>
  <c r="Q103" i="32"/>
  <c r="BC17" i="30"/>
  <c r="N81" i="25"/>
  <c r="O81" i="25" s="1"/>
  <c r="N8" i="23"/>
  <c r="O8" i="23" s="1"/>
  <c r="P8" i="23" s="1"/>
  <c r="N25" i="27"/>
  <c r="O25" i="27" s="1"/>
  <c r="P25" i="27" s="1"/>
  <c r="O67" i="51"/>
  <c r="P67" i="51" s="1"/>
  <c r="N16" i="34"/>
  <c r="O16" i="34" s="1"/>
  <c r="P16" i="34" s="1"/>
  <c r="O23" i="32"/>
  <c r="O97" i="36"/>
  <c r="AC3" i="5"/>
  <c r="AC63" i="5"/>
  <c r="BN63" i="5"/>
  <c r="BN7" i="5"/>
  <c r="BN64" i="5" s="1"/>
  <c r="P5" i="54"/>
  <c r="N5" i="54"/>
  <c r="N78" i="51"/>
  <c r="O78" i="51" s="1"/>
  <c r="P78" i="51" s="1"/>
  <c r="N21" i="49"/>
  <c r="N19" i="49" s="1"/>
  <c r="O21" i="49"/>
  <c r="BI8" i="43"/>
  <c r="BJ8" i="43"/>
  <c r="O101" i="23"/>
  <c r="P101" i="23" s="1"/>
  <c r="O23" i="27"/>
  <c r="O156" i="36"/>
  <c r="P223" i="45"/>
  <c r="N54" i="39"/>
  <c r="O54" i="39" s="1"/>
  <c r="P54" i="39" s="1"/>
  <c r="N110" i="23"/>
  <c r="O110" i="23" s="1"/>
  <c r="P110" i="23" s="1"/>
  <c r="N32" i="36"/>
  <c r="O32" i="36" s="1"/>
  <c r="P32" i="36" s="1"/>
  <c r="N11" i="46"/>
  <c r="N10" i="46" s="1"/>
  <c r="N152" i="35"/>
  <c r="N150" i="35" s="1"/>
  <c r="N149" i="35" s="1"/>
  <c r="N12" i="34"/>
  <c r="N10" i="34" s="1"/>
  <c r="X34" i="5"/>
  <c r="X91" i="5" s="1"/>
  <c r="X90" i="5"/>
  <c r="BA34" i="5"/>
  <c r="BA91" i="5" s="1"/>
  <c r="BA90" i="5"/>
  <c r="H57" i="10"/>
  <c r="N122" i="40"/>
  <c r="N117" i="40" s="1"/>
  <c r="T22" i="43"/>
  <c r="T29" i="43"/>
  <c r="T38" i="43"/>
  <c r="T40" i="43"/>
  <c r="T18" i="43"/>
  <c r="T20" i="43"/>
  <c r="T33" i="43"/>
  <c r="T28" i="43"/>
  <c r="T37" i="43"/>
  <c r="T12" i="43"/>
  <c r="T17" i="43"/>
  <c r="T24" i="43"/>
  <c r="T32" i="43"/>
  <c r="T41" i="43"/>
  <c r="T15" i="43"/>
  <c r="T9" i="43"/>
  <c r="T31" i="43"/>
  <c r="BA7" i="43"/>
  <c r="T10" i="43"/>
  <c r="T14" i="43"/>
  <c r="T36" i="43"/>
  <c r="T16" i="43"/>
  <c r="T13" i="43"/>
  <c r="I23" i="45"/>
  <c r="M23" i="45" s="1"/>
  <c r="I22" i="45"/>
  <c r="M22" i="45" s="1"/>
  <c r="AO6" i="43"/>
  <c r="AN6" i="43"/>
  <c r="M208" i="45"/>
  <c r="Q208" i="45" s="1"/>
  <c r="Q212" i="45"/>
  <c r="N212" i="45"/>
  <c r="I53" i="68"/>
  <c r="M53" i="68" s="1"/>
  <c r="O53" i="68" s="1"/>
  <c r="I165" i="68"/>
  <c r="M165" i="68" s="1"/>
  <c r="O165" i="68" s="1"/>
  <c r="O72" i="46"/>
  <c r="O33" i="35"/>
  <c r="F11" i="28"/>
  <c r="F13" i="28" s="1"/>
  <c r="F15" i="28" s="1"/>
  <c r="N109" i="27"/>
  <c r="O109" i="27" s="1"/>
  <c r="P109" i="27" s="1"/>
  <c r="Q18" i="30"/>
  <c r="Q25" i="30"/>
  <c r="C87" i="5"/>
  <c r="C31" i="5"/>
  <c r="C88" i="5" s="1"/>
  <c r="I3" i="3"/>
  <c r="I6" i="3" s="1"/>
  <c r="I56" i="10"/>
  <c r="P56" i="10"/>
  <c r="O33" i="25"/>
  <c r="O18" i="36"/>
  <c r="O55" i="35"/>
  <c r="M66" i="50"/>
  <c r="O109" i="47"/>
  <c r="O51" i="37"/>
  <c r="N75" i="40"/>
  <c r="O75" i="40" s="1"/>
  <c r="P75" i="40" s="1"/>
  <c r="BK3" i="5"/>
  <c r="M150" i="35"/>
  <c r="M149" i="35" s="1"/>
  <c r="AN28" i="30" s="1"/>
  <c r="N6" i="23"/>
  <c r="N5" i="23" s="1"/>
  <c r="N4" i="23" s="1"/>
  <c r="O109" i="33"/>
  <c r="Q54" i="36"/>
  <c r="N74" i="23"/>
  <c r="O74" i="23" s="1"/>
  <c r="M6" i="48"/>
  <c r="M5" i="48" s="1"/>
  <c r="AW19" i="43" s="1"/>
  <c r="N7" i="48"/>
  <c r="N106" i="20"/>
  <c r="O106" i="20" s="1"/>
  <c r="O97" i="35"/>
  <c r="H6" i="3"/>
  <c r="V56" i="10"/>
  <c r="N154" i="25"/>
  <c r="O154" i="25" s="1"/>
  <c r="Q131" i="45"/>
  <c r="N131" i="45"/>
  <c r="BO4" i="10"/>
  <c r="BO3" i="10" s="1"/>
  <c r="O76" i="49"/>
  <c r="P76" i="49" s="1"/>
  <c r="O43" i="36"/>
  <c r="M120" i="34"/>
  <c r="M11" i="23"/>
  <c r="I46" i="10"/>
  <c r="AL34" i="5"/>
  <c r="AL91" i="5" s="1"/>
  <c r="AL90" i="5"/>
  <c r="I53" i="25"/>
  <c r="I100" i="25"/>
  <c r="M100" i="25" s="1"/>
  <c r="I50" i="25"/>
  <c r="I71" i="25"/>
  <c r="I78" i="66"/>
  <c r="M78" i="66" s="1"/>
  <c r="O78" i="66" s="1"/>
  <c r="I174" i="66"/>
  <c r="M174" i="66" s="1"/>
  <c r="O174" i="66" s="1"/>
  <c r="Q174" i="66" s="1"/>
  <c r="P174" i="66" s="1"/>
  <c r="K113" i="58"/>
  <c r="Q31" i="67"/>
  <c r="A18" i="14"/>
  <c r="A9" i="5" s="1"/>
  <c r="K2" i="14"/>
  <c r="Q177" i="61"/>
  <c r="U177" i="61"/>
  <c r="W177" i="61" s="1"/>
  <c r="V177" i="61" s="1"/>
  <c r="P187" i="45"/>
  <c r="N75" i="34"/>
  <c r="O75" i="34" s="1"/>
  <c r="P75" i="34" s="1"/>
  <c r="O98" i="48"/>
  <c r="M68" i="35"/>
  <c r="M66" i="35" s="1"/>
  <c r="M56" i="35" s="1"/>
  <c r="M53" i="23"/>
  <c r="N53" i="23" s="1"/>
  <c r="O53" i="23" s="1"/>
  <c r="P53" i="23" s="1"/>
  <c r="N43" i="25"/>
  <c r="O43" i="25" s="1"/>
  <c r="M151" i="39"/>
  <c r="M23" i="34"/>
  <c r="M7" i="27"/>
  <c r="M96" i="39"/>
  <c r="AH34" i="5"/>
  <c r="AH91" i="5" s="1"/>
  <c r="M58" i="10"/>
  <c r="M73" i="39"/>
  <c r="M115" i="39"/>
  <c r="M111" i="39" s="1"/>
  <c r="O136" i="34"/>
  <c r="P136" i="34" s="1"/>
  <c r="M131" i="34"/>
  <c r="O97" i="23"/>
  <c r="P97" i="23" s="1"/>
  <c r="M49" i="27"/>
  <c r="Q63" i="5"/>
  <c r="M46" i="10"/>
  <c r="O16" i="47"/>
  <c r="AX46" i="5"/>
  <c r="AX103" i="5" s="1"/>
  <c r="M57" i="10"/>
  <c r="N110" i="46"/>
  <c r="O110" i="46" s="1"/>
  <c r="X130" i="63"/>
  <c r="Y130" i="63" s="1"/>
  <c r="AB130" i="63" s="1"/>
  <c r="Q130" i="62"/>
  <c r="S130" i="62" s="1"/>
  <c r="I50" i="67"/>
  <c r="M50" i="67" s="1"/>
  <c r="O50" i="67" s="1"/>
  <c r="I70" i="67"/>
  <c r="M70" i="67" s="1"/>
  <c r="O70" i="67" s="1"/>
  <c r="I65" i="67"/>
  <c r="M65" i="67" s="1"/>
  <c r="O65" i="67" s="1"/>
  <c r="M11" i="25"/>
  <c r="I116" i="63"/>
  <c r="M116" i="63" s="1"/>
  <c r="O116" i="63" s="1"/>
  <c r="I188" i="63"/>
  <c r="M188" i="63" s="1"/>
  <c r="O188" i="63" s="1"/>
  <c r="I102" i="63"/>
  <c r="M102" i="63" s="1"/>
  <c r="O102" i="63" s="1"/>
  <c r="I91" i="63"/>
  <c r="M91" i="63" s="1"/>
  <c r="O91" i="63" s="1"/>
  <c r="Y91" i="63" s="1"/>
  <c r="AB91" i="63" s="1"/>
  <c r="I192" i="63"/>
  <c r="M192" i="63" s="1"/>
  <c r="O192" i="63" s="1"/>
  <c r="I204" i="63"/>
  <c r="M204" i="63" s="1"/>
  <c r="O204" i="63" s="1"/>
  <c r="Y204" i="63" s="1"/>
  <c r="AB204" i="63" s="1"/>
  <c r="I37" i="63"/>
  <c r="M37" i="63" s="1"/>
  <c r="O37" i="63" s="1"/>
  <c r="N113" i="58" s="1"/>
  <c r="R113" i="58" s="1"/>
  <c r="T113" i="58" s="1"/>
  <c r="V113" i="58" s="1"/>
  <c r="P157" i="58"/>
  <c r="Q81" i="66"/>
  <c r="L281" i="58"/>
  <c r="Q189" i="69"/>
  <c r="Y57" i="57"/>
  <c r="L269" i="58"/>
  <c r="U177" i="69"/>
  <c r="U190" i="69"/>
  <c r="Q190" i="69"/>
  <c r="S190" i="69" s="1"/>
  <c r="M45" i="34"/>
  <c r="M58" i="27"/>
  <c r="X201" i="63"/>
  <c r="Y201" i="63" s="1"/>
  <c r="AB201" i="63" s="1"/>
  <c r="H287" i="58"/>
  <c r="I150" i="64"/>
  <c r="M150" i="64" s="1"/>
  <c r="O150" i="64" s="1"/>
  <c r="U150" i="64" s="1"/>
  <c r="I52" i="64"/>
  <c r="M52" i="64" s="1"/>
  <c r="O52" i="64" s="1"/>
  <c r="I190" i="64"/>
  <c r="M190" i="64" s="1"/>
  <c r="O190" i="64" s="1"/>
  <c r="I147" i="64"/>
  <c r="M147" i="64" s="1"/>
  <c r="O147" i="64" s="1"/>
  <c r="I149" i="64"/>
  <c r="M149" i="64" s="1"/>
  <c r="O149" i="64" s="1"/>
  <c r="I197" i="64"/>
  <c r="M197" i="64" s="1"/>
  <c r="O197" i="64" s="1"/>
  <c r="J289" i="58" s="1"/>
  <c r="I167" i="64"/>
  <c r="M167" i="64" s="1"/>
  <c r="O167" i="64" s="1"/>
  <c r="I195" i="64"/>
  <c r="M195" i="64" s="1"/>
  <c r="O195" i="64" s="1"/>
  <c r="I67" i="64"/>
  <c r="M67" i="64" s="1"/>
  <c r="O67" i="64" s="1"/>
  <c r="I188" i="64"/>
  <c r="M188" i="64" s="1"/>
  <c r="O188" i="64" s="1"/>
  <c r="I194" i="64"/>
  <c r="M194" i="64" s="1"/>
  <c r="O194" i="64" s="1"/>
  <c r="Q194" i="64" s="1"/>
  <c r="J270" i="58"/>
  <c r="R270" i="58" s="1"/>
  <c r="T270" i="58" s="1"/>
  <c r="Q178" i="64"/>
  <c r="I146" i="68"/>
  <c r="M146" i="68" s="1"/>
  <c r="O146" i="68" s="1"/>
  <c r="I174" i="68"/>
  <c r="M174" i="68" s="1"/>
  <c r="O174" i="68" s="1"/>
  <c r="I154" i="68"/>
  <c r="M154" i="68" s="1"/>
  <c r="O154" i="68" s="1"/>
  <c r="I139" i="68"/>
  <c r="M139" i="68" s="1"/>
  <c r="O139" i="68" s="1"/>
  <c r="I142" i="68"/>
  <c r="M142" i="68" s="1"/>
  <c r="O142" i="68" s="1"/>
  <c r="I172" i="68"/>
  <c r="M172" i="68" s="1"/>
  <c r="O172" i="68" s="1"/>
  <c r="O170" i="68" s="1"/>
  <c r="U170" i="68" s="1"/>
  <c r="Q81" i="69"/>
  <c r="U81" i="69"/>
  <c r="L157" i="58"/>
  <c r="L153" i="58" s="1"/>
  <c r="AS3" i="5"/>
  <c r="AS60" i="5" s="1"/>
  <c r="U155" i="63"/>
  <c r="Q155" i="63"/>
  <c r="N286" i="58"/>
  <c r="Q200" i="63"/>
  <c r="M33" i="20"/>
  <c r="N33" i="20" s="1"/>
  <c r="O33" i="20" s="1"/>
  <c r="M162" i="20"/>
  <c r="O126" i="37"/>
  <c r="M106" i="47"/>
  <c r="M90" i="47" s="1"/>
  <c r="M136" i="51"/>
  <c r="M134" i="51" s="1"/>
  <c r="X57" i="57"/>
  <c r="L64" i="58"/>
  <c r="M12" i="20"/>
  <c r="M121" i="20"/>
  <c r="M115" i="40"/>
  <c r="M141" i="47"/>
  <c r="M129" i="47" s="1"/>
  <c r="AT27" i="43" s="1"/>
  <c r="M162" i="51"/>
  <c r="M64" i="58"/>
  <c r="M108" i="27"/>
  <c r="N108" i="27" s="1"/>
  <c r="O108" i="27" s="1"/>
  <c r="P108" i="27" s="1"/>
  <c r="O126" i="48"/>
  <c r="M151" i="51"/>
  <c r="N151" i="51" s="1"/>
  <c r="O151" i="51" s="1"/>
  <c r="M54" i="20"/>
  <c r="N54" i="20" s="1"/>
  <c r="O54" i="20" s="1"/>
  <c r="J64" i="58"/>
  <c r="M142" i="40"/>
  <c r="W58" i="57"/>
  <c r="Q222" i="58"/>
  <c r="X58" i="57"/>
  <c r="I356" i="58"/>
  <c r="I364" i="58" s="1"/>
  <c r="K149" i="58"/>
  <c r="K276" i="58"/>
  <c r="P216" i="58"/>
  <c r="AR24" i="57"/>
  <c r="Q24" i="57" s="1"/>
  <c r="M25" i="57"/>
  <c r="O169" i="62"/>
  <c r="Q171" i="62"/>
  <c r="H257" i="58"/>
  <c r="T163" i="63"/>
  <c r="P163" i="63"/>
  <c r="X24" i="63"/>
  <c r="Y24" i="63" s="1"/>
  <c r="AB24" i="63" s="1"/>
  <c r="Q24" i="62"/>
  <c r="S24" i="62" s="1"/>
  <c r="H202" i="58"/>
  <c r="U112" i="62"/>
  <c r="Q112" i="62"/>
  <c r="X112" i="63"/>
  <c r="Y112" i="63" s="1"/>
  <c r="AB112" i="63" s="1"/>
  <c r="U101" i="62"/>
  <c r="H122" i="58"/>
  <c r="Q46" i="62"/>
  <c r="U46" i="62"/>
  <c r="X46" i="63"/>
  <c r="Y46" i="63" s="1"/>
  <c r="AB46" i="63" s="1"/>
  <c r="U72" i="63"/>
  <c r="Q72" i="63"/>
  <c r="Q38" i="63"/>
  <c r="U38" i="63"/>
  <c r="N114" i="58"/>
  <c r="Q98" i="63"/>
  <c r="S98" i="63" s="1"/>
  <c r="U98" i="63"/>
  <c r="N166" i="58"/>
  <c r="F41" i="57"/>
  <c r="T170" i="63"/>
  <c r="S170" i="63"/>
  <c r="P170" i="63"/>
  <c r="X27" i="63"/>
  <c r="Y27" i="63" s="1"/>
  <c r="AB27" i="63" s="1"/>
  <c r="O25" i="62"/>
  <c r="U27" i="62"/>
  <c r="Q27" i="62"/>
  <c r="X37" i="63"/>
  <c r="U37" i="62"/>
  <c r="O29" i="62"/>
  <c r="U29" i="62" s="1"/>
  <c r="H258" i="58"/>
  <c r="Q172" i="62"/>
  <c r="U172" i="62"/>
  <c r="X172" i="63"/>
  <c r="Y172" i="63" s="1"/>
  <c r="AB172" i="63" s="1"/>
  <c r="T65" i="63"/>
  <c r="P65" i="63"/>
  <c r="U112" i="63"/>
  <c r="Q112" i="63"/>
  <c r="O107" i="63"/>
  <c r="U107" i="63" s="1"/>
  <c r="N122" i="58"/>
  <c r="U46" i="63"/>
  <c r="U187" i="63"/>
  <c r="Q187" i="63"/>
  <c r="N273" i="58"/>
  <c r="Q56" i="63"/>
  <c r="U56" i="63"/>
  <c r="Q81" i="63"/>
  <c r="S81" i="63" s="1"/>
  <c r="S77" i="63" s="1"/>
  <c r="N151" i="58"/>
  <c r="N149" i="58" s="1"/>
  <c r="U81" i="63"/>
  <c r="N140" i="58"/>
  <c r="Q68" i="63"/>
  <c r="U68" i="63"/>
  <c r="U142" i="63"/>
  <c r="Q142" i="63"/>
  <c r="N228" i="58"/>
  <c r="U49" i="63"/>
  <c r="S49" i="63"/>
  <c r="N125" i="58"/>
  <c r="F46" i="57"/>
  <c r="Q179" i="62"/>
  <c r="Q139" i="62"/>
  <c r="P139" i="62" s="1"/>
  <c r="X139" i="63"/>
  <c r="Y139" i="63" s="1"/>
  <c r="AB139" i="63" s="1"/>
  <c r="Q33" i="63"/>
  <c r="S33" i="63" s="1"/>
  <c r="U33" i="63"/>
  <c r="N214" i="58"/>
  <c r="Q124" i="63"/>
  <c r="U124" i="63"/>
  <c r="S124" i="63"/>
  <c r="X136" i="63"/>
  <c r="Y136" i="63" s="1"/>
  <c r="AB136" i="63" s="1"/>
  <c r="S136" i="62"/>
  <c r="U136" i="62"/>
  <c r="U121" i="63"/>
  <c r="Q121" i="63"/>
  <c r="S121" i="63" s="1"/>
  <c r="N211" i="58"/>
  <c r="U66" i="63"/>
  <c r="S66" i="63"/>
  <c r="N117" i="58"/>
  <c r="Q41" i="63"/>
  <c r="S41" i="63" s="1"/>
  <c r="U41" i="63"/>
  <c r="O39" i="63"/>
  <c r="U39" i="63" s="1"/>
  <c r="Q197" i="63"/>
  <c r="S197" i="63"/>
  <c r="N283" i="58"/>
  <c r="U104" i="63"/>
  <c r="Q104" i="63"/>
  <c r="S104" i="63" s="1"/>
  <c r="I168" i="63"/>
  <c r="M168" i="63" s="1"/>
  <c r="O168" i="63" s="1"/>
  <c r="O165" i="63" s="1"/>
  <c r="U165" i="63" s="1"/>
  <c r="I36" i="63"/>
  <c r="M36" i="63" s="1"/>
  <c r="O36" i="63" s="1"/>
  <c r="I157" i="63"/>
  <c r="M157" i="63" s="1"/>
  <c r="O157" i="63" s="1"/>
  <c r="I19" i="63"/>
  <c r="M19" i="63" s="1"/>
  <c r="O19" i="63" s="1"/>
  <c r="I167" i="63"/>
  <c r="M167" i="63" s="1"/>
  <c r="O167" i="63" s="1"/>
  <c r="Y11" i="63"/>
  <c r="AB11" i="63" s="1"/>
  <c r="H265" i="58"/>
  <c r="S79" i="62"/>
  <c r="P79" i="62"/>
  <c r="T79" i="62"/>
  <c r="H125" i="58"/>
  <c r="U49" i="62"/>
  <c r="Q49" i="62"/>
  <c r="U71" i="63"/>
  <c r="N143" i="58"/>
  <c r="Q71" i="63"/>
  <c r="U103" i="63"/>
  <c r="N171" i="58"/>
  <c r="Q103" i="63"/>
  <c r="U123" i="63"/>
  <c r="N213" i="58"/>
  <c r="Q123" i="63"/>
  <c r="S123" i="63" s="1"/>
  <c r="Q149" i="63"/>
  <c r="S149" i="63" s="1"/>
  <c r="U149" i="63"/>
  <c r="N235" i="58"/>
  <c r="U146" i="63"/>
  <c r="N232" i="58"/>
  <c r="Q146" i="63"/>
  <c r="N108" i="58"/>
  <c r="Q30" i="63"/>
  <c r="Q63" i="63"/>
  <c r="S63" i="63" s="1"/>
  <c r="N137" i="58"/>
  <c r="U63" i="63"/>
  <c r="Q204" i="63"/>
  <c r="S204" i="63" s="1"/>
  <c r="N290" i="58"/>
  <c r="U204" i="63"/>
  <c r="F33" i="57"/>
  <c r="F9" i="57"/>
  <c r="T48" i="62"/>
  <c r="T44" i="63"/>
  <c r="U179" i="62"/>
  <c r="P198" i="63"/>
  <c r="S198" i="63"/>
  <c r="T198" i="63"/>
  <c r="U31" i="63"/>
  <c r="N109" i="58"/>
  <c r="S185" i="63"/>
  <c r="T185" i="63"/>
  <c r="U53" i="62"/>
  <c r="Q53" i="62"/>
  <c r="X53" i="63"/>
  <c r="Y53" i="63" s="1"/>
  <c r="AB53" i="63" s="1"/>
  <c r="H129" i="58"/>
  <c r="U67" i="63"/>
  <c r="N139" i="58"/>
  <c r="Q143" i="63"/>
  <c r="N229" i="58"/>
  <c r="U143" i="63"/>
  <c r="X207" i="63"/>
  <c r="Y207" i="63" s="1"/>
  <c r="AB207" i="63" s="1"/>
  <c r="Q207" i="62"/>
  <c r="Q127" i="63"/>
  <c r="S127" i="63" s="1"/>
  <c r="N217" i="58"/>
  <c r="Q205" i="63"/>
  <c r="S205" i="63" s="1"/>
  <c r="U205" i="63"/>
  <c r="Q116" i="63"/>
  <c r="S116" i="63" s="1"/>
  <c r="U116" i="63"/>
  <c r="N206" i="58"/>
  <c r="F42" i="57"/>
  <c r="S44" i="63"/>
  <c r="O77" i="62"/>
  <c r="X81" i="63"/>
  <c r="Y81" i="63" s="1"/>
  <c r="AB81" i="63" s="1"/>
  <c r="U140" i="62"/>
  <c r="Q140" i="62"/>
  <c r="X140" i="63"/>
  <c r="Y140" i="63" s="1"/>
  <c r="AB140" i="63" s="1"/>
  <c r="Q122" i="63"/>
  <c r="U122" i="63"/>
  <c r="Q95" i="63"/>
  <c r="N163" i="58"/>
  <c r="U95" i="63"/>
  <c r="Y144" i="63"/>
  <c r="AB144" i="63" s="1"/>
  <c r="Q144" i="63"/>
  <c r="Q166" i="63"/>
  <c r="N252" i="58"/>
  <c r="X70" i="63"/>
  <c r="Y70" i="63" s="1"/>
  <c r="AB70" i="63" s="1"/>
  <c r="U70" i="62"/>
  <c r="Q70" i="62"/>
  <c r="S70" i="62" s="1"/>
  <c r="H142" i="58"/>
  <c r="N258" i="58"/>
  <c r="U172" i="63"/>
  <c r="Q172" i="63"/>
  <c r="O169" i="63"/>
  <c r="U169" i="63" s="1"/>
  <c r="Q89" i="63"/>
  <c r="Q37" i="63"/>
  <c r="F12" i="57"/>
  <c r="F32" i="57"/>
  <c r="F20" i="57"/>
  <c r="F36" i="57"/>
  <c r="F48" i="57"/>
  <c r="F14" i="57"/>
  <c r="F39" i="57"/>
  <c r="F34" i="57"/>
  <c r="F44" i="57"/>
  <c r="B14" i="14" s="1"/>
  <c r="F10" i="57"/>
  <c r="F37" i="57"/>
  <c r="F31" i="57"/>
  <c r="B9" i="14" s="1"/>
  <c r="F8" i="57"/>
  <c r="B5" i="14" s="1"/>
  <c r="F19" i="57"/>
  <c r="F38" i="57"/>
  <c r="F40" i="57"/>
  <c r="F15" i="57"/>
  <c r="F35" i="57"/>
  <c r="B10" i="14" s="1"/>
  <c r="N144" i="58"/>
  <c r="U202" i="62"/>
  <c r="H288" i="58"/>
  <c r="H162" i="58"/>
  <c r="Q94" i="62"/>
  <c r="S94" i="62" s="1"/>
  <c r="X94" i="63"/>
  <c r="Y94" i="63" s="1"/>
  <c r="AB94" i="63" s="1"/>
  <c r="H272" i="58"/>
  <c r="U186" i="62"/>
  <c r="Q186" i="62"/>
  <c r="X89" i="63"/>
  <c r="Y89" i="63" s="1"/>
  <c r="AB89" i="63" s="1"/>
  <c r="H159" i="58"/>
  <c r="U89" i="62"/>
  <c r="Q89" i="62"/>
  <c r="N134" i="58"/>
  <c r="U60" i="63"/>
  <c r="Q60" i="63"/>
  <c r="Q202" i="63"/>
  <c r="N288" i="58"/>
  <c r="U69" i="63"/>
  <c r="Q69" i="63"/>
  <c r="N141" i="58"/>
  <c r="Q207" i="63"/>
  <c r="N293" i="58"/>
  <c r="U207" i="63"/>
  <c r="S65" i="63"/>
  <c r="U65" i="63"/>
  <c r="S137" i="63"/>
  <c r="U137" i="63"/>
  <c r="Q137" i="63"/>
  <c r="O135" i="63"/>
  <c r="S167" i="62"/>
  <c r="F45" i="57"/>
  <c r="X125" i="63"/>
  <c r="Y125" i="63" s="1"/>
  <c r="AB125" i="63" s="1"/>
  <c r="U125" i="62"/>
  <c r="H215" i="58"/>
  <c r="Q125" i="62"/>
  <c r="X38" i="63"/>
  <c r="Y38" i="63" s="1"/>
  <c r="AB38" i="63" s="1"/>
  <c r="H114" i="58"/>
  <c r="Q38" i="62"/>
  <c r="U104" i="62"/>
  <c r="Q104" i="62"/>
  <c r="H172" i="58"/>
  <c r="P49" i="63"/>
  <c r="T49" i="63"/>
  <c r="N124" i="58"/>
  <c r="U48" i="63"/>
  <c r="Q48" i="63"/>
  <c r="U50" i="63"/>
  <c r="Q50" i="63"/>
  <c r="Q22" i="63"/>
  <c r="N102" i="58"/>
  <c r="Q94" i="63"/>
  <c r="U94" i="63"/>
  <c r="Q100" i="63"/>
  <c r="S100" i="63" s="1"/>
  <c r="U100" i="63"/>
  <c r="N168" i="58"/>
  <c r="Q21" i="63"/>
  <c r="S21" i="63"/>
  <c r="N101" i="58"/>
  <c r="U21" i="63"/>
  <c r="N249" i="58"/>
  <c r="O159" i="63"/>
  <c r="U159" i="63" s="1"/>
  <c r="U163" i="63"/>
  <c r="Y163" i="63"/>
  <c r="AB163" i="63" s="1"/>
  <c r="S163" i="63"/>
  <c r="U32" i="63"/>
  <c r="Q32" i="63"/>
  <c r="S32" i="63" s="1"/>
  <c r="Y30" i="63"/>
  <c r="AB30" i="63" s="1"/>
  <c r="Y116" i="63"/>
  <c r="AB116" i="63" s="1"/>
  <c r="T196" i="63"/>
  <c r="Y197" i="63"/>
  <c r="AB197" i="63" s="1"/>
  <c r="Y34" i="63"/>
  <c r="AB34" i="63" s="1"/>
  <c r="Y50" i="63"/>
  <c r="AB50" i="63" s="1"/>
  <c r="Y33" i="63"/>
  <c r="AB33" i="63" s="1"/>
  <c r="Y167" i="63"/>
  <c r="AB167" i="63" s="1"/>
  <c r="Y95" i="63"/>
  <c r="AB95" i="63" s="1"/>
  <c r="I120" i="62"/>
  <c r="M120" i="62" s="1"/>
  <c r="O120" i="62" s="1"/>
  <c r="O107" i="62" s="1"/>
  <c r="Q34" i="69"/>
  <c r="U34" i="69"/>
  <c r="L116" i="58"/>
  <c r="U179" i="69"/>
  <c r="L271" i="58"/>
  <c r="Q179" i="69"/>
  <c r="S179" i="69" s="1"/>
  <c r="U90" i="69"/>
  <c r="Q90" i="69"/>
  <c r="L164" i="58"/>
  <c r="U26" i="69"/>
  <c r="Q26" i="69"/>
  <c r="S26" i="69" s="1"/>
  <c r="L101" i="58"/>
  <c r="Q15" i="69"/>
  <c r="S15" i="69" s="1"/>
  <c r="U15" i="69"/>
  <c r="P119" i="69"/>
  <c r="T119" i="69"/>
  <c r="L232" i="58"/>
  <c r="U140" i="69"/>
  <c r="Q140" i="69"/>
  <c r="S140" i="69" s="1"/>
  <c r="Q165" i="69"/>
  <c r="S165" i="69" s="1"/>
  <c r="L124" i="58"/>
  <c r="T143" i="69"/>
  <c r="U42" i="69"/>
  <c r="S119" i="69"/>
  <c r="P143" i="69"/>
  <c r="I22" i="69"/>
  <c r="Q42" i="69"/>
  <c r="S42" i="69" s="1"/>
  <c r="L215" i="58"/>
  <c r="Q191" i="69"/>
  <c r="U119" i="69"/>
  <c r="L283" i="58"/>
  <c r="M110" i="58"/>
  <c r="U28" i="65"/>
  <c r="Q28" i="65"/>
  <c r="T28" i="65" s="1"/>
  <c r="Q69" i="65"/>
  <c r="S69" i="65" s="1"/>
  <c r="M147" i="58"/>
  <c r="U69" i="65"/>
  <c r="P137" i="65"/>
  <c r="T137" i="65"/>
  <c r="U99" i="65"/>
  <c r="Q99" i="65"/>
  <c r="M173" i="58"/>
  <c r="U118" i="65"/>
  <c r="Q118" i="65"/>
  <c r="P118" i="65" s="1"/>
  <c r="M214" i="58"/>
  <c r="M212" i="58"/>
  <c r="Q116" i="65"/>
  <c r="S116" i="65" s="1"/>
  <c r="U116" i="65"/>
  <c r="Q113" i="65"/>
  <c r="S113" i="65" s="1"/>
  <c r="Q134" i="65"/>
  <c r="T134" i="65" s="1"/>
  <c r="Q121" i="65"/>
  <c r="U121" i="65"/>
  <c r="M217" i="58"/>
  <c r="S53" i="65"/>
  <c r="M205" i="58"/>
  <c r="S110" i="65"/>
  <c r="M137" i="58"/>
  <c r="U109" i="65"/>
  <c r="Q57" i="65"/>
  <c r="S57" i="65" s="1"/>
  <c r="F2" i="9"/>
  <c r="U57" i="65"/>
  <c r="F51" i="56"/>
  <c r="K2" i="61" s="1"/>
  <c r="P86" i="65"/>
  <c r="T86" i="65"/>
  <c r="H51" i="56"/>
  <c r="U171" i="64"/>
  <c r="J263" i="58"/>
  <c r="Q171" i="64"/>
  <c r="J234" i="58"/>
  <c r="Q142" i="64"/>
  <c r="S142" i="64" s="1"/>
  <c r="U142" i="64"/>
  <c r="Q139" i="64"/>
  <c r="S139" i="64" s="1"/>
  <c r="U139" i="64"/>
  <c r="J231" i="58"/>
  <c r="Q148" i="64"/>
  <c r="S148" i="64" s="1"/>
  <c r="U148" i="64"/>
  <c r="J240" i="58"/>
  <c r="U156" i="64"/>
  <c r="J248" i="58"/>
  <c r="Q156" i="64"/>
  <c r="U197" i="64"/>
  <c r="Q155" i="68"/>
  <c r="S155" i="68" s="1"/>
  <c r="U155" i="68"/>
  <c r="O247" i="58"/>
  <c r="U104" i="68"/>
  <c r="Q104" i="68"/>
  <c r="S104" i="68" s="1"/>
  <c r="O200" i="58"/>
  <c r="U103" i="68"/>
  <c r="S103" i="68"/>
  <c r="O199" i="58"/>
  <c r="Q103" i="68"/>
  <c r="U67" i="68"/>
  <c r="O145" i="58"/>
  <c r="Q67" i="68"/>
  <c r="S67" i="68" s="1"/>
  <c r="U147" i="68"/>
  <c r="O239" i="58"/>
  <c r="Q147" i="68"/>
  <c r="T147" i="68" s="1"/>
  <c r="U189" i="68"/>
  <c r="O281" i="58"/>
  <c r="Q189" i="68"/>
  <c r="S189" i="68" s="1"/>
  <c r="O237" i="58"/>
  <c r="U145" i="68"/>
  <c r="Q145" i="68"/>
  <c r="S145" i="68" s="1"/>
  <c r="Q174" i="68"/>
  <c r="S174" i="68" s="1"/>
  <c r="O266" i="58"/>
  <c r="U174" i="68"/>
  <c r="Q194" i="68"/>
  <c r="S194" i="68" s="1"/>
  <c r="U194" i="68"/>
  <c r="O286" i="58"/>
  <c r="Q154" i="68"/>
  <c r="O246" i="58"/>
  <c r="U154" i="68"/>
  <c r="U149" i="68"/>
  <c r="O241" i="58"/>
  <c r="Q149" i="68"/>
  <c r="O287" i="58"/>
  <c r="U195" i="68"/>
  <c r="Q195" i="68"/>
  <c r="S195" i="68" s="1"/>
  <c r="Q105" i="68"/>
  <c r="S105" i="68" s="1"/>
  <c r="U105" i="68"/>
  <c r="O201" i="58"/>
  <c r="U167" i="68"/>
  <c r="Q167" i="68"/>
  <c r="O259" i="58"/>
  <c r="M78" i="68"/>
  <c r="O78" i="68" s="1"/>
  <c r="I79" i="68"/>
  <c r="M79" i="68" s="1"/>
  <c r="O79" i="68" s="1"/>
  <c r="S188" i="68"/>
  <c r="T74" i="68"/>
  <c r="P74" i="68"/>
  <c r="S152" i="68"/>
  <c r="AO24" i="57"/>
  <c r="N24" i="57" s="1"/>
  <c r="N78" i="58"/>
  <c r="N74" i="58" s="1"/>
  <c r="N64" i="58" s="1"/>
  <c r="U162" i="68"/>
  <c r="Q162" i="68"/>
  <c r="S162" i="68" s="1"/>
  <c r="O254" i="58"/>
  <c r="O251" i="58" s="1"/>
  <c r="O159" i="68"/>
  <c r="U159" i="68" s="1"/>
  <c r="O243" i="58"/>
  <c r="U151" i="68"/>
  <c r="Q151" i="68"/>
  <c r="S151" i="68" s="1"/>
  <c r="Q122" i="68"/>
  <c r="S122" i="68" s="1"/>
  <c r="P27" i="64"/>
  <c r="T27" i="64"/>
  <c r="S164" i="64"/>
  <c r="I123" i="64"/>
  <c r="M123" i="64" s="1"/>
  <c r="O123" i="64" s="1"/>
  <c r="J219" i="58" s="1"/>
  <c r="I83" i="64"/>
  <c r="M83" i="64" s="1"/>
  <c r="O83" i="64" s="1"/>
  <c r="I106" i="64"/>
  <c r="M106" i="64" s="1"/>
  <c r="O106" i="64" s="1"/>
  <c r="Q106" i="64" s="1"/>
  <c r="I138" i="64"/>
  <c r="M138" i="64" s="1"/>
  <c r="O138" i="64" s="1"/>
  <c r="U138" i="64" s="1"/>
  <c r="I182" i="64"/>
  <c r="M182" i="64" s="1"/>
  <c r="O182" i="64" s="1"/>
  <c r="D69" i="60"/>
  <c r="E69" i="60" s="1"/>
  <c r="I108" i="64"/>
  <c r="M108" i="64" s="1"/>
  <c r="O108" i="64" s="1"/>
  <c r="I64" i="64"/>
  <c r="M64" i="64" s="1"/>
  <c r="O64" i="64" s="1"/>
  <c r="U64" i="64" s="1"/>
  <c r="I143" i="64"/>
  <c r="M143" i="64" s="1"/>
  <c r="O143" i="64" s="1"/>
  <c r="U143" i="64" s="1"/>
  <c r="I200" i="64"/>
  <c r="M200" i="64" s="1"/>
  <c r="O200" i="64" s="1"/>
  <c r="I168" i="64"/>
  <c r="M168" i="64" s="1"/>
  <c r="O168" i="64" s="1"/>
  <c r="Q168" i="64" s="1"/>
  <c r="I98" i="64"/>
  <c r="M98" i="64" s="1"/>
  <c r="O98" i="64" s="1"/>
  <c r="U98" i="64" s="1"/>
  <c r="I157" i="64"/>
  <c r="M157" i="64" s="1"/>
  <c r="O157" i="64" s="1"/>
  <c r="I85" i="64"/>
  <c r="M85" i="64" s="1"/>
  <c r="O85" i="64" s="1"/>
  <c r="Q85" i="64" s="1"/>
  <c r="I21" i="64"/>
  <c r="M21" i="64" s="1"/>
  <c r="O21" i="64" s="1"/>
  <c r="I70" i="64"/>
  <c r="M70" i="64" s="1"/>
  <c r="O70" i="64" s="1"/>
  <c r="T7" i="58"/>
  <c r="P161" i="64"/>
  <c r="J253" i="58"/>
  <c r="I68" i="64"/>
  <c r="M68" i="64" s="1"/>
  <c r="O68" i="64" s="1"/>
  <c r="I191" i="64"/>
  <c r="M191" i="64" s="1"/>
  <c r="O191" i="64" s="1"/>
  <c r="Q191" i="64" s="1"/>
  <c r="P191" i="64" s="1"/>
  <c r="I198" i="64"/>
  <c r="M198" i="64" s="1"/>
  <c r="O198" i="64" s="1"/>
  <c r="I37" i="64"/>
  <c r="M37" i="64" s="1"/>
  <c r="O37" i="64" s="1"/>
  <c r="I40" i="64"/>
  <c r="M40" i="64" s="1"/>
  <c r="O40" i="64" s="1"/>
  <c r="I118" i="64"/>
  <c r="M118" i="64" s="1"/>
  <c r="O118" i="64" s="1"/>
  <c r="I111" i="64"/>
  <c r="M111" i="64" s="1"/>
  <c r="O111" i="64" s="1"/>
  <c r="J207" i="58" s="1"/>
  <c r="R207" i="58" s="1"/>
  <c r="T207" i="58" s="1"/>
  <c r="W207" i="58" s="1"/>
  <c r="I124" i="64"/>
  <c r="I137" i="64"/>
  <c r="M137" i="64" s="1"/>
  <c r="O137" i="64" s="1"/>
  <c r="U137" i="64" s="1"/>
  <c r="BB6" i="57"/>
  <c r="U161" i="64"/>
  <c r="I158" i="64"/>
  <c r="M158" i="64" s="1"/>
  <c r="O158" i="64" s="1"/>
  <c r="Q158" i="64" s="1"/>
  <c r="T158" i="64" s="1"/>
  <c r="I20" i="64"/>
  <c r="M20" i="64" s="1"/>
  <c r="O20" i="64" s="1"/>
  <c r="I173" i="64"/>
  <c r="M173" i="64" s="1"/>
  <c r="O173" i="64" s="1"/>
  <c r="I96" i="64"/>
  <c r="M96" i="64" s="1"/>
  <c r="O96" i="64" s="1"/>
  <c r="J170" i="58" s="1"/>
  <c r="I42" i="64"/>
  <c r="M42" i="64" s="1"/>
  <c r="O42" i="64" s="1"/>
  <c r="J124" i="58" s="1"/>
  <c r="I119" i="64"/>
  <c r="M119" i="64" s="1"/>
  <c r="O119" i="64" s="1"/>
  <c r="U119" i="64" s="1"/>
  <c r="I169" i="64"/>
  <c r="M169" i="64" s="1"/>
  <c r="O169" i="64" s="1"/>
  <c r="I35" i="64"/>
  <c r="M35" i="64" s="1"/>
  <c r="O35" i="64" s="1"/>
  <c r="S161" i="64"/>
  <c r="I44" i="64"/>
  <c r="M44" i="64" s="1"/>
  <c r="O44" i="64" s="1"/>
  <c r="I92" i="64"/>
  <c r="M92" i="64" s="1"/>
  <c r="O92" i="64" s="1"/>
  <c r="I50" i="64"/>
  <c r="M50" i="64" s="1"/>
  <c r="O50" i="64" s="1"/>
  <c r="U50" i="64" s="1"/>
  <c r="I86" i="64"/>
  <c r="M86" i="64" s="1"/>
  <c r="O86" i="64" s="1"/>
  <c r="O84" i="64" s="1"/>
  <c r="I15" i="64"/>
  <c r="M15" i="64" s="1"/>
  <c r="O15" i="64" s="1"/>
  <c r="Q15" i="64" s="1"/>
  <c r="I199" i="64"/>
  <c r="M199" i="64" s="1"/>
  <c r="O199" i="64" s="1"/>
  <c r="Q199" i="64" s="1"/>
  <c r="I192" i="64"/>
  <c r="M192" i="64" s="1"/>
  <c r="O192" i="64" s="1"/>
  <c r="I34" i="64"/>
  <c r="M34" i="64" s="1"/>
  <c r="O34" i="64" s="1"/>
  <c r="I51" i="64"/>
  <c r="M51" i="64" s="1"/>
  <c r="O51" i="64" s="1"/>
  <c r="Q51" i="64" s="1"/>
  <c r="I105" i="64"/>
  <c r="M105" i="64" s="1"/>
  <c r="O105" i="64" s="1"/>
  <c r="I87" i="64"/>
  <c r="M87" i="64" s="1"/>
  <c r="O87" i="64" s="1"/>
  <c r="I122" i="64"/>
  <c r="M122" i="64" s="1"/>
  <c r="O122" i="64" s="1"/>
  <c r="Q122" i="64" s="1"/>
  <c r="P122" i="64" s="1"/>
  <c r="I18" i="64"/>
  <c r="M18" i="64" s="1"/>
  <c r="O18" i="64" s="1"/>
  <c r="J256" i="58"/>
  <c r="I196" i="64"/>
  <c r="M196" i="64" s="1"/>
  <c r="O196" i="64" s="1"/>
  <c r="U196" i="64" s="1"/>
  <c r="I53" i="64"/>
  <c r="M53" i="64" s="1"/>
  <c r="O53" i="64" s="1"/>
  <c r="I55" i="64"/>
  <c r="M55" i="64" s="1"/>
  <c r="O55" i="64" s="1"/>
  <c r="I88" i="64"/>
  <c r="M88" i="64" s="1"/>
  <c r="O88" i="64" s="1"/>
  <c r="I135" i="64"/>
  <c r="M135" i="64" s="1"/>
  <c r="O135" i="64" s="1"/>
  <c r="U135" i="64" s="1"/>
  <c r="I29" i="64"/>
  <c r="M29" i="64" s="1"/>
  <c r="O29" i="64" s="1"/>
  <c r="J111" i="58" s="1"/>
  <c r="P239" i="58"/>
  <c r="Q147" i="66"/>
  <c r="P147" i="66" s="1"/>
  <c r="Q78" i="66"/>
  <c r="U78" i="66"/>
  <c r="P154" i="58"/>
  <c r="Q188" i="66"/>
  <c r="P188" i="66" s="1"/>
  <c r="P259" i="58"/>
  <c r="Q167" i="66"/>
  <c r="P167" i="66" s="1"/>
  <c r="P241" i="58"/>
  <c r="Q149" i="66"/>
  <c r="P149" i="66" s="1"/>
  <c r="Q179" i="66"/>
  <c r="P179" i="66" s="1"/>
  <c r="P271" i="58"/>
  <c r="Q189" i="66"/>
  <c r="P189" i="66" s="1"/>
  <c r="P281" i="58"/>
  <c r="Q190" i="66"/>
  <c r="S190" i="66" s="1"/>
  <c r="P282" i="58"/>
  <c r="R24" i="57"/>
  <c r="I172" i="66"/>
  <c r="M172" i="66" s="1"/>
  <c r="O172" i="66" s="1"/>
  <c r="I177" i="66"/>
  <c r="M177" i="66" s="1"/>
  <c r="O177" i="66" s="1"/>
  <c r="U177" i="66" s="1"/>
  <c r="I139" i="66"/>
  <c r="M139" i="66" s="1"/>
  <c r="O139" i="66" s="1"/>
  <c r="Q139" i="66" s="1"/>
  <c r="H52" i="56"/>
  <c r="Q145" i="66"/>
  <c r="P145" i="66" s="1"/>
  <c r="I79" i="66"/>
  <c r="M79" i="66" s="1"/>
  <c r="O79" i="66" s="1"/>
  <c r="I154" i="66"/>
  <c r="M154" i="66" s="1"/>
  <c r="O154" i="66" s="1"/>
  <c r="I142" i="66"/>
  <c r="M142" i="66" s="1"/>
  <c r="O142" i="66" s="1"/>
  <c r="U142" i="66" s="1"/>
  <c r="P215" i="58"/>
  <c r="Q119" i="66"/>
  <c r="P119" i="66" s="1"/>
  <c r="Q42" i="66"/>
  <c r="P42" i="66" s="1"/>
  <c r="P124" i="58"/>
  <c r="Q54" i="66"/>
  <c r="P54" i="66" s="1"/>
  <c r="P134" i="58"/>
  <c r="P144" i="58"/>
  <c r="Q66" i="66"/>
  <c r="P66" i="66" s="1"/>
  <c r="P102" i="58"/>
  <c r="Q16" i="66"/>
  <c r="T16" i="66" s="1"/>
  <c r="P199" i="58"/>
  <c r="Q103" i="66"/>
  <c r="P103" i="66" s="1"/>
  <c r="Q107" i="66"/>
  <c r="P107" i="66" s="1"/>
  <c r="U107" i="66"/>
  <c r="P203" i="58"/>
  <c r="Q48" i="66"/>
  <c r="P130" i="58"/>
  <c r="P253" i="58"/>
  <c r="O159" i="66"/>
  <c r="Q161" i="66"/>
  <c r="S161" i="66" s="1"/>
  <c r="Q173" i="66"/>
  <c r="P173" i="66" s="1"/>
  <c r="P265" i="58"/>
  <c r="Q37" i="66"/>
  <c r="Q33" i="66" s="1"/>
  <c r="T33" i="66" s="1"/>
  <c r="P119" i="58"/>
  <c r="P115" i="58" s="1"/>
  <c r="Q24" i="66"/>
  <c r="P24" i="66" s="1"/>
  <c r="P108" i="58"/>
  <c r="O23" i="66"/>
  <c r="T133" i="66"/>
  <c r="P133" i="66"/>
  <c r="Q132" i="66"/>
  <c r="T132" i="66" s="1"/>
  <c r="S133" i="66"/>
  <c r="S132" i="66" s="1"/>
  <c r="Q22" i="66"/>
  <c r="P22" i="66" s="1"/>
  <c r="P106" i="58"/>
  <c r="P278" i="58"/>
  <c r="Q186" i="66"/>
  <c r="P18" i="66"/>
  <c r="S18" i="66"/>
  <c r="T34" i="66"/>
  <c r="P34" i="66"/>
  <c r="Q191" i="66"/>
  <c r="P283" i="58"/>
  <c r="P233" i="58"/>
  <c r="Q141" i="66"/>
  <c r="P141" i="66" s="1"/>
  <c r="Q50" i="66"/>
  <c r="S50" i="66" s="1"/>
  <c r="S49" i="66" s="1"/>
  <c r="O49" i="66"/>
  <c r="P131" i="58" s="1"/>
  <c r="O163" i="66"/>
  <c r="U163" i="66" s="1"/>
  <c r="P256" i="58"/>
  <c r="Q164" i="66"/>
  <c r="S164" i="66" s="1"/>
  <c r="P200" i="58"/>
  <c r="Q104" i="66"/>
  <c r="P104" i="66" s="1"/>
  <c r="P232" i="58"/>
  <c r="Q140" i="66"/>
  <c r="P140" i="66" s="1"/>
  <c r="Q89" i="66"/>
  <c r="P89" i="66" s="1"/>
  <c r="P257" i="58"/>
  <c r="Q165" i="66"/>
  <c r="Q75" i="66"/>
  <c r="P75" i="66" s="1"/>
  <c r="P151" i="58"/>
  <c r="Q118" i="66"/>
  <c r="U118" i="66"/>
  <c r="P214" i="58"/>
  <c r="P254" i="58"/>
  <c r="Q162" i="66"/>
  <c r="P162" i="66" s="1"/>
  <c r="U112" i="66"/>
  <c r="Q112" i="66"/>
  <c r="P112" i="66" s="1"/>
  <c r="P208" i="58"/>
  <c r="Q135" i="66"/>
  <c r="S135" i="66" s="1"/>
  <c r="P102" i="66"/>
  <c r="O33" i="66"/>
  <c r="U33" i="66" s="1"/>
  <c r="P292" i="58"/>
  <c r="Q180" i="66"/>
  <c r="P180" i="66" s="1"/>
  <c r="P212" i="58"/>
  <c r="P126" i="58"/>
  <c r="S34" i="66"/>
  <c r="P36" i="66"/>
  <c r="R25" i="57"/>
  <c r="Q200" i="66"/>
  <c r="P200" i="66" s="1"/>
  <c r="U180" i="66"/>
  <c r="P146" i="58"/>
  <c r="Q90" i="66"/>
  <c r="P90" i="66" s="1"/>
  <c r="Q116" i="66"/>
  <c r="P116" i="66" s="1"/>
  <c r="Q44" i="66"/>
  <c r="P44" i="66" s="1"/>
  <c r="Q151" i="66"/>
  <c r="P151" i="66" s="1"/>
  <c r="P272" i="58"/>
  <c r="Q68" i="66"/>
  <c r="P68" i="66" s="1"/>
  <c r="S24" i="57"/>
  <c r="Q87" i="66"/>
  <c r="AT5" i="57"/>
  <c r="S166" i="66"/>
  <c r="P121" i="66"/>
  <c r="S84" i="66"/>
  <c r="O144" i="66"/>
  <c r="U144" i="66" s="1"/>
  <c r="P161" i="58"/>
  <c r="P99" i="66"/>
  <c r="P196" i="66"/>
  <c r="Q120" i="66"/>
  <c r="AS23" i="57" s="1"/>
  <c r="R23" i="57" s="1"/>
  <c r="S25" i="57"/>
  <c r="BC6" i="57"/>
  <c r="P111" i="66"/>
  <c r="P106" i="66"/>
  <c r="Q94" i="66"/>
  <c r="U51" i="64"/>
  <c r="Q69" i="64"/>
  <c r="S69" i="64" s="1"/>
  <c r="U69" i="64"/>
  <c r="J147" i="58"/>
  <c r="U121" i="64"/>
  <c r="J217" i="58"/>
  <c r="U85" i="64"/>
  <c r="J112" i="58"/>
  <c r="Q30" i="64"/>
  <c r="S30" i="64" s="1"/>
  <c r="U30" i="64"/>
  <c r="U106" i="64"/>
  <c r="U168" i="64"/>
  <c r="S191" i="64"/>
  <c r="Q160" i="64"/>
  <c r="S160" i="64" s="1"/>
  <c r="U160" i="64"/>
  <c r="AX3" i="5"/>
  <c r="AX60" i="5" s="1"/>
  <c r="Z8" i="7"/>
  <c r="X17" i="7" s="1"/>
  <c r="G17" i="7"/>
  <c r="W17" i="7"/>
  <c r="G8" i="7"/>
  <c r="F17" i="7" s="1"/>
  <c r="AB8" i="7"/>
  <c r="P8" i="7"/>
  <c r="O17" i="7" s="1"/>
  <c r="AA8" i="7"/>
  <c r="Z17" i="7" s="1"/>
  <c r="O8" i="7"/>
  <c r="N8" i="7"/>
  <c r="AU63" i="5"/>
  <c r="AW65" i="5"/>
  <c r="AY3" i="6" s="1"/>
  <c r="AI3" i="5"/>
  <c r="AI60" i="5" s="1"/>
  <c r="AJ3" i="5"/>
  <c r="AJ60" i="5" s="1"/>
  <c r="AN3" i="5"/>
  <c r="AN60" i="5" s="1"/>
  <c r="AS63" i="5"/>
  <c r="AR4" i="10" s="1"/>
  <c r="AR3" i="10" s="1"/>
  <c r="S38" i="58"/>
  <c r="P17" i="7"/>
  <c r="C8" i="7"/>
  <c r="C9" i="7" s="1"/>
  <c r="D9" i="7" s="1"/>
  <c r="E9" i="7" s="1"/>
  <c r="F9" i="7" s="1"/>
  <c r="J8" i="7"/>
  <c r="I17" i="7" s="1"/>
  <c r="V8" i="7"/>
  <c r="M8" i="7"/>
  <c r="C17" i="7"/>
  <c r="T355" i="58"/>
  <c r="V355" i="58" s="1"/>
  <c r="BB62" i="5"/>
  <c r="BB4" i="5"/>
  <c r="BB61" i="5" s="1"/>
  <c r="BB65" i="5"/>
  <c r="AY3" i="5"/>
  <c r="AY60" i="5" s="1"/>
  <c r="AJ39" i="43"/>
  <c r="AS39" i="43"/>
  <c r="P113" i="36"/>
  <c r="Q113" i="36"/>
  <c r="AV39" i="43"/>
  <c r="N34" i="45"/>
  <c r="M29" i="45"/>
  <c r="AT20" i="43"/>
  <c r="P121" i="45"/>
  <c r="O119" i="45"/>
  <c r="P119" i="45" s="1"/>
  <c r="P156" i="45"/>
  <c r="O154" i="45"/>
  <c r="AW40" i="43"/>
  <c r="AN40" i="43"/>
  <c r="AO32" i="30"/>
  <c r="AI32" i="30"/>
  <c r="BA32" i="30"/>
  <c r="AU32" i="30"/>
  <c r="AR32" i="30"/>
  <c r="P177" i="45"/>
  <c r="AL23" i="43"/>
  <c r="AO23" i="43"/>
  <c r="AR23" i="43"/>
  <c r="AU23" i="43"/>
  <c r="P113" i="47"/>
  <c r="Q113" i="47"/>
  <c r="B21" i="28"/>
  <c r="E16" i="28"/>
  <c r="Q79" i="46"/>
  <c r="P79" i="46"/>
  <c r="Q52" i="36"/>
  <c r="B21" i="41"/>
  <c r="F16" i="41"/>
  <c r="O94" i="20"/>
  <c r="P97" i="20"/>
  <c r="Q97" i="20"/>
  <c r="BA17" i="43"/>
  <c r="AU17" i="43"/>
  <c r="AR17" i="43"/>
  <c r="AO17" i="43"/>
  <c r="AL17" i="43"/>
  <c r="O106" i="25"/>
  <c r="S61" i="66"/>
  <c r="P293" i="58"/>
  <c r="Q201" i="66"/>
  <c r="T201" i="66" s="1"/>
  <c r="O120" i="66"/>
  <c r="U120" i="66" s="1"/>
  <c r="Q206" i="62"/>
  <c r="X206" i="63"/>
  <c r="Y206" i="63" s="1"/>
  <c r="AB206" i="63" s="1"/>
  <c r="Q29" i="66"/>
  <c r="T29" i="66" s="1"/>
  <c r="P111" i="58"/>
  <c r="O113" i="37"/>
  <c r="P75" i="47"/>
  <c r="Q75" i="47"/>
  <c r="P138" i="35"/>
  <c r="Q138" i="35"/>
  <c r="O25" i="45"/>
  <c r="P25" i="45" s="1"/>
  <c r="N51" i="24"/>
  <c r="O51" i="24" s="1"/>
  <c r="P26" i="24"/>
  <c r="S177" i="65"/>
  <c r="T177" i="65"/>
  <c r="N143" i="25"/>
  <c r="O143" i="25" s="1"/>
  <c r="O185" i="66"/>
  <c r="O184" i="66" s="1"/>
  <c r="U184" i="66" s="1"/>
  <c r="P280" i="58"/>
  <c r="S120" i="66"/>
  <c r="AT23" i="57" s="1"/>
  <c r="S23" i="57" s="1"/>
  <c r="U23" i="67"/>
  <c r="Z8" i="10"/>
  <c r="Z7" i="10" s="1"/>
  <c r="Z26" i="10" s="1"/>
  <c r="Y26" i="12" s="1"/>
  <c r="AC3" i="6"/>
  <c r="S78" i="62"/>
  <c r="O28" i="39"/>
  <c r="O139" i="24"/>
  <c r="N15" i="25"/>
  <c r="O15" i="25" s="1"/>
  <c r="N53" i="24"/>
  <c r="O53" i="24"/>
  <c r="Q13" i="68"/>
  <c r="U13" i="68"/>
  <c r="O101" i="67"/>
  <c r="Q102" i="67"/>
  <c r="U102" i="67"/>
  <c r="Q142" i="67"/>
  <c r="S142" i="67" s="1"/>
  <c r="K108" i="58"/>
  <c r="Q24" i="67"/>
  <c r="U148" i="65"/>
  <c r="Q148" i="65"/>
  <c r="M240" i="58"/>
  <c r="N16" i="48"/>
  <c r="O16" i="48" s="1"/>
  <c r="H219" i="58"/>
  <c r="Q61" i="62"/>
  <c r="U24" i="67"/>
  <c r="Q28" i="62"/>
  <c r="S98" i="62"/>
  <c r="O108" i="25"/>
  <c r="J142" i="58"/>
  <c r="Q64" i="64"/>
  <c r="Q81" i="62"/>
  <c r="U81" i="62"/>
  <c r="H151" i="58"/>
  <c r="H260" i="58"/>
  <c r="Q174" i="62"/>
  <c r="Q103" i="62"/>
  <c r="X103" i="63"/>
  <c r="Y103" i="63" s="1"/>
  <c r="AB103" i="63" s="1"/>
  <c r="O123" i="51"/>
  <c r="P135" i="34"/>
  <c r="Q66" i="67"/>
  <c r="S66" i="67" s="1"/>
  <c r="U66" i="67"/>
  <c r="K144" i="58"/>
  <c r="K227" i="58"/>
  <c r="U135" i="67"/>
  <c r="N77" i="20"/>
  <c r="O77" i="20" s="1"/>
  <c r="Q172" i="67"/>
  <c r="S172" i="67" s="1"/>
  <c r="K264" i="58"/>
  <c r="U172" i="67"/>
  <c r="O170" i="67"/>
  <c r="O72" i="65"/>
  <c r="Q74" i="65"/>
  <c r="S74" i="65" s="1"/>
  <c r="BG3" i="6"/>
  <c r="S116" i="67"/>
  <c r="O126" i="62"/>
  <c r="F27" i="4"/>
  <c r="O136" i="35"/>
  <c r="U28" i="62"/>
  <c r="Q139" i="25"/>
  <c r="U103" i="62"/>
  <c r="H173" i="58"/>
  <c r="Q45" i="62"/>
  <c r="T45" i="62" s="1"/>
  <c r="U45" i="62"/>
  <c r="O152" i="25"/>
  <c r="U194" i="65"/>
  <c r="M286" i="58"/>
  <c r="Q194" i="65"/>
  <c r="S95" i="63"/>
  <c r="P95" i="63"/>
  <c r="T95" i="63"/>
  <c r="U92" i="63"/>
  <c r="Q92" i="63"/>
  <c r="M8" i="25"/>
  <c r="N137" i="34"/>
  <c r="N134" i="34" s="1"/>
  <c r="M134" i="34"/>
  <c r="N13" i="49"/>
  <c r="X61" i="63"/>
  <c r="Y61" i="63" s="1"/>
  <c r="AB61" i="63" s="1"/>
  <c r="O101" i="24"/>
  <c r="O16" i="24"/>
  <c r="O73" i="24"/>
  <c r="O21" i="24"/>
  <c r="M134" i="35"/>
  <c r="M129" i="35" s="1"/>
  <c r="AN27" i="30" s="1"/>
  <c r="O122" i="35"/>
  <c r="X98" i="63"/>
  <c r="Y98" i="63" s="1"/>
  <c r="AB98" i="63" s="1"/>
  <c r="H106" i="58"/>
  <c r="P184" i="62"/>
  <c r="S184" i="62"/>
  <c r="T184" i="62"/>
  <c r="U171" i="62"/>
  <c r="X171" i="63"/>
  <c r="Y171" i="63" s="1"/>
  <c r="AB171" i="63" s="1"/>
  <c r="P108" i="36"/>
  <c r="Q108" i="36"/>
  <c r="U142" i="67"/>
  <c r="M37" i="50"/>
  <c r="P135" i="65"/>
  <c r="T135" i="65"/>
  <c r="S135" i="65"/>
  <c r="K135" i="58"/>
  <c r="U55" i="67"/>
  <c r="Q55" i="67"/>
  <c r="Q88" i="67"/>
  <c r="K162" i="58"/>
  <c r="Q179" i="64"/>
  <c r="S179" i="64" s="1"/>
  <c r="J271" i="58"/>
  <c r="Q78" i="67"/>
  <c r="O77" i="67"/>
  <c r="U78" i="67"/>
  <c r="J269" i="58"/>
  <c r="Q177" i="64"/>
  <c r="U190" i="65"/>
  <c r="Q190" i="65"/>
  <c r="Q206" i="63"/>
  <c r="N292" i="58"/>
  <c r="U206" i="63"/>
  <c r="M124" i="51"/>
  <c r="J104" i="58"/>
  <c r="P173" i="67"/>
  <c r="Q25" i="45"/>
  <c r="N47" i="51"/>
  <c r="N37" i="51" s="1"/>
  <c r="U129" i="62"/>
  <c r="H166" i="58"/>
  <c r="O139" i="37"/>
  <c r="K198" i="58"/>
  <c r="Q163" i="33"/>
  <c r="H171" i="58"/>
  <c r="U105" i="62"/>
  <c r="U195" i="66"/>
  <c r="Q195" i="66"/>
  <c r="T195" i="66" s="1"/>
  <c r="N108" i="40"/>
  <c r="U99" i="67"/>
  <c r="K173" i="58"/>
  <c r="Q99" i="67"/>
  <c r="N133" i="20"/>
  <c r="N130" i="20" s="1"/>
  <c r="O77" i="63"/>
  <c r="U78" i="63"/>
  <c r="U144" i="63"/>
  <c r="N230" i="58"/>
  <c r="Q160" i="68"/>
  <c r="S160" i="68" s="1"/>
  <c r="O144" i="33"/>
  <c r="O81" i="48"/>
  <c r="Q64" i="66"/>
  <c r="T64" i="66" s="1"/>
  <c r="Q96" i="66"/>
  <c r="T96" i="66" s="1"/>
  <c r="P170" i="58"/>
  <c r="T194" i="63"/>
  <c r="P194" i="63"/>
  <c r="N81" i="51"/>
  <c r="N70" i="51" s="1"/>
  <c r="N69" i="51" s="1"/>
  <c r="N77" i="45" s="1"/>
  <c r="S176" i="68"/>
  <c r="U38" i="67"/>
  <c r="Q38" i="67"/>
  <c r="Q47" i="67"/>
  <c r="S47" i="67" s="1"/>
  <c r="K129" i="58"/>
  <c r="N35" i="24"/>
  <c r="O35" i="24" s="1"/>
  <c r="P123" i="24"/>
  <c r="Q123" i="24"/>
  <c r="N109" i="24"/>
  <c r="O109" i="24" s="1"/>
  <c r="Q34" i="63"/>
  <c r="U34" i="63"/>
  <c r="N110" i="58"/>
  <c r="Q78" i="62"/>
  <c r="BT21" i="6"/>
  <c r="BT19" i="6"/>
  <c r="H135" i="58"/>
  <c r="O99" i="58"/>
  <c r="U98" i="62"/>
  <c r="O129" i="66"/>
  <c r="P225" i="58" s="1"/>
  <c r="U13" i="64"/>
  <c r="P206" i="58"/>
  <c r="Q110" i="66"/>
  <c r="T110" i="66" s="1"/>
  <c r="U94" i="62"/>
  <c r="X63" i="63"/>
  <c r="Y63" i="63" s="1"/>
  <c r="AB63" i="63" s="1"/>
  <c r="Q63" i="62"/>
  <c r="O25" i="51"/>
  <c r="P25" i="51" s="1"/>
  <c r="Q151" i="64"/>
  <c r="S151" i="64" s="1"/>
  <c r="J243" i="58"/>
  <c r="Q175" i="67"/>
  <c r="K267" i="58"/>
  <c r="U175" i="67"/>
  <c r="Q21" i="67"/>
  <c r="U21" i="67"/>
  <c r="U181" i="67"/>
  <c r="K273" i="58"/>
  <c r="N138" i="23"/>
  <c r="O138" i="23" s="1"/>
  <c r="P138" i="23" s="1"/>
  <c r="K234" i="58"/>
  <c r="J99" i="58"/>
  <c r="X150" i="63"/>
  <c r="U150" i="62"/>
  <c r="P27" i="63"/>
  <c r="S27" i="63"/>
  <c r="S25" i="63" s="1"/>
  <c r="Q194" i="66"/>
  <c r="P194" i="66" s="1"/>
  <c r="X48" i="63"/>
  <c r="Y48" i="63" s="1"/>
  <c r="AB48" i="63" s="1"/>
  <c r="U48" i="62"/>
  <c r="U139" i="62"/>
  <c r="O138" i="62"/>
  <c r="U25" i="57"/>
  <c r="P31" i="68"/>
  <c r="S31" i="68"/>
  <c r="U141" i="67"/>
  <c r="Q141" i="67"/>
  <c r="K233" i="58"/>
  <c r="O193" i="67"/>
  <c r="U193" i="67" s="1"/>
  <c r="U196" i="67"/>
  <c r="K288" i="58"/>
  <c r="Q196" i="67"/>
  <c r="Q86" i="67"/>
  <c r="U86" i="67"/>
  <c r="Q198" i="67"/>
  <c r="K290" i="58"/>
  <c r="U122" i="67"/>
  <c r="Q122" i="67"/>
  <c r="Q79" i="64"/>
  <c r="U79" i="64"/>
  <c r="Q59" i="25"/>
  <c r="P59" i="25"/>
  <c r="AI25" i="57"/>
  <c r="H25" i="57" s="1"/>
  <c r="N76" i="24"/>
  <c r="O76" i="24" s="1"/>
  <c r="N12" i="49"/>
  <c r="Y71" i="63"/>
  <c r="AB71" i="63" s="1"/>
  <c r="N133" i="37"/>
  <c r="O133" i="37" s="1"/>
  <c r="N136" i="23"/>
  <c r="O136" i="23" s="1"/>
  <c r="P136" i="23" s="1"/>
  <c r="N127" i="24"/>
  <c r="O127" i="24" s="1"/>
  <c r="Q57" i="63"/>
  <c r="U57" i="63"/>
  <c r="Q67" i="67"/>
  <c r="S67" i="67" s="1"/>
  <c r="K145" i="58"/>
  <c r="U67" i="67"/>
  <c r="P156" i="24"/>
  <c r="N35" i="23"/>
  <c r="O35" i="23" s="1"/>
  <c r="P35" i="23" s="1"/>
  <c r="N139" i="23"/>
  <c r="O139" i="23" s="1"/>
  <c r="P139" i="23" s="1"/>
  <c r="Q177" i="67"/>
  <c r="U177" i="67"/>
  <c r="N81" i="24"/>
  <c r="O81" i="24" s="1"/>
  <c r="H143" i="58"/>
  <c r="O126" i="63"/>
  <c r="S128" i="63"/>
  <c r="N218" i="58"/>
  <c r="S45" i="63"/>
  <c r="L24" i="57"/>
  <c r="K217" i="58"/>
  <c r="K216" i="58" s="1"/>
  <c r="O15" i="20"/>
  <c r="Q31" i="24"/>
  <c r="N49" i="23"/>
  <c r="O49" i="23" s="1"/>
  <c r="P49" i="23" s="1"/>
  <c r="N143" i="23"/>
  <c r="O143" i="23" s="1"/>
  <c r="P143" i="23" s="1"/>
  <c r="O64" i="63"/>
  <c r="N144" i="36"/>
  <c r="M129" i="46"/>
  <c r="Q164" i="63"/>
  <c r="S164" i="63" s="1"/>
  <c r="S159" i="63" s="1"/>
  <c r="N250" i="58"/>
  <c r="N116" i="58"/>
  <c r="Q40" i="63"/>
  <c r="Q71" i="62"/>
  <c r="U117" i="63"/>
  <c r="K210" i="58"/>
  <c r="N59" i="23"/>
  <c r="O59" i="23" s="1"/>
  <c r="U171" i="63"/>
  <c r="Q171" i="63"/>
  <c r="N257" i="58"/>
  <c r="N255" i="58" s="1"/>
  <c r="N81" i="20"/>
  <c r="O81" i="20" s="1"/>
  <c r="N29" i="27"/>
  <c r="O29" i="27" s="1"/>
  <c r="P29" i="27" s="1"/>
  <c r="M141" i="34"/>
  <c r="N143" i="34"/>
  <c r="O24" i="49"/>
  <c r="P24" i="49" s="1"/>
  <c r="O51" i="49"/>
  <c r="N74" i="49"/>
  <c r="N144" i="46"/>
  <c r="N141" i="46" s="1"/>
  <c r="N129" i="46" s="1"/>
  <c r="S136" i="63"/>
  <c r="U136" i="63"/>
  <c r="O34" i="23"/>
  <c r="P34" i="23" s="1"/>
  <c r="N132" i="37"/>
  <c r="O132" i="37" s="1"/>
  <c r="M130" i="37"/>
  <c r="M129" i="37" s="1"/>
  <c r="AT27" i="30" s="1"/>
  <c r="N144" i="34"/>
  <c r="O144" i="34" s="1"/>
  <c r="P144" i="34" s="1"/>
  <c r="N18" i="49"/>
  <c r="O18" i="49" s="1"/>
  <c r="P18" i="49" s="1"/>
  <c r="N25" i="49"/>
  <c r="O25" i="49"/>
  <c r="P25" i="49" s="1"/>
  <c r="O19" i="25"/>
  <c r="P19" i="25" s="1"/>
  <c r="P20" i="25"/>
  <c r="Q20" i="25"/>
  <c r="U175" i="63"/>
  <c r="Q175" i="63"/>
  <c r="N123" i="58"/>
  <c r="Q47" i="63"/>
  <c r="N13" i="20"/>
  <c r="O14" i="20"/>
  <c r="N25" i="38"/>
  <c r="O25" i="38" s="1"/>
  <c r="P25" i="38" s="1"/>
  <c r="M22" i="38"/>
  <c r="N65" i="38"/>
  <c r="M63" i="38"/>
  <c r="Q156" i="37"/>
  <c r="P156" i="37"/>
  <c r="N28" i="50"/>
  <c r="O28" i="50" s="1"/>
  <c r="N35" i="50"/>
  <c r="O35" i="50" s="1"/>
  <c r="P35" i="50" s="1"/>
  <c r="P106" i="46"/>
  <c r="Q106" i="46"/>
  <c r="P152" i="46"/>
  <c r="Q152" i="46"/>
  <c r="P29" i="20"/>
  <c r="Q29" i="20"/>
  <c r="M44" i="46"/>
  <c r="M37" i="46" s="1"/>
  <c r="N45" i="46"/>
  <c r="N44" i="46" s="1"/>
  <c r="P133" i="45"/>
  <c r="O107" i="20"/>
  <c r="O115" i="24"/>
  <c r="O155" i="49"/>
  <c r="P155" i="49" s="1"/>
  <c r="O71" i="48"/>
  <c r="N167" i="58"/>
  <c r="Q99" i="63"/>
  <c r="S99" i="63" s="1"/>
  <c r="N137" i="33"/>
  <c r="N134" i="33" s="1"/>
  <c r="N52" i="50"/>
  <c r="O52" i="50" s="1"/>
  <c r="P52" i="50" s="1"/>
  <c r="O106" i="51"/>
  <c r="P106" i="51" s="1"/>
  <c r="N32" i="40"/>
  <c r="O32" i="40" s="1"/>
  <c r="P32" i="40" s="1"/>
  <c r="N80" i="23"/>
  <c r="O80" i="23" s="1"/>
  <c r="N113" i="39"/>
  <c r="O113" i="39" s="1"/>
  <c r="N98" i="49"/>
  <c r="N40" i="49"/>
  <c r="N38" i="49" s="1"/>
  <c r="N32" i="48"/>
  <c r="O32" i="48" s="1"/>
  <c r="P32" i="48" s="1"/>
  <c r="O15" i="48"/>
  <c r="AC65" i="5"/>
  <c r="AC5" i="5"/>
  <c r="AC62" i="5" s="1"/>
  <c r="O104" i="34"/>
  <c r="Q113" i="35"/>
  <c r="P113" i="35"/>
  <c r="N23" i="49"/>
  <c r="M22" i="49"/>
  <c r="M9" i="49" s="1"/>
  <c r="M5" i="49" s="1"/>
  <c r="N159" i="58"/>
  <c r="U89" i="63"/>
  <c r="Q42" i="63"/>
  <c r="S42" i="63" s="1"/>
  <c r="N144" i="25"/>
  <c r="O144" i="25" s="1"/>
  <c r="O136" i="20"/>
  <c r="N108" i="37"/>
  <c r="N28" i="33"/>
  <c r="N27" i="33" s="1"/>
  <c r="P118" i="46"/>
  <c r="Q118" i="46"/>
  <c r="P128" i="37"/>
  <c r="Q128" i="37"/>
  <c r="Q93" i="25"/>
  <c r="P93" i="25"/>
  <c r="P101" i="35"/>
  <c r="Q101" i="35"/>
  <c r="P132" i="48"/>
  <c r="Q132" i="48"/>
  <c r="P72" i="35"/>
  <c r="Q72" i="35"/>
  <c r="N106" i="34"/>
  <c r="O106" i="34" s="1"/>
  <c r="P106" i="34" s="1"/>
  <c r="N140" i="23"/>
  <c r="O140" i="23"/>
  <c r="P140" i="23" s="1"/>
  <c r="O128" i="46"/>
  <c r="N114" i="47"/>
  <c r="M97" i="32"/>
  <c r="U120" i="63"/>
  <c r="N210" i="58"/>
  <c r="N130" i="58"/>
  <c r="U54" i="63"/>
  <c r="S54" i="63"/>
  <c r="N125" i="40"/>
  <c r="N122" i="36"/>
  <c r="N153" i="51"/>
  <c r="O153" i="51" s="1"/>
  <c r="P153" i="51" s="1"/>
  <c r="N18" i="40"/>
  <c r="O18" i="40" s="1"/>
  <c r="P18" i="40" s="1"/>
  <c r="Q23" i="47"/>
  <c r="O54" i="23"/>
  <c r="P54" i="23" s="1"/>
  <c r="P98" i="35"/>
  <c r="Q98" i="35"/>
  <c r="Q106" i="33"/>
  <c r="P106" i="33"/>
  <c r="P53" i="37"/>
  <c r="Q53" i="37"/>
  <c r="Q54" i="47"/>
  <c r="P54" i="47"/>
  <c r="P15" i="46"/>
  <c r="Q15" i="46"/>
  <c r="Q116" i="24"/>
  <c r="P116" i="24"/>
  <c r="P52" i="48"/>
  <c r="Q52" i="48"/>
  <c r="N30" i="37"/>
  <c r="N27" i="37" s="1"/>
  <c r="N27" i="40"/>
  <c r="O46" i="25"/>
  <c r="P43" i="33"/>
  <c r="Q93" i="37"/>
  <c r="P93" i="37"/>
  <c r="Q76" i="46"/>
  <c r="P76" i="46"/>
  <c r="P73" i="48"/>
  <c r="Q73" i="48"/>
  <c r="Q95" i="33"/>
  <c r="P95" i="33"/>
  <c r="Q30" i="46"/>
  <c r="P30" i="46"/>
  <c r="Q59" i="33"/>
  <c r="P59" i="33"/>
  <c r="O96" i="40"/>
  <c r="N19" i="50"/>
  <c r="O49" i="25"/>
  <c r="O21" i="25"/>
  <c r="O151" i="40"/>
  <c r="O50" i="23"/>
  <c r="O155" i="20"/>
  <c r="O107" i="46"/>
  <c r="O14" i="35"/>
  <c r="O122" i="25"/>
  <c r="N121" i="25"/>
  <c r="O121" i="25" s="1"/>
  <c r="P151" i="47"/>
  <c r="Q151" i="47"/>
  <c r="Q12" i="24"/>
  <c r="P12" i="24"/>
  <c r="P46" i="35"/>
  <c r="Q46" i="35"/>
  <c r="P123" i="48"/>
  <c r="Q123" i="48"/>
  <c r="Q33" i="37"/>
  <c r="P33" i="37"/>
  <c r="N102" i="35"/>
  <c r="O103" i="35"/>
  <c r="P31" i="46"/>
  <c r="U127" i="63"/>
  <c r="O68" i="23"/>
  <c r="P68" i="23" s="1"/>
  <c r="O108" i="51"/>
  <c r="P108" i="51" s="1"/>
  <c r="N153" i="34"/>
  <c r="O153" i="34" s="1"/>
  <c r="P153" i="34" s="1"/>
  <c r="N69" i="54"/>
  <c r="P69" i="54"/>
  <c r="Q137" i="46"/>
  <c r="P137" i="46"/>
  <c r="Q138" i="46"/>
  <c r="P138" i="46"/>
  <c r="P79" i="47"/>
  <c r="Q79" i="47"/>
  <c r="P106" i="48"/>
  <c r="Q106" i="48"/>
  <c r="O54" i="33"/>
  <c r="O116" i="23"/>
  <c r="P116" i="23" s="1"/>
  <c r="O138" i="37"/>
  <c r="N118" i="37"/>
  <c r="O31" i="50"/>
  <c r="P31" i="50" s="1"/>
  <c r="Q20" i="48"/>
  <c r="P20" i="48"/>
  <c r="Q40" i="25"/>
  <c r="P40" i="25"/>
  <c r="P48" i="47"/>
  <c r="Q48" i="47"/>
  <c r="P163" i="37"/>
  <c r="Q163" i="37"/>
  <c r="P127" i="35"/>
  <c r="Q127" i="35"/>
  <c r="P139" i="46"/>
  <c r="Q139" i="46"/>
  <c r="V190" i="61"/>
  <c r="BL46" i="57" s="1"/>
  <c r="AE46" i="57" s="1"/>
  <c r="BK46" i="57"/>
  <c r="BB46" i="57" s="1"/>
  <c r="AJ46" i="57" s="1"/>
  <c r="I46" i="57" s="1"/>
  <c r="P49" i="36"/>
  <c r="Q49" i="36"/>
  <c r="P48" i="35"/>
  <c r="Q48" i="35"/>
  <c r="P139" i="35"/>
  <c r="Q139" i="35"/>
  <c r="Q78" i="24"/>
  <c r="Y141" i="63"/>
  <c r="AB141" i="63" s="1"/>
  <c r="O118" i="47"/>
  <c r="P19" i="54"/>
  <c r="N19" i="54"/>
  <c r="Q71" i="36"/>
  <c r="P71" i="36"/>
  <c r="Q107" i="35"/>
  <c r="P107" i="35"/>
  <c r="P98" i="36"/>
  <c r="Q98" i="36"/>
  <c r="Q73" i="25"/>
  <c r="P73" i="25"/>
  <c r="Q163" i="46"/>
  <c r="P163" i="46"/>
  <c r="P76" i="35"/>
  <c r="Q76" i="35"/>
  <c r="Q35" i="25"/>
  <c r="P35" i="25"/>
  <c r="N107" i="25"/>
  <c r="O107" i="25" s="1"/>
  <c r="N23" i="38"/>
  <c r="O23" i="38" s="1"/>
  <c r="N39" i="38"/>
  <c r="M38" i="38"/>
  <c r="N12" i="50"/>
  <c r="N10" i="50" s="1"/>
  <c r="E82" i="9"/>
  <c r="Q153" i="24"/>
  <c r="P153" i="24"/>
  <c r="O29" i="51"/>
  <c r="N122" i="49"/>
  <c r="N117" i="49" s="1"/>
  <c r="N116" i="37"/>
  <c r="N111" i="37" s="1"/>
  <c r="N18" i="25"/>
  <c r="O18" i="25" s="1"/>
  <c r="P51" i="36"/>
  <c r="Q51" i="36"/>
  <c r="Q28" i="32"/>
  <c r="O28" i="32"/>
  <c r="Q131" i="46"/>
  <c r="N118" i="33"/>
  <c r="O118" i="33" s="1"/>
  <c r="N42" i="38"/>
  <c r="N41" i="38" s="1"/>
  <c r="N17" i="38"/>
  <c r="O17" i="38"/>
  <c r="N16" i="50"/>
  <c r="O16" i="50" s="1"/>
  <c r="P16" i="50" s="1"/>
  <c r="J63" i="54"/>
  <c r="P72" i="23"/>
  <c r="N46" i="49"/>
  <c r="N44" i="49" s="1"/>
  <c r="O17" i="50"/>
  <c r="P17" i="50" s="1"/>
  <c r="E61" i="9"/>
  <c r="N52" i="38"/>
  <c r="O52" i="38" s="1"/>
  <c r="P52" i="38" s="1"/>
  <c r="N34" i="38"/>
  <c r="O34" i="38" s="1"/>
  <c r="P34" i="38" s="1"/>
  <c r="N29" i="50"/>
  <c r="O29" i="50" s="1"/>
  <c r="P29" i="50" s="1"/>
  <c r="N48" i="50"/>
  <c r="N47" i="50" s="1"/>
  <c r="O27" i="27"/>
  <c r="P27" i="27" s="1"/>
  <c r="P28" i="27"/>
  <c r="N128" i="49"/>
  <c r="O128" i="49" s="1"/>
  <c r="P128" i="49" s="1"/>
  <c r="N45" i="38"/>
  <c r="N44" i="38" s="1"/>
  <c r="N51" i="38"/>
  <c r="P76" i="23"/>
  <c r="J62" i="54"/>
  <c r="P140" i="35"/>
  <c r="Q140" i="35"/>
  <c r="J44" i="54"/>
  <c r="P78" i="23"/>
  <c r="O52" i="35"/>
  <c r="O72" i="33"/>
  <c r="O97" i="47"/>
  <c r="O79" i="51"/>
  <c r="P79" i="51" s="1"/>
  <c r="O78" i="48"/>
  <c r="N81" i="34"/>
  <c r="O11" i="51"/>
  <c r="O68" i="51"/>
  <c r="O45" i="51"/>
  <c r="O26" i="51"/>
  <c r="P26" i="51" s="1"/>
  <c r="O98" i="51"/>
  <c r="O55" i="47"/>
  <c r="O50" i="47"/>
  <c r="O140" i="46"/>
  <c r="N17" i="39"/>
  <c r="N95" i="35"/>
  <c r="N94" i="35" s="1"/>
  <c r="N152" i="34"/>
  <c r="O152" i="34" s="1"/>
  <c r="O73" i="51"/>
  <c r="P73" i="51" s="1"/>
  <c r="O50" i="51"/>
  <c r="P50" i="51" s="1"/>
  <c r="O24" i="51"/>
  <c r="O34" i="51"/>
  <c r="P34" i="51" s="1"/>
  <c r="O115" i="49"/>
  <c r="O16" i="49"/>
  <c r="P16" i="49" s="1"/>
  <c r="N78" i="49"/>
  <c r="O78" i="49" s="1"/>
  <c r="P78" i="49" s="1"/>
  <c r="O76" i="47"/>
  <c r="P71" i="45"/>
  <c r="N132" i="39"/>
  <c r="N130" i="39" s="1"/>
  <c r="O81" i="49"/>
  <c r="P81" i="49" s="1"/>
  <c r="O114" i="48"/>
  <c r="O143" i="49"/>
  <c r="O154" i="46"/>
  <c r="N68" i="35"/>
  <c r="N66" i="35" s="1"/>
  <c r="O71" i="37"/>
  <c r="E40" i="9"/>
  <c r="O35" i="38"/>
  <c r="P35" i="38" s="1"/>
  <c r="O24" i="38"/>
  <c r="P24" i="38" s="1"/>
  <c r="O40" i="38"/>
  <c r="P40" i="38" s="1"/>
  <c r="O54" i="38"/>
  <c r="P54" i="38" s="1"/>
  <c r="O68" i="38"/>
  <c r="P68" i="38" s="1"/>
  <c r="O74" i="33"/>
  <c r="O53" i="35"/>
  <c r="O116" i="36"/>
  <c r="O34" i="50"/>
  <c r="P34" i="50" s="1"/>
  <c r="O49" i="51"/>
  <c r="O106" i="49"/>
  <c r="P106" i="49" s="1"/>
  <c r="O156" i="48"/>
  <c r="N74" i="40"/>
  <c r="O74" i="40" s="1"/>
  <c r="P74" i="40" s="1"/>
  <c r="O74" i="51"/>
  <c r="P74" i="51" s="1"/>
  <c r="O109" i="51"/>
  <c r="P109" i="51" s="1"/>
  <c r="O140" i="49"/>
  <c r="P140" i="49" s="1"/>
  <c r="O25" i="47"/>
  <c r="O77" i="46"/>
  <c r="O33" i="48"/>
  <c r="O76" i="37"/>
  <c r="O123" i="46"/>
  <c r="O151" i="33"/>
  <c r="O100" i="35"/>
  <c r="O25" i="50"/>
  <c r="P25" i="50" s="1"/>
  <c r="O163" i="48"/>
  <c r="O25" i="33"/>
  <c r="O72" i="25"/>
  <c r="O75" i="25"/>
  <c r="O65" i="51"/>
  <c r="O72" i="51"/>
  <c r="O17" i="51"/>
  <c r="P17" i="51" s="1"/>
  <c r="O30" i="51"/>
  <c r="P30" i="51" s="1"/>
  <c r="O33" i="51"/>
  <c r="P33" i="51" s="1"/>
  <c r="O154" i="49"/>
  <c r="O58" i="49"/>
  <c r="O73" i="49"/>
  <c r="O34" i="49"/>
  <c r="P34" i="49" s="1"/>
  <c r="O97" i="49"/>
  <c r="N127" i="49"/>
  <c r="N21" i="45"/>
  <c r="Q21" i="45"/>
  <c r="N101" i="51"/>
  <c r="N99" i="51" s="1"/>
  <c r="O139" i="49"/>
  <c r="N133" i="48"/>
  <c r="N130" i="48" s="1"/>
  <c r="N95" i="48"/>
  <c r="N94" i="48" s="1"/>
  <c r="O32" i="47"/>
  <c r="P32" i="47" s="1"/>
  <c r="O163" i="47"/>
  <c r="N115" i="36"/>
  <c r="N111" i="36" s="1"/>
  <c r="O39" i="36"/>
  <c r="N68" i="36"/>
  <c r="N66" i="36" s="1"/>
  <c r="N29" i="35"/>
  <c r="N27" i="35" s="1"/>
  <c r="O151" i="36"/>
  <c r="N26" i="36"/>
  <c r="N22" i="36" s="1"/>
  <c r="O26" i="36"/>
  <c r="N59" i="38"/>
  <c r="N57" i="38" s="1"/>
  <c r="M91" i="39"/>
  <c r="N144" i="27"/>
  <c r="O144" i="27" s="1"/>
  <c r="P144" i="27" s="1"/>
  <c r="N105" i="20"/>
  <c r="O105" i="20" s="1"/>
  <c r="N115" i="20"/>
  <c r="O115" i="20" s="1"/>
  <c r="N140" i="37"/>
  <c r="O140" i="37"/>
  <c r="N46" i="50"/>
  <c r="N44" i="50" s="1"/>
  <c r="N142" i="39"/>
  <c r="N32" i="35"/>
  <c r="O32" i="35" s="1"/>
  <c r="P32" i="35" s="1"/>
  <c r="O96" i="36"/>
  <c r="O156" i="34"/>
  <c r="P156" i="34" s="1"/>
  <c r="N92" i="39"/>
  <c r="O21" i="33"/>
  <c r="O68" i="34"/>
  <c r="N107" i="34"/>
  <c r="O107" i="34" s="1"/>
  <c r="P107" i="34" s="1"/>
  <c r="N33" i="39"/>
  <c r="O33" i="39" s="1"/>
  <c r="P33" i="39" s="1"/>
  <c r="M6" i="39"/>
  <c r="N26" i="40"/>
  <c r="N22" i="40" s="1"/>
  <c r="N114" i="25"/>
  <c r="O114" i="25" s="1"/>
  <c r="O64" i="46"/>
  <c r="N68" i="39"/>
  <c r="N66" i="39" s="1"/>
  <c r="N56" i="39" s="1"/>
  <c r="O32" i="39"/>
  <c r="P32" i="39" s="1"/>
  <c r="N115" i="39"/>
  <c r="O115" i="39" s="1"/>
  <c r="P115" i="39" s="1"/>
  <c r="O79" i="35"/>
  <c r="N123" i="33"/>
  <c r="O123" i="33" s="1"/>
  <c r="O21" i="27"/>
  <c r="P21" i="27" s="1"/>
  <c r="O98" i="27"/>
  <c r="P98" i="27" s="1"/>
  <c r="O98" i="40"/>
  <c r="P98" i="40" s="1"/>
  <c r="O40" i="39"/>
  <c r="O18" i="34"/>
  <c r="O123" i="34"/>
  <c r="O80" i="34"/>
  <c r="M154" i="37"/>
  <c r="M75" i="23"/>
  <c r="N71" i="40"/>
  <c r="N154" i="39"/>
  <c r="N52" i="34"/>
  <c r="O52" i="34" s="1"/>
  <c r="M116" i="33"/>
  <c r="O136" i="25"/>
  <c r="O109" i="25"/>
  <c r="O127" i="23"/>
  <c r="O116" i="25"/>
  <c r="N34" i="24"/>
  <c r="O34" i="24"/>
  <c r="N14" i="40"/>
  <c r="N13" i="40" s="1"/>
  <c r="N26" i="39"/>
  <c r="N22" i="39" s="1"/>
  <c r="O30" i="27"/>
  <c r="P30" i="27" s="1"/>
  <c r="P90" i="5"/>
  <c r="O115" i="35"/>
  <c r="BK7" i="5"/>
  <c r="BK64" i="5" s="1"/>
  <c r="BK63" i="5"/>
  <c r="BD46" i="5"/>
  <c r="BD103" i="5" s="1"/>
  <c r="A23" i="11"/>
  <c r="A113" i="5"/>
  <c r="A38" i="11" s="1"/>
  <c r="O26" i="27"/>
  <c r="P26" i="27" s="1"/>
  <c r="O12" i="39"/>
  <c r="N108" i="20"/>
  <c r="O108" i="20" s="1"/>
  <c r="N23" i="37"/>
  <c r="N22" i="37" s="1"/>
  <c r="O96" i="27"/>
  <c r="P96" i="27" s="1"/>
  <c r="N118" i="20"/>
  <c r="O24" i="24"/>
  <c r="N107" i="23"/>
  <c r="O107" i="23" s="1"/>
  <c r="P107" i="23" s="1"/>
  <c r="N21" i="36"/>
  <c r="N19" i="36" s="1"/>
  <c r="N59" i="35"/>
  <c r="N57" i="35" s="1"/>
  <c r="O30" i="34"/>
  <c r="N33" i="36"/>
  <c r="O33" i="36" s="1"/>
  <c r="O74" i="20"/>
  <c r="O97" i="25"/>
  <c r="M52" i="20"/>
  <c r="N140" i="24"/>
  <c r="O140" i="24" s="1"/>
  <c r="O106" i="36"/>
  <c r="O78" i="33"/>
  <c r="O46" i="20"/>
  <c r="BP7" i="5"/>
  <c r="BP64" i="5" s="1"/>
  <c r="O46" i="27"/>
  <c r="P46" i="27" s="1"/>
  <c r="M139" i="20"/>
  <c r="N110" i="39"/>
  <c r="O110" i="39"/>
  <c r="P110" i="39" s="1"/>
  <c r="N114" i="20"/>
  <c r="O114" i="20" s="1"/>
  <c r="O68" i="20"/>
  <c r="N64" i="20"/>
  <c r="N63" i="20" s="1"/>
  <c r="N56" i="20" s="1"/>
  <c r="O64" i="20"/>
  <c r="N79" i="20"/>
  <c r="O79" i="20" s="1"/>
  <c r="O147" i="23"/>
  <c r="P147" i="23" s="1"/>
  <c r="O61" i="48"/>
  <c r="O61" i="24"/>
  <c r="N112" i="51"/>
  <c r="Q76" i="68"/>
  <c r="Q146" i="66"/>
  <c r="T146" i="66" s="1"/>
  <c r="U174" i="69"/>
  <c r="L266" i="58"/>
  <c r="Q174" i="69"/>
  <c r="S174" i="69" s="1"/>
  <c r="U191" i="61"/>
  <c r="W191" i="61" s="1"/>
  <c r="Q354" i="58"/>
  <c r="R354" i="58" s="1"/>
  <c r="T354" i="58" s="1"/>
  <c r="Q191" i="61"/>
  <c r="O110" i="24"/>
  <c r="P145" i="27"/>
  <c r="O159" i="23"/>
  <c r="P159" i="23" s="1"/>
  <c r="N106" i="47"/>
  <c r="O139" i="47"/>
  <c r="N105" i="36"/>
  <c r="P156" i="58"/>
  <c r="R156" i="58" s="1"/>
  <c r="T156" i="58" s="1"/>
  <c r="W156" i="58" s="1"/>
  <c r="Q80" i="66"/>
  <c r="T80" i="66" s="1"/>
  <c r="U69" i="69"/>
  <c r="L147" i="58"/>
  <c r="Q172" i="69"/>
  <c r="L264" i="58"/>
  <c r="M156" i="51"/>
  <c r="Q201" i="63"/>
  <c r="N287" i="58"/>
  <c r="J242" i="58"/>
  <c r="Q150" i="64"/>
  <c r="O186" i="32"/>
  <c r="O140" i="45"/>
  <c r="P140" i="45" s="1"/>
  <c r="M224" i="45"/>
  <c r="Q125" i="68"/>
  <c r="O221" i="58"/>
  <c r="E24" i="56"/>
  <c r="AR7" i="57"/>
  <c r="G3" i="66"/>
  <c r="P8" i="58"/>
  <c r="O158" i="27"/>
  <c r="O148" i="39"/>
  <c r="P148" i="39" s="1"/>
  <c r="O186" i="45"/>
  <c r="P186" i="45" s="1"/>
  <c r="Q183" i="69"/>
  <c r="U85" i="63"/>
  <c r="Q85" i="63"/>
  <c r="N279" i="58"/>
  <c r="R279" i="58" s="1"/>
  <c r="T279" i="58" s="1"/>
  <c r="W279" i="58" s="1"/>
  <c r="Q193" i="63"/>
  <c r="L145" i="58"/>
  <c r="U67" i="69"/>
  <c r="U149" i="69"/>
  <c r="L241" i="58"/>
  <c r="Q149" i="69"/>
  <c r="P25" i="56"/>
  <c r="D2" i="9"/>
  <c r="O62" i="34"/>
  <c r="U150" i="69"/>
  <c r="L242" i="58"/>
  <c r="E20" i="56"/>
  <c r="D25" i="56"/>
  <c r="G3" i="64"/>
  <c r="J8" i="58"/>
  <c r="AI7" i="57"/>
  <c r="O148" i="51"/>
  <c r="N240" i="58"/>
  <c r="U152" i="69"/>
  <c r="L244" i="58"/>
  <c r="L286" i="58"/>
  <c r="Q194" i="69"/>
  <c r="G51" i="56"/>
  <c r="D3" i="56" s="1"/>
  <c r="G2" i="61" s="1"/>
  <c r="U13" i="66"/>
  <c r="E36" i="56"/>
  <c r="V176" i="61"/>
  <c r="V178" i="61"/>
  <c r="Q13" i="61"/>
  <c r="S13" i="61" s="1"/>
  <c r="Q13" i="58"/>
  <c r="R13" i="58" s="1"/>
  <c r="Q73" i="58"/>
  <c r="R73" i="58" s="1"/>
  <c r="T73" i="58" s="1"/>
  <c r="W73" i="58" s="1"/>
  <c r="U81" i="61"/>
  <c r="Q81" i="61"/>
  <c r="P81" i="61" s="1"/>
  <c r="U61" i="61"/>
  <c r="Y61" i="61" s="1"/>
  <c r="Q61" i="61"/>
  <c r="P61" i="61" s="1"/>
  <c r="U88" i="61"/>
  <c r="Y88" i="61" s="1"/>
  <c r="Q88" i="61"/>
  <c r="P88" i="61" s="1"/>
  <c r="Q80" i="58"/>
  <c r="R80" i="58" s="1"/>
  <c r="T80" i="58" s="1"/>
  <c r="Q179" i="61"/>
  <c r="P179" i="61" s="1"/>
  <c r="Q342" i="58"/>
  <c r="R342" i="58" s="1"/>
  <c r="T342" i="58" s="1"/>
  <c r="W342" i="58" s="1"/>
  <c r="O175" i="61"/>
  <c r="U179" i="61"/>
  <c r="Y179" i="61" s="1"/>
  <c r="W25" i="61"/>
  <c r="V25" i="61" s="1"/>
  <c r="S176" i="61"/>
  <c r="P176" i="61"/>
  <c r="U98" i="61"/>
  <c r="Q90" i="58"/>
  <c r="R90" i="58" s="1"/>
  <c r="T90" i="58" s="1"/>
  <c r="W90" i="58" s="1"/>
  <c r="Q98" i="61"/>
  <c r="P98" i="61" s="1"/>
  <c r="S178" i="61"/>
  <c r="P178" i="61"/>
  <c r="U97" i="61"/>
  <c r="W97" i="61" s="1"/>
  <c r="V97" i="61" s="1"/>
  <c r="Q97" i="61"/>
  <c r="P97" i="61" s="1"/>
  <c r="Q89" i="58"/>
  <c r="R89" i="58" s="1"/>
  <c r="T89" i="58" s="1"/>
  <c r="W89" i="58" s="1"/>
  <c r="BK47" i="57"/>
  <c r="BB47" i="57" s="1"/>
  <c r="AP47" i="57" s="1"/>
  <c r="Q18" i="58"/>
  <c r="R18" i="58" s="1"/>
  <c r="T18" i="58" s="1"/>
  <c r="U18" i="61"/>
  <c r="Y18" i="61" s="1"/>
  <c r="Q18" i="61"/>
  <c r="S18" i="61" s="1"/>
  <c r="W138" i="61"/>
  <c r="V138" i="61" s="1"/>
  <c r="Q88" i="58"/>
  <c r="R88" i="58" s="1"/>
  <c r="T88" i="58" s="1"/>
  <c r="V88" i="58" s="1"/>
  <c r="Q96" i="61"/>
  <c r="P96" i="61" s="1"/>
  <c r="U96" i="61"/>
  <c r="W96" i="61" s="1"/>
  <c r="V96" i="61" s="1"/>
  <c r="Q11" i="58"/>
  <c r="R11" i="58" s="1"/>
  <c r="Q11" i="61"/>
  <c r="U87" i="61"/>
  <c r="Q79" i="58"/>
  <c r="R79" i="58" s="1"/>
  <c r="T79" i="58" s="1"/>
  <c r="V79" i="58" s="1"/>
  <c r="Q87" i="61"/>
  <c r="S87" i="61" s="1"/>
  <c r="O86" i="61"/>
  <c r="O82" i="61" s="1"/>
  <c r="U12" i="61"/>
  <c r="Q12" i="58"/>
  <c r="R12" i="58" s="1"/>
  <c r="T12" i="58" s="1"/>
  <c r="W12" i="58" s="1"/>
  <c r="Q12" i="61"/>
  <c r="S12" i="61" s="1"/>
  <c r="U140" i="61"/>
  <c r="Y140" i="61" s="1"/>
  <c r="Q140" i="61"/>
  <c r="P140" i="61" s="1"/>
  <c r="Q303" i="58"/>
  <c r="R303" i="58" s="1"/>
  <c r="T303" i="58" s="1"/>
  <c r="V303" i="58" s="1"/>
  <c r="Q138" i="61"/>
  <c r="V77" i="61"/>
  <c r="Q301" i="58"/>
  <c r="R301" i="58" s="1"/>
  <c r="T301" i="58" s="1"/>
  <c r="W301" i="58" s="1"/>
  <c r="Q25" i="61"/>
  <c r="S25" i="61" s="1"/>
  <c r="V192" i="61"/>
  <c r="BL48" i="57" s="1"/>
  <c r="AB48" i="57" s="1"/>
  <c r="Q25" i="58"/>
  <c r="R25" i="58" s="1"/>
  <c r="T25" i="58" s="1"/>
  <c r="V25" i="58" s="1"/>
  <c r="Q26" i="61"/>
  <c r="S26" i="61" s="1"/>
  <c r="X208" i="63"/>
  <c r="Y208" i="63" s="1"/>
  <c r="AB208" i="63" s="1"/>
  <c r="U208" i="62"/>
  <c r="T27" i="68"/>
  <c r="P27" i="68"/>
  <c r="Q25" i="68"/>
  <c r="T25" i="68" s="1"/>
  <c r="T99" i="68"/>
  <c r="P99" i="68"/>
  <c r="O258" i="58"/>
  <c r="U169" i="68"/>
  <c r="Q34" i="68"/>
  <c r="O33" i="68"/>
  <c r="U33" i="68" s="1"/>
  <c r="U34" i="68"/>
  <c r="U134" i="68"/>
  <c r="Q134" i="68"/>
  <c r="U44" i="68"/>
  <c r="Q44" i="68"/>
  <c r="O126" i="58"/>
  <c r="Q43" i="68"/>
  <c r="U43" i="68"/>
  <c r="O198" i="58"/>
  <c r="S102" i="68"/>
  <c r="Q38" i="68"/>
  <c r="S38" i="68" s="1"/>
  <c r="U38" i="68"/>
  <c r="O120" i="58"/>
  <c r="O144" i="58"/>
  <c r="U66" i="68"/>
  <c r="S66" i="68"/>
  <c r="Q186" i="68"/>
  <c r="S186" i="68" s="1"/>
  <c r="U186" i="68"/>
  <c r="O278" i="58"/>
  <c r="O277" i="58" s="1"/>
  <c r="O185" i="68"/>
  <c r="U94" i="68"/>
  <c r="O168" i="58"/>
  <c r="O167" i="58"/>
  <c r="Q93" i="68"/>
  <c r="S93" i="68" s="1"/>
  <c r="S55" i="68"/>
  <c r="T55" i="68"/>
  <c r="O294" i="58"/>
  <c r="U202" i="68"/>
  <c r="Q202" i="68"/>
  <c r="Q59" i="68"/>
  <c r="U59" i="68"/>
  <c r="O58" i="68"/>
  <c r="U92" i="68"/>
  <c r="Q92" i="68"/>
  <c r="S92" i="68" s="1"/>
  <c r="O166" i="58"/>
  <c r="Q18" i="68"/>
  <c r="U18" i="68"/>
  <c r="O104" i="58"/>
  <c r="O193" i="68"/>
  <c r="U193" i="68" s="1"/>
  <c r="O288" i="58"/>
  <c r="U196" i="68"/>
  <c r="Q115" i="68"/>
  <c r="S115" i="68" s="1"/>
  <c r="O211" i="58"/>
  <c r="U115" i="68"/>
  <c r="U70" i="68"/>
  <c r="Q70" i="68"/>
  <c r="O117" i="58"/>
  <c r="Q35" i="68"/>
  <c r="S35" i="68" s="1"/>
  <c r="U22" i="68"/>
  <c r="Q22" i="68"/>
  <c r="S22" i="68" s="1"/>
  <c r="Q136" i="68"/>
  <c r="O228" i="58"/>
  <c r="O274" i="58"/>
  <c r="Q182" i="68"/>
  <c r="U182" i="68"/>
  <c r="O202" i="58"/>
  <c r="U106" i="68"/>
  <c r="Q106" i="68"/>
  <c r="O19" i="68"/>
  <c r="U20" i="68"/>
  <c r="U73" i="68"/>
  <c r="Q73" i="68"/>
  <c r="S73" i="68" s="1"/>
  <c r="S72" i="68" s="1"/>
  <c r="Q158" i="68"/>
  <c r="U158" i="68"/>
  <c r="O172" i="58"/>
  <c r="U98" i="68"/>
  <c r="S98" i="68"/>
  <c r="P102" i="68"/>
  <c r="P113" i="68"/>
  <c r="S54" i="68"/>
  <c r="Q20" i="68"/>
  <c r="S20" i="68" s="1"/>
  <c r="Q96" i="68"/>
  <c r="U140" i="68"/>
  <c r="O232" i="58"/>
  <c r="Q140" i="68"/>
  <c r="O137" i="58"/>
  <c r="U57" i="68"/>
  <c r="Q57" i="68"/>
  <c r="S57" i="68" s="1"/>
  <c r="Q130" i="68"/>
  <c r="U130" i="68"/>
  <c r="O129" i="68"/>
  <c r="Q112" i="68"/>
  <c r="Q111" i="68"/>
  <c r="O207" i="58"/>
  <c r="U111" i="68"/>
  <c r="U122" i="68"/>
  <c r="O218" i="58"/>
  <c r="O108" i="58"/>
  <c r="Q24" i="68"/>
  <c r="S24" i="68" s="1"/>
  <c r="U181" i="68"/>
  <c r="O273" i="58"/>
  <c r="Q181" i="68"/>
  <c r="Q117" i="68"/>
  <c r="O213" i="58"/>
  <c r="U119" i="68"/>
  <c r="Q119" i="68"/>
  <c r="O215" i="58"/>
  <c r="U39" i="68"/>
  <c r="Q39" i="68"/>
  <c r="S39" i="68" s="1"/>
  <c r="U64" i="68"/>
  <c r="O142" i="58"/>
  <c r="Q64" i="68"/>
  <c r="S64" i="68" s="1"/>
  <c r="Q114" i="68"/>
  <c r="O210" i="58"/>
  <c r="U114" i="68"/>
  <c r="U192" i="68"/>
  <c r="O284" i="58"/>
  <c r="Q192" i="68"/>
  <c r="S192" i="68" s="1"/>
  <c r="U28" i="68"/>
  <c r="S28" i="68"/>
  <c r="O110" i="58"/>
  <c r="Q121" i="68"/>
  <c r="S121" i="68" s="1"/>
  <c r="U121" i="68"/>
  <c r="O217" i="58"/>
  <c r="O120" i="68"/>
  <c r="U120" i="68" s="1"/>
  <c r="U168" i="68"/>
  <c r="O260" i="58"/>
  <c r="O111" i="58"/>
  <c r="Q29" i="68"/>
  <c r="S29" i="68" s="1"/>
  <c r="U29" i="68"/>
  <c r="U62" i="68"/>
  <c r="O140" i="58"/>
  <c r="Q62" i="68"/>
  <c r="S62" i="68" s="1"/>
  <c r="P54" i="68"/>
  <c r="O106" i="58"/>
  <c r="U68" i="68"/>
  <c r="O146" i="58"/>
  <c r="U21" i="68"/>
  <c r="Q21" i="68"/>
  <c r="Q143" i="68"/>
  <c r="S143" i="68" s="1"/>
  <c r="O235" i="58"/>
  <c r="U143" i="68"/>
  <c r="U63" i="68"/>
  <c r="O141" i="58"/>
  <c r="Q63" i="68"/>
  <c r="S63" i="68" s="1"/>
  <c r="U41" i="68"/>
  <c r="Q41" i="68"/>
  <c r="O130" i="58"/>
  <c r="U48" i="68"/>
  <c r="Q48" i="68"/>
  <c r="U141" i="68"/>
  <c r="O233" i="58"/>
  <c r="Q123" i="68"/>
  <c r="S123" i="68" s="1"/>
  <c r="U123" i="68"/>
  <c r="U54" i="68"/>
  <c r="O134" i="58"/>
  <c r="U26" i="68"/>
  <c r="S26" i="68"/>
  <c r="O25" i="68"/>
  <c r="U37" i="68"/>
  <c r="O119" i="58"/>
  <c r="Q37" i="68"/>
  <c r="O133" i="58"/>
  <c r="U53" i="68"/>
  <c r="Q53" i="68"/>
  <c r="S53" i="68" s="1"/>
  <c r="Q40" i="68"/>
  <c r="U40" i="68"/>
  <c r="O163" i="58"/>
  <c r="Q89" i="68"/>
  <c r="U89" i="68"/>
  <c r="Q75" i="68"/>
  <c r="O151" i="58"/>
  <c r="U75" i="68"/>
  <c r="Q180" i="68"/>
  <c r="S180" i="68" s="1"/>
  <c r="U180" i="68"/>
  <c r="O272" i="58"/>
  <c r="P66" i="68"/>
  <c r="U35" i="68"/>
  <c r="U83" i="68"/>
  <c r="Q83" i="68"/>
  <c r="O159" i="58"/>
  <c r="Q198" i="68"/>
  <c r="S198" i="68" s="1"/>
  <c r="U198" i="68"/>
  <c r="Q135" i="68"/>
  <c r="U135" i="68"/>
  <c r="O227" i="58"/>
  <c r="O132" i="68"/>
  <c r="Q133" i="68"/>
  <c r="U86" i="68"/>
  <c r="Q86" i="68"/>
  <c r="S86" i="68" s="1"/>
  <c r="Q109" i="68"/>
  <c r="S109" i="68" s="1"/>
  <c r="U109" i="68"/>
  <c r="U60" i="68"/>
  <c r="Q60" i="68"/>
  <c r="O291" i="58"/>
  <c r="U199" i="68"/>
  <c r="Q199" i="68"/>
  <c r="O165" i="58"/>
  <c r="U91" i="68"/>
  <c r="Q91" i="68"/>
  <c r="U173" i="68"/>
  <c r="O265" i="58"/>
  <c r="Q173" i="68"/>
  <c r="S173" i="68" s="1"/>
  <c r="O102" i="58"/>
  <c r="U16" i="68"/>
  <c r="Q16" i="68"/>
  <c r="O292" i="58"/>
  <c r="Q200" i="68"/>
  <c r="O84" i="68"/>
  <c r="O82" i="68" s="1"/>
  <c r="U82" i="68" s="1"/>
  <c r="U85" i="68"/>
  <c r="Q85" i="68"/>
  <c r="S85" i="68" s="1"/>
  <c r="Q61" i="68"/>
  <c r="S61" i="68" s="1"/>
  <c r="U61" i="68"/>
  <c r="O139" i="58"/>
  <c r="S18" i="68"/>
  <c r="O72" i="68"/>
  <c r="Q196" i="68"/>
  <c r="S196" i="68" s="1"/>
  <c r="U137" i="68"/>
  <c r="Q137" i="68"/>
  <c r="S137" i="68" s="1"/>
  <c r="O229" i="58"/>
  <c r="S90" i="68"/>
  <c r="O164" i="58"/>
  <c r="U90" i="68"/>
  <c r="U88" i="68"/>
  <c r="Q88" i="68"/>
  <c r="S88" i="68" s="1"/>
  <c r="Q15" i="68"/>
  <c r="U15" i="68"/>
  <c r="O101" i="58"/>
  <c r="U65" i="68"/>
  <c r="Q65" i="68"/>
  <c r="O143" i="58"/>
  <c r="O256" i="58"/>
  <c r="U164" i="68"/>
  <c r="Q201" i="68"/>
  <c r="U201" i="68"/>
  <c r="O293" i="58"/>
  <c r="Q87" i="68"/>
  <c r="O161" i="58"/>
  <c r="O271" i="58"/>
  <c r="Q179" i="68"/>
  <c r="S179" i="68" s="1"/>
  <c r="U179" i="68"/>
  <c r="Q191" i="68"/>
  <c r="U191" i="68"/>
  <c r="O49" i="68"/>
  <c r="U51" i="68"/>
  <c r="Q51" i="68"/>
  <c r="Q138" i="68"/>
  <c r="U138" i="68"/>
  <c r="O209" i="58"/>
  <c r="Q36" i="68"/>
  <c r="S36" i="68" s="1"/>
  <c r="U36" i="68"/>
  <c r="O118" i="58"/>
  <c r="Q166" i="68"/>
  <c r="S166" i="68" s="1"/>
  <c r="U166" i="68"/>
  <c r="O95" i="68"/>
  <c r="U95" i="68" s="1"/>
  <c r="U96" i="68"/>
  <c r="O170" i="58"/>
  <c r="Q168" i="68"/>
  <c r="O206" i="58"/>
  <c r="Q110" i="68"/>
  <c r="S110" i="68" s="1"/>
  <c r="Q17" i="68"/>
  <c r="S17" i="68" s="1"/>
  <c r="O103" i="58"/>
  <c r="O214" i="58"/>
  <c r="U118" i="68"/>
  <c r="Q118" i="68"/>
  <c r="S118" i="68" s="1"/>
  <c r="O249" i="58"/>
  <c r="O153" i="68"/>
  <c r="U153" i="68" s="1"/>
  <c r="Q157" i="68"/>
  <c r="U27" i="68"/>
  <c r="S27" i="68"/>
  <c r="U116" i="68"/>
  <c r="O212" i="58"/>
  <c r="Q116" i="68"/>
  <c r="Q97" i="68"/>
  <c r="S97" i="68" s="1"/>
  <c r="O171" i="58"/>
  <c r="O261" i="58"/>
  <c r="Q169" i="68"/>
  <c r="O129" i="58"/>
  <c r="U47" i="68"/>
  <c r="Q47" i="68"/>
  <c r="S99" i="68"/>
  <c r="O173" i="58"/>
  <c r="U99" i="68"/>
  <c r="Q42" i="68"/>
  <c r="S42" i="68" s="1"/>
  <c r="O124" i="58"/>
  <c r="U42" i="68"/>
  <c r="T38" i="66"/>
  <c r="U25" i="66"/>
  <c r="T116" i="66"/>
  <c r="T103" i="66"/>
  <c r="T111" i="66"/>
  <c r="T84" i="66"/>
  <c r="T121" i="66"/>
  <c r="T199" i="66"/>
  <c r="U97" i="66"/>
  <c r="T106" i="66"/>
  <c r="T40" i="66"/>
  <c r="T131" i="66"/>
  <c r="U98" i="66"/>
  <c r="U166" i="66"/>
  <c r="T108" i="66"/>
  <c r="T138" i="66"/>
  <c r="BK6" i="57"/>
  <c r="AD48" i="57" s="1"/>
  <c r="U202" i="66"/>
  <c r="U61" i="66"/>
  <c r="U75" i="66"/>
  <c r="T105" i="66"/>
  <c r="U133" i="66"/>
  <c r="U48" i="66"/>
  <c r="U109" i="66"/>
  <c r="U147" i="66"/>
  <c r="T175" i="66"/>
  <c r="U154" i="66"/>
  <c r="U186" i="66"/>
  <c r="T50" i="66"/>
  <c r="T74" i="66"/>
  <c r="U122" i="66"/>
  <c r="U74" i="66"/>
  <c r="T183" i="66"/>
  <c r="T160" i="66"/>
  <c r="U125" i="66"/>
  <c r="U30" i="66"/>
  <c r="T164" i="66"/>
  <c r="U23" i="66"/>
  <c r="T65" i="66"/>
  <c r="T182" i="66"/>
  <c r="T22" i="66"/>
  <c r="T75" i="66"/>
  <c r="T59" i="66"/>
  <c r="T52" i="66"/>
  <c r="U99" i="66"/>
  <c r="T152" i="66"/>
  <c r="U65" i="66"/>
  <c r="U123" i="66"/>
  <c r="T112" i="66"/>
  <c r="U51" i="66"/>
  <c r="T41" i="66"/>
  <c r="U104" i="66"/>
  <c r="U143" i="66"/>
  <c r="U168" i="66"/>
  <c r="T197" i="66"/>
  <c r="U189" i="66"/>
  <c r="U149" i="66"/>
  <c r="U54" i="66"/>
  <c r="U62" i="66"/>
  <c r="U102" i="66"/>
  <c r="U40" i="66"/>
  <c r="U187" i="66"/>
  <c r="U165" i="66"/>
  <c r="U172" i="66"/>
  <c r="U108" i="66"/>
  <c r="U181" i="66"/>
  <c r="T166" i="66"/>
  <c r="T134" i="66"/>
  <c r="T141" i="66"/>
  <c r="T198" i="66"/>
  <c r="T191" i="66"/>
  <c r="T149" i="66"/>
  <c r="T55" i="66"/>
  <c r="U119" i="66"/>
  <c r="T161" i="66"/>
  <c r="U36" i="66"/>
  <c r="U68" i="66"/>
  <c r="U16" i="66"/>
  <c r="U140" i="66"/>
  <c r="U85" i="66"/>
  <c r="U59" i="66"/>
  <c r="U89" i="66"/>
  <c r="U167" i="66"/>
  <c r="U155" i="66"/>
  <c r="T69" i="66"/>
  <c r="U57" i="66"/>
  <c r="U64" i="66"/>
  <c r="U159" i="66"/>
  <c r="U161" i="66"/>
  <c r="U152" i="66"/>
  <c r="U116" i="66"/>
  <c r="T81" i="66"/>
  <c r="U175" i="66"/>
  <c r="T341" i="58"/>
  <c r="W341" i="58" s="1"/>
  <c r="T98" i="66"/>
  <c r="T99" i="66"/>
  <c r="T18" i="66"/>
  <c r="T36" i="66"/>
  <c r="T44" i="66"/>
  <c r="T102" i="66"/>
  <c r="T147" i="66"/>
  <c r="T148" i="66"/>
  <c r="T181" i="66"/>
  <c r="T89" i="66"/>
  <c r="U91" i="66"/>
  <c r="U38" i="66"/>
  <c r="U164" i="66"/>
  <c r="U18" i="66"/>
  <c r="T165" i="66"/>
  <c r="U84" i="66"/>
  <c r="U90" i="66"/>
  <c r="U157" i="66"/>
  <c r="U182" i="66"/>
  <c r="U190" i="66"/>
  <c r="U28" i="66"/>
  <c r="U197" i="66"/>
  <c r="U94" i="66"/>
  <c r="T124" i="66"/>
  <c r="U151" i="66"/>
  <c r="U160" i="66"/>
  <c r="U178" i="66"/>
  <c r="T119" i="66"/>
  <c r="T48" i="66"/>
  <c r="T53" i="66"/>
  <c r="T51" i="66"/>
  <c r="T86" i="66"/>
  <c r="T187" i="66"/>
  <c r="T150" i="66"/>
  <c r="U113" i="66"/>
  <c r="U37" i="66"/>
  <c r="U200" i="66"/>
  <c r="U24" i="66"/>
  <c r="U103" i="66"/>
  <c r="U158" i="66"/>
  <c r="U76" i="66"/>
  <c r="U67" i="66"/>
  <c r="U50" i="66"/>
  <c r="U55" i="66"/>
  <c r="S4" i="14"/>
  <c r="T178" i="66"/>
  <c r="U87" i="66"/>
  <c r="U80" i="66"/>
  <c r="T90" i="66"/>
  <c r="T196" i="66"/>
  <c r="T113" i="66"/>
  <c r="T17" i="66"/>
  <c r="T109" i="66"/>
  <c r="T35" i="66"/>
  <c r="T155" i="66"/>
  <c r="T167" i="66"/>
  <c r="T186" i="66"/>
  <c r="T176" i="66"/>
  <c r="T143" i="66"/>
  <c r="U111" i="66"/>
  <c r="U86" i="66"/>
  <c r="U17" i="66"/>
  <c r="U66" i="66"/>
  <c r="U191" i="66"/>
  <c r="U121" i="66"/>
  <c r="U34" i="66"/>
  <c r="T125" i="66"/>
  <c r="U179" i="66"/>
  <c r="U105" i="66"/>
  <c r="U41" i="66"/>
  <c r="U171" i="66"/>
  <c r="U131" i="66"/>
  <c r="U192" i="66"/>
  <c r="U70" i="66"/>
  <c r="U110" i="66"/>
  <c r="U81" i="66"/>
  <c r="T13" i="66"/>
  <c r="U162" i="66"/>
  <c r="U183" i="66"/>
  <c r="U176" i="66"/>
  <c r="U138" i="66"/>
  <c r="U15" i="66"/>
  <c r="U156" i="66"/>
  <c r="U31" i="66"/>
  <c r="T120" i="66"/>
  <c r="T66" i="66"/>
  <c r="T24" i="66"/>
  <c r="T61" i="66"/>
  <c r="T118" i="66"/>
  <c r="T85" i="66"/>
  <c r="T122" i="66"/>
  <c r="T157" i="66"/>
  <c r="T168" i="66"/>
  <c r="T47" i="66"/>
  <c r="T67" i="66"/>
  <c r="T76" i="66"/>
  <c r="T179" i="66"/>
  <c r="U134" i="66"/>
  <c r="U22" i="66"/>
  <c r="U141" i="66"/>
  <c r="U35" i="66"/>
  <c r="U44" i="66"/>
  <c r="U188" i="66"/>
  <c r="U52" i="66"/>
  <c r="U145" i="66"/>
  <c r="T62" i="66"/>
  <c r="T32" i="66"/>
  <c r="U96" i="66"/>
  <c r="U69" i="66"/>
  <c r="U194" i="66"/>
  <c r="U47" i="66"/>
  <c r="U173" i="66"/>
  <c r="U92" i="66"/>
  <c r="U32" i="66"/>
  <c r="AL24" i="57"/>
  <c r="K24" i="57" s="1"/>
  <c r="N294" i="58"/>
  <c r="O199" i="63"/>
  <c r="U199" i="63" s="1"/>
  <c r="U208" i="63"/>
  <c r="Q208" i="63"/>
  <c r="S208" i="63" s="1"/>
  <c r="R221" i="58"/>
  <c r="T221" i="58" s="1"/>
  <c r="W221" i="58" s="1"/>
  <c r="Q208" i="62"/>
  <c r="H294" i="58"/>
  <c r="O199" i="62"/>
  <c r="Y94" i="61"/>
  <c r="M76" i="61"/>
  <c r="O76" i="61" s="1"/>
  <c r="Q76" i="61" s="1"/>
  <c r="P76" i="61" s="1"/>
  <c r="Y17" i="61"/>
  <c r="AU25" i="57"/>
  <c r="T25" i="57" s="1"/>
  <c r="T91" i="65"/>
  <c r="P91" i="65"/>
  <c r="S91" i="65"/>
  <c r="P62" i="65"/>
  <c r="S62" i="65"/>
  <c r="T62" i="65"/>
  <c r="M135" i="58"/>
  <c r="U55" i="65"/>
  <c r="Q55" i="65"/>
  <c r="S55" i="65" s="1"/>
  <c r="Q141" i="65"/>
  <c r="M233" i="58"/>
  <c r="U141" i="65"/>
  <c r="U98" i="65"/>
  <c r="Q98" i="65"/>
  <c r="S98" i="65" s="1"/>
  <c r="M172" i="58"/>
  <c r="Q154" i="65"/>
  <c r="S154" i="65" s="1"/>
  <c r="M246" i="58"/>
  <c r="O153" i="65"/>
  <c r="U153" i="65" s="1"/>
  <c r="U154" i="65"/>
  <c r="T66" i="65"/>
  <c r="P66" i="65"/>
  <c r="U50" i="65"/>
  <c r="Q50" i="65"/>
  <c r="S50" i="65" s="1"/>
  <c r="S49" i="65" s="1"/>
  <c r="Q87" i="65"/>
  <c r="S87" i="65" s="1"/>
  <c r="U87" i="65"/>
  <c r="M101" i="58"/>
  <c r="Q15" i="65"/>
  <c r="S15" i="65" s="1"/>
  <c r="U15" i="65"/>
  <c r="O95" i="65"/>
  <c r="U95" i="65" s="1"/>
  <c r="M170" i="58"/>
  <c r="Q96" i="65"/>
  <c r="M142" i="58"/>
  <c r="Q64" i="65"/>
  <c r="S64" i="65" s="1"/>
  <c r="U64" i="65"/>
  <c r="O25" i="65"/>
  <c r="Q26" i="65"/>
  <c r="S26" i="65" s="1"/>
  <c r="Q122" i="65"/>
  <c r="S122" i="65" s="1"/>
  <c r="U122" i="65"/>
  <c r="M218" i="58"/>
  <c r="M216" i="58" s="1"/>
  <c r="O120" i="65"/>
  <c r="U120" i="65" s="1"/>
  <c r="U68" i="65"/>
  <c r="Q68" i="65"/>
  <c r="S68" i="65" s="1"/>
  <c r="M146" i="58"/>
  <c r="U200" i="65"/>
  <c r="M292" i="58"/>
  <c r="Q164" i="65"/>
  <c r="S164" i="65" s="1"/>
  <c r="U164" i="65"/>
  <c r="O163" i="65"/>
  <c r="U163" i="65" s="1"/>
  <c r="Q21" i="65"/>
  <c r="S21" i="65" s="1"/>
  <c r="S19" i="65" s="1"/>
  <c r="U21" i="65"/>
  <c r="M104" i="58"/>
  <c r="Q18" i="65"/>
  <c r="U18" i="65"/>
  <c r="Q182" i="65"/>
  <c r="S182" i="65" s="1"/>
  <c r="U182" i="65"/>
  <c r="U61" i="65"/>
  <c r="Q61" i="65"/>
  <c r="S61" i="65" s="1"/>
  <c r="M139" i="58"/>
  <c r="O185" i="65"/>
  <c r="U186" i="65"/>
  <c r="Q186" i="65"/>
  <c r="S186" i="65" s="1"/>
  <c r="M278" i="58"/>
  <c r="U37" i="65"/>
  <c r="Q37" i="65"/>
  <c r="S37" i="65" s="1"/>
  <c r="Q106" i="65"/>
  <c r="S106" i="65" s="1"/>
  <c r="U106" i="65"/>
  <c r="Q97" i="65"/>
  <c r="S97" i="65" s="1"/>
  <c r="Q36" i="65"/>
  <c r="S36" i="65" s="1"/>
  <c r="U22" i="65"/>
  <c r="Q22" i="65"/>
  <c r="S94" i="65"/>
  <c r="S63" i="65"/>
  <c r="T109" i="65"/>
  <c r="M166" i="58"/>
  <c r="U36" i="65"/>
  <c r="Q200" i="65"/>
  <c r="S200" i="65" s="1"/>
  <c r="M273" i="58"/>
  <c r="Q181" i="65"/>
  <c r="U181" i="65"/>
  <c r="U179" i="65"/>
  <c r="M271" i="58"/>
  <c r="Q179" i="65"/>
  <c r="Q130" i="65"/>
  <c r="S130" i="65" s="1"/>
  <c r="O129" i="65"/>
  <c r="U38" i="65"/>
  <c r="Q38" i="65"/>
  <c r="U165" i="65"/>
  <c r="Q165" i="65"/>
  <c r="M257" i="58"/>
  <c r="Q191" i="65"/>
  <c r="M283" i="58"/>
  <c r="U75" i="65"/>
  <c r="Q75" i="65"/>
  <c r="M151" i="58"/>
  <c r="M260" i="58"/>
  <c r="U168" i="65"/>
  <c r="Q168" i="65"/>
  <c r="Q41" i="65"/>
  <c r="S41" i="65" s="1"/>
  <c r="M123" i="58"/>
  <c r="U41" i="65"/>
  <c r="S137" i="65"/>
  <c r="P28" i="65"/>
  <c r="T94" i="65"/>
  <c r="P63" i="65"/>
  <c r="P109" i="65"/>
  <c r="O19" i="65"/>
  <c r="P93" i="65"/>
  <c r="U97" i="65"/>
  <c r="S60" i="65"/>
  <c r="M288" i="58"/>
  <c r="Q196" i="65"/>
  <c r="U196" i="65"/>
  <c r="U113" i="65"/>
  <c r="M209" i="58"/>
  <c r="U199" i="65"/>
  <c r="Q199" i="65"/>
  <c r="M291" i="58"/>
  <c r="U91" i="65"/>
  <c r="M165" i="58"/>
  <c r="O170" i="65"/>
  <c r="U170" i="65" s="1"/>
  <c r="Q158" i="65"/>
  <c r="U158" i="65"/>
  <c r="M250" i="58"/>
  <c r="S28" i="65"/>
  <c r="M130" i="58"/>
  <c r="M164" i="58"/>
  <c r="M274" i="58"/>
  <c r="U157" i="65"/>
  <c r="Q157" i="65"/>
  <c r="Q27" i="65"/>
  <c r="S27" i="65" s="1"/>
  <c r="U27" i="65"/>
  <c r="U198" i="65"/>
  <c r="Q198" i="65"/>
  <c r="Q47" i="65"/>
  <c r="S47" i="65" s="1"/>
  <c r="U47" i="65"/>
  <c r="O58" i="65"/>
  <c r="Q59" i="65"/>
  <c r="U59" i="65"/>
  <c r="O33" i="65"/>
  <c r="U33" i="65" s="1"/>
  <c r="U44" i="65"/>
  <c r="M258" i="58"/>
  <c r="Q166" i="65"/>
  <c r="S166" i="65" s="1"/>
  <c r="Q169" i="65"/>
  <c r="M261" i="58"/>
  <c r="U169" i="65"/>
  <c r="T173" i="65"/>
  <c r="Q48" i="65"/>
  <c r="M140" i="58"/>
  <c r="U26" i="65"/>
  <c r="M119" i="58"/>
  <c r="Q102" i="65"/>
  <c r="M198" i="58"/>
  <c r="O101" i="65"/>
  <c r="M228" i="58"/>
  <c r="U136" i="65"/>
  <c r="Q136" i="65"/>
  <c r="S136" i="65" s="1"/>
  <c r="Q16" i="65"/>
  <c r="U16" i="65"/>
  <c r="M208" i="58"/>
  <c r="Q112" i="65"/>
  <c r="S112" i="65" s="1"/>
  <c r="U89" i="65"/>
  <c r="Q89" i="65"/>
  <c r="M163" i="58"/>
  <c r="Q202" i="65"/>
  <c r="U202" i="65"/>
  <c r="M294" i="58"/>
  <c r="Q35" i="65"/>
  <c r="U35" i="65"/>
  <c r="M117" i="58"/>
  <c r="M111" i="58"/>
  <c r="Q29" i="65"/>
  <c r="S29" i="65" s="1"/>
  <c r="Q115" i="65"/>
  <c r="U115" i="65"/>
  <c r="M211" i="58"/>
  <c r="U88" i="65"/>
  <c r="M162" i="58"/>
  <c r="Q88" i="65"/>
  <c r="M121" i="58"/>
  <c r="Q39" i="65"/>
  <c r="U39" i="65"/>
  <c r="P65" i="65"/>
  <c r="P173" i="65"/>
  <c r="S92" i="65"/>
  <c r="U62" i="65"/>
  <c r="U134" i="65"/>
  <c r="Q131" i="65"/>
  <c r="U85" i="65"/>
  <c r="O84" i="65"/>
  <c r="Q85" i="65"/>
  <c r="Q73" i="65"/>
  <c r="U73" i="65"/>
  <c r="U142" i="65"/>
  <c r="Q142" i="65"/>
  <c r="M234" i="58"/>
  <c r="U83" i="65"/>
  <c r="Q83" i="65"/>
  <c r="S83" i="65" s="1"/>
  <c r="M159" i="58"/>
  <c r="U54" i="65"/>
  <c r="Q54" i="65"/>
  <c r="S54" i="65" s="1"/>
  <c r="M134" i="58"/>
  <c r="U43" i="65"/>
  <c r="M125" i="58"/>
  <c r="Q43" i="65"/>
  <c r="S43" i="65" s="1"/>
  <c r="Q133" i="65"/>
  <c r="U133" i="65"/>
  <c r="O132" i="65"/>
  <c r="T65" i="65"/>
  <c r="M168" i="58"/>
  <c r="O49" i="65"/>
  <c r="O46" i="65" s="1"/>
  <c r="M202" i="58"/>
  <c r="U96" i="65"/>
  <c r="U66" i="65"/>
  <c r="S66" i="65"/>
  <c r="M148" i="58"/>
  <c r="Q70" i="65"/>
  <c r="S70" i="65" s="1"/>
  <c r="U70" i="65"/>
  <c r="U137" i="65"/>
  <c r="M229" i="58"/>
  <c r="U140" i="65"/>
  <c r="Q140" i="65"/>
  <c r="S140" i="65" s="1"/>
  <c r="U138" i="65"/>
  <c r="Q138" i="65"/>
  <c r="Q90" i="65"/>
  <c r="S90" i="65" s="1"/>
  <c r="M256" i="58"/>
  <c r="U192" i="65"/>
  <c r="Q192" i="65"/>
  <c r="M284" i="58"/>
  <c r="M124" i="58"/>
  <c r="Q42" i="65"/>
  <c r="U42" i="65"/>
  <c r="Q143" i="65"/>
  <c r="S143" i="65" s="1"/>
  <c r="S93" i="65"/>
  <c r="M153" i="58"/>
  <c r="M99" i="58"/>
  <c r="U13" i="65"/>
  <c r="Q13" i="65"/>
  <c r="M254" i="58"/>
  <c r="U162" i="65"/>
  <c r="Q162" i="65"/>
  <c r="S162" i="65" s="1"/>
  <c r="U161" i="65"/>
  <c r="Q161" i="65"/>
  <c r="S161" i="65" s="1"/>
  <c r="M253" i="58"/>
  <c r="O23" i="65"/>
  <c r="Q30" i="65"/>
  <c r="U30" i="65"/>
  <c r="M112" i="58"/>
  <c r="O159" i="65"/>
  <c r="U159" i="65" s="1"/>
  <c r="M252" i="58"/>
  <c r="Q160" i="65"/>
  <c r="U160" i="65"/>
  <c r="U151" i="65"/>
  <c r="M243" i="58"/>
  <c r="Q151" i="65"/>
  <c r="S151" i="65" s="1"/>
  <c r="O144" i="65"/>
  <c r="X59" i="57"/>
  <c r="E52" i="56"/>
  <c r="F50" i="56"/>
  <c r="V87" i="58"/>
  <c r="X29" i="63"/>
  <c r="U167" i="62"/>
  <c r="H253" i="58"/>
  <c r="H252" i="58"/>
  <c r="Q166" i="62"/>
  <c r="U166" i="62"/>
  <c r="Q36" i="62"/>
  <c r="S36" i="62" s="1"/>
  <c r="H112" i="58"/>
  <c r="X36" i="63"/>
  <c r="Y36" i="63" s="1"/>
  <c r="AB36" i="63" s="1"/>
  <c r="O165" i="62"/>
  <c r="H254" i="58"/>
  <c r="X168" i="63"/>
  <c r="Y168" i="63" s="1"/>
  <c r="AB168" i="63" s="1"/>
  <c r="U168" i="62"/>
  <c r="X166" i="63"/>
  <c r="Y166" i="63" s="1"/>
  <c r="AB166" i="63" s="1"/>
  <c r="X19" i="63"/>
  <c r="Q19" i="62"/>
  <c r="U19" i="62"/>
  <c r="H99" i="58"/>
  <c r="T15" i="62"/>
  <c r="T13" i="62" s="1"/>
  <c r="T12" i="62" s="1"/>
  <c r="T11" i="62" s="1"/>
  <c r="S15" i="62"/>
  <c r="S13" i="62" s="1"/>
  <c r="S12" i="62" s="1"/>
  <c r="S11" i="62" s="1"/>
  <c r="P167" i="62"/>
  <c r="Q34" i="62"/>
  <c r="U34" i="62"/>
  <c r="Q205" i="62"/>
  <c r="H291" i="58"/>
  <c r="U205" i="62"/>
  <c r="X205" i="63"/>
  <c r="Y205" i="63" s="1"/>
  <c r="AB205" i="63" s="1"/>
  <c r="Q189" i="62"/>
  <c r="H275" i="58"/>
  <c r="X189" i="63"/>
  <c r="Y189" i="63" s="1"/>
  <c r="AB189" i="63" s="1"/>
  <c r="Q99" i="62"/>
  <c r="X99" i="63"/>
  <c r="Y99" i="63" s="1"/>
  <c r="AB99" i="63" s="1"/>
  <c r="U99" i="62"/>
  <c r="H167" i="58"/>
  <c r="Q188" i="62"/>
  <c r="H274" i="58"/>
  <c r="X188" i="63"/>
  <c r="U188" i="62"/>
  <c r="U119" i="62"/>
  <c r="X119" i="63"/>
  <c r="Y119" i="63" s="1"/>
  <c r="AB119" i="63" s="1"/>
  <c r="Q93" i="58"/>
  <c r="R93" i="58" s="1"/>
  <c r="T93" i="58" s="1"/>
  <c r="W93" i="58" s="1"/>
  <c r="Q101" i="61"/>
  <c r="U101" i="61"/>
  <c r="Y101" i="61" s="1"/>
  <c r="Q60" i="62"/>
  <c r="U60" i="62"/>
  <c r="X60" i="63"/>
  <c r="Y60" i="63" s="1"/>
  <c r="AB60" i="63" s="1"/>
  <c r="U22" i="62"/>
  <c r="H102" i="58"/>
  <c r="U115" i="62"/>
  <c r="X115" i="63"/>
  <c r="Y115" i="63" s="1"/>
  <c r="AB115" i="63" s="1"/>
  <c r="U121" i="62"/>
  <c r="Q121" i="62"/>
  <c r="H211" i="58"/>
  <c r="X121" i="63"/>
  <c r="Y121" i="63" s="1"/>
  <c r="AB121" i="63" s="1"/>
  <c r="U54" i="62"/>
  <c r="H130" i="58"/>
  <c r="Q54" i="62"/>
  <c r="X54" i="63"/>
  <c r="Y54" i="63" s="1"/>
  <c r="AB54" i="63" s="1"/>
  <c r="U175" i="62"/>
  <c r="Q175" i="62"/>
  <c r="H261" i="58"/>
  <c r="X175" i="63"/>
  <c r="Y175" i="63" s="1"/>
  <c r="AB175" i="63" s="1"/>
  <c r="O275" i="58"/>
  <c r="Q183" i="68"/>
  <c r="S183" i="68" s="1"/>
  <c r="U183" i="68"/>
  <c r="C3" i="8"/>
  <c r="Q164" i="62"/>
  <c r="S164" i="62" s="1"/>
  <c r="H250" i="58"/>
  <c r="H245" i="58" s="1"/>
  <c r="U44" i="62"/>
  <c r="Q44" i="62"/>
  <c r="Q127" i="62"/>
  <c r="S127" i="62" s="1"/>
  <c r="S126" i="62" s="1"/>
  <c r="U127" i="62"/>
  <c r="H217" i="58"/>
  <c r="X127" i="63"/>
  <c r="Y127" i="63" s="1"/>
  <c r="AB127" i="63" s="1"/>
  <c r="H271" i="58"/>
  <c r="X185" i="63"/>
  <c r="Y185" i="63" s="1"/>
  <c r="AB185" i="63" s="1"/>
  <c r="Q185" i="62"/>
  <c r="S185" i="62" s="1"/>
  <c r="U185" i="62"/>
  <c r="X147" i="63"/>
  <c r="Y147" i="63" s="1"/>
  <c r="AB147" i="63" s="1"/>
  <c r="U147" i="62"/>
  <c r="H108" i="58"/>
  <c r="U30" i="62"/>
  <c r="U118" i="62"/>
  <c r="X118" i="63"/>
  <c r="Y118" i="63" s="1"/>
  <c r="AB118" i="63" s="1"/>
  <c r="H208" i="58"/>
  <c r="Q118" i="62"/>
  <c r="X72" i="63"/>
  <c r="Y72" i="63" s="1"/>
  <c r="AB72" i="63" s="1"/>
  <c r="H144" i="58"/>
  <c r="Q72" i="62"/>
  <c r="U72" i="62"/>
  <c r="H198" i="58"/>
  <c r="Q108" i="62"/>
  <c r="S108" i="62" s="1"/>
  <c r="X108" i="63"/>
  <c r="Y108" i="63" s="1"/>
  <c r="AB108" i="63" s="1"/>
  <c r="U102" i="62"/>
  <c r="H170" i="58"/>
  <c r="X102" i="63"/>
  <c r="Q102" i="62"/>
  <c r="Q157" i="62"/>
  <c r="S157" i="62" s="1"/>
  <c r="X157" i="63"/>
  <c r="H243" i="58"/>
  <c r="H236" i="58" s="1"/>
  <c r="U157" i="62"/>
  <c r="U35" i="62"/>
  <c r="Q35" i="62"/>
  <c r="X35" i="63"/>
  <c r="Y35" i="63" s="1"/>
  <c r="AB35" i="63" s="1"/>
  <c r="H111" i="58"/>
  <c r="U207" i="62"/>
  <c r="H293" i="58"/>
  <c r="Q32" i="62"/>
  <c r="S32" i="62" s="1"/>
  <c r="S31" i="62" s="1"/>
  <c r="U32" i="62"/>
  <c r="X32" i="63"/>
  <c r="Y32" i="63" s="1"/>
  <c r="AB32" i="63" s="1"/>
  <c r="Q116" i="62"/>
  <c r="U116" i="62"/>
  <c r="H206" i="58"/>
  <c r="H210" i="58"/>
  <c r="Q120" i="62"/>
  <c r="X120" i="63"/>
  <c r="Y120" i="63" s="1"/>
  <c r="AB120" i="63" s="1"/>
  <c r="U120" i="62"/>
  <c r="X96" i="63"/>
  <c r="Y96" i="63" s="1"/>
  <c r="AB96" i="63" s="1"/>
  <c r="U96" i="62"/>
  <c r="H164" i="58"/>
  <c r="Q96" i="62"/>
  <c r="Q97" i="62"/>
  <c r="X97" i="63"/>
  <c r="Y97" i="63" s="1"/>
  <c r="AB97" i="63" s="1"/>
  <c r="Q124" i="62"/>
  <c r="U124" i="62"/>
  <c r="X124" i="63"/>
  <c r="Y124" i="63" s="1"/>
  <c r="AB124" i="63" s="1"/>
  <c r="X137" i="63"/>
  <c r="Y137" i="63" s="1"/>
  <c r="AB137" i="63" s="1"/>
  <c r="Q137" i="62"/>
  <c r="S137" i="62" s="1"/>
  <c r="S135" i="62" s="1"/>
  <c r="O135" i="62"/>
  <c r="Q187" i="62"/>
  <c r="S187" i="62" s="1"/>
  <c r="H104" i="58"/>
  <c r="U24" i="62"/>
  <c r="Q37" i="62"/>
  <c r="S37" i="62" s="1"/>
  <c r="H278" i="58"/>
  <c r="H277" i="58" s="1"/>
  <c r="H276" i="58" s="1"/>
  <c r="X192" i="63"/>
  <c r="Y192" i="63" s="1"/>
  <c r="AB192" i="63" s="1"/>
  <c r="U192" i="62"/>
  <c r="Q192" i="62"/>
  <c r="O191" i="62"/>
  <c r="Q69" i="62"/>
  <c r="X69" i="63"/>
  <c r="Y69" i="63" s="1"/>
  <c r="AB69" i="63" s="1"/>
  <c r="U123" i="62"/>
  <c r="H213" i="58"/>
  <c r="X123" i="63"/>
  <c r="Y123" i="63" s="1"/>
  <c r="AB123" i="63" s="1"/>
  <c r="Q123" i="62"/>
  <c r="X162" i="63"/>
  <c r="Y162" i="63" s="1"/>
  <c r="AB162" i="63" s="1"/>
  <c r="Q162" i="62"/>
  <c r="U162" i="62"/>
  <c r="Q23" i="62"/>
  <c r="X23" i="63"/>
  <c r="Y23" i="63" s="1"/>
  <c r="AB23" i="63" s="1"/>
  <c r="H103" i="58"/>
  <c r="H212" i="58"/>
  <c r="X122" i="63"/>
  <c r="Y122" i="63" s="1"/>
  <c r="AB122" i="63" s="1"/>
  <c r="Q122" i="62"/>
  <c r="U122" i="62"/>
  <c r="U100" i="62"/>
  <c r="X100" i="63"/>
  <c r="Y100" i="63" s="1"/>
  <c r="AB100" i="63" s="1"/>
  <c r="Q100" i="62"/>
  <c r="H168" i="58"/>
  <c r="H117" i="58"/>
  <c r="Q41" i="62"/>
  <c r="X41" i="63"/>
  <c r="Y41" i="63" s="1"/>
  <c r="AB41" i="63" s="1"/>
  <c r="U41" i="62"/>
  <c r="Q146" i="62"/>
  <c r="H232" i="58"/>
  <c r="X146" i="63"/>
  <c r="Y146" i="63" s="1"/>
  <c r="AB146" i="63" s="1"/>
  <c r="U146" i="62"/>
  <c r="H140" i="58"/>
  <c r="X68" i="63"/>
  <c r="Y68" i="63" s="1"/>
  <c r="AB68" i="63" s="1"/>
  <c r="Q68" i="62"/>
  <c r="U68" i="62"/>
  <c r="X67" i="63"/>
  <c r="Y67" i="63" s="1"/>
  <c r="AB67" i="63" s="1"/>
  <c r="U67" i="62"/>
  <c r="Q67" i="62"/>
  <c r="U183" i="64"/>
  <c r="Q183" i="64"/>
  <c r="J275" i="58"/>
  <c r="I43" i="62"/>
  <c r="M43" i="62" s="1"/>
  <c r="O43" i="62" s="1"/>
  <c r="I65" i="62"/>
  <c r="M65" i="62" s="1"/>
  <c r="O65" i="62" s="1"/>
  <c r="I21" i="62"/>
  <c r="M21" i="62" s="1"/>
  <c r="O21" i="62" s="1"/>
  <c r="I56" i="62"/>
  <c r="M56" i="62" s="1"/>
  <c r="O56" i="62" s="1"/>
  <c r="I143" i="62"/>
  <c r="M143" i="62" s="1"/>
  <c r="O143" i="62" s="1"/>
  <c r="I92" i="62"/>
  <c r="M92" i="62" s="1"/>
  <c r="O92" i="62" s="1"/>
  <c r="I93" i="62"/>
  <c r="M93" i="62" s="1"/>
  <c r="O93" i="62" s="1"/>
  <c r="G2" i="9"/>
  <c r="H78" i="58"/>
  <c r="H74" i="58" s="1"/>
  <c r="H64" i="58" s="1"/>
  <c r="Q85" i="69"/>
  <c r="O84" i="69"/>
  <c r="U85" i="69"/>
  <c r="Q199" i="69"/>
  <c r="U199" i="69"/>
  <c r="L291" i="58"/>
  <c r="Q200" i="69"/>
  <c r="U200" i="69"/>
  <c r="L292" i="58"/>
  <c r="L134" i="58"/>
  <c r="U54" i="69"/>
  <c r="Q54" i="69"/>
  <c r="Q134" i="69"/>
  <c r="S134" i="69" s="1"/>
  <c r="U134" i="69"/>
  <c r="L170" i="58"/>
  <c r="Q96" i="69"/>
  <c r="O95" i="69"/>
  <c r="U95" i="69" s="1"/>
  <c r="U96" i="69"/>
  <c r="U141" i="69"/>
  <c r="L233" i="58"/>
  <c r="Q141" i="69"/>
  <c r="Q136" i="69"/>
  <c r="S136" i="69" s="1"/>
  <c r="L228" i="58"/>
  <c r="U136" i="69"/>
  <c r="L133" i="58"/>
  <c r="Q53" i="69"/>
  <c r="U53" i="69"/>
  <c r="Q131" i="69"/>
  <c r="S131" i="69" s="1"/>
  <c r="U131" i="69"/>
  <c r="Q18" i="69"/>
  <c r="S18" i="69" s="1"/>
  <c r="U18" i="69"/>
  <c r="L104" i="58"/>
  <c r="L219" i="58"/>
  <c r="U123" i="69"/>
  <c r="Q123" i="69"/>
  <c r="Q116" i="69"/>
  <c r="U116" i="69"/>
  <c r="L212" i="58"/>
  <c r="U113" i="69"/>
  <c r="Q113" i="69"/>
  <c r="L209" i="58"/>
  <c r="U137" i="69"/>
  <c r="Q137" i="69"/>
  <c r="L229" i="58"/>
  <c r="L121" i="58"/>
  <c r="Q39" i="69"/>
  <c r="S39" i="69" s="1"/>
  <c r="U39" i="69"/>
  <c r="Q29" i="69"/>
  <c r="S29" i="69" s="1"/>
  <c r="L111" i="58"/>
  <c r="U29" i="69"/>
  <c r="U166" i="69"/>
  <c r="Q166" i="69"/>
  <c r="L258" i="58"/>
  <c r="Q94" i="69"/>
  <c r="S94" i="69" s="1"/>
  <c r="U94" i="69"/>
  <c r="L168" i="58"/>
  <c r="Q44" i="69"/>
  <c r="U44" i="69"/>
  <c r="L126" i="58"/>
  <c r="Q87" i="69"/>
  <c r="U87" i="69"/>
  <c r="L161" i="58"/>
  <c r="Q133" i="69"/>
  <c r="O132" i="69"/>
  <c r="U133" i="69"/>
  <c r="U142" i="69"/>
  <c r="L234" i="58"/>
  <c r="Q142" i="69"/>
  <c r="S142" i="69" s="1"/>
  <c r="Q93" i="69"/>
  <c r="S93" i="69" s="1"/>
  <c r="U93" i="69"/>
  <c r="L167" i="58"/>
  <c r="U180" i="69"/>
  <c r="Q180" i="69"/>
  <c r="S180" i="69" s="1"/>
  <c r="U168" i="69"/>
  <c r="L260" i="58"/>
  <c r="Q168" i="69"/>
  <c r="S168" i="69" s="1"/>
  <c r="Q38" i="69"/>
  <c r="U38" i="69"/>
  <c r="L120" i="58"/>
  <c r="Q61" i="69"/>
  <c r="U61" i="69"/>
  <c r="L139" i="58"/>
  <c r="U106" i="69"/>
  <c r="Q106" i="69"/>
  <c r="S106" i="69" s="1"/>
  <c r="L202" i="58"/>
  <c r="Q157" i="69"/>
  <c r="U157" i="69"/>
  <c r="L249" i="58"/>
  <c r="L245" i="58" s="1"/>
  <c r="O153" i="69"/>
  <c r="U153" i="69" s="1"/>
  <c r="L163" i="58"/>
  <c r="Q89" i="69"/>
  <c r="U89" i="69"/>
  <c r="O33" i="69"/>
  <c r="U33" i="69" s="1"/>
  <c r="U35" i="69"/>
  <c r="Q35" i="69"/>
  <c r="L117" i="58"/>
  <c r="Q64" i="69"/>
  <c r="U64" i="69"/>
  <c r="L142" i="58"/>
  <c r="U41" i="69"/>
  <c r="L123" i="58"/>
  <c r="Q41" i="69"/>
  <c r="S41" i="69" s="1"/>
  <c r="O58" i="69"/>
  <c r="U59" i="69"/>
  <c r="Q59" i="69"/>
  <c r="O170" i="69"/>
  <c r="U170" i="69" s="1"/>
  <c r="U173" i="69"/>
  <c r="L265" i="58"/>
  <c r="Q173" i="69"/>
  <c r="S173" i="69" s="1"/>
  <c r="U86" i="69"/>
  <c r="Q86" i="69"/>
  <c r="Q13" i="69"/>
  <c r="U13" i="69"/>
  <c r="L99" i="58"/>
  <c r="L210" i="58"/>
  <c r="U114" i="69"/>
  <c r="Q114" i="69"/>
  <c r="Q27" i="69"/>
  <c r="U27" i="69"/>
  <c r="O25" i="69"/>
  <c r="L230" i="58"/>
  <c r="U138" i="69"/>
  <c r="Q138" i="69"/>
  <c r="U196" i="69"/>
  <c r="Q196" i="69"/>
  <c r="L288" i="58"/>
  <c r="O193" i="69"/>
  <c r="U193" i="69" s="1"/>
  <c r="U66" i="69"/>
  <c r="Q66" i="69"/>
  <c r="L144" i="58"/>
  <c r="U202" i="69"/>
  <c r="Q202" i="69"/>
  <c r="L294" i="58"/>
  <c r="L208" i="58"/>
  <c r="U112" i="69"/>
  <c r="Q112" i="69"/>
  <c r="Q117" i="69"/>
  <c r="S117" i="69" s="1"/>
  <c r="L213" i="58"/>
  <c r="U117" i="69"/>
  <c r="T36" i="69"/>
  <c r="P36" i="69"/>
  <c r="O163" i="69"/>
  <c r="U163" i="69" s="1"/>
  <c r="L256" i="58"/>
  <c r="U164" i="69"/>
  <c r="Q164" i="69"/>
  <c r="L293" i="58"/>
  <c r="Q201" i="69"/>
  <c r="U201" i="69"/>
  <c r="U40" i="69"/>
  <c r="Q40" i="69"/>
  <c r="L122" i="58"/>
  <c r="O144" i="69"/>
  <c r="U144" i="69" s="1"/>
  <c r="U151" i="69"/>
  <c r="Q151" i="69"/>
  <c r="L243" i="58"/>
  <c r="Q162" i="69"/>
  <c r="L254" i="58"/>
  <c r="U162" i="69"/>
  <c r="U135" i="69"/>
  <c r="Q135" i="69"/>
  <c r="L227" i="58"/>
  <c r="Q17" i="69"/>
  <c r="U17" i="69"/>
  <c r="L103" i="58"/>
  <c r="U83" i="69"/>
  <c r="L159" i="58"/>
  <c r="Q83" i="69"/>
  <c r="Q70" i="69"/>
  <c r="L148" i="58"/>
  <c r="U70" i="69"/>
  <c r="U60" i="69"/>
  <c r="Q60" i="69"/>
  <c r="L207" i="58"/>
  <c r="Q111" i="69"/>
  <c r="U111" i="69"/>
  <c r="L218" i="58"/>
  <c r="U122" i="69"/>
  <c r="Q122" i="69"/>
  <c r="U65" i="69"/>
  <c r="Q65" i="69"/>
  <c r="S65" i="69"/>
  <c r="L143" i="58"/>
  <c r="Q55" i="69"/>
  <c r="S55" i="69" s="1"/>
  <c r="U55" i="69"/>
  <c r="L135" i="58"/>
  <c r="Q48" i="69"/>
  <c r="U48" i="69"/>
  <c r="L130" i="58"/>
  <c r="U181" i="69"/>
  <c r="L273" i="58"/>
  <c r="Q181" i="69"/>
  <c r="S181" i="69" s="1"/>
  <c r="Q186" i="69"/>
  <c r="O185" i="69"/>
  <c r="L278" i="58"/>
  <c r="U186" i="69"/>
  <c r="L211" i="58"/>
  <c r="Q115" i="69"/>
  <c r="U115" i="69"/>
  <c r="Q16" i="69"/>
  <c r="U16" i="69"/>
  <c r="L102" i="58"/>
  <c r="L274" i="58"/>
  <c r="Q182" i="69"/>
  <c r="U182" i="69"/>
  <c r="L108" i="58"/>
  <c r="U24" i="69"/>
  <c r="Q24" i="69"/>
  <c r="U198" i="69"/>
  <c r="L290" i="58"/>
  <c r="Q198" i="69"/>
  <c r="O120" i="69"/>
  <c r="L217" i="58"/>
  <c r="Q121" i="69"/>
  <c r="S121" i="69" s="1"/>
  <c r="U121" i="69"/>
  <c r="U109" i="69"/>
  <c r="Q109" i="69"/>
  <c r="S109" i="69" s="1"/>
  <c r="L205" i="58"/>
  <c r="Q160" i="69"/>
  <c r="S160" i="69" s="1"/>
  <c r="O159" i="69"/>
  <c r="U159" i="69" s="1"/>
  <c r="U160" i="69"/>
  <c r="L252" i="58"/>
  <c r="Q348" i="58"/>
  <c r="R348" i="58" s="1"/>
  <c r="T348" i="58" s="1"/>
  <c r="Q185" i="61"/>
  <c r="U185" i="61"/>
  <c r="Y185" i="61" s="1"/>
  <c r="Q110" i="69"/>
  <c r="S110" i="69" s="1"/>
  <c r="L206" i="58"/>
  <c r="U110" i="69"/>
  <c r="O49" i="69"/>
  <c r="Q50" i="69"/>
  <c r="S50" i="69" s="1"/>
  <c r="U50" i="69"/>
  <c r="L173" i="58"/>
  <c r="U99" i="69"/>
  <c r="Q99" i="69"/>
  <c r="S99" i="69" s="1"/>
  <c r="U98" i="69"/>
  <c r="Q98" i="69"/>
  <c r="L172" i="58"/>
  <c r="U91" i="69"/>
  <c r="L165" i="58"/>
  <c r="Q91" i="69"/>
  <c r="Q51" i="69"/>
  <c r="U51" i="69"/>
  <c r="Q169" i="69"/>
  <c r="U169" i="69"/>
  <c r="L261" i="58"/>
  <c r="U20" i="69"/>
  <c r="Q20" i="69"/>
  <c r="O19" i="69"/>
  <c r="U73" i="69"/>
  <c r="Q73" i="69"/>
  <c r="O72" i="69"/>
  <c r="Q21" i="69"/>
  <c r="U21" i="69"/>
  <c r="U118" i="69"/>
  <c r="L214" i="58"/>
  <c r="Q118" i="69"/>
  <c r="U192" i="69"/>
  <c r="Q192" i="69"/>
  <c r="L284" i="58"/>
  <c r="Q30" i="69"/>
  <c r="L112" i="58"/>
  <c r="U30" i="69"/>
  <c r="L119" i="58"/>
  <c r="I47" i="69"/>
  <c r="M47" i="69" s="1"/>
  <c r="O47" i="69" s="1"/>
  <c r="T6" i="58"/>
  <c r="S36" i="69"/>
  <c r="L118" i="58"/>
  <c r="BA5" i="57"/>
  <c r="BJ5" i="57" s="1"/>
  <c r="BC5" i="57"/>
  <c r="BB5" i="57"/>
  <c r="D4" i="56"/>
  <c r="U20" i="64"/>
  <c r="Q20" i="64"/>
  <c r="S20" i="64" s="1"/>
  <c r="O19" i="64"/>
  <c r="Q108" i="64"/>
  <c r="U108" i="64"/>
  <c r="J204" i="58"/>
  <c r="J290" i="58"/>
  <c r="U198" i="64"/>
  <c r="Q198" i="64"/>
  <c r="J249" i="58"/>
  <c r="O153" i="64"/>
  <c r="U153" i="64" s="1"/>
  <c r="Q157" i="64"/>
  <c r="S157" i="64" s="1"/>
  <c r="U157" i="64"/>
  <c r="Q70" i="64"/>
  <c r="S70" i="64" s="1"/>
  <c r="J148" i="58"/>
  <c r="U70" i="64"/>
  <c r="T199" i="64"/>
  <c r="P199" i="64"/>
  <c r="U91" i="64"/>
  <c r="Q91" i="64"/>
  <c r="S91" i="64" s="1"/>
  <c r="Q118" i="64"/>
  <c r="S118" i="64" s="1"/>
  <c r="U118" i="64"/>
  <c r="J214" i="58"/>
  <c r="U136" i="64"/>
  <c r="Q136" i="64"/>
  <c r="Q137" i="64"/>
  <c r="S137" i="64" s="1"/>
  <c r="J166" i="58"/>
  <c r="I24" i="57"/>
  <c r="AI24" i="57"/>
  <c r="H24" i="57" s="1"/>
  <c r="Q112" i="64"/>
  <c r="J208" i="58"/>
  <c r="U169" i="64"/>
  <c r="Q169" i="64"/>
  <c r="S169" i="64" s="1"/>
  <c r="J261" i="58"/>
  <c r="J165" i="58"/>
  <c r="Q92" i="64"/>
  <c r="U21" i="64"/>
  <c r="Q21" i="64"/>
  <c r="S21" i="64" s="1"/>
  <c r="Y192" i="61"/>
  <c r="Y177" i="61"/>
  <c r="Y85" i="61"/>
  <c r="Y138" i="61"/>
  <c r="Y12" i="61"/>
  <c r="Y98" i="61"/>
  <c r="Y190" i="61"/>
  <c r="Y136" i="61"/>
  <c r="Y191" i="61"/>
  <c r="Y135" i="61"/>
  <c r="Y23" i="61"/>
  <c r="Y16" i="61"/>
  <c r="Y77" i="61"/>
  <c r="Y25" i="61"/>
  <c r="Y176" i="61"/>
  <c r="Y83" i="61"/>
  <c r="Y19" i="61"/>
  <c r="Y75" i="61"/>
  <c r="Y178" i="61"/>
  <c r="Y81" i="61"/>
  <c r="Y26" i="61"/>
  <c r="Y87" i="61"/>
  <c r="Y95" i="61"/>
  <c r="Y137" i="61"/>
  <c r="Y139" i="61"/>
  <c r="Y90" i="61"/>
  <c r="Y92" i="61"/>
  <c r="Y91" i="61"/>
  <c r="Y84" i="61"/>
  <c r="Y89" i="61"/>
  <c r="Y20" i="61"/>
  <c r="S199" i="64"/>
  <c r="U92" i="64"/>
  <c r="U99" i="64"/>
  <c r="Q99" i="64"/>
  <c r="Q41" i="64"/>
  <c r="U41" i="64"/>
  <c r="BB48" i="57"/>
  <c r="AP48" i="57" s="1"/>
  <c r="S122" i="64"/>
  <c r="Q121" i="64"/>
  <c r="J250" i="58"/>
  <c r="U158" i="64"/>
  <c r="S158" i="64"/>
  <c r="J228" i="58"/>
  <c r="J288" i="58"/>
  <c r="U88" i="64"/>
  <c r="J201" i="58"/>
  <c r="U123" i="64"/>
  <c r="J117" i="58"/>
  <c r="U35" i="64"/>
  <c r="Q35" i="64"/>
  <c r="AR3" i="5"/>
  <c r="AR60" i="5" s="1"/>
  <c r="AR63" i="5"/>
  <c r="U105" i="64"/>
  <c r="Q123" i="64"/>
  <c r="J122" i="58"/>
  <c r="U40" i="64"/>
  <c r="U22" i="64"/>
  <c r="J106" i="58"/>
  <c r="Q22" i="64"/>
  <c r="U199" i="64"/>
  <c r="J291" i="58"/>
  <c r="J283" i="58"/>
  <c r="U191" i="64"/>
  <c r="S27" i="64"/>
  <c r="U27" i="64"/>
  <c r="R220" i="58"/>
  <c r="T220" i="58" s="1"/>
  <c r="V220" i="58" s="1"/>
  <c r="J274" i="58"/>
  <c r="Q182" i="64"/>
  <c r="U182" i="64"/>
  <c r="I94" i="64"/>
  <c r="M94" i="64" s="1"/>
  <c r="O94" i="64" s="1"/>
  <c r="I39" i="64"/>
  <c r="M39" i="64" s="1"/>
  <c r="O39" i="64" s="1"/>
  <c r="I43" i="64"/>
  <c r="M43" i="64" s="1"/>
  <c r="O43" i="64" s="1"/>
  <c r="I54" i="64"/>
  <c r="M54" i="64" s="1"/>
  <c r="O54" i="64" s="1"/>
  <c r="I104" i="64"/>
  <c r="M104" i="64" s="1"/>
  <c r="O104" i="64" s="1"/>
  <c r="I109" i="64"/>
  <c r="M109" i="64" s="1"/>
  <c r="O109" i="64" s="1"/>
  <c r="I57" i="64"/>
  <c r="M57" i="64" s="1"/>
  <c r="O57" i="64" s="1"/>
  <c r="I130" i="64"/>
  <c r="M130" i="64" s="1"/>
  <c r="O130" i="64" s="1"/>
  <c r="I201" i="64"/>
  <c r="M201" i="64" s="1"/>
  <c r="O201" i="64" s="1"/>
  <c r="I65" i="64"/>
  <c r="M65" i="64" s="1"/>
  <c r="O65" i="64" s="1"/>
  <c r="I93" i="64"/>
  <c r="M93" i="64" s="1"/>
  <c r="O93" i="64" s="1"/>
  <c r="I90" i="64"/>
  <c r="M90" i="64" s="1"/>
  <c r="O90" i="64" s="1"/>
  <c r="I28" i="64"/>
  <c r="M28" i="64" s="1"/>
  <c r="O28" i="64" s="1"/>
  <c r="I62" i="64"/>
  <c r="M62" i="64" s="1"/>
  <c r="O62" i="64" s="1"/>
  <c r="I202" i="64"/>
  <c r="M202" i="64" s="1"/>
  <c r="O202" i="64" s="1"/>
  <c r="I60" i="64"/>
  <c r="M60" i="64" s="1"/>
  <c r="O60" i="64" s="1"/>
  <c r="I36" i="64"/>
  <c r="M36" i="64" s="1"/>
  <c r="O36" i="64" s="1"/>
  <c r="I61" i="64"/>
  <c r="M61" i="64" s="1"/>
  <c r="O61" i="64" s="1"/>
  <c r="I89" i="64"/>
  <c r="M89" i="64" s="1"/>
  <c r="O89" i="64" s="1"/>
  <c r="I141" i="64"/>
  <c r="M141" i="64" s="1"/>
  <c r="O141" i="64" s="1"/>
  <c r="I59" i="64"/>
  <c r="M59" i="64" s="1"/>
  <c r="O59" i="64" s="1"/>
  <c r="I181" i="64"/>
  <c r="M181" i="64" s="1"/>
  <c r="O181" i="64" s="1"/>
  <c r="I107" i="64"/>
  <c r="M107" i="64" s="1"/>
  <c r="O107" i="64" s="1"/>
  <c r="I97" i="64"/>
  <c r="M97" i="64" s="1"/>
  <c r="O97" i="64" s="1"/>
  <c r="I102" i="64"/>
  <c r="M102" i="64" s="1"/>
  <c r="O102" i="64" s="1"/>
  <c r="I47" i="64"/>
  <c r="M47" i="64" s="1"/>
  <c r="O47" i="64" s="1"/>
  <c r="I113" i="64"/>
  <c r="M113" i="64" s="1"/>
  <c r="O113" i="64" s="1"/>
  <c r="I48" i="64"/>
  <c r="M48" i="64" s="1"/>
  <c r="O48" i="64" s="1"/>
  <c r="I17" i="64"/>
  <c r="M17" i="64" s="1"/>
  <c r="O17" i="64" s="1"/>
  <c r="I140" i="64"/>
  <c r="M140" i="64" s="1"/>
  <c r="O140" i="64" s="1"/>
  <c r="I116" i="64"/>
  <c r="M116" i="64" s="1"/>
  <c r="O116" i="64" s="1"/>
  <c r="I110" i="64"/>
  <c r="M110" i="64" s="1"/>
  <c r="O110" i="64" s="1"/>
  <c r="I166" i="64"/>
  <c r="M166" i="64" s="1"/>
  <c r="O166" i="64" s="1"/>
  <c r="I16" i="64"/>
  <c r="M16" i="64" s="1"/>
  <c r="O16" i="64" s="1"/>
  <c r="I26" i="64"/>
  <c r="M26" i="64" s="1"/>
  <c r="O26" i="64" s="1"/>
  <c r="I75" i="64"/>
  <c r="M75" i="64" s="1"/>
  <c r="O75" i="64" s="1"/>
  <c r="I134" i="64"/>
  <c r="M134" i="64" s="1"/>
  <c r="O134" i="64" s="1"/>
  <c r="I180" i="64"/>
  <c r="M180" i="64" s="1"/>
  <c r="O180" i="64" s="1"/>
  <c r="I131" i="64"/>
  <c r="M131" i="64" s="1"/>
  <c r="O131" i="64" s="1"/>
  <c r="I24" i="64"/>
  <c r="M24" i="64" s="1"/>
  <c r="O24" i="64" s="1"/>
  <c r="I115" i="64"/>
  <c r="M115" i="64" s="1"/>
  <c r="O115" i="64" s="1"/>
  <c r="I103" i="64"/>
  <c r="M103" i="64" s="1"/>
  <c r="O103" i="64" s="1"/>
  <c r="I63" i="64"/>
  <c r="M63" i="64" s="1"/>
  <c r="O63" i="64" s="1"/>
  <c r="I117" i="64"/>
  <c r="M117" i="64" s="1"/>
  <c r="O117" i="64" s="1"/>
  <c r="I133" i="64"/>
  <c r="M133" i="64" s="1"/>
  <c r="O133" i="64" s="1"/>
  <c r="I66" i="64"/>
  <c r="M66" i="64" s="1"/>
  <c r="O66" i="64" s="1"/>
  <c r="I125" i="64"/>
  <c r="I165" i="64"/>
  <c r="M165" i="64" s="1"/>
  <c r="O165" i="64" s="1"/>
  <c r="I38" i="64"/>
  <c r="M38" i="64" s="1"/>
  <c r="O38" i="64" s="1"/>
  <c r="I73" i="64"/>
  <c r="M73" i="64" s="1"/>
  <c r="O73" i="64" s="1"/>
  <c r="I114" i="64"/>
  <c r="M114" i="64" s="1"/>
  <c r="O114" i="64" s="1"/>
  <c r="I186" i="64"/>
  <c r="M186" i="64" s="1"/>
  <c r="O186" i="64" s="1"/>
  <c r="T191" i="64"/>
  <c r="Q173" i="64"/>
  <c r="R237" i="58"/>
  <c r="T237" i="58" s="1"/>
  <c r="V237" i="58" s="1"/>
  <c r="I51" i="56"/>
  <c r="I182" i="63"/>
  <c r="I182" i="62"/>
  <c r="K3" i="61"/>
  <c r="P78" i="66"/>
  <c r="T78" i="66"/>
  <c r="R242" i="58"/>
  <c r="T242" i="58" s="1"/>
  <c r="V242" i="58" s="1"/>
  <c r="P231" i="58"/>
  <c r="Q81" i="58"/>
  <c r="R83" i="58"/>
  <c r="R81" i="58" s="1"/>
  <c r="L25" i="57"/>
  <c r="AL25" i="57"/>
  <c r="Q154" i="66"/>
  <c r="S154" i="66" s="1"/>
  <c r="P246" i="58"/>
  <c r="H153" i="58"/>
  <c r="N153" i="58"/>
  <c r="R263" i="58"/>
  <c r="T263" i="58" s="1"/>
  <c r="W263" i="58" s="1"/>
  <c r="H149" i="58"/>
  <c r="P251" i="58"/>
  <c r="S78" i="66"/>
  <c r="P234" i="58"/>
  <c r="Q142" i="66"/>
  <c r="R339" i="58"/>
  <c r="Q171" i="66"/>
  <c r="P266" i="58"/>
  <c r="AR23" i="57"/>
  <c r="Q23" i="57" s="1"/>
  <c r="P169" i="58"/>
  <c r="S75" i="58"/>
  <c r="S182" i="58"/>
  <c r="O153" i="66"/>
  <c r="U153" i="66" s="1"/>
  <c r="T23" i="58"/>
  <c r="W23" i="58" s="1"/>
  <c r="P210" i="58"/>
  <c r="U114" i="66"/>
  <c r="Q114" i="66"/>
  <c r="O101" i="66"/>
  <c r="Q43" i="66"/>
  <c r="S43" i="66" s="1"/>
  <c r="P125" i="58"/>
  <c r="U43" i="66"/>
  <c r="Q60" i="66"/>
  <c r="S60" i="66" s="1"/>
  <c r="S58" i="66" s="1"/>
  <c r="U60" i="66"/>
  <c r="O58" i="66"/>
  <c r="U132" i="66"/>
  <c r="R281" i="58"/>
  <c r="Q117" i="66"/>
  <c r="U117" i="66"/>
  <c r="P213" i="58"/>
  <c r="S27" i="66"/>
  <c r="P27" i="66"/>
  <c r="T27" i="66"/>
  <c r="U21" i="66"/>
  <c r="S21" i="66"/>
  <c r="O19" i="66"/>
  <c r="P21" i="66"/>
  <c r="T21" i="66"/>
  <c r="T135" i="66"/>
  <c r="P135" i="66"/>
  <c r="P236" i="58"/>
  <c r="T115" i="66"/>
  <c r="P115" i="66"/>
  <c r="O95" i="66"/>
  <c r="U95" i="66" s="1"/>
  <c r="Q97" i="66"/>
  <c r="U20" i="66"/>
  <c r="Q20" i="66"/>
  <c r="U26" i="66"/>
  <c r="Q26" i="66"/>
  <c r="P39" i="66"/>
  <c r="T39" i="66"/>
  <c r="S53" i="66"/>
  <c r="P133" i="58"/>
  <c r="U53" i="66"/>
  <c r="S93" i="66"/>
  <c r="T93" i="66"/>
  <c r="P93" i="66"/>
  <c r="Q83" i="66"/>
  <c r="P159" i="58"/>
  <c r="T92" i="66"/>
  <c r="P92" i="66"/>
  <c r="Q192" i="66"/>
  <c r="P284" i="58"/>
  <c r="U196" i="66"/>
  <c r="O193" i="66"/>
  <c r="U193" i="66" s="1"/>
  <c r="Q57" i="66"/>
  <c r="S57" i="66" s="1"/>
  <c r="U88" i="66"/>
  <c r="Q88" i="66"/>
  <c r="P162" i="58"/>
  <c r="U169" i="66"/>
  <c r="Q169" i="66"/>
  <c r="P261" i="58"/>
  <c r="P121" i="58"/>
  <c r="U39" i="66"/>
  <c r="S39" i="66"/>
  <c r="U63" i="66"/>
  <c r="Q63" i="66"/>
  <c r="P141" i="58"/>
  <c r="U136" i="66"/>
  <c r="Q136" i="66"/>
  <c r="U135" i="66"/>
  <c r="P227" i="58"/>
  <c r="Q130" i="66"/>
  <c r="U130" i="66"/>
  <c r="S186" i="66"/>
  <c r="Q70" i="66"/>
  <c r="S70" i="66" s="1"/>
  <c r="U42" i="66"/>
  <c r="P250" i="58"/>
  <c r="P163" i="58"/>
  <c r="U201" i="66"/>
  <c r="Q158" i="66"/>
  <c r="P167" i="58"/>
  <c r="U93" i="66"/>
  <c r="U73" i="66"/>
  <c r="O72" i="66"/>
  <c r="Q73" i="66"/>
  <c r="U29" i="66"/>
  <c r="Q137" i="66"/>
  <c r="U137" i="66"/>
  <c r="P229" i="58"/>
  <c r="E25" i="56"/>
  <c r="S60" i="58"/>
  <c r="T76" i="58"/>
  <c r="V76" i="58" s="1"/>
  <c r="S323" i="58"/>
  <c r="S322" i="58" s="1"/>
  <c r="S81" i="58"/>
  <c r="V69" i="58"/>
  <c r="Q75" i="58"/>
  <c r="W59" i="57"/>
  <c r="W57" i="57"/>
  <c r="T340" i="58"/>
  <c r="V340" i="58" s="1"/>
  <c r="S14" i="58"/>
  <c r="S351" i="58"/>
  <c r="W105" i="57"/>
  <c r="W106" i="57" s="1"/>
  <c r="W107" i="57" s="1"/>
  <c r="W108" i="57" s="1"/>
  <c r="W97" i="57" s="1"/>
  <c r="W95" i="57" s="1"/>
  <c r="W99" i="57" s="1"/>
  <c r="T26" i="58"/>
  <c r="W26" i="58" s="1"/>
  <c r="T84" i="58"/>
  <c r="W84" i="58" s="1"/>
  <c r="AX8" i="5"/>
  <c r="AX65" i="5" s="1"/>
  <c r="T298" i="58"/>
  <c r="V298" i="58" s="1"/>
  <c r="Y58" i="57"/>
  <c r="S41" i="58"/>
  <c r="Y59" i="57"/>
  <c r="C80" i="5"/>
  <c r="F37" i="3" s="1"/>
  <c r="F40" i="3" s="1"/>
  <c r="F42" i="3" s="1"/>
  <c r="C75" i="5"/>
  <c r="T67" i="58"/>
  <c r="W67" i="58" s="1"/>
  <c r="S94" i="58"/>
  <c r="T299" i="58"/>
  <c r="W299" i="58" s="1"/>
  <c r="T302" i="58"/>
  <c r="W302" i="58" s="1"/>
  <c r="AM3" i="5"/>
  <c r="AM60" i="5" s="1"/>
  <c r="AQ63" i="5"/>
  <c r="C81" i="5"/>
  <c r="C25" i="5"/>
  <c r="C82" i="5" s="1"/>
  <c r="BN26" i="10"/>
  <c r="BM26" i="12" s="1"/>
  <c r="L4" i="10"/>
  <c r="L3" i="10" s="1"/>
  <c r="D27" i="4" s="1"/>
  <c r="L55" i="10"/>
  <c r="J26" i="10"/>
  <c r="I26" i="12" s="1"/>
  <c r="D28" i="4"/>
  <c r="I44" i="4"/>
  <c r="I39" i="4"/>
  <c r="U26" i="10"/>
  <c r="T26" i="12" s="1"/>
  <c r="G28" i="4"/>
  <c r="AC4" i="5"/>
  <c r="AC61" i="5" s="1"/>
  <c r="AC60" i="5"/>
  <c r="Z4" i="5"/>
  <c r="Z61" i="5" s="1"/>
  <c r="Z60" i="5"/>
  <c r="J44" i="4"/>
  <c r="J39" i="4"/>
  <c r="J42" i="4" s="1"/>
  <c r="J43" i="4" s="1"/>
  <c r="I45" i="3"/>
  <c r="G27" i="4"/>
  <c r="AA4" i="10"/>
  <c r="AA3" i="10" s="1"/>
  <c r="K13" i="4"/>
  <c r="I49" i="4"/>
  <c r="J4" i="10"/>
  <c r="J3" i="10" s="1"/>
  <c r="J55" i="10"/>
  <c r="Y26" i="10"/>
  <c r="X26" i="12" s="1"/>
  <c r="AG8" i="5"/>
  <c r="AG7" i="5" s="1"/>
  <c r="AG64" i="5" s="1"/>
  <c r="AE5" i="5"/>
  <c r="AE62" i="5" s="1"/>
  <c r="AR8" i="5"/>
  <c r="AR7" i="5" s="1"/>
  <c r="AR64" i="5" s="1"/>
  <c r="AK63" i="5"/>
  <c r="AY4" i="10"/>
  <c r="AY3" i="10" s="1"/>
  <c r="AZ3" i="5"/>
  <c r="BD8" i="5"/>
  <c r="C17" i="5"/>
  <c r="C16" i="5" s="1"/>
  <c r="C73" i="5" s="1"/>
  <c r="AS4" i="10"/>
  <c r="AS3" i="10" s="1"/>
  <c r="AT3" i="5"/>
  <c r="AQ4" i="5"/>
  <c r="AQ61" i="5" s="1"/>
  <c r="AM4" i="10"/>
  <c r="AM3" i="10" s="1"/>
  <c r="AO8" i="5"/>
  <c r="AO7" i="5" s="1"/>
  <c r="AO64" i="5" s="1"/>
  <c r="AP3" i="5"/>
  <c r="AP60" i="5" s="1"/>
  <c r="AO63" i="5"/>
  <c r="C14" i="5"/>
  <c r="AH3" i="5"/>
  <c r="AH60" i="5" s="1"/>
  <c r="BC4" i="10"/>
  <c r="BC3" i="10" s="1"/>
  <c r="BE62" i="5"/>
  <c r="BE4" i="5"/>
  <c r="BE61" i="5" s="1"/>
  <c r="BD3" i="5"/>
  <c r="BD60" i="5" s="1"/>
  <c r="AV8" i="5"/>
  <c r="BE7" i="5"/>
  <c r="BE64" i="5" s="1"/>
  <c r="BC8" i="5"/>
  <c r="AV3" i="5"/>
  <c r="AV60" i="5" s="1"/>
  <c r="BB7" i="5"/>
  <c r="BB64" i="5" s="1"/>
  <c r="AP8" i="5"/>
  <c r="BD8" i="10"/>
  <c r="BD7" i="10" s="1"/>
  <c r="BD26" i="10" s="1"/>
  <c r="BC26" i="12" s="1"/>
  <c r="BC63" i="5"/>
  <c r="AX4" i="10"/>
  <c r="AX3" i="10" s="1"/>
  <c r="AW4" i="10"/>
  <c r="AW3" i="10" s="1"/>
  <c r="AU4" i="10"/>
  <c r="AU3" i="10" s="1"/>
  <c r="AO4" i="10"/>
  <c r="AO3" i="10" s="1"/>
  <c r="AH8" i="5"/>
  <c r="AH65" i="5" s="1"/>
  <c r="AJ3" i="6" s="1"/>
  <c r="AI8" i="5"/>
  <c r="AI65" i="5" s="1"/>
  <c r="AK3" i="6" s="1"/>
  <c r="AL8" i="5"/>
  <c r="AL7" i="5" s="1"/>
  <c r="AL64" i="5" s="1"/>
  <c r="AM8" i="5"/>
  <c r="AM65" i="5" s="1"/>
  <c r="AO3" i="6" s="1"/>
  <c r="AN8" i="5"/>
  <c r="AN5" i="5" s="1"/>
  <c r="G42" i="3"/>
  <c r="H41" i="4"/>
  <c r="AK60" i="5"/>
  <c r="AL4" i="10"/>
  <c r="AL3" i="10" s="1"/>
  <c r="AL60" i="5"/>
  <c r="AO60" i="5"/>
  <c r="AL63" i="5"/>
  <c r="AJ8" i="5"/>
  <c r="AJ5" i="5" s="1"/>
  <c r="AK8" i="5"/>
  <c r="AI4" i="10"/>
  <c r="AI3" i="10" s="1"/>
  <c r="AH4" i="10"/>
  <c r="AH3" i="10" s="1"/>
  <c r="AF4" i="10"/>
  <c r="AF3" i="10" s="1"/>
  <c r="AG4" i="10"/>
  <c r="AG3" i="10" s="1"/>
  <c r="AG3" i="5"/>
  <c r="D57" i="4"/>
  <c r="O45" i="4"/>
  <c r="P45" i="4" s="1"/>
  <c r="T86" i="58"/>
  <c r="V86" i="58" s="1"/>
  <c r="S305" i="58"/>
  <c r="S332" i="58"/>
  <c r="S344" i="58"/>
  <c r="S338" i="58"/>
  <c r="T16" i="58"/>
  <c r="W16" i="58" s="1"/>
  <c r="T17" i="58"/>
  <c r="V17" i="58" s="1"/>
  <c r="S187" i="58"/>
  <c r="S78" i="58"/>
  <c r="T300" i="58"/>
  <c r="W300" i="58" s="1"/>
  <c r="T20" i="58"/>
  <c r="V20" i="58" s="1"/>
  <c r="T77" i="58"/>
  <c r="W77" i="58" s="1"/>
  <c r="R75" i="58"/>
  <c r="S85" i="58"/>
  <c r="S175" i="58"/>
  <c r="S296" i="58"/>
  <c r="S313" i="58"/>
  <c r="R19" i="58"/>
  <c r="T19" i="58" s="1"/>
  <c r="W19" i="58" s="1"/>
  <c r="S28" i="58"/>
  <c r="S65" i="58"/>
  <c r="W66" i="58"/>
  <c r="V66" i="58"/>
  <c r="T82" i="58"/>
  <c r="AD8" i="10"/>
  <c r="AD7" i="10" s="1"/>
  <c r="AD26" i="10" s="1"/>
  <c r="AC26" i="12" s="1"/>
  <c r="AE60" i="5"/>
  <c r="AE4" i="5"/>
  <c r="AE61" i="5" s="1"/>
  <c r="AE8" i="10"/>
  <c r="E39" i="4"/>
  <c r="AE4" i="10"/>
  <c r="AF5" i="5"/>
  <c r="AF62" i="5" s="1"/>
  <c r="C19" i="13" l="1"/>
  <c r="M119" i="20"/>
  <c r="M117" i="20" s="1"/>
  <c r="N121" i="20"/>
  <c r="N119" i="20" s="1"/>
  <c r="N10" i="49"/>
  <c r="O12" i="49"/>
  <c r="Q74" i="46"/>
  <c r="P74" i="46"/>
  <c r="M9" i="46"/>
  <c r="P142" i="37"/>
  <c r="Q142" i="37"/>
  <c r="O141" i="37"/>
  <c r="P141" i="37" s="1"/>
  <c r="Q79" i="66"/>
  <c r="S79" i="66" s="1"/>
  <c r="O77" i="66"/>
  <c r="U77" i="66" s="1"/>
  <c r="U79" i="66"/>
  <c r="Q55" i="48"/>
  <c r="P55" i="48"/>
  <c r="N141" i="39"/>
  <c r="O142" i="39"/>
  <c r="X199" i="63"/>
  <c r="U199" i="62"/>
  <c r="U83" i="64"/>
  <c r="Q83" i="64"/>
  <c r="F13" i="3"/>
  <c r="E13" i="3"/>
  <c r="I13" i="3"/>
  <c r="H13" i="3"/>
  <c r="N111" i="51"/>
  <c r="O112" i="51"/>
  <c r="P112" i="51" s="1"/>
  <c r="P33" i="20"/>
  <c r="Q33" i="20"/>
  <c r="J239" i="58"/>
  <c r="U147" i="64"/>
  <c r="Q147" i="64"/>
  <c r="N99" i="36"/>
  <c r="O101" i="36"/>
  <c r="Q101" i="36" s="1"/>
  <c r="AY5" i="5"/>
  <c r="AY62" i="5" s="1"/>
  <c r="AY7" i="5"/>
  <c r="AY64" i="5" s="1"/>
  <c r="Q25" i="25"/>
  <c r="P25" i="25"/>
  <c r="P143" i="36"/>
  <c r="Q143" i="36"/>
  <c r="O163" i="68"/>
  <c r="U163" i="68" s="1"/>
  <c r="U165" i="68"/>
  <c r="O257" i="58"/>
  <c r="O255" i="58" s="1"/>
  <c r="U76" i="64"/>
  <c r="J152" i="58"/>
  <c r="Q76" i="64"/>
  <c r="S76" i="64" s="1"/>
  <c r="N111" i="47"/>
  <c r="O114" i="47"/>
  <c r="O111" i="47" s="1"/>
  <c r="P111" i="47" s="1"/>
  <c r="Q123" i="35"/>
  <c r="P123" i="35"/>
  <c r="M236" i="58"/>
  <c r="P87" i="66"/>
  <c r="T87" i="66"/>
  <c r="J161" i="58"/>
  <c r="U87" i="64"/>
  <c r="P155" i="58"/>
  <c r="Q165" i="68"/>
  <c r="N124" i="40"/>
  <c r="O125" i="40"/>
  <c r="P125" i="40" s="1"/>
  <c r="N228" i="45"/>
  <c r="BJ40" i="43" s="1"/>
  <c r="O230" i="45"/>
  <c r="P152" i="23"/>
  <c r="J91" i="54"/>
  <c r="O28" i="33"/>
  <c r="N141" i="36"/>
  <c r="P23" i="32"/>
  <c r="BC29" i="30"/>
  <c r="N59" i="50"/>
  <c r="O59" i="50"/>
  <c r="P59" i="50" s="1"/>
  <c r="M21" i="37"/>
  <c r="M13" i="27"/>
  <c r="N14" i="27"/>
  <c r="N13" i="27" s="1"/>
  <c r="P115" i="25"/>
  <c r="Q115" i="25"/>
  <c r="P52" i="25"/>
  <c r="Q52" i="25"/>
  <c r="M152" i="58"/>
  <c r="U76" i="65"/>
  <c r="Q76" i="65"/>
  <c r="M118" i="48"/>
  <c r="O61" i="38"/>
  <c r="N60" i="38"/>
  <c r="N66" i="34"/>
  <c r="N56" i="34" s="1"/>
  <c r="O67" i="34"/>
  <c r="P67" i="34" s="1"/>
  <c r="P121" i="36"/>
  <c r="Q121" i="36"/>
  <c r="M38" i="23"/>
  <c r="M37" i="23" s="1"/>
  <c r="M36" i="23" s="1"/>
  <c r="N39" i="23"/>
  <c r="N38" i="23" s="1"/>
  <c r="N37" i="23" s="1"/>
  <c r="N36" i="23" s="1"/>
  <c r="O39" i="23"/>
  <c r="N11" i="38"/>
  <c r="O11" i="38" s="1"/>
  <c r="N53" i="38"/>
  <c r="O53" i="38"/>
  <c r="P53" i="38" s="1"/>
  <c r="O92" i="35"/>
  <c r="N91" i="35"/>
  <c r="Q43" i="35"/>
  <c r="P43" i="35"/>
  <c r="O41" i="35"/>
  <c r="P41" i="35" s="1"/>
  <c r="AU31" i="30"/>
  <c r="AR31" i="30"/>
  <c r="AL31" i="30"/>
  <c r="BA31" i="30"/>
  <c r="AO31" i="30"/>
  <c r="AI31" i="30"/>
  <c r="BN65" i="5"/>
  <c r="BN5" i="5"/>
  <c r="BN62" i="5" s="1"/>
  <c r="O100" i="46"/>
  <c r="N99" i="46"/>
  <c r="Q162" i="67"/>
  <c r="S162" i="67" s="1"/>
  <c r="U162" i="67"/>
  <c r="K254" i="58"/>
  <c r="P158" i="32"/>
  <c r="Q53" i="47"/>
  <c r="P53" i="47"/>
  <c r="P8" i="37"/>
  <c r="Q8" i="37"/>
  <c r="O6" i="37"/>
  <c r="P6" i="37" s="1"/>
  <c r="N67" i="23"/>
  <c r="M66" i="23"/>
  <c r="AD65" i="5"/>
  <c r="AD5" i="5"/>
  <c r="AD62" i="5" s="1"/>
  <c r="N77" i="40"/>
  <c r="O77" i="40" s="1"/>
  <c r="P77" i="40" s="1"/>
  <c r="BG11" i="5"/>
  <c r="M150" i="34"/>
  <c r="M149" i="34" s="1"/>
  <c r="AK28" i="30" s="1"/>
  <c r="N163" i="27"/>
  <c r="N161" i="27" s="1"/>
  <c r="O163" i="27"/>
  <c r="P163" i="27" s="1"/>
  <c r="N20" i="20"/>
  <c r="M19" i="20"/>
  <c r="P60" i="47"/>
  <c r="Q60" i="47"/>
  <c r="O56" i="47"/>
  <c r="P56" i="47" s="1"/>
  <c r="O132" i="33"/>
  <c r="N130" i="33"/>
  <c r="N72" i="47"/>
  <c r="O72" i="47" s="1"/>
  <c r="M70" i="47"/>
  <c r="M69" i="47" s="1"/>
  <c r="N121" i="39"/>
  <c r="M239" i="58"/>
  <c r="U147" i="65"/>
  <c r="Q147" i="65"/>
  <c r="S147" i="65"/>
  <c r="S144" i="65" s="1"/>
  <c r="Q136" i="48"/>
  <c r="M136" i="48"/>
  <c r="N136" i="48" s="1"/>
  <c r="O136" i="48" s="1"/>
  <c r="P136" i="48" s="1"/>
  <c r="J84" i="54"/>
  <c r="P109" i="23"/>
  <c r="M161" i="27"/>
  <c r="M13" i="38"/>
  <c r="N15" i="38"/>
  <c r="N13" i="38" s="1"/>
  <c r="O15" i="38"/>
  <c r="P17" i="47"/>
  <c r="Q17" i="47"/>
  <c r="P70" i="27"/>
  <c r="O69" i="27"/>
  <c r="P69" i="27" s="1"/>
  <c r="P164" i="32"/>
  <c r="T187" i="65"/>
  <c r="P187" i="65"/>
  <c r="S187" i="65"/>
  <c r="N75" i="36"/>
  <c r="M70" i="36"/>
  <c r="M69" i="36" s="1"/>
  <c r="M96" i="37"/>
  <c r="N96" i="37" s="1"/>
  <c r="O96" i="37" s="1"/>
  <c r="P96" i="37" s="1"/>
  <c r="Q96" i="37"/>
  <c r="O108" i="34"/>
  <c r="P108" i="34" s="1"/>
  <c r="N108" i="34"/>
  <c r="M8" i="46"/>
  <c r="M145" i="58"/>
  <c r="U67" i="65"/>
  <c r="Q67" i="65"/>
  <c r="AZ27" i="43"/>
  <c r="AZ25" i="43" s="1"/>
  <c r="P8" i="41" s="1"/>
  <c r="M88" i="49"/>
  <c r="P120" i="36"/>
  <c r="Q120" i="36"/>
  <c r="O119" i="36"/>
  <c r="P119" i="36" s="1"/>
  <c r="K253" i="58"/>
  <c r="K251" i="58" s="1"/>
  <c r="U161" i="67"/>
  <c r="Q161" i="67"/>
  <c r="S161" i="67"/>
  <c r="Y96" i="61"/>
  <c r="T68" i="66"/>
  <c r="P40" i="35"/>
  <c r="N67" i="38"/>
  <c r="N66" i="38" s="1"/>
  <c r="N94" i="49"/>
  <c r="N90" i="49" s="1"/>
  <c r="M56" i="39"/>
  <c r="P194" i="32"/>
  <c r="BF38" i="10"/>
  <c r="M19" i="34"/>
  <c r="O20" i="34"/>
  <c r="N20" i="34"/>
  <c r="N19" i="34" s="1"/>
  <c r="M95" i="37"/>
  <c r="N163" i="36"/>
  <c r="M161" i="36"/>
  <c r="AQ29" i="30" s="1"/>
  <c r="N7" i="47"/>
  <c r="M6" i="47"/>
  <c r="M129" i="48"/>
  <c r="AW27" i="43" s="1"/>
  <c r="I45" i="32"/>
  <c r="M45" i="32" s="1"/>
  <c r="I15" i="31"/>
  <c r="I14" i="31" s="1"/>
  <c r="F23" i="31" s="1"/>
  <c r="F31" i="31" s="1"/>
  <c r="I43" i="29"/>
  <c r="K27" i="29" s="1"/>
  <c r="Q103" i="33"/>
  <c r="O102" i="33"/>
  <c r="J41" i="54"/>
  <c r="P73" i="23"/>
  <c r="M27" i="23"/>
  <c r="N28" i="23"/>
  <c r="N27" i="23" s="1"/>
  <c r="O28" i="23"/>
  <c r="N112" i="25"/>
  <c r="N111" i="25" s="1"/>
  <c r="M111" i="25"/>
  <c r="P28" i="46"/>
  <c r="Q28" i="46"/>
  <c r="O27" i="46"/>
  <c r="P27" i="46" s="1"/>
  <c r="S42" i="67"/>
  <c r="P42" i="67"/>
  <c r="T42" i="67"/>
  <c r="T192" i="67"/>
  <c r="P192" i="67"/>
  <c r="S192" i="67"/>
  <c r="T147" i="62"/>
  <c r="S147" i="62"/>
  <c r="P147" i="62"/>
  <c r="Q12" i="48"/>
  <c r="O10" i="48"/>
  <c r="P10" i="48" s="1"/>
  <c r="P12" i="48"/>
  <c r="P114" i="67"/>
  <c r="T114" i="67"/>
  <c r="Q137" i="20"/>
  <c r="P137" i="20"/>
  <c r="O15" i="23"/>
  <c r="P15" i="23" s="1"/>
  <c r="S135" i="63"/>
  <c r="Q40" i="35"/>
  <c r="P126" i="45"/>
  <c r="O122" i="32"/>
  <c r="P180" i="32"/>
  <c r="U166" i="67"/>
  <c r="Q166" i="67"/>
  <c r="K258" i="58"/>
  <c r="K255" i="58" s="1"/>
  <c r="S166" i="67"/>
  <c r="S163" i="67" s="1"/>
  <c r="Q103" i="37"/>
  <c r="P103" i="37"/>
  <c r="N48" i="39"/>
  <c r="O48" i="39" s="1"/>
  <c r="P48" i="39" s="1"/>
  <c r="M47" i="39"/>
  <c r="M37" i="39" s="1"/>
  <c r="M10" i="20"/>
  <c r="M9" i="20" s="1"/>
  <c r="M5" i="20" s="1"/>
  <c r="M4" i="20" s="1"/>
  <c r="N11" i="20"/>
  <c r="N10" i="20" s="1"/>
  <c r="N9" i="20" s="1"/>
  <c r="N5" i="20" s="1"/>
  <c r="N4" i="20" s="1"/>
  <c r="O11" i="20"/>
  <c r="N46" i="36"/>
  <c r="N44" i="36" s="1"/>
  <c r="N37" i="36" s="1"/>
  <c r="M44" i="36"/>
  <c r="M37" i="36" s="1"/>
  <c r="M36" i="36" s="1"/>
  <c r="U188" i="65"/>
  <c r="Q188" i="65"/>
  <c r="M280" i="58"/>
  <c r="M277" i="58" s="1"/>
  <c r="M276" i="58" s="1"/>
  <c r="M134" i="48"/>
  <c r="N135" i="48"/>
  <c r="O135" i="48" s="1"/>
  <c r="D11" i="41"/>
  <c r="D13" i="41" s="1"/>
  <c r="D15" i="41" s="1"/>
  <c r="N95" i="23"/>
  <c r="N94" i="23" s="1"/>
  <c r="M94" i="23"/>
  <c r="M91" i="23"/>
  <c r="M90" i="23" s="1"/>
  <c r="M89" i="23" s="1"/>
  <c r="M88" i="23" s="1"/>
  <c r="N92" i="23"/>
  <c r="N91" i="23" s="1"/>
  <c r="N90" i="23" s="1"/>
  <c r="N89" i="23" s="1"/>
  <c r="N88" i="23" s="1"/>
  <c r="O92" i="23"/>
  <c r="N103" i="23"/>
  <c r="M102" i="23"/>
  <c r="M19" i="23"/>
  <c r="N20" i="23"/>
  <c r="N19" i="23" s="1"/>
  <c r="O20" i="23"/>
  <c r="N57" i="46"/>
  <c r="N56" i="46" s="1"/>
  <c r="N36" i="46" s="1"/>
  <c r="AR20" i="43" s="1"/>
  <c r="O58" i="46"/>
  <c r="O48" i="27"/>
  <c r="N47" i="27"/>
  <c r="P58" i="23"/>
  <c r="O57" i="23"/>
  <c r="J49" i="54"/>
  <c r="M134" i="33"/>
  <c r="N44" i="40"/>
  <c r="N37" i="40" s="1"/>
  <c r="N36" i="40" s="1"/>
  <c r="O45" i="40"/>
  <c r="O125" i="47"/>
  <c r="N124" i="47"/>
  <c r="Q107" i="47"/>
  <c r="S138" i="67"/>
  <c r="P138" i="67"/>
  <c r="T138" i="67"/>
  <c r="O102" i="20"/>
  <c r="Q103" i="20"/>
  <c r="P103" i="20"/>
  <c r="L236" i="58"/>
  <c r="N90" i="48"/>
  <c r="N129" i="33"/>
  <c r="AI27" i="30" s="1"/>
  <c r="O101" i="48"/>
  <c r="H59" i="56"/>
  <c r="H53" i="56"/>
  <c r="R114" i="58"/>
  <c r="T114" i="58" s="1"/>
  <c r="W114" i="58" s="1"/>
  <c r="P38" i="32"/>
  <c r="N143" i="51"/>
  <c r="N141" i="51" s="1"/>
  <c r="O143" i="51"/>
  <c r="M141" i="51"/>
  <c r="N93" i="46"/>
  <c r="N91" i="46" s="1"/>
  <c r="M91" i="46"/>
  <c r="M48" i="37"/>
  <c r="M152" i="36"/>
  <c r="N30" i="47"/>
  <c r="M27" i="47"/>
  <c r="M9" i="47" s="1"/>
  <c r="M5" i="47" s="1"/>
  <c r="N116" i="39"/>
  <c r="O116" i="39"/>
  <c r="P116" i="39" s="1"/>
  <c r="M113" i="20"/>
  <c r="N113" i="20" s="1"/>
  <c r="O113" i="20" s="1"/>
  <c r="P113" i="20" s="1"/>
  <c r="M59" i="48"/>
  <c r="E46" i="31"/>
  <c r="E52" i="31" s="1"/>
  <c r="E41" i="31"/>
  <c r="F41" i="31" s="1"/>
  <c r="N23" i="23"/>
  <c r="N22" i="23" s="1"/>
  <c r="M22" i="23"/>
  <c r="O23" i="23"/>
  <c r="N30" i="23"/>
  <c r="O30" i="23" s="1"/>
  <c r="P30" i="23" s="1"/>
  <c r="N52" i="23"/>
  <c r="O52" i="23" s="1"/>
  <c r="O100" i="47"/>
  <c r="I30" i="38"/>
  <c r="M30" i="38" s="1"/>
  <c r="I8" i="38"/>
  <c r="M8" i="38" s="1"/>
  <c r="I7" i="38"/>
  <c r="M7" i="38" s="1"/>
  <c r="H16" i="28"/>
  <c r="B24" i="28"/>
  <c r="N24" i="46"/>
  <c r="M22" i="46"/>
  <c r="P121" i="48"/>
  <c r="O119" i="48"/>
  <c r="P119" i="48" s="1"/>
  <c r="Q121" i="48"/>
  <c r="O45" i="35"/>
  <c r="N44" i="35"/>
  <c r="P131" i="46"/>
  <c r="O130" i="46"/>
  <c r="P130" i="46" s="1"/>
  <c r="O44" i="33"/>
  <c r="P44" i="33" s="1"/>
  <c r="Q45" i="33"/>
  <c r="P45" i="33"/>
  <c r="O53" i="49"/>
  <c r="P53" i="49" s="1"/>
  <c r="O14" i="67"/>
  <c r="P89" i="67"/>
  <c r="T89" i="67"/>
  <c r="S89" i="67"/>
  <c r="Q16" i="37"/>
  <c r="M16" i="37"/>
  <c r="N16" i="37" s="1"/>
  <c r="O16" i="37" s="1"/>
  <c r="P16" i="37" s="1"/>
  <c r="P40" i="23"/>
  <c r="J31" i="54"/>
  <c r="S104" i="65"/>
  <c r="P104" i="65"/>
  <c r="T104" i="65"/>
  <c r="U185" i="67"/>
  <c r="O184" i="67"/>
  <c r="U184" i="67" s="1"/>
  <c r="P152" i="33"/>
  <c r="Q152" i="33"/>
  <c r="N216" i="58"/>
  <c r="Y157" i="63"/>
  <c r="AB157" i="63" s="1"/>
  <c r="O68" i="36"/>
  <c r="O104" i="23"/>
  <c r="P104" i="23" s="1"/>
  <c r="K107" i="58"/>
  <c r="K100" i="58" s="1"/>
  <c r="K98" i="58" s="1"/>
  <c r="O12" i="34"/>
  <c r="P12" i="34" s="1"/>
  <c r="M9" i="51"/>
  <c r="M5" i="51" s="1"/>
  <c r="O45" i="37"/>
  <c r="O44" i="37" s="1"/>
  <c r="N10" i="38"/>
  <c r="P67" i="32"/>
  <c r="H26" i="10"/>
  <c r="G26" i="12" s="1"/>
  <c r="C28" i="4"/>
  <c r="P31" i="37"/>
  <c r="Q31" i="37"/>
  <c r="N97" i="37"/>
  <c r="O97" i="37" s="1"/>
  <c r="N8" i="34"/>
  <c r="M6" i="34"/>
  <c r="N7" i="46"/>
  <c r="O7" i="46" s="1"/>
  <c r="M6" i="46"/>
  <c r="N156" i="39"/>
  <c r="O156" i="39"/>
  <c r="P156" i="39" s="1"/>
  <c r="P112" i="20"/>
  <c r="Q112" i="20"/>
  <c r="N60" i="51"/>
  <c r="O62" i="51"/>
  <c r="P62" i="51" s="1"/>
  <c r="E19" i="30"/>
  <c r="E36" i="30"/>
  <c r="E24" i="30"/>
  <c r="E14" i="30"/>
  <c r="AI7" i="30"/>
  <c r="E35" i="30"/>
  <c r="E23" i="30"/>
  <c r="E42" i="30"/>
  <c r="C4" i="28"/>
  <c r="J4" i="28" s="1"/>
  <c r="Q4" i="28" s="1"/>
  <c r="E41" i="30"/>
  <c r="E30" i="30"/>
  <c r="E21" i="30"/>
  <c r="E20" i="30"/>
  <c r="AH7" i="30"/>
  <c r="E40" i="30"/>
  <c r="E29" i="30"/>
  <c r="E18" i="30"/>
  <c r="E13" i="30"/>
  <c r="E32" i="30"/>
  <c r="E26" i="30"/>
  <c r="E10" i="30"/>
  <c r="E22" i="30"/>
  <c r="E9" i="30"/>
  <c r="E31" i="30"/>
  <c r="E38" i="30"/>
  <c r="E16" i="30"/>
  <c r="E37" i="30"/>
  <c r="E11" i="30"/>
  <c r="E28" i="30"/>
  <c r="E27" i="30"/>
  <c r="E33" i="30"/>
  <c r="E25" i="30"/>
  <c r="E12" i="30"/>
  <c r="E39" i="30"/>
  <c r="E17" i="30"/>
  <c r="E34" i="30"/>
  <c r="E15" i="30"/>
  <c r="BB7" i="30"/>
  <c r="M47" i="23"/>
  <c r="N48" i="23"/>
  <c r="N47" i="23" s="1"/>
  <c r="F3" i="32"/>
  <c r="O19" i="47"/>
  <c r="P19" i="47" s="1"/>
  <c r="P20" i="47"/>
  <c r="Q20" i="47"/>
  <c r="O91" i="37"/>
  <c r="P91" i="37" s="1"/>
  <c r="P92" i="37"/>
  <c r="Q92" i="37"/>
  <c r="P31" i="33"/>
  <c r="Q31" i="33"/>
  <c r="N41" i="23"/>
  <c r="O42" i="23"/>
  <c r="O121" i="37"/>
  <c r="N119" i="37"/>
  <c r="N117" i="37" s="1"/>
  <c r="S60" i="5"/>
  <c r="S4" i="5"/>
  <c r="S61" i="5" s="1"/>
  <c r="P40" i="51"/>
  <c r="O38" i="51"/>
  <c r="P38" i="51" s="1"/>
  <c r="O10" i="27"/>
  <c r="P11" i="27"/>
  <c r="T111" i="67"/>
  <c r="P111" i="67"/>
  <c r="P106" i="37"/>
  <c r="Q106" i="37"/>
  <c r="N120" i="39"/>
  <c r="O120" i="39" s="1"/>
  <c r="M119" i="39"/>
  <c r="M117" i="39" s="1"/>
  <c r="N143" i="48"/>
  <c r="N141" i="48" s="1"/>
  <c r="M141" i="48"/>
  <c r="Q31" i="43"/>
  <c r="Q20" i="43"/>
  <c r="Q30" i="43"/>
  <c r="Q19" i="43"/>
  <c r="Q14" i="43"/>
  <c r="AW7" i="43"/>
  <c r="Q33" i="43"/>
  <c r="Q27" i="43"/>
  <c r="Q38" i="43"/>
  <c r="Q22" i="43"/>
  <c r="Q18" i="43"/>
  <c r="Q42" i="43"/>
  <c r="Q37" i="43"/>
  <c r="Q40" i="43"/>
  <c r="Q11" i="43"/>
  <c r="Q41" i="43"/>
  <c r="Q23" i="43"/>
  <c r="Q15" i="43"/>
  <c r="Q16" i="43"/>
  <c r="Q10" i="43"/>
  <c r="Q29" i="43"/>
  <c r="Q24" i="43"/>
  <c r="Q25" i="43"/>
  <c r="Q35" i="43"/>
  <c r="Q28" i="43"/>
  <c r="Q21" i="43"/>
  <c r="Q36" i="43"/>
  <c r="Q26" i="43"/>
  <c r="Q9" i="43"/>
  <c r="Q34" i="43"/>
  <c r="Q39" i="43"/>
  <c r="Q32" i="43"/>
  <c r="Q17" i="43"/>
  <c r="AX7" i="43"/>
  <c r="Q12" i="43"/>
  <c r="Q13" i="43"/>
  <c r="BH7" i="43"/>
  <c r="P28" i="32"/>
  <c r="N37" i="46"/>
  <c r="M9" i="36"/>
  <c r="M5" i="36" s="1"/>
  <c r="Q120" i="33"/>
  <c r="N58" i="50"/>
  <c r="N57" i="50" s="1"/>
  <c r="N56" i="50" s="1"/>
  <c r="M57" i="50"/>
  <c r="M56" i="50" s="1"/>
  <c r="M36" i="50" s="1"/>
  <c r="M74" i="37"/>
  <c r="M10" i="37"/>
  <c r="N11" i="37"/>
  <c r="N153" i="46"/>
  <c r="M150" i="46"/>
  <c r="M149" i="46" s="1"/>
  <c r="AQ28" i="43" s="1"/>
  <c r="BI28" i="43" s="1"/>
  <c r="N34" i="39"/>
  <c r="O34" i="39" s="1"/>
  <c r="P34" i="39" s="1"/>
  <c r="M9" i="39"/>
  <c r="M5" i="39" s="1"/>
  <c r="O39" i="46"/>
  <c r="M125" i="46"/>
  <c r="N153" i="39"/>
  <c r="O153" i="39" s="1"/>
  <c r="P153" i="39" s="1"/>
  <c r="Q108" i="65"/>
  <c r="U108" i="65"/>
  <c r="M204" i="58"/>
  <c r="M58" i="48"/>
  <c r="E50" i="44"/>
  <c r="E52" i="44" s="1"/>
  <c r="E41" i="44"/>
  <c r="F41" i="44" s="1"/>
  <c r="N14" i="23"/>
  <c r="M13" i="23"/>
  <c r="M44" i="23"/>
  <c r="N45" i="23"/>
  <c r="N44" i="23" s="1"/>
  <c r="P79" i="23"/>
  <c r="J45" i="54"/>
  <c r="N29" i="38"/>
  <c r="O29" i="38" s="1"/>
  <c r="P79" i="25"/>
  <c r="Q79" i="25"/>
  <c r="O14" i="36"/>
  <c r="N13" i="36"/>
  <c r="O159" i="67"/>
  <c r="U159" i="67" s="1"/>
  <c r="N119" i="36"/>
  <c r="N117" i="36" s="1"/>
  <c r="O42" i="46"/>
  <c r="O92" i="47"/>
  <c r="N91" i="47"/>
  <c r="N90" i="47" s="1"/>
  <c r="N89" i="47" s="1"/>
  <c r="P25" i="32"/>
  <c r="S129" i="63"/>
  <c r="P129" i="63"/>
  <c r="T129" i="63"/>
  <c r="S34" i="67"/>
  <c r="P34" i="67"/>
  <c r="T34" i="67"/>
  <c r="P163" i="39"/>
  <c r="O161" i="39"/>
  <c r="S186" i="67"/>
  <c r="S185" i="67" s="1"/>
  <c r="S184" i="67" s="1"/>
  <c r="T186" i="67"/>
  <c r="P186" i="67"/>
  <c r="O22" i="20"/>
  <c r="P22" i="20" s="1"/>
  <c r="P26" i="20"/>
  <c r="Q26" i="20"/>
  <c r="R289" i="58"/>
  <c r="T289" i="58" s="1"/>
  <c r="W289" i="58" s="1"/>
  <c r="AW5" i="5"/>
  <c r="AW62" i="5" s="1"/>
  <c r="AQ7" i="5"/>
  <c r="AQ64" i="5" s="1"/>
  <c r="R17" i="7"/>
  <c r="E31" i="7"/>
  <c r="F31" i="7" s="1"/>
  <c r="D33" i="7"/>
  <c r="S17" i="7"/>
  <c r="O42" i="51"/>
  <c r="O29" i="49"/>
  <c r="BM14" i="11"/>
  <c r="O103" i="34"/>
  <c r="P103" i="34" s="1"/>
  <c r="O126" i="32"/>
  <c r="N131" i="51"/>
  <c r="N130" i="51" s="1"/>
  <c r="O131" i="51"/>
  <c r="P131" i="51" s="1"/>
  <c r="M130" i="51"/>
  <c r="M129" i="51" s="1"/>
  <c r="P31" i="23"/>
  <c r="J36" i="54"/>
  <c r="O134" i="24"/>
  <c r="P134" i="24" s="1"/>
  <c r="P135" i="24"/>
  <c r="Q135" i="24"/>
  <c r="O167" i="45"/>
  <c r="P167" i="45" s="1"/>
  <c r="P168" i="45"/>
  <c r="BI32" i="43"/>
  <c r="Q142" i="45"/>
  <c r="AP17" i="43"/>
  <c r="AM17" i="43"/>
  <c r="AJ17" i="43"/>
  <c r="AY17" i="43"/>
  <c r="J227" i="58"/>
  <c r="R227" i="58" s="1"/>
  <c r="N117" i="20"/>
  <c r="N124" i="49"/>
  <c r="O23" i="24"/>
  <c r="O96" i="51"/>
  <c r="P96" i="51" s="1"/>
  <c r="O104" i="48"/>
  <c r="N90" i="34"/>
  <c r="M4" i="40"/>
  <c r="C20" i="13"/>
  <c r="C21" i="13" s="1"/>
  <c r="N21" i="23"/>
  <c r="O21" i="23" s="1"/>
  <c r="P21" i="23" s="1"/>
  <c r="O49" i="48"/>
  <c r="P112" i="35"/>
  <c r="Q112" i="35"/>
  <c r="T167" i="67"/>
  <c r="S167" i="67"/>
  <c r="P167" i="67"/>
  <c r="O88" i="25"/>
  <c r="P88" i="25" s="1"/>
  <c r="P89" i="25"/>
  <c r="BN17" i="43"/>
  <c r="U111" i="64"/>
  <c r="O21" i="36"/>
  <c r="P21" i="36" s="1"/>
  <c r="B22" i="41"/>
  <c r="E17" i="7"/>
  <c r="BM23" i="11"/>
  <c r="I41" i="32"/>
  <c r="M41" i="32" s="1"/>
  <c r="I58" i="32"/>
  <c r="M58" i="32" s="1"/>
  <c r="I46" i="32"/>
  <c r="M46" i="32" s="1"/>
  <c r="N137" i="39"/>
  <c r="N134" i="39" s="1"/>
  <c r="N129" i="39" s="1"/>
  <c r="BA27" i="30" s="1"/>
  <c r="M134" i="39"/>
  <c r="M129" i="39" s="1"/>
  <c r="AZ27" i="30" s="1"/>
  <c r="J47" i="54"/>
  <c r="P51" i="23"/>
  <c r="Q45" i="25"/>
  <c r="P45" i="25"/>
  <c r="O44" i="25"/>
  <c r="P44" i="25" s="1"/>
  <c r="O102" i="37"/>
  <c r="P104" i="37"/>
  <c r="Q104" i="37"/>
  <c r="Q54" i="24"/>
  <c r="P54" i="24"/>
  <c r="N119" i="24"/>
  <c r="O120" i="24"/>
  <c r="Q8" i="24"/>
  <c r="P8" i="24"/>
  <c r="Q18" i="46"/>
  <c r="P18" i="46"/>
  <c r="P125" i="45"/>
  <c r="BM22" i="43"/>
  <c r="BH22" i="43"/>
  <c r="AG32" i="30"/>
  <c r="AJ32" i="30"/>
  <c r="AY32" i="30"/>
  <c r="AM32" i="30"/>
  <c r="AS32" i="30"/>
  <c r="AP32" i="30"/>
  <c r="Q200" i="45"/>
  <c r="M196" i="45"/>
  <c r="Q196" i="45" s="1"/>
  <c r="AM23" i="43"/>
  <c r="AJ23" i="43"/>
  <c r="AV23" i="43"/>
  <c r="BN23" i="43"/>
  <c r="AS23" i="43"/>
  <c r="AP23" i="43"/>
  <c r="Q175" i="45"/>
  <c r="BI35" i="43"/>
  <c r="U49" i="66"/>
  <c r="O144" i="46"/>
  <c r="AQ65" i="5"/>
  <c r="AS3" i="6" s="1"/>
  <c r="M36" i="35"/>
  <c r="AN20" i="30" s="1"/>
  <c r="O43" i="49"/>
  <c r="P43" i="49" s="1"/>
  <c r="N154" i="27"/>
  <c r="M150" i="27"/>
  <c r="M149" i="27" s="1"/>
  <c r="P61" i="51"/>
  <c r="O60" i="51"/>
  <c r="P60" i="51" s="1"/>
  <c r="P15" i="37"/>
  <c r="Q15" i="37"/>
  <c r="O142" i="49"/>
  <c r="P142" i="49" s="1"/>
  <c r="P121" i="40"/>
  <c r="O119" i="40"/>
  <c r="P119" i="40" s="1"/>
  <c r="AH40" i="30"/>
  <c r="AT40" i="30"/>
  <c r="AZ40" i="30"/>
  <c r="AQ40" i="30"/>
  <c r="AN40" i="30"/>
  <c r="AK40" i="30"/>
  <c r="AX23" i="43"/>
  <c r="BA23" i="43"/>
  <c r="N136" i="27"/>
  <c r="N134" i="27" s="1"/>
  <c r="O136" i="27"/>
  <c r="M134" i="27"/>
  <c r="N142" i="27"/>
  <c r="N141" i="27" s="1"/>
  <c r="M141" i="27"/>
  <c r="N76" i="34"/>
  <c r="O76" i="34" s="1"/>
  <c r="P76" i="34" s="1"/>
  <c r="M70" i="34"/>
  <c r="M69" i="34" s="1"/>
  <c r="AK24" i="30" s="1"/>
  <c r="K12" i="28" s="1"/>
  <c r="M27" i="20"/>
  <c r="N28" i="20"/>
  <c r="N27" i="20" s="1"/>
  <c r="O28" i="20"/>
  <c r="P27" i="43"/>
  <c r="P20" i="43"/>
  <c r="P22" i="43"/>
  <c r="P23" i="43"/>
  <c r="P15" i="43"/>
  <c r="P12" i="43"/>
  <c r="P37" i="43"/>
  <c r="P38" i="43"/>
  <c r="P36" i="43"/>
  <c r="P24" i="43"/>
  <c r="P13" i="43"/>
  <c r="P10" i="43"/>
  <c r="P34" i="43"/>
  <c r="P30" i="43"/>
  <c r="P18" i="43"/>
  <c r="P39" i="43"/>
  <c r="P33" i="43"/>
  <c r="P21" i="43"/>
  <c r="P26" i="43"/>
  <c r="P14" i="43"/>
  <c r="P16" i="43"/>
  <c r="P40" i="43"/>
  <c r="P17" i="43"/>
  <c r="P35" i="43"/>
  <c r="P25" i="43"/>
  <c r="P28" i="43"/>
  <c r="P19" i="43"/>
  <c r="P29" i="43"/>
  <c r="P32" i="43"/>
  <c r="P41" i="43"/>
  <c r="P9" i="43"/>
  <c r="P42" i="43"/>
  <c r="P31" i="43"/>
  <c r="P11" i="43"/>
  <c r="P105" i="25"/>
  <c r="Q105" i="25"/>
  <c r="P42" i="27"/>
  <c r="O41" i="27"/>
  <c r="P41" i="27" s="1"/>
  <c r="E20" i="9"/>
  <c r="E17" i="9"/>
  <c r="O200" i="45"/>
  <c r="P200" i="45" s="1"/>
  <c r="J159" i="58"/>
  <c r="O49" i="64"/>
  <c r="Q87" i="64"/>
  <c r="S87" i="64" s="1"/>
  <c r="T107" i="66"/>
  <c r="U129" i="66"/>
  <c r="T140" i="66"/>
  <c r="T173" i="66"/>
  <c r="O142" i="27"/>
  <c r="Q74" i="64"/>
  <c r="S74" i="64" s="1"/>
  <c r="M56" i="38"/>
  <c r="K17" i="7"/>
  <c r="BM21" i="6"/>
  <c r="U37" i="63"/>
  <c r="O153" i="48"/>
  <c r="P153" i="48" s="1"/>
  <c r="N47" i="39"/>
  <c r="N37" i="39" s="1"/>
  <c r="N196" i="45"/>
  <c r="N154" i="20"/>
  <c r="O154" i="20" s="1"/>
  <c r="M150" i="20"/>
  <c r="M149" i="20" s="1"/>
  <c r="N54" i="34"/>
  <c r="O54" i="34" s="1"/>
  <c r="P54" i="34" s="1"/>
  <c r="M47" i="34"/>
  <c r="N153" i="40"/>
  <c r="N150" i="40" s="1"/>
  <c r="N149" i="40" s="1"/>
  <c r="M150" i="40"/>
  <c r="M149" i="40" s="1"/>
  <c r="N7" i="31"/>
  <c r="N10" i="32" s="1"/>
  <c r="M10" i="32"/>
  <c r="P125" i="39"/>
  <c r="O124" i="39"/>
  <c r="P124" i="39" s="1"/>
  <c r="N57" i="25"/>
  <c r="N56" i="25" s="1"/>
  <c r="O58" i="25"/>
  <c r="B19" i="41"/>
  <c r="H16" i="41"/>
  <c r="H7" i="3" s="1"/>
  <c r="Q122" i="48"/>
  <c r="P122" i="48"/>
  <c r="H38" i="4"/>
  <c r="B43" i="12"/>
  <c r="G36" i="3"/>
  <c r="Q111" i="64"/>
  <c r="S111" i="64" s="1"/>
  <c r="Q50" i="64"/>
  <c r="S50" i="64" s="1"/>
  <c r="T54" i="66"/>
  <c r="O118" i="37"/>
  <c r="S112" i="66"/>
  <c r="S104" i="66"/>
  <c r="O122" i="40"/>
  <c r="O28" i="25"/>
  <c r="O27" i="25" s="1"/>
  <c r="P27" i="25" s="1"/>
  <c r="O10" i="34"/>
  <c r="P10" i="34" s="1"/>
  <c r="Q55" i="33"/>
  <c r="O78" i="47"/>
  <c r="N19" i="32"/>
  <c r="O66" i="40"/>
  <c r="P66" i="40" s="1"/>
  <c r="P81" i="67"/>
  <c r="T81" i="67"/>
  <c r="S81" i="67"/>
  <c r="O60" i="50"/>
  <c r="P62" i="50"/>
  <c r="O13" i="37"/>
  <c r="P13" i="37" s="1"/>
  <c r="Q77" i="45"/>
  <c r="K77" i="45"/>
  <c r="N112" i="45"/>
  <c r="O113" i="45"/>
  <c r="P144" i="37"/>
  <c r="Q144" i="37"/>
  <c r="R201" i="58"/>
  <c r="T201" i="58" s="1"/>
  <c r="T145" i="66"/>
  <c r="N36" i="39"/>
  <c r="BA20" i="30" s="1"/>
  <c r="M89" i="51"/>
  <c r="N131" i="36"/>
  <c r="M130" i="36"/>
  <c r="M129" i="36" s="1"/>
  <c r="AQ27" i="30" s="1"/>
  <c r="N100" i="20"/>
  <c r="M99" i="20"/>
  <c r="M90" i="20" s="1"/>
  <c r="M63" i="23"/>
  <c r="N64" i="23"/>
  <c r="N63" i="23" s="1"/>
  <c r="N120" i="27"/>
  <c r="N119" i="27" s="1"/>
  <c r="N117" i="27" s="1"/>
  <c r="M119" i="27"/>
  <c r="M117" i="27" s="1"/>
  <c r="P8" i="39"/>
  <c r="O6" i="39"/>
  <c r="P6" i="39" s="1"/>
  <c r="P113" i="25"/>
  <c r="Q113" i="25"/>
  <c r="T30" i="66"/>
  <c r="P30" i="66"/>
  <c r="S30" i="66"/>
  <c r="S23" i="63"/>
  <c r="T23" i="63"/>
  <c r="P23" i="63"/>
  <c r="O21" i="48"/>
  <c r="N19" i="48"/>
  <c r="P153" i="45"/>
  <c r="O151" i="45"/>
  <c r="P151" i="45" s="1"/>
  <c r="N142" i="45"/>
  <c r="BJ32" i="43" s="1"/>
  <c r="S92" i="69"/>
  <c r="T92" i="69"/>
  <c r="P92" i="69"/>
  <c r="E3" i="61"/>
  <c r="I69" i="61" s="1"/>
  <c r="M69" i="61" s="1"/>
  <c r="O69" i="61" s="1"/>
  <c r="T105" i="65"/>
  <c r="P105" i="65"/>
  <c r="R283" i="58"/>
  <c r="T283" i="58" s="1"/>
  <c r="V283" i="58" s="1"/>
  <c r="S197" i="65"/>
  <c r="P197" i="65"/>
  <c r="T197" i="65"/>
  <c r="P195" i="65"/>
  <c r="T195" i="65"/>
  <c r="R142" i="58"/>
  <c r="T142" i="58" s="1"/>
  <c r="V142" i="58" s="1"/>
  <c r="R240" i="58"/>
  <c r="T240" i="58" s="1"/>
  <c r="W240" i="58" s="1"/>
  <c r="S22" i="66"/>
  <c r="T187" i="64"/>
  <c r="P187" i="64"/>
  <c r="T146" i="64"/>
  <c r="P146" i="64"/>
  <c r="R239" i="58"/>
  <c r="T239" i="58" s="1"/>
  <c r="W239" i="58" s="1"/>
  <c r="P154" i="64"/>
  <c r="T154" i="64"/>
  <c r="S194" i="64"/>
  <c r="J247" i="58"/>
  <c r="R247" i="58" s="1"/>
  <c r="T247" i="58" s="1"/>
  <c r="W247" i="58" s="1"/>
  <c r="Q155" i="64"/>
  <c r="S155" i="64" s="1"/>
  <c r="U155" i="64"/>
  <c r="P189" i="64"/>
  <c r="T189" i="64"/>
  <c r="Q152" i="64"/>
  <c r="J244" i="58"/>
  <c r="R244" i="58" s="1"/>
  <c r="T244" i="58" s="1"/>
  <c r="U152" i="64"/>
  <c r="S187" i="64"/>
  <c r="R147" i="58"/>
  <c r="T147" i="58" s="1"/>
  <c r="W147" i="58" s="1"/>
  <c r="R248" i="58"/>
  <c r="T248" i="58" s="1"/>
  <c r="W248" i="58" s="1"/>
  <c r="J235" i="58"/>
  <c r="R235" i="58" s="1"/>
  <c r="T235" i="58" s="1"/>
  <c r="W235" i="58" s="1"/>
  <c r="J254" i="58"/>
  <c r="J251" i="58" s="1"/>
  <c r="U162" i="64"/>
  <c r="Q162" i="64"/>
  <c r="BF4" i="10"/>
  <c r="BF3" i="10" s="1"/>
  <c r="P27" i="4" s="1"/>
  <c r="AV4" i="10"/>
  <c r="AV3" i="10" s="1"/>
  <c r="C6" i="5"/>
  <c r="C63" i="5" s="1"/>
  <c r="BA5" i="5"/>
  <c r="BA62" i="5" s="1"/>
  <c r="AY65" i="5"/>
  <c r="BA65" i="5"/>
  <c r="BC3" i="6" s="1"/>
  <c r="BG3" i="5"/>
  <c r="BG60" i="5" s="1"/>
  <c r="BG76" i="5"/>
  <c r="BG20" i="5"/>
  <c r="C66" i="5"/>
  <c r="B3" i="3"/>
  <c r="BF7" i="5"/>
  <c r="BF64" i="5" s="1"/>
  <c r="BF65" i="5"/>
  <c r="BF5" i="5"/>
  <c r="AS5" i="5"/>
  <c r="AS62" i="5" s="1"/>
  <c r="AS65" i="5"/>
  <c r="AU3" i="6" s="1"/>
  <c r="AV4" i="6" s="1"/>
  <c r="AV8" i="6" s="1"/>
  <c r="AV4" i="7" s="1"/>
  <c r="AU7" i="5"/>
  <c r="AU64" i="5" s="1"/>
  <c r="AT8" i="10"/>
  <c r="AT7" i="10" s="1"/>
  <c r="AT26" i="10" s="1"/>
  <c r="AS26" i="12" s="1"/>
  <c r="AU5" i="5"/>
  <c r="AU62" i="5" s="1"/>
  <c r="AZ7" i="5"/>
  <c r="AZ64" i="5" s="1"/>
  <c r="AZ65" i="5"/>
  <c r="AZ5" i="5"/>
  <c r="AZ62" i="5" s="1"/>
  <c r="AW4" i="6"/>
  <c r="AW8" i="6" s="1"/>
  <c r="AW4" i="7" s="1"/>
  <c r="AT4" i="10"/>
  <c r="AT3" i="10" s="1"/>
  <c r="AS8" i="10"/>
  <c r="AS7" i="10" s="1"/>
  <c r="AS26" i="10" s="1"/>
  <c r="AR26" i="12" s="1"/>
  <c r="AT5" i="5"/>
  <c r="AT62" i="5" s="1"/>
  <c r="AT7" i="5"/>
  <c r="AT64" i="5" s="1"/>
  <c r="Q106" i="20"/>
  <c r="P106" i="20"/>
  <c r="AX33" i="43"/>
  <c r="AL33" i="43"/>
  <c r="BA33" i="43"/>
  <c r="AO33" i="43"/>
  <c r="AR33" i="43"/>
  <c r="AU33" i="43"/>
  <c r="Q52" i="33"/>
  <c r="P52" i="33"/>
  <c r="J100" i="54"/>
  <c r="P128" i="23"/>
  <c r="P113" i="24"/>
  <c r="Q113" i="24"/>
  <c r="B16" i="28"/>
  <c r="B18" i="28"/>
  <c r="Q101" i="25"/>
  <c r="P101" i="25"/>
  <c r="P35" i="33"/>
  <c r="Q35" i="33"/>
  <c r="Q110" i="46"/>
  <c r="P110" i="46"/>
  <c r="Q154" i="25"/>
  <c r="P154" i="25"/>
  <c r="P35" i="37"/>
  <c r="Q35" i="37"/>
  <c r="M4" i="51"/>
  <c r="AN19" i="30"/>
  <c r="Q65" i="36"/>
  <c r="P65" i="36"/>
  <c r="Q102" i="63"/>
  <c r="S102" i="63" s="1"/>
  <c r="U102" i="63"/>
  <c r="N170" i="58"/>
  <c r="N169" i="58" s="1"/>
  <c r="P156" i="36"/>
  <c r="Q156" i="36"/>
  <c r="P93" i="40"/>
  <c r="O91" i="40"/>
  <c r="P91" i="40" s="1"/>
  <c r="P115" i="33"/>
  <c r="Q115" i="33"/>
  <c r="R290" i="58"/>
  <c r="T290" i="58" s="1"/>
  <c r="V290" i="58" s="1"/>
  <c r="R157" i="58"/>
  <c r="T157" i="58" s="1"/>
  <c r="W157" i="58" s="1"/>
  <c r="T189" i="66"/>
  <c r="N27" i="39"/>
  <c r="N162" i="20"/>
  <c r="N161" i="20" s="1"/>
  <c r="M161" i="20"/>
  <c r="P225" i="32"/>
  <c r="O224" i="32"/>
  <c r="P224" i="32" s="1"/>
  <c r="P125" i="48"/>
  <c r="Q125" i="48"/>
  <c r="O124" i="48"/>
  <c r="P124" i="48" s="1"/>
  <c r="N91" i="24"/>
  <c r="N90" i="24" s="1"/>
  <c r="N89" i="24" s="1"/>
  <c r="N88" i="24" s="1"/>
  <c r="O92" i="24"/>
  <c r="N161" i="34"/>
  <c r="AL29" i="30" s="1"/>
  <c r="O162" i="34"/>
  <c r="P52" i="40"/>
  <c r="O47" i="40"/>
  <c r="O111" i="32"/>
  <c r="N108" i="32"/>
  <c r="J172" i="58"/>
  <c r="R172" i="58" s="1"/>
  <c r="T172" i="58" s="1"/>
  <c r="W172" i="58" s="1"/>
  <c r="U29" i="64"/>
  <c r="H54" i="56"/>
  <c r="O82" i="66"/>
  <c r="U82" i="66" s="1"/>
  <c r="U139" i="66"/>
  <c r="U122" i="64"/>
  <c r="L277" i="58"/>
  <c r="T151" i="66"/>
  <c r="U174" i="66"/>
  <c r="O245" i="58"/>
  <c r="N90" i="36"/>
  <c r="AP17" i="11"/>
  <c r="O26" i="39"/>
  <c r="O68" i="39"/>
  <c r="AP20" i="11"/>
  <c r="M37" i="38"/>
  <c r="N22" i="49"/>
  <c r="N9" i="49" s="1"/>
  <c r="N5" i="49" s="1"/>
  <c r="AQ26" i="30"/>
  <c r="G9" i="7"/>
  <c r="H9" i="7" s="1"/>
  <c r="I9" i="7" s="1"/>
  <c r="J9" i="7" s="1"/>
  <c r="K9" i="7" s="1"/>
  <c r="L9" i="7" s="1"/>
  <c r="M9" i="7" s="1"/>
  <c r="N9" i="7" s="1"/>
  <c r="O9" i="7" s="1"/>
  <c r="P9" i="7" s="1"/>
  <c r="Q9" i="7" s="1"/>
  <c r="R9" i="7" s="1"/>
  <c r="S9" i="7" s="1"/>
  <c r="T9" i="7" s="1"/>
  <c r="U9" i="7" s="1"/>
  <c r="V9" i="7" s="1"/>
  <c r="W9" i="7" s="1"/>
  <c r="X9" i="7" s="1"/>
  <c r="Y9" i="7" s="1"/>
  <c r="Z9" i="7" s="1"/>
  <c r="AA9" i="7" s="1"/>
  <c r="AB9" i="7" s="1"/>
  <c r="Q17" i="7"/>
  <c r="J260" i="58"/>
  <c r="S75" i="66"/>
  <c r="S103" i="66"/>
  <c r="S167" i="66"/>
  <c r="Q197" i="64"/>
  <c r="S197" i="64" s="1"/>
  <c r="J286" i="58"/>
  <c r="R286" i="58" s="1"/>
  <c r="T286" i="58" s="1"/>
  <c r="W286" i="58" s="1"/>
  <c r="S147" i="64"/>
  <c r="N162" i="51"/>
  <c r="M161" i="51"/>
  <c r="M89" i="47"/>
  <c r="Q167" i="64"/>
  <c r="J259" i="58"/>
  <c r="R259" i="58" s="1"/>
  <c r="T259" i="58" s="1"/>
  <c r="W259" i="58" s="1"/>
  <c r="U167" i="64"/>
  <c r="O90" i="63"/>
  <c r="U91" i="63"/>
  <c r="Q91" i="63"/>
  <c r="T130" i="62"/>
  <c r="P130" i="62"/>
  <c r="P31" i="67"/>
  <c r="S31" i="67"/>
  <c r="T31" i="67"/>
  <c r="O11" i="46"/>
  <c r="BM4" i="10"/>
  <c r="BM3" i="10" s="1"/>
  <c r="R27" i="4" s="1"/>
  <c r="O120" i="25"/>
  <c r="AQ19" i="30"/>
  <c r="BJ28" i="43"/>
  <c r="P101" i="49"/>
  <c r="O99" i="49"/>
  <c r="P99" i="49" s="1"/>
  <c r="O121" i="46"/>
  <c r="N119" i="46"/>
  <c r="N117" i="46" s="1"/>
  <c r="O115" i="46"/>
  <c r="Q143" i="24"/>
  <c r="P143" i="24"/>
  <c r="A17" i="10"/>
  <c r="A13" i="10"/>
  <c r="A21" i="10" s="1"/>
  <c r="P182" i="67"/>
  <c r="T182" i="67"/>
  <c r="P145" i="63"/>
  <c r="S145" i="63"/>
  <c r="T145" i="63"/>
  <c r="T43" i="63"/>
  <c r="P43" i="63"/>
  <c r="S96" i="67"/>
  <c r="S95" i="67" s="1"/>
  <c r="P96" i="67"/>
  <c r="T96" i="67"/>
  <c r="Q95" i="67"/>
  <c r="T95" i="67" s="1"/>
  <c r="T65" i="5"/>
  <c r="S8" i="10" s="1"/>
  <c r="S7" i="10" s="1"/>
  <c r="S26" i="10" s="1"/>
  <c r="R26" i="12" s="1"/>
  <c r="T5" i="5"/>
  <c r="T62" i="5" s="1"/>
  <c r="N65" i="5"/>
  <c r="M8" i="10" s="1"/>
  <c r="M7" i="10" s="1"/>
  <c r="N5" i="5"/>
  <c r="N62" i="5" s="1"/>
  <c r="P114" i="40"/>
  <c r="O50" i="35"/>
  <c r="N47" i="35"/>
  <c r="O64" i="40"/>
  <c r="P54" i="67"/>
  <c r="T54" i="67"/>
  <c r="S54" i="67"/>
  <c r="P204" i="45"/>
  <c r="O196" i="45"/>
  <c r="P196" i="45" s="1"/>
  <c r="O41" i="49"/>
  <c r="P41" i="49" s="1"/>
  <c r="O39" i="32"/>
  <c r="P39" i="32" s="1"/>
  <c r="M107" i="45"/>
  <c r="O180" i="45"/>
  <c r="P180" i="45" s="1"/>
  <c r="Q137" i="36"/>
  <c r="O134" i="36"/>
  <c r="P134" i="36" s="1"/>
  <c r="P137" i="36"/>
  <c r="P97" i="35"/>
  <c r="Q97" i="35"/>
  <c r="Q98" i="37"/>
  <c r="P98" i="37"/>
  <c r="AV24" i="57"/>
  <c r="T124" i="65"/>
  <c r="S124" i="65"/>
  <c r="AW24" i="57" s="1"/>
  <c r="V24" i="57" s="1"/>
  <c r="P124" i="65"/>
  <c r="T139" i="67"/>
  <c r="S139" i="67"/>
  <c r="P139" i="67"/>
  <c r="P103" i="67"/>
  <c r="T103" i="67"/>
  <c r="S103" i="67"/>
  <c r="P195" i="67"/>
  <c r="T195" i="67"/>
  <c r="P28" i="63"/>
  <c r="T28" i="63"/>
  <c r="P117" i="67"/>
  <c r="T117" i="67"/>
  <c r="S117" i="67"/>
  <c r="Q60" i="25"/>
  <c r="P60" i="25"/>
  <c r="O230" i="32"/>
  <c r="N228" i="32"/>
  <c r="BD40" i="30" s="1"/>
  <c r="P144" i="24"/>
  <c r="Q144" i="24"/>
  <c r="P202" i="62"/>
  <c r="T202" i="62"/>
  <c r="O142" i="45"/>
  <c r="P145" i="45"/>
  <c r="AO35" i="43"/>
  <c r="AX35" i="43"/>
  <c r="AU35" i="43"/>
  <c r="AR35" i="43"/>
  <c r="AL35" i="43"/>
  <c r="BA35" i="43"/>
  <c r="Q102" i="24"/>
  <c r="P102" i="24"/>
  <c r="N142" i="40"/>
  <c r="N141" i="40" s="1"/>
  <c r="N129" i="40" s="1"/>
  <c r="M141" i="40"/>
  <c r="M129" i="40" s="1"/>
  <c r="P126" i="37"/>
  <c r="Q126" i="37"/>
  <c r="O124" i="37"/>
  <c r="P124" i="37" s="1"/>
  <c r="N58" i="27"/>
  <c r="N57" i="27" s="1"/>
  <c r="N56" i="27" s="1"/>
  <c r="M57" i="27"/>
  <c r="M56" i="27" s="1"/>
  <c r="M130" i="34"/>
  <c r="N131" i="34"/>
  <c r="P51" i="37"/>
  <c r="Q51" i="37"/>
  <c r="AL38" i="30"/>
  <c r="AI38" i="30"/>
  <c r="AU38" i="30"/>
  <c r="AO38" i="30"/>
  <c r="BA38" i="30"/>
  <c r="AR38" i="30"/>
  <c r="Q137" i="48"/>
  <c r="P137" i="48"/>
  <c r="Q153" i="47"/>
  <c r="P153" i="47"/>
  <c r="O59" i="35"/>
  <c r="S188" i="66"/>
  <c r="Q149" i="64"/>
  <c r="S149" i="64" s="1"/>
  <c r="J241" i="58"/>
  <c r="J236" i="58" s="1"/>
  <c r="U149" i="64"/>
  <c r="P43" i="25"/>
  <c r="Q43" i="25"/>
  <c r="P53" i="33"/>
  <c r="Q53" i="33"/>
  <c r="BL65" i="5"/>
  <c r="BL5" i="5"/>
  <c r="BL62" i="5" s="1"/>
  <c r="S28" i="67"/>
  <c r="T28" i="67"/>
  <c r="P28" i="67"/>
  <c r="U15" i="64"/>
  <c r="J230" i="58"/>
  <c r="R230" i="58" s="1"/>
  <c r="T230" i="58" s="1"/>
  <c r="W230" i="58" s="1"/>
  <c r="Q42" i="64"/>
  <c r="S42" i="64" s="1"/>
  <c r="T174" i="66"/>
  <c r="T200" i="66"/>
  <c r="T180" i="66"/>
  <c r="O46" i="50"/>
  <c r="P46" i="50" s="1"/>
  <c r="O95" i="48"/>
  <c r="O127" i="49"/>
  <c r="P127" i="49" s="1"/>
  <c r="O95" i="35"/>
  <c r="Q95" i="35" s="1"/>
  <c r="N47" i="38"/>
  <c r="O40" i="49"/>
  <c r="P40" i="49" s="1"/>
  <c r="Y17" i="7"/>
  <c r="J101" i="58"/>
  <c r="J202" i="58"/>
  <c r="S162" i="66"/>
  <c r="S141" i="66"/>
  <c r="T81" i="69"/>
  <c r="S81" i="69"/>
  <c r="S77" i="69" s="1"/>
  <c r="P81" i="69"/>
  <c r="S81" i="66"/>
  <c r="S77" i="66" s="1"/>
  <c r="P81" i="66"/>
  <c r="P16" i="47"/>
  <c r="Q16" i="47"/>
  <c r="N7" i="27"/>
  <c r="M6" i="27"/>
  <c r="M5" i="27" s="1"/>
  <c r="M4" i="27" s="1"/>
  <c r="O131" i="45"/>
  <c r="N130" i="45"/>
  <c r="N128" i="45" s="1"/>
  <c r="P33" i="35"/>
  <c r="Q33" i="35"/>
  <c r="V27" i="43"/>
  <c r="V21" i="43"/>
  <c r="V42" i="43"/>
  <c r="V29" i="43"/>
  <c r="V24" i="43"/>
  <c r="V40" i="43"/>
  <c r="V25" i="43"/>
  <c r="V41" i="43"/>
  <c r="V16" i="43"/>
  <c r="V13" i="43"/>
  <c r="V11" i="43"/>
  <c r="V9" i="43"/>
  <c r="V15" i="43"/>
  <c r="V26" i="43"/>
  <c r="V10" i="43"/>
  <c r="V31" i="43"/>
  <c r="V18" i="43"/>
  <c r="V39" i="43"/>
  <c r="V38" i="43"/>
  <c r="V35" i="43"/>
  <c r="V33" i="43"/>
  <c r="V23" i="43"/>
  <c r="V19" i="43"/>
  <c r="V17" i="43"/>
  <c r="V12" i="43"/>
  <c r="V14" i="43"/>
  <c r="V32" i="43"/>
  <c r="V30" i="43"/>
  <c r="V34" i="43"/>
  <c r="V22" i="43"/>
  <c r="V20" i="43"/>
  <c r="V36" i="43"/>
  <c r="V37" i="43"/>
  <c r="V28" i="43"/>
  <c r="O22" i="27"/>
  <c r="P22" i="27" s="1"/>
  <c r="P23" i="27"/>
  <c r="AB4" i="10"/>
  <c r="AB3" i="10" s="1"/>
  <c r="H27" i="4" s="1"/>
  <c r="Q72" i="48"/>
  <c r="P72" i="48"/>
  <c r="Q53" i="36"/>
  <c r="P53" i="36"/>
  <c r="O47" i="36"/>
  <c r="P47" i="36" s="1"/>
  <c r="N98" i="45"/>
  <c r="O98" i="45" s="1"/>
  <c r="M97" i="45"/>
  <c r="Q98" i="45"/>
  <c r="N48" i="32"/>
  <c r="O48" i="32" s="1"/>
  <c r="P48" i="32" s="1"/>
  <c r="Q48" i="32"/>
  <c r="M29" i="32"/>
  <c r="M18" i="32" s="1"/>
  <c r="Q8" i="47"/>
  <c r="P8" i="47"/>
  <c r="O73" i="37"/>
  <c r="O39" i="50"/>
  <c r="P75" i="63"/>
  <c r="T75" i="63"/>
  <c r="N63" i="36"/>
  <c r="N56" i="36" s="1"/>
  <c r="O135" i="40"/>
  <c r="P62" i="39"/>
  <c r="O60" i="39"/>
  <c r="P60" i="39" s="1"/>
  <c r="S85" i="67"/>
  <c r="T85" i="67"/>
  <c r="P85" i="67"/>
  <c r="P92" i="67"/>
  <c r="S92" i="67"/>
  <c r="T92" i="67"/>
  <c r="O164" i="45"/>
  <c r="P164" i="45" s="1"/>
  <c r="P165" i="45"/>
  <c r="S35" i="63"/>
  <c r="T35" i="63"/>
  <c r="P35" i="63"/>
  <c r="R5" i="5"/>
  <c r="R62" i="5" s="1"/>
  <c r="R65" i="5"/>
  <c r="Q8" i="10" s="1"/>
  <c r="Q7" i="10" s="1"/>
  <c r="BP5" i="5"/>
  <c r="BP62" i="5" s="1"/>
  <c r="BP65" i="5"/>
  <c r="A16" i="10"/>
  <c r="A12" i="10"/>
  <c r="A20" i="10" s="1"/>
  <c r="Q138" i="33"/>
  <c r="O59" i="39"/>
  <c r="P156" i="68"/>
  <c r="T156" i="68"/>
  <c r="S156" i="68"/>
  <c r="P171" i="67"/>
  <c r="T171" i="67"/>
  <c r="O167" i="32"/>
  <c r="P167" i="32" s="1"/>
  <c r="P168" i="32"/>
  <c r="O77" i="48"/>
  <c r="O70" i="48" s="1"/>
  <c r="Q108" i="32"/>
  <c r="M107" i="32"/>
  <c r="S168" i="66"/>
  <c r="P168" i="66"/>
  <c r="Q102" i="36"/>
  <c r="P102" i="36"/>
  <c r="O156" i="32"/>
  <c r="O116" i="32"/>
  <c r="N115" i="32"/>
  <c r="AP39" i="30"/>
  <c r="AS39" i="30"/>
  <c r="AY39" i="30"/>
  <c r="AJ39" i="30"/>
  <c r="AG39" i="30"/>
  <c r="AM39" i="30"/>
  <c r="Q99" i="24"/>
  <c r="P99" i="24"/>
  <c r="Q175" i="32"/>
  <c r="BC35" i="30"/>
  <c r="O238" i="58"/>
  <c r="O236" i="58" s="1"/>
  <c r="U146" i="68"/>
  <c r="S189" i="69"/>
  <c r="T189" i="69"/>
  <c r="P189" i="69"/>
  <c r="P109" i="33"/>
  <c r="Q109" i="33"/>
  <c r="Q138" i="64"/>
  <c r="N285" i="58"/>
  <c r="O144" i="68"/>
  <c r="U144" i="68" s="1"/>
  <c r="P178" i="64"/>
  <c r="T178" i="64"/>
  <c r="S178" i="64"/>
  <c r="N96" i="39"/>
  <c r="N94" i="39" s="1"/>
  <c r="M94" i="39"/>
  <c r="M90" i="39" s="1"/>
  <c r="Q109" i="47"/>
  <c r="P109" i="47"/>
  <c r="M17" i="32"/>
  <c r="BC11" i="30" s="1"/>
  <c r="M9" i="32"/>
  <c r="N6" i="31"/>
  <c r="M4" i="31"/>
  <c r="M14" i="31" s="1"/>
  <c r="P104" i="40"/>
  <c r="O102" i="40"/>
  <c r="P102" i="40" s="1"/>
  <c r="Q29" i="64"/>
  <c r="S29" i="64" s="1"/>
  <c r="Q146" i="68"/>
  <c r="T146" i="68" s="1"/>
  <c r="N9" i="39"/>
  <c r="N5" i="39" s="1"/>
  <c r="AC4" i="6"/>
  <c r="S15" i="64"/>
  <c r="S31" i="63"/>
  <c r="O101" i="63"/>
  <c r="U101" i="63" s="1"/>
  <c r="T148" i="63"/>
  <c r="N12" i="20"/>
  <c r="O12" i="20" s="1"/>
  <c r="T200" i="63"/>
  <c r="S200" i="63"/>
  <c r="P200" i="63"/>
  <c r="Q172" i="68"/>
  <c r="S172" i="68" s="1"/>
  <c r="U172" i="68"/>
  <c r="Q190" i="64"/>
  <c r="S190" i="64" s="1"/>
  <c r="J282" i="58"/>
  <c r="R282" i="58" s="1"/>
  <c r="T282" i="58" s="1"/>
  <c r="U190" i="64"/>
  <c r="P190" i="69"/>
  <c r="T190" i="69"/>
  <c r="N11" i="25"/>
  <c r="N10" i="25" s="1"/>
  <c r="N9" i="25" s="1"/>
  <c r="M10" i="25"/>
  <c r="M9" i="25" s="1"/>
  <c r="M70" i="39"/>
  <c r="M69" i="39" s="1"/>
  <c r="AZ24" i="30" s="1"/>
  <c r="P12" i="28" s="1"/>
  <c r="N73" i="39"/>
  <c r="N23" i="34"/>
  <c r="N22" i="34" s="1"/>
  <c r="N9" i="34" s="1"/>
  <c r="M22" i="34"/>
  <c r="M9" i="34" s="1"/>
  <c r="M5" i="34" s="1"/>
  <c r="M71" i="25"/>
  <c r="M10" i="23"/>
  <c r="M9" i="23" s="1"/>
  <c r="N11" i="23"/>
  <c r="N10" i="23" s="1"/>
  <c r="N9" i="23" s="1"/>
  <c r="O7" i="48"/>
  <c r="N6" i="48"/>
  <c r="BK60" i="5"/>
  <c r="BK4" i="5"/>
  <c r="BK61" i="5" s="1"/>
  <c r="P55" i="35"/>
  <c r="Q55" i="35"/>
  <c r="P72" i="46"/>
  <c r="Q72" i="46"/>
  <c r="N22" i="45"/>
  <c r="O22" i="45" s="1"/>
  <c r="P22" i="45" s="1"/>
  <c r="Q22" i="45"/>
  <c r="M19" i="45"/>
  <c r="Q19" i="45" s="1"/>
  <c r="Q128" i="36"/>
  <c r="P128" i="36"/>
  <c r="O124" i="36"/>
  <c r="P124" i="36" s="1"/>
  <c r="P162" i="27"/>
  <c r="N10" i="35"/>
  <c r="O11" i="35"/>
  <c r="N101" i="45"/>
  <c r="O101" i="45" s="1"/>
  <c r="P101" i="45" s="1"/>
  <c r="Q101" i="45"/>
  <c r="Q112" i="48"/>
  <c r="P112" i="48"/>
  <c r="P63" i="33"/>
  <c r="Q73" i="33"/>
  <c r="P73" i="33"/>
  <c r="P42" i="51"/>
  <c r="O41" i="51"/>
  <c r="P41" i="51" s="1"/>
  <c r="P107" i="37"/>
  <c r="Q107" i="37"/>
  <c r="N19" i="51"/>
  <c r="N9" i="51" s="1"/>
  <c r="N5" i="51" s="1"/>
  <c r="Q64" i="36"/>
  <c r="O63" i="36"/>
  <c r="P63" i="36" s="1"/>
  <c r="P64" i="36"/>
  <c r="P37" i="25"/>
  <c r="O36" i="25"/>
  <c r="P36" i="25" s="1"/>
  <c r="N97" i="32"/>
  <c r="BD16" i="30" s="1"/>
  <c r="O101" i="32"/>
  <c r="P105" i="62"/>
  <c r="T105" i="62"/>
  <c r="S105" i="62"/>
  <c r="T30" i="67"/>
  <c r="P30" i="67"/>
  <c r="T27" i="63"/>
  <c r="Q25" i="63"/>
  <c r="T25" i="63" s="1"/>
  <c r="P57" i="67"/>
  <c r="T57" i="67"/>
  <c r="P108" i="24"/>
  <c r="Q108" i="24"/>
  <c r="P119" i="67"/>
  <c r="S119" i="67"/>
  <c r="T119" i="67"/>
  <c r="AB65" i="5"/>
  <c r="AB5" i="5"/>
  <c r="AB62" i="5" s="1"/>
  <c r="N75" i="33"/>
  <c r="O75" i="33" s="1"/>
  <c r="O70" i="33" s="1"/>
  <c r="M70" i="33"/>
  <c r="M69" i="33" s="1"/>
  <c r="AH24" i="30" s="1"/>
  <c r="P78" i="47"/>
  <c r="Q78" i="47"/>
  <c r="U128" i="67"/>
  <c r="O127" i="67"/>
  <c r="U127" i="67" s="1"/>
  <c r="BC32" i="30"/>
  <c r="Q142" i="32"/>
  <c r="BD33" i="30"/>
  <c r="N127" i="32"/>
  <c r="BD22" i="30"/>
  <c r="O125" i="32"/>
  <c r="P118" i="35"/>
  <c r="Q118" i="35"/>
  <c r="O47" i="39"/>
  <c r="P47" i="39" s="1"/>
  <c r="P49" i="39"/>
  <c r="N13" i="24"/>
  <c r="O14" i="24"/>
  <c r="O228" i="45"/>
  <c r="P230" i="45"/>
  <c r="J229" i="58"/>
  <c r="N274" i="58"/>
  <c r="Q188" i="63"/>
  <c r="U188" i="63"/>
  <c r="P45" i="37"/>
  <c r="Q131" i="20"/>
  <c r="P131" i="20"/>
  <c r="T201" i="65"/>
  <c r="P201" i="65"/>
  <c r="S201" i="65"/>
  <c r="P52" i="37"/>
  <c r="Q52" i="37"/>
  <c r="P38" i="48"/>
  <c r="U42" i="64"/>
  <c r="X25" i="56"/>
  <c r="J215" i="58"/>
  <c r="R215" i="58" s="1"/>
  <c r="T215" i="58" s="1"/>
  <c r="T118" i="65"/>
  <c r="T188" i="66"/>
  <c r="T104" i="66"/>
  <c r="O132" i="39"/>
  <c r="P132" i="39" s="1"/>
  <c r="N128" i="58"/>
  <c r="M36" i="46"/>
  <c r="S151" i="66"/>
  <c r="P148" i="63"/>
  <c r="Q126" i="48"/>
  <c r="P126" i="48"/>
  <c r="O234" i="58"/>
  <c r="Q142" i="68"/>
  <c r="S142" i="68" s="1"/>
  <c r="U142" i="68"/>
  <c r="Q188" i="64"/>
  <c r="U188" i="64"/>
  <c r="J280" i="58"/>
  <c r="U52" i="64"/>
  <c r="J132" i="58"/>
  <c r="R132" i="58" s="1"/>
  <c r="T132" i="58" s="1"/>
  <c r="W132" i="58" s="1"/>
  <c r="Q52" i="64"/>
  <c r="Q65" i="67"/>
  <c r="S65" i="67" s="1"/>
  <c r="U65" i="67"/>
  <c r="K143" i="58"/>
  <c r="O56" i="67"/>
  <c r="U56" i="67" s="1"/>
  <c r="N151" i="39"/>
  <c r="M150" i="39"/>
  <c r="M149" i="39" s="1"/>
  <c r="AZ28" i="30" s="1"/>
  <c r="P177" i="61"/>
  <c r="S177" i="61"/>
  <c r="M50" i="25"/>
  <c r="N50" i="25" s="1"/>
  <c r="O50" i="25" s="1"/>
  <c r="P50" i="25" s="1"/>
  <c r="O120" i="34"/>
  <c r="N120" i="34"/>
  <c r="N119" i="34" s="1"/>
  <c r="N117" i="34" s="1"/>
  <c r="N89" i="34" s="1"/>
  <c r="AL26" i="30" s="1"/>
  <c r="M119" i="34"/>
  <c r="M117" i="34" s="1"/>
  <c r="M89" i="34" s="1"/>
  <c r="AK26" i="30" s="1"/>
  <c r="P18" i="36"/>
  <c r="Q18" i="36"/>
  <c r="Q23" i="45"/>
  <c r="N23" i="45"/>
  <c r="O23" i="45" s="1"/>
  <c r="P23" i="45" s="1"/>
  <c r="P122" i="40"/>
  <c r="O117" i="40"/>
  <c r="P117" i="40" s="1"/>
  <c r="P97" i="36"/>
  <c r="Q97" i="36"/>
  <c r="P81" i="25"/>
  <c r="Q81" i="25"/>
  <c r="Q16" i="20"/>
  <c r="P16" i="20"/>
  <c r="O154" i="36"/>
  <c r="O78" i="46"/>
  <c r="N150" i="24"/>
  <c r="N149" i="24" s="1"/>
  <c r="O151" i="24"/>
  <c r="N206" i="45"/>
  <c r="O206" i="45" s="1"/>
  <c r="P206" i="45" s="1"/>
  <c r="Q206" i="45"/>
  <c r="M190" i="45"/>
  <c r="O134" i="48"/>
  <c r="P134" i="48" s="1"/>
  <c r="P153" i="62"/>
  <c r="T153" i="62"/>
  <c r="S153" i="62"/>
  <c r="S150" i="62" s="1"/>
  <c r="Q104" i="48"/>
  <c r="P104" i="48"/>
  <c r="O102" i="48"/>
  <c r="P161" i="35"/>
  <c r="AM29" i="30"/>
  <c r="P156" i="20"/>
  <c r="Q156" i="20"/>
  <c r="O64" i="51"/>
  <c r="P64" i="51" s="1"/>
  <c r="N63" i="51"/>
  <c r="N56" i="51" s="1"/>
  <c r="N36" i="51" s="1"/>
  <c r="P197" i="66"/>
  <c r="S197" i="66"/>
  <c r="P152" i="65"/>
  <c r="T152" i="65"/>
  <c r="O150" i="47"/>
  <c r="N12" i="41"/>
  <c r="Q12" i="41" s="1"/>
  <c r="BI24" i="43"/>
  <c r="B71" i="13" s="1"/>
  <c r="O37" i="24"/>
  <c r="P38" i="24"/>
  <c r="T185" i="67"/>
  <c r="Q184" i="67"/>
  <c r="T184" i="67" s="1"/>
  <c r="T176" i="67"/>
  <c r="P176" i="67"/>
  <c r="P76" i="48"/>
  <c r="Q76" i="48"/>
  <c r="AK22" i="30"/>
  <c r="AQ22" i="30"/>
  <c r="AZ22" i="30"/>
  <c r="AT22" i="30"/>
  <c r="AH22" i="30"/>
  <c r="AN22" i="30"/>
  <c r="BA40" i="43"/>
  <c r="AX40" i="43"/>
  <c r="BB23" i="30"/>
  <c r="P126" i="32"/>
  <c r="P21" i="49"/>
  <c r="O19" i="49"/>
  <c r="P19" i="49" s="1"/>
  <c r="P31" i="48"/>
  <c r="Q31" i="48"/>
  <c r="P30" i="24"/>
  <c r="Q30" i="24"/>
  <c r="P12" i="38"/>
  <c r="U84" i="67"/>
  <c r="K160" i="58"/>
  <c r="K158" i="58" s="1"/>
  <c r="O82" i="67"/>
  <c r="U82" i="67" s="1"/>
  <c r="S105" i="63"/>
  <c r="P105" i="63"/>
  <c r="T105" i="63"/>
  <c r="O63" i="39"/>
  <c r="P63" i="39" s="1"/>
  <c r="P65" i="39"/>
  <c r="F16" i="28"/>
  <c r="B22" i="28"/>
  <c r="P20" i="51"/>
  <c r="O19" i="51"/>
  <c r="P19" i="51" s="1"/>
  <c r="P74" i="36"/>
  <c r="Q74" i="36"/>
  <c r="A16" i="12"/>
  <c r="A12" i="12"/>
  <c r="A20" i="12" s="1"/>
  <c r="N75" i="35"/>
  <c r="N70" i="35" s="1"/>
  <c r="N69" i="35" s="1"/>
  <c r="AO24" i="30" s="1"/>
  <c r="O75" i="35"/>
  <c r="M70" i="35"/>
  <c r="M69" i="35" s="1"/>
  <c r="AN24" i="30" s="1"/>
  <c r="L12" i="28" s="1"/>
  <c r="P135" i="39"/>
  <c r="P193" i="45"/>
  <c r="P31" i="32"/>
  <c r="P122" i="32"/>
  <c r="O119" i="32"/>
  <c r="P119" i="32" s="1"/>
  <c r="M2" i="56"/>
  <c r="S174" i="66"/>
  <c r="M32" i="56"/>
  <c r="H56" i="56"/>
  <c r="P269" i="58"/>
  <c r="R269" i="58" s="1"/>
  <c r="T269" i="58" s="1"/>
  <c r="O170" i="66"/>
  <c r="U170" i="66" s="1"/>
  <c r="Q135" i="64"/>
  <c r="O120" i="64"/>
  <c r="U120" i="64" s="1"/>
  <c r="Y102" i="63"/>
  <c r="AB102" i="63" s="1"/>
  <c r="U185" i="66"/>
  <c r="T162" i="66"/>
  <c r="S185" i="68"/>
  <c r="S184" i="68" s="1"/>
  <c r="AQ29" i="57" s="1"/>
  <c r="P29" i="57" s="1"/>
  <c r="V191" i="61"/>
  <c r="BL47" i="57" s="1"/>
  <c r="BC47" i="57" s="1"/>
  <c r="AK47" i="57" s="1"/>
  <c r="J47" i="57" s="1"/>
  <c r="N70" i="34"/>
  <c r="N69" i="34" s="1"/>
  <c r="AL24" i="30" s="1"/>
  <c r="N70" i="49"/>
  <c r="N69" i="49" s="1"/>
  <c r="BA24" i="43" s="1"/>
  <c r="BJ24" i="43" s="1"/>
  <c r="N115" i="58"/>
  <c r="N90" i="40"/>
  <c r="N29" i="45"/>
  <c r="O144" i="64"/>
  <c r="U144" i="64" s="1"/>
  <c r="S168" i="64"/>
  <c r="P255" i="58"/>
  <c r="O264" i="58"/>
  <c r="O262" i="58" s="1"/>
  <c r="U194" i="64"/>
  <c r="Y37" i="63"/>
  <c r="AB37" i="63" s="1"/>
  <c r="P155" i="63"/>
  <c r="T155" i="63"/>
  <c r="S155" i="63"/>
  <c r="Q139" i="68"/>
  <c r="U139" i="68"/>
  <c r="O231" i="58"/>
  <c r="R231" i="58" s="1"/>
  <c r="T231" i="58" s="1"/>
  <c r="W231" i="58" s="1"/>
  <c r="J145" i="58"/>
  <c r="Q67" i="64"/>
  <c r="S67" i="64" s="1"/>
  <c r="U67" i="64"/>
  <c r="Q70" i="67"/>
  <c r="S70" i="67" s="1"/>
  <c r="K148" i="58"/>
  <c r="R148" i="58" s="1"/>
  <c r="T148" i="58" s="1"/>
  <c r="U70" i="67"/>
  <c r="P4" i="10"/>
  <c r="P3" i="10" s="1"/>
  <c r="E27" i="4" s="1"/>
  <c r="P55" i="10"/>
  <c r="P98" i="48"/>
  <c r="Q98" i="48"/>
  <c r="N100" i="25"/>
  <c r="M99" i="25"/>
  <c r="Q43" i="36"/>
  <c r="P43" i="36"/>
  <c r="O41" i="36"/>
  <c r="P41" i="36" s="1"/>
  <c r="P74" i="23"/>
  <c r="J64" i="54"/>
  <c r="P33" i="25"/>
  <c r="Q33" i="25"/>
  <c r="P104" i="51"/>
  <c r="O102" i="51"/>
  <c r="P102" i="51" s="1"/>
  <c r="P28" i="38"/>
  <c r="Q93" i="48"/>
  <c r="P93" i="48"/>
  <c r="O91" i="48"/>
  <c r="P91" i="48" s="1"/>
  <c r="O92" i="51"/>
  <c r="N91" i="51"/>
  <c r="N90" i="51" s="1"/>
  <c r="N89" i="51" s="1"/>
  <c r="P31" i="47"/>
  <c r="Q31" i="47"/>
  <c r="P29" i="49"/>
  <c r="O27" i="49"/>
  <c r="P27" i="49" s="1"/>
  <c r="Q108" i="68"/>
  <c r="S108" i="68" s="1"/>
  <c r="U108" i="68"/>
  <c r="O204" i="58"/>
  <c r="R204" i="58" s="1"/>
  <c r="T204" i="58" s="1"/>
  <c r="O67" i="33"/>
  <c r="M102" i="46"/>
  <c r="M90" i="46" s="1"/>
  <c r="N104" i="46"/>
  <c r="P30" i="35"/>
  <c r="Q30" i="35"/>
  <c r="Q77" i="32"/>
  <c r="K77" i="32"/>
  <c r="Q77" i="69"/>
  <c r="T77" i="69" s="1"/>
  <c r="M171" i="24"/>
  <c r="M172" i="24" s="1"/>
  <c r="P3" i="54"/>
  <c r="N3" i="54"/>
  <c r="L108" i="54"/>
  <c r="P133" i="51"/>
  <c r="O130" i="51"/>
  <c r="P130" i="51" s="1"/>
  <c r="P112" i="34"/>
  <c r="O111" i="34"/>
  <c r="P111" i="34" s="1"/>
  <c r="O91" i="49"/>
  <c r="P91" i="49" s="1"/>
  <c r="P93" i="49"/>
  <c r="P109" i="67"/>
  <c r="T109" i="67"/>
  <c r="AB4" i="5"/>
  <c r="AB61" i="5" s="1"/>
  <c r="AB60" i="5"/>
  <c r="U65" i="5"/>
  <c r="T8" i="10" s="1"/>
  <c r="T7" i="10" s="1"/>
  <c r="T26" i="10" s="1"/>
  <c r="S26" i="12" s="1"/>
  <c r="U5" i="5"/>
  <c r="U62" i="5" s="1"/>
  <c r="N50" i="33"/>
  <c r="N47" i="33" s="1"/>
  <c r="N37" i="33" s="1"/>
  <c r="N36" i="33" s="1"/>
  <c r="AI20" i="30" s="1"/>
  <c r="O50" i="33"/>
  <c r="M47" i="33"/>
  <c r="M37" i="33" s="1"/>
  <c r="M36" i="33" s="1"/>
  <c r="P92" i="36"/>
  <c r="Q92" i="36"/>
  <c r="O91" i="36"/>
  <c r="P91" i="36" s="1"/>
  <c r="P141" i="63"/>
  <c r="T141" i="63"/>
  <c r="P143" i="67"/>
  <c r="S143" i="67"/>
  <c r="T143" i="67"/>
  <c r="M127" i="45"/>
  <c r="Q127" i="45" s="1"/>
  <c r="Q150" i="45"/>
  <c r="BI33" i="43"/>
  <c r="I7" i="44"/>
  <c r="M7" i="44" s="1"/>
  <c r="R6" i="44"/>
  <c r="O66" i="49"/>
  <c r="P66" i="49" s="1"/>
  <c r="P68" i="49"/>
  <c r="P128" i="32"/>
  <c r="BB31" i="30"/>
  <c r="P131" i="27"/>
  <c r="O130" i="27"/>
  <c r="P130" i="27" s="1"/>
  <c r="Q154" i="32"/>
  <c r="M150" i="32"/>
  <c r="O130" i="40"/>
  <c r="O117" i="45"/>
  <c r="N115" i="45"/>
  <c r="P66" i="48"/>
  <c r="Q66" i="48"/>
  <c r="O6" i="33"/>
  <c r="P6" i="33" s="1"/>
  <c r="P8" i="33"/>
  <c r="Q8" i="33"/>
  <c r="Q100" i="33"/>
  <c r="P100" i="33"/>
  <c r="O99" i="33"/>
  <c r="P57" i="24"/>
  <c r="O56" i="24"/>
  <c r="P56" i="24" s="1"/>
  <c r="AH23" i="30"/>
  <c r="AZ23" i="30"/>
  <c r="AN23" i="30"/>
  <c r="AK23" i="30"/>
  <c r="AQ23" i="30"/>
  <c r="AT23" i="30"/>
  <c r="N115" i="40"/>
  <c r="N111" i="40" s="1"/>
  <c r="M111" i="40"/>
  <c r="M89" i="40" s="1"/>
  <c r="M44" i="34"/>
  <c r="M37" i="34" s="1"/>
  <c r="M36" i="34" s="1"/>
  <c r="AK20" i="30" s="1"/>
  <c r="N45" i="34"/>
  <c r="N44" i="34" s="1"/>
  <c r="O45" i="34"/>
  <c r="Q64" i="32"/>
  <c r="N64" i="32"/>
  <c r="O64" i="32" s="1"/>
  <c r="P64" i="32" s="1"/>
  <c r="P34" i="25"/>
  <c r="Q34" i="25"/>
  <c r="T174" i="65"/>
  <c r="P174" i="65"/>
  <c r="S174" i="65"/>
  <c r="O176" i="32"/>
  <c r="P176" i="32" s="1"/>
  <c r="N175" i="32"/>
  <c r="BD35" i="30" s="1"/>
  <c r="O128" i="66"/>
  <c r="Y188" i="63"/>
  <c r="AB188" i="63" s="1"/>
  <c r="J218" i="58"/>
  <c r="J216" i="58" s="1"/>
  <c r="Y97" i="61"/>
  <c r="Q119" i="64"/>
  <c r="T122" i="64"/>
  <c r="O95" i="64"/>
  <c r="U95" i="64" s="1"/>
  <c r="S118" i="65"/>
  <c r="T42" i="66"/>
  <c r="O105" i="36"/>
  <c r="Q105" i="36" s="1"/>
  <c r="O121" i="20"/>
  <c r="Q121" i="20" s="1"/>
  <c r="O154" i="39"/>
  <c r="O81" i="34"/>
  <c r="P81" i="34" s="1"/>
  <c r="O116" i="37"/>
  <c r="P116" i="37" s="1"/>
  <c r="N9" i="33"/>
  <c r="N5" i="33" s="1"/>
  <c r="O23" i="49"/>
  <c r="P23" i="49" s="1"/>
  <c r="N245" i="58"/>
  <c r="S140" i="66"/>
  <c r="S42" i="66"/>
  <c r="S147" i="66"/>
  <c r="S64" i="63"/>
  <c r="N136" i="51"/>
  <c r="N134" i="51" s="1"/>
  <c r="N129" i="51" s="1"/>
  <c r="Q195" i="64"/>
  <c r="S195" i="64" s="1"/>
  <c r="J287" i="58"/>
  <c r="R287" i="58" s="1"/>
  <c r="T287" i="58" s="1"/>
  <c r="U195" i="64"/>
  <c r="Q192" i="63"/>
  <c r="S192" i="63" s="1"/>
  <c r="U192" i="63"/>
  <c r="O191" i="63"/>
  <c r="N278" i="58"/>
  <c r="N277" i="58" s="1"/>
  <c r="N276" i="58" s="1"/>
  <c r="O49" i="67"/>
  <c r="U50" i="67"/>
  <c r="Q50" i="67"/>
  <c r="S50" i="67" s="1"/>
  <c r="S49" i="67" s="1"/>
  <c r="N49" i="27"/>
  <c r="O49" i="27" s="1"/>
  <c r="P49" i="27" s="1"/>
  <c r="A9" i="11"/>
  <c r="B38" i="10"/>
  <c r="B2" i="3"/>
  <c r="M53" i="25"/>
  <c r="O212" i="45"/>
  <c r="N208" i="45"/>
  <c r="N207" i="45" s="1"/>
  <c r="BJ38" i="43" s="1"/>
  <c r="O152" i="35"/>
  <c r="AT17" i="30"/>
  <c r="AQ17" i="30"/>
  <c r="AK17" i="30"/>
  <c r="AN17" i="30"/>
  <c r="AH17" i="30"/>
  <c r="AZ17" i="30"/>
  <c r="N41" i="25"/>
  <c r="O42" i="25"/>
  <c r="O28" i="36"/>
  <c r="N27" i="36"/>
  <c r="N9" i="36" s="1"/>
  <c r="N5" i="36" s="1"/>
  <c r="P17" i="25"/>
  <c r="Q17" i="25"/>
  <c r="J54" i="54"/>
  <c r="P43" i="23"/>
  <c r="P128" i="33"/>
  <c r="Q128" i="33"/>
  <c r="O124" i="33"/>
  <c r="P124" i="33" s="1"/>
  <c r="O203" i="58"/>
  <c r="O197" i="58" s="1"/>
  <c r="O196" i="58" s="1"/>
  <c r="U107" i="68"/>
  <c r="Q107" i="68"/>
  <c r="W60" i="5"/>
  <c r="W4" i="5"/>
  <c r="W61" i="5" s="1"/>
  <c r="J66" i="54"/>
  <c r="P122" i="23"/>
  <c r="J67" i="54"/>
  <c r="P106" i="23"/>
  <c r="P214" i="32"/>
  <c r="O207" i="32"/>
  <c r="Q207" i="32"/>
  <c r="BC38" i="30"/>
  <c r="P147" i="63"/>
  <c r="T147" i="63"/>
  <c r="S147" i="63"/>
  <c r="T135" i="67"/>
  <c r="P135" i="67"/>
  <c r="S37" i="69"/>
  <c r="P37" i="69"/>
  <c r="T37" i="69"/>
  <c r="M129" i="33"/>
  <c r="AH27" i="30" s="1"/>
  <c r="N59" i="24"/>
  <c r="O59" i="24"/>
  <c r="T83" i="67"/>
  <c r="S83" i="67"/>
  <c r="P83" i="67"/>
  <c r="P7" i="25"/>
  <c r="O6" i="25"/>
  <c r="N38" i="20"/>
  <c r="O40" i="20"/>
  <c r="AU23" i="30"/>
  <c r="AL23" i="30"/>
  <c r="AI23" i="30"/>
  <c r="AO23" i="30"/>
  <c r="AR23" i="30"/>
  <c r="BA23" i="30"/>
  <c r="N119" i="45"/>
  <c r="S81" i="61"/>
  <c r="R260" i="58"/>
  <c r="T260" i="58" s="1"/>
  <c r="V260" i="58" s="1"/>
  <c r="R173" i="58"/>
  <c r="T173" i="58" s="1"/>
  <c r="W173" i="58" s="1"/>
  <c r="O216" i="58"/>
  <c r="R288" i="58"/>
  <c r="T288" i="58" s="1"/>
  <c r="W288" i="58" s="1"/>
  <c r="N197" i="58"/>
  <c r="R219" i="58"/>
  <c r="T219" i="58" s="1"/>
  <c r="V219" i="58" s="1"/>
  <c r="R123" i="58"/>
  <c r="T123" i="58" s="1"/>
  <c r="W123" i="58" s="1"/>
  <c r="T8" i="58"/>
  <c r="Q338" i="58"/>
  <c r="V342" i="58"/>
  <c r="R246" i="58"/>
  <c r="T246" i="58" s="1"/>
  <c r="W246" i="58" s="1"/>
  <c r="W355" i="58"/>
  <c r="P285" i="58"/>
  <c r="P153" i="58"/>
  <c r="U107" i="62"/>
  <c r="X107" i="63"/>
  <c r="Y107" i="63" s="1"/>
  <c r="AB107" i="63" s="1"/>
  <c r="R234" i="58"/>
  <c r="T234" i="58" s="1"/>
  <c r="W234" i="58" s="1"/>
  <c r="P137" i="63"/>
  <c r="T137" i="63"/>
  <c r="Q135" i="63"/>
  <c r="T207" i="63"/>
  <c r="P207" i="63"/>
  <c r="T172" i="63"/>
  <c r="P172" i="63"/>
  <c r="S172" i="63"/>
  <c r="S49" i="62"/>
  <c r="T49" i="62"/>
  <c r="P49" i="62"/>
  <c r="U167" i="63"/>
  <c r="Q167" i="63"/>
  <c r="S167" i="63" s="1"/>
  <c r="N253" i="58"/>
  <c r="T187" i="63"/>
  <c r="P187" i="63"/>
  <c r="P46" i="62"/>
  <c r="T46" i="62"/>
  <c r="P38" i="63"/>
  <c r="T38" i="63"/>
  <c r="S126" i="63"/>
  <c r="P69" i="63"/>
  <c r="T69" i="63"/>
  <c r="S69" i="63"/>
  <c r="P94" i="62"/>
  <c r="T94" i="62"/>
  <c r="P37" i="63"/>
  <c r="S37" i="63"/>
  <c r="T37" i="63"/>
  <c r="Q126" i="63"/>
  <c r="P127" i="63"/>
  <c r="T127" i="63"/>
  <c r="T63" i="63"/>
  <c r="P63" i="63"/>
  <c r="Q62" i="63"/>
  <c r="T62" i="63" s="1"/>
  <c r="P103" i="63"/>
  <c r="S103" i="63"/>
  <c r="T103" i="63"/>
  <c r="N243" i="58"/>
  <c r="N236" i="58" s="1"/>
  <c r="O150" i="63"/>
  <c r="U150" i="63" s="1"/>
  <c r="U157" i="63"/>
  <c r="Q157" i="63"/>
  <c r="S157" i="63" s="1"/>
  <c r="S150" i="63" s="1"/>
  <c r="T197" i="63"/>
  <c r="P197" i="63"/>
  <c r="S179" i="62"/>
  <c r="P179" i="62"/>
  <c r="T179" i="62"/>
  <c r="T142" i="63"/>
  <c r="P142" i="63"/>
  <c r="P27" i="62"/>
  <c r="S27" i="62"/>
  <c r="S25" i="62" s="1"/>
  <c r="T27" i="62"/>
  <c r="Q25" i="62"/>
  <c r="T25" i="62" s="1"/>
  <c r="P72" i="63"/>
  <c r="T72" i="63"/>
  <c r="Y101" i="63"/>
  <c r="AB101" i="63" s="1"/>
  <c r="T21" i="63"/>
  <c r="P21" i="63"/>
  <c r="S22" i="63"/>
  <c r="T22" i="63"/>
  <c r="P22" i="63"/>
  <c r="P144" i="63"/>
  <c r="T144" i="63"/>
  <c r="S144" i="63"/>
  <c r="T140" i="62"/>
  <c r="P140" i="62"/>
  <c r="S140" i="62"/>
  <c r="S207" i="62"/>
  <c r="P207" i="62"/>
  <c r="T207" i="62"/>
  <c r="P30" i="63"/>
  <c r="T30" i="63"/>
  <c r="Q36" i="63"/>
  <c r="S36" i="63" s="1"/>
  <c r="U36" i="63"/>
  <c r="N112" i="58"/>
  <c r="N107" i="58" s="1"/>
  <c r="N100" i="58" s="1"/>
  <c r="O29" i="63"/>
  <c r="Y29" i="63" s="1"/>
  <c r="AB29" i="63" s="1"/>
  <c r="T124" i="63"/>
  <c r="P124" i="63"/>
  <c r="S142" i="63"/>
  <c r="P81" i="63"/>
  <c r="Q77" i="63"/>
  <c r="T77" i="63" s="1"/>
  <c r="T81" i="63"/>
  <c r="S72" i="63"/>
  <c r="S139" i="62"/>
  <c r="T139" i="62"/>
  <c r="Q138" i="62"/>
  <c r="T138" i="62" s="1"/>
  <c r="S50" i="63"/>
  <c r="T50" i="63"/>
  <c r="P50" i="63"/>
  <c r="S104" i="62"/>
  <c r="T104" i="62"/>
  <c r="P104" i="62"/>
  <c r="T89" i="63"/>
  <c r="P89" i="63"/>
  <c r="P116" i="63"/>
  <c r="T116" i="63"/>
  <c r="S53" i="62"/>
  <c r="T53" i="62"/>
  <c r="P53" i="62"/>
  <c r="S30" i="63"/>
  <c r="T149" i="63"/>
  <c r="P149" i="63"/>
  <c r="N254" i="58"/>
  <c r="Q168" i="63"/>
  <c r="S168" i="63" s="1"/>
  <c r="U168" i="63"/>
  <c r="T121" i="63"/>
  <c r="P121" i="63"/>
  <c r="H105" i="58"/>
  <c r="U25" i="62"/>
  <c r="X25" i="63"/>
  <c r="Y25" i="63" s="1"/>
  <c r="AB25" i="63" s="1"/>
  <c r="Q31" i="63"/>
  <c r="T31" i="63" s="1"/>
  <c r="T32" i="63"/>
  <c r="P32" i="63"/>
  <c r="Y159" i="63"/>
  <c r="AB159" i="63" s="1"/>
  <c r="S202" i="63"/>
  <c r="T202" i="63"/>
  <c r="P202" i="63"/>
  <c r="T186" i="62"/>
  <c r="P186" i="62"/>
  <c r="S186" i="62"/>
  <c r="S89" i="63"/>
  <c r="T70" i="62"/>
  <c r="P70" i="62"/>
  <c r="P123" i="63"/>
  <c r="T123" i="63"/>
  <c r="S71" i="63"/>
  <c r="T71" i="63"/>
  <c r="P71" i="63"/>
  <c r="T104" i="63"/>
  <c r="P104" i="63"/>
  <c r="S56" i="63"/>
  <c r="T56" i="63"/>
  <c r="P56" i="63"/>
  <c r="T112" i="63"/>
  <c r="Q107" i="63"/>
  <c r="S112" i="63"/>
  <c r="P112" i="63"/>
  <c r="P172" i="62"/>
  <c r="S172" i="62"/>
  <c r="T172" i="62"/>
  <c r="T98" i="63"/>
  <c r="P98" i="63"/>
  <c r="T94" i="63"/>
  <c r="S94" i="63"/>
  <c r="P94" i="63"/>
  <c r="T125" i="62"/>
  <c r="P125" i="62"/>
  <c r="S125" i="62"/>
  <c r="P166" i="63"/>
  <c r="S166" i="63"/>
  <c r="T166" i="63"/>
  <c r="T122" i="63"/>
  <c r="P122" i="63"/>
  <c r="S122" i="63"/>
  <c r="U19" i="63"/>
  <c r="N99" i="58"/>
  <c r="Q19" i="63"/>
  <c r="Y19" i="63"/>
  <c r="AB19" i="63" s="1"/>
  <c r="P48" i="63"/>
  <c r="T48" i="63"/>
  <c r="S48" i="63"/>
  <c r="P38" i="62"/>
  <c r="T38" i="62"/>
  <c r="S38" i="62"/>
  <c r="P60" i="63"/>
  <c r="T60" i="63"/>
  <c r="S60" i="63"/>
  <c r="U77" i="62"/>
  <c r="X77" i="63"/>
  <c r="P204" i="63"/>
  <c r="T204" i="63"/>
  <c r="P146" i="63"/>
  <c r="T146" i="63"/>
  <c r="S146" i="63"/>
  <c r="T41" i="63"/>
  <c r="P41" i="63"/>
  <c r="P68" i="63"/>
  <c r="S68" i="63"/>
  <c r="T68" i="63"/>
  <c r="S38" i="63"/>
  <c r="S112" i="62"/>
  <c r="T112" i="62"/>
  <c r="P112" i="62"/>
  <c r="S171" i="62"/>
  <c r="Q169" i="62"/>
  <c r="T169" i="62" s="1"/>
  <c r="P171" i="62"/>
  <c r="T171" i="62"/>
  <c r="T89" i="62"/>
  <c r="P89" i="62"/>
  <c r="S89" i="62"/>
  <c r="P24" i="62"/>
  <c r="T24" i="62"/>
  <c r="T100" i="63"/>
  <c r="P100" i="63"/>
  <c r="N225" i="58"/>
  <c r="N224" i="58" s="1"/>
  <c r="U135" i="63"/>
  <c r="O134" i="63"/>
  <c r="S207" i="63"/>
  <c r="T205" i="63"/>
  <c r="P205" i="63"/>
  <c r="P143" i="63"/>
  <c r="T143" i="63"/>
  <c r="S143" i="63"/>
  <c r="T33" i="63"/>
  <c r="P33" i="63"/>
  <c r="S187" i="63"/>
  <c r="S46" i="62"/>
  <c r="X169" i="63"/>
  <c r="Y169" i="63" s="1"/>
  <c r="AB169" i="63" s="1"/>
  <c r="U169" i="62"/>
  <c r="H216" i="58"/>
  <c r="H169" i="58"/>
  <c r="T179" i="69"/>
  <c r="P179" i="69"/>
  <c r="P26" i="69"/>
  <c r="T26" i="69"/>
  <c r="T191" i="69"/>
  <c r="P191" i="69"/>
  <c r="S191" i="69"/>
  <c r="R104" i="58"/>
  <c r="T104" i="58" s="1"/>
  <c r="W104" i="58" s="1"/>
  <c r="R122" i="58"/>
  <c r="T122" i="58" s="1"/>
  <c r="W122" i="58" s="1"/>
  <c r="P42" i="69"/>
  <c r="T42" i="69"/>
  <c r="P165" i="69"/>
  <c r="T165" i="69"/>
  <c r="M22" i="69"/>
  <c r="O22" i="69" s="1"/>
  <c r="I102" i="69"/>
  <c r="S90" i="69"/>
  <c r="P90" i="69"/>
  <c r="T90" i="69"/>
  <c r="P34" i="69"/>
  <c r="T34" i="69"/>
  <c r="T140" i="69"/>
  <c r="P140" i="69"/>
  <c r="P15" i="69"/>
  <c r="T15" i="69"/>
  <c r="S34" i="69"/>
  <c r="I35" i="61"/>
  <c r="M35" i="61" s="1"/>
  <c r="O35" i="61" s="1"/>
  <c r="I32" i="61"/>
  <c r="M32" i="61" s="1"/>
  <c r="O32" i="61" s="1"/>
  <c r="P113" i="65"/>
  <c r="T113" i="65"/>
  <c r="R166" i="58"/>
  <c r="T166" i="58" s="1"/>
  <c r="W166" i="58" s="1"/>
  <c r="P134" i="65"/>
  <c r="T99" i="65"/>
  <c r="P99" i="65"/>
  <c r="P69" i="65"/>
  <c r="T69" i="65"/>
  <c r="S99" i="65"/>
  <c r="T57" i="65"/>
  <c r="P57" i="65"/>
  <c r="S121" i="65"/>
  <c r="S120" i="65" s="1"/>
  <c r="AW23" i="57" s="1"/>
  <c r="V23" i="57" s="1"/>
  <c r="P121" i="65"/>
  <c r="T121" i="65"/>
  <c r="T116" i="65"/>
  <c r="P116" i="65"/>
  <c r="S134" i="65"/>
  <c r="P194" i="64"/>
  <c r="T194" i="64"/>
  <c r="P139" i="64"/>
  <c r="T139" i="64"/>
  <c r="P142" i="64"/>
  <c r="T142" i="64"/>
  <c r="P148" i="64"/>
  <c r="T148" i="64"/>
  <c r="S171" i="64"/>
  <c r="P171" i="64"/>
  <c r="T171" i="64"/>
  <c r="T156" i="64"/>
  <c r="P156" i="64"/>
  <c r="S156" i="64"/>
  <c r="T76" i="64"/>
  <c r="P76" i="64"/>
  <c r="P147" i="64"/>
  <c r="T147" i="64"/>
  <c r="O77" i="68"/>
  <c r="U77" i="68" s="1"/>
  <c r="O154" i="58"/>
  <c r="U78" i="68"/>
  <c r="Q78" i="68"/>
  <c r="P195" i="68"/>
  <c r="T195" i="68"/>
  <c r="P154" i="68"/>
  <c r="T154" i="68"/>
  <c r="V114" i="58"/>
  <c r="S167" i="68"/>
  <c r="T167" i="68"/>
  <c r="P167" i="68"/>
  <c r="S154" i="68"/>
  <c r="T174" i="68"/>
  <c r="P174" i="68"/>
  <c r="P103" i="68"/>
  <c r="T103" i="68"/>
  <c r="T104" i="68"/>
  <c r="P104" i="68"/>
  <c r="T145" i="68"/>
  <c r="P145" i="68"/>
  <c r="S147" i="68"/>
  <c r="P147" i="68"/>
  <c r="S149" i="68"/>
  <c r="P149" i="68"/>
  <c r="T149" i="68"/>
  <c r="P194" i="68"/>
  <c r="T194" i="68"/>
  <c r="T67" i="68"/>
  <c r="P67" i="68"/>
  <c r="Q79" i="68"/>
  <c r="U79" i="68"/>
  <c r="O155" i="58"/>
  <c r="T105" i="68"/>
  <c r="P105" i="68"/>
  <c r="P189" i="68"/>
  <c r="T189" i="68"/>
  <c r="T155" i="68"/>
  <c r="P155" i="68"/>
  <c r="S159" i="68"/>
  <c r="T122" i="68"/>
  <c r="P122" i="68"/>
  <c r="T162" i="68"/>
  <c r="P162" i="68"/>
  <c r="T151" i="68"/>
  <c r="P151" i="68"/>
  <c r="W113" i="58"/>
  <c r="R271" i="58"/>
  <c r="T271" i="58" s="1"/>
  <c r="W271" i="58" s="1"/>
  <c r="R165" i="58"/>
  <c r="T165" i="58" s="1"/>
  <c r="W165" i="58" s="1"/>
  <c r="U68" i="64"/>
  <c r="Q68" i="64"/>
  <c r="J146" i="58"/>
  <c r="R146" i="58" s="1"/>
  <c r="T146" i="58" s="1"/>
  <c r="W146" i="58" s="1"/>
  <c r="Q86" i="64"/>
  <c r="Q84" i="64" s="1"/>
  <c r="T84" i="64" s="1"/>
  <c r="U86" i="64"/>
  <c r="Q98" i="64"/>
  <c r="S98" i="64" s="1"/>
  <c r="Q88" i="64"/>
  <c r="J162" i="58"/>
  <c r="Q105" i="64"/>
  <c r="S105" i="64" s="1"/>
  <c r="Q96" i="64"/>
  <c r="U96" i="64"/>
  <c r="Q196" i="64"/>
  <c r="P158" i="64"/>
  <c r="U55" i="64"/>
  <c r="Q55" i="64"/>
  <c r="J135" i="58"/>
  <c r="R135" i="58" s="1"/>
  <c r="T135" i="58" s="1"/>
  <c r="W135" i="58" s="1"/>
  <c r="J265" i="58"/>
  <c r="U173" i="64"/>
  <c r="U200" i="64"/>
  <c r="J292" i="58"/>
  <c r="R292" i="58" s="1"/>
  <c r="T292" i="58" s="1"/>
  <c r="W292" i="58" s="1"/>
  <c r="Q200" i="64"/>
  <c r="S200" i="64" s="1"/>
  <c r="U53" i="64"/>
  <c r="Q53" i="64"/>
  <c r="S53" i="64" s="1"/>
  <c r="J133" i="58"/>
  <c r="R133" i="58" s="1"/>
  <c r="J116" i="58"/>
  <c r="R116" i="58" s="1"/>
  <c r="T116" i="58" s="1"/>
  <c r="V116" i="58" s="1"/>
  <c r="Q34" i="64"/>
  <c r="U34" i="64"/>
  <c r="J126" i="58"/>
  <c r="R126" i="58" s="1"/>
  <c r="T126" i="58" s="1"/>
  <c r="W126" i="58" s="1"/>
  <c r="U44" i="64"/>
  <c r="Q44" i="64"/>
  <c r="S44" i="64" s="1"/>
  <c r="Q40" i="64"/>
  <c r="S40" i="64" s="1"/>
  <c r="U37" i="64"/>
  <c r="J119" i="58"/>
  <c r="Q37" i="64"/>
  <c r="U192" i="64"/>
  <c r="J284" i="58"/>
  <c r="R284" i="58" s="1"/>
  <c r="T284" i="58" s="1"/>
  <c r="W284" i="58" s="1"/>
  <c r="Q192" i="64"/>
  <c r="Q143" i="64"/>
  <c r="Q18" i="64"/>
  <c r="S18" i="64" s="1"/>
  <c r="U18" i="64"/>
  <c r="S194" i="66"/>
  <c r="S149" i="66"/>
  <c r="T190" i="66"/>
  <c r="P190" i="66"/>
  <c r="H285" i="58"/>
  <c r="P107" i="58"/>
  <c r="Q177" i="66"/>
  <c r="S189" i="66"/>
  <c r="T194" i="66"/>
  <c r="Q172" i="66"/>
  <c r="S172" i="66" s="1"/>
  <c r="P264" i="58"/>
  <c r="S145" i="66"/>
  <c r="S179" i="66"/>
  <c r="P197" i="58"/>
  <c r="S165" i="66"/>
  <c r="S163" i="66" s="1"/>
  <c r="P165" i="66"/>
  <c r="S44" i="66"/>
  <c r="S87" i="66"/>
  <c r="S116" i="66"/>
  <c r="S54" i="66"/>
  <c r="O46" i="66"/>
  <c r="U46" i="66" s="1"/>
  <c r="P277" i="58"/>
  <c r="P276" i="58" s="1"/>
  <c r="S89" i="66"/>
  <c r="Q49" i="66"/>
  <c r="P50" i="66"/>
  <c r="S24" i="66"/>
  <c r="S173" i="66"/>
  <c r="S48" i="66"/>
  <c r="S46" i="66" s="1"/>
  <c r="P48" i="66"/>
  <c r="S16" i="66"/>
  <c r="P16" i="66"/>
  <c r="V247" i="58"/>
  <c r="S118" i="66"/>
  <c r="P118" i="66"/>
  <c r="S68" i="66"/>
  <c r="P164" i="66"/>
  <c r="Q163" i="66"/>
  <c r="T163" i="66" s="1"/>
  <c r="S180" i="66"/>
  <c r="Q159" i="66"/>
  <c r="T159" i="66" s="1"/>
  <c r="P161" i="66"/>
  <c r="S66" i="66"/>
  <c r="T94" i="66"/>
  <c r="P94" i="66"/>
  <c r="S94" i="66"/>
  <c r="S90" i="66"/>
  <c r="P186" i="66"/>
  <c r="Q185" i="66"/>
  <c r="T185" i="66" s="1"/>
  <c r="S107" i="66"/>
  <c r="S191" i="66"/>
  <c r="P191" i="66"/>
  <c r="S200" i="66"/>
  <c r="S37" i="66"/>
  <c r="S33" i="66" s="1"/>
  <c r="P37" i="66"/>
  <c r="T37" i="66"/>
  <c r="S159" i="66"/>
  <c r="S119" i="66"/>
  <c r="BC46" i="57"/>
  <c r="AK46" i="57" s="1"/>
  <c r="J46" i="57" s="1"/>
  <c r="T69" i="64"/>
  <c r="P69" i="64"/>
  <c r="T51" i="64"/>
  <c r="P51" i="64"/>
  <c r="V157" i="58"/>
  <c r="S51" i="64"/>
  <c r="S49" i="64" s="1"/>
  <c r="T15" i="64"/>
  <c r="P15" i="64"/>
  <c r="P106" i="64"/>
  <c r="T106" i="64"/>
  <c r="AA48" i="57"/>
  <c r="P160" i="64"/>
  <c r="T160" i="64"/>
  <c r="Q159" i="64"/>
  <c r="T159" i="64" s="1"/>
  <c r="P168" i="64"/>
  <c r="T168" i="64"/>
  <c r="P30" i="64"/>
  <c r="T30" i="64"/>
  <c r="S106" i="64"/>
  <c r="U84" i="64"/>
  <c r="J160" i="58"/>
  <c r="S85" i="64"/>
  <c r="P85" i="64"/>
  <c r="T85" i="64"/>
  <c r="AV46" i="57"/>
  <c r="U46" i="57" s="1"/>
  <c r="AP46" i="57"/>
  <c r="O46" i="57" s="1"/>
  <c r="AS46" i="57"/>
  <c r="R46" i="57" s="1"/>
  <c r="AB46" i="57"/>
  <c r="AS47" i="57"/>
  <c r="R47" i="57" s="1"/>
  <c r="AD46" i="57"/>
  <c r="AJ47" i="57"/>
  <c r="AM47" i="57"/>
  <c r="L47" i="57" s="1"/>
  <c r="BJ46" i="57"/>
  <c r="Z46" i="57" s="1"/>
  <c r="AV47" i="57"/>
  <c r="AA46" i="57"/>
  <c r="AQ4" i="10"/>
  <c r="AQ3" i="10" s="1"/>
  <c r="AP8" i="10"/>
  <c r="AP7" i="10" s="1"/>
  <c r="AP26" i="10" s="1"/>
  <c r="AO26" i="12" s="1"/>
  <c r="AK4" i="6"/>
  <c r="AK8" i="6" s="1"/>
  <c r="AK4" i="7" s="1"/>
  <c r="AV8" i="10"/>
  <c r="AV7" i="10" s="1"/>
  <c r="AV26" i="10" s="1"/>
  <c r="AU26" i="12" s="1"/>
  <c r="BM19" i="6"/>
  <c r="L17" i="7"/>
  <c r="N17" i="7"/>
  <c r="M17" i="7"/>
  <c r="AW4" i="5"/>
  <c r="AW61" i="5" s="1"/>
  <c r="C79" i="5"/>
  <c r="W88" i="58"/>
  <c r="R338" i="58"/>
  <c r="Q78" i="58"/>
  <c r="Q74" i="58" s="1"/>
  <c r="W354" i="58"/>
  <c r="V354" i="58"/>
  <c r="H17" i="7"/>
  <c r="BJ48" i="57"/>
  <c r="Z48" i="57" s="1"/>
  <c r="BC48" i="57"/>
  <c r="AQ48" i="57" s="1"/>
  <c r="P48" i="57" s="1"/>
  <c r="U17" i="7"/>
  <c r="T17" i="7"/>
  <c r="BD3" i="6"/>
  <c r="BA8" i="10"/>
  <c r="BA7" i="10" s="1"/>
  <c r="BA26" i="10" s="1"/>
  <c r="AZ26" i="12" s="1"/>
  <c r="P33" i="36"/>
  <c r="Q33" i="36"/>
  <c r="P115" i="20"/>
  <c r="Q115" i="20"/>
  <c r="AI19" i="30"/>
  <c r="N4" i="33"/>
  <c r="AQ20" i="43"/>
  <c r="AR27" i="43"/>
  <c r="P81" i="20"/>
  <c r="Q81" i="20"/>
  <c r="Q77" i="20"/>
  <c r="P77" i="20"/>
  <c r="P79" i="20"/>
  <c r="Q79" i="20"/>
  <c r="P151" i="51"/>
  <c r="Q54" i="20"/>
  <c r="P54" i="20"/>
  <c r="P35" i="24"/>
  <c r="Q35" i="24"/>
  <c r="P144" i="25"/>
  <c r="Q144" i="25"/>
  <c r="J76" i="54"/>
  <c r="P59" i="23"/>
  <c r="N89" i="49"/>
  <c r="P81" i="24"/>
  <c r="Q81" i="24"/>
  <c r="P52" i="34"/>
  <c r="O47" i="34"/>
  <c r="P18" i="25"/>
  <c r="Q18" i="25"/>
  <c r="Q133" i="37"/>
  <c r="P133" i="37"/>
  <c r="R202" i="58"/>
  <c r="T202" i="58" s="1"/>
  <c r="W202" i="58" s="1"/>
  <c r="P183" i="69"/>
  <c r="T183" i="69"/>
  <c r="P76" i="68"/>
  <c r="T76" i="68"/>
  <c r="Q61" i="48"/>
  <c r="P61" i="48"/>
  <c r="O60" i="48"/>
  <c r="P46" i="20"/>
  <c r="Q46" i="20"/>
  <c r="O44" i="20"/>
  <c r="P97" i="25"/>
  <c r="Q97" i="25"/>
  <c r="P59" i="35"/>
  <c r="Q59" i="35"/>
  <c r="O57" i="35"/>
  <c r="P26" i="39"/>
  <c r="O22" i="39"/>
  <c r="P22" i="39" s="1"/>
  <c r="Q116" i="25"/>
  <c r="P116" i="25"/>
  <c r="P40" i="39"/>
  <c r="O38" i="39"/>
  <c r="P21" i="33"/>
  <c r="O19" i="33"/>
  <c r="O44" i="50"/>
  <c r="N9" i="35"/>
  <c r="N5" i="35" s="1"/>
  <c r="P154" i="39"/>
  <c r="P97" i="49"/>
  <c r="P72" i="51"/>
  <c r="P151" i="33"/>
  <c r="Q151" i="33"/>
  <c r="O150" i="33"/>
  <c r="P115" i="49"/>
  <c r="O111" i="49"/>
  <c r="P111" i="49" s="1"/>
  <c r="O94" i="35"/>
  <c r="P95" i="35"/>
  <c r="P118" i="33"/>
  <c r="Q118" i="33"/>
  <c r="O117" i="33"/>
  <c r="P117" i="33" s="1"/>
  <c r="Q118" i="37"/>
  <c r="P118" i="37"/>
  <c r="Q14" i="35"/>
  <c r="P14" i="35"/>
  <c r="O13" i="35"/>
  <c r="AB8" i="10"/>
  <c r="AB7" i="10" s="1"/>
  <c r="AE3" i="6"/>
  <c r="P113" i="39"/>
  <c r="O111" i="39"/>
  <c r="P111" i="39" s="1"/>
  <c r="T175" i="63"/>
  <c r="P175" i="63"/>
  <c r="N141" i="34"/>
  <c r="O143" i="34"/>
  <c r="U64" i="63"/>
  <c r="N138" i="58"/>
  <c r="N136" i="58" s="1"/>
  <c r="O62" i="63"/>
  <c r="Q76" i="24"/>
  <c r="P76" i="24"/>
  <c r="X138" i="63"/>
  <c r="Y138" i="63" s="1"/>
  <c r="AB138" i="63" s="1"/>
  <c r="U138" i="62"/>
  <c r="H226" i="58"/>
  <c r="T78" i="62"/>
  <c r="Q77" i="62"/>
  <c r="T77" i="62" s="1"/>
  <c r="Q144" i="33"/>
  <c r="P144" i="33"/>
  <c r="O141" i="33"/>
  <c r="P141" i="33" s="1"/>
  <c r="U77" i="67"/>
  <c r="P122" i="35"/>
  <c r="Q122" i="35"/>
  <c r="O117" i="35"/>
  <c r="P117" i="35" s="1"/>
  <c r="M129" i="34"/>
  <c r="AN26" i="30"/>
  <c r="AN25" i="30" s="1"/>
  <c r="L8" i="28" s="1"/>
  <c r="M88" i="35"/>
  <c r="U72" i="65"/>
  <c r="O71" i="65"/>
  <c r="U71" i="65" s="1"/>
  <c r="M150" i="58"/>
  <c r="M149" i="58" s="1"/>
  <c r="P123" i="51"/>
  <c r="O117" i="51"/>
  <c r="P117" i="51" s="1"/>
  <c r="S64" i="64"/>
  <c r="P64" i="64"/>
  <c r="T64" i="64"/>
  <c r="P15" i="25"/>
  <c r="Q15" i="25"/>
  <c r="P101" i="48"/>
  <c r="Q101" i="48"/>
  <c r="O99" i="48"/>
  <c r="P94" i="20"/>
  <c r="Q94" i="20"/>
  <c r="O193" i="64"/>
  <c r="U193" i="64" s="1"/>
  <c r="L216" i="58"/>
  <c r="P125" i="68"/>
  <c r="AP25" i="57"/>
  <c r="S125" i="68"/>
  <c r="AQ25" i="57" s="1"/>
  <c r="P25" i="57" s="1"/>
  <c r="T125" i="68"/>
  <c r="T201" i="63"/>
  <c r="P201" i="63"/>
  <c r="S201" i="63"/>
  <c r="O106" i="47"/>
  <c r="Q78" i="33"/>
  <c r="P78" i="33"/>
  <c r="Q74" i="20"/>
  <c r="P74" i="20"/>
  <c r="O70" i="20"/>
  <c r="O23" i="37"/>
  <c r="J99" i="54"/>
  <c r="P127" i="23"/>
  <c r="O26" i="40"/>
  <c r="N91" i="39"/>
  <c r="O92" i="39"/>
  <c r="N37" i="50"/>
  <c r="N36" i="50" s="1"/>
  <c r="BD20" i="43" s="1"/>
  <c r="O29" i="35"/>
  <c r="O115" i="36"/>
  <c r="P139" i="49"/>
  <c r="P65" i="51"/>
  <c r="O63" i="51"/>
  <c r="P123" i="46"/>
  <c r="Q123" i="46"/>
  <c r="P116" i="36"/>
  <c r="Q116" i="36"/>
  <c r="O17" i="39"/>
  <c r="P17" i="39" s="1"/>
  <c r="P45" i="51"/>
  <c r="O44" i="51"/>
  <c r="O101" i="51"/>
  <c r="O122" i="49"/>
  <c r="O45" i="38"/>
  <c r="P118" i="47"/>
  <c r="Q118" i="47"/>
  <c r="O117" i="47"/>
  <c r="P117" i="47" s="1"/>
  <c r="P107" i="46"/>
  <c r="Q107" i="46"/>
  <c r="P96" i="40"/>
  <c r="O94" i="40"/>
  <c r="O30" i="37"/>
  <c r="T42" i="63"/>
  <c r="P42" i="63"/>
  <c r="O22" i="50"/>
  <c r="P22" i="50" s="1"/>
  <c r="P15" i="48"/>
  <c r="Q15" i="48"/>
  <c r="O13" i="48"/>
  <c r="N111" i="39"/>
  <c r="Q71" i="48"/>
  <c r="P71" i="48"/>
  <c r="T164" i="63"/>
  <c r="P164" i="63"/>
  <c r="Q159" i="63"/>
  <c r="P177" i="67"/>
  <c r="T177" i="67"/>
  <c r="S177" i="67"/>
  <c r="P21" i="67"/>
  <c r="T21" i="67"/>
  <c r="S21" i="67"/>
  <c r="S19" i="67" s="1"/>
  <c r="Q19" i="67"/>
  <c r="P63" i="62"/>
  <c r="T63" i="62"/>
  <c r="S63" i="62"/>
  <c r="BK19" i="6"/>
  <c r="BK21" i="6"/>
  <c r="S99" i="67"/>
  <c r="T99" i="67"/>
  <c r="P99" i="67"/>
  <c r="T206" i="63"/>
  <c r="P206" i="63"/>
  <c r="P78" i="67"/>
  <c r="T78" i="67"/>
  <c r="Q77" i="67"/>
  <c r="T77" i="67" s="1"/>
  <c r="O137" i="34"/>
  <c r="P45" i="62"/>
  <c r="S45" i="62"/>
  <c r="U170" i="67"/>
  <c r="O126" i="67"/>
  <c r="U126" i="67" s="1"/>
  <c r="K224" i="58"/>
  <c r="K223" i="58"/>
  <c r="Q193" i="66"/>
  <c r="S29" i="66"/>
  <c r="P29" i="66"/>
  <c r="P154" i="45"/>
  <c r="O150" i="45"/>
  <c r="O34" i="45"/>
  <c r="M169" i="58"/>
  <c r="Q224" i="45"/>
  <c r="M207" i="45"/>
  <c r="N156" i="51"/>
  <c r="O156" i="51" s="1"/>
  <c r="M150" i="51"/>
  <c r="M149" i="51" s="1"/>
  <c r="T174" i="69"/>
  <c r="P174" i="69"/>
  <c r="Q106" i="36"/>
  <c r="P106" i="36"/>
  <c r="P109" i="25"/>
  <c r="Q109" i="25"/>
  <c r="P140" i="37"/>
  <c r="Q140" i="37"/>
  <c r="O66" i="36"/>
  <c r="P68" i="36"/>
  <c r="Q68" i="36"/>
  <c r="P73" i="49"/>
  <c r="Q75" i="25"/>
  <c r="P75" i="25"/>
  <c r="P76" i="37"/>
  <c r="Q76" i="37"/>
  <c r="P53" i="35"/>
  <c r="Q53" i="35"/>
  <c r="Q71" i="37"/>
  <c r="P71" i="37"/>
  <c r="P24" i="51"/>
  <c r="O22" i="51"/>
  <c r="P22" i="51" s="1"/>
  <c r="N4" i="39"/>
  <c r="BA19" i="30"/>
  <c r="P68" i="51"/>
  <c r="O66" i="51"/>
  <c r="P66" i="51" s="1"/>
  <c r="P97" i="47"/>
  <c r="Q97" i="47"/>
  <c r="O94" i="47"/>
  <c r="P17" i="38"/>
  <c r="M36" i="38"/>
  <c r="AW20" i="30" s="1"/>
  <c r="P138" i="37"/>
  <c r="Q138" i="37"/>
  <c r="Q28" i="33"/>
  <c r="P28" i="33"/>
  <c r="O27" i="33"/>
  <c r="P27" i="33" s="1"/>
  <c r="J46" i="54"/>
  <c r="P80" i="23"/>
  <c r="P28" i="50"/>
  <c r="O27" i="50"/>
  <c r="P27" i="50" s="1"/>
  <c r="P144" i="46"/>
  <c r="Q144" i="46"/>
  <c r="O141" i="46"/>
  <c r="P141" i="46" s="1"/>
  <c r="S198" i="67"/>
  <c r="P198" i="67"/>
  <c r="T198" i="67"/>
  <c r="T141" i="67"/>
  <c r="P141" i="67"/>
  <c r="S141" i="67"/>
  <c r="Q128" i="67"/>
  <c r="P160" i="68"/>
  <c r="T160" i="68"/>
  <c r="Q159" i="68"/>
  <c r="T159" i="68" s="1"/>
  <c r="T190" i="65"/>
  <c r="S190" i="65"/>
  <c r="P190" i="65"/>
  <c r="P21" i="24"/>
  <c r="Q21" i="24"/>
  <c r="U126" i="62"/>
  <c r="O106" i="62"/>
  <c r="X126" i="63"/>
  <c r="Y126" i="63" s="1"/>
  <c r="AB126" i="63" s="1"/>
  <c r="K136" i="58"/>
  <c r="P103" i="62"/>
  <c r="T103" i="62"/>
  <c r="S103" i="62"/>
  <c r="P108" i="25"/>
  <c r="Q108" i="25"/>
  <c r="P16" i="48"/>
  <c r="Q16" i="48"/>
  <c r="P142" i="67"/>
  <c r="T142" i="67"/>
  <c r="Q139" i="24"/>
  <c r="P139" i="24"/>
  <c r="Q106" i="25"/>
  <c r="P106" i="25"/>
  <c r="L276" i="58"/>
  <c r="M251" i="58"/>
  <c r="S98" i="61"/>
  <c r="Q175" i="61"/>
  <c r="P148" i="51"/>
  <c r="P62" i="34"/>
  <c r="O60" i="34"/>
  <c r="T193" i="63"/>
  <c r="S193" i="63"/>
  <c r="P193" i="63"/>
  <c r="P158" i="27"/>
  <c r="P110" i="24"/>
  <c r="Q110" i="24"/>
  <c r="Q64" i="20"/>
  <c r="P64" i="20"/>
  <c r="O63" i="20"/>
  <c r="N139" i="20"/>
  <c r="N129" i="20" s="1"/>
  <c r="M129" i="20"/>
  <c r="Q114" i="20"/>
  <c r="P114" i="20"/>
  <c r="P24" i="24"/>
  <c r="Q24" i="24"/>
  <c r="P108" i="20"/>
  <c r="Q108" i="20"/>
  <c r="BJ4" i="10"/>
  <c r="BJ3" i="10" s="1"/>
  <c r="Q27" i="4" s="1"/>
  <c r="N9" i="40"/>
  <c r="N5" i="40" s="1"/>
  <c r="P77" i="23"/>
  <c r="J43" i="54"/>
  <c r="N75" i="23"/>
  <c r="O75" i="23" s="1"/>
  <c r="P68" i="39"/>
  <c r="O66" i="39"/>
  <c r="P96" i="36"/>
  <c r="Q96" i="36"/>
  <c r="O94" i="36"/>
  <c r="O71" i="40"/>
  <c r="P58" i="49"/>
  <c r="O57" i="49"/>
  <c r="P72" i="25"/>
  <c r="Q72" i="25"/>
  <c r="P33" i="48"/>
  <c r="Q33" i="48"/>
  <c r="P74" i="33"/>
  <c r="Q74" i="33"/>
  <c r="P140" i="46"/>
  <c r="Q140" i="46"/>
  <c r="P11" i="51"/>
  <c r="O10" i="51"/>
  <c r="P72" i="33"/>
  <c r="Q72" i="33"/>
  <c r="O48" i="50"/>
  <c r="P29" i="51"/>
  <c r="O27" i="51"/>
  <c r="P27" i="51" s="1"/>
  <c r="O39" i="38"/>
  <c r="N38" i="38"/>
  <c r="N37" i="38" s="1"/>
  <c r="Q155" i="20"/>
  <c r="P155" i="20"/>
  <c r="N27" i="50"/>
  <c r="N9" i="50" s="1"/>
  <c r="N5" i="50" s="1"/>
  <c r="P14" i="20"/>
  <c r="O13" i="20"/>
  <c r="P13" i="20" s="1"/>
  <c r="Q14" i="20"/>
  <c r="O122" i="36"/>
  <c r="AN23" i="57"/>
  <c r="P67" i="67"/>
  <c r="T67" i="67"/>
  <c r="O81" i="51"/>
  <c r="P81" i="51" s="1"/>
  <c r="S96" i="66"/>
  <c r="P96" i="66"/>
  <c r="K197" i="58"/>
  <c r="K196" i="58" s="1"/>
  <c r="P73" i="24"/>
  <c r="Q73" i="24"/>
  <c r="T194" i="65"/>
  <c r="S194" i="65"/>
  <c r="P194" i="65"/>
  <c r="S174" i="62"/>
  <c r="P174" i="62"/>
  <c r="T174" i="62"/>
  <c r="N9" i="48"/>
  <c r="N5" i="48" s="1"/>
  <c r="AC19" i="6"/>
  <c r="AC21" i="6"/>
  <c r="BL19" i="6"/>
  <c r="BL21" i="6"/>
  <c r="O19" i="32"/>
  <c r="O276" i="58"/>
  <c r="S96" i="61"/>
  <c r="AK7" i="57"/>
  <c r="AJ7" i="57"/>
  <c r="BA7" i="57"/>
  <c r="BJ7" i="57" s="1"/>
  <c r="P186" i="32"/>
  <c r="O175" i="32"/>
  <c r="S172" i="69"/>
  <c r="T172" i="69"/>
  <c r="P172" i="69"/>
  <c r="P139" i="47"/>
  <c r="Q139" i="47"/>
  <c r="O129" i="47"/>
  <c r="O118" i="20"/>
  <c r="O14" i="40"/>
  <c r="N154" i="37"/>
  <c r="N150" i="37" s="1"/>
  <c r="N149" i="37" s="1"/>
  <c r="AU28" i="30" s="1"/>
  <c r="M150" i="37"/>
  <c r="M149" i="37" s="1"/>
  <c r="AT28" i="30" s="1"/>
  <c r="Q21" i="33"/>
  <c r="O59" i="38"/>
  <c r="Q39" i="36"/>
  <c r="P39" i="36"/>
  <c r="O38" i="36"/>
  <c r="P163" i="47"/>
  <c r="Q163" i="47"/>
  <c r="O161" i="47"/>
  <c r="P154" i="49"/>
  <c r="O150" i="49"/>
  <c r="P25" i="33"/>
  <c r="Q25" i="33"/>
  <c r="O22" i="33"/>
  <c r="P22" i="33" s="1"/>
  <c r="O138" i="45"/>
  <c r="P138" i="45" s="1"/>
  <c r="O68" i="35"/>
  <c r="P76" i="47"/>
  <c r="Q76" i="47"/>
  <c r="Q52" i="35"/>
  <c r="P52" i="35"/>
  <c r="O47" i="35"/>
  <c r="P47" i="35" s="1"/>
  <c r="O51" i="38"/>
  <c r="O46" i="49"/>
  <c r="O42" i="38"/>
  <c r="N22" i="38"/>
  <c r="Q54" i="33"/>
  <c r="P54" i="33"/>
  <c r="O47" i="33"/>
  <c r="P50" i="23"/>
  <c r="J33" i="54"/>
  <c r="BC16" i="30"/>
  <c r="Q97" i="32"/>
  <c r="O108" i="37"/>
  <c r="N37" i="49"/>
  <c r="N36" i="49" s="1"/>
  <c r="BA20" i="43" s="1"/>
  <c r="O137" i="33"/>
  <c r="O45" i="46"/>
  <c r="O74" i="49"/>
  <c r="P74" i="49" s="1"/>
  <c r="U126" i="63"/>
  <c r="O106" i="63"/>
  <c r="U106" i="63" s="1"/>
  <c r="T86" i="67"/>
  <c r="P86" i="67"/>
  <c r="Q84" i="67"/>
  <c r="S86" i="67"/>
  <c r="S84" i="67" s="1"/>
  <c r="T175" i="67"/>
  <c r="P175" i="67"/>
  <c r="S175" i="67"/>
  <c r="S110" i="66"/>
  <c r="P110" i="66"/>
  <c r="T34" i="63"/>
  <c r="P34" i="63"/>
  <c r="S34" i="63"/>
  <c r="P47" i="67"/>
  <c r="T47" i="67"/>
  <c r="O77" i="45"/>
  <c r="P77" i="45" s="1"/>
  <c r="L77" i="45"/>
  <c r="P64" i="66"/>
  <c r="S64" i="66"/>
  <c r="O108" i="40"/>
  <c r="P108" i="40" s="1"/>
  <c r="P139" i="37"/>
  <c r="Q139" i="37"/>
  <c r="T177" i="64"/>
  <c r="S177" i="64"/>
  <c r="P177" i="64"/>
  <c r="T179" i="64"/>
  <c r="P179" i="64"/>
  <c r="P16" i="24"/>
  <c r="Q16" i="24"/>
  <c r="N8" i="25"/>
  <c r="O8" i="25" s="1"/>
  <c r="K262" i="58"/>
  <c r="P28" i="62"/>
  <c r="S28" i="62"/>
  <c r="T28" i="62"/>
  <c r="T102" i="67"/>
  <c r="S102" i="67"/>
  <c r="S101" i="67" s="1"/>
  <c r="Q101" i="67"/>
  <c r="P102" i="67"/>
  <c r="S85" i="63"/>
  <c r="S83" i="63" s="1"/>
  <c r="P85" i="63"/>
  <c r="T85" i="63"/>
  <c r="Q83" i="63"/>
  <c r="T83" i="63" s="1"/>
  <c r="P142" i="27"/>
  <c r="O141" i="27"/>
  <c r="P146" i="66"/>
  <c r="Q144" i="66"/>
  <c r="T144" i="66" s="1"/>
  <c r="Q68" i="20"/>
  <c r="P68" i="20"/>
  <c r="O66" i="20"/>
  <c r="Q140" i="24"/>
  <c r="P140" i="24"/>
  <c r="P12" i="39"/>
  <c r="O10" i="39"/>
  <c r="P115" i="35"/>
  <c r="Q115" i="35"/>
  <c r="O111" i="35"/>
  <c r="P111" i="35" s="1"/>
  <c r="P136" i="25"/>
  <c r="Q136" i="25"/>
  <c r="P80" i="34"/>
  <c r="O70" i="34"/>
  <c r="P123" i="33"/>
  <c r="Q123" i="33"/>
  <c r="P64" i="46"/>
  <c r="Q64" i="46"/>
  <c r="O63" i="46"/>
  <c r="P26" i="36"/>
  <c r="Q26" i="36"/>
  <c r="O22" i="36"/>
  <c r="P22" i="36" s="1"/>
  <c r="O21" i="45"/>
  <c r="N19" i="45"/>
  <c r="N18" i="45" s="1"/>
  <c r="Q163" i="48"/>
  <c r="P163" i="48"/>
  <c r="O161" i="48"/>
  <c r="P77" i="46"/>
  <c r="Q77" i="46"/>
  <c r="O70" i="46"/>
  <c r="P156" i="48"/>
  <c r="Q156" i="48"/>
  <c r="O150" i="48"/>
  <c r="P154" i="46"/>
  <c r="Q154" i="46"/>
  <c r="P152" i="34"/>
  <c r="O150" i="34"/>
  <c r="P50" i="47"/>
  <c r="Q50" i="47"/>
  <c r="O47" i="47"/>
  <c r="P23" i="38"/>
  <c r="O22" i="38"/>
  <c r="P22" i="38" s="1"/>
  <c r="P121" i="25"/>
  <c r="Q121" i="25"/>
  <c r="P151" i="40"/>
  <c r="P114" i="47"/>
  <c r="Q114" i="47"/>
  <c r="AZ19" i="43"/>
  <c r="M4" i="49"/>
  <c r="P47" i="63"/>
  <c r="T47" i="63"/>
  <c r="S47" i="63"/>
  <c r="P132" i="37"/>
  <c r="Q132" i="37"/>
  <c r="O130" i="37"/>
  <c r="P71" i="62"/>
  <c r="T71" i="62"/>
  <c r="S71" i="62"/>
  <c r="AQ27" i="43"/>
  <c r="T57" i="63"/>
  <c r="S57" i="63"/>
  <c r="P57" i="63"/>
  <c r="Q55" i="63"/>
  <c r="P12" i="49"/>
  <c r="O10" i="49"/>
  <c r="T196" i="67"/>
  <c r="P196" i="67"/>
  <c r="S196" i="67"/>
  <c r="S193" i="67" s="1"/>
  <c r="Q193" i="67"/>
  <c r="T193" i="67" s="1"/>
  <c r="P109" i="24"/>
  <c r="Q109" i="24"/>
  <c r="P101" i="24"/>
  <c r="Q101" i="24"/>
  <c r="P92" i="63"/>
  <c r="Q90" i="63"/>
  <c r="T92" i="63"/>
  <c r="T172" i="67"/>
  <c r="P172" i="67"/>
  <c r="Q170" i="67"/>
  <c r="T170" i="67" s="1"/>
  <c r="T66" i="67"/>
  <c r="P66" i="67"/>
  <c r="T148" i="65"/>
  <c r="P148" i="65"/>
  <c r="S148" i="65"/>
  <c r="U101" i="67"/>
  <c r="O100" i="67"/>
  <c r="U100" i="67" s="1"/>
  <c r="P51" i="24"/>
  <c r="Q51" i="24"/>
  <c r="T206" i="62"/>
  <c r="P206" i="62"/>
  <c r="S206" i="62"/>
  <c r="AP9" i="11"/>
  <c r="BC66" i="11"/>
  <c r="BC67" i="11" s="1"/>
  <c r="BD51" i="11"/>
  <c r="BD52" i="11" s="1"/>
  <c r="AH48" i="11"/>
  <c r="AH49" i="11" s="1"/>
  <c r="AQ75" i="11"/>
  <c r="AQ76" i="11" s="1"/>
  <c r="BD62" i="11"/>
  <c r="N77" i="11"/>
  <c r="R75" i="11"/>
  <c r="R76" i="11" s="1"/>
  <c r="BP30" i="11"/>
  <c r="AJ50" i="11"/>
  <c r="AO80" i="11"/>
  <c r="AR39" i="11"/>
  <c r="AR40" i="11" s="1"/>
  <c r="BE47" i="11"/>
  <c r="AV75" i="11"/>
  <c r="AV76" i="11" s="1"/>
  <c r="G78" i="11"/>
  <c r="G79" i="11" s="1"/>
  <c r="R12" i="11"/>
  <c r="AV72" i="11"/>
  <c r="AV73" i="11" s="1"/>
  <c r="AY62" i="11"/>
  <c r="T47" i="11"/>
  <c r="BL42" i="11"/>
  <c r="BL43" i="11" s="1"/>
  <c r="AI72" i="11"/>
  <c r="AI73" i="11" s="1"/>
  <c r="AC71" i="11"/>
  <c r="R20" i="11"/>
  <c r="AL80" i="11"/>
  <c r="Y65" i="11"/>
  <c r="AA20" i="11"/>
  <c r="BO27" i="11"/>
  <c r="S68" i="11"/>
  <c r="U51" i="11"/>
  <c r="U52" i="11" s="1"/>
  <c r="BL45" i="11"/>
  <c r="BL46" i="11" s="1"/>
  <c r="AZ80" i="11"/>
  <c r="BK74" i="11"/>
  <c r="AU68" i="11"/>
  <c r="BB62" i="11"/>
  <c r="AB41" i="11"/>
  <c r="BC77" i="11"/>
  <c r="H65" i="11"/>
  <c r="Z42" i="11"/>
  <c r="Z43" i="11" s="1"/>
  <c r="AA11" i="11"/>
  <c r="AV63" i="11"/>
  <c r="AV64" i="11" s="1"/>
  <c r="AK48" i="11"/>
  <c r="AK49" i="11" s="1"/>
  <c r="Y48" i="11"/>
  <c r="Y49" i="11" s="1"/>
  <c r="AC75" i="11"/>
  <c r="AC76" i="11" s="1"/>
  <c r="AC53" i="11"/>
  <c r="AP60" i="11"/>
  <c r="BM53" i="11"/>
  <c r="O66" i="11"/>
  <c r="O67" i="11" s="1"/>
  <c r="I23" i="11"/>
  <c r="AH69" i="11"/>
  <c r="AH70" i="11" s="1"/>
  <c r="AV50" i="11"/>
  <c r="BH56" i="11"/>
  <c r="K65" i="11"/>
  <c r="U53" i="11"/>
  <c r="AS54" i="11"/>
  <c r="AS55" i="11" s="1"/>
  <c r="Z78" i="11"/>
  <c r="Z79" i="11" s="1"/>
  <c r="O68" i="11"/>
  <c r="T36" i="11"/>
  <c r="AN47" i="11"/>
  <c r="AN69" i="11"/>
  <c r="AN70" i="11" s="1"/>
  <c r="BP54" i="11"/>
  <c r="BP55" i="11" s="1"/>
  <c r="BF68" i="11"/>
  <c r="AS41" i="11"/>
  <c r="BF63" i="11"/>
  <c r="BF64" i="11" s="1"/>
  <c r="Z23" i="11"/>
  <c r="AZ78" i="11"/>
  <c r="AZ79" i="11" s="1"/>
  <c r="AL60" i="11"/>
  <c r="J12" i="11"/>
  <c r="AU80" i="11"/>
  <c r="BM71" i="11"/>
  <c r="BE45" i="11"/>
  <c r="BE46" i="11" s="1"/>
  <c r="N71" i="11"/>
  <c r="AR48" i="11"/>
  <c r="AR49" i="11" s="1"/>
  <c r="BE54" i="11"/>
  <c r="BE55" i="11" s="1"/>
  <c r="AE38" i="11"/>
  <c r="BM39" i="11"/>
  <c r="BM40" i="11" s="1"/>
  <c r="BE68" i="11"/>
  <c r="Z66" i="11"/>
  <c r="Z67" i="11" s="1"/>
  <c r="BN63" i="11"/>
  <c r="BN64" i="11" s="1"/>
  <c r="AC63" i="11"/>
  <c r="AC64" i="11" s="1"/>
  <c r="X18" i="11"/>
  <c r="BC75" i="11"/>
  <c r="BC76" i="11" s="1"/>
  <c r="AH62" i="11"/>
  <c r="Y26" i="11"/>
  <c r="E29" i="11"/>
  <c r="AB62" i="11"/>
  <c r="AR60" i="11"/>
  <c r="J47" i="11"/>
  <c r="T78" i="11"/>
  <c r="T79" i="11" s="1"/>
  <c r="BK72" i="11"/>
  <c r="BK73" i="11" s="1"/>
  <c r="AD27" i="11"/>
  <c r="L32" i="11"/>
  <c r="BG60" i="11"/>
  <c r="AZ60" i="11"/>
  <c r="W56" i="11"/>
  <c r="BC69" i="11"/>
  <c r="BC70" i="11" s="1"/>
  <c r="AC66" i="11"/>
  <c r="AC67" i="11" s="1"/>
  <c r="R48" i="11"/>
  <c r="R49" i="11" s="1"/>
  <c r="O15" i="11"/>
  <c r="AZ77" i="11"/>
  <c r="D50" i="11"/>
  <c r="K36" i="11"/>
  <c r="AC62" i="11"/>
  <c r="M63" i="11"/>
  <c r="M64" i="11" s="1"/>
  <c r="X71" i="11"/>
  <c r="AM56" i="11"/>
  <c r="AS53" i="11"/>
  <c r="J78" i="11"/>
  <c r="J79" i="11" s="1"/>
  <c r="AB66" i="11"/>
  <c r="AB67" i="11" s="1"/>
  <c r="BK29" i="11"/>
  <c r="AA50" i="11"/>
  <c r="AP75" i="11"/>
  <c r="AP76" i="11" s="1"/>
  <c r="M30" i="11"/>
  <c r="BE39" i="11"/>
  <c r="BE40" i="11" s="1"/>
  <c r="AB74" i="11"/>
  <c r="Y23" i="11"/>
  <c r="AG65" i="11"/>
  <c r="AA36" i="11"/>
  <c r="J72" i="11"/>
  <c r="J73" i="11" s="1"/>
  <c r="Q51" i="11"/>
  <c r="Q52" i="11" s="1"/>
  <c r="AN66" i="11"/>
  <c r="AN67" i="11" s="1"/>
  <c r="BN45" i="11"/>
  <c r="BN46" i="11" s="1"/>
  <c r="AZ32" i="11"/>
  <c r="AM66" i="11"/>
  <c r="AM67" i="11" s="1"/>
  <c r="BK38" i="11"/>
  <c r="O45" i="11"/>
  <c r="O46" i="11" s="1"/>
  <c r="M72" i="11"/>
  <c r="M73" i="11" s="1"/>
  <c r="AU72" i="11"/>
  <c r="AU73" i="11" s="1"/>
  <c r="AU21" i="11"/>
  <c r="AK75" i="11"/>
  <c r="AK76" i="11" s="1"/>
  <c r="AH68" i="11"/>
  <c r="AC36" i="11"/>
  <c r="BE66" i="11"/>
  <c r="BE67" i="11" s="1"/>
  <c r="Q23" i="11"/>
  <c r="AA65" i="11"/>
  <c r="Q45" i="11"/>
  <c r="Q46" i="11" s="1"/>
  <c r="BO75" i="11"/>
  <c r="BO76" i="11" s="1"/>
  <c r="AY63" i="11"/>
  <c r="AY64" i="11" s="1"/>
  <c r="BO44" i="11"/>
  <c r="BD77" i="11"/>
  <c r="AH63" i="11"/>
  <c r="AH64" i="11" s="1"/>
  <c r="AA17" i="11"/>
  <c r="AF60" i="11"/>
  <c r="AQ51" i="11"/>
  <c r="AQ52" i="11" s="1"/>
  <c r="Z68" i="11"/>
  <c r="K44" i="11"/>
  <c r="S65" i="11"/>
  <c r="BI44" i="11"/>
  <c r="I17" i="11"/>
  <c r="AF75" i="11"/>
  <c r="AF76" i="11" s="1"/>
  <c r="AL63" i="11"/>
  <c r="AL64" i="11" s="1"/>
  <c r="AG9" i="11"/>
  <c r="AP45" i="11"/>
  <c r="AP46" i="11" s="1"/>
  <c r="BA75" i="11"/>
  <c r="BA76" i="11" s="1"/>
  <c r="BH54" i="11"/>
  <c r="BH55" i="11" s="1"/>
  <c r="W54" i="11"/>
  <c r="W55" i="11" s="1"/>
  <c r="S75" i="11"/>
  <c r="S76" i="11" s="1"/>
  <c r="AD38" i="11"/>
  <c r="AE77" i="11"/>
  <c r="AW62" i="11"/>
  <c r="AM29" i="11"/>
  <c r="F78" i="11"/>
  <c r="F79" i="11" s="1"/>
  <c r="AD66" i="11"/>
  <c r="AD67" i="11" s="1"/>
  <c r="BD29" i="11"/>
  <c r="AP30" i="11"/>
  <c r="AF78" i="11"/>
  <c r="AF79" i="11" s="1"/>
  <c r="L54" i="11"/>
  <c r="L55" i="11" s="1"/>
  <c r="AY36" i="11"/>
  <c r="G77" i="11"/>
  <c r="BH69" i="11"/>
  <c r="BH70" i="11" s="1"/>
  <c r="L50" i="11"/>
  <c r="W71" i="11"/>
  <c r="M29" i="11"/>
  <c r="BK53" i="11"/>
  <c r="BA53" i="11"/>
  <c r="AG80" i="11"/>
  <c r="O23" i="11"/>
  <c r="Q65" i="11"/>
  <c r="AW50" i="11"/>
  <c r="BD47" i="11"/>
  <c r="L74" i="11"/>
  <c r="S51" i="11"/>
  <c r="S52" i="11" s="1"/>
  <c r="AK78" i="11"/>
  <c r="AK79" i="11" s="1"/>
  <c r="BB32" i="11"/>
  <c r="BG74" i="11"/>
  <c r="H54" i="11"/>
  <c r="H55" i="11" s="1"/>
  <c r="BH80" i="11"/>
  <c r="G71" i="11"/>
  <c r="T50" i="11"/>
  <c r="BH68" i="11"/>
  <c r="N69" i="11"/>
  <c r="N70" i="11" s="1"/>
  <c r="AI65" i="11"/>
  <c r="AZ74" i="11"/>
  <c r="D71" i="11"/>
  <c r="BA27" i="11"/>
  <c r="Y72" i="11"/>
  <c r="Y73" i="11" s="1"/>
  <c r="AU53" i="11"/>
  <c r="E38" i="11"/>
  <c r="K69" i="11"/>
  <c r="K70" i="11" s="1"/>
  <c r="Z69" i="11"/>
  <c r="Z70" i="11" s="1"/>
  <c r="AG47" i="11"/>
  <c r="BH74" i="11"/>
  <c r="AQ77" i="11"/>
  <c r="AD24" i="11"/>
  <c r="F80" i="11"/>
  <c r="BE77" i="11"/>
  <c r="AC69" i="11"/>
  <c r="AC70" i="11" s="1"/>
  <c r="AX23" i="11"/>
  <c r="S27" i="11"/>
  <c r="AL68" i="11"/>
  <c r="BI51" i="11"/>
  <c r="BI52" i="11" s="1"/>
  <c r="BN72" i="11"/>
  <c r="BN73" i="11" s="1"/>
  <c r="AM71" i="11"/>
  <c r="Z51" i="11"/>
  <c r="Z52" i="11" s="1"/>
  <c r="AZ68" i="11"/>
  <c r="BL71" i="11"/>
  <c r="BO50" i="11"/>
  <c r="Y17" i="11"/>
  <c r="AK68" i="11"/>
  <c r="AN53" i="11"/>
  <c r="BC54" i="11"/>
  <c r="BC55" i="11" s="1"/>
  <c r="BK77" i="11"/>
  <c r="AP56" i="11"/>
  <c r="BF54" i="11"/>
  <c r="BF55" i="11" s="1"/>
  <c r="AF20" i="11"/>
  <c r="Q63" i="11"/>
  <c r="Q64" i="11" s="1"/>
  <c r="AW72" i="11"/>
  <c r="AW73" i="11" s="1"/>
  <c r="H45" i="11"/>
  <c r="H46" i="11" s="1"/>
  <c r="D80" i="11"/>
  <c r="BD75" i="11"/>
  <c r="BD76" i="11" s="1"/>
  <c r="AT32" i="11"/>
  <c r="R50" i="11"/>
  <c r="Y60" i="11"/>
  <c r="BP39" i="11"/>
  <c r="BP40" i="11" s="1"/>
  <c r="AQ41" i="11"/>
  <c r="BA69" i="11"/>
  <c r="BA70" i="11" s="1"/>
  <c r="X69" i="11"/>
  <c r="X70" i="11" s="1"/>
  <c r="AW60" i="11"/>
  <c r="U44" i="11"/>
  <c r="AF42" i="11"/>
  <c r="AF43" i="11" s="1"/>
  <c r="AL71" i="11"/>
  <c r="AW68" i="11"/>
  <c r="P18" i="11"/>
  <c r="AU77" i="11"/>
  <c r="Z62" i="11"/>
  <c r="N68" i="11"/>
  <c r="BJ26" i="11"/>
  <c r="AQ65" i="11"/>
  <c r="AX39" i="11"/>
  <c r="AX40" i="11" s="1"/>
  <c r="I62" i="11"/>
  <c r="D32" i="11"/>
  <c r="BJ63" i="11"/>
  <c r="BJ64" i="11" s="1"/>
  <c r="AA53" i="11"/>
  <c r="AT74" i="11"/>
  <c r="G38" i="11"/>
  <c r="H20" i="11"/>
  <c r="BK78" i="11"/>
  <c r="BK79" i="11" s="1"/>
  <c r="G24" i="11"/>
  <c r="G25" i="11" s="1"/>
  <c r="AP36" i="11"/>
  <c r="AA60" i="11"/>
  <c r="N62" i="11"/>
  <c r="D69" i="11"/>
  <c r="AC80" i="11"/>
  <c r="BJ72" i="11"/>
  <c r="BJ73" i="11" s="1"/>
  <c r="AA48" i="11"/>
  <c r="AA49" i="11" s="1"/>
  <c r="AT75" i="11"/>
  <c r="AT76" i="11" s="1"/>
  <c r="AL50" i="11"/>
  <c r="P63" i="11"/>
  <c r="P64" i="11" s="1"/>
  <c r="G21" i="11"/>
  <c r="AW66" i="11"/>
  <c r="AW67" i="11" s="1"/>
  <c r="BB48" i="11"/>
  <c r="BB49" i="11" s="1"/>
  <c r="R53" i="11"/>
  <c r="L62" i="11"/>
  <c r="P78" i="11"/>
  <c r="P79" i="11" s="1"/>
  <c r="AO74" i="11"/>
  <c r="AE71" i="11"/>
  <c r="K27" i="11"/>
  <c r="BM62" i="11"/>
  <c r="BC45" i="11"/>
  <c r="BC46" i="11" s="1"/>
  <c r="T69" i="11"/>
  <c r="T70" i="11" s="1"/>
  <c r="G32" i="11"/>
  <c r="AP51" i="11"/>
  <c r="AP52" i="11" s="1"/>
  <c r="J56" i="11"/>
  <c r="BJ60" i="11"/>
  <c r="AX74" i="11"/>
  <c r="AH23" i="11"/>
  <c r="BP75" i="11"/>
  <c r="BP76" i="11" s="1"/>
  <c r="E44" i="11"/>
  <c r="O75" i="11"/>
  <c r="O76" i="11" s="1"/>
  <c r="J71" i="11"/>
  <c r="BK21" i="11"/>
  <c r="AS80" i="11"/>
  <c r="P69" i="11"/>
  <c r="P70" i="11" s="1"/>
  <c r="BG17" i="11"/>
  <c r="AO69" i="11"/>
  <c r="AO70" i="11" s="1"/>
  <c r="AC78" i="11"/>
  <c r="AC79" i="11" s="1"/>
  <c r="AK56" i="11"/>
  <c r="BB18" i="11"/>
  <c r="BL63" i="11"/>
  <c r="BL64" i="11" s="1"/>
  <c r="BD48" i="11"/>
  <c r="BD49" i="11" s="1"/>
  <c r="G48" i="11"/>
  <c r="G49" i="11" s="1"/>
  <c r="AC77" i="11"/>
  <c r="BA71" i="11"/>
  <c r="BJ38" i="11"/>
  <c r="O60" i="11"/>
  <c r="T56" i="11"/>
  <c r="AQ42" i="11"/>
  <c r="AQ43" i="11" s="1"/>
  <c r="U75" i="11"/>
  <c r="U76" i="11" s="1"/>
  <c r="BL74" i="11"/>
  <c r="P68" i="11"/>
  <c r="BL48" i="11"/>
  <c r="BL49" i="11" s="1"/>
  <c r="AE15" i="11"/>
  <c r="J80" i="11"/>
  <c r="AA54" i="11"/>
  <c r="AA55" i="11" s="1"/>
  <c r="Z80" i="11"/>
  <c r="AJ54" i="11"/>
  <c r="AJ55" i="11" s="1"/>
  <c r="AI36" i="11"/>
  <c r="E80" i="11"/>
  <c r="K74" i="11"/>
  <c r="AT38" i="11"/>
  <c r="G56" i="11"/>
  <c r="AI56" i="11"/>
  <c r="F41" i="11"/>
  <c r="AX44" i="11"/>
  <c r="AE69" i="11"/>
  <c r="AE70" i="11" s="1"/>
  <c r="F63" i="11"/>
  <c r="F64" i="11" s="1"/>
  <c r="AZ44" i="11"/>
  <c r="AD74" i="11"/>
  <c r="AT68" i="11"/>
  <c r="J45" i="11"/>
  <c r="J46" i="11" s="1"/>
  <c r="BK62" i="11"/>
  <c r="Z63" i="11"/>
  <c r="Z64" i="11" s="1"/>
  <c r="BA63" i="11"/>
  <c r="BA64" i="11" s="1"/>
  <c r="J20" i="11"/>
  <c r="N78" i="11"/>
  <c r="N79" i="11" s="1"/>
  <c r="AM63" i="11"/>
  <c r="AM64" i="11" s="1"/>
  <c r="F27" i="11"/>
  <c r="BH24" i="11"/>
  <c r="AJ74" i="11"/>
  <c r="AM53" i="11"/>
  <c r="T72" i="11"/>
  <c r="T73" i="11" s="1"/>
  <c r="AG26" i="11"/>
  <c r="R30" i="11"/>
  <c r="AQ80" i="11"/>
  <c r="BB56" i="11"/>
  <c r="AI54" i="11"/>
  <c r="AI55" i="11" s="1"/>
  <c r="W69" i="11"/>
  <c r="W70" i="11" s="1"/>
  <c r="BL65" i="11"/>
  <c r="AI47" i="11"/>
  <c r="R14" i="11"/>
  <c r="AY56" i="11"/>
  <c r="BO41" i="11"/>
  <c r="BF66" i="11"/>
  <c r="BF67" i="11" s="1"/>
  <c r="Z14" i="11"/>
  <c r="AP68" i="11"/>
  <c r="BF36" i="11"/>
  <c r="BC74" i="11"/>
  <c r="BH77" i="11"/>
  <c r="BC62" i="11"/>
  <c r="I65" i="11"/>
  <c r="AS48" i="11"/>
  <c r="AS49" i="11" s="1"/>
  <c r="AQ78" i="11"/>
  <c r="AQ79" i="11" s="1"/>
  <c r="AO78" i="11"/>
  <c r="AO79" i="11" s="1"/>
  <c r="BH36" i="11"/>
  <c r="AF54" i="11"/>
  <c r="AF55" i="11" s="1"/>
  <c r="AO60" i="11"/>
  <c r="K42" i="11"/>
  <c r="K43" i="11" s="1"/>
  <c r="AX65" i="11"/>
  <c r="AE50" i="11"/>
  <c r="BK45" i="11"/>
  <c r="BK46" i="11" s="1"/>
  <c r="Z77" i="11"/>
  <c r="AW80" i="11"/>
  <c r="F24" i="11"/>
  <c r="F25" i="11" s="1"/>
  <c r="AP74" i="11"/>
  <c r="BI69" i="11"/>
  <c r="BI70" i="11" s="1"/>
  <c r="O24" i="11"/>
  <c r="O25" i="11" s="1"/>
  <c r="BH32" i="11"/>
  <c r="U77" i="11"/>
  <c r="AP71" i="11"/>
  <c r="E27" i="11"/>
  <c r="P47" i="11"/>
  <c r="AT66" i="11"/>
  <c r="AT67" i="11" s="1"/>
  <c r="U36" i="11"/>
  <c r="BH38" i="11"/>
  <c r="L72" i="11"/>
  <c r="L73" i="11" s="1"/>
  <c r="R71" i="11"/>
  <c r="I56" i="11"/>
  <c r="AW69" i="11"/>
  <c r="AW70" i="11" s="1"/>
  <c r="V74" i="11"/>
  <c r="AA51" i="11"/>
  <c r="AA52" i="11" s="1"/>
  <c r="J14" i="11"/>
  <c r="H63" i="11"/>
  <c r="H64" i="11" s="1"/>
  <c r="BI75" i="11"/>
  <c r="BI76" i="11" s="1"/>
  <c r="G80" i="11"/>
  <c r="Q54" i="11"/>
  <c r="Q55" i="11" s="1"/>
  <c r="AD18" i="11"/>
  <c r="AJ62" i="11"/>
  <c r="BB65" i="11"/>
  <c r="S44" i="11"/>
  <c r="E77" i="11"/>
  <c r="H75" i="11"/>
  <c r="H76" i="11" s="1"/>
  <c r="AZ30" i="11"/>
  <c r="AG48" i="11"/>
  <c r="AG49" i="11" s="1"/>
  <c r="BB74" i="11"/>
  <c r="AG17" i="11"/>
  <c r="Y56" i="11"/>
  <c r="AO77" i="11"/>
  <c r="AK65" i="11"/>
  <c r="P12" i="11"/>
  <c r="R56" i="11"/>
  <c r="R42" i="11"/>
  <c r="R43" i="11" s="1"/>
  <c r="Z74" i="11"/>
  <c r="U66" i="11"/>
  <c r="U67" i="11" s="1"/>
  <c r="AB36" i="11"/>
  <c r="BM9" i="11"/>
  <c r="BL38" i="12" s="1"/>
  <c r="AZ69" i="11"/>
  <c r="AZ70" i="11" s="1"/>
  <c r="Z45" i="11"/>
  <c r="Z46" i="11" s="1"/>
  <c r="AB77" i="11"/>
  <c r="X77" i="11"/>
  <c r="AX60" i="11"/>
  <c r="AC38" i="11"/>
  <c r="P77" i="11"/>
  <c r="J30" i="11"/>
  <c r="AD63" i="11"/>
  <c r="AD64" i="11" s="1"/>
  <c r="AW47" i="11"/>
  <c r="BJ69" i="11"/>
  <c r="BJ70" i="11" s="1"/>
  <c r="E36" i="11"/>
  <c r="F18" i="11"/>
  <c r="BO77" i="11"/>
  <c r="P65" i="11"/>
  <c r="AI11" i="11"/>
  <c r="L47" i="11"/>
  <c r="AR68" i="11"/>
  <c r="AT56" i="11"/>
  <c r="AH80" i="11"/>
  <c r="AH77" i="11"/>
  <c r="AY39" i="11"/>
  <c r="AY40" i="11" s="1"/>
  <c r="O69" i="11"/>
  <c r="O70" i="11" s="1"/>
  <c r="BG69" i="11"/>
  <c r="BG70" i="11" s="1"/>
  <c r="AF29" i="11"/>
  <c r="BA62" i="11"/>
  <c r="S17" i="11"/>
  <c r="BL78" i="11"/>
  <c r="BL79" i="11" s="1"/>
  <c r="AL38" i="11"/>
  <c r="BM75" i="11"/>
  <c r="BM76" i="11" s="1"/>
  <c r="AD62" i="11"/>
  <c r="AG42" i="11"/>
  <c r="AG43" i="11" s="1"/>
  <c r="AK74" i="11"/>
  <c r="AZ54" i="11"/>
  <c r="AZ55" i="11" s="1"/>
  <c r="BI38" i="11"/>
  <c r="AE80" i="11"/>
  <c r="W65" i="11"/>
  <c r="AE29" i="11"/>
  <c r="J74" i="11"/>
  <c r="BF62" i="11"/>
  <c r="BP63" i="11"/>
  <c r="BP64" i="11" s="1"/>
  <c r="AD26" i="11"/>
  <c r="H77" i="11"/>
  <c r="BJ62" i="11"/>
  <c r="AP12" i="11"/>
  <c r="BF53" i="11"/>
  <c r="M77" i="11"/>
  <c r="AZ36" i="11"/>
  <c r="Q78" i="11"/>
  <c r="Q79" i="11" s="1"/>
  <c r="AU54" i="11"/>
  <c r="AU55" i="11" s="1"/>
  <c r="BB77" i="11"/>
  <c r="O72" i="11"/>
  <c r="O73" i="11" s="1"/>
  <c r="AT53" i="11"/>
  <c r="AB65" i="11"/>
  <c r="L75" i="11"/>
  <c r="L76" i="11" s="1"/>
  <c r="BK51" i="11"/>
  <c r="BK52" i="11" s="1"/>
  <c r="AO72" i="11"/>
  <c r="AO73" i="11" s="1"/>
  <c r="BF44" i="11"/>
  <c r="AX77" i="11"/>
  <c r="S36" i="11"/>
  <c r="T62" i="11"/>
  <c r="BJ41" i="11"/>
  <c r="D24" i="11"/>
  <c r="BD63" i="11"/>
  <c r="BD64" i="11" s="1"/>
  <c r="AE45" i="11"/>
  <c r="AE46" i="11" s="1"/>
  <c r="BP72" i="11"/>
  <c r="BP73" i="11" s="1"/>
  <c r="V18" i="11"/>
  <c r="R72" i="11"/>
  <c r="R73" i="11" s="1"/>
  <c r="Y39" i="11"/>
  <c r="Y40" i="11" s="1"/>
  <c r="AA56" i="11"/>
  <c r="R23" i="11"/>
  <c r="BD78" i="11"/>
  <c r="BD79" i="11" s="1"/>
  <c r="H69" i="11"/>
  <c r="H70" i="11" s="1"/>
  <c r="U41" i="11"/>
  <c r="BL12" i="11"/>
  <c r="Y74" i="11"/>
  <c r="AR47" i="11"/>
  <c r="BA38" i="11"/>
  <c r="AV71" i="11"/>
  <c r="BK65" i="11"/>
  <c r="W21" i="11"/>
  <c r="V78" i="11"/>
  <c r="V79" i="11" s="1"/>
  <c r="AU63" i="11"/>
  <c r="AU64" i="11" s="1"/>
  <c r="X29" i="11"/>
  <c r="AE78" i="11"/>
  <c r="AE79" i="11" s="1"/>
  <c r="AE32" i="11"/>
  <c r="BP38" i="11"/>
  <c r="Y66" i="11"/>
  <c r="Y67" i="11" s="1"/>
  <c r="BG63" i="11"/>
  <c r="BG64" i="11" s="1"/>
  <c r="Z12" i="11"/>
  <c r="BB72" i="11"/>
  <c r="BB73" i="11" s="1"/>
  <c r="AG74" i="11"/>
  <c r="K53" i="11"/>
  <c r="P20" i="11"/>
  <c r="BO60" i="11"/>
  <c r="BM80" i="11"/>
  <c r="AB14" i="11"/>
  <c r="BD72" i="11"/>
  <c r="BD73" i="11" s="1"/>
  <c r="BI78" i="11"/>
  <c r="BI79" i="11" s="1"/>
  <c r="AF21" i="11"/>
  <c r="L24" i="11"/>
  <c r="L25" i="11" s="1"/>
  <c r="BP77" i="11"/>
  <c r="AB54" i="11"/>
  <c r="AB55" i="11" s="1"/>
  <c r="AP39" i="11"/>
  <c r="AP40" i="11" s="1"/>
  <c r="AO71" i="11"/>
  <c r="AY80" i="11"/>
  <c r="S39" i="11"/>
  <c r="S40" i="11" s="1"/>
  <c r="F51" i="11"/>
  <c r="F52" i="11" s="1"/>
  <c r="AS74" i="11"/>
  <c r="BN68" i="11"/>
  <c r="Q62" i="11"/>
  <c r="BA41" i="11"/>
  <c r="V65" i="11"/>
  <c r="AP65" i="11"/>
  <c r="M44" i="11"/>
  <c r="AJ53" i="11"/>
  <c r="AS62" i="11"/>
  <c r="U63" i="11"/>
  <c r="U64" i="11" s="1"/>
  <c r="H18" i="11"/>
  <c r="AG77" i="11"/>
  <c r="BJ68" i="11"/>
  <c r="BB78" i="11"/>
  <c r="BB79" i="11" s="1"/>
  <c r="U30" i="11"/>
  <c r="BI80" i="11"/>
  <c r="J51" i="11"/>
  <c r="J52" i="11" s="1"/>
  <c r="AF80" i="11"/>
  <c r="BD65" i="11"/>
  <c r="AS27" i="11"/>
  <c r="N72" i="11"/>
  <c r="N73" i="11" s="1"/>
  <c r="AX72" i="11"/>
  <c r="AX73" i="11" s="1"/>
  <c r="BC21" i="11"/>
  <c r="BB45" i="11"/>
  <c r="BB46" i="11" s="1"/>
  <c r="AI74" i="11"/>
  <c r="BA36" i="11"/>
  <c r="AB38" i="11"/>
  <c r="BH62" i="11"/>
  <c r="BE80" i="11"/>
  <c r="AG39" i="11"/>
  <c r="AG40" i="11" s="1"/>
  <c r="AS65" i="11"/>
  <c r="Y9" i="11"/>
  <c r="AU65" i="11"/>
  <c r="BN30" i="11"/>
  <c r="Q68" i="11"/>
  <c r="AI66" i="11"/>
  <c r="AI67" i="11" s="1"/>
  <c r="AI53" i="11"/>
  <c r="J62" i="11"/>
  <c r="BL62" i="11"/>
  <c r="W75" i="11"/>
  <c r="W76" i="11" s="1"/>
  <c r="W24" i="11"/>
  <c r="AI78" i="11"/>
  <c r="AI79" i="11" s="1"/>
  <c r="BL75" i="11"/>
  <c r="BL76" i="11" s="1"/>
  <c r="P75" i="11"/>
  <c r="P76" i="11" s="1"/>
  <c r="AJ56" i="11"/>
  <c r="BE69" i="11"/>
  <c r="BE70" i="11" s="1"/>
  <c r="AR74" i="11"/>
  <c r="BG71" i="11"/>
  <c r="AO65" i="11"/>
  <c r="AQ20" i="11"/>
  <c r="T24" i="11"/>
  <c r="P66" i="11"/>
  <c r="P67" i="11" s="1"/>
  <c r="BL50" i="11"/>
  <c r="H48" i="11"/>
  <c r="H49" i="11" s="1"/>
  <c r="BJ77" i="11"/>
  <c r="BK60" i="11"/>
  <c r="AK41" i="11"/>
  <c r="BL54" i="11"/>
  <c r="BL55" i="11" s="1"/>
  <c r="AF69" i="11"/>
  <c r="AF70" i="11" s="1"/>
  <c r="BA65" i="11"/>
  <c r="AA44" i="11"/>
  <c r="AB78" i="11"/>
  <c r="AB79" i="11" s="1"/>
  <c r="G68" i="11"/>
  <c r="BF42" i="11"/>
  <c r="BF43" i="11" s="1"/>
  <c r="X12" i="11"/>
  <c r="AH65" i="11"/>
  <c r="M50" i="11"/>
  <c r="BI48" i="11"/>
  <c r="BI49" i="11" s="1"/>
  <c r="BK80" i="11"/>
  <c r="Q80" i="11"/>
  <c r="AT24" i="11"/>
  <c r="AB68" i="11"/>
  <c r="H60" i="11"/>
  <c r="AP77" i="11"/>
  <c r="AK69" i="11"/>
  <c r="AK70" i="11" s="1"/>
  <c r="H26" i="11"/>
  <c r="AV80" i="11"/>
  <c r="N66" i="11"/>
  <c r="N67" i="11" s="1"/>
  <c r="W32" i="11"/>
  <c r="BN36" i="11"/>
  <c r="BL69" i="11"/>
  <c r="BL70" i="11" s="1"/>
  <c r="AI69" i="11"/>
  <c r="AI70" i="11" s="1"/>
  <c r="BD53" i="11"/>
  <c r="Q69" i="11"/>
  <c r="Q70" i="11" s="1"/>
  <c r="BH60" i="11"/>
  <c r="BD74" i="11"/>
  <c r="AR44" i="11"/>
  <c r="AR65" i="11"/>
  <c r="Q26" i="11"/>
  <c r="AD80" i="11"/>
  <c r="AN62" i="11"/>
  <c r="BP14" i="11"/>
  <c r="BA77" i="11"/>
  <c r="AD60" i="11"/>
  <c r="T71" i="11"/>
  <c r="AN72" i="11"/>
  <c r="AN73" i="11" s="1"/>
  <c r="BL60" i="11"/>
  <c r="BO20" i="11"/>
  <c r="BC23" i="11"/>
  <c r="BK66" i="11"/>
  <c r="BK67" i="11" s="1"/>
  <c r="AK66" i="11"/>
  <c r="AK67" i="11" s="1"/>
  <c r="AH14" i="11"/>
  <c r="AW53" i="11"/>
  <c r="AQ71" i="11"/>
  <c r="AL62" i="11"/>
  <c r="S11" i="11"/>
  <c r="AS78" i="11"/>
  <c r="AS79" i="11" s="1"/>
  <c r="AC41" i="11"/>
  <c r="AA71" i="11"/>
  <c r="BB63" i="11"/>
  <c r="BB64" i="11" s="1"/>
  <c r="D54" i="11"/>
  <c r="F77" i="11"/>
  <c r="BG39" i="11"/>
  <c r="BG40" i="11" s="1"/>
  <c r="AY60" i="11"/>
  <c r="X21" i="11"/>
  <c r="AM77" i="11"/>
  <c r="BI74" i="11"/>
  <c r="BM42" i="11"/>
  <c r="BM43" i="11" s="1"/>
  <c r="AH75" i="11"/>
  <c r="AH76" i="11" s="1"/>
  <c r="BI62" i="11"/>
  <c r="Y15" i="11"/>
  <c r="AH56" i="11"/>
  <c r="G51" i="11"/>
  <c r="G52" i="11" s="1"/>
  <c r="X60" i="11"/>
  <c r="L41" i="11"/>
  <c r="AO63" i="11"/>
  <c r="AO64" i="11" s="1"/>
  <c r="BO42" i="11"/>
  <c r="BO43" i="11" s="1"/>
  <c r="BG27" i="11"/>
  <c r="AN63" i="11"/>
  <c r="AN64" i="11" s="1"/>
  <c r="BI30" i="11"/>
  <c r="P42" i="11"/>
  <c r="P43" i="11" s="1"/>
  <c r="AU71" i="11"/>
  <c r="AE53" i="11"/>
  <c r="P54" i="11"/>
  <c r="P55" i="11" s="1"/>
  <c r="AD77" i="11"/>
  <c r="AQ74" i="11"/>
  <c r="W29" i="11"/>
  <c r="E54" i="11"/>
  <c r="E55" i="11" s="1"/>
  <c r="AP69" i="11"/>
  <c r="AP70" i="11" s="1"/>
  <c r="AX45" i="11"/>
  <c r="AX46" i="11" s="1"/>
  <c r="M80" i="11"/>
  <c r="BB38" i="11"/>
  <c r="AQ62" i="11"/>
  <c r="AN45" i="11"/>
  <c r="AN46" i="11" s="1"/>
  <c r="AW54" i="11"/>
  <c r="AW55" i="11" s="1"/>
  <c r="L14" i="11"/>
  <c r="AK62" i="11"/>
  <c r="BG54" i="11"/>
  <c r="BG55" i="11" s="1"/>
  <c r="AO47" i="11"/>
  <c r="AJ77" i="11"/>
  <c r="AS68" i="11"/>
  <c r="N26" i="11"/>
  <c r="AC51" i="11"/>
  <c r="AC52" i="11" s="1"/>
  <c r="AY51" i="11"/>
  <c r="AY52" i="11" s="1"/>
  <c r="AX75" i="11"/>
  <c r="AX76" i="11" s="1"/>
  <c r="M21" i="11"/>
  <c r="G63" i="11"/>
  <c r="G64" i="11" s="1"/>
  <c r="AA47" i="11"/>
  <c r="BE44" i="11"/>
  <c r="U74" i="11"/>
  <c r="AP48" i="11"/>
  <c r="AP49" i="11" s="1"/>
  <c r="L39" i="11"/>
  <c r="L40" i="11" s="1"/>
  <c r="V72" i="11"/>
  <c r="V73" i="11" s="1"/>
  <c r="M56" i="11"/>
  <c r="BJ45" i="11"/>
  <c r="BJ46" i="11" s="1"/>
  <c r="AL69" i="11"/>
  <c r="AL70" i="11" s="1"/>
  <c r="AR30" i="11"/>
  <c r="AF74" i="11"/>
  <c r="I78" i="11"/>
  <c r="I79" i="11" s="1"/>
  <c r="BN12" i="11"/>
  <c r="G75" i="11"/>
  <c r="G76" i="11" s="1"/>
  <c r="AE63" i="11"/>
  <c r="AE64" i="11" s="1"/>
  <c r="AR62" i="11"/>
  <c r="BJ56" i="11"/>
  <c r="R39" i="11"/>
  <c r="R40" i="11" s="1"/>
  <c r="BE71" i="11"/>
  <c r="G60" i="11"/>
  <c r="AD72" i="11"/>
  <c r="AD73" i="11" s="1"/>
  <c r="E66" i="11"/>
  <c r="E67" i="11" s="1"/>
  <c r="AY47" i="11"/>
  <c r="AF12" i="11"/>
  <c r="BP74" i="11"/>
  <c r="V50" i="11"/>
  <c r="U38" i="11"/>
  <c r="AV68" i="11"/>
  <c r="AA69" i="11"/>
  <c r="AA70" i="11" s="1"/>
  <c r="BB24" i="11"/>
  <c r="BM44" i="11"/>
  <c r="U72" i="11"/>
  <c r="U73" i="11" s="1"/>
  <c r="H50" i="11"/>
  <c r="X54" i="11"/>
  <c r="X55" i="11" s="1"/>
  <c r="AP78" i="11"/>
  <c r="AP79" i="11" s="1"/>
  <c r="BH66" i="11"/>
  <c r="BH67" i="11" s="1"/>
  <c r="BH30" i="11"/>
  <c r="O51" i="11"/>
  <c r="O52" i="11" s="1"/>
  <c r="O78" i="11"/>
  <c r="O79" i="11" s="1"/>
  <c r="O32" i="11"/>
  <c r="AY41" i="11"/>
  <c r="AM68" i="11"/>
  <c r="AC65" i="11"/>
  <c r="D14" i="11"/>
  <c r="AG71" i="11"/>
  <c r="AV65" i="11"/>
  <c r="BG80" i="11"/>
  <c r="W78" i="11"/>
  <c r="W79" i="11" s="1"/>
  <c r="AH12" i="11"/>
  <c r="X72" i="11"/>
  <c r="X73" i="11" s="1"/>
  <c r="BN77" i="11"/>
  <c r="AI20" i="11"/>
  <c r="W23" i="11"/>
  <c r="BE74" i="11"/>
  <c r="BC53" i="11"/>
  <c r="J39" i="11"/>
  <c r="J40" i="11" s="1"/>
  <c r="BA80" i="11"/>
  <c r="V41" i="11"/>
  <c r="AR69" i="11"/>
  <c r="AR70" i="11" s="1"/>
  <c r="BJ24" i="11"/>
  <c r="AC68" i="11"/>
  <c r="AW45" i="11"/>
  <c r="AW46" i="11" s="1"/>
  <c r="BI77" i="11"/>
  <c r="R66" i="11"/>
  <c r="R67" i="11" s="1"/>
  <c r="AF45" i="11"/>
  <c r="AF46" i="11" s="1"/>
  <c r="BM78" i="11"/>
  <c r="BM79" i="11" s="1"/>
  <c r="V62" i="11"/>
  <c r="BH41" i="11"/>
  <c r="L78" i="11"/>
  <c r="L79" i="11" s="1"/>
  <c r="V71" i="11"/>
  <c r="K47" i="11"/>
  <c r="BG11" i="11"/>
  <c r="BM54" i="11"/>
  <c r="BM55" i="11" s="1"/>
  <c r="BI63" i="11"/>
  <c r="BI64" i="11" s="1"/>
  <c r="AW77" i="11"/>
  <c r="V27" i="11"/>
  <c r="BO78" i="11"/>
  <c r="BO79" i="11" s="1"/>
  <c r="BP47" i="11"/>
  <c r="AT78" i="11"/>
  <c r="AT79" i="11" s="1"/>
  <c r="BE62" i="11"/>
  <c r="AV26" i="11"/>
  <c r="AU69" i="11"/>
  <c r="AU70" i="11" s="1"/>
  <c r="G72" i="11"/>
  <c r="G73" i="11" s="1"/>
  <c r="AC30" i="11"/>
  <c r="AZ65" i="11"/>
  <c r="O21" i="11"/>
  <c r="AH60" i="11"/>
  <c r="AJ44" i="11"/>
  <c r="U78" i="11"/>
  <c r="U79" i="11" s="1"/>
  <c r="S63" i="11"/>
  <c r="S64" i="11" s="1"/>
  <c r="AH51" i="11"/>
  <c r="AH52" i="11" s="1"/>
  <c r="R60" i="11"/>
  <c r="BM72" i="11"/>
  <c r="BM73" i="11" s="1"/>
  <c r="BN54" i="11"/>
  <c r="BN55" i="11" s="1"/>
  <c r="AY68" i="11"/>
  <c r="F26" i="11"/>
  <c r="BO80" i="11"/>
  <c r="W45" i="11"/>
  <c r="W46" i="11" s="1"/>
  <c r="AA68" i="11"/>
  <c r="E30" i="11"/>
  <c r="G15" i="11"/>
  <c r="AP72" i="11"/>
  <c r="AP73" i="11" s="1"/>
  <c r="BJ74" i="11"/>
  <c r="AS29" i="11"/>
  <c r="J60" i="11"/>
  <c r="I54" i="11"/>
  <c r="I55" i="11" s="1"/>
  <c r="BE42" i="11"/>
  <c r="BE43" i="11" s="1"/>
  <c r="AP63" i="11"/>
  <c r="AP64" i="11" s="1"/>
  <c r="E63" i="11"/>
  <c r="E64" i="11" s="1"/>
  <c r="AQ17" i="11"/>
  <c r="BJ78" i="11"/>
  <c r="BJ79" i="11" s="1"/>
  <c r="AH71" i="11"/>
  <c r="AM38" i="11"/>
  <c r="AG78" i="11"/>
  <c r="AG79" i="11" s="1"/>
  <c r="AR77" i="11"/>
  <c r="AD75" i="11"/>
  <c r="AD76" i="11" s="1"/>
  <c r="J50" i="11"/>
  <c r="Z56" i="11"/>
  <c r="M38" i="11"/>
  <c r="I63" i="11"/>
  <c r="I64" i="11" s="1"/>
  <c r="AI42" i="11"/>
  <c r="AI43" i="11" s="1"/>
  <c r="BB26" i="11"/>
  <c r="S62" i="11"/>
  <c r="AF77" i="11"/>
  <c r="BJ53" i="11"/>
  <c r="N41" i="11"/>
  <c r="AV74" i="11"/>
  <c r="L63" i="11"/>
  <c r="L64" i="11" s="1"/>
  <c r="BL47" i="11"/>
  <c r="AR71" i="11"/>
  <c r="AL32" i="11"/>
  <c r="M75" i="11"/>
  <c r="M76" i="11" s="1"/>
  <c r="AS69" i="11"/>
  <c r="AS70" i="11" s="1"/>
  <c r="AT80" i="11"/>
  <c r="AJ51" i="11"/>
  <c r="AJ52" i="11" s="1"/>
  <c r="F74" i="11"/>
  <c r="P29" i="11"/>
  <c r="AI71" i="11"/>
  <c r="T66" i="11"/>
  <c r="T67" i="11" s="1"/>
  <c r="BO17" i="11"/>
  <c r="AT77" i="11"/>
  <c r="AS63" i="11"/>
  <c r="AS64" i="11" s="1"/>
  <c r="BF47" i="11"/>
  <c r="N80" i="11"/>
  <c r="BI72" i="11"/>
  <c r="BI73" i="11" s="1"/>
  <c r="R51" i="11"/>
  <c r="R52" i="11" s="1"/>
  <c r="BF14" i="11"/>
  <c r="O63" i="11"/>
  <c r="O64" i="11" s="1"/>
  <c r="BF75" i="11"/>
  <c r="BF76" i="11" s="1"/>
  <c r="BI29" i="11"/>
  <c r="BA29" i="11"/>
  <c r="Y45" i="11"/>
  <c r="Y46" i="11" s="1"/>
  <c r="AA80" i="11"/>
  <c r="F66" i="11"/>
  <c r="F67" i="11" s="1"/>
  <c r="AV78" i="11"/>
  <c r="AV79" i="11" s="1"/>
  <c r="Y71" i="11"/>
  <c r="Y51" i="11"/>
  <c r="Y52" i="11" s="1"/>
  <c r="AG45" i="11"/>
  <c r="AG46" i="11" s="1"/>
  <c r="S74" i="11"/>
  <c r="S50" i="11"/>
  <c r="BA72" i="11"/>
  <c r="BA73" i="11" s="1"/>
  <c r="N75" i="11"/>
  <c r="N76" i="11" s="1"/>
  <c r="BP41" i="11"/>
  <c r="W66" i="11"/>
  <c r="W67" i="11" s="1"/>
  <c r="BB60" i="11"/>
  <c r="BH72" i="11"/>
  <c r="BH73" i="11" s="1"/>
  <c r="AA62" i="11"/>
  <c r="K11" i="11"/>
  <c r="AE23" i="11"/>
  <c r="H47" i="11"/>
  <c r="N18" i="11"/>
  <c r="AB44" i="11"/>
  <c r="BA68" i="11"/>
  <c r="X48" i="11"/>
  <c r="X49" i="11" s="1"/>
  <c r="AB39" i="11"/>
  <c r="AB40" i="11" s="1"/>
  <c r="AM69" i="11"/>
  <c r="AM70" i="11" s="1"/>
  <c r="AG62" i="11"/>
  <c r="E41" i="11"/>
  <c r="AW9" i="11"/>
  <c r="AP80" i="11"/>
  <c r="AZ56" i="11"/>
  <c r="BB80" i="11"/>
  <c r="Q74" i="11"/>
  <c r="AY69" i="11"/>
  <c r="AY70" i="11" s="1"/>
  <c r="AU45" i="11"/>
  <c r="AU46" i="11" s="1"/>
  <c r="BK63" i="11"/>
  <c r="BK64" i="11" s="1"/>
  <c r="AB53" i="11"/>
  <c r="AU78" i="11"/>
  <c r="AU79" i="11" s="1"/>
  <c r="T30" i="11"/>
  <c r="BP78" i="11"/>
  <c r="BP79" i="11" s="1"/>
  <c r="AX71" i="11"/>
  <c r="AI44" i="11"/>
  <c r="AA45" i="11"/>
  <c r="AA46" i="11" s="1"/>
  <c r="BJ17" i="11"/>
  <c r="AL65" i="11"/>
  <c r="AF62" i="11"/>
  <c r="AT26" i="11"/>
  <c r="AO62" i="11"/>
  <c r="BJ51" i="11"/>
  <c r="BJ52" i="11" s="1"/>
  <c r="AU74" i="11"/>
  <c r="AM50" i="11"/>
  <c r="AL77" i="11"/>
  <c r="AT41" i="11"/>
  <c r="BN44" i="11"/>
  <c r="AQ72" i="11"/>
  <c r="AQ73" i="11" s="1"/>
  <c r="F54" i="11"/>
  <c r="F55" i="11" s="1"/>
  <c r="AY77" i="11"/>
  <c r="AZ14" i="11"/>
  <c r="AF63" i="11"/>
  <c r="AF64" i="11" s="1"/>
  <c r="D44" i="11"/>
  <c r="AF72" i="11"/>
  <c r="AF73" i="11" s="1"/>
  <c r="H62" i="11"/>
  <c r="Q48" i="11"/>
  <c r="Q49" i="11" s="1"/>
  <c r="BN48" i="11"/>
  <c r="BN49" i="11" s="1"/>
  <c r="AP32" i="11"/>
  <c r="AN80" i="11"/>
  <c r="BO69" i="11"/>
  <c r="BO70" i="11" s="1"/>
  <c r="BK15" i="11"/>
  <c r="L66" i="11"/>
  <c r="L67" i="11" s="1"/>
  <c r="AH36" i="11"/>
  <c r="AE60" i="11"/>
  <c r="AU51" i="11"/>
  <c r="AU52" i="11" s="1"/>
  <c r="AB48" i="11"/>
  <c r="AB49" i="11" s="1"/>
  <c r="AL78" i="11"/>
  <c r="AL79" i="11" s="1"/>
  <c r="T60" i="11"/>
  <c r="BD12" i="11"/>
  <c r="AK63" i="11"/>
  <c r="AK64" i="11" s="1"/>
  <c r="BL53" i="11"/>
  <c r="Z71" i="11"/>
  <c r="T39" i="11"/>
  <c r="T40" i="11" s="1"/>
  <c r="AB24" i="11"/>
  <c r="O11" i="11"/>
  <c r="BE20" i="11"/>
  <c r="AT30" i="11"/>
  <c r="E24" i="11"/>
  <c r="E25" i="11" s="1"/>
  <c r="AY45" i="11"/>
  <c r="AY46" i="11" s="1"/>
  <c r="I9" i="11"/>
  <c r="BD17" i="11"/>
  <c r="BB29" i="11"/>
  <c r="Y30" i="11"/>
  <c r="BK18" i="11"/>
  <c r="AF27" i="11"/>
  <c r="BH75" i="11"/>
  <c r="BH76" i="11" s="1"/>
  <c r="S71" i="11"/>
  <c r="AC74" i="11"/>
  <c r="AX78" i="11"/>
  <c r="AX79" i="11" s="1"/>
  <c r="M27" i="11"/>
  <c r="K15" i="11"/>
  <c r="AY38" i="11"/>
  <c r="AE30" i="11"/>
  <c r="BI18" i="11"/>
  <c r="BA23" i="11"/>
  <c r="BF11" i="11"/>
  <c r="BH78" i="11"/>
  <c r="BH79" i="11" s="1"/>
  <c r="BD54" i="11"/>
  <c r="BD55" i="11" s="1"/>
  <c r="AS11" i="11"/>
  <c r="AO75" i="11"/>
  <c r="AO76" i="11" s="1"/>
  <c r="V26" i="11"/>
  <c r="X44" i="11"/>
  <c r="U39" i="11"/>
  <c r="U40" i="11" s="1"/>
  <c r="R9" i="11"/>
  <c r="AY23" i="11"/>
  <c r="BC80" i="11"/>
  <c r="AU24" i="11"/>
  <c r="BD66" i="11"/>
  <c r="BD67" i="11" s="1"/>
  <c r="AH47" i="11"/>
  <c r="BD11" i="11"/>
  <c r="J54" i="11"/>
  <c r="J55" i="11" s="1"/>
  <c r="W44" i="11"/>
  <c r="AN38" i="11"/>
  <c r="Y41" i="11"/>
  <c r="AZ12" i="11"/>
  <c r="AO24" i="11"/>
  <c r="AB26" i="11"/>
  <c r="AS23" i="11"/>
  <c r="AP15" i="11"/>
  <c r="BL23" i="11"/>
  <c r="AE11" i="11"/>
  <c r="BB27" i="11"/>
  <c r="N32" i="11"/>
  <c r="S77" i="11"/>
  <c r="AB50" i="11"/>
  <c r="AY30" i="11"/>
  <c r="M53" i="11"/>
  <c r="AO32" i="11"/>
  <c r="BF18" i="11"/>
  <c r="W36" i="11"/>
  <c r="BC11" i="11"/>
  <c r="BO11" i="11"/>
  <c r="P62" i="11"/>
  <c r="D78" i="11"/>
  <c r="BP36" i="11"/>
  <c r="BP20" i="11"/>
  <c r="AX41" i="11"/>
  <c r="X78" i="11"/>
  <c r="X79" i="11" s="1"/>
  <c r="AY24" i="11"/>
  <c r="AO51" i="11"/>
  <c r="AO52" i="11" s="1"/>
  <c r="BB15" i="11"/>
  <c r="BM38" i="11"/>
  <c r="K48" i="11"/>
  <c r="K49" i="11" s="1"/>
  <c r="AD42" i="11"/>
  <c r="AD43" i="11" s="1"/>
  <c r="W50" i="11"/>
  <c r="AZ15" i="11"/>
  <c r="T63" i="11"/>
  <c r="T64" i="11" s="1"/>
  <c r="AK53" i="11"/>
  <c r="AS66" i="11"/>
  <c r="AS67" i="11" s="1"/>
  <c r="AD78" i="11"/>
  <c r="AD79" i="11" s="1"/>
  <c r="AV21" i="11"/>
  <c r="AJ47" i="11"/>
  <c r="BN17" i="11"/>
  <c r="AZ42" i="11"/>
  <c r="AZ43" i="11" s="1"/>
  <c r="AR20" i="11"/>
  <c r="AX11" i="11"/>
  <c r="W51" i="11"/>
  <c r="W52" i="11" s="1"/>
  <c r="AA26" i="11"/>
  <c r="AD15" i="11"/>
  <c r="I41" i="11"/>
  <c r="BM30" i="11"/>
  <c r="Y32" i="11"/>
  <c r="BP32" i="11"/>
  <c r="BH29" i="11"/>
  <c r="BE27" i="11"/>
  <c r="X23" i="11"/>
  <c r="S29" i="11"/>
  <c r="AB18" i="11"/>
  <c r="P32" i="11"/>
  <c r="AB27" i="11"/>
  <c r="Q41" i="11"/>
  <c r="AG20" i="11"/>
  <c r="AK24" i="11"/>
  <c r="AZ26" i="11"/>
  <c r="BC36" i="11"/>
  <c r="N45" i="11"/>
  <c r="N46" i="11" s="1"/>
  <c r="BJ30" i="11"/>
  <c r="AV12" i="11"/>
  <c r="X39" i="11"/>
  <c r="X40" i="11" s="1"/>
  <c r="K20" i="11"/>
  <c r="AO38" i="11"/>
  <c r="X32" i="11"/>
  <c r="BO66" i="11"/>
  <c r="BO67" i="11" s="1"/>
  <c r="S21" i="11"/>
  <c r="BP42" i="11"/>
  <c r="BP43" i="11" s="1"/>
  <c r="M45" i="11"/>
  <c r="M46" i="11" s="1"/>
  <c r="X17" i="11"/>
  <c r="AS20" i="11"/>
  <c r="W53" i="11"/>
  <c r="BG77" i="11"/>
  <c r="J11" i="11"/>
  <c r="AK14" i="11"/>
  <c r="V45" i="11"/>
  <c r="V46" i="11" s="1"/>
  <c r="AL17" i="11"/>
  <c r="AG12" i="11"/>
  <c r="J26" i="11"/>
  <c r="F17" i="11"/>
  <c r="AI29" i="11"/>
  <c r="AM17" i="11"/>
  <c r="T12" i="11"/>
  <c r="BJ11" i="11"/>
  <c r="AF26" i="11"/>
  <c r="D15" i="11"/>
  <c r="AF68" i="11"/>
  <c r="AD36" i="11"/>
  <c r="AU20" i="11"/>
  <c r="BG26" i="11"/>
  <c r="AW48" i="11"/>
  <c r="AW49" i="11" s="1"/>
  <c r="V23" i="11"/>
  <c r="BP11" i="11"/>
  <c r="E26" i="11"/>
  <c r="D56" i="11"/>
  <c r="AP11" i="11"/>
  <c r="BJ39" i="11"/>
  <c r="BJ40" i="11" s="1"/>
  <c r="Y47" i="11"/>
  <c r="Q24" i="11"/>
  <c r="Q25" i="11" s="1"/>
  <c r="AL45" i="11"/>
  <c r="AL46" i="11" s="1"/>
  <c r="BC12" i="11"/>
  <c r="Z41" i="11"/>
  <c r="AU30" i="11"/>
  <c r="X41" i="11"/>
  <c r="I44" i="11"/>
  <c r="AE44" i="11"/>
  <c r="BJ50" i="11"/>
  <c r="E12" i="11"/>
  <c r="AL12" i="11"/>
  <c r="AH29" i="11"/>
  <c r="AC32" i="11"/>
  <c r="L30" i="11"/>
  <c r="AE39" i="11"/>
  <c r="AE40" i="11" s="1"/>
  <c r="O39" i="11"/>
  <c r="O40" i="11" s="1"/>
  <c r="BG66" i="11"/>
  <c r="BG67" i="11" s="1"/>
  <c r="P41" i="11"/>
  <c r="AK39" i="11"/>
  <c r="AK40" i="11" s="1"/>
  <c r="BA42" i="11"/>
  <c r="BA43" i="11" s="1"/>
  <c r="AJ9" i="11"/>
  <c r="BO18" i="11"/>
  <c r="L20" i="11"/>
  <c r="AT29" i="11"/>
  <c r="V21" i="11"/>
  <c r="AC15" i="11"/>
  <c r="X15" i="11"/>
  <c r="BI21" i="11"/>
  <c r="Q72" i="11"/>
  <c r="Q73" i="11" s="1"/>
  <c r="D38" i="11"/>
  <c r="AU75" i="11"/>
  <c r="AU76" i="11" s="1"/>
  <c r="V80" i="11"/>
  <c r="J36" i="11"/>
  <c r="AG60" i="11"/>
  <c r="BF72" i="11"/>
  <c r="BF73" i="11" s="1"/>
  <c r="R77" i="11"/>
  <c r="U68" i="11"/>
  <c r="BI68" i="11"/>
  <c r="AI51" i="11"/>
  <c r="AI52" i="11" s="1"/>
  <c r="AL48" i="11"/>
  <c r="AL49" i="11" s="1"/>
  <c r="AY71" i="11"/>
  <c r="Y78" i="11"/>
  <c r="Y79" i="11" s="1"/>
  <c r="Z65" i="11"/>
  <c r="H12" i="11"/>
  <c r="G74" i="11"/>
  <c r="T53" i="11"/>
  <c r="M36" i="11"/>
  <c r="AZ66" i="11"/>
  <c r="AZ67" i="11" s="1"/>
  <c r="AA78" i="11"/>
  <c r="AA79" i="11" s="1"/>
  <c r="Y75" i="11"/>
  <c r="Y76" i="11" s="1"/>
  <c r="BC72" i="11"/>
  <c r="BC73" i="11" s="1"/>
  <c r="BN78" i="11"/>
  <c r="BN79" i="11" s="1"/>
  <c r="AI48" i="11"/>
  <c r="AI49" i="11" s="1"/>
  <c r="V68" i="11"/>
  <c r="AR80" i="11"/>
  <c r="BC24" i="11"/>
  <c r="AK77" i="11"/>
  <c r="AV69" i="11"/>
  <c r="AV70" i="11" s="1"/>
  <c r="V24" i="11"/>
  <c r="AY48" i="11"/>
  <c r="AY49" i="11" s="1"/>
  <c r="BG62" i="11"/>
  <c r="AY42" i="11"/>
  <c r="AY43" i="11" s="1"/>
  <c r="T80" i="11"/>
  <c r="BL26" i="11"/>
  <c r="AE65" i="11"/>
  <c r="AY27" i="11"/>
  <c r="AQ68" i="11"/>
  <c r="AG56" i="11"/>
  <c r="L71" i="11"/>
  <c r="AR14" i="11"/>
  <c r="R78" i="11"/>
  <c r="R79" i="11" s="1"/>
  <c r="AK51" i="11"/>
  <c r="AK52" i="11" s="1"/>
  <c r="BB53" i="11"/>
  <c r="BB30" i="11"/>
  <c r="F29" i="11"/>
  <c r="AU66" i="11"/>
  <c r="AU67" i="11" s="1"/>
  <c r="T54" i="11"/>
  <c r="T55" i="11" s="1"/>
  <c r="BB54" i="11"/>
  <c r="BB55" i="11" s="1"/>
  <c r="D72" i="11"/>
  <c r="AR24" i="11"/>
  <c r="BH47" i="11"/>
  <c r="AK27" i="11"/>
  <c r="V69" i="11"/>
  <c r="V70" i="11" s="1"/>
  <c r="AK72" i="11"/>
  <c r="AK73" i="11" s="1"/>
  <c r="Z72" i="11"/>
  <c r="Z73" i="11" s="1"/>
  <c r="AU60" i="11"/>
  <c r="AW39" i="11"/>
  <c r="AW40" i="11" s="1"/>
  <c r="BE75" i="11"/>
  <c r="BE76" i="11" s="1"/>
  <c r="AY44" i="11"/>
  <c r="BL68" i="11"/>
  <c r="AM21" i="11"/>
  <c r="I71" i="11"/>
  <c r="AI63" i="11"/>
  <c r="AI64" i="11" s="1"/>
  <c r="AK38" i="11"/>
  <c r="BC41" i="11"/>
  <c r="AF48" i="11"/>
  <c r="AF49" i="11" s="1"/>
  <c r="AN68" i="11"/>
  <c r="BP50" i="11"/>
  <c r="P80" i="11"/>
  <c r="K63" i="11"/>
  <c r="K64" i="11" s="1"/>
  <c r="BC15" i="11"/>
  <c r="O65" i="11"/>
  <c r="AD45" i="11"/>
  <c r="AD46" i="11" s="1"/>
  <c r="J23" i="11"/>
  <c r="AR78" i="11"/>
  <c r="AR79" i="11" s="1"/>
  <c r="BG50" i="11"/>
  <c r="K71" i="11"/>
  <c r="D68" i="11"/>
  <c r="S41" i="11"/>
  <c r="K75" i="11"/>
  <c r="K76" i="11" s="1"/>
  <c r="AY20" i="11"/>
  <c r="AN12" i="11"/>
  <c r="AV27" i="11"/>
  <c r="Q38" i="11"/>
  <c r="BN18" i="11"/>
  <c r="AK32" i="11"/>
  <c r="AN32" i="11"/>
  <c r="AB17" i="11"/>
  <c r="BA56" i="11"/>
  <c r="AZ45" i="11"/>
  <c r="AZ46" i="11" s="1"/>
  <c r="AS18" i="11"/>
  <c r="H36" i="11"/>
  <c r="G42" i="11"/>
  <c r="G43" i="11" s="1"/>
  <c r="AZ47" i="11"/>
  <c r="I60" i="11"/>
  <c r="AL41" i="11"/>
  <c r="E62" i="11"/>
  <c r="BE50" i="11"/>
  <c r="AZ17" i="11"/>
  <c r="D21" i="11"/>
  <c r="AM47" i="11"/>
  <c r="D53" i="11"/>
  <c r="V39" i="11"/>
  <c r="V40" i="11" s="1"/>
  <c r="AP50" i="11"/>
  <c r="AJ68" i="11"/>
  <c r="L68" i="11"/>
  <c r="AH54" i="11"/>
  <c r="AH55" i="11" s="1"/>
  <c r="G65" i="11"/>
  <c r="BH51" i="11"/>
  <c r="BH52" i="11" s="1"/>
  <c r="Z24" i="11"/>
  <c r="BG23" i="11"/>
  <c r="AF11" i="11"/>
  <c r="BI9" i="11"/>
  <c r="BH39" i="11"/>
  <c r="BH40" i="11" s="1"/>
  <c r="F38" i="11"/>
  <c r="BE60" i="11"/>
  <c r="P51" i="11"/>
  <c r="P52" i="11" s="1"/>
  <c r="N47" i="11"/>
  <c r="AV38" i="11"/>
  <c r="BP51" i="11"/>
  <c r="BP52" i="11" s="1"/>
  <c r="AW21" i="11"/>
  <c r="BK30" i="11"/>
  <c r="D17" i="11"/>
  <c r="S30" i="11"/>
  <c r="K30" i="11"/>
  <c r="Q44" i="11"/>
  <c r="BF29" i="11"/>
  <c r="J21" i="11"/>
  <c r="AQ47" i="11"/>
  <c r="BG36" i="11"/>
  <c r="BI56" i="11"/>
  <c r="I72" i="11"/>
  <c r="I73" i="11" s="1"/>
  <c r="AN20" i="11"/>
  <c r="BJ20" i="11"/>
  <c r="AT36" i="11"/>
  <c r="P44" i="11"/>
  <c r="BA50" i="11"/>
  <c r="AD47" i="11"/>
  <c r="M14" i="11"/>
  <c r="AA74" i="11"/>
  <c r="AB51" i="11"/>
  <c r="AB52" i="11" s="1"/>
  <c r="L69" i="11"/>
  <c r="L70" i="11" s="1"/>
  <c r="BN80" i="11"/>
  <c r="AT42" i="11"/>
  <c r="AT43" i="11" s="1"/>
  <c r="BA26" i="11"/>
  <c r="H14" i="11"/>
  <c r="BN11" i="11"/>
  <c r="E53" i="11"/>
  <c r="BP53" i="11"/>
  <c r="AN51" i="11"/>
  <c r="AN52" i="11" s="1"/>
  <c r="V36" i="11"/>
  <c r="AR45" i="11"/>
  <c r="AR46" i="11" s="1"/>
  <c r="N30" i="11"/>
  <c r="H23" i="11"/>
  <c r="BJ44" i="11"/>
  <c r="BH48" i="11"/>
  <c r="BH49" i="11" s="1"/>
  <c r="AA77" i="11"/>
  <c r="H74" i="11"/>
  <c r="D36" i="11"/>
  <c r="I39" i="11"/>
  <c r="I40" i="11" s="1"/>
  <c r="AV44" i="11"/>
  <c r="AP38" i="11"/>
  <c r="V54" i="11"/>
  <c r="V55" i="11" s="1"/>
  <c r="W41" i="11"/>
  <c r="AT39" i="11"/>
  <c r="AT40" i="11" s="1"/>
  <c r="K29" i="11"/>
  <c r="BO45" i="11"/>
  <c r="BO46" i="11" s="1"/>
  <c r="BF9" i="11"/>
  <c r="W20" i="11"/>
  <c r="BD44" i="11"/>
  <c r="BA74" i="11"/>
  <c r="J18" i="11"/>
  <c r="AA21" i="11"/>
  <c r="AK26" i="11"/>
  <c r="BB20" i="11"/>
  <c r="BP15" i="11"/>
  <c r="AJ12" i="11"/>
  <c r="D23" i="11"/>
  <c r="AI9" i="11"/>
  <c r="AE42" i="11"/>
  <c r="AE43" i="11" s="1"/>
  <c r="L48" i="11"/>
  <c r="L49" i="11" s="1"/>
  <c r="AN30" i="11"/>
  <c r="AD44" i="11"/>
  <c r="AC17" i="11"/>
  <c r="AQ21" i="11"/>
  <c r="D74" i="11"/>
  <c r="AL44" i="11"/>
  <c r="BA15" i="11"/>
  <c r="AW12" i="11"/>
  <c r="AL14" i="11"/>
  <c r="H39" i="11"/>
  <c r="H40" i="11" s="1"/>
  <c r="BG21" i="11"/>
  <c r="BL24" i="11"/>
  <c r="AC12" i="11"/>
  <c r="S54" i="11"/>
  <c r="S55" i="11" s="1"/>
  <c r="BM32" i="11"/>
  <c r="AI32" i="11"/>
  <c r="AT65" i="11"/>
  <c r="BB47" i="11"/>
  <c r="AR11" i="11"/>
  <c r="BA18" i="11"/>
  <c r="AI26" i="11"/>
  <c r="AS45" i="11"/>
  <c r="AS46" i="11" s="1"/>
  <c r="AK9" i="11"/>
  <c r="AG53" i="11"/>
  <c r="AW51" i="11"/>
  <c r="AW52" i="11" s="1"/>
  <c r="I27" i="11"/>
  <c r="BP17" i="11"/>
  <c r="AY18" i="11"/>
  <c r="M66" i="11"/>
  <c r="M67" i="11" s="1"/>
  <c r="P30" i="11"/>
  <c r="BA17" i="11"/>
  <c r="J38" i="11"/>
  <c r="M47" i="11"/>
  <c r="AD20" i="11"/>
  <c r="AU9" i="11"/>
  <c r="O56" i="11"/>
  <c r="AL21" i="11"/>
  <c r="Y14" i="11"/>
  <c r="AN14" i="11"/>
  <c r="AS72" i="11"/>
  <c r="AS73" i="11" s="1"/>
  <c r="G39" i="11"/>
  <c r="G40" i="11" s="1"/>
  <c r="E69" i="11"/>
  <c r="E70" i="11" s="1"/>
  <c r="AE9" i="11"/>
  <c r="BM56" i="11"/>
  <c r="AF32" i="11"/>
  <c r="AV17" i="11"/>
  <c r="E23" i="11"/>
  <c r="AB45" i="11"/>
  <c r="AB46" i="11" s="1"/>
  <c r="AB21" i="11"/>
  <c r="T9" i="11"/>
  <c r="BO38" i="11"/>
  <c r="N29" i="11"/>
  <c r="BO51" i="11"/>
  <c r="BO52" i="11" s="1"/>
  <c r="U26" i="11"/>
  <c r="BN24" i="11"/>
  <c r="AQ11" i="11"/>
  <c r="AN27" i="11"/>
  <c r="Z9" i="11"/>
  <c r="AU44" i="11"/>
  <c r="AQ26" i="11"/>
  <c r="AH18" i="11"/>
  <c r="AY21" i="11"/>
  <c r="AE18" i="11"/>
  <c r="BP18" i="11"/>
  <c r="G44" i="11"/>
  <c r="U42" i="11"/>
  <c r="U43" i="11" s="1"/>
  <c r="AV14" i="11"/>
  <c r="AG21" i="11"/>
  <c r="BF21" i="11"/>
  <c r="AG63" i="11"/>
  <c r="AG64" i="11" s="1"/>
  <c r="S69" i="11"/>
  <c r="S70" i="11" s="1"/>
  <c r="AA63" i="11"/>
  <c r="AA64" i="11" s="1"/>
  <c r="Q66" i="11"/>
  <c r="Q67" i="11" s="1"/>
  <c r="F71" i="11"/>
  <c r="L80" i="11"/>
  <c r="AT60" i="11"/>
  <c r="AN71" i="11"/>
  <c r="AJ75" i="11"/>
  <c r="AJ76" i="11" s="1"/>
  <c r="J65" i="11"/>
  <c r="AL72" i="11"/>
  <c r="AL73" i="11" s="1"/>
  <c r="AO39" i="11"/>
  <c r="AO40" i="11" s="1"/>
  <c r="BF23" i="11"/>
  <c r="E71" i="11"/>
  <c r="BD50" i="11"/>
  <c r="AC72" i="11"/>
  <c r="AC73" i="11" s="1"/>
  <c r="AS75" i="11"/>
  <c r="AS76" i="11" s="1"/>
  <c r="AN21" i="11"/>
  <c r="T14" i="11"/>
  <c r="BC29" i="11"/>
  <c r="AL56" i="11"/>
  <c r="AR75" i="11"/>
  <c r="AR76" i="11" s="1"/>
  <c r="M71" i="11"/>
  <c r="BO74" i="11"/>
  <c r="K80" i="11"/>
  <c r="AR38" i="11"/>
  <c r="BA44" i="11"/>
  <c r="T65" i="11"/>
  <c r="K39" i="11"/>
  <c r="K40" i="11" s="1"/>
  <c r="S60" i="11"/>
  <c r="AM78" i="11"/>
  <c r="AM79" i="11" s="1"/>
  <c r="AX12" i="11"/>
  <c r="BK75" i="11"/>
  <c r="BK76" i="11" s="1"/>
  <c r="V66" i="11"/>
  <c r="V67" i="11" s="1"/>
  <c r="AK30" i="11"/>
  <c r="O71" i="11"/>
  <c r="U69" i="11"/>
  <c r="U70" i="11" s="1"/>
  <c r="AD56" i="11"/>
  <c r="E60" i="11"/>
  <c r="AM74" i="11"/>
  <c r="AQ27" i="11"/>
  <c r="AB75" i="11"/>
  <c r="AB76" i="11" s="1"/>
  <c r="BF39" i="11"/>
  <c r="BF40" i="11" s="1"/>
  <c r="BM66" i="11"/>
  <c r="BM67" i="11" s="1"/>
  <c r="AB47" i="11"/>
  <c r="R36" i="11"/>
  <c r="D20" i="11"/>
  <c r="AE48" i="11"/>
  <c r="AE49" i="11" s="1"/>
  <c r="BD26" i="11"/>
  <c r="BI36" i="11"/>
  <c r="R74" i="11"/>
  <c r="M51" i="11"/>
  <c r="M52" i="11" s="1"/>
  <c r="BE56" i="11"/>
  <c r="AX36" i="11"/>
  <c r="G62" i="11"/>
  <c r="BM63" i="11"/>
  <c r="BM64" i="11" s="1"/>
  <c r="AQ39" i="11"/>
  <c r="AQ40" i="11" s="1"/>
  <c r="W15" i="11"/>
  <c r="AY74" i="11"/>
  <c r="BJ18" i="11"/>
  <c r="AR66" i="11"/>
  <c r="AR67" i="11" s="1"/>
  <c r="AA41" i="11"/>
  <c r="N63" i="11"/>
  <c r="N64" i="11" s="1"/>
  <c r="S53" i="11"/>
  <c r="AL74" i="11"/>
  <c r="AQ66" i="11"/>
  <c r="AQ67" i="11" s="1"/>
  <c r="I47" i="11"/>
  <c r="AV24" i="11"/>
  <c r="BA14" i="11"/>
  <c r="Q17" i="11"/>
  <c r="BK24" i="11"/>
  <c r="T68" i="11"/>
  <c r="L53" i="11"/>
  <c r="I77" i="11"/>
  <c r="M69" i="11"/>
  <c r="M70" i="11" s="1"/>
  <c r="BK68" i="11"/>
  <c r="T44" i="11"/>
  <c r="E78" i="11"/>
  <c r="E79" i="11" s="1"/>
  <c r="BA30" i="11"/>
  <c r="AY78" i="11"/>
  <c r="AY79" i="11" s="1"/>
  <c r="BM51" i="11"/>
  <c r="BM52" i="11" s="1"/>
  <c r="AU23" i="11"/>
  <c r="M74" i="11"/>
  <c r="BI41" i="11"/>
  <c r="BF41" i="11"/>
  <c r="AF44" i="11"/>
  <c r="I12" i="11"/>
  <c r="P56" i="11"/>
  <c r="Y53" i="11"/>
  <c r="AZ20" i="11"/>
  <c r="AG27" i="11"/>
  <c r="AE41" i="11"/>
  <c r="W14" i="11"/>
  <c r="BG53" i="11"/>
  <c r="BA54" i="11"/>
  <c r="BA55" i="11" s="1"/>
  <c r="T29" i="11"/>
  <c r="BN39" i="11"/>
  <c r="BN40" i="11" s="1"/>
  <c r="AK60" i="11"/>
  <c r="BM45" i="11"/>
  <c r="BM46" i="11" s="1"/>
  <c r="BM68" i="11"/>
  <c r="H56" i="11"/>
  <c r="BB11" i="11"/>
  <c r="AS60" i="11"/>
  <c r="S9" i="11"/>
  <c r="T42" i="11"/>
  <c r="T43" i="11" s="1"/>
  <c r="BI42" i="11"/>
  <c r="BI43" i="11" s="1"/>
  <c r="AD30" i="11"/>
  <c r="AO54" i="11"/>
  <c r="AO55" i="11" s="1"/>
  <c r="AW78" i="11"/>
  <c r="AW79" i="11" s="1"/>
  <c r="AH30" i="11"/>
  <c r="E51" i="11"/>
  <c r="E52" i="11" s="1"/>
  <c r="F23" i="11"/>
  <c r="AS24" i="11"/>
  <c r="G11" i="11"/>
  <c r="L15" i="11"/>
  <c r="F69" i="11"/>
  <c r="F70" i="11" s="1"/>
  <c r="X45" i="11"/>
  <c r="X46" i="11" s="1"/>
  <c r="E68" i="11"/>
  <c r="AY72" i="11"/>
  <c r="AY73" i="11" s="1"/>
  <c r="AM23" i="11"/>
  <c r="BH27" i="11"/>
  <c r="BE21" i="11"/>
  <c r="AA75" i="11"/>
  <c r="AA76" i="11" s="1"/>
  <c r="AD54" i="11"/>
  <c r="AD55" i="11" s="1"/>
  <c r="BE12" i="11"/>
  <c r="AF30" i="11"/>
  <c r="AA38" i="11"/>
  <c r="AO48" i="11"/>
  <c r="AO49" i="11" s="1"/>
  <c r="Q30" i="11"/>
  <c r="N53" i="11"/>
  <c r="J41" i="11"/>
  <c r="AM65" i="11"/>
  <c r="P74" i="11"/>
  <c r="Q47" i="11"/>
  <c r="AJ72" i="11"/>
  <c r="AJ73" i="11" s="1"/>
  <c r="X47" i="11"/>
  <c r="BH17" i="11"/>
  <c r="BH20" i="11"/>
  <c r="BE41" i="11"/>
  <c r="AC14" i="11"/>
  <c r="AZ9" i="11"/>
  <c r="BP26" i="11"/>
  <c r="V60" i="11"/>
  <c r="X56" i="11"/>
  <c r="AZ62" i="11"/>
  <c r="Q42" i="11"/>
  <c r="Q43" i="11" s="1"/>
  <c r="AH24" i="11"/>
  <c r="I14" i="11"/>
  <c r="AO20" i="11"/>
  <c r="S45" i="11"/>
  <c r="S46" i="11" s="1"/>
  <c r="AG11" i="11"/>
  <c r="AF38" i="11"/>
  <c r="BF69" i="11"/>
  <c r="BF70" i="11" s="1"/>
  <c r="AJ20" i="11"/>
  <c r="BO9" i="11"/>
  <c r="AI15" i="11"/>
  <c r="W30" i="11"/>
  <c r="F30" i="11"/>
  <c r="BP62" i="11"/>
  <c r="S48" i="11"/>
  <c r="S49" i="11" s="1"/>
  <c r="BP65" i="11"/>
  <c r="AT54" i="11"/>
  <c r="AT55" i="11" s="1"/>
  <c r="W42" i="11"/>
  <c r="W43" i="11" s="1"/>
  <c r="H30" i="11"/>
  <c r="BJ21" i="11"/>
  <c r="AP18" i="11"/>
  <c r="AM42" i="11"/>
  <c r="AM43" i="11" s="1"/>
  <c r="AM36" i="11"/>
  <c r="I29" i="11"/>
  <c r="Y18" i="11"/>
  <c r="AZ71" i="11"/>
  <c r="AD12" i="11"/>
  <c r="AQ69" i="11"/>
  <c r="AQ70" i="11" s="1"/>
  <c r="T27" i="11"/>
  <c r="BB23" i="11"/>
  <c r="AD51" i="11"/>
  <c r="AD52" i="11" s="1"/>
  <c r="AC26" i="11"/>
  <c r="H11" i="11"/>
  <c r="AG18" i="11"/>
  <c r="L29" i="11"/>
  <c r="G36" i="11"/>
  <c r="BP29" i="11"/>
  <c r="H15" i="11"/>
  <c r="E45" i="11"/>
  <c r="E46" i="11" s="1"/>
  <c r="Q20" i="11"/>
  <c r="AI50" i="11"/>
  <c r="AI21" i="11"/>
  <c r="AC44" i="11"/>
  <c r="BD30" i="11"/>
  <c r="R32" i="11"/>
  <c r="F47" i="11"/>
  <c r="T23" i="11"/>
  <c r="AM20" i="11"/>
  <c r="AO18" i="11"/>
  <c r="AC9" i="11"/>
  <c r="O26" i="11"/>
  <c r="BI39" i="11"/>
  <c r="BI40" i="11" s="1"/>
  <c r="K54" i="11"/>
  <c r="K55" i="11" s="1"/>
  <c r="I38" i="11"/>
  <c r="AS71" i="11"/>
  <c r="I74" i="11"/>
  <c r="BK12" i="11"/>
  <c r="M39" i="11"/>
  <c r="M40" i="11" s="1"/>
  <c r="AL23" i="11"/>
  <c r="BE38" i="11"/>
  <c r="AX9" i="11"/>
  <c r="M26" i="11"/>
  <c r="BD14" i="11"/>
  <c r="BL39" i="11"/>
  <c r="BL40" i="11" s="1"/>
  <c r="BK39" i="11"/>
  <c r="BK40" i="11" s="1"/>
  <c r="G17" i="11"/>
  <c r="AE75" i="11"/>
  <c r="AE76" i="11" s="1"/>
  <c r="BG24" i="11"/>
  <c r="BC30" i="11"/>
  <c r="K14" i="11"/>
  <c r="Y29" i="11"/>
  <c r="R38" i="11"/>
  <c r="Q12" i="11"/>
  <c r="D42" i="11"/>
  <c r="BL36" i="11"/>
  <c r="AV51" i="11"/>
  <c r="AV52" i="11" s="1"/>
  <c r="AC24" i="11"/>
  <c r="BI17" i="11"/>
  <c r="BI60" i="11"/>
  <c r="BN50" i="11"/>
  <c r="BP23" i="11"/>
  <c r="BB14" i="11"/>
  <c r="O30" i="11"/>
  <c r="AQ45" i="11"/>
  <c r="AQ46" i="11" s="1"/>
  <c r="V17" i="11"/>
  <c r="BA60" i="11"/>
  <c r="AO53" i="11"/>
  <c r="AA18" i="11"/>
  <c r="K24" i="11"/>
  <c r="K25" i="11" s="1"/>
  <c r="AT47" i="11"/>
  <c r="AP24" i="11"/>
  <c r="AU36" i="11"/>
  <c r="Q77" i="11"/>
  <c r="AB42" i="11"/>
  <c r="AB43" i="11" s="1"/>
  <c r="Z17" i="11"/>
  <c r="P39" i="11"/>
  <c r="P40" i="11" s="1"/>
  <c r="Y36" i="11"/>
  <c r="BH26" i="11"/>
  <c r="AL29" i="11"/>
  <c r="K38" i="11"/>
  <c r="AS32" i="11"/>
  <c r="Y12" i="11"/>
  <c r="W9" i="11"/>
  <c r="BK9" i="11"/>
  <c r="BC14" i="11"/>
  <c r="BE18" i="11"/>
  <c r="AF41" i="11"/>
  <c r="N48" i="11"/>
  <c r="N49" i="11" s="1"/>
  <c r="AC50" i="11"/>
  <c r="E72" i="11"/>
  <c r="E73" i="11" s="1"/>
  <c r="AL66" i="11"/>
  <c r="AL67" i="11" s="1"/>
  <c r="R65" i="11"/>
  <c r="AD69" i="11"/>
  <c r="AD70" i="11" s="1"/>
  <c r="AC60" i="11"/>
  <c r="BL51" i="11"/>
  <c r="BL52" i="11" s="1"/>
  <c r="BM48" i="11"/>
  <c r="BM49" i="11" s="1"/>
  <c r="AN65" i="11"/>
  <c r="AH72" i="11"/>
  <c r="AH73" i="11" s="1"/>
  <c r="AX14" i="11"/>
  <c r="N24" i="11"/>
  <c r="N25" i="11" s="1"/>
  <c r="BC65" i="11"/>
  <c r="O38" i="11"/>
  <c r="AG68" i="11"/>
  <c r="BG78" i="11"/>
  <c r="BG79" i="11" s="1"/>
  <c r="BJ32" i="11"/>
  <c r="AO42" i="11"/>
  <c r="AO43" i="11" s="1"/>
  <c r="AA72" i="11"/>
  <c r="AA73" i="11" s="1"/>
  <c r="R54" i="11"/>
  <c r="R55" i="11" s="1"/>
  <c r="W72" i="11"/>
  <c r="W73" i="11" s="1"/>
  <c r="AX69" i="11"/>
  <c r="AX70" i="11" s="1"/>
  <c r="BB71" i="11"/>
  <c r="Z60" i="11"/>
  <c r="G23" i="11"/>
  <c r="BN53" i="11"/>
  <c r="BO65" i="11"/>
  <c r="BF12" i="11"/>
  <c r="BO68" i="11"/>
  <c r="E65" i="11"/>
  <c r="AQ44" i="11"/>
  <c r="BP68" i="11"/>
  <c r="M78" i="11"/>
  <c r="M79" i="11" s="1"/>
  <c r="AD71" i="11"/>
  <c r="X63" i="11"/>
  <c r="X64" i="11" s="1"/>
  <c r="BC48" i="11"/>
  <c r="BC49" i="11" s="1"/>
  <c r="BB41" i="11"/>
  <c r="AM75" i="11"/>
  <c r="AM76" i="11" s="1"/>
  <c r="AS51" i="11"/>
  <c r="AS52" i="11" s="1"/>
  <c r="L77" i="11"/>
  <c r="N60" i="11"/>
  <c r="AQ48" i="11"/>
  <c r="AQ49" i="11" s="1"/>
  <c r="X66" i="11"/>
  <c r="X67" i="11" s="1"/>
  <c r="AM32" i="11"/>
  <c r="AK21" i="11"/>
  <c r="BP56" i="11"/>
  <c r="AY14" i="11"/>
  <c r="P71" i="11"/>
  <c r="AK54" i="11"/>
  <c r="AK55" i="11" s="1"/>
  <c r="AK80" i="11"/>
  <c r="BG42" i="11"/>
  <c r="BG43" i="11" s="1"/>
  <c r="G29" i="11"/>
  <c r="BF71" i="11"/>
  <c r="AX80" i="11"/>
  <c r="K62" i="11"/>
  <c r="AV18" i="11"/>
  <c r="U71" i="11"/>
  <c r="AL51" i="11"/>
  <c r="AL52" i="11" s="1"/>
  <c r="AV47" i="11"/>
  <c r="M65" i="11"/>
  <c r="BE17" i="11"/>
  <c r="F68" i="11"/>
  <c r="AD65" i="11"/>
  <c r="K60" i="11"/>
  <c r="AD41" i="11"/>
  <c r="AA27" i="11"/>
  <c r="F14" i="11"/>
  <c r="Z29" i="11"/>
  <c r="P60" i="11"/>
  <c r="I45" i="11"/>
  <c r="I46" i="11" s="1"/>
  <c r="BG75" i="11"/>
  <c r="BG76" i="11" s="1"/>
  <c r="BC32" i="11"/>
  <c r="G69" i="11"/>
  <c r="G70" i="11" s="1"/>
  <c r="BL56" i="11"/>
  <c r="AU29" i="11"/>
  <c r="BD18" i="11"/>
  <c r="AN77" i="11"/>
  <c r="AD50" i="11"/>
  <c r="M62" i="11"/>
  <c r="AU32" i="11"/>
  <c r="K66" i="11"/>
  <c r="K67" i="11" s="1"/>
  <c r="W80" i="11"/>
  <c r="P26" i="11"/>
  <c r="BO24" i="11"/>
  <c r="K9" i="11"/>
  <c r="P14" i="11"/>
  <c r="AN78" i="11"/>
  <c r="AN79" i="11" s="1"/>
  <c r="F12" i="11"/>
  <c r="Q75" i="11"/>
  <c r="Q76" i="11" s="1"/>
  <c r="D45" i="11"/>
  <c r="AE27" i="11"/>
  <c r="S20" i="11"/>
  <c r="AR42" i="11"/>
  <c r="AR43" i="11" s="1"/>
  <c r="G14" i="11"/>
  <c r="AN17" i="11"/>
  <c r="Z47" i="11"/>
  <c r="AW15" i="11"/>
  <c r="AO15" i="11"/>
  <c r="AX56" i="11"/>
  <c r="U29" i="11"/>
  <c r="AQ53" i="11"/>
  <c r="BA39" i="11"/>
  <c r="BA40" i="11" s="1"/>
  <c r="AV11" i="11"/>
  <c r="AF24" i="11"/>
  <c r="BG51" i="11"/>
  <c r="BG52" i="11" s="1"/>
  <c r="AS17" i="11"/>
  <c r="H21" i="11"/>
  <c r="AG54" i="11"/>
  <c r="AG55" i="11" s="1"/>
  <c r="AS56" i="11"/>
  <c r="AZ39" i="11"/>
  <c r="AZ40" i="11" s="1"/>
  <c r="V53" i="11"/>
  <c r="AI18" i="11"/>
  <c r="AN11" i="11"/>
  <c r="AF14" i="11"/>
  <c r="AG75" i="11"/>
  <c r="AG76" i="11" s="1"/>
  <c r="E75" i="11"/>
  <c r="E76" i="11" s="1"/>
  <c r="AK50" i="11"/>
  <c r="F60" i="11"/>
  <c r="X51" i="11"/>
  <c r="X52" i="11" s="1"/>
  <c r="N21" i="11"/>
  <c r="E9" i="11"/>
  <c r="AL9" i="11"/>
  <c r="T17" i="11"/>
  <c r="AI38" i="11"/>
  <c r="U45" i="11"/>
  <c r="U46" i="11" s="1"/>
  <c r="AR21" i="11"/>
  <c r="AT9" i="11"/>
  <c r="AL15" i="11"/>
  <c r="E15" i="11"/>
  <c r="S24" i="11"/>
  <c r="X68" i="11"/>
  <c r="AK71" i="11"/>
  <c r="AJ24" i="11"/>
  <c r="F48" i="11"/>
  <c r="F49" i="11" s="1"/>
  <c r="M18" i="11"/>
  <c r="AT11" i="11"/>
  <c r="V47" i="11"/>
  <c r="BD36" i="11"/>
  <c r="U54" i="11"/>
  <c r="U55" i="11" s="1"/>
  <c r="AG36" i="11"/>
  <c r="AV41" i="11"/>
  <c r="L44" i="11"/>
  <c r="X26" i="11"/>
  <c r="AW65" i="11"/>
  <c r="L38" i="11"/>
  <c r="V20" i="11"/>
  <c r="BH50" i="11"/>
  <c r="BI20" i="11"/>
  <c r="AO29" i="11"/>
  <c r="J17" i="11"/>
  <c r="AO21" i="11"/>
  <c r="F11" i="11"/>
  <c r="BH53" i="11"/>
  <c r="AE14" i="11"/>
  <c r="P36" i="11"/>
  <c r="W47" i="11"/>
  <c r="Z18" i="11"/>
  <c r="J66" i="11"/>
  <c r="J67" i="11" s="1"/>
  <c r="U50" i="11"/>
  <c r="BJ75" i="11"/>
  <c r="BJ76" i="11" s="1"/>
  <c r="AJ41" i="11"/>
  <c r="D65" i="11"/>
  <c r="H78" i="11"/>
  <c r="H79" i="11" s="1"/>
  <c r="AL47" i="11"/>
  <c r="AJ11" i="11"/>
  <c r="AV36" i="11"/>
  <c r="AD23" i="11"/>
  <c r="X30" i="11"/>
  <c r="V14" i="11"/>
  <c r="BK36" i="11"/>
  <c r="BB44" i="11"/>
  <c r="I18" i="11"/>
  <c r="BD21" i="11"/>
  <c r="AU39" i="11"/>
  <c r="AU40" i="11" s="1"/>
  <c r="AL30" i="11"/>
  <c r="AX18" i="11"/>
  <c r="AN9" i="11"/>
  <c r="H44" i="11"/>
  <c r="P23" i="11"/>
  <c r="AG14" i="11"/>
  <c r="BP48" i="11"/>
  <c r="BP49" i="11" s="1"/>
  <c r="U18" i="11"/>
  <c r="AO27" i="11"/>
  <c r="F72" i="11"/>
  <c r="F73" i="11" s="1"/>
  <c r="AQ23" i="11"/>
  <c r="I36" i="11"/>
  <c r="N20" i="11"/>
  <c r="AQ36" i="11"/>
  <c r="F42" i="11"/>
  <c r="F43" i="11" s="1"/>
  <c r="U48" i="11"/>
  <c r="U49" i="11" s="1"/>
  <c r="BL30" i="11"/>
  <c r="BO12" i="11"/>
  <c r="BE51" i="11"/>
  <c r="BE52" i="11" s="1"/>
  <c r="W18" i="11"/>
  <c r="AT21" i="11"/>
  <c r="BP45" i="11"/>
  <c r="BP46" i="11" s="1"/>
  <c r="BN26" i="11"/>
  <c r="M12" i="11"/>
  <c r="G26" i="11"/>
  <c r="U27" i="11"/>
  <c r="AJ45" i="11"/>
  <c r="AJ46" i="11" s="1"/>
  <c r="AH26" i="11"/>
  <c r="BA9" i="11"/>
  <c r="AV48" i="11"/>
  <c r="AV49" i="11" s="1"/>
  <c r="AW27" i="11"/>
  <c r="AY12" i="11"/>
  <c r="X9" i="11"/>
  <c r="AX24" i="11"/>
  <c r="J27" i="11"/>
  <c r="V9" i="11"/>
  <c r="AM54" i="11"/>
  <c r="AM55" i="11" s="1"/>
  <c r="W63" i="11"/>
  <c r="W64" i="11" s="1"/>
  <c r="AV32" i="11"/>
  <c r="AV30" i="11"/>
  <c r="AA30" i="11"/>
  <c r="AS9" i="11"/>
  <c r="Q36" i="11"/>
  <c r="BJ12" i="11"/>
  <c r="Q21" i="11"/>
  <c r="AP54" i="11"/>
  <c r="AP55" i="11" s="1"/>
  <c r="BL38" i="11"/>
  <c r="AF36" i="11"/>
  <c r="AW11" i="11"/>
  <c r="AB9" i="11"/>
  <c r="AJ78" i="11"/>
  <c r="AJ79" i="11" s="1"/>
  <c r="BJ23" i="11"/>
  <c r="X27" i="11"/>
  <c r="M11" i="11"/>
  <c r="R26" i="11"/>
  <c r="BN9" i="11"/>
  <c r="AH9" i="11"/>
  <c r="G41" i="11"/>
  <c r="AX29" i="11"/>
  <c r="W12" i="11"/>
  <c r="AZ11" i="11"/>
  <c r="AM45" i="11"/>
  <c r="AM46" i="11" s="1"/>
  <c r="Y38" i="11"/>
  <c r="BE9" i="11"/>
  <c r="Z32" i="11"/>
  <c r="AP41" i="11"/>
  <c r="AV9" i="11"/>
  <c r="AW14" i="11"/>
  <c r="AV15" i="11"/>
  <c r="AW41" i="11"/>
  <c r="AC18" i="11"/>
  <c r="M54" i="11"/>
  <c r="M55" i="11" s="1"/>
  <c r="BM36" i="11"/>
  <c r="BE24" i="11"/>
  <c r="AJ18" i="11"/>
  <c r="AQ38" i="11"/>
  <c r="U24" i="11"/>
  <c r="BA47" i="11"/>
  <c r="AW74" i="11"/>
  <c r="AH45" i="11"/>
  <c r="AH46" i="11" s="1"/>
  <c r="AV62" i="11"/>
  <c r="V48" i="11"/>
  <c r="V49" i="11" s="1"/>
  <c r="BK69" i="11"/>
  <c r="BK70" i="11" s="1"/>
  <c r="AA39" i="11"/>
  <c r="AA40" i="11" s="1"/>
  <c r="BP24" i="11"/>
  <c r="BM50" i="11"/>
  <c r="AR51" i="11"/>
  <c r="AR52" i="11" s="1"/>
  <c r="AA42" i="11"/>
  <c r="AA43" i="11" s="1"/>
  <c r="AF65" i="11"/>
  <c r="BB69" i="11"/>
  <c r="BB70" i="11" s="1"/>
  <c r="BC68" i="11"/>
  <c r="Q15" i="11"/>
  <c r="BD42" i="11"/>
  <c r="BD43" i="11" s="1"/>
  <c r="H29" i="11"/>
  <c r="BN71" i="11"/>
  <c r="Y69" i="11"/>
  <c r="Y70" i="11" s="1"/>
  <c r="J77" i="11"/>
  <c r="P72" i="11"/>
  <c r="P73" i="11" s="1"/>
  <c r="BL18" i="11"/>
  <c r="AU48" i="11"/>
  <c r="AU49" i="11" s="1"/>
  <c r="BI27" i="11"/>
  <c r="BF50" i="11"/>
  <c r="AE68" i="11"/>
  <c r="R63" i="11"/>
  <c r="R64" i="11" s="1"/>
  <c r="S66" i="11"/>
  <c r="S67" i="11" s="1"/>
  <c r="S80" i="11"/>
  <c r="Z44" i="11"/>
  <c r="BM60" i="11"/>
  <c r="AK44" i="11"/>
  <c r="G45" i="11"/>
  <c r="G46" i="11" s="1"/>
  <c r="BF77" i="11"/>
  <c r="D66" i="11"/>
  <c r="F32" i="11"/>
  <c r="AB72" i="11"/>
  <c r="AB73" i="11" s="1"/>
  <c r="AX66" i="11"/>
  <c r="AX67" i="11" s="1"/>
  <c r="AD32" i="11"/>
  <c r="BE72" i="11"/>
  <c r="BE73" i="11" s="1"/>
  <c r="BE26" i="11"/>
  <c r="AZ75" i="11"/>
  <c r="AZ76" i="11" s="1"/>
  <c r="AX50" i="11"/>
  <c r="AT18" i="11"/>
  <c r="BB66" i="11"/>
  <c r="BB67" i="11" s="1"/>
  <c r="AI39" i="11"/>
  <c r="AI40" i="11" s="1"/>
  <c r="BE36" i="11"/>
  <c r="BM27" i="11"/>
  <c r="N39" i="11"/>
  <c r="N40" i="11" s="1"/>
  <c r="H71" i="11"/>
  <c r="BI11" i="11"/>
  <c r="AF66" i="11"/>
  <c r="AF67" i="11" s="1"/>
  <c r="M41" i="11"/>
  <c r="T41" i="11"/>
  <c r="BC78" i="11"/>
  <c r="BC79" i="11" s="1"/>
  <c r="BK23" i="11"/>
  <c r="AM60" i="11"/>
  <c r="AT50" i="11"/>
  <c r="I80" i="11"/>
  <c r="S47" i="11"/>
  <c r="AS77" i="11"/>
  <c r="BC38" i="11"/>
  <c r="Q71" i="11"/>
  <c r="X50" i="11"/>
  <c r="AI27" i="11"/>
  <c r="BG56" i="11"/>
  <c r="BH44" i="11"/>
  <c r="AS50" i="11"/>
  <c r="L9" i="11"/>
  <c r="V12" i="11"/>
  <c r="Y77" i="11"/>
  <c r="K50" i="11"/>
  <c r="T77" i="11"/>
  <c r="AB30" i="11"/>
  <c r="BN60" i="11"/>
  <c r="E48" i="11"/>
  <c r="E49" i="11" s="1"/>
  <c r="Q60" i="11"/>
  <c r="AZ48" i="11"/>
  <c r="AZ49" i="11" s="1"/>
  <c r="BJ66" i="11"/>
  <c r="BJ67" i="11" s="1"/>
  <c r="U60" i="11"/>
  <c r="BO56" i="11"/>
  <c r="L36" i="11"/>
  <c r="AG69" i="11"/>
  <c r="AG70" i="11" s="1"/>
  <c r="K77" i="11"/>
  <c r="AV45" i="11"/>
  <c r="AV46" i="11" s="1"/>
  <c r="AS47" i="11"/>
  <c r="I24" i="11"/>
  <c r="I25" i="11" s="1"/>
  <c r="BP21" i="11"/>
  <c r="BN38" i="11"/>
  <c r="AO36" i="11"/>
  <c r="Y20" i="11"/>
  <c r="M32" i="11"/>
  <c r="AY26" i="11"/>
  <c r="AM39" i="11"/>
  <c r="AM40" i="11" s="1"/>
  <c r="AQ15" i="11"/>
  <c r="AQ30" i="11"/>
  <c r="O41" i="11"/>
  <c r="J68" i="11"/>
  <c r="K68" i="11"/>
  <c r="AB32" i="11"/>
  <c r="O53" i="11"/>
  <c r="BI26" i="11"/>
  <c r="BF32" i="11"/>
  <c r="D12" i="11"/>
  <c r="S18" i="11"/>
  <c r="D27" i="11"/>
  <c r="W48" i="11"/>
  <c r="W49" i="11" s="1"/>
  <c r="M42" i="11"/>
  <c r="M43" i="11" s="1"/>
  <c r="W77" i="11"/>
  <c r="F62" i="11"/>
  <c r="AY75" i="11"/>
  <c r="AY76" i="11" s="1"/>
  <c r="AG23" i="11"/>
  <c r="L12" i="11"/>
  <c r="AY32" i="11"/>
  <c r="BO26" i="11"/>
  <c r="BL17" i="11"/>
  <c r="I48" i="11"/>
  <c r="I49" i="11" s="1"/>
  <c r="T75" i="11"/>
  <c r="T76" i="11" s="1"/>
  <c r="H53" i="11"/>
  <c r="AK36" i="11"/>
  <c r="AC48" i="11"/>
  <c r="AC49" i="11" s="1"/>
  <c r="AW44" i="11"/>
  <c r="AX17" i="11"/>
  <c r="AR29" i="11"/>
  <c r="AD17" i="11"/>
  <c r="F75" i="11"/>
  <c r="F76" i="11" s="1"/>
  <c r="N17" i="11"/>
  <c r="L42" i="11"/>
  <c r="L43" i="11" s="1"/>
  <c r="BN15" i="11"/>
  <c r="P38" i="11"/>
  <c r="Z38" i="11"/>
  <c r="BI47" i="11"/>
  <c r="AX30" i="11"/>
  <c r="BK71" i="11"/>
  <c r="BJ80" i="11"/>
  <c r="AH42" i="11"/>
  <c r="AH43" i="11" s="1"/>
  <c r="BF26" i="11"/>
  <c r="BC42" i="11"/>
  <c r="BC43" i="11" s="1"/>
  <c r="AQ14" i="11"/>
  <c r="AX27" i="11"/>
  <c r="AM14" i="11"/>
  <c r="AY66" i="11"/>
  <c r="AY67" i="11" s="1"/>
  <c r="AB71" i="11"/>
  <c r="S78" i="11"/>
  <c r="S79" i="11" s="1"/>
  <c r="R44" i="11"/>
  <c r="BI65" i="11"/>
  <c r="BG32" i="11"/>
  <c r="AH53" i="11"/>
  <c r="BO15" i="11"/>
  <c r="BJ29" i="11"/>
  <c r="N42" i="11"/>
  <c r="N43" i="11" s="1"/>
  <c r="BE32" i="11"/>
  <c r="AO68" i="11"/>
  <c r="AQ29" i="11"/>
  <c r="BD15" i="11"/>
  <c r="AN39" i="11"/>
  <c r="AN40" i="11" s="1"/>
  <c r="AU18" i="11"/>
  <c r="V29" i="11"/>
  <c r="BI66" i="11"/>
  <c r="BI67" i="11" s="1"/>
  <c r="BD20" i="11"/>
  <c r="Z39" i="11"/>
  <c r="Z40" i="11" s="1"/>
  <c r="AV77" i="11"/>
  <c r="AP14" i="11"/>
  <c r="J53" i="11"/>
  <c r="AL11" i="11"/>
  <c r="D9" i="11"/>
  <c r="BA32" i="11"/>
  <c r="AP21" i="11"/>
  <c r="N36" i="11"/>
  <c r="J32" i="11"/>
  <c r="P53" i="11"/>
  <c r="BB12" i="11"/>
  <c r="BP27" i="11"/>
  <c r="AM30" i="11"/>
  <c r="BE63" i="11"/>
  <c r="BE64" i="11" s="1"/>
  <c r="AM51" i="11"/>
  <c r="AM52" i="11" s="1"/>
  <c r="M23" i="11"/>
  <c r="AR18" i="11"/>
  <c r="AK17" i="11"/>
  <c r="R41" i="11"/>
  <c r="AY29" i="11"/>
  <c r="G27" i="11"/>
  <c r="BO29" i="11"/>
  <c r="BK41" i="11"/>
  <c r="AR9" i="11"/>
  <c r="BD38" i="11"/>
  <c r="AA32" i="11"/>
  <c r="BL27" i="11"/>
  <c r="V56" i="11"/>
  <c r="E17" i="11"/>
  <c r="AA9" i="11"/>
  <c r="AT23" i="11"/>
  <c r="AT69" i="11"/>
  <c r="AT70" i="11" s="1"/>
  <c r="AO56" i="11"/>
  <c r="AM11" i="11"/>
  <c r="BC26" i="11"/>
  <c r="BC56" i="11"/>
  <c r="AN54" i="11"/>
  <c r="AN55" i="11" s="1"/>
  <c r="Z21" i="11"/>
  <c r="U23" i="11"/>
  <c r="AT12" i="11"/>
  <c r="BB68" i="11"/>
  <c r="AU41" i="11"/>
  <c r="AU62" i="11"/>
  <c r="E42" i="11"/>
  <c r="E43" i="11" s="1"/>
  <c r="AR12" i="11"/>
  <c r="S38" i="11"/>
  <c r="AQ18" i="11"/>
  <c r="H24" i="11"/>
  <c r="H25" i="11" s="1"/>
  <c r="BC9" i="11"/>
  <c r="AF53" i="11"/>
  <c r="J29" i="11"/>
  <c r="R18" i="11"/>
  <c r="Z30" i="11"/>
  <c r="X11" i="11"/>
  <c r="F21" i="11"/>
  <c r="BL15" i="11"/>
  <c r="N65" i="11"/>
  <c r="E47" i="11"/>
  <c r="BB9" i="11"/>
  <c r="Z15" i="11"/>
  <c r="H27" i="11"/>
  <c r="W11" i="11"/>
  <c r="Q9" i="11"/>
  <c r="N44" i="11"/>
  <c r="BD56" i="11"/>
  <c r="BO39" i="11"/>
  <c r="BO40" i="11" s="1"/>
  <c r="AU47" i="11"/>
  <c r="BK47" i="11"/>
  <c r="AZ23" i="11"/>
  <c r="AB63" i="11"/>
  <c r="AB64" i="11" s="1"/>
  <c r="AM12" i="11"/>
  <c r="BP9" i="11"/>
  <c r="AM44" i="11"/>
  <c r="P15" i="11"/>
  <c r="BJ36" i="11"/>
  <c r="AA29" i="11"/>
  <c r="AR50" i="11"/>
  <c r="F50" i="11"/>
  <c r="AS38" i="11"/>
  <c r="BN29" i="11"/>
  <c r="BH12" i="11"/>
  <c r="G50" i="11"/>
  <c r="AI23" i="11"/>
  <c r="BC17" i="11"/>
  <c r="T45" i="11"/>
  <c r="T46" i="11" s="1"/>
  <c r="F36" i="11"/>
  <c r="S26" i="11"/>
  <c r="R11" i="11"/>
  <c r="J9" i="11"/>
  <c r="AO66" i="11"/>
  <c r="AO67" i="11" s="1"/>
  <c r="W17" i="11"/>
  <c r="AO41" i="11"/>
  <c r="AW38" i="11"/>
  <c r="BH65" i="11"/>
  <c r="BF30" i="11"/>
  <c r="D47" i="11"/>
  <c r="BK56" i="11"/>
  <c r="J75" i="11"/>
  <c r="J76" i="11" s="1"/>
  <c r="R47" i="11"/>
  <c r="AN74" i="11"/>
  <c r="I50" i="11"/>
  <c r="BC50" i="11"/>
  <c r="J42" i="11"/>
  <c r="J43" i="11" s="1"/>
  <c r="BD69" i="11"/>
  <c r="BD70" i="11" s="1"/>
  <c r="Y63" i="11"/>
  <c r="Y64" i="11" s="1"/>
  <c r="BN75" i="11"/>
  <c r="BN76" i="11" s="1"/>
  <c r="U21" i="11"/>
  <c r="AR53" i="11"/>
  <c r="AJ36" i="11"/>
  <c r="BF74" i="11"/>
  <c r="AV66" i="11"/>
  <c r="AV67" i="11" s="1"/>
  <c r="K72" i="11"/>
  <c r="K73" i="11" s="1"/>
  <c r="BO72" i="11"/>
  <c r="BO73" i="11" s="1"/>
  <c r="D41" i="11"/>
  <c r="D30" i="11"/>
  <c r="I42" i="11"/>
  <c r="I43" i="11" s="1"/>
  <c r="BH63" i="11"/>
  <c r="BH64" i="11" s="1"/>
  <c r="AD53" i="11"/>
  <c r="BP71" i="11"/>
  <c r="Q39" i="11"/>
  <c r="Q40" i="11" s="1"/>
  <c r="AQ63" i="11"/>
  <c r="AQ64" i="11" s="1"/>
  <c r="AL26" i="11"/>
  <c r="AE72" i="11"/>
  <c r="AE73" i="11" s="1"/>
  <c r="AW26" i="11"/>
  <c r="Z36" i="11"/>
  <c r="AG66" i="11"/>
  <c r="AG67" i="11" s="1"/>
  <c r="BN66" i="11"/>
  <c r="BN67" i="11" s="1"/>
  <c r="AH20" i="11"/>
  <c r="BG68" i="11"/>
  <c r="BN47" i="11"/>
  <c r="BH14" i="11"/>
  <c r="BL66" i="11"/>
  <c r="BL67" i="11" s="1"/>
  <c r="AP42" i="11"/>
  <c r="AP43" i="11" s="1"/>
  <c r="X75" i="11"/>
  <c r="X76" i="11" s="1"/>
  <c r="AT27" i="11"/>
  <c r="AQ54" i="11"/>
  <c r="AQ55" i="11" s="1"/>
  <c r="BM74" i="11"/>
  <c r="AE21" i="11"/>
  <c r="L21" i="11"/>
  <c r="L51" i="11"/>
  <c r="L52" i="11" s="1"/>
  <c r="D63" i="11"/>
  <c r="AI60" i="11"/>
  <c r="BO36" i="11"/>
  <c r="I68" i="11"/>
  <c r="AX20" i="11"/>
  <c r="AZ72" i="11"/>
  <c r="AZ73" i="11" s="1"/>
  <c r="AN50" i="11"/>
  <c r="Z53" i="11"/>
  <c r="M68" i="11"/>
  <c r="BA21" i="11"/>
  <c r="P21" i="11"/>
  <c r="BE23" i="11"/>
  <c r="I66" i="11"/>
  <c r="I67" i="11" s="1"/>
  <c r="BE53" i="11"/>
  <c r="L65" i="11"/>
  <c r="AU38" i="11"/>
  <c r="AY11" i="11"/>
  <c r="AX62" i="11"/>
  <c r="O29" i="11"/>
  <c r="BN27" i="11"/>
  <c r="BG14" i="11"/>
  <c r="AC21" i="11"/>
  <c r="R68" i="11"/>
  <c r="I53" i="11"/>
  <c r="BC71" i="11"/>
  <c r="BA11" i="11"/>
  <c r="BO62" i="11"/>
  <c r="W38" i="11"/>
  <c r="AN75" i="11"/>
  <c r="AN76" i="11" s="1"/>
  <c r="AR32" i="11"/>
  <c r="S72" i="11"/>
  <c r="S73" i="11" s="1"/>
  <c r="AZ41" i="11"/>
  <c r="BD60" i="11"/>
  <c r="AN18" i="11"/>
  <c r="AB80" i="11"/>
  <c r="D60" i="11"/>
  <c r="AZ63" i="11"/>
  <c r="AZ64" i="11" s="1"/>
  <c r="BB36" i="11"/>
  <c r="BB39" i="11"/>
  <c r="BB40" i="11" s="1"/>
  <c r="BL9" i="11"/>
  <c r="F65" i="11"/>
  <c r="BH21" i="11"/>
  <c r="AR26" i="11"/>
  <c r="O42" i="11"/>
  <c r="O43" i="11" s="1"/>
  <c r="AZ50" i="11"/>
  <c r="N9" i="11"/>
  <c r="AC45" i="11"/>
  <c r="AC46" i="11" s="1"/>
  <c r="BC47" i="11"/>
  <c r="O27" i="11"/>
  <c r="BL29" i="11"/>
  <c r="BN65" i="11"/>
  <c r="AL75" i="11"/>
  <c r="AL76" i="11" s="1"/>
  <c r="S42" i="11"/>
  <c r="S43" i="11" s="1"/>
  <c r="AE62" i="11"/>
  <c r="AX21" i="11"/>
  <c r="AS14" i="11"/>
  <c r="AX38" i="11"/>
  <c r="AH17" i="11"/>
  <c r="AV39" i="11"/>
  <c r="AV40" i="11" s="1"/>
  <c r="T74" i="11"/>
  <c r="BM65" i="11"/>
  <c r="AV29" i="11"/>
  <c r="E74" i="11"/>
  <c r="BA48" i="11"/>
  <c r="BA49" i="11" s="1"/>
  <c r="BI14" i="11"/>
  <c r="G20" i="11"/>
  <c r="AK42" i="11"/>
  <c r="AK43" i="11" s="1"/>
  <c r="AY50" i="11"/>
  <c r="AI41" i="11"/>
  <c r="AM72" i="11"/>
  <c r="AM73" i="11" s="1"/>
  <c r="BM69" i="11"/>
  <c r="BM70" i="11" s="1"/>
  <c r="BG47" i="11"/>
  <c r="BC27" i="11"/>
  <c r="AW30" i="11"/>
  <c r="AJ23" i="11"/>
  <c r="BJ15" i="11"/>
  <c r="AJ27" i="11"/>
  <c r="V44" i="11"/>
  <c r="L17" i="11"/>
  <c r="P24" i="11"/>
  <c r="P25" i="11" s="1"/>
  <c r="AM18" i="11"/>
  <c r="AB20" i="11"/>
  <c r="AE56" i="11"/>
  <c r="H38" i="11"/>
  <c r="AW75" i="11"/>
  <c r="AW76" i="11" s="1"/>
  <c r="AR54" i="11"/>
  <c r="AR55" i="11" s="1"/>
  <c r="AI75" i="11"/>
  <c r="AI76" i="11" s="1"/>
  <c r="AI17" i="11"/>
  <c r="V51" i="11"/>
  <c r="V52" i="11" s="1"/>
  <c r="AZ29" i="11"/>
  <c r="F20" i="11"/>
  <c r="T48" i="11"/>
  <c r="T49" i="11" s="1"/>
  <c r="AL20" i="11"/>
  <c r="AS39" i="11"/>
  <c r="AS40" i="11" s="1"/>
  <c r="AB60" i="11"/>
  <c r="D77" i="11"/>
  <c r="AW17" i="11"/>
  <c r="AO50" i="11"/>
  <c r="Q14" i="11"/>
  <c r="BI53" i="11"/>
  <c r="Y27" i="11"/>
  <c r="AD21" i="11"/>
  <c r="O47" i="11"/>
  <c r="AG44" i="11"/>
  <c r="I20" i="11"/>
  <c r="AB29" i="11"/>
  <c r="BA24" i="11"/>
  <c r="AA24" i="11"/>
  <c r="BN32" i="11"/>
  <c r="K32" i="11"/>
  <c r="E21" i="11"/>
  <c r="AJ80" i="11"/>
  <c r="H42" i="11"/>
  <c r="H43" i="11" s="1"/>
  <c r="BO63" i="11"/>
  <c r="BO64" i="11" s="1"/>
  <c r="BD71" i="11"/>
  <c r="BE30" i="11"/>
  <c r="K26" i="11"/>
  <c r="AP27" i="11"/>
  <c r="R80" i="11"/>
  <c r="BG18" i="11"/>
  <c r="AD14" i="11"/>
  <c r="BL14" i="11"/>
  <c r="AI12" i="11"/>
  <c r="AD11" i="11"/>
  <c r="AX51" i="11"/>
  <c r="AX52" i="11" s="1"/>
  <c r="AS15" i="11"/>
  <c r="AL54" i="11"/>
  <c r="AL55" i="11" s="1"/>
  <c r="BP12" i="11"/>
  <c r="BJ42" i="11"/>
  <c r="BJ43" i="11" s="1"/>
  <c r="AM62" i="11"/>
  <c r="BG29" i="11"/>
  <c r="AJ21" i="11"/>
  <c r="AM26" i="11"/>
  <c r="AB12" i="11"/>
  <c r="BI50" i="11"/>
  <c r="BK27" i="11"/>
  <c r="R15" i="11"/>
  <c r="BL11" i="11"/>
  <c r="BD41" i="11"/>
  <c r="BM41" i="11"/>
  <c r="AE66" i="11"/>
  <c r="AE67" i="11" s="1"/>
  <c r="X14" i="11"/>
  <c r="BK20" i="11"/>
  <c r="U47" i="11"/>
  <c r="AI24" i="11"/>
  <c r="AC42" i="11"/>
  <c r="AC43" i="11" s="1"/>
  <c r="AK12" i="11"/>
  <c r="R27" i="11"/>
  <c r="BK17" i="11"/>
  <c r="BN41" i="11"/>
  <c r="BL44" i="11"/>
  <c r="BL41" i="11"/>
  <c r="T21" i="11"/>
  <c r="AL27" i="11"/>
  <c r="AC20" i="11"/>
  <c r="U14" i="11"/>
  <c r="BO30" i="11"/>
  <c r="AW18" i="11"/>
  <c r="AK18" i="11"/>
  <c r="AX15" i="11"/>
  <c r="AJ63" i="11"/>
  <c r="AJ64" i="11" s="1"/>
  <c r="AH21" i="11"/>
  <c r="AC39" i="11"/>
  <c r="AC40" i="11" s="1"/>
  <c r="H41" i="11"/>
  <c r="T15" i="11"/>
  <c r="AJ69" i="11"/>
  <c r="AJ70" i="11" s="1"/>
  <c r="BD27" i="11"/>
  <c r="AU42" i="11"/>
  <c r="AU43" i="11" s="1"/>
  <c r="AO11" i="11"/>
  <c r="D51" i="11"/>
  <c r="AA23" i="11"/>
  <c r="P11" i="11"/>
  <c r="D26" i="11"/>
  <c r="X36" i="11"/>
  <c r="J15" i="11"/>
  <c r="AR15" i="11"/>
  <c r="L23" i="11"/>
  <c r="V42" i="11"/>
  <c r="V43" i="11" s="1"/>
  <c r="AL18" i="11"/>
  <c r="F53" i="11"/>
  <c r="BB17" i="11"/>
  <c r="BG12" i="11"/>
  <c r="AY53" i="11"/>
  <c r="F44" i="11"/>
  <c r="Q56" i="11"/>
  <c r="U12" i="11"/>
  <c r="AR23" i="11"/>
  <c r="I21" i="11"/>
  <c r="AE36" i="11"/>
  <c r="AN36" i="11"/>
  <c r="BH15" i="11"/>
  <c r="V77" i="11"/>
  <c r="F15" i="11"/>
  <c r="AA14" i="11"/>
  <c r="AF23" i="11"/>
  <c r="AX48" i="11"/>
  <c r="AX49" i="11" s="1"/>
  <c r="Z27" i="11"/>
  <c r="AY54" i="11"/>
  <c r="AY55" i="11" s="1"/>
  <c r="U17" i="11"/>
  <c r="L45" i="11"/>
  <c r="L46" i="11" s="1"/>
  <c r="E50" i="11"/>
  <c r="K18" i="11"/>
  <c r="AH66" i="11"/>
  <c r="AH67" i="11" s="1"/>
  <c r="N11" i="11"/>
  <c r="O9" i="11"/>
  <c r="Z20" i="11"/>
  <c r="G66" i="11"/>
  <c r="G67" i="11" s="1"/>
  <c r="K17" i="11"/>
  <c r="BO54" i="11"/>
  <c r="BO55" i="11" s="1"/>
  <c r="G53" i="11"/>
  <c r="AR63" i="11"/>
  <c r="AR64" i="11" s="1"/>
  <c r="AJ65" i="11"/>
  <c r="AD68" i="11"/>
  <c r="N54" i="11"/>
  <c r="N55" i="11" s="1"/>
  <c r="AY17" i="11"/>
  <c r="AS30" i="11"/>
  <c r="AV60" i="11"/>
  <c r="AE24" i="11"/>
  <c r="BP80" i="11"/>
  <c r="AH74" i="11"/>
  <c r="BN20" i="11"/>
  <c r="K78" i="11"/>
  <c r="K79" i="11" s="1"/>
  <c r="AQ56" i="11"/>
  <c r="Y80" i="11"/>
  <c r="AQ60" i="11"/>
  <c r="AP44" i="11"/>
  <c r="AU50" i="11"/>
  <c r="BG41" i="11"/>
  <c r="M60" i="11"/>
  <c r="AJ39" i="11"/>
  <c r="AJ40" i="11" s="1"/>
  <c r="S56" i="11"/>
  <c r="AZ24" i="11"/>
  <c r="AF50" i="11"/>
  <c r="AG51" i="11"/>
  <c r="AG52" i="11" s="1"/>
  <c r="AM80" i="11"/>
  <c r="AV53" i="11"/>
  <c r="AS21" i="11"/>
  <c r="BD68" i="11"/>
  <c r="F56" i="11"/>
  <c r="AV56" i="11"/>
  <c r="J48" i="11"/>
  <c r="J49" i="11" s="1"/>
  <c r="AX63" i="11"/>
  <c r="AX64" i="11" s="1"/>
  <c r="AH39" i="11"/>
  <c r="AH40" i="11" s="1"/>
  <c r="J69" i="11"/>
  <c r="J70" i="11" s="1"/>
  <c r="AW23" i="11"/>
  <c r="N74" i="11"/>
  <c r="AJ48" i="11"/>
  <c r="AJ49" i="11" s="1"/>
  <c r="BM77" i="11"/>
  <c r="AE74" i="11"/>
  <c r="G54" i="11"/>
  <c r="G55" i="11" s="1"/>
  <c r="H9" i="11"/>
  <c r="AK11" i="11"/>
  <c r="AW63" i="11"/>
  <c r="AW64" i="11" s="1"/>
  <c r="H68" i="11"/>
  <c r="AH44" i="11"/>
  <c r="BN62" i="11"/>
  <c r="BK48" i="11"/>
  <c r="BK49" i="11" s="1"/>
  <c r="BB51" i="11"/>
  <c r="BB52" i="11" s="1"/>
  <c r="BK32" i="11"/>
  <c r="H72" i="11"/>
  <c r="H73" i="11" s="1"/>
  <c r="AT48" i="11"/>
  <c r="AT49" i="11" s="1"/>
  <c r="Q53" i="11"/>
  <c r="BP69" i="11"/>
  <c r="BP70" i="11" s="1"/>
  <c r="H51" i="11"/>
  <c r="H52" i="11" s="1"/>
  <c r="D62" i="11"/>
  <c r="V32" i="11"/>
  <c r="BG65" i="11"/>
  <c r="BG20" i="11"/>
  <c r="AF47" i="11"/>
  <c r="Y68" i="11"/>
  <c r="AJ14" i="11"/>
  <c r="N15" i="11"/>
  <c r="BD23" i="11"/>
  <c r="AD48" i="11"/>
  <c r="AD49" i="11" s="1"/>
  <c r="AI80" i="11"/>
  <c r="AJ38" i="11"/>
  <c r="I75" i="11"/>
  <c r="I76" i="11" s="1"/>
  <c r="Y42" i="11"/>
  <c r="Y43" i="11" s="1"/>
  <c r="BE65" i="11"/>
  <c r="AW71" i="11"/>
  <c r="U65" i="11"/>
  <c r="BN14" i="11"/>
  <c r="X62" i="11"/>
  <c r="AJ32" i="11"/>
  <c r="BE78" i="11"/>
  <c r="BE79" i="11" s="1"/>
  <c r="AP47" i="11"/>
  <c r="BH71" i="11"/>
  <c r="BO53" i="11"/>
  <c r="K41" i="11"/>
  <c r="BM21" i="11"/>
  <c r="BL42" i="12" s="1"/>
  <c r="AD9" i="11"/>
  <c r="AK47" i="11"/>
  <c r="AT17" i="11"/>
  <c r="BD9" i="11"/>
  <c r="G47" i="11"/>
  <c r="AJ29" i="11"/>
  <c r="R17" i="11"/>
  <c r="E11" i="11"/>
  <c r="BA12" i="11"/>
  <c r="AC11" i="11"/>
  <c r="N27" i="11"/>
  <c r="AU56" i="11"/>
  <c r="AT63" i="11"/>
  <c r="AT64" i="11" s="1"/>
  <c r="BN74" i="11"/>
  <c r="AT51" i="11"/>
  <c r="AT52" i="11" s="1"/>
  <c r="BD32" i="11"/>
  <c r="AE51" i="11"/>
  <c r="AE52" i="11" s="1"/>
  <c r="AR27" i="11"/>
  <c r="AQ32" i="11"/>
  <c r="BH18" i="11"/>
  <c r="AQ24" i="11"/>
  <c r="AK15" i="11"/>
  <c r="BF45" i="11"/>
  <c r="BF46" i="11" s="1"/>
  <c r="BP44" i="11"/>
  <c r="BF65" i="11"/>
  <c r="AZ51" i="11"/>
  <c r="AZ52" i="11" s="1"/>
  <c r="BJ54" i="11"/>
  <c r="BJ55" i="11" s="1"/>
  <c r="AX54" i="11"/>
  <c r="AX55" i="11" s="1"/>
  <c r="AP53" i="11"/>
  <c r="AM41" i="11"/>
  <c r="BF78" i="11"/>
  <c r="BF79" i="11" s="1"/>
  <c r="N56" i="11"/>
  <c r="BA78" i="11"/>
  <c r="BA79" i="11" s="1"/>
  <c r="AF18" i="11"/>
  <c r="M9" i="11"/>
  <c r="E18" i="11"/>
  <c r="W39" i="11"/>
  <c r="W40" i="11" s="1"/>
  <c r="BE48" i="11"/>
  <c r="BE49" i="11" s="1"/>
  <c r="Q32" i="11"/>
  <c r="Z26" i="11"/>
  <c r="BC18" i="11"/>
  <c r="AU11" i="11"/>
  <c r="R24" i="11"/>
  <c r="AX68" i="11"/>
  <c r="AA12" i="11"/>
  <c r="S23" i="11"/>
  <c r="AB69" i="11"/>
  <c r="AB70" i="11" s="1"/>
  <c r="BN23" i="11"/>
  <c r="AY65" i="11"/>
  <c r="P45" i="11"/>
  <c r="P46" i="11" s="1"/>
  <c r="E56" i="11"/>
  <c r="H17" i="11"/>
  <c r="U32" i="11"/>
  <c r="AL36" i="11"/>
  <c r="AV23" i="11"/>
  <c r="X24" i="11"/>
  <c r="BE15" i="11"/>
  <c r="BF56" i="11"/>
  <c r="AT45" i="11"/>
  <c r="AT46" i="11" s="1"/>
  <c r="AO26" i="11"/>
  <c r="BH42" i="11"/>
  <c r="BH43" i="11" s="1"/>
  <c r="M15" i="11"/>
  <c r="AS42" i="11"/>
  <c r="AS43" i="11" s="1"/>
  <c r="AO44" i="11"/>
  <c r="AH38" i="11"/>
  <c r="AG30" i="11"/>
  <c r="W26" i="11"/>
  <c r="AT15" i="11"/>
  <c r="G30" i="11"/>
  <c r="AH11" i="11"/>
  <c r="AQ50" i="11"/>
  <c r="AE20" i="11"/>
  <c r="W62" i="11"/>
  <c r="AT71" i="11"/>
  <c r="AU15" i="11"/>
  <c r="R45" i="11"/>
  <c r="R46" i="11" s="1"/>
  <c r="O80" i="11"/>
  <c r="BO23" i="11"/>
  <c r="AS26" i="11"/>
  <c r="BN51" i="11"/>
  <c r="BN52" i="11" s="1"/>
  <c r="AH27" i="11"/>
  <c r="BI12" i="11"/>
  <c r="BO21" i="11"/>
  <c r="I30" i="11"/>
  <c r="J24" i="11"/>
  <c r="J25" i="11" s="1"/>
  <c r="BK42" i="11"/>
  <c r="BK43" i="11" s="1"/>
  <c r="O18" i="11"/>
  <c r="D18" i="11"/>
  <c r="AW42" i="11"/>
  <c r="AW43" i="11" s="1"/>
  <c r="BA45" i="11"/>
  <c r="BA46" i="11" s="1"/>
  <c r="T11" i="11"/>
  <c r="AE47" i="11"/>
  <c r="AK23" i="11"/>
  <c r="AC54" i="11"/>
  <c r="AC55" i="11" s="1"/>
  <c r="BB21" i="11"/>
  <c r="BF24" i="11"/>
  <c r="D11" i="11"/>
  <c r="S15" i="11"/>
  <c r="BF17" i="11"/>
  <c r="E32" i="11"/>
  <c r="AQ12" i="11"/>
  <c r="F45" i="11"/>
  <c r="F46" i="11" s="1"/>
  <c r="BO47" i="11"/>
  <c r="F9" i="11"/>
  <c r="AM27" i="11"/>
  <c r="AT14" i="11"/>
  <c r="AG50" i="11"/>
  <c r="AG32" i="11"/>
  <c r="AN15" i="11"/>
  <c r="Z11" i="11"/>
  <c r="AD29" i="11"/>
  <c r="D29" i="11"/>
  <c r="S12" i="11"/>
  <c r="AM9" i="11"/>
  <c r="AN48" i="11"/>
  <c r="AN49" i="11" s="1"/>
  <c r="J44" i="11"/>
  <c r="O17" i="11"/>
  <c r="AP29" i="11"/>
  <c r="AB23" i="11"/>
  <c r="BH9" i="11"/>
  <c r="T51" i="11"/>
  <c r="T52" i="11" s="1"/>
  <c r="AF15" i="11"/>
  <c r="Q18" i="11"/>
  <c r="BG30" i="11"/>
  <c r="BD24" i="11"/>
  <c r="AQ9" i="11"/>
  <c r="AN26" i="11"/>
  <c r="I32" i="11"/>
  <c r="AZ27" i="11"/>
  <c r="BE14" i="11"/>
  <c r="Y44" i="11"/>
  <c r="BF38" i="11"/>
  <c r="X53" i="11"/>
  <c r="BI15" i="11"/>
  <c r="D48" i="11"/>
  <c r="AF39" i="11"/>
  <c r="AF40" i="11" s="1"/>
  <c r="AW32" i="11"/>
  <c r="AH32" i="11"/>
  <c r="BG72" i="11"/>
  <c r="BG73" i="11" s="1"/>
  <c r="BL20" i="11"/>
  <c r="AT44" i="11"/>
  <c r="AK20" i="11"/>
  <c r="AH41" i="11"/>
  <c r="L26" i="11"/>
  <c r="AG38" i="11"/>
  <c r="Y21" i="11"/>
  <c r="Z50" i="11"/>
  <c r="BN21" i="11"/>
  <c r="O44" i="11"/>
  <c r="U9" i="11"/>
  <c r="Y50" i="11"/>
  <c r="AU12" i="11"/>
  <c r="P9" i="11"/>
  <c r="BP66" i="11"/>
  <c r="BP67" i="11" s="1"/>
  <c r="AX26" i="11"/>
  <c r="U20" i="11"/>
  <c r="E14" i="11"/>
  <c r="O50" i="11"/>
  <c r="AF9" i="11"/>
  <c r="AH50" i="11"/>
  <c r="AL39" i="11"/>
  <c r="AL40" i="11" s="1"/>
  <c r="K12" i="11"/>
  <c r="BL32" i="11"/>
  <c r="AW24" i="11"/>
  <c r="BG38" i="11"/>
  <c r="AN44" i="11"/>
  <c r="AM48" i="11"/>
  <c r="AM49" i="11" s="1"/>
  <c r="Y54" i="11"/>
  <c r="Y55" i="11" s="1"/>
  <c r="AJ60" i="11"/>
  <c r="D75" i="11"/>
  <c r="U56" i="11"/>
  <c r="AS44" i="11"/>
  <c r="AE26" i="11"/>
  <c r="BN56" i="11"/>
  <c r="AN42" i="11"/>
  <c r="AN43" i="11" s="1"/>
  <c r="U62" i="11"/>
  <c r="BF80" i="11"/>
  <c r="M24" i="11"/>
  <c r="M25" i="11" s="1"/>
  <c r="AB56" i="11"/>
  <c r="AI14" i="11"/>
  <c r="BE29" i="11"/>
  <c r="O20" i="11"/>
  <c r="V11" i="11"/>
  <c r="BG45" i="11"/>
  <c r="BG46" i="11" s="1"/>
  <c r="AR41" i="11"/>
  <c r="Q50" i="11"/>
  <c r="AO23" i="11"/>
  <c r="BJ65" i="11"/>
  <c r="AI30" i="11"/>
  <c r="BC39" i="11"/>
  <c r="BC40" i="11" s="1"/>
  <c r="BA20" i="11"/>
  <c r="AF17" i="11"/>
  <c r="AJ42" i="11"/>
  <c r="AJ43" i="11" s="1"/>
  <c r="P27" i="11"/>
  <c r="E20" i="11"/>
  <c r="I11" i="11"/>
  <c r="BC44" i="11"/>
  <c r="N23" i="11"/>
  <c r="BD45" i="11"/>
  <c r="BD46" i="11" s="1"/>
  <c r="AO45" i="11"/>
  <c r="AO46" i="11" s="1"/>
  <c r="AR72" i="11"/>
  <c r="AR73" i="11" s="1"/>
  <c r="R62" i="11"/>
  <c r="U80" i="11"/>
  <c r="O77" i="11"/>
  <c r="BA51" i="11"/>
  <c r="BA52" i="11" s="1"/>
  <c r="AX47" i="11"/>
  <c r="BF60" i="11"/>
  <c r="BC51" i="11"/>
  <c r="BC52" i="11" s="1"/>
  <c r="Z54" i="11"/>
  <c r="Z55" i="11" s="1"/>
  <c r="Q11" i="11"/>
  <c r="O54" i="11"/>
  <c r="O55" i="11" s="1"/>
  <c r="BK11" i="11"/>
  <c r="T18" i="11"/>
  <c r="AB15" i="11"/>
  <c r="AX53" i="11"/>
  <c r="AY9" i="11"/>
  <c r="Y62" i="11"/>
  <c r="AU14" i="11"/>
  <c r="BC63" i="11"/>
  <c r="BC64" i="11" s="1"/>
  <c r="AJ26" i="11"/>
  <c r="BH45" i="11"/>
  <c r="BH46" i="11" s="1"/>
  <c r="AG15" i="11"/>
  <c r="U15" i="11"/>
  <c r="O48" i="11"/>
  <c r="O49" i="11" s="1"/>
  <c r="AN41" i="11"/>
  <c r="BJ9" i="11"/>
  <c r="BO32" i="11"/>
  <c r="T20" i="11"/>
  <c r="AC47" i="11"/>
  <c r="AL42" i="11"/>
  <c r="AL43" i="11" s="1"/>
  <c r="H66" i="11"/>
  <c r="H67" i="11" s="1"/>
  <c r="AP66" i="11"/>
  <c r="AP67" i="11" s="1"/>
  <c r="BM47" i="11"/>
  <c r="X80" i="11"/>
  <c r="X65" i="11"/>
  <c r="L60" i="11"/>
  <c r="AJ30" i="11"/>
  <c r="AZ38" i="11"/>
  <c r="AM24" i="11"/>
  <c r="J63" i="11"/>
  <c r="J64" i="11" s="1"/>
  <c r="BL80" i="11"/>
  <c r="BI23" i="11"/>
  <c r="BK50" i="11"/>
  <c r="BK14" i="11"/>
  <c r="AT20" i="11"/>
  <c r="BK54" i="11"/>
  <c r="BK55" i="11" s="1"/>
  <c r="T26" i="11"/>
  <c r="N51" i="11"/>
  <c r="N52" i="11" s="1"/>
  <c r="AO17" i="11"/>
  <c r="BF15" i="11"/>
  <c r="T32" i="11"/>
  <c r="R29" i="11"/>
  <c r="X38" i="11"/>
  <c r="U11" i="11"/>
  <c r="Q29" i="11"/>
  <c r="BF27" i="11"/>
  <c r="V15" i="11"/>
  <c r="AO14" i="11"/>
  <c r="R69" i="11"/>
  <c r="R70" i="11" s="1"/>
  <c r="BO48" i="11"/>
  <c r="BO49" i="11" s="1"/>
  <c r="AG29" i="11"/>
  <c r="AP26" i="11"/>
  <c r="AP23" i="11"/>
  <c r="AI62" i="11"/>
  <c r="AI77" i="11"/>
  <c r="X20" i="11"/>
  <c r="AL24" i="11"/>
  <c r="BN42" i="11"/>
  <c r="BN43" i="11" s="1"/>
  <c r="T38" i="11"/>
  <c r="BN69" i="11"/>
  <c r="BN70" i="11" s="1"/>
  <c r="BJ27" i="11"/>
  <c r="AM15" i="11"/>
  <c r="AS36" i="11"/>
  <c r="W60" i="11"/>
  <c r="BE11" i="11"/>
  <c r="BB75" i="11"/>
  <c r="BB76" i="11" s="1"/>
  <c r="AN23" i="11"/>
  <c r="AO30" i="11"/>
  <c r="AO12" i="11"/>
  <c r="AE12" i="11"/>
  <c r="BB42" i="11"/>
  <c r="BB43" i="11" s="1"/>
  <c r="N12" i="11"/>
  <c r="AK45" i="11"/>
  <c r="AK46" i="11" s="1"/>
  <c r="BP60" i="11"/>
  <c r="AE54" i="11"/>
  <c r="AE55" i="11" s="1"/>
  <c r="BH11" i="11"/>
  <c r="AA15" i="11"/>
  <c r="M20" i="11"/>
  <c r="AB11" i="11"/>
  <c r="AU17" i="11"/>
  <c r="AS12" i="11"/>
  <c r="AU27" i="11"/>
  <c r="K51" i="11"/>
  <c r="K52" i="11" s="1"/>
  <c r="K45" i="11"/>
  <c r="K46" i="11" s="1"/>
  <c r="BI45" i="11"/>
  <c r="BI46" i="11" s="1"/>
  <c r="BC60" i="11"/>
  <c r="BO71" i="11"/>
  <c r="X42" i="11"/>
  <c r="X43" i="11" s="1"/>
  <c r="K56" i="11"/>
  <c r="AN60" i="11"/>
  <c r="AJ71" i="11"/>
  <c r="BL21" i="11"/>
  <c r="I69" i="11"/>
  <c r="I70" i="11" s="1"/>
  <c r="F39" i="11"/>
  <c r="F40" i="11" s="1"/>
  <c r="AT72" i="11"/>
  <c r="AT73" i="11" s="1"/>
  <c r="AA66" i="11"/>
  <c r="AA67" i="11" s="1"/>
  <c r="AY15" i="11"/>
  <c r="AJ66" i="11"/>
  <c r="AJ67" i="11" s="1"/>
  <c r="P48" i="11"/>
  <c r="P49" i="11" s="1"/>
  <c r="BA66" i="11"/>
  <c r="BA67" i="11" s="1"/>
  <c r="Y11" i="11"/>
  <c r="V38" i="11"/>
  <c r="L11" i="11"/>
  <c r="AW29" i="11"/>
  <c r="AZ53" i="11"/>
  <c r="BJ14" i="11"/>
  <c r="M17" i="11"/>
  <c r="AG24" i="11"/>
  <c r="D39" i="11"/>
  <c r="O36" i="11"/>
  <c r="BH23" i="11"/>
  <c r="AX32" i="11"/>
  <c r="M48" i="11"/>
  <c r="M49" i="11" s="1"/>
  <c r="Q27" i="11"/>
  <c r="R21" i="11"/>
  <c r="AC56" i="11"/>
  <c r="E39" i="11"/>
  <c r="E40" i="11" s="1"/>
  <c r="V63" i="11"/>
  <c r="V64" i="11" s="1"/>
  <c r="BD80" i="11"/>
  <c r="I26" i="11"/>
  <c r="Z48" i="11"/>
  <c r="Z49" i="11" s="1"/>
  <c r="AH78" i="11"/>
  <c r="AH79" i="11" s="1"/>
  <c r="AL53" i="11"/>
  <c r="AI68" i="11"/>
  <c r="AV54" i="11"/>
  <c r="AV55" i="11" s="1"/>
  <c r="BF48" i="11"/>
  <c r="BF49" i="11" s="1"/>
  <c r="BG44" i="11"/>
  <c r="O12" i="11"/>
  <c r="L27" i="11"/>
  <c r="AF56" i="11"/>
  <c r="BL77" i="11"/>
  <c r="O74" i="11"/>
  <c r="AZ21" i="11"/>
  <c r="W74" i="11"/>
  <c r="BC20" i="11"/>
  <c r="Y24" i="11"/>
  <c r="O14" i="11"/>
  <c r="S14" i="11"/>
  <c r="K21" i="11"/>
  <c r="AI45" i="11"/>
  <c r="AI46" i="11" s="1"/>
  <c r="P17" i="11"/>
  <c r="BJ47" i="11"/>
  <c r="V30" i="11"/>
  <c r="L56" i="11"/>
  <c r="G18" i="11"/>
  <c r="BK26" i="11"/>
  <c r="G12" i="11"/>
  <c r="BK44" i="11"/>
  <c r="AD39" i="11"/>
  <c r="AD40" i="11" s="1"/>
  <c r="AT62" i="11"/>
  <c r="O62" i="11"/>
  <c r="AP62" i="11"/>
  <c r="AG72" i="11"/>
  <c r="AG73" i="11" s="1"/>
  <c r="AW56" i="11"/>
  <c r="AO9" i="11"/>
  <c r="AF71" i="11"/>
  <c r="H80" i="11"/>
  <c r="AX42" i="11"/>
  <c r="AX43" i="11" s="1"/>
  <c r="V75" i="11"/>
  <c r="V76" i="11" s="1"/>
  <c r="AE17" i="11"/>
  <c r="W27" i="11"/>
  <c r="BI32" i="11"/>
  <c r="BL72" i="11"/>
  <c r="BL73" i="11" s="1"/>
  <c r="AC29" i="11"/>
  <c r="BG9" i="11"/>
  <c r="BB50" i="11"/>
  <c r="AR56" i="11"/>
  <c r="BG15" i="11"/>
  <c r="BF51" i="11"/>
  <c r="BF52" i="11" s="1"/>
  <c r="AF51" i="11"/>
  <c r="AF52" i="11" s="1"/>
  <c r="AV20" i="11"/>
  <c r="AH15" i="11"/>
  <c r="AR17" i="11"/>
  <c r="N14" i="11"/>
  <c r="AZ18" i="11"/>
  <c r="AJ17" i="11"/>
  <c r="K23" i="11"/>
  <c r="BJ71" i="11"/>
  <c r="H32" i="11"/>
  <c r="N50" i="11"/>
  <c r="I15" i="11"/>
  <c r="AR36" i="11"/>
  <c r="BJ48" i="11"/>
  <c r="BJ49" i="11" s="1"/>
  <c r="W68" i="11"/>
  <c r="X74" i="11"/>
  <c r="AW20" i="11"/>
  <c r="AV42" i="11"/>
  <c r="AV43" i="11" s="1"/>
  <c r="BI71" i="11"/>
  <c r="BF20" i="11"/>
  <c r="AC27" i="11"/>
  <c r="AW36" i="11"/>
  <c r="AC23" i="11"/>
  <c r="AN24" i="11"/>
  <c r="I51" i="11"/>
  <c r="I52" i="11" s="1"/>
  <c r="P50" i="11"/>
  <c r="AN56" i="11"/>
  <c r="AN29" i="11"/>
  <c r="AK29" i="11"/>
  <c r="BI24" i="11"/>
  <c r="N38" i="11"/>
  <c r="AU26" i="11"/>
  <c r="BD39" i="11"/>
  <c r="BD40" i="11" s="1"/>
  <c r="BI54" i="11"/>
  <c r="BI55" i="11" s="1"/>
  <c r="BG48" i="11"/>
  <c r="BG49" i="11" s="1"/>
  <c r="BO14" i="11"/>
  <c r="L18" i="11"/>
  <c r="G9" i="11"/>
  <c r="AG41" i="11"/>
  <c r="S32" i="11"/>
  <c r="Z75" i="11"/>
  <c r="Z76" i="11" s="1"/>
  <c r="AJ15" i="11"/>
  <c r="R111" i="58"/>
  <c r="T111" i="58" s="1"/>
  <c r="W111" i="58" s="1"/>
  <c r="S84" i="68"/>
  <c r="T194" i="69"/>
  <c r="P194" i="69"/>
  <c r="S194" i="69"/>
  <c r="T149" i="69"/>
  <c r="P149" i="69"/>
  <c r="S149" i="69"/>
  <c r="AT7" i="57"/>
  <c r="AS7" i="57"/>
  <c r="S150" i="64"/>
  <c r="T150" i="64"/>
  <c r="P150" i="64"/>
  <c r="Q144" i="64"/>
  <c r="T144" i="64" s="1"/>
  <c r="P191" i="61"/>
  <c r="S191" i="61"/>
  <c r="S146" i="66"/>
  <c r="P30" i="34"/>
  <c r="O27" i="34"/>
  <c r="P27" i="34" s="1"/>
  <c r="P34" i="24"/>
  <c r="Q34" i="24"/>
  <c r="N116" i="33"/>
  <c r="N111" i="33" s="1"/>
  <c r="M111" i="33"/>
  <c r="M89" i="33" s="1"/>
  <c r="P123" i="34"/>
  <c r="P114" i="25"/>
  <c r="Q114" i="25"/>
  <c r="P142" i="39"/>
  <c r="O141" i="39"/>
  <c r="P141" i="39" s="1"/>
  <c r="Q105" i="20"/>
  <c r="P105" i="20"/>
  <c r="Q95" i="48"/>
  <c r="P95" i="48"/>
  <c r="O94" i="48"/>
  <c r="P25" i="47"/>
  <c r="Q25" i="47"/>
  <c r="O22" i="47"/>
  <c r="P143" i="49"/>
  <c r="O141" i="49"/>
  <c r="P141" i="49" s="1"/>
  <c r="N150" i="34"/>
  <c r="N149" i="34" s="1"/>
  <c r="AL28" i="30" s="1"/>
  <c r="P55" i="47"/>
  <c r="Q55" i="47"/>
  <c r="P78" i="48"/>
  <c r="Q78" i="48"/>
  <c r="N117" i="33"/>
  <c r="P107" i="25"/>
  <c r="Q107" i="25"/>
  <c r="P21" i="25"/>
  <c r="Q21" i="25"/>
  <c r="P136" i="20"/>
  <c r="Q136" i="20"/>
  <c r="O134" i="20"/>
  <c r="P134" i="20" s="1"/>
  <c r="P104" i="34"/>
  <c r="P115" i="24"/>
  <c r="Q115" i="24"/>
  <c r="N130" i="37"/>
  <c r="N129" i="37" s="1"/>
  <c r="AU27" i="30" s="1"/>
  <c r="P51" i="49"/>
  <c r="O47" i="49"/>
  <c r="P47" i="49" s="1"/>
  <c r="S40" i="63"/>
  <c r="S39" i="63" s="1"/>
  <c r="T40" i="63"/>
  <c r="P40" i="63"/>
  <c r="Q39" i="63"/>
  <c r="T39" i="63" s="1"/>
  <c r="O144" i="36"/>
  <c r="Q15" i="20"/>
  <c r="P15" i="20"/>
  <c r="P127" i="24"/>
  <c r="Q127" i="24"/>
  <c r="P79" i="64"/>
  <c r="Q77" i="64"/>
  <c r="T77" i="64" s="1"/>
  <c r="T79" i="64"/>
  <c r="S79" i="64"/>
  <c r="S77" i="64" s="1"/>
  <c r="K285" i="58"/>
  <c r="S38" i="67"/>
  <c r="T38" i="67"/>
  <c r="P38" i="67"/>
  <c r="Q33" i="67"/>
  <c r="T33" i="67" s="1"/>
  <c r="U77" i="63"/>
  <c r="Y77" i="63"/>
  <c r="AB77" i="63" s="1"/>
  <c r="P195" i="66"/>
  <c r="S195" i="66"/>
  <c r="S78" i="67"/>
  <c r="P88" i="67"/>
  <c r="T88" i="67"/>
  <c r="S88" i="67"/>
  <c r="N47" i="34"/>
  <c r="N37" i="34" s="1"/>
  <c r="N36" i="34" s="1"/>
  <c r="S61" i="62"/>
  <c r="T61" i="62"/>
  <c r="P61" i="62"/>
  <c r="P53" i="24"/>
  <c r="Q53" i="24"/>
  <c r="P28" i="39"/>
  <c r="O27" i="39"/>
  <c r="P27" i="39" s="1"/>
  <c r="O124" i="49"/>
  <c r="P124" i="49" s="1"/>
  <c r="P143" i="25"/>
  <c r="Q143" i="25"/>
  <c r="O115" i="58"/>
  <c r="I2" i="61"/>
  <c r="D51" i="56"/>
  <c r="D54" i="56" s="1"/>
  <c r="S183" i="69"/>
  <c r="S80" i="66"/>
  <c r="P80" i="66"/>
  <c r="P74" i="64"/>
  <c r="T74" i="64"/>
  <c r="S76" i="68"/>
  <c r="P61" i="24"/>
  <c r="Q61" i="24"/>
  <c r="O60" i="24"/>
  <c r="N52" i="20"/>
  <c r="N47" i="20" s="1"/>
  <c r="M47" i="20"/>
  <c r="M37" i="20" s="1"/>
  <c r="M36" i="20" s="1"/>
  <c r="N56" i="35"/>
  <c r="P18" i="34"/>
  <c r="P79" i="35"/>
  <c r="Q79" i="35"/>
  <c r="P68" i="34"/>
  <c r="O66" i="34"/>
  <c r="P66" i="34" s="1"/>
  <c r="P151" i="36"/>
  <c r="Q151" i="36"/>
  <c r="Q100" i="35"/>
  <c r="P100" i="35"/>
  <c r="O99" i="35"/>
  <c r="P49" i="51"/>
  <c r="O47" i="51"/>
  <c r="P47" i="51" s="1"/>
  <c r="P114" i="48"/>
  <c r="Q114" i="48"/>
  <c r="O111" i="48"/>
  <c r="P111" i="48" s="1"/>
  <c r="N90" i="35"/>
  <c r="N89" i="35" s="1"/>
  <c r="P98" i="51"/>
  <c r="O94" i="51"/>
  <c r="O133" i="48"/>
  <c r="O12" i="50"/>
  <c r="P103" i="35"/>
  <c r="O102" i="35"/>
  <c r="Q103" i="35"/>
  <c r="Q122" i="25"/>
  <c r="P122" i="25"/>
  <c r="Q49" i="25"/>
  <c r="P49" i="25"/>
  <c r="P46" i="25"/>
  <c r="Q46" i="25"/>
  <c r="P128" i="46"/>
  <c r="Q128" i="46"/>
  <c r="O98" i="49"/>
  <c r="P98" i="49" s="1"/>
  <c r="P99" i="63"/>
  <c r="T99" i="63"/>
  <c r="P107" i="20"/>
  <c r="Q107" i="20"/>
  <c r="O65" i="38"/>
  <c r="N63" i="38"/>
  <c r="S175" i="63"/>
  <c r="T171" i="63"/>
  <c r="S171" i="63"/>
  <c r="S169" i="63" s="1"/>
  <c r="P171" i="63"/>
  <c r="Q169" i="63"/>
  <c r="T169" i="63" s="1"/>
  <c r="P122" i="67"/>
  <c r="S122" i="67"/>
  <c r="S120" i="67" s="1"/>
  <c r="Q120" i="67"/>
  <c r="T120" i="67" s="1"/>
  <c r="T122" i="67"/>
  <c r="P151" i="64"/>
  <c r="T151" i="64"/>
  <c r="P81" i="48"/>
  <c r="Q81" i="48"/>
  <c r="O133" i="20"/>
  <c r="S206" i="63"/>
  <c r="S55" i="67"/>
  <c r="T55" i="67"/>
  <c r="P55" i="67"/>
  <c r="S92" i="63"/>
  <c r="Q152" i="25"/>
  <c r="P152" i="25"/>
  <c r="P136" i="35"/>
  <c r="Q136" i="35"/>
  <c r="O134" i="35"/>
  <c r="P74" i="65"/>
  <c r="T74" i="65"/>
  <c r="N70" i="20"/>
  <c r="N69" i="20" s="1"/>
  <c r="P81" i="62"/>
  <c r="T81" i="62"/>
  <c r="S81" i="62"/>
  <c r="S77" i="62" s="1"/>
  <c r="P24" i="67"/>
  <c r="S24" i="67"/>
  <c r="S23" i="67" s="1"/>
  <c r="Q23" i="67"/>
  <c r="T23" i="67" s="1"/>
  <c r="T24" i="67"/>
  <c r="T13" i="68"/>
  <c r="S13" i="68"/>
  <c r="P13" i="68"/>
  <c r="P113" i="37"/>
  <c r="Q113" i="37"/>
  <c r="P201" i="66"/>
  <c r="S201" i="66"/>
  <c r="W303" i="58"/>
  <c r="AE48" i="57"/>
  <c r="V341" i="58"/>
  <c r="S179" i="61"/>
  <c r="S175" i="61" s="1"/>
  <c r="P11" i="61"/>
  <c r="W12" i="61"/>
  <c r="V12" i="61" s="1"/>
  <c r="S97" i="61"/>
  <c r="S88" i="61"/>
  <c r="S86" i="61" s="1"/>
  <c r="S82" i="61" s="1"/>
  <c r="P138" i="61"/>
  <c r="S138" i="61"/>
  <c r="S11" i="61"/>
  <c r="U175" i="61"/>
  <c r="Y175" i="61" s="1"/>
  <c r="W179" i="61"/>
  <c r="W175" i="61" s="1"/>
  <c r="BK39" i="57" s="1"/>
  <c r="W18" i="61"/>
  <c r="V18" i="61" s="1"/>
  <c r="W88" i="61"/>
  <c r="V88" i="61" s="1"/>
  <c r="W81" i="61"/>
  <c r="V81" i="61" s="1"/>
  <c r="W140" i="61"/>
  <c r="V140" i="61" s="1"/>
  <c r="Q86" i="61"/>
  <c r="Q82" i="61" s="1"/>
  <c r="P87" i="61"/>
  <c r="W98" i="61"/>
  <c r="V98" i="61" s="1"/>
  <c r="S140" i="61"/>
  <c r="S61" i="61"/>
  <c r="U86" i="61"/>
  <c r="W87" i="61"/>
  <c r="W61" i="61"/>
  <c r="V61" i="61" s="1"/>
  <c r="V147" i="58"/>
  <c r="S120" i="68"/>
  <c r="AQ23" i="57" s="1"/>
  <c r="P23" i="57" s="1"/>
  <c r="T116" i="68"/>
  <c r="P116" i="68"/>
  <c r="P118" i="68"/>
  <c r="T118" i="68"/>
  <c r="O131" i="58"/>
  <c r="O128" i="58" s="1"/>
  <c r="U49" i="68"/>
  <c r="P87" i="68"/>
  <c r="S87" i="68"/>
  <c r="T87" i="68"/>
  <c r="U72" i="68"/>
  <c r="O71" i="68"/>
  <c r="U71" i="68" s="1"/>
  <c r="O150" i="58"/>
  <c r="O149" i="58" s="1"/>
  <c r="Q84" i="68"/>
  <c r="T84" i="68" s="1"/>
  <c r="T85" i="68"/>
  <c r="P85" i="68"/>
  <c r="P199" i="68"/>
  <c r="T199" i="68"/>
  <c r="S199" i="68"/>
  <c r="T135" i="68"/>
  <c r="P135" i="68"/>
  <c r="S48" i="68"/>
  <c r="T48" i="68"/>
  <c r="P48" i="68"/>
  <c r="T192" i="68"/>
  <c r="P192" i="68"/>
  <c r="U19" i="68"/>
  <c r="O105" i="58"/>
  <c r="S136" i="68"/>
  <c r="P136" i="68"/>
  <c r="T136" i="68"/>
  <c r="T59" i="68"/>
  <c r="P59" i="68"/>
  <c r="S59" i="68"/>
  <c r="Q58" i="68"/>
  <c r="T58" i="68" s="1"/>
  <c r="V221" i="58"/>
  <c r="T47" i="68"/>
  <c r="P47" i="68"/>
  <c r="S47" i="68"/>
  <c r="P168" i="68"/>
  <c r="T168" i="68"/>
  <c r="S168" i="68"/>
  <c r="T173" i="68"/>
  <c r="P173" i="68"/>
  <c r="P86" i="68"/>
  <c r="T86" i="68"/>
  <c r="S135" i="68"/>
  <c r="P75" i="68"/>
  <c r="T75" i="68"/>
  <c r="S117" i="68"/>
  <c r="P117" i="68"/>
  <c r="T117" i="68"/>
  <c r="S130" i="68"/>
  <c r="S129" i="68" s="1"/>
  <c r="P130" i="68"/>
  <c r="T130" i="68"/>
  <c r="Q129" i="68"/>
  <c r="Q95" i="68"/>
  <c r="T95" i="68" s="1"/>
  <c r="T96" i="68"/>
  <c r="P96" i="68"/>
  <c r="P106" i="68"/>
  <c r="S106" i="68"/>
  <c r="T106" i="68"/>
  <c r="T202" i="68"/>
  <c r="P202" i="68"/>
  <c r="S202" i="68"/>
  <c r="R249" i="58"/>
  <c r="T249" i="58" s="1"/>
  <c r="W249" i="58" s="1"/>
  <c r="O169" i="58"/>
  <c r="T36" i="68"/>
  <c r="P36" i="68"/>
  <c r="T191" i="68"/>
  <c r="P191" i="68"/>
  <c r="S191" i="68"/>
  <c r="U84" i="68"/>
  <c r="O160" i="58"/>
  <c r="O158" i="58" s="1"/>
  <c r="P181" i="68"/>
  <c r="T181" i="68"/>
  <c r="S181" i="68"/>
  <c r="T20" i="68"/>
  <c r="P20" i="68"/>
  <c r="Q19" i="68"/>
  <c r="T19" i="68" s="1"/>
  <c r="S158" i="68"/>
  <c r="T158" i="68"/>
  <c r="P158" i="68"/>
  <c r="P22" i="68"/>
  <c r="T22" i="68"/>
  <c r="T18" i="68"/>
  <c r="P18" i="68"/>
  <c r="S75" i="68"/>
  <c r="P201" i="68"/>
  <c r="S201" i="68"/>
  <c r="T201" i="68"/>
  <c r="S15" i="68"/>
  <c r="P15" i="68"/>
  <c r="T15" i="68"/>
  <c r="P200" i="68"/>
  <c r="T200" i="68"/>
  <c r="S200" i="68"/>
  <c r="P60" i="68"/>
  <c r="T60" i="68"/>
  <c r="S60" i="68"/>
  <c r="P133" i="68"/>
  <c r="T133" i="68"/>
  <c r="Q132" i="68"/>
  <c r="T132" i="68" s="1"/>
  <c r="S89" i="68"/>
  <c r="P89" i="68"/>
  <c r="T89" i="68"/>
  <c r="S37" i="68"/>
  <c r="P37" i="68"/>
  <c r="T37" i="68"/>
  <c r="T41" i="68"/>
  <c r="P41" i="68"/>
  <c r="S41" i="68"/>
  <c r="T29" i="68"/>
  <c r="P29" i="68"/>
  <c r="P121" i="68"/>
  <c r="T121" i="68"/>
  <c r="Q120" i="68"/>
  <c r="P39" i="68"/>
  <c r="T39" i="68"/>
  <c r="T57" i="68"/>
  <c r="P57" i="68"/>
  <c r="S71" i="68"/>
  <c r="T115" i="68"/>
  <c r="P115" i="68"/>
  <c r="U185" i="68"/>
  <c r="O184" i="68"/>
  <c r="U184" i="68" s="1"/>
  <c r="S43" i="68"/>
  <c r="T43" i="68"/>
  <c r="P43" i="68"/>
  <c r="P34" i="68"/>
  <c r="T34" i="68"/>
  <c r="S34" i="68"/>
  <c r="Q33" i="68"/>
  <c r="T33" i="68" s="1"/>
  <c r="S96" i="68"/>
  <c r="S95" i="68" s="1"/>
  <c r="P169" i="68"/>
  <c r="T169" i="68"/>
  <c r="P137" i="68"/>
  <c r="T137" i="68"/>
  <c r="O226" i="58"/>
  <c r="U132" i="68"/>
  <c r="T198" i="68"/>
  <c r="P198" i="68"/>
  <c r="T143" i="68"/>
  <c r="P143" i="68"/>
  <c r="T111" i="68"/>
  <c r="P111" i="68"/>
  <c r="S111" i="68"/>
  <c r="P73" i="68"/>
  <c r="Q72" i="68"/>
  <c r="T73" i="68"/>
  <c r="T92" i="68"/>
  <c r="P92" i="68"/>
  <c r="S169" i="68"/>
  <c r="T42" i="68"/>
  <c r="P42" i="68"/>
  <c r="T157" i="68"/>
  <c r="Q153" i="68"/>
  <c r="T153" i="68" s="1"/>
  <c r="P157" i="68"/>
  <c r="T138" i="68"/>
  <c r="S138" i="68"/>
  <c r="P138" i="68"/>
  <c r="P179" i="68"/>
  <c r="T179" i="68"/>
  <c r="T88" i="68"/>
  <c r="P88" i="68"/>
  <c r="T16" i="68"/>
  <c r="P16" i="68"/>
  <c r="S16" i="68"/>
  <c r="T91" i="68"/>
  <c r="P91" i="68"/>
  <c r="S91" i="68"/>
  <c r="S133" i="68"/>
  <c r="T123" i="68"/>
  <c r="P123" i="68"/>
  <c r="S21" i="68"/>
  <c r="S19" i="68" s="1"/>
  <c r="P21" i="68"/>
  <c r="T21" i="68"/>
  <c r="P62" i="68"/>
  <c r="T62" i="68"/>
  <c r="P114" i="68"/>
  <c r="T114" i="68"/>
  <c r="S114" i="68"/>
  <c r="Q23" i="68"/>
  <c r="T23" i="68" s="1"/>
  <c r="T24" i="68"/>
  <c r="P24" i="68"/>
  <c r="P112" i="68"/>
  <c r="T112" i="68"/>
  <c r="T182" i="68"/>
  <c r="P182" i="68"/>
  <c r="S182" i="68"/>
  <c r="P35" i="68"/>
  <c r="T35" i="68"/>
  <c r="S44" i="68"/>
  <c r="P44" i="68"/>
  <c r="T44" i="68"/>
  <c r="P17" i="68"/>
  <c r="T17" i="68"/>
  <c r="P166" i="68"/>
  <c r="T166" i="68"/>
  <c r="S51" i="68"/>
  <c r="S49" i="68" s="1"/>
  <c r="T51" i="68"/>
  <c r="Q49" i="68"/>
  <c r="T49" i="68" s="1"/>
  <c r="P51" i="68"/>
  <c r="P196" i="68"/>
  <c r="T196" i="68"/>
  <c r="Q193" i="68"/>
  <c r="T83" i="68"/>
  <c r="P83" i="68"/>
  <c r="S83" i="68"/>
  <c r="T180" i="68"/>
  <c r="P180" i="68"/>
  <c r="P40" i="68"/>
  <c r="T40" i="68"/>
  <c r="U25" i="68"/>
  <c r="O109" i="58"/>
  <c r="O107" i="58" s="1"/>
  <c r="O23" i="68"/>
  <c r="U23" i="68" s="1"/>
  <c r="T63" i="68"/>
  <c r="P63" i="68"/>
  <c r="P119" i="68"/>
  <c r="S119" i="68"/>
  <c r="T119" i="68"/>
  <c r="S112" i="68"/>
  <c r="T140" i="68"/>
  <c r="S140" i="68"/>
  <c r="P140" i="68"/>
  <c r="T165" i="68"/>
  <c r="P165" i="68"/>
  <c r="Q163" i="68"/>
  <c r="T163" i="68" s="1"/>
  <c r="S165" i="68"/>
  <c r="S163" i="68" s="1"/>
  <c r="O285" i="58"/>
  <c r="U58" i="68"/>
  <c r="O138" i="58"/>
  <c r="O136" i="58" s="1"/>
  <c r="O56" i="68"/>
  <c r="U56" i="68" s="1"/>
  <c r="T38" i="68"/>
  <c r="P38" i="68"/>
  <c r="S157" i="68"/>
  <c r="S116" i="68"/>
  <c r="O46" i="68"/>
  <c r="T97" i="68"/>
  <c r="P97" i="68"/>
  <c r="T110" i="68"/>
  <c r="P110" i="68"/>
  <c r="T65" i="68"/>
  <c r="P65" i="68"/>
  <c r="S65" i="68"/>
  <c r="T61" i="68"/>
  <c r="P61" i="68"/>
  <c r="P109" i="68"/>
  <c r="T109" i="68"/>
  <c r="T53" i="68"/>
  <c r="P53" i="68"/>
  <c r="S25" i="68"/>
  <c r="S23" i="68" s="1"/>
  <c r="P64" i="68"/>
  <c r="T64" i="68"/>
  <c r="O225" i="58"/>
  <c r="U129" i="68"/>
  <c r="O128" i="68"/>
  <c r="S70" i="68"/>
  <c r="P70" i="68"/>
  <c r="T70" i="68"/>
  <c r="T93" i="68"/>
  <c r="P93" i="68"/>
  <c r="P186" i="68"/>
  <c r="Q185" i="68"/>
  <c r="T186" i="68"/>
  <c r="N101" i="68"/>
  <c r="U101" i="68"/>
  <c r="O100" i="68"/>
  <c r="U100" i="68" s="1"/>
  <c r="S134" i="68"/>
  <c r="T134" i="68"/>
  <c r="P134" i="68"/>
  <c r="S40" i="68"/>
  <c r="V248" i="58"/>
  <c r="G41" i="4"/>
  <c r="G40" i="4" s="1"/>
  <c r="G42" i="4" s="1"/>
  <c r="G43" i="4" s="1"/>
  <c r="AX7" i="5"/>
  <c r="AX64" i="5" s="1"/>
  <c r="AA47" i="57"/>
  <c r="AD47" i="57"/>
  <c r="Y199" i="63"/>
  <c r="AB199" i="63" s="1"/>
  <c r="R291" i="58"/>
  <c r="T291" i="58" s="1"/>
  <c r="W291" i="58" s="1"/>
  <c r="N196" i="58"/>
  <c r="Q199" i="63"/>
  <c r="P208" i="63"/>
  <c r="T208" i="63"/>
  <c r="H197" i="58"/>
  <c r="H107" i="58"/>
  <c r="V173" i="58"/>
  <c r="T208" i="62"/>
  <c r="S208" i="62"/>
  <c r="P208" i="62"/>
  <c r="M245" i="58"/>
  <c r="AV48" i="57"/>
  <c r="U48" i="57" s="1"/>
  <c r="AX5" i="5"/>
  <c r="AX4" i="5" s="1"/>
  <c r="AX61" i="5" s="1"/>
  <c r="Q68" i="58"/>
  <c r="R68" i="58" s="1"/>
  <c r="T68" i="58" s="1"/>
  <c r="V68" i="58" s="1"/>
  <c r="M115" i="58"/>
  <c r="U76" i="61"/>
  <c r="W76" i="61" s="1"/>
  <c r="V76" i="61" s="1"/>
  <c r="R78" i="58"/>
  <c r="R74" i="58" s="1"/>
  <c r="AZ3" i="6"/>
  <c r="M262" i="58"/>
  <c r="U46" i="65"/>
  <c r="P143" i="65"/>
  <c r="T143" i="65"/>
  <c r="P133" i="65"/>
  <c r="T133" i="65"/>
  <c r="Q132" i="65"/>
  <c r="T132" i="65" s="1"/>
  <c r="S133" i="65"/>
  <c r="S132" i="65" s="1"/>
  <c r="P48" i="65"/>
  <c r="T48" i="65"/>
  <c r="P199" i="65"/>
  <c r="T199" i="65"/>
  <c r="T75" i="65"/>
  <c r="P75" i="65"/>
  <c r="S181" i="65"/>
  <c r="T181" i="65"/>
  <c r="P181" i="65"/>
  <c r="T164" i="65"/>
  <c r="Q163" i="65"/>
  <c r="T163" i="65" s="1"/>
  <c r="P164" i="65"/>
  <c r="P73" i="65"/>
  <c r="T73" i="65"/>
  <c r="S73" i="65"/>
  <c r="S72" i="65" s="1"/>
  <c r="Q72" i="65"/>
  <c r="M197" i="58"/>
  <c r="M196" i="58" s="1"/>
  <c r="T169" i="65"/>
  <c r="P169" i="65"/>
  <c r="T59" i="65"/>
  <c r="P59" i="65"/>
  <c r="Q58" i="65"/>
  <c r="O184" i="65"/>
  <c r="U184" i="65" s="1"/>
  <c r="U185" i="65"/>
  <c r="T18" i="65"/>
  <c r="P18" i="65"/>
  <c r="S18" i="65"/>
  <c r="Q95" i="65"/>
  <c r="T95" i="65" s="1"/>
  <c r="P96" i="65"/>
  <c r="T96" i="65"/>
  <c r="P87" i="65"/>
  <c r="T87" i="65"/>
  <c r="S138" i="65"/>
  <c r="T138" i="65"/>
  <c r="P138" i="65"/>
  <c r="T43" i="65"/>
  <c r="P43" i="65"/>
  <c r="P85" i="65"/>
  <c r="T85" i="65"/>
  <c r="Q84" i="65"/>
  <c r="T84" i="65" s="1"/>
  <c r="S85" i="65"/>
  <c r="S84" i="65" s="1"/>
  <c r="T35" i="65"/>
  <c r="P35" i="65"/>
  <c r="Q33" i="65"/>
  <c r="T33" i="65" s="1"/>
  <c r="P112" i="65"/>
  <c r="T112" i="65"/>
  <c r="U101" i="65"/>
  <c r="O100" i="65"/>
  <c r="U100" i="65" s="1"/>
  <c r="O56" i="65"/>
  <c r="U56" i="65" s="1"/>
  <c r="M138" i="58"/>
  <c r="U58" i="65"/>
  <c r="S158" i="65"/>
  <c r="T158" i="65"/>
  <c r="P158" i="65"/>
  <c r="P41" i="65"/>
  <c r="T41" i="65"/>
  <c r="M225" i="58"/>
  <c r="U129" i="65"/>
  <c r="O128" i="65"/>
  <c r="U128" i="65" s="1"/>
  <c r="P200" i="65"/>
  <c r="T200" i="65"/>
  <c r="S22" i="65"/>
  <c r="P22" i="65"/>
  <c r="T22" i="65"/>
  <c r="P106" i="65"/>
  <c r="T106" i="65"/>
  <c r="Q120" i="65"/>
  <c r="P122" i="65"/>
  <c r="T122" i="65"/>
  <c r="Q49" i="65"/>
  <c r="T49" i="65" s="1"/>
  <c r="T50" i="65"/>
  <c r="P50" i="65"/>
  <c r="T154" i="65"/>
  <c r="P154" i="65"/>
  <c r="Q153" i="65"/>
  <c r="T153" i="65" s="1"/>
  <c r="P141" i="65"/>
  <c r="T141" i="65"/>
  <c r="R228" i="58"/>
  <c r="T228" i="58" s="1"/>
  <c r="V228" i="58" s="1"/>
  <c r="S42" i="65"/>
  <c r="T42" i="65"/>
  <c r="P42" i="65"/>
  <c r="P70" i="65"/>
  <c r="T70" i="65"/>
  <c r="T83" i="65"/>
  <c r="P83" i="65"/>
  <c r="O82" i="65"/>
  <c r="U82" i="65" s="1"/>
  <c r="U84" i="65"/>
  <c r="M160" i="58"/>
  <c r="M158" i="58" s="1"/>
  <c r="S115" i="65"/>
  <c r="T115" i="65"/>
  <c r="P115" i="65"/>
  <c r="M285" i="58"/>
  <c r="T166" i="65"/>
  <c r="P166" i="65"/>
  <c r="P27" i="65"/>
  <c r="T27" i="65"/>
  <c r="S25" i="65"/>
  <c r="P168" i="65"/>
  <c r="S168" i="65"/>
  <c r="T168" i="65"/>
  <c r="T191" i="65"/>
  <c r="P191" i="65"/>
  <c r="S191" i="65"/>
  <c r="Q129" i="65"/>
  <c r="P130" i="65"/>
  <c r="T130" i="65"/>
  <c r="P37" i="65"/>
  <c r="T37" i="65"/>
  <c r="P61" i="65"/>
  <c r="T61" i="65"/>
  <c r="P26" i="65"/>
  <c r="Q25" i="65"/>
  <c r="T25" i="65" s="1"/>
  <c r="T26" i="65"/>
  <c r="P39" i="65"/>
  <c r="T39" i="65"/>
  <c r="S39" i="65"/>
  <c r="T102" i="65"/>
  <c r="P102" i="65"/>
  <c r="S102" i="65"/>
  <c r="Q101" i="65"/>
  <c r="P157" i="65"/>
  <c r="S157" i="65"/>
  <c r="T157" i="65"/>
  <c r="S48" i="65"/>
  <c r="S46" i="65" s="1"/>
  <c r="M105" i="58"/>
  <c r="U19" i="65"/>
  <c r="M255" i="58"/>
  <c r="S179" i="65"/>
  <c r="P179" i="65"/>
  <c r="T179" i="65"/>
  <c r="Q170" i="65"/>
  <c r="U25" i="65"/>
  <c r="M109" i="58"/>
  <c r="M107" i="58" s="1"/>
  <c r="T55" i="65"/>
  <c r="P55" i="65"/>
  <c r="T83" i="58"/>
  <c r="W83" i="58" s="1"/>
  <c r="W76" i="58"/>
  <c r="T140" i="65"/>
  <c r="P140" i="65"/>
  <c r="P131" i="65"/>
  <c r="T131" i="65"/>
  <c r="S131" i="65"/>
  <c r="S129" i="65" s="1"/>
  <c r="P29" i="65"/>
  <c r="T29" i="65"/>
  <c r="T202" i="65"/>
  <c r="S202" i="65"/>
  <c r="P202" i="65"/>
  <c r="S16" i="65"/>
  <c r="T16" i="65"/>
  <c r="P16" i="65"/>
  <c r="Q193" i="65"/>
  <c r="S196" i="65"/>
  <c r="P196" i="65"/>
  <c r="T196" i="65"/>
  <c r="S96" i="65"/>
  <c r="S95" i="65" s="1"/>
  <c r="P165" i="65"/>
  <c r="S165" i="65"/>
  <c r="S163" i="65" s="1"/>
  <c r="T165" i="65"/>
  <c r="T36" i="65"/>
  <c r="P36" i="65"/>
  <c r="P21" i="65"/>
  <c r="T21" i="65"/>
  <c r="Q19" i="65"/>
  <c r="T19" i="65" s="1"/>
  <c r="P68" i="65"/>
  <c r="T68" i="65"/>
  <c r="T15" i="65"/>
  <c r="P15" i="65"/>
  <c r="P98" i="65"/>
  <c r="T98" i="65"/>
  <c r="T90" i="65"/>
  <c r="P90" i="65"/>
  <c r="S192" i="65"/>
  <c r="T192" i="65"/>
  <c r="P192" i="65"/>
  <c r="U132" i="65"/>
  <c r="M226" i="58"/>
  <c r="P142" i="65"/>
  <c r="T142" i="65"/>
  <c r="S142" i="65"/>
  <c r="P88" i="65"/>
  <c r="T88" i="65"/>
  <c r="S88" i="65"/>
  <c r="P47" i="65"/>
  <c r="T47" i="65"/>
  <c r="U49" i="65"/>
  <c r="M131" i="58"/>
  <c r="M128" i="58" s="1"/>
  <c r="T339" i="58"/>
  <c r="V339" i="58" s="1"/>
  <c r="R124" i="58"/>
  <c r="T124" i="58" s="1"/>
  <c r="V124" i="58" s="1"/>
  <c r="P54" i="65"/>
  <c r="T54" i="65"/>
  <c r="S35" i="65"/>
  <c r="S89" i="65"/>
  <c r="P89" i="65"/>
  <c r="T89" i="65"/>
  <c r="T136" i="65"/>
  <c r="P136" i="65"/>
  <c r="S169" i="65"/>
  <c r="S59" i="65"/>
  <c r="S58" i="65" s="1"/>
  <c r="P198" i="65"/>
  <c r="S198" i="65"/>
  <c r="T198" i="65"/>
  <c r="S199" i="65"/>
  <c r="S75" i="65"/>
  <c r="S38" i="65"/>
  <c r="P38" i="65"/>
  <c r="T38" i="65"/>
  <c r="T97" i="65"/>
  <c r="P97" i="65"/>
  <c r="P186" i="65"/>
  <c r="T186" i="65"/>
  <c r="T182" i="65"/>
  <c r="P182" i="65"/>
  <c r="T64" i="65"/>
  <c r="P64" i="65"/>
  <c r="S141" i="65"/>
  <c r="P30" i="65"/>
  <c r="T30" i="65"/>
  <c r="V73" i="58"/>
  <c r="W340" i="58"/>
  <c r="V126" i="58"/>
  <c r="U23" i="65"/>
  <c r="O14" i="65"/>
  <c r="P13" i="65"/>
  <c r="T13" i="65"/>
  <c r="P160" i="65"/>
  <c r="T160" i="65"/>
  <c r="Q159" i="65"/>
  <c r="T159" i="65" s="1"/>
  <c r="S30" i="65"/>
  <c r="V93" i="58"/>
  <c r="S160" i="65"/>
  <c r="S159" i="65" s="1"/>
  <c r="T161" i="65"/>
  <c r="P161" i="65"/>
  <c r="P162" i="65"/>
  <c r="T162" i="65"/>
  <c r="S13" i="65"/>
  <c r="AJ48" i="57"/>
  <c r="I48" i="57" s="1"/>
  <c r="S74" i="58"/>
  <c r="S64" i="58" s="1"/>
  <c r="U144" i="65"/>
  <c r="P151" i="65"/>
  <c r="Q144" i="65"/>
  <c r="T151" i="65"/>
  <c r="S124" i="62"/>
  <c r="P124" i="62"/>
  <c r="T124" i="62"/>
  <c r="P183" i="64"/>
  <c r="T183" i="64"/>
  <c r="T187" i="62"/>
  <c r="P187" i="62"/>
  <c r="P164" i="62"/>
  <c r="T164" i="62"/>
  <c r="P99" i="62"/>
  <c r="T99" i="62"/>
  <c r="S99" i="62"/>
  <c r="X165" i="63"/>
  <c r="Y165" i="63" s="1"/>
  <c r="AB165" i="63" s="1"/>
  <c r="U165" i="62"/>
  <c r="X93" i="63"/>
  <c r="Y93" i="63" s="1"/>
  <c r="AB93" i="63" s="1"/>
  <c r="U93" i="62"/>
  <c r="H161" i="58"/>
  <c r="Q93" i="62"/>
  <c r="S93" i="62" s="1"/>
  <c r="T41" i="62"/>
  <c r="S41" i="62"/>
  <c r="P41" i="62"/>
  <c r="P123" i="62"/>
  <c r="T123" i="62"/>
  <c r="P72" i="62"/>
  <c r="T72" i="62"/>
  <c r="S72" i="62"/>
  <c r="R214" i="58"/>
  <c r="T214" i="58" s="1"/>
  <c r="W214" i="58" s="1"/>
  <c r="Q143" i="62"/>
  <c r="S143" i="62" s="1"/>
  <c r="U143" i="62"/>
  <c r="X143" i="63"/>
  <c r="Y143" i="63" s="1"/>
  <c r="AB143" i="63" s="1"/>
  <c r="H229" i="58"/>
  <c r="O134" i="62"/>
  <c r="X135" i="63"/>
  <c r="Y135" i="63" s="1"/>
  <c r="AB135" i="63" s="1"/>
  <c r="H225" i="58"/>
  <c r="U135" i="62"/>
  <c r="T97" i="62"/>
  <c r="P97" i="62"/>
  <c r="S97" i="62"/>
  <c r="P120" i="62"/>
  <c r="T120" i="62"/>
  <c r="S120" i="62"/>
  <c r="T32" i="62"/>
  <c r="P32" i="62"/>
  <c r="Q31" i="62"/>
  <c r="S34" i="62"/>
  <c r="P34" i="62"/>
  <c r="T34" i="62"/>
  <c r="T19" i="62"/>
  <c r="P19" i="62"/>
  <c r="S19" i="62"/>
  <c r="T166" i="62"/>
  <c r="Q165" i="62"/>
  <c r="T165" i="62" s="1"/>
  <c r="P166" i="62"/>
  <c r="Q56" i="62"/>
  <c r="S56" i="62" s="1"/>
  <c r="S55" i="62" s="1"/>
  <c r="O55" i="62"/>
  <c r="X56" i="63"/>
  <c r="Y56" i="63" s="1"/>
  <c r="AB56" i="63" s="1"/>
  <c r="U56" i="62"/>
  <c r="T67" i="62"/>
  <c r="P67" i="62"/>
  <c r="S67" i="62"/>
  <c r="P100" i="62"/>
  <c r="T100" i="62"/>
  <c r="S100" i="62"/>
  <c r="S96" i="62"/>
  <c r="T96" i="62"/>
  <c r="P96" i="62"/>
  <c r="T118" i="62"/>
  <c r="S118" i="62"/>
  <c r="P118" i="62"/>
  <c r="S175" i="62"/>
  <c r="P175" i="62"/>
  <c r="T175" i="62"/>
  <c r="T121" i="62"/>
  <c r="S121" i="62"/>
  <c r="P121" i="62"/>
  <c r="T60" i="62"/>
  <c r="P60" i="62"/>
  <c r="R275" i="58"/>
  <c r="T275" i="58" s="1"/>
  <c r="T192" i="62"/>
  <c r="S192" i="62"/>
  <c r="S191" i="62" s="1"/>
  <c r="S190" i="62" s="1"/>
  <c r="P192" i="62"/>
  <c r="Q191" i="62"/>
  <c r="R217" i="58"/>
  <c r="T217" i="58" s="1"/>
  <c r="Q21" i="62"/>
  <c r="S21" i="62" s="1"/>
  <c r="X21" i="63"/>
  <c r="Y21" i="63" s="1"/>
  <c r="AB21" i="63" s="1"/>
  <c r="H101" i="58"/>
  <c r="U21" i="62"/>
  <c r="T23" i="62"/>
  <c r="P23" i="62"/>
  <c r="S23" i="62"/>
  <c r="S123" i="62"/>
  <c r="T137" i="62"/>
  <c r="Q135" i="62"/>
  <c r="P137" i="62"/>
  <c r="P185" i="62"/>
  <c r="T185" i="62"/>
  <c r="P127" i="62"/>
  <c r="T127" i="62"/>
  <c r="Q126" i="62"/>
  <c r="T126" i="62" s="1"/>
  <c r="S60" i="62"/>
  <c r="T189" i="62"/>
  <c r="S189" i="62"/>
  <c r="P189" i="62"/>
  <c r="U92" i="62"/>
  <c r="X92" i="63"/>
  <c r="Y92" i="63" s="1"/>
  <c r="AB92" i="63" s="1"/>
  <c r="Q92" i="62"/>
  <c r="S92" i="62" s="1"/>
  <c r="S90" i="62" s="1"/>
  <c r="O90" i="62"/>
  <c r="V302" i="58"/>
  <c r="U65" i="62"/>
  <c r="Q65" i="62"/>
  <c r="S65" i="62" s="1"/>
  <c r="S64" i="62" s="1"/>
  <c r="X65" i="63"/>
  <c r="Y65" i="63" s="1"/>
  <c r="AB65" i="63" s="1"/>
  <c r="O64" i="62"/>
  <c r="T146" i="62"/>
  <c r="P146" i="62"/>
  <c r="S146" i="62"/>
  <c r="T37" i="62"/>
  <c r="P37" i="62"/>
  <c r="T108" i="62"/>
  <c r="P108" i="62"/>
  <c r="Q107" i="62"/>
  <c r="S44" i="62"/>
  <c r="P44" i="62"/>
  <c r="T44" i="62"/>
  <c r="W101" i="61"/>
  <c r="V101" i="61" s="1"/>
  <c r="P188" i="62"/>
  <c r="T188" i="62"/>
  <c r="S188" i="62"/>
  <c r="X43" i="63"/>
  <c r="Y43" i="63" s="1"/>
  <c r="AB43" i="63" s="1"/>
  <c r="Q43" i="62"/>
  <c r="S43" i="62" s="1"/>
  <c r="H119" i="58"/>
  <c r="U43" i="62"/>
  <c r="O39" i="62"/>
  <c r="O20" i="62" s="1"/>
  <c r="S162" i="62"/>
  <c r="S159" i="62" s="1"/>
  <c r="T162" i="62"/>
  <c r="P162" i="62"/>
  <c r="Q159" i="62"/>
  <c r="T159" i="62" s="1"/>
  <c r="P69" i="62"/>
  <c r="S69" i="62"/>
  <c r="T69" i="62"/>
  <c r="P116" i="62"/>
  <c r="S116" i="62"/>
  <c r="T116" i="62"/>
  <c r="T157" i="62"/>
  <c r="P157" i="62"/>
  <c r="Q150" i="62"/>
  <c r="T150" i="62" s="1"/>
  <c r="T54" i="62"/>
  <c r="P54" i="62"/>
  <c r="S54" i="62"/>
  <c r="P101" i="61"/>
  <c r="S101" i="61"/>
  <c r="S166" i="62"/>
  <c r="S165" i="62" s="1"/>
  <c r="S205" i="62"/>
  <c r="T205" i="62"/>
  <c r="Q199" i="62"/>
  <c r="T199" i="62" s="1"/>
  <c r="P205" i="62"/>
  <c r="S183" i="64"/>
  <c r="S68" i="62"/>
  <c r="T68" i="62"/>
  <c r="P68" i="62"/>
  <c r="P122" i="62"/>
  <c r="S122" i="62"/>
  <c r="T122" i="62"/>
  <c r="O190" i="62"/>
  <c r="U191" i="62"/>
  <c r="X191" i="63"/>
  <c r="Y191" i="63" s="1"/>
  <c r="AB191" i="63" s="1"/>
  <c r="S35" i="62"/>
  <c r="P35" i="62"/>
  <c r="T35" i="62"/>
  <c r="T102" i="62"/>
  <c r="S102" i="62"/>
  <c r="P102" i="62"/>
  <c r="Q101" i="62"/>
  <c r="T101" i="62" s="1"/>
  <c r="T183" i="68"/>
  <c r="P183" i="68"/>
  <c r="P36" i="62"/>
  <c r="T36" i="62"/>
  <c r="W242" i="58"/>
  <c r="V271" i="58"/>
  <c r="W142" i="58"/>
  <c r="W283" i="58"/>
  <c r="W348" i="58"/>
  <c r="V348" i="58"/>
  <c r="W270" i="58"/>
  <c r="V270" i="58"/>
  <c r="L129" i="58"/>
  <c r="U47" i="69"/>
  <c r="Q47" i="69"/>
  <c r="S47" i="69" s="1"/>
  <c r="O46" i="69"/>
  <c r="P192" i="69"/>
  <c r="T192" i="69"/>
  <c r="S73" i="69"/>
  <c r="S72" i="69" s="1"/>
  <c r="S71" i="69" s="1"/>
  <c r="T73" i="69"/>
  <c r="Q72" i="69"/>
  <c r="P73" i="69"/>
  <c r="T24" i="69"/>
  <c r="P24" i="69"/>
  <c r="S24" i="69"/>
  <c r="S16" i="69"/>
  <c r="P16" i="69"/>
  <c r="T16" i="69"/>
  <c r="T186" i="69"/>
  <c r="P186" i="69"/>
  <c r="Q185" i="69"/>
  <c r="P122" i="69"/>
  <c r="S122" i="69"/>
  <c r="T122" i="69"/>
  <c r="S17" i="69"/>
  <c r="T17" i="69"/>
  <c r="P17" i="69"/>
  <c r="L285" i="58"/>
  <c r="T27" i="69"/>
  <c r="S27" i="69"/>
  <c r="S25" i="69" s="1"/>
  <c r="Q25" i="69"/>
  <c r="T25" i="69" s="1"/>
  <c r="P27" i="69"/>
  <c r="U58" i="69"/>
  <c r="L138" i="58"/>
  <c r="L136" i="58" s="1"/>
  <c r="O56" i="69"/>
  <c r="U56" i="69" s="1"/>
  <c r="L115" i="58"/>
  <c r="I100" i="61"/>
  <c r="M100" i="61" s="1"/>
  <c r="O100" i="61" s="1"/>
  <c r="I99" i="61"/>
  <c r="M99" i="61" s="1"/>
  <c r="O99" i="61" s="1"/>
  <c r="I36" i="61"/>
  <c r="M36" i="61" s="1"/>
  <c r="O36" i="61" s="1"/>
  <c r="S38" i="69"/>
  <c r="T38" i="69"/>
  <c r="P38" i="69"/>
  <c r="S44" i="69"/>
  <c r="T44" i="69"/>
  <c r="P44" i="69"/>
  <c r="S116" i="69"/>
  <c r="P116" i="69"/>
  <c r="T116" i="69"/>
  <c r="L169" i="58"/>
  <c r="V23" i="58"/>
  <c r="S51" i="69"/>
  <c r="S49" i="69" s="1"/>
  <c r="T51" i="69"/>
  <c r="P51" i="69"/>
  <c r="T99" i="69"/>
  <c r="P99" i="69"/>
  <c r="T121" i="69"/>
  <c r="P121" i="69"/>
  <c r="Q120" i="69"/>
  <c r="T120" i="69" s="1"/>
  <c r="S151" i="69"/>
  <c r="P151" i="69"/>
  <c r="Q144" i="69"/>
  <c r="T144" i="69" s="1"/>
  <c r="T151" i="69"/>
  <c r="T201" i="69"/>
  <c r="P201" i="69"/>
  <c r="S201" i="69"/>
  <c r="Q193" i="69"/>
  <c r="T193" i="69" s="1"/>
  <c r="T196" i="69"/>
  <c r="S196" i="69"/>
  <c r="P196" i="69"/>
  <c r="T114" i="69"/>
  <c r="P114" i="69"/>
  <c r="S114" i="69"/>
  <c r="P173" i="69"/>
  <c r="T173" i="69"/>
  <c r="Q170" i="69"/>
  <c r="T170" i="69" s="1"/>
  <c r="Q33" i="69"/>
  <c r="T33" i="69" s="1"/>
  <c r="S35" i="69"/>
  <c r="P35" i="69"/>
  <c r="T35" i="69"/>
  <c r="T168" i="69"/>
  <c r="P168" i="69"/>
  <c r="U132" i="69"/>
  <c r="L226" i="58"/>
  <c r="S137" i="69"/>
  <c r="T137" i="69"/>
  <c r="P137" i="69"/>
  <c r="S123" i="69"/>
  <c r="P123" i="69"/>
  <c r="T123" i="69"/>
  <c r="T136" i="69"/>
  <c r="P136" i="69"/>
  <c r="T200" i="69"/>
  <c r="S200" i="69"/>
  <c r="P200" i="69"/>
  <c r="AT46" i="57"/>
  <c r="S46" i="57" s="1"/>
  <c r="R243" i="58"/>
  <c r="P118" i="69"/>
  <c r="T118" i="69"/>
  <c r="S118" i="69"/>
  <c r="U19" i="69"/>
  <c r="L105" i="58"/>
  <c r="T91" i="69"/>
  <c r="P91" i="69"/>
  <c r="S91" i="69"/>
  <c r="P115" i="69"/>
  <c r="S115" i="69"/>
  <c r="T115" i="69"/>
  <c r="P181" i="69"/>
  <c r="T181" i="69"/>
  <c r="S70" i="69"/>
  <c r="T70" i="69"/>
  <c r="P70" i="69"/>
  <c r="S135" i="69"/>
  <c r="P135" i="69"/>
  <c r="T135" i="69"/>
  <c r="T202" i="69"/>
  <c r="S202" i="69"/>
  <c r="P202" i="69"/>
  <c r="L262" i="58"/>
  <c r="R265" i="58"/>
  <c r="T265" i="58" s="1"/>
  <c r="P41" i="69"/>
  <c r="T41" i="69"/>
  <c r="T157" i="69"/>
  <c r="P157" i="69"/>
  <c r="S157" i="69"/>
  <c r="S153" i="69" s="1"/>
  <c r="Q153" i="69"/>
  <c r="T153" i="69" s="1"/>
  <c r="S133" i="69"/>
  <c r="S132" i="69" s="1"/>
  <c r="Q132" i="69"/>
  <c r="T132" i="69" s="1"/>
  <c r="T133" i="69"/>
  <c r="P133" i="69"/>
  <c r="P131" i="69"/>
  <c r="T131" i="69"/>
  <c r="S141" i="69"/>
  <c r="T141" i="69"/>
  <c r="P141" i="69"/>
  <c r="T110" i="69"/>
  <c r="P110" i="69"/>
  <c r="P160" i="69"/>
  <c r="T160" i="69"/>
  <c r="Q159" i="69"/>
  <c r="T159" i="69" s="1"/>
  <c r="P55" i="69"/>
  <c r="T55" i="69"/>
  <c r="S83" i="69"/>
  <c r="T83" i="69"/>
  <c r="P83" i="69"/>
  <c r="P164" i="69"/>
  <c r="T164" i="69"/>
  <c r="Q163" i="69"/>
  <c r="T163" i="69" s="1"/>
  <c r="T138" i="69"/>
  <c r="P138" i="69"/>
  <c r="S138" i="69"/>
  <c r="W260" i="58"/>
  <c r="T93" i="69"/>
  <c r="P93" i="69"/>
  <c r="T29" i="69"/>
  <c r="P29" i="69"/>
  <c r="P134" i="69"/>
  <c r="T134" i="69"/>
  <c r="S20" i="69"/>
  <c r="P20" i="69"/>
  <c r="Q19" i="69"/>
  <c r="T19" i="69" s="1"/>
  <c r="T20" i="69"/>
  <c r="W290" i="58"/>
  <c r="W185" i="61"/>
  <c r="V185" i="61" s="1"/>
  <c r="N120" i="69"/>
  <c r="U120" i="69"/>
  <c r="S182" i="69"/>
  <c r="P182" i="69"/>
  <c r="T182" i="69"/>
  <c r="S111" i="69"/>
  <c r="P111" i="69"/>
  <c r="T111" i="69"/>
  <c r="R99" i="58"/>
  <c r="T99" i="58" s="1"/>
  <c r="P142" i="69"/>
  <c r="T142" i="69"/>
  <c r="P94" i="69"/>
  <c r="T94" i="69"/>
  <c r="T113" i="69"/>
  <c r="S113" i="69"/>
  <c r="P113" i="69"/>
  <c r="T53" i="69"/>
  <c r="S53" i="69"/>
  <c r="P53" i="69"/>
  <c r="T54" i="69"/>
  <c r="S54" i="69"/>
  <c r="P54" i="69"/>
  <c r="S199" i="69"/>
  <c r="T199" i="69"/>
  <c r="P199" i="69"/>
  <c r="S30" i="69"/>
  <c r="P30" i="69"/>
  <c r="T30" i="69"/>
  <c r="P185" i="61"/>
  <c r="S185" i="61"/>
  <c r="S198" i="69"/>
  <c r="T198" i="69"/>
  <c r="P198" i="69"/>
  <c r="T40" i="69"/>
  <c r="P40" i="69"/>
  <c r="S164" i="69"/>
  <c r="P117" i="69"/>
  <c r="T117" i="69"/>
  <c r="S66" i="69"/>
  <c r="T66" i="69"/>
  <c r="P66" i="69"/>
  <c r="S89" i="69"/>
  <c r="T89" i="69"/>
  <c r="P89" i="69"/>
  <c r="T106" i="69"/>
  <c r="P106" i="69"/>
  <c r="S61" i="69"/>
  <c r="P61" i="69"/>
  <c r="T61" i="69"/>
  <c r="S87" i="69"/>
  <c r="T87" i="69"/>
  <c r="P87" i="69"/>
  <c r="S192" i="69"/>
  <c r="P21" i="69"/>
  <c r="S21" i="69"/>
  <c r="T21" i="69"/>
  <c r="S98" i="69"/>
  <c r="P98" i="69"/>
  <c r="T98" i="69"/>
  <c r="P50" i="69"/>
  <c r="Q49" i="69"/>
  <c r="T49" i="69" s="1"/>
  <c r="T50" i="69"/>
  <c r="T109" i="69"/>
  <c r="P109" i="69"/>
  <c r="O184" i="69"/>
  <c r="U184" i="69" s="1"/>
  <c r="U185" i="69"/>
  <c r="P65" i="69"/>
  <c r="T65" i="69"/>
  <c r="T60" i="69"/>
  <c r="S60" i="69"/>
  <c r="P60" i="69"/>
  <c r="T162" i="69"/>
  <c r="P162" i="69"/>
  <c r="L255" i="58"/>
  <c r="R256" i="58"/>
  <c r="T256" i="58" s="1"/>
  <c r="S112" i="69"/>
  <c r="P112" i="69"/>
  <c r="T112" i="69"/>
  <c r="O23" i="69"/>
  <c r="U23" i="69" s="1"/>
  <c r="U25" i="69"/>
  <c r="L109" i="58"/>
  <c r="L107" i="58" s="1"/>
  <c r="T13" i="69"/>
  <c r="P13" i="69"/>
  <c r="S13" i="69"/>
  <c r="S59" i="69"/>
  <c r="T59" i="69"/>
  <c r="Q58" i="69"/>
  <c r="P59" i="69"/>
  <c r="P180" i="69"/>
  <c r="T180" i="69"/>
  <c r="P166" i="69"/>
  <c r="T166" i="69"/>
  <c r="S166" i="69"/>
  <c r="P39" i="69"/>
  <c r="T39" i="69"/>
  <c r="O82" i="69"/>
  <c r="U82" i="69" s="1"/>
  <c r="L160" i="58"/>
  <c r="L158" i="58" s="1"/>
  <c r="U84" i="69"/>
  <c r="O71" i="69"/>
  <c r="U71" i="69" s="1"/>
  <c r="U72" i="69"/>
  <c r="L150" i="58"/>
  <c r="L149" i="58" s="1"/>
  <c r="S169" i="69"/>
  <c r="T169" i="69"/>
  <c r="P169" i="69"/>
  <c r="U49" i="69"/>
  <c r="L131" i="58"/>
  <c r="L251" i="58"/>
  <c r="R252" i="58"/>
  <c r="T252" i="58" s="1"/>
  <c r="S186" i="69"/>
  <c r="S48" i="69"/>
  <c r="T48" i="69"/>
  <c r="P48" i="69"/>
  <c r="S162" i="69"/>
  <c r="S159" i="69" s="1"/>
  <c r="S40" i="69"/>
  <c r="T86" i="69"/>
  <c r="P86" i="69"/>
  <c r="S86" i="69"/>
  <c r="S64" i="69"/>
  <c r="P64" i="69"/>
  <c r="T64" i="69"/>
  <c r="T18" i="69"/>
  <c r="P18" i="69"/>
  <c r="S96" i="69"/>
  <c r="T96" i="69"/>
  <c r="P96" i="69"/>
  <c r="Q95" i="69"/>
  <c r="T95" i="69" s="1"/>
  <c r="T85" i="69"/>
  <c r="Q84" i="69"/>
  <c r="T84" i="69" s="1"/>
  <c r="P85" i="69"/>
  <c r="S85" i="69"/>
  <c r="C4" i="4"/>
  <c r="E4" i="61"/>
  <c r="BK5" i="57"/>
  <c r="BL5" i="57"/>
  <c r="W220" i="58"/>
  <c r="P173" i="64"/>
  <c r="S173" i="64"/>
  <c r="T173" i="64"/>
  <c r="U66" i="64"/>
  <c r="J144" i="58"/>
  <c r="Q66" i="64"/>
  <c r="S66" i="64" s="1"/>
  <c r="J272" i="58"/>
  <c r="Q180" i="64"/>
  <c r="S180" i="64" s="1"/>
  <c r="U180" i="64"/>
  <c r="Q140" i="64"/>
  <c r="U140" i="64"/>
  <c r="J232" i="58"/>
  <c r="J273" i="58"/>
  <c r="R273" i="58" s="1"/>
  <c r="T273" i="58" s="1"/>
  <c r="Q181" i="64"/>
  <c r="S181" i="64" s="1"/>
  <c r="U181" i="64"/>
  <c r="U62" i="64"/>
  <c r="J140" i="58"/>
  <c r="R140" i="58" s="1"/>
  <c r="T140" i="58" s="1"/>
  <c r="Q62" i="64"/>
  <c r="S62" i="64" s="1"/>
  <c r="Q109" i="64"/>
  <c r="S109" i="64" s="1"/>
  <c r="U109" i="64"/>
  <c r="J205" i="58"/>
  <c r="R274" i="58"/>
  <c r="T274" i="58" s="1"/>
  <c r="W274" i="58" s="1"/>
  <c r="T22" i="64"/>
  <c r="P22" i="64"/>
  <c r="AS48" i="57"/>
  <c r="R48" i="57" s="1"/>
  <c r="AM48" i="57"/>
  <c r="L48" i="57" s="1"/>
  <c r="R208" i="58"/>
  <c r="T208" i="58" s="1"/>
  <c r="W208" i="58" s="1"/>
  <c r="T119" i="64"/>
  <c r="P119" i="64"/>
  <c r="T70" i="64"/>
  <c r="P70" i="64"/>
  <c r="P198" i="64"/>
  <c r="T198" i="64"/>
  <c r="T108" i="64"/>
  <c r="P108" i="64"/>
  <c r="B2" i="8"/>
  <c r="K2" i="8" s="1"/>
  <c r="C37" i="60"/>
  <c r="C40" i="60" s="1"/>
  <c r="B3" i="8"/>
  <c r="Q133" i="64"/>
  <c r="O132" i="64"/>
  <c r="U133" i="64"/>
  <c r="Q134" i="64"/>
  <c r="S134" i="64" s="1"/>
  <c r="U134" i="64"/>
  <c r="Q17" i="64"/>
  <c r="S17" i="64" s="1"/>
  <c r="U17" i="64"/>
  <c r="J103" i="58"/>
  <c r="O58" i="64"/>
  <c r="O56" i="64" s="1"/>
  <c r="U56" i="64" s="1"/>
  <c r="Q59" i="64"/>
  <c r="S59" i="64" s="1"/>
  <c r="U59" i="64"/>
  <c r="Q28" i="64"/>
  <c r="U28" i="64"/>
  <c r="J110" i="58"/>
  <c r="U104" i="64"/>
  <c r="J200" i="58"/>
  <c r="R200" i="58" s="1"/>
  <c r="T200" i="58" s="1"/>
  <c r="Q104" i="64"/>
  <c r="S135" i="64"/>
  <c r="P135" i="64"/>
  <c r="T135" i="64"/>
  <c r="P29" i="64"/>
  <c r="T29" i="64"/>
  <c r="S83" i="64"/>
  <c r="T83" i="64"/>
  <c r="P83" i="64"/>
  <c r="T50" i="64"/>
  <c r="P50" i="64"/>
  <c r="Q49" i="64"/>
  <c r="T49" i="64" s="1"/>
  <c r="S112" i="64"/>
  <c r="T112" i="64"/>
  <c r="P112" i="64"/>
  <c r="S119" i="64"/>
  <c r="T91" i="64"/>
  <c r="P91" i="64"/>
  <c r="O185" i="64"/>
  <c r="J278" i="58"/>
  <c r="U186" i="64"/>
  <c r="Q186" i="64"/>
  <c r="S186" i="64" s="1"/>
  <c r="Q117" i="64"/>
  <c r="S117" i="64" s="1"/>
  <c r="U117" i="64"/>
  <c r="J213" i="58"/>
  <c r="R213" i="58" s="1"/>
  <c r="T213" i="58" s="1"/>
  <c r="W213" i="58" s="1"/>
  <c r="Q75" i="64"/>
  <c r="S75" i="64" s="1"/>
  <c r="J151" i="58"/>
  <c r="R151" i="58" s="1"/>
  <c r="T151" i="58" s="1"/>
  <c r="W151" i="58" s="1"/>
  <c r="U75" i="64"/>
  <c r="Q48" i="64"/>
  <c r="U48" i="64"/>
  <c r="J130" i="58"/>
  <c r="J233" i="58"/>
  <c r="R233" i="58" s="1"/>
  <c r="T233" i="58" s="1"/>
  <c r="W233" i="58" s="1"/>
  <c r="U141" i="64"/>
  <c r="Q141" i="64"/>
  <c r="S141" i="64" s="1"/>
  <c r="Q90" i="64"/>
  <c r="S90" i="64" s="1"/>
  <c r="J164" i="58"/>
  <c r="U90" i="64"/>
  <c r="U54" i="64"/>
  <c r="J134" i="58"/>
  <c r="Q54" i="64"/>
  <c r="V207" i="58"/>
  <c r="S41" i="64"/>
  <c r="T41" i="64"/>
  <c r="P41" i="64"/>
  <c r="T92" i="64"/>
  <c r="P92" i="64"/>
  <c r="S76" i="61"/>
  <c r="T157" i="64"/>
  <c r="P157" i="64"/>
  <c r="S198" i="64"/>
  <c r="V240" i="58"/>
  <c r="W244" i="58"/>
  <c r="V244" i="58"/>
  <c r="Q114" i="64"/>
  <c r="S114" i="64" s="1"/>
  <c r="J210" i="58"/>
  <c r="R210" i="58" s="1"/>
  <c r="T210" i="58" s="1"/>
  <c r="W210" i="58" s="1"/>
  <c r="U114" i="64"/>
  <c r="U63" i="64"/>
  <c r="J141" i="58"/>
  <c r="R141" i="58" s="1"/>
  <c r="T141" i="58" s="1"/>
  <c r="W141" i="58" s="1"/>
  <c r="Q63" i="64"/>
  <c r="Q26" i="64"/>
  <c r="S26" i="64" s="1"/>
  <c r="S25" i="64" s="1"/>
  <c r="O25" i="64"/>
  <c r="O23" i="64" s="1"/>
  <c r="U26" i="64"/>
  <c r="J209" i="58"/>
  <c r="R209" i="58" s="1"/>
  <c r="T209" i="58" s="1"/>
  <c r="W209" i="58" s="1"/>
  <c r="U113" i="64"/>
  <c r="Q113" i="64"/>
  <c r="S113" i="64" s="1"/>
  <c r="Q89" i="64"/>
  <c r="U89" i="64"/>
  <c r="J163" i="58"/>
  <c r="R163" i="58" s="1"/>
  <c r="T163" i="58" s="1"/>
  <c r="W163" i="58" s="1"/>
  <c r="O82" i="64"/>
  <c r="U82" i="64" s="1"/>
  <c r="J167" i="58"/>
  <c r="R167" i="58" s="1"/>
  <c r="T167" i="58" s="1"/>
  <c r="W167" i="58" s="1"/>
  <c r="Q93" i="64"/>
  <c r="S93" i="64" s="1"/>
  <c r="U93" i="64"/>
  <c r="Q43" i="64"/>
  <c r="S43" i="64" s="1"/>
  <c r="U43" i="64"/>
  <c r="J125" i="58"/>
  <c r="R125" i="58" s="1"/>
  <c r="T125" i="58" s="1"/>
  <c r="W125" i="58" s="1"/>
  <c r="O170" i="64"/>
  <c r="U170" i="64" s="1"/>
  <c r="S99" i="64"/>
  <c r="T99" i="64"/>
  <c r="P99" i="64"/>
  <c r="P137" i="64"/>
  <c r="T137" i="64"/>
  <c r="S19" i="64"/>
  <c r="U73" i="64"/>
  <c r="Q73" i="64"/>
  <c r="S73" i="64" s="1"/>
  <c r="S72" i="64" s="1"/>
  <c r="O72" i="64"/>
  <c r="J199" i="58"/>
  <c r="Q103" i="64"/>
  <c r="S103" i="64" s="1"/>
  <c r="U103" i="64"/>
  <c r="Q16" i="64"/>
  <c r="S16" i="64" s="1"/>
  <c r="U16" i="64"/>
  <c r="J102" i="58"/>
  <c r="O46" i="64"/>
  <c r="Q47" i="64"/>
  <c r="S47" i="64" s="1"/>
  <c r="U47" i="64"/>
  <c r="J129" i="58"/>
  <c r="Q61" i="64"/>
  <c r="S61" i="64" s="1"/>
  <c r="J139" i="58"/>
  <c r="U61" i="64"/>
  <c r="J143" i="58"/>
  <c r="R143" i="58" s="1"/>
  <c r="T143" i="58" s="1"/>
  <c r="W143" i="58" s="1"/>
  <c r="U65" i="64"/>
  <c r="Q65" i="64"/>
  <c r="Q39" i="64"/>
  <c r="S39" i="64" s="1"/>
  <c r="J121" i="58"/>
  <c r="R121" i="58" s="1"/>
  <c r="T121" i="58" s="1"/>
  <c r="W121" i="58" s="1"/>
  <c r="U39" i="64"/>
  <c r="S35" i="64"/>
  <c r="T35" i="64"/>
  <c r="P35" i="64"/>
  <c r="P118" i="64"/>
  <c r="T118" i="64"/>
  <c r="U19" i="64"/>
  <c r="J105" i="58"/>
  <c r="V156" i="58"/>
  <c r="Q38" i="64"/>
  <c r="S38" i="64" s="1"/>
  <c r="J120" i="58"/>
  <c r="R120" i="58" s="1"/>
  <c r="T120" i="58" s="1"/>
  <c r="V120" i="58" s="1"/>
  <c r="U38" i="64"/>
  <c r="U115" i="64"/>
  <c r="J211" i="58"/>
  <c r="Q115" i="64"/>
  <c r="S115" i="64" s="1"/>
  <c r="U166" i="64"/>
  <c r="Q166" i="64"/>
  <c r="S166" i="64" s="1"/>
  <c r="J258" i="58"/>
  <c r="O101" i="64"/>
  <c r="U102" i="64"/>
  <c r="Q102" i="64"/>
  <c r="J198" i="58"/>
  <c r="J118" i="58"/>
  <c r="Q36" i="64"/>
  <c r="S36" i="64" s="1"/>
  <c r="O33" i="64"/>
  <c r="U33" i="64" s="1"/>
  <c r="U36" i="64"/>
  <c r="Q201" i="64"/>
  <c r="S201" i="64" s="1"/>
  <c r="U201" i="64"/>
  <c r="J293" i="58"/>
  <c r="U94" i="64"/>
  <c r="Q94" i="64"/>
  <c r="S94" i="64" s="1"/>
  <c r="J168" i="58"/>
  <c r="S138" i="64"/>
  <c r="T138" i="64"/>
  <c r="P138" i="64"/>
  <c r="T21" i="64"/>
  <c r="P21" i="64"/>
  <c r="T136" i="64"/>
  <c r="P136" i="64"/>
  <c r="S136" i="64"/>
  <c r="V249" i="58"/>
  <c r="J245" i="58"/>
  <c r="P20" i="64"/>
  <c r="T20" i="64"/>
  <c r="Q19" i="64"/>
  <c r="T19" i="64" s="1"/>
  <c r="Q165" i="64"/>
  <c r="O163" i="64"/>
  <c r="U163" i="64" s="1"/>
  <c r="U165" i="64"/>
  <c r="J257" i="58"/>
  <c r="Q24" i="64"/>
  <c r="S24" i="64" s="1"/>
  <c r="U24" i="64"/>
  <c r="J108" i="58"/>
  <c r="U110" i="64"/>
  <c r="J206" i="58"/>
  <c r="R206" i="58" s="1"/>
  <c r="T206" i="58" s="1"/>
  <c r="W206" i="58" s="1"/>
  <c r="Q110" i="64"/>
  <c r="S110" i="64" s="1"/>
  <c r="Q97" i="64"/>
  <c r="S97" i="64" s="1"/>
  <c r="J171" i="58"/>
  <c r="U97" i="64"/>
  <c r="Q60" i="64"/>
  <c r="S60" i="64" s="1"/>
  <c r="U60" i="64"/>
  <c r="O129" i="64"/>
  <c r="Q130" i="64"/>
  <c r="S130" i="64" s="1"/>
  <c r="U130" i="64"/>
  <c r="T123" i="64"/>
  <c r="P123" i="64"/>
  <c r="S123" i="64"/>
  <c r="R117" i="58"/>
  <c r="T117" i="58" s="1"/>
  <c r="W117" i="58" s="1"/>
  <c r="T169" i="64"/>
  <c r="P169" i="64"/>
  <c r="P42" i="64"/>
  <c r="T42" i="64"/>
  <c r="S92" i="64"/>
  <c r="S108" i="64"/>
  <c r="V288" i="58"/>
  <c r="Q131" i="64"/>
  <c r="S131" i="64" s="1"/>
  <c r="U131" i="64"/>
  <c r="Q116" i="64"/>
  <c r="S116" i="64" s="1"/>
  <c r="J212" i="58"/>
  <c r="R212" i="58" s="1"/>
  <c r="T212" i="58" s="1"/>
  <c r="W212" i="58" s="1"/>
  <c r="U116" i="64"/>
  <c r="Q107" i="64"/>
  <c r="S107" i="64" s="1"/>
  <c r="U107" i="64"/>
  <c r="J203" i="58"/>
  <c r="U202" i="64"/>
  <c r="J294" i="58"/>
  <c r="Q202" i="64"/>
  <c r="S202" i="64" s="1"/>
  <c r="U57" i="64"/>
  <c r="Q57" i="64"/>
  <c r="S57" i="64" s="1"/>
  <c r="J137" i="58"/>
  <c r="T182" i="64"/>
  <c r="P182" i="64"/>
  <c r="S182" i="64"/>
  <c r="S22" i="64"/>
  <c r="Q120" i="64"/>
  <c r="P121" i="64"/>
  <c r="S121" i="64"/>
  <c r="T121" i="64"/>
  <c r="J131" i="58"/>
  <c r="U49" i="64"/>
  <c r="T87" i="64"/>
  <c r="P87" i="64"/>
  <c r="V67" i="58"/>
  <c r="V89" i="58"/>
  <c r="W298" i="58"/>
  <c r="P171" i="66"/>
  <c r="T171" i="66"/>
  <c r="S171" i="66"/>
  <c r="V289" i="58"/>
  <c r="V300" i="58"/>
  <c r="P154" i="66"/>
  <c r="T154" i="66"/>
  <c r="I31" i="61"/>
  <c r="M31" i="61" s="1"/>
  <c r="O31" i="61" s="1"/>
  <c r="I30" i="61"/>
  <c r="M30" i="61" s="1"/>
  <c r="O30" i="61" s="1"/>
  <c r="V12" i="58"/>
  <c r="P224" i="58"/>
  <c r="M182" i="62"/>
  <c r="O182" i="62" s="1"/>
  <c r="I181" i="62"/>
  <c r="M181" i="62" s="1"/>
  <c r="O181" i="62" s="1"/>
  <c r="R266" i="58"/>
  <c r="R155" i="58"/>
  <c r="T155" i="58" s="1"/>
  <c r="W155" i="58" s="1"/>
  <c r="K25" i="57"/>
  <c r="I181" i="63"/>
  <c r="M181" i="63" s="1"/>
  <c r="O181" i="63" s="1"/>
  <c r="M182" i="63"/>
  <c r="O182" i="63" s="1"/>
  <c r="P79" i="66"/>
  <c r="T79" i="66"/>
  <c r="V246" i="58"/>
  <c r="P139" i="66"/>
  <c r="T139" i="66"/>
  <c r="Q77" i="66"/>
  <c r="T77" i="66" s="1"/>
  <c r="W201" i="58"/>
  <c r="V201" i="58"/>
  <c r="V263" i="58"/>
  <c r="S139" i="66"/>
  <c r="V286" i="58"/>
  <c r="V269" i="58"/>
  <c r="W269" i="58"/>
  <c r="V234" i="58"/>
  <c r="P142" i="66"/>
  <c r="T142" i="66"/>
  <c r="S142" i="66"/>
  <c r="V132" i="58"/>
  <c r="V122" i="58"/>
  <c r="V279" i="58"/>
  <c r="S137" i="66"/>
  <c r="T137" i="66"/>
  <c r="P137" i="66"/>
  <c r="Q72" i="66"/>
  <c r="T73" i="66"/>
  <c r="P73" i="66"/>
  <c r="S73" i="66"/>
  <c r="S72" i="66" s="1"/>
  <c r="S71" i="66" s="1"/>
  <c r="R261" i="58"/>
  <c r="T261" i="58" s="1"/>
  <c r="W261" i="58" s="1"/>
  <c r="P26" i="66"/>
  <c r="Q25" i="66"/>
  <c r="S26" i="66"/>
  <c r="S25" i="66" s="1"/>
  <c r="T26" i="66"/>
  <c r="U128" i="66"/>
  <c r="O127" i="66"/>
  <c r="P114" i="66"/>
  <c r="T114" i="66"/>
  <c r="Q101" i="66"/>
  <c r="R250" i="58"/>
  <c r="P245" i="58"/>
  <c r="P223" i="58" s="1"/>
  <c r="S136" i="66"/>
  <c r="P136" i="66"/>
  <c r="T136" i="66"/>
  <c r="W25" i="58"/>
  <c r="U72" i="66"/>
  <c r="P150" i="58"/>
  <c r="O71" i="66"/>
  <c r="U71" i="66" s="1"/>
  <c r="P169" i="66"/>
  <c r="T169" i="66"/>
  <c r="S169" i="66"/>
  <c r="Q58" i="66"/>
  <c r="T58" i="66" s="1"/>
  <c r="T60" i="66"/>
  <c r="P60" i="66"/>
  <c r="T20" i="66"/>
  <c r="P20" i="66"/>
  <c r="Q19" i="66"/>
  <c r="S20" i="66"/>
  <c r="S19" i="66" s="1"/>
  <c r="P105" i="58"/>
  <c r="O14" i="66"/>
  <c r="U19" i="66"/>
  <c r="P70" i="66"/>
  <c r="T70" i="66"/>
  <c r="T130" i="66"/>
  <c r="P130" i="66"/>
  <c r="Q129" i="66"/>
  <c r="S63" i="66"/>
  <c r="T63" i="66"/>
  <c r="P63" i="66"/>
  <c r="R162" i="58"/>
  <c r="T162" i="58" s="1"/>
  <c r="W162" i="58" s="1"/>
  <c r="S192" i="66"/>
  <c r="P192" i="66"/>
  <c r="T192" i="66"/>
  <c r="P88" i="66"/>
  <c r="S88" i="66"/>
  <c r="T88" i="66"/>
  <c r="P128" i="58"/>
  <c r="S97" i="66"/>
  <c r="S95" i="66" s="1"/>
  <c r="P97" i="66"/>
  <c r="Q95" i="66"/>
  <c r="T95" i="66" s="1"/>
  <c r="T97" i="66"/>
  <c r="W237" i="58"/>
  <c r="S158" i="66"/>
  <c r="S153" i="66" s="1"/>
  <c r="T158" i="66"/>
  <c r="Q153" i="66"/>
  <c r="T153" i="66" s="1"/>
  <c r="P158" i="66"/>
  <c r="I64" i="61"/>
  <c r="M64" i="61" s="1"/>
  <c r="O64" i="61" s="1"/>
  <c r="I79" i="61"/>
  <c r="M79" i="61" s="1"/>
  <c r="O79" i="61" s="1"/>
  <c r="I143" i="61"/>
  <c r="M143" i="61" s="1"/>
  <c r="O143" i="61" s="1"/>
  <c r="I33" i="61"/>
  <c r="M33" i="61" s="1"/>
  <c r="O33" i="61" s="1"/>
  <c r="I129" i="61"/>
  <c r="M129" i="61" s="1"/>
  <c r="O129" i="61" s="1"/>
  <c r="I52" i="61"/>
  <c r="M52" i="61" s="1"/>
  <c r="O52" i="61" s="1"/>
  <c r="I157" i="61"/>
  <c r="M157" i="61" s="1"/>
  <c r="O157" i="61" s="1"/>
  <c r="I146" i="61"/>
  <c r="M146" i="61" s="1"/>
  <c r="O146" i="61" s="1"/>
  <c r="I172" i="61"/>
  <c r="M172" i="61" s="1"/>
  <c r="O172" i="61" s="1"/>
  <c r="I186" i="61"/>
  <c r="M186" i="61" s="1"/>
  <c r="O186" i="61" s="1"/>
  <c r="P196" i="58"/>
  <c r="T43" i="66"/>
  <c r="P43" i="66"/>
  <c r="S130" i="66"/>
  <c r="S129" i="66" s="1"/>
  <c r="R159" i="58"/>
  <c r="P158" i="58"/>
  <c r="T117" i="66"/>
  <c r="S117" i="66"/>
  <c r="P117" i="66"/>
  <c r="T281" i="58"/>
  <c r="P138" i="58"/>
  <c r="U58" i="66"/>
  <c r="O56" i="66"/>
  <c r="S114" i="66"/>
  <c r="P57" i="66"/>
  <c r="T57" i="66"/>
  <c r="Q82" i="66"/>
  <c r="T82" i="66" s="1"/>
  <c r="P83" i="66"/>
  <c r="S83" i="66"/>
  <c r="T83" i="66"/>
  <c r="N101" i="66"/>
  <c r="AA101" i="66" s="1"/>
  <c r="O100" i="66"/>
  <c r="U100" i="66" s="1"/>
  <c r="U101" i="66"/>
  <c r="V299" i="58"/>
  <c r="S27" i="58"/>
  <c r="V77" i="58"/>
  <c r="W17" i="58"/>
  <c r="V84" i="58"/>
  <c r="S321" i="58"/>
  <c r="V90" i="58"/>
  <c r="V301" i="58"/>
  <c r="W18" i="58"/>
  <c r="V18" i="58"/>
  <c r="V26" i="58"/>
  <c r="V16" i="58"/>
  <c r="W98" i="57"/>
  <c r="W101" i="57" s="1"/>
  <c r="W102" i="57" s="1"/>
  <c r="W20" i="58"/>
  <c r="AW8" i="10"/>
  <c r="AW7" i="10" s="1"/>
  <c r="AW26" i="10" s="1"/>
  <c r="AV26" i="12" s="1"/>
  <c r="S174" i="58"/>
  <c r="S97" i="58" s="1"/>
  <c r="V19" i="58"/>
  <c r="W80" i="58"/>
  <c r="V80" i="58"/>
  <c r="AP4" i="10"/>
  <c r="AP3" i="10" s="1"/>
  <c r="AG65" i="5"/>
  <c r="AI3" i="6" s="1"/>
  <c r="AG5" i="5"/>
  <c r="AG62" i="5" s="1"/>
  <c r="J45" i="4"/>
  <c r="G32" i="4"/>
  <c r="G25" i="4"/>
  <c r="G33" i="4"/>
  <c r="I42" i="4"/>
  <c r="J13" i="4"/>
  <c r="I13" i="4" s="1"/>
  <c r="I45" i="4"/>
  <c r="D32" i="4"/>
  <c r="D33" i="4"/>
  <c r="AR65" i="5"/>
  <c r="AR5" i="5"/>
  <c r="AR62" i="5" s="1"/>
  <c r="AJ4" i="10"/>
  <c r="AJ3" i="10" s="1"/>
  <c r="J27" i="4" s="1"/>
  <c r="BD5" i="5"/>
  <c r="BD62" i="5" s="1"/>
  <c r="BD7" i="5"/>
  <c r="BD64" i="5" s="1"/>
  <c r="BD65" i="5"/>
  <c r="BF3" i="6" s="1"/>
  <c r="C19" i="5"/>
  <c r="C76" i="5" s="1"/>
  <c r="AZ60" i="5"/>
  <c r="C74" i="5"/>
  <c r="D37" i="3" s="1"/>
  <c r="D40" i="3" s="1"/>
  <c r="AT60" i="5"/>
  <c r="BM17" i="11"/>
  <c r="AO5" i="5"/>
  <c r="AO65" i="5"/>
  <c r="AQ3" i="6" s="1"/>
  <c r="AN4" i="10"/>
  <c r="AN3" i="10" s="1"/>
  <c r="C13" i="5"/>
  <c r="C70" i="5" s="1"/>
  <c r="C71" i="5"/>
  <c r="C37" i="3" s="1"/>
  <c r="AI7" i="5"/>
  <c r="AI64" i="5" s="1"/>
  <c r="AH7" i="5"/>
  <c r="AH64" i="5" s="1"/>
  <c r="AH5" i="5"/>
  <c r="BC65" i="5"/>
  <c r="BE3" i="6" s="1"/>
  <c r="BC5" i="5"/>
  <c r="BC7" i="5"/>
  <c r="BC64" i="5" s="1"/>
  <c r="AP7" i="5"/>
  <c r="AP64" i="5" s="1"/>
  <c r="AP65" i="5"/>
  <c r="AR3" i="6" s="1"/>
  <c r="AP5" i="5"/>
  <c r="AV7" i="5"/>
  <c r="AV64" i="5" s="1"/>
  <c r="AV65" i="5"/>
  <c r="AX3" i="6" s="1"/>
  <c r="AV5" i="5"/>
  <c r="BB4" i="10"/>
  <c r="BB3" i="10" s="1"/>
  <c r="O27" i="4" s="1"/>
  <c r="N27" i="4"/>
  <c r="N34" i="4"/>
  <c r="AN7" i="5"/>
  <c r="AN64" i="5" s="1"/>
  <c r="AN65" i="5"/>
  <c r="AP3" i="6" s="1"/>
  <c r="AP4" i="6" s="1"/>
  <c r="AP8" i="6" s="1"/>
  <c r="AP4" i="7" s="1"/>
  <c r="AL5" i="5"/>
  <c r="AL62" i="5" s="1"/>
  <c r="AM5" i="5"/>
  <c r="AM4" i="5" s="1"/>
  <c r="AM61" i="5" s="1"/>
  <c r="AH8" i="10"/>
  <c r="AH7" i="10" s="1"/>
  <c r="AH26" i="10" s="1"/>
  <c r="AG26" i="12" s="1"/>
  <c r="AM7" i="5"/>
  <c r="AM64" i="5" s="1"/>
  <c r="AG8" i="10"/>
  <c r="AG7" i="10" s="1"/>
  <c r="AG26" i="10" s="1"/>
  <c r="AF26" i="12" s="1"/>
  <c r="AL65" i="5"/>
  <c r="AN3" i="6" s="1"/>
  <c r="AO4" i="6" s="1"/>
  <c r="AI5" i="5"/>
  <c r="H40" i="4"/>
  <c r="AN4" i="5"/>
  <c r="AN61" i="5" s="1"/>
  <c r="AN62" i="5"/>
  <c r="AK65" i="5"/>
  <c r="AM3" i="6" s="1"/>
  <c r="AK5" i="5"/>
  <c r="AK7" i="5"/>
  <c r="AK64" i="5" s="1"/>
  <c r="AJ7" i="5"/>
  <c r="AJ64" i="5" s="1"/>
  <c r="AK4" i="10"/>
  <c r="AK3" i="10" s="1"/>
  <c r="AJ65" i="5"/>
  <c r="AL3" i="6" s="1"/>
  <c r="AL8" i="10"/>
  <c r="AL7" i="10" s="1"/>
  <c r="AL26" i="10" s="1"/>
  <c r="AK26" i="12" s="1"/>
  <c r="AJ62" i="5"/>
  <c r="AJ4" i="5"/>
  <c r="AJ61" i="5" s="1"/>
  <c r="AG60" i="5"/>
  <c r="W86" i="58"/>
  <c r="O47" i="57"/>
  <c r="O48" i="57"/>
  <c r="W82" i="58"/>
  <c r="V82" i="58"/>
  <c r="W100" i="57"/>
  <c r="W79" i="58"/>
  <c r="T78" i="58"/>
  <c r="T75" i="58"/>
  <c r="S295" i="58"/>
  <c r="AE7" i="10"/>
  <c r="AE3" i="10"/>
  <c r="I27" i="4" s="1"/>
  <c r="V148" i="58" l="1"/>
  <c r="W148" i="58"/>
  <c r="P7" i="46"/>
  <c r="P120" i="39"/>
  <c r="BC20" i="43"/>
  <c r="BC18" i="43" s="1"/>
  <c r="M4" i="50"/>
  <c r="O73" i="50" s="1"/>
  <c r="O74" i="50" s="1"/>
  <c r="Q97" i="37"/>
  <c r="P97" i="37"/>
  <c r="P11" i="38"/>
  <c r="O10" i="38"/>
  <c r="P10" i="38" s="1"/>
  <c r="P29" i="38"/>
  <c r="AZ19" i="30"/>
  <c r="J32" i="54"/>
  <c r="P52" i="23"/>
  <c r="AQ20" i="30"/>
  <c r="M4" i="36"/>
  <c r="Q72" i="47"/>
  <c r="P72" i="47"/>
  <c r="I109" i="61"/>
  <c r="M109" i="61" s="1"/>
  <c r="O109" i="61" s="1"/>
  <c r="I47" i="61"/>
  <c r="M47" i="61" s="1"/>
  <c r="O47" i="61" s="1"/>
  <c r="O124" i="40"/>
  <c r="P124" i="40" s="1"/>
  <c r="O111" i="20"/>
  <c r="P111" i="20" s="1"/>
  <c r="O41" i="23"/>
  <c r="P41" i="23" s="1"/>
  <c r="J86" i="54"/>
  <c r="P42" i="23"/>
  <c r="S170" i="67"/>
  <c r="P188" i="65"/>
  <c r="T188" i="65"/>
  <c r="M36" i="39"/>
  <c r="AZ20" i="30" s="1"/>
  <c r="P15" i="38"/>
  <c r="O13" i="38"/>
  <c r="P13" i="38" s="1"/>
  <c r="O38" i="23"/>
  <c r="P39" i="23"/>
  <c r="I50" i="61"/>
  <c r="M50" i="61" s="1"/>
  <c r="O50" i="61" s="1"/>
  <c r="I67" i="61"/>
  <c r="M67" i="61" s="1"/>
  <c r="O67" i="61" s="1"/>
  <c r="I125" i="61"/>
  <c r="M125" i="61" s="1"/>
  <c r="O125" i="61" s="1"/>
  <c r="I137" i="61"/>
  <c r="I126" i="61"/>
  <c r="M126" i="61" s="1"/>
  <c r="O126" i="61" s="1"/>
  <c r="I57" i="61"/>
  <c r="M57" i="61" s="1"/>
  <c r="O57" i="61" s="1"/>
  <c r="I49" i="61"/>
  <c r="M49" i="61" s="1"/>
  <c r="O49" i="61" s="1"/>
  <c r="I60" i="61"/>
  <c r="M60" i="61" s="1"/>
  <c r="O60" i="61" s="1"/>
  <c r="I80" i="61"/>
  <c r="M80" i="61" s="1"/>
  <c r="O80" i="61" s="1"/>
  <c r="I110" i="61"/>
  <c r="M110" i="61" s="1"/>
  <c r="O110" i="61" s="1"/>
  <c r="S23" i="66"/>
  <c r="S33" i="69"/>
  <c r="Q185" i="65"/>
  <c r="S199" i="63"/>
  <c r="O102" i="34"/>
  <c r="Q45" i="37"/>
  <c r="Q153" i="48"/>
  <c r="M124" i="46"/>
  <c r="M89" i="46" s="1"/>
  <c r="N125" i="46"/>
  <c r="O11" i="37"/>
  <c r="N10" i="37"/>
  <c r="AC17" i="43"/>
  <c r="AC9" i="43"/>
  <c r="BJ7" i="43"/>
  <c r="AC29" i="43"/>
  <c r="AC25" i="43"/>
  <c r="AC48" i="43" s="1"/>
  <c r="AC33" i="43"/>
  <c r="AF21" i="43"/>
  <c r="AF19" i="43"/>
  <c r="AC42" i="43"/>
  <c r="AF16" i="43"/>
  <c r="AF31" i="43"/>
  <c r="AF20" i="43"/>
  <c r="AF13" i="43"/>
  <c r="AC12" i="43"/>
  <c r="AF22" i="43"/>
  <c r="AF18" i="43"/>
  <c r="AC41" i="43"/>
  <c r="AF11" i="43"/>
  <c r="AF15" i="43"/>
  <c r="AC15" i="43"/>
  <c r="AC34" i="43"/>
  <c r="AF12" i="43"/>
  <c r="BI7" i="43"/>
  <c r="AC21" i="43"/>
  <c r="AC36" i="43"/>
  <c r="AF41" i="43"/>
  <c r="AC24" i="43"/>
  <c r="AC37" i="43"/>
  <c r="AF36" i="43"/>
  <c r="AF33" i="43"/>
  <c r="AC32" i="43"/>
  <c r="AF30" i="43"/>
  <c r="AF29" i="43"/>
  <c r="AF10" i="43"/>
  <c r="AC27" i="43"/>
  <c r="AF27" i="43"/>
  <c r="AF38" i="43"/>
  <c r="AF37" i="43"/>
  <c r="AC31" i="43"/>
  <c r="AF40" i="43"/>
  <c r="AC35" i="43"/>
  <c r="AC30" i="43"/>
  <c r="AF23" i="43"/>
  <c r="AC23" i="43"/>
  <c r="AF25" i="43"/>
  <c r="AF24" i="43"/>
  <c r="AF17" i="43"/>
  <c r="AC16" i="43"/>
  <c r="AC19" i="43"/>
  <c r="AC13" i="43"/>
  <c r="AC11" i="43"/>
  <c r="AC18" i="43"/>
  <c r="AF32" i="43"/>
  <c r="AF42" i="43"/>
  <c r="AF39" i="43"/>
  <c r="AF35" i="43"/>
  <c r="AF34" i="43"/>
  <c r="AF26" i="43"/>
  <c r="AC20" i="43"/>
  <c r="AC10" i="43"/>
  <c r="AF28" i="43"/>
  <c r="AC28" i="43"/>
  <c r="AC38" i="43"/>
  <c r="AC26" i="43"/>
  <c r="AF14" i="43"/>
  <c r="AF9" i="43"/>
  <c r="AC40" i="43"/>
  <c r="AC22" i="43"/>
  <c r="AC14" i="43"/>
  <c r="AC39" i="43"/>
  <c r="P84" i="32"/>
  <c r="P226" i="32"/>
  <c r="P80" i="32"/>
  <c r="I206" i="32"/>
  <c r="M206" i="32" s="1"/>
  <c r="P74" i="32"/>
  <c r="P102" i="32"/>
  <c r="P198" i="32"/>
  <c r="P209" i="32"/>
  <c r="P216" i="32"/>
  <c r="P83" i="32"/>
  <c r="P182" i="32"/>
  <c r="P47" i="32"/>
  <c r="P219" i="32"/>
  <c r="P137" i="32"/>
  <c r="P139" i="32"/>
  <c r="P131" i="32"/>
  <c r="P184" i="32"/>
  <c r="P114" i="32"/>
  <c r="P81" i="32"/>
  <c r="P212" i="32"/>
  <c r="P85" i="32"/>
  <c r="P171" i="32"/>
  <c r="P79" i="32"/>
  <c r="P118" i="32"/>
  <c r="P82" i="32"/>
  <c r="P222" i="32"/>
  <c r="P155" i="32"/>
  <c r="P223" i="32"/>
  <c r="P172" i="32"/>
  <c r="P189" i="32"/>
  <c r="P21" i="32"/>
  <c r="P70" i="32"/>
  <c r="P217" i="32"/>
  <c r="P181" i="32"/>
  <c r="P197" i="32"/>
  <c r="P132" i="32"/>
  <c r="P199" i="32"/>
  <c r="P218" i="32"/>
  <c r="P71" i="32"/>
  <c r="P152" i="32"/>
  <c r="P143" i="32"/>
  <c r="P210" i="32"/>
  <c r="P104" i="32"/>
  <c r="P103" i="32"/>
  <c r="P173" i="32"/>
  <c r="P208" i="32"/>
  <c r="P179" i="32"/>
  <c r="P27" i="32"/>
  <c r="P30" i="32"/>
  <c r="P113" i="32"/>
  <c r="P69" i="32"/>
  <c r="P129" i="32"/>
  <c r="P185" i="32"/>
  <c r="P192" i="32"/>
  <c r="P188" i="32"/>
  <c r="P42" i="32"/>
  <c r="P130" i="32"/>
  <c r="P213" i="32"/>
  <c r="P65" i="32"/>
  <c r="P142" i="32"/>
  <c r="P140" i="32"/>
  <c r="P191" i="32"/>
  <c r="P177" i="32"/>
  <c r="P59" i="32"/>
  <c r="P110" i="32"/>
  <c r="P51" i="32"/>
  <c r="P32" i="32"/>
  <c r="P160" i="32"/>
  <c r="P169" i="32"/>
  <c r="P60" i="32"/>
  <c r="P99" i="32"/>
  <c r="P55" i="32"/>
  <c r="P149" i="32"/>
  <c r="P196" i="32"/>
  <c r="P161" i="32"/>
  <c r="P61" i="32"/>
  <c r="P35" i="32"/>
  <c r="P205" i="32"/>
  <c r="P63" i="32"/>
  <c r="P187" i="32"/>
  <c r="P56" i="32"/>
  <c r="P170" i="32"/>
  <c r="P136" i="32"/>
  <c r="P183" i="32"/>
  <c r="P40" i="32"/>
  <c r="P52" i="32"/>
  <c r="P121" i="32"/>
  <c r="P68" i="32"/>
  <c r="P66" i="32"/>
  <c r="P100" i="32"/>
  <c r="P117" i="32"/>
  <c r="P159" i="32"/>
  <c r="P215" i="32"/>
  <c r="P120" i="32"/>
  <c r="P202" i="32"/>
  <c r="P123" i="32"/>
  <c r="P178" i="32"/>
  <c r="P43" i="32"/>
  <c r="P33" i="32"/>
  <c r="P153" i="32"/>
  <c r="P165" i="32"/>
  <c r="P78" i="32"/>
  <c r="P133" i="32"/>
  <c r="P144" i="32"/>
  <c r="P145" i="32"/>
  <c r="P204" i="32"/>
  <c r="P134" i="32"/>
  <c r="P98" i="32"/>
  <c r="P141" i="32"/>
  <c r="P36" i="32"/>
  <c r="P62" i="32"/>
  <c r="P148" i="32"/>
  <c r="P163" i="32"/>
  <c r="P146" i="32"/>
  <c r="P201" i="32"/>
  <c r="P37" i="32"/>
  <c r="P211" i="32"/>
  <c r="P11" i="32"/>
  <c r="P50" i="32"/>
  <c r="P22" i="32"/>
  <c r="P20" i="32"/>
  <c r="P151" i="32"/>
  <c r="P227" i="32"/>
  <c r="P195" i="32"/>
  <c r="P49" i="32"/>
  <c r="P34" i="32"/>
  <c r="P193" i="32"/>
  <c r="P166" i="32"/>
  <c r="P147" i="32"/>
  <c r="P124" i="32"/>
  <c r="P54" i="32"/>
  <c r="P200" i="32"/>
  <c r="P203" i="32"/>
  <c r="P162" i="32"/>
  <c r="P24" i="32"/>
  <c r="P112" i="32"/>
  <c r="P221" i="32"/>
  <c r="N27" i="38"/>
  <c r="N9" i="38" s="1"/>
  <c r="N8" i="38"/>
  <c r="O8" i="38" s="1"/>
  <c r="P8" i="38" s="1"/>
  <c r="O93" i="46"/>
  <c r="N134" i="48"/>
  <c r="N129" i="48" s="1"/>
  <c r="AX27" i="43" s="1"/>
  <c r="O95" i="23"/>
  <c r="N70" i="40"/>
  <c r="N69" i="40" s="1"/>
  <c r="N77" i="32" s="1"/>
  <c r="N95" i="37"/>
  <c r="N94" i="37" s="1"/>
  <c r="N90" i="37" s="1"/>
  <c r="N89" i="37" s="1"/>
  <c r="AU26" i="30" s="1"/>
  <c r="M94" i="37"/>
  <c r="M90" i="37" s="1"/>
  <c r="M89" i="37" s="1"/>
  <c r="AT26" i="30" s="1"/>
  <c r="O95" i="37"/>
  <c r="N8" i="46"/>
  <c r="O8" i="46"/>
  <c r="O6" i="46" s="1"/>
  <c r="P6" i="46" s="1"/>
  <c r="T147" i="65"/>
  <c r="P147" i="65"/>
  <c r="Q132" i="33"/>
  <c r="O130" i="33"/>
  <c r="P130" i="33" s="1"/>
  <c r="P132" i="33"/>
  <c r="O67" i="23"/>
  <c r="N66" i="23"/>
  <c r="I167" i="61"/>
  <c r="M167" i="61" s="1"/>
  <c r="O167" i="61" s="1"/>
  <c r="I55" i="61"/>
  <c r="M55" i="61" s="1"/>
  <c r="O55" i="61" s="1"/>
  <c r="I135" i="61"/>
  <c r="I46" i="61"/>
  <c r="M46" i="61" s="1"/>
  <c r="O46" i="61" s="1"/>
  <c r="N4" i="40"/>
  <c r="P61" i="38"/>
  <c r="O60" i="38"/>
  <c r="P60" i="38" s="1"/>
  <c r="I163" i="61"/>
  <c r="M163" i="61" s="1"/>
  <c r="O163" i="61" s="1"/>
  <c r="I187" i="61"/>
  <c r="M187" i="61" s="1"/>
  <c r="O187" i="61" s="1"/>
  <c r="I166" i="61"/>
  <c r="M166" i="61" s="1"/>
  <c r="O166" i="61" s="1"/>
  <c r="I48" i="61"/>
  <c r="M48" i="61" s="1"/>
  <c r="O48" i="61" s="1"/>
  <c r="I131" i="61"/>
  <c r="M131" i="61" s="1"/>
  <c r="O131" i="61" s="1"/>
  <c r="I144" i="61"/>
  <c r="M144" i="61" s="1"/>
  <c r="O144" i="61" s="1"/>
  <c r="I76" i="61"/>
  <c r="I128" i="61"/>
  <c r="M128" i="61" s="1"/>
  <c r="O128" i="61" s="1"/>
  <c r="I141" i="61"/>
  <c r="M141" i="61" s="1"/>
  <c r="O141" i="61" s="1"/>
  <c r="I43" i="61"/>
  <c r="M43" i="61" s="1"/>
  <c r="O43" i="61" s="1"/>
  <c r="I39" i="61"/>
  <c r="M39" i="61" s="1"/>
  <c r="O39" i="61" s="1"/>
  <c r="V235" i="58"/>
  <c r="U123" i="58"/>
  <c r="S33" i="68"/>
  <c r="Q170" i="66"/>
  <c r="T197" i="64"/>
  <c r="S153" i="64"/>
  <c r="O45" i="23"/>
  <c r="N58" i="48"/>
  <c r="O58" i="48"/>
  <c r="M57" i="48"/>
  <c r="M56" i="48" s="1"/>
  <c r="M36" i="48" s="1"/>
  <c r="Q39" i="46"/>
  <c r="P39" i="46"/>
  <c r="O38" i="46"/>
  <c r="P38" i="46" s="1"/>
  <c r="O48" i="23"/>
  <c r="M5" i="46"/>
  <c r="C33" i="4"/>
  <c r="C32" i="4"/>
  <c r="N30" i="38"/>
  <c r="O30" i="38"/>
  <c r="P30" i="38" s="1"/>
  <c r="M27" i="38"/>
  <c r="M9" i="38" s="1"/>
  <c r="O56" i="23"/>
  <c r="P56" i="23" s="1"/>
  <c r="P57" i="23"/>
  <c r="Q45" i="32"/>
  <c r="N45" i="32"/>
  <c r="O45" i="32" s="1"/>
  <c r="P45" i="32" s="1"/>
  <c r="BG68" i="5"/>
  <c r="BM11" i="11" s="1"/>
  <c r="C11" i="5"/>
  <c r="N118" i="48"/>
  <c r="N117" i="48" s="1"/>
  <c r="N89" i="48" s="1"/>
  <c r="O118" i="48"/>
  <c r="M117" i="48"/>
  <c r="M89" i="48" s="1"/>
  <c r="O14" i="27"/>
  <c r="M111" i="20"/>
  <c r="M89" i="20" s="1"/>
  <c r="M88" i="20" s="1"/>
  <c r="P109" i="32"/>
  <c r="P8" i="32"/>
  <c r="Q42" i="46"/>
  <c r="P42" i="46"/>
  <c r="O41" i="46"/>
  <c r="P41" i="46" s="1"/>
  <c r="M171" i="23"/>
  <c r="M172" i="23" s="1"/>
  <c r="N171" i="23"/>
  <c r="N172" i="23" s="1"/>
  <c r="O163" i="36"/>
  <c r="N161" i="36"/>
  <c r="AR29" i="30" s="1"/>
  <c r="O75" i="36"/>
  <c r="N70" i="36"/>
  <c r="N69" i="36" s="1"/>
  <c r="AW46" i="57"/>
  <c r="V46" i="57" s="1"/>
  <c r="Q101" i="68"/>
  <c r="O70" i="47"/>
  <c r="O119" i="20"/>
  <c r="P119" i="20" s="1"/>
  <c r="O111" i="51"/>
  <c r="P111" i="51" s="1"/>
  <c r="P197" i="64"/>
  <c r="M4" i="35"/>
  <c r="O120" i="27"/>
  <c r="O119" i="27" s="1"/>
  <c r="M88" i="51"/>
  <c r="P14" i="36"/>
  <c r="O13" i="36"/>
  <c r="P13" i="36" s="1"/>
  <c r="Q14" i="36"/>
  <c r="N6" i="46"/>
  <c r="Q100" i="47"/>
  <c r="P100" i="47"/>
  <c r="O99" i="47"/>
  <c r="AT19" i="43"/>
  <c r="M4" i="47"/>
  <c r="D16" i="41"/>
  <c r="B23" i="41"/>
  <c r="B24" i="41"/>
  <c r="O46" i="36"/>
  <c r="O19" i="34"/>
  <c r="P19" i="34" s="1"/>
  <c r="P20" i="34"/>
  <c r="N70" i="47"/>
  <c r="N69" i="47" s="1"/>
  <c r="P162" i="67"/>
  <c r="T162" i="67"/>
  <c r="P92" i="35"/>
  <c r="O91" i="35"/>
  <c r="P91" i="35" s="1"/>
  <c r="Q92" i="35"/>
  <c r="T76" i="65"/>
  <c r="P76" i="65"/>
  <c r="S76" i="65"/>
  <c r="P53" i="32"/>
  <c r="O143" i="48"/>
  <c r="K24" i="29"/>
  <c r="BC53" i="30"/>
  <c r="K21" i="29"/>
  <c r="K26" i="29"/>
  <c r="K31" i="29"/>
  <c r="K25" i="29"/>
  <c r="K42" i="29"/>
  <c r="K20" i="29"/>
  <c r="K23" i="29"/>
  <c r="K22" i="29"/>
  <c r="O153" i="46"/>
  <c r="N150" i="46"/>
  <c r="N149" i="46" s="1"/>
  <c r="P10" i="27"/>
  <c r="O9" i="27"/>
  <c r="P9" i="27" s="1"/>
  <c r="P45" i="35"/>
  <c r="Q45" i="35"/>
  <c r="O44" i="35"/>
  <c r="P44" i="35" s="1"/>
  <c r="P28" i="23"/>
  <c r="J78" i="54"/>
  <c r="O27" i="23"/>
  <c r="P27" i="23" s="1"/>
  <c r="I42" i="61"/>
  <c r="M42" i="61" s="1"/>
  <c r="O42" i="61" s="1"/>
  <c r="I65" i="61"/>
  <c r="M65" i="61" s="1"/>
  <c r="O65" i="61" s="1"/>
  <c r="I148" i="61"/>
  <c r="M148" i="61" s="1"/>
  <c r="O148" i="61" s="1"/>
  <c r="S185" i="69"/>
  <c r="I180" i="61"/>
  <c r="M180" i="61" s="1"/>
  <c r="O180" i="61" s="1"/>
  <c r="I184" i="61"/>
  <c r="M184" i="61" s="1"/>
  <c r="O184" i="61" s="1"/>
  <c r="I75" i="61"/>
  <c r="I145" i="61"/>
  <c r="M145" i="61" s="1"/>
  <c r="O145" i="61" s="1"/>
  <c r="I116" i="61"/>
  <c r="M116" i="61" s="1"/>
  <c r="O116" i="61" s="1"/>
  <c r="I124" i="61"/>
  <c r="M124" i="61" s="1"/>
  <c r="O124" i="61" s="1"/>
  <c r="I136" i="61"/>
  <c r="I77" i="61"/>
  <c r="I51" i="61"/>
  <c r="M51" i="61" s="1"/>
  <c r="O51" i="61" s="1"/>
  <c r="I66" i="61"/>
  <c r="M66" i="61" s="1"/>
  <c r="O66" i="61" s="1"/>
  <c r="W219" i="58"/>
  <c r="S77" i="67"/>
  <c r="S33" i="67"/>
  <c r="N111" i="20"/>
  <c r="P121" i="20"/>
  <c r="S128" i="67"/>
  <c r="O67" i="38"/>
  <c r="AY4" i="5"/>
  <c r="AY61" i="5" s="1"/>
  <c r="O99" i="36"/>
  <c r="R145" i="58"/>
  <c r="T145" i="58" s="1"/>
  <c r="N150" i="39"/>
  <c r="N149" i="39" s="1"/>
  <c r="BA28" i="30" s="1"/>
  <c r="R280" i="58"/>
  <c r="T280" i="58" s="1"/>
  <c r="O161" i="27"/>
  <c r="P161" i="27" s="1"/>
  <c r="M89" i="39"/>
  <c r="P161" i="39"/>
  <c r="AY29" i="30"/>
  <c r="N74" i="37"/>
  <c r="N70" i="37" s="1"/>
  <c r="N69" i="37" s="1"/>
  <c r="AU24" i="30" s="1"/>
  <c r="M70" i="37"/>
  <c r="M69" i="37" s="1"/>
  <c r="AT24" i="30" s="1"/>
  <c r="N12" i="28" s="1"/>
  <c r="S10" i="43"/>
  <c r="S24" i="43"/>
  <c r="S42" i="43"/>
  <c r="S11" i="43"/>
  <c r="S30" i="43"/>
  <c r="S40" i="43"/>
  <c r="S27" i="43"/>
  <c r="S16" i="43"/>
  <c r="S29" i="43"/>
  <c r="S18" i="43"/>
  <c r="S15" i="43"/>
  <c r="S22" i="43"/>
  <c r="S38" i="43"/>
  <c r="S41" i="43"/>
  <c r="S20" i="43"/>
  <c r="S9" i="43"/>
  <c r="S17" i="43"/>
  <c r="S12" i="43"/>
  <c r="S13" i="43"/>
  <c r="S19" i="43"/>
  <c r="S23" i="43"/>
  <c r="S28" i="43"/>
  <c r="S34" i="43"/>
  <c r="S31" i="43"/>
  <c r="S39" i="43"/>
  <c r="S35" i="43"/>
  <c r="S21" i="43"/>
  <c r="S26" i="43"/>
  <c r="S33" i="43"/>
  <c r="S25" i="43"/>
  <c r="S14" i="43"/>
  <c r="S32" i="43"/>
  <c r="S36" i="43"/>
  <c r="S37" i="43"/>
  <c r="R54" i="10"/>
  <c r="N27" i="47"/>
  <c r="N9" i="47" s="1"/>
  <c r="O30" i="47"/>
  <c r="O103" i="23"/>
  <c r="N102" i="23"/>
  <c r="P135" i="48"/>
  <c r="Q135" i="48"/>
  <c r="S159" i="67"/>
  <c r="N119" i="39"/>
  <c r="N117" i="39" s="1"/>
  <c r="P220" i="32"/>
  <c r="BM29" i="11"/>
  <c r="BM24" i="11"/>
  <c r="BM15" i="11"/>
  <c r="BL40" i="12" s="1"/>
  <c r="BM26" i="11"/>
  <c r="BM12" i="11"/>
  <c r="BL39" i="12" s="1"/>
  <c r="BM18" i="11"/>
  <c r="BM6" i="11" s="1"/>
  <c r="BL4" i="12" s="1"/>
  <c r="P57" i="32"/>
  <c r="AF3" i="6"/>
  <c r="AG4" i="6" s="1"/>
  <c r="AC8" i="10"/>
  <c r="AC7" i="10" s="1"/>
  <c r="AC26" i="10" s="1"/>
  <c r="AB26" i="12" s="1"/>
  <c r="BP3" i="6"/>
  <c r="BM8" i="10"/>
  <c r="BM7" i="10" s="1"/>
  <c r="BM26" i="10" s="1"/>
  <c r="BL26" i="12" s="1"/>
  <c r="M190" i="61"/>
  <c r="O190" i="61" s="1"/>
  <c r="R13" i="43"/>
  <c r="G6" i="41" s="1"/>
  <c r="R10" i="43"/>
  <c r="R23" i="43"/>
  <c r="R30" i="43"/>
  <c r="G9" i="41" s="1"/>
  <c r="R36" i="43"/>
  <c r="R33" i="43"/>
  <c r="R37" i="43"/>
  <c r="R39" i="43"/>
  <c r="R17" i="43"/>
  <c r="R9" i="43"/>
  <c r="G5" i="41" s="1"/>
  <c r="R16" i="43"/>
  <c r="R12" i="43"/>
  <c r="R21" i="43"/>
  <c r="R26" i="43"/>
  <c r="R35" i="43"/>
  <c r="R19" i="43"/>
  <c r="R29" i="43"/>
  <c r="R22" i="43"/>
  <c r="R15" i="43"/>
  <c r="R42" i="43"/>
  <c r="G4" i="41"/>
  <c r="N4" i="41" s="1"/>
  <c r="Q4" i="41" s="1"/>
  <c r="R40" i="43"/>
  <c r="R27" i="43"/>
  <c r="R25" i="43"/>
  <c r="G8" i="41" s="1"/>
  <c r="R18" i="43"/>
  <c r="G7" i="41" s="1"/>
  <c r="R11" i="43"/>
  <c r="R41" i="43"/>
  <c r="G14" i="41" s="1"/>
  <c r="R28" i="43"/>
  <c r="R20" i="43"/>
  <c r="R31" i="43"/>
  <c r="R32" i="43"/>
  <c r="R38" i="43"/>
  <c r="R34" i="43"/>
  <c r="G10" i="41" s="1"/>
  <c r="R24" i="43"/>
  <c r="G12" i="41" s="1"/>
  <c r="R14" i="43"/>
  <c r="O12" i="67"/>
  <c r="U14" i="67"/>
  <c r="P23" i="23"/>
  <c r="O22" i="23"/>
  <c r="P22" i="23" s="1"/>
  <c r="N48" i="37"/>
  <c r="N47" i="37" s="1"/>
  <c r="N37" i="37" s="1"/>
  <c r="N36" i="37" s="1"/>
  <c r="M47" i="37"/>
  <c r="M37" i="37" s="1"/>
  <c r="M36" i="37" s="1"/>
  <c r="J30" i="54"/>
  <c r="P20" i="23"/>
  <c r="O19" i="23"/>
  <c r="P19" i="23" s="1"/>
  <c r="I171" i="61"/>
  <c r="M171" i="61" s="1"/>
  <c r="O171" i="61" s="1"/>
  <c r="I182" i="61"/>
  <c r="M182" i="61" s="1"/>
  <c r="O182" i="61" s="1"/>
  <c r="I147" i="61"/>
  <c r="M147" i="61" s="1"/>
  <c r="O147" i="61" s="1"/>
  <c r="I121" i="61"/>
  <c r="M121" i="61" s="1"/>
  <c r="O121" i="61" s="1"/>
  <c r="I63" i="61"/>
  <c r="M63" i="61" s="1"/>
  <c r="O63" i="61" s="1"/>
  <c r="I168" i="61"/>
  <c r="M168" i="61" s="1"/>
  <c r="I170" i="61"/>
  <c r="M170" i="61" s="1"/>
  <c r="O170" i="61" s="1"/>
  <c r="I44" i="61"/>
  <c r="M44" i="61" s="1"/>
  <c r="O44" i="61" s="1"/>
  <c r="I122" i="61"/>
  <c r="M122" i="61" s="1"/>
  <c r="O122" i="61" s="1"/>
  <c r="I78" i="61"/>
  <c r="M78" i="61" s="1"/>
  <c r="O78" i="61" s="1"/>
  <c r="I45" i="61"/>
  <c r="M45" i="61" s="1"/>
  <c r="O45" i="61" s="1"/>
  <c r="I40" i="61"/>
  <c r="M40" i="61" s="1"/>
  <c r="O40" i="61" s="1"/>
  <c r="I56" i="61"/>
  <c r="M56" i="61" s="1"/>
  <c r="O56" i="61" s="1"/>
  <c r="I71" i="61"/>
  <c r="M71" i="61" s="1"/>
  <c r="O71" i="61" s="1"/>
  <c r="M189" i="61"/>
  <c r="AI46" i="57"/>
  <c r="H46" i="57" s="1"/>
  <c r="N89" i="33"/>
  <c r="R253" i="58"/>
  <c r="T253" i="58" s="1"/>
  <c r="V253" i="58" s="1"/>
  <c r="P101" i="36"/>
  <c r="N36" i="36"/>
  <c r="AR20" i="30" s="1"/>
  <c r="N129" i="27"/>
  <c r="S108" i="65"/>
  <c r="T108" i="65"/>
  <c r="P108" i="65"/>
  <c r="Z9" i="30"/>
  <c r="AC33" i="30"/>
  <c r="Z21" i="30"/>
  <c r="Z20" i="30"/>
  <c r="AC21" i="30"/>
  <c r="Z12" i="30"/>
  <c r="AC18" i="30"/>
  <c r="AC12" i="30"/>
  <c r="Z38" i="30"/>
  <c r="Z26" i="30"/>
  <c r="AC19" i="30"/>
  <c r="AC35" i="30"/>
  <c r="Z30" i="30"/>
  <c r="BD7" i="30"/>
  <c r="AC15" i="30"/>
  <c r="Z17" i="30"/>
  <c r="Z35" i="30"/>
  <c r="AC34" i="30"/>
  <c r="AC13" i="30"/>
  <c r="Z32" i="30"/>
  <c r="Z27" i="30"/>
  <c r="Z25" i="30"/>
  <c r="AC28" i="30"/>
  <c r="Z19" i="30"/>
  <c r="AC41" i="30"/>
  <c r="AC23" i="30"/>
  <c r="Z18" i="30"/>
  <c r="AC37" i="30"/>
  <c r="Z33" i="30"/>
  <c r="Z10" i="30"/>
  <c r="AC24" i="30"/>
  <c r="AC20" i="30"/>
  <c r="AC38" i="30"/>
  <c r="BC7" i="30"/>
  <c r="Z15" i="30"/>
  <c r="Z41" i="30"/>
  <c r="AC17" i="30"/>
  <c r="AC11" i="30"/>
  <c r="Z37" i="30"/>
  <c r="Z42" i="30"/>
  <c r="Z14" i="30"/>
  <c r="Z40" i="30"/>
  <c r="Z28" i="30"/>
  <c r="AC10" i="30"/>
  <c r="AC29" i="30"/>
  <c r="Z34" i="30"/>
  <c r="Z31" i="30"/>
  <c r="AC26" i="30"/>
  <c r="Z23" i="30"/>
  <c r="AC31" i="30"/>
  <c r="AC40" i="30"/>
  <c r="AC42" i="30"/>
  <c r="Z22" i="30"/>
  <c r="AC9" i="30"/>
  <c r="Z39" i="30"/>
  <c r="Z29" i="30"/>
  <c r="AC39" i="30"/>
  <c r="AC16" i="30"/>
  <c r="AC32" i="30"/>
  <c r="AC22" i="30"/>
  <c r="Z11" i="30"/>
  <c r="Z13" i="30"/>
  <c r="AC30" i="30"/>
  <c r="AC25" i="30"/>
  <c r="Z16" i="30"/>
  <c r="Z36" i="30"/>
  <c r="AC27" i="30"/>
  <c r="AC14" i="30"/>
  <c r="Z24" i="30"/>
  <c r="AC36" i="30"/>
  <c r="F34" i="30"/>
  <c r="C10" i="28" s="1"/>
  <c r="F13" i="30"/>
  <c r="C6" i="28" s="1"/>
  <c r="F36" i="30"/>
  <c r="F25" i="30"/>
  <c r="C8" i="28" s="1"/>
  <c r="F23" i="30"/>
  <c r="F20" i="30"/>
  <c r="F40" i="30"/>
  <c r="F42" i="30"/>
  <c r="F14" i="30"/>
  <c r="F27" i="30"/>
  <c r="F26" i="30"/>
  <c r="F15" i="30"/>
  <c r="F29" i="30"/>
  <c r="F21" i="30"/>
  <c r="F11" i="30"/>
  <c r="F38" i="30"/>
  <c r="F16" i="30"/>
  <c r="F22" i="30"/>
  <c r="F39" i="30"/>
  <c r="F32" i="30"/>
  <c r="F18" i="30"/>
  <c r="C7" i="28" s="1"/>
  <c r="F9" i="30"/>
  <c r="C5" i="28" s="1"/>
  <c r="F31" i="30"/>
  <c r="F19" i="30"/>
  <c r="F37" i="30"/>
  <c r="F35" i="30"/>
  <c r="F24" i="30"/>
  <c r="C12" i="28" s="1"/>
  <c r="F10" i="30"/>
  <c r="F33" i="30"/>
  <c r="F30" i="30"/>
  <c r="C9" i="28" s="1"/>
  <c r="F28" i="30"/>
  <c r="F17" i="30"/>
  <c r="F41" i="30"/>
  <c r="C14" i="28" s="1"/>
  <c r="F12" i="30"/>
  <c r="O8" i="34"/>
  <c r="N6" i="34"/>
  <c r="N5" i="34" s="1"/>
  <c r="O24" i="46"/>
  <c r="N22" i="46"/>
  <c r="N9" i="46" s="1"/>
  <c r="N5" i="46" s="1"/>
  <c r="AR19" i="43" s="1"/>
  <c r="P143" i="51"/>
  <c r="O141" i="51"/>
  <c r="P141" i="51" s="1"/>
  <c r="Q125" i="47"/>
  <c r="P125" i="47"/>
  <c r="O124" i="47"/>
  <c r="P124" i="47" s="1"/>
  <c r="O47" i="27"/>
  <c r="P47" i="27" s="1"/>
  <c r="P48" i="27"/>
  <c r="O91" i="23"/>
  <c r="P92" i="23"/>
  <c r="J51" i="54"/>
  <c r="P11" i="20"/>
  <c r="O10" i="20"/>
  <c r="Q11" i="20"/>
  <c r="O112" i="25"/>
  <c r="P102" i="33"/>
  <c r="Q102" i="33"/>
  <c r="N6" i="47"/>
  <c r="N5" i="47" s="1"/>
  <c r="O7" i="47"/>
  <c r="P157" i="32"/>
  <c r="P161" i="67"/>
  <c r="Q159" i="67"/>
  <c r="T159" i="67" s="1"/>
  <c r="T161" i="67"/>
  <c r="S67" i="65"/>
  <c r="S56" i="65" s="1"/>
  <c r="T67" i="65"/>
  <c r="P67" i="65"/>
  <c r="O121" i="39"/>
  <c r="P121" i="39" s="1"/>
  <c r="P100" i="46"/>
  <c r="Q100" i="46"/>
  <c r="O99" i="46"/>
  <c r="R152" i="58"/>
  <c r="T152" i="58" s="1"/>
  <c r="Q102" i="20"/>
  <c r="P102" i="20"/>
  <c r="I185" i="61"/>
  <c r="I70" i="61"/>
  <c r="M70" i="61" s="1"/>
  <c r="O70" i="61" s="1"/>
  <c r="I149" i="61"/>
  <c r="M149" i="61" s="1"/>
  <c r="O149" i="61" s="1"/>
  <c r="M136" i="58"/>
  <c r="N37" i="35"/>
  <c r="N36" i="35" s="1"/>
  <c r="N7" i="38"/>
  <c r="M6" i="38"/>
  <c r="O7" i="38"/>
  <c r="Q113" i="20"/>
  <c r="I164" i="61"/>
  <c r="M164" i="61" s="1"/>
  <c r="O164" i="61" s="1"/>
  <c r="I139" i="61"/>
  <c r="M139" i="61" s="1"/>
  <c r="I174" i="61"/>
  <c r="M174" i="61" s="1"/>
  <c r="O174" i="61" s="1"/>
  <c r="I173" i="61"/>
  <c r="M173" i="61" s="1"/>
  <c r="O173" i="61" s="1"/>
  <c r="I183" i="61"/>
  <c r="M183" i="61" s="1"/>
  <c r="O183" i="61" s="1"/>
  <c r="I120" i="61"/>
  <c r="M120" i="61" s="1"/>
  <c r="O120" i="61" s="1"/>
  <c r="I119" i="61"/>
  <c r="M119" i="61" s="1"/>
  <c r="O119" i="61" s="1"/>
  <c r="I58" i="61"/>
  <c r="M58" i="61" s="1"/>
  <c r="O58" i="61" s="1"/>
  <c r="I74" i="61"/>
  <c r="I62" i="61"/>
  <c r="M62" i="61" s="1"/>
  <c r="O62" i="61" s="1"/>
  <c r="I127" i="61"/>
  <c r="M127" i="61" s="1"/>
  <c r="O127" i="61" s="1"/>
  <c r="S56" i="66"/>
  <c r="S170" i="69"/>
  <c r="BA46" i="57"/>
  <c r="N37" i="20"/>
  <c r="N36" i="20" s="1"/>
  <c r="S55" i="63"/>
  <c r="S52" i="63" s="1"/>
  <c r="S185" i="65"/>
  <c r="Q101" i="63"/>
  <c r="T101" i="63" s="1"/>
  <c r="R241" i="58"/>
  <c r="T241" i="58" s="1"/>
  <c r="W241" i="58" s="1"/>
  <c r="N89" i="36"/>
  <c r="BD29" i="30"/>
  <c r="O162" i="20"/>
  <c r="Q162" i="20" s="1"/>
  <c r="M129" i="27"/>
  <c r="P92" i="47"/>
  <c r="Q92" i="47"/>
  <c r="O91" i="47"/>
  <c r="P91" i="47" s="1"/>
  <c r="N13" i="23"/>
  <c r="O14" i="23"/>
  <c r="P135" i="32"/>
  <c r="O58" i="50"/>
  <c r="Q121" i="37"/>
  <c r="P121" i="37"/>
  <c r="O119" i="37"/>
  <c r="G34" i="30"/>
  <c r="G33" i="30"/>
  <c r="G16" i="30"/>
  <c r="G26" i="30"/>
  <c r="G25" i="30"/>
  <c r="G40" i="30"/>
  <c r="G23" i="30"/>
  <c r="G27" i="30"/>
  <c r="G13" i="30"/>
  <c r="G19" i="30"/>
  <c r="G30" i="30"/>
  <c r="G37" i="30"/>
  <c r="G32" i="30"/>
  <c r="G14" i="30"/>
  <c r="G22" i="30"/>
  <c r="G11" i="30"/>
  <c r="G21" i="30"/>
  <c r="G10" i="30"/>
  <c r="G28" i="30"/>
  <c r="G42" i="30"/>
  <c r="G31" i="30"/>
  <c r="G36" i="30"/>
  <c r="G41" i="30"/>
  <c r="G38" i="30"/>
  <c r="G24" i="30"/>
  <c r="G39" i="30"/>
  <c r="G18" i="30"/>
  <c r="G29" i="30"/>
  <c r="G20" i="30"/>
  <c r="G15" i="30"/>
  <c r="G9" i="30"/>
  <c r="G35" i="30"/>
  <c r="G12" i="30"/>
  <c r="G17" i="30"/>
  <c r="P44" i="32"/>
  <c r="N59" i="48"/>
  <c r="O59" i="48"/>
  <c r="O152" i="36"/>
  <c r="N152" i="36"/>
  <c r="N150" i="36" s="1"/>
  <c r="N149" i="36" s="1"/>
  <c r="AR28" i="30" s="1"/>
  <c r="M150" i="36"/>
  <c r="M149" i="36" s="1"/>
  <c r="AQ28" i="30" s="1"/>
  <c r="BC28" i="30" s="1"/>
  <c r="O44" i="40"/>
  <c r="P44" i="40" s="1"/>
  <c r="P45" i="40"/>
  <c r="Q58" i="46"/>
  <c r="P58" i="46"/>
  <c r="O57" i="46"/>
  <c r="P57" i="46" s="1"/>
  <c r="S188" i="65"/>
  <c r="P166" i="67"/>
  <c r="T166" i="67"/>
  <c r="Q163" i="67"/>
  <c r="T163" i="67" s="1"/>
  <c r="O20" i="20"/>
  <c r="N19" i="20"/>
  <c r="P138" i="32"/>
  <c r="N21" i="37"/>
  <c r="N19" i="37" s="1"/>
  <c r="M19" i="37"/>
  <c r="M9" i="37" s="1"/>
  <c r="M5" i="37" s="1"/>
  <c r="P26" i="32"/>
  <c r="AU40" i="43"/>
  <c r="AO40" i="43"/>
  <c r="AL40" i="43"/>
  <c r="AR40" i="43"/>
  <c r="H15" i="60"/>
  <c r="D55" i="56"/>
  <c r="V123" i="58"/>
  <c r="AQ46" i="57"/>
  <c r="P46" i="57" s="1"/>
  <c r="R254" i="58"/>
  <c r="T254" i="58" s="1"/>
  <c r="W254" i="58" s="1"/>
  <c r="AS4" i="5"/>
  <c r="AS61" i="5" s="1"/>
  <c r="AE47" i="57"/>
  <c r="F33" i="7"/>
  <c r="E33" i="7"/>
  <c r="G31" i="7"/>
  <c r="G33" i="7" s="1"/>
  <c r="Q154" i="20"/>
  <c r="P154" i="20"/>
  <c r="O150" i="20"/>
  <c r="T111" i="64"/>
  <c r="S101" i="62"/>
  <c r="O175" i="45"/>
  <c r="P105" i="36"/>
  <c r="AR32" i="43"/>
  <c r="AO32" i="43"/>
  <c r="AL32" i="43"/>
  <c r="AX32" i="43"/>
  <c r="AU32" i="43"/>
  <c r="BA32" i="43"/>
  <c r="P120" i="27"/>
  <c r="O131" i="36"/>
  <c r="N130" i="36"/>
  <c r="N129" i="36" s="1"/>
  <c r="AR27" i="30" s="1"/>
  <c r="P102" i="37"/>
  <c r="Q102" i="37"/>
  <c r="Q184" i="66"/>
  <c r="Q153" i="64"/>
  <c r="T153" i="64" s="1"/>
  <c r="P111" i="64"/>
  <c r="O19" i="36"/>
  <c r="S169" i="62"/>
  <c r="S107" i="63"/>
  <c r="Y150" i="63"/>
  <c r="AB150" i="63" s="1"/>
  <c r="O115" i="40"/>
  <c r="P115" i="40" s="1"/>
  <c r="O151" i="39"/>
  <c r="P28" i="25"/>
  <c r="M27" i="4"/>
  <c r="P58" i="25"/>
  <c r="Q58" i="25"/>
  <c r="O57" i="25"/>
  <c r="O153" i="40"/>
  <c r="Q46" i="32"/>
  <c r="N46" i="32"/>
  <c r="O46" i="32" s="1"/>
  <c r="P46" i="32" s="1"/>
  <c r="R170" i="58"/>
  <c r="T170" i="58" s="1"/>
  <c r="O22" i="49"/>
  <c r="P22" i="49" s="1"/>
  <c r="BD28" i="30"/>
  <c r="O130" i="39"/>
  <c r="Q21" i="36"/>
  <c r="Q28" i="25"/>
  <c r="O64" i="23"/>
  <c r="P120" i="24"/>
  <c r="Q120" i="24"/>
  <c r="O119" i="24"/>
  <c r="P119" i="24" s="1"/>
  <c r="Q58" i="32"/>
  <c r="N58" i="32"/>
  <c r="O58" i="32" s="1"/>
  <c r="P58" i="32" s="1"/>
  <c r="S199" i="62"/>
  <c r="S127" i="67"/>
  <c r="R264" i="58"/>
  <c r="T264" i="58" s="1"/>
  <c r="V264" i="58" s="1"/>
  <c r="O23" i="34"/>
  <c r="O154" i="27"/>
  <c r="N150" i="27"/>
  <c r="N149" i="27" s="1"/>
  <c r="AW35" i="43"/>
  <c r="AT35" i="43"/>
  <c r="AQ35" i="43"/>
  <c r="AK35" i="43"/>
  <c r="AZ35" i="43"/>
  <c r="AN35" i="43"/>
  <c r="AY22" i="43"/>
  <c r="AP22" i="43"/>
  <c r="AV22" i="43"/>
  <c r="AM22" i="43"/>
  <c r="AS22" i="43"/>
  <c r="AJ22" i="43"/>
  <c r="Q41" i="32"/>
  <c r="N41" i="32"/>
  <c r="O41" i="32" s="1"/>
  <c r="P41" i="32" s="1"/>
  <c r="Q49" i="48"/>
  <c r="P49" i="48"/>
  <c r="O47" i="48"/>
  <c r="Q23" i="24"/>
  <c r="P23" i="24"/>
  <c r="O22" i="24"/>
  <c r="P22" i="24" s="1"/>
  <c r="O112" i="45"/>
  <c r="P112" i="45" s="1"/>
  <c r="P113" i="45"/>
  <c r="H196" i="58"/>
  <c r="O52" i="20"/>
  <c r="AJ35" i="11"/>
  <c r="AI9" i="12" s="1"/>
  <c r="Q144" i="68"/>
  <c r="T144" i="68" s="1"/>
  <c r="Q29" i="63"/>
  <c r="N107" i="45"/>
  <c r="BJ21" i="43" s="1"/>
  <c r="N4" i="51"/>
  <c r="O58" i="27"/>
  <c r="P58" i="27" s="1"/>
  <c r="Q21" i="48"/>
  <c r="O19" i="48"/>
  <c r="P19" i="48" s="1"/>
  <c r="P21" i="48"/>
  <c r="BN22" i="43"/>
  <c r="R229" i="58"/>
  <c r="T229" i="58" s="1"/>
  <c r="W229" i="58" s="1"/>
  <c r="Y59" i="11"/>
  <c r="X10" i="12" s="1"/>
  <c r="P146" i="68"/>
  <c r="N70" i="33"/>
  <c r="N69" i="33" s="1"/>
  <c r="AI24" i="30" s="1"/>
  <c r="P60" i="50"/>
  <c r="N150" i="20"/>
  <c r="N149" i="20" s="1"/>
  <c r="O7" i="31"/>
  <c r="O27" i="20"/>
  <c r="P27" i="20" s="1"/>
  <c r="P28" i="20"/>
  <c r="Q28" i="20"/>
  <c r="P136" i="27"/>
  <c r="O134" i="27"/>
  <c r="P134" i="27" s="1"/>
  <c r="AW32" i="43"/>
  <c r="AZ32" i="43"/>
  <c r="AN32" i="43"/>
  <c r="AQ32" i="43"/>
  <c r="AK32" i="43"/>
  <c r="AT32" i="43"/>
  <c r="R112" i="58"/>
  <c r="T112" i="58" s="1"/>
  <c r="W112" i="58" s="1"/>
  <c r="S146" i="68"/>
  <c r="S144" i="68" s="1"/>
  <c r="V35" i="11"/>
  <c r="U9" i="12" s="1"/>
  <c r="AX59" i="11"/>
  <c r="AW10" i="12" s="1"/>
  <c r="S185" i="66"/>
  <c r="S184" i="66" s="1"/>
  <c r="AT29" i="57" s="1"/>
  <c r="S29" i="57" s="1"/>
  <c r="O100" i="20"/>
  <c r="N99" i="20"/>
  <c r="N90" i="20" s="1"/>
  <c r="O10" i="32"/>
  <c r="P10" i="32" s="1"/>
  <c r="O137" i="39"/>
  <c r="V239" i="58"/>
  <c r="S153" i="65"/>
  <c r="P152" i="64"/>
  <c r="S152" i="64"/>
  <c r="T152" i="64"/>
  <c r="T155" i="64"/>
  <c r="P155" i="64"/>
  <c r="V215" i="58"/>
  <c r="W215" i="58"/>
  <c r="V282" i="58"/>
  <c r="W282" i="58"/>
  <c r="T162" i="64"/>
  <c r="P162" i="64"/>
  <c r="R218" i="58"/>
  <c r="T218" i="58" s="1"/>
  <c r="V218" i="58" s="1"/>
  <c r="S162" i="64"/>
  <c r="S159" i="64" s="1"/>
  <c r="AW47" i="57"/>
  <c r="V47" i="57" s="1"/>
  <c r="AI47" i="57"/>
  <c r="H47" i="57" s="1"/>
  <c r="BJ47" i="57"/>
  <c r="AC48" i="57"/>
  <c r="AR8" i="10"/>
  <c r="AR7" i="10" s="1"/>
  <c r="AR26" i="10" s="1"/>
  <c r="AQ26" i="12" s="1"/>
  <c r="AW19" i="6"/>
  <c r="AW21" i="6"/>
  <c r="C3" i="5"/>
  <c r="C60" i="5" s="1"/>
  <c r="D3" i="8" s="1"/>
  <c r="BA4" i="5"/>
  <c r="BA61" i="5" s="1"/>
  <c r="AM4" i="6"/>
  <c r="AM8" i="6" s="1"/>
  <c r="AM4" i="7" s="1"/>
  <c r="AZ8" i="10"/>
  <c r="AZ7" i="10" s="1"/>
  <c r="AZ4" i="5"/>
  <c r="AZ61" i="5" s="1"/>
  <c r="AX8" i="10"/>
  <c r="AX7" i="10" s="1"/>
  <c r="AX26" i="10" s="1"/>
  <c r="AW26" i="12" s="1"/>
  <c r="BA3" i="6"/>
  <c r="BA4" i="6" s="1"/>
  <c r="BA8" i="6" s="1"/>
  <c r="BA4" i="7" s="1"/>
  <c r="AU4" i="5"/>
  <c r="AU61" i="5" s="1"/>
  <c r="K3" i="3"/>
  <c r="K6" i="3" s="1"/>
  <c r="B6" i="3"/>
  <c r="C39" i="4" s="1"/>
  <c r="BG77" i="5"/>
  <c r="BM20" i="11" s="1"/>
  <c r="BG8" i="5"/>
  <c r="C20" i="5"/>
  <c r="BF62" i="5"/>
  <c r="BF4" i="5"/>
  <c r="BF61" i="5" s="1"/>
  <c r="BH3" i="6"/>
  <c r="BE8" i="10"/>
  <c r="BE7" i="10" s="1"/>
  <c r="AT4" i="5"/>
  <c r="AT61" i="5" s="1"/>
  <c r="BB3" i="6"/>
  <c r="AY8" i="10"/>
  <c r="AY7" i="10" s="1"/>
  <c r="AY26" i="10" s="1"/>
  <c r="AX26" i="12" s="1"/>
  <c r="L27" i="4"/>
  <c r="AU20" i="30"/>
  <c r="P98" i="45"/>
  <c r="O97" i="45"/>
  <c r="AZ26" i="30"/>
  <c r="AZ25" i="30" s="1"/>
  <c r="P8" i="28" s="1"/>
  <c r="M88" i="39"/>
  <c r="W204" i="58"/>
  <c r="V204" i="58"/>
  <c r="S56" i="67"/>
  <c r="S170" i="65"/>
  <c r="AW28" i="57" s="1"/>
  <c r="V28" i="57" s="1"/>
  <c r="W86" i="61"/>
  <c r="W82" i="61" s="1"/>
  <c r="M88" i="37"/>
  <c r="S144" i="66"/>
  <c r="AI59" i="11"/>
  <c r="AH10" i="12" s="1"/>
  <c r="AM59" i="11"/>
  <c r="AL10" i="12" s="1"/>
  <c r="O154" i="37"/>
  <c r="O150" i="37" s="1"/>
  <c r="S191" i="63"/>
  <c r="S190" i="63" s="1"/>
  <c r="AN29" i="57" s="1"/>
  <c r="M29" i="57" s="1"/>
  <c r="T50" i="67"/>
  <c r="Q49" i="67"/>
  <c r="P50" i="67"/>
  <c r="Q150" i="32"/>
  <c r="BC33" i="30"/>
  <c r="P50" i="33"/>
  <c r="Q50" i="33"/>
  <c r="O149" i="47"/>
  <c r="P150" i="47"/>
  <c r="Q50" i="25"/>
  <c r="O10" i="35"/>
  <c r="P10" i="35" s="1"/>
  <c r="P11" i="35"/>
  <c r="Q11" i="35"/>
  <c r="AK19" i="30"/>
  <c r="M4" i="34"/>
  <c r="O6" i="31"/>
  <c r="N4" i="31"/>
  <c r="N14" i="31" s="1"/>
  <c r="N15" i="31" s="1"/>
  <c r="N9" i="32"/>
  <c r="N6" i="32" s="1"/>
  <c r="O142" i="40"/>
  <c r="E28" i="4"/>
  <c r="M26" i="10"/>
  <c r="L26" i="12" s="1"/>
  <c r="P167" i="64"/>
  <c r="T167" i="64"/>
  <c r="P130" i="40"/>
  <c r="O104" i="46"/>
  <c r="N102" i="46"/>
  <c r="N90" i="46" s="1"/>
  <c r="P75" i="35"/>
  <c r="Q75" i="35"/>
  <c r="P188" i="63"/>
  <c r="T188" i="63"/>
  <c r="Q82" i="68"/>
  <c r="T82" i="68" s="1"/>
  <c r="O111" i="37"/>
  <c r="P111" i="37" s="1"/>
  <c r="O38" i="49"/>
  <c r="O37" i="35"/>
  <c r="P37" i="35" s="1"/>
  <c r="Q191" i="63"/>
  <c r="Q190" i="63" s="1"/>
  <c r="BE4" i="6"/>
  <c r="BE8" i="6" s="1"/>
  <c r="BE4" i="7" s="1"/>
  <c r="S134" i="63"/>
  <c r="P59" i="24"/>
  <c r="Q59" i="24"/>
  <c r="N53" i="25"/>
  <c r="O53" i="25" s="1"/>
  <c r="Q67" i="33"/>
  <c r="P67" i="33"/>
  <c r="O66" i="33"/>
  <c r="Q99" i="36"/>
  <c r="P99" i="36"/>
  <c r="Q151" i="24"/>
  <c r="P151" i="24"/>
  <c r="O150" i="24"/>
  <c r="J12" i="28"/>
  <c r="Q12" i="28" s="1"/>
  <c r="BC24" i="30"/>
  <c r="B64" i="13" s="1"/>
  <c r="P23" i="34"/>
  <c r="O22" i="34"/>
  <c r="P22" i="34" s="1"/>
  <c r="M6" i="32"/>
  <c r="M5" i="32" s="1"/>
  <c r="Q5" i="32" s="1"/>
  <c r="O9" i="32"/>
  <c r="O115" i="32"/>
  <c r="P115" i="32" s="1"/>
  <c r="P116" i="32"/>
  <c r="Q77" i="48"/>
  <c r="P77" i="48"/>
  <c r="P59" i="39"/>
  <c r="O57" i="39"/>
  <c r="P57" i="39" s="1"/>
  <c r="Q107" i="45"/>
  <c r="M106" i="45"/>
  <c r="Q106" i="45" s="1"/>
  <c r="BI21" i="43"/>
  <c r="P121" i="46"/>
  <c r="Q121" i="46"/>
  <c r="O119" i="46"/>
  <c r="P91" i="63"/>
  <c r="T91" i="63"/>
  <c r="AT26" i="43"/>
  <c r="AT25" i="43" s="1"/>
  <c r="M8" i="41" s="1"/>
  <c r="M88" i="47"/>
  <c r="O91" i="24"/>
  <c r="Q92" i="24"/>
  <c r="P92" i="24"/>
  <c r="BA47" i="57"/>
  <c r="AT47" i="57"/>
  <c r="S47" i="57" s="1"/>
  <c r="S62" i="63"/>
  <c r="Q40" i="20"/>
  <c r="O38" i="20"/>
  <c r="P38" i="20" s="1"/>
  <c r="P40" i="20"/>
  <c r="C38" i="4"/>
  <c r="F9" i="4" s="1"/>
  <c r="B38" i="12"/>
  <c r="B36" i="3"/>
  <c r="K131" i="58"/>
  <c r="K128" i="58" s="1"/>
  <c r="K127" i="58" s="1"/>
  <c r="K97" i="58" s="1"/>
  <c r="U49" i="67"/>
  <c r="O46" i="67"/>
  <c r="AI35" i="30"/>
  <c r="AL35" i="30"/>
  <c r="AU35" i="30"/>
  <c r="AR35" i="30"/>
  <c r="AO35" i="30"/>
  <c r="BA35" i="30"/>
  <c r="T67" i="64"/>
  <c r="P67" i="64"/>
  <c r="O190" i="45"/>
  <c r="N190" i="45"/>
  <c r="S188" i="64"/>
  <c r="S185" i="64" s="1"/>
  <c r="T188" i="64"/>
  <c r="P188" i="64"/>
  <c r="M127" i="32"/>
  <c r="Q127" i="32" s="1"/>
  <c r="P75" i="33"/>
  <c r="Q75" i="33"/>
  <c r="P7" i="48"/>
  <c r="O6" i="48"/>
  <c r="P6" i="48" s="1"/>
  <c r="AH11" i="30"/>
  <c r="AT11" i="30"/>
  <c r="AK11" i="30"/>
  <c r="AQ11" i="30"/>
  <c r="AZ11" i="30"/>
  <c r="AN11" i="30"/>
  <c r="P156" i="32"/>
  <c r="O154" i="32"/>
  <c r="O57" i="27"/>
  <c r="O63" i="40"/>
  <c r="P64" i="40"/>
  <c r="P120" i="34"/>
  <c r="O119" i="34"/>
  <c r="M70" i="25"/>
  <c r="M69" i="25" s="1"/>
  <c r="M171" i="25" s="1"/>
  <c r="M172" i="25" s="1"/>
  <c r="N71" i="25"/>
  <c r="N70" i="25" s="1"/>
  <c r="N69" i="25" s="1"/>
  <c r="T172" i="68"/>
  <c r="P172" i="68"/>
  <c r="Q18" i="32"/>
  <c r="BC12" i="30"/>
  <c r="O7" i="27"/>
  <c r="N6" i="27"/>
  <c r="N5" i="27" s="1"/>
  <c r="N4" i="27" s="1"/>
  <c r="M88" i="40"/>
  <c r="AU24" i="57"/>
  <c r="T24" i="57" s="1"/>
  <c r="U24" i="57"/>
  <c r="P115" i="46"/>
  <c r="Q115" i="46"/>
  <c r="O111" i="46"/>
  <c r="P111" i="46" s="1"/>
  <c r="P120" i="25"/>
  <c r="Q120" i="25"/>
  <c r="O119" i="25"/>
  <c r="P119" i="25" s="1"/>
  <c r="I47" i="57"/>
  <c r="AT25" i="30"/>
  <c r="N8" i="28" s="1"/>
  <c r="Q56" i="66"/>
  <c r="T56" i="66" s="1"/>
  <c r="V230" i="58"/>
  <c r="S46" i="67"/>
  <c r="N56" i="38"/>
  <c r="N89" i="20"/>
  <c r="N88" i="20" s="1"/>
  <c r="Q116" i="37"/>
  <c r="T35" i="11"/>
  <c r="S9" i="12" s="1"/>
  <c r="X35" i="11"/>
  <c r="W9" i="12" s="1"/>
  <c r="AU59" i="11"/>
  <c r="AT10" i="12" s="1"/>
  <c r="AR59" i="11"/>
  <c r="AQ10" i="12" s="1"/>
  <c r="O139" i="20"/>
  <c r="N150" i="51"/>
  <c r="N149" i="51" s="1"/>
  <c r="P195" i="64"/>
  <c r="T195" i="64"/>
  <c r="M6" i="44"/>
  <c r="N7" i="44"/>
  <c r="N10" i="45" s="1"/>
  <c r="M10" i="45"/>
  <c r="P92" i="51"/>
  <c r="O91" i="51"/>
  <c r="P91" i="51" s="1"/>
  <c r="N89" i="40"/>
  <c r="N88" i="40" s="1"/>
  <c r="N76" i="32" s="1"/>
  <c r="P78" i="46"/>
  <c r="Q78" i="46"/>
  <c r="P65" i="67"/>
  <c r="T65" i="67"/>
  <c r="M18" i="45"/>
  <c r="P101" i="32"/>
  <c r="O97" i="32"/>
  <c r="O11" i="23"/>
  <c r="O73" i="39"/>
  <c r="N70" i="39"/>
  <c r="N69" i="39" s="1"/>
  <c r="BA24" i="30" s="1"/>
  <c r="BD24" i="30" s="1"/>
  <c r="P39" i="50"/>
  <c r="O38" i="50"/>
  <c r="P38" i="50" s="1"/>
  <c r="BN3" i="6"/>
  <c r="BK8" i="10"/>
  <c r="BK7" i="10" s="1"/>
  <c r="AI40" i="30"/>
  <c r="AL40" i="30"/>
  <c r="AR40" i="30"/>
  <c r="BA40" i="30"/>
  <c r="AO40" i="30"/>
  <c r="AU40" i="30"/>
  <c r="Q11" i="46"/>
  <c r="P11" i="46"/>
  <c r="O10" i="46"/>
  <c r="U90" i="63"/>
  <c r="N160" i="58"/>
  <c r="N158" i="58" s="1"/>
  <c r="N127" i="58" s="1"/>
  <c r="O88" i="63"/>
  <c r="U88" i="63" s="1"/>
  <c r="O162" i="51"/>
  <c r="N161" i="51"/>
  <c r="N107" i="32"/>
  <c r="AF4" i="6"/>
  <c r="AH20" i="30"/>
  <c r="M4" i="33"/>
  <c r="AR33" i="30"/>
  <c r="AR30" i="30" s="1"/>
  <c r="AL33" i="30"/>
  <c r="AL30" i="30" s="1"/>
  <c r="AI33" i="30"/>
  <c r="AI30" i="30" s="1"/>
  <c r="BA33" i="30"/>
  <c r="BA30" i="30" s="1"/>
  <c r="AU33" i="30"/>
  <c r="AU30" i="30" s="1"/>
  <c r="AO33" i="30"/>
  <c r="AO30" i="30" s="1"/>
  <c r="BD30" i="30"/>
  <c r="J14" i="31"/>
  <c r="M15" i="31"/>
  <c r="BC21" i="30"/>
  <c r="M106" i="32"/>
  <c r="Q106" i="32" s="1"/>
  <c r="Q107" i="32"/>
  <c r="Q26" i="10"/>
  <c r="P26" i="12" s="1"/>
  <c r="F28" i="4"/>
  <c r="P162" i="34"/>
  <c r="O161" i="34"/>
  <c r="V259" i="58"/>
  <c r="V241" i="58"/>
  <c r="Q56" i="67"/>
  <c r="T56" i="67" s="1"/>
  <c r="S101" i="63"/>
  <c r="P6" i="25"/>
  <c r="O5" i="25"/>
  <c r="AK38" i="30"/>
  <c r="AT38" i="30"/>
  <c r="AQ38" i="30"/>
  <c r="AH38" i="30"/>
  <c r="AN38" i="30"/>
  <c r="AZ38" i="30"/>
  <c r="Q28" i="36"/>
  <c r="P28" i="36"/>
  <c r="O27" i="36"/>
  <c r="P27" i="36" s="1"/>
  <c r="O44" i="34"/>
  <c r="P44" i="34" s="1"/>
  <c r="P45" i="34"/>
  <c r="O90" i="33"/>
  <c r="P90" i="33" s="1"/>
  <c r="Q99" i="33"/>
  <c r="P99" i="33"/>
  <c r="AS31" i="30"/>
  <c r="AP31" i="30"/>
  <c r="AG31" i="30"/>
  <c r="AY31" i="30"/>
  <c r="AM31" i="30"/>
  <c r="AJ31" i="30"/>
  <c r="AT33" i="43"/>
  <c r="AT30" i="43" s="1"/>
  <c r="M9" i="41" s="1"/>
  <c r="AZ33" i="43"/>
  <c r="AZ30" i="43" s="1"/>
  <c r="P9" i="41" s="1"/>
  <c r="AK33" i="43"/>
  <c r="AK30" i="43" s="1"/>
  <c r="J9" i="41" s="1"/>
  <c r="AW33" i="43"/>
  <c r="AW30" i="43" s="1"/>
  <c r="N9" i="41" s="1"/>
  <c r="AQ33" i="43"/>
  <c r="AQ30" i="43" s="1"/>
  <c r="L9" i="41" s="1"/>
  <c r="AN33" i="43"/>
  <c r="AN30" i="43" s="1"/>
  <c r="K9" i="41" s="1"/>
  <c r="BI30" i="43"/>
  <c r="B73" i="13" s="1"/>
  <c r="AP23" i="30"/>
  <c r="AJ23" i="30"/>
  <c r="AS23" i="30"/>
  <c r="AG23" i="30"/>
  <c r="AY23" i="30"/>
  <c r="AM23" i="30"/>
  <c r="P52" i="64"/>
  <c r="T52" i="64"/>
  <c r="BH40" i="43"/>
  <c r="P228" i="45"/>
  <c r="P125" i="32"/>
  <c r="BB22" i="30"/>
  <c r="BC30" i="30"/>
  <c r="B66" i="13" s="1"/>
  <c r="AN32" i="30"/>
  <c r="AZ32" i="30"/>
  <c r="AK32" i="30"/>
  <c r="AT32" i="30"/>
  <c r="AQ32" i="30"/>
  <c r="AH32" i="30"/>
  <c r="AA8" i="10"/>
  <c r="AA7" i="10" s="1"/>
  <c r="AA26" i="10" s="1"/>
  <c r="Z26" i="12" s="1"/>
  <c r="AD3" i="6"/>
  <c r="AR16" i="30"/>
  <c r="AI16" i="30"/>
  <c r="AO16" i="30"/>
  <c r="BA16" i="30"/>
  <c r="AL16" i="30"/>
  <c r="AU16" i="30"/>
  <c r="P12" i="20"/>
  <c r="Q12" i="20"/>
  <c r="R238" i="58"/>
  <c r="T238" i="58" s="1"/>
  <c r="W238" i="58" s="1"/>
  <c r="P73" i="37"/>
  <c r="Q73" i="37"/>
  <c r="BI16" i="43"/>
  <c r="Q97" i="45"/>
  <c r="BJ31" i="43"/>
  <c r="N127" i="45"/>
  <c r="T149" i="64"/>
  <c r="P149" i="64"/>
  <c r="P230" i="32"/>
  <c r="O228" i="32"/>
  <c r="P50" i="35"/>
  <c r="Q50" i="35"/>
  <c r="S91" i="63"/>
  <c r="S90" i="63" s="1"/>
  <c r="S88" i="63" s="1"/>
  <c r="P111" i="32"/>
  <c r="O108" i="32"/>
  <c r="T102" i="63"/>
  <c r="P102" i="63"/>
  <c r="P212" i="45"/>
  <c r="O208" i="45"/>
  <c r="T192" i="63"/>
  <c r="P192" i="63"/>
  <c r="T70" i="67"/>
  <c r="P70" i="67"/>
  <c r="S46" i="68"/>
  <c r="T8" i="11"/>
  <c r="S8" i="12" s="1"/>
  <c r="BD35" i="11"/>
  <c r="BC9" i="12" s="1"/>
  <c r="P35" i="11"/>
  <c r="O9" i="12" s="1"/>
  <c r="BL35" i="11"/>
  <c r="BK9" i="12" s="1"/>
  <c r="H8" i="11"/>
  <c r="G8" i="12" s="1"/>
  <c r="G8" i="11"/>
  <c r="F8" i="12" s="1"/>
  <c r="AR35" i="11"/>
  <c r="AQ9" i="12" s="1"/>
  <c r="Q35" i="11"/>
  <c r="P9" i="12" s="1"/>
  <c r="AE8" i="11"/>
  <c r="AD8" i="12" s="1"/>
  <c r="AN35" i="11"/>
  <c r="AM9" i="12" s="1"/>
  <c r="AO59" i="11"/>
  <c r="AN10" i="12" s="1"/>
  <c r="AK59" i="11"/>
  <c r="AJ10" i="12" s="1"/>
  <c r="BM59" i="11"/>
  <c r="BL10" i="12" s="1"/>
  <c r="N4" i="46"/>
  <c r="AB47" i="57"/>
  <c r="Q165" i="63"/>
  <c r="T165" i="63" s="1"/>
  <c r="V54" i="10"/>
  <c r="Q42" i="25"/>
  <c r="O41" i="25"/>
  <c r="P41" i="25" s="1"/>
  <c r="P42" i="25"/>
  <c r="Q152" i="35"/>
  <c r="O150" i="35"/>
  <c r="P152" i="35"/>
  <c r="O190" i="63"/>
  <c r="U190" i="63" s="1"/>
  <c r="U191" i="63"/>
  <c r="O136" i="51"/>
  <c r="P108" i="68"/>
  <c r="T108" i="68"/>
  <c r="P37" i="24"/>
  <c r="O36" i="24"/>
  <c r="P36" i="24" s="1"/>
  <c r="BI37" i="43"/>
  <c r="Q190" i="45"/>
  <c r="P154" i="36"/>
  <c r="Q154" i="36"/>
  <c r="S52" i="64"/>
  <c r="T142" i="68"/>
  <c r="P142" i="68"/>
  <c r="S188" i="63"/>
  <c r="P44" i="37"/>
  <c r="Q14" i="24"/>
  <c r="O13" i="24"/>
  <c r="P13" i="24" s="1"/>
  <c r="P14" i="24"/>
  <c r="AI22" i="30"/>
  <c r="AU22" i="30"/>
  <c r="AO22" i="30"/>
  <c r="AR22" i="30"/>
  <c r="AL22" i="30"/>
  <c r="BA22" i="30"/>
  <c r="P190" i="64"/>
  <c r="T190" i="64"/>
  <c r="BR3" i="6"/>
  <c r="BO8" i="10"/>
  <c r="BO7" i="10" s="1"/>
  <c r="N97" i="45"/>
  <c r="BJ16" i="43" s="1"/>
  <c r="P131" i="45"/>
  <c r="O130" i="45"/>
  <c r="P130" i="45" s="1"/>
  <c r="AT20" i="30"/>
  <c r="O111" i="40"/>
  <c r="P111" i="40" s="1"/>
  <c r="P47" i="40"/>
  <c r="O37" i="40"/>
  <c r="O131" i="34"/>
  <c r="N130" i="34"/>
  <c r="N129" i="34" s="1"/>
  <c r="AL27" i="30" s="1"/>
  <c r="BD27" i="30" s="1"/>
  <c r="Q170" i="68"/>
  <c r="O70" i="35"/>
  <c r="P70" i="35" s="1"/>
  <c r="S144" i="64"/>
  <c r="Q8" i="11"/>
  <c r="P8" i="12" s="1"/>
  <c r="AZ59" i="11"/>
  <c r="AY10" i="12" s="1"/>
  <c r="N90" i="39"/>
  <c r="AN47" i="57"/>
  <c r="M47" i="57" s="1"/>
  <c r="AQ47" i="57"/>
  <c r="N251" i="58"/>
  <c r="N223" i="58" s="1"/>
  <c r="P207" i="32"/>
  <c r="BB38" i="30"/>
  <c r="S107" i="68"/>
  <c r="S101" i="68" s="1"/>
  <c r="S100" i="68" s="1"/>
  <c r="P107" i="68"/>
  <c r="T107" i="68"/>
  <c r="AL38" i="43"/>
  <c r="BA38" i="43"/>
  <c r="AX38" i="43"/>
  <c r="AR38" i="43"/>
  <c r="AO38" i="43"/>
  <c r="AU38" i="43"/>
  <c r="BD4" i="6"/>
  <c r="BD8" i="6" s="1"/>
  <c r="BD4" i="7" s="1"/>
  <c r="P117" i="45"/>
  <c r="O115" i="45"/>
  <c r="N99" i="25"/>
  <c r="O100" i="25"/>
  <c r="S139" i="68"/>
  <c r="T139" i="68"/>
  <c r="P139" i="68"/>
  <c r="N71" i="13"/>
  <c r="AF71" i="13"/>
  <c r="R71" i="13"/>
  <c r="D71" i="13"/>
  <c r="Y71" i="13"/>
  <c r="AG71" i="13"/>
  <c r="AA71" i="13"/>
  <c r="K71" i="13"/>
  <c r="AE71" i="13"/>
  <c r="AM71" i="13"/>
  <c r="BM71" i="13"/>
  <c r="AZ71" i="13"/>
  <c r="BQ71" i="13"/>
  <c r="Z71" i="13"/>
  <c r="AC71" i="13"/>
  <c r="U71" i="13"/>
  <c r="AH71" i="13"/>
  <c r="AS71" i="13"/>
  <c r="AB71" i="13"/>
  <c r="W71" i="13"/>
  <c r="AX71" i="13"/>
  <c r="BH71" i="13"/>
  <c r="AT71" i="13"/>
  <c r="AI71" i="13"/>
  <c r="AL71" i="13"/>
  <c r="AJ71" i="13"/>
  <c r="I71" i="13"/>
  <c r="BG71" i="13"/>
  <c r="G71" i="13"/>
  <c r="BF71" i="13"/>
  <c r="BP71" i="13"/>
  <c r="BJ71" i="13"/>
  <c r="V71" i="13"/>
  <c r="Q71" i="13"/>
  <c r="E71" i="13"/>
  <c r="AR71" i="13"/>
  <c r="AY71" i="13"/>
  <c r="AV71" i="13"/>
  <c r="AN71" i="13"/>
  <c r="BD71" i="13"/>
  <c r="BN71" i="13"/>
  <c r="BB71" i="13"/>
  <c r="AU71" i="13"/>
  <c r="L71" i="13"/>
  <c r="O71" i="13"/>
  <c r="F71" i="13"/>
  <c r="H71" i="13"/>
  <c r="BL71" i="13"/>
  <c r="BC71" i="13"/>
  <c r="BK71" i="13"/>
  <c r="AO71" i="13"/>
  <c r="AP71" i="13"/>
  <c r="M71" i="13"/>
  <c r="P71" i="13"/>
  <c r="T71" i="13"/>
  <c r="AW71" i="13"/>
  <c r="AK71" i="13"/>
  <c r="BE71" i="13"/>
  <c r="BO71" i="13"/>
  <c r="BI71" i="13"/>
  <c r="J71" i="13"/>
  <c r="AD71" i="13"/>
  <c r="C71" i="13"/>
  <c r="X71" i="13"/>
  <c r="S71" i="13"/>
  <c r="BA71" i="13"/>
  <c r="AQ71" i="13"/>
  <c r="Q102" i="48"/>
  <c r="P102" i="48"/>
  <c r="O11" i="25"/>
  <c r="O96" i="39"/>
  <c r="AN35" i="30"/>
  <c r="AZ35" i="30"/>
  <c r="AT35" i="30"/>
  <c r="AQ35" i="30"/>
  <c r="AK35" i="30"/>
  <c r="AH35" i="30"/>
  <c r="P135" i="40"/>
  <c r="O134" i="40"/>
  <c r="P134" i="40" s="1"/>
  <c r="M171" i="27"/>
  <c r="M172" i="27" s="1"/>
  <c r="N171" i="27"/>
  <c r="N172" i="27" s="1"/>
  <c r="BM32" i="43"/>
  <c r="BH32" i="43"/>
  <c r="P142" i="45"/>
  <c r="S167" i="64"/>
  <c r="W339" i="58"/>
  <c r="V172" i="58"/>
  <c r="V104" i="58"/>
  <c r="U47" i="57"/>
  <c r="S62" i="62"/>
  <c r="Q134" i="63"/>
  <c r="T134" i="63" s="1"/>
  <c r="T135" i="63"/>
  <c r="U29" i="63"/>
  <c r="O20" i="63"/>
  <c r="U134" i="63"/>
  <c r="O133" i="63"/>
  <c r="U133" i="63" s="1"/>
  <c r="S19" i="63"/>
  <c r="T19" i="63"/>
  <c r="P19" i="63"/>
  <c r="Q106" i="63"/>
  <c r="T106" i="63" s="1"/>
  <c r="T107" i="63"/>
  <c r="AM22" i="57"/>
  <c r="AK48" i="57"/>
  <c r="J48" i="57" s="1"/>
  <c r="S165" i="63"/>
  <c r="S133" i="63" s="1"/>
  <c r="P168" i="63"/>
  <c r="T168" i="63"/>
  <c r="N98" i="58"/>
  <c r="S138" i="62"/>
  <c r="S134" i="62" s="1"/>
  <c r="S133" i="62" s="1"/>
  <c r="T126" i="63"/>
  <c r="AM23" i="57"/>
  <c r="L23" i="57" s="1"/>
  <c r="S29" i="63"/>
  <c r="S20" i="63" s="1"/>
  <c r="S18" i="63" s="1"/>
  <c r="T36" i="63"/>
  <c r="P36" i="63"/>
  <c r="T157" i="63"/>
  <c r="P157" i="63"/>
  <c r="Q150" i="63"/>
  <c r="T150" i="63" s="1"/>
  <c r="P167" i="63"/>
  <c r="T167" i="63"/>
  <c r="V135" i="58"/>
  <c r="W264" i="58"/>
  <c r="V165" i="58"/>
  <c r="S184" i="69"/>
  <c r="U22" i="69"/>
  <c r="Q22" i="69"/>
  <c r="S22" i="69" s="1"/>
  <c r="L106" i="58"/>
  <c r="L100" i="58" s="1"/>
  <c r="L98" i="58" s="1"/>
  <c r="V166" i="58"/>
  <c r="S84" i="69"/>
  <c r="S95" i="69"/>
  <c r="M102" i="69"/>
  <c r="O102" i="69" s="1"/>
  <c r="I130" i="69"/>
  <c r="M130" i="69" s="1"/>
  <c r="O130" i="69" s="1"/>
  <c r="S120" i="69"/>
  <c r="V146" i="58"/>
  <c r="S82" i="65"/>
  <c r="AW48" i="57"/>
  <c r="V48" i="57" s="1"/>
  <c r="W253" i="58"/>
  <c r="AC46" i="57"/>
  <c r="S23" i="65"/>
  <c r="S101" i="65"/>
  <c r="AT48" i="57"/>
  <c r="S48" i="57" s="1"/>
  <c r="BN46" i="57"/>
  <c r="W116" i="58"/>
  <c r="Q32" i="61"/>
  <c r="P32" i="61" s="1"/>
  <c r="U32" i="61"/>
  <c r="Q32" i="58"/>
  <c r="U35" i="61"/>
  <c r="Q35" i="61"/>
  <c r="Q35" i="58"/>
  <c r="AN48" i="57"/>
  <c r="AL48" i="57" s="1"/>
  <c r="K48" i="57" s="1"/>
  <c r="V214" i="58"/>
  <c r="S32" i="61"/>
  <c r="T78" i="68"/>
  <c r="P78" i="68"/>
  <c r="Q77" i="68"/>
  <c r="T77" i="68" s="1"/>
  <c r="S78" i="68"/>
  <c r="P79" i="68"/>
  <c r="T79" i="68"/>
  <c r="O153" i="58"/>
  <c r="R154" i="58"/>
  <c r="T154" i="58" s="1"/>
  <c r="T153" i="58" s="1"/>
  <c r="S79" i="68"/>
  <c r="Y76" i="61"/>
  <c r="BF4" i="6"/>
  <c r="BF8" i="6" s="1"/>
  <c r="BF4" i="7" s="1"/>
  <c r="BG4" i="6"/>
  <c r="BG8" i="6" s="1"/>
  <c r="BG4" i="7" s="1"/>
  <c r="S193" i="68"/>
  <c r="AQ30" i="57" s="1"/>
  <c r="P30" i="57" s="1"/>
  <c r="O223" i="58"/>
  <c r="T338" i="58"/>
  <c r="W338" i="58" s="1"/>
  <c r="T200" i="64"/>
  <c r="P200" i="64"/>
  <c r="T88" i="64"/>
  <c r="P88" i="64"/>
  <c r="S88" i="64"/>
  <c r="P34" i="64"/>
  <c r="T34" i="64"/>
  <c r="P18" i="64"/>
  <c r="T18" i="64"/>
  <c r="S196" i="64"/>
  <c r="P196" i="64"/>
  <c r="T196" i="64"/>
  <c r="T98" i="64"/>
  <c r="P98" i="64"/>
  <c r="S143" i="64"/>
  <c r="P143" i="64"/>
  <c r="T143" i="64"/>
  <c r="P40" i="64"/>
  <c r="T40" i="64"/>
  <c r="S34" i="64"/>
  <c r="T192" i="64"/>
  <c r="P192" i="64"/>
  <c r="S192" i="64"/>
  <c r="T44" i="64"/>
  <c r="P44" i="64"/>
  <c r="S96" i="64"/>
  <c r="S95" i="64" s="1"/>
  <c r="P96" i="64"/>
  <c r="T96" i="64"/>
  <c r="S86" i="64"/>
  <c r="S84" i="64" s="1"/>
  <c r="P86" i="64"/>
  <c r="T86" i="64"/>
  <c r="P53" i="64"/>
  <c r="T53" i="64"/>
  <c r="P105" i="64"/>
  <c r="T105" i="64"/>
  <c r="S68" i="64"/>
  <c r="T68" i="64"/>
  <c r="P68" i="64"/>
  <c r="P37" i="64"/>
  <c r="T37" i="64"/>
  <c r="S37" i="64"/>
  <c r="S55" i="64"/>
  <c r="P55" i="64"/>
  <c r="T55" i="64"/>
  <c r="P177" i="66"/>
  <c r="T177" i="66"/>
  <c r="P172" i="66"/>
  <c r="T172" i="66"/>
  <c r="V202" i="58"/>
  <c r="P262" i="58"/>
  <c r="P222" i="58" s="1"/>
  <c r="S177" i="66"/>
  <c r="S170" i="66" s="1"/>
  <c r="AT28" i="57" s="1"/>
  <c r="S28" i="57" s="1"/>
  <c r="Q46" i="66"/>
  <c r="T46" i="66" s="1"/>
  <c r="T49" i="66"/>
  <c r="V143" i="58"/>
  <c r="Q33" i="64"/>
  <c r="T33" i="64" s="1"/>
  <c r="Q170" i="64"/>
  <c r="Q82" i="64"/>
  <c r="T82" i="64" s="1"/>
  <c r="AO46" i="57"/>
  <c r="N46" i="57" s="1"/>
  <c r="BA48" i="57"/>
  <c r="BN48" i="57" s="1"/>
  <c r="AR4" i="6"/>
  <c r="AR8" i="6" s="1"/>
  <c r="AR4" i="7" s="1"/>
  <c r="AL4" i="6"/>
  <c r="AY4" i="6"/>
  <c r="AY8" i="6" s="1"/>
  <c r="AY4" i="7" s="1"/>
  <c r="AX4" i="6"/>
  <c r="AX8" i="6" s="1"/>
  <c r="AX4" i="7" s="1"/>
  <c r="AN4" i="6"/>
  <c r="AN8" i="6" s="1"/>
  <c r="AN4" i="7" s="1"/>
  <c r="AQ4" i="6"/>
  <c r="AS4" i="6"/>
  <c r="AZ4" i="6"/>
  <c r="AZ8" i="6" s="1"/>
  <c r="AZ4" i="7" s="1"/>
  <c r="AJ8" i="11"/>
  <c r="AI8" i="12" s="1"/>
  <c r="AJ4" i="6"/>
  <c r="AI4" i="6"/>
  <c r="AI8" i="6" s="1"/>
  <c r="G49" i="4"/>
  <c r="K12" i="4"/>
  <c r="I12" i="4" s="1"/>
  <c r="BE8" i="11"/>
  <c r="BD8" i="12" s="1"/>
  <c r="BJ8" i="11"/>
  <c r="BI8" i="12" s="1"/>
  <c r="AX62" i="5"/>
  <c r="BD19" i="43"/>
  <c r="BD18" i="43" s="1"/>
  <c r="BD42" i="43" s="1"/>
  <c r="N4" i="50"/>
  <c r="J42" i="54"/>
  <c r="P75" i="23"/>
  <c r="P156" i="51"/>
  <c r="O150" i="51"/>
  <c r="P8" i="25"/>
  <c r="Q8" i="25"/>
  <c r="Q133" i="20"/>
  <c r="P133" i="20"/>
  <c r="O130" i="20"/>
  <c r="AO26" i="30"/>
  <c r="AO25" i="30" s="1"/>
  <c r="N88" i="35"/>
  <c r="P94" i="48"/>
  <c r="O90" i="48"/>
  <c r="Q94" i="48"/>
  <c r="N88" i="33"/>
  <c r="AI26" i="30"/>
  <c r="AI40" i="12"/>
  <c r="AJ16" i="11"/>
  <c r="AO10" i="11"/>
  <c r="AO6" i="11"/>
  <c r="AN38" i="12"/>
  <c r="F39" i="12"/>
  <c r="G13" i="11"/>
  <c r="J42" i="12"/>
  <c r="K22" i="11"/>
  <c r="R22" i="11"/>
  <c r="Q42" i="12"/>
  <c r="AJ31" i="11"/>
  <c r="AI45" i="12"/>
  <c r="T19" i="11"/>
  <c r="S41" i="12"/>
  <c r="AI31" i="11"/>
  <c r="AH45" i="12"/>
  <c r="BG35" i="11"/>
  <c r="BF9" i="12" s="1"/>
  <c r="BC43" i="12"/>
  <c r="BD25" i="11"/>
  <c r="AM40" i="12"/>
  <c r="AN16" i="11"/>
  <c r="AP39" i="12"/>
  <c r="AQ13" i="11"/>
  <c r="F45" i="12"/>
  <c r="G31" i="11"/>
  <c r="AA13" i="11"/>
  <c r="Z39" i="12"/>
  <c r="AP43" i="12"/>
  <c r="AQ25" i="11"/>
  <c r="BH16" i="11"/>
  <c r="BG40" i="12"/>
  <c r="I40" i="12"/>
  <c r="J16" i="11"/>
  <c r="BC44" i="12"/>
  <c r="BD28" i="11"/>
  <c r="AK19" i="11"/>
  <c r="AJ41" i="12"/>
  <c r="D42" i="12"/>
  <c r="E22" i="11"/>
  <c r="AB61" i="11"/>
  <c r="AB57" i="11"/>
  <c r="AW42" i="12"/>
  <c r="AX22" i="11"/>
  <c r="L22" i="11"/>
  <c r="K42" i="12"/>
  <c r="C45" i="12"/>
  <c r="D31" i="11"/>
  <c r="C31" i="11"/>
  <c r="T42" i="12"/>
  <c r="U22" i="11"/>
  <c r="BJ37" i="11"/>
  <c r="BJ33" i="11"/>
  <c r="BB10" i="11"/>
  <c r="BA38" i="12"/>
  <c r="BB6" i="11"/>
  <c r="BK44" i="12"/>
  <c r="BL28" i="11"/>
  <c r="BB13" i="11"/>
  <c r="BA39" i="12"/>
  <c r="AW44" i="12"/>
  <c r="AX28" i="11"/>
  <c r="AS41" i="12"/>
  <c r="AT19" i="11"/>
  <c r="AV59" i="11"/>
  <c r="AU10" i="12" s="1"/>
  <c r="BM37" i="11"/>
  <c r="BM33" i="11"/>
  <c r="AH10" i="11"/>
  <c r="AG38" i="12"/>
  <c r="AH6" i="11"/>
  <c r="AW8" i="11"/>
  <c r="AA31" i="11"/>
  <c r="Z45" i="12"/>
  <c r="W38" i="12"/>
  <c r="X10" i="11"/>
  <c r="X6" i="11"/>
  <c r="BK45" i="12"/>
  <c r="BL31" i="11"/>
  <c r="AN44" i="12"/>
  <c r="AO28" i="11"/>
  <c r="AL31" i="11"/>
  <c r="AK45" i="12"/>
  <c r="AN42" i="12"/>
  <c r="AO22" i="11"/>
  <c r="M19" i="11"/>
  <c r="L41" i="12"/>
  <c r="AS38" i="12"/>
  <c r="AT10" i="11"/>
  <c r="AT6" i="11"/>
  <c r="AV8" i="11"/>
  <c r="M59" i="11"/>
  <c r="L10" i="12" s="1"/>
  <c r="K59" i="11"/>
  <c r="J10" i="12" s="1"/>
  <c r="AO43" i="12"/>
  <c r="AP25" i="11"/>
  <c r="O31" i="11"/>
  <c r="N45" i="12"/>
  <c r="BL37" i="11"/>
  <c r="BL33" i="11"/>
  <c r="AC39" i="12"/>
  <c r="AD13" i="11"/>
  <c r="G45" i="12"/>
  <c r="H31" i="11"/>
  <c r="AH40" i="12"/>
  <c r="AI16" i="11"/>
  <c r="AU43" i="12"/>
  <c r="AV25" i="11"/>
  <c r="BI41" i="12"/>
  <c r="BJ19" i="11"/>
  <c r="AM44" i="12"/>
  <c r="AN28" i="11"/>
  <c r="AB22" i="11"/>
  <c r="AA42" i="12"/>
  <c r="AM45" i="12"/>
  <c r="AN31" i="11"/>
  <c r="Z25" i="11"/>
  <c r="Y43" i="12"/>
  <c r="C53" i="11"/>
  <c r="C68" i="11"/>
  <c r="H13" i="11"/>
  <c r="G39" i="12"/>
  <c r="BH42" i="12"/>
  <c r="BI22" i="11"/>
  <c r="C40" i="12"/>
  <c r="D16" i="11"/>
  <c r="AG13" i="11"/>
  <c r="AF39" i="12"/>
  <c r="AY25" i="11"/>
  <c r="AX43" i="12"/>
  <c r="BC8" i="11"/>
  <c r="AY39" i="12"/>
  <c r="AZ13" i="11"/>
  <c r="AU25" i="11"/>
  <c r="AT43" i="12"/>
  <c r="AS8" i="11"/>
  <c r="J40" i="12"/>
  <c r="K16" i="11"/>
  <c r="Y31" i="11"/>
  <c r="X45" i="12"/>
  <c r="O8" i="11"/>
  <c r="K8" i="11"/>
  <c r="BE59" i="11"/>
  <c r="BD10" i="12" s="1"/>
  <c r="BG8" i="11"/>
  <c r="AE39" i="12"/>
  <c r="AF13" i="11"/>
  <c r="BH61" i="11"/>
  <c r="BH57" i="11"/>
  <c r="W22" i="11"/>
  <c r="V42" i="12"/>
  <c r="BH35" i="11"/>
  <c r="BG9" i="12" s="1"/>
  <c r="AT35" i="11"/>
  <c r="AS9" i="12" s="1"/>
  <c r="AD40" i="12"/>
  <c r="AE16" i="11"/>
  <c r="BJ35" i="11"/>
  <c r="BI9" i="12" s="1"/>
  <c r="AY37" i="11"/>
  <c r="AY33" i="11"/>
  <c r="AW59" i="11"/>
  <c r="AV10" i="12" s="1"/>
  <c r="AG10" i="11"/>
  <c r="AF38" i="12"/>
  <c r="AG6" i="11"/>
  <c r="AA8" i="11"/>
  <c r="T90" i="63"/>
  <c r="Q88" i="63"/>
  <c r="T88" i="63" s="1"/>
  <c r="T55" i="63"/>
  <c r="Q52" i="63"/>
  <c r="P38" i="49"/>
  <c r="AV29" i="43"/>
  <c r="P161" i="48"/>
  <c r="P63" i="46"/>
  <c r="Q66" i="20"/>
  <c r="P66" i="20"/>
  <c r="AU26" i="43"/>
  <c r="N88" i="47"/>
  <c r="P68" i="35"/>
  <c r="Q68" i="35"/>
  <c r="O66" i="35"/>
  <c r="Q154" i="37"/>
  <c r="P154" i="37"/>
  <c r="P19" i="32"/>
  <c r="P57" i="49"/>
  <c r="O56" i="49"/>
  <c r="P56" i="49" s="1"/>
  <c r="S126" i="67"/>
  <c r="P67" i="38"/>
  <c r="O66" i="38"/>
  <c r="P66" i="38" s="1"/>
  <c r="BI38" i="43"/>
  <c r="Q207" i="45"/>
  <c r="M174" i="45"/>
  <c r="Q174" i="45" s="1"/>
  <c r="J150" i="45"/>
  <c r="P150" i="45"/>
  <c r="BM33" i="43"/>
  <c r="BH33" i="43"/>
  <c r="P101" i="51"/>
  <c r="O99" i="51"/>
  <c r="P99" i="51" s="1"/>
  <c r="P92" i="39"/>
  <c r="O91" i="39"/>
  <c r="P99" i="48"/>
  <c r="Q99" i="48"/>
  <c r="O141" i="34"/>
  <c r="P141" i="34" s="1"/>
  <c r="P143" i="34"/>
  <c r="O149" i="33"/>
  <c r="P150" i="33"/>
  <c r="N88" i="49"/>
  <c r="BA26" i="43"/>
  <c r="BA25" i="43" s="1"/>
  <c r="P102" i="35"/>
  <c r="Q102" i="35"/>
  <c r="AN25" i="11"/>
  <c r="AM43" i="12"/>
  <c r="AG4" i="5"/>
  <c r="AG61" i="5" s="1"/>
  <c r="S58" i="69"/>
  <c r="S56" i="69" s="1"/>
  <c r="O69" i="35"/>
  <c r="S193" i="66"/>
  <c r="AT30" i="57" s="1"/>
  <c r="S30" i="57" s="1"/>
  <c r="Q28" i="11"/>
  <c r="P43" i="12"/>
  <c r="P44" i="12"/>
  <c r="AN61" i="11"/>
  <c r="AN57" i="11"/>
  <c r="AU28" i="11"/>
  <c r="AT44" i="12"/>
  <c r="BP61" i="11"/>
  <c r="BP57" i="11"/>
  <c r="L61" i="11"/>
  <c r="L57" i="11"/>
  <c r="BK8" i="11"/>
  <c r="I8" i="11"/>
  <c r="AV43" i="12"/>
  <c r="AW25" i="11"/>
  <c r="BM42" i="12"/>
  <c r="BN22" i="11"/>
  <c r="BF35" i="11"/>
  <c r="BE9" i="12" s="1"/>
  <c r="BG31" i="11"/>
  <c r="BF45" i="12"/>
  <c r="H45" i="12"/>
  <c r="I31" i="11"/>
  <c r="AT16" i="11"/>
  <c r="AS40" i="12"/>
  <c r="D41" i="12"/>
  <c r="E19" i="11"/>
  <c r="BG41" i="12"/>
  <c r="BH19" i="11"/>
  <c r="BC38" i="12"/>
  <c r="BD10" i="11"/>
  <c r="BD6" i="11"/>
  <c r="AN37" i="11"/>
  <c r="AN33" i="11"/>
  <c r="BF39" i="12"/>
  <c r="BG13" i="11"/>
  <c r="X37" i="11"/>
  <c r="X33" i="11"/>
  <c r="AV41" i="12"/>
  <c r="AW19" i="11"/>
  <c r="AA39" i="12"/>
  <c r="AB13" i="11"/>
  <c r="AS16" i="11"/>
  <c r="AR40" i="12"/>
  <c r="AP28" i="11"/>
  <c r="AO44" i="12"/>
  <c r="AC42" i="12"/>
  <c r="AD22" i="11"/>
  <c r="AE59" i="11"/>
  <c r="AD10" i="12" s="1"/>
  <c r="M38" i="12"/>
  <c r="N10" i="11"/>
  <c r="N6" i="11"/>
  <c r="BB37" i="11"/>
  <c r="BB33" i="11"/>
  <c r="AB42" i="12"/>
  <c r="AC22" i="11"/>
  <c r="AE22" i="11"/>
  <c r="AD42" i="12"/>
  <c r="C41" i="11"/>
  <c r="P16" i="11"/>
  <c r="O40" i="12"/>
  <c r="AM8" i="11"/>
  <c r="BC40" i="12"/>
  <c r="BD16" i="11"/>
  <c r="Z35" i="11"/>
  <c r="Y9" i="12" s="1"/>
  <c r="BN61" i="11"/>
  <c r="BN57" i="11"/>
  <c r="BI8" i="11"/>
  <c r="D67" i="11"/>
  <c r="C66" i="11"/>
  <c r="C67" i="11" s="1"/>
  <c r="BE10" i="11"/>
  <c r="BD38" i="12"/>
  <c r="BE6" i="11"/>
  <c r="BM38" i="12"/>
  <c r="BN10" i="11"/>
  <c r="BN6" i="11"/>
  <c r="AF37" i="11"/>
  <c r="AF33" i="11"/>
  <c r="AU45" i="12"/>
  <c r="AV31" i="11"/>
  <c r="AX39" i="12"/>
  <c r="AY13" i="11"/>
  <c r="L39" i="12"/>
  <c r="M13" i="11"/>
  <c r="T41" i="12"/>
  <c r="U19" i="11"/>
  <c r="AV37" i="11"/>
  <c r="AV33" i="11"/>
  <c r="AR22" i="11"/>
  <c r="AQ42" i="12"/>
  <c r="F57" i="11"/>
  <c r="F61" i="11"/>
  <c r="O35" i="11"/>
  <c r="N9" i="12" s="1"/>
  <c r="AC61" i="11"/>
  <c r="AC57" i="11"/>
  <c r="BE19" i="11"/>
  <c r="BD41" i="12"/>
  <c r="D43" i="11"/>
  <c r="C42" i="11"/>
  <c r="C43" i="11" s="1"/>
  <c r="AB38" i="12"/>
  <c r="AC10" i="11"/>
  <c r="AC6" i="11"/>
  <c r="AI22" i="11"/>
  <c r="AH42" i="12"/>
  <c r="AF41" i="12"/>
  <c r="AG19" i="11"/>
  <c r="BN38" i="12"/>
  <c r="BO6" i="11"/>
  <c r="BO10" i="11"/>
  <c r="AG43" i="12"/>
  <c r="AH25" i="11"/>
  <c r="K40" i="12"/>
  <c r="L16" i="11"/>
  <c r="AD31" i="11"/>
  <c r="AC45" i="12"/>
  <c r="AF44" i="12"/>
  <c r="AG28" i="11"/>
  <c r="AJ45" i="12"/>
  <c r="AK31" i="11"/>
  <c r="BO41" i="12"/>
  <c r="BP19" i="11"/>
  <c r="AQ8" i="11"/>
  <c r="J35" i="11"/>
  <c r="AV39" i="12"/>
  <c r="AW13" i="11"/>
  <c r="Z42" i="12"/>
  <c r="AA22" i="11"/>
  <c r="K31" i="11"/>
  <c r="J45" i="12"/>
  <c r="BN19" i="11"/>
  <c r="BM41" i="12"/>
  <c r="AL42" i="12"/>
  <c r="AM22" i="11"/>
  <c r="U43" i="12"/>
  <c r="V25" i="11"/>
  <c r="X16" i="11"/>
  <c r="W40" i="12"/>
  <c r="AK39" i="12"/>
  <c r="AL13" i="11"/>
  <c r="BB39" i="12"/>
  <c r="BC13" i="11"/>
  <c r="BP8" i="11"/>
  <c r="AU39" i="12"/>
  <c r="AV13" i="11"/>
  <c r="AA44" i="12"/>
  <c r="AB28" i="11"/>
  <c r="AY40" i="12"/>
  <c r="AZ16" i="11"/>
  <c r="W37" i="11"/>
  <c r="W33" i="11"/>
  <c r="BA44" i="12"/>
  <c r="BB28" i="11"/>
  <c r="L44" i="12"/>
  <c r="L43" i="12"/>
  <c r="M28" i="11"/>
  <c r="AA43" i="12"/>
  <c r="AB25" i="11"/>
  <c r="AA59" i="11"/>
  <c r="Z10" i="12" s="1"/>
  <c r="M35" i="11"/>
  <c r="L9" i="12" s="1"/>
  <c r="AH61" i="11"/>
  <c r="AH57" i="11"/>
  <c r="M22" i="11"/>
  <c r="L42" i="12"/>
  <c r="X61" i="11"/>
  <c r="X57" i="11"/>
  <c r="BH59" i="11"/>
  <c r="BG10" i="12" s="1"/>
  <c r="AR44" i="12"/>
  <c r="AS28" i="11"/>
  <c r="AZ37" i="11"/>
  <c r="AZ33" i="11"/>
  <c r="BF59" i="11"/>
  <c r="BE10" i="12" s="1"/>
  <c r="AI8" i="11"/>
  <c r="J31" i="11"/>
  <c r="I45" i="12"/>
  <c r="U37" i="11"/>
  <c r="U33" i="11"/>
  <c r="BC59" i="11"/>
  <c r="BB10" i="12" s="1"/>
  <c r="R31" i="11"/>
  <c r="Q45" i="12"/>
  <c r="G35" i="11"/>
  <c r="F9" i="12" s="1"/>
  <c r="AF61" i="11"/>
  <c r="AF57" i="11"/>
  <c r="AC59" i="11"/>
  <c r="AB10" i="12" s="1"/>
  <c r="AR61" i="11"/>
  <c r="AR57" i="11"/>
  <c r="BD59" i="11"/>
  <c r="BC10" i="12" s="1"/>
  <c r="P130" i="37"/>
  <c r="O129" i="37"/>
  <c r="P141" i="27"/>
  <c r="O129" i="27"/>
  <c r="P129" i="27" s="1"/>
  <c r="T29" i="63"/>
  <c r="Q20" i="63"/>
  <c r="P45" i="46"/>
  <c r="Q45" i="46"/>
  <c r="O44" i="46"/>
  <c r="AQ16" i="30"/>
  <c r="AN16" i="30"/>
  <c r="AH16" i="30"/>
  <c r="AZ16" i="30"/>
  <c r="AT16" i="30"/>
  <c r="AK16" i="30"/>
  <c r="AX19" i="43"/>
  <c r="P48" i="50"/>
  <c r="O47" i="50"/>
  <c r="P47" i="50" s="1"/>
  <c r="P44" i="51"/>
  <c r="O37" i="51"/>
  <c r="P63" i="51"/>
  <c r="O56" i="51"/>
  <c r="P56" i="51" s="1"/>
  <c r="N89" i="39"/>
  <c r="AB26" i="10"/>
  <c r="AA26" i="12" s="1"/>
  <c r="AO19" i="30"/>
  <c r="P44" i="20"/>
  <c r="D70" i="11"/>
  <c r="C69" i="11"/>
  <c r="C70" i="11" s="1"/>
  <c r="AW61" i="11"/>
  <c r="AW57" i="11"/>
  <c r="E35" i="11"/>
  <c r="D9" i="12" s="1"/>
  <c r="AD35" i="11"/>
  <c r="AC9" i="12" s="1"/>
  <c r="AA37" i="11"/>
  <c r="AA33" i="11"/>
  <c r="K37" i="11"/>
  <c r="K33" i="11"/>
  <c r="AZ61" i="11"/>
  <c r="AZ57" i="11"/>
  <c r="AB59" i="11"/>
  <c r="AA10" i="12" s="1"/>
  <c r="AP61" i="11"/>
  <c r="AP57" i="11"/>
  <c r="AL25" i="30"/>
  <c r="P47" i="47"/>
  <c r="O37" i="47"/>
  <c r="P150" i="48"/>
  <c r="O149" i="48"/>
  <c r="S82" i="67"/>
  <c r="S45" i="67" s="1"/>
  <c r="P137" i="33"/>
  <c r="Q137" i="33"/>
  <c r="O134" i="33"/>
  <c r="P38" i="36"/>
  <c r="O13" i="40"/>
  <c r="P14" i="40"/>
  <c r="BB35" i="30"/>
  <c r="P175" i="32"/>
  <c r="M23" i="57"/>
  <c r="AL23" i="57"/>
  <c r="O149" i="20"/>
  <c r="P149" i="20" s="1"/>
  <c r="P150" i="20"/>
  <c r="P70" i="33"/>
  <c r="O69" i="33"/>
  <c r="P71" i="40"/>
  <c r="O70" i="40"/>
  <c r="T191" i="63"/>
  <c r="P19" i="36"/>
  <c r="P26" i="40"/>
  <c r="O22" i="40"/>
  <c r="P22" i="40" s="1"/>
  <c r="AO25" i="57"/>
  <c r="N25" i="57" s="1"/>
  <c r="O25" i="57"/>
  <c r="M171" i="35"/>
  <c r="M172" i="35" s="1"/>
  <c r="N171" i="35"/>
  <c r="N172" i="35" s="1"/>
  <c r="P13" i="35"/>
  <c r="P44" i="50"/>
  <c r="O37" i="50"/>
  <c r="M10" i="11"/>
  <c r="L38" i="12"/>
  <c r="M6" i="11"/>
  <c r="AE37" i="11"/>
  <c r="AE33" i="11"/>
  <c r="BB38" i="12"/>
  <c r="BC10" i="11"/>
  <c r="BC6" i="11"/>
  <c r="Y41" i="12"/>
  <c r="Z19" i="11"/>
  <c r="P61" i="11"/>
  <c r="P57" i="11"/>
  <c r="Y37" i="11"/>
  <c r="Y33" i="11"/>
  <c r="AO19" i="11"/>
  <c r="AN41" i="12"/>
  <c r="X41" i="12"/>
  <c r="Y19" i="11"/>
  <c r="BA45" i="12"/>
  <c r="BB31" i="11"/>
  <c r="AG61" i="11"/>
  <c r="AG57" i="11"/>
  <c r="BA43" i="12"/>
  <c r="BB25" i="11"/>
  <c r="AB35" i="11"/>
  <c r="AA9" i="12" s="1"/>
  <c r="H19" i="11"/>
  <c r="G41" i="12"/>
  <c r="BP35" i="11"/>
  <c r="BO9" i="12" s="1"/>
  <c r="C43" i="12"/>
  <c r="D25" i="11"/>
  <c r="AO61" i="11"/>
  <c r="AO57" i="11"/>
  <c r="AL4" i="5"/>
  <c r="AL61" i="5" s="1"/>
  <c r="V111" i="58"/>
  <c r="S144" i="69"/>
  <c r="S107" i="62"/>
  <c r="S106" i="62" s="1"/>
  <c r="S29" i="62"/>
  <c r="S153" i="68"/>
  <c r="P52" i="20"/>
  <c r="Q52" i="20"/>
  <c r="O47" i="20"/>
  <c r="P47" i="20" s="1"/>
  <c r="N35" i="11"/>
  <c r="M9" i="12" s="1"/>
  <c r="BF40" i="12"/>
  <c r="BG16" i="11"/>
  <c r="AP59" i="11"/>
  <c r="AO10" i="12" s="1"/>
  <c r="X43" i="12"/>
  <c r="Y25" i="11"/>
  <c r="O13" i="11"/>
  <c r="N39" i="12"/>
  <c r="N13" i="11"/>
  <c r="M39" i="12"/>
  <c r="W61" i="11"/>
  <c r="W57" i="11"/>
  <c r="BF16" i="11"/>
  <c r="BE40" i="12"/>
  <c r="BI38" i="12"/>
  <c r="BJ6" i="11"/>
  <c r="BJ10" i="11"/>
  <c r="R59" i="11"/>
  <c r="Q10" i="12" s="1"/>
  <c r="O44" i="12"/>
  <c r="P28" i="11"/>
  <c r="O43" i="12"/>
  <c r="D76" i="11"/>
  <c r="C75" i="11"/>
  <c r="C76" i="11" s="1"/>
  <c r="J39" i="12"/>
  <c r="K13" i="11"/>
  <c r="Y22" i="11"/>
  <c r="X42" i="12"/>
  <c r="AE40" i="12"/>
  <c r="AF16" i="11"/>
  <c r="AM10" i="11"/>
  <c r="AL38" i="12"/>
  <c r="AM6" i="11"/>
  <c r="R40" i="12"/>
  <c r="S16" i="11"/>
  <c r="BI13" i="11"/>
  <c r="BH39" i="12"/>
  <c r="AF45" i="12"/>
  <c r="AG31" i="11"/>
  <c r="AU8" i="11"/>
  <c r="AF19" i="11"/>
  <c r="AE41" i="12"/>
  <c r="AR28" i="11"/>
  <c r="AQ44" i="12"/>
  <c r="AC8" i="11"/>
  <c r="AK8" i="11"/>
  <c r="N8" i="11"/>
  <c r="H42" i="12"/>
  <c r="I22" i="11"/>
  <c r="P8" i="11"/>
  <c r="R28" i="11"/>
  <c r="Q44" i="12"/>
  <c r="AI42" i="12"/>
  <c r="AJ22" i="11"/>
  <c r="AD8" i="11"/>
  <c r="BD45" i="12"/>
  <c r="BE31" i="11"/>
  <c r="Z43" i="12"/>
  <c r="AA25" i="11"/>
  <c r="H35" i="11"/>
  <c r="G9" i="12" s="1"/>
  <c r="BJ16" i="11"/>
  <c r="BI40" i="12"/>
  <c r="D61" i="11"/>
  <c r="C60" i="11"/>
  <c r="D57" i="11"/>
  <c r="W35" i="11"/>
  <c r="V9" i="12" s="1"/>
  <c r="BN28" i="11"/>
  <c r="BM44" i="12"/>
  <c r="C47" i="11"/>
  <c r="R8" i="11"/>
  <c r="BO38" i="12"/>
  <c r="BP10" i="11"/>
  <c r="BP6" i="11"/>
  <c r="BK40" i="12"/>
  <c r="BL16" i="11"/>
  <c r="AS39" i="12"/>
  <c r="AT13" i="11"/>
  <c r="AR10" i="11"/>
  <c r="AQ38" i="12"/>
  <c r="AR6" i="11"/>
  <c r="N37" i="11"/>
  <c r="N33" i="11"/>
  <c r="BN16" i="11"/>
  <c r="BM40" i="12"/>
  <c r="L13" i="11"/>
  <c r="K39" i="12"/>
  <c r="S19" i="11"/>
  <c r="R41" i="12"/>
  <c r="BN35" i="11"/>
  <c r="BM9" i="12" s="1"/>
  <c r="AI28" i="11"/>
  <c r="AH44" i="12"/>
  <c r="AM61" i="11"/>
  <c r="AM57" i="11"/>
  <c r="M8" i="11"/>
  <c r="AQ37" i="11"/>
  <c r="AQ33" i="11"/>
  <c r="H41" i="12"/>
  <c r="I19" i="11"/>
  <c r="AG37" i="11"/>
  <c r="AG33" i="11"/>
  <c r="AI35" i="11"/>
  <c r="AH9" i="12" s="1"/>
  <c r="BN43" i="12"/>
  <c r="BO25" i="11"/>
  <c r="BD19" i="11"/>
  <c r="BC41" i="12"/>
  <c r="BE39" i="12"/>
  <c r="BF13" i="11"/>
  <c r="BJ38" i="12"/>
  <c r="BK6" i="11"/>
  <c r="BK10" i="11"/>
  <c r="AA19" i="11"/>
  <c r="Z41" i="12"/>
  <c r="R35" i="11"/>
  <c r="Q9" i="12" s="1"/>
  <c r="Q31" i="11"/>
  <c r="P45" i="12"/>
  <c r="BH28" i="11"/>
  <c r="BG44" i="12"/>
  <c r="AR43" i="12"/>
  <c r="AS25" i="11"/>
  <c r="AQ28" i="11"/>
  <c r="AP44" i="12"/>
  <c r="AY22" i="11"/>
  <c r="AX42" i="12"/>
  <c r="Y8" i="11"/>
  <c r="O45" i="12"/>
  <c r="P31" i="11"/>
  <c r="AI10" i="11"/>
  <c r="AH38" i="12"/>
  <c r="AI6" i="11"/>
  <c r="BN8" i="11"/>
  <c r="F35" i="11"/>
  <c r="E9" i="12" s="1"/>
  <c r="AS19" i="11"/>
  <c r="AR41" i="12"/>
  <c r="AU44" i="12"/>
  <c r="AV28" i="11"/>
  <c r="J33" i="11"/>
  <c r="J37" i="11"/>
  <c r="V22" i="11"/>
  <c r="U42" i="12"/>
  <c r="T13" i="11"/>
  <c r="S39" i="12"/>
  <c r="R42" i="12"/>
  <c r="S22" i="11"/>
  <c r="AB19" i="11"/>
  <c r="AA41" i="12"/>
  <c r="Q38" i="12"/>
  <c r="R6" i="11"/>
  <c r="R10" i="11"/>
  <c r="BF8" i="11"/>
  <c r="I10" i="11"/>
  <c r="H38" i="12"/>
  <c r="I6" i="11"/>
  <c r="AE61" i="11"/>
  <c r="AE57" i="11"/>
  <c r="S45" i="12"/>
  <c r="T31" i="11"/>
  <c r="BB61" i="11"/>
  <c r="BB57" i="11"/>
  <c r="G16" i="11"/>
  <c r="F40" i="12"/>
  <c r="BH31" i="11"/>
  <c r="BG45" i="12"/>
  <c r="BM39" i="12"/>
  <c r="BN13" i="11"/>
  <c r="BH45" i="12"/>
  <c r="BI31" i="11"/>
  <c r="AY61" i="11"/>
  <c r="AY57" i="11"/>
  <c r="S8" i="11"/>
  <c r="BM45" i="12"/>
  <c r="BN31" i="11"/>
  <c r="BA37" i="11"/>
  <c r="BA33" i="11"/>
  <c r="BA35" i="11"/>
  <c r="AZ9" i="12" s="1"/>
  <c r="AC35" i="11"/>
  <c r="AB9" i="12" s="1"/>
  <c r="AJ59" i="11"/>
  <c r="AI10" i="12" s="1"/>
  <c r="AI37" i="11"/>
  <c r="AI33" i="11"/>
  <c r="J44" i="12"/>
  <c r="J43" i="12"/>
  <c r="K28" i="11"/>
  <c r="G22" i="11"/>
  <c r="F42" i="12"/>
  <c r="N59" i="11"/>
  <c r="M10" i="12" s="1"/>
  <c r="Z59" i="11"/>
  <c r="Y10" i="12" s="1"/>
  <c r="C80" i="11"/>
  <c r="AO45" i="12"/>
  <c r="AP31" i="11"/>
  <c r="BK35" i="11"/>
  <c r="BJ9" i="12" s="1"/>
  <c r="C50" i="11"/>
  <c r="BG57" i="11"/>
  <c r="BG61" i="11"/>
  <c r="N88" i="34"/>
  <c r="BJ12" i="43"/>
  <c r="Q100" i="67"/>
  <c r="T100" i="67" s="1"/>
  <c r="T101" i="67"/>
  <c r="T84" i="67"/>
  <c r="Q82" i="67"/>
  <c r="T82" i="67" s="1"/>
  <c r="Q118" i="20"/>
  <c r="P118" i="20"/>
  <c r="O117" i="20"/>
  <c r="P117" i="20" s="1"/>
  <c r="O70" i="49"/>
  <c r="T159" i="63"/>
  <c r="O69" i="48"/>
  <c r="P70" i="48"/>
  <c r="O129" i="49"/>
  <c r="O70" i="51"/>
  <c r="P47" i="34"/>
  <c r="Y35" i="11"/>
  <c r="X9" i="12" s="1"/>
  <c r="AV44" i="12"/>
  <c r="AW28" i="11"/>
  <c r="BD22" i="11"/>
  <c r="BC42" i="12"/>
  <c r="AI43" i="12"/>
  <c r="AJ25" i="11"/>
  <c r="J38" i="12"/>
  <c r="K10" i="11"/>
  <c r="K6" i="11"/>
  <c r="AK22" i="11"/>
  <c r="AJ42" i="12"/>
  <c r="Q13" i="11"/>
  <c r="P39" i="12"/>
  <c r="BJ39" i="12"/>
  <c r="BK13" i="11"/>
  <c r="BI37" i="11"/>
  <c r="BI33" i="11"/>
  <c r="BI45" i="12"/>
  <c r="BJ31" i="11"/>
  <c r="BF19" i="11"/>
  <c r="BE41" i="12"/>
  <c r="W42" i="12"/>
  <c r="X22" i="11"/>
  <c r="T25" i="11"/>
  <c r="S43" i="12"/>
  <c r="Q59" i="11"/>
  <c r="P10" i="12" s="1"/>
  <c r="BO61" i="11"/>
  <c r="BO57" i="11"/>
  <c r="AD59" i="11"/>
  <c r="AC10" i="12" s="1"/>
  <c r="AB37" i="11"/>
  <c r="AB33" i="11"/>
  <c r="BE19" i="6"/>
  <c r="BE21" i="6"/>
  <c r="BG19" i="6"/>
  <c r="J158" i="58"/>
  <c r="V291" i="58"/>
  <c r="S52" i="62"/>
  <c r="S128" i="65"/>
  <c r="S170" i="68"/>
  <c r="AQ28" i="57" s="1"/>
  <c r="P28" i="57" s="1"/>
  <c r="V87" i="61"/>
  <c r="V86" i="61" s="1"/>
  <c r="V82" i="61" s="1"/>
  <c r="P12" i="50"/>
  <c r="O10" i="50"/>
  <c r="O9" i="34"/>
  <c r="AL20" i="30"/>
  <c r="P144" i="36"/>
  <c r="Q144" i="36"/>
  <c r="O141" i="36"/>
  <c r="F38" i="12"/>
  <c r="G10" i="11"/>
  <c r="G6" i="11"/>
  <c r="BI25" i="11"/>
  <c r="BH43" i="12"/>
  <c r="AW37" i="11"/>
  <c r="AW33" i="11"/>
  <c r="AZ19" i="11"/>
  <c r="AY41" i="12"/>
  <c r="O59" i="11"/>
  <c r="N10" i="12" s="1"/>
  <c r="U45" i="12"/>
  <c r="V31" i="11"/>
  <c r="L8" i="11"/>
  <c r="AB8" i="11"/>
  <c r="AS37" i="11"/>
  <c r="AS33" i="11"/>
  <c r="U40" i="12"/>
  <c r="V16" i="11"/>
  <c r="AJ61" i="11"/>
  <c r="AJ57" i="11"/>
  <c r="O38" i="12"/>
  <c r="P6" i="11"/>
  <c r="P10" i="11"/>
  <c r="AG35" i="11"/>
  <c r="AF9" i="12" s="1"/>
  <c r="AY44" i="12"/>
  <c r="AZ28" i="11"/>
  <c r="S13" i="11"/>
  <c r="R39" i="12"/>
  <c r="AL44" i="12"/>
  <c r="AM28" i="11"/>
  <c r="D8" i="11"/>
  <c r="AG44" i="12"/>
  <c r="AH28" i="11"/>
  <c r="W59" i="11"/>
  <c r="V10" i="12" s="1"/>
  <c r="AH35" i="11"/>
  <c r="AG9" i="12" s="1"/>
  <c r="BE16" i="11"/>
  <c r="BD40" i="12"/>
  <c r="BB41" i="12"/>
  <c r="BC19" i="11"/>
  <c r="BA13" i="11"/>
  <c r="AZ39" i="12"/>
  <c r="AD10" i="11"/>
  <c r="AC38" i="12"/>
  <c r="AD6" i="11"/>
  <c r="X59" i="11"/>
  <c r="W10" i="12" s="1"/>
  <c r="G38" i="12"/>
  <c r="H10" i="11"/>
  <c r="H6" i="11"/>
  <c r="AL19" i="11"/>
  <c r="AK41" i="12"/>
  <c r="AK6" i="11"/>
  <c r="AK13" i="11"/>
  <c r="AJ39" i="12"/>
  <c r="AH39" i="12"/>
  <c r="AI13" i="11"/>
  <c r="AZ43" i="12"/>
  <c r="BA25" i="11"/>
  <c r="BO59" i="11"/>
  <c r="BN10" i="12" s="1"/>
  <c r="O42" i="12"/>
  <c r="P22" i="11"/>
  <c r="BO37" i="11"/>
  <c r="BO33" i="11"/>
  <c r="AS44" i="12"/>
  <c r="AT28" i="11"/>
  <c r="BE45" i="12"/>
  <c r="BF31" i="11"/>
  <c r="AS35" i="11"/>
  <c r="AR9" i="12" s="1"/>
  <c r="AL39" i="12"/>
  <c r="AM13" i="11"/>
  <c r="Q10" i="11"/>
  <c r="P38" i="12"/>
  <c r="Q6" i="11"/>
  <c r="E42" i="12"/>
  <c r="F22" i="11"/>
  <c r="AP41" i="12"/>
  <c r="AQ19" i="11"/>
  <c r="AO42" i="12"/>
  <c r="AP22" i="11"/>
  <c r="AK37" i="11"/>
  <c r="AK33" i="11"/>
  <c r="C39" i="12"/>
  <c r="D13" i="11"/>
  <c r="AQ31" i="11"/>
  <c r="AP45" i="12"/>
  <c r="BO42" i="12"/>
  <c r="BP22" i="11"/>
  <c r="U61" i="11"/>
  <c r="U57" i="11"/>
  <c r="BM28" i="11"/>
  <c r="BL44" i="12"/>
  <c r="BI28" i="11"/>
  <c r="BH44" i="12"/>
  <c r="BP25" i="11"/>
  <c r="BO43" i="12"/>
  <c r="T43" i="12"/>
  <c r="U25" i="11"/>
  <c r="AU40" i="12"/>
  <c r="AV16" i="11"/>
  <c r="AZ8" i="11"/>
  <c r="X28" i="11"/>
  <c r="W44" i="12"/>
  <c r="Q22" i="11"/>
  <c r="P42" i="12"/>
  <c r="AZ38" i="12"/>
  <c r="BA10" i="11"/>
  <c r="BA6" i="11"/>
  <c r="AT22" i="11"/>
  <c r="AS42" i="12"/>
  <c r="P37" i="11"/>
  <c r="P33" i="11"/>
  <c r="H22" i="11"/>
  <c r="G42" i="12"/>
  <c r="AE28" i="11"/>
  <c r="AD44" i="12"/>
  <c r="V38" i="12"/>
  <c r="W6" i="11"/>
  <c r="W10" i="11"/>
  <c r="BI61" i="11"/>
  <c r="BI57" i="11"/>
  <c r="AM37" i="11"/>
  <c r="AM33" i="11"/>
  <c r="AF35" i="11"/>
  <c r="AE9" i="12" s="1"/>
  <c r="S6" i="11"/>
  <c r="R38" i="12"/>
  <c r="S10" i="11"/>
  <c r="AW39" i="12"/>
  <c r="AX13" i="11"/>
  <c r="BF22" i="11"/>
  <c r="BE42" i="12"/>
  <c r="AH19" i="11"/>
  <c r="AG41" i="12"/>
  <c r="AK42" i="12"/>
  <c r="AL22" i="11"/>
  <c r="AC13" i="11"/>
  <c r="AB39" i="12"/>
  <c r="C74" i="11"/>
  <c r="BG37" i="11"/>
  <c r="BG33" i="11"/>
  <c r="BK31" i="11"/>
  <c r="BJ45" i="12"/>
  <c r="AM39" i="12"/>
  <c r="AN13" i="11"/>
  <c r="AQ43" i="12"/>
  <c r="AR25" i="11"/>
  <c r="BB43" i="12"/>
  <c r="BC25" i="11"/>
  <c r="J8" i="11"/>
  <c r="I8" i="12" s="1"/>
  <c r="BC37" i="11"/>
  <c r="BC33" i="11"/>
  <c r="AC40" i="12"/>
  <c r="AD16" i="11"/>
  <c r="AV22" i="11"/>
  <c r="AU42" i="12"/>
  <c r="BP37" i="11"/>
  <c r="BP33" i="11"/>
  <c r="AO40" i="12"/>
  <c r="AP16" i="11"/>
  <c r="AH37" i="11"/>
  <c r="AH33" i="11"/>
  <c r="H59" i="11"/>
  <c r="G10" i="12" s="1"/>
  <c r="AF59" i="11"/>
  <c r="AE10" i="12" s="1"/>
  <c r="D45" i="12"/>
  <c r="E31" i="11"/>
  <c r="R61" i="11"/>
  <c r="R57" i="11"/>
  <c r="AC31" i="11"/>
  <c r="AB45" i="12"/>
  <c r="U44" i="12"/>
  <c r="V28" i="11"/>
  <c r="BI43" i="12"/>
  <c r="BJ25" i="11"/>
  <c r="G61" i="11"/>
  <c r="G57" i="11"/>
  <c r="X40" i="12"/>
  <c r="Y16" i="11"/>
  <c r="AL59" i="11"/>
  <c r="AK10" i="12" s="1"/>
  <c r="BL61" i="11"/>
  <c r="BL57" i="11"/>
  <c r="H61" i="11"/>
  <c r="H57" i="11"/>
  <c r="X13" i="11"/>
  <c r="W39" i="12"/>
  <c r="W25" i="11"/>
  <c r="V43" i="12"/>
  <c r="AS59" i="11"/>
  <c r="AR10" i="12" s="1"/>
  <c r="T59" i="11"/>
  <c r="S10" i="12" s="1"/>
  <c r="AP13" i="11"/>
  <c r="AO39" i="12"/>
  <c r="AL35" i="11"/>
  <c r="AK9" i="12" s="1"/>
  <c r="F19" i="11"/>
  <c r="E41" i="12"/>
  <c r="AX61" i="11"/>
  <c r="AX57" i="11"/>
  <c r="AD19" i="11"/>
  <c r="AC41" i="12"/>
  <c r="E28" i="11"/>
  <c r="D44" i="12"/>
  <c r="D43" i="12"/>
  <c r="BH37" i="11"/>
  <c r="BH33" i="11"/>
  <c r="BF37" i="11"/>
  <c r="BF33" i="11"/>
  <c r="BJ61" i="11"/>
  <c r="BJ57" i="11"/>
  <c r="AA61" i="11"/>
  <c r="AA57" i="11"/>
  <c r="AC43" i="12"/>
  <c r="AD25" i="11"/>
  <c r="AC37" i="11"/>
  <c r="AC33" i="11"/>
  <c r="I39" i="12"/>
  <c r="J13" i="11"/>
  <c r="BO28" i="11"/>
  <c r="BN44" i="12"/>
  <c r="N171" i="49"/>
  <c r="N172" i="49" s="1"/>
  <c r="M171" i="49"/>
  <c r="M172" i="49" s="1"/>
  <c r="P21" i="45"/>
  <c r="O19" i="45"/>
  <c r="P10" i="39"/>
  <c r="O9" i="39"/>
  <c r="S100" i="67"/>
  <c r="P42" i="38"/>
  <c r="O41" i="38"/>
  <c r="P41" i="38" s="1"/>
  <c r="P129" i="47"/>
  <c r="AS27" i="43"/>
  <c r="BL7" i="57"/>
  <c r="BK7" i="57"/>
  <c r="O90" i="36"/>
  <c r="Q94" i="36"/>
  <c r="P94" i="36"/>
  <c r="P139" i="20"/>
  <c r="Q139" i="20"/>
  <c r="P60" i="34"/>
  <c r="O56" i="34"/>
  <c r="P56" i="34" s="1"/>
  <c r="AS30" i="57"/>
  <c r="T193" i="66"/>
  <c r="P137" i="34"/>
  <c r="O134" i="34"/>
  <c r="T19" i="67"/>
  <c r="Q14" i="67"/>
  <c r="P106" i="47"/>
  <c r="Q106" i="47"/>
  <c r="AK27" i="30"/>
  <c r="M88" i="34"/>
  <c r="O128" i="45"/>
  <c r="P19" i="33"/>
  <c r="O9" i="33"/>
  <c r="P57" i="35"/>
  <c r="O56" i="35"/>
  <c r="P56" i="35" s="1"/>
  <c r="Q60" i="48"/>
  <c r="P60" i="48"/>
  <c r="V44" i="12"/>
  <c r="W28" i="11"/>
  <c r="AX40" i="12"/>
  <c r="AY16" i="11"/>
  <c r="AS13" i="11"/>
  <c r="AR39" i="12"/>
  <c r="AK43" i="12"/>
  <c r="AL25" i="11"/>
  <c r="AT40" i="12"/>
  <c r="AU16" i="11"/>
  <c r="Q43" i="12"/>
  <c r="R25" i="11"/>
  <c r="AS22" i="11"/>
  <c r="AR42" i="12"/>
  <c r="Y44" i="12"/>
  <c r="Z28" i="11"/>
  <c r="BN45" i="12"/>
  <c r="BO31" i="11"/>
  <c r="AJ28" i="11"/>
  <c r="AI44" i="12"/>
  <c r="J10" i="11"/>
  <c r="I38" i="12"/>
  <c r="J6" i="11"/>
  <c r="AQ41" i="12"/>
  <c r="AR19" i="11"/>
  <c r="AO37" i="11"/>
  <c r="AO33" i="11"/>
  <c r="L37" i="11"/>
  <c r="L33" i="11"/>
  <c r="AC19" i="11"/>
  <c r="AB41" i="12"/>
  <c r="BD42" i="12"/>
  <c r="BE22" i="11"/>
  <c r="AK61" i="11"/>
  <c r="AK57" i="11"/>
  <c r="W16" i="11"/>
  <c r="V40" i="12"/>
  <c r="AM42" i="12"/>
  <c r="AN22" i="11"/>
  <c r="AE19" i="11"/>
  <c r="AD41" i="12"/>
  <c r="O22" i="11"/>
  <c r="N42" i="12"/>
  <c r="S58" i="64"/>
  <c r="Q23" i="65"/>
  <c r="M100" i="58"/>
  <c r="M98" i="58" s="1"/>
  <c r="P134" i="35"/>
  <c r="O129" i="35"/>
  <c r="Q133" i="48"/>
  <c r="P133" i="48"/>
  <c r="O130" i="48"/>
  <c r="P22" i="47"/>
  <c r="K41" i="12"/>
  <c r="L19" i="11"/>
  <c r="AB44" i="12"/>
  <c r="AC28" i="11"/>
  <c r="AR37" i="11"/>
  <c r="AR33" i="11"/>
  <c r="AT59" i="11"/>
  <c r="AS10" i="12" s="1"/>
  <c r="O37" i="11"/>
  <c r="O33" i="11"/>
  <c r="BC61" i="11"/>
  <c r="BC57" i="11"/>
  <c r="AE13" i="11"/>
  <c r="AD39" i="12"/>
  <c r="AL40" i="12"/>
  <c r="AM16" i="11"/>
  <c r="BE44" i="12"/>
  <c r="BF28" i="11"/>
  <c r="AY6" i="11"/>
  <c r="AY10" i="11"/>
  <c r="AX38" i="12"/>
  <c r="U59" i="11"/>
  <c r="T10" i="12" s="1"/>
  <c r="AU13" i="11"/>
  <c r="AT39" i="12"/>
  <c r="BG38" i="12"/>
  <c r="BH10" i="11"/>
  <c r="BH6" i="11"/>
  <c r="F10" i="11"/>
  <c r="E38" i="12"/>
  <c r="F6" i="11"/>
  <c r="BF25" i="11"/>
  <c r="BE43" i="12"/>
  <c r="C41" i="12"/>
  <c r="D19" i="11"/>
  <c r="W43" i="12"/>
  <c r="X25" i="11"/>
  <c r="E8" i="11"/>
  <c r="AD43" i="12"/>
  <c r="AE25" i="11"/>
  <c r="J41" i="12"/>
  <c r="K19" i="11"/>
  <c r="U13" i="11"/>
  <c r="T39" i="12"/>
  <c r="D52" i="11"/>
  <c r="C51" i="11"/>
  <c r="C52" i="11" s="1"/>
  <c r="AH22" i="11"/>
  <c r="AG42" i="12"/>
  <c r="AK44" i="12"/>
  <c r="AL28" i="11"/>
  <c r="BL8" i="11"/>
  <c r="AV45" i="12"/>
  <c r="AW31" i="11"/>
  <c r="BG42" i="12"/>
  <c r="BH22" i="11"/>
  <c r="AM41" i="12"/>
  <c r="AN19" i="11"/>
  <c r="BA8" i="11"/>
  <c r="AZ42" i="12"/>
  <c r="BA22" i="11"/>
  <c r="AI61" i="11"/>
  <c r="AI57" i="11"/>
  <c r="F37" i="11"/>
  <c r="F33" i="11"/>
  <c r="W8" i="11"/>
  <c r="X8" i="11"/>
  <c r="S35" i="11"/>
  <c r="R9" i="12" s="1"/>
  <c r="Z22" i="11"/>
  <c r="Y42" i="12"/>
  <c r="AA10" i="11"/>
  <c r="Z38" i="12"/>
  <c r="AA6" i="11"/>
  <c r="AP40" i="12"/>
  <c r="AQ16" i="11"/>
  <c r="BE37" i="11"/>
  <c r="BE33" i="11"/>
  <c r="BM61" i="11"/>
  <c r="BM57" i="11"/>
  <c r="P40" i="12"/>
  <c r="Q16" i="11"/>
  <c r="AQ35" i="11"/>
  <c r="AP9" i="12" s="1"/>
  <c r="W13" i="11"/>
  <c r="V39" i="12"/>
  <c r="BJ13" i="11"/>
  <c r="BI39" i="12"/>
  <c r="U38" i="12"/>
  <c r="V10" i="11"/>
  <c r="V6" i="11"/>
  <c r="V41" i="12"/>
  <c r="W19" i="11"/>
  <c r="I37" i="11"/>
  <c r="I33" i="11"/>
  <c r="BK37" i="11"/>
  <c r="BK33" i="11"/>
  <c r="C65" i="11"/>
  <c r="BD37" i="11"/>
  <c r="BD33" i="11"/>
  <c r="R43" i="12"/>
  <c r="S25" i="11"/>
  <c r="AL10" i="11"/>
  <c r="AK38" i="12"/>
  <c r="AL6" i="11"/>
  <c r="AN40" i="12"/>
  <c r="AO16" i="11"/>
  <c r="D46" i="11"/>
  <c r="C45" i="11"/>
  <c r="C46" i="11" s="1"/>
  <c r="AA28" i="11"/>
  <c r="Z44" i="12"/>
  <c r="Y13" i="11"/>
  <c r="X39" i="12"/>
  <c r="BA57" i="11"/>
  <c r="BA61" i="11"/>
  <c r="I35" i="11"/>
  <c r="H9" i="12" s="1"/>
  <c r="H16" i="11"/>
  <c r="G40" i="12"/>
  <c r="BP59" i="11"/>
  <c r="BO10" i="12" s="1"/>
  <c r="AG8" i="11"/>
  <c r="V61" i="11"/>
  <c r="V57" i="11"/>
  <c r="AA35" i="11"/>
  <c r="Z9" i="12" s="1"/>
  <c r="AS61" i="11"/>
  <c r="AS57" i="11"/>
  <c r="H39" i="12"/>
  <c r="I13" i="11"/>
  <c r="AZ45" i="12"/>
  <c r="BA31" i="11"/>
  <c r="BJ43" i="12"/>
  <c r="BK25" i="11"/>
  <c r="G59" i="11"/>
  <c r="F10" i="12" s="1"/>
  <c r="E61" i="11"/>
  <c r="E57" i="11"/>
  <c r="AT61" i="11"/>
  <c r="AT57" i="11"/>
  <c r="AG22" i="11"/>
  <c r="AF42" i="12"/>
  <c r="AY19" i="11"/>
  <c r="AX41" i="12"/>
  <c r="BA19" i="11"/>
  <c r="AZ41" i="12"/>
  <c r="BL25" i="11"/>
  <c r="BK43" i="12"/>
  <c r="AP42" i="12"/>
  <c r="AQ22" i="11"/>
  <c r="AI39" i="12"/>
  <c r="AJ13" i="11"/>
  <c r="N31" i="11"/>
  <c r="M45" i="12"/>
  <c r="AV42" i="12"/>
  <c r="AW22" i="11"/>
  <c r="BH38" i="12"/>
  <c r="BI10" i="11"/>
  <c r="BI6" i="11"/>
  <c r="E59" i="11"/>
  <c r="D10" i="12" s="1"/>
  <c r="D73" i="11"/>
  <c r="C72" i="11"/>
  <c r="C73" i="11" s="1"/>
  <c r="M37" i="11"/>
  <c r="M33" i="11"/>
  <c r="BM35" i="11"/>
  <c r="BL9" i="12" s="1"/>
  <c r="D79" i="11"/>
  <c r="C78" i="11"/>
  <c r="C79" i="11" s="1"/>
  <c r="AX45" i="12"/>
  <c r="AY31" i="11"/>
  <c r="BD8" i="11"/>
  <c r="BI19" i="11"/>
  <c r="BH41" i="12"/>
  <c r="AV38" i="12"/>
  <c r="AW6" i="11"/>
  <c r="AW10" i="11"/>
  <c r="N19" i="11"/>
  <c r="M41" i="12"/>
  <c r="S59" i="11"/>
  <c r="R10" i="12" s="1"/>
  <c r="V59" i="11"/>
  <c r="U10" i="12" s="1"/>
  <c r="U35" i="11"/>
  <c r="T9" i="12" s="1"/>
  <c r="BF44" i="12"/>
  <c r="BG28" i="11"/>
  <c r="BI59" i="11"/>
  <c r="BH10" i="12" s="1"/>
  <c r="BN37" i="11"/>
  <c r="BN33" i="11"/>
  <c r="BK61" i="11"/>
  <c r="BK57" i="11"/>
  <c r="Y10" i="11"/>
  <c r="X38" i="12"/>
  <c r="Y6" i="11"/>
  <c r="AE42" i="12"/>
  <c r="AF22" i="11"/>
  <c r="S37" i="11"/>
  <c r="S33" i="11"/>
  <c r="BJ59" i="11"/>
  <c r="BI10" i="12" s="1"/>
  <c r="E37" i="11"/>
  <c r="E33" i="11"/>
  <c r="BK59" i="11"/>
  <c r="BJ10" i="12" s="1"/>
  <c r="BJ42" i="12"/>
  <c r="BK22" i="11"/>
  <c r="AP37" i="11"/>
  <c r="AP33" i="11"/>
  <c r="C32" i="11"/>
  <c r="O41" i="12"/>
  <c r="P19" i="11"/>
  <c r="BA28" i="11"/>
  <c r="AZ44" i="12"/>
  <c r="N40" i="12"/>
  <c r="O16" i="11"/>
  <c r="AD28" i="11"/>
  <c r="AC44" i="12"/>
  <c r="AH59" i="11"/>
  <c r="AG10" i="12" s="1"/>
  <c r="AE35" i="11"/>
  <c r="AD9" i="12" s="1"/>
  <c r="AD7" i="12" s="1"/>
  <c r="AL61" i="11"/>
  <c r="AL57" i="11"/>
  <c r="BB59" i="11"/>
  <c r="BA10" i="12" s="1"/>
  <c r="AY59" i="11"/>
  <c r="AX10" i="12" s="1"/>
  <c r="O7" i="41"/>
  <c r="O11" i="41" s="1"/>
  <c r="O13" i="41" s="1"/>
  <c r="O15" i="41" s="1"/>
  <c r="BC42" i="43"/>
  <c r="BI27" i="43"/>
  <c r="O149" i="34"/>
  <c r="P150" i="34"/>
  <c r="P70" i="46"/>
  <c r="O69" i="46"/>
  <c r="O69" i="34"/>
  <c r="P70" i="34"/>
  <c r="P46" i="49"/>
  <c r="O44" i="49"/>
  <c r="P44" i="49" s="1"/>
  <c r="P70" i="47"/>
  <c r="O69" i="47"/>
  <c r="P69" i="47" s="1"/>
  <c r="O149" i="49"/>
  <c r="P150" i="49"/>
  <c r="P59" i="38"/>
  <c r="O57" i="38"/>
  <c r="BB7" i="57"/>
  <c r="P122" i="36"/>
  <c r="Q122" i="36"/>
  <c r="O117" i="36"/>
  <c r="P117" i="36" s="1"/>
  <c r="N36" i="38"/>
  <c r="AX20" i="30" s="1"/>
  <c r="P10" i="51"/>
  <c r="O9" i="51"/>
  <c r="N88" i="36"/>
  <c r="AR26" i="30"/>
  <c r="AR25" i="30" s="1"/>
  <c r="BH35" i="43"/>
  <c r="P175" i="45"/>
  <c r="X106" i="63"/>
  <c r="Y106" i="63" s="1"/>
  <c r="AB106" i="63" s="1"/>
  <c r="U106" i="62"/>
  <c r="S14" i="67"/>
  <c r="S12" i="67" s="1"/>
  <c r="P30" i="37"/>
  <c r="Q30" i="37"/>
  <c r="O27" i="37"/>
  <c r="P27" i="37" s="1"/>
  <c r="P115" i="36"/>
  <c r="Q115" i="36"/>
  <c r="O111" i="36"/>
  <c r="P111" i="36" s="1"/>
  <c r="P23" i="37"/>
  <c r="Q23" i="37"/>
  <c r="O22" i="37"/>
  <c r="U62" i="63"/>
  <c r="O51" i="63"/>
  <c r="O90" i="35"/>
  <c r="Q94" i="35"/>
  <c r="P94" i="35"/>
  <c r="O94" i="49"/>
  <c r="BM22" i="11"/>
  <c r="F41" i="12"/>
  <c r="G19" i="11"/>
  <c r="BO22" i="11"/>
  <c r="BN42" i="12"/>
  <c r="M61" i="11"/>
  <c r="M57" i="11"/>
  <c r="N38" i="12"/>
  <c r="O6" i="11"/>
  <c r="O10" i="11"/>
  <c r="Y28" i="11"/>
  <c r="X44" i="12"/>
  <c r="BG39" i="12"/>
  <c r="BH13" i="11"/>
  <c r="BN25" i="11"/>
  <c r="BM43" i="12"/>
  <c r="AJ38" i="12"/>
  <c r="AK10" i="11"/>
  <c r="R45" i="12"/>
  <c r="S31" i="11"/>
  <c r="H37" i="11"/>
  <c r="H33" i="11"/>
  <c r="AN59" i="11"/>
  <c r="AM10" i="12" s="1"/>
  <c r="S14" i="66"/>
  <c r="S12" i="66" s="1"/>
  <c r="T81" i="58"/>
  <c r="V81" i="58" s="1"/>
  <c r="T5" i="11"/>
  <c r="S89" i="64"/>
  <c r="S184" i="65"/>
  <c r="AW29" i="57" s="1"/>
  <c r="V29" i="57" s="1"/>
  <c r="P94" i="51"/>
  <c r="O90" i="51"/>
  <c r="Q99" i="35"/>
  <c r="P99" i="35"/>
  <c r="Q60" i="24"/>
  <c r="P60" i="24"/>
  <c r="P102" i="34"/>
  <c r="O90" i="34"/>
  <c r="AH26" i="30"/>
  <c r="M88" i="33"/>
  <c r="H40" i="12"/>
  <c r="I16" i="11"/>
  <c r="BF38" i="12"/>
  <c r="BG10" i="11"/>
  <c r="BG6" i="11"/>
  <c r="AY42" i="12"/>
  <c r="AZ22" i="11"/>
  <c r="D40" i="11"/>
  <c r="C39" i="11"/>
  <c r="C40" i="11" s="1"/>
  <c r="Z40" i="12"/>
  <c r="AA16" i="11"/>
  <c r="AN39" i="12"/>
  <c r="AO13" i="11"/>
  <c r="BJ28" i="11"/>
  <c r="BI44" i="12"/>
  <c r="AL43" i="12"/>
  <c r="AM25" i="11"/>
  <c r="T40" i="12"/>
  <c r="U16" i="11"/>
  <c r="BF61" i="11"/>
  <c r="BF57" i="11"/>
  <c r="V8" i="11"/>
  <c r="AF10" i="11"/>
  <c r="AE38" i="12"/>
  <c r="AF6" i="11"/>
  <c r="D49" i="11"/>
  <c r="C48" i="11"/>
  <c r="C49" i="11" s="1"/>
  <c r="BA42" i="12"/>
  <c r="BB22" i="11"/>
  <c r="O19" i="11"/>
  <c r="N41" i="12"/>
  <c r="D59" i="11"/>
  <c r="C10" i="12" s="1"/>
  <c r="C62" i="11"/>
  <c r="AQ61" i="11"/>
  <c r="AQ57" i="11"/>
  <c r="AV61" i="11"/>
  <c r="AV57" i="11"/>
  <c r="F16" i="11"/>
  <c r="E40" i="12"/>
  <c r="AO8" i="11"/>
  <c r="S42" i="12"/>
  <c r="T22" i="11"/>
  <c r="AI25" i="11"/>
  <c r="AH43" i="12"/>
  <c r="R16" i="11"/>
  <c r="Q40" i="12"/>
  <c r="AM19" i="11"/>
  <c r="AL41" i="12"/>
  <c r="BC28" i="11"/>
  <c r="BB44" i="12"/>
  <c r="AX35" i="11"/>
  <c r="AW9" i="12" s="1"/>
  <c r="N43" i="12"/>
  <c r="N44" i="12"/>
  <c r="O28" i="11"/>
  <c r="BD61" i="11"/>
  <c r="BD57" i="11"/>
  <c r="AY8" i="11"/>
  <c r="D64" i="11"/>
  <c r="C63" i="11"/>
  <c r="C64" i="11" s="1"/>
  <c r="Z37" i="11"/>
  <c r="Z33" i="11"/>
  <c r="AJ37" i="11"/>
  <c r="AJ33" i="11"/>
  <c r="AW35" i="11"/>
  <c r="AV9" i="12" s="1"/>
  <c r="G44" i="12"/>
  <c r="H28" i="11"/>
  <c r="G43" i="12"/>
  <c r="Z31" i="11"/>
  <c r="Y45" i="12"/>
  <c r="AR13" i="11"/>
  <c r="AQ39" i="12"/>
  <c r="F44" i="12"/>
  <c r="F43" i="12"/>
  <c r="G28" i="11"/>
  <c r="AM31" i="11"/>
  <c r="AL45" i="12"/>
  <c r="D10" i="11"/>
  <c r="C38" i="12"/>
  <c r="D6" i="11"/>
  <c r="F59" i="11"/>
  <c r="E10" i="12" s="1"/>
  <c r="V13" i="11"/>
  <c r="U39" i="12"/>
  <c r="BC35" i="11"/>
  <c r="BB9" i="12" s="1"/>
  <c r="BK41" i="12"/>
  <c r="BL19" i="11"/>
  <c r="AI41" i="12"/>
  <c r="AJ19" i="11"/>
  <c r="AV10" i="11"/>
  <c r="AU38" i="12"/>
  <c r="AV6" i="11"/>
  <c r="Q37" i="11"/>
  <c r="Q33" i="11"/>
  <c r="I44" i="12"/>
  <c r="I43" i="12"/>
  <c r="J28" i="11"/>
  <c r="AN10" i="11"/>
  <c r="AM38" i="12"/>
  <c r="AN6" i="11"/>
  <c r="L35" i="11"/>
  <c r="K9" i="12" s="1"/>
  <c r="D40" i="12"/>
  <c r="E16" i="11"/>
  <c r="D38" i="12"/>
  <c r="E10" i="11"/>
  <c r="E6" i="11"/>
  <c r="AN8" i="11"/>
  <c r="AV40" i="12"/>
  <c r="AW16" i="11"/>
  <c r="N61" i="11"/>
  <c r="N57" i="11"/>
  <c r="AC25" i="11"/>
  <c r="AB43" i="12"/>
  <c r="BC31" i="11"/>
  <c r="BB45" i="12"/>
  <c r="AX6" i="11"/>
  <c r="AW38" i="12"/>
  <c r="AX10" i="11"/>
  <c r="S44" i="12"/>
  <c r="T28" i="11"/>
  <c r="AO41" i="12"/>
  <c r="AP19" i="11"/>
  <c r="E45" i="12"/>
  <c r="F31" i="11"/>
  <c r="AF31" i="11"/>
  <c r="AE45" i="12"/>
  <c r="AH31" i="11"/>
  <c r="AG45" i="12"/>
  <c r="BB8" i="11"/>
  <c r="AX37" i="11"/>
  <c r="AX33" i="11"/>
  <c r="R37" i="11"/>
  <c r="R33" i="11"/>
  <c r="S61" i="11"/>
  <c r="S57" i="11"/>
  <c r="BO35" i="11"/>
  <c r="BN9" i="12" s="1"/>
  <c r="AD38" i="12"/>
  <c r="AE10" i="11"/>
  <c r="AE6" i="11"/>
  <c r="AU10" i="11"/>
  <c r="AT38" i="12"/>
  <c r="AU6" i="11"/>
  <c r="AR8" i="11"/>
  <c r="BG22" i="11"/>
  <c r="BF42" i="12"/>
  <c r="BO40" i="12"/>
  <c r="BP16" i="11"/>
  <c r="BF10" i="11"/>
  <c r="BF6" i="11"/>
  <c r="BE38" i="12"/>
  <c r="J22" i="11"/>
  <c r="I42" i="12"/>
  <c r="AF8" i="11"/>
  <c r="AK35" i="11"/>
  <c r="AJ9" i="12" s="1"/>
  <c r="AU61" i="11"/>
  <c r="AU57" i="11"/>
  <c r="D35" i="11"/>
  <c r="C9" i="12" s="1"/>
  <c r="C38" i="11"/>
  <c r="BN41" i="12"/>
  <c r="BO19" i="11"/>
  <c r="L31" i="11"/>
  <c r="K45" i="12"/>
  <c r="AP8" i="11"/>
  <c r="AD33" i="11"/>
  <c r="AD37" i="11"/>
  <c r="F8" i="11"/>
  <c r="AO35" i="11"/>
  <c r="AN9" i="12" s="1"/>
  <c r="AJ43" i="12"/>
  <c r="AK25" i="11"/>
  <c r="BE28" i="11"/>
  <c r="BD44" i="12"/>
  <c r="BB16" i="11"/>
  <c r="BA40" i="12"/>
  <c r="P59" i="11"/>
  <c r="O10" i="12" s="1"/>
  <c r="AE31" i="11"/>
  <c r="AD45" i="12"/>
  <c r="AF28" i="11"/>
  <c r="AE44" i="12"/>
  <c r="AS45" i="12"/>
  <c r="AT31" i="11"/>
  <c r="BC39" i="12"/>
  <c r="BD13" i="11"/>
  <c r="BK16" i="11"/>
  <c r="BJ40" i="12"/>
  <c r="C44" i="11"/>
  <c r="AR31" i="11"/>
  <c r="AQ45" i="12"/>
  <c r="AQ59" i="11"/>
  <c r="AP10" i="12" s="1"/>
  <c r="D55" i="11"/>
  <c r="C54" i="11"/>
  <c r="C55" i="11" s="1"/>
  <c r="AT25" i="11"/>
  <c r="AS43" i="12"/>
  <c r="BL59" i="11"/>
  <c r="BK10" i="12" s="1"/>
  <c r="BC22" i="11"/>
  <c r="BB42" i="12"/>
  <c r="U31" i="11"/>
  <c r="T45" i="12"/>
  <c r="BL13" i="11"/>
  <c r="BK39" i="12"/>
  <c r="U41" i="12"/>
  <c r="V19" i="11"/>
  <c r="BI35" i="11"/>
  <c r="BH9" i="12" s="1"/>
  <c r="AZ31" i="11"/>
  <c r="AY45" i="12"/>
  <c r="BH25" i="11"/>
  <c r="BG43" i="12"/>
  <c r="BB19" i="11"/>
  <c r="BA41" i="12"/>
  <c r="I59" i="11"/>
  <c r="H10" i="12" s="1"/>
  <c r="C71" i="11"/>
  <c r="T37" i="11"/>
  <c r="T33" i="11"/>
  <c r="BO45" i="12"/>
  <c r="BP31" i="11"/>
  <c r="AO38" i="12"/>
  <c r="AP10" i="11"/>
  <c r="AP6" i="11"/>
  <c r="M76" i="45"/>
  <c r="N171" i="51"/>
  <c r="N172" i="51" s="1"/>
  <c r="M171" i="51"/>
  <c r="M172" i="51" s="1"/>
  <c r="P10" i="49"/>
  <c r="O9" i="49"/>
  <c r="N88" i="37"/>
  <c r="Q108" i="37"/>
  <c r="P108" i="37"/>
  <c r="P47" i="33"/>
  <c r="O37" i="33"/>
  <c r="P51" i="38"/>
  <c r="O47" i="38"/>
  <c r="P47" i="38" s="1"/>
  <c r="BC7" i="57"/>
  <c r="P39" i="38"/>
  <c r="O38" i="38"/>
  <c r="O56" i="20"/>
  <c r="P56" i="20" s="1"/>
  <c r="P63" i="20"/>
  <c r="K222" i="58"/>
  <c r="K356" i="58" s="1"/>
  <c r="P94" i="40"/>
  <c r="O90" i="40"/>
  <c r="P45" i="38"/>
  <c r="O44" i="38"/>
  <c r="P44" i="38" s="1"/>
  <c r="P29" i="35"/>
  <c r="Q29" i="35"/>
  <c r="O27" i="35"/>
  <c r="P27" i="35" s="1"/>
  <c r="AR19" i="30"/>
  <c r="N4" i="36"/>
  <c r="P38" i="39"/>
  <c r="O37" i="39"/>
  <c r="BJ27" i="43"/>
  <c r="K43" i="12"/>
  <c r="K44" i="12"/>
  <c r="L28" i="11"/>
  <c r="P41" i="12"/>
  <c r="Q19" i="11"/>
  <c r="M44" i="12"/>
  <c r="N28" i="11"/>
  <c r="M43" i="12"/>
  <c r="S40" i="12"/>
  <c r="T16" i="11"/>
  <c r="D28" i="11"/>
  <c r="C28" i="11"/>
  <c r="C44" i="12"/>
  <c r="AA45" i="12"/>
  <c r="AB31" i="11"/>
  <c r="BA16" i="11"/>
  <c r="AZ40" i="12"/>
  <c r="J19" i="11"/>
  <c r="I41" i="12"/>
  <c r="BE61" i="11"/>
  <c r="BE57" i="11"/>
  <c r="D22" i="11"/>
  <c r="C42" i="12"/>
  <c r="AJ44" i="12"/>
  <c r="AK28" i="11"/>
  <c r="AX44" i="12"/>
  <c r="AY28" i="11"/>
  <c r="AB40" i="12"/>
  <c r="AC16" i="11"/>
  <c r="D39" i="12"/>
  <c r="E13" i="11"/>
  <c r="BM31" i="11"/>
  <c r="BL45" i="12"/>
  <c r="S82" i="66"/>
  <c r="S45" i="66" s="1"/>
  <c r="AT18" i="57" s="1"/>
  <c r="S18" i="57" s="1"/>
  <c r="O127" i="65"/>
  <c r="O126" i="65" s="1"/>
  <c r="U126" i="65" s="1"/>
  <c r="Q82" i="65"/>
  <c r="T82" i="65" s="1"/>
  <c r="O63" i="38"/>
  <c r="P63" i="38" s="1"/>
  <c r="P65" i="38"/>
  <c r="D2" i="56"/>
  <c r="I34" i="61"/>
  <c r="M34" i="61" s="1"/>
  <c r="O34" i="61" s="1"/>
  <c r="BA19" i="43"/>
  <c r="N4" i="49"/>
  <c r="O116" i="33"/>
  <c r="AG40" i="12"/>
  <c r="AH16" i="11"/>
  <c r="AG25" i="11"/>
  <c r="AF43" i="12"/>
  <c r="BK42" i="12"/>
  <c r="BL22" i="11"/>
  <c r="BH8" i="11"/>
  <c r="AN45" i="12"/>
  <c r="AO31" i="11"/>
  <c r="U8" i="11"/>
  <c r="AZ35" i="11"/>
  <c r="AY9" i="12" s="1"/>
  <c r="AF40" i="12"/>
  <c r="AG16" i="11"/>
  <c r="AB16" i="11"/>
  <c r="AA40" i="12"/>
  <c r="T38" i="12"/>
  <c r="U10" i="11"/>
  <c r="U6" i="11"/>
  <c r="BH40" i="12"/>
  <c r="BI16" i="11"/>
  <c r="AP38" i="12"/>
  <c r="AQ10" i="11"/>
  <c r="AQ6" i="11"/>
  <c r="Z8" i="11"/>
  <c r="AH8" i="11"/>
  <c r="M16" i="11"/>
  <c r="L40" i="12"/>
  <c r="AL37" i="11"/>
  <c r="AL33" i="11"/>
  <c r="AK16" i="11"/>
  <c r="AJ40" i="12"/>
  <c r="M40" i="12"/>
  <c r="N16" i="11"/>
  <c r="BN59" i="11"/>
  <c r="BM10" i="12" s="1"/>
  <c r="AZ25" i="11"/>
  <c r="AY43" i="12"/>
  <c r="AR45" i="12"/>
  <c r="AS31" i="11"/>
  <c r="AQ40" i="12"/>
  <c r="AR16" i="11"/>
  <c r="AW40" i="12"/>
  <c r="AX16" i="11"/>
  <c r="BK28" i="11"/>
  <c r="BJ44" i="12"/>
  <c r="BO39" i="12"/>
  <c r="BP13" i="11"/>
  <c r="BF41" i="12"/>
  <c r="BG19" i="11"/>
  <c r="C77" i="11"/>
  <c r="BK38" i="12"/>
  <c r="BL10" i="11"/>
  <c r="BL6" i="11"/>
  <c r="AU35" i="11"/>
  <c r="AT9" i="12" s="1"/>
  <c r="Y40" i="12"/>
  <c r="Z16" i="11"/>
  <c r="Q41" i="12"/>
  <c r="R19" i="11"/>
  <c r="BO44" i="12"/>
  <c r="BP28" i="11"/>
  <c r="AL8" i="11"/>
  <c r="AT41" i="12"/>
  <c r="AU19" i="11"/>
  <c r="BO16" i="11"/>
  <c r="BN40" i="12"/>
  <c r="AW45" i="12"/>
  <c r="AX31" i="11"/>
  <c r="Q61" i="11"/>
  <c r="Q57" i="11"/>
  <c r="L10" i="11"/>
  <c r="K38" i="12"/>
  <c r="L6" i="11"/>
  <c r="BE25" i="11"/>
  <c r="BD43" i="12"/>
  <c r="AP35" i="11"/>
  <c r="AO9" i="12" s="1"/>
  <c r="AA38" i="12"/>
  <c r="AB10" i="11"/>
  <c r="AB6" i="11"/>
  <c r="AS10" i="11"/>
  <c r="AR38" i="12"/>
  <c r="AS6" i="11"/>
  <c r="AW43" i="12"/>
  <c r="AX25" i="11"/>
  <c r="U28" i="11"/>
  <c r="T44" i="12"/>
  <c r="BO13" i="11"/>
  <c r="BN39" i="12"/>
  <c r="AX19" i="11"/>
  <c r="AW41" i="12"/>
  <c r="W45" i="12"/>
  <c r="X31" i="11"/>
  <c r="AT8" i="11"/>
  <c r="AK40" i="12"/>
  <c r="AL16" i="11"/>
  <c r="M42" i="12"/>
  <c r="N22" i="11"/>
  <c r="AH41" i="12"/>
  <c r="AI19" i="11"/>
  <c r="AE43" i="12"/>
  <c r="AF25" i="11"/>
  <c r="E39" i="12"/>
  <c r="F13" i="11"/>
  <c r="K61" i="11"/>
  <c r="K57" i="11"/>
  <c r="AU41" i="12"/>
  <c r="AV19" i="11"/>
  <c r="Z61" i="11"/>
  <c r="Z57" i="11"/>
  <c r="K35" i="11"/>
  <c r="J9" i="12" s="1"/>
  <c r="AU37" i="11"/>
  <c r="AU33" i="11"/>
  <c r="BF43" i="12"/>
  <c r="BG25" i="11"/>
  <c r="BE35" i="11"/>
  <c r="BD9" i="12" s="1"/>
  <c r="BC45" i="12"/>
  <c r="BD31" i="11"/>
  <c r="G37" i="11"/>
  <c r="G33" i="11"/>
  <c r="BJ22" i="11"/>
  <c r="BI42" i="12"/>
  <c r="V45" i="12"/>
  <c r="W31" i="11"/>
  <c r="AY38" i="12"/>
  <c r="AZ10" i="11"/>
  <c r="AZ6" i="11"/>
  <c r="BD39" i="12"/>
  <c r="BE13" i="11"/>
  <c r="Z10" i="11"/>
  <c r="Y38" i="12"/>
  <c r="Z6" i="11"/>
  <c r="S38" i="12"/>
  <c r="T6" i="11"/>
  <c r="T10" i="11"/>
  <c r="I28" i="11"/>
  <c r="H43" i="12"/>
  <c r="H44" i="12"/>
  <c r="D37" i="11"/>
  <c r="D33" i="11"/>
  <c r="C36" i="11"/>
  <c r="V37" i="11"/>
  <c r="V33" i="11"/>
  <c r="AT37" i="11"/>
  <c r="AT33" i="11"/>
  <c r="AV35" i="11"/>
  <c r="AU9" i="12" s="1"/>
  <c r="I61" i="11"/>
  <c r="I57" i="11"/>
  <c r="BC16" i="11"/>
  <c r="BB40" i="12"/>
  <c r="BG59" i="11"/>
  <c r="BF10" i="12" s="1"/>
  <c r="AI38" i="12"/>
  <c r="AJ6" i="11"/>
  <c r="AJ10" i="11"/>
  <c r="AT45" i="12"/>
  <c r="AU31" i="11"/>
  <c r="C56" i="11"/>
  <c r="AX8" i="11"/>
  <c r="BO8" i="11"/>
  <c r="AO25" i="11"/>
  <c r="AN43" i="12"/>
  <c r="AY35" i="11"/>
  <c r="AX9" i="12" s="1"/>
  <c r="BJ41" i="12"/>
  <c r="BK19" i="11"/>
  <c r="T61" i="11"/>
  <c r="T57" i="11"/>
  <c r="AG59" i="11"/>
  <c r="AF10" i="12" s="1"/>
  <c r="AM35" i="11"/>
  <c r="AL9" i="12" s="1"/>
  <c r="J61" i="11"/>
  <c r="J57" i="11"/>
  <c r="AG39" i="12"/>
  <c r="AH13" i="11"/>
  <c r="BB35" i="11"/>
  <c r="BA9" i="12" s="1"/>
  <c r="AD61" i="11"/>
  <c r="AD57" i="11"/>
  <c r="J59" i="11"/>
  <c r="I10" i="12" s="1"/>
  <c r="Y39" i="12"/>
  <c r="Z13" i="11"/>
  <c r="BA59" i="11"/>
  <c r="AZ10" i="12" s="1"/>
  <c r="P13" i="11"/>
  <c r="O39" i="12"/>
  <c r="E43" i="12"/>
  <c r="F28" i="11"/>
  <c r="E44" i="12"/>
  <c r="O61" i="11"/>
  <c r="O57" i="11"/>
  <c r="L59" i="11"/>
  <c r="K10" i="12" s="1"/>
  <c r="Y61" i="11"/>
  <c r="Y57" i="11"/>
  <c r="R44" i="12"/>
  <c r="S28" i="11"/>
  <c r="AT42" i="12"/>
  <c r="AU22" i="11"/>
  <c r="L45" i="12"/>
  <c r="M31" i="11"/>
  <c r="X19" i="11"/>
  <c r="W41" i="12"/>
  <c r="Q39" i="12"/>
  <c r="R13" i="11"/>
  <c r="AU25" i="30"/>
  <c r="P161" i="47"/>
  <c r="AS29" i="43"/>
  <c r="BH29" i="43" s="1"/>
  <c r="BN29" i="43" s="1"/>
  <c r="O129" i="46"/>
  <c r="P66" i="39"/>
  <c r="O56" i="39"/>
  <c r="P56" i="39" s="1"/>
  <c r="Q127" i="67"/>
  <c r="T128" i="67"/>
  <c r="Q94" i="47"/>
  <c r="P94" i="47"/>
  <c r="P66" i="36"/>
  <c r="Q66" i="36"/>
  <c r="O56" i="36"/>
  <c r="P56" i="36" s="1"/>
  <c r="P34" i="45"/>
  <c r="O29" i="45"/>
  <c r="P29" i="45" s="1"/>
  <c r="P13" i="48"/>
  <c r="O9" i="48"/>
  <c r="P122" i="49"/>
  <c r="O117" i="49"/>
  <c r="P117" i="49" s="1"/>
  <c r="O69" i="20"/>
  <c r="P70" i="20"/>
  <c r="U82" i="61"/>
  <c r="Y82" i="61" s="1"/>
  <c r="Y86" i="61"/>
  <c r="V179" i="61"/>
  <c r="V175" i="61" s="1"/>
  <c r="BL39" i="57" s="1"/>
  <c r="BJ39" i="57" s="1"/>
  <c r="AJ39" i="57"/>
  <c r="AS39" i="57"/>
  <c r="AA39" i="57"/>
  <c r="BE39" i="57"/>
  <c r="AD39" i="57"/>
  <c r="AP39" i="57"/>
  <c r="AV39" i="57"/>
  <c r="V209" i="58"/>
  <c r="V151" i="58"/>
  <c r="O224" i="58"/>
  <c r="Q46" i="68"/>
  <c r="S82" i="68"/>
  <c r="S14" i="68"/>
  <c r="S12" i="68" s="1"/>
  <c r="S58" i="68"/>
  <c r="S56" i="68" s="1"/>
  <c r="O14" i="68"/>
  <c r="W78" i="58"/>
  <c r="U46" i="68"/>
  <c r="O45" i="68"/>
  <c r="U45" i="68" s="1"/>
  <c r="O100" i="58"/>
  <c r="O98" i="58" s="1"/>
  <c r="AP30" i="57"/>
  <c r="T193" i="68"/>
  <c r="Q56" i="68"/>
  <c r="T56" i="68" s="1"/>
  <c r="BD4" i="5"/>
  <c r="BD61" i="5" s="1"/>
  <c r="Q184" i="68"/>
  <c r="T185" i="68"/>
  <c r="T101" i="68"/>
  <c r="AP22" i="57"/>
  <c r="Q100" i="68"/>
  <c r="T100" i="68" s="1"/>
  <c r="O127" i="68"/>
  <c r="U128" i="68"/>
  <c r="Q71" i="68"/>
  <c r="T71" i="68" s="1"/>
  <c r="T72" i="68"/>
  <c r="Q14" i="68"/>
  <c r="T129" i="68"/>
  <c r="Q128" i="68"/>
  <c r="S132" i="68"/>
  <c r="AP23" i="57"/>
  <c r="T120" i="68"/>
  <c r="O127" i="58"/>
  <c r="T199" i="63"/>
  <c r="W228" i="58"/>
  <c r="T251" i="58"/>
  <c r="V251" i="58" s="1"/>
  <c r="V254" i="58"/>
  <c r="AR46" i="57"/>
  <c r="Q46" i="57" s="1"/>
  <c r="M223" i="58"/>
  <c r="V83" i="58"/>
  <c r="W68" i="58"/>
  <c r="M127" i="58"/>
  <c r="M97" i="58" s="1"/>
  <c r="S100" i="65"/>
  <c r="AW22" i="57"/>
  <c r="T185" i="65"/>
  <c r="Q184" i="65"/>
  <c r="S33" i="65"/>
  <c r="S14" i="65" s="1"/>
  <c r="S12" i="65" s="1"/>
  <c r="AV28" i="57"/>
  <c r="T170" i="65"/>
  <c r="T72" i="65"/>
  <c r="Q71" i="65"/>
  <c r="T71" i="65" s="1"/>
  <c r="AU46" i="57"/>
  <c r="T46" i="57" s="1"/>
  <c r="W124" i="58"/>
  <c r="S71" i="65"/>
  <c r="Q46" i="65"/>
  <c r="T120" i="65"/>
  <c r="AV23" i="57"/>
  <c r="T58" i="65"/>
  <c r="Q56" i="65"/>
  <c r="T56" i="65" s="1"/>
  <c r="V292" i="58"/>
  <c r="S127" i="65"/>
  <c r="S193" i="65"/>
  <c r="AW30" i="57" s="1"/>
  <c r="V30" i="57" s="1"/>
  <c r="O45" i="65"/>
  <c r="U45" i="65" s="1"/>
  <c r="AV30" i="57"/>
  <c r="T193" i="65"/>
  <c r="T101" i="65"/>
  <c r="Q100" i="65"/>
  <c r="T100" i="65" s="1"/>
  <c r="AV22" i="57"/>
  <c r="Q128" i="65"/>
  <c r="T128" i="65" s="1"/>
  <c r="T129" i="65"/>
  <c r="M224" i="58"/>
  <c r="T144" i="65"/>
  <c r="Q14" i="65"/>
  <c r="T23" i="65"/>
  <c r="U14" i="65"/>
  <c r="O12" i="65"/>
  <c r="X20" i="63"/>
  <c r="Y20" i="63" s="1"/>
  <c r="AB20" i="63" s="1"/>
  <c r="O18" i="62"/>
  <c r="U20" i="62"/>
  <c r="T191" i="62"/>
  <c r="Q190" i="62"/>
  <c r="T190" i="62" s="1"/>
  <c r="X134" i="63"/>
  <c r="Y134" i="63" s="1"/>
  <c r="AB134" i="63" s="1"/>
  <c r="U134" i="62"/>
  <c r="O133" i="62"/>
  <c r="S39" i="62"/>
  <c r="J115" i="58"/>
  <c r="T170" i="68"/>
  <c r="AP28" i="57"/>
  <c r="T107" i="62"/>
  <c r="Q106" i="62"/>
  <c r="T106" i="62" s="1"/>
  <c r="O62" i="62"/>
  <c r="U64" i="62"/>
  <c r="H138" i="58"/>
  <c r="H136" i="58" s="1"/>
  <c r="X64" i="63"/>
  <c r="Y64" i="63" s="1"/>
  <c r="AB64" i="63" s="1"/>
  <c r="W120" i="58"/>
  <c r="P43" i="62"/>
  <c r="T43" i="62"/>
  <c r="O88" i="62"/>
  <c r="X90" i="63"/>
  <c r="Y90" i="63" s="1"/>
  <c r="AB90" i="63" s="1"/>
  <c r="H160" i="58"/>
  <c r="H158" i="58" s="1"/>
  <c r="U90" i="62"/>
  <c r="P93" i="62"/>
  <c r="T93" i="62"/>
  <c r="R119" i="58"/>
  <c r="T119" i="58" s="1"/>
  <c r="W119" i="58" s="1"/>
  <c r="T135" i="62"/>
  <c r="Q134" i="62"/>
  <c r="R101" i="58"/>
  <c r="T101" i="58" s="1"/>
  <c r="W101" i="58" s="1"/>
  <c r="T65" i="62"/>
  <c r="P65" i="62"/>
  <c r="Q64" i="62"/>
  <c r="S88" i="62"/>
  <c r="V275" i="58"/>
  <c r="W275" i="58"/>
  <c r="T31" i="62"/>
  <c r="Q29" i="62"/>
  <c r="T29" i="62" s="1"/>
  <c r="R161" i="58"/>
  <c r="T161" i="58" s="1"/>
  <c r="W161" i="58" s="1"/>
  <c r="R251" i="58"/>
  <c r="X190" i="63"/>
  <c r="Y190" i="63" s="1"/>
  <c r="AB190" i="63" s="1"/>
  <c r="U190" i="62"/>
  <c r="T92" i="62"/>
  <c r="P92" i="62"/>
  <c r="Q90" i="62"/>
  <c r="P21" i="62"/>
  <c r="T21" i="62"/>
  <c r="Q20" i="62"/>
  <c r="P143" i="62"/>
  <c r="T143" i="62"/>
  <c r="H115" i="58"/>
  <c r="H100" i="58" s="1"/>
  <c r="H98" i="58" s="1"/>
  <c r="H131" i="58"/>
  <c r="H128" i="58" s="1"/>
  <c r="O52" i="62"/>
  <c r="X55" i="63"/>
  <c r="Y55" i="63" s="1"/>
  <c r="AB55" i="63" s="1"/>
  <c r="U55" i="62"/>
  <c r="H224" i="58"/>
  <c r="H223" i="58"/>
  <c r="J285" i="58"/>
  <c r="V229" i="58"/>
  <c r="U39" i="62"/>
  <c r="X39" i="63"/>
  <c r="Y39" i="63" s="1"/>
  <c r="AB39" i="63" s="1"/>
  <c r="P56" i="62"/>
  <c r="Q55" i="62"/>
  <c r="T56" i="62"/>
  <c r="Q39" i="62"/>
  <c r="T39" i="62" s="1"/>
  <c r="V212" i="58"/>
  <c r="T185" i="69"/>
  <c r="Q184" i="69"/>
  <c r="T184" i="69" s="1"/>
  <c r="Q23" i="69"/>
  <c r="T23" i="69" s="1"/>
  <c r="V163" i="58"/>
  <c r="V162" i="58"/>
  <c r="V261" i="58"/>
  <c r="S163" i="69"/>
  <c r="S19" i="69"/>
  <c r="O14" i="69"/>
  <c r="U46" i="69"/>
  <c r="O45" i="69"/>
  <c r="U45" i="69" s="1"/>
  <c r="W252" i="58"/>
  <c r="V252" i="58"/>
  <c r="W265" i="58"/>
  <c r="V265" i="58"/>
  <c r="S46" i="69"/>
  <c r="V233" i="58"/>
  <c r="V206" i="58"/>
  <c r="T47" i="69"/>
  <c r="P47" i="69"/>
  <c r="Q46" i="69"/>
  <c r="AM44" i="57"/>
  <c r="M14" i="14" s="1"/>
  <c r="W256" i="58"/>
  <c r="V256" i="58"/>
  <c r="Q82" i="69"/>
  <c r="T82" i="69" s="1"/>
  <c r="S193" i="69"/>
  <c r="Q71" i="69"/>
  <c r="T71" i="69" s="1"/>
  <c r="T72" i="69"/>
  <c r="T243" i="58"/>
  <c r="R236" i="58"/>
  <c r="Q36" i="61"/>
  <c r="P36" i="61" s="1"/>
  <c r="Q36" i="58"/>
  <c r="U36" i="61"/>
  <c r="L128" i="58"/>
  <c r="L127" i="58" s="1"/>
  <c r="V213" i="58"/>
  <c r="W99" i="58"/>
  <c r="V99" i="58"/>
  <c r="S82" i="69"/>
  <c r="O93" i="61"/>
  <c r="Q99" i="61"/>
  <c r="S99" i="61" s="1"/>
  <c r="U99" i="61"/>
  <c r="Q91" i="58"/>
  <c r="Q56" i="69"/>
  <c r="T56" i="69" s="1"/>
  <c r="T58" i="69"/>
  <c r="Q92" i="58"/>
  <c r="Q100" i="61"/>
  <c r="P100" i="61" s="1"/>
  <c r="U100" i="61"/>
  <c r="S23" i="69"/>
  <c r="I161" i="61"/>
  <c r="M161" i="61" s="1"/>
  <c r="O161" i="61" s="1"/>
  <c r="I162" i="61"/>
  <c r="M162" i="61" s="1"/>
  <c r="O162" i="61" s="1"/>
  <c r="I54" i="61"/>
  <c r="M54" i="61" s="1"/>
  <c r="O54" i="61" s="1"/>
  <c r="I53" i="61"/>
  <c r="M53" i="61" s="1"/>
  <c r="O53" i="61" s="1"/>
  <c r="H16" i="4"/>
  <c r="J16" i="4"/>
  <c r="I16" i="4"/>
  <c r="G16" i="4"/>
  <c r="U23" i="64"/>
  <c r="O14" i="64"/>
  <c r="P60" i="64"/>
  <c r="T60" i="64"/>
  <c r="J197" i="58"/>
  <c r="J196" i="58" s="1"/>
  <c r="T63" i="64"/>
  <c r="P63" i="64"/>
  <c r="P48" i="64"/>
  <c r="T48" i="64"/>
  <c r="R110" i="58"/>
  <c r="T110" i="58" s="1"/>
  <c r="W110" i="58" s="1"/>
  <c r="P140" i="64"/>
  <c r="T140" i="64"/>
  <c r="R294" i="58"/>
  <c r="T294" i="58" s="1"/>
  <c r="W294" i="58" s="1"/>
  <c r="P201" i="64"/>
  <c r="T201" i="64"/>
  <c r="Q101" i="64"/>
  <c r="T102" i="64"/>
  <c r="P102" i="64"/>
  <c r="P115" i="64"/>
  <c r="T115" i="64"/>
  <c r="S33" i="64"/>
  <c r="Q46" i="64"/>
  <c r="T47" i="64"/>
  <c r="P47" i="64"/>
  <c r="T93" i="64"/>
  <c r="P93" i="64"/>
  <c r="T113" i="64"/>
  <c r="P113" i="64"/>
  <c r="S63" i="64"/>
  <c r="P90" i="64"/>
  <c r="T90" i="64"/>
  <c r="S48" i="64"/>
  <c r="P117" i="64"/>
  <c r="T117" i="64"/>
  <c r="R103" i="58"/>
  <c r="T103" i="58" s="1"/>
  <c r="W103" i="58" s="1"/>
  <c r="U132" i="64"/>
  <c r="J226" i="58"/>
  <c r="V208" i="58"/>
  <c r="V121" i="58"/>
  <c r="P116" i="64"/>
  <c r="T116" i="64"/>
  <c r="R108" i="58"/>
  <c r="P165" i="64"/>
  <c r="T165" i="64"/>
  <c r="Q163" i="64"/>
  <c r="T163" i="64" s="1"/>
  <c r="R168" i="58"/>
  <c r="T168" i="58" s="1"/>
  <c r="W168" i="58" s="1"/>
  <c r="R211" i="58"/>
  <c r="T211" i="58" s="1"/>
  <c r="W211" i="58" s="1"/>
  <c r="U46" i="64"/>
  <c r="T103" i="64"/>
  <c r="P103" i="64"/>
  <c r="T54" i="64"/>
  <c r="P54" i="64"/>
  <c r="T28" i="64"/>
  <c r="P28" i="64"/>
  <c r="T133" i="64"/>
  <c r="P133" i="64"/>
  <c r="Q132" i="64"/>
  <c r="T132" i="64" s="1"/>
  <c r="R205" i="58"/>
  <c r="T205" i="58" s="1"/>
  <c r="W205" i="58" s="1"/>
  <c r="S170" i="64"/>
  <c r="AK28" i="57" s="1"/>
  <c r="J28" i="57" s="1"/>
  <c r="S120" i="64"/>
  <c r="AK23" i="57" s="1"/>
  <c r="J23" i="57" s="1"/>
  <c r="P130" i="64"/>
  <c r="T130" i="64"/>
  <c r="Q129" i="64"/>
  <c r="R171" i="58"/>
  <c r="T94" i="64"/>
  <c r="P94" i="64"/>
  <c r="N101" i="64"/>
  <c r="U101" i="64"/>
  <c r="O100" i="64"/>
  <c r="U100" i="64" s="1"/>
  <c r="R199" i="58"/>
  <c r="T199" i="58" s="1"/>
  <c r="W199" i="58" s="1"/>
  <c r="R134" i="58"/>
  <c r="T134" i="58" s="1"/>
  <c r="W134" i="58" s="1"/>
  <c r="T141" i="64"/>
  <c r="P141" i="64"/>
  <c r="Q185" i="64"/>
  <c r="T186" i="64"/>
  <c r="P186" i="64"/>
  <c r="S28" i="64"/>
  <c r="S23" i="64" s="1"/>
  <c r="S14" i="64" s="1"/>
  <c r="S12" i="64" s="1"/>
  <c r="T17" i="64"/>
  <c r="P17" i="64"/>
  <c r="Q193" i="64"/>
  <c r="P181" i="64"/>
  <c r="T181" i="64"/>
  <c r="T180" i="64"/>
  <c r="P180" i="64"/>
  <c r="R203" i="58"/>
  <c r="T203" i="58" s="1"/>
  <c r="W203" i="58" s="1"/>
  <c r="S129" i="64"/>
  <c r="Q95" i="64"/>
  <c r="T95" i="64" s="1"/>
  <c r="T97" i="64"/>
  <c r="P97" i="64"/>
  <c r="R258" i="58"/>
  <c r="T258" i="58" s="1"/>
  <c r="W258" i="58" s="1"/>
  <c r="R139" i="58"/>
  <c r="T139" i="58" s="1"/>
  <c r="W139" i="58" s="1"/>
  <c r="S71" i="64"/>
  <c r="S54" i="64"/>
  <c r="P104" i="64"/>
  <c r="T104" i="64"/>
  <c r="J169" i="58"/>
  <c r="T109" i="64"/>
  <c r="P109" i="64"/>
  <c r="V273" i="58"/>
  <c r="W273" i="58"/>
  <c r="R272" i="58"/>
  <c r="T272" i="58" s="1"/>
  <c r="W272" i="58" s="1"/>
  <c r="J262" i="58"/>
  <c r="T170" i="64"/>
  <c r="AJ28" i="57"/>
  <c r="R137" i="58"/>
  <c r="T137" i="58" s="1"/>
  <c r="W137" i="58" s="1"/>
  <c r="AQ8" i="10"/>
  <c r="AQ7" i="10" s="1"/>
  <c r="AQ26" i="10" s="1"/>
  <c r="AP26" i="12" s="1"/>
  <c r="AT3" i="6"/>
  <c r="T120" i="64"/>
  <c r="AJ23" i="57"/>
  <c r="P57" i="64"/>
  <c r="T57" i="64"/>
  <c r="T131" i="64"/>
  <c r="P131" i="64"/>
  <c r="J225" i="58"/>
  <c r="O128" i="64"/>
  <c r="U129" i="64"/>
  <c r="T24" i="64"/>
  <c r="P24" i="64"/>
  <c r="T36" i="64"/>
  <c r="P36" i="64"/>
  <c r="P166" i="64"/>
  <c r="T166" i="64"/>
  <c r="P39" i="64"/>
  <c r="T39" i="64"/>
  <c r="P61" i="64"/>
  <c r="T61" i="64"/>
  <c r="R102" i="58"/>
  <c r="T102" i="58" s="1"/>
  <c r="W102" i="58" s="1"/>
  <c r="O71" i="64"/>
  <c r="U71" i="64" s="1"/>
  <c r="U72" i="64"/>
  <c r="J150" i="58"/>
  <c r="J149" i="58" s="1"/>
  <c r="S193" i="64"/>
  <c r="AK30" i="57" s="1"/>
  <c r="J30" i="57" s="1"/>
  <c r="P75" i="64"/>
  <c r="T75" i="64"/>
  <c r="R278" i="58"/>
  <c r="J277" i="58"/>
  <c r="J276" i="58" s="1"/>
  <c r="S104" i="64"/>
  <c r="T62" i="64"/>
  <c r="P62" i="64"/>
  <c r="S140" i="64"/>
  <c r="T107" i="64"/>
  <c r="P107" i="64"/>
  <c r="P110" i="64"/>
  <c r="T110" i="64"/>
  <c r="S165" i="64"/>
  <c r="S163" i="64" s="1"/>
  <c r="R118" i="58"/>
  <c r="T118" i="58" s="1"/>
  <c r="V118" i="58" s="1"/>
  <c r="T65" i="64"/>
  <c r="P65" i="64"/>
  <c r="P73" i="64"/>
  <c r="T73" i="64"/>
  <c r="Q72" i="64"/>
  <c r="T43" i="64"/>
  <c r="P43" i="64"/>
  <c r="U25" i="64"/>
  <c r="J109" i="58"/>
  <c r="R130" i="58"/>
  <c r="T130" i="58" s="1"/>
  <c r="W130" i="58" s="1"/>
  <c r="U185" i="64"/>
  <c r="O184" i="64"/>
  <c r="U184" i="64" s="1"/>
  <c r="P59" i="64"/>
  <c r="Q58" i="64"/>
  <c r="T58" i="64" s="1"/>
  <c r="T59" i="64"/>
  <c r="P134" i="64"/>
  <c r="T134" i="64"/>
  <c r="V140" i="58"/>
  <c r="W140" i="58"/>
  <c r="R232" i="58"/>
  <c r="T232" i="58" s="1"/>
  <c r="W232" i="58" s="1"/>
  <c r="T66" i="64"/>
  <c r="P66" i="64"/>
  <c r="P202" i="64"/>
  <c r="T202" i="64"/>
  <c r="J255" i="58"/>
  <c r="R257" i="58"/>
  <c r="R293" i="58"/>
  <c r="S102" i="64"/>
  <c r="P38" i="64"/>
  <c r="T38" i="64"/>
  <c r="S65" i="64"/>
  <c r="J128" i="58"/>
  <c r="R129" i="58"/>
  <c r="T129" i="58" s="1"/>
  <c r="W129" i="58" s="1"/>
  <c r="T16" i="64"/>
  <c r="P16" i="64"/>
  <c r="T89" i="64"/>
  <c r="P89" i="64"/>
  <c r="Q25" i="64"/>
  <c r="T25" i="64" s="1"/>
  <c r="P26" i="64"/>
  <c r="T26" i="64"/>
  <c r="P114" i="64"/>
  <c r="T114" i="64"/>
  <c r="R164" i="58"/>
  <c r="T164" i="58" s="1"/>
  <c r="W164" i="58" s="1"/>
  <c r="U58" i="64"/>
  <c r="J138" i="58"/>
  <c r="J136" i="58" s="1"/>
  <c r="S133" i="64"/>
  <c r="S132" i="64" s="1"/>
  <c r="V274" i="58"/>
  <c r="R144" i="58"/>
  <c r="T144" i="58" s="1"/>
  <c r="W144" i="58" s="1"/>
  <c r="V117" i="58"/>
  <c r="W170" i="58"/>
  <c r="V170" i="58"/>
  <c r="Q30" i="58"/>
  <c r="U30" i="61"/>
  <c r="Q30" i="61"/>
  <c r="P30" i="61" s="1"/>
  <c r="T216" i="58"/>
  <c r="W217" i="58"/>
  <c r="V217" i="58"/>
  <c r="U31" i="61"/>
  <c r="Q31" i="61"/>
  <c r="P31" i="61" s="1"/>
  <c r="Q31" i="58"/>
  <c r="R31" i="58" s="1"/>
  <c r="T31" i="58" s="1"/>
  <c r="W31" i="58" s="1"/>
  <c r="T266" i="58"/>
  <c r="T170" i="66"/>
  <c r="AS28" i="57"/>
  <c r="V155" i="58"/>
  <c r="N268" i="58"/>
  <c r="U182" i="63"/>
  <c r="Q182" i="63"/>
  <c r="S182" i="63" s="1"/>
  <c r="X181" i="63"/>
  <c r="Y181" i="63" s="1"/>
  <c r="AB181" i="63" s="1"/>
  <c r="O176" i="62"/>
  <c r="U181" i="62"/>
  <c r="H267" i="58"/>
  <c r="Q181" i="62"/>
  <c r="V231" i="58"/>
  <c r="S128" i="66"/>
  <c r="S127" i="66" s="1"/>
  <c r="AT27" i="57" s="1"/>
  <c r="V125" i="58"/>
  <c r="O176" i="63"/>
  <c r="Q181" i="63"/>
  <c r="S181" i="63" s="1"/>
  <c r="N267" i="58"/>
  <c r="U181" i="63"/>
  <c r="H268" i="58"/>
  <c r="Q182" i="62"/>
  <c r="S182" i="62" s="1"/>
  <c r="X182" i="63"/>
  <c r="Y182" i="63" s="1"/>
  <c r="AB182" i="63" s="1"/>
  <c r="U182" i="62"/>
  <c r="W200" i="58"/>
  <c r="V200" i="58"/>
  <c r="N168" i="61"/>
  <c r="O168" i="61" s="1"/>
  <c r="O169" i="61"/>
  <c r="U170" i="61"/>
  <c r="Q170" i="61"/>
  <c r="S170" i="61" s="1"/>
  <c r="Q333" i="58"/>
  <c r="Q44" i="61"/>
  <c r="P44" i="61" s="1"/>
  <c r="U44" i="61"/>
  <c r="Q44" i="58"/>
  <c r="R44" i="58" s="1"/>
  <c r="T44" i="58" s="1"/>
  <c r="U122" i="61"/>
  <c r="Q122" i="61"/>
  <c r="P122" i="61" s="1"/>
  <c r="Q186" i="58"/>
  <c r="U78" i="61"/>
  <c r="Q78" i="61"/>
  <c r="S78" i="61" s="1"/>
  <c r="Q70" i="58"/>
  <c r="Q45" i="58"/>
  <c r="Q45" i="61"/>
  <c r="P45" i="61" s="1"/>
  <c r="U45" i="61"/>
  <c r="Q40" i="61"/>
  <c r="P40" i="61" s="1"/>
  <c r="Q40" i="58"/>
  <c r="U40" i="61"/>
  <c r="U56" i="61"/>
  <c r="Q56" i="61"/>
  <c r="P56" i="61" s="1"/>
  <c r="Q56" i="58"/>
  <c r="Q71" i="61"/>
  <c r="P71" i="61" s="1"/>
  <c r="Q63" i="58"/>
  <c r="U71" i="61"/>
  <c r="T19" i="66"/>
  <c r="P149" i="58"/>
  <c r="W281" i="58"/>
  <c r="V281" i="58"/>
  <c r="T227" i="58"/>
  <c r="Q337" i="58"/>
  <c r="Q174" i="61"/>
  <c r="P174" i="61" s="1"/>
  <c r="U174" i="61"/>
  <c r="Q173" i="61"/>
  <c r="P173" i="61" s="1"/>
  <c r="Q336" i="58"/>
  <c r="U173" i="61"/>
  <c r="U183" i="61"/>
  <c r="Q183" i="61"/>
  <c r="P183" i="61" s="1"/>
  <c r="Q346" i="58"/>
  <c r="Q184" i="58"/>
  <c r="U120" i="61"/>
  <c r="Q120" i="61"/>
  <c r="P120" i="61" s="1"/>
  <c r="Q119" i="61"/>
  <c r="S119" i="61" s="1"/>
  <c r="Q183" i="58"/>
  <c r="O118" i="61"/>
  <c r="U119" i="61"/>
  <c r="U58" i="61"/>
  <c r="Q58" i="58"/>
  <c r="Q58" i="61"/>
  <c r="P58" i="61" s="1"/>
  <c r="U62" i="61"/>
  <c r="Q62" i="61"/>
  <c r="P62" i="61" s="1"/>
  <c r="U127" i="61"/>
  <c r="Q127" i="61"/>
  <c r="P127" i="61" s="1"/>
  <c r="Q191" i="58"/>
  <c r="Q61" i="58"/>
  <c r="Q69" i="61"/>
  <c r="S69" i="61" s="1"/>
  <c r="O68" i="61"/>
  <c r="U69" i="61"/>
  <c r="U127" i="66"/>
  <c r="O126" i="66"/>
  <c r="U126" i="66" s="1"/>
  <c r="T72" i="66"/>
  <c r="Q71" i="66"/>
  <c r="T71" i="66" s="1"/>
  <c r="U186" i="61"/>
  <c r="Q349" i="58"/>
  <c r="Q186" i="61"/>
  <c r="P186" i="61" s="1"/>
  <c r="Q335" i="58"/>
  <c r="Q172" i="61"/>
  <c r="P172" i="61" s="1"/>
  <c r="U172" i="61"/>
  <c r="U146" i="61"/>
  <c r="Q309" i="58"/>
  <c r="Q146" i="61"/>
  <c r="P146" i="61" s="1"/>
  <c r="Q320" i="58"/>
  <c r="Q157" i="61"/>
  <c r="U157" i="61"/>
  <c r="Q52" i="61"/>
  <c r="P52" i="61" s="1"/>
  <c r="U52" i="61"/>
  <c r="Q52" i="58"/>
  <c r="Q193" i="58"/>
  <c r="Q129" i="61"/>
  <c r="P129" i="61" s="1"/>
  <c r="U129" i="61"/>
  <c r="U33" i="61"/>
  <c r="Q33" i="58"/>
  <c r="Q33" i="61"/>
  <c r="Q306" i="58"/>
  <c r="Q143" i="61"/>
  <c r="S143" i="61" s="1"/>
  <c r="U143" i="61"/>
  <c r="O142" i="61"/>
  <c r="Q71" i="58"/>
  <c r="R71" i="58" s="1"/>
  <c r="T71" i="58" s="1"/>
  <c r="U79" i="61"/>
  <c r="Q79" i="61"/>
  <c r="P79" i="61" s="1"/>
  <c r="U64" i="61"/>
  <c r="Q64" i="61"/>
  <c r="P64" i="61" s="1"/>
  <c r="T25" i="66"/>
  <c r="Q23" i="66"/>
  <c r="T23" i="66" s="1"/>
  <c r="U167" i="61"/>
  <c r="Q167" i="61"/>
  <c r="P167" i="61" s="1"/>
  <c r="Q330" i="58"/>
  <c r="Q109" i="61"/>
  <c r="S109" i="61" s="1"/>
  <c r="U109" i="61"/>
  <c r="O108" i="61"/>
  <c r="Q353" i="58"/>
  <c r="R353" i="58" s="1"/>
  <c r="T353" i="58" s="1"/>
  <c r="Q190" i="61"/>
  <c r="P190" i="61" s="1"/>
  <c r="Q55" i="61"/>
  <c r="P55" i="61" s="1"/>
  <c r="U55" i="61"/>
  <c r="Q55" i="58"/>
  <c r="R55" i="58" s="1"/>
  <c r="T55" i="58" s="1"/>
  <c r="Q70" i="61"/>
  <c r="P70" i="61" s="1"/>
  <c r="U70" i="61"/>
  <c r="Q62" i="58"/>
  <c r="Q47" i="58"/>
  <c r="Q47" i="61"/>
  <c r="P47" i="61" s="1"/>
  <c r="U47" i="61"/>
  <c r="U149" i="61"/>
  <c r="Q149" i="61"/>
  <c r="P149" i="61" s="1"/>
  <c r="Q312" i="58"/>
  <c r="U46" i="61"/>
  <c r="Q46" i="58"/>
  <c r="Q46" i="61"/>
  <c r="P46" i="61" s="1"/>
  <c r="U14" i="66"/>
  <c r="O12" i="66"/>
  <c r="V284" i="58"/>
  <c r="S101" i="66"/>
  <c r="U50" i="61"/>
  <c r="Q50" i="58"/>
  <c r="Q50" i="61"/>
  <c r="P50" i="61" s="1"/>
  <c r="U67" i="61"/>
  <c r="Q67" i="61"/>
  <c r="P67" i="61" s="1"/>
  <c r="Q189" i="58"/>
  <c r="Q125" i="61"/>
  <c r="P125" i="61" s="1"/>
  <c r="U125" i="61"/>
  <c r="Q190" i="58"/>
  <c r="R190" i="58" s="1"/>
  <c r="T190" i="58" s="1"/>
  <c r="W190" i="58" s="1"/>
  <c r="U126" i="61"/>
  <c r="Q126" i="61"/>
  <c r="P126" i="61" s="1"/>
  <c r="Q57" i="61"/>
  <c r="P57" i="61" s="1"/>
  <c r="Q57" i="58"/>
  <c r="U57" i="61"/>
  <c r="Q49" i="61"/>
  <c r="P49" i="61" s="1"/>
  <c r="U49" i="61"/>
  <c r="Q49" i="58"/>
  <c r="U60" i="61"/>
  <c r="Q60" i="61"/>
  <c r="S60" i="61" s="1"/>
  <c r="O59" i="61"/>
  <c r="Q59" i="58" s="1"/>
  <c r="Q72" i="58"/>
  <c r="U80" i="61"/>
  <c r="Q80" i="61"/>
  <c r="P80" i="61" s="1"/>
  <c r="U110" i="61"/>
  <c r="Q110" i="61"/>
  <c r="P110" i="61" s="1"/>
  <c r="R105" i="58"/>
  <c r="P100" i="58"/>
  <c r="O45" i="66"/>
  <c r="U45" i="66" s="1"/>
  <c r="U56" i="66"/>
  <c r="Q163" i="61"/>
  <c r="S163" i="61" s="1"/>
  <c r="U163" i="61"/>
  <c r="Q326" i="58"/>
  <c r="U187" i="61"/>
  <c r="Q187" i="61"/>
  <c r="P187" i="61" s="1"/>
  <c r="Q350" i="58"/>
  <c r="R350" i="58" s="1"/>
  <c r="T350" i="58" s="1"/>
  <c r="Q329" i="58"/>
  <c r="U166" i="61"/>
  <c r="Q166" i="61"/>
  <c r="P166" i="61" s="1"/>
  <c r="Q48" i="61"/>
  <c r="P48" i="61" s="1"/>
  <c r="U48" i="61"/>
  <c r="Q48" i="58"/>
  <c r="U131" i="61"/>
  <c r="Q195" i="58"/>
  <c r="Q131" i="61"/>
  <c r="P131" i="61" s="1"/>
  <c r="U144" i="61"/>
  <c r="Q307" i="58"/>
  <c r="Q144" i="61"/>
  <c r="P144" i="61" s="1"/>
  <c r="Q192" i="58"/>
  <c r="Q128" i="61"/>
  <c r="P128" i="61" s="1"/>
  <c r="U128" i="61"/>
  <c r="U141" i="61"/>
  <c r="Q141" i="61"/>
  <c r="S141" i="61" s="1"/>
  <c r="Q304" i="58"/>
  <c r="U43" i="61"/>
  <c r="Q43" i="58"/>
  <c r="Q43" i="61"/>
  <c r="P43" i="61" s="1"/>
  <c r="U39" i="61"/>
  <c r="Q39" i="61"/>
  <c r="S39" i="61" s="1"/>
  <c r="Q39" i="58"/>
  <c r="O38" i="61"/>
  <c r="T184" i="66"/>
  <c r="AS29" i="57"/>
  <c r="V141" i="58"/>
  <c r="T250" i="58"/>
  <c r="R245" i="58"/>
  <c r="U164" i="61"/>
  <c r="Q164" i="61"/>
  <c r="P164" i="61" s="1"/>
  <c r="Q327" i="58"/>
  <c r="Q334" i="58"/>
  <c r="R334" i="58" s="1"/>
  <c r="T334" i="58" s="1"/>
  <c r="W334" i="58" s="1"/>
  <c r="U171" i="61"/>
  <c r="Q171" i="61"/>
  <c r="P171" i="61" s="1"/>
  <c r="O181" i="61"/>
  <c r="Q345" i="58"/>
  <c r="Q182" i="61"/>
  <c r="S182" i="61" s="1"/>
  <c r="U182" i="61"/>
  <c r="U42" i="61"/>
  <c r="Q42" i="61"/>
  <c r="Q42" i="58"/>
  <c r="U147" i="61"/>
  <c r="Q310" i="58"/>
  <c r="Q147" i="61"/>
  <c r="P147" i="61" s="1"/>
  <c r="U65" i="61"/>
  <c r="Q65" i="61"/>
  <c r="P65" i="61" s="1"/>
  <c r="Q311" i="58"/>
  <c r="Q148" i="61"/>
  <c r="P148" i="61" s="1"/>
  <c r="U148" i="61"/>
  <c r="Q121" i="61"/>
  <c r="P121" i="61" s="1"/>
  <c r="U121" i="61"/>
  <c r="Q185" i="58"/>
  <c r="U63" i="61"/>
  <c r="Q63" i="61"/>
  <c r="P63" i="61" s="1"/>
  <c r="V167" i="58"/>
  <c r="T129" i="66"/>
  <c r="Q128" i="66"/>
  <c r="Q100" i="66"/>
  <c r="T100" i="66" s="1"/>
  <c r="AS22" i="57"/>
  <c r="T101" i="66"/>
  <c r="P136" i="58"/>
  <c r="T159" i="58"/>
  <c r="Q180" i="61"/>
  <c r="P180" i="61" s="1"/>
  <c r="Q343" i="58"/>
  <c r="U180" i="61"/>
  <c r="U184" i="61"/>
  <c r="Q347" i="58"/>
  <c r="R347" i="58" s="1"/>
  <c r="T347" i="58" s="1"/>
  <c r="W347" i="58" s="1"/>
  <c r="Q184" i="61"/>
  <c r="P184" i="61" s="1"/>
  <c r="Q308" i="58"/>
  <c r="Q145" i="61"/>
  <c r="P145" i="61" s="1"/>
  <c r="U145" i="61"/>
  <c r="U116" i="61"/>
  <c r="Q180" i="58"/>
  <c r="R180" i="58" s="1"/>
  <c r="T180" i="58" s="1"/>
  <c r="Q116" i="61"/>
  <c r="P116" i="61" s="1"/>
  <c r="Q124" i="61"/>
  <c r="U124" i="61"/>
  <c r="Q188" i="58"/>
  <c r="O123" i="61"/>
  <c r="U51" i="61"/>
  <c r="Q51" i="58"/>
  <c r="Q51" i="61"/>
  <c r="P51" i="61" s="1"/>
  <c r="Q66" i="61"/>
  <c r="P66" i="61" s="1"/>
  <c r="U66" i="61"/>
  <c r="V287" i="58"/>
  <c r="W287" i="58"/>
  <c r="T133" i="58"/>
  <c r="V210" i="58"/>
  <c r="AT17" i="57"/>
  <c r="BF19" i="6"/>
  <c r="V78" i="58"/>
  <c r="I43" i="4"/>
  <c r="G13" i="4"/>
  <c r="AF8" i="10"/>
  <c r="AF7" i="10" s="1"/>
  <c r="AF26" i="10" s="1"/>
  <c r="AE26" i="12" s="1"/>
  <c r="H49" i="4"/>
  <c r="H42" i="4"/>
  <c r="H43" i="4" s="1"/>
  <c r="AR4" i="5"/>
  <c r="AR61" i="5" s="1"/>
  <c r="AM62" i="5"/>
  <c r="AI8" i="10"/>
  <c r="AI7" i="10" s="1"/>
  <c r="AI26" i="10" s="1"/>
  <c r="AH26" i="12" s="1"/>
  <c r="AK8" i="10"/>
  <c r="AK7" i="10" s="1"/>
  <c r="AK26" i="10" s="1"/>
  <c r="AJ26" i="12" s="1"/>
  <c r="BC8" i="10"/>
  <c r="BC7" i="10" s="1"/>
  <c r="BC26" i="10" s="1"/>
  <c r="BB26" i="12" s="1"/>
  <c r="E41" i="4"/>
  <c r="E40" i="4" s="1"/>
  <c r="E42" i="4" s="1"/>
  <c r="E43" i="4" s="1"/>
  <c r="D42" i="3"/>
  <c r="BM16" i="11"/>
  <c r="B4" i="10"/>
  <c r="B3" i="10" s="1"/>
  <c r="F3" i="8" s="1"/>
  <c r="K27" i="4"/>
  <c r="AN8" i="10"/>
  <c r="AN7" i="10" s="1"/>
  <c r="AN26" i="10" s="1"/>
  <c r="AM26" i="12" s="1"/>
  <c r="AO62" i="5"/>
  <c r="AO4" i="5"/>
  <c r="AO61" i="5" s="1"/>
  <c r="AM8" i="10"/>
  <c r="AM7" i="10" s="1"/>
  <c r="AM26" i="10" s="1"/>
  <c r="AL26" i="12" s="1"/>
  <c r="C40" i="3"/>
  <c r="AI62" i="5"/>
  <c r="AI4" i="5"/>
  <c r="AI61" i="5" s="1"/>
  <c r="AH62" i="5"/>
  <c r="AH4" i="5"/>
  <c r="AH61" i="5" s="1"/>
  <c r="AP62" i="5"/>
  <c r="AP4" i="5"/>
  <c r="AP61" i="5" s="1"/>
  <c r="AO8" i="10"/>
  <c r="AO7" i="10" s="1"/>
  <c r="BC4" i="5"/>
  <c r="BC61" i="5" s="1"/>
  <c r="BC62" i="5"/>
  <c r="BB8" i="10"/>
  <c r="BB7" i="10" s="1"/>
  <c r="AU8" i="10"/>
  <c r="AU7" i="10" s="1"/>
  <c r="AV62" i="5"/>
  <c r="AV4" i="5"/>
  <c r="AV61" i="5" s="1"/>
  <c r="N28" i="4"/>
  <c r="AZ26" i="10"/>
  <c r="AY26" i="12" s="1"/>
  <c r="AK62" i="5"/>
  <c r="AK4" i="5"/>
  <c r="AK61" i="5" s="1"/>
  <c r="AJ8" i="10"/>
  <c r="AJ7" i="10" s="1"/>
  <c r="AJ26" i="10" s="1"/>
  <c r="AI26" i="12" s="1"/>
  <c r="AH21" i="6"/>
  <c r="AH19" i="6"/>
  <c r="W75" i="58"/>
  <c r="V75" i="58"/>
  <c r="V338" i="58"/>
  <c r="AO48" i="57"/>
  <c r="N48" i="57" s="1"/>
  <c r="AE26" i="10"/>
  <c r="BM13" i="11" l="1"/>
  <c r="N171" i="20"/>
  <c r="N172" i="20" s="1"/>
  <c r="M171" i="20"/>
  <c r="M172" i="20" s="1"/>
  <c r="AT19" i="30"/>
  <c r="M4" i="37"/>
  <c r="N88" i="48"/>
  <c r="AX26" i="43"/>
  <c r="AX25" i="43" s="1"/>
  <c r="AQ26" i="43"/>
  <c r="AQ25" i="43" s="1"/>
  <c r="L8" i="41" s="1"/>
  <c r="Q8" i="41" s="1"/>
  <c r="M88" i="46"/>
  <c r="AL19" i="30"/>
  <c r="N4" i="34"/>
  <c r="BM10" i="11"/>
  <c r="AO20" i="30"/>
  <c r="BD20" i="30" s="1"/>
  <c r="N4" i="35"/>
  <c r="O56" i="46"/>
  <c r="P56" i="46" s="1"/>
  <c r="O90" i="23"/>
  <c r="P91" i="23"/>
  <c r="BL41" i="12"/>
  <c r="BM19" i="11"/>
  <c r="K43" i="29"/>
  <c r="AG38" i="43"/>
  <c r="AG9" i="43"/>
  <c r="AG10" i="43"/>
  <c r="AG24" i="43"/>
  <c r="AG36" i="43"/>
  <c r="AD17" i="43"/>
  <c r="AD30" i="43"/>
  <c r="AG11" i="43"/>
  <c r="AD41" i="43"/>
  <c r="AD16" i="43"/>
  <c r="AD21" i="43"/>
  <c r="AG29" i="43"/>
  <c r="AD27" i="43"/>
  <c r="AD40" i="43"/>
  <c r="AD34" i="43"/>
  <c r="AG12" i="43"/>
  <c r="AG34" i="43"/>
  <c r="AD12" i="43"/>
  <c r="AG15" i="43"/>
  <c r="AD32" i="43"/>
  <c r="AG23" i="43"/>
  <c r="AD11" i="43"/>
  <c r="AG21" i="43"/>
  <c r="AD31" i="43"/>
  <c r="AD24" i="43"/>
  <c r="AG13" i="43"/>
  <c r="AG31" i="43"/>
  <c r="AD23" i="43"/>
  <c r="AG26" i="43"/>
  <c r="AD33" i="43"/>
  <c r="AG18" i="43"/>
  <c r="AG41" i="43"/>
  <c r="AD19" i="43"/>
  <c r="AG42" i="43"/>
  <c r="AG20" i="43"/>
  <c r="AD29" i="43"/>
  <c r="AG39" i="43"/>
  <c r="AD18" i="43"/>
  <c r="AG28" i="43"/>
  <c r="AD26" i="43"/>
  <c r="AG16" i="43"/>
  <c r="AD28" i="43"/>
  <c r="AD10" i="43"/>
  <c r="AD13" i="43"/>
  <c r="AG30" i="43"/>
  <c r="AG25" i="43"/>
  <c r="AD9" i="43"/>
  <c r="AD36" i="43"/>
  <c r="AD25" i="43"/>
  <c r="AD20" i="43"/>
  <c r="AG33" i="43"/>
  <c r="AD22" i="43"/>
  <c r="AG14" i="43"/>
  <c r="AD14" i="43"/>
  <c r="AD37" i="43"/>
  <c r="AG32" i="43"/>
  <c r="AD39" i="43"/>
  <c r="AG17" i="43"/>
  <c r="AG27" i="43"/>
  <c r="AD38" i="43"/>
  <c r="AD35" i="43"/>
  <c r="AD42" i="43"/>
  <c r="AG35" i="43"/>
  <c r="AG40" i="43"/>
  <c r="AG22" i="43"/>
  <c r="AG19" i="43"/>
  <c r="AD15" i="43"/>
  <c r="AG37" i="43"/>
  <c r="P11" i="37"/>
  <c r="Q11" i="37"/>
  <c r="O10" i="37"/>
  <c r="P10" i="37" s="1"/>
  <c r="AQ25" i="30"/>
  <c r="M8" i="28" s="1"/>
  <c r="O21" i="37"/>
  <c r="P152" i="36"/>
  <c r="Q152" i="36"/>
  <c r="O150" i="36"/>
  <c r="P24" i="46"/>
  <c r="O22" i="46"/>
  <c r="P22" i="46" s="1"/>
  <c r="Q24" i="46"/>
  <c r="Q153" i="46"/>
  <c r="P153" i="46"/>
  <c r="O150" i="46"/>
  <c r="C68" i="5"/>
  <c r="B37" i="3" s="1"/>
  <c r="B40" i="3" s="1"/>
  <c r="C10" i="5"/>
  <c r="C67" i="5" s="1"/>
  <c r="M5" i="38"/>
  <c r="L77" i="32"/>
  <c r="O77" i="32"/>
  <c r="P77" i="32" s="1"/>
  <c r="O125" i="46"/>
  <c r="N124" i="46"/>
  <c r="N89" i="46" s="1"/>
  <c r="P59" i="48"/>
  <c r="Q59" i="48"/>
  <c r="P58" i="50"/>
  <c r="O57" i="50"/>
  <c r="W152" i="58"/>
  <c r="V152" i="58"/>
  <c r="P112" i="25"/>
  <c r="Q112" i="25"/>
  <c r="O111" i="25"/>
  <c r="P111" i="25" s="1"/>
  <c r="AD37" i="30"/>
  <c r="AD38" i="30"/>
  <c r="AA18" i="30"/>
  <c r="AA32" i="30"/>
  <c r="AD22" i="30"/>
  <c r="AA38" i="30"/>
  <c r="AA25" i="30"/>
  <c r="AD19" i="30"/>
  <c r="AA13" i="30"/>
  <c r="AD11" i="30"/>
  <c r="AD34" i="30"/>
  <c r="AD23" i="30"/>
  <c r="AA40" i="30"/>
  <c r="AD35" i="30"/>
  <c r="AA33" i="30"/>
  <c r="AA19" i="30"/>
  <c r="AD26" i="30"/>
  <c r="AD24" i="30"/>
  <c r="AD9" i="30"/>
  <c r="AD14" i="30"/>
  <c r="AA42" i="30"/>
  <c r="AA41" i="30"/>
  <c r="AA39" i="30"/>
  <c r="AA12" i="30"/>
  <c r="AD15" i="30"/>
  <c r="AA30" i="30"/>
  <c r="AA29" i="30"/>
  <c r="AD40" i="30"/>
  <c r="AA10" i="30"/>
  <c r="AA28" i="30"/>
  <c r="AA34" i="30"/>
  <c r="AA16" i="30"/>
  <c r="AD29" i="30"/>
  <c r="AD27" i="30"/>
  <c r="AD16" i="30"/>
  <c r="AA22" i="30"/>
  <c r="AD13" i="30"/>
  <c r="AA26" i="30"/>
  <c r="AA17" i="30"/>
  <c r="AA36" i="30"/>
  <c r="AD17" i="30"/>
  <c r="AD42" i="30"/>
  <c r="AD25" i="30"/>
  <c r="AA31" i="30"/>
  <c r="AD33" i="30"/>
  <c r="AA20" i="30"/>
  <c r="AD39" i="30"/>
  <c r="AD18" i="30"/>
  <c r="AA15" i="30"/>
  <c r="AA23" i="30"/>
  <c r="AA9" i="30"/>
  <c r="AD41" i="30"/>
  <c r="AA37" i="30"/>
  <c r="AA24" i="30"/>
  <c r="AD30" i="30"/>
  <c r="AD28" i="30"/>
  <c r="AD21" i="30"/>
  <c r="AA11" i="30"/>
  <c r="AA35" i="30"/>
  <c r="AA21" i="30"/>
  <c r="AD12" i="30"/>
  <c r="AA27" i="30"/>
  <c r="AD20" i="30"/>
  <c r="AA14" i="30"/>
  <c r="AD31" i="30"/>
  <c r="AD32" i="30"/>
  <c r="AD36" i="30"/>
  <c r="AD10" i="30"/>
  <c r="U12" i="67"/>
  <c r="N12" i="67"/>
  <c r="BP4" i="6"/>
  <c r="BQ4" i="6"/>
  <c r="W280" i="58"/>
  <c r="V280" i="58"/>
  <c r="Q99" i="47"/>
  <c r="P99" i="47"/>
  <c r="P75" i="36"/>
  <c r="Q75" i="36"/>
  <c r="O70" i="36"/>
  <c r="O94" i="23"/>
  <c r="P94" i="23" s="1"/>
  <c r="P95" i="23"/>
  <c r="J81" i="54"/>
  <c r="P162" i="20"/>
  <c r="P99" i="46"/>
  <c r="Q99" i="46"/>
  <c r="P8" i="34"/>
  <c r="O6" i="34"/>
  <c r="P6" i="34" s="1"/>
  <c r="M4" i="48"/>
  <c r="AW20" i="43"/>
  <c r="BI20" i="43" s="1"/>
  <c r="M4" i="39"/>
  <c r="M171" i="39" s="1"/>
  <c r="M172" i="39" s="1"/>
  <c r="S45" i="65"/>
  <c r="AW18" i="57" s="1"/>
  <c r="V18" i="57" s="1"/>
  <c r="BG21" i="6"/>
  <c r="O161" i="20"/>
  <c r="P161" i="20" s="1"/>
  <c r="M88" i="36"/>
  <c r="N171" i="36" s="1"/>
  <c r="N172" i="36" s="1"/>
  <c r="J34" i="54"/>
  <c r="O13" i="23"/>
  <c r="P13" i="23" s="1"/>
  <c r="P14" i="23"/>
  <c r="O9" i="20"/>
  <c r="P10" i="20"/>
  <c r="C11" i="28"/>
  <c r="C13" i="28" s="1"/>
  <c r="C15" i="28" s="1"/>
  <c r="O48" i="37"/>
  <c r="BL43" i="12"/>
  <c r="BM25" i="11"/>
  <c r="J82" i="54"/>
  <c r="O102" i="23"/>
  <c r="P102" i="23" s="1"/>
  <c r="P103" i="23"/>
  <c r="O74" i="37"/>
  <c r="W145" i="58"/>
  <c r="V145" i="58"/>
  <c r="Q46" i="36"/>
  <c r="P46" i="36"/>
  <c r="O44" i="36"/>
  <c r="Q163" i="36"/>
  <c r="P163" i="36"/>
  <c r="O161" i="36"/>
  <c r="P58" i="48"/>
  <c r="O57" i="48"/>
  <c r="Q58" i="48"/>
  <c r="P8" i="46"/>
  <c r="Q8" i="46"/>
  <c r="O91" i="46"/>
  <c r="P91" i="46" s="1"/>
  <c r="P93" i="46"/>
  <c r="Q93" i="46"/>
  <c r="AE34" i="43"/>
  <c r="AE26" i="43"/>
  <c r="AE35" i="43"/>
  <c r="AH15" i="43"/>
  <c r="AH26" i="43"/>
  <c r="AE14" i="43"/>
  <c r="AE22" i="43"/>
  <c r="AE28" i="43"/>
  <c r="AE39" i="43"/>
  <c r="AH30" i="43"/>
  <c r="AE19" i="43"/>
  <c r="AE15" i="43"/>
  <c r="AH23" i="43"/>
  <c r="AE33" i="43"/>
  <c r="AE10" i="43"/>
  <c r="AH27" i="43"/>
  <c r="AE29" i="43"/>
  <c r="AE32" i="43"/>
  <c r="AE30" i="43"/>
  <c r="AE23" i="43"/>
  <c r="AH33" i="43"/>
  <c r="AE31" i="43"/>
  <c r="AH34" i="43"/>
  <c r="AE38" i="43"/>
  <c r="AE42" i="43"/>
  <c r="AH10" i="43"/>
  <c r="AE37" i="43"/>
  <c r="AE16" i="43"/>
  <c r="AH19" i="43"/>
  <c r="AH12" i="43"/>
  <c r="AH14" i="43"/>
  <c r="AE40" i="43"/>
  <c r="AH42" i="43"/>
  <c r="AE11" i="43"/>
  <c r="AH25" i="43"/>
  <c r="AE36" i="43"/>
  <c r="AH37" i="43"/>
  <c r="AH36" i="43"/>
  <c r="AH24" i="43"/>
  <c r="AH16" i="43"/>
  <c r="AE25" i="43"/>
  <c r="AE18" i="43"/>
  <c r="AE20" i="43"/>
  <c r="AH18" i="43"/>
  <c r="AH22" i="43"/>
  <c r="AE24" i="43"/>
  <c r="AH13" i="43"/>
  <c r="AH39" i="43"/>
  <c r="AE27" i="43"/>
  <c r="AH40" i="43"/>
  <c r="AH20" i="43"/>
  <c r="AH21" i="43"/>
  <c r="AE12" i="43"/>
  <c r="AH17" i="43"/>
  <c r="AH29" i="43"/>
  <c r="AE21" i="43"/>
  <c r="AH35" i="43"/>
  <c r="AH31" i="43"/>
  <c r="AE9" i="43"/>
  <c r="AE17" i="43"/>
  <c r="AH41" i="43"/>
  <c r="AH11" i="43"/>
  <c r="AE41" i="43"/>
  <c r="AH38" i="43"/>
  <c r="AE13" i="43"/>
  <c r="AH32" i="43"/>
  <c r="AH9" i="43"/>
  <c r="AH28" i="43"/>
  <c r="O90" i="47"/>
  <c r="P20" i="20"/>
  <c r="Q20" i="20"/>
  <c r="O19" i="20"/>
  <c r="P19" i="20" s="1"/>
  <c r="G11" i="41"/>
  <c r="G13" i="41" s="1"/>
  <c r="G15" i="41" s="1"/>
  <c r="Q30" i="47"/>
  <c r="P30" i="47"/>
  <c r="O27" i="47"/>
  <c r="P14" i="27"/>
  <c r="O13" i="27"/>
  <c r="P13" i="27" s="1"/>
  <c r="N57" i="48"/>
  <c r="N56" i="48" s="1"/>
  <c r="N36" i="48" s="1"/>
  <c r="M190" i="32"/>
  <c r="N206" i="32"/>
  <c r="N190" i="32" s="1"/>
  <c r="Q206" i="32"/>
  <c r="O27" i="38"/>
  <c r="O119" i="39"/>
  <c r="BM8" i="11"/>
  <c r="BL8" i="12" s="1"/>
  <c r="BL7" i="12" s="1"/>
  <c r="O6" i="47"/>
  <c r="P6" i="47" s="1"/>
  <c r="P7" i="47"/>
  <c r="F51" i="30"/>
  <c r="F52" i="30"/>
  <c r="F53" i="30" s="1"/>
  <c r="Z48" i="30"/>
  <c r="AE25" i="30"/>
  <c r="AB11" i="30"/>
  <c r="AB35" i="30"/>
  <c r="AB22" i="30"/>
  <c r="AB21" i="30"/>
  <c r="AE20" i="30"/>
  <c r="AE40" i="30"/>
  <c r="AE38" i="30"/>
  <c r="AB9" i="30"/>
  <c r="AB16" i="30"/>
  <c r="AB15" i="30"/>
  <c r="AB14" i="30"/>
  <c r="AE13" i="30"/>
  <c r="AE12" i="30"/>
  <c r="AE11" i="30"/>
  <c r="AB34" i="30"/>
  <c r="AB17" i="30"/>
  <c r="AE32" i="30"/>
  <c r="AE31" i="30"/>
  <c r="AB40" i="30"/>
  <c r="AB38" i="30"/>
  <c r="AB25" i="30"/>
  <c r="AB20" i="30"/>
  <c r="AE36" i="30"/>
  <c r="AB19" i="30"/>
  <c r="AE18" i="30"/>
  <c r="AE16" i="30"/>
  <c r="AE9" i="30"/>
  <c r="AE35" i="30"/>
  <c r="AB18" i="30"/>
  <c r="AB33" i="30"/>
  <c r="AE17" i="30"/>
  <c r="AE10" i="30"/>
  <c r="AB31" i="30"/>
  <c r="AE30" i="30"/>
  <c r="AB41" i="30"/>
  <c r="AB37" i="30"/>
  <c r="AE24" i="30"/>
  <c r="AB12" i="30"/>
  <c r="AB13" i="30"/>
  <c r="AE29" i="30"/>
  <c r="AB29" i="30"/>
  <c r="AB32" i="30"/>
  <c r="AE19" i="30"/>
  <c r="AE42" i="30"/>
  <c r="AB28" i="30"/>
  <c r="AB26" i="30"/>
  <c r="AE34" i="30"/>
  <c r="AE27" i="30"/>
  <c r="AE33" i="30"/>
  <c r="AE14" i="30"/>
  <c r="AE41" i="30"/>
  <c r="AE39" i="30"/>
  <c r="AB36" i="30"/>
  <c r="AE28" i="30"/>
  <c r="AB39" i="30"/>
  <c r="AB27" i="30"/>
  <c r="AE37" i="30"/>
  <c r="AE22" i="30"/>
  <c r="AE21" i="30"/>
  <c r="AB10" i="30"/>
  <c r="AE23" i="30"/>
  <c r="AE26" i="30"/>
  <c r="AB42" i="30"/>
  <c r="AB30" i="30"/>
  <c r="AB23" i="30"/>
  <c r="AB24" i="30"/>
  <c r="AE15" i="30"/>
  <c r="AW26" i="43"/>
  <c r="AW25" i="43" s="1"/>
  <c r="N8" i="41" s="1"/>
  <c r="M88" i="48"/>
  <c r="N171" i="48" s="1"/>
  <c r="N172" i="48" s="1"/>
  <c r="AQ19" i="43"/>
  <c r="BI19" i="43" s="1"/>
  <c r="M4" i="46"/>
  <c r="J9" i="54"/>
  <c r="J108" i="54" s="1"/>
  <c r="P45" i="23"/>
  <c r="O44" i="23"/>
  <c r="P44" i="23" s="1"/>
  <c r="J95" i="54"/>
  <c r="O66" i="23"/>
  <c r="P66" i="23" s="1"/>
  <c r="P67" i="23"/>
  <c r="P95" i="37"/>
  <c r="O94" i="37"/>
  <c r="Q95" i="37"/>
  <c r="N6" i="38"/>
  <c r="N5" i="38" s="1"/>
  <c r="O37" i="23"/>
  <c r="P38" i="23"/>
  <c r="U127" i="65"/>
  <c r="P119" i="37"/>
  <c r="O117" i="37"/>
  <c r="P117" i="37" s="1"/>
  <c r="P7" i="38"/>
  <c r="O6" i="38"/>
  <c r="P6" i="38" s="1"/>
  <c r="AU19" i="43"/>
  <c r="N4" i="47"/>
  <c r="Q143" i="48"/>
  <c r="O141" i="48"/>
  <c r="P141" i="48" s="1"/>
  <c r="P143" i="48"/>
  <c r="P118" i="48"/>
  <c r="O117" i="48"/>
  <c r="P117" i="48" s="1"/>
  <c r="Q118" i="48"/>
  <c r="O47" i="23"/>
  <c r="P47" i="23" s="1"/>
  <c r="P48" i="23"/>
  <c r="N9" i="37"/>
  <c r="N5" i="37" s="1"/>
  <c r="V112" i="58"/>
  <c r="P17" i="60"/>
  <c r="J15" i="60"/>
  <c r="P16" i="60"/>
  <c r="N31" i="7"/>
  <c r="P119" i="27"/>
  <c r="O117" i="27"/>
  <c r="P117" i="27" s="1"/>
  <c r="N106" i="45"/>
  <c r="G5" i="11"/>
  <c r="O99" i="20"/>
  <c r="P100" i="20"/>
  <c r="Q100" i="20"/>
  <c r="S184" i="64"/>
  <c r="AK29" i="57" s="1"/>
  <c r="J29" i="57" s="1"/>
  <c r="S51" i="62"/>
  <c r="O29" i="32"/>
  <c r="P47" i="48"/>
  <c r="O37" i="48"/>
  <c r="P37" i="48" s="1"/>
  <c r="O7" i="44"/>
  <c r="P151" i="39"/>
  <c r="O150" i="39"/>
  <c r="S128" i="68"/>
  <c r="S127" i="68" s="1"/>
  <c r="P154" i="27"/>
  <c r="O150" i="27"/>
  <c r="P64" i="23"/>
  <c r="J75" i="54"/>
  <c r="O63" i="23"/>
  <c r="P63" i="23" s="1"/>
  <c r="S126" i="65"/>
  <c r="P130" i="39"/>
  <c r="P7" i="12"/>
  <c r="S51" i="63"/>
  <c r="S17" i="63" s="1"/>
  <c r="N29" i="32"/>
  <c r="N18" i="32" s="1"/>
  <c r="BD12" i="30" s="1"/>
  <c r="AR12" i="30" s="1"/>
  <c r="P153" i="40"/>
  <c r="O150" i="40"/>
  <c r="O222" i="58"/>
  <c r="BC20" i="30"/>
  <c r="O71" i="25"/>
  <c r="P137" i="39"/>
  <c r="O134" i="39"/>
  <c r="P134" i="39" s="1"/>
  <c r="O56" i="25"/>
  <c r="P56" i="25" s="1"/>
  <c r="P57" i="25"/>
  <c r="AN22" i="57"/>
  <c r="AL22" i="57" s="1"/>
  <c r="K22" i="57" s="1"/>
  <c r="S106" i="63"/>
  <c r="O130" i="36"/>
  <c r="P130" i="36" s="1"/>
  <c r="P131" i="36"/>
  <c r="Q131" i="36"/>
  <c r="W154" i="58"/>
  <c r="V154" i="58"/>
  <c r="BN47" i="57"/>
  <c r="R153" i="58"/>
  <c r="AU48" i="57"/>
  <c r="T48" i="57" s="1"/>
  <c r="AI48" i="57"/>
  <c r="AU47" i="57"/>
  <c r="T47" i="57" s="1"/>
  <c r="W218" i="58"/>
  <c r="R216" i="58"/>
  <c r="AR48" i="57"/>
  <c r="Q48" i="57" s="1"/>
  <c r="AR47" i="57"/>
  <c r="Q47" i="57" s="1"/>
  <c r="AN44" i="57"/>
  <c r="M44" i="57" s="1"/>
  <c r="AC47" i="57"/>
  <c r="Z47" i="57"/>
  <c r="C77" i="5"/>
  <c r="E37" i="3" s="1"/>
  <c r="C8" i="5"/>
  <c r="BG65" i="5"/>
  <c r="BG7" i="5"/>
  <c r="BG64" i="5" s="1"/>
  <c r="BG5" i="5"/>
  <c r="J9" i="4"/>
  <c r="L39" i="4"/>
  <c r="D25" i="9"/>
  <c r="E46" i="9"/>
  <c r="E48" i="9" s="1"/>
  <c r="E52" i="9" s="1"/>
  <c r="D67" i="9"/>
  <c r="F25" i="9"/>
  <c r="F67" i="9"/>
  <c r="F46" i="9"/>
  <c r="E67" i="9"/>
  <c r="E69" i="9" s="1"/>
  <c r="E73" i="9" s="1"/>
  <c r="E25" i="9"/>
  <c r="E27" i="9" s="1"/>
  <c r="E31" i="9" s="1"/>
  <c r="D46" i="9"/>
  <c r="BE26" i="10"/>
  <c r="BD26" i="12" s="1"/>
  <c r="BH4" i="6"/>
  <c r="S27" i="4"/>
  <c r="D19" i="4" s="1"/>
  <c r="AY21" i="6"/>
  <c r="AY19" i="6"/>
  <c r="BC4" i="6"/>
  <c r="BC8" i="6" s="1"/>
  <c r="BC4" i="7" s="1"/>
  <c r="BB4" i="6"/>
  <c r="BB8" i="6" s="1"/>
  <c r="BB4" i="7" s="1"/>
  <c r="BM3" i="11"/>
  <c r="C19" i="11"/>
  <c r="N75" i="32"/>
  <c r="N73" i="32" s="1"/>
  <c r="AJ8" i="6"/>
  <c r="AJ4" i="7" s="1"/>
  <c r="N97" i="58"/>
  <c r="P96" i="39"/>
  <c r="O94" i="39"/>
  <c r="P94" i="39" s="1"/>
  <c r="AL31" i="43"/>
  <c r="AL30" i="43" s="1"/>
  <c r="BA31" i="43"/>
  <c r="BA30" i="43" s="1"/>
  <c r="AX31" i="43"/>
  <c r="AX30" i="43" s="1"/>
  <c r="AO31" i="43"/>
  <c r="AO30" i="43" s="1"/>
  <c r="AU31" i="43"/>
  <c r="AU30" i="43" s="1"/>
  <c r="AR31" i="43"/>
  <c r="AR30" i="43" s="1"/>
  <c r="BJ30" i="43"/>
  <c r="AS22" i="30"/>
  <c r="AJ22" i="30"/>
  <c r="AM22" i="30"/>
  <c r="AG22" i="30"/>
  <c r="AP22" i="30"/>
  <c r="AY22" i="30"/>
  <c r="P97" i="32"/>
  <c r="BB16" i="30"/>
  <c r="N171" i="47"/>
  <c r="N172" i="47" s="1"/>
  <c r="M171" i="47"/>
  <c r="M172" i="47" s="1"/>
  <c r="O6" i="32"/>
  <c r="P6" i="32" s="1"/>
  <c r="P9" i="32"/>
  <c r="O17" i="32"/>
  <c r="O4" i="31"/>
  <c r="O14" i="31" s="1"/>
  <c r="Q5" i="11"/>
  <c r="P11" i="25"/>
  <c r="Q11" i="25"/>
  <c r="O10" i="25"/>
  <c r="AG38" i="30"/>
  <c r="AP38" i="30"/>
  <c r="AM38" i="30"/>
  <c r="AS38" i="30"/>
  <c r="AJ38" i="30"/>
  <c r="AY38" i="30"/>
  <c r="P136" i="51"/>
  <c r="O134" i="51"/>
  <c r="BD21" i="30"/>
  <c r="N106" i="32"/>
  <c r="BK26" i="10"/>
  <c r="BJ26" i="12" s="1"/>
  <c r="Q28" i="4"/>
  <c r="P63" i="40"/>
  <c r="O56" i="40"/>
  <c r="P56" i="40" s="1"/>
  <c r="P104" i="46"/>
  <c r="Q104" i="46"/>
  <c r="O102" i="46"/>
  <c r="O37" i="20"/>
  <c r="P37" i="20" s="1"/>
  <c r="P208" i="45"/>
  <c r="O207" i="45"/>
  <c r="AN16" i="43"/>
  <c r="AQ16" i="43"/>
  <c r="AK16" i="43"/>
  <c r="AW16" i="43"/>
  <c r="AZ16" i="43"/>
  <c r="AT16" i="43"/>
  <c r="O4" i="25"/>
  <c r="P5" i="25"/>
  <c r="BO4" i="6"/>
  <c r="BN4" i="6"/>
  <c r="BI12" i="43"/>
  <c r="Q18" i="45"/>
  <c r="E32" i="4"/>
  <c r="E33" i="4"/>
  <c r="E25" i="4"/>
  <c r="P149" i="47"/>
  <c r="AS28" i="43"/>
  <c r="T49" i="67"/>
  <c r="Q46" i="67"/>
  <c r="T46" i="67" s="1"/>
  <c r="N171" i="39"/>
  <c r="N172" i="39" s="1"/>
  <c r="S7" i="12"/>
  <c r="O37" i="34"/>
  <c r="O9" i="36"/>
  <c r="AY32" i="43"/>
  <c r="AM32" i="43"/>
  <c r="AS32" i="43"/>
  <c r="AJ32" i="43"/>
  <c r="AP32" i="43"/>
  <c r="AV32" i="43"/>
  <c r="O99" i="25"/>
  <c r="Q100" i="25"/>
  <c r="P100" i="25"/>
  <c r="P228" i="32"/>
  <c r="BB40" i="30"/>
  <c r="AM40" i="43"/>
  <c r="AS40" i="43"/>
  <c r="AP40" i="43"/>
  <c r="AY40" i="43"/>
  <c r="AV40" i="43"/>
  <c r="AJ40" i="43"/>
  <c r="AN21" i="30"/>
  <c r="AN18" i="30" s="1"/>
  <c r="L7" i="28" s="1"/>
  <c r="AT21" i="30"/>
  <c r="AT18" i="30" s="1"/>
  <c r="N7" i="28" s="1"/>
  <c r="AH21" i="30"/>
  <c r="AH18" i="30" s="1"/>
  <c r="J7" i="28" s="1"/>
  <c r="AK21" i="30"/>
  <c r="AK18" i="30" s="1"/>
  <c r="K7" i="28" s="1"/>
  <c r="AQ21" i="30"/>
  <c r="AQ18" i="30" s="1"/>
  <c r="M7" i="28" s="1"/>
  <c r="AZ21" i="30"/>
  <c r="AZ18" i="30" s="1"/>
  <c r="P7" i="28" s="1"/>
  <c r="P162" i="51"/>
  <c r="O161" i="51"/>
  <c r="P161" i="51" s="1"/>
  <c r="N88" i="51"/>
  <c r="N76" i="45" s="1"/>
  <c r="N75" i="45" s="1"/>
  <c r="N73" i="45" s="1"/>
  <c r="O70" i="25"/>
  <c r="P71" i="25"/>
  <c r="Q71" i="25"/>
  <c r="P57" i="27"/>
  <c r="O56" i="27"/>
  <c r="P56" i="27" s="1"/>
  <c r="P66" i="33"/>
  <c r="Q66" i="33"/>
  <c r="O56" i="33"/>
  <c r="P56" i="33" s="1"/>
  <c r="P97" i="45"/>
  <c r="S97" i="45"/>
  <c r="BH16" i="43"/>
  <c r="BM16" i="43"/>
  <c r="AL47" i="57"/>
  <c r="K47" i="57" s="1"/>
  <c r="BN32" i="43"/>
  <c r="P47" i="57"/>
  <c r="AO47" i="57"/>
  <c r="N47" i="57" s="1"/>
  <c r="AK37" i="43"/>
  <c r="AQ37" i="43"/>
  <c r="AT37" i="43"/>
  <c r="AN37" i="43"/>
  <c r="AZ37" i="43"/>
  <c r="AW37" i="43"/>
  <c r="J50" i="31"/>
  <c r="AT10" i="30" s="1"/>
  <c r="J46" i="31"/>
  <c r="J48" i="31"/>
  <c r="AN10" i="30" s="1"/>
  <c r="J51" i="31"/>
  <c r="AZ10" i="30" s="1"/>
  <c r="J49" i="31"/>
  <c r="AQ10" i="30" s="1"/>
  <c r="J47" i="31"/>
  <c r="AK10" i="30" s="1"/>
  <c r="O15" i="31"/>
  <c r="O10" i="45"/>
  <c r="P10" i="45" s="1"/>
  <c r="N171" i="40"/>
  <c r="N172" i="40" s="1"/>
  <c r="M76" i="32"/>
  <c r="L76" i="32" s="1"/>
  <c r="M171" i="40"/>
  <c r="M172" i="40" s="1"/>
  <c r="P119" i="46"/>
  <c r="O117" i="46"/>
  <c r="P117" i="46" s="1"/>
  <c r="L64" i="13"/>
  <c r="S64" i="13"/>
  <c r="AK64" i="13"/>
  <c r="AP64" i="13"/>
  <c r="AJ64" i="13"/>
  <c r="N64" i="13"/>
  <c r="H64" i="13"/>
  <c r="J64" i="13"/>
  <c r="AO64" i="13"/>
  <c r="U64" i="13"/>
  <c r="AA64" i="13"/>
  <c r="AL64" i="13"/>
  <c r="Y64" i="13"/>
  <c r="AD64" i="13"/>
  <c r="AY64" i="13"/>
  <c r="BA64" i="13"/>
  <c r="AW64" i="13"/>
  <c r="BF64" i="13"/>
  <c r="F64" i="13"/>
  <c r="M64" i="13"/>
  <c r="AC64" i="13"/>
  <c r="X64" i="13"/>
  <c r="BJ64" i="13"/>
  <c r="BK64" i="13"/>
  <c r="AI64" i="13"/>
  <c r="G64" i="13"/>
  <c r="BG64" i="13"/>
  <c r="BI64" i="13"/>
  <c r="BM64" i="13"/>
  <c r="AB64" i="13"/>
  <c r="P64" i="13"/>
  <c r="I64" i="13"/>
  <c r="AR64" i="13"/>
  <c r="AX64" i="13"/>
  <c r="Q64" i="13"/>
  <c r="BO64" i="13"/>
  <c r="BQ64" i="13"/>
  <c r="BN64" i="13"/>
  <c r="AN64" i="13"/>
  <c r="W64" i="13"/>
  <c r="AH64" i="13"/>
  <c r="K64" i="13"/>
  <c r="V64" i="13"/>
  <c r="AZ64" i="13"/>
  <c r="AT64" i="13"/>
  <c r="AU64" i="13"/>
  <c r="AE64" i="13"/>
  <c r="E64" i="13"/>
  <c r="O64" i="13"/>
  <c r="BH64" i="13"/>
  <c r="BB64" i="13"/>
  <c r="BC64" i="13"/>
  <c r="T64" i="13"/>
  <c r="AM64" i="13"/>
  <c r="D64" i="13"/>
  <c r="AV64" i="13"/>
  <c r="AS64" i="13"/>
  <c r="BL64" i="13"/>
  <c r="BE64" i="13"/>
  <c r="C64" i="13"/>
  <c r="AF64" i="13"/>
  <c r="Z64" i="13"/>
  <c r="AQ64" i="13"/>
  <c r="BP64" i="13"/>
  <c r="R64" i="13"/>
  <c r="BD64" i="13"/>
  <c r="AG64" i="13"/>
  <c r="BI26" i="43"/>
  <c r="BI25" i="43" s="1"/>
  <c r="B72" i="13" s="1"/>
  <c r="P115" i="45"/>
  <c r="O107" i="45"/>
  <c r="P131" i="34"/>
  <c r="O130" i="34"/>
  <c r="P130" i="34" s="1"/>
  <c r="AR16" i="43"/>
  <c r="AU16" i="43"/>
  <c r="BA16" i="43"/>
  <c r="AX16" i="43"/>
  <c r="AO16" i="43"/>
  <c r="AL16" i="43"/>
  <c r="P150" i="35"/>
  <c r="O149" i="35"/>
  <c r="P161" i="34"/>
  <c r="AJ29" i="30"/>
  <c r="P154" i="32"/>
  <c r="O150" i="32"/>
  <c r="N174" i="45"/>
  <c r="BJ37" i="43"/>
  <c r="P142" i="40"/>
  <c r="O141" i="40"/>
  <c r="P141" i="40" s="1"/>
  <c r="H28" i="4"/>
  <c r="O36" i="40"/>
  <c r="P36" i="40" s="1"/>
  <c r="P37" i="40"/>
  <c r="BO26" i="10"/>
  <c r="BN26" i="12" s="1"/>
  <c r="R28" i="4"/>
  <c r="P108" i="32"/>
  <c r="O107" i="32"/>
  <c r="V238" i="58"/>
  <c r="E73" i="13"/>
  <c r="AK73" i="13"/>
  <c r="C73" i="13"/>
  <c r="AC73" i="13"/>
  <c r="AF73" i="13"/>
  <c r="L73" i="13"/>
  <c r="U73" i="13"/>
  <c r="K73" i="13"/>
  <c r="G73" i="13"/>
  <c r="T73" i="13"/>
  <c r="Y73" i="13"/>
  <c r="M73" i="13"/>
  <c r="D73" i="13"/>
  <c r="AI73" i="13"/>
  <c r="AR73" i="13"/>
  <c r="AP73" i="13"/>
  <c r="O73" i="13"/>
  <c r="P73" i="13"/>
  <c r="AJ73" i="13"/>
  <c r="Q73" i="13"/>
  <c r="AN73" i="13"/>
  <c r="AO73" i="13"/>
  <c r="AG73" i="13"/>
  <c r="AD73" i="13"/>
  <c r="AA73" i="13"/>
  <c r="H73" i="13"/>
  <c r="J73" i="13"/>
  <c r="AE73" i="13"/>
  <c r="X73" i="13"/>
  <c r="I73" i="13"/>
  <c r="Z73" i="13"/>
  <c r="AH73" i="13"/>
  <c r="S73" i="13"/>
  <c r="R73" i="13"/>
  <c r="AL73" i="13"/>
  <c r="AB73" i="13"/>
  <c r="W73" i="13"/>
  <c r="N73" i="13"/>
  <c r="F73" i="13"/>
  <c r="AQ73" i="13"/>
  <c r="AM73" i="13"/>
  <c r="V73" i="13"/>
  <c r="BD73" i="13"/>
  <c r="BP73" i="13"/>
  <c r="BH73" i="13"/>
  <c r="AX73" i="13"/>
  <c r="BL73" i="13"/>
  <c r="AS73" i="13"/>
  <c r="BI73" i="13"/>
  <c r="AW73" i="13"/>
  <c r="BQ73" i="13"/>
  <c r="BB73" i="13"/>
  <c r="BK73" i="13"/>
  <c r="BA73" i="13"/>
  <c r="AU73" i="13"/>
  <c r="BE73" i="13"/>
  <c r="AT73" i="13"/>
  <c r="BJ73" i="13"/>
  <c r="BC73" i="13"/>
  <c r="BM73" i="13"/>
  <c r="AY73" i="13"/>
  <c r="BO73" i="13"/>
  <c r="AV73" i="13"/>
  <c r="BN73" i="13"/>
  <c r="AZ73" i="13"/>
  <c r="BG73" i="13"/>
  <c r="BF73" i="13"/>
  <c r="P73" i="39"/>
  <c r="O70" i="39"/>
  <c r="O6" i="27"/>
  <c r="P7" i="27"/>
  <c r="P119" i="34"/>
  <c r="O117" i="34"/>
  <c r="P117" i="34" s="1"/>
  <c r="P190" i="45"/>
  <c r="BH37" i="43"/>
  <c r="P150" i="24"/>
  <c r="O149" i="24"/>
  <c r="P149" i="24" s="1"/>
  <c r="P53" i="25"/>
  <c r="Q53" i="25"/>
  <c r="AI4" i="7"/>
  <c r="S77" i="68"/>
  <c r="S45" i="68" s="1"/>
  <c r="BS4" i="6"/>
  <c r="BR4" i="6"/>
  <c r="AE4" i="6"/>
  <c r="AD4" i="6"/>
  <c r="Y66" i="13"/>
  <c r="AF66" i="13"/>
  <c r="AE66" i="13"/>
  <c r="U66" i="13"/>
  <c r="J66" i="13"/>
  <c r="AI66" i="13"/>
  <c r="O66" i="13"/>
  <c r="AN66" i="13"/>
  <c r="Z66" i="13"/>
  <c r="AQ66" i="13"/>
  <c r="BL66" i="13"/>
  <c r="BH66" i="13"/>
  <c r="BA66" i="13"/>
  <c r="S66" i="13"/>
  <c r="V66" i="13"/>
  <c r="Q66" i="13"/>
  <c r="AM66" i="13"/>
  <c r="BG66" i="13"/>
  <c r="BD66" i="13"/>
  <c r="AD66" i="13"/>
  <c r="X66" i="13"/>
  <c r="AX66" i="13"/>
  <c r="BP66" i="13"/>
  <c r="BI66" i="13"/>
  <c r="AB66" i="13"/>
  <c r="H66" i="13"/>
  <c r="C66" i="13"/>
  <c r="AO66" i="13"/>
  <c r="BO66" i="13"/>
  <c r="AL66" i="13"/>
  <c r="BF66" i="13"/>
  <c r="AT66" i="13"/>
  <c r="BQ66" i="13"/>
  <c r="AC66" i="13"/>
  <c r="L66" i="13"/>
  <c r="AP66" i="13"/>
  <c r="D66" i="13"/>
  <c r="AW66" i="13"/>
  <c r="BK66" i="13"/>
  <c r="AR66" i="13"/>
  <c r="AJ66" i="13"/>
  <c r="M66" i="13"/>
  <c r="BN66" i="13"/>
  <c r="BJ66" i="13"/>
  <c r="BB66" i="13"/>
  <c r="AG66" i="13"/>
  <c r="W66" i="13"/>
  <c r="AA66" i="13"/>
  <c r="R66" i="13"/>
  <c r="AY66" i="13"/>
  <c r="AU66" i="13"/>
  <c r="BC66" i="13"/>
  <c r="T66" i="13"/>
  <c r="AH66" i="13"/>
  <c r="F66" i="13"/>
  <c r="G66" i="13"/>
  <c r="AV66" i="13"/>
  <c r="BM66" i="13"/>
  <c r="AZ66" i="13"/>
  <c r="AS66" i="13"/>
  <c r="E66" i="13"/>
  <c r="K66" i="13"/>
  <c r="AK66" i="13"/>
  <c r="I66" i="13"/>
  <c r="BE66" i="13"/>
  <c r="N66" i="13"/>
  <c r="P66" i="13"/>
  <c r="Q9" i="41"/>
  <c r="F33" i="4"/>
  <c r="F25" i="4"/>
  <c r="H25" i="4" s="1"/>
  <c r="F32" i="4"/>
  <c r="P10" i="46"/>
  <c r="O9" i="46"/>
  <c r="O10" i="23"/>
  <c r="J35" i="54"/>
  <c r="P11" i="23"/>
  <c r="M9" i="45"/>
  <c r="N6" i="44"/>
  <c r="O6" i="44" s="1"/>
  <c r="M4" i="44"/>
  <c r="M14" i="44" s="1"/>
  <c r="M17" i="45"/>
  <c r="BI11" i="43" s="1"/>
  <c r="AZ12" i="30"/>
  <c r="AT12" i="30"/>
  <c r="AT9" i="30" s="1"/>
  <c r="AN12" i="30"/>
  <c r="AN9" i="30" s="1"/>
  <c r="AQ12" i="30"/>
  <c r="AK12" i="30"/>
  <c r="AK9" i="30" s="1"/>
  <c r="K5" i="28" s="1"/>
  <c r="AH12" i="30"/>
  <c r="U46" i="67"/>
  <c r="O45" i="67"/>
  <c r="P91" i="24"/>
  <c r="O90" i="24"/>
  <c r="AK21" i="43"/>
  <c r="AK18" i="43" s="1"/>
  <c r="J7" i="41" s="1"/>
  <c r="AQ21" i="43"/>
  <c r="AQ18" i="43" s="1"/>
  <c r="L7" i="41" s="1"/>
  <c r="AT21" i="43"/>
  <c r="AT18" i="43" s="1"/>
  <c r="M7" i="41" s="1"/>
  <c r="AZ21" i="43"/>
  <c r="AZ18" i="43" s="1"/>
  <c r="P7" i="41" s="1"/>
  <c r="AN21" i="43"/>
  <c r="AN18" i="43" s="1"/>
  <c r="K7" i="41" s="1"/>
  <c r="AW21" i="43"/>
  <c r="K49" i="31"/>
  <c r="AR10" i="30" s="1"/>
  <c r="K47" i="31"/>
  <c r="AL10" i="30" s="1"/>
  <c r="K51" i="31"/>
  <c r="BA10" i="30" s="1"/>
  <c r="K46" i="31"/>
  <c r="K50" i="31"/>
  <c r="AU10" i="30" s="1"/>
  <c r="K48" i="31"/>
  <c r="AO10" i="30" s="1"/>
  <c r="AN33" i="30"/>
  <c r="AN30" i="30" s="1"/>
  <c r="L9" i="28" s="1"/>
  <c r="AT33" i="30"/>
  <c r="AT30" i="30" s="1"/>
  <c r="N9" i="28" s="1"/>
  <c r="AH33" i="30"/>
  <c r="AH30" i="30" s="1"/>
  <c r="J9" i="28" s="1"/>
  <c r="AQ33" i="30"/>
  <c r="AQ30" i="30" s="1"/>
  <c r="M9" i="28" s="1"/>
  <c r="AK33" i="30"/>
  <c r="AK30" i="30" s="1"/>
  <c r="K9" i="28" s="1"/>
  <c r="AZ33" i="30"/>
  <c r="AZ30" i="30" s="1"/>
  <c r="P9" i="28" s="1"/>
  <c r="AX21" i="43"/>
  <c r="AO21" i="43"/>
  <c r="AO18" i="43" s="1"/>
  <c r="AL21" i="43"/>
  <c r="AL18" i="43" s="1"/>
  <c r="BA21" i="43"/>
  <c r="BA18" i="43" s="1"/>
  <c r="AR21" i="43"/>
  <c r="AR18" i="43" s="1"/>
  <c r="AU21" i="43"/>
  <c r="AU18" i="43" s="1"/>
  <c r="M222" i="58"/>
  <c r="Q133" i="63"/>
  <c r="T133" i="63" s="1"/>
  <c r="L22" i="57"/>
  <c r="AM21" i="57"/>
  <c r="U20" i="63"/>
  <c r="O18" i="63"/>
  <c r="U18" i="63" s="1"/>
  <c r="S20" i="62"/>
  <c r="S18" i="62" s="1"/>
  <c r="L97" i="58"/>
  <c r="R106" i="58"/>
  <c r="T106" i="58" s="1"/>
  <c r="W106" i="58" s="1"/>
  <c r="Q130" i="69"/>
  <c r="U130" i="69"/>
  <c r="O129" i="69"/>
  <c r="T22" i="69"/>
  <c r="P22" i="69"/>
  <c r="U102" i="69"/>
  <c r="Q102" i="69"/>
  <c r="S102" i="69" s="1"/>
  <c r="S101" i="69" s="1"/>
  <c r="S100" i="69" s="1"/>
  <c r="L198" i="58"/>
  <c r="O101" i="69"/>
  <c r="S14" i="69"/>
  <c r="S12" i="69" s="1"/>
  <c r="R35" i="58"/>
  <c r="T35" i="58" s="1"/>
  <c r="W35" i="58" s="1"/>
  <c r="P35" i="61"/>
  <c r="S35" i="61"/>
  <c r="M48" i="57"/>
  <c r="Y35" i="61"/>
  <c r="W35" i="61"/>
  <c r="V35" i="61" s="1"/>
  <c r="R32" i="58"/>
  <c r="T32" i="58" s="1"/>
  <c r="W32" i="58" s="1"/>
  <c r="Y32" i="61"/>
  <c r="W32" i="61"/>
  <c r="V32" i="61" s="1"/>
  <c r="O160" i="61"/>
  <c r="S82" i="64"/>
  <c r="S31" i="61"/>
  <c r="S56" i="64"/>
  <c r="AS21" i="6"/>
  <c r="AS8" i="6"/>
  <c r="AS4" i="7" s="1"/>
  <c r="W81" i="58"/>
  <c r="T74" i="58"/>
  <c r="V74" i="58" s="1"/>
  <c r="C13" i="11"/>
  <c r="AS19" i="6"/>
  <c r="AI7" i="12"/>
  <c r="AJ5" i="11"/>
  <c r="BI7" i="12"/>
  <c r="AU4" i="6"/>
  <c r="AT4" i="6"/>
  <c r="AT8" i="6" s="1"/>
  <c r="AT4" i="7" s="1"/>
  <c r="AI21" i="6"/>
  <c r="BM7" i="11"/>
  <c r="BO46" i="57"/>
  <c r="BF21" i="6"/>
  <c r="AX7" i="11"/>
  <c r="AX3" i="11"/>
  <c r="AX4" i="11" s="1"/>
  <c r="AW4" i="12"/>
  <c r="Q12" i="67"/>
  <c r="T14" i="67"/>
  <c r="AA5" i="12"/>
  <c r="AB34" i="11"/>
  <c r="V31" i="58"/>
  <c r="I28" i="4"/>
  <c r="S11" i="66"/>
  <c r="AW27" i="57"/>
  <c r="AW26" i="57" s="1"/>
  <c r="V26" i="57" s="1"/>
  <c r="Y58" i="11"/>
  <c r="X6" i="12"/>
  <c r="C37" i="11"/>
  <c r="C33" i="11"/>
  <c r="C34" i="11" s="1"/>
  <c r="T4" i="12"/>
  <c r="U7" i="11"/>
  <c r="U3" i="11"/>
  <c r="U4" i="11" s="1"/>
  <c r="T8" i="12"/>
  <c r="T7" i="12" s="1"/>
  <c r="U5" i="11"/>
  <c r="P37" i="39"/>
  <c r="O36" i="39"/>
  <c r="BF7" i="11"/>
  <c r="BE4" i="12"/>
  <c r="BF3" i="11"/>
  <c r="BF4" i="11" s="1"/>
  <c r="R34" i="11"/>
  <c r="Q5" i="12"/>
  <c r="H34" i="11"/>
  <c r="G5" i="12"/>
  <c r="L6" i="12"/>
  <c r="M58" i="11"/>
  <c r="AY28" i="43"/>
  <c r="P149" i="49"/>
  <c r="P69" i="34"/>
  <c r="AJ24" i="30"/>
  <c r="L5" i="12"/>
  <c r="M34" i="11"/>
  <c r="AT58" i="11"/>
  <c r="AS6" i="12"/>
  <c r="AL3" i="11"/>
  <c r="AL4" i="11" s="1"/>
  <c r="AK4" i="12"/>
  <c r="AL7" i="11"/>
  <c r="BJ5" i="12"/>
  <c r="BK34" i="11"/>
  <c r="BL6" i="12"/>
  <c r="BM58" i="11"/>
  <c r="AH6" i="12"/>
  <c r="AI58" i="11"/>
  <c r="E5" i="11"/>
  <c r="D8" i="12"/>
  <c r="D7" i="12" s="1"/>
  <c r="F7" i="11"/>
  <c r="E4" i="12"/>
  <c r="F3" i="11"/>
  <c r="F4" i="11" s="1"/>
  <c r="AQ5" i="12"/>
  <c r="AR34" i="11"/>
  <c r="K5" i="12"/>
  <c r="L34" i="11"/>
  <c r="AW6" i="12"/>
  <c r="AX58" i="11"/>
  <c r="AZ4" i="12"/>
  <c r="BA7" i="11"/>
  <c r="BA3" i="11"/>
  <c r="BA4" i="11" s="1"/>
  <c r="AJ4" i="12"/>
  <c r="AK7" i="11"/>
  <c r="AK3" i="11"/>
  <c r="AK4" i="11" s="1"/>
  <c r="AJ58" i="11"/>
  <c r="AI6" i="12"/>
  <c r="P141" i="36"/>
  <c r="O129" i="36"/>
  <c r="O69" i="49"/>
  <c r="P70" i="49"/>
  <c r="X8" i="12"/>
  <c r="X7" i="12" s="1"/>
  <c r="Y5" i="11"/>
  <c r="AF5" i="12"/>
  <c r="AG34" i="11"/>
  <c r="O6" i="12"/>
  <c r="P58" i="11"/>
  <c r="Z5" i="12"/>
  <c r="AA34" i="11"/>
  <c r="O36" i="20"/>
  <c r="P36" i="20" s="1"/>
  <c r="AR58" i="11"/>
  <c r="AQ6" i="12"/>
  <c r="AG6" i="12"/>
  <c r="AH58" i="11"/>
  <c r="BE3" i="11"/>
  <c r="BE4" i="11" s="1"/>
  <c r="BD4" i="12"/>
  <c r="BE7" i="11"/>
  <c r="P69" i="35"/>
  <c r="AM24" i="30"/>
  <c r="P66" i="35"/>
  <c r="Q66" i="35"/>
  <c r="BG6" i="12"/>
  <c r="BH58" i="11"/>
  <c r="BM34" i="11"/>
  <c r="BL5" i="12"/>
  <c r="AN4" i="12"/>
  <c r="AO7" i="11"/>
  <c r="AO3" i="11"/>
  <c r="AO4" i="11" s="1"/>
  <c r="P130" i="20"/>
  <c r="O129" i="20"/>
  <c r="P129" i="20" s="1"/>
  <c r="O149" i="51"/>
  <c r="P149" i="51" s="1"/>
  <c r="P150" i="51"/>
  <c r="P69" i="20"/>
  <c r="T34" i="11"/>
  <c r="S5" i="12"/>
  <c r="AN3" i="11"/>
  <c r="AN4" i="11" s="1"/>
  <c r="AM4" i="12"/>
  <c r="AN7" i="11"/>
  <c r="AL5" i="12"/>
  <c r="AM34" i="11"/>
  <c r="P37" i="34"/>
  <c r="O36" i="34"/>
  <c r="U34" i="11"/>
  <c r="T5" i="12"/>
  <c r="AU5" i="12"/>
  <c r="AV34" i="11"/>
  <c r="BD7" i="11"/>
  <c r="BD3" i="11"/>
  <c r="BD4" i="11" s="1"/>
  <c r="BC4" i="12"/>
  <c r="BB8" i="12"/>
  <c r="BB7" i="12" s="1"/>
  <c r="BC5" i="11"/>
  <c r="BK5" i="12"/>
  <c r="BL34" i="11"/>
  <c r="AU8" i="12"/>
  <c r="AU7" i="12" s="1"/>
  <c r="AV5" i="11"/>
  <c r="AA6" i="12"/>
  <c r="AB58" i="11"/>
  <c r="Q45" i="66"/>
  <c r="T45" i="66" s="1"/>
  <c r="AP27" i="43"/>
  <c r="P129" i="46"/>
  <c r="AS7" i="11"/>
  <c r="AR4" i="12"/>
  <c r="AS3" i="11"/>
  <c r="AS4" i="11" s="1"/>
  <c r="Y8" i="12"/>
  <c r="Y7" i="12" s="1"/>
  <c r="Z5" i="11"/>
  <c r="H28" i="60"/>
  <c r="J28" i="60" s="1"/>
  <c r="C2" i="4"/>
  <c r="H4" i="4" s="1"/>
  <c r="H5" i="4" s="1"/>
  <c r="E2" i="61"/>
  <c r="I2" i="56"/>
  <c r="B8" i="56"/>
  <c r="AP5" i="11"/>
  <c r="AO8" i="12"/>
  <c r="AO7" i="12" s="1"/>
  <c r="AE3" i="11"/>
  <c r="AE4" i="11" s="1"/>
  <c r="AE7" i="11"/>
  <c r="AD4" i="12"/>
  <c r="AW5" i="12"/>
  <c r="AX34" i="11"/>
  <c r="AM8" i="12"/>
  <c r="AM7" i="12" s="1"/>
  <c r="AN5" i="11"/>
  <c r="P90" i="35"/>
  <c r="O89" i="35"/>
  <c r="AP34" i="11"/>
  <c r="AO5" i="12"/>
  <c r="S34" i="11"/>
  <c r="R5" i="12"/>
  <c r="BC8" i="12"/>
  <c r="BC7" i="12" s="1"/>
  <c r="BD5" i="11"/>
  <c r="E58" i="11"/>
  <c r="D6" i="12"/>
  <c r="H5" i="12"/>
  <c r="I34" i="11"/>
  <c r="BE34" i="11"/>
  <c r="BD5" i="12"/>
  <c r="AN5" i="12"/>
  <c r="AO34" i="11"/>
  <c r="P9" i="33"/>
  <c r="O5" i="33"/>
  <c r="AG5" i="12"/>
  <c r="AH34" i="11"/>
  <c r="T6" i="12"/>
  <c r="U58" i="11"/>
  <c r="AX12" i="43"/>
  <c r="AL12" i="43"/>
  <c r="BA12" i="43"/>
  <c r="AU12" i="43"/>
  <c r="AR12" i="43"/>
  <c r="AO12" i="43"/>
  <c r="AI34" i="11"/>
  <c r="AH5" i="12"/>
  <c r="AE58" i="11"/>
  <c r="AD6" i="12"/>
  <c r="BN5" i="11"/>
  <c r="BM8" i="12"/>
  <c r="BM7" i="12" s="1"/>
  <c r="M5" i="12"/>
  <c r="N34" i="11"/>
  <c r="O8" i="12"/>
  <c r="O7" i="12" s="1"/>
  <c r="P5" i="11"/>
  <c r="P37" i="50"/>
  <c r="AY35" i="30"/>
  <c r="AJ35" i="30"/>
  <c r="AG35" i="30"/>
  <c r="AS35" i="30"/>
  <c r="AP35" i="30"/>
  <c r="AM35" i="30"/>
  <c r="AB6" i="12"/>
  <c r="AC58" i="11"/>
  <c r="Z8" i="12"/>
  <c r="Z7" i="12" s="1"/>
  <c r="AA5" i="11"/>
  <c r="AT3" i="11"/>
  <c r="AT4" i="11" s="1"/>
  <c r="AS4" i="12"/>
  <c r="AT7" i="11"/>
  <c r="U34" i="61"/>
  <c r="Q34" i="58"/>
  <c r="Q34" i="61"/>
  <c r="P34" i="61" s="1"/>
  <c r="AT6" i="12"/>
  <c r="AU58" i="11"/>
  <c r="BK58" i="11"/>
  <c r="BJ6" i="12"/>
  <c r="BG5" i="12"/>
  <c r="BH34" i="11"/>
  <c r="L4" i="12"/>
  <c r="M7" i="11"/>
  <c r="M3" i="11"/>
  <c r="M4" i="11" s="1"/>
  <c r="T190" i="63"/>
  <c r="AM29" i="57"/>
  <c r="K23" i="57"/>
  <c r="O36" i="51"/>
  <c r="P36" i="51" s="1"/>
  <c r="P37" i="51"/>
  <c r="N6" i="12"/>
  <c r="O58" i="11"/>
  <c r="J6" i="12"/>
  <c r="K58" i="11"/>
  <c r="L7" i="11"/>
  <c r="K4" i="12"/>
  <c r="L3" i="11"/>
  <c r="L4" i="11" s="1"/>
  <c r="AQ3" i="11"/>
  <c r="AQ4" i="11" s="1"/>
  <c r="AQ7" i="11"/>
  <c r="AP4" i="12"/>
  <c r="BG8" i="12"/>
  <c r="BG7" i="12" s="1"/>
  <c r="BH5" i="11"/>
  <c r="Q76" i="45"/>
  <c r="M75" i="45"/>
  <c r="O76" i="45"/>
  <c r="K76" i="45"/>
  <c r="E7" i="11"/>
  <c r="D4" i="12"/>
  <c r="E3" i="11"/>
  <c r="E4" i="11" s="1"/>
  <c r="AX8" i="12"/>
  <c r="AX7" i="12" s="1"/>
  <c r="AY5" i="11"/>
  <c r="C59" i="11"/>
  <c r="AF7" i="11"/>
  <c r="AE4" i="12"/>
  <c r="AF3" i="11"/>
  <c r="AF4" i="11" s="1"/>
  <c r="U51" i="63"/>
  <c r="P9" i="51"/>
  <c r="O5" i="51"/>
  <c r="BM5" i="12"/>
  <c r="BN34" i="11"/>
  <c r="BK8" i="12"/>
  <c r="BK7" i="12" s="1"/>
  <c r="BL5" i="11"/>
  <c r="BB6" i="12"/>
  <c r="BC58" i="11"/>
  <c r="P134" i="34"/>
  <c r="O129" i="34"/>
  <c r="P9" i="39"/>
  <c r="O5" i="39"/>
  <c r="AA58" i="11"/>
  <c r="Z6" i="12"/>
  <c r="BH6" i="12"/>
  <c r="BI58" i="11"/>
  <c r="AJ5" i="12"/>
  <c r="AK34" i="11"/>
  <c r="Q7" i="11"/>
  <c r="P4" i="12"/>
  <c r="Q3" i="11"/>
  <c r="Q4" i="11" s="1"/>
  <c r="H7" i="11"/>
  <c r="H3" i="11"/>
  <c r="H4" i="11" s="1"/>
  <c r="G4" i="12"/>
  <c r="O69" i="51"/>
  <c r="P69" i="51" s="1"/>
  <c r="P70" i="51"/>
  <c r="P129" i="49"/>
  <c r="AY27" i="43"/>
  <c r="R8" i="12"/>
  <c r="R7" i="12" s="1"/>
  <c r="S5" i="11"/>
  <c r="AH4" i="12"/>
  <c r="AI7" i="11"/>
  <c r="AI3" i="11"/>
  <c r="AI4" i="11" s="1"/>
  <c r="BP3" i="11"/>
  <c r="BP4" i="11" s="1"/>
  <c r="BP7" i="11"/>
  <c r="BO4" i="12"/>
  <c r="C6" i="12"/>
  <c r="D58" i="11"/>
  <c r="AL4" i="12"/>
  <c r="AM3" i="11"/>
  <c r="AM4" i="11" s="1"/>
  <c r="AM7" i="11"/>
  <c r="BJ3" i="11"/>
  <c r="BJ4" i="11" s="1"/>
  <c r="BJ7" i="11"/>
  <c r="BI4" i="12"/>
  <c r="AN6" i="12"/>
  <c r="AO58" i="11"/>
  <c r="P70" i="40"/>
  <c r="O69" i="40"/>
  <c r="P69" i="40" s="1"/>
  <c r="AF58" i="11"/>
  <c r="AE6" i="12"/>
  <c r="V5" i="12"/>
  <c r="W34" i="11"/>
  <c r="BO8" i="12"/>
  <c r="BO7" i="12" s="1"/>
  <c r="BP5" i="11"/>
  <c r="AC3" i="11"/>
  <c r="AC4" i="11" s="1"/>
  <c r="AB4" i="12"/>
  <c r="AC7" i="11"/>
  <c r="AE5" i="12"/>
  <c r="AF34" i="11"/>
  <c r="AM5" i="11"/>
  <c r="AL8" i="12"/>
  <c r="AL7" i="12" s="1"/>
  <c r="BA5" i="12"/>
  <c r="BB34" i="11"/>
  <c r="X34" i="11"/>
  <c r="W5" i="12"/>
  <c r="H8" i="12"/>
  <c r="H7" i="12" s="1"/>
  <c r="I5" i="11"/>
  <c r="AM6" i="12"/>
  <c r="AN58" i="11"/>
  <c r="AQ38" i="43"/>
  <c r="AQ34" i="43" s="1"/>
  <c r="L10" i="41" s="1"/>
  <c r="AW38" i="43"/>
  <c r="AZ38" i="43"/>
  <c r="AN38" i="43"/>
  <c r="AN34" i="43" s="1"/>
  <c r="K10" i="41" s="1"/>
  <c r="AT38" i="43"/>
  <c r="AK38" i="43"/>
  <c r="AK34" i="43" s="1"/>
  <c r="J10" i="41" s="1"/>
  <c r="BI34" i="43"/>
  <c r="B74" i="13" s="1"/>
  <c r="AG3" i="11"/>
  <c r="AG4" i="11" s="1"/>
  <c r="AF4" i="12"/>
  <c r="AG7" i="11"/>
  <c r="BA4" i="12"/>
  <c r="BB7" i="11"/>
  <c r="BB3" i="11"/>
  <c r="BB4" i="11" s="1"/>
  <c r="I58" i="11"/>
  <c r="H6" i="12"/>
  <c r="AQ58" i="11"/>
  <c r="AP6" i="12"/>
  <c r="AF8" i="12"/>
  <c r="AF7" i="12" s="1"/>
  <c r="AG5" i="11"/>
  <c r="Q4" i="12"/>
  <c r="R3" i="11"/>
  <c r="R4" i="11" s="1"/>
  <c r="R7" i="11"/>
  <c r="T20" i="63"/>
  <c r="Q18" i="63"/>
  <c r="I6" i="12"/>
  <c r="J58" i="11"/>
  <c r="L44" i="57"/>
  <c r="D14" i="14" s="1"/>
  <c r="N262" i="58"/>
  <c r="N222" i="58" s="1"/>
  <c r="S101" i="64"/>
  <c r="S100" i="64" s="1"/>
  <c r="S46" i="64"/>
  <c r="Q14" i="69"/>
  <c r="T14" i="69" s="1"/>
  <c r="P9" i="48"/>
  <c r="O5" i="48"/>
  <c r="AJ3" i="11"/>
  <c r="AJ4" i="11" s="1"/>
  <c r="AJ7" i="11"/>
  <c r="AI4" i="12"/>
  <c r="AS5" i="12"/>
  <c r="AT34" i="11"/>
  <c r="AT5" i="12"/>
  <c r="AU34" i="11"/>
  <c r="P116" i="33"/>
  <c r="O111" i="33"/>
  <c r="Q116" i="33"/>
  <c r="C22" i="11"/>
  <c r="AO4" i="12"/>
  <c r="AP3" i="11"/>
  <c r="AP4" i="11" s="1"/>
  <c r="AP7" i="11"/>
  <c r="AE8" i="12"/>
  <c r="AE7" i="12" s="1"/>
  <c r="AF5" i="11"/>
  <c r="BA8" i="12"/>
  <c r="BA7" i="12" s="1"/>
  <c r="BB5" i="11"/>
  <c r="C10" i="11"/>
  <c r="C6" i="11"/>
  <c r="BD58" i="11"/>
  <c r="BC6" i="12"/>
  <c r="AN8" i="12"/>
  <c r="AN7" i="12" s="1"/>
  <c r="AO5" i="11"/>
  <c r="AX19" i="6"/>
  <c r="AX21" i="6"/>
  <c r="P149" i="34"/>
  <c r="AJ28" i="30"/>
  <c r="AR6" i="12"/>
  <c r="AS58" i="11"/>
  <c r="W8" i="12"/>
  <c r="W7" i="12" s="1"/>
  <c r="X5" i="11"/>
  <c r="AZ8" i="12"/>
  <c r="AZ7" i="12" s="1"/>
  <c r="BA5" i="11"/>
  <c r="BG4" i="12"/>
  <c r="BH7" i="11"/>
  <c r="BH3" i="11"/>
  <c r="BH4" i="11" s="1"/>
  <c r="AY3" i="11"/>
  <c r="AY4" i="11" s="1"/>
  <c r="AX4" i="12"/>
  <c r="AY7" i="11"/>
  <c r="P130" i="48"/>
  <c r="O129" i="48"/>
  <c r="P128" i="45"/>
  <c r="BH31" i="43"/>
  <c r="BM31" i="43"/>
  <c r="O127" i="45"/>
  <c r="P127" i="45" s="1"/>
  <c r="F6" i="12"/>
  <c r="G58" i="11"/>
  <c r="R58" i="11"/>
  <c r="Q6" i="12"/>
  <c r="BB5" i="12"/>
  <c r="BC34" i="11"/>
  <c r="P3" i="11"/>
  <c r="P4" i="11" s="1"/>
  <c r="O5" i="12"/>
  <c r="P34" i="11"/>
  <c r="C8" i="12"/>
  <c r="D5" i="11"/>
  <c r="AR5" i="12"/>
  <c r="AS34" i="11"/>
  <c r="BO58" i="11"/>
  <c r="BN6" i="12"/>
  <c r="AY58" i="11"/>
  <c r="AX6" i="12"/>
  <c r="I7" i="11"/>
  <c r="I3" i="11"/>
  <c r="I4" i="11" s="1"/>
  <c r="H4" i="12"/>
  <c r="J34" i="11"/>
  <c r="I5" i="12"/>
  <c r="AP5" i="12"/>
  <c r="AQ34" i="11"/>
  <c r="AR7" i="11"/>
  <c r="AR3" i="11"/>
  <c r="AR4" i="11" s="1"/>
  <c r="AQ4" i="12"/>
  <c r="C61" i="11"/>
  <c r="C57" i="11"/>
  <c r="C58" i="11" s="1"/>
  <c r="AT8" i="12"/>
  <c r="AT7" i="12" s="1"/>
  <c r="AU5" i="11"/>
  <c r="BC3" i="11"/>
  <c r="BC4" i="11" s="1"/>
  <c r="BB4" i="12"/>
  <c r="BC7" i="11"/>
  <c r="O9" i="35"/>
  <c r="P13" i="40"/>
  <c r="O9" i="40"/>
  <c r="AV28" i="43"/>
  <c r="P149" i="48"/>
  <c r="AY6" i="12"/>
  <c r="AZ58" i="11"/>
  <c r="AW58" i="11"/>
  <c r="AV6" i="12"/>
  <c r="H32" i="4"/>
  <c r="H33" i="4"/>
  <c r="W6" i="12"/>
  <c r="X58" i="11"/>
  <c r="BJ8" i="12"/>
  <c r="BJ7" i="12" s="1"/>
  <c r="BK5" i="11"/>
  <c r="O37" i="49"/>
  <c r="BF8" i="12"/>
  <c r="BF7" i="12" s="1"/>
  <c r="BG5" i="11"/>
  <c r="AR8" i="12"/>
  <c r="AR7" i="12" s="1"/>
  <c r="AS5" i="11"/>
  <c r="AV8" i="12"/>
  <c r="AV7" i="12" s="1"/>
  <c r="AW5" i="11"/>
  <c r="AI25" i="30"/>
  <c r="C5" i="12"/>
  <c r="D34" i="11"/>
  <c r="AV7" i="11"/>
  <c r="AU4" i="12"/>
  <c r="AV3" i="11"/>
  <c r="AV4" i="11" s="1"/>
  <c r="P69" i="46"/>
  <c r="AP24" i="43"/>
  <c r="BJ19" i="43"/>
  <c r="S126" i="66"/>
  <c r="G34" i="11"/>
  <c r="F5" i="12"/>
  <c r="AA4" i="12"/>
  <c r="AB7" i="11"/>
  <c r="AB3" i="11"/>
  <c r="AB4" i="11" s="1"/>
  <c r="AL34" i="11"/>
  <c r="AK5" i="12"/>
  <c r="P90" i="40"/>
  <c r="O89" i="40"/>
  <c r="P37" i="33"/>
  <c r="O36" i="33"/>
  <c r="D7" i="11"/>
  <c r="C4" i="12"/>
  <c r="D3" i="11"/>
  <c r="D4" i="11" s="1"/>
  <c r="AJ34" i="11"/>
  <c r="AI5" i="12"/>
  <c r="M171" i="33"/>
  <c r="M172" i="33" s="1"/>
  <c r="N171" i="33"/>
  <c r="N172" i="33" s="1"/>
  <c r="G7" i="12"/>
  <c r="P22" i="37"/>
  <c r="AY35" i="43"/>
  <c r="AP35" i="43"/>
  <c r="AV35" i="43"/>
  <c r="AM35" i="43"/>
  <c r="AJ35" i="43"/>
  <c r="AS35" i="43"/>
  <c r="P57" i="38"/>
  <c r="O56" i="38"/>
  <c r="P56" i="38" s="1"/>
  <c r="BI18" i="43"/>
  <c r="B70" i="13" s="1"/>
  <c r="AK6" i="12"/>
  <c r="AL58" i="11"/>
  <c r="BH4" i="12"/>
  <c r="BI7" i="11"/>
  <c r="BI3" i="11"/>
  <c r="BI4" i="11" s="1"/>
  <c r="BD34" i="11"/>
  <c r="BC5" i="12"/>
  <c r="V8" i="12"/>
  <c r="V7" i="12" s="1"/>
  <c r="W5" i="11"/>
  <c r="N5" i="12"/>
  <c r="O34" i="11"/>
  <c r="H5" i="11"/>
  <c r="N171" i="34"/>
  <c r="N172" i="34" s="1"/>
  <c r="M171" i="34"/>
  <c r="M172" i="34" s="1"/>
  <c r="P19" i="45"/>
  <c r="O18" i="45"/>
  <c r="BI6" i="12"/>
  <c r="BJ58" i="11"/>
  <c r="G6" i="12"/>
  <c r="H58" i="11"/>
  <c r="BO34" i="11"/>
  <c r="BN5" i="12"/>
  <c r="AW34" i="11"/>
  <c r="AV5" i="12"/>
  <c r="P9" i="34"/>
  <c r="AV24" i="43"/>
  <c r="P69" i="48"/>
  <c r="BF6" i="12"/>
  <c r="BG58" i="11"/>
  <c r="AC8" i="12"/>
  <c r="AC7" i="12" s="1"/>
  <c r="AD5" i="11"/>
  <c r="N5" i="11"/>
  <c r="M8" i="12"/>
  <c r="M7" i="12" s="1"/>
  <c r="O5" i="36"/>
  <c r="P9" i="36"/>
  <c r="P69" i="33"/>
  <c r="AG24" i="30"/>
  <c r="P129" i="37"/>
  <c r="AS27" i="30"/>
  <c r="F7" i="12"/>
  <c r="AH8" i="12"/>
  <c r="AH7" i="12" s="1"/>
  <c r="AI5" i="11"/>
  <c r="BO7" i="11"/>
  <c r="BO3" i="11"/>
  <c r="BO4" i="11" s="1"/>
  <c r="BN4" i="12"/>
  <c r="BN3" i="11"/>
  <c r="BN4" i="11" s="1"/>
  <c r="BM4" i="12"/>
  <c r="BN7" i="11"/>
  <c r="BH8" i="12"/>
  <c r="BH7" i="12" s="1"/>
  <c r="BI5" i="11"/>
  <c r="M4" i="12"/>
  <c r="N7" i="11"/>
  <c r="L58" i="11"/>
  <c r="K6" i="12"/>
  <c r="P91" i="39"/>
  <c r="O90" i="39"/>
  <c r="AP33" i="43"/>
  <c r="AS33" i="43"/>
  <c r="AY33" i="43"/>
  <c r="AV33" i="43"/>
  <c r="AJ33" i="43"/>
  <c r="AM33" i="43"/>
  <c r="O149" i="37"/>
  <c r="P150" i="37"/>
  <c r="AU25" i="43"/>
  <c r="BD7" i="12"/>
  <c r="AG4" i="12"/>
  <c r="AG3" i="12" s="1"/>
  <c r="AH7" i="11"/>
  <c r="AH3" i="11"/>
  <c r="AH4" i="11" s="1"/>
  <c r="Z7" i="11"/>
  <c r="Z3" i="11"/>
  <c r="Z4" i="11" s="1"/>
  <c r="Y4" i="12"/>
  <c r="BE5" i="11"/>
  <c r="BD14" i="30"/>
  <c r="N72" i="32"/>
  <c r="AK58" i="11"/>
  <c r="AJ6" i="12"/>
  <c r="AP58" i="11"/>
  <c r="AO6" i="12"/>
  <c r="R138" i="58"/>
  <c r="R136" i="58" s="1"/>
  <c r="AQ22" i="57"/>
  <c r="AO22" i="57" s="1"/>
  <c r="AD58" i="11"/>
  <c r="AC6" i="12"/>
  <c r="BN8" i="12"/>
  <c r="BN7" i="12" s="1"/>
  <c r="BO5" i="11"/>
  <c r="V34" i="11"/>
  <c r="U5" i="12"/>
  <c r="AZ7" i="11"/>
  <c r="AY4" i="12"/>
  <c r="AZ3" i="11"/>
  <c r="AZ4" i="11" s="1"/>
  <c r="P6" i="12"/>
  <c r="Q58" i="11"/>
  <c r="AK8" i="12"/>
  <c r="AK7" i="12" s="1"/>
  <c r="AL5" i="11"/>
  <c r="BL7" i="11"/>
  <c r="BK4" i="12"/>
  <c r="BL3" i="11"/>
  <c r="BL4" i="11" s="1"/>
  <c r="P38" i="38"/>
  <c r="O37" i="38"/>
  <c r="AQ8" i="12"/>
  <c r="AQ7" i="12" s="1"/>
  <c r="AR5" i="11"/>
  <c r="R6" i="12"/>
  <c r="S58" i="11"/>
  <c r="N3" i="11"/>
  <c r="N4" i="11" s="1"/>
  <c r="N58" i="11"/>
  <c r="M6" i="12"/>
  <c r="U8" i="12"/>
  <c r="U7" i="12" s="1"/>
  <c r="V5" i="11"/>
  <c r="AH25" i="30"/>
  <c r="BC26" i="30"/>
  <c r="O3" i="11"/>
  <c r="O4" i="11" s="1"/>
  <c r="N4" i="12"/>
  <c r="O7" i="11"/>
  <c r="S11" i="67"/>
  <c r="S203" i="67" s="1"/>
  <c r="Y7" i="11"/>
  <c r="X4" i="12"/>
  <c r="Y3" i="11"/>
  <c r="Y4" i="11" s="1"/>
  <c r="AV4" i="12"/>
  <c r="AW3" i="11"/>
  <c r="AW4" i="11" s="1"/>
  <c r="AW7" i="11"/>
  <c r="U4" i="12"/>
  <c r="V7" i="11"/>
  <c r="V3" i="11"/>
  <c r="V4" i="11" s="1"/>
  <c r="AA3" i="11"/>
  <c r="AA4" i="11" s="1"/>
  <c r="Z4" i="12"/>
  <c r="AA7" i="11"/>
  <c r="E5" i="12"/>
  <c r="F34" i="11"/>
  <c r="I4" i="12"/>
  <c r="J3" i="11"/>
  <c r="J4" i="11" s="1"/>
  <c r="J7" i="11"/>
  <c r="BC27" i="30"/>
  <c r="AK25" i="30"/>
  <c r="K8" i="28" s="1"/>
  <c r="R30" i="57"/>
  <c r="AR30" i="57"/>
  <c r="Q30" i="57" s="1"/>
  <c r="BP34" i="11"/>
  <c r="BO5" i="12"/>
  <c r="W3" i="11"/>
  <c r="W4" i="11" s="1"/>
  <c r="V4" i="12"/>
  <c r="W7" i="11"/>
  <c r="O4" i="12"/>
  <c r="P7" i="11"/>
  <c r="AA8" i="12"/>
  <c r="AA7" i="12" s="1"/>
  <c r="AB5" i="11"/>
  <c r="P10" i="50"/>
  <c r="O9" i="50"/>
  <c r="BB58" i="11"/>
  <c r="BA6" i="12"/>
  <c r="L8" i="12"/>
  <c r="L7" i="12" s="1"/>
  <c r="M5" i="11"/>
  <c r="Q8" i="12"/>
  <c r="Q7" i="12" s="1"/>
  <c r="R5" i="11"/>
  <c r="AJ8" i="12"/>
  <c r="AJ7" i="12" s="1"/>
  <c r="AK5" i="11"/>
  <c r="C25" i="11"/>
  <c r="AG58" i="11"/>
  <c r="AF6" i="12"/>
  <c r="X5" i="12"/>
  <c r="Y34" i="11"/>
  <c r="P37" i="47"/>
  <c r="O36" i="47"/>
  <c r="J5" i="12"/>
  <c r="K34" i="11"/>
  <c r="N88" i="39"/>
  <c r="BA26" i="30"/>
  <c r="BA25" i="30" s="1"/>
  <c r="O36" i="35"/>
  <c r="P44" i="46"/>
  <c r="O37" i="46"/>
  <c r="J5" i="11"/>
  <c r="I9" i="12"/>
  <c r="I7" i="12" s="1"/>
  <c r="E6" i="12"/>
  <c r="F58" i="11"/>
  <c r="BN58" i="11"/>
  <c r="BM6" i="12"/>
  <c r="AG28" i="30"/>
  <c r="P149" i="33"/>
  <c r="BN33" i="43"/>
  <c r="Q51" i="63"/>
  <c r="T51" i="63" s="1"/>
  <c r="T52" i="63"/>
  <c r="J8" i="12"/>
  <c r="J7" i="12" s="1"/>
  <c r="K5" i="11"/>
  <c r="BJ34" i="11"/>
  <c r="BI5" i="12"/>
  <c r="N72" i="45"/>
  <c r="BJ14" i="43"/>
  <c r="AG8" i="12"/>
  <c r="AG7" i="12" s="1"/>
  <c r="AH5" i="11"/>
  <c r="AC5" i="12"/>
  <c r="AD34" i="11"/>
  <c r="G7" i="11"/>
  <c r="F4" i="12"/>
  <c r="G3" i="11"/>
  <c r="G4" i="11" s="1"/>
  <c r="BJ5" i="11"/>
  <c r="Q127" i="65"/>
  <c r="AV27" i="57" s="1"/>
  <c r="T127" i="67"/>
  <c r="Q126" i="67"/>
  <c r="T126" i="67" s="1"/>
  <c r="T58" i="11"/>
  <c r="S6" i="12"/>
  <c r="AW8" i="12"/>
  <c r="AW7" i="12" s="1"/>
  <c r="AX5" i="11"/>
  <c r="T3" i="11"/>
  <c r="T4" i="11" s="1"/>
  <c r="S4" i="12"/>
  <c r="T7" i="11"/>
  <c r="Z58" i="11"/>
  <c r="Y6" i="12"/>
  <c r="AS8" i="12"/>
  <c r="AS7" i="12" s="1"/>
  <c r="AT5" i="11"/>
  <c r="BD6" i="12"/>
  <c r="BE58" i="11"/>
  <c r="P9" i="49"/>
  <c r="O5" i="49"/>
  <c r="E8" i="12"/>
  <c r="E7" i="12" s="1"/>
  <c r="F5" i="11"/>
  <c r="C35" i="11"/>
  <c r="AT4" i="12"/>
  <c r="AU7" i="11"/>
  <c r="AU3" i="11"/>
  <c r="AU4" i="11" s="1"/>
  <c r="Q34" i="11"/>
  <c r="P5" i="12"/>
  <c r="Y5" i="12"/>
  <c r="Z34" i="11"/>
  <c r="AU6" i="12"/>
  <c r="AV58" i="11"/>
  <c r="BF58" i="11"/>
  <c r="BE6" i="12"/>
  <c r="BG3" i="11"/>
  <c r="BG4" i="11" s="1"/>
  <c r="BG7" i="11"/>
  <c r="BF4" i="12"/>
  <c r="O89" i="34"/>
  <c r="P90" i="34"/>
  <c r="P90" i="51"/>
  <c r="O89" i="51"/>
  <c r="P94" i="49"/>
  <c r="O90" i="49"/>
  <c r="E34" i="11"/>
  <c r="D5" i="12"/>
  <c r="V58" i="11"/>
  <c r="U6" i="12"/>
  <c r="AZ6" i="12"/>
  <c r="BA58" i="11"/>
  <c r="AM27" i="30"/>
  <c r="P129" i="35"/>
  <c r="P90" i="36"/>
  <c r="O89" i="36"/>
  <c r="AB5" i="12"/>
  <c r="AC34" i="11"/>
  <c r="BE5" i="12"/>
  <c r="BF34" i="11"/>
  <c r="BK6" i="12"/>
  <c r="BL58" i="11"/>
  <c r="BG34" i="11"/>
  <c r="BF5" i="12"/>
  <c r="S7" i="11"/>
  <c r="R4" i="12"/>
  <c r="S3" i="11"/>
  <c r="S4" i="11" s="1"/>
  <c r="AY8" i="12"/>
  <c r="AY7" i="12" s="1"/>
  <c r="AZ5" i="11"/>
  <c r="AD3" i="11"/>
  <c r="AD4" i="11" s="1"/>
  <c r="AD7" i="11"/>
  <c r="AC4" i="12"/>
  <c r="L5" i="11"/>
  <c r="K8" i="12"/>
  <c r="K7" i="12" s="1"/>
  <c r="AE5" i="11"/>
  <c r="BI34" i="11"/>
  <c r="BH5" i="12"/>
  <c r="K7" i="11"/>
  <c r="K3" i="11"/>
  <c r="K4" i="11" s="1"/>
  <c r="J4" i="12"/>
  <c r="BA34" i="11"/>
  <c r="AZ5" i="12"/>
  <c r="BE8" i="12"/>
  <c r="BE7" i="12" s="1"/>
  <c r="BF5" i="11"/>
  <c r="BK7" i="11"/>
  <c r="BK3" i="11"/>
  <c r="BK4" i="11" s="1"/>
  <c r="BJ4" i="12"/>
  <c r="AL6" i="12"/>
  <c r="AM58" i="11"/>
  <c r="AB8" i="12"/>
  <c r="AB7" i="12" s="1"/>
  <c r="AC5" i="11"/>
  <c r="V6" i="12"/>
  <c r="W58" i="11"/>
  <c r="AE34" i="11"/>
  <c r="AD5" i="12"/>
  <c r="P134" i="33"/>
  <c r="O129" i="33"/>
  <c r="AZ34" i="11"/>
  <c r="AY5" i="12"/>
  <c r="AP8" i="12"/>
  <c r="AP7" i="12" s="1"/>
  <c r="AQ5" i="11"/>
  <c r="AN34" i="11"/>
  <c r="AM5" i="12"/>
  <c r="BP58" i="11"/>
  <c r="BO6" i="12"/>
  <c r="AX5" i="12"/>
  <c r="AY34" i="11"/>
  <c r="N8" i="12"/>
  <c r="N7" i="12" s="1"/>
  <c r="O5" i="11"/>
  <c r="X7" i="11"/>
  <c r="X3" i="11"/>
  <c r="X4" i="11" s="1"/>
  <c r="W4" i="12"/>
  <c r="O89" i="48"/>
  <c r="P90" i="48"/>
  <c r="L76" i="45"/>
  <c r="BH39" i="57"/>
  <c r="R39" i="57"/>
  <c r="BB39" i="57"/>
  <c r="I39" i="57"/>
  <c r="U39" i="57"/>
  <c r="AC39" i="57"/>
  <c r="Z39" i="57"/>
  <c r="AT39" i="57"/>
  <c r="S39" i="57" s="1"/>
  <c r="BF39" i="57"/>
  <c r="BI39" i="57" s="1"/>
  <c r="AB39" i="57"/>
  <c r="AW39" i="57"/>
  <c r="V39" i="57" s="1"/>
  <c r="AQ39" i="57"/>
  <c r="P39" i="57" s="1"/>
  <c r="AE39" i="57"/>
  <c r="AK39" i="57"/>
  <c r="AI39" i="57" s="1"/>
  <c r="O39" i="57"/>
  <c r="S173" i="61"/>
  <c r="AQ27" i="57"/>
  <c r="S126" i="68"/>
  <c r="T128" i="68"/>
  <c r="Q127" i="68"/>
  <c r="O22" i="57"/>
  <c r="O30" i="57"/>
  <c r="AO30" i="57"/>
  <c r="N30" i="57" s="1"/>
  <c r="AQ17" i="57"/>
  <c r="P17" i="57" s="1"/>
  <c r="Q12" i="68"/>
  <c r="T14" i="68"/>
  <c r="O97" i="58"/>
  <c r="O356" i="58" s="1"/>
  <c r="T184" i="68"/>
  <c r="AP29" i="57"/>
  <c r="Q45" i="68"/>
  <c r="T46" i="68"/>
  <c r="AP21" i="57"/>
  <c r="AO23" i="57"/>
  <c r="N23" i="57" s="1"/>
  <c r="O23" i="57"/>
  <c r="O126" i="68"/>
  <c r="U126" i="68" s="1"/>
  <c r="U127" i="68"/>
  <c r="O12" i="68"/>
  <c r="U14" i="68"/>
  <c r="W251" i="58"/>
  <c r="H127" i="58"/>
  <c r="H97" i="58" s="1"/>
  <c r="M356" i="58"/>
  <c r="AV21" i="57"/>
  <c r="AU22" i="57"/>
  <c r="U22" i="57"/>
  <c r="T184" i="65"/>
  <c r="AV29" i="57"/>
  <c r="V22" i="57"/>
  <c r="AW21" i="57"/>
  <c r="V21" i="57" s="1"/>
  <c r="AU30" i="57"/>
  <c r="T30" i="57" s="1"/>
  <c r="U30" i="57"/>
  <c r="U23" i="57"/>
  <c r="AU23" i="57"/>
  <c r="T23" i="57" s="1"/>
  <c r="S51" i="61"/>
  <c r="S116" i="61"/>
  <c r="U28" i="57"/>
  <c r="AU28" i="57"/>
  <c r="T28" i="57" s="1"/>
  <c r="Q45" i="65"/>
  <c r="T46" i="65"/>
  <c r="V101" i="58"/>
  <c r="O11" i="65"/>
  <c r="U12" i="65"/>
  <c r="T127" i="65"/>
  <c r="V119" i="58"/>
  <c r="AW17" i="57"/>
  <c r="V17" i="57" s="1"/>
  <c r="S11" i="65"/>
  <c r="T14" i="65"/>
  <c r="Q12" i="65"/>
  <c r="T64" i="62"/>
  <c r="Q62" i="62"/>
  <c r="T62" i="62" s="1"/>
  <c r="T134" i="62"/>
  <c r="Q133" i="62"/>
  <c r="T133" i="62" s="1"/>
  <c r="U62" i="62"/>
  <c r="X62" i="63"/>
  <c r="Y62" i="63" s="1"/>
  <c r="AB62" i="63" s="1"/>
  <c r="X133" i="63"/>
  <c r="Y133" i="63" s="1"/>
  <c r="AB133" i="63" s="1"/>
  <c r="U133" i="62"/>
  <c r="S67" i="61"/>
  <c r="V161" i="58"/>
  <c r="U88" i="62"/>
  <c r="X88" i="63"/>
  <c r="Y88" i="63" s="1"/>
  <c r="AB88" i="63" s="1"/>
  <c r="T55" i="62"/>
  <c r="Q52" i="62"/>
  <c r="T90" i="62"/>
  <c r="Q88" i="62"/>
  <c r="T88" i="62" s="1"/>
  <c r="R131" i="58"/>
  <c r="T131" i="58" s="1"/>
  <c r="W131" i="58" s="1"/>
  <c r="S17" i="62"/>
  <c r="AO28" i="57"/>
  <c r="O28" i="57"/>
  <c r="V190" i="58"/>
  <c r="S120" i="61"/>
  <c r="R160" i="58"/>
  <c r="O51" i="62"/>
  <c r="O17" i="62" s="1"/>
  <c r="X52" i="63"/>
  <c r="Y52" i="63" s="1"/>
  <c r="AB52" i="63" s="1"/>
  <c r="U52" i="62"/>
  <c r="U18" i="62"/>
  <c r="X18" i="63"/>
  <c r="Y18" i="63" s="1"/>
  <c r="AB18" i="63" s="1"/>
  <c r="T20" i="62"/>
  <c r="Q18" i="62"/>
  <c r="V199" i="58"/>
  <c r="V130" i="58"/>
  <c r="V168" i="58"/>
  <c r="R115" i="58"/>
  <c r="V134" i="58"/>
  <c r="W100" i="61"/>
  <c r="V100" i="61" s="1"/>
  <c r="Y100" i="61"/>
  <c r="R36" i="58"/>
  <c r="T36" i="58" s="1"/>
  <c r="W36" i="58" s="1"/>
  <c r="V272" i="58"/>
  <c r="R92" i="58"/>
  <c r="T92" i="58" s="1"/>
  <c r="W92" i="58" s="1"/>
  <c r="R91" i="58"/>
  <c r="Q85" i="58"/>
  <c r="V164" i="58"/>
  <c r="V102" i="58"/>
  <c r="V103" i="58"/>
  <c r="V294" i="58"/>
  <c r="W99" i="61"/>
  <c r="U93" i="61"/>
  <c r="Y93" i="61" s="1"/>
  <c r="Y99" i="61"/>
  <c r="V243" i="58"/>
  <c r="W243" i="58"/>
  <c r="T236" i="58"/>
  <c r="S45" i="69"/>
  <c r="S126" i="61"/>
  <c r="V139" i="58"/>
  <c r="P99" i="61"/>
  <c r="Q93" i="61"/>
  <c r="T46" i="69"/>
  <c r="Q45" i="69"/>
  <c r="T45" i="69" s="1"/>
  <c r="O12" i="69"/>
  <c r="U14" i="69"/>
  <c r="V144" i="58"/>
  <c r="S164" i="61"/>
  <c r="S36" i="61"/>
  <c r="Q12" i="69"/>
  <c r="S100" i="61"/>
  <c r="S93" i="61" s="1"/>
  <c r="Y36" i="61"/>
  <c r="W36" i="61"/>
  <c r="V36" i="61" s="1"/>
  <c r="S121" i="61"/>
  <c r="S49" i="61"/>
  <c r="S40" i="61"/>
  <c r="S38" i="61" s="1"/>
  <c r="S166" i="61"/>
  <c r="S71" i="61"/>
  <c r="S131" i="61"/>
  <c r="S70" i="61"/>
  <c r="S129" i="61"/>
  <c r="Q53" i="58"/>
  <c r="U53" i="61"/>
  <c r="Q53" i="61"/>
  <c r="P53" i="61" s="1"/>
  <c r="Q54" i="61"/>
  <c r="Q54" i="58"/>
  <c r="U54" i="61"/>
  <c r="U162" i="61"/>
  <c r="Q325" i="58"/>
  <c r="Q162" i="61"/>
  <c r="P162" i="61" s="1"/>
  <c r="U161" i="61"/>
  <c r="Q324" i="58"/>
  <c r="R324" i="58" s="1"/>
  <c r="T324" i="58" s="1"/>
  <c r="W324" i="58" s="1"/>
  <c r="Q161" i="61"/>
  <c r="P161" i="61" s="1"/>
  <c r="AK17" i="57"/>
  <c r="J17" i="57" s="1"/>
  <c r="J127" i="58"/>
  <c r="J223" i="58"/>
  <c r="J224" i="58"/>
  <c r="T171" i="58"/>
  <c r="R169" i="58"/>
  <c r="T101" i="64"/>
  <c r="AJ22" i="57"/>
  <c r="Q100" i="64"/>
  <c r="T100" i="64" s="1"/>
  <c r="T278" i="58"/>
  <c r="R277" i="58"/>
  <c r="R276" i="58" s="1"/>
  <c r="T129" i="64"/>
  <c r="Q128" i="64"/>
  <c r="R109" i="58"/>
  <c r="T109" i="58" s="1"/>
  <c r="W109" i="58" s="1"/>
  <c r="Q184" i="64"/>
  <c r="T185" i="64"/>
  <c r="R226" i="58"/>
  <c r="T226" i="58" s="1"/>
  <c r="W226" i="58" s="1"/>
  <c r="T46" i="64"/>
  <c r="R150" i="58"/>
  <c r="R149" i="58" s="1"/>
  <c r="Q23" i="64"/>
  <c r="Q56" i="64"/>
  <c r="T56" i="64" s="1"/>
  <c r="O45" i="64"/>
  <c r="U45" i="64" s="1"/>
  <c r="V110" i="58"/>
  <c r="AK22" i="57"/>
  <c r="AJ30" i="57"/>
  <c r="T193" i="64"/>
  <c r="J107" i="58"/>
  <c r="V232" i="58"/>
  <c r="W118" i="58"/>
  <c r="T115" i="58"/>
  <c r="S128" i="64"/>
  <c r="S127" i="64" s="1"/>
  <c r="V211" i="58"/>
  <c r="T108" i="58"/>
  <c r="V137" i="58"/>
  <c r="T293" i="58"/>
  <c r="R285" i="58"/>
  <c r="T72" i="64"/>
  <c r="Q71" i="64"/>
  <c r="T71" i="64" s="1"/>
  <c r="AI23" i="57"/>
  <c r="H23" i="57" s="1"/>
  <c r="I23" i="57"/>
  <c r="U14" i="64"/>
  <c r="O12" i="64"/>
  <c r="V129" i="58"/>
  <c r="T257" i="58"/>
  <c r="R255" i="58"/>
  <c r="O127" i="64"/>
  <c r="U128" i="64"/>
  <c r="AI28" i="57"/>
  <c r="H28" i="57" s="1"/>
  <c r="I28" i="57"/>
  <c r="V258" i="58"/>
  <c r="V203" i="58"/>
  <c r="V205" i="58"/>
  <c r="S65" i="61"/>
  <c r="S48" i="61"/>
  <c r="S50" i="61"/>
  <c r="S46" i="61"/>
  <c r="S186" i="61"/>
  <c r="S62" i="61"/>
  <c r="V347" i="58"/>
  <c r="S57" i="61"/>
  <c r="S80" i="61"/>
  <c r="S56" i="61"/>
  <c r="S128" i="61"/>
  <c r="S55" i="61"/>
  <c r="P181" i="63"/>
  <c r="Q176" i="63"/>
  <c r="T181" i="63"/>
  <c r="Q176" i="62"/>
  <c r="P181" i="62"/>
  <c r="T181" i="62"/>
  <c r="S176" i="63"/>
  <c r="S132" i="63" s="1"/>
  <c r="S209" i="63" s="1"/>
  <c r="R267" i="58"/>
  <c r="H262" i="58"/>
  <c r="W153" i="58"/>
  <c r="V153" i="58"/>
  <c r="P182" i="63"/>
  <c r="T182" i="63"/>
  <c r="V334" i="58"/>
  <c r="U176" i="63"/>
  <c r="O132" i="63"/>
  <c r="T182" i="62"/>
  <c r="P182" i="62"/>
  <c r="S181" i="62"/>
  <c r="S176" i="62" s="1"/>
  <c r="S132" i="62" s="1"/>
  <c r="Y31" i="61"/>
  <c r="W31" i="61"/>
  <c r="V31" i="61" s="1"/>
  <c r="S30" i="61"/>
  <c r="R268" i="58"/>
  <c r="T268" i="58" s="1"/>
  <c r="W268" i="58" s="1"/>
  <c r="X176" i="63"/>
  <c r="Y176" i="63" s="1"/>
  <c r="AB176" i="63" s="1"/>
  <c r="O132" i="62"/>
  <c r="U176" i="62"/>
  <c r="AR28" i="57"/>
  <c r="Q28" i="57" s="1"/>
  <c r="R28" i="57"/>
  <c r="Y30" i="61"/>
  <c r="W30" i="61"/>
  <c r="V30" i="61" s="1"/>
  <c r="W216" i="58"/>
  <c r="V216" i="58"/>
  <c r="W266" i="58"/>
  <c r="V266" i="58"/>
  <c r="R30" i="58"/>
  <c r="T30" i="58" s="1"/>
  <c r="W30" i="58" s="1"/>
  <c r="Q168" i="61"/>
  <c r="P168" i="61" s="1"/>
  <c r="Q331" i="58"/>
  <c r="U168" i="61"/>
  <c r="U194" i="61"/>
  <c r="Y194" i="61" s="1"/>
  <c r="R308" i="58"/>
  <c r="T308" i="58" s="1"/>
  <c r="W308" i="58" s="1"/>
  <c r="R42" i="58"/>
  <c r="W164" i="61"/>
  <c r="V164" i="61" s="1"/>
  <c r="Y164" i="61"/>
  <c r="Y128" i="61"/>
  <c r="W128" i="61"/>
  <c r="V128" i="61" s="1"/>
  <c r="R330" i="58"/>
  <c r="T330" i="58" s="1"/>
  <c r="W330" i="58" s="1"/>
  <c r="R193" i="58"/>
  <c r="T193" i="58" s="1"/>
  <c r="W193" i="58" s="1"/>
  <c r="P157" i="61"/>
  <c r="R191" i="58"/>
  <c r="T191" i="58" s="1"/>
  <c r="W191" i="58" s="1"/>
  <c r="R58" i="58"/>
  <c r="T58" i="58" s="1"/>
  <c r="W58" i="58" s="1"/>
  <c r="R63" i="58"/>
  <c r="T63" i="58" s="1"/>
  <c r="W63" i="58" s="1"/>
  <c r="R40" i="58"/>
  <c r="T40" i="58" s="1"/>
  <c r="W40" i="58" s="1"/>
  <c r="V44" i="58"/>
  <c r="W44" i="58"/>
  <c r="AS21" i="57"/>
  <c r="R22" i="57"/>
  <c r="W133" i="58"/>
  <c r="V133" i="58"/>
  <c r="R49" i="58"/>
  <c r="T49" i="58" s="1"/>
  <c r="W49" i="58" s="1"/>
  <c r="V353" i="58"/>
  <c r="W353" i="58"/>
  <c r="W79" i="61"/>
  <c r="V79" i="61" s="1"/>
  <c r="Y79" i="61"/>
  <c r="P33" i="61"/>
  <c r="R320" i="58"/>
  <c r="R335" i="58"/>
  <c r="T335" i="58" s="1"/>
  <c r="W335" i="58" s="1"/>
  <c r="Y58" i="61"/>
  <c r="W58" i="61"/>
  <c r="V58" i="61" s="1"/>
  <c r="W120" i="61"/>
  <c r="V120" i="61" s="1"/>
  <c r="Y120" i="61"/>
  <c r="R336" i="58"/>
  <c r="T336" i="58" s="1"/>
  <c r="W336" i="58" s="1"/>
  <c r="W227" i="58"/>
  <c r="V227" i="58"/>
  <c r="R70" i="58"/>
  <c r="Q65" i="58"/>
  <c r="Y44" i="61"/>
  <c r="W44" i="61"/>
  <c r="V44" i="61" s="1"/>
  <c r="R326" i="58"/>
  <c r="R312" i="58"/>
  <c r="T312" i="58" s="1"/>
  <c r="W312" i="58" s="1"/>
  <c r="R185" i="58"/>
  <c r="T185" i="58" s="1"/>
  <c r="W185" i="58" s="1"/>
  <c r="P42" i="61"/>
  <c r="R43" i="58"/>
  <c r="T43" i="58" s="1"/>
  <c r="W43" i="58" s="1"/>
  <c r="R62" i="58"/>
  <c r="T62" i="58" s="1"/>
  <c r="W62" i="58" s="1"/>
  <c r="R52" i="58"/>
  <c r="T52" i="58" s="1"/>
  <c r="W52" i="58" s="1"/>
  <c r="R51" i="58"/>
  <c r="T51" i="58" s="1"/>
  <c r="W51" i="58" s="1"/>
  <c r="S184" i="61"/>
  <c r="Q127" i="66"/>
  <c r="T128" i="66"/>
  <c r="Y121" i="61"/>
  <c r="W121" i="61"/>
  <c r="V121" i="61" s="1"/>
  <c r="W65" i="61"/>
  <c r="V65" i="61" s="1"/>
  <c r="Y65" i="61"/>
  <c r="O41" i="61"/>
  <c r="S171" i="61"/>
  <c r="AF13" i="6"/>
  <c r="Y43" i="61"/>
  <c r="W43" i="61"/>
  <c r="V43" i="61" s="1"/>
  <c r="R195" i="58"/>
  <c r="T195" i="58"/>
  <c r="W166" i="61"/>
  <c r="V166" i="61" s="1"/>
  <c r="Y166" i="61"/>
  <c r="Y163" i="61"/>
  <c r="W163" i="61"/>
  <c r="P98" i="58"/>
  <c r="Y80" i="61"/>
  <c r="W80" i="61"/>
  <c r="V80" i="61" s="1"/>
  <c r="Y49" i="61"/>
  <c r="W49" i="61"/>
  <c r="V49" i="61" s="1"/>
  <c r="W126" i="61"/>
  <c r="V126" i="61" s="1"/>
  <c r="Y126" i="61"/>
  <c r="W67" i="61"/>
  <c r="V67" i="61" s="1"/>
  <c r="Y67" i="61"/>
  <c r="O11" i="66"/>
  <c r="U12" i="66"/>
  <c r="Y149" i="61"/>
  <c r="W149" i="61"/>
  <c r="V149" i="61" s="1"/>
  <c r="W70" i="61"/>
  <c r="V70" i="61" s="1"/>
  <c r="Y70" i="61"/>
  <c r="S190" i="61"/>
  <c r="W167" i="61"/>
  <c r="V167" i="61" s="1"/>
  <c r="Y167" i="61"/>
  <c r="V71" i="58"/>
  <c r="W71" i="58"/>
  <c r="S33" i="61"/>
  <c r="S52" i="61"/>
  <c r="W127" i="61"/>
  <c r="V127" i="61" s="1"/>
  <c r="Y127" i="61"/>
  <c r="R184" i="58"/>
  <c r="T184" i="58" s="1"/>
  <c r="W184" i="58" s="1"/>
  <c r="P78" i="61"/>
  <c r="S44" i="61"/>
  <c r="P124" i="61"/>
  <c r="Q123" i="61"/>
  <c r="W51" i="61"/>
  <c r="V51" i="61" s="1"/>
  <c r="Y51" i="61"/>
  <c r="V180" i="58"/>
  <c r="W180" i="58"/>
  <c r="W159" i="58"/>
  <c r="V159" i="58"/>
  <c r="S147" i="61"/>
  <c r="Y42" i="61"/>
  <c r="W42" i="61"/>
  <c r="Y171" i="61"/>
  <c r="W171" i="61"/>
  <c r="V171" i="61" s="1"/>
  <c r="W250" i="58"/>
  <c r="T245" i="58"/>
  <c r="V250" i="58"/>
  <c r="R192" i="58"/>
  <c r="T192" i="58" s="1"/>
  <c r="W192" i="58" s="1"/>
  <c r="W131" i="61"/>
  <c r="BK20" i="57" s="1"/>
  <c r="Y131" i="61"/>
  <c r="R329" i="58"/>
  <c r="T329" i="58" s="1"/>
  <c r="W329" i="58" s="1"/>
  <c r="R72" i="58"/>
  <c r="T72" i="58" s="1"/>
  <c r="W72" i="58" s="1"/>
  <c r="S149" i="61"/>
  <c r="Q176" i="58"/>
  <c r="R33" i="58"/>
  <c r="W52" i="61"/>
  <c r="V52" i="61" s="1"/>
  <c r="Y52" i="61"/>
  <c r="S146" i="61"/>
  <c r="W69" i="61"/>
  <c r="Y69" i="61"/>
  <c r="U68" i="61"/>
  <c r="Y68" i="61" s="1"/>
  <c r="U118" i="61"/>
  <c r="Y118" i="61" s="1"/>
  <c r="Y119" i="61"/>
  <c r="W119" i="61"/>
  <c r="S183" i="61"/>
  <c r="S174" i="61"/>
  <c r="R56" i="58"/>
  <c r="T56" i="58" s="1"/>
  <c r="W56" i="58" s="1"/>
  <c r="S45" i="61"/>
  <c r="Y78" i="61"/>
  <c r="W78" i="61"/>
  <c r="V78" i="61" s="1"/>
  <c r="S124" i="61"/>
  <c r="Y116" i="61"/>
  <c r="W116" i="61"/>
  <c r="V116" i="61" s="1"/>
  <c r="W184" i="61"/>
  <c r="V184" i="61" s="1"/>
  <c r="Y184" i="61"/>
  <c r="Y148" i="61"/>
  <c r="W148" i="61"/>
  <c r="V148" i="61" s="1"/>
  <c r="R39" i="58"/>
  <c r="Q38" i="58"/>
  <c r="V350" i="58"/>
  <c r="W350" i="58"/>
  <c r="P163" i="61"/>
  <c r="T105" i="58"/>
  <c r="W125" i="61"/>
  <c r="V125" i="61" s="1"/>
  <c r="Y125" i="61"/>
  <c r="Y47" i="61"/>
  <c r="W47" i="61"/>
  <c r="V47" i="61" s="1"/>
  <c r="W33" i="61"/>
  <c r="Y33" i="61"/>
  <c r="R309" i="58"/>
  <c r="T309" i="58" s="1"/>
  <c r="W309" i="58" s="1"/>
  <c r="R349" i="58"/>
  <c r="T349" i="58" s="1"/>
  <c r="W349" i="58" s="1"/>
  <c r="R346" i="58"/>
  <c r="T346" i="58" s="1"/>
  <c r="W346" i="58" s="1"/>
  <c r="Y174" i="61"/>
  <c r="W174" i="61"/>
  <c r="V174" i="61" s="1"/>
  <c r="W45" i="61"/>
  <c r="V45" i="61" s="1"/>
  <c r="Y45" i="61"/>
  <c r="S122" i="61"/>
  <c r="R333" i="58"/>
  <c r="Q332" i="58"/>
  <c r="S17" i="57"/>
  <c r="S66" i="61"/>
  <c r="W145" i="61"/>
  <c r="V145" i="61" s="1"/>
  <c r="Y145" i="61"/>
  <c r="S180" i="61"/>
  <c r="S63" i="61"/>
  <c r="S148" i="61"/>
  <c r="R310" i="58"/>
  <c r="T310" i="58" s="1"/>
  <c r="W310" i="58" s="1"/>
  <c r="W182" i="61"/>
  <c r="V182" i="61" s="1"/>
  <c r="Y182" i="61"/>
  <c r="U181" i="61"/>
  <c r="Y181" i="61" s="1"/>
  <c r="AR29" i="57"/>
  <c r="R29" i="57"/>
  <c r="P39" i="61"/>
  <c r="Q38" i="61"/>
  <c r="R304" i="58"/>
  <c r="S144" i="61"/>
  <c r="R48" i="58"/>
  <c r="T48" i="58" s="1"/>
  <c r="W48" i="58" s="1"/>
  <c r="S187" i="61"/>
  <c r="S110" i="61"/>
  <c r="S108" i="61" s="1"/>
  <c r="R59" i="58"/>
  <c r="T59" i="58" s="1"/>
  <c r="W59" i="58" s="1"/>
  <c r="W57" i="61"/>
  <c r="V57" i="61" s="1"/>
  <c r="Y57" i="61"/>
  <c r="S125" i="61"/>
  <c r="R50" i="58"/>
  <c r="T50" i="58" s="1"/>
  <c r="W50" i="58" s="1"/>
  <c r="S47" i="61"/>
  <c r="V55" i="58"/>
  <c r="W55" i="58"/>
  <c r="Y109" i="61"/>
  <c r="U108" i="61"/>
  <c r="W109" i="61"/>
  <c r="S64" i="61"/>
  <c r="W143" i="61"/>
  <c r="V143" i="61" s="1"/>
  <c r="Y143" i="61"/>
  <c r="U142" i="61"/>
  <c r="Y142" i="61" s="1"/>
  <c r="S157" i="61"/>
  <c r="Y146" i="61"/>
  <c r="W146" i="61"/>
  <c r="V146" i="61" s="1"/>
  <c r="W186" i="61"/>
  <c r="BK42" i="57" s="1"/>
  <c r="Y186" i="61"/>
  <c r="P69" i="61"/>
  <c r="Q68" i="61"/>
  <c r="Y62" i="61"/>
  <c r="W62" i="61"/>
  <c r="V62" i="61" s="1"/>
  <c r="R183" i="58"/>
  <c r="Q182" i="58"/>
  <c r="Q14" i="66"/>
  <c r="R186" i="58"/>
  <c r="T186" i="58" s="1"/>
  <c r="W186" i="58" s="1"/>
  <c r="P170" i="61"/>
  <c r="Q169" i="61"/>
  <c r="Y66" i="61"/>
  <c r="W66" i="61"/>
  <c r="V66" i="61" s="1"/>
  <c r="R188" i="58"/>
  <c r="Q187" i="58"/>
  <c r="W180" i="61"/>
  <c r="BK40" i="57" s="1"/>
  <c r="Y180" i="61"/>
  <c r="W147" i="61"/>
  <c r="V147" i="61" s="1"/>
  <c r="Y147" i="61"/>
  <c r="P182" i="61"/>
  <c r="Q181" i="61"/>
  <c r="R327" i="58"/>
  <c r="T327" i="58" s="1"/>
  <c r="W327" i="58" s="1"/>
  <c r="W39" i="61"/>
  <c r="V39" i="61" s="1"/>
  <c r="U38" i="61"/>
  <c r="Y38" i="61" s="1"/>
  <c r="Y39" i="61"/>
  <c r="P141" i="61"/>
  <c r="R307" i="58"/>
  <c r="T307" i="58" s="1"/>
  <c r="W307" i="58" s="1"/>
  <c r="W48" i="61"/>
  <c r="V48" i="61" s="1"/>
  <c r="Y48" i="61"/>
  <c r="P60" i="61"/>
  <c r="P59" i="61" s="1"/>
  <c r="Q59" i="61"/>
  <c r="R57" i="58"/>
  <c r="T57" i="58" s="1"/>
  <c r="W57" i="58" s="1"/>
  <c r="W50" i="61"/>
  <c r="V50" i="61" s="1"/>
  <c r="Y50" i="61"/>
  <c r="R46" i="58"/>
  <c r="T46" i="58" s="1"/>
  <c r="W46" i="58" s="1"/>
  <c r="Y55" i="61"/>
  <c r="W55" i="61"/>
  <c r="V55" i="61" s="1"/>
  <c r="Q108" i="61"/>
  <c r="P109" i="61"/>
  <c r="S27" i="57"/>
  <c r="AT26" i="57"/>
  <c r="S26" i="57" s="1"/>
  <c r="W64" i="61"/>
  <c r="V64" i="61" s="1"/>
  <c r="Y64" i="61"/>
  <c r="P143" i="61"/>
  <c r="Q142" i="61"/>
  <c r="W129" i="61"/>
  <c r="V129" i="61" s="1"/>
  <c r="Y129" i="61"/>
  <c r="S172" i="61"/>
  <c r="R61" i="58"/>
  <c r="Q60" i="58"/>
  <c r="P119" i="61"/>
  <c r="Q118" i="61"/>
  <c r="Y183" i="61"/>
  <c r="W183" i="61"/>
  <c r="V183" i="61" s="1"/>
  <c r="R337" i="58"/>
  <c r="T337" i="58" s="1"/>
  <c r="W337" i="58" s="1"/>
  <c r="W56" i="61"/>
  <c r="V56" i="61" s="1"/>
  <c r="Y56" i="61"/>
  <c r="R45" i="58"/>
  <c r="T45" i="58" s="1"/>
  <c r="W45" i="58" s="1"/>
  <c r="Y124" i="61"/>
  <c r="U123" i="61"/>
  <c r="Y123" i="61" s="1"/>
  <c r="W124" i="61"/>
  <c r="V124" i="61" s="1"/>
  <c r="S145" i="61"/>
  <c r="R343" i="58"/>
  <c r="T343" i="58" s="1"/>
  <c r="W343" i="58" s="1"/>
  <c r="W63" i="61"/>
  <c r="V63" i="61" s="1"/>
  <c r="Y63" i="61"/>
  <c r="R311" i="58"/>
  <c r="T311" i="58" s="1"/>
  <c r="W311" i="58" s="1"/>
  <c r="S42" i="61"/>
  <c r="R345" i="58"/>
  <c r="Q344" i="58"/>
  <c r="P127" i="58"/>
  <c r="S43" i="61"/>
  <c r="W141" i="61"/>
  <c r="Y141" i="61"/>
  <c r="W144" i="61"/>
  <c r="V144" i="61" s="1"/>
  <c r="Y144" i="61"/>
  <c r="W187" i="61"/>
  <c r="BK43" i="57" s="1"/>
  <c r="Y187" i="61"/>
  <c r="Y110" i="61"/>
  <c r="W110" i="61"/>
  <c r="V110" i="61" s="1"/>
  <c r="W60" i="61"/>
  <c r="U59" i="61"/>
  <c r="Y59" i="61" s="1"/>
  <c r="Y60" i="61"/>
  <c r="R189" i="58"/>
  <c r="T189" i="58" s="1"/>
  <c r="W189" i="58" s="1"/>
  <c r="AT22" i="57"/>
  <c r="AR22" i="57" s="1"/>
  <c r="S100" i="66"/>
  <c r="Y46" i="61"/>
  <c r="W46" i="61"/>
  <c r="V46" i="61" s="1"/>
  <c r="R47" i="58"/>
  <c r="T47" i="58" s="1"/>
  <c r="W47" i="58" s="1"/>
  <c r="S167" i="61"/>
  <c r="S79" i="61"/>
  <c r="R306" i="58"/>
  <c r="Q305" i="58"/>
  <c r="W157" i="61"/>
  <c r="Y157" i="61"/>
  <c r="W172" i="61"/>
  <c r="V172" i="61" s="1"/>
  <c r="Y172" i="61"/>
  <c r="S127" i="61"/>
  <c r="S58" i="61"/>
  <c r="Y173" i="61"/>
  <c r="W173" i="61"/>
  <c r="V173" i="61" s="1"/>
  <c r="W71" i="61"/>
  <c r="V71" i="61" s="1"/>
  <c r="Y71" i="61"/>
  <c r="W40" i="61"/>
  <c r="V40" i="61" s="1"/>
  <c r="Y40" i="61"/>
  <c r="Y122" i="61"/>
  <c r="W122" i="61"/>
  <c r="V122" i="61" s="1"/>
  <c r="U169" i="61"/>
  <c r="Y169" i="61" s="1"/>
  <c r="Y170" i="61"/>
  <c r="W170" i="61"/>
  <c r="K28" i="4"/>
  <c r="BD21" i="6"/>
  <c r="BD19" i="6"/>
  <c r="E49" i="4"/>
  <c r="C16" i="11"/>
  <c r="C8" i="11"/>
  <c r="AM19" i="6"/>
  <c r="AN21" i="6"/>
  <c r="AN19" i="6"/>
  <c r="AM21" i="6"/>
  <c r="AQ21" i="6"/>
  <c r="AQ19" i="6"/>
  <c r="AR19" i="6"/>
  <c r="AR21" i="6"/>
  <c r="D41" i="4"/>
  <c r="C42" i="3"/>
  <c r="AI19" i="6"/>
  <c r="AO26" i="10"/>
  <c r="AN26" i="12" s="1"/>
  <c r="L28" i="4"/>
  <c r="AU26" i="10"/>
  <c r="AT26" i="12" s="1"/>
  <c r="M28" i="4"/>
  <c r="BB26" i="10"/>
  <c r="BA26" i="12" s="1"/>
  <c r="O28" i="4"/>
  <c r="AZ19" i="6"/>
  <c r="AZ21" i="6"/>
  <c r="BA19" i="6"/>
  <c r="BA21" i="6"/>
  <c r="AK21" i="6"/>
  <c r="AK19" i="6"/>
  <c r="AL21" i="6"/>
  <c r="AL19" i="6"/>
  <c r="J28" i="4"/>
  <c r="H48" i="57"/>
  <c r="F42" i="4"/>
  <c r="AD26" i="12"/>
  <c r="BL3" i="12" l="1"/>
  <c r="AR26" i="43"/>
  <c r="N88" i="46"/>
  <c r="AX19" i="30"/>
  <c r="AX18" i="30" s="1"/>
  <c r="AX42" i="30" s="1"/>
  <c r="N4" i="38"/>
  <c r="P37" i="23"/>
  <c r="O36" i="23"/>
  <c r="P36" i="23" s="1"/>
  <c r="BC37" i="30"/>
  <c r="Q190" i="32"/>
  <c r="M174" i="32"/>
  <c r="Q174" i="32" s="1"/>
  <c r="B20" i="41"/>
  <c r="G16" i="41"/>
  <c r="AD52" i="30"/>
  <c r="AD53" i="30" s="1"/>
  <c r="AD51" i="30"/>
  <c r="AW19" i="30"/>
  <c r="AW18" i="30" s="1"/>
  <c r="M4" i="38"/>
  <c r="O73" i="38" s="1"/>
  <c r="O74" i="38" s="1"/>
  <c r="AD51" i="43"/>
  <c r="AD52" i="43"/>
  <c r="AD53" i="43" s="1"/>
  <c r="Q126" i="65"/>
  <c r="T126" i="65" s="1"/>
  <c r="BN3" i="12"/>
  <c r="AT34" i="43"/>
  <c r="M10" i="41" s="1"/>
  <c r="BM5" i="11"/>
  <c r="AW18" i="43"/>
  <c r="N7" i="41" s="1"/>
  <c r="BN16" i="43"/>
  <c r="O206" i="32"/>
  <c r="P57" i="48"/>
  <c r="O56" i="48"/>
  <c r="P56" i="48" s="1"/>
  <c r="P48" i="37"/>
  <c r="O47" i="37"/>
  <c r="Q48" i="37"/>
  <c r="M171" i="48"/>
  <c r="M172" i="48" s="1"/>
  <c r="O149" i="36"/>
  <c r="P150" i="36"/>
  <c r="AX20" i="43"/>
  <c r="N4" i="48"/>
  <c r="C16" i="28"/>
  <c r="B19" i="28"/>
  <c r="C41" i="4"/>
  <c r="B42" i="3"/>
  <c r="F16" i="9" s="1"/>
  <c r="N3" i="12"/>
  <c r="P94" i="37"/>
  <c r="O90" i="37"/>
  <c r="Q94" i="37"/>
  <c r="N171" i="46"/>
  <c r="N172" i="46" s="1"/>
  <c r="M171" i="46"/>
  <c r="M172" i="46" s="1"/>
  <c r="AP29" i="30"/>
  <c r="P161" i="36"/>
  <c r="P74" i="37"/>
  <c r="Q74" i="37"/>
  <c r="O70" i="37"/>
  <c r="O69" i="36"/>
  <c r="P69" i="36" s="1"/>
  <c r="P70" i="36"/>
  <c r="BP19" i="6"/>
  <c r="BP21" i="6"/>
  <c r="P150" i="46"/>
  <c r="O149" i="46"/>
  <c r="O89" i="23"/>
  <c r="P90" i="23"/>
  <c r="N171" i="37"/>
  <c r="N172" i="37" s="1"/>
  <c r="M171" i="37"/>
  <c r="M172" i="37" s="1"/>
  <c r="BQ8" i="6"/>
  <c r="BQ4" i="7" s="1"/>
  <c r="BQ19" i="6"/>
  <c r="BQ21" i="6"/>
  <c r="J3" i="12"/>
  <c r="X3" i="12"/>
  <c r="AW34" i="43"/>
  <c r="N10" i="41" s="1"/>
  <c r="M171" i="36"/>
  <c r="M172" i="36" s="1"/>
  <c r="O117" i="39"/>
  <c r="P117" i="39" s="1"/>
  <c r="P119" i="39"/>
  <c r="O89" i="47"/>
  <c r="P90" i="47"/>
  <c r="O5" i="20"/>
  <c r="P9" i="20"/>
  <c r="P21" i="37"/>
  <c r="O19" i="37"/>
  <c r="Q21" i="37"/>
  <c r="AG51" i="43"/>
  <c r="AG52" i="43"/>
  <c r="AG53" i="43" s="1"/>
  <c r="O36" i="48"/>
  <c r="AQ9" i="30"/>
  <c r="M5" i="28" s="1"/>
  <c r="AU19" i="30"/>
  <c r="BD19" i="30" s="1"/>
  <c r="BD18" i="30" s="1"/>
  <c r="N4" i="37"/>
  <c r="P27" i="38"/>
  <c r="O9" i="38"/>
  <c r="P27" i="47"/>
  <c r="O9" i="47"/>
  <c r="AA51" i="30"/>
  <c r="AA52" i="30"/>
  <c r="AA53" i="30" s="1"/>
  <c r="P125" i="46"/>
  <c r="Q125" i="46"/>
  <c r="O124" i="46"/>
  <c r="P124" i="46" s="1"/>
  <c r="S209" i="62"/>
  <c r="Z3" i="12"/>
  <c r="P44" i="36"/>
  <c r="O37" i="36"/>
  <c r="O5" i="34"/>
  <c r="P5" i="34" s="1"/>
  <c r="BB29" i="30"/>
  <c r="AI12" i="30"/>
  <c r="N174" i="32"/>
  <c r="BD37" i="30"/>
  <c r="P57" i="50"/>
  <c r="O56" i="50"/>
  <c r="P18" i="60"/>
  <c r="M15" i="60"/>
  <c r="T11" i="61"/>
  <c r="I17" i="60"/>
  <c r="J17" i="60" s="1"/>
  <c r="O31" i="7"/>
  <c r="N33" i="7"/>
  <c r="BO48" i="57"/>
  <c r="O149" i="27"/>
  <c r="P149" i="27" s="1"/>
  <c r="P150" i="27"/>
  <c r="AO3" i="12"/>
  <c r="BA12" i="30"/>
  <c r="BG3" i="12"/>
  <c r="AH3" i="12"/>
  <c r="O17" i="63"/>
  <c r="U17" i="63" s="1"/>
  <c r="AU12" i="30"/>
  <c r="AU9" i="30" s="1"/>
  <c r="P99" i="20"/>
  <c r="Q99" i="20"/>
  <c r="O90" i="20"/>
  <c r="L3" i="12"/>
  <c r="AL12" i="30"/>
  <c r="AL9" i="30" s="1"/>
  <c r="W3" i="12"/>
  <c r="R3" i="12"/>
  <c r="AO12" i="30"/>
  <c r="AO9" i="30" s="1"/>
  <c r="BA9" i="30"/>
  <c r="M22" i="57"/>
  <c r="AN21" i="57"/>
  <c r="M21" i="57" s="1"/>
  <c r="P150" i="39"/>
  <c r="O149" i="39"/>
  <c r="P29" i="32"/>
  <c r="O18" i="32"/>
  <c r="AC3" i="12"/>
  <c r="AZ34" i="43"/>
  <c r="P10" i="41" s="1"/>
  <c r="P150" i="40"/>
  <c r="O149" i="40"/>
  <c r="P149" i="40" s="1"/>
  <c r="S11" i="69"/>
  <c r="BJ3" i="12"/>
  <c r="Q45" i="67"/>
  <c r="T45" i="67" s="1"/>
  <c r="AZ9" i="30"/>
  <c r="N5" i="32"/>
  <c r="O129" i="39"/>
  <c r="N356" i="58"/>
  <c r="AL21" i="57"/>
  <c r="K21" i="57" s="1"/>
  <c r="AL44" i="57"/>
  <c r="K44" i="57" s="1"/>
  <c r="BO47" i="57"/>
  <c r="E33" i="9"/>
  <c r="E34" i="9"/>
  <c r="E75" i="9"/>
  <c r="E76" i="9"/>
  <c r="I3" i="8"/>
  <c r="R45" i="4"/>
  <c r="BG62" i="5"/>
  <c r="BG4" i="5"/>
  <c r="BG61" i="5" s="1"/>
  <c r="G67" i="9"/>
  <c r="BI3" i="6"/>
  <c r="BF8" i="10"/>
  <c r="E55" i="9"/>
  <c r="E54" i="9"/>
  <c r="C5" i="5"/>
  <c r="C65" i="5"/>
  <c r="C7" i="5"/>
  <c r="C64" i="5" s="1"/>
  <c r="G46" i="9"/>
  <c r="G25" i="9"/>
  <c r="E40" i="3"/>
  <c r="K37" i="3"/>
  <c r="BH8" i="6"/>
  <c r="BH4" i="7" s="1"/>
  <c r="BH19" i="6"/>
  <c r="BH21" i="6"/>
  <c r="BM4" i="11"/>
  <c r="O17" i="45"/>
  <c r="O4" i="44"/>
  <c r="O14" i="44" s="1"/>
  <c r="Q9" i="28"/>
  <c r="AQ18" i="57"/>
  <c r="P18" i="57" s="1"/>
  <c r="S11" i="68"/>
  <c r="AS72" i="13"/>
  <c r="BA72" i="13"/>
  <c r="BB72" i="13"/>
  <c r="D72" i="13"/>
  <c r="AD72" i="13"/>
  <c r="G72" i="13"/>
  <c r="V72" i="13"/>
  <c r="F72" i="13"/>
  <c r="AX72" i="13"/>
  <c r="BQ72" i="13"/>
  <c r="BC72" i="13"/>
  <c r="AE72" i="13"/>
  <c r="S72" i="13"/>
  <c r="AI72" i="13"/>
  <c r="AP72" i="13"/>
  <c r="O72" i="13"/>
  <c r="AV72" i="13"/>
  <c r="BF72" i="13"/>
  <c r="AT72" i="13"/>
  <c r="BK72" i="13"/>
  <c r="L72" i="13"/>
  <c r="AQ72" i="13"/>
  <c r="AN72" i="13"/>
  <c r="AJ72" i="13"/>
  <c r="AB72" i="13"/>
  <c r="BD72" i="13"/>
  <c r="BN72" i="13"/>
  <c r="AU72" i="13"/>
  <c r="R72" i="13"/>
  <c r="K72" i="13"/>
  <c r="AF72" i="13"/>
  <c r="C72" i="13"/>
  <c r="Z72" i="13"/>
  <c r="X72" i="13"/>
  <c r="BL72" i="13"/>
  <c r="BJ72" i="13"/>
  <c r="AZ72" i="13"/>
  <c r="AM72" i="13"/>
  <c r="AO72" i="13"/>
  <c r="AA72" i="13"/>
  <c r="T72" i="13"/>
  <c r="AH72" i="13"/>
  <c r="AL72" i="13"/>
  <c r="AW72" i="13"/>
  <c r="AY72" i="13"/>
  <c r="BH72" i="13"/>
  <c r="Y72" i="13"/>
  <c r="AC72" i="13"/>
  <c r="P72" i="13"/>
  <c r="N72" i="13"/>
  <c r="E72" i="13"/>
  <c r="BE72" i="13"/>
  <c r="BG72" i="13"/>
  <c r="BP72" i="13"/>
  <c r="U72" i="13"/>
  <c r="I72" i="13"/>
  <c r="J72" i="13"/>
  <c r="AR72" i="13"/>
  <c r="M72" i="13"/>
  <c r="BM72" i="13"/>
  <c r="BO72" i="13"/>
  <c r="BI72" i="13"/>
  <c r="AK72" i="13"/>
  <c r="H72" i="13"/>
  <c r="Q72" i="13"/>
  <c r="W72" i="13"/>
  <c r="AG72" i="13"/>
  <c r="AD19" i="6"/>
  <c r="AD21" i="6"/>
  <c r="H49" i="31"/>
  <c r="I49" i="31" s="1"/>
  <c r="H51" i="31"/>
  <c r="I51" i="31" s="1"/>
  <c r="H46" i="31"/>
  <c r="I46" i="31" s="1"/>
  <c r="H50" i="31"/>
  <c r="I50" i="31" s="1"/>
  <c r="H48" i="31"/>
  <c r="I48" i="31" s="1"/>
  <c r="H47" i="31"/>
  <c r="I47" i="31" s="1"/>
  <c r="P70" i="25"/>
  <c r="O69" i="25"/>
  <c r="P69" i="25" s="1"/>
  <c r="P99" i="25"/>
  <c r="Q99" i="25"/>
  <c r="AR9" i="30"/>
  <c r="BN21" i="6"/>
  <c r="BN19" i="6"/>
  <c r="D3" i="12"/>
  <c r="AP3" i="12"/>
  <c r="K45" i="31"/>
  <c r="K52" i="31" s="1"/>
  <c r="AI10" i="30"/>
  <c r="Q7" i="41"/>
  <c r="N9" i="45"/>
  <c r="N6" i="45" s="1"/>
  <c r="N5" i="45" s="1"/>
  <c r="N4" i="44"/>
  <c r="N14" i="44" s="1"/>
  <c r="N15" i="44" s="1"/>
  <c r="AE19" i="6"/>
  <c r="AE21" i="6"/>
  <c r="AU37" i="43"/>
  <c r="AU34" i="43" s="1"/>
  <c r="AX37" i="43"/>
  <c r="AX34" i="43" s="1"/>
  <c r="AL37" i="43"/>
  <c r="AL34" i="43" s="1"/>
  <c r="AO37" i="43"/>
  <c r="AO34" i="43" s="1"/>
  <c r="AR37" i="43"/>
  <c r="AR34" i="43" s="1"/>
  <c r="BA37" i="43"/>
  <c r="BA34" i="43" s="1"/>
  <c r="BJ34" i="43"/>
  <c r="P149" i="35"/>
  <c r="AM28" i="30"/>
  <c r="BO8" i="6"/>
  <c r="BO4" i="7" s="1"/>
  <c r="BO19" i="6"/>
  <c r="BO21" i="6"/>
  <c r="Q32" i="4"/>
  <c r="Q33" i="4"/>
  <c r="L5" i="28"/>
  <c r="M6" i="45"/>
  <c r="M5" i="45" s="1"/>
  <c r="Q5" i="45" s="1"/>
  <c r="BR8" i="6"/>
  <c r="BR4" i="7" s="1"/>
  <c r="BR21" i="6"/>
  <c r="BR19" i="6"/>
  <c r="AP40" i="30"/>
  <c r="AM40" i="30"/>
  <c r="AJ40" i="30"/>
  <c r="AS40" i="30"/>
  <c r="AY40" i="30"/>
  <c r="AG40" i="30"/>
  <c r="M3" i="12"/>
  <c r="BN31" i="43"/>
  <c r="P90" i="24"/>
  <c r="O89" i="24"/>
  <c r="N5" i="28"/>
  <c r="BS8" i="6"/>
  <c r="BS4" i="7" s="1"/>
  <c r="BS19" i="6"/>
  <c r="BS21" i="6"/>
  <c r="O5" i="27"/>
  <c r="P6" i="27"/>
  <c r="I150" i="32"/>
  <c r="BB33" i="30"/>
  <c r="P150" i="32"/>
  <c r="O127" i="32"/>
  <c r="P127" i="32" s="1"/>
  <c r="O106" i="45"/>
  <c r="P106" i="45" s="1"/>
  <c r="P107" i="45"/>
  <c r="BH21" i="43"/>
  <c r="BM21" i="43"/>
  <c r="P4" i="25"/>
  <c r="N169" i="25"/>
  <c r="N170" i="25" s="1"/>
  <c r="P5" i="28"/>
  <c r="P70" i="39"/>
  <c r="O69" i="39"/>
  <c r="P107" i="32"/>
  <c r="BB21" i="30"/>
  <c r="O106" i="32"/>
  <c r="P106" i="32" s="1"/>
  <c r="P207" i="45"/>
  <c r="BH38" i="43"/>
  <c r="O174" i="45"/>
  <c r="P102" i="46"/>
  <c r="Q102" i="46"/>
  <c r="O90" i="46"/>
  <c r="BA21" i="30"/>
  <c r="BA18" i="30" s="1"/>
  <c r="AO21" i="30"/>
  <c r="AO18" i="30" s="1"/>
  <c r="AU21" i="30"/>
  <c r="AU18" i="30" s="1"/>
  <c r="AL21" i="30"/>
  <c r="AL18" i="30" s="1"/>
  <c r="AR21" i="30"/>
  <c r="AR18" i="30" s="1"/>
  <c r="AI21" i="30"/>
  <c r="AI18" i="30" s="1"/>
  <c r="C3" i="11"/>
  <c r="E3" i="8" s="1"/>
  <c r="U45" i="67"/>
  <c r="O11" i="67"/>
  <c r="O9" i="23"/>
  <c r="P9" i="23" s="1"/>
  <c r="P10" i="23"/>
  <c r="K76" i="32"/>
  <c r="Q76" i="32"/>
  <c r="M75" i="32"/>
  <c r="O76" i="32"/>
  <c r="J45" i="31"/>
  <c r="J52" i="31" s="1"/>
  <c r="AH10" i="30"/>
  <c r="BC10" i="30" s="1"/>
  <c r="BC9" i="30" s="1"/>
  <c r="O21" i="31" s="1"/>
  <c r="AJ16" i="30"/>
  <c r="AY16" i="30"/>
  <c r="AP16" i="30"/>
  <c r="AS16" i="30"/>
  <c r="AG16" i="30"/>
  <c r="AM16" i="30"/>
  <c r="AK11" i="43"/>
  <c r="AZ11" i="43"/>
  <c r="AT11" i="43"/>
  <c r="AW11" i="43"/>
  <c r="AQ11" i="43"/>
  <c r="AN11" i="43"/>
  <c r="P9" i="46"/>
  <c r="O5" i="46"/>
  <c r="AJ7" i="6"/>
  <c r="AK7" i="6"/>
  <c r="AS37" i="43"/>
  <c r="AP37" i="43"/>
  <c r="AV37" i="43"/>
  <c r="AY37" i="43"/>
  <c r="AM37" i="43"/>
  <c r="AJ37" i="43"/>
  <c r="R32" i="4"/>
  <c r="R33" i="4"/>
  <c r="AY16" i="43"/>
  <c r="AV16" i="43"/>
  <c r="AP16" i="43"/>
  <c r="AM16" i="43"/>
  <c r="AJ16" i="43"/>
  <c r="AS16" i="43"/>
  <c r="BB11" i="30"/>
  <c r="P17" i="32"/>
  <c r="M15" i="44"/>
  <c r="J14" i="44"/>
  <c r="O129" i="40"/>
  <c r="P129" i="40" s="1"/>
  <c r="AK12" i="43"/>
  <c r="AQ12" i="43"/>
  <c r="AZ12" i="43"/>
  <c r="AN12" i="43"/>
  <c r="AW12" i="43"/>
  <c r="AT12" i="43"/>
  <c r="P134" i="51"/>
  <c r="O129" i="51"/>
  <c r="P129" i="51" s="1"/>
  <c r="P10" i="25"/>
  <c r="O9" i="25"/>
  <c r="P9" i="25" s="1"/>
  <c r="V35" i="58"/>
  <c r="T138" i="58"/>
  <c r="L21" i="57"/>
  <c r="D12" i="14" s="1"/>
  <c r="M12" i="14"/>
  <c r="U129" i="69"/>
  <c r="O128" i="69"/>
  <c r="L225" i="58"/>
  <c r="U101" i="69"/>
  <c r="N101" i="69"/>
  <c r="O100" i="69"/>
  <c r="U100" i="69" s="1"/>
  <c r="S130" i="69"/>
  <c r="S129" i="69" s="1"/>
  <c r="S128" i="69" s="1"/>
  <c r="S127" i="69" s="1"/>
  <c r="S126" i="69" s="1"/>
  <c r="S203" i="69" s="1"/>
  <c r="Q129" i="69"/>
  <c r="T130" i="69"/>
  <c r="P130" i="69"/>
  <c r="L197" i="58"/>
  <c r="L196" i="58" s="1"/>
  <c r="R198" i="58"/>
  <c r="V106" i="58"/>
  <c r="P102" i="69"/>
  <c r="T102" i="69"/>
  <c r="Q101" i="69"/>
  <c r="V32" i="58"/>
  <c r="W74" i="58"/>
  <c r="S45" i="64"/>
  <c r="AK18" i="57" s="1"/>
  <c r="J18" i="57" s="1"/>
  <c r="U160" i="61"/>
  <c r="Y160" i="61" s="1"/>
  <c r="S68" i="61"/>
  <c r="J222" i="58"/>
  <c r="AT19" i="6"/>
  <c r="AT21" i="6"/>
  <c r="AN3" i="12"/>
  <c r="P36" i="35"/>
  <c r="AM20" i="30"/>
  <c r="AM3" i="12"/>
  <c r="P22" i="57"/>
  <c r="P36" i="33"/>
  <c r="AG20" i="30"/>
  <c r="O3" i="12"/>
  <c r="AX3" i="12"/>
  <c r="BI3" i="12"/>
  <c r="BO3" i="12"/>
  <c r="P3" i="12"/>
  <c r="AY19" i="30"/>
  <c r="P5" i="39"/>
  <c r="O4" i="39"/>
  <c r="D17" i="56"/>
  <c r="G8" i="56"/>
  <c r="E5" i="61"/>
  <c r="AQ21" i="57"/>
  <c r="P21" i="57" s="1"/>
  <c r="P89" i="51"/>
  <c r="O88" i="51"/>
  <c r="P88" i="51" s="1"/>
  <c r="P9" i="50"/>
  <c r="O5" i="50"/>
  <c r="V3" i="12"/>
  <c r="P37" i="38"/>
  <c r="O36" i="38"/>
  <c r="AU14" i="30"/>
  <c r="AU13" i="30" s="1"/>
  <c r="AR14" i="30"/>
  <c r="AR13" i="30" s="1"/>
  <c r="AL14" i="30"/>
  <c r="AL13" i="30" s="1"/>
  <c r="AO14" i="30"/>
  <c r="AO13" i="30" s="1"/>
  <c r="BD13" i="30"/>
  <c r="AI14" i="30"/>
  <c r="AI13" i="30" s="1"/>
  <c r="BA14" i="30"/>
  <c r="BA13" i="30" s="1"/>
  <c r="BH3" i="12"/>
  <c r="AE3" i="12"/>
  <c r="S34" i="61"/>
  <c r="P5" i="33"/>
  <c r="AG19" i="30"/>
  <c r="O4" i="33"/>
  <c r="I3" i="56"/>
  <c r="I4" i="56"/>
  <c r="C3" i="4" s="1"/>
  <c r="S3" i="12"/>
  <c r="E3" i="12"/>
  <c r="BE3" i="12"/>
  <c r="T12" i="67"/>
  <c r="Q11" i="67"/>
  <c r="AG27" i="30"/>
  <c r="P129" i="33"/>
  <c r="J8" i="28"/>
  <c r="O89" i="39"/>
  <c r="P90" i="39"/>
  <c r="AS18" i="57"/>
  <c r="R18" i="57" s="1"/>
  <c r="W93" i="61"/>
  <c r="BK14" i="57" s="1"/>
  <c r="AD14" i="57" s="1"/>
  <c r="AT3" i="12"/>
  <c r="AP19" i="30"/>
  <c r="P5" i="36"/>
  <c r="P18" i="45"/>
  <c r="BM12" i="43"/>
  <c r="BH12" i="43"/>
  <c r="O88" i="40"/>
  <c r="P88" i="40" s="1"/>
  <c r="P89" i="40"/>
  <c r="AU3" i="12"/>
  <c r="P9" i="40"/>
  <c r="O5" i="40"/>
  <c r="AM31" i="43"/>
  <c r="AM30" i="43" s="1"/>
  <c r="AP31" i="43"/>
  <c r="AP30" i="43" s="1"/>
  <c r="AV31" i="43"/>
  <c r="AV30" i="43" s="1"/>
  <c r="AS31" i="43"/>
  <c r="AS30" i="43" s="1"/>
  <c r="AJ31" i="43"/>
  <c r="AJ30" i="43" s="1"/>
  <c r="AY31" i="43"/>
  <c r="AY30" i="43" s="1"/>
  <c r="BH30" i="43"/>
  <c r="BN30" i="43" s="1"/>
  <c r="Q3" i="12"/>
  <c r="AB3" i="12"/>
  <c r="P129" i="34"/>
  <c r="AJ27" i="30"/>
  <c r="P5" i="51"/>
  <c r="O4" i="51"/>
  <c r="P76" i="45"/>
  <c r="O75" i="45"/>
  <c r="R34" i="58"/>
  <c r="T34" i="58" s="1"/>
  <c r="W34" i="58" s="1"/>
  <c r="AD3" i="12"/>
  <c r="I134" i="61"/>
  <c r="M134" i="61" s="1"/>
  <c r="O134" i="61" s="1"/>
  <c r="I15" i="61"/>
  <c r="M15" i="61" s="1"/>
  <c r="O15" i="61" s="1"/>
  <c r="I130" i="61"/>
  <c r="M130" i="61" s="1"/>
  <c r="O130" i="61" s="1"/>
  <c r="I111" i="61"/>
  <c r="M111" i="61" s="1"/>
  <c r="O111" i="61" s="1"/>
  <c r="I22" i="61"/>
  <c r="M22" i="61" s="1"/>
  <c r="O22" i="61" s="1"/>
  <c r="I103" i="61"/>
  <c r="M103" i="61" s="1"/>
  <c r="O103" i="61" s="1"/>
  <c r="I29" i="61"/>
  <c r="M29" i="61" s="1"/>
  <c r="O29" i="61" s="1"/>
  <c r="I117" i="61"/>
  <c r="M117" i="61" s="1"/>
  <c r="O117" i="61" s="1"/>
  <c r="I115" i="61"/>
  <c r="M115" i="61" s="1"/>
  <c r="O115" i="61" s="1"/>
  <c r="I21" i="61"/>
  <c r="M21" i="61" s="1"/>
  <c r="O21" i="61" s="1"/>
  <c r="I112" i="61"/>
  <c r="M112" i="61" s="1"/>
  <c r="O112" i="61" s="1"/>
  <c r="I104" i="61"/>
  <c r="M104" i="61" s="1"/>
  <c r="O104" i="61" s="1"/>
  <c r="I37" i="61"/>
  <c r="M37" i="61" s="1"/>
  <c r="I114" i="61"/>
  <c r="M114" i="61" s="1"/>
  <c r="O114" i="61" s="1"/>
  <c r="BC3" i="12"/>
  <c r="P36" i="34"/>
  <c r="AJ20" i="30"/>
  <c r="AY24" i="43"/>
  <c r="BH24" i="43" s="1"/>
  <c r="BN24" i="43" s="1"/>
  <c r="P69" i="49"/>
  <c r="T3" i="12"/>
  <c r="AW3" i="12"/>
  <c r="O89" i="49"/>
  <c r="P90" i="49"/>
  <c r="U3" i="12"/>
  <c r="AY3" i="12"/>
  <c r="BM3" i="12"/>
  <c r="AA3" i="12"/>
  <c r="H3" i="12"/>
  <c r="AI3" i="12"/>
  <c r="AT74" i="13"/>
  <c r="BB74" i="13"/>
  <c r="BJ74" i="13"/>
  <c r="AU74" i="13"/>
  <c r="BC74" i="13"/>
  <c r="BK74" i="13"/>
  <c r="AZ74" i="13"/>
  <c r="AV74" i="13"/>
  <c r="BD74" i="13"/>
  <c r="BL74" i="13"/>
  <c r="BO74" i="13"/>
  <c r="AW74" i="13"/>
  <c r="BE74" i="13"/>
  <c r="BM74" i="13"/>
  <c r="BG74" i="13"/>
  <c r="BP74" i="13"/>
  <c r="AS74" i="13"/>
  <c r="AX74" i="13"/>
  <c r="BF74" i="13"/>
  <c r="BN74" i="13"/>
  <c r="AY74" i="13"/>
  <c r="BH74" i="13"/>
  <c r="BA74" i="13"/>
  <c r="BI74" i="13"/>
  <c r="BQ74" i="13"/>
  <c r="D74" i="13"/>
  <c r="W74" i="13"/>
  <c r="U74" i="13"/>
  <c r="AQ74" i="13"/>
  <c r="S74" i="13"/>
  <c r="Y74" i="13"/>
  <c r="AC74" i="13"/>
  <c r="T74" i="13"/>
  <c r="AK74" i="13"/>
  <c r="AR74" i="13"/>
  <c r="AH74" i="13"/>
  <c r="AB74" i="13"/>
  <c r="G74" i="13"/>
  <c r="O74" i="13"/>
  <c r="AP74" i="13"/>
  <c r="AA74" i="13"/>
  <c r="AM74" i="13"/>
  <c r="N74" i="13"/>
  <c r="R74" i="13"/>
  <c r="AI74" i="13"/>
  <c r="X74" i="13"/>
  <c r="J74" i="13"/>
  <c r="AJ74" i="13"/>
  <c r="AO74" i="13"/>
  <c r="H74" i="13"/>
  <c r="F74" i="13"/>
  <c r="C74" i="13"/>
  <c r="E74" i="13"/>
  <c r="I74" i="13"/>
  <c r="AD74" i="13"/>
  <c r="V74" i="13"/>
  <c r="M74" i="13"/>
  <c r="AG74" i="13"/>
  <c r="AL74" i="13"/>
  <c r="L74" i="13"/>
  <c r="Q74" i="13"/>
  <c r="AE74" i="13"/>
  <c r="P74" i="13"/>
  <c r="Z74" i="13"/>
  <c r="AN74" i="13"/>
  <c r="AF74" i="13"/>
  <c r="K74" i="13"/>
  <c r="AJ3" i="12"/>
  <c r="Q75" i="45"/>
  <c r="M73" i="45"/>
  <c r="K3" i="12"/>
  <c r="Y34" i="61"/>
  <c r="W34" i="61"/>
  <c r="V34" i="61" s="1"/>
  <c r="AR3" i="12"/>
  <c r="S161" i="61"/>
  <c r="V27" i="57"/>
  <c r="O88" i="34"/>
  <c r="P88" i="34" s="1"/>
  <c r="P89" i="34"/>
  <c r="AJ26" i="30"/>
  <c r="AU14" i="43"/>
  <c r="AU13" i="43" s="1"/>
  <c r="AX14" i="43"/>
  <c r="AX13" i="43" s="1"/>
  <c r="BA14" i="43"/>
  <c r="BA13" i="43" s="1"/>
  <c r="BJ13" i="43"/>
  <c r="AR14" i="43"/>
  <c r="AR13" i="43" s="1"/>
  <c r="AL14" i="43"/>
  <c r="AL13" i="43" s="1"/>
  <c r="AO14" i="43"/>
  <c r="AO13" i="43" s="1"/>
  <c r="AS20" i="43"/>
  <c r="P36" i="47"/>
  <c r="BK3" i="12"/>
  <c r="Y3" i="12"/>
  <c r="AX70" i="13"/>
  <c r="BF70" i="13"/>
  <c r="BN70" i="13"/>
  <c r="BK70" i="13"/>
  <c r="AV70" i="13"/>
  <c r="AY70" i="13"/>
  <c r="BG70" i="13"/>
  <c r="BO70" i="13"/>
  <c r="BD70" i="13"/>
  <c r="AZ70" i="13"/>
  <c r="BH70" i="13"/>
  <c r="BP70" i="13"/>
  <c r="AS70" i="13"/>
  <c r="BA70" i="13"/>
  <c r="BI70" i="13"/>
  <c r="BQ70" i="13"/>
  <c r="BC70" i="13"/>
  <c r="AW70" i="13"/>
  <c r="BM70" i="13"/>
  <c r="AT70" i="13"/>
  <c r="BB70" i="13"/>
  <c r="BJ70" i="13"/>
  <c r="AU70" i="13"/>
  <c r="BL70" i="13"/>
  <c r="BE70" i="13"/>
  <c r="P70" i="13"/>
  <c r="AP70" i="13"/>
  <c r="H70" i="13"/>
  <c r="V70" i="13"/>
  <c r="M70" i="13"/>
  <c r="AC70" i="13"/>
  <c r="AI70" i="13"/>
  <c r="J70" i="13"/>
  <c r="AN70" i="13"/>
  <c r="AA70" i="13"/>
  <c r="S70" i="13"/>
  <c r="AE70" i="13"/>
  <c r="L70" i="13"/>
  <c r="AK70" i="13"/>
  <c r="U70" i="13"/>
  <c r="Q70" i="13"/>
  <c r="AD70" i="13"/>
  <c r="AL70" i="13"/>
  <c r="I70" i="13"/>
  <c r="E70" i="13"/>
  <c r="Y70" i="13"/>
  <c r="F70" i="13"/>
  <c r="AQ70" i="13"/>
  <c r="AM70" i="13"/>
  <c r="K70" i="13"/>
  <c r="W70" i="13"/>
  <c r="AO70" i="13"/>
  <c r="G70" i="13"/>
  <c r="AB70" i="13"/>
  <c r="Z70" i="13"/>
  <c r="D70" i="13"/>
  <c r="R70" i="13"/>
  <c r="AG70" i="13"/>
  <c r="AR70" i="13"/>
  <c r="AH70" i="13"/>
  <c r="T70" i="13"/>
  <c r="AF70" i="13"/>
  <c r="X70" i="13"/>
  <c r="O70" i="13"/>
  <c r="N70" i="13"/>
  <c r="C70" i="13"/>
  <c r="AJ70" i="13"/>
  <c r="O5" i="35"/>
  <c r="P9" i="35"/>
  <c r="AQ3" i="12"/>
  <c r="P129" i="48"/>
  <c r="AV27" i="43"/>
  <c r="O4" i="48"/>
  <c r="P5" i="48"/>
  <c r="AV19" i="43"/>
  <c r="I3" i="12"/>
  <c r="BA3" i="12"/>
  <c r="Q10" i="41"/>
  <c r="AM26" i="30"/>
  <c r="P89" i="35"/>
  <c r="O88" i="35"/>
  <c r="P88" i="35" s="1"/>
  <c r="M28" i="60"/>
  <c r="T24" i="61"/>
  <c r="AK3" i="12"/>
  <c r="G3" i="12"/>
  <c r="AY20" i="30"/>
  <c r="P36" i="39"/>
  <c r="P89" i="48"/>
  <c r="AV26" i="43"/>
  <c r="AV25" i="43" s="1"/>
  <c r="O88" i="48"/>
  <c r="P88" i="48" s="1"/>
  <c r="P89" i="36"/>
  <c r="O88" i="36"/>
  <c r="P88" i="36" s="1"/>
  <c r="AP26" i="30"/>
  <c r="BF3" i="12"/>
  <c r="P37" i="46"/>
  <c r="O36" i="46"/>
  <c r="P111" i="33"/>
  <c r="O89" i="33"/>
  <c r="Q17" i="63"/>
  <c r="T17" i="63" s="1"/>
  <c r="T18" i="63"/>
  <c r="AL3" i="12"/>
  <c r="AL29" i="57"/>
  <c r="K29" i="57" s="1"/>
  <c r="L29" i="57"/>
  <c r="P129" i="36"/>
  <c r="AP27" i="30"/>
  <c r="AY19" i="43"/>
  <c r="P5" i="49"/>
  <c r="F3" i="12"/>
  <c r="AV3" i="12"/>
  <c r="BC25" i="30"/>
  <c r="P149" i="37"/>
  <c r="AS28" i="30"/>
  <c r="AV20" i="43"/>
  <c r="P36" i="48"/>
  <c r="C3" i="12"/>
  <c r="BD26" i="30"/>
  <c r="BD25" i="30" s="1"/>
  <c r="P37" i="49"/>
  <c r="O36" i="49"/>
  <c r="BB3" i="12"/>
  <c r="C7" i="12"/>
  <c r="AF3" i="12"/>
  <c r="AS3" i="12"/>
  <c r="BH27" i="43"/>
  <c r="BN27" i="43" s="1"/>
  <c r="BD3" i="12"/>
  <c r="AZ3" i="12"/>
  <c r="AU39" i="57"/>
  <c r="T39" i="57" s="1"/>
  <c r="AR39" i="57"/>
  <c r="Q39" i="57" s="1"/>
  <c r="V99" i="61"/>
  <c r="V93" i="61" s="1"/>
  <c r="BL14" i="57" s="1"/>
  <c r="Q160" i="61"/>
  <c r="AO39" i="57"/>
  <c r="N39" i="57" s="1"/>
  <c r="H39" i="57"/>
  <c r="J39" i="57"/>
  <c r="BC39" i="57"/>
  <c r="BA39" i="57" s="1"/>
  <c r="BD39" i="57"/>
  <c r="BG39" i="57"/>
  <c r="U12" i="68"/>
  <c r="O11" i="68"/>
  <c r="AP18" i="57"/>
  <c r="T45" i="68"/>
  <c r="O29" i="57"/>
  <c r="AO29" i="57"/>
  <c r="N29" i="57" s="1"/>
  <c r="O364" i="58"/>
  <c r="N22" i="57"/>
  <c r="AO21" i="57"/>
  <c r="N21" i="57" s="1"/>
  <c r="T127" i="68"/>
  <c r="AP27" i="57"/>
  <c r="Q126" i="68"/>
  <c r="T126" i="68" s="1"/>
  <c r="AP17" i="57"/>
  <c r="T12" i="68"/>
  <c r="Q11" i="68"/>
  <c r="T11" i="68" s="1"/>
  <c r="O21" i="57"/>
  <c r="E12" i="14" s="1"/>
  <c r="N12" i="14"/>
  <c r="P27" i="57"/>
  <c r="AQ26" i="57"/>
  <c r="P26" i="57" s="1"/>
  <c r="V131" i="58"/>
  <c r="T128" i="58"/>
  <c r="V128" i="58" s="1"/>
  <c r="R128" i="58"/>
  <c r="V337" i="58"/>
  <c r="U29" i="57"/>
  <c r="AU29" i="57"/>
  <c r="T29" i="57" s="1"/>
  <c r="W195" i="58"/>
  <c r="V36" i="58"/>
  <c r="AU21" i="57"/>
  <c r="T21" i="57" s="1"/>
  <c r="T22" i="57"/>
  <c r="P12" i="14"/>
  <c r="U21" i="57"/>
  <c r="G12" i="14" s="1"/>
  <c r="AV18" i="57"/>
  <c r="T45" i="65"/>
  <c r="M364" i="58"/>
  <c r="M365" i="58"/>
  <c r="AU27" i="57"/>
  <c r="AV26" i="57"/>
  <c r="U27" i="57"/>
  <c r="T12" i="65"/>
  <c r="Q11" i="65"/>
  <c r="T11" i="65" s="1"/>
  <c r="AV17" i="57"/>
  <c r="O203" i="65"/>
  <c r="U11" i="65"/>
  <c r="V92" i="58"/>
  <c r="U17" i="62"/>
  <c r="X17" i="63"/>
  <c r="Y17" i="63" s="1"/>
  <c r="AB17" i="63" s="1"/>
  <c r="Q51" i="62"/>
  <c r="T51" i="62" s="1"/>
  <c r="T52" i="62"/>
  <c r="V50" i="58"/>
  <c r="V48" i="58"/>
  <c r="Q41" i="58"/>
  <c r="S118" i="61"/>
  <c r="N28" i="57"/>
  <c r="T18" i="62"/>
  <c r="X51" i="63"/>
  <c r="Y51" i="63" s="1"/>
  <c r="AB51" i="63" s="1"/>
  <c r="U51" i="62"/>
  <c r="T160" i="58"/>
  <c r="R158" i="58"/>
  <c r="U12" i="69"/>
  <c r="O11" i="69"/>
  <c r="V324" i="58"/>
  <c r="V57" i="58"/>
  <c r="W236" i="58"/>
  <c r="V236" i="58"/>
  <c r="Q41" i="61"/>
  <c r="T91" i="58"/>
  <c r="R85" i="58"/>
  <c r="Q323" i="58"/>
  <c r="V226" i="58"/>
  <c r="T12" i="69"/>
  <c r="Q11" i="69"/>
  <c r="R54" i="58"/>
  <c r="T54" i="58" s="1"/>
  <c r="W54" i="58" s="1"/>
  <c r="V180" i="61"/>
  <c r="BL40" i="57" s="1"/>
  <c r="AK40" i="57" s="1"/>
  <c r="S54" i="61"/>
  <c r="P54" i="61"/>
  <c r="Y161" i="61"/>
  <c r="W161" i="61"/>
  <c r="V161" i="61" s="1"/>
  <c r="S53" i="61"/>
  <c r="W54" i="61"/>
  <c r="V54" i="61" s="1"/>
  <c r="Y54" i="61"/>
  <c r="W123" i="61"/>
  <c r="W59" i="61"/>
  <c r="S169" i="61"/>
  <c r="W108" i="61"/>
  <c r="S142" i="61"/>
  <c r="S162" i="61"/>
  <c r="Y53" i="61"/>
  <c r="W53" i="61"/>
  <c r="V53" i="61" s="1"/>
  <c r="R325" i="58"/>
  <c r="T325" i="58" s="1"/>
  <c r="W325" i="58" s="1"/>
  <c r="R53" i="58"/>
  <c r="T53" i="58" s="1"/>
  <c r="W53" i="58" s="1"/>
  <c r="V141" i="61"/>
  <c r="V45" i="58"/>
  <c r="V33" i="61"/>
  <c r="W162" i="61"/>
  <c r="V162" i="61" s="1"/>
  <c r="Y162" i="61"/>
  <c r="V343" i="58"/>
  <c r="V72" i="58"/>
  <c r="V108" i="58"/>
  <c r="T107" i="58"/>
  <c r="V107" i="58" s="1"/>
  <c r="W108" i="58"/>
  <c r="W278" i="58"/>
  <c r="T277" i="58"/>
  <c r="V278" i="58"/>
  <c r="V335" i="58"/>
  <c r="I30" i="57"/>
  <c r="AI30" i="57"/>
  <c r="H30" i="57" s="1"/>
  <c r="U127" i="64"/>
  <c r="O126" i="64"/>
  <c r="U126" i="64" s="1"/>
  <c r="S126" i="64"/>
  <c r="AK27" i="57"/>
  <c r="AK21" i="57"/>
  <c r="J21" i="57" s="1"/>
  <c r="J22" i="57"/>
  <c r="T184" i="64"/>
  <c r="AJ29" i="57"/>
  <c r="W115" i="58"/>
  <c r="V115" i="58"/>
  <c r="T23" i="64"/>
  <c r="Q14" i="64"/>
  <c r="V109" i="58"/>
  <c r="V257" i="58"/>
  <c r="T255" i="58"/>
  <c r="W257" i="58"/>
  <c r="AJ21" i="57"/>
  <c r="AI22" i="57"/>
  <c r="I22" i="57"/>
  <c r="V346" i="58"/>
  <c r="W293" i="58"/>
  <c r="T285" i="58"/>
  <c r="V293" i="58"/>
  <c r="Q45" i="64"/>
  <c r="Q127" i="64"/>
  <c r="T128" i="64"/>
  <c r="T150" i="58"/>
  <c r="T149" i="58" s="1"/>
  <c r="V30" i="58"/>
  <c r="U12" i="64"/>
  <c r="W13" i="64" s="1"/>
  <c r="O11" i="64"/>
  <c r="R107" i="58"/>
  <c r="R100" i="58" s="1"/>
  <c r="R98" i="58" s="1"/>
  <c r="J100" i="58"/>
  <c r="J98" i="58" s="1"/>
  <c r="J97" i="58" s="1"/>
  <c r="J356" i="58" s="1"/>
  <c r="W171" i="58"/>
  <c r="V171" i="58"/>
  <c r="T169" i="58"/>
  <c r="V186" i="58"/>
  <c r="W169" i="61"/>
  <c r="BK38" i="57" s="1"/>
  <c r="BE38" i="57" s="1"/>
  <c r="V189" i="58"/>
  <c r="S181" i="61"/>
  <c r="V47" i="58"/>
  <c r="V186" i="61"/>
  <c r="BL42" i="57" s="1"/>
  <c r="AQ42" i="57" s="1"/>
  <c r="P42" i="57" s="1"/>
  <c r="S59" i="61"/>
  <c r="W118" i="61"/>
  <c r="V184" i="58"/>
  <c r="V336" i="58"/>
  <c r="S168" i="61"/>
  <c r="T176" i="62"/>
  <c r="Q132" i="62"/>
  <c r="X132" i="63"/>
  <c r="U132" i="62"/>
  <c r="O209" i="62"/>
  <c r="V308" i="58"/>
  <c r="V268" i="58"/>
  <c r="H222" i="58"/>
  <c r="H356" i="58" s="1"/>
  <c r="T176" i="63"/>
  <c r="Q132" i="63"/>
  <c r="V311" i="58"/>
  <c r="V46" i="58"/>
  <c r="U132" i="63"/>
  <c r="U209" i="63" s="1"/>
  <c r="O209" i="63"/>
  <c r="V191" i="58"/>
  <c r="T267" i="58"/>
  <c r="R262" i="58"/>
  <c r="V40" i="58"/>
  <c r="Q22" i="57"/>
  <c r="AR21" i="57"/>
  <c r="V142" i="61"/>
  <c r="BL33" i="57" s="1"/>
  <c r="T14" i="66"/>
  <c r="Q12" i="66"/>
  <c r="W68" i="61"/>
  <c r="AD43" i="57"/>
  <c r="BE43" i="57"/>
  <c r="AJ43" i="57"/>
  <c r="AA43" i="57"/>
  <c r="AV43" i="57"/>
  <c r="AP43" i="57"/>
  <c r="AS43" i="57"/>
  <c r="V157" i="61"/>
  <c r="V60" i="61"/>
  <c r="V59" i="61" s="1"/>
  <c r="T61" i="58"/>
  <c r="R60" i="58"/>
  <c r="Y108" i="61"/>
  <c r="V119" i="61"/>
  <c r="V118" i="61" s="1"/>
  <c r="R176" i="58"/>
  <c r="V131" i="61"/>
  <c r="BL20" i="57" s="1"/>
  <c r="BJ20" i="57" s="1"/>
  <c r="U41" i="61"/>
  <c r="Y41" i="61" s="1"/>
  <c r="U11" i="66"/>
  <c r="O203" i="66"/>
  <c r="O204" i="66" s="1"/>
  <c r="V163" i="61"/>
  <c r="V51" i="58"/>
  <c r="V43" i="58"/>
  <c r="T70" i="58"/>
  <c r="R65" i="58"/>
  <c r="V58" i="58"/>
  <c r="W168" i="61"/>
  <c r="BK37" i="57" s="1"/>
  <c r="B19" i="3"/>
  <c r="B20" i="3" s="1"/>
  <c r="Y168" i="61"/>
  <c r="AV40" i="57"/>
  <c r="AS40" i="57"/>
  <c r="AA40" i="57"/>
  <c r="AJ40" i="57"/>
  <c r="BE40" i="57"/>
  <c r="AP40" i="57"/>
  <c r="AD40" i="57"/>
  <c r="Q29" i="57"/>
  <c r="V349" i="58"/>
  <c r="T39" i="58"/>
  <c r="R38" i="58"/>
  <c r="V330" i="58"/>
  <c r="R305" i="58"/>
  <c r="T306" i="58"/>
  <c r="V181" i="61"/>
  <c r="BL41" i="57" s="1"/>
  <c r="AD20" i="57"/>
  <c r="AP20" i="57"/>
  <c r="AA20" i="57"/>
  <c r="AM20" i="57"/>
  <c r="L20" i="57" s="1"/>
  <c r="AJ20" i="57"/>
  <c r="AS20" i="57"/>
  <c r="BE20" i="57"/>
  <c r="AV20" i="57"/>
  <c r="W245" i="58"/>
  <c r="V245" i="58"/>
  <c r="V42" i="61"/>
  <c r="T326" i="58"/>
  <c r="R331" i="58"/>
  <c r="T331" i="58" s="1"/>
  <c r="W331" i="58" s="1"/>
  <c r="S22" i="57"/>
  <c r="AT21" i="57"/>
  <c r="S21" i="57" s="1"/>
  <c r="T345" i="58"/>
  <c r="R344" i="58"/>
  <c r="V59" i="58"/>
  <c r="V309" i="58"/>
  <c r="W105" i="58"/>
  <c r="V105" i="58"/>
  <c r="V192" i="58"/>
  <c r="T320" i="58"/>
  <c r="V49" i="58"/>
  <c r="R21" i="57"/>
  <c r="F12" i="14" s="1"/>
  <c r="O12" i="14"/>
  <c r="V38" i="61"/>
  <c r="T188" i="58"/>
  <c r="R187" i="58"/>
  <c r="T183" i="58"/>
  <c r="R182" i="58"/>
  <c r="AA42" i="57"/>
  <c r="AS42" i="57"/>
  <c r="AJ42" i="57"/>
  <c r="BE42" i="57"/>
  <c r="AV42" i="57"/>
  <c r="AP42" i="57"/>
  <c r="AD42" i="57"/>
  <c r="W142" i="61"/>
  <c r="BK33" i="57" s="1"/>
  <c r="T304" i="58"/>
  <c r="T333" i="58"/>
  <c r="R332" i="58"/>
  <c r="S123" i="61"/>
  <c r="V56" i="58"/>
  <c r="V52" i="58"/>
  <c r="V185" i="58"/>
  <c r="V63" i="58"/>
  <c r="T42" i="58"/>
  <c r="V170" i="61"/>
  <c r="V169" i="61" s="1"/>
  <c r="BL38" i="57" s="1"/>
  <c r="V187" i="61"/>
  <c r="BL43" i="57" s="1"/>
  <c r="V123" i="61"/>
  <c r="W38" i="61"/>
  <c r="T136" i="58"/>
  <c r="W138" i="58"/>
  <c r="V138" i="58"/>
  <c r="W181" i="61"/>
  <c r="BK41" i="57" s="1"/>
  <c r="T33" i="58"/>
  <c r="V307" i="58"/>
  <c r="V327" i="58"/>
  <c r="V109" i="61"/>
  <c r="V108" i="61" s="1"/>
  <c r="V310" i="58"/>
  <c r="V69" i="61"/>
  <c r="V68" i="61" s="1"/>
  <c r="V329" i="58"/>
  <c r="P97" i="58"/>
  <c r="P356" i="58" s="1"/>
  <c r="V195" i="58"/>
  <c r="T127" i="66"/>
  <c r="AS27" i="57"/>
  <c r="Q126" i="66"/>
  <c r="T126" i="66" s="1"/>
  <c r="V62" i="58"/>
  <c r="V312" i="58"/>
  <c r="V193" i="58"/>
  <c r="AF21" i="6"/>
  <c r="AF19" i="6"/>
  <c r="AG19" i="6"/>
  <c r="AG21" i="6"/>
  <c r="C7" i="11"/>
  <c r="C5" i="11"/>
  <c r="D40" i="4"/>
  <c r="AU19" i="6"/>
  <c r="AU21" i="6"/>
  <c r="AO21" i="6"/>
  <c r="AO19" i="6"/>
  <c r="AV19" i="6"/>
  <c r="AV21" i="6"/>
  <c r="AP19" i="6"/>
  <c r="AP21" i="6"/>
  <c r="BB21" i="6"/>
  <c r="BB19" i="6"/>
  <c r="BC21" i="6"/>
  <c r="BC19" i="6"/>
  <c r="AJ21" i="6"/>
  <c r="AJ19" i="6"/>
  <c r="G11" i="4"/>
  <c r="F43" i="4"/>
  <c r="AM25" i="30" l="1"/>
  <c r="O4" i="34"/>
  <c r="P9" i="38"/>
  <c r="O5" i="38"/>
  <c r="O88" i="47"/>
  <c r="P88" i="47" s="1"/>
  <c r="P89" i="47"/>
  <c r="AS26" i="43"/>
  <c r="AS25" i="43" s="1"/>
  <c r="P149" i="36"/>
  <c r="AP28" i="30"/>
  <c r="AQ37" i="30"/>
  <c r="AQ34" i="30" s="1"/>
  <c r="M10" i="28" s="1"/>
  <c r="AT37" i="30"/>
  <c r="AT34" i="30" s="1"/>
  <c r="N10" i="28" s="1"/>
  <c r="AK37" i="30"/>
  <c r="AK34" i="30" s="1"/>
  <c r="K10" i="28" s="1"/>
  <c r="AH37" i="30"/>
  <c r="AH34" i="30" s="1"/>
  <c r="J10" i="28" s="1"/>
  <c r="AN37" i="30"/>
  <c r="AN34" i="30" s="1"/>
  <c r="L10" i="28" s="1"/>
  <c r="AZ37" i="30"/>
  <c r="AZ34" i="30" s="1"/>
  <c r="P10" i="28" s="1"/>
  <c r="BC34" i="30"/>
  <c r="B67" i="13" s="1"/>
  <c r="AJ19" i="30"/>
  <c r="C40" i="4"/>
  <c r="F11" i="9"/>
  <c r="F32" i="9" s="1"/>
  <c r="O7" i="28"/>
  <c r="AW42" i="30"/>
  <c r="BI13" i="10"/>
  <c r="D13" i="12"/>
  <c r="AP13" i="12"/>
  <c r="E13" i="12"/>
  <c r="Q13" i="10"/>
  <c r="P13" i="10"/>
  <c r="BH13" i="10"/>
  <c r="AS13" i="10"/>
  <c r="S13" i="10"/>
  <c r="X13" i="10"/>
  <c r="AZ13" i="12"/>
  <c r="Z13" i="12"/>
  <c r="AV13" i="10"/>
  <c r="AY13" i="10"/>
  <c r="BB13" i="12"/>
  <c r="BL13" i="10"/>
  <c r="BB13" i="10"/>
  <c r="AO13" i="12"/>
  <c r="AL13" i="10"/>
  <c r="AY13" i="12"/>
  <c r="V13" i="10"/>
  <c r="AS13" i="12"/>
  <c r="G13" i="10"/>
  <c r="AV13" i="12"/>
  <c r="K13" i="12"/>
  <c r="D13" i="10"/>
  <c r="D11" i="10" s="1"/>
  <c r="AX13" i="12"/>
  <c r="AB13" i="12"/>
  <c r="AW13" i="10"/>
  <c r="X13" i="12"/>
  <c r="AG13" i="10"/>
  <c r="AK13" i="12"/>
  <c r="L13" i="12"/>
  <c r="AZ13" i="10"/>
  <c r="AT13" i="10"/>
  <c r="AC13" i="12"/>
  <c r="BE13" i="10"/>
  <c r="AD13" i="10"/>
  <c r="BF13" i="10"/>
  <c r="BJ13" i="10"/>
  <c r="AM13" i="10"/>
  <c r="Q13" i="12"/>
  <c r="J13" i="12"/>
  <c r="AI13" i="12"/>
  <c r="P13" i="12"/>
  <c r="Y13" i="10"/>
  <c r="BA13" i="10"/>
  <c r="F13" i="12"/>
  <c r="AF13" i="10"/>
  <c r="AQ13" i="12"/>
  <c r="AC13" i="10"/>
  <c r="BM13" i="10"/>
  <c r="C13" i="10"/>
  <c r="AR13" i="10"/>
  <c r="BL13" i="12"/>
  <c r="AE13" i="10"/>
  <c r="U13" i="12"/>
  <c r="BD13" i="10"/>
  <c r="AA13" i="10"/>
  <c r="BN13" i="10"/>
  <c r="BI13" i="12"/>
  <c r="H13" i="12"/>
  <c r="Y13" i="12"/>
  <c r="BK13" i="12"/>
  <c r="F13" i="10"/>
  <c r="F11" i="10" s="1"/>
  <c r="AT13" i="12"/>
  <c r="AG13" i="12"/>
  <c r="AU13" i="12"/>
  <c r="AN13" i="12"/>
  <c r="AK13" i="10"/>
  <c r="AR13" i="12"/>
  <c r="L13" i="10"/>
  <c r="AM13" i="12"/>
  <c r="H13" i="10"/>
  <c r="AQ13" i="10"/>
  <c r="AA13" i="12"/>
  <c r="N13" i="12"/>
  <c r="O13" i="12"/>
  <c r="AB13" i="10"/>
  <c r="BD13" i="12"/>
  <c r="R13" i="10"/>
  <c r="BC13" i="12"/>
  <c r="BC13" i="10"/>
  <c r="BN13" i="12"/>
  <c r="AU13" i="10"/>
  <c r="AF13" i="12"/>
  <c r="T13" i="10"/>
  <c r="W13" i="10"/>
  <c r="AL13" i="12"/>
  <c r="BE13" i="12"/>
  <c r="I13" i="10"/>
  <c r="BA13" i="12"/>
  <c r="R13" i="12"/>
  <c r="AH13" i="12"/>
  <c r="M13" i="12"/>
  <c r="BO13" i="12"/>
  <c r="AW13" i="12"/>
  <c r="AN13" i="10"/>
  <c r="BJ13" i="12"/>
  <c r="O13" i="10"/>
  <c r="U13" i="10"/>
  <c r="BK13" i="10"/>
  <c r="BO13" i="10"/>
  <c r="I13" i="12"/>
  <c r="E13" i="10"/>
  <c r="E11" i="10" s="1"/>
  <c r="K13" i="10"/>
  <c r="J13" i="10"/>
  <c r="BF13" i="12"/>
  <c r="G13" i="12"/>
  <c r="BG13" i="12"/>
  <c r="BM13" i="12"/>
  <c r="Z13" i="10"/>
  <c r="AH13" i="10"/>
  <c r="W13" i="12"/>
  <c r="BH13" i="12"/>
  <c r="M13" i="10"/>
  <c r="C13" i="12"/>
  <c r="S13" i="12"/>
  <c r="AI13" i="10"/>
  <c r="V13" i="12"/>
  <c r="AJ13" i="10"/>
  <c r="AJ13" i="12"/>
  <c r="AX13" i="10"/>
  <c r="BP13" i="10"/>
  <c r="BG13" i="10"/>
  <c r="AO13" i="10"/>
  <c r="AE13" i="12"/>
  <c r="T13" i="12"/>
  <c r="AD13" i="12"/>
  <c r="N13" i="10"/>
  <c r="AP13" i="10"/>
  <c r="P19" i="37"/>
  <c r="O9" i="37"/>
  <c r="P47" i="37"/>
  <c r="O37" i="37"/>
  <c r="P37" i="36"/>
  <c r="O36" i="36"/>
  <c r="P70" i="37"/>
  <c r="O69" i="37"/>
  <c r="O89" i="37"/>
  <c r="P90" i="37"/>
  <c r="E34" i="4"/>
  <c r="P56" i="50"/>
  <c r="O36" i="50"/>
  <c r="O88" i="23"/>
  <c r="P89" i="23"/>
  <c r="BJ20" i="43"/>
  <c r="BJ18" i="43" s="1"/>
  <c r="AX18" i="43"/>
  <c r="L14" i="10"/>
  <c r="G14" i="10"/>
  <c r="BD14" i="10"/>
  <c r="BH14" i="10"/>
  <c r="H14" i="12"/>
  <c r="AH14" i="12"/>
  <c r="E14" i="10"/>
  <c r="AE14" i="10"/>
  <c r="BM14" i="12"/>
  <c r="K14" i="12"/>
  <c r="AM14" i="12"/>
  <c r="T14" i="10"/>
  <c r="S14" i="10"/>
  <c r="AH14" i="10"/>
  <c r="U14" i="12"/>
  <c r="BL14" i="10"/>
  <c r="X14" i="12"/>
  <c r="AG14" i="10"/>
  <c r="BG14" i="10"/>
  <c r="AZ14" i="10"/>
  <c r="BD14" i="12"/>
  <c r="BO14" i="12"/>
  <c r="H14" i="10"/>
  <c r="C14" i="10"/>
  <c r="AE14" i="12"/>
  <c r="P14" i="10"/>
  <c r="AB14" i="10"/>
  <c r="AP14" i="12"/>
  <c r="F14" i="10"/>
  <c r="J14" i="12"/>
  <c r="AC14" i="12"/>
  <c r="AJ14" i="12"/>
  <c r="AN14" i="10"/>
  <c r="AU14" i="12"/>
  <c r="O14" i="10"/>
  <c r="AT14" i="10"/>
  <c r="BH14" i="12"/>
  <c r="AD14" i="12"/>
  <c r="BG14" i="12"/>
  <c r="BE14" i="10"/>
  <c r="G14" i="12"/>
  <c r="BA14" i="12"/>
  <c r="J14" i="10"/>
  <c r="AI14" i="12"/>
  <c r="BE14" i="12"/>
  <c r="N14" i="12"/>
  <c r="AO14" i="10"/>
  <c r="AQ14" i="12"/>
  <c r="I14" i="12"/>
  <c r="AL14" i="10"/>
  <c r="F14" i="12"/>
  <c r="AB14" i="12"/>
  <c r="X14" i="10"/>
  <c r="Z14" i="12"/>
  <c r="BA14" i="10"/>
  <c r="AW14" i="10"/>
  <c r="BF14" i="12"/>
  <c r="W14" i="10"/>
  <c r="E14" i="12"/>
  <c r="AD14" i="10"/>
  <c r="S14" i="12"/>
  <c r="W14" i="12"/>
  <c r="T14" i="12"/>
  <c r="AX14" i="12"/>
  <c r="AZ14" i="12"/>
  <c r="AV14" i="10"/>
  <c r="AR14" i="10"/>
  <c r="M14" i="10"/>
  <c r="BB14" i="12"/>
  <c r="BO14" i="10"/>
  <c r="BN14" i="12"/>
  <c r="BN14" i="10"/>
  <c r="BB14" i="10"/>
  <c r="BL14" i="12"/>
  <c r="Y14" i="10"/>
  <c r="AC14" i="10"/>
  <c r="AK14" i="10"/>
  <c r="P14" i="12"/>
  <c r="BF14" i="10"/>
  <c r="BP14" i="10"/>
  <c r="D14" i="10"/>
  <c r="BI14" i="12"/>
  <c r="AP14" i="10"/>
  <c r="N14" i="10"/>
  <c r="AL14" i="12"/>
  <c r="M14" i="12"/>
  <c r="Q14" i="10"/>
  <c r="AR14" i="12"/>
  <c r="AQ14" i="10"/>
  <c r="AJ14" i="10"/>
  <c r="BI14" i="10"/>
  <c r="Z14" i="10"/>
  <c r="AM14" i="10"/>
  <c r="I14" i="10"/>
  <c r="Q14" i="12"/>
  <c r="BC14" i="12"/>
  <c r="K14" i="10"/>
  <c r="AO14" i="12"/>
  <c r="U14" i="10"/>
  <c r="AX14" i="10"/>
  <c r="AT14" i="12"/>
  <c r="BJ14" i="12"/>
  <c r="C14" i="12"/>
  <c r="AV14" i="12"/>
  <c r="O14" i="12"/>
  <c r="AG14" i="12"/>
  <c r="AU14" i="10"/>
  <c r="Y14" i="12"/>
  <c r="BK14" i="12"/>
  <c r="BM14" i="10"/>
  <c r="BC14" i="10"/>
  <c r="D14" i="12"/>
  <c r="AI14" i="10"/>
  <c r="L14" i="12"/>
  <c r="BK14" i="10"/>
  <c r="AW14" i="12"/>
  <c r="AN14" i="12"/>
  <c r="AK14" i="12"/>
  <c r="AY14" i="10"/>
  <c r="R14" i="12"/>
  <c r="AS14" i="10"/>
  <c r="AS14" i="12"/>
  <c r="V14" i="12"/>
  <c r="R14" i="10"/>
  <c r="AA14" i="12"/>
  <c r="AY14" i="12"/>
  <c r="BJ14" i="10"/>
  <c r="V14" i="10"/>
  <c r="AF14" i="10"/>
  <c r="AA14" i="10"/>
  <c r="AF14" i="12"/>
  <c r="B7" i="12"/>
  <c r="M169" i="25"/>
  <c r="M170" i="25" s="1"/>
  <c r="P9" i="47"/>
  <c r="O5" i="47"/>
  <c r="P5" i="20"/>
  <c r="O4" i="20"/>
  <c r="P4" i="20" s="1"/>
  <c r="AP28" i="43"/>
  <c r="BH28" i="43" s="1"/>
  <c r="BN28" i="43" s="1"/>
  <c r="P149" i="46"/>
  <c r="O4" i="38"/>
  <c r="O71" i="38" s="1"/>
  <c r="BA37" i="30"/>
  <c r="BA34" i="30" s="1"/>
  <c r="BA42" i="30" s="1"/>
  <c r="AU37" i="30"/>
  <c r="AU34" i="30" s="1"/>
  <c r="AR37" i="30"/>
  <c r="AR34" i="30" s="1"/>
  <c r="AI37" i="30"/>
  <c r="AI34" i="30" s="1"/>
  <c r="BD34" i="30"/>
  <c r="AO37" i="30"/>
  <c r="AO34" i="30" s="1"/>
  <c r="AO42" i="30" s="1"/>
  <c r="AL37" i="30"/>
  <c r="AL34" i="30" s="1"/>
  <c r="AL42" i="30" s="1"/>
  <c r="BC19" i="30"/>
  <c r="BC18" i="30" s="1"/>
  <c r="B63" i="13" s="1"/>
  <c r="O190" i="32"/>
  <c r="P206" i="32"/>
  <c r="AR25" i="43"/>
  <c r="BJ26" i="43"/>
  <c r="BJ25" i="43" s="1"/>
  <c r="J14" i="60"/>
  <c r="M17" i="60"/>
  <c r="M14" i="60" s="1"/>
  <c r="M13" i="60" s="1"/>
  <c r="M12" i="60" s="1"/>
  <c r="AF12" i="6"/>
  <c r="B12" i="6" s="1"/>
  <c r="T13" i="61"/>
  <c r="U11" i="61"/>
  <c r="S11" i="58"/>
  <c r="P31" i="7"/>
  <c r="Q31" i="7" s="1"/>
  <c r="O33" i="7"/>
  <c r="AY28" i="30"/>
  <c r="BB28" i="30" s="1"/>
  <c r="P149" i="39"/>
  <c r="AU42" i="30"/>
  <c r="O9" i="45"/>
  <c r="P129" i="39"/>
  <c r="AY27" i="30"/>
  <c r="O89" i="20"/>
  <c r="P90" i="20"/>
  <c r="C34" i="4"/>
  <c r="P18" i="32"/>
  <c r="O5" i="32"/>
  <c r="P5" i="32" s="1"/>
  <c r="BB12" i="30"/>
  <c r="I34" i="4"/>
  <c r="N365" i="58"/>
  <c r="N364" i="58"/>
  <c r="E77" i="9"/>
  <c r="E80" i="9" s="1"/>
  <c r="J34" i="4"/>
  <c r="E35" i="9"/>
  <c r="E41" i="9" s="1"/>
  <c r="E56" i="9"/>
  <c r="E59" i="9" s="1"/>
  <c r="E42" i="3"/>
  <c r="D16" i="9" s="1"/>
  <c r="F41" i="4"/>
  <c r="BF7" i="10"/>
  <c r="B8" i="10"/>
  <c r="B7" i="10" s="1"/>
  <c r="K40" i="3"/>
  <c r="L37" i="3"/>
  <c r="BJ4" i="6"/>
  <c r="BI4" i="6"/>
  <c r="B3" i="6"/>
  <c r="D13" i="4"/>
  <c r="C4" i="5"/>
  <c r="C61" i="5" s="1"/>
  <c r="C62" i="5"/>
  <c r="AJ25" i="30"/>
  <c r="AP19" i="43"/>
  <c r="P5" i="46"/>
  <c r="AP38" i="43"/>
  <c r="AP34" i="43" s="1"/>
  <c r="AJ38" i="43"/>
  <c r="AJ34" i="43" s="1"/>
  <c r="AV38" i="43"/>
  <c r="AV34" i="43" s="1"/>
  <c r="AY38" i="43"/>
  <c r="AY34" i="43" s="1"/>
  <c r="AS38" i="43"/>
  <c r="AS34" i="43" s="1"/>
  <c r="AM38" i="43"/>
  <c r="AM34" i="43" s="1"/>
  <c r="BH34" i="43"/>
  <c r="BN21" i="43"/>
  <c r="AM10" i="30"/>
  <c r="L48" i="31"/>
  <c r="AO8" i="6"/>
  <c r="AO4" i="7" s="1"/>
  <c r="AL8" i="6"/>
  <c r="AL4" i="7" s="1"/>
  <c r="O203" i="67"/>
  <c r="O206" i="67" s="1"/>
  <c r="U11" i="67"/>
  <c r="AV21" i="43"/>
  <c r="AP21" i="43"/>
  <c r="AM21" i="43"/>
  <c r="AM18" i="43" s="1"/>
  <c r="AJ21" i="43"/>
  <c r="AJ18" i="43" s="1"/>
  <c r="AY21" i="43"/>
  <c r="AS21" i="43"/>
  <c r="O4" i="27"/>
  <c r="P5" i="27"/>
  <c r="BD10" i="30"/>
  <c r="BD9" i="30" s="1"/>
  <c r="AI9" i="30"/>
  <c r="AS10" i="30"/>
  <c r="L50" i="31"/>
  <c r="P9" i="45"/>
  <c r="O6" i="45"/>
  <c r="AP25" i="30"/>
  <c r="AM7" i="6"/>
  <c r="I45" i="31"/>
  <c r="I52" i="31" s="1"/>
  <c r="L52" i="31" s="1"/>
  <c r="L46" i="31"/>
  <c r="AG10" i="30"/>
  <c r="O88" i="24"/>
  <c r="P89" i="24"/>
  <c r="G34" i="4"/>
  <c r="AJ11" i="30"/>
  <c r="AP11" i="30"/>
  <c r="AG11" i="30"/>
  <c r="AY11" i="30"/>
  <c r="AM11" i="30"/>
  <c r="AS11" i="30"/>
  <c r="AL7" i="6"/>
  <c r="P76" i="32"/>
  <c r="O75" i="32"/>
  <c r="L51" i="31"/>
  <c r="AY10" i="30"/>
  <c r="J49" i="44"/>
  <c r="AT10" i="43" s="1"/>
  <c r="AT9" i="43" s="1"/>
  <c r="M5" i="41" s="1"/>
  <c r="J46" i="44"/>
  <c r="O15" i="44"/>
  <c r="J48" i="44"/>
  <c r="AQ10" i="43" s="1"/>
  <c r="AQ9" i="43" s="1"/>
  <c r="L5" i="41" s="1"/>
  <c r="J47" i="44"/>
  <c r="AN10" i="43" s="1"/>
  <c r="AN9" i="43" s="1"/>
  <c r="K5" i="41" s="1"/>
  <c r="J50" i="44"/>
  <c r="AW10" i="43" s="1"/>
  <c r="J51" i="44"/>
  <c r="AZ10" i="43" s="1"/>
  <c r="AZ9" i="43" s="1"/>
  <c r="P5" i="41" s="1"/>
  <c r="M73" i="32"/>
  <c r="Q75" i="32"/>
  <c r="O89" i="46"/>
  <c r="P90" i="46"/>
  <c r="K46" i="44"/>
  <c r="AL10" i="43" s="1"/>
  <c r="K47" i="44"/>
  <c r="K48" i="44"/>
  <c r="AR10" i="43" s="1"/>
  <c r="AR9" i="43" s="1"/>
  <c r="AR42" i="43" s="1"/>
  <c r="K51" i="44"/>
  <c r="BA10" i="43" s="1"/>
  <c r="BA9" i="43" s="1"/>
  <c r="BA42" i="43" s="1"/>
  <c r="K49" i="44"/>
  <c r="AU10" i="43" s="1"/>
  <c r="AU9" i="43" s="1"/>
  <c r="AU42" i="43" s="1"/>
  <c r="K50" i="44"/>
  <c r="AX10" i="43" s="1"/>
  <c r="AX9" i="43" s="1"/>
  <c r="L49" i="31"/>
  <c r="AP10" i="30"/>
  <c r="AR42" i="30"/>
  <c r="AW9" i="43"/>
  <c r="N5" i="41" s="1"/>
  <c r="AH9" i="30"/>
  <c r="AG21" i="30"/>
  <c r="AS21" i="30"/>
  <c r="AP21" i="30"/>
  <c r="AJ21" i="30"/>
  <c r="AJ18" i="30" s="1"/>
  <c r="AY21" i="30"/>
  <c r="AM21" i="30"/>
  <c r="AX42" i="43"/>
  <c r="AG33" i="30"/>
  <c r="AG30" i="30" s="1"/>
  <c r="AP33" i="30"/>
  <c r="AP30" i="30" s="1"/>
  <c r="AS33" i="30"/>
  <c r="AS30" i="30" s="1"/>
  <c r="AY33" i="30"/>
  <c r="AY30" i="30" s="1"/>
  <c r="AM33" i="30"/>
  <c r="AM30" i="30" s="1"/>
  <c r="AJ33" i="30"/>
  <c r="AJ30" i="30" s="1"/>
  <c r="BB30" i="30"/>
  <c r="BM34" i="43"/>
  <c r="BN34" i="43" s="1"/>
  <c r="P174" i="45"/>
  <c r="AY24" i="30"/>
  <c r="P69" i="39"/>
  <c r="L47" i="31"/>
  <c r="AJ10" i="30"/>
  <c r="P17" i="45"/>
  <c r="BH11" i="43"/>
  <c r="W128" i="58"/>
  <c r="AR18" i="57"/>
  <c r="Q18" i="57" s="1"/>
  <c r="BB14" i="57"/>
  <c r="AJ14" i="57" s="1"/>
  <c r="T101" i="69"/>
  <c r="Q100" i="69"/>
  <c r="T100" i="69" s="1"/>
  <c r="T129" i="69"/>
  <c r="Q128" i="69"/>
  <c r="R197" i="58"/>
  <c r="R196" i="58" s="1"/>
  <c r="T198" i="58"/>
  <c r="L224" i="58"/>
  <c r="L223" i="58"/>
  <c r="R225" i="58"/>
  <c r="O127" i="69"/>
  <c r="U128" i="69"/>
  <c r="S11" i="64"/>
  <c r="S41" i="61"/>
  <c r="V160" i="61"/>
  <c r="R127" i="58"/>
  <c r="R34" i="4"/>
  <c r="S160" i="61"/>
  <c r="O34" i="4"/>
  <c r="AA14" i="57"/>
  <c r="V34" i="58"/>
  <c r="P34" i="4"/>
  <c r="P89" i="33"/>
  <c r="AG26" i="30"/>
  <c r="O88" i="33"/>
  <c r="P88" i="33" s="1"/>
  <c r="D34" i="4"/>
  <c r="M3" i="61"/>
  <c r="O37" i="61"/>
  <c r="Q22" i="58"/>
  <c r="Q22" i="61"/>
  <c r="P22" i="61" s="1"/>
  <c r="U22" i="61"/>
  <c r="N169" i="51"/>
  <c r="N170" i="51" s="1"/>
  <c r="P4" i="51"/>
  <c r="M169" i="51"/>
  <c r="M170" i="51" s="1"/>
  <c r="AV18" i="43"/>
  <c r="AV48" i="43"/>
  <c r="U104" i="61"/>
  <c r="Q104" i="61"/>
  <c r="P104" i="61" s="1"/>
  <c r="Q96" i="58"/>
  <c r="Q177" i="58"/>
  <c r="Q111" i="61"/>
  <c r="S111" i="61" s="1"/>
  <c r="U111" i="61"/>
  <c r="AS12" i="43"/>
  <c r="AV12" i="43"/>
  <c r="AP12" i="43"/>
  <c r="AM12" i="43"/>
  <c r="AJ12" i="43"/>
  <c r="AY12" i="43"/>
  <c r="Q8" i="28"/>
  <c r="O4" i="35"/>
  <c r="AM19" i="30"/>
  <c r="P5" i="35"/>
  <c r="M34" i="4"/>
  <c r="Q178" i="58"/>
  <c r="Q112" i="61"/>
  <c r="P112" i="61" s="1"/>
  <c r="U112" i="61"/>
  <c r="U130" i="61"/>
  <c r="Q130" i="61"/>
  <c r="P130" i="61" s="1"/>
  <c r="Q194" i="58"/>
  <c r="BN12" i="43"/>
  <c r="Q34" i="4"/>
  <c r="AY20" i="43"/>
  <c r="AY18" i="43" s="1"/>
  <c r="P36" i="49"/>
  <c r="U24" i="61"/>
  <c r="S24" i="58"/>
  <c r="T24" i="58" s="1"/>
  <c r="M169" i="48"/>
  <c r="P4" i="48"/>
  <c r="N169" i="48"/>
  <c r="N170" i="48" s="1"/>
  <c r="Q21" i="61"/>
  <c r="P21" i="61" s="1"/>
  <c r="U21" i="61"/>
  <c r="Q21" i="58"/>
  <c r="Q15" i="58"/>
  <c r="Q15" i="61"/>
  <c r="O14" i="61"/>
  <c r="O10" i="61" s="1"/>
  <c r="U15" i="61"/>
  <c r="BB27" i="30"/>
  <c r="P36" i="38"/>
  <c r="AV20" i="30"/>
  <c r="P4" i="39"/>
  <c r="U115" i="61"/>
  <c r="Q115" i="61"/>
  <c r="P115" i="61" s="1"/>
  <c r="U134" i="61"/>
  <c r="Q297" i="58"/>
  <c r="Q134" i="61"/>
  <c r="S134" i="61" s="1"/>
  <c r="S133" i="61" s="1"/>
  <c r="O133" i="61"/>
  <c r="P5" i="40"/>
  <c r="O4" i="40"/>
  <c r="O4" i="49"/>
  <c r="P36" i="46"/>
  <c r="O4" i="46"/>
  <c r="AP20" i="43"/>
  <c r="U117" i="61"/>
  <c r="Q117" i="61"/>
  <c r="P117" i="61" s="1"/>
  <c r="Q181" i="58"/>
  <c r="P4" i="33"/>
  <c r="N169" i="34"/>
  <c r="N170" i="34" s="1"/>
  <c r="P4" i="34"/>
  <c r="M169" i="34"/>
  <c r="M170" i="34" s="1"/>
  <c r="AY18" i="30"/>
  <c r="B3" i="12"/>
  <c r="G3" i="8" s="1"/>
  <c r="K3" i="8" s="1"/>
  <c r="B65" i="13"/>
  <c r="Q29" i="58"/>
  <c r="Q29" i="61"/>
  <c r="S29" i="61" s="1"/>
  <c r="U29" i="61"/>
  <c r="O28" i="61"/>
  <c r="O27" i="61" s="1"/>
  <c r="P75" i="45"/>
  <c r="O73" i="45"/>
  <c r="T11" i="67"/>
  <c r="Q203" i="67"/>
  <c r="AG18" i="30"/>
  <c r="BD42" i="30"/>
  <c r="P5" i="50"/>
  <c r="BB19" i="43"/>
  <c r="F34" i="4"/>
  <c r="H34" i="4"/>
  <c r="Q73" i="45"/>
  <c r="M72" i="45"/>
  <c r="BI14" i="43"/>
  <c r="K34" i="4"/>
  <c r="L34" i="4"/>
  <c r="AY26" i="43"/>
  <c r="AY25" i="43" s="1"/>
  <c r="AY48" i="43" s="1"/>
  <c r="O88" i="49"/>
  <c r="P88" i="49" s="1"/>
  <c r="P89" i="49"/>
  <c r="U114" i="61"/>
  <c r="Q114" i="61"/>
  <c r="S114" i="61" s="1"/>
  <c r="O113" i="61"/>
  <c r="Q179" i="58" s="1"/>
  <c r="U103" i="61"/>
  <c r="O102" i="61"/>
  <c r="Q103" i="61"/>
  <c r="S103" i="61" s="1"/>
  <c r="Q95" i="58"/>
  <c r="P89" i="39"/>
  <c r="AY26" i="30"/>
  <c r="AY25" i="30" s="1"/>
  <c r="O88" i="39"/>
  <c r="P88" i="39" s="1"/>
  <c r="I155" i="61"/>
  <c r="M155" i="61" s="1"/>
  <c r="O155" i="61" s="1"/>
  <c r="I152" i="61"/>
  <c r="M152" i="61" s="1"/>
  <c r="O152" i="61" s="1"/>
  <c r="I156" i="61"/>
  <c r="M156" i="61" s="1"/>
  <c r="O156" i="61" s="1"/>
  <c r="I165" i="61"/>
  <c r="M165" i="61" s="1"/>
  <c r="I154" i="61"/>
  <c r="M154" i="61" s="1"/>
  <c r="O154" i="61" s="1"/>
  <c r="I153" i="61"/>
  <c r="M153" i="61" s="1"/>
  <c r="O153" i="61" s="1"/>
  <c r="I151" i="61"/>
  <c r="M151" i="61" s="1"/>
  <c r="O151" i="61" s="1"/>
  <c r="BP39" i="57"/>
  <c r="BN39" i="57"/>
  <c r="BO39" i="57"/>
  <c r="O17" i="57"/>
  <c r="AO17" i="57"/>
  <c r="N17" i="57" s="1"/>
  <c r="O27" i="57"/>
  <c r="AO27" i="57"/>
  <c r="AP26" i="57"/>
  <c r="AO18" i="57"/>
  <c r="N18" i="57" s="1"/>
  <c r="O18" i="57"/>
  <c r="O203" i="68"/>
  <c r="O365" i="58" s="1"/>
  <c r="U11" i="68"/>
  <c r="V150" i="58"/>
  <c r="R323" i="58"/>
  <c r="AU18" i="57"/>
  <c r="T18" i="57" s="1"/>
  <c r="U18" i="57"/>
  <c r="U17" i="57"/>
  <c r="AU17" i="57"/>
  <c r="T17" i="57" s="1"/>
  <c r="T100" i="58"/>
  <c r="V100" i="58" s="1"/>
  <c r="U26" i="57"/>
  <c r="G8" i="14" s="1"/>
  <c r="P8" i="14"/>
  <c r="T27" i="57"/>
  <c r="AU26" i="57"/>
  <c r="T26" i="57" s="1"/>
  <c r="W150" i="58"/>
  <c r="Q17" i="62"/>
  <c r="T17" i="62" s="1"/>
  <c r="AK42" i="57"/>
  <c r="J42" i="57" s="1"/>
  <c r="U209" i="62"/>
  <c r="BJ42" i="57"/>
  <c r="AC42" i="57" s="1"/>
  <c r="AE42" i="57"/>
  <c r="W160" i="58"/>
  <c r="V160" i="58"/>
  <c r="T158" i="58"/>
  <c r="T127" i="58" s="1"/>
  <c r="V325" i="58"/>
  <c r="W41" i="61"/>
  <c r="AB14" i="57"/>
  <c r="AE14" i="57"/>
  <c r="BC14" i="57"/>
  <c r="BJ14" i="57"/>
  <c r="AT42" i="57"/>
  <c r="S42" i="57" s="1"/>
  <c r="AS14" i="57"/>
  <c r="U11" i="69"/>
  <c r="AT40" i="57"/>
  <c r="S40" i="57" s="1"/>
  <c r="BJ40" i="57"/>
  <c r="Z40" i="57" s="1"/>
  <c r="AW40" i="57"/>
  <c r="V40" i="57" s="1"/>
  <c r="T11" i="69"/>
  <c r="W91" i="58"/>
  <c r="T85" i="58"/>
  <c r="V91" i="58"/>
  <c r="AQ40" i="57"/>
  <c r="P40" i="57" s="1"/>
  <c r="R41" i="58"/>
  <c r="AB40" i="57"/>
  <c r="W160" i="61"/>
  <c r="AE40" i="57"/>
  <c r="V54" i="58"/>
  <c r="BF42" i="57"/>
  <c r="BI42" i="57" s="1"/>
  <c r="BF40" i="57"/>
  <c r="BI40" i="57" s="1"/>
  <c r="AW42" i="57"/>
  <c r="V42" i="57" s="1"/>
  <c r="V53" i="58"/>
  <c r="W255" i="58"/>
  <c r="V255" i="58"/>
  <c r="J27" i="57"/>
  <c r="AK26" i="57"/>
  <c r="J26" i="57" s="1"/>
  <c r="T276" i="58"/>
  <c r="W277" i="58"/>
  <c r="V277" i="58"/>
  <c r="AB42" i="57"/>
  <c r="V169" i="58"/>
  <c r="W169" i="58"/>
  <c r="U11" i="64"/>
  <c r="O203" i="64"/>
  <c r="O204" i="64" s="1"/>
  <c r="W285" i="58"/>
  <c r="V285" i="58"/>
  <c r="W107" i="58"/>
  <c r="I29" i="57"/>
  <c r="AI29" i="57"/>
  <c r="H29" i="57" s="1"/>
  <c r="H22" i="57"/>
  <c r="AI21" i="57"/>
  <c r="H21" i="57" s="1"/>
  <c r="T14" i="64"/>
  <c r="Q12" i="64"/>
  <c r="J364" i="58"/>
  <c r="AJ27" i="57"/>
  <c r="T127" i="64"/>
  <c r="Q126" i="64"/>
  <c r="T126" i="64" s="1"/>
  <c r="L12" i="14"/>
  <c r="I21" i="57"/>
  <c r="C12" i="14" s="1"/>
  <c r="T45" i="64"/>
  <c r="AJ18" i="57"/>
  <c r="AS38" i="57"/>
  <c r="R38" i="57" s="1"/>
  <c r="AP38" i="57"/>
  <c r="O38" i="57" s="1"/>
  <c r="AD38" i="57"/>
  <c r="AJ38" i="57"/>
  <c r="AV38" i="57"/>
  <c r="U38" i="57" s="1"/>
  <c r="AA38" i="57"/>
  <c r="P209" i="63"/>
  <c r="R218" i="63"/>
  <c r="P212" i="63"/>
  <c r="P212" i="62"/>
  <c r="P209" i="62"/>
  <c r="R218" i="62"/>
  <c r="T132" i="63"/>
  <c r="Q209" i="63"/>
  <c r="R212" i="63" s="1"/>
  <c r="X209" i="63"/>
  <c r="Y132" i="63"/>
  <c r="T132" i="62"/>
  <c r="W267" i="58"/>
  <c r="T262" i="58"/>
  <c r="V267" i="58"/>
  <c r="H365" i="58"/>
  <c r="H364" i="58"/>
  <c r="BH20" i="57"/>
  <c r="W33" i="58"/>
  <c r="V33" i="58"/>
  <c r="W304" i="58"/>
  <c r="V304" i="58"/>
  <c r="R42" i="57"/>
  <c r="W326" i="58"/>
  <c r="V326" i="58"/>
  <c r="T323" i="58"/>
  <c r="R20" i="57"/>
  <c r="I43" i="57"/>
  <c r="BB43" i="57"/>
  <c r="T12" i="66"/>
  <c r="AS17" i="57"/>
  <c r="Q11" i="66"/>
  <c r="T11" i="66" s="1"/>
  <c r="BB33" i="57"/>
  <c r="AD33" i="57"/>
  <c r="AA33" i="57"/>
  <c r="I20" i="57"/>
  <c r="BB20" i="57"/>
  <c r="W306" i="58"/>
  <c r="T305" i="58"/>
  <c r="V306" i="58"/>
  <c r="R40" i="57"/>
  <c r="BH43" i="57"/>
  <c r="BJ33" i="57"/>
  <c r="AE33" i="57"/>
  <c r="AB33" i="57"/>
  <c r="BC33" i="57"/>
  <c r="R27" i="57"/>
  <c r="AR27" i="57"/>
  <c r="AS26" i="57"/>
  <c r="AT38" i="57"/>
  <c r="S38" i="57" s="1"/>
  <c r="AB38" i="57"/>
  <c r="AK38" i="57"/>
  <c r="AE38" i="57"/>
  <c r="BF38" i="57"/>
  <c r="BI38" i="57" s="1"/>
  <c r="AQ38" i="57"/>
  <c r="P38" i="57" s="1"/>
  <c r="AW38" i="57"/>
  <c r="V38" i="57" s="1"/>
  <c r="BH38" i="57"/>
  <c r="W320" i="58"/>
  <c r="V320" i="58"/>
  <c r="V41" i="61"/>
  <c r="U40" i="57"/>
  <c r="W70" i="58"/>
  <c r="T65" i="58"/>
  <c r="V70" i="58"/>
  <c r="V183" i="58"/>
  <c r="W183" i="58"/>
  <c r="T182" i="58"/>
  <c r="W345" i="58"/>
  <c r="T344" i="58"/>
  <c r="V345" i="58"/>
  <c r="V39" i="58"/>
  <c r="W39" i="58"/>
  <c r="T38" i="58"/>
  <c r="AQ20" i="57"/>
  <c r="P20" i="57" s="1"/>
  <c r="AB20" i="57"/>
  <c r="AW20" i="57"/>
  <c r="V20" i="57" s="1"/>
  <c r="AK20" i="57"/>
  <c r="J20" i="57" s="1"/>
  <c r="AT20" i="57"/>
  <c r="AE20" i="57"/>
  <c r="AN20" i="57"/>
  <c r="BF20" i="57"/>
  <c r="BI20" i="57" s="1"/>
  <c r="R43" i="57"/>
  <c r="Q21" i="57"/>
  <c r="BE41" i="57"/>
  <c r="AP41" i="57"/>
  <c r="AA41" i="57"/>
  <c r="AS41" i="57"/>
  <c r="AD41" i="57"/>
  <c r="AJ41" i="57"/>
  <c r="AV41" i="57"/>
  <c r="BJ41" i="57"/>
  <c r="P365" i="58"/>
  <c r="P364" i="58"/>
  <c r="W136" i="58"/>
  <c r="V136" i="58"/>
  <c r="V42" i="58"/>
  <c r="W42" i="58"/>
  <c r="T41" i="58"/>
  <c r="O42" i="57"/>
  <c r="AO42" i="57"/>
  <c r="N42" i="57" s="1"/>
  <c r="O20" i="57"/>
  <c r="W149" i="58"/>
  <c r="V149" i="58"/>
  <c r="O40" i="57"/>
  <c r="V168" i="61"/>
  <c r="BL37" i="57" s="1"/>
  <c r="BJ37" i="57" s="1"/>
  <c r="O43" i="57"/>
  <c r="J40" i="57"/>
  <c r="AW43" i="57"/>
  <c r="V43" i="57" s="1"/>
  <c r="AT43" i="57"/>
  <c r="S43" i="57" s="1"/>
  <c r="AE43" i="57"/>
  <c r="BF43" i="57"/>
  <c r="BI43" i="57" s="1"/>
  <c r="AQ43" i="57"/>
  <c r="P43" i="57" s="1"/>
  <c r="AK43" i="57"/>
  <c r="AB43" i="57"/>
  <c r="U42" i="57"/>
  <c r="W188" i="58"/>
  <c r="T187" i="58"/>
  <c r="V188" i="58"/>
  <c r="BJ38" i="57"/>
  <c r="V331" i="58"/>
  <c r="AC20" i="57"/>
  <c r="Z20" i="57"/>
  <c r="BJ43" i="57"/>
  <c r="W333" i="58"/>
  <c r="T332" i="58"/>
  <c r="V333" i="58"/>
  <c r="BH42" i="57"/>
  <c r="U20" i="57"/>
  <c r="BH40" i="57"/>
  <c r="T176" i="58"/>
  <c r="W61" i="58"/>
  <c r="T60" i="58"/>
  <c r="V61" i="58"/>
  <c r="U43" i="57"/>
  <c r="BB42" i="57"/>
  <c r="I42" i="57"/>
  <c r="AK41" i="57"/>
  <c r="BF41" i="57"/>
  <c r="BI41" i="57" s="1"/>
  <c r="AQ41" i="57"/>
  <c r="P41" i="57" s="1"/>
  <c r="AE41" i="57"/>
  <c r="AT41" i="57"/>
  <c r="S41" i="57" s="1"/>
  <c r="AB41" i="57"/>
  <c r="AW41" i="57"/>
  <c r="V41" i="57" s="1"/>
  <c r="BB40" i="57"/>
  <c r="I40" i="57"/>
  <c r="AI40" i="57"/>
  <c r="AJ37" i="57"/>
  <c r="AS37" i="57"/>
  <c r="AP37" i="57"/>
  <c r="AA37" i="57"/>
  <c r="AD37" i="57"/>
  <c r="AV37" i="57"/>
  <c r="BE37" i="57"/>
  <c r="G4" i="8"/>
  <c r="C4" i="11"/>
  <c r="E4" i="8"/>
  <c r="D42" i="4"/>
  <c r="D58" i="4"/>
  <c r="D59" i="4" s="1"/>
  <c r="O44" i="4"/>
  <c r="K10" i="4"/>
  <c r="I10" i="4" s="1"/>
  <c r="D49" i="4"/>
  <c r="B5" i="6"/>
  <c r="K11" i="12" l="1"/>
  <c r="I11" i="12"/>
  <c r="G11" i="12"/>
  <c r="AI23" i="12"/>
  <c r="BS23" i="12"/>
  <c r="BT23" i="12"/>
  <c r="BQ23" i="12"/>
  <c r="BR23" i="12"/>
  <c r="BP23" i="12"/>
  <c r="S23" i="12"/>
  <c r="R23" i="12"/>
  <c r="AF23" i="12"/>
  <c r="BC23" i="12"/>
  <c r="H23" i="12"/>
  <c r="AV23" i="12"/>
  <c r="AD23" i="12"/>
  <c r="BD23" i="12"/>
  <c r="BM23" i="12"/>
  <c r="AW23" i="12"/>
  <c r="BF23" i="12"/>
  <c r="BB20" i="43"/>
  <c r="P36" i="50"/>
  <c r="Y23" i="12"/>
  <c r="AH23" i="12"/>
  <c r="V23" i="12"/>
  <c r="AG23" i="12"/>
  <c r="AU23" i="12"/>
  <c r="AO23" i="12"/>
  <c r="BN23" i="12"/>
  <c r="Q23" i="12"/>
  <c r="BB23" i="12"/>
  <c r="T23" i="12"/>
  <c r="AZ23" i="12"/>
  <c r="BK23" i="12"/>
  <c r="F11" i="12"/>
  <c r="Q10" i="28"/>
  <c r="AA23" i="12"/>
  <c r="F23" i="12"/>
  <c r="BJ23" i="12"/>
  <c r="J23" i="12"/>
  <c r="AK23" i="12"/>
  <c r="BH23" i="12"/>
  <c r="AN23" i="12"/>
  <c r="U23" i="12"/>
  <c r="AQ23" i="12"/>
  <c r="P37" i="37"/>
  <c r="O36" i="37"/>
  <c r="G11" i="10"/>
  <c r="O11" i="28"/>
  <c r="O13" i="28" s="1"/>
  <c r="O15" i="28" s="1"/>
  <c r="Q7" i="28"/>
  <c r="BH63" i="13"/>
  <c r="BQ63" i="13"/>
  <c r="BM63" i="13"/>
  <c r="AC63" i="13"/>
  <c r="AE63" i="13"/>
  <c r="R63" i="13"/>
  <c r="AF63" i="13"/>
  <c r="F63" i="13"/>
  <c r="AB63" i="13"/>
  <c r="BP63" i="13"/>
  <c r="AT63" i="13"/>
  <c r="BF63" i="13"/>
  <c r="X63" i="13"/>
  <c r="AD63" i="13"/>
  <c r="AJ63" i="13"/>
  <c r="L63" i="13"/>
  <c r="AL63" i="13"/>
  <c r="D63" i="13"/>
  <c r="AX63" i="13"/>
  <c r="BB63" i="13"/>
  <c r="BN63" i="13"/>
  <c r="J63" i="13"/>
  <c r="AH63" i="13"/>
  <c r="T63" i="13"/>
  <c r="AA63" i="13"/>
  <c r="AM63" i="13"/>
  <c r="AS63" i="13"/>
  <c r="BD63" i="13"/>
  <c r="W63" i="13"/>
  <c r="O63" i="13"/>
  <c r="AY63" i="13"/>
  <c r="BJ63" i="13"/>
  <c r="BG63" i="13"/>
  <c r="Y63" i="13"/>
  <c r="V63" i="13"/>
  <c r="AP63" i="13"/>
  <c r="AQ63" i="13"/>
  <c r="G63" i="13"/>
  <c r="BC63" i="13"/>
  <c r="AK63" i="13"/>
  <c r="P63" i="13"/>
  <c r="H63" i="13"/>
  <c r="BO63" i="13"/>
  <c r="AU63" i="13"/>
  <c r="AV63" i="13"/>
  <c r="AN63" i="13"/>
  <c r="K63" i="13"/>
  <c r="C63" i="13"/>
  <c r="S63" i="13"/>
  <c r="E63" i="13"/>
  <c r="BA63" i="13"/>
  <c r="BK63" i="13"/>
  <c r="BL63" i="13"/>
  <c r="M63" i="13"/>
  <c r="U63" i="13"/>
  <c r="AO63" i="13"/>
  <c r="N63" i="13"/>
  <c r="Z63" i="13"/>
  <c r="BI63" i="13"/>
  <c r="BE63" i="13"/>
  <c r="AI63" i="13"/>
  <c r="I63" i="13"/>
  <c r="AG63" i="13"/>
  <c r="AR63" i="13"/>
  <c r="AZ63" i="13"/>
  <c r="AW63" i="13"/>
  <c r="Q63" i="13"/>
  <c r="P4" i="38"/>
  <c r="BA23" i="12"/>
  <c r="AP23" i="12"/>
  <c r="BI23" i="12"/>
  <c r="Z23" i="12"/>
  <c r="L23" i="12"/>
  <c r="AI42" i="30"/>
  <c r="AE23" i="12"/>
  <c r="H11" i="12"/>
  <c r="F53" i="9"/>
  <c r="AV19" i="30"/>
  <c r="P5" i="38"/>
  <c r="O4" i="50"/>
  <c r="O71" i="50" s="1"/>
  <c r="E23" i="12"/>
  <c r="G23" i="12"/>
  <c r="AJ23" i="12"/>
  <c r="I23" i="12"/>
  <c r="BO23" i="12"/>
  <c r="BL23" i="12"/>
  <c r="B14" i="10"/>
  <c r="O88" i="37"/>
  <c r="P88" i="37" s="1"/>
  <c r="AS26" i="30"/>
  <c r="AS25" i="30" s="1"/>
  <c r="P89" i="37"/>
  <c r="P9" i="37"/>
  <c r="O5" i="37"/>
  <c r="C11" i="12"/>
  <c r="B13" i="10"/>
  <c r="C11" i="10"/>
  <c r="C49" i="4"/>
  <c r="K9" i="4"/>
  <c r="I9" i="4" s="1"/>
  <c r="C42" i="4"/>
  <c r="I25" i="4"/>
  <c r="J25" i="4" s="1"/>
  <c r="AM18" i="30"/>
  <c r="X23" i="12"/>
  <c r="P23" i="12"/>
  <c r="D23" i="12"/>
  <c r="BE23" i="12"/>
  <c r="K23" i="12"/>
  <c r="N23" i="12"/>
  <c r="AS19" i="43"/>
  <c r="O4" i="47"/>
  <c r="P5" i="47"/>
  <c r="AS24" i="30"/>
  <c r="BB24" i="30" s="1"/>
  <c r="P69" i="37"/>
  <c r="E11" i="12"/>
  <c r="AB23" i="12"/>
  <c r="AM23" i="12"/>
  <c r="AC23" i="12"/>
  <c r="AR23" i="12"/>
  <c r="M23" i="12"/>
  <c r="BG23" i="12"/>
  <c r="J11" i="12"/>
  <c r="T67" i="13"/>
  <c r="R67" i="13"/>
  <c r="AR67" i="13"/>
  <c r="J67" i="13"/>
  <c r="W67" i="13"/>
  <c r="AU67" i="13"/>
  <c r="BD67" i="13"/>
  <c r="BL67" i="13"/>
  <c r="D67" i="13"/>
  <c r="AH67" i="13"/>
  <c r="I67" i="13"/>
  <c r="AA67" i="13"/>
  <c r="S67" i="13"/>
  <c r="BH67" i="13"/>
  <c r="BM67" i="13"/>
  <c r="BN67" i="13"/>
  <c r="O67" i="13"/>
  <c r="AI67" i="13"/>
  <c r="U67" i="13"/>
  <c r="E67" i="13"/>
  <c r="AF67" i="13"/>
  <c r="AQ67" i="13"/>
  <c r="BE67" i="13"/>
  <c r="BG67" i="13"/>
  <c r="BC67" i="13"/>
  <c r="P67" i="13"/>
  <c r="Z67" i="13"/>
  <c r="Y67" i="13"/>
  <c r="AG67" i="13"/>
  <c r="AC67" i="13"/>
  <c r="Q67" i="13"/>
  <c r="AY67" i="13"/>
  <c r="AS67" i="13"/>
  <c r="BA67" i="13"/>
  <c r="AO67" i="13"/>
  <c r="N67" i="13"/>
  <c r="AM67" i="13"/>
  <c r="AL67" i="13"/>
  <c r="BJ67" i="13"/>
  <c r="BO67" i="13"/>
  <c r="AD67" i="13"/>
  <c r="X67" i="13"/>
  <c r="L67" i="13"/>
  <c r="C67" i="13"/>
  <c r="AN67" i="13"/>
  <c r="BB67" i="13"/>
  <c r="BP67" i="13"/>
  <c r="BK67" i="13"/>
  <c r="BI67" i="13"/>
  <c r="AP67" i="13"/>
  <c r="AV67" i="13"/>
  <c r="AJ67" i="13"/>
  <c r="AB67" i="13"/>
  <c r="M67" i="13"/>
  <c r="F67" i="13"/>
  <c r="AK67" i="13"/>
  <c r="AZ67" i="13"/>
  <c r="AX67" i="13"/>
  <c r="BQ67" i="13"/>
  <c r="AE67" i="13"/>
  <c r="G67" i="13"/>
  <c r="H67" i="13"/>
  <c r="K67" i="13"/>
  <c r="V67" i="13"/>
  <c r="AW67" i="13"/>
  <c r="AT67" i="13"/>
  <c r="BF67" i="13"/>
  <c r="C23" i="12"/>
  <c r="O23" i="12"/>
  <c r="AL23" i="12"/>
  <c r="AY23" i="12"/>
  <c r="AS23" i="12"/>
  <c r="W23" i="12"/>
  <c r="AT23" i="12"/>
  <c r="AX23" i="12"/>
  <c r="O174" i="32"/>
  <c r="P174" i="32" s="1"/>
  <c r="BB37" i="30"/>
  <c r="P190" i="32"/>
  <c r="P88" i="23"/>
  <c r="O168" i="23"/>
  <c r="J110" i="54" s="1"/>
  <c r="M169" i="23"/>
  <c r="M170" i="23" s="1"/>
  <c r="N169" i="23"/>
  <c r="N170" i="23" s="1"/>
  <c r="P36" i="36"/>
  <c r="AP20" i="30"/>
  <c r="AP18" i="30" s="1"/>
  <c r="O4" i="36"/>
  <c r="D11" i="12"/>
  <c r="F15" i="9"/>
  <c r="F36" i="9" s="1"/>
  <c r="F57" i="9" s="1"/>
  <c r="F78" i="9" s="1"/>
  <c r="M31" i="60"/>
  <c r="J57" i="60"/>
  <c r="J69" i="60" s="1"/>
  <c r="T11" i="58"/>
  <c r="W11" i="58" s="1"/>
  <c r="W11" i="61"/>
  <c r="V11" i="61" s="1"/>
  <c r="Y11" i="61"/>
  <c r="T10" i="61"/>
  <c r="T9" i="61" s="1"/>
  <c r="T194" i="61" s="1"/>
  <c r="T195" i="61" s="1"/>
  <c r="S13" i="58"/>
  <c r="T13" i="58" s="1"/>
  <c r="V13" i="58" s="1"/>
  <c r="U13" i="61"/>
  <c r="C5" i="4"/>
  <c r="G3" i="4" s="1"/>
  <c r="J13" i="60"/>
  <c r="J12" i="60" s="1"/>
  <c r="Q33" i="7"/>
  <c r="R31" i="7"/>
  <c r="R33" i="7" s="1"/>
  <c r="P33" i="7"/>
  <c r="S31" i="7"/>
  <c r="S33" i="7" s="1"/>
  <c r="AP12" i="30"/>
  <c r="AP9" i="30" s="1"/>
  <c r="AJ12" i="30"/>
  <c r="AJ9" i="30" s="1"/>
  <c r="AY12" i="30"/>
  <c r="AY9" i="30" s="1"/>
  <c r="AG12" i="30"/>
  <c r="AG9" i="30" s="1"/>
  <c r="AS12" i="30"/>
  <c r="AS9" i="30" s="1"/>
  <c r="AM12" i="30"/>
  <c r="AM9" i="30" s="1"/>
  <c r="BH19" i="43"/>
  <c r="M169" i="33"/>
  <c r="M170" i="33" s="1"/>
  <c r="P89" i="20"/>
  <c r="O88" i="20"/>
  <c r="L222" i="58"/>
  <c r="L356" i="58" s="1"/>
  <c r="L364" i="58" s="1"/>
  <c r="J365" i="58"/>
  <c r="E83" i="9"/>
  <c r="E38" i="9"/>
  <c r="E62" i="9"/>
  <c r="BJ8" i="6"/>
  <c r="BJ4" i="7" s="1"/>
  <c r="BJ21" i="6"/>
  <c r="BJ19" i="6"/>
  <c r="B31" i="3"/>
  <c r="D4" i="8"/>
  <c r="D14" i="4"/>
  <c r="J4" i="8"/>
  <c r="L40" i="3"/>
  <c r="G15" i="9" s="1"/>
  <c r="X23" i="10"/>
  <c r="AA23" i="10"/>
  <c r="AK23" i="10"/>
  <c r="AW23" i="10"/>
  <c r="E23" i="10"/>
  <c r="M23" i="10"/>
  <c r="Z23" i="10"/>
  <c r="BL23" i="10"/>
  <c r="L23" i="10"/>
  <c r="AE23" i="10"/>
  <c r="Q23" i="10"/>
  <c r="AR23" i="10"/>
  <c r="N23" i="10"/>
  <c r="H23" i="10"/>
  <c r="AC23" i="10"/>
  <c r="AL23" i="10"/>
  <c r="BI23" i="10"/>
  <c r="F4" i="8"/>
  <c r="BK23" i="10"/>
  <c r="P23" i="10"/>
  <c r="AM23" i="10"/>
  <c r="BP23" i="10"/>
  <c r="AU23" i="10"/>
  <c r="BD23" i="10"/>
  <c r="BO23" i="10"/>
  <c r="D23" i="10"/>
  <c r="AB23" i="10"/>
  <c r="BB23" i="10"/>
  <c r="AP23" i="10"/>
  <c r="AV23" i="10"/>
  <c r="V23" i="10"/>
  <c r="Y23" i="10"/>
  <c r="BC23" i="10"/>
  <c r="AH23" i="10"/>
  <c r="C23" i="10"/>
  <c r="R23" i="10"/>
  <c r="U23" i="10"/>
  <c r="T23" i="10"/>
  <c r="BN23" i="10"/>
  <c r="AF23" i="10"/>
  <c r="S23" i="10"/>
  <c r="AJ23" i="10"/>
  <c r="AO23" i="10"/>
  <c r="AQ23" i="10"/>
  <c r="G23" i="10"/>
  <c r="AD23" i="10"/>
  <c r="F23" i="10"/>
  <c r="AX23" i="10"/>
  <c r="AY23" i="10"/>
  <c r="AS23" i="10"/>
  <c r="O23" i="10"/>
  <c r="BJ23" i="10"/>
  <c r="BH23" i="10"/>
  <c r="BE23" i="10"/>
  <c r="W23" i="10"/>
  <c r="AT23" i="10"/>
  <c r="BA23" i="10"/>
  <c r="AG23" i="10"/>
  <c r="K23" i="10"/>
  <c r="J23" i="10"/>
  <c r="AI23" i="10"/>
  <c r="BG23" i="10"/>
  <c r="AN23" i="10"/>
  <c r="AZ23" i="10"/>
  <c r="I23" i="10"/>
  <c r="BM23" i="10"/>
  <c r="BF26" i="10"/>
  <c r="P28" i="4"/>
  <c r="S28" i="4" s="1"/>
  <c r="BF23" i="10"/>
  <c r="BR11" i="6"/>
  <c r="BR10" i="6" s="1"/>
  <c r="BO11" i="6"/>
  <c r="BO10" i="6" s="1"/>
  <c r="AO11" i="6"/>
  <c r="AO10" i="6" s="1"/>
  <c r="AX11" i="6"/>
  <c r="AX10" i="6" s="1"/>
  <c r="BV11" i="6"/>
  <c r="BV10" i="6" s="1"/>
  <c r="BN11" i="6"/>
  <c r="BN10" i="6" s="1"/>
  <c r="AP11" i="6"/>
  <c r="AP10" i="6" s="1"/>
  <c r="CA11" i="6"/>
  <c r="CA10" i="6" s="1"/>
  <c r="AR11" i="6"/>
  <c r="AR10" i="6" s="1"/>
  <c r="AT11" i="6"/>
  <c r="AT10" i="6" s="1"/>
  <c r="BG11" i="6"/>
  <c r="BG10" i="6" s="1"/>
  <c r="BB11" i="6"/>
  <c r="BB10" i="6" s="1"/>
  <c r="BC11" i="6"/>
  <c r="BC10" i="6" s="1"/>
  <c r="AS11" i="6"/>
  <c r="AS10" i="6" s="1"/>
  <c r="AY11" i="6"/>
  <c r="AY10" i="6" s="1"/>
  <c r="CG11" i="6"/>
  <c r="CG10" i="6" s="1"/>
  <c r="BD11" i="6"/>
  <c r="BD10" i="6" s="1"/>
  <c r="BW11" i="6"/>
  <c r="BW10" i="6" s="1"/>
  <c r="CE11" i="6"/>
  <c r="CE10" i="6" s="1"/>
  <c r="AU11" i="6"/>
  <c r="AU10" i="6" s="1"/>
  <c r="BA11" i="6"/>
  <c r="BA10" i="6" s="1"/>
  <c r="AN11" i="6"/>
  <c r="AN10" i="6" s="1"/>
  <c r="AJ11" i="6"/>
  <c r="AJ10" i="6" s="1"/>
  <c r="BY11" i="6"/>
  <c r="BY10" i="6" s="1"/>
  <c r="CC11" i="6"/>
  <c r="CC10" i="6" s="1"/>
  <c r="AW11" i="6"/>
  <c r="AW10" i="6" s="1"/>
  <c r="BJ11" i="6"/>
  <c r="BJ10" i="6" s="1"/>
  <c r="BZ11" i="6"/>
  <c r="BZ10" i="6" s="1"/>
  <c r="CF11" i="6"/>
  <c r="CF10" i="6" s="1"/>
  <c r="BQ11" i="6"/>
  <c r="BQ10" i="6" s="1"/>
  <c r="AD11" i="6"/>
  <c r="AM11" i="6"/>
  <c r="AM10" i="6" s="1"/>
  <c r="BF11" i="6"/>
  <c r="BF10" i="6" s="1"/>
  <c r="BL11" i="6"/>
  <c r="BL10" i="6" s="1"/>
  <c r="BE11" i="6"/>
  <c r="BE10" i="6" s="1"/>
  <c r="AF11" i="6"/>
  <c r="AF10" i="6" s="1"/>
  <c r="BU11" i="6"/>
  <c r="BU10" i="6" s="1"/>
  <c r="AV11" i="6"/>
  <c r="AV10" i="6" s="1"/>
  <c r="AZ11" i="6"/>
  <c r="AZ10" i="6" s="1"/>
  <c r="BM11" i="6"/>
  <c r="BM10" i="6" s="1"/>
  <c r="BS11" i="6"/>
  <c r="BS10" i="6" s="1"/>
  <c r="AL11" i="6"/>
  <c r="AL10" i="6" s="1"/>
  <c r="AE11" i="6"/>
  <c r="AE10" i="6" s="1"/>
  <c r="BI11" i="6"/>
  <c r="BI10" i="6" s="1"/>
  <c r="BK11" i="6"/>
  <c r="BK10" i="6" s="1"/>
  <c r="BP11" i="6"/>
  <c r="BP10" i="6" s="1"/>
  <c r="AQ11" i="6"/>
  <c r="AQ10" i="6" s="1"/>
  <c r="AK11" i="6"/>
  <c r="AK10" i="6" s="1"/>
  <c r="BH11" i="6"/>
  <c r="BH10" i="6" s="1"/>
  <c r="CB11" i="6"/>
  <c r="CB10" i="6" s="1"/>
  <c r="CD11" i="6"/>
  <c r="CD10" i="6" s="1"/>
  <c r="BT11" i="6"/>
  <c r="BT10" i="6" s="1"/>
  <c r="AG11" i="6"/>
  <c r="BX11" i="6"/>
  <c r="BX10" i="6" s="1"/>
  <c r="AH11" i="6"/>
  <c r="AH10" i="6" s="1"/>
  <c r="AI11" i="6"/>
  <c r="CH11" i="6"/>
  <c r="CH10" i="6" s="1"/>
  <c r="F40" i="4"/>
  <c r="P44" i="4" s="1"/>
  <c r="P46" i="4" s="1"/>
  <c r="D11" i="9"/>
  <c r="L41" i="4"/>
  <c r="BI8" i="6"/>
  <c r="BI4" i="7" s="1"/>
  <c r="B4" i="6"/>
  <c r="H4" i="8" s="1"/>
  <c r="BI21" i="6"/>
  <c r="BI19" i="6"/>
  <c r="B19" i="6" s="1"/>
  <c r="C16" i="9"/>
  <c r="G16" i="9"/>
  <c r="AP11" i="43"/>
  <c r="AV11" i="43"/>
  <c r="AY11" i="43"/>
  <c r="AS11" i="43"/>
  <c r="AJ11" i="43"/>
  <c r="AM11" i="43"/>
  <c r="H48" i="44"/>
  <c r="I48" i="44" s="1"/>
  <c r="H49" i="44"/>
  <c r="I49" i="44" s="1"/>
  <c r="H51" i="44"/>
  <c r="I51" i="44" s="1"/>
  <c r="H50" i="44"/>
  <c r="I50" i="44" s="1"/>
  <c r="H46" i="44"/>
  <c r="I46" i="44" s="1"/>
  <c r="H47" i="44"/>
  <c r="I47" i="44" s="1"/>
  <c r="AP26" i="43"/>
  <c r="AP25" i="43" s="1"/>
  <c r="O88" i="46"/>
  <c r="P88" i="46" s="1"/>
  <c r="P89" i="46"/>
  <c r="J45" i="44"/>
  <c r="J52" i="44" s="1"/>
  <c r="AK10" i="43"/>
  <c r="N169" i="33"/>
  <c r="N170" i="33" s="1"/>
  <c r="J5" i="28"/>
  <c r="Q5" i="28" s="1"/>
  <c r="Q73" i="32"/>
  <c r="BC14" i="30"/>
  <c r="M72" i="32"/>
  <c r="M169" i="24"/>
  <c r="M170" i="24" s="1"/>
  <c r="N169" i="24"/>
  <c r="N170" i="24" s="1"/>
  <c r="P88" i="24"/>
  <c r="BB10" i="30"/>
  <c r="BB9" i="30" s="1"/>
  <c r="P6" i="45"/>
  <c r="O5" i="45"/>
  <c r="P5" i="45" s="1"/>
  <c r="P4" i="27"/>
  <c r="N169" i="27"/>
  <c r="N170" i="27" s="1"/>
  <c r="M169" i="27"/>
  <c r="M170" i="27" s="1"/>
  <c r="K45" i="44"/>
  <c r="K52" i="44" s="1"/>
  <c r="AO10" i="43"/>
  <c r="AO9" i="43" s="1"/>
  <c r="AO42" i="43" s="1"/>
  <c r="BJ10" i="43"/>
  <c r="BJ9" i="43" s="1"/>
  <c r="BJ42" i="43" s="1"/>
  <c r="AL9" i="43"/>
  <c r="AL42" i="43" s="1"/>
  <c r="P75" i="32"/>
  <c r="O73" i="32"/>
  <c r="O9" i="61"/>
  <c r="AP14" i="57"/>
  <c r="AV14" i="57"/>
  <c r="U14" i="57" s="1"/>
  <c r="S22" i="61"/>
  <c r="W198" i="58"/>
  <c r="T197" i="58"/>
  <c r="V198" i="58"/>
  <c r="T128" i="69"/>
  <c r="Q127" i="69"/>
  <c r="O126" i="69"/>
  <c r="U127" i="69"/>
  <c r="N127" i="69"/>
  <c r="R223" i="58"/>
  <c r="T225" i="58"/>
  <c r="R224" i="58"/>
  <c r="S21" i="61"/>
  <c r="S130" i="61"/>
  <c r="W127" i="58"/>
  <c r="W100" i="58"/>
  <c r="T98" i="58"/>
  <c r="V98" i="58" s="1"/>
  <c r="AI42" i="57"/>
  <c r="H42" i="57" s="1"/>
  <c r="AR40" i="57"/>
  <c r="Q40" i="57" s="1"/>
  <c r="S34" i="4"/>
  <c r="Q315" i="58"/>
  <c r="Q152" i="61"/>
  <c r="P152" i="61" s="1"/>
  <c r="U152" i="61"/>
  <c r="R95" i="58"/>
  <c r="Q94" i="58"/>
  <c r="AK14" i="43"/>
  <c r="AK13" i="43" s="1"/>
  <c r="AT14" i="43"/>
  <c r="AT13" i="43" s="1"/>
  <c r="AQ14" i="43"/>
  <c r="AQ13" i="43" s="1"/>
  <c r="BI13" i="43"/>
  <c r="AW14" i="43"/>
  <c r="AW13" i="43" s="1"/>
  <c r="AN14" i="43"/>
  <c r="AN13" i="43" s="1"/>
  <c r="AZ14" i="43"/>
  <c r="AZ13" i="43" s="1"/>
  <c r="BB18" i="43"/>
  <c r="BB42" i="43" s="1"/>
  <c r="BB48" i="43"/>
  <c r="Y117" i="61"/>
  <c r="W117" i="61"/>
  <c r="V117" i="61" s="1"/>
  <c r="Y134" i="61"/>
  <c r="W134" i="61"/>
  <c r="U133" i="61"/>
  <c r="N169" i="39"/>
  <c r="N170" i="39" s="1"/>
  <c r="Y112" i="61"/>
  <c r="W112" i="61"/>
  <c r="V112" i="61" s="1"/>
  <c r="O107" i="61"/>
  <c r="O106" i="61" s="1"/>
  <c r="O105" i="61" s="1"/>
  <c r="Y104" i="61"/>
  <c r="W104" i="61"/>
  <c r="V104" i="61" s="1"/>
  <c r="Q155" i="61"/>
  <c r="P155" i="61" s="1"/>
  <c r="Q318" i="58"/>
  <c r="U155" i="61"/>
  <c r="P103" i="61"/>
  <c r="Q102" i="61"/>
  <c r="Q72" i="45"/>
  <c r="M235" i="45"/>
  <c r="Y29" i="61"/>
  <c r="W29" i="61"/>
  <c r="AX65" i="13"/>
  <c r="BF65" i="13"/>
  <c r="BN65" i="13"/>
  <c r="AV65" i="13"/>
  <c r="AW65" i="13"/>
  <c r="AY65" i="13"/>
  <c r="BG65" i="13"/>
  <c r="BO65" i="13"/>
  <c r="BE65" i="13"/>
  <c r="AZ65" i="13"/>
  <c r="BH65" i="13"/>
  <c r="BP65" i="13"/>
  <c r="AS65" i="13"/>
  <c r="BA65" i="13"/>
  <c r="BI65" i="13"/>
  <c r="BQ65" i="13"/>
  <c r="BC65" i="13"/>
  <c r="BD65" i="13"/>
  <c r="BM65" i="13"/>
  <c r="AT65" i="13"/>
  <c r="BB65" i="13"/>
  <c r="BJ65" i="13"/>
  <c r="AU65" i="13"/>
  <c r="BK65" i="13"/>
  <c r="BL65" i="13"/>
  <c r="R65" i="13"/>
  <c r="AN65" i="13"/>
  <c r="K65" i="13"/>
  <c r="U65" i="13"/>
  <c r="Z65" i="13"/>
  <c r="AO65" i="13"/>
  <c r="AJ65" i="13"/>
  <c r="M65" i="13"/>
  <c r="V65" i="13"/>
  <c r="H65" i="13"/>
  <c r="AE65" i="13"/>
  <c r="S65" i="13"/>
  <c r="AM65" i="13"/>
  <c r="D65" i="13"/>
  <c r="Q65" i="13"/>
  <c r="AR65" i="13"/>
  <c r="AC65" i="13"/>
  <c r="P65" i="13"/>
  <c r="AH65" i="13"/>
  <c r="AP65" i="13"/>
  <c r="AA65" i="13"/>
  <c r="G65" i="13"/>
  <c r="AL65" i="13"/>
  <c r="X65" i="13"/>
  <c r="I65" i="13"/>
  <c r="J65" i="13"/>
  <c r="AG65" i="13"/>
  <c r="T65" i="13"/>
  <c r="AK65" i="13"/>
  <c r="E65" i="13"/>
  <c r="F65" i="13"/>
  <c r="W65" i="13"/>
  <c r="AF65" i="13"/>
  <c r="C65" i="13"/>
  <c r="N65" i="13"/>
  <c r="AD65" i="13"/>
  <c r="AI65" i="13"/>
  <c r="O65" i="13"/>
  <c r="AB65" i="13"/>
  <c r="Y65" i="13"/>
  <c r="AQ65" i="13"/>
  <c r="L65" i="13"/>
  <c r="S115" i="61"/>
  <c r="S113" i="61" s="1"/>
  <c r="M169" i="39"/>
  <c r="M170" i="39" s="1"/>
  <c r="S15" i="61"/>
  <c r="S14" i="61" s="1"/>
  <c r="P15" i="61"/>
  <c r="Q14" i="61"/>
  <c r="Q10" i="61" s="1"/>
  <c r="Y111" i="61"/>
  <c r="W111" i="61"/>
  <c r="V111" i="61" s="1"/>
  <c r="BM14" i="43"/>
  <c r="BH14" i="43"/>
  <c r="P73" i="45"/>
  <c r="O72" i="45"/>
  <c r="P29" i="61"/>
  <c r="BH20" i="43"/>
  <c r="BN20" i="43" s="1"/>
  <c r="AP48" i="43"/>
  <c r="AP18" i="43"/>
  <c r="N169" i="40"/>
  <c r="N170" i="40" s="1"/>
  <c r="M169" i="40"/>
  <c r="M170" i="40" s="1"/>
  <c r="P4" i="40"/>
  <c r="R15" i="58"/>
  <c r="Q14" i="58"/>
  <c r="M170" i="48"/>
  <c r="AV50" i="43"/>
  <c r="AV51" i="43" s="1"/>
  <c r="AV18" i="30"/>
  <c r="AV42" i="30" s="1"/>
  <c r="R178" i="58"/>
  <c r="T178" i="58" s="1"/>
  <c r="W178" i="58" s="1"/>
  <c r="P111" i="61"/>
  <c r="Y22" i="61"/>
  <c r="W22" i="61"/>
  <c r="V22" i="61" s="1"/>
  <c r="AG25" i="30"/>
  <c r="Q151" i="61"/>
  <c r="S151" i="61" s="1"/>
  <c r="Q314" i="58"/>
  <c r="U151" i="61"/>
  <c r="O150" i="61"/>
  <c r="O132" i="61" s="1"/>
  <c r="Y103" i="61"/>
  <c r="W103" i="61"/>
  <c r="U102" i="61"/>
  <c r="Y102" i="61" s="1"/>
  <c r="R29" i="58"/>
  <c r="P4" i="46"/>
  <c r="N169" i="46"/>
  <c r="N170" i="46" s="1"/>
  <c r="O170" i="46" s="1"/>
  <c r="M169" i="46"/>
  <c r="P4" i="49"/>
  <c r="M169" i="49"/>
  <c r="N169" i="49"/>
  <c r="N170" i="49" s="1"/>
  <c r="Y115" i="61"/>
  <c r="W115" i="61"/>
  <c r="V115" i="61" s="1"/>
  <c r="R21" i="58"/>
  <c r="T21" i="58" s="1"/>
  <c r="W21" i="58" s="1"/>
  <c r="BH26" i="43"/>
  <c r="R177" i="58"/>
  <c r="Q175" i="58"/>
  <c r="Q174" i="58" s="1"/>
  <c r="Q97" i="58" s="1"/>
  <c r="Q153" i="61"/>
  <c r="P153" i="61" s="1"/>
  <c r="Q316" i="58"/>
  <c r="U153" i="61"/>
  <c r="BN19" i="43"/>
  <c r="V24" i="58"/>
  <c r="W24" i="58"/>
  <c r="R194" i="58"/>
  <c r="T194" i="58" s="1"/>
  <c r="W194" i="58" s="1"/>
  <c r="R22" i="58"/>
  <c r="T22" i="58" s="1"/>
  <c r="W22" i="58" s="1"/>
  <c r="Q317" i="58"/>
  <c r="Q154" i="61"/>
  <c r="P154" i="61" s="1"/>
  <c r="U154" i="61"/>
  <c r="R179" i="58"/>
  <c r="T179" i="58" s="1"/>
  <c r="W179" i="58" s="1"/>
  <c r="S117" i="61"/>
  <c r="Y21" i="61"/>
  <c r="W21" i="61"/>
  <c r="V21" i="61" s="1"/>
  <c r="W24" i="61"/>
  <c r="V24" i="61" s="1"/>
  <c r="Y24" i="61"/>
  <c r="S104" i="61"/>
  <c r="S102" i="61" s="1"/>
  <c r="U37" i="61"/>
  <c r="Q37" i="58"/>
  <c r="Q37" i="61"/>
  <c r="P37" i="61" s="1"/>
  <c r="O165" i="61"/>
  <c r="M4" i="61"/>
  <c r="Q113" i="61"/>
  <c r="Q107" i="61" s="1"/>
  <c r="Q106" i="61" s="1"/>
  <c r="Q105" i="61" s="1"/>
  <c r="P114" i="61"/>
  <c r="R181" i="58"/>
  <c r="T181" i="58" s="1"/>
  <c r="W181" i="58" s="1"/>
  <c r="P134" i="61"/>
  <c r="Q133" i="61"/>
  <c r="W130" i="61"/>
  <c r="V130" i="61" s="1"/>
  <c r="Y130" i="61"/>
  <c r="P4" i="35"/>
  <c r="N169" i="35"/>
  <c r="N170" i="35" s="1"/>
  <c r="M169" i="35"/>
  <c r="M170" i="35" s="1"/>
  <c r="R96" i="58"/>
  <c r="T96" i="58" s="1"/>
  <c r="W96" i="58" s="1"/>
  <c r="Q319" i="58"/>
  <c r="Q156" i="61"/>
  <c r="P156" i="61" s="1"/>
  <c r="U156" i="61"/>
  <c r="Y114" i="61"/>
  <c r="W114" i="61"/>
  <c r="U113" i="61"/>
  <c r="Y113" i="61" s="1"/>
  <c r="R297" i="58"/>
  <c r="Q296" i="58"/>
  <c r="Y15" i="61"/>
  <c r="U14" i="61"/>
  <c r="W15" i="61"/>
  <c r="S112" i="61"/>
  <c r="O72" i="38"/>
  <c r="M74" i="38"/>
  <c r="M75" i="38" s="1"/>
  <c r="M73" i="38"/>
  <c r="AU40" i="57"/>
  <c r="T40" i="57" s="1"/>
  <c r="Z42" i="57"/>
  <c r="N8" i="14"/>
  <c r="O26" i="57"/>
  <c r="E8" i="14" s="1"/>
  <c r="N27" i="57"/>
  <c r="AO26" i="57"/>
  <c r="N26" i="57" s="1"/>
  <c r="AC40" i="57"/>
  <c r="BD40" i="57"/>
  <c r="BG40" i="57"/>
  <c r="AU42" i="57"/>
  <c r="T42" i="57" s="1"/>
  <c r="V158" i="58"/>
  <c r="W158" i="58"/>
  <c r="Q209" i="62"/>
  <c r="R212" i="62" s="1"/>
  <c r="AI38" i="57"/>
  <c r="H38" i="57" s="1"/>
  <c r="AO38" i="57"/>
  <c r="N38" i="57" s="1"/>
  <c r="AO40" i="57"/>
  <c r="N40" i="57" s="1"/>
  <c r="V127" i="58"/>
  <c r="I14" i="57"/>
  <c r="AQ14" i="57"/>
  <c r="P14" i="57" s="1"/>
  <c r="AK14" i="57"/>
  <c r="J14" i="57" s="1"/>
  <c r="AT14" i="57"/>
  <c r="S14" i="57" s="1"/>
  <c r="AW14" i="57"/>
  <c r="V14" i="57" s="1"/>
  <c r="BC42" i="57"/>
  <c r="BA42" i="57" s="1"/>
  <c r="W85" i="58"/>
  <c r="V85" i="58"/>
  <c r="R14" i="57"/>
  <c r="AR42" i="57"/>
  <c r="Q42" i="57" s="1"/>
  <c r="BC40" i="57"/>
  <c r="BA40" i="57" s="1"/>
  <c r="BA14" i="57"/>
  <c r="BN14" i="57" s="1"/>
  <c r="Z14" i="57"/>
  <c r="AC14" i="57"/>
  <c r="O14" i="57"/>
  <c r="I38" i="57"/>
  <c r="BD42" i="57"/>
  <c r="BG42" i="57"/>
  <c r="AI18" i="57"/>
  <c r="H18" i="57" s="1"/>
  <c r="I18" i="57"/>
  <c r="AJ17" i="57"/>
  <c r="T12" i="64"/>
  <c r="Q11" i="64"/>
  <c r="T11" i="64" s="1"/>
  <c r="V276" i="58"/>
  <c r="W276" i="58"/>
  <c r="AI27" i="57"/>
  <c r="AJ26" i="57"/>
  <c r="I27" i="57"/>
  <c r="BG43" i="57"/>
  <c r="BD20" i="57"/>
  <c r="BB38" i="57"/>
  <c r="AU38" i="57"/>
  <c r="T38" i="57" s="1"/>
  <c r="S212" i="63"/>
  <c r="P214" i="63"/>
  <c r="R214" i="63" s="1"/>
  <c r="P219" i="63"/>
  <c r="Q212" i="63"/>
  <c r="L213" i="62"/>
  <c r="L214" i="62" s="1"/>
  <c r="P214" i="62"/>
  <c r="R214" i="62" s="1"/>
  <c r="P215" i="62" s="1"/>
  <c r="R215" i="62" s="1"/>
  <c r="S212" i="62"/>
  <c r="P219" i="62"/>
  <c r="AR38" i="57"/>
  <c r="Q38" i="57" s="1"/>
  <c r="W262" i="58"/>
  <c r="V262" i="58"/>
  <c r="AB132" i="63"/>
  <c r="Y209" i="63"/>
  <c r="AB209" i="63" s="1"/>
  <c r="Z37" i="57"/>
  <c r="AC37" i="57"/>
  <c r="R41" i="57"/>
  <c r="AR41" i="57"/>
  <c r="Q41" i="57" s="1"/>
  <c r="BH37" i="57"/>
  <c r="H40" i="57"/>
  <c r="W332" i="58"/>
  <c r="V332" i="58"/>
  <c r="W344" i="58"/>
  <c r="V344" i="58"/>
  <c r="U37" i="57"/>
  <c r="BC41" i="57"/>
  <c r="J41" i="57"/>
  <c r="AI43" i="57"/>
  <c r="BC43" i="57"/>
  <c r="BA43" i="57" s="1"/>
  <c r="J43" i="57"/>
  <c r="AO43" i="57"/>
  <c r="N43" i="57" s="1"/>
  <c r="AO20" i="57"/>
  <c r="N20" i="57" s="1"/>
  <c r="W41" i="58"/>
  <c r="V41" i="58"/>
  <c r="O41" i="57"/>
  <c r="AO41" i="57"/>
  <c r="N41" i="57" s="1"/>
  <c r="BD38" i="57"/>
  <c r="AC33" i="57"/>
  <c r="Z33" i="57"/>
  <c r="AV33" i="57"/>
  <c r="AJ33" i="57"/>
  <c r="BA33" i="57"/>
  <c r="BN33" i="57" s="1"/>
  <c r="AP33" i="57"/>
  <c r="AM33" i="57"/>
  <c r="AS33" i="57"/>
  <c r="V187" i="58"/>
  <c r="W187" i="58"/>
  <c r="R37" i="57"/>
  <c r="AU20" i="57"/>
  <c r="T20" i="57" s="1"/>
  <c r="W323" i="58"/>
  <c r="V323" i="58"/>
  <c r="Z38" i="57"/>
  <c r="AC38" i="57"/>
  <c r="BD41" i="57"/>
  <c r="BH41" i="57"/>
  <c r="BG41" i="57" s="1"/>
  <c r="AL20" i="57"/>
  <c r="K20" i="57" s="1"/>
  <c r="M20" i="57"/>
  <c r="W38" i="58"/>
  <c r="V38" i="58"/>
  <c r="BG38" i="57"/>
  <c r="O8" i="14"/>
  <c r="R26" i="57"/>
  <c r="F8" i="14" s="1"/>
  <c r="BD43" i="57"/>
  <c r="W305" i="58"/>
  <c r="V305" i="58"/>
  <c r="W176" i="58"/>
  <c r="V176" i="58"/>
  <c r="AU43" i="57"/>
  <c r="T43" i="57" s="1"/>
  <c r="Z41" i="57"/>
  <c r="AC41" i="57"/>
  <c r="Q27" i="57"/>
  <c r="AR26" i="57"/>
  <c r="AR17" i="57"/>
  <c r="R17" i="57"/>
  <c r="AE37" i="57"/>
  <c r="AB37" i="57"/>
  <c r="BF37" i="57"/>
  <c r="BI37" i="57" s="1"/>
  <c r="AT37" i="57"/>
  <c r="S37" i="57" s="1"/>
  <c r="AQ37" i="57"/>
  <c r="P37" i="57" s="1"/>
  <c r="AW37" i="57"/>
  <c r="V37" i="57" s="1"/>
  <c r="AK37" i="57"/>
  <c r="U41" i="57"/>
  <c r="AU41" i="57"/>
  <c r="T41" i="57" s="1"/>
  <c r="BC20" i="57"/>
  <c r="BA20" i="57" s="1"/>
  <c r="S20" i="57"/>
  <c r="AI20" i="57"/>
  <c r="O37" i="57"/>
  <c r="W60" i="58"/>
  <c r="V60" i="58"/>
  <c r="Z43" i="57"/>
  <c r="AC43" i="57"/>
  <c r="AI41" i="57"/>
  <c r="I41" i="57"/>
  <c r="BB41" i="57"/>
  <c r="AT33" i="57"/>
  <c r="S33" i="57" s="1"/>
  <c r="AW33" i="57"/>
  <c r="V33" i="57" s="1"/>
  <c r="AQ33" i="57"/>
  <c r="P33" i="57" s="1"/>
  <c r="AK33" i="57"/>
  <c r="J33" i="57" s="1"/>
  <c r="AN33" i="57"/>
  <c r="M33" i="57" s="1"/>
  <c r="AR20" i="57"/>
  <c r="Q20" i="57" s="1"/>
  <c r="BG20" i="57"/>
  <c r="I37" i="57"/>
  <c r="BB37" i="57"/>
  <c r="AR43" i="57"/>
  <c r="Q43" i="57" s="1"/>
  <c r="W182" i="58"/>
  <c r="V182" i="58"/>
  <c r="V65" i="58"/>
  <c r="W65" i="58"/>
  <c r="J38" i="57"/>
  <c r="BC38" i="57"/>
  <c r="O46" i="4"/>
  <c r="D43" i="4"/>
  <c r="G10" i="4"/>
  <c r="AY37" i="30" l="1"/>
  <c r="AY34" i="30" s="1"/>
  <c r="AG37" i="30"/>
  <c r="AG34" i="30" s="1"/>
  <c r="AJ37" i="30"/>
  <c r="AJ34" i="30" s="1"/>
  <c r="AS37" i="30"/>
  <c r="AS34" i="30" s="1"/>
  <c r="BB34" i="30"/>
  <c r="AM37" i="30"/>
  <c r="AM34" i="30" s="1"/>
  <c r="AP37" i="30"/>
  <c r="AP34" i="30" s="1"/>
  <c r="BB20" i="30"/>
  <c r="N169" i="47"/>
  <c r="N170" i="47" s="1"/>
  <c r="M169" i="47"/>
  <c r="P4" i="47"/>
  <c r="P4" i="50"/>
  <c r="AS18" i="43"/>
  <c r="AS48" i="43"/>
  <c r="F37" i="9"/>
  <c r="M169" i="36"/>
  <c r="M170" i="36" s="1"/>
  <c r="P4" i="36"/>
  <c r="N169" i="36"/>
  <c r="N170" i="36" s="1"/>
  <c r="BB26" i="30"/>
  <c r="BB25" i="30" s="1"/>
  <c r="AS19" i="30"/>
  <c r="P5" i="37"/>
  <c r="O4" i="37"/>
  <c r="F74" i="9"/>
  <c r="F79" i="9" s="1"/>
  <c r="F58" i="9"/>
  <c r="AS20" i="30"/>
  <c r="P36" i="37"/>
  <c r="B21" i="6"/>
  <c r="C43" i="4"/>
  <c r="G9" i="4"/>
  <c r="W14" i="61"/>
  <c r="S10" i="61"/>
  <c r="V11" i="58"/>
  <c r="J31" i="60"/>
  <c r="D40" i="60"/>
  <c r="E40" i="60"/>
  <c r="S10" i="58"/>
  <c r="S9" i="58" s="1"/>
  <c r="S356" i="58" s="1"/>
  <c r="S364" i="58" s="1"/>
  <c r="I3" i="4"/>
  <c r="J3" i="4" s="1"/>
  <c r="G4" i="4"/>
  <c r="W13" i="58"/>
  <c r="W13" i="61"/>
  <c r="V13" i="61" s="1"/>
  <c r="Y13" i="61"/>
  <c r="T31" i="7"/>
  <c r="M169" i="20"/>
  <c r="M170" i="20" s="1"/>
  <c r="P88" i="20"/>
  <c r="N169" i="20"/>
  <c r="N170" i="20" s="1"/>
  <c r="AU18" i="6"/>
  <c r="AU17" i="6" s="1"/>
  <c r="AJ25" i="10"/>
  <c r="BA18" i="6"/>
  <c r="BA17" i="6" s="1"/>
  <c r="AD18" i="6"/>
  <c r="AD17" i="6" s="1"/>
  <c r="BL18" i="6"/>
  <c r="BL17" i="6" s="1"/>
  <c r="AH18" i="6"/>
  <c r="AH17" i="6" s="1"/>
  <c r="AY18" i="6"/>
  <c r="AY17" i="6" s="1"/>
  <c r="Q25" i="10"/>
  <c r="AY25" i="10"/>
  <c r="AR18" i="6"/>
  <c r="AR17" i="6" s="1"/>
  <c r="AS25" i="10"/>
  <c r="BW18" i="6"/>
  <c r="BW17" i="6" s="1"/>
  <c r="F25" i="10"/>
  <c r="AM25" i="10"/>
  <c r="S25" i="10"/>
  <c r="K48" i="4"/>
  <c r="K47" i="4" s="1"/>
  <c r="AP18" i="6"/>
  <c r="AP17" i="6" s="1"/>
  <c r="AU25" i="10"/>
  <c r="CF18" i="6"/>
  <c r="CF17" i="6" s="1"/>
  <c r="AG25" i="10"/>
  <c r="CG18" i="6"/>
  <c r="CG17" i="6" s="1"/>
  <c r="AS18" i="6"/>
  <c r="AS17" i="6" s="1"/>
  <c r="W25" i="10"/>
  <c r="AK25" i="10"/>
  <c r="E48" i="4"/>
  <c r="E47" i="4" s="1"/>
  <c r="BI18" i="6"/>
  <c r="BI17" i="6" s="1"/>
  <c r="H25" i="10"/>
  <c r="I25" i="10"/>
  <c r="BH25" i="10"/>
  <c r="AP25" i="10"/>
  <c r="N25" i="10"/>
  <c r="BB25" i="10"/>
  <c r="AO18" i="6"/>
  <c r="AO17" i="6" s="1"/>
  <c r="AV25" i="10"/>
  <c r="BR18" i="6"/>
  <c r="BR17" i="6" s="1"/>
  <c r="AE25" i="10"/>
  <c r="AI18" i="6"/>
  <c r="AI17" i="6" s="1"/>
  <c r="BA25" i="10"/>
  <c r="AC18" i="6"/>
  <c r="BG25" i="10"/>
  <c r="AL25" i="10"/>
  <c r="AQ25" i="10"/>
  <c r="L25" i="10"/>
  <c r="V25" i="10"/>
  <c r="AA25" i="10"/>
  <c r="O25" i="10"/>
  <c r="BE25" i="10"/>
  <c r="CB18" i="6"/>
  <c r="CB17" i="6" s="1"/>
  <c r="BO18" i="6"/>
  <c r="BO17" i="6" s="1"/>
  <c r="BL25" i="10"/>
  <c r="AB25" i="10"/>
  <c r="AX25" i="10"/>
  <c r="BM25" i="10"/>
  <c r="AZ18" i="6"/>
  <c r="AZ17" i="6" s="1"/>
  <c r="P25" i="10"/>
  <c r="BK18" i="6"/>
  <c r="BK17" i="6" s="1"/>
  <c r="R25" i="10"/>
  <c r="J48" i="4"/>
  <c r="J47" i="4" s="1"/>
  <c r="BJ18" i="6"/>
  <c r="BJ17" i="6" s="1"/>
  <c r="AW18" i="6"/>
  <c r="AW17" i="6" s="1"/>
  <c r="AT25" i="10"/>
  <c r="AZ25" i="10"/>
  <c r="C25" i="10"/>
  <c r="CA18" i="6"/>
  <c r="CA17" i="6" s="1"/>
  <c r="AJ18" i="6"/>
  <c r="AJ17" i="6" s="1"/>
  <c r="AI25" i="10"/>
  <c r="BJ25" i="10"/>
  <c r="BF18" i="6"/>
  <c r="BF17" i="6" s="1"/>
  <c r="C48" i="4"/>
  <c r="H48" i="4"/>
  <c r="H47" i="4" s="1"/>
  <c r="BH18" i="6"/>
  <c r="BH17" i="6" s="1"/>
  <c r="AD25" i="10"/>
  <c r="CD18" i="6"/>
  <c r="CD17" i="6" s="1"/>
  <c r="BI25" i="10"/>
  <c r="AC25" i="10"/>
  <c r="D25" i="10"/>
  <c r="CC18" i="6"/>
  <c r="CC17" i="6" s="1"/>
  <c r="BN25" i="10"/>
  <c r="BD25" i="10"/>
  <c r="AQ18" i="6"/>
  <c r="AQ17" i="6" s="1"/>
  <c r="BG18" i="6"/>
  <c r="BG17" i="6" s="1"/>
  <c r="BB18" i="6"/>
  <c r="BB17" i="6" s="1"/>
  <c r="E25" i="10"/>
  <c r="AN18" i="6"/>
  <c r="AN17" i="6" s="1"/>
  <c r="AG18" i="6"/>
  <c r="AG17" i="6" s="1"/>
  <c r="X25" i="10"/>
  <c r="BS18" i="6"/>
  <c r="BS17" i="6" s="1"/>
  <c r="G25" i="10"/>
  <c r="CH18" i="6"/>
  <c r="CH17" i="6" s="1"/>
  <c r="Z25" i="10"/>
  <c r="I48" i="4"/>
  <c r="I47" i="4" s="1"/>
  <c r="CE18" i="6"/>
  <c r="CE17" i="6" s="1"/>
  <c r="AO25" i="10"/>
  <c r="BD18" i="6"/>
  <c r="BD17" i="6" s="1"/>
  <c r="AR25" i="10"/>
  <c r="AH25" i="10"/>
  <c r="BQ18" i="6"/>
  <c r="BQ17" i="6" s="1"/>
  <c r="D48" i="4"/>
  <c r="D47" i="4" s="1"/>
  <c r="AF18" i="6"/>
  <c r="AF17" i="6" s="1"/>
  <c r="Y25" i="10"/>
  <c r="AE18" i="6"/>
  <c r="AE17" i="6" s="1"/>
  <c r="AN25" i="10"/>
  <c r="BZ18" i="6"/>
  <c r="BZ17" i="6" s="1"/>
  <c r="AF25" i="10"/>
  <c r="AT18" i="6"/>
  <c r="AT17" i="6" s="1"/>
  <c r="BO25" i="10"/>
  <c r="BY18" i="6"/>
  <c r="BY17" i="6" s="1"/>
  <c r="AW25" i="10"/>
  <c r="BF25" i="10"/>
  <c r="BX18" i="6"/>
  <c r="BX17" i="6" s="1"/>
  <c r="BP25" i="10"/>
  <c r="BE18" i="6"/>
  <c r="BE17" i="6" s="1"/>
  <c r="BU18" i="6"/>
  <c r="BU17" i="6" s="1"/>
  <c r="M25" i="10"/>
  <c r="BT18" i="6"/>
  <c r="BT17" i="6" s="1"/>
  <c r="BC18" i="6"/>
  <c r="BC17" i="6" s="1"/>
  <c r="AV18" i="6"/>
  <c r="AV17" i="6" s="1"/>
  <c r="AK18" i="6"/>
  <c r="AK17" i="6" s="1"/>
  <c r="BM18" i="6"/>
  <c r="BM17" i="6" s="1"/>
  <c r="G48" i="4"/>
  <c r="G47" i="4" s="1"/>
  <c r="BN18" i="6"/>
  <c r="BN17" i="6" s="1"/>
  <c r="BV18" i="6"/>
  <c r="BV17" i="6" s="1"/>
  <c r="T25" i="10"/>
  <c r="BK25" i="10"/>
  <c r="AM18" i="6"/>
  <c r="AM17" i="6" s="1"/>
  <c r="BP18" i="6"/>
  <c r="BP17" i="6" s="1"/>
  <c r="J25" i="10"/>
  <c r="AL18" i="6"/>
  <c r="AL17" i="6" s="1"/>
  <c r="BC25" i="10"/>
  <c r="AX18" i="6"/>
  <c r="AX17" i="6" s="1"/>
  <c r="K25" i="10"/>
  <c r="U25" i="10"/>
  <c r="B11" i="6"/>
  <c r="AD10" i="6"/>
  <c r="BE26" i="12"/>
  <c r="B26" i="10"/>
  <c r="I4" i="8"/>
  <c r="K4" i="8" s="1"/>
  <c r="L43" i="4"/>
  <c r="D15" i="9"/>
  <c r="D36" i="9" s="1"/>
  <c r="D57" i="9" s="1"/>
  <c r="D78" i="9" s="1"/>
  <c r="G11" i="9"/>
  <c r="D32" i="9"/>
  <c r="C11" i="9"/>
  <c r="F49" i="4"/>
  <c r="L49" i="4" s="1"/>
  <c r="K11" i="4"/>
  <c r="I11" i="4" s="1"/>
  <c r="L40" i="4"/>
  <c r="F48" i="4"/>
  <c r="AL22" i="6"/>
  <c r="BW22" i="6"/>
  <c r="AU22" i="6"/>
  <c r="AR22" i="6"/>
  <c r="AS22" i="6"/>
  <c r="CC22" i="6"/>
  <c r="BZ22" i="6"/>
  <c r="AW22" i="6"/>
  <c r="AO22" i="6"/>
  <c r="BI22" i="6"/>
  <c r="CF22" i="6"/>
  <c r="AE22" i="6"/>
  <c r="CH22" i="6"/>
  <c r="AJ22" i="6"/>
  <c r="CG22" i="6"/>
  <c r="BO22" i="6"/>
  <c r="AZ22" i="6"/>
  <c r="BM22" i="6"/>
  <c r="BY22" i="6"/>
  <c r="BX22" i="6"/>
  <c r="AD22" i="6"/>
  <c r="AY22" i="6"/>
  <c r="BL22" i="6"/>
  <c r="BK22" i="6"/>
  <c r="BE22" i="6"/>
  <c r="BD22" i="6"/>
  <c r="BB22" i="6"/>
  <c r="CB22" i="6"/>
  <c r="BP22" i="6"/>
  <c r="BT22" i="6"/>
  <c r="BV22" i="6"/>
  <c r="AV22" i="6"/>
  <c r="BA22" i="6"/>
  <c r="AM22" i="6"/>
  <c r="AF22" i="6"/>
  <c r="BF22" i="6"/>
  <c r="BU22" i="6"/>
  <c r="AT22" i="6"/>
  <c r="BQ22" i="6"/>
  <c r="AX22" i="6"/>
  <c r="BC22" i="6"/>
  <c r="BJ22" i="6"/>
  <c r="AI22" i="6"/>
  <c r="AH22" i="6"/>
  <c r="AQ22" i="6"/>
  <c r="AP22" i="6"/>
  <c r="BG22" i="6"/>
  <c r="CD22" i="6"/>
  <c r="BH22" i="6"/>
  <c r="BS22" i="6"/>
  <c r="AC22" i="6"/>
  <c r="AG22" i="6"/>
  <c r="BR22" i="6"/>
  <c r="CE22" i="6"/>
  <c r="BN22" i="6"/>
  <c r="G36" i="9"/>
  <c r="G57" i="9" s="1"/>
  <c r="G78" i="9" s="1"/>
  <c r="CA22" i="6"/>
  <c r="AK22" i="6"/>
  <c r="AN22" i="6"/>
  <c r="L48" i="44"/>
  <c r="AP10" i="43"/>
  <c r="AP9" i="43" s="1"/>
  <c r="O72" i="32"/>
  <c r="BB14" i="30"/>
  <c r="P73" i="32"/>
  <c r="BN14" i="43"/>
  <c r="L47" i="44"/>
  <c r="AM10" i="43"/>
  <c r="AM9" i="43" s="1"/>
  <c r="L46" i="44"/>
  <c r="AJ10" i="43"/>
  <c r="I45" i="44"/>
  <c r="I52" i="44" s="1"/>
  <c r="L52" i="44" s="1"/>
  <c r="Q72" i="32"/>
  <c r="M235" i="32"/>
  <c r="BI10" i="43"/>
  <c r="BI9" i="43" s="1"/>
  <c r="O21" i="44" s="1"/>
  <c r="AK9" i="43"/>
  <c r="J5" i="41" s="1"/>
  <c r="Q5" i="41" s="1"/>
  <c r="AV10" i="43"/>
  <c r="AV9" i="43" s="1"/>
  <c r="L50" i="44"/>
  <c r="AZ14" i="30"/>
  <c r="AZ13" i="30" s="1"/>
  <c r="AK14" i="30"/>
  <c r="AK13" i="30" s="1"/>
  <c r="AQ14" i="30"/>
  <c r="AQ13" i="30" s="1"/>
  <c r="AH14" i="30"/>
  <c r="AH13" i="30" s="1"/>
  <c r="AT14" i="30"/>
  <c r="AT13" i="30" s="1"/>
  <c r="AN14" i="30"/>
  <c r="AN13" i="30" s="1"/>
  <c r="BC13" i="30"/>
  <c r="AY10" i="43"/>
  <c r="AY9" i="43" s="1"/>
  <c r="L51" i="44"/>
  <c r="AS10" i="43"/>
  <c r="AS9" i="43" s="1"/>
  <c r="L49" i="44"/>
  <c r="V15" i="61"/>
  <c r="V14" i="61" s="1"/>
  <c r="W98" i="58"/>
  <c r="U126" i="69"/>
  <c r="O203" i="69"/>
  <c r="T127" i="69"/>
  <c r="Q126" i="69"/>
  <c r="W225" i="58"/>
  <c r="T223" i="58"/>
  <c r="T224" i="58"/>
  <c r="V225" i="58"/>
  <c r="W197" i="58"/>
  <c r="T196" i="58"/>
  <c r="V197" i="58"/>
  <c r="R222" i="58"/>
  <c r="S37" i="61"/>
  <c r="S28" i="61" s="1"/>
  <c r="S27" i="61" s="1"/>
  <c r="S9" i="61" s="1"/>
  <c r="W102" i="61"/>
  <c r="BK15" i="57" s="1"/>
  <c r="BB15" i="57" s="1"/>
  <c r="W113" i="61"/>
  <c r="W10" i="61"/>
  <c r="U107" i="61"/>
  <c r="U106" i="61" s="1"/>
  <c r="S107" i="61"/>
  <c r="S106" i="61" s="1"/>
  <c r="S105" i="61" s="1"/>
  <c r="S152" i="61"/>
  <c r="S155" i="61"/>
  <c r="S154" i="61"/>
  <c r="V179" i="58"/>
  <c r="V22" i="58"/>
  <c r="T297" i="58"/>
  <c r="R296" i="58"/>
  <c r="R37" i="58"/>
  <c r="T37" i="58" s="1"/>
  <c r="W37" i="58" s="1"/>
  <c r="BH18" i="43"/>
  <c r="BN18" i="43" s="1"/>
  <c r="Y133" i="61"/>
  <c r="K6" i="41"/>
  <c r="K11" i="41" s="1"/>
  <c r="K13" i="41" s="1"/>
  <c r="K15" i="41" s="1"/>
  <c r="AN42" i="43"/>
  <c r="V114" i="61"/>
  <c r="V113" i="61" s="1"/>
  <c r="R319" i="58"/>
  <c r="T319" i="58" s="1"/>
  <c r="W319" i="58" s="1"/>
  <c r="W37" i="61"/>
  <c r="V37" i="61" s="1"/>
  <c r="Y37" i="61"/>
  <c r="R317" i="58"/>
  <c r="T317" i="58" s="1"/>
  <c r="W317" i="58" s="1"/>
  <c r="S153" i="61"/>
  <c r="BH25" i="43"/>
  <c r="BN25" i="43" s="1"/>
  <c r="BN26" i="43"/>
  <c r="M170" i="46"/>
  <c r="AP50" i="43"/>
  <c r="AP51" i="43" s="1"/>
  <c r="V103" i="61"/>
  <c r="V102" i="61" s="1"/>
  <c r="BL15" i="57" s="1"/>
  <c r="AJ14" i="43"/>
  <c r="AJ13" i="43" s="1"/>
  <c r="AY14" i="43"/>
  <c r="AY13" i="43" s="1"/>
  <c r="AY42" i="43" s="1"/>
  <c r="AY49" i="43" s="1"/>
  <c r="BH13" i="43"/>
  <c r="AS14" i="43"/>
  <c r="AS13" i="43" s="1"/>
  <c r="AS42" i="43" s="1"/>
  <c r="AV14" i="43"/>
  <c r="AV13" i="43" s="1"/>
  <c r="AM14" i="43"/>
  <c r="AM13" i="43" s="1"/>
  <c r="AP14" i="43"/>
  <c r="AP13" i="43" s="1"/>
  <c r="AP42" i="43" s="1"/>
  <c r="AP49" i="43" s="1"/>
  <c r="U28" i="61"/>
  <c r="V134" i="61"/>
  <c r="V133" i="61" s="1"/>
  <c r="W133" i="61"/>
  <c r="N6" i="41"/>
  <c r="N11" i="41" s="1"/>
  <c r="N13" i="41" s="1"/>
  <c r="N15" i="41" s="1"/>
  <c r="AW42" i="43"/>
  <c r="W152" i="61"/>
  <c r="V152" i="61" s="1"/>
  <c r="Y152" i="61"/>
  <c r="V96" i="58"/>
  <c r="V194" i="58"/>
  <c r="U150" i="61"/>
  <c r="U132" i="61" s="1"/>
  <c r="Y132" i="61" s="1"/>
  <c r="W153" i="61"/>
  <c r="V153" i="61" s="1"/>
  <c r="Y153" i="61"/>
  <c r="V21" i="58"/>
  <c r="V29" i="61"/>
  <c r="W28" i="61"/>
  <c r="W27" i="61" s="1"/>
  <c r="BK10" i="57" s="1"/>
  <c r="AG13" i="6" s="1"/>
  <c r="B69" i="13"/>
  <c r="R316" i="58"/>
  <c r="T316" i="58" s="1"/>
  <c r="W316" i="58" s="1"/>
  <c r="W155" i="61"/>
  <c r="V155" i="61" s="1"/>
  <c r="Y155" i="61"/>
  <c r="L6" i="41"/>
  <c r="L11" i="41" s="1"/>
  <c r="L13" i="41" s="1"/>
  <c r="L15" i="41" s="1"/>
  <c r="AQ42" i="43"/>
  <c r="R315" i="58"/>
  <c r="T315" i="58" s="1"/>
  <c r="W315" i="58" s="1"/>
  <c r="O159" i="61"/>
  <c r="U165" i="61"/>
  <c r="Q165" i="61"/>
  <c r="S165" i="61" s="1"/>
  <c r="S159" i="61" s="1"/>
  <c r="S158" i="61" s="1"/>
  <c r="Q328" i="58"/>
  <c r="Q28" i="58"/>
  <c r="R318" i="58"/>
  <c r="T318" i="58" s="1"/>
  <c r="W318" i="58" s="1"/>
  <c r="M6" i="41"/>
  <c r="M11" i="41" s="1"/>
  <c r="M13" i="41" s="1"/>
  <c r="M15" i="41" s="1"/>
  <c r="AT42" i="43"/>
  <c r="Y14" i="61"/>
  <c r="U10" i="61"/>
  <c r="V181" i="58"/>
  <c r="W151" i="61"/>
  <c r="V151" i="61" s="1"/>
  <c r="Y151" i="61"/>
  <c r="Q10" i="58"/>
  <c r="Q28" i="61"/>
  <c r="Q27" i="61" s="1"/>
  <c r="Q9" i="61" s="1"/>
  <c r="W107" i="61"/>
  <c r="W106" i="61" s="1"/>
  <c r="M73" i="50"/>
  <c r="O72" i="50"/>
  <c r="M74" i="50"/>
  <c r="M75" i="50" s="1"/>
  <c r="BB50" i="43"/>
  <c r="BB51" i="43" s="1"/>
  <c r="J6" i="41"/>
  <c r="AK42" i="43"/>
  <c r="S156" i="61"/>
  <c r="T29" i="58"/>
  <c r="R314" i="58"/>
  <c r="Q313" i="58"/>
  <c r="Q295" i="58" s="1"/>
  <c r="T15" i="58"/>
  <c r="R14" i="58"/>
  <c r="R10" i="58" s="1"/>
  <c r="V107" i="61"/>
  <c r="V106" i="61" s="1"/>
  <c r="Q64" i="58"/>
  <c r="Y156" i="61"/>
  <c r="W156" i="61"/>
  <c r="V156" i="61" s="1"/>
  <c r="W154" i="61"/>
  <c r="V154" i="61" s="1"/>
  <c r="Y154" i="61"/>
  <c r="T177" i="58"/>
  <c r="R175" i="58"/>
  <c r="R174" i="58" s="1"/>
  <c r="R97" i="58" s="1"/>
  <c r="AY50" i="43"/>
  <c r="AY51" i="43" s="1"/>
  <c r="M170" i="49"/>
  <c r="P151" i="61"/>
  <c r="Q150" i="61"/>
  <c r="Q132" i="61" s="1"/>
  <c r="V178" i="58"/>
  <c r="P72" i="45"/>
  <c r="O235" i="45"/>
  <c r="P6" i="41"/>
  <c r="P11" i="41" s="1"/>
  <c r="P13" i="41" s="1"/>
  <c r="P15" i="41" s="1"/>
  <c r="AZ42" i="43"/>
  <c r="R94" i="58"/>
  <c r="R64" i="58" s="1"/>
  <c r="T95" i="58"/>
  <c r="BN43" i="57"/>
  <c r="AU14" i="57"/>
  <c r="T14" i="57" s="1"/>
  <c r="BA38" i="57"/>
  <c r="BO38" i="57" s="1"/>
  <c r="BP40" i="57"/>
  <c r="BO40" i="57"/>
  <c r="BP42" i="57"/>
  <c r="BN42" i="57"/>
  <c r="BN40" i="57"/>
  <c r="AI14" i="57"/>
  <c r="AO14" i="57"/>
  <c r="N14" i="57" s="1"/>
  <c r="AR14" i="57"/>
  <c r="Q14" i="57" s="1"/>
  <c r="AO37" i="57"/>
  <c r="N37" i="57" s="1"/>
  <c r="BA41" i="57"/>
  <c r="BO41" i="57" s="1"/>
  <c r="BP43" i="57"/>
  <c r="L8" i="14"/>
  <c r="I26" i="57"/>
  <c r="C8" i="14" s="1"/>
  <c r="I17" i="57"/>
  <c r="AI17" i="57"/>
  <c r="H17" i="57" s="1"/>
  <c r="AI26" i="57"/>
  <c r="H26" i="57" s="1"/>
  <c r="H27" i="57"/>
  <c r="P216" i="63"/>
  <c r="R216" i="63" s="1"/>
  <c r="P217" i="62"/>
  <c r="R217" i="62" s="1"/>
  <c r="K3" i="63"/>
  <c r="T215" i="63"/>
  <c r="K3" i="62"/>
  <c r="T215" i="62"/>
  <c r="P215" i="63"/>
  <c r="R215" i="63" s="1"/>
  <c r="Q212" i="62"/>
  <c r="P217" i="63"/>
  <c r="R217" i="63" s="1"/>
  <c r="Q26" i="57"/>
  <c r="AR33" i="57"/>
  <c r="Q33" i="57" s="1"/>
  <c r="R33" i="57"/>
  <c r="BD37" i="57"/>
  <c r="BC37" i="57"/>
  <c r="BA37" i="57" s="1"/>
  <c r="J37" i="57"/>
  <c r="L33" i="57"/>
  <c r="AL33" i="57"/>
  <c r="K33" i="57" s="1"/>
  <c r="H43" i="57"/>
  <c r="BO43" i="57"/>
  <c r="BG37" i="57"/>
  <c r="O33" i="57"/>
  <c r="AO33" i="57"/>
  <c r="N33" i="57" s="1"/>
  <c r="AU37" i="57"/>
  <c r="T37" i="57" s="1"/>
  <c r="BO42" i="57"/>
  <c r="BP20" i="57"/>
  <c r="BN20" i="57"/>
  <c r="AI37" i="57"/>
  <c r="H41" i="57"/>
  <c r="AR37" i="57"/>
  <c r="Q37" i="57" s="1"/>
  <c r="I33" i="57"/>
  <c r="AI33" i="57"/>
  <c r="BP41" i="57"/>
  <c r="U33" i="57"/>
  <c r="AU33" i="57"/>
  <c r="T33" i="57" s="1"/>
  <c r="Q17" i="57"/>
  <c r="BP38" i="57"/>
  <c r="H20" i="57"/>
  <c r="BO20" i="57"/>
  <c r="V10" i="61" l="1"/>
  <c r="AS49" i="43"/>
  <c r="AS18" i="30"/>
  <c r="BB19" i="30"/>
  <c r="BB18" i="30" s="1"/>
  <c r="AS50" i="43"/>
  <c r="AS51" i="43" s="1"/>
  <c r="M170" i="47"/>
  <c r="P4" i="37"/>
  <c r="M169" i="37"/>
  <c r="M170" i="37" s="1"/>
  <c r="N169" i="37"/>
  <c r="N170" i="37" s="1"/>
  <c r="BI42" i="43"/>
  <c r="E37" i="60"/>
  <c r="I5" i="61"/>
  <c r="S394" i="58"/>
  <c r="I17" i="4"/>
  <c r="G17" i="4"/>
  <c r="J17" i="4"/>
  <c r="H17" i="4"/>
  <c r="G5" i="4"/>
  <c r="I5" i="4" s="1"/>
  <c r="J5" i="4" s="1"/>
  <c r="I4" i="4"/>
  <c r="J4" i="4" s="1"/>
  <c r="T33" i="7"/>
  <c r="U31" i="7"/>
  <c r="AM42" i="43"/>
  <c r="AM49" i="43" s="1"/>
  <c r="AV42" i="43"/>
  <c r="AV49" i="43" s="1"/>
  <c r="F25" i="12"/>
  <c r="F24" i="12" s="1"/>
  <c r="G24" i="10"/>
  <c r="AD24" i="10"/>
  <c r="AC25" i="12"/>
  <c r="AC24" i="12" s="1"/>
  <c r="P25" i="12"/>
  <c r="P24" i="12" s="1"/>
  <c r="Q24" i="10"/>
  <c r="I25" i="12"/>
  <c r="I24" i="12" s="1"/>
  <c r="J24" i="10"/>
  <c r="BP24" i="10"/>
  <c r="BO25" i="12"/>
  <c r="BO24" i="12" s="1"/>
  <c r="AQ25" i="12"/>
  <c r="AQ24" i="12" s="1"/>
  <c r="AR24" i="10"/>
  <c r="BC25" i="12"/>
  <c r="BC24" i="12" s="1"/>
  <c r="BD24" i="10"/>
  <c r="C24" i="10"/>
  <c r="B25" i="10"/>
  <c r="B24" i="10" s="1"/>
  <c r="F7" i="8" s="1"/>
  <c r="P24" i="10"/>
  <c r="O25" i="12"/>
  <c r="O24" i="12" s="1"/>
  <c r="BE24" i="10"/>
  <c r="BD25" i="12"/>
  <c r="BD24" i="12" s="1"/>
  <c r="AC17" i="6"/>
  <c r="B17" i="6" s="1"/>
  <c r="H7" i="8" s="1"/>
  <c r="B18" i="6"/>
  <c r="N24" i="10"/>
  <c r="M25" i="12"/>
  <c r="M24" i="12" s="1"/>
  <c r="V25" i="12"/>
  <c r="V24" i="12" s="1"/>
  <c r="W24" i="10"/>
  <c r="R25" i="12"/>
  <c r="R24" i="12" s="1"/>
  <c r="S24" i="10"/>
  <c r="C32" i="9"/>
  <c r="C53" i="9" s="1"/>
  <c r="C74" i="9" s="1"/>
  <c r="C15" i="9"/>
  <c r="AM25" i="12"/>
  <c r="AM24" i="12" s="1"/>
  <c r="AN24" i="10"/>
  <c r="X24" i="10"/>
  <c r="W25" i="12"/>
  <c r="W24" i="12" s="1"/>
  <c r="BN24" i="10"/>
  <c r="BM25" i="12"/>
  <c r="BM24" i="12" s="1"/>
  <c r="AZ24" i="10"/>
  <c r="AY25" i="12"/>
  <c r="AY24" i="12" s="1"/>
  <c r="O24" i="10"/>
  <c r="N25" i="12"/>
  <c r="N24" i="12" s="1"/>
  <c r="BA24" i="10"/>
  <c r="AZ25" i="12"/>
  <c r="AZ24" i="12" s="1"/>
  <c r="AP24" i="10"/>
  <c r="AO25" i="12"/>
  <c r="AO24" i="12" s="1"/>
  <c r="AM24" i="10"/>
  <c r="AL25" i="12"/>
  <c r="AL24" i="12" s="1"/>
  <c r="AH24" i="10"/>
  <c r="AG25" i="12"/>
  <c r="AG24" i="12" s="1"/>
  <c r="AJ25" i="12"/>
  <c r="AJ24" i="12" s="1"/>
  <c r="AK24" i="10"/>
  <c r="B22" i="6"/>
  <c r="G32" i="9"/>
  <c r="D53" i="9"/>
  <c r="D37" i="9"/>
  <c r="BE25" i="12"/>
  <c r="BE24" i="12" s="1"/>
  <c r="BF24" i="10"/>
  <c r="AN25" i="12"/>
  <c r="AN24" i="12" s="1"/>
  <c r="AO24" i="10"/>
  <c r="C47" i="4"/>
  <c r="L48" i="4"/>
  <c r="AS25" i="12"/>
  <c r="AS24" i="12" s="1"/>
  <c r="AT24" i="10"/>
  <c r="BL25" i="12"/>
  <c r="BL24" i="12" s="1"/>
  <c r="BM24" i="10"/>
  <c r="AA24" i="10"/>
  <c r="Z25" i="12"/>
  <c r="Z24" i="12" s="1"/>
  <c r="BG25" i="12"/>
  <c r="BG24" i="12" s="1"/>
  <c r="BH24" i="10"/>
  <c r="F24" i="10"/>
  <c r="E25" i="12"/>
  <c r="E24" i="12" s="1"/>
  <c r="BA25" i="12"/>
  <c r="BA24" i="12" s="1"/>
  <c r="BB24" i="10"/>
  <c r="T25" i="12"/>
  <c r="T24" i="12" s="1"/>
  <c r="U24" i="10"/>
  <c r="BK24" i="10"/>
  <c r="BJ25" i="12"/>
  <c r="BJ24" i="12" s="1"/>
  <c r="AW24" i="10"/>
  <c r="AV25" i="12"/>
  <c r="AV24" i="12" s="1"/>
  <c r="X25" i="12"/>
  <c r="X24" i="12" s="1"/>
  <c r="Y24" i="10"/>
  <c r="C25" i="12"/>
  <c r="D24" i="10"/>
  <c r="AW25" i="12"/>
  <c r="AW24" i="12" s="1"/>
  <c r="AX24" i="10"/>
  <c r="U25" i="12"/>
  <c r="U24" i="12" s="1"/>
  <c r="V24" i="10"/>
  <c r="AE24" i="10"/>
  <c r="AD25" i="12"/>
  <c r="AD24" i="12" s="1"/>
  <c r="H25" i="12"/>
  <c r="H24" i="12" s="1"/>
  <c r="I24" i="10"/>
  <c r="AF25" i="12"/>
  <c r="AF24" i="12" s="1"/>
  <c r="AG24" i="10"/>
  <c r="BG24" i="10"/>
  <c r="BF25" i="12"/>
  <c r="BF24" i="12" s="1"/>
  <c r="K24" i="10"/>
  <c r="J25" i="12"/>
  <c r="J24" i="12" s="1"/>
  <c r="S25" i="12"/>
  <c r="S24" i="12" s="1"/>
  <c r="T24" i="10"/>
  <c r="E24" i="10"/>
  <c r="D25" i="12"/>
  <c r="D24" i="12" s="1"/>
  <c r="AC24" i="10"/>
  <c r="AB25" i="12"/>
  <c r="AB24" i="12" s="1"/>
  <c r="BI25" i="12"/>
  <c r="BI24" i="12" s="1"/>
  <c r="BJ24" i="10"/>
  <c r="AB24" i="10"/>
  <c r="AA25" i="12"/>
  <c r="AA24" i="12" s="1"/>
  <c r="K25" i="12"/>
  <c r="K24" i="12" s="1"/>
  <c r="L24" i="10"/>
  <c r="H24" i="10"/>
  <c r="G25" i="12"/>
  <c r="G24" i="12" s="1"/>
  <c r="AS24" i="10"/>
  <c r="AR25" i="12"/>
  <c r="AR24" i="12" s="1"/>
  <c r="F47" i="4"/>
  <c r="M24" i="10"/>
  <c r="L25" i="12"/>
  <c r="L24" i="12" s="1"/>
  <c r="BO24" i="10"/>
  <c r="BN25" i="12"/>
  <c r="BN24" i="12" s="1"/>
  <c r="Z24" i="10"/>
  <c r="Y25" i="12"/>
  <c r="Y24" i="12" s="1"/>
  <c r="BI24" i="10"/>
  <c r="BH25" i="12"/>
  <c r="BH24" i="12" s="1"/>
  <c r="AI24" i="10"/>
  <c r="AH25" i="12"/>
  <c r="AH24" i="12" s="1"/>
  <c r="BK25" i="12"/>
  <c r="BK24" i="12" s="1"/>
  <c r="BL24" i="10"/>
  <c r="AP25" i="12"/>
  <c r="AP24" i="12" s="1"/>
  <c r="AQ24" i="10"/>
  <c r="AV24" i="10"/>
  <c r="AU25" i="12"/>
  <c r="AU24" i="12" s="1"/>
  <c r="AT25" i="12"/>
  <c r="AT24" i="12" s="1"/>
  <c r="AU24" i="10"/>
  <c r="AJ24" i="10"/>
  <c r="AI25" i="12"/>
  <c r="AI24" i="12" s="1"/>
  <c r="AF24" i="10"/>
  <c r="AE25" i="12"/>
  <c r="AE24" i="12" s="1"/>
  <c r="L42" i="4"/>
  <c r="R44" i="4"/>
  <c r="R46" i="4" s="1"/>
  <c r="BC24" i="10"/>
  <c r="BB25" i="12"/>
  <c r="BB24" i="12" s="1"/>
  <c r="R24" i="10"/>
  <c r="Q25" i="12"/>
  <c r="Q24" i="12" s="1"/>
  <c r="AK25" i="12"/>
  <c r="AK24" i="12" s="1"/>
  <c r="AL24" i="10"/>
  <c r="AY24" i="10"/>
  <c r="AX25" i="12"/>
  <c r="AX24" i="12" s="1"/>
  <c r="P6" i="28"/>
  <c r="P11" i="28" s="1"/>
  <c r="P13" i="28" s="1"/>
  <c r="P15" i="28" s="1"/>
  <c r="AZ42" i="30"/>
  <c r="AN30" i="57"/>
  <c r="M30" i="57" s="1"/>
  <c r="AM30" i="57"/>
  <c r="B62" i="13"/>
  <c r="BC42" i="30"/>
  <c r="BL53" i="43" s="1"/>
  <c r="L6" i="28"/>
  <c r="L11" i="28" s="1"/>
  <c r="L13" i="28" s="1"/>
  <c r="L15" i="28" s="1"/>
  <c r="AN42" i="30"/>
  <c r="BH10" i="43"/>
  <c r="BH9" i="43" s="1"/>
  <c r="AJ9" i="43"/>
  <c r="AJ42" i="43" s="1"/>
  <c r="AJ49" i="43" s="1"/>
  <c r="N6" i="28"/>
  <c r="N11" i="28" s="1"/>
  <c r="N13" i="28" s="1"/>
  <c r="N15" i="28" s="1"/>
  <c r="AT42" i="30"/>
  <c r="AY14" i="30"/>
  <c r="AY13" i="30" s="1"/>
  <c r="AY42" i="30" s="1"/>
  <c r="AG14" i="30"/>
  <c r="AG13" i="30" s="1"/>
  <c r="AG42" i="30" s="1"/>
  <c r="AM14" i="30"/>
  <c r="AM13" i="30" s="1"/>
  <c r="AM42" i="30" s="1"/>
  <c r="AJ14" i="30"/>
  <c r="AJ13" i="30" s="1"/>
  <c r="AJ42" i="30" s="1"/>
  <c r="AP14" i="30"/>
  <c r="AP13" i="30" s="1"/>
  <c r="AP42" i="30" s="1"/>
  <c r="AS14" i="30"/>
  <c r="AS13" i="30" s="1"/>
  <c r="AS42" i="30" s="1"/>
  <c r="BB13" i="30"/>
  <c r="BB42" i="30" s="1"/>
  <c r="BC52" i="30" s="1"/>
  <c r="BD54" i="30" s="1"/>
  <c r="J6" i="28"/>
  <c r="AH42" i="30"/>
  <c r="P72" i="32"/>
  <c r="O235" i="32"/>
  <c r="M6" i="28"/>
  <c r="M11" i="28" s="1"/>
  <c r="M13" i="28" s="1"/>
  <c r="M15" i="28" s="1"/>
  <c r="AQ42" i="30"/>
  <c r="K6" i="28"/>
  <c r="K11" i="28" s="1"/>
  <c r="K13" i="28" s="1"/>
  <c r="K15" i="28" s="1"/>
  <c r="AK42" i="30"/>
  <c r="Y107" i="61"/>
  <c r="T126" i="69"/>
  <c r="Q203" i="69"/>
  <c r="W224" i="58"/>
  <c r="V224" i="58"/>
  <c r="W223" i="58"/>
  <c r="V223" i="58"/>
  <c r="T222" i="58"/>
  <c r="V196" i="58"/>
  <c r="W196" i="58"/>
  <c r="O204" i="69"/>
  <c r="O74" i="61"/>
  <c r="L365" i="58"/>
  <c r="AA15" i="57"/>
  <c r="AD15" i="57"/>
  <c r="S150" i="61"/>
  <c r="S132" i="61" s="1"/>
  <c r="W9" i="61"/>
  <c r="R28" i="58"/>
  <c r="R27" i="58" s="1"/>
  <c r="R9" i="58" s="1"/>
  <c r="V316" i="58"/>
  <c r="V319" i="58"/>
  <c r="Q27" i="58"/>
  <c r="W15" i="58"/>
  <c r="T14" i="58"/>
  <c r="V15" i="58"/>
  <c r="BL32" i="57"/>
  <c r="R328" i="58"/>
  <c r="Q322" i="58"/>
  <c r="AY69" i="13"/>
  <c r="AY68" i="13" s="1"/>
  <c r="BG69" i="13"/>
  <c r="BG68" i="13" s="1"/>
  <c r="BO69" i="13"/>
  <c r="BO68" i="13" s="1"/>
  <c r="BF69" i="13"/>
  <c r="BF68" i="13" s="1"/>
  <c r="AZ69" i="13"/>
  <c r="AZ68" i="13" s="1"/>
  <c r="BH69" i="13"/>
  <c r="BH68" i="13" s="1"/>
  <c r="BP69" i="13"/>
  <c r="BP68" i="13" s="1"/>
  <c r="BN69" i="13"/>
  <c r="BN68" i="13" s="1"/>
  <c r="AS69" i="13"/>
  <c r="AS68" i="13" s="1"/>
  <c r="BA69" i="13"/>
  <c r="BA68" i="13" s="1"/>
  <c r="BI69" i="13"/>
  <c r="BI68" i="13" s="1"/>
  <c r="BQ69" i="13"/>
  <c r="BQ68" i="13" s="1"/>
  <c r="AT69" i="13"/>
  <c r="AT68" i="13" s="1"/>
  <c r="BB69" i="13"/>
  <c r="BB68" i="13" s="1"/>
  <c r="BJ69" i="13"/>
  <c r="BJ68" i="13" s="1"/>
  <c r="AV69" i="13"/>
  <c r="AV68" i="13" s="1"/>
  <c r="BL69" i="13"/>
  <c r="BL68" i="13" s="1"/>
  <c r="AX69" i="13"/>
  <c r="AX68" i="13" s="1"/>
  <c r="AU69" i="13"/>
  <c r="AU68" i="13" s="1"/>
  <c r="BC69" i="13"/>
  <c r="BC68" i="13" s="1"/>
  <c r="BK69" i="13"/>
  <c r="BK68" i="13" s="1"/>
  <c r="BD69" i="13"/>
  <c r="BD68" i="13" s="1"/>
  <c r="AW69" i="13"/>
  <c r="AW68" i="13" s="1"/>
  <c r="BE69" i="13"/>
  <c r="BE68" i="13" s="1"/>
  <c r="BM69" i="13"/>
  <c r="BM68" i="13" s="1"/>
  <c r="G69" i="13"/>
  <c r="G68" i="13" s="1"/>
  <c r="AA69" i="13"/>
  <c r="AA68" i="13" s="1"/>
  <c r="I69" i="13"/>
  <c r="I68" i="13" s="1"/>
  <c r="AQ69" i="13"/>
  <c r="AQ68" i="13" s="1"/>
  <c r="T69" i="13"/>
  <c r="T68" i="13" s="1"/>
  <c r="AB69" i="13"/>
  <c r="AB68" i="13" s="1"/>
  <c r="M69" i="13"/>
  <c r="M68" i="13" s="1"/>
  <c r="AN69" i="13"/>
  <c r="AN68" i="13" s="1"/>
  <c r="AP69" i="13"/>
  <c r="AP68" i="13" s="1"/>
  <c r="W69" i="13"/>
  <c r="W68" i="13" s="1"/>
  <c r="K69" i="13"/>
  <c r="K68" i="13" s="1"/>
  <c r="H69" i="13"/>
  <c r="H68" i="13" s="1"/>
  <c r="S69" i="13"/>
  <c r="S68" i="13" s="1"/>
  <c r="AI69" i="13"/>
  <c r="AI68" i="13" s="1"/>
  <c r="AJ69" i="13"/>
  <c r="AJ68" i="13" s="1"/>
  <c r="J69" i="13"/>
  <c r="J68" i="13" s="1"/>
  <c r="D69" i="13"/>
  <c r="D68" i="13" s="1"/>
  <c r="Z69" i="13"/>
  <c r="Z68" i="13" s="1"/>
  <c r="R69" i="13"/>
  <c r="R68" i="13" s="1"/>
  <c r="AE69" i="13"/>
  <c r="AE68" i="13" s="1"/>
  <c r="X69" i="13"/>
  <c r="X68" i="13" s="1"/>
  <c r="AR69" i="13"/>
  <c r="AR68" i="13" s="1"/>
  <c r="C69" i="13"/>
  <c r="C68" i="13" s="1"/>
  <c r="AF69" i="13"/>
  <c r="AF68" i="13" s="1"/>
  <c r="Q69" i="13"/>
  <c r="Q68" i="13" s="1"/>
  <c r="AC69" i="13"/>
  <c r="AC68" i="13" s="1"/>
  <c r="AL69" i="13"/>
  <c r="AL68" i="13" s="1"/>
  <c r="AG69" i="13"/>
  <c r="AG68" i="13" s="1"/>
  <c r="AD69" i="13"/>
  <c r="AD68" i="13" s="1"/>
  <c r="AK69" i="13"/>
  <c r="AK68" i="13" s="1"/>
  <c r="AM69" i="13"/>
  <c r="AM68" i="13" s="1"/>
  <c r="Y69" i="13"/>
  <c r="Y68" i="13" s="1"/>
  <c r="E69" i="13"/>
  <c r="E68" i="13" s="1"/>
  <c r="N69" i="13"/>
  <c r="N68" i="13" s="1"/>
  <c r="AH69" i="13"/>
  <c r="AH68" i="13" s="1"/>
  <c r="O69" i="13"/>
  <c r="O68" i="13" s="1"/>
  <c r="F69" i="13"/>
  <c r="F68" i="13" s="1"/>
  <c r="L69" i="13"/>
  <c r="L68" i="13" s="1"/>
  <c r="AO69" i="13"/>
  <c r="AO68" i="13" s="1"/>
  <c r="U69" i="13"/>
  <c r="U68" i="13" s="1"/>
  <c r="V69" i="13"/>
  <c r="V68" i="13" s="1"/>
  <c r="P69" i="13"/>
  <c r="P68" i="13" s="1"/>
  <c r="Y28" i="61"/>
  <c r="U27" i="61"/>
  <c r="U9" i="61" s="1"/>
  <c r="Y9" i="61" s="1"/>
  <c r="AE15" i="57"/>
  <c r="BC15" i="57"/>
  <c r="BA15" i="57" s="1"/>
  <c r="AB15" i="57"/>
  <c r="P165" i="61"/>
  <c r="Q159" i="61"/>
  <c r="Q158" i="61" s="1"/>
  <c r="AI13" i="6"/>
  <c r="AI10" i="6" s="1"/>
  <c r="AP10" i="57"/>
  <c r="AA10" i="57"/>
  <c r="AJ10" i="57"/>
  <c r="AS10" i="57"/>
  <c r="AD10" i="57"/>
  <c r="BE10" i="57"/>
  <c r="AV10" i="57"/>
  <c r="V150" i="61"/>
  <c r="BL34" i="57" s="1"/>
  <c r="T314" i="58"/>
  <c r="R313" i="58"/>
  <c r="R295" i="58" s="1"/>
  <c r="V318" i="58"/>
  <c r="W165" i="61"/>
  <c r="U159" i="61"/>
  <c r="Y165" i="61"/>
  <c r="V28" i="61"/>
  <c r="V27" i="61" s="1"/>
  <c r="BL10" i="57" s="1"/>
  <c r="V95" i="58"/>
  <c r="W95" i="58"/>
  <c r="T94" i="58"/>
  <c r="W150" i="61"/>
  <c r="BK34" i="57" s="1"/>
  <c r="M159" i="61"/>
  <c r="O158" i="61"/>
  <c r="W177" i="58"/>
  <c r="V177" i="58"/>
  <c r="T175" i="58"/>
  <c r="W29" i="58"/>
  <c r="T28" i="58"/>
  <c r="V29" i="58"/>
  <c r="U105" i="61"/>
  <c r="Y105" i="61" s="1"/>
  <c r="Y106" i="61"/>
  <c r="V315" i="58"/>
  <c r="AP15" i="57"/>
  <c r="AS15" i="57"/>
  <c r="AV15" i="57"/>
  <c r="AJ15" i="57"/>
  <c r="V37" i="58"/>
  <c r="Q6" i="41"/>
  <c r="Q11" i="41" s="1"/>
  <c r="Q13" i="41" s="1"/>
  <c r="Q15" i="41" s="1"/>
  <c r="J11" i="41"/>
  <c r="J13" i="41" s="1"/>
  <c r="J15" i="41" s="1"/>
  <c r="V105" i="61"/>
  <c r="BL19" i="57"/>
  <c r="W105" i="61"/>
  <c r="BK19" i="57"/>
  <c r="Y10" i="61"/>
  <c r="BN13" i="43"/>
  <c r="BH42" i="43"/>
  <c r="BJ15" i="57"/>
  <c r="Y150" i="61"/>
  <c r="X150" i="61"/>
  <c r="BK32" i="57"/>
  <c r="V317" i="58"/>
  <c r="V297" i="58"/>
  <c r="W297" i="58"/>
  <c r="T296" i="58"/>
  <c r="BN38" i="57"/>
  <c r="BN41" i="57"/>
  <c r="H14" i="57"/>
  <c r="BO14" i="57"/>
  <c r="AH13" i="57"/>
  <c r="AG25" i="57"/>
  <c r="AH28" i="57"/>
  <c r="AH22" i="57"/>
  <c r="AH23" i="57"/>
  <c r="AH27" i="57"/>
  <c r="AG18" i="57"/>
  <c r="AG29" i="57"/>
  <c r="AG28" i="57"/>
  <c r="AH18" i="57"/>
  <c r="AG30" i="57"/>
  <c r="AG22" i="57"/>
  <c r="AG24" i="57"/>
  <c r="AH30" i="57"/>
  <c r="AH25" i="57"/>
  <c r="AG23" i="57"/>
  <c r="AH17" i="57"/>
  <c r="AH24" i="57"/>
  <c r="AG27" i="57"/>
  <c r="AG13" i="57"/>
  <c r="AH29" i="57"/>
  <c r="AG17" i="57"/>
  <c r="K4" i="62"/>
  <c r="O210" i="62"/>
  <c r="P210" i="62" s="1"/>
  <c r="AN17" i="57"/>
  <c r="AN18" i="57"/>
  <c r="M18" i="57" s="1"/>
  <c r="AM13" i="57"/>
  <c r="AM27" i="57"/>
  <c r="K4" i="63"/>
  <c r="AN13" i="57"/>
  <c r="AM17" i="57"/>
  <c r="AM28" i="57"/>
  <c r="AN28" i="57"/>
  <c r="M28" i="57" s="1"/>
  <c r="AN27" i="57"/>
  <c r="AM18" i="57"/>
  <c r="O210" i="63"/>
  <c r="P210" i="63" s="1"/>
  <c r="P216" i="62"/>
  <c r="R216" i="62" s="1"/>
  <c r="BO37" i="57"/>
  <c r="H37" i="57"/>
  <c r="H33" i="57"/>
  <c r="BO33" i="57"/>
  <c r="BN37" i="57"/>
  <c r="BP37" i="57"/>
  <c r="D37" i="60" l="1"/>
  <c r="I4" i="61"/>
  <c r="C50" i="60"/>
  <c r="D50" i="60" s="1"/>
  <c r="H57" i="60" s="1"/>
  <c r="U33" i="7"/>
  <c r="V31" i="7"/>
  <c r="BC54" i="30"/>
  <c r="E30" i="4"/>
  <c r="L47" i="4"/>
  <c r="I30" i="4"/>
  <c r="N30" i="4"/>
  <c r="H30" i="4"/>
  <c r="R30" i="4"/>
  <c r="M30" i="4"/>
  <c r="C37" i="9"/>
  <c r="C36" i="9" s="1"/>
  <c r="G37" i="9"/>
  <c r="F30" i="4"/>
  <c r="D74" i="9"/>
  <c r="G53" i="9"/>
  <c r="D58" i="9"/>
  <c r="J30" i="4"/>
  <c r="C30" i="4"/>
  <c r="P30" i="4"/>
  <c r="D30" i="4"/>
  <c r="G30" i="4"/>
  <c r="L30" i="4"/>
  <c r="K30" i="4"/>
  <c r="Q30" i="4"/>
  <c r="C24" i="12"/>
  <c r="B24" i="12"/>
  <c r="G7" i="8" s="1"/>
  <c r="K7" i="8" s="1"/>
  <c r="O30" i="4"/>
  <c r="L30" i="57"/>
  <c r="AL30" i="57"/>
  <c r="K30" i="57" s="1"/>
  <c r="Q6" i="28"/>
  <c r="Q11" i="28" s="1"/>
  <c r="Q13" i="28" s="1"/>
  <c r="Q15" i="28" s="1"/>
  <c r="J11" i="28"/>
  <c r="J13" i="28" s="1"/>
  <c r="J15" i="28" s="1"/>
  <c r="AC62" i="13"/>
  <c r="AC61" i="13" s="1"/>
  <c r="E62" i="13"/>
  <c r="E61" i="13" s="1"/>
  <c r="AZ62" i="13"/>
  <c r="AZ61" i="13" s="1"/>
  <c r="BC62" i="13"/>
  <c r="BC61" i="13" s="1"/>
  <c r="BO62" i="13"/>
  <c r="BO61" i="13" s="1"/>
  <c r="D62" i="13"/>
  <c r="D61" i="13" s="1"/>
  <c r="AD62" i="13"/>
  <c r="AD61" i="13" s="1"/>
  <c r="S62" i="13"/>
  <c r="S61" i="13" s="1"/>
  <c r="G62" i="13"/>
  <c r="G61" i="13" s="1"/>
  <c r="C62" i="13"/>
  <c r="C61" i="13" s="1"/>
  <c r="AU62" i="13"/>
  <c r="AU61" i="13" s="1"/>
  <c r="BP62" i="13"/>
  <c r="BP61" i="13" s="1"/>
  <c r="BK62" i="13"/>
  <c r="BK61" i="13" s="1"/>
  <c r="AW62" i="13"/>
  <c r="AW61" i="13" s="1"/>
  <c r="AE62" i="13"/>
  <c r="AE61" i="13" s="1"/>
  <c r="X62" i="13"/>
  <c r="X61" i="13" s="1"/>
  <c r="L62" i="13"/>
  <c r="L61" i="13" s="1"/>
  <c r="U62" i="13"/>
  <c r="U61" i="13" s="1"/>
  <c r="AH62" i="13"/>
  <c r="AH61" i="13" s="1"/>
  <c r="AT62" i="13"/>
  <c r="AT61" i="13" s="1"/>
  <c r="AX62" i="13"/>
  <c r="AX61" i="13" s="1"/>
  <c r="BE62" i="13"/>
  <c r="BE61" i="13" s="1"/>
  <c r="Q62" i="13"/>
  <c r="Q61" i="13" s="1"/>
  <c r="AI62" i="13"/>
  <c r="AI61" i="13" s="1"/>
  <c r="AQ62" i="13"/>
  <c r="AQ61" i="13" s="1"/>
  <c r="AG62" i="13"/>
  <c r="AG61" i="13" s="1"/>
  <c r="I62" i="13"/>
  <c r="I61" i="13" s="1"/>
  <c r="AS62" i="13"/>
  <c r="AS61" i="13" s="1"/>
  <c r="BB62" i="13"/>
  <c r="BB61" i="13" s="1"/>
  <c r="BG62" i="13"/>
  <c r="BG61" i="13" s="1"/>
  <c r="BM62" i="13"/>
  <c r="BM61" i="13" s="1"/>
  <c r="AK62" i="13"/>
  <c r="AK61" i="13" s="1"/>
  <c r="O62" i="13"/>
  <c r="O61" i="13" s="1"/>
  <c r="W62" i="13"/>
  <c r="W61" i="13" s="1"/>
  <c r="J62" i="13"/>
  <c r="J61" i="13" s="1"/>
  <c r="P62" i="13"/>
  <c r="P61" i="13" s="1"/>
  <c r="BA62" i="13"/>
  <c r="BA61" i="13" s="1"/>
  <c r="BJ62" i="13"/>
  <c r="BJ61" i="13" s="1"/>
  <c r="AV62" i="13"/>
  <c r="AV61" i="13" s="1"/>
  <c r="R62" i="13"/>
  <c r="R61" i="13" s="1"/>
  <c r="M62" i="13"/>
  <c r="M61" i="13" s="1"/>
  <c r="F62" i="13"/>
  <c r="F61" i="13" s="1"/>
  <c r="AP62" i="13"/>
  <c r="AP61" i="13" s="1"/>
  <c r="AB62" i="13"/>
  <c r="AB61" i="13" s="1"/>
  <c r="Z62" i="13"/>
  <c r="Z61" i="13" s="1"/>
  <c r="BN62" i="13"/>
  <c r="BN61" i="13" s="1"/>
  <c r="AL62" i="13"/>
  <c r="AL61" i="13" s="1"/>
  <c r="BI62" i="13"/>
  <c r="BI61" i="13" s="1"/>
  <c r="AY62" i="13"/>
  <c r="AY61" i="13" s="1"/>
  <c r="BD62" i="13"/>
  <c r="BD61" i="13" s="1"/>
  <c r="AF62" i="13"/>
  <c r="AF61" i="13" s="1"/>
  <c r="V62" i="13"/>
  <c r="V61" i="13" s="1"/>
  <c r="Y62" i="13"/>
  <c r="Y61" i="13" s="1"/>
  <c r="AR62" i="13"/>
  <c r="AR61" i="13" s="1"/>
  <c r="T62" i="13"/>
  <c r="T61" i="13" s="1"/>
  <c r="AJ62" i="13"/>
  <c r="AJ61" i="13" s="1"/>
  <c r="BF62" i="13"/>
  <c r="BF61" i="13" s="1"/>
  <c r="K62" i="13"/>
  <c r="K61" i="13" s="1"/>
  <c r="AA62" i="13"/>
  <c r="AA61" i="13" s="1"/>
  <c r="BQ62" i="13"/>
  <c r="BQ61" i="13" s="1"/>
  <c r="BH62" i="13"/>
  <c r="BH61" i="13" s="1"/>
  <c r="BL62" i="13"/>
  <c r="BL61" i="13" s="1"/>
  <c r="H62" i="13"/>
  <c r="H61" i="13" s="1"/>
  <c r="AO62" i="13"/>
  <c r="AO61" i="13" s="1"/>
  <c r="AM62" i="13"/>
  <c r="AM61" i="13" s="1"/>
  <c r="AN62" i="13"/>
  <c r="AN61" i="13" s="1"/>
  <c r="N62" i="13"/>
  <c r="N61" i="13" s="1"/>
  <c r="W222" i="58"/>
  <c r="V222" i="58"/>
  <c r="N74" i="61"/>
  <c r="Q74" i="61"/>
  <c r="U74" i="61"/>
  <c r="O73" i="61"/>
  <c r="W132" i="61"/>
  <c r="U158" i="61"/>
  <c r="Y158" i="61" s="1"/>
  <c r="Y159" i="61"/>
  <c r="BH10" i="57"/>
  <c r="BE8" i="57"/>
  <c r="V132" i="61"/>
  <c r="I15" i="57"/>
  <c r="AA34" i="57"/>
  <c r="BJ34" i="57"/>
  <c r="AD34" i="57"/>
  <c r="BB34" i="57"/>
  <c r="V165" i="61"/>
  <c r="V159" i="61" s="1"/>
  <c r="W159" i="61"/>
  <c r="AE32" i="57"/>
  <c r="AB32" i="57"/>
  <c r="BC32" i="57"/>
  <c r="BL31" i="57"/>
  <c r="BJ32" i="57"/>
  <c r="BB32" i="57"/>
  <c r="AD32" i="57"/>
  <c r="AA32" i="57"/>
  <c r="BK31" i="57"/>
  <c r="BE19" i="57"/>
  <c r="AD19" i="57"/>
  <c r="AM19" i="57"/>
  <c r="AM16" i="57" s="1"/>
  <c r="AA19" i="57"/>
  <c r="AV19" i="57"/>
  <c r="AS19" i="57"/>
  <c r="AP19" i="57"/>
  <c r="BJ19" i="57"/>
  <c r="AJ19" i="57"/>
  <c r="U15" i="57"/>
  <c r="W28" i="58"/>
  <c r="T27" i="58"/>
  <c r="W27" i="58" s="1"/>
  <c r="AG10" i="6"/>
  <c r="B10" i="6" s="1"/>
  <c r="B13" i="6"/>
  <c r="BN15" i="57"/>
  <c r="W94" i="58"/>
  <c r="T64" i="58"/>
  <c r="V94" i="58"/>
  <c r="R10" i="57"/>
  <c r="AQ15" i="57"/>
  <c r="P15" i="57" s="1"/>
  <c r="AT15" i="57"/>
  <c r="S15" i="57" s="1"/>
  <c r="AW15" i="57"/>
  <c r="V15" i="57" s="1"/>
  <c r="AK15" i="57"/>
  <c r="J15" i="57" s="1"/>
  <c r="W14" i="58"/>
  <c r="T10" i="58"/>
  <c r="V14" i="58"/>
  <c r="AK19" i="57"/>
  <c r="AN19" i="57"/>
  <c r="M19" i="57" s="1"/>
  <c r="AT19" i="57"/>
  <c r="AQ19" i="57"/>
  <c r="AB19" i="57"/>
  <c r="AW19" i="57"/>
  <c r="BF19" i="57"/>
  <c r="AE19" i="57"/>
  <c r="R15" i="57"/>
  <c r="W175" i="58"/>
  <c r="T174" i="58"/>
  <c r="V175" i="58"/>
  <c r="W314" i="58"/>
  <c r="T313" i="58"/>
  <c r="T295" i="58" s="1"/>
  <c r="V314" i="58"/>
  <c r="I10" i="57"/>
  <c r="BB10" i="57"/>
  <c r="B68" i="13"/>
  <c r="Q321" i="58"/>
  <c r="W296" i="58"/>
  <c r="V296" i="58"/>
  <c r="Z15" i="57"/>
  <c r="AC15" i="57"/>
  <c r="O15" i="57"/>
  <c r="AE34" i="57"/>
  <c r="BC34" i="57"/>
  <c r="AB34" i="57"/>
  <c r="BJ10" i="57"/>
  <c r="Y27" i="61"/>
  <c r="V28" i="58"/>
  <c r="BH49" i="43"/>
  <c r="BI52" i="43"/>
  <c r="AE10" i="57"/>
  <c r="AK10" i="57"/>
  <c r="AI10" i="57" s="1"/>
  <c r="BF10" i="57"/>
  <c r="BD10" i="57" s="1"/>
  <c r="BD8" i="57" s="1"/>
  <c r="AB10" i="57"/>
  <c r="AT10" i="57"/>
  <c r="S10" i="57" s="1"/>
  <c r="AQ10" i="57"/>
  <c r="P10" i="57" s="1"/>
  <c r="AW10" i="57"/>
  <c r="V10" i="57" s="1"/>
  <c r="O10" i="57"/>
  <c r="T328" i="58"/>
  <c r="R322" i="58"/>
  <c r="R321" i="58" s="1"/>
  <c r="Q9" i="58"/>
  <c r="U10" i="57"/>
  <c r="V9" i="61"/>
  <c r="L17" i="57"/>
  <c r="AL17" i="57"/>
  <c r="AN11" i="57"/>
  <c r="M13" i="57"/>
  <c r="BL13" i="57"/>
  <c r="BK13" i="57"/>
  <c r="AF18" i="57"/>
  <c r="F18" i="57"/>
  <c r="BB18" i="57"/>
  <c r="F17" i="57"/>
  <c r="AF17" i="57"/>
  <c r="AG16" i="57"/>
  <c r="BB17" i="57"/>
  <c r="G30" i="57"/>
  <c r="BC30" i="57"/>
  <c r="BL30" i="57" s="1"/>
  <c r="G27" i="57"/>
  <c r="AH26" i="57"/>
  <c r="G26" i="57" s="1"/>
  <c r="BC27" i="57"/>
  <c r="BC25" i="57"/>
  <c r="BL25" i="57" s="1"/>
  <c r="G25" i="57"/>
  <c r="AL27" i="57"/>
  <c r="AM26" i="57"/>
  <c r="L27" i="57"/>
  <c r="G29" i="57"/>
  <c r="BC29" i="57"/>
  <c r="BL29" i="57" s="1"/>
  <c r="BB24" i="57"/>
  <c r="F24" i="57"/>
  <c r="AF24" i="57"/>
  <c r="G23" i="57"/>
  <c r="BC23" i="57"/>
  <c r="BL23" i="57" s="1"/>
  <c r="F23" i="57"/>
  <c r="AF23" i="57"/>
  <c r="BB23" i="57"/>
  <c r="L18" i="57"/>
  <c r="AL18" i="57"/>
  <c r="K18" i="57" s="1"/>
  <c r="L13" i="57"/>
  <c r="AM11" i="57"/>
  <c r="AL13" i="57"/>
  <c r="AF13" i="57"/>
  <c r="F13" i="57"/>
  <c r="AG11" i="57"/>
  <c r="F22" i="57"/>
  <c r="AF22" i="57"/>
  <c r="AG21" i="57"/>
  <c r="BB22" i="57"/>
  <c r="G22" i="57"/>
  <c r="AH21" i="57"/>
  <c r="G21" i="57" s="1"/>
  <c r="BC22" i="57"/>
  <c r="AN26" i="57"/>
  <c r="M26" i="57" s="1"/>
  <c r="M27" i="57"/>
  <c r="F27" i="57"/>
  <c r="AF27" i="57"/>
  <c r="AG26" i="57"/>
  <c r="BB27" i="57"/>
  <c r="AF30" i="57"/>
  <c r="E30" i="57" s="1"/>
  <c r="F30" i="57"/>
  <c r="BB30" i="57"/>
  <c r="BC28" i="57"/>
  <c r="BL28" i="57" s="1"/>
  <c r="G28" i="57"/>
  <c r="M17" i="57"/>
  <c r="BC24" i="57"/>
  <c r="BL24" i="57" s="1"/>
  <c r="G24" i="57"/>
  <c r="G18" i="57"/>
  <c r="BC18" i="57"/>
  <c r="BL18" i="57" s="1"/>
  <c r="AF25" i="57"/>
  <c r="E25" i="57" s="1"/>
  <c r="BB25" i="57"/>
  <c r="F25" i="57"/>
  <c r="AF29" i="57"/>
  <c r="F29" i="57"/>
  <c r="BB29" i="57"/>
  <c r="AL28" i="57"/>
  <c r="K28" i="57" s="1"/>
  <c r="L28" i="57"/>
  <c r="G17" i="57"/>
  <c r="AH16" i="57"/>
  <c r="G16" i="57" s="1"/>
  <c r="BC17" i="57"/>
  <c r="F28" i="57"/>
  <c r="BB28" i="57"/>
  <c r="AF28" i="57"/>
  <c r="AH11" i="57"/>
  <c r="G13" i="57"/>
  <c r="AP27" i="6"/>
  <c r="AP24" i="6" s="1"/>
  <c r="AG24" i="6"/>
  <c r="AH24" i="6"/>
  <c r="AI24" i="6"/>
  <c r="AJ24" i="6"/>
  <c r="AK24" i="6"/>
  <c r="AM24" i="6"/>
  <c r="AN24" i="6"/>
  <c r="AO24" i="6"/>
  <c r="AQ24" i="6"/>
  <c r="AR24" i="6"/>
  <c r="AS24" i="6"/>
  <c r="AT24" i="6"/>
  <c r="AU24" i="6"/>
  <c r="AV24" i="6"/>
  <c r="AW24" i="6"/>
  <c r="AY24" i="6"/>
  <c r="AZ24" i="6"/>
  <c r="BA24" i="6"/>
  <c r="BB24" i="6"/>
  <c r="BC24" i="6"/>
  <c r="BD24" i="6"/>
  <c r="BE24" i="6"/>
  <c r="BF24" i="6"/>
  <c r="BG24" i="6"/>
  <c r="BH24" i="6"/>
  <c r="BI24" i="6"/>
  <c r="BK24" i="6"/>
  <c r="BL24" i="6"/>
  <c r="BM24" i="6"/>
  <c r="BN24" i="6"/>
  <c r="BO24" i="6"/>
  <c r="BQ24" i="6"/>
  <c r="BR24" i="6"/>
  <c r="BS24" i="6"/>
  <c r="BT24" i="6"/>
  <c r="BU24" i="6"/>
  <c r="BX24" i="6"/>
  <c r="BY24" i="6"/>
  <c r="BZ24" i="6"/>
  <c r="CA24" i="6"/>
  <c r="CB24" i="6"/>
  <c r="CC24" i="6"/>
  <c r="CD24" i="6"/>
  <c r="CE24" i="6"/>
  <c r="CF24" i="6"/>
  <c r="CG24" i="6"/>
  <c r="H69" i="60" l="1"/>
  <c r="I69" i="60" s="1"/>
  <c r="G57" i="60"/>
  <c r="V33" i="7"/>
  <c r="W31" i="7"/>
  <c r="D79" i="9"/>
  <c r="G74" i="9"/>
  <c r="C58" i="9"/>
  <c r="C57" i="9" s="1"/>
  <c r="G58" i="9"/>
  <c r="S30" i="4"/>
  <c r="B61" i="13"/>
  <c r="O72" i="61"/>
  <c r="BJ12" i="57"/>
  <c r="U73" i="61"/>
  <c r="Y74" i="61"/>
  <c r="W74" i="61"/>
  <c r="P74" i="61"/>
  <c r="Q73" i="61"/>
  <c r="S74" i="61"/>
  <c r="S73" i="61" s="1"/>
  <c r="AU10" i="57"/>
  <c r="T10" i="57" s="1"/>
  <c r="V27" i="58"/>
  <c r="AR15" i="57"/>
  <c r="Q15" i="57" s="1"/>
  <c r="H10" i="57"/>
  <c r="T97" i="58"/>
  <c r="V174" i="58"/>
  <c r="W174" i="58"/>
  <c r="P19" i="57"/>
  <c r="AQ16" i="57"/>
  <c r="P16" i="57" s="1"/>
  <c r="BB19" i="57"/>
  <c r="BB16" i="57" s="1"/>
  <c r="AJ16" i="57"/>
  <c r="I19" i="57"/>
  <c r="AI19" i="57"/>
  <c r="BE16" i="57"/>
  <c r="BD19" i="57"/>
  <c r="BD16" i="57" s="1"/>
  <c r="BH19" i="57"/>
  <c r="AI15" i="57"/>
  <c r="AT16" i="57"/>
  <c r="S16" i="57" s="1"/>
  <c r="S19" i="57"/>
  <c r="AC19" i="57"/>
  <c r="Z19" i="57"/>
  <c r="AD31" i="57"/>
  <c r="B59" i="13"/>
  <c r="AA31" i="57"/>
  <c r="AP16" i="57"/>
  <c r="O19" i="57"/>
  <c r="AO19" i="57"/>
  <c r="W158" i="61"/>
  <c r="BK36" i="57"/>
  <c r="AC10" i="57"/>
  <c r="Z10" i="57"/>
  <c r="J19" i="57"/>
  <c r="AK16" i="57"/>
  <c r="J16" i="57" s="1"/>
  <c r="BC19" i="57"/>
  <c r="BC16" i="57" s="1"/>
  <c r="AR10" i="57"/>
  <c r="Q10" i="57" s="1"/>
  <c r="AS16" i="57"/>
  <c r="R19" i="57"/>
  <c r="AR19" i="57"/>
  <c r="BL36" i="57"/>
  <c r="V158" i="61"/>
  <c r="BF8" i="57"/>
  <c r="BI10" i="57"/>
  <c r="BI8" i="57" s="1"/>
  <c r="U19" i="57"/>
  <c r="AV16" i="57"/>
  <c r="AU19" i="57"/>
  <c r="AM32" i="57"/>
  <c r="BA32" i="57"/>
  <c r="AS32" i="57"/>
  <c r="AV32" i="57"/>
  <c r="AJ32" i="57"/>
  <c r="AP32" i="57"/>
  <c r="BB31" i="57"/>
  <c r="AV34" i="57"/>
  <c r="AP34" i="57"/>
  <c r="AM34" i="57"/>
  <c r="BA34" i="57"/>
  <c r="BN34" i="57" s="1"/>
  <c r="AS34" i="57"/>
  <c r="AJ34" i="57"/>
  <c r="W328" i="58"/>
  <c r="T322" i="58"/>
  <c r="V328" i="58"/>
  <c r="BC10" i="57"/>
  <c r="BA10" i="57" s="1"/>
  <c r="J10" i="57"/>
  <c r="AW34" i="57"/>
  <c r="V34" i="57" s="1"/>
  <c r="AQ34" i="57"/>
  <c r="P34" i="57" s="1"/>
  <c r="AT34" i="57"/>
  <c r="S34" i="57" s="1"/>
  <c r="AN34" i="57"/>
  <c r="M34" i="57" s="1"/>
  <c r="AK34" i="57"/>
  <c r="J34" i="57" s="1"/>
  <c r="W295" i="58"/>
  <c r="V295" i="58"/>
  <c r="W313" i="58"/>
  <c r="V313" i="58"/>
  <c r="BF16" i="57"/>
  <c r="BI19" i="57"/>
  <c r="BI16" i="57" s="1"/>
  <c r="T9" i="58"/>
  <c r="W9" i="58" s="1"/>
  <c r="V10" i="58"/>
  <c r="W10" i="58"/>
  <c r="Z32" i="57"/>
  <c r="AC32" i="57"/>
  <c r="BJ31" i="57"/>
  <c r="BH8" i="57"/>
  <c r="BG10" i="57"/>
  <c r="AO10" i="57"/>
  <c r="N10" i="57" s="1"/>
  <c r="V19" i="57"/>
  <c r="AW16" i="57"/>
  <c r="V16" i="57" s="1"/>
  <c r="V64" i="58"/>
  <c r="W64" i="58"/>
  <c r="AU15" i="57"/>
  <c r="T15" i="57" s="1"/>
  <c r="AL19" i="57"/>
  <c r="K19" i="57" s="1"/>
  <c r="L19" i="57"/>
  <c r="AE31" i="57"/>
  <c r="AB31" i="57"/>
  <c r="AC34" i="57"/>
  <c r="Z34" i="57"/>
  <c r="AN16" i="57"/>
  <c r="M16" i="57" s="1"/>
  <c r="BJ54" i="43"/>
  <c r="BI54" i="43"/>
  <c r="AO15" i="57"/>
  <c r="N15" i="57" s="1"/>
  <c r="AW32" i="57"/>
  <c r="AT32" i="57"/>
  <c r="AK32" i="57"/>
  <c r="AN32" i="57"/>
  <c r="AQ32" i="57"/>
  <c r="BC31" i="57"/>
  <c r="BC13" i="57"/>
  <c r="AE13" i="57"/>
  <c r="AB13" i="57"/>
  <c r="AB28" i="57"/>
  <c r="AE28" i="57"/>
  <c r="K12" i="14"/>
  <c r="S12" i="14" s="1"/>
  <c r="F21" i="57"/>
  <c r="B12" i="14" s="1"/>
  <c r="AL26" i="57"/>
  <c r="K26" i="57" s="1"/>
  <c r="K27" i="57"/>
  <c r="E24" i="57"/>
  <c r="BL17" i="57"/>
  <c r="E29" i="57"/>
  <c r="AB24" i="57"/>
  <c r="AE24" i="57"/>
  <c r="F11" i="57"/>
  <c r="B6" i="14" s="1"/>
  <c r="K6" i="14"/>
  <c r="AG49" i="57"/>
  <c r="BK24" i="57"/>
  <c r="BA24" i="57"/>
  <c r="BC26" i="57"/>
  <c r="BL27" i="57"/>
  <c r="BA28" i="57"/>
  <c r="BO28" i="57" s="1"/>
  <c r="BK28" i="57"/>
  <c r="BK30" i="57"/>
  <c r="BA30" i="57"/>
  <c r="F16" i="57"/>
  <c r="B7" i="14" s="1"/>
  <c r="K7" i="14"/>
  <c r="BB26" i="57"/>
  <c r="BA27" i="57"/>
  <c r="BO27" i="57" s="1"/>
  <c r="BK27" i="57"/>
  <c r="BA22" i="57"/>
  <c r="BO22" i="57" s="1"/>
  <c r="BL22" i="57"/>
  <c r="BC21" i="57"/>
  <c r="BA23" i="57"/>
  <c r="BK23" i="57"/>
  <c r="AB29" i="57"/>
  <c r="AE29" i="57"/>
  <c r="M11" i="57"/>
  <c r="E28" i="57"/>
  <c r="AB18" i="57"/>
  <c r="AE18" i="57"/>
  <c r="BA17" i="57"/>
  <c r="BO17" i="57" s="1"/>
  <c r="BK17" i="57"/>
  <c r="BK29" i="57"/>
  <c r="BA29" i="57"/>
  <c r="BJ29" i="57" s="1"/>
  <c r="E22" i="57"/>
  <c r="AF21" i="57"/>
  <c r="E21" i="57" s="1"/>
  <c r="E17" i="57"/>
  <c r="AF16" i="57"/>
  <c r="K8" i="14"/>
  <c r="F26" i="57"/>
  <c r="B8" i="14" s="1"/>
  <c r="E13" i="57"/>
  <c r="AF11" i="57"/>
  <c r="E23" i="57"/>
  <c r="BA18" i="57"/>
  <c r="BJ18" i="57" s="1"/>
  <c r="BK18" i="57"/>
  <c r="L16" i="57"/>
  <c r="D7" i="14" s="1"/>
  <c r="M7" i="14"/>
  <c r="AD13" i="57"/>
  <c r="AA13" i="57"/>
  <c r="BB13" i="57"/>
  <c r="BJ13" i="57"/>
  <c r="AE25" i="57"/>
  <c r="AB25" i="57"/>
  <c r="BK25" i="57"/>
  <c r="BA25" i="57"/>
  <c r="AF26" i="57"/>
  <c r="E27" i="57"/>
  <c r="K13" i="57"/>
  <c r="AL11" i="57"/>
  <c r="AE30" i="57"/>
  <c r="AB30" i="57"/>
  <c r="K17" i="57"/>
  <c r="AH49" i="57"/>
  <c r="G11" i="57"/>
  <c r="BK22" i="57"/>
  <c r="BB21" i="57"/>
  <c r="M6" i="14"/>
  <c r="L11" i="57"/>
  <c r="D6" i="14" s="1"/>
  <c r="AE23" i="57"/>
  <c r="AB23" i="57"/>
  <c r="L26" i="57"/>
  <c r="D8" i="14" s="1"/>
  <c r="M8" i="14"/>
  <c r="E18" i="57"/>
  <c r="G59" i="60" l="1"/>
  <c r="H59" i="60" s="1"/>
  <c r="G58" i="60"/>
  <c r="G61" i="60"/>
  <c r="H61" i="60" s="1"/>
  <c r="W33" i="7"/>
  <c r="X31" i="7"/>
  <c r="G79" i="9"/>
  <c r="C79" i="9"/>
  <c r="C78" i="9" s="1"/>
  <c r="BK12" i="57"/>
  <c r="Q72" i="61"/>
  <c r="W73" i="61"/>
  <c r="W72" i="61" s="1"/>
  <c r="V74" i="61"/>
  <c r="V73" i="61" s="1"/>
  <c r="V72" i="61" s="1"/>
  <c r="Y73" i="61"/>
  <c r="U72" i="61"/>
  <c r="Y72" i="61" s="1"/>
  <c r="S72" i="61"/>
  <c r="BL12" i="57"/>
  <c r="Z12" i="57"/>
  <c r="AC12" i="57"/>
  <c r="AL16" i="57"/>
  <c r="K16" i="57" s="1"/>
  <c r="BA19" i="57"/>
  <c r="BO19" i="57" s="1"/>
  <c r="S32" i="57"/>
  <c r="AT31" i="57"/>
  <c r="S31" i="57" s="1"/>
  <c r="AU32" i="57"/>
  <c r="U32" i="57"/>
  <c r="AV31" i="57"/>
  <c r="Z31" i="57"/>
  <c r="AC31" i="57"/>
  <c r="R34" i="57"/>
  <c r="AR34" i="57"/>
  <c r="Q34" i="57" s="1"/>
  <c r="V32" i="57"/>
  <c r="AW31" i="57"/>
  <c r="V31" i="57" s="1"/>
  <c r="AR32" i="57"/>
  <c r="R32" i="57"/>
  <c r="AS31" i="57"/>
  <c r="O16" i="57"/>
  <c r="E7" i="14" s="1"/>
  <c r="N7" i="14"/>
  <c r="H15" i="57"/>
  <c r="BO15" i="57"/>
  <c r="AB36" i="57"/>
  <c r="AE36" i="57"/>
  <c r="BF36" i="57"/>
  <c r="AQ36" i="57"/>
  <c r="AW36" i="57"/>
  <c r="AT36" i="57"/>
  <c r="BL35" i="57"/>
  <c r="AK36" i="57"/>
  <c r="BG19" i="57"/>
  <c r="BH16" i="57"/>
  <c r="L34" i="57"/>
  <c r="AL34" i="57"/>
  <c r="K34" i="57" s="1"/>
  <c r="BN32" i="57"/>
  <c r="BA31" i="57"/>
  <c r="BN31" i="57" s="1"/>
  <c r="O34" i="57"/>
  <c r="AO34" i="57"/>
  <c r="N34" i="57" s="1"/>
  <c r="AL32" i="57"/>
  <c r="L32" i="57"/>
  <c r="AM31" i="57"/>
  <c r="Q19" i="57"/>
  <c r="AR16" i="57"/>
  <c r="Q16" i="57" s="1"/>
  <c r="F59" i="13"/>
  <c r="AP59" i="13"/>
  <c r="AL59" i="13"/>
  <c r="AW59" i="13"/>
  <c r="AG59" i="13"/>
  <c r="BD59" i="13"/>
  <c r="Z59" i="13"/>
  <c r="BI59" i="13"/>
  <c r="BM59" i="13"/>
  <c r="D59" i="13"/>
  <c r="I59" i="13"/>
  <c r="N59" i="13"/>
  <c r="BP59" i="13"/>
  <c r="AC59" i="13"/>
  <c r="AV59" i="13"/>
  <c r="L59" i="13"/>
  <c r="BH59" i="13"/>
  <c r="BE59" i="13"/>
  <c r="K59" i="13"/>
  <c r="AI59" i="13"/>
  <c r="BJ59" i="13"/>
  <c r="G59" i="13"/>
  <c r="R59" i="13"/>
  <c r="AN59" i="13"/>
  <c r="J59" i="13"/>
  <c r="X59" i="13"/>
  <c r="S59" i="13"/>
  <c r="BF59" i="13"/>
  <c r="AR59" i="13"/>
  <c r="W59" i="13"/>
  <c r="AJ59" i="13"/>
  <c r="H59" i="13"/>
  <c r="BG59" i="13"/>
  <c r="P59" i="13"/>
  <c r="AK59" i="13"/>
  <c r="AA59" i="13"/>
  <c r="AQ59" i="13"/>
  <c r="U59" i="13"/>
  <c r="T59" i="13"/>
  <c r="Q59" i="13"/>
  <c r="AX59" i="13"/>
  <c r="E59" i="13"/>
  <c r="AM59" i="13"/>
  <c r="O59" i="13"/>
  <c r="BQ59" i="13"/>
  <c r="AY59" i="13"/>
  <c r="AD59" i="13"/>
  <c r="BL59" i="13"/>
  <c r="AB59" i="13"/>
  <c r="BO59" i="13"/>
  <c r="BC59" i="13"/>
  <c r="V59" i="13"/>
  <c r="BB59" i="13"/>
  <c r="M59" i="13"/>
  <c r="AU59" i="13"/>
  <c r="BN59" i="13"/>
  <c r="AZ59" i="13"/>
  <c r="C59" i="13"/>
  <c r="AO59" i="13"/>
  <c r="AT59" i="13"/>
  <c r="AH59" i="13"/>
  <c r="BK59" i="13"/>
  <c r="AS59" i="13"/>
  <c r="AF59" i="13"/>
  <c r="AE59" i="13"/>
  <c r="BA59" i="13"/>
  <c r="Y59" i="13"/>
  <c r="T321" i="58"/>
  <c r="W322" i="58"/>
  <c r="V322" i="58"/>
  <c r="U34" i="57"/>
  <c r="AU34" i="57"/>
  <c r="T34" i="57" s="1"/>
  <c r="T19" i="57"/>
  <c r="AU16" i="57"/>
  <c r="T16" i="57" s="1"/>
  <c r="V9" i="58"/>
  <c r="P32" i="57"/>
  <c r="AQ31" i="57"/>
  <c r="P31" i="57" s="1"/>
  <c r="P7" i="14"/>
  <c r="U16" i="57"/>
  <c r="G7" i="14" s="1"/>
  <c r="R16" i="57"/>
  <c r="F7" i="14" s="1"/>
  <c r="O7" i="14"/>
  <c r="BE36" i="57"/>
  <c r="AP36" i="57"/>
  <c r="BK35" i="57"/>
  <c r="AS36" i="57"/>
  <c r="AJ36" i="57"/>
  <c r="AA36" i="57"/>
  <c r="AV36" i="57"/>
  <c r="AD36" i="57"/>
  <c r="BJ36" i="57"/>
  <c r="AI16" i="57"/>
  <c r="H16" i="57" s="1"/>
  <c r="H19" i="57"/>
  <c r="W97" i="58"/>
  <c r="V97" i="58"/>
  <c r="M32" i="57"/>
  <c r="AN31" i="57"/>
  <c r="BP10" i="57"/>
  <c r="BN10" i="57"/>
  <c r="BG8" i="57"/>
  <c r="AO32" i="57"/>
  <c r="O32" i="57"/>
  <c r="AP31" i="57"/>
  <c r="BO10" i="57"/>
  <c r="J32" i="57"/>
  <c r="AK31" i="57"/>
  <c r="J31" i="57" s="1"/>
  <c r="I34" i="57"/>
  <c r="AI34" i="57"/>
  <c r="I32" i="57"/>
  <c r="AI32" i="57"/>
  <c r="AJ31" i="57"/>
  <c r="AO16" i="57"/>
  <c r="N16" i="57" s="1"/>
  <c r="N19" i="57"/>
  <c r="I16" i="57"/>
  <c r="C7" i="14" s="1"/>
  <c r="L7" i="14"/>
  <c r="BO18" i="57"/>
  <c r="BO29" i="57"/>
  <c r="S8" i="14"/>
  <c r="AA25" i="57"/>
  <c r="AD25" i="57"/>
  <c r="AA24" i="57"/>
  <c r="AD24" i="57"/>
  <c r="BJ24" i="57"/>
  <c r="BN29" i="57"/>
  <c r="Z29" i="57"/>
  <c r="AC29" i="57"/>
  <c r="AE22" i="57"/>
  <c r="AB22" i="57"/>
  <c r="BL21" i="57"/>
  <c r="BO30" i="57"/>
  <c r="BJ30" i="57"/>
  <c r="BN30" i="57" s="1"/>
  <c r="AG58" i="57"/>
  <c r="AG57" i="57"/>
  <c r="F49" i="57"/>
  <c r="AG59" i="57"/>
  <c r="AB17" i="57"/>
  <c r="AE17" i="57"/>
  <c r="BL16" i="57"/>
  <c r="BO25" i="57"/>
  <c r="BJ25" i="57"/>
  <c r="BN25" i="57" s="1"/>
  <c r="E11" i="57"/>
  <c r="AF49" i="57"/>
  <c r="BJ23" i="57"/>
  <c r="BN23" i="57" s="1"/>
  <c r="AA29" i="57"/>
  <c r="AD29" i="57"/>
  <c r="BJ22" i="57"/>
  <c r="BN22" i="57" s="1"/>
  <c r="BA21" i="57"/>
  <c r="AD30" i="57"/>
  <c r="AA30" i="57"/>
  <c r="K11" i="14"/>
  <c r="K13" i="14" s="1"/>
  <c r="K15" i="14" s="1"/>
  <c r="BO24" i="57"/>
  <c r="AA22" i="57"/>
  <c r="AD22" i="57"/>
  <c r="BK21" i="57"/>
  <c r="BN18" i="57"/>
  <c r="AC18" i="57"/>
  <c r="Z18" i="57"/>
  <c r="BK26" i="57"/>
  <c r="AD27" i="57"/>
  <c r="AA27" i="57"/>
  <c r="AA28" i="57"/>
  <c r="AD28" i="57"/>
  <c r="B11" i="14"/>
  <c r="B13" i="14" s="1"/>
  <c r="B15" i="14" s="1"/>
  <c r="E26" i="57"/>
  <c r="AD23" i="57"/>
  <c r="AA23" i="57"/>
  <c r="AC13" i="57"/>
  <c r="Z13" i="57"/>
  <c r="BJ11" i="57"/>
  <c r="BO23" i="57"/>
  <c r="E16" i="57"/>
  <c r="AA17" i="57"/>
  <c r="AD17" i="57"/>
  <c r="BK16" i="57"/>
  <c r="BJ27" i="57"/>
  <c r="BN27" i="57" s="1"/>
  <c r="BA26" i="57"/>
  <c r="BO26" i="57" s="1"/>
  <c r="BJ28" i="57"/>
  <c r="BN28" i="57" s="1"/>
  <c r="K11" i="57"/>
  <c r="AA18" i="57"/>
  <c r="AD18" i="57"/>
  <c r="G49" i="57"/>
  <c r="AH57" i="57"/>
  <c r="AH59" i="57"/>
  <c r="AH58" i="57"/>
  <c r="AS13" i="57"/>
  <c r="BA13" i="57"/>
  <c r="AV13" i="57"/>
  <c r="AJ13" i="57"/>
  <c r="AP13" i="57"/>
  <c r="BJ17" i="57"/>
  <c r="AB27" i="57"/>
  <c r="AE27" i="57"/>
  <c r="BL26" i="57"/>
  <c r="AQ13" i="57"/>
  <c r="AT13" i="57"/>
  <c r="AK13" i="57"/>
  <c r="AW13" i="57"/>
  <c r="O9" i="57"/>
  <c r="N9" i="57"/>
  <c r="AR9" i="57" l="1"/>
  <c r="I61" i="60"/>
  <c r="J61" i="60"/>
  <c r="AS9" i="57" s="1"/>
  <c r="H58" i="60"/>
  <c r="G60" i="60"/>
  <c r="H60" i="60" s="1"/>
  <c r="I59" i="60"/>
  <c r="J59" i="60"/>
  <c r="AP9" i="57" s="1"/>
  <c r="AP8" i="57" s="1"/>
  <c r="AO9" i="57"/>
  <c r="X33" i="7"/>
  <c r="Y31" i="7"/>
  <c r="AB12" i="57"/>
  <c r="AE12" i="57"/>
  <c r="BL11" i="57"/>
  <c r="BC12" i="57"/>
  <c r="BB12" i="57"/>
  <c r="AA12" i="57"/>
  <c r="AD12" i="57"/>
  <c r="BK11" i="57"/>
  <c r="BA16" i="57"/>
  <c r="S7" i="14"/>
  <c r="BO32" i="57"/>
  <c r="H32" i="57"/>
  <c r="AI31" i="57"/>
  <c r="N9" i="14"/>
  <c r="O31" i="57"/>
  <c r="E9" i="14" s="1"/>
  <c r="AJ35" i="57"/>
  <c r="I36" i="57"/>
  <c r="BB36" i="57"/>
  <c r="AI36" i="57"/>
  <c r="L31" i="57"/>
  <c r="D9" i="14" s="1"/>
  <c r="D11" i="14" s="1"/>
  <c r="D13" i="14" s="1"/>
  <c r="D15" i="14" s="1"/>
  <c r="D7" i="3" s="1"/>
  <c r="E44" i="4" s="1"/>
  <c r="E45" i="4" s="1"/>
  <c r="M9" i="14"/>
  <c r="M11" i="14" s="1"/>
  <c r="M13" i="14" s="1"/>
  <c r="M15" i="14" s="1"/>
  <c r="AM49" i="57"/>
  <c r="AW35" i="57"/>
  <c r="V35" i="57" s="1"/>
  <c r="V36" i="57"/>
  <c r="AR36" i="57"/>
  <c r="R36" i="57"/>
  <c r="AS35" i="57"/>
  <c r="P36" i="57"/>
  <c r="AQ35" i="57"/>
  <c r="P35" i="57" s="1"/>
  <c r="O9" i="14"/>
  <c r="R31" i="57"/>
  <c r="F9" i="14" s="1"/>
  <c r="H34" i="57"/>
  <c r="BO34" i="57"/>
  <c r="N32" i="57"/>
  <c r="AO31" i="57"/>
  <c r="N31" i="57" s="1"/>
  <c r="B60" i="13"/>
  <c r="AD35" i="57"/>
  <c r="AA35" i="57"/>
  <c r="W321" i="58"/>
  <c r="V321" i="58"/>
  <c r="K32" i="57"/>
  <c r="AL31" i="57"/>
  <c r="BI36" i="57"/>
  <c r="BI35" i="57" s="1"/>
  <c r="BI49" i="57" s="1"/>
  <c r="BF35" i="57"/>
  <c r="BF49" i="57" s="1"/>
  <c r="L9" i="14"/>
  <c r="I31" i="57"/>
  <c r="C9" i="14" s="1"/>
  <c r="BP8" i="57"/>
  <c r="AO36" i="57"/>
  <c r="O36" i="57"/>
  <c r="AP35" i="57"/>
  <c r="Q32" i="57"/>
  <c r="AR31" i="57"/>
  <c r="Q31" i="57" s="1"/>
  <c r="U31" i="57"/>
  <c r="G9" i="14" s="1"/>
  <c r="P9" i="14"/>
  <c r="S36" i="57"/>
  <c r="AT35" i="57"/>
  <c r="S35" i="57" s="1"/>
  <c r="BO16" i="57"/>
  <c r="AC36" i="57"/>
  <c r="Z36" i="57"/>
  <c r="BJ35" i="57"/>
  <c r="BH36" i="57"/>
  <c r="BE35" i="57"/>
  <c r="BE49" i="57" s="1"/>
  <c r="BD36" i="57"/>
  <c r="BD35" i="57" s="1"/>
  <c r="BD49" i="57" s="1"/>
  <c r="BG16" i="57"/>
  <c r="BP16" i="57" s="1"/>
  <c r="BN19" i="57"/>
  <c r="BP19" i="57"/>
  <c r="J36" i="57"/>
  <c r="AK35" i="57"/>
  <c r="J35" i="57" s="1"/>
  <c r="BC36" i="57"/>
  <c r="BC35" i="57" s="1"/>
  <c r="AU31" i="57"/>
  <c r="T31" i="57" s="1"/>
  <c r="T32" i="57"/>
  <c r="M31" i="57"/>
  <c r="AN49" i="57"/>
  <c r="U36" i="57"/>
  <c r="AV35" i="57"/>
  <c r="AU36" i="57"/>
  <c r="AE35" i="57"/>
  <c r="AB35" i="57"/>
  <c r="O12" i="57"/>
  <c r="AD21" i="57"/>
  <c r="D4" i="9"/>
  <c r="G4" i="9" s="1"/>
  <c r="AA21" i="57"/>
  <c r="B57" i="13"/>
  <c r="AB21" i="57"/>
  <c r="AE21" i="57"/>
  <c r="BN17" i="57"/>
  <c r="Z17" i="57"/>
  <c r="AC17" i="57"/>
  <c r="BJ16" i="57"/>
  <c r="AC28" i="57"/>
  <c r="Z28" i="57"/>
  <c r="BO21" i="57"/>
  <c r="F57" i="57"/>
  <c r="F59" i="57"/>
  <c r="F58" i="57"/>
  <c r="BN13" i="57"/>
  <c r="R13" i="57"/>
  <c r="AR13" i="57"/>
  <c r="B58" i="13"/>
  <c r="AA26" i="57"/>
  <c r="AD26" i="57"/>
  <c r="AC25" i="57"/>
  <c r="Z25" i="57"/>
  <c r="J13" i="57"/>
  <c r="B18" i="14"/>
  <c r="B7" i="3"/>
  <c r="C44" i="4" s="1"/>
  <c r="C45" i="4" s="1"/>
  <c r="B16" i="14"/>
  <c r="BJ21" i="57"/>
  <c r="BN21" i="57" s="1"/>
  <c r="Z22" i="57"/>
  <c r="AC22" i="57"/>
  <c r="Z23" i="57"/>
  <c r="AC23" i="57"/>
  <c r="V13" i="57"/>
  <c r="S13" i="57"/>
  <c r="O13" i="57"/>
  <c r="AO13" i="57"/>
  <c r="G59" i="57"/>
  <c r="G58" i="57"/>
  <c r="G57" i="57"/>
  <c r="Z11" i="57"/>
  <c r="AC11" i="57"/>
  <c r="X64" i="58"/>
  <c r="AC24" i="57"/>
  <c r="Z24" i="57"/>
  <c r="P13" i="57"/>
  <c r="AI13" i="57"/>
  <c r="I13" i="57"/>
  <c r="BJ26" i="57"/>
  <c r="BN26" i="57" s="1"/>
  <c r="AC27" i="57"/>
  <c r="Z27" i="57"/>
  <c r="E49" i="57"/>
  <c r="AF57" i="57"/>
  <c r="AF59" i="57"/>
  <c r="AF58" i="57"/>
  <c r="AE26" i="57"/>
  <c r="AB26" i="57"/>
  <c r="AU13" i="57"/>
  <c r="U13" i="57"/>
  <c r="AD16" i="57"/>
  <c r="AA16" i="57"/>
  <c r="B56" i="13"/>
  <c r="AB16" i="57"/>
  <c r="AE16" i="57"/>
  <c r="AC30" i="57"/>
  <c r="Z30" i="57"/>
  <c r="BN24" i="57"/>
  <c r="N5" i="14"/>
  <c r="O8" i="57"/>
  <c r="E5" i="14" s="1"/>
  <c r="P9" i="57"/>
  <c r="AQ9" i="57" l="1"/>
  <c r="AQ8" i="57" s="1"/>
  <c r="P8" i="57" s="1"/>
  <c r="AO8" i="57"/>
  <c r="N8" i="57" s="1"/>
  <c r="I60" i="60"/>
  <c r="AU9" i="57"/>
  <c r="J60" i="60"/>
  <c r="AV9" i="57" s="1"/>
  <c r="AI9" i="57"/>
  <c r="I58" i="60"/>
  <c r="J58" i="60"/>
  <c r="AJ9" i="57" s="1"/>
  <c r="R9" i="57"/>
  <c r="AS8" i="57"/>
  <c r="Q9" i="57"/>
  <c r="AT9" i="57"/>
  <c r="AR8" i="57"/>
  <c r="Q8" i="57" s="1"/>
  <c r="Y33" i="7"/>
  <c r="Z31" i="7"/>
  <c r="AJ12" i="57"/>
  <c r="AV12" i="57"/>
  <c r="AS12" i="57"/>
  <c r="AP12" i="57"/>
  <c r="BB11" i="57"/>
  <c r="BA12" i="57"/>
  <c r="AQ12" i="57"/>
  <c r="AK12" i="57"/>
  <c r="AW12" i="57"/>
  <c r="AT12" i="57"/>
  <c r="BC11" i="57"/>
  <c r="AE11" i="57"/>
  <c r="AB11" i="57"/>
  <c r="AD11" i="57"/>
  <c r="AA11" i="57"/>
  <c r="B55" i="13"/>
  <c r="BN16" i="57"/>
  <c r="K31" i="57"/>
  <c r="AL49" i="57"/>
  <c r="BA36" i="57"/>
  <c r="BA35" i="57" s="1"/>
  <c r="BB35" i="57"/>
  <c r="BF59" i="57"/>
  <c r="BF58" i="57"/>
  <c r="BF57" i="57"/>
  <c r="N36" i="57"/>
  <c r="AO35" i="57"/>
  <c r="N35" i="57" s="1"/>
  <c r="Q36" i="57"/>
  <c r="AR35" i="57"/>
  <c r="Q35" i="57" s="1"/>
  <c r="AN58" i="57"/>
  <c r="AN57" i="57"/>
  <c r="AN59" i="57"/>
  <c r="M49" i="57"/>
  <c r="AX60" i="13"/>
  <c r="BG60" i="13"/>
  <c r="F60" i="13"/>
  <c r="H60" i="13"/>
  <c r="AQ60" i="13"/>
  <c r="AP60" i="13"/>
  <c r="Z60" i="13"/>
  <c r="BM60" i="13"/>
  <c r="AE60" i="13"/>
  <c r="AJ60" i="13"/>
  <c r="BC60" i="13"/>
  <c r="AV60" i="13"/>
  <c r="BD60" i="13"/>
  <c r="BO60" i="13"/>
  <c r="R60" i="13"/>
  <c r="BQ60" i="13"/>
  <c r="P60" i="13"/>
  <c r="AG60" i="13"/>
  <c r="U60" i="13"/>
  <c r="BK60" i="13"/>
  <c r="BI60" i="13"/>
  <c r="AY60" i="13"/>
  <c r="AN60" i="13"/>
  <c r="BP60" i="13"/>
  <c r="BH60" i="13"/>
  <c r="BF60" i="13"/>
  <c r="BB60" i="13"/>
  <c r="AS60" i="13"/>
  <c r="BA60" i="13"/>
  <c r="BE60" i="13"/>
  <c r="AU60" i="13"/>
  <c r="BJ60" i="13"/>
  <c r="AR60" i="13"/>
  <c r="K60" i="13"/>
  <c r="E60" i="13"/>
  <c r="AL60" i="13"/>
  <c r="O60" i="13"/>
  <c r="AD60" i="13"/>
  <c r="AZ60" i="13"/>
  <c r="AH60" i="13"/>
  <c r="T60" i="13"/>
  <c r="AW60" i="13"/>
  <c r="D60" i="13"/>
  <c r="L60" i="13"/>
  <c r="AB60" i="13"/>
  <c r="AI60" i="13"/>
  <c r="M60" i="13"/>
  <c r="BN60" i="13"/>
  <c r="AK60" i="13"/>
  <c r="N60" i="13"/>
  <c r="AF60" i="13"/>
  <c r="AC60" i="13"/>
  <c r="AT60" i="13"/>
  <c r="W60" i="13"/>
  <c r="AM60" i="13"/>
  <c r="BL60" i="13"/>
  <c r="C60" i="13"/>
  <c r="G60" i="13"/>
  <c r="Q60" i="13"/>
  <c r="AO60" i="13"/>
  <c r="I60" i="13"/>
  <c r="V60" i="13"/>
  <c r="Y60" i="13"/>
  <c r="J60" i="13"/>
  <c r="X60" i="13"/>
  <c r="AA60" i="13"/>
  <c r="S60" i="13"/>
  <c r="BD58" i="57"/>
  <c r="BD59" i="57"/>
  <c r="BD57" i="57"/>
  <c r="L10" i="14"/>
  <c r="I35" i="57"/>
  <c r="C10" i="14" s="1"/>
  <c r="T36" i="57"/>
  <c r="AU35" i="57"/>
  <c r="T35" i="57" s="1"/>
  <c r="BE59" i="57"/>
  <c r="BE58" i="57"/>
  <c r="BE57" i="57"/>
  <c r="P10" i="14"/>
  <c r="U35" i="57"/>
  <c r="G10" i="14" s="1"/>
  <c r="BG36" i="57"/>
  <c r="BH35" i="57"/>
  <c r="BH49" i="57" s="1"/>
  <c r="AM57" i="57"/>
  <c r="AM58" i="57"/>
  <c r="AM59" i="57"/>
  <c r="L49" i="57"/>
  <c r="S9" i="14"/>
  <c r="H31" i="57"/>
  <c r="BO31" i="57"/>
  <c r="AC35" i="57"/>
  <c r="Z35" i="57"/>
  <c r="D16" i="14"/>
  <c r="B20" i="14"/>
  <c r="N10" i="14"/>
  <c r="O35" i="57"/>
  <c r="E10" i="14" s="1"/>
  <c r="BI59" i="57"/>
  <c r="BI57" i="57"/>
  <c r="BI58" i="57"/>
  <c r="O10" i="14"/>
  <c r="R35" i="57"/>
  <c r="F10" i="14" s="1"/>
  <c r="H36" i="57"/>
  <c r="AI35" i="57"/>
  <c r="BO36" i="57"/>
  <c r="H13" i="57"/>
  <c r="BO13" i="57"/>
  <c r="O11" i="57"/>
  <c r="E6" i="14" s="1"/>
  <c r="Q13" i="57"/>
  <c r="T13" i="57"/>
  <c r="N13" i="57"/>
  <c r="AC21" i="57"/>
  <c r="Z21" i="57"/>
  <c r="AY56" i="13"/>
  <c r="BG56" i="13"/>
  <c r="BM56" i="13"/>
  <c r="AT56" i="13"/>
  <c r="H56" i="13"/>
  <c r="AA56" i="13"/>
  <c r="BN56" i="13"/>
  <c r="AC56" i="13"/>
  <c r="AE56" i="13"/>
  <c r="BI56" i="13"/>
  <c r="BQ56" i="13"/>
  <c r="BO56" i="13"/>
  <c r="AZ56" i="13"/>
  <c r="P56" i="13"/>
  <c r="G56" i="13"/>
  <c r="AS56" i="13"/>
  <c r="BL56" i="13"/>
  <c r="AR56" i="13"/>
  <c r="K56" i="13"/>
  <c r="AK56" i="13"/>
  <c r="AD56" i="13"/>
  <c r="T56" i="13"/>
  <c r="BJ56" i="13"/>
  <c r="AM56" i="13"/>
  <c r="I56" i="13"/>
  <c r="BB56" i="13"/>
  <c r="Y56" i="13"/>
  <c r="AP56" i="13"/>
  <c r="AF56" i="13"/>
  <c r="U56" i="13"/>
  <c r="AJ56" i="13"/>
  <c r="AI56" i="13"/>
  <c r="BA56" i="13"/>
  <c r="AO56" i="13"/>
  <c r="AX56" i="13"/>
  <c r="R56" i="13"/>
  <c r="J56" i="13"/>
  <c r="AW56" i="13"/>
  <c r="BE56" i="13"/>
  <c r="BC56" i="13"/>
  <c r="BK56" i="13"/>
  <c r="BH56" i="13"/>
  <c r="BP56" i="13"/>
  <c r="BD56" i="13"/>
  <c r="AN56" i="13"/>
  <c r="AQ56" i="13"/>
  <c r="AL56" i="13"/>
  <c r="M56" i="13"/>
  <c r="AH56" i="13"/>
  <c r="V56" i="13"/>
  <c r="C56" i="13"/>
  <c r="F56" i="13"/>
  <c r="X56" i="13"/>
  <c r="AB56" i="13"/>
  <c r="D56" i="13"/>
  <c r="W56" i="13"/>
  <c r="O56" i="13"/>
  <c r="AV56" i="13"/>
  <c r="S56" i="13"/>
  <c r="AU56" i="13"/>
  <c r="N56" i="13"/>
  <c r="BF56" i="13"/>
  <c r="AG56" i="13"/>
  <c r="L56" i="13"/>
  <c r="E56" i="13"/>
  <c r="Q56" i="13"/>
  <c r="Z56" i="13"/>
  <c r="BJ57" i="13"/>
  <c r="BQ57" i="13"/>
  <c r="AS57" i="13"/>
  <c r="AB57" i="13"/>
  <c r="AO57" i="13"/>
  <c r="AI57" i="13"/>
  <c r="H57" i="13"/>
  <c r="C57" i="13"/>
  <c r="AR57" i="13"/>
  <c r="BI57" i="13"/>
  <c r="AW57" i="13"/>
  <c r="AY57" i="13"/>
  <c r="D57" i="13"/>
  <c r="AC57" i="13"/>
  <c r="F57" i="13"/>
  <c r="P57" i="13"/>
  <c r="J57" i="13"/>
  <c r="BL57" i="13"/>
  <c r="AP57" i="13"/>
  <c r="AU57" i="13"/>
  <c r="BE57" i="13"/>
  <c r="BG57" i="13"/>
  <c r="AD57" i="13"/>
  <c r="AL57" i="13"/>
  <c r="S57" i="13"/>
  <c r="V57" i="13"/>
  <c r="R57" i="13"/>
  <c r="U57" i="13"/>
  <c r="BC57" i="13"/>
  <c r="BM57" i="13"/>
  <c r="BO57" i="13"/>
  <c r="AH57" i="13"/>
  <c r="T57" i="13"/>
  <c r="AN57" i="13"/>
  <c r="M57" i="13"/>
  <c r="N57" i="13"/>
  <c r="BN57" i="13"/>
  <c r="Y57" i="13"/>
  <c r="BK57" i="13"/>
  <c r="BA57" i="13"/>
  <c r="AZ57" i="13"/>
  <c r="K57" i="13"/>
  <c r="AG57" i="13"/>
  <c r="AQ57" i="13"/>
  <c r="L57" i="13"/>
  <c r="AA57" i="13"/>
  <c r="E57" i="13"/>
  <c r="AV57" i="13"/>
  <c r="AX57" i="13"/>
  <c r="BH57" i="13"/>
  <c r="AF57" i="13"/>
  <c r="G57" i="13"/>
  <c r="AK57" i="13"/>
  <c r="O57" i="13"/>
  <c r="I57" i="13"/>
  <c r="BB57" i="13"/>
  <c r="W57" i="13"/>
  <c r="AT57" i="13"/>
  <c r="BD57" i="13"/>
  <c r="BF57" i="13"/>
  <c r="BP57" i="13"/>
  <c r="X57" i="13"/>
  <c r="Z57" i="13"/>
  <c r="Q57" i="13"/>
  <c r="AJ57" i="13"/>
  <c r="AE57" i="13"/>
  <c r="AM57" i="13"/>
  <c r="Z26" i="57"/>
  <c r="AC26" i="57"/>
  <c r="BJ58" i="13"/>
  <c r="AW58" i="13"/>
  <c r="BG58" i="13"/>
  <c r="AQ58" i="13"/>
  <c r="F58" i="13"/>
  <c r="O58" i="13"/>
  <c r="AR58" i="13"/>
  <c r="P58" i="13"/>
  <c r="AZ58" i="13"/>
  <c r="BE58" i="13"/>
  <c r="BO58" i="13"/>
  <c r="J58" i="13"/>
  <c r="Y58" i="13"/>
  <c r="G58" i="13"/>
  <c r="AL58" i="13"/>
  <c r="AD58" i="13"/>
  <c r="BQ58" i="13"/>
  <c r="S58" i="13"/>
  <c r="AS58" i="13"/>
  <c r="AU58" i="13"/>
  <c r="BM58" i="13"/>
  <c r="BP58" i="13"/>
  <c r="AM58" i="13"/>
  <c r="R58" i="13"/>
  <c r="AO58" i="13"/>
  <c r="AJ58" i="13"/>
  <c r="D58" i="13"/>
  <c r="AV58" i="13"/>
  <c r="E58" i="13"/>
  <c r="BD58" i="13"/>
  <c r="AE58" i="13"/>
  <c r="BL58" i="13"/>
  <c r="W58" i="13"/>
  <c r="AC58" i="13"/>
  <c r="BA58" i="13"/>
  <c r="BC58" i="13"/>
  <c r="AX58" i="13"/>
  <c r="AG58" i="13"/>
  <c r="AF58" i="13"/>
  <c r="K58" i="13"/>
  <c r="T58" i="13"/>
  <c r="U58" i="13"/>
  <c r="L58" i="13"/>
  <c r="AN58" i="13"/>
  <c r="BN58" i="13"/>
  <c r="AP58" i="13"/>
  <c r="Q58" i="13"/>
  <c r="BH58" i="13"/>
  <c r="N58" i="13"/>
  <c r="M58" i="13"/>
  <c r="AY58" i="13"/>
  <c r="AB58" i="13"/>
  <c r="BI58" i="13"/>
  <c r="BK58" i="13"/>
  <c r="BF58" i="13"/>
  <c r="I58" i="13"/>
  <c r="V58" i="13"/>
  <c r="AA58" i="13"/>
  <c r="AI58" i="13"/>
  <c r="Z58" i="13"/>
  <c r="AH58" i="13"/>
  <c r="AT58" i="13"/>
  <c r="AK58" i="13"/>
  <c r="H58" i="13"/>
  <c r="BB58" i="13"/>
  <c r="X58" i="13"/>
  <c r="C58" i="13"/>
  <c r="X97" i="58"/>
  <c r="AC16" i="57"/>
  <c r="Z16" i="57"/>
  <c r="E58" i="57"/>
  <c r="E105" i="57"/>
  <c r="E106" i="57" s="1"/>
  <c r="E107" i="57" s="1"/>
  <c r="E108" i="57" s="1"/>
  <c r="E97" i="57" s="1"/>
  <c r="E95" i="57" s="1"/>
  <c r="E98" i="57" s="1"/>
  <c r="E57" i="57"/>
  <c r="E59" i="57"/>
  <c r="AJ8" i="57" l="1"/>
  <c r="I9" i="57"/>
  <c r="BB9" i="57"/>
  <c r="AI8" i="57"/>
  <c r="H8" i="57" s="1"/>
  <c r="AK9" i="57"/>
  <c r="H9" i="57"/>
  <c r="U9" i="57"/>
  <c r="AV8" i="57"/>
  <c r="S9" i="57"/>
  <c r="AT8" i="57"/>
  <c r="S8" i="57" s="1"/>
  <c r="AU8" i="57"/>
  <c r="T8" i="57" s="1"/>
  <c r="AW9" i="57"/>
  <c r="T9" i="57"/>
  <c r="O5" i="14"/>
  <c r="R8" i="57"/>
  <c r="F5" i="14" s="1"/>
  <c r="Z33" i="7"/>
  <c r="AA31" i="7"/>
  <c r="P12" i="57"/>
  <c r="AQ11" i="57"/>
  <c r="P11" i="57" s="1"/>
  <c r="AP55" i="13"/>
  <c r="H55" i="13"/>
  <c r="H54" i="13" s="1"/>
  <c r="H53" i="13" s="1"/>
  <c r="L55" i="13"/>
  <c r="L54" i="13" s="1"/>
  <c r="L53" i="13" s="1"/>
  <c r="BF55" i="13"/>
  <c r="BF54" i="13" s="1"/>
  <c r="BF53" i="13" s="1"/>
  <c r="BJ15" i="6" s="1"/>
  <c r="AL55" i="13"/>
  <c r="AL54" i="13" s="1"/>
  <c r="AL53" i="13" s="1"/>
  <c r="AP15" i="6" s="1"/>
  <c r="I55" i="13"/>
  <c r="I54" i="13" s="1"/>
  <c r="I53" i="13" s="1"/>
  <c r="N55" i="13"/>
  <c r="N54" i="13" s="1"/>
  <c r="N53" i="13" s="1"/>
  <c r="AW55" i="13"/>
  <c r="AW54" i="13" s="1"/>
  <c r="AW53" i="13" s="1"/>
  <c r="BA15" i="6" s="1"/>
  <c r="AT55" i="13"/>
  <c r="AT54" i="13" s="1"/>
  <c r="AT53" i="13" s="1"/>
  <c r="AX15" i="6" s="1"/>
  <c r="Z55" i="13"/>
  <c r="Z54" i="13" s="1"/>
  <c r="Z53" i="13" s="1"/>
  <c r="AD15" i="6" s="1"/>
  <c r="X55" i="13"/>
  <c r="X54" i="13" s="1"/>
  <c r="X53" i="13" s="1"/>
  <c r="Q55" i="13"/>
  <c r="Q54" i="13" s="1"/>
  <c r="Q53" i="13" s="1"/>
  <c r="BN55" i="13"/>
  <c r="BN54" i="13" s="1"/>
  <c r="BN53" i="13" s="1"/>
  <c r="BR15" i="6" s="1"/>
  <c r="AQ55" i="13"/>
  <c r="AQ54" i="13" s="1"/>
  <c r="AQ53" i="13" s="1"/>
  <c r="AU15" i="6" s="1"/>
  <c r="O55" i="13"/>
  <c r="O54" i="13" s="1"/>
  <c r="O53" i="13" s="1"/>
  <c r="BM55" i="13"/>
  <c r="BM54" i="13" s="1"/>
  <c r="BM53" i="13" s="1"/>
  <c r="BQ15" i="6" s="1"/>
  <c r="AK55" i="13"/>
  <c r="BP55" i="13"/>
  <c r="BP54" i="13" s="1"/>
  <c r="BP53" i="13" s="1"/>
  <c r="BT15" i="6" s="1"/>
  <c r="BB55" i="13"/>
  <c r="BB54" i="13" s="1"/>
  <c r="BB53" i="13" s="1"/>
  <c r="BF15" i="6" s="1"/>
  <c r="AF55" i="13"/>
  <c r="AF54" i="13" s="1"/>
  <c r="AF53" i="13" s="1"/>
  <c r="AJ15" i="6" s="1"/>
  <c r="T55" i="13"/>
  <c r="T54" i="13" s="1"/>
  <c r="T53" i="13" s="1"/>
  <c r="M55" i="13"/>
  <c r="M54" i="13" s="1"/>
  <c r="M53" i="13" s="1"/>
  <c r="AD55" i="13"/>
  <c r="BL55" i="13"/>
  <c r="BL54" i="13" s="1"/>
  <c r="BL53" i="13" s="1"/>
  <c r="BP15" i="6" s="1"/>
  <c r="AM55" i="13"/>
  <c r="AM54" i="13" s="1"/>
  <c r="AM53" i="13" s="1"/>
  <c r="AQ15" i="6" s="1"/>
  <c r="BO55" i="13"/>
  <c r="BO54" i="13" s="1"/>
  <c r="BO53" i="13" s="1"/>
  <c r="BS15" i="6" s="1"/>
  <c r="AR55" i="13"/>
  <c r="AR54" i="13" s="1"/>
  <c r="AR53" i="13" s="1"/>
  <c r="AV15" i="6" s="1"/>
  <c r="BI55" i="13"/>
  <c r="BI54" i="13" s="1"/>
  <c r="BI53" i="13" s="1"/>
  <c r="BM15" i="6" s="1"/>
  <c r="AE55" i="13"/>
  <c r="AE54" i="13" s="1"/>
  <c r="AE53" i="13" s="1"/>
  <c r="AI15" i="6" s="1"/>
  <c r="AI55" i="13"/>
  <c r="AI54" i="13" s="1"/>
  <c r="AI53" i="13" s="1"/>
  <c r="AM15" i="6" s="1"/>
  <c r="U55" i="13"/>
  <c r="U54" i="13" s="1"/>
  <c r="U53" i="13" s="1"/>
  <c r="BE55" i="13"/>
  <c r="BE54" i="13" s="1"/>
  <c r="BE53" i="13" s="1"/>
  <c r="BI15" i="6" s="1"/>
  <c r="F55" i="13"/>
  <c r="K55" i="13"/>
  <c r="G55" i="13"/>
  <c r="G54" i="13" s="1"/>
  <c r="G53" i="13" s="1"/>
  <c r="BD55" i="13"/>
  <c r="BD54" i="13" s="1"/>
  <c r="BD53" i="13" s="1"/>
  <c r="BH15" i="6" s="1"/>
  <c r="BK55" i="13"/>
  <c r="BK54" i="13" s="1"/>
  <c r="BK53" i="13" s="1"/>
  <c r="BO15" i="6" s="1"/>
  <c r="AB55" i="13"/>
  <c r="AB54" i="13" s="1"/>
  <c r="AB53" i="13" s="1"/>
  <c r="AF15" i="6" s="1"/>
  <c r="E55" i="13"/>
  <c r="E54" i="13" s="1"/>
  <c r="E53" i="13" s="1"/>
  <c r="BH55" i="13"/>
  <c r="BH54" i="13" s="1"/>
  <c r="BH53" i="13" s="1"/>
  <c r="BL15" i="6" s="1"/>
  <c r="BQ55" i="13"/>
  <c r="BQ54" i="13" s="1"/>
  <c r="BQ53" i="13" s="1"/>
  <c r="BU15" i="6" s="1"/>
  <c r="AA55" i="13"/>
  <c r="AA54" i="13" s="1"/>
  <c r="AA53" i="13" s="1"/>
  <c r="AE15" i="6" s="1"/>
  <c r="P55" i="13"/>
  <c r="P54" i="13" s="1"/>
  <c r="P53" i="13" s="1"/>
  <c r="R55" i="13"/>
  <c r="R54" i="13" s="1"/>
  <c r="R53" i="13" s="1"/>
  <c r="AV55" i="13"/>
  <c r="AV54" i="13" s="1"/>
  <c r="AV53" i="13" s="1"/>
  <c r="AZ15" i="6" s="1"/>
  <c r="BJ55" i="13"/>
  <c r="BJ54" i="13" s="1"/>
  <c r="BJ53" i="13" s="1"/>
  <c r="BN15" i="6" s="1"/>
  <c r="AC55" i="13"/>
  <c r="AC54" i="13" s="1"/>
  <c r="AC53" i="13" s="1"/>
  <c r="AG15" i="6" s="1"/>
  <c r="AX55" i="13"/>
  <c r="AX54" i="13" s="1"/>
  <c r="AX53" i="13" s="1"/>
  <c r="BB15" i="6" s="1"/>
  <c r="BC55" i="13"/>
  <c r="BC54" i="13" s="1"/>
  <c r="BC53" i="13" s="1"/>
  <c r="BG15" i="6" s="1"/>
  <c r="C55" i="13"/>
  <c r="C54" i="13" s="1"/>
  <c r="AH55" i="13"/>
  <c r="AH54" i="13" s="1"/>
  <c r="AH53" i="13" s="1"/>
  <c r="AL15" i="6" s="1"/>
  <c r="AS55" i="13"/>
  <c r="AS54" i="13" s="1"/>
  <c r="AS53" i="13" s="1"/>
  <c r="AW15" i="6" s="1"/>
  <c r="AO55" i="13"/>
  <c r="AO54" i="13" s="1"/>
  <c r="AO53" i="13" s="1"/>
  <c r="AS15" i="6" s="1"/>
  <c r="S55" i="13"/>
  <c r="S54" i="13" s="1"/>
  <c r="S53" i="13" s="1"/>
  <c r="AJ55" i="13"/>
  <c r="BG55" i="13"/>
  <c r="AY55" i="13"/>
  <c r="AY54" i="13" s="1"/>
  <c r="AY53" i="13" s="1"/>
  <c r="BC15" i="6" s="1"/>
  <c r="D55" i="13"/>
  <c r="D54" i="13" s="1"/>
  <c r="D53" i="13" s="1"/>
  <c r="AG55" i="13"/>
  <c r="AG54" i="13" s="1"/>
  <c r="AG53" i="13" s="1"/>
  <c r="AK15" i="6" s="1"/>
  <c r="J55" i="13"/>
  <c r="J54" i="13" s="1"/>
  <c r="J53" i="13" s="1"/>
  <c r="AZ55" i="13"/>
  <c r="AZ54" i="13" s="1"/>
  <c r="AZ53" i="13" s="1"/>
  <c r="BD15" i="6" s="1"/>
  <c r="Y55" i="13"/>
  <c r="Y54" i="13" s="1"/>
  <c r="Y53" i="13" s="1"/>
  <c r="AC15" i="6" s="1"/>
  <c r="AN55" i="13"/>
  <c r="V55" i="13"/>
  <c r="V54" i="13" s="1"/>
  <c r="V53" i="13" s="1"/>
  <c r="BA55" i="13"/>
  <c r="BA54" i="13" s="1"/>
  <c r="BA53" i="13" s="1"/>
  <c r="BE15" i="6" s="1"/>
  <c r="AU55" i="13"/>
  <c r="AU54" i="13" s="1"/>
  <c r="AU53" i="13" s="1"/>
  <c r="AY15" i="6" s="1"/>
  <c r="W55" i="13"/>
  <c r="J12" i="57"/>
  <c r="AK11" i="57"/>
  <c r="J11" i="57" s="1"/>
  <c r="BN12" i="57"/>
  <c r="BA11" i="57"/>
  <c r="BN11" i="57" s="1"/>
  <c r="AP11" i="57"/>
  <c r="N6" i="14" s="1"/>
  <c r="N11" i="14" s="1"/>
  <c r="N13" i="14" s="1"/>
  <c r="AO12" i="57"/>
  <c r="AR12" i="57"/>
  <c r="R12" i="57"/>
  <c r="AS11" i="57"/>
  <c r="S12" i="57"/>
  <c r="AT11" i="57"/>
  <c r="S11" i="57" s="1"/>
  <c r="AU12" i="57"/>
  <c r="U12" i="57"/>
  <c r="AV11" i="57"/>
  <c r="V12" i="57"/>
  <c r="AW11" i="57"/>
  <c r="V11" i="57" s="1"/>
  <c r="I12" i="57"/>
  <c r="AI12" i="57"/>
  <c r="AJ11" i="57"/>
  <c r="BH57" i="57"/>
  <c r="BH58" i="57"/>
  <c r="BH59" i="57"/>
  <c r="BN36" i="57"/>
  <c r="BP36" i="57"/>
  <c r="BG35" i="57"/>
  <c r="M59" i="57"/>
  <c r="M58" i="57"/>
  <c r="M57" i="57"/>
  <c r="S10" i="14"/>
  <c r="H35" i="57"/>
  <c r="BO35" i="57"/>
  <c r="L57" i="57"/>
  <c r="L58" i="57"/>
  <c r="L59" i="57"/>
  <c r="E11" i="14"/>
  <c r="E13" i="14" s="1"/>
  <c r="AL57" i="57"/>
  <c r="K49" i="57"/>
  <c r="AL58" i="57"/>
  <c r="AL59" i="57"/>
  <c r="W54" i="13"/>
  <c r="W53" i="13" s="1"/>
  <c r="AJ54" i="13"/>
  <c r="AJ53" i="13" s="1"/>
  <c r="AN15" i="6" s="1"/>
  <c r="K54" i="13"/>
  <c r="K53" i="13" s="1"/>
  <c r="BG54" i="13"/>
  <c r="BG53" i="13" s="1"/>
  <c r="BK15" i="6" s="1"/>
  <c r="E99" i="57"/>
  <c r="AN54" i="13"/>
  <c r="AN53" i="13" s="1"/>
  <c r="AR15" i="6" s="1"/>
  <c r="AD54" i="13"/>
  <c r="AD53" i="13" s="1"/>
  <c r="AH15" i="6" s="1"/>
  <c r="F54" i="13"/>
  <c r="F53" i="13" s="1"/>
  <c r="AP54" i="13"/>
  <c r="AP53" i="13" s="1"/>
  <c r="AT15" i="6" s="1"/>
  <c r="AK54" i="13"/>
  <c r="AK53" i="13" s="1"/>
  <c r="AO15" i="6" s="1"/>
  <c r="U8" i="57" l="1"/>
  <c r="G5" i="14" s="1"/>
  <c r="P5" i="14"/>
  <c r="AK8" i="57"/>
  <c r="J8" i="57" s="1"/>
  <c r="BC9" i="57"/>
  <c r="J9" i="57"/>
  <c r="V9" i="57"/>
  <c r="AW8" i="57"/>
  <c r="V8" i="57" s="1"/>
  <c r="BB8" i="57"/>
  <c r="BK9" i="57"/>
  <c r="I8" i="57"/>
  <c r="C5" i="14" s="1"/>
  <c r="L5" i="14"/>
  <c r="S5" i="14" s="1"/>
  <c r="U5" i="14" s="1"/>
  <c r="AA33" i="7"/>
  <c r="AB31" i="7"/>
  <c r="I11" i="57"/>
  <c r="C6" i="14" s="1"/>
  <c r="C11" i="14" s="1"/>
  <c r="C13" i="14" s="1"/>
  <c r="L6" i="14"/>
  <c r="AI11" i="57"/>
  <c r="H12" i="57"/>
  <c r="BO12" i="57"/>
  <c r="O6" i="14"/>
  <c r="O11" i="14" s="1"/>
  <c r="O13" i="14" s="1"/>
  <c r="R11" i="57"/>
  <c r="F6" i="14" s="1"/>
  <c r="F11" i="14" s="1"/>
  <c r="F13" i="14" s="1"/>
  <c r="Q12" i="57"/>
  <c r="AR11" i="57"/>
  <c r="Q11" i="57" s="1"/>
  <c r="P6" i="14"/>
  <c r="P11" i="14" s="1"/>
  <c r="P13" i="14" s="1"/>
  <c r="U11" i="57"/>
  <c r="G6" i="14" s="1"/>
  <c r="G11" i="14" s="1"/>
  <c r="G13" i="14" s="1"/>
  <c r="N12" i="57"/>
  <c r="AO11" i="57"/>
  <c r="N11" i="57" s="1"/>
  <c r="T12" i="57"/>
  <c r="AU11" i="57"/>
  <c r="T11" i="57" s="1"/>
  <c r="BN35" i="57"/>
  <c r="BP35" i="57"/>
  <c r="BG49" i="57"/>
  <c r="K105" i="57"/>
  <c r="K106" i="57" s="1"/>
  <c r="K107" i="57" s="1"/>
  <c r="K108" i="57" s="1"/>
  <c r="K97" i="57" s="1"/>
  <c r="K95" i="57" s="1"/>
  <c r="K58" i="57"/>
  <c r="K59" i="57"/>
  <c r="K57" i="57"/>
  <c r="B15" i="6"/>
  <c r="E101" i="57"/>
  <c r="E102" i="57" s="1"/>
  <c r="E100" i="57"/>
  <c r="B54" i="13"/>
  <c r="B53" i="13" s="1"/>
  <c r="U6" i="14" s="1"/>
  <c r="C53" i="13"/>
  <c r="BA9" i="57" l="1"/>
  <c r="BL9" i="57"/>
  <c r="BC8" i="57"/>
  <c r="BK8" i="57"/>
  <c r="AA9" i="57"/>
  <c r="AD9" i="57"/>
  <c r="AB33" i="7"/>
  <c r="AC31" i="7"/>
  <c r="H11" i="57"/>
  <c r="BO11" i="57"/>
  <c r="L11" i="14"/>
  <c r="L13" i="14" s="1"/>
  <c r="S6" i="14"/>
  <c r="S11" i="14" s="1"/>
  <c r="S13" i="14" s="1"/>
  <c r="K99" i="57"/>
  <c r="K98" i="57"/>
  <c r="BG58" i="57"/>
  <c r="BP49" i="57"/>
  <c r="BG57" i="57"/>
  <c r="BG59" i="57"/>
  <c r="BJ9" i="57" l="1"/>
  <c r="BA8" i="57"/>
  <c r="BO8" i="57" s="1"/>
  <c r="BO9" i="57"/>
  <c r="BN9" i="57"/>
  <c r="G3" i="9"/>
  <c r="AD8" i="57"/>
  <c r="AA8" i="57"/>
  <c r="AB9" i="57"/>
  <c r="AE9" i="57"/>
  <c r="BL8" i="57"/>
  <c r="AC33" i="7"/>
  <c r="AD31" i="7"/>
  <c r="K100" i="57"/>
  <c r="K101" i="57"/>
  <c r="K102" i="57" s="1"/>
  <c r="D3" i="9"/>
  <c r="F3" i="9"/>
  <c r="AE8" i="57" l="1"/>
  <c r="AB8" i="57"/>
  <c r="AC9" i="57"/>
  <c r="Z9" i="57"/>
  <c r="BJ8" i="57"/>
  <c r="C3" i="9"/>
  <c r="C46" i="9" s="1"/>
  <c r="X9" i="58" l="1"/>
  <c r="Z8" i="57"/>
  <c r="AC8" i="57"/>
  <c r="BN8" i="57"/>
  <c r="C67" i="9"/>
  <c r="C25" i="9"/>
  <c r="AN7" i="6"/>
  <c r="AO7" i="6"/>
  <c r="AP7" i="6"/>
  <c r="AS7" i="6" l="1"/>
  <c r="AQ8" i="6"/>
  <c r="AQ4" i="7" s="1"/>
  <c r="AR7" i="6"/>
  <c r="BK7" i="6"/>
  <c r="AT7" i="6"/>
  <c r="AQ7" i="6"/>
  <c r="BG7" i="6" l="1"/>
  <c r="BJ7" i="6"/>
  <c r="AU7" i="6"/>
  <c r="BA7" i="6"/>
  <c r="BH7" i="6"/>
  <c r="BB7" i="6"/>
  <c r="AY7" i="6"/>
  <c r="BF7" i="6"/>
  <c r="AX7" i="6"/>
  <c r="BM7" i="6"/>
  <c r="BN8" i="6"/>
  <c r="BN4" i="7" s="1"/>
  <c r="BE7" i="6"/>
  <c r="AW7" i="6"/>
  <c r="BI7" i="6"/>
  <c r="AU8" i="6"/>
  <c r="AU4" i="7" s="1"/>
  <c r="AZ7" i="6"/>
  <c r="BD7" i="6"/>
  <c r="BC7" i="6"/>
  <c r="BL7" i="6"/>
  <c r="AV7" i="6"/>
  <c r="BO7" i="6" l="1"/>
  <c r="BN7" i="6"/>
  <c r="BP8" i="6" l="1"/>
  <c r="BP4" i="7" s="1"/>
  <c r="BS7" i="6"/>
  <c r="BP7" i="6"/>
  <c r="BT7" i="6"/>
  <c r="BR7" i="6"/>
  <c r="BQ7" i="6"/>
  <c r="BU7" i="6" l="1"/>
  <c r="BV7" i="6"/>
  <c r="BW7" i="6"/>
  <c r="BX7" i="6"/>
  <c r="BY7" i="6"/>
  <c r="BZ7" i="6"/>
  <c r="CA7" i="6"/>
  <c r="CB7" i="6"/>
  <c r="CC7" i="6"/>
  <c r="CD7" i="6"/>
  <c r="CE7" i="6"/>
  <c r="CF7" i="6"/>
  <c r="CG7" i="6"/>
  <c r="CH7" i="6"/>
  <c r="BU8" i="6"/>
  <c r="B8" i="6" l="1"/>
  <c r="BU4" i="7"/>
  <c r="B4" i="7" s="1"/>
  <c r="P45" i="57"/>
  <c r="P49" i="57"/>
  <c r="P59" i="57" s="1"/>
  <c r="P44" i="57"/>
  <c r="O49" i="57"/>
  <c r="N44" i="57"/>
  <c r="O45" i="57"/>
  <c r="N45" i="57"/>
  <c r="N49" i="57"/>
  <c r="O44" i="57"/>
  <c r="E14" i="14"/>
  <c r="E15" i="14" s="1"/>
  <c r="F44" i="4"/>
  <c r="F45" i="4" s="1"/>
  <c r="O58" i="57" l="1"/>
  <c r="P57" i="57"/>
  <c r="N105" i="57"/>
  <c r="N106" i="57" s="1"/>
  <c r="N107" i="57" s="1"/>
  <c r="N108" i="57" s="1"/>
  <c r="N97" i="57" s="1"/>
  <c r="N95" i="57" s="1"/>
  <c r="N98" i="57" s="1"/>
  <c r="P58" i="57"/>
  <c r="E16" i="14"/>
  <c r="B21" i="14"/>
  <c r="E7" i="3"/>
  <c r="N59" i="57"/>
  <c r="N57" i="57"/>
  <c r="N58" i="57"/>
  <c r="O59" i="57"/>
  <c r="O57" i="57"/>
  <c r="N99" i="57" l="1"/>
  <c r="N101" i="57" s="1"/>
  <c r="N102" i="57" s="1"/>
  <c r="N100" i="57" l="1"/>
  <c r="AD33" i="7" l="1"/>
  <c r="AD40" i="7"/>
  <c r="AD45" i="7"/>
  <c r="AE28" i="7" s="1"/>
  <c r="AE31" i="7"/>
  <c r="AF31" i="7" l="1"/>
  <c r="AF33" i="7" s="1"/>
  <c r="AG31" i="7" l="1"/>
  <c r="AG33" i="7" s="1"/>
  <c r="F12" i="7"/>
  <c r="G12" i="7"/>
  <c r="H12" i="7"/>
  <c r="I12" i="7"/>
  <c r="J12" i="7"/>
  <c r="K12" i="7"/>
  <c r="L12" i="7"/>
  <c r="M12" i="7"/>
  <c r="N12" i="7"/>
  <c r="O12" i="7"/>
  <c r="P12" i="7"/>
  <c r="Q12" i="7"/>
  <c r="R12" i="7"/>
  <c r="S12" i="7"/>
  <c r="T12" i="7"/>
  <c r="U12" i="7"/>
  <c r="V12" i="7"/>
  <c r="W12" i="7"/>
  <c r="X12" i="7"/>
  <c r="Y12" i="7"/>
  <c r="Z12" i="7"/>
  <c r="AA12" i="7"/>
  <c r="AB12" i="7"/>
  <c r="AC12" i="7"/>
  <c r="AD12" i="7"/>
  <c r="F13" i="7"/>
  <c r="G13" i="7"/>
  <c r="H13" i="7"/>
  <c r="I13" i="7"/>
  <c r="J13" i="7"/>
  <c r="K13" i="7"/>
  <c r="L13" i="7"/>
  <c r="M13" i="7"/>
  <c r="N13" i="7"/>
  <c r="O13" i="7"/>
  <c r="P13" i="7"/>
  <c r="Q13" i="7"/>
  <c r="R13" i="7"/>
  <c r="S13" i="7"/>
  <c r="T13" i="7"/>
  <c r="U13" i="7"/>
  <c r="V13" i="7"/>
  <c r="W13" i="7"/>
  <c r="X13" i="7"/>
  <c r="Y13" i="7"/>
  <c r="Z13" i="7"/>
  <c r="AA13" i="7"/>
  <c r="AB13" i="7"/>
  <c r="AC13" i="7"/>
  <c r="AD13" i="7"/>
  <c r="BP27" i="6"/>
  <c r="BP24" i="6" s="1"/>
  <c r="S35" i="4"/>
  <c r="BO55" i="57"/>
  <c r="BJ65" i="57"/>
  <c r="D15" i="4"/>
  <c r="BJ54" i="57"/>
  <c r="BJ59" i="57"/>
  <c r="BJ58" i="57"/>
  <c r="BJ57" i="57"/>
  <c r="AS57" i="57"/>
  <c r="AS59" i="57"/>
  <c r="AS58" i="57"/>
  <c r="AD59" i="57"/>
  <c r="AD58" i="57"/>
  <c r="AD57" i="57"/>
  <c r="B9" i="7"/>
  <c r="AW57" i="57"/>
  <c r="AW58" i="57"/>
  <c r="AW59" i="57"/>
  <c r="R364" i="58"/>
  <c r="R362" i="58"/>
  <c r="R365" i="58"/>
  <c r="S11" i="10"/>
  <c r="X28" i="12"/>
  <c r="X29" i="12"/>
  <c r="AL26" i="6"/>
  <c r="CH26" i="6"/>
  <c r="AX26" i="6"/>
  <c r="BV26" i="6"/>
  <c r="BJ26" i="6"/>
  <c r="AL17" i="7"/>
  <c r="AM9" i="7"/>
  <c r="U58" i="57"/>
  <c r="U59" i="57"/>
  <c r="U57" i="57"/>
  <c r="Z22" i="10"/>
  <c r="AV59" i="57"/>
  <c r="U49" i="57"/>
  <c r="AV57" i="57"/>
  <c r="AV58" i="57"/>
  <c r="AJ57" i="57"/>
  <c r="AJ59" i="57"/>
  <c r="AJ58" i="57"/>
  <c r="J21" i="4"/>
  <c r="H21" i="4"/>
  <c r="I21" i="4"/>
  <c r="W15" i="10"/>
  <c r="B33" i="6"/>
  <c r="H6" i="8"/>
  <c r="T57" i="57"/>
  <c r="T58" i="57"/>
  <c r="T59" i="57"/>
  <c r="E29" i="12"/>
  <c r="E28" i="12"/>
  <c r="R57" i="57"/>
  <c r="R58" i="57"/>
  <c r="R49" i="57"/>
  <c r="R59" i="57"/>
  <c r="Q57" i="57"/>
  <c r="Q58" i="57"/>
  <c r="Q59" i="57"/>
  <c r="Q98" i="57"/>
  <c r="CE17" i="7"/>
  <c r="CF9" i="7"/>
  <c r="AO17" i="7"/>
  <c r="AP9" i="7"/>
  <c r="BF28" i="12"/>
  <c r="O29" i="10"/>
  <c r="O28" i="10"/>
  <c r="S12" i="10"/>
  <c r="B34" i="10"/>
  <c r="B32" i="10"/>
  <c r="BG15" i="10"/>
  <c r="AE17" i="7"/>
  <c r="AF9" i="7"/>
  <c r="G46" i="4"/>
  <c r="H46" i="4"/>
  <c r="D46" i="4"/>
  <c r="Z18" i="10"/>
  <c r="AZ17" i="7"/>
  <c r="BA9" i="7"/>
  <c r="T49" i="57"/>
  <c r="AU57" i="57"/>
  <c r="AU59" i="57"/>
  <c r="AU58" i="57"/>
  <c r="BN9" i="7"/>
  <c r="BM17" i="7"/>
  <c r="T364" i="58"/>
  <c r="T362" i="58"/>
  <c r="W356" i="58"/>
  <c r="AP28" i="10"/>
  <c r="BG28" i="10"/>
  <c r="M15" i="10"/>
  <c r="R28" i="10"/>
  <c r="R29" i="10"/>
  <c r="B17" i="10"/>
  <c r="AE15" i="10"/>
  <c r="BO54" i="57"/>
  <c r="AD49" i="57"/>
  <c r="D16" i="4"/>
  <c r="H45" i="57"/>
  <c r="BO45" i="57"/>
  <c r="AM17" i="7"/>
  <c r="AN9" i="7"/>
  <c r="CH9" i="7"/>
  <c r="CG17" i="7"/>
  <c r="BF12" i="10"/>
  <c r="BF11" i="10"/>
  <c r="BM28" i="10"/>
  <c r="AT58" i="57"/>
  <c r="AT59" i="57"/>
  <c r="AT57" i="57"/>
  <c r="BI28" i="12"/>
  <c r="E17" i="10"/>
  <c r="E21" i="10"/>
  <c r="AJ17" i="7"/>
  <c r="AK9" i="7"/>
  <c r="B10" i="7"/>
  <c r="AE9" i="7"/>
  <c r="AD17" i="7"/>
  <c r="AE28" i="12"/>
  <c r="AP57" i="57"/>
  <c r="AP59" i="57"/>
  <c r="AP58" i="57"/>
  <c r="AE59" i="57"/>
  <c r="AE57" i="57"/>
  <c r="AE58" i="57"/>
  <c r="AW17" i="7"/>
  <c r="AX9" i="7"/>
  <c r="W29" i="12"/>
  <c r="W28" i="12"/>
  <c r="AZ15" i="10"/>
  <c r="X18" i="10"/>
  <c r="X22" i="10"/>
  <c r="AP15" i="10"/>
  <c r="BT23" i="6"/>
  <c r="BT20" i="6"/>
  <c r="BB28" i="10"/>
  <c r="F29" i="12"/>
  <c r="F28" i="12"/>
  <c r="B30" i="6"/>
  <c r="D12" i="4"/>
  <c r="D29" i="4"/>
  <c r="AS28" i="12"/>
  <c r="Y28" i="10"/>
  <c r="Y17" i="12"/>
  <c r="Y21" i="12"/>
  <c r="U45" i="57"/>
  <c r="AJ31" i="6"/>
  <c r="D29" i="12"/>
  <c r="D28" i="12"/>
  <c r="AX17" i="10"/>
  <c r="AX21" i="10"/>
  <c r="C19" i="9"/>
  <c r="BP17" i="12"/>
  <c r="BP21" i="12"/>
  <c r="BG28" i="12"/>
  <c r="Z57" i="57"/>
  <c r="Z58" i="57"/>
  <c r="Z49" i="57"/>
  <c r="Z59" i="57"/>
  <c r="AR59" i="57"/>
  <c r="AR58" i="57"/>
  <c r="AR57" i="57"/>
  <c r="R45" i="57"/>
  <c r="BG29" i="12"/>
  <c r="BK11" i="7"/>
  <c r="J29" i="10"/>
  <c r="J28" i="10"/>
  <c r="AU28" i="10"/>
  <c r="I58" i="57"/>
  <c r="I59" i="57"/>
  <c r="I49" i="57"/>
  <c r="I57" i="57"/>
  <c r="AA58" i="57"/>
  <c r="AA57" i="57"/>
  <c r="AA49" i="57"/>
  <c r="AA59" i="57"/>
  <c r="Y29" i="12"/>
  <c r="Y28" i="12"/>
  <c r="AK15" i="10"/>
  <c r="BN45" i="57"/>
  <c r="W352" i="58"/>
  <c r="BF9" i="7"/>
  <c r="BE17" i="7"/>
  <c r="BM55" i="57"/>
  <c r="BJ55" i="57"/>
  <c r="BK61" i="57"/>
  <c r="BE17" i="10"/>
  <c r="BE21" i="10"/>
  <c r="G29" i="9"/>
  <c r="E17" i="4"/>
  <c r="E18" i="4"/>
  <c r="D17" i="4"/>
  <c r="E21" i="4"/>
  <c r="P28" i="12"/>
  <c r="P29" i="12"/>
  <c r="F6" i="8"/>
  <c r="K6" i="8"/>
  <c r="AZ28" i="10"/>
  <c r="AC57" i="57"/>
  <c r="AC59" i="57"/>
  <c r="AC49" i="57"/>
  <c r="AC58" i="57"/>
  <c r="C17" i="10"/>
  <c r="C21" i="10"/>
  <c r="B21" i="10"/>
  <c r="BK9" i="7"/>
  <c r="BJ17" i="7"/>
  <c r="C20" i="9"/>
  <c r="C17" i="9"/>
  <c r="C18" i="9"/>
  <c r="BP10" i="7"/>
  <c r="BM29" i="10"/>
  <c r="R31" i="4"/>
  <c r="AI17" i="7"/>
  <c r="AJ9" i="7"/>
  <c r="V28" i="10"/>
  <c r="V29" i="10"/>
  <c r="BB59" i="57"/>
  <c r="BB57" i="57"/>
  <c r="BB58" i="57"/>
  <c r="BM12" i="7"/>
  <c r="BM13" i="7"/>
  <c r="Q100" i="57"/>
  <c r="J45" i="57"/>
  <c r="AL18" i="10"/>
  <c r="AL22" i="10"/>
  <c r="G29" i="12"/>
  <c r="G28" i="12"/>
  <c r="BX17" i="7"/>
  <c r="BY9" i="7"/>
  <c r="F38" i="9"/>
  <c r="F41" i="9"/>
  <c r="AA17" i="7"/>
  <c r="AB17" i="7"/>
  <c r="B8" i="7"/>
  <c r="S45" i="57"/>
  <c r="CB9" i="7"/>
  <c r="CA17" i="7"/>
  <c r="CD9" i="7"/>
  <c r="CC17" i="7"/>
  <c r="J28" i="12"/>
  <c r="J29" i="12"/>
  <c r="Z17" i="12"/>
  <c r="Z21" i="12"/>
  <c r="G18" i="10"/>
  <c r="G22" i="10"/>
  <c r="BD15" i="12"/>
  <c r="BD12" i="7"/>
  <c r="BD13" i="7"/>
  <c r="BC12" i="12"/>
  <c r="BC11" i="12"/>
  <c r="AT28" i="10"/>
  <c r="AR10" i="7"/>
  <c r="BL10" i="7"/>
  <c r="Q31" i="4"/>
  <c r="V44" i="57"/>
  <c r="AF17" i="7"/>
  <c r="AG9" i="7"/>
  <c r="AX18" i="10"/>
  <c r="AX22" i="10"/>
  <c r="Q364" i="58"/>
  <c r="V356" i="58"/>
  <c r="Q365" i="58"/>
  <c r="Y15" i="10"/>
  <c r="AD28" i="10"/>
  <c r="L29" i="10"/>
  <c r="L28" i="10"/>
  <c r="J57" i="57"/>
  <c r="J59" i="57"/>
  <c r="J58" i="57"/>
  <c r="AU9" i="7"/>
  <c r="AT17" i="7"/>
  <c r="AN28" i="12"/>
  <c r="AH18" i="12"/>
  <c r="AH22" i="12"/>
  <c r="H44" i="57"/>
  <c r="BO44" i="57"/>
  <c r="BP28" i="10"/>
  <c r="C83" i="9"/>
  <c r="C80" i="9"/>
  <c r="V17" i="10"/>
  <c r="V21" i="10"/>
  <c r="BY17" i="7"/>
  <c r="BZ9" i="7"/>
  <c r="BG17" i="7"/>
  <c r="BH9" i="7"/>
  <c r="BO15" i="10"/>
  <c r="AZ15" i="12"/>
  <c r="AT17" i="10"/>
  <c r="AT21" i="10"/>
  <c r="BB28" i="12"/>
  <c r="G5" i="8"/>
  <c r="AW15" i="10"/>
  <c r="CC9" i="7"/>
  <c r="CB17" i="7"/>
  <c r="S44" i="57"/>
  <c r="L31" i="4"/>
  <c r="L33" i="4"/>
  <c r="AL12" i="10"/>
  <c r="AL11" i="10"/>
  <c r="BK55" i="57"/>
  <c r="BH28" i="12"/>
  <c r="AI15" i="12"/>
  <c r="AI57" i="57"/>
  <c r="BO49" i="57"/>
  <c r="AI59" i="57"/>
  <c r="AI58" i="57"/>
  <c r="G28" i="10"/>
  <c r="G29" i="10"/>
  <c r="AN17" i="7"/>
  <c r="AO8" i="7"/>
  <c r="AO9" i="7"/>
  <c r="BP11" i="7"/>
  <c r="F28" i="10"/>
  <c r="F29" i="10"/>
  <c r="AK59" i="57"/>
  <c r="AK57" i="57"/>
  <c r="AK58" i="57"/>
  <c r="J49" i="57"/>
  <c r="V59" i="57"/>
  <c r="V58" i="57"/>
  <c r="AW49" i="57"/>
  <c r="V49" i="57"/>
  <c r="V57" i="57"/>
  <c r="AW44" i="57"/>
  <c r="AW45" i="57"/>
  <c r="V45" i="57"/>
  <c r="I18" i="4"/>
  <c r="J10" i="8"/>
  <c r="H18" i="4"/>
  <c r="J18" i="4"/>
  <c r="BC9" i="7"/>
  <c r="BB17" i="7"/>
  <c r="BD11" i="7"/>
  <c r="BR17" i="7"/>
  <c r="BS9" i="7"/>
  <c r="AX15" i="12"/>
  <c r="G17" i="10"/>
  <c r="G21" i="10"/>
  <c r="R29" i="4"/>
  <c r="BM27" i="10"/>
  <c r="H15" i="10"/>
  <c r="BP15" i="12"/>
  <c r="AL28" i="12"/>
  <c r="AM15" i="10"/>
  <c r="BG12" i="10"/>
  <c r="BG11" i="10"/>
  <c r="AH18" i="10"/>
  <c r="AH22" i="10"/>
  <c r="BS12" i="12"/>
  <c r="BS11" i="12"/>
  <c r="BR9" i="7"/>
  <c r="BQ17" i="7"/>
  <c r="S28" i="10"/>
  <c r="S29" i="10"/>
  <c r="Z44" i="57"/>
  <c r="BJ49" i="57"/>
  <c r="AC44" i="57"/>
  <c r="R15" i="10"/>
  <c r="BD15" i="10"/>
  <c r="AU17" i="7"/>
  <c r="AV9" i="7"/>
  <c r="BL15" i="10"/>
  <c r="AQ18" i="10"/>
  <c r="AQ22" i="10"/>
  <c r="BP28" i="12"/>
  <c r="BW17" i="7"/>
  <c r="BX9" i="7"/>
  <c r="W29" i="10"/>
  <c r="W28" i="10"/>
  <c r="AQ17" i="7"/>
  <c r="AR9" i="7"/>
  <c r="H18" i="10"/>
  <c r="H22" i="10"/>
  <c r="AC12" i="12"/>
  <c r="AC11" i="12"/>
  <c r="AN11" i="7"/>
  <c r="N17" i="10"/>
  <c r="N21" i="10"/>
  <c r="AZ29" i="12"/>
  <c r="AZ28" i="12"/>
  <c r="AN8" i="7"/>
  <c r="AB28" i="12"/>
  <c r="AC45" i="57"/>
  <c r="Z45" i="57"/>
  <c r="BJ44" i="57"/>
  <c r="AQ57" i="57"/>
  <c r="AQ59" i="57"/>
  <c r="AQ58" i="57"/>
  <c r="CF17" i="7"/>
  <c r="CG9" i="7"/>
  <c r="T45" i="57"/>
  <c r="V352" i="58"/>
  <c r="H29" i="10"/>
  <c r="H28" i="10"/>
  <c r="F20" i="9"/>
  <c r="F17" i="9"/>
  <c r="AK49" i="57"/>
  <c r="AK45" i="57"/>
  <c r="AK44" i="57"/>
  <c r="J44" i="57"/>
  <c r="Y12" i="10"/>
  <c r="Y11" i="10"/>
  <c r="BM12" i="10"/>
  <c r="BM11" i="10"/>
  <c r="BC28" i="10"/>
  <c r="S59" i="57"/>
  <c r="S58" i="57"/>
  <c r="AT45" i="57"/>
  <c r="AT44" i="57"/>
  <c r="AT49" i="57"/>
  <c r="S49" i="57"/>
  <c r="S57" i="57"/>
  <c r="Q356" i="58"/>
  <c r="V351" i="58"/>
  <c r="Q351" i="58"/>
  <c r="Q394" i="58"/>
  <c r="BF17" i="7"/>
  <c r="BG9" i="7"/>
  <c r="AX11" i="7"/>
  <c r="K36" i="4"/>
  <c r="BK33" i="7"/>
  <c r="T29" i="10"/>
  <c r="T28" i="10"/>
  <c r="AB58" i="57"/>
  <c r="AB57" i="57"/>
  <c r="AB59" i="57"/>
  <c r="BP29" i="12"/>
  <c r="BT11" i="7"/>
  <c r="BC57" i="57"/>
  <c r="BC58" i="57"/>
  <c r="BC59" i="57"/>
  <c r="BA57" i="57"/>
  <c r="BN49" i="57"/>
  <c r="BA59" i="57"/>
  <c r="BA58" i="57"/>
  <c r="AK18" i="10"/>
  <c r="AK22" i="10"/>
  <c r="O18" i="10"/>
  <c r="O22" i="10"/>
  <c r="D15" i="10"/>
  <c r="X28" i="10"/>
  <c r="X29" i="10"/>
  <c r="B27" i="6"/>
  <c r="BW24" i="6"/>
  <c r="P12" i="10"/>
  <c r="P11" i="10"/>
  <c r="AG17" i="10"/>
  <c r="AG21" i="10"/>
  <c r="G29" i="4"/>
  <c r="AH12" i="10"/>
  <c r="AH11" i="10"/>
  <c r="AK12" i="10"/>
  <c r="AK11" i="10"/>
  <c r="BP17" i="10"/>
  <c r="BP21" i="10"/>
  <c r="AS11" i="7"/>
  <c r="AY18" i="12"/>
  <c r="AY22" i="12"/>
  <c r="AW17" i="10"/>
  <c r="AW21" i="10"/>
  <c r="AZ17" i="10"/>
  <c r="AZ21" i="10"/>
  <c r="BA28" i="10"/>
  <c r="Z12" i="12"/>
  <c r="Z11" i="12"/>
  <c r="H27" i="10"/>
  <c r="AD12" i="10"/>
  <c r="AD11" i="10"/>
  <c r="CE33" i="7"/>
  <c r="AY11" i="7"/>
  <c r="BI29" i="12"/>
  <c r="BM11" i="7"/>
  <c r="H57" i="57"/>
  <c r="H59" i="57"/>
  <c r="G19" i="9"/>
  <c r="BW27" i="6"/>
  <c r="F33" i="3"/>
  <c r="BW33" i="7"/>
  <c r="AZ27" i="12"/>
  <c r="B20" i="7"/>
  <c r="B22" i="14"/>
  <c r="F16" i="14"/>
  <c r="BS17" i="7"/>
  <c r="BT9" i="7"/>
  <c r="AO58" i="57"/>
  <c r="AO59" i="57"/>
  <c r="AO57" i="57"/>
  <c r="AB45" i="57"/>
  <c r="AE45" i="57"/>
  <c r="AE44" i="57"/>
  <c r="AB44" i="57"/>
  <c r="T44" i="57"/>
  <c r="AU45" i="57"/>
  <c r="AU44" i="57"/>
  <c r="AU49" i="57"/>
  <c r="K9" i="8"/>
  <c r="AS17" i="7"/>
  <c r="AT9" i="7"/>
  <c r="BX12" i="7"/>
  <c r="BX13" i="7"/>
  <c r="AD44" i="57"/>
  <c r="AA44" i="57"/>
  <c r="AN12" i="7"/>
  <c r="AN13" i="7"/>
  <c r="M18" i="10"/>
  <c r="M22" i="10"/>
  <c r="BB12" i="7"/>
  <c r="BB13" i="7"/>
  <c r="G6" i="8"/>
  <c r="B32" i="12"/>
  <c r="CD17" i="7"/>
  <c r="CE9" i="7"/>
  <c r="BN28" i="10"/>
  <c r="F15" i="10"/>
  <c r="BP18" i="12"/>
  <c r="BP22" i="12"/>
  <c r="Q12" i="12"/>
  <c r="Q11" i="12"/>
  <c r="BV9" i="7"/>
  <c r="BU17" i="7"/>
  <c r="AA45" i="57"/>
  <c r="AD45" i="57"/>
  <c r="BJ45" i="57"/>
  <c r="AF18" i="10"/>
  <c r="AF22" i="10"/>
  <c r="P15" i="12"/>
  <c r="BT17" i="7"/>
  <c r="BU9" i="7"/>
  <c r="AJ15" i="10"/>
  <c r="L36" i="4"/>
  <c r="BF29" i="12"/>
  <c r="BJ11" i="7"/>
  <c r="BA17" i="7"/>
  <c r="BB8" i="7"/>
  <c r="BB9" i="7"/>
  <c r="BK17" i="7"/>
  <c r="BL9" i="7"/>
  <c r="AX33" i="7"/>
  <c r="N12" i="10"/>
  <c r="N11" i="10"/>
  <c r="AA29" i="10"/>
  <c r="AA28" i="10"/>
  <c r="AJ33" i="7"/>
  <c r="D28" i="10"/>
  <c r="D29" i="10"/>
  <c r="G27" i="10"/>
  <c r="Q15" i="10"/>
  <c r="AB49" i="57"/>
  <c r="AE49" i="57"/>
  <c r="AS28" i="10"/>
  <c r="BA33" i="7"/>
  <c r="T17" i="10"/>
  <c r="T21" i="10"/>
  <c r="AE12" i="10"/>
  <c r="AE11" i="10"/>
  <c r="BP9" i="7"/>
  <c r="BO17" i="7"/>
  <c r="E28" i="10"/>
  <c r="BF12" i="7"/>
  <c r="BF13" i="7"/>
  <c r="B18" i="12"/>
  <c r="AG17" i="7"/>
  <c r="AH9" i="7"/>
  <c r="Y18" i="10"/>
  <c r="Y22" i="10"/>
  <c r="BP17" i="7"/>
  <c r="BQ9" i="7"/>
  <c r="N28" i="10"/>
  <c r="N29" i="10"/>
  <c r="BT28" i="12"/>
  <c r="BB12" i="12"/>
  <c r="BB11" i="12"/>
  <c r="BG12" i="7"/>
  <c r="BG13" i="7"/>
  <c r="BH10" i="7"/>
  <c r="S18" i="10"/>
  <c r="S22" i="10"/>
  <c r="AX15" i="10"/>
  <c r="BO28" i="12"/>
  <c r="AS15" i="10"/>
  <c r="AP17" i="7"/>
  <c r="AQ9" i="7"/>
  <c r="N12" i="12"/>
  <c r="N11" i="12"/>
  <c r="AA15" i="12"/>
  <c r="V18" i="10"/>
  <c r="V22" i="10"/>
  <c r="AL28" i="10"/>
  <c r="BD9" i="7"/>
  <c r="BC17" i="7"/>
  <c r="AW18" i="10"/>
  <c r="AW22" i="10"/>
  <c r="BC44" i="57"/>
  <c r="BC49" i="57"/>
  <c r="AK17" i="7"/>
  <c r="AL9" i="7"/>
  <c r="S15" i="12"/>
  <c r="M28" i="10"/>
  <c r="O15" i="10"/>
  <c r="AV15" i="12"/>
  <c r="BL18" i="10"/>
  <c r="BL22" i="10"/>
  <c r="BI18" i="10"/>
  <c r="BI22" i="10"/>
  <c r="CE12" i="7"/>
  <c r="CE13" i="7"/>
  <c r="BB29" i="10"/>
  <c r="BE10" i="7"/>
  <c r="BM15" i="10"/>
  <c r="BO28" i="10"/>
  <c r="BA17" i="10"/>
  <c r="BA21" i="10"/>
  <c r="AK11" i="7"/>
  <c r="AQ12" i="10"/>
  <c r="AQ11" i="10"/>
  <c r="BH29" i="12"/>
  <c r="BL11" i="7"/>
  <c r="AT33" i="7"/>
  <c r="AT15" i="12"/>
  <c r="L15" i="14"/>
  <c r="AL11" i="7"/>
  <c r="J36" i="4"/>
  <c r="AX17" i="7"/>
  <c r="AY9" i="7"/>
  <c r="BN44" i="57"/>
  <c r="BA45" i="57"/>
  <c r="BA44" i="57"/>
  <c r="BA49" i="57"/>
  <c r="AU15" i="10"/>
  <c r="BT29" i="12"/>
  <c r="BX11" i="7"/>
  <c r="B17" i="12"/>
  <c r="N15" i="10"/>
  <c r="BB17" i="10"/>
  <c r="BB21" i="10"/>
  <c r="Y189" i="61"/>
  <c r="BW11" i="7"/>
  <c r="AY28" i="12"/>
  <c r="BJ28" i="10"/>
  <c r="C41" i="9"/>
  <c r="C38" i="9"/>
  <c r="S18" i="12"/>
  <c r="S22" i="12"/>
  <c r="C21" i="7"/>
  <c r="BC12" i="10"/>
  <c r="BC11" i="10"/>
  <c r="B18" i="10"/>
  <c r="B23" i="14"/>
  <c r="G16" i="14"/>
  <c r="U28" i="10"/>
  <c r="I15" i="12"/>
  <c r="AO28" i="10"/>
  <c r="AO29" i="10"/>
  <c r="BJ12" i="10"/>
  <c r="BJ11" i="10"/>
  <c r="M29" i="12"/>
  <c r="M28" i="12"/>
  <c r="BR28" i="12"/>
  <c r="AH15" i="10"/>
  <c r="P17" i="10"/>
  <c r="P21" i="10"/>
  <c r="AQ15" i="10"/>
  <c r="Q29" i="4"/>
  <c r="AN15" i="10"/>
  <c r="AG28" i="10"/>
  <c r="BZ23" i="6"/>
  <c r="BZ20" i="6"/>
  <c r="CB12" i="7"/>
  <c r="CB13" i="7"/>
  <c r="AI44" i="57"/>
  <c r="AI49" i="57"/>
  <c r="H49" i="57"/>
  <c r="H58" i="57"/>
  <c r="H62" i="57"/>
  <c r="BE11" i="7"/>
  <c r="B29" i="6"/>
  <c r="I53" i="4"/>
  <c r="BD10" i="7"/>
  <c r="BI12" i="7"/>
  <c r="BI13" i="7"/>
  <c r="N28" i="12"/>
  <c r="N29" i="12"/>
  <c r="U15" i="12"/>
  <c r="AL33" i="7"/>
  <c r="BO12" i="10"/>
  <c r="BO11" i="10"/>
  <c r="E15" i="10"/>
  <c r="W188" i="61"/>
  <c r="AH33" i="7"/>
  <c r="AK31" i="7"/>
  <c r="AK33" i="7"/>
  <c r="BK8" i="7"/>
  <c r="G68" i="9"/>
  <c r="P28" i="10"/>
  <c r="P29" i="10"/>
  <c r="AH29" i="12"/>
  <c r="AH28" i="12"/>
  <c r="AV17" i="7"/>
  <c r="AW9" i="7"/>
  <c r="BE9" i="7"/>
  <c r="BD17" i="7"/>
  <c r="BB18" i="10"/>
  <c r="BB22" i="10"/>
  <c r="CC8" i="7"/>
  <c r="M15" i="12"/>
  <c r="U188" i="61"/>
  <c r="Y188" i="61"/>
  <c r="U18" i="12"/>
  <c r="U22" i="12"/>
  <c r="AJ18" i="10"/>
  <c r="AJ22" i="10"/>
  <c r="N18" i="10"/>
  <c r="N22" i="10"/>
  <c r="W18" i="10"/>
  <c r="W22" i="10"/>
  <c r="AK18" i="7"/>
  <c r="AK20" i="7"/>
  <c r="BQ5" i="7"/>
  <c r="BQ8" i="7"/>
  <c r="L15" i="10"/>
  <c r="BC17" i="10"/>
  <c r="BC21" i="10"/>
  <c r="R28" i="12"/>
  <c r="R29" i="12"/>
  <c r="BE28" i="10"/>
  <c r="AR28" i="10"/>
  <c r="AW12" i="7"/>
  <c r="AW13" i="7"/>
  <c r="T18" i="10"/>
  <c r="T22" i="10"/>
  <c r="BR29" i="12"/>
  <c r="BV11" i="7"/>
  <c r="AK15" i="12"/>
  <c r="BE33" i="7"/>
  <c r="H11" i="10"/>
  <c r="AD17" i="10"/>
  <c r="AD21" i="10"/>
  <c r="J15" i="10"/>
  <c r="B34" i="12"/>
  <c r="D10" i="4"/>
  <c r="B33" i="10"/>
  <c r="B31" i="10"/>
  <c r="BP18" i="10"/>
  <c r="BP22" i="10"/>
  <c r="B32" i="6"/>
  <c r="D8" i="4"/>
  <c r="CF8" i="7"/>
  <c r="AP12" i="10"/>
  <c r="AP11" i="10"/>
  <c r="BA29" i="10"/>
  <c r="O31" i="4"/>
  <c r="O33" i="4"/>
  <c r="AP28" i="12"/>
  <c r="J33" i="4"/>
  <c r="T15" i="10"/>
  <c r="AJ10" i="7"/>
  <c r="AG29" i="10"/>
  <c r="J31" i="4"/>
  <c r="BK28" i="12"/>
  <c r="AK8" i="7"/>
  <c r="K12" i="10"/>
  <c r="K11" i="10"/>
  <c r="AS49" i="57"/>
  <c r="BH18" i="10"/>
  <c r="BH22" i="10"/>
  <c r="AR12" i="7"/>
  <c r="AR13" i="7"/>
  <c r="AZ27" i="10"/>
  <c r="AZ29" i="10"/>
  <c r="BC10" i="7"/>
  <c r="BZ17" i="7"/>
  <c r="CA9" i="7"/>
  <c r="BI28" i="10"/>
  <c r="BI27" i="10"/>
  <c r="BI29" i="10"/>
  <c r="AF17" i="10"/>
  <c r="AF21" i="10"/>
  <c r="BH28" i="10"/>
  <c r="J18" i="10"/>
  <c r="J22" i="10"/>
  <c r="AH12" i="7"/>
  <c r="AH13" i="7"/>
  <c r="BN12" i="10"/>
  <c r="BN11" i="10"/>
  <c r="K29" i="12"/>
  <c r="K28" i="12"/>
  <c r="AR17" i="7"/>
  <c r="AS9" i="7"/>
  <c r="BS12" i="7"/>
  <c r="BS13" i="7"/>
  <c r="AX8" i="7"/>
  <c r="AW28" i="10"/>
  <c r="R12" i="10"/>
  <c r="R11" i="10"/>
  <c r="F15" i="12"/>
  <c r="BN17" i="7"/>
  <c r="BO9" i="7"/>
  <c r="BE15" i="12"/>
  <c r="BE18" i="10"/>
  <c r="BE22" i="10"/>
  <c r="BG17" i="12"/>
  <c r="BG21" i="12"/>
  <c r="BV8" i="7"/>
  <c r="AE23" i="6"/>
  <c r="AE20" i="6"/>
  <c r="AG31" i="6"/>
  <c r="G26" i="9"/>
  <c r="BB33" i="7"/>
  <c r="H9" i="8"/>
  <c r="AO29" i="12"/>
  <c r="AO28" i="12"/>
  <c r="BR12" i="12"/>
  <c r="BR11" i="12"/>
  <c r="AW12" i="12"/>
  <c r="AW11" i="12"/>
  <c r="BN18" i="10"/>
  <c r="BN22" i="10"/>
  <c r="AI28" i="10"/>
  <c r="AU12" i="10"/>
  <c r="AU11" i="10"/>
  <c r="BR23" i="6"/>
  <c r="BR20" i="6"/>
  <c r="T12" i="12"/>
  <c r="T11" i="12"/>
  <c r="AP29" i="12"/>
  <c r="AT11" i="7"/>
  <c r="AI18" i="10"/>
  <c r="AI22" i="10"/>
  <c r="AM18" i="10"/>
  <c r="AM22" i="10"/>
  <c r="J15" i="12"/>
  <c r="AM11" i="7"/>
  <c r="BK15" i="10"/>
  <c r="AM8" i="7"/>
  <c r="Q45" i="57"/>
  <c r="AM28" i="10"/>
  <c r="BJ17" i="12"/>
  <c r="BJ21" i="12"/>
  <c r="U15" i="10"/>
  <c r="BB44" i="57"/>
  <c r="BB49" i="57"/>
  <c r="W12" i="12"/>
  <c r="W11" i="12"/>
  <c r="BY12" i="7"/>
  <c r="BY13" i="7"/>
  <c r="Z12" i="10"/>
  <c r="Z11" i="10"/>
  <c r="AL12" i="12"/>
  <c r="AL11" i="12"/>
  <c r="AT29" i="10"/>
  <c r="AW10" i="7"/>
  <c r="AT29" i="12"/>
  <c r="AT28" i="12"/>
  <c r="BI9" i="7"/>
  <c r="BH17" i="7"/>
  <c r="K28" i="10"/>
  <c r="K29" i="10"/>
  <c r="I45" i="57"/>
  <c r="AI45" i="57"/>
  <c r="AL15" i="10"/>
  <c r="BK28" i="10"/>
  <c r="AN29" i="12"/>
  <c r="AR11" i="7"/>
  <c r="Q188" i="61"/>
  <c r="P189" i="61"/>
  <c r="AE29" i="12"/>
  <c r="AI11" i="7"/>
  <c r="BJ25" i="6"/>
  <c r="BJ24" i="6"/>
  <c r="B29" i="10"/>
  <c r="L11" i="12"/>
  <c r="H29" i="12"/>
  <c r="H28" i="12"/>
  <c r="BI5" i="7"/>
  <c r="BI8" i="7"/>
  <c r="AE28" i="10"/>
  <c r="W12" i="10"/>
  <c r="W11" i="10"/>
  <c r="AM18" i="12"/>
  <c r="AM22" i="12"/>
  <c r="AJ28" i="10"/>
  <c r="L27" i="10"/>
  <c r="AO33" i="7"/>
  <c r="BO17" i="12"/>
  <c r="BO21" i="12"/>
  <c r="S33" i="4"/>
  <c r="I6" i="8"/>
  <c r="O15" i="12"/>
  <c r="AH17" i="10"/>
  <c r="AH21" i="10"/>
  <c r="B27" i="10"/>
  <c r="C29" i="10"/>
  <c r="T12" i="10"/>
  <c r="T11" i="10"/>
  <c r="AF10" i="7"/>
  <c r="AL29" i="12"/>
  <c r="AP11" i="7"/>
  <c r="AC18" i="12"/>
  <c r="AC22" i="12"/>
  <c r="BU5" i="7"/>
  <c r="BU8" i="7"/>
  <c r="BJ17" i="10"/>
  <c r="BJ21" i="10"/>
  <c r="C15" i="10"/>
  <c r="K15" i="10"/>
  <c r="H8" i="8"/>
  <c r="AR33" i="7"/>
  <c r="O28" i="12"/>
  <c r="O29" i="12"/>
  <c r="AS18" i="10"/>
  <c r="AS22" i="10"/>
  <c r="BF15" i="10"/>
  <c r="N17" i="12"/>
  <c r="N21" i="12"/>
  <c r="AB18" i="12"/>
  <c r="AB22" i="12"/>
  <c r="G8" i="9"/>
  <c r="AJ8" i="7"/>
  <c r="AP8" i="7"/>
  <c r="AM28" i="12"/>
  <c r="L18" i="12"/>
  <c r="L22" i="12"/>
  <c r="H29" i="4"/>
  <c r="AN10" i="7"/>
  <c r="BW23" i="6"/>
  <c r="BW20" i="6"/>
  <c r="BG16" i="10"/>
  <c r="BG20" i="10"/>
  <c r="BG19" i="10"/>
  <c r="BG27" i="10"/>
  <c r="BG29" i="10"/>
  <c r="BJ10" i="7"/>
  <c r="H15" i="12"/>
  <c r="BW12" i="7"/>
  <c r="BW13" i="7"/>
  <c r="W351" i="58"/>
  <c r="T351" i="58"/>
  <c r="T356" i="58"/>
  <c r="AI9" i="7"/>
  <c r="AH17" i="7"/>
  <c r="BO18" i="12"/>
  <c r="BO22" i="12"/>
  <c r="Q189" i="61"/>
  <c r="BO29" i="12"/>
  <c r="BS11" i="7"/>
  <c r="H16" i="10"/>
  <c r="H20" i="10"/>
  <c r="H19" i="10"/>
  <c r="AJ15" i="12"/>
  <c r="U28" i="12"/>
  <c r="U29" i="12"/>
  <c r="BU12" i="7"/>
  <c r="BU13" i="7"/>
  <c r="AU29" i="12"/>
  <c r="AU28" i="12"/>
  <c r="BA15" i="10"/>
  <c r="U18" i="10"/>
  <c r="U22" i="10"/>
  <c r="S28" i="12"/>
  <c r="S29" i="12"/>
  <c r="BK12" i="10"/>
  <c r="BK11" i="10"/>
  <c r="Z28" i="12"/>
  <c r="Z29" i="12"/>
  <c r="BL17" i="10"/>
  <c r="BL21" i="10"/>
  <c r="AS12" i="7"/>
  <c r="AS13" i="7"/>
  <c r="AZ12" i="7"/>
  <c r="AZ13" i="7"/>
  <c r="BG10" i="7"/>
  <c r="J53" i="4"/>
  <c r="AR18" i="10"/>
  <c r="AR22" i="10"/>
  <c r="AL8" i="7"/>
  <c r="L29" i="12"/>
  <c r="L28" i="12"/>
  <c r="BF17" i="10"/>
  <c r="BF21" i="10"/>
  <c r="BL29" i="12"/>
  <c r="BL28" i="12"/>
  <c r="BB15" i="10"/>
  <c r="O14" i="14"/>
  <c r="O15" i="14"/>
  <c r="F83" i="9"/>
  <c r="F80" i="9"/>
  <c r="Z15" i="10"/>
  <c r="BE18" i="12"/>
  <c r="BE22" i="12"/>
  <c r="AL12" i="7"/>
  <c r="AL13" i="7"/>
  <c r="AG18" i="10"/>
  <c r="AG22" i="10"/>
  <c r="AO12" i="12"/>
  <c r="AO11" i="12"/>
  <c r="AY31" i="7"/>
  <c r="AY33" i="7"/>
  <c r="CD12" i="7"/>
  <c r="CD13" i="7"/>
  <c r="K17" i="10"/>
  <c r="K21" i="10"/>
  <c r="BD28" i="12"/>
  <c r="AN33" i="7"/>
  <c r="C16" i="14"/>
  <c r="AA18" i="10"/>
  <c r="AA22" i="10"/>
  <c r="C62" i="9"/>
  <c r="C59" i="9"/>
  <c r="BK12" i="7"/>
  <c r="BK13" i="7"/>
  <c r="M17" i="12"/>
  <c r="M21" i="12"/>
  <c r="BG15" i="12"/>
  <c r="AP49" i="57"/>
  <c r="AT12" i="10"/>
  <c r="AT11" i="10"/>
  <c r="BC15" i="10"/>
  <c r="AM12" i="12"/>
  <c r="AM11" i="12"/>
  <c r="AO17" i="10"/>
  <c r="AO21" i="10"/>
  <c r="M17" i="10"/>
  <c r="M21" i="10"/>
  <c r="AG12" i="12"/>
  <c r="AG11" i="12"/>
  <c r="BJ15" i="10"/>
  <c r="BK18" i="12"/>
  <c r="BK22" i="12"/>
  <c r="CG33" i="7"/>
  <c r="AX12" i="10"/>
  <c r="AX11" i="10"/>
  <c r="K52" i="4"/>
  <c r="K51" i="4"/>
  <c r="BM15" i="12"/>
  <c r="BG18" i="12"/>
  <c r="BG22" i="12"/>
  <c r="BL28" i="10"/>
  <c r="G52" i="9"/>
  <c r="AL15" i="12"/>
  <c r="AC15" i="10"/>
  <c r="B19" i="7"/>
  <c r="X17" i="12"/>
  <c r="X21" i="12"/>
  <c r="BN33" i="7"/>
  <c r="BJ29" i="10"/>
  <c r="BM10" i="7"/>
  <c r="AC28" i="10"/>
  <c r="AV12" i="7"/>
  <c r="AV13" i="7"/>
  <c r="AB12" i="12"/>
  <c r="AB11" i="12"/>
  <c r="L12" i="12"/>
  <c r="B12" i="12"/>
  <c r="B11" i="12"/>
  <c r="F18" i="12"/>
  <c r="F22" i="12"/>
  <c r="Z17" i="10"/>
  <c r="Z21" i="10"/>
  <c r="N14" i="14"/>
  <c r="N15" i="14"/>
  <c r="CG8" i="7"/>
  <c r="H27" i="12"/>
  <c r="F12" i="9"/>
  <c r="BL8" i="7"/>
  <c r="AV18" i="10"/>
  <c r="AV22" i="10"/>
  <c r="U17" i="10"/>
  <c r="U21" i="10"/>
  <c r="AD28" i="12"/>
  <c r="H51" i="4"/>
  <c r="BQ15" i="12"/>
  <c r="AA12" i="12"/>
  <c r="AA11" i="12"/>
  <c r="AG28" i="12"/>
  <c r="AG29" i="12"/>
  <c r="BF27" i="12"/>
  <c r="BC33" i="7"/>
  <c r="S32" i="4"/>
  <c r="Y15" i="12"/>
  <c r="G10" i="9"/>
  <c r="BM28" i="12"/>
  <c r="BE12" i="12"/>
  <c r="BE11" i="12"/>
  <c r="AJ12" i="10"/>
  <c r="AJ11" i="10"/>
  <c r="AY28" i="10"/>
  <c r="BQ28" i="12"/>
  <c r="W15" i="12"/>
  <c r="BP8" i="7"/>
  <c r="I32" i="4"/>
  <c r="AS31" i="7"/>
  <c r="AS33" i="7"/>
  <c r="AT18" i="10"/>
  <c r="AT22" i="10"/>
  <c r="BA28" i="12"/>
  <c r="BA29" i="12"/>
  <c r="S12" i="12"/>
  <c r="S11" i="12"/>
  <c r="W17" i="12"/>
  <c r="W21" i="12"/>
  <c r="D27" i="10"/>
  <c r="AZ17" i="12"/>
  <c r="AZ21" i="12"/>
  <c r="H55" i="4"/>
  <c r="BA12" i="10"/>
  <c r="BA11" i="10"/>
  <c r="BY8" i="7"/>
  <c r="W17" i="10"/>
  <c r="W21" i="10"/>
  <c r="Y27" i="10"/>
  <c r="Y29" i="10"/>
  <c r="H31" i="4"/>
  <c r="BL18" i="12"/>
  <c r="BL22" i="12"/>
  <c r="BI15" i="10"/>
  <c r="O32" i="4"/>
  <c r="BM18" i="10"/>
  <c r="BM22" i="10"/>
  <c r="AJ28" i="12"/>
  <c r="AJ29" i="12"/>
  <c r="F59" i="9"/>
  <c r="F62" i="9"/>
  <c r="BQ17" i="12"/>
  <c r="BQ21" i="12"/>
  <c r="BI12" i="10"/>
  <c r="BI11" i="10"/>
  <c r="C28" i="10"/>
  <c r="B28" i="10"/>
  <c r="F9" i="8"/>
  <c r="I12" i="10"/>
  <c r="I11" i="10"/>
  <c r="AD15" i="10"/>
  <c r="BH17" i="10"/>
  <c r="BH21" i="10"/>
  <c r="AK12" i="12"/>
  <c r="AK11" i="12"/>
  <c r="AA17" i="12"/>
  <c r="AA21" i="12"/>
  <c r="E33" i="3"/>
  <c r="CG31" i="6"/>
  <c r="BO33" i="7"/>
  <c r="B15" i="12"/>
  <c r="G8" i="8"/>
  <c r="BT12" i="7"/>
  <c r="BT13" i="7"/>
  <c r="BI17" i="10"/>
  <c r="BI21" i="10"/>
  <c r="G73" i="9"/>
  <c r="H52" i="4"/>
  <c r="H54" i="4"/>
  <c r="F81" i="9"/>
  <c r="F82" i="9"/>
  <c r="I29" i="4"/>
  <c r="AN17" i="10"/>
  <c r="AN21" i="10"/>
  <c r="AG27" i="12"/>
  <c r="BZ5" i="7"/>
  <c r="BZ8" i="7"/>
  <c r="BG27" i="12"/>
  <c r="H5" i="8"/>
  <c r="BV31" i="7"/>
  <c r="BV33" i="7"/>
  <c r="E16" i="4"/>
  <c r="AB12" i="10"/>
  <c r="AB11" i="10"/>
  <c r="AL31" i="7"/>
  <c r="O12" i="10"/>
  <c r="O11" i="10"/>
  <c r="BK29" i="10"/>
  <c r="BN10" i="7"/>
  <c r="AJ49" i="57"/>
  <c r="L46" i="4"/>
  <c r="C53" i="4"/>
  <c r="BW9" i="7"/>
  <c r="BV17" i="7"/>
  <c r="BK5" i="7"/>
  <c r="AD9" i="7"/>
  <c r="AC17" i="7"/>
  <c r="AK12" i="7"/>
  <c r="AK13" i="7"/>
  <c r="BJ12" i="7"/>
  <c r="BJ13" i="7"/>
  <c r="CD23" i="6"/>
  <c r="CD20" i="6"/>
  <c r="AO27" i="10"/>
  <c r="AD18" i="10"/>
  <c r="AD22" i="10"/>
  <c r="D17" i="10"/>
  <c r="D21" i="10"/>
  <c r="I28" i="10"/>
  <c r="H17" i="10"/>
  <c r="H21" i="10"/>
  <c r="BQ29" i="12"/>
  <c r="BU11" i="7"/>
  <c r="AL5" i="7"/>
  <c r="V188" i="61"/>
  <c r="AX25" i="6"/>
  <c r="AX24" i="6"/>
  <c r="AI29" i="12"/>
  <c r="AI28" i="12"/>
  <c r="F18" i="10"/>
  <c r="F22" i="10"/>
  <c r="BY23" i="6"/>
  <c r="BY20" i="6"/>
  <c r="AI8" i="7"/>
  <c r="BC29" i="10"/>
  <c r="BF10" i="7"/>
  <c r="X15" i="12"/>
  <c r="AB18" i="10"/>
  <c r="AB22" i="10"/>
  <c r="AR18" i="12"/>
  <c r="AR22" i="12"/>
  <c r="BP29" i="10"/>
  <c r="BS10" i="7"/>
  <c r="CA33" i="7"/>
  <c r="BD17" i="10"/>
  <c r="BD21" i="10"/>
  <c r="AE17" i="10"/>
  <c r="AE21" i="10"/>
  <c r="J12" i="10"/>
  <c r="J11" i="10"/>
  <c r="X17" i="10"/>
  <c r="X21" i="10"/>
  <c r="AW12" i="10"/>
  <c r="AW11" i="10"/>
  <c r="AJ17" i="10"/>
  <c r="AJ21" i="10"/>
  <c r="BR33" i="7"/>
  <c r="BB27" i="10"/>
  <c r="AD8" i="7"/>
  <c r="AT15" i="10"/>
  <c r="BT15" i="12"/>
  <c r="BB12" i="10"/>
  <c r="BB11" i="10"/>
  <c r="AJ5" i="7"/>
  <c r="T29" i="12"/>
  <c r="T28" i="12"/>
  <c r="B5" i="7"/>
  <c r="BE15" i="10"/>
  <c r="Z29" i="10"/>
  <c r="Z28" i="10"/>
  <c r="AE18" i="12"/>
  <c r="AE22" i="12"/>
  <c r="AE12" i="7"/>
  <c r="AE13" i="7"/>
  <c r="X12" i="10"/>
  <c r="X11" i="10"/>
  <c r="AV28" i="10"/>
  <c r="BM9" i="7"/>
  <c r="BL17" i="7"/>
  <c r="AR15" i="12"/>
  <c r="BB17" i="12"/>
  <c r="BB21" i="12"/>
  <c r="AC15" i="12"/>
  <c r="AG11" i="7"/>
  <c r="D18" i="10"/>
  <c r="D22" i="10"/>
  <c r="BT33" i="7"/>
  <c r="BT18" i="12"/>
  <c r="BT22" i="12"/>
  <c r="K8" i="8"/>
  <c r="BR18" i="12"/>
  <c r="BR22" i="12"/>
  <c r="BF18" i="12"/>
  <c r="BF22" i="12"/>
  <c r="B18" i="7"/>
  <c r="T15" i="12"/>
  <c r="AG8" i="7"/>
  <c r="AN17" i="12"/>
  <c r="AN21" i="12"/>
  <c r="AA15" i="10"/>
  <c r="CA31" i="6"/>
  <c r="AV12" i="12"/>
  <c r="AV11" i="12"/>
  <c r="AE27" i="10"/>
  <c r="AE29" i="10"/>
  <c r="AH10" i="7"/>
  <c r="BG11" i="7"/>
  <c r="BC28" i="12"/>
  <c r="BC29" i="12"/>
  <c r="AD17" i="12"/>
  <c r="AD21" i="12"/>
  <c r="BZ31" i="6"/>
  <c r="G19" i="4"/>
  <c r="G20" i="4"/>
  <c r="AL16" i="10"/>
  <c r="AL20" i="10"/>
  <c r="AL19" i="10"/>
  <c r="AL27" i="10"/>
  <c r="AL29" i="10"/>
  <c r="AO10" i="7"/>
  <c r="AZ9" i="7"/>
  <c r="AY17" i="7"/>
  <c r="AE15" i="12"/>
  <c r="AI12" i="12"/>
  <c r="AI11" i="12"/>
  <c r="O27" i="10"/>
  <c r="AO12" i="7"/>
  <c r="AO13" i="7"/>
  <c r="AA17" i="10"/>
  <c r="AA21" i="10"/>
  <c r="BQ12" i="7"/>
  <c r="BQ13" i="7"/>
  <c r="M12" i="12"/>
  <c r="M11" i="12"/>
  <c r="AN28" i="10"/>
  <c r="L51" i="4"/>
  <c r="BH29" i="10"/>
  <c r="BK10" i="7"/>
  <c r="AN12" i="12"/>
  <c r="AN11" i="12"/>
  <c r="AS29" i="12"/>
  <c r="AW11" i="7"/>
  <c r="AC18" i="10"/>
  <c r="AC22" i="10"/>
  <c r="I15" i="10"/>
  <c r="AQ18" i="12"/>
  <c r="AQ22" i="12"/>
  <c r="CG12" i="7"/>
  <c r="CG13" i="7"/>
  <c r="BS8" i="7"/>
  <c r="AK10" i="7"/>
  <c r="CH25" i="6"/>
  <c r="CH24" i="6"/>
  <c r="BP12" i="7"/>
  <c r="BP13" i="7"/>
  <c r="AY17" i="10"/>
  <c r="AY21" i="10"/>
  <c r="AQ28" i="12"/>
  <c r="T352" i="58"/>
  <c r="BN29" i="10"/>
  <c r="BQ10" i="7"/>
  <c r="BH12" i="10"/>
  <c r="BH11" i="10"/>
  <c r="AZ18" i="12"/>
  <c r="AZ22" i="12"/>
  <c r="BP27" i="10"/>
  <c r="C55" i="4"/>
  <c r="BG31" i="6"/>
  <c r="H16" i="12"/>
  <c r="H20" i="12"/>
  <c r="H19" i="12"/>
  <c r="AU8" i="7"/>
  <c r="S27" i="12"/>
  <c r="E18" i="10"/>
  <c r="E22" i="10"/>
  <c r="G82" i="9"/>
  <c r="AC27" i="10"/>
  <c r="AC29" i="10"/>
  <c r="I31" i="4"/>
  <c r="I33" i="4"/>
  <c r="X15" i="10"/>
  <c r="AR12" i="12"/>
  <c r="AR11" i="12"/>
  <c r="AN23" i="6"/>
  <c r="AN20" i="6"/>
  <c r="AT12" i="7"/>
  <c r="AT13" i="7"/>
  <c r="AT12" i="12"/>
  <c r="AT11" i="12"/>
  <c r="Q105" i="57"/>
  <c r="Q106" i="57"/>
  <c r="Q107" i="57"/>
  <c r="Q108" i="57"/>
  <c r="Q97" i="57"/>
  <c r="Q95" i="57"/>
  <c r="BJ9" i="7"/>
  <c r="BI17" i="7"/>
  <c r="AY12" i="10"/>
  <c r="AY11" i="10"/>
  <c r="F17" i="10"/>
  <c r="F21" i="10"/>
  <c r="AV17" i="12"/>
  <c r="AV21" i="12"/>
  <c r="AY29" i="10"/>
  <c r="BB10" i="7"/>
  <c r="W16" i="10"/>
  <c r="W20" i="10"/>
  <c r="W19" i="10"/>
  <c r="W27" i="10"/>
  <c r="AR8" i="7"/>
  <c r="BD31" i="6"/>
  <c r="J16" i="10"/>
  <c r="J20" i="10"/>
  <c r="J19" i="10"/>
  <c r="J27" i="10"/>
  <c r="AF12" i="10"/>
  <c r="AF11" i="10"/>
  <c r="AR5" i="7"/>
  <c r="CH8" i="7"/>
  <c r="BP33" i="7"/>
  <c r="G30" i="9"/>
  <c r="P18" i="10"/>
  <c r="P22" i="10"/>
  <c r="G60" i="9"/>
  <c r="S21" i="14"/>
  <c r="AF18" i="12"/>
  <c r="AF22" i="12"/>
  <c r="AP15" i="12"/>
  <c r="L12" i="10"/>
  <c r="L11" i="10"/>
  <c r="AX28" i="12"/>
  <c r="AS31" i="6"/>
  <c r="AI12" i="10"/>
  <c r="AI11" i="10"/>
  <c r="BE28" i="12"/>
  <c r="Q28" i="12"/>
  <c r="Q29" i="12"/>
  <c r="Q352" i="58"/>
  <c r="R352" i="58"/>
  <c r="R351" i="58"/>
  <c r="R356" i="58"/>
  <c r="AQ28" i="10"/>
  <c r="AH28" i="10"/>
  <c r="AH29" i="10"/>
  <c r="AP12" i="12"/>
  <c r="AP11" i="12"/>
  <c r="BC12" i="7"/>
  <c r="BC13" i="7"/>
  <c r="CH12" i="7"/>
  <c r="CH13" i="7"/>
  <c r="AZ18" i="10"/>
  <c r="AZ22" i="10"/>
  <c r="AY29" i="12"/>
  <c r="BC11" i="7"/>
  <c r="AF28" i="12"/>
  <c r="AP29" i="10"/>
  <c r="AS10" i="7"/>
  <c r="AY23" i="6"/>
  <c r="AY20" i="6"/>
  <c r="AR28" i="12"/>
  <c r="K27" i="10"/>
  <c r="AV18" i="7"/>
  <c r="AV20" i="7"/>
  <c r="AV31" i="7"/>
  <c r="AV33" i="7"/>
  <c r="AF12" i="12"/>
  <c r="AF11" i="12"/>
  <c r="D15" i="12"/>
  <c r="C72" i="9"/>
  <c r="AP12" i="7"/>
  <c r="AP13" i="7"/>
  <c r="E51" i="4"/>
  <c r="AR18" i="7"/>
  <c r="AR20" i="7"/>
  <c r="AR31" i="7"/>
  <c r="AU31" i="6"/>
  <c r="S17" i="10"/>
  <c r="S21" i="10"/>
  <c r="Q17" i="12"/>
  <c r="Q21" i="12"/>
  <c r="U27" i="10"/>
  <c r="U29" i="10"/>
  <c r="G31" i="4"/>
  <c r="N33" i="4"/>
  <c r="BD17" i="12"/>
  <c r="BD21" i="12"/>
  <c r="BA8" i="7"/>
  <c r="P27" i="12"/>
  <c r="N16" i="10"/>
  <c r="N20" i="10"/>
  <c r="N19" i="10"/>
  <c r="N27" i="10"/>
  <c r="S27" i="10"/>
  <c r="AK28" i="10"/>
  <c r="AO49" i="57"/>
  <c r="AV28" i="12"/>
  <c r="BN15" i="12"/>
  <c r="BN15" i="10"/>
  <c r="D27" i="12"/>
  <c r="AO17" i="12"/>
  <c r="AO21" i="12"/>
  <c r="AN19" i="12"/>
  <c r="AN27" i="12"/>
  <c r="G38" i="9"/>
  <c r="R18" i="10"/>
  <c r="R22" i="10"/>
  <c r="AV49" i="57"/>
  <c r="B25" i="6"/>
  <c r="AK28" i="12"/>
  <c r="BN28" i="12"/>
  <c r="F39" i="9"/>
  <c r="F40" i="9"/>
  <c r="AH8" i="7"/>
  <c r="BE12" i="7"/>
  <c r="BE13" i="7"/>
  <c r="AI33" i="7"/>
  <c r="AZ16" i="12"/>
  <c r="AZ20" i="12"/>
  <c r="AZ19" i="12"/>
  <c r="AU17" i="12"/>
  <c r="AU21" i="12"/>
  <c r="G50" i="9"/>
  <c r="BM12" i="12"/>
  <c r="BM11" i="12"/>
  <c r="H53" i="4"/>
  <c r="H50" i="4"/>
  <c r="AK29" i="10"/>
  <c r="K31" i="4"/>
  <c r="K33" i="4"/>
  <c r="H45" i="4"/>
  <c r="BG17" i="10"/>
  <c r="BG21" i="10"/>
  <c r="R15" i="12"/>
  <c r="N18" i="12"/>
  <c r="N22" i="12"/>
  <c r="C33" i="3"/>
  <c r="D33" i="3"/>
  <c r="AV10" i="7"/>
  <c r="F60" i="9"/>
  <c r="F61" i="9"/>
  <c r="AD29" i="10"/>
  <c r="AG10" i="7"/>
  <c r="BE23" i="6"/>
  <c r="BE20" i="6"/>
  <c r="L15" i="12"/>
  <c r="BO12" i="7"/>
  <c r="BO13" i="7"/>
  <c r="BR8" i="7"/>
  <c r="BN18" i="12"/>
  <c r="BN22" i="12"/>
  <c r="BS29" i="12"/>
  <c r="BS28" i="12"/>
  <c r="K18" i="10"/>
  <c r="K22" i="10"/>
  <c r="G15" i="12"/>
  <c r="K16" i="10"/>
  <c r="K20" i="10"/>
  <c r="K19" i="10"/>
  <c r="BA17" i="12"/>
  <c r="BA21" i="12"/>
  <c r="D38" i="9"/>
  <c r="BJ31" i="6"/>
  <c r="CE31" i="7"/>
  <c r="AY17" i="12"/>
  <c r="AY21" i="12"/>
  <c r="BI15" i="12"/>
  <c r="BI12" i="12"/>
  <c r="BI11" i="12"/>
  <c r="AC28" i="12"/>
  <c r="AC29" i="12"/>
  <c r="AV5" i="7"/>
  <c r="AV8" i="7"/>
  <c r="AU18" i="10"/>
  <c r="AU22" i="10"/>
  <c r="P27" i="10"/>
  <c r="AQ15" i="12"/>
  <c r="AR29" i="12"/>
  <c r="AV11" i="7"/>
  <c r="BP12" i="10"/>
  <c r="BP11" i="10"/>
  <c r="BC27" i="10"/>
  <c r="BC31" i="7"/>
  <c r="F54" i="4"/>
  <c r="F55" i="4"/>
  <c r="BV18" i="7"/>
  <c r="BV20" i="7"/>
  <c r="AB17" i="10"/>
  <c r="AB21" i="10"/>
  <c r="G72" i="9"/>
  <c r="BK17" i="12"/>
  <c r="BK21" i="12"/>
  <c r="AO18" i="10"/>
  <c r="AO22" i="10"/>
  <c r="K15" i="12"/>
  <c r="BX5" i="7"/>
  <c r="BX8" i="7"/>
  <c r="C18" i="10"/>
  <c r="C22" i="10"/>
  <c r="B22" i="10"/>
  <c r="BN29" i="12"/>
  <c r="BR11" i="7"/>
  <c r="AX28" i="10"/>
  <c r="BK15" i="12"/>
  <c r="BR18" i="7"/>
  <c r="BR20" i="7"/>
  <c r="BR31" i="7"/>
  <c r="C15" i="12"/>
  <c r="B16" i="12"/>
  <c r="R17" i="10"/>
  <c r="R21" i="10"/>
  <c r="BL15" i="12"/>
  <c r="AD29" i="12"/>
  <c r="AH11" i="7"/>
  <c r="BV23" i="6"/>
  <c r="BV20" i="6"/>
  <c r="AM12" i="7"/>
  <c r="AM13" i="7"/>
  <c r="H18" i="12"/>
  <c r="H22" i="12"/>
  <c r="BD28" i="10"/>
  <c r="BD27" i="10"/>
  <c r="BD29" i="10"/>
  <c r="G47" i="9"/>
  <c r="BA12" i="7"/>
  <c r="BA13" i="7"/>
  <c r="E18" i="12"/>
  <c r="E22" i="12"/>
  <c r="M29" i="4"/>
  <c r="M32" i="4"/>
  <c r="AA27" i="10"/>
  <c r="BL12" i="7"/>
  <c r="BL13" i="7"/>
  <c r="BE5" i="7"/>
  <c r="BE8" i="7"/>
  <c r="AS5" i="7"/>
  <c r="AS8" i="7"/>
  <c r="Q18" i="12"/>
  <c r="Q22" i="12"/>
  <c r="BE12" i="10"/>
  <c r="BE11" i="10"/>
  <c r="Y16" i="10"/>
  <c r="Y20" i="10"/>
  <c r="Y19" i="10"/>
  <c r="BN27" i="10"/>
  <c r="D11" i="4"/>
  <c r="G18" i="4"/>
  <c r="G56" i="9"/>
  <c r="C60" i="9"/>
  <c r="C61" i="9"/>
  <c r="BC8" i="7"/>
  <c r="AQ8" i="7"/>
  <c r="BA18" i="10"/>
  <c r="BA22" i="10"/>
  <c r="Q27" i="12"/>
  <c r="AG18" i="12"/>
  <c r="AG22" i="12"/>
  <c r="I29" i="12"/>
  <c r="I28" i="12"/>
  <c r="BB15" i="12"/>
  <c r="M29" i="10"/>
  <c r="E31" i="4"/>
  <c r="G7" i="9"/>
  <c r="J19" i="4"/>
  <c r="J20" i="4"/>
  <c r="BV31" i="6"/>
  <c r="K1" i="4"/>
  <c r="BM18" i="12"/>
  <c r="BM22" i="12"/>
  <c r="B33" i="7"/>
  <c r="AB28" i="10"/>
  <c r="AO15" i="10"/>
  <c r="AP23" i="6"/>
  <c r="AP20" i="6"/>
  <c r="AY18" i="7"/>
  <c r="AY20" i="7"/>
  <c r="G33" i="9"/>
  <c r="G34" i="9"/>
  <c r="AY27" i="12"/>
  <c r="AP27" i="12"/>
  <c r="AM29" i="10"/>
  <c r="AP10" i="7"/>
  <c r="BJ18" i="12"/>
  <c r="BJ22" i="12"/>
  <c r="AU12" i="12"/>
  <c r="AU11" i="12"/>
  <c r="BK29" i="12"/>
  <c r="BO11" i="7"/>
  <c r="Z27" i="10"/>
  <c r="BE29" i="10"/>
  <c r="P31" i="4"/>
  <c r="P33" i="4"/>
  <c r="C39" i="9"/>
  <c r="C40" i="9"/>
  <c r="G27" i="12"/>
  <c r="AP31" i="7"/>
  <c r="AP33" i="7"/>
  <c r="AC17" i="10"/>
  <c r="AC21" i="10"/>
  <c r="BJ18" i="10"/>
  <c r="BJ22" i="10"/>
  <c r="AM17" i="12"/>
  <c r="AM21" i="12"/>
  <c r="V12" i="12"/>
  <c r="V11" i="12"/>
  <c r="BM8" i="7"/>
  <c r="BO12" i="12"/>
  <c r="BO11" i="12"/>
  <c r="BV25" i="6"/>
  <c r="BV24" i="6"/>
  <c r="D51" i="4"/>
  <c r="AL17" i="10"/>
  <c r="AL21" i="10"/>
  <c r="CB8" i="7"/>
  <c r="AS18" i="7"/>
  <c r="AS20" i="7"/>
  <c r="BT17" i="12"/>
  <c r="BT21" i="12"/>
  <c r="I20" i="4"/>
  <c r="V17" i="12"/>
  <c r="V21" i="12"/>
  <c r="BF28" i="10"/>
  <c r="BJ8" i="7"/>
  <c r="AI29" i="10"/>
  <c r="AL10" i="7"/>
  <c r="L14" i="14"/>
  <c r="S14" i="14"/>
  <c r="S15" i="14"/>
  <c r="BD18" i="10"/>
  <c r="BD22" i="10"/>
  <c r="BF18" i="10"/>
  <c r="BF22" i="10"/>
  <c r="BZ12" i="7"/>
  <c r="BZ13" i="7"/>
  <c r="BE27" i="12"/>
  <c r="BE29" i="12"/>
  <c r="BI11" i="7"/>
  <c r="AV31" i="6"/>
  <c r="AJ12" i="7"/>
  <c r="AJ13" i="7"/>
  <c r="O29" i="4"/>
  <c r="BA27" i="10"/>
  <c r="G76" i="9"/>
  <c r="BB29" i="12"/>
  <c r="BF11" i="7"/>
  <c r="Q28" i="10"/>
  <c r="BA12" i="12"/>
  <c r="BA11" i="12"/>
  <c r="BH15" i="10"/>
  <c r="AQ29" i="12"/>
  <c r="AU11" i="7"/>
  <c r="BL12" i="10"/>
  <c r="BL11" i="10"/>
  <c r="AW28" i="12"/>
  <c r="N31" i="4"/>
  <c r="AW29" i="10"/>
  <c r="AZ10" i="7"/>
  <c r="AP18" i="7"/>
  <c r="AP20" i="7"/>
  <c r="BL5" i="7"/>
  <c r="BF15" i="12"/>
  <c r="AG5" i="7"/>
  <c r="AU23" i="6"/>
  <c r="AU20" i="6"/>
  <c r="I18" i="12"/>
  <c r="I22" i="12"/>
  <c r="U17" i="12"/>
  <c r="U21" i="12"/>
  <c r="AU17" i="10"/>
  <c r="AU21" i="10"/>
  <c r="D17" i="9"/>
  <c r="G17" i="9"/>
  <c r="AZ12" i="12"/>
  <c r="AZ11" i="12"/>
  <c r="BT31" i="7"/>
  <c r="F53" i="4"/>
  <c r="AC26" i="6"/>
  <c r="B26" i="6"/>
  <c r="AT27" i="12"/>
  <c r="G9" i="9"/>
  <c r="BK27" i="10"/>
  <c r="AN15" i="12"/>
  <c r="AN16" i="12"/>
  <c r="AN20" i="12"/>
  <c r="BD8" i="7"/>
  <c r="AQ5" i="7"/>
  <c r="AN18" i="10"/>
  <c r="AN22" i="10"/>
  <c r="F29" i="4"/>
  <c r="BJ16" i="10"/>
  <c r="BJ20" i="10"/>
  <c r="BJ19" i="10"/>
  <c r="BJ27" i="10"/>
  <c r="CC5" i="7"/>
  <c r="AR12" i="10"/>
  <c r="AR11" i="10"/>
  <c r="BK23" i="6"/>
  <c r="BK20" i="6"/>
  <c r="AP5" i="7"/>
  <c r="AR17" i="10"/>
  <c r="AR21" i="10"/>
  <c r="BC15" i="12"/>
  <c r="AG15" i="12"/>
  <c r="BP31" i="7"/>
  <c r="BB31" i="7"/>
  <c r="BF29" i="10"/>
  <c r="BI10" i="7"/>
  <c r="AZ16" i="10"/>
  <c r="AZ20" i="10"/>
  <c r="AZ19" i="10"/>
  <c r="AJ12" i="12"/>
  <c r="AJ11" i="12"/>
  <c r="C77" i="9"/>
  <c r="C81" i="9"/>
  <c r="C82" i="9"/>
  <c r="BP19" i="10"/>
  <c r="AO12" i="10"/>
  <c r="AO11" i="10"/>
  <c r="Q17" i="10"/>
  <c r="Q21" i="10"/>
  <c r="AE8" i="7"/>
  <c r="AO18" i="7"/>
  <c r="AO20" i="7"/>
  <c r="AO31" i="7"/>
  <c r="AF28" i="10"/>
  <c r="AY12" i="7"/>
  <c r="AY13" i="7"/>
  <c r="BD12" i="10"/>
  <c r="BD11" i="10"/>
  <c r="BP12" i="12"/>
  <c r="BP11" i="12"/>
  <c r="K10" i="8"/>
  <c r="BN12" i="7"/>
  <c r="BN13" i="7"/>
  <c r="BP20" i="10"/>
  <c r="BP16" i="10"/>
  <c r="BP15" i="10"/>
  <c r="BH15" i="12"/>
  <c r="BF16" i="12"/>
  <c r="BF20" i="12"/>
  <c r="BF19" i="12"/>
  <c r="F72" i="9"/>
  <c r="G69" i="9"/>
  <c r="AJ29" i="10"/>
  <c r="AM10" i="7"/>
  <c r="L44" i="4"/>
  <c r="AJ17" i="12"/>
  <c r="AJ21" i="12"/>
  <c r="AC27" i="12"/>
  <c r="AN18" i="12"/>
  <c r="AN22" i="12"/>
  <c r="AM30" i="6"/>
  <c r="AM31" i="6"/>
  <c r="G55" i="4"/>
  <c r="CC23" i="6"/>
  <c r="CC20" i="6"/>
  <c r="V12" i="10"/>
  <c r="V11" i="10"/>
  <c r="AI5" i="7"/>
  <c r="M12" i="10"/>
  <c r="M11" i="10"/>
  <c r="AV12" i="10"/>
  <c r="AV11" i="10"/>
  <c r="AG17" i="12"/>
  <c r="AG21" i="12"/>
  <c r="P15" i="10"/>
  <c r="E15" i="12"/>
  <c r="BO15" i="12"/>
  <c r="Q12" i="10"/>
  <c r="Q11" i="10"/>
  <c r="AE12" i="12"/>
  <c r="AE11" i="12"/>
  <c r="BM29" i="12"/>
  <c r="BQ11" i="7"/>
  <c r="BA31" i="7"/>
  <c r="AS15" i="12"/>
  <c r="J17" i="10"/>
  <c r="J21" i="10"/>
  <c r="AP17" i="10"/>
  <c r="AP21" i="10"/>
  <c r="AU5" i="7"/>
  <c r="AS23" i="6"/>
  <c r="AS20" i="6"/>
  <c r="AK17" i="10"/>
  <c r="AK21" i="10"/>
  <c r="O17" i="10"/>
  <c r="O21" i="10"/>
  <c r="BO18" i="10"/>
  <c r="BO22" i="10"/>
  <c r="D17" i="12"/>
  <c r="D21" i="12"/>
  <c r="D53" i="4"/>
  <c r="AA28" i="12"/>
  <c r="C14" i="9"/>
  <c r="G14" i="9"/>
  <c r="G18" i="9"/>
  <c r="AF29" i="10"/>
  <c r="AI10" i="7"/>
  <c r="B27" i="7"/>
  <c r="B38" i="7"/>
  <c r="V360" i="58"/>
  <c r="AK29" i="12"/>
  <c r="AO11" i="7"/>
  <c r="BE27" i="10"/>
  <c r="AO16" i="10"/>
  <c r="AO20" i="10"/>
  <c r="AO19" i="10"/>
  <c r="L29" i="4"/>
  <c r="L32" i="4"/>
  <c r="AX12" i="12"/>
  <c r="AX11" i="12"/>
  <c r="AT17" i="12"/>
  <c r="AT21" i="12"/>
  <c r="S17" i="12"/>
  <c r="S21" i="12"/>
  <c r="G40" i="9"/>
  <c r="AY27" i="10"/>
  <c r="K46" i="4"/>
  <c r="K50" i="4"/>
  <c r="C51" i="4"/>
  <c r="L50" i="4"/>
  <c r="O12" i="12"/>
  <c r="O11" i="12"/>
  <c r="C54" i="4"/>
  <c r="X16" i="10"/>
  <c r="X20" i="10"/>
  <c r="X19" i="10"/>
  <c r="X27" i="10"/>
  <c r="L27" i="12"/>
  <c r="BR19" i="12"/>
  <c r="BR27" i="12"/>
  <c r="Z27" i="12"/>
  <c r="BY5" i="7"/>
  <c r="AG12" i="10"/>
  <c r="AG11" i="10"/>
  <c r="AR23" i="6"/>
  <c r="AR20" i="6"/>
  <c r="D72" i="9"/>
  <c r="D30" i="9"/>
  <c r="D51" i="9"/>
  <c r="G51" i="9"/>
  <c r="AQ16" i="10"/>
  <c r="AQ20" i="10"/>
  <c r="AQ19" i="10"/>
  <c r="AQ27" i="10"/>
  <c r="AQ29" i="10"/>
  <c r="AT10" i="7"/>
  <c r="D80" i="9"/>
  <c r="G80" i="9"/>
  <c r="D8" i="9"/>
  <c r="D29" i="9"/>
  <c r="D50" i="9"/>
  <c r="D71" i="9"/>
  <c r="G71" i="9"/>
  <c r="BG31" i="7"/>
  <c r="BG33" i="7"/>
  <c r="BK17" i="10"/>
  <c r="BK21" i="10"/>
  <c r="CC33" i="7"/>
  <c r="AS27" i="10"/>
  <c r="AS29" i="10"/>
  <c r="M31" i="4"/>
  <c r="M33" i="4"/>
  <c r="AM15" i="12"/>
  <c r="BX33" i="7"/>
  <c r="AU29" i="10"/>
  <c r="AX10" i="7"/>
  <c r="BW31" i="7"/>
  <c r="AY8" i="7"/>
  <c r="BE17" i="12"/>
  <c r="BE21" i="12"/>
  <c r="Y27" i="12"/>
  <c r="AF15" i="12"/>
  <c r="BB27" i="12"/>
  <c r="D18" i="9"/>
  <c r="D19" i="9"/>
  <c r="AT23" i="6"/>
  <c r="AT20" i="6"/>
  <c r="E27" i="12"/>
  <c r="E29" i="4"/>
  <c r="M27" i="10"/>
  <c r="AK5" i="7"/>
  <c r="BM33" i="7"/>
  <c r="AE27" i="12"/>
  <c r="AJ29" i="6"/>
  <c r="AJ30" i="6"/>
  <c r="AU15" i="12"/>
  <c r="AQ12" i="12"/>
  <c r="AQ11" i="12"/>
  <c r="CH5" i="7"/>
  <c r="BG18" i="10"/>
  <c r="BG22" i="10"/>
  <c r="X18" i="12"/>
  <c r="X22" i="12"/>
  <c r="D16" i="12"/>
  <c r="D20" i="12"/>
  <c r="D19" i="12"/>
  <c r="AM27" i="12"/>
  <c r="AM29" i="12"/>
  <c r="AQ11" i="7"/>
  <c r="L17" i="10"/>
  <c r="L21" i="10"/>
  <c r="BH17" i="12"/>
  <c r="BH21" i="12"/>
  <c r="P14" i="14"/>
  <c r="P15" i="14"/>
  <c r="BD16" i="10"/>
  <c r="BD20" i="10"/>
  <c r="BD19" i="10"/>
  <c r="CA12" i="7"/>
  <c r="CA13" i="7"/>
  <c r="BT27" i="12"/>
  <c r="AE5" i="7"/>
  <c r="BF31" i="6"/>
  <c r="S15" i="10"/>
  <c r="BB23" i="6"/>
  <c r="BB20" i="6"/>
  <c r="S189" i="61"/>
  <c r="S188" i="61"/>
  <c r="AQ23" i="6"/>
  <c r="AQ20" i="6"/>
  <c r="AH15" i="12"/>
  <c r="BO17" i="10"/>
  <c r="BO21" i="10"/>
  <c r="BZ33" i="7"/>
  <c r="L45" i="4"/>
  <c r="L53" i="4"/>
  <c r="T18" i="12"/>
  <c r="T22" i="12"/>
  <c r="L17" i="12"/>
  <c r="L21" i="12"/>
  <c r="F51" i="4"/>
  <c r="F46" i="4"/>
  <c r="F50" i="4"/>
  <c r="F52" i="4"/>
  <c r="U12" i="10"/>
  <c r="U11" i="10"/>
  <c r="AY15" i="10"/>
  <c r="BS31" i="7"/>
  <c r="BS33" i="7"/>
  <c r="AM5" i="7"/>
  <c r="AM29" i="6"/>
  <c r="AN5" i="7"/>
  <c r="AL17" i="12"/>
  <c r="AL21" i="12"/>
  <c r="BD31" i="7"/>
  <c r="BD33" i="7"/>
  <c r="B16" i="10"/>
  <c r="B15" i="10"/>
  <c r="F8" i="8"/>
  <c r="C49" i="9"/>
  <c r="C70" i="9"/>
  <c r="AX18" i="12"/>
  <c r="AX22" i="12"/>
  <c r="AG23" i="6"/>
  <c r="AG20" i="6"/>
  <c r="BT18" i="7"/>
  <c r="BT20" i="7"/>
  <c r="AB15" i="10"/>
  <c r="BP5" i="7"/>
  <c r="G21" i="4"/>
  <c r="BM31" i="6"/>
  <c r="X12" i="12"/>
  <c r="X11" i="12"/>
  <c r="BR31" i="6"/>
  <c r="L18" i="10"/>
  <c r="L22" i="10"/>
  <c r="BC31" i="6"/>
  <c r="G28" i="9"/>
  <c r="B28" i="12"/>
  <c r="G9" i="8"/>
  <c r="AR29" i="10"/>
  <c r="AU10" i="7"/>
  <c r="BQ27" i="12"/>
  <c r="BC45" i="57"/>
  <c r="AQ45" i="57"/>
  <c r="AQ44" i="57"/>
  <c r="AQ49" i="57"/>
  <c r="BN16" i="10"/>
  <c r="BN20" i="10"/>
  <c r="BN19" i="10"/>
  <c r="CB23" i="6"/>
  <c r="CB20" i="6"/>
  <c r="BW31" i="6"/>
  <c r="BF23" i="6"/>
  <c r="BF20" i="6"/>
  <c r="AX5" i="7"/>
  <c r="B27" i="12"/>
  <c r="C28" i="12"/>
  <c r="CF5" i="7"/>
  <c r="J27" i="12"/>
  <c r="AQ12" i="7"/>
  <c r="AQ13" i="7"/>
  <c r="AS17" i="10"/>
  <c r="AS21" i="10"/>
  <c r="D9" i="9"/>
  <c r="BF17" i="12"/>
  <c r="BF21" i="12"/>
  <c r="BI18" i="12"/>
  <c r="BI22" i="12"/>
  <c r="BR5" i="7"/>
  <c r="AS12" i="10"/>
  <c r="AS11" i="10"/>
  <c r="BH27" i="10"/>
  <c r="AT27" i="10"/>
  <c r="O18" i="12"/>
  <c r="O22" i="12"/>
  <c r="CG5" i="7"/>
  <c r="BA23" i="6"/>
  <c r="BA20" i="6"/>
  <c r="B23" i="6"/>
  <c r="BI23" i="6"/>
  <c r="BI20" i="6"/>
  <c r="AR17" i="12"/>
  <c r="AR21" i="12"/>
  <c r="AI19" i="10"/>
  <c r="AI27" i="10"/>
  <c r="BN16" i="12"/>
  <c r="BN20" i="12"/>
  <c r="BN19" i="12"/>
  <c r="BN27" i="12"/>
  <c r="BA18" i="12"/>
  <c r="BA22" i="12"/>
  <c r="AW17" i="12"/>
  <c r="AW21" i="12"/>
  <c r="Y17" i="10"/>
  <c r="Y21" i="10"/>
  <c r="AF27" i="10"/>
  <c r="G49" i="9"/>
  <c r="BW8" i="7"/>
  <c r="BM5" i="7"/>
  <c r="BK27" i="12"/>
  <c r="D81" i="9"/>
  <c r="D82" i="9"/>
  <c r="BA15" i="12"/>
  <c r="BB5" i="7"/>
  <c r="BJ28" i="12"/>
  <c r="AA18" i="12"/>
  <c r="AA22" i="12"/>
  <c r="P16" i="12"/>
  <c r="P20" i="12"/>
  <c r="P19" i="12"/>
  <c r="B31" i="12"/>
  <c r="AP27" i="10"/>
  <c r="BD18" i="12"/>
  <c r="BD22" i="12"/>
  <c r="CF12" i="7"/>
  <c r="CF13" i="7"/>
  <c r="AQ17" i="12"/>
  <c r="AQ21" i="12"/>
  <c r="G16" i="12"/>
  <c r="G20" i="12"/>
  <c r="G19" i="12"/>
  <c r="BN23" i="6"/>
  <c r="BN20" i="6"/>
  <c r="AV27" i="10"/>
  <c r="AV29" i="10"/>
  <c r="AY10" i="7"/>
  <c r="S16" i="10"/>
  <c r="S20" i="10"/>
  <c r="S19" i="10"/>
  <c r="G17" i="12"/>
  <c r="G21" i="12"/>
  <c r="BI33" i="7"/>
  <c r="O17" i="12"/>
  <c r="O21" i="12"/>
  <c r="BQ31" i="7"/>
  <c r="BQ33" i="7"/>
  <c r="AI15" i="10"/>
  <c r="AI16" i="10"/>
  <c r="AI20" i="10"/>
  <c r="AJ27" i="10"/>
  <c r="K11" i="8"/>
  <c r="BS15" i="12"/>
  <c r="AP44" i="57"/>
  <c r="I55" i="4"/>
  <c r="V15" i="10"/>
  <c r="G31" i="9"/>
  <c r="D33" i="9"/>
  <c r="AI16" i="12"/>
  <c r="AI20" i="12"/>
  <c r="AI19" i="12"/>
  <c r="AI27" i="12"/>
  <c r="BT12" i="12"/>
  <c r="BT11" i="12"/>
  <c r="N15" i="12"/>
  <c r="BO16" i="10"/>
  <c r="BO20" i="10"/>
  <c r="BO19" i="10"/>
  <c r="BO27" i="10"/>
  <c r="BO29" i="10"/>
  <c r="BR10" i="7"/>
  <c r="BR15" i="12"/>
  <c r="BR16" i="12"/>
  <c r="BR20" i="12"/>
  <c r="M16" i="10"/>
  <c r="M20" i="10"/>
  <c r="M19" i="10"/>
  <c r="BB18" i="12"/>
  <c r="BB22" i="12"/>
  <c r="D12" i="9"/>
  <c r="G12" i="9"/>
  <c r="G13" i="9"/>
  <c r="BP23" i="6"/>
  <c r="BP20" i="6"/>
  <c r="BH16" i="12"/>
  <c r="BH20" i="12"/>
  <c r="BH19" i="12"/>
  <c r="BH27" i="12"/>
  <c r="F13" i="9"/>
  <c r="F14" i="9"/>
  <c r="F18" i="9"/>
  <c r="F19" i="9"/>
  <c r="AS18" i="12"/>
  <c r="AS22" i="12"/>
  <c r="AD15" i="12"/>
  <c r="R27" i="12"/>
  <c r="AP18" i="12"/>
  <c r="AP22" i="12"/>
  <c r="BJ12" i="12"/>
  <c r="BJ11" i="12"/>
  <c r="AJ27" i="12"/>
  <c r="G27" i="9"/>
  <c r="Z15" i="12"/>
  <c r="BL29" i="10"/>
  <c r="BO10" i="7"/>
  <c r="AU16" i="10"/>
  <c r="AU20" i="10"/>
  <c r="AU19" i="10"/>
  <c r="AU27" i="10"/>
  <c r="AT29" i="6"/>
  <c r="AT30" i="6"/>
  <c r="AT31" i="6"/>
  <c r="L16" i="10"/>
  <c r="L20" i="10"/>
  <c r="L19" i="10"/>
  <c r="D7" i="9"/>
  <c r="D28" i="9"/>
  <c r="D49" i="9"/>
  <c r="D70" i="9"/>
  <c r="G70" i="9"/>
  <c r="AY31" i="6"/>
  <c r="BH12" i="7"/>
  <c r="BH13" i="7"/>
  <c r="CF33" i="7"/>
  <c r="BJ33" i="7"/>
  <c r="AP31" i="6"/>
  <c r="AQ17" i="10"/>
  <c r="AQ21" i="10"/>
  <c r="AZ29" i="6"/>
  <c r="AZ30" i="6"/>
  <c r="AZ31" i="6"/>
  <c r="AT5" i="7"/>
  <c r="AT8" i="7"/>
  <c r="BP27" i="12"/>
  <c r="V28" i="12"/>
  <c r="BU29" i="6"/>
  <c r="BU30" i="6"/>
  <c r="BU31" i="6"/>
  <c r="BP18" i="7"/>
  <c r="BP20" i="7"/>
  <c r="AH16" i="10"/>
  <c r="AH20" i="10"/>
  <c r="AH19" i="10"/>
  <c r="AH27" i="10"/>
  <c r="BF8" i="7"/>
  <c r="Q15" i="12"/>
  <c r="BI31" i="6"/>
  <c r="AZ5" i="7"/>
  <c r="AZ8" i="7"/>
  <c r="D55" i="4"/>
  <c r="W27" i="12"/>
  <c r="AK18" i="12"/>
  <c r="AK22" i="12"/>
  <c r="BJ15" i="12"/>
  <c r="AO15" i="12"/>
  <c r="CA18" i="7"/>
  <c r="CA20" i="7"/>
  <c r="CA31" i="7"/>
  <c r="BO5" i="7"/>
  <c r="BO8" i="7"/>
  <c r="BD12" i="12"/>
  <c r="BD11" i="12"/>
  <c r="K17" i="12"/>
  <c r="K21" i="12"/>
  <c r="BB31" i="6"/>
  <c r="AX16" i="12"/>
  <c r="AX20" i="12"/>
  <c r="AX19" i="12"/>
  <c r="AX27" i="12"/>
  <c r="AX29" i="12"/>
  <c r="BB11" i="7"/>
  <c r="AX12" i="7"/>
  <c r="AX13" i="7"/>
  <c r="Q18" i="10"/>
  <c r="Q22" i="10"/>
  <c r="AL27" i="12"/>
  <c r="AN29" i="6"/>
  <c r="AN30" i="6"/>
  <c r="AN31" i="6"/>
  <c r="CH23" i="6"/>
  <c r="CH20" i="6"/>
  <c r="CE23" i="6"/>
  <c r="CE20" i="6"/>
  <c r="AG27" i="10"/>
  <c r="I18" i="10"/>
  <c r="I22" i="10"/>
  <c r="CB5" i="7"/>
  <c r="BL12" i="12"/>
  <c r="BL11" i="12"/>
  <c r="AO5" i="7"/>
  <c r="P12" i="12"/>
  <c r="P11" i="12"/>
  <c r="P17" i="12"/>
  <c r="P21" i="12"/>
  <c r="N16" i="12"/>
  <c r="N20" i="12"/>
  <c r="N19" i="12"/>
  <c r="N27" i="12"/>
  <c r="AD27" i="12"/>
  <c r="I27" i="12"/>
  <c r="BN12" i="12"/>
  <c r="BN11" i="12"/>
  <c r="BG5" i="7"/>
  <c r="BG8" i="7"/>
  <c r="BF16" i="10"/>
  <c r="BF20" i="10"/>
  <c r="BF19" i="10"/>
  <c r="BF27" i="10"/>
  <c r="AL25" i="6"/>
  <c r="AL24" i="6"/>
  <c r="AF12" i="7"/>
  <c r="AF13" i="7"/>
  <c r="B14" i="6"/>
  <c r="AW29" i="6"/>
  <c r="AW30" i="6"/>
  <c r="AW31" i="6"/>
  <c r="BH18" i="7"/>
  <c r="BH20" i="7"/>
  <c r="BH31" i="7"/>
  <c r="BH33" i="7"/>
  <c r="AB17" i="12"/>
  <c r="AB21" i="12"/>
  <c r="AJ23" i="6"/>
  <c r="AJ20" i="6"/>
  <c r="BI17" i="12"/>
  <c r="BI21" i="12"/>
  <c r="BV19" i="7"/>
  <c r="AU12" i="7"/>
  <c r="AU13" i="7"/>
  <c r="AC12" i="10"/>
  <c r="AC11" i="10"/>
  <c r="BK12" i="12"/>
  <c r="BK11" i="12"/>
  <c r="BG9" i="6"/>
  <c r="BG29" i="6"/>
  <c r="BG30" i="6"/>
  <c r="D16" i="10"/>
  <c r="D20" i="10"/>
  <c r="D19" i="10"/>
  <c r="AJ16" i="6"/>
  <c r="AJ14" i="6"/>
  <c r="AJ9" i="6"/>
  <c r="P18" i="12"/>
  <c r="P22" i="12"/>
  <c r="BX31" i="6"/>
  <c r="CC31" i="7"/>
  <c r="J29" i="4"/>
  <c r="J32" i="4"/>
  <c r="I51" i="4"/>
  <c r="BS23" i="6"/>
  <c r="BS20" i="6"/>
  <c r="AO23" i="6"/>
  <c r="AO20" i="6"/>
  <c r="AJ18" i="12"/>
  <c r="AJ22" i="12"/>
  <c r="AK27" i="10"/>
  <c r="BX29" i="6"/>
  <c r="BX30" i="6"/>
  <c r="AF8" i="7"/>
  <c r="CA23" i="6"/>
  <c r="CA20" i="6"/>
  <c r="AF17" i="12"/>
  <c r="AF21" i="12"/>
  <c r="P29" i="4"/>
  <c r="P32" i="4"/>
  <c r="AV15" i="10"/>
  <c r="S31" i="4"/>
  <c r="AM17" i="10"/>
  <c r="AM21" i="10"/>
  <c r="AC17" i="12"/>
  <c r="AC21" i="12"/>
  <c r="AY15" i="12"/>
  <c r="C19" i="10"/>
  <c r="C27" i="10"/>
  <c r="BK9" i="6"/>
  <c r="BK29" i="6"/>
  <c r="BK30" i="6"/>
  <c r="BK31" i="6"/>
  <c r="CA29" i="6"/>
  <c r="CA30" i="6"/>
  <c r="AR27" i="10"/>
  <c r="BE29" i="6"/>
  <c r="BE30" i="6"/>
  <c r="BE31" i="6"/>
  <c r="G35" i="9"/>
  <c r="G39" i="9"/>
  <c r="BC17" i="12"/>
  <c r="BC21" i="12"/>
  <c r="M16" i="12"/>
  <c r="M20" i="12"/>
  <c r="M19" i="12"/>
  <c r="M27" i="12"/>
  <c r="AK23" i="6"/>
  <c r="AK20" i="6"/>
  <c r="O188" i="61"/>
  <c r="O194" i="61"/>
  <c r="AP17" i="12"/>
  <c r="AP21" i="12"/>
  <c r="AG15" i="10"/>
  <c r="BR17" i="12"/>
  <c r="BR21" i="12"/>
  <c r="D83" i="9"/>
  <c r="G83" i="9"/>
  <c r="BW30" i="6"/>
  <c r="BJ18" i="7"/>
  <c r="BJ20" i="7"/>
  <c r="BJ31" i="7"/>
  <c r="BV5" i="7"/>
  <c r="B9" i="6"/>
  <c r="BH5" i="7"/>
  <c r="BH8" i="7"/>
  <c r="AL18" i="7"/>
  <c r="AL20" i="7"/>
  <c r="AH18" i="7"/>
  <c r="AH20" i="7"/>
  <c r="AH31" i="7"/>
  <c r="B31" i="7"/>
  <c r="B37" i="7"/>
  <c r="D21" i="4"/>
  <c r="D54" i="9"/>
  <c r="G54" i="9"/>
  <c r="G55" i="9"/>
  <c r="K16" i="12"/>
  <c r="K20" i="12"/>
  <c r="K19" i="12"/>
  <c r="K27" i="12"/>
  <c r="AM16" i="12"/>
  <c r="AM20" i="12"/>
  <c r="AM19" i="12"/>
  <c r="E53" i="4"/>
  <c r="BO31" i="6"/>
  <c r="BW29" i="6"/>
  <c r="BW5" i="7"/>
  <c r="L55" i="4"/>
  <c r="K29" i="4"/>
  <c r="K32" i="4"/>
  <c r="E29" i="10"/>
  <c r="C31" i="4"/>
  <c r="I46" i="4"/>
  <c r="I50" i="4"/>
  <c r="I52" i="4"/>
  <c r="I54" i="4"/>
  <c r="Z16" i="12"/>
  <c r="Z20" i="12"/>
  <c r="Z19" i="12"/>
  <c r="BO18" i="7"/>
  <c r="BO20" i="7"/>
  <c r="BO31" i="7"/>
  <c r="AH12" i="12"/>
  <c r="AH11" i="12"/>
  <c r="Y16" i="12"/>
  <c r="Y20" i="12"/>
  <c r="Y19" i="12"/>
  <c r="AZ12" i="10"/>
  <c r="AZ11" i="10"/>
  <c r="F54" i="9"/>
  <c r="D20" i="9"/>
  <c r="G20" i="9"/>
  <c r="H19" i="4"/>
  <c r="H20" i="4"/>
  <c r="BT16" i="12"/>
  <c r="BT20" i="12"/>
  <c r="BT19" i="12"/>
  <c r="BO23" i="6"/>
  <c r="BO20" i="6"/>
  <c r="AR19" i="10"/>
  <c r="AX31" i="6"/>
  <c r="BZ29" i="6"/>
  <c r="BZ30" i="6"/>
  <c r="BT8" i="7"/>
  <c r="BA5" i="7"/>
  <c r="AV18" i="12"/>
  <c r="AV22" i="12"/>
  <c r="C13" i="9"/>
  <c r="BG23" i="6"/>
  <c r="BG20" i="6"/>
  <c r="AM9" i="6"/>
  <c r="U27" i="12"/>
  <c r="T27" i="10"/>
  <c r="BL31" i="6"/>
  <c r="AG16" i="10"/>
  <c r="AG20" i="10"/>
  <c r="AG19" i="10"/>
  <c r="R17" i="12"/>
  <c r="R21" i="12"/>
  <c r="CG23" i="6"/>
  <c r="CG20" i="6"/>
  <c r="BM17" i="12"/>
  <c r="BM21" i="12"/>
  <c r="E27" i="10"/>
  <c r="BO27" i="12"/>
  <c r="BS17" i="12"/>
  <c r="BS21" i="12"/>
  <c r="AK16" i="10"/>
  <c r="AK20" i="10"/>
  <c r="AK19" i="10"/>
  <c r="AT9" i="6"/>
  <c r="P16" i="10"/>
  <c r="P20" i="10"/>
  <c r="P19" i="10"/>
  <c r="AY5" i="7"/>
  <c r="AR15" i="10"/>
  <c r="AR16" i="10"/>
  <c r="AR20" i="10"/>
  <c r="Q44" i="57"/>
  <c r="BV12" i="7"/>
  <c r="BV13" i="7"/>
  <c r="BD5" i="7"/>
  <c r="AE16" i="12"/>
  <c r="AE20" i="12"/>
  <c r="AE19" i="12"/>
  <c r="F10" i="9"/>
  <c r="AE31" i="6"/>
  <c r="CD31" i="6"/>
  <c r="F16" i="10"/>
  <c r="F20" i="10"/>
  <c r="F19" i="10"/>
  <c r="F27" i="10"/>
  <c r="G15" i="10"/>
  <c r="W16" i="12"/>
  <c r="W20" i="12"/>
  <c r="W19" i="12"/>
  <c r="BG16" i="6"/>
  <c r="BG14" i="6"/>
  <c r="F7" i="9"/>
  <c r="F28" i="9"/>
  <c r="F49" i="9"/>
  <c r="F70" i="9"/>
  <c r="D18" i="4"/>
  <c r="E15" i="4"/>
  <c r="AH5" i="7"/>
  <c r="D59" i="9"/>
  <c r="G59" i="9"/>
  <c r="BB18" i="7"/>
  <c r="BB20" i="7"/>
  <c r="AW23" i="6"/>
  <c r="AW20" i="6"/>
  <c r="BQ18" i="7"/>
  <c r="BQ20" i="7"/>
  <c r="BC16" i="10"/>
  <c r="BC20" i="10"/>
  <c r="BC19" i="10"/>
  <c r="BL17" i="12"/>
  <c r="BL21" i="12"/>
  <c r="AP16" i="10"/>
  <c r="AP20" i="10"/>
  <c r="AP19" i="10"/>
  <c r="AD18" i="12"/>
  <c r="AD22" i="12"/>
  <c r="C5" i="8"/>
  <c r="K5" i="8"/>
  <c r="BH12" i="12"/>
  <c r="BH11" i="12"/>
  <c r="C34" i="9"/>
  <c r="C35" i="9"/>
  <c r="L16" i="12"/>
  <c r="L20" i="12"/>
  <c r="L19" i="12"/>
  <c r="BN17" i="10"/>
  <c r="BN21" i="10"/>
  <c r="AU29" i="6"/>
  <c r="AU30" i="6"/>
  <c r="BC18" i="10"/>
  <c r="BC22" i="10"/>
  <c r="S16" i="12"/>
  <c r="S20" i="12"/>
  <c r="S19" i="12"/>
  <c r="AW27" i="10"/>
  <c r="BJ5" i="7"/>
  <c r="BX23" i="6"/>
  <c r="BX20" i="6"/>
  <c r="U16" i="10"/>
  <c r="U20" i="10"/>
  <c r="U19" i="10"/>
  <c r="BU9" i="6"/>
  <c r="AJ18" i="7"/>
  <c r="AJ20" i="7"/>
  <c r="AJ31" i="7"/>
  <c r="AK17" i="12"/>
  <c r="AK21" i="12"/>
  <c r="F17" i="12"/>
  <c r="F21" i="12"/>
  <c r="CG18" i="7"/>
  <c r="CG20" i="7"/>
  <c r="CG31" i="7"/>
  <c r="AB15" i="12"/>
  <c r="CF29" i="6"/>
  <c r="CF30" i="6"/>
  <c r="CF31" i="6"/>
  <c r="AD5" i="7"/>
  <c r="AD29" i="6"/>
  <c r="AD30" i="6"/>
  <c r="AD31" i="6"/>
  <c r="J17" i="12"/>
  <c r="J21" i="12"/>
  <c r="CE18" i="7"/>
  <c r="CE20" i="7"/>
  <c r="D39" i="9"/>
  <c r="D40" i="9"/>
  <c r="V15" i="12"/>
  <c r="AS12" i="12"/>
  <c r="AS11" i="12"/>
  <c r="BM9" i="6"/>
  <c r="BM29" i="6"/>
  <c r="BM30" i="6"/>
  <c r="BD27" i="12"/>
  <c r="BD29" i="12"/>
  <c r="BH11" i="7"/>
  <c r="BP16" i="12"/>
  <c r="BP20" i="12"/>
  <c r="BP19" i="12"/>
  <c r="AU18" i="7"/>
  <c r="AU20" i="7"/>
  <c r="AU31" i="7"/>
  <c r="AU33" i="7"/>
  <c r="BF5" i="7"/>
  <c r="BA16" i="12"/>
  <c r="BA20" i="12"/>
  <c r="BA19" i="12"/>
  <c r="BA27" i="12"/>
  <c r="AF15" i="10"/>
  <c r="BI31" i="7"/>
  <c r="S36" i="4"/>
  <c r="BE16" i="6"/>
  <c r="BE14" i="6"/>
  <c r="BE9" i="6"/>
  <c r="BI18" i="7"/>
  <c r="BI20" i="7"/>
  <c r="AH16" i="12"/>
  <c r="AH20" i="12"/>
  <c r="AH19" i="12"/>
  <c r="AH27" i="12"/>
  <c r="C50" i="9"/>
  <c r="C71" i="9"/>
  <c r="AV17" i="10"/>
  <c r="AV21" i="10"/>
  <c r="BS5" i="7"/>
  <c r="AF27" i="12"/>
  <c r="AF29" i="12"/>
  <c r="AJ11" i="7"/>
  <c r="AH17" i="12"/>
  <c r="AH21" i="12"/>
  <c r="C75" i="9"/>
  <c r="C76" i="9"/>
  <c r="BG12" i="12"/>
  <c r="BG11" i="12"/>
  <c r="B16" i="6"/>
  <c r="H10" i="8"/>
  <c r="AP18" i="10"/>
  <c r="AP22" i="10"/>
  <c r="I16" i="12"/>
  <c r="I20" i="12"/>
  <c r="I19" i="12"/>
  <c r="BQ12" i="12"/>
  <c r="BQ11" i="12"/>
  <c r="F50" i="9"/>
  <c r="F71" i="9"/>
  <c r="J16" i="12"/>
  <c r="J20" i="12"/>
  <c r="J19" i="12"/>
  <c r="BQ16" i="12"/>
  <c r="BQ20" i="12"/>
  <c r="BQ19" i="12"/>
  <c r="BJ27" i="12"/>
  <c r="BJ29" i="12"/>
  <c r="BN11" i="7"/>
  <c r="W18" i="12"/>
  <c r="W22" i="12"/>
  <c r="BI29" i="6"/>
  <c r="BI30" i="6"/>
  <c r="BA31" i="6"/>
  <c r="K18" i="12"/>
  <c r="K22" i="12"/>
  <c r="BQ9" i="6"/>
  <c r="BQ29" i="6"/>
  <c r="BQ30" i="6"/>
  <c r="BQ31" i="6"/>
  <c r="BM23" i="6"/>
  <c r="BM20" i="6"/>
  <c r="BS18" i="12"/>
  <c r="BS22" i="12"/>
  <c r="R12" i="12"/>
  <c r="R11" i="12"/>
  <c r="AF5" i="7"/>
  <c r="AF16" i="10"/>
  <c r="AF20" i="10"/>
  <c r="AF19" i="10"/>
  <c r="AG16" i="12"/>
  <c r="AG20" i="12"/>
  <c r="AG19" i="12"/>
  <c r="AN12" i="10"/>
  <c r="AN11" i="10"/>
  <c r="CD18" i="7"/>
  <c r="CD20" i="7"/>
  <c r="CD31" i="7"/>
  <c r="CD33" i="7"/>
  <c r="E46" i="4"/>
  <c r="E50" i="4"/>
  <c r="E52" i="4"/>
  <c r="E54" i="4"/>
  <c r="E55" i="4"/>
  <c r="AI9" i="6"/>
  <c r="AI29" i="6"/>
  <c r="AI30" i="6"/>
  <c r="AI31" i="6"/>
  <c r="AD16" i="12"/>
  <c r="AD20" i="12"/>
  <c r="AD19" i="12"/>
  <c r="BL33" i="7"/>
  <c r="BW18" i="7"/>
  <c r="BW20" i="7"/>
  <c r="AC16" i="12"/>
  <c r="AC20" i="12"/>
  <c r="AC19" i="12"/>
  <c r="AN31" i="7"/>
  <c r="K7" i="3"/>
  <c r="BY31" i="6"/>
  <c r="BK31" i="7"/>
  <c r="AG12" i="7"/>
  <c r="AG13" i="7"/>
  <c r="CC12" i="7"/>
  <c r="CC13" i="7"/>
  <c r="AD16" i="10"/>
  <c r="AD20" i="10"/>
  <c r="AD19" i="10"/>
  <c r="AD27" i="10"/>
  <c r="D60" i="9"/>
  <c r="D61" i="9"/>
  <c r="BF33" i="7"/>
  <c r="AO16" i="12"/>
  <c r="AO20" i="12"/>
  <c r="AO19" i="12"/>
  <c r="AO27" i="12"/>
  <c r="BC30" i="6"/>
  <c r="BT30" i="6"/>
  <c r="BT31" i="6"/>
  <c r="BT29" i="6"/>
  <c r="BT5" i="7"/>
  <c r="AI18" i="12"/>
  <c r="AI22" i="12"/>
  <c r="BD23" i="6"/>
  <c r="BD20" i="6"/>
  <c r="AT18" i="12"/>
  <c r="AT22" i="12"/>
  <c r="D50" i="4"/>
  <c r="D52" i="4"/>
  <c r="D54" i="4"/>
  <c r="C18" i="12"/>
  <c r="C22" i="12"/>
  <c r="B22" i="12"/>
  <c r="BE16" i="12"/>
  <c r="BE20" i="12"/>
  <c r="BE19" i="12"/>
  <c r="BQ18" i="12"/>
  <c r="BQ22" i="12"/>
  <c r="Y12" i="12"/>
  <c r="Y11" i="12"/>
  <c r="F33" i="9"/>
  <c r="AW29" i="12"/>
  <c r="BA11" i="7"/>
  <c r="BC18" i="7"/>
  <c r="BC20" i="7"/>
  <c r="BC5" i="7"/>
  <c r="BC9" i="6"/>
  <c r="BC29" i="6"/>
  <c r="BM16" i="12"/>
  <c r="BM20" i="12"/>
  <c r="BM19" i="12"/>
  <c r="BM27" i="12"/>
  <c r="AF23" i="6"/>
  <c r="AF20" i="6"/>
  <c r="CE5" i="7"/>
  <c r="CE8" i="7"/>
  <c r="BC23" i="6"/>
  <c r="BC20" i="6"/>
  <c r="I17" i="12"/>
  <c r="I21" i="12"/>
  <c r="E16" i="12"/>
  <c r="E20" i="12"/>
  <c r="E19" i="12"/>
  <c r="X16" i="12"/>
  <c r="X20" i="12"/>
  <c r="X19" i="12"/>
  <c r="X27" i="12"/>
  <c r="O16" i="10"/>
  <c r="O20" i="10"/>
  <c r="O19" i="10"/>
  <c r="AQ16" i="12"/>
  <c r="AQ20" i="12"/>
  <c r="AQ19" i="12"/>
  <c r="AQ27" i="12"/>
  <c r="BX16" i="6"/>
  <c r="BX14" i="6"/>
  <c r="BX9" i="6"/>
  <c r="F75" i="9"/>
  <c r="BA29" i="6"/>
  <c r="BA30" i="6"/>
  <c r="AK31" i="6"/>
  <c r="CF23" i="6"/>
  <c r="CF20" i="6"/>
  <c r="AT18" i="7"/>
  <c r="AT20" i="7"/>
  <c r="AT31" i="7"/>
  <c r="BB16" i="12"/>
  <c r="BB20" i="12"/>
  <c r="BB19" i="12"/>
  <c r="C16" i="10"/>
  <c r="C20" i="10"/>
  <c r="B20" i="10"/>
  <c r="B19" i="10"/>
  <c r="CH29" i="6"/>
  <c r="CH30" i="6"/>
  <c r="CH31" i="6"/>
  <c r="AY16" i="10"/>
  <c r="AY20" i="10"/>
  <c r="AY19" i="10"/>
  <c r="G61" i="9"/>
  <c r="D62" i="9"/>
  <c r="G62" i="9"/>
  <c r="I19" i="4"/>
  <c r="D76" i="9"/>
  <c r="D77" i="9"/>
  <c r="G77" i="9"/>
  <c r="G81" i="9"/>
  <c r="AZ23" i="6"/>
  <c r="AZ20" i="6"/>
  <c r="BY29" i="6"/>
  <c r="BY30" i="6"/>
  <c r="AE18" i="10"/>
  <c r="AE22" i="10"/>
  <c r="BL23" i="6"/>
  <c r="BL20" i="6"/>
  <c r="AW5" i="7"/>
  <c r="AW8" i="7"/>
  <c r="AQ31" i="7"/>
  <c r="AQ33" i="7"/>
  <c r="AD23" i="6"/>
  <c r="AD20" i="6"/>
  <c r="AY18" i="10"/>
  <c r="AY22" i="10"/>
  <c r="AP16" i="12"/>
  <c r="AP20" i="12"/>
  <c r="AP19" i="12"/>
  <c r="AP9" i="6"/>
  <c r="AP29" i="6"/>
  <c r="AP30" i="6"/>
  <c r="AA16" i="10"/>
  <c r="AA20" i="10"/>
  <c r="AA19" i="10"/>
  <c r="BH29" i="6"/>
  <c r="BH30" i="6"/>
  <c r="BH31" i="6"/>
  <c r="AF29" i="6"/>
  <c r="AF30" i="6"/>
  <c r="AF31" i="6"/>
  <c r="BH16" i="10"/>
  <c r="BH20" i="10"/>
  <c r="BH19" i="10"/>
  <c r="AI17" i="12"/>
  <c r="AI21" i="12"/>
  <c r="CD5" i="7"/>
  <c r="CD8" i="7"/>
  <c r="H12" i="10"/>
  <c r="B12" i="10"/>
  <c r="B11" i="10"/>
  <c r="F5" i="8"/>
  <c r="BS31" i="6"/>
  <c r="BL16" i="10"/>
  <c r="BL20" i="10"/>
  <c r="BL19" i="10"/>
  <c r="BL27" i="10"/>
  <c r="CG29" i="6"/>
  <c r="CG30" i="6"/>
  <c r="BQ16" i="6"/>
  <c r="BQ14" i="6"/>
  <c r="J55" i="4"/>
  <c r="AW33" i="7"/>
  <c r="AP45" i="57"/>
  <c r="AO45" i="57"/>
  <c r="AO44" i="57"/>
  <c r="AJ16" i="12"/>
  <c r="AJ20" i="12"/>
  <c r="AJ19" i="12"/>
  <c r="BD18" i="7"/>
  <c r="BD20" i="7"/>
  <c r="V16" i="10"/>
  <c r="V20" i="10"/>
  <c r="V19" i="10"/>
  <c r="V27" i="10"/>
  <c r="E17" i="12"/>
  <c r="E21" i="12"/>
  <c r="Q16" i="12"/>
  <c r="Q20" i="12"/>
  <c r="Q19" i="12"/>
  <c r="AI12" i="7"/>
  <c r="AI13" i="7"/>
  <c r="BC16" i="12"/>
  <c r="BC20" i="12"/>
  <c r="BC19" i="12"/>
  <c r="BC27" i="12"/>
  <c r="BF18" i="7"/>
  <c r="BF20" i="7"/>
  <c r="BF31" i="7"/>
  <c r="U12" i="12"/>
  <c r="U11" i="12"/>
  <c r="AW18" i="12"/>
  <c r="AW22" i="12"/>
  <c r="AI18" i="7"/>
  <c r="AI20" i="7"/>
  <c r="AI31" i="7"/>
  <c r="BZ9" i="6"/>
  <c r="BS18" i="7"/>
  <c r="BS20" i="7"/>
  <c r="AU16" i="12"/>
  <c r="AU20" i="12"/>
  <c r="AU19" i="12"/>
  <c r="AU27" i="12"/>
  <c r="BH18" i="12"/>
  <c r="BH22" i="12"/>
  <c r="AQ31" i="6"/>
  <c r="AD12" i="12"/>
  <c r="AD11" i="12"/>
  <c r="G53" i="4"/>
  <c r="AY12" i="12"/>
  <c r="AY11" i="12"/>
  <c r="I17" i="10"/>
  <c r="I21" i="10"/>
  <c r="BZ18" i="7"/>
  <c r="BZ20" i="7"/>
  <c r="BZ31" i="7"/>
  <c r="C17" i="12"/>
  <c r="C21" i="12"/>
  <c r="B21" i="12"/>
  <c r="AT16" i="12"/>
  <c r="AT20" i="12"/>
  <c r="AT19" i="12"/>
  <c r="T17" i="12"/>
  <c r="T21" i="12"/>
  <c r="BZ16" i="6"/>
  <c r="BZ14" i="6"/>
  <c r="BR29" i="6"/>
  <c r="BR30" i="6"/>
  <c r="V18" i="12"/>
  <c r="V22" i="12"/>
  <c r="J51" i="4"/>
  <c r="BA9" i="6"/>
  <c r="BS27" i="12"/>
  <c r="BI27" i="12"/>
  <c r="BW16" i="6"/>
  <c r="BW14" i="6"/>
  <c r="BW9" i="6"/>
  <c r="AO29" i="6"/>
  <c r="AO30" i="6"/>
  <c r="AO31" i="6"/>
  <c r="BS29" i="6"/>
  <c r="BS30" i="6"/>
  <c r="CH18" i="7"/>
  <c r="CH20" i="7"/>
  <c r="CH31" i="7"/>
  <c r="CH33" i="7"/>
  <c r="M18" i="12"/>
  <c r="M22" i="12"/>
  <c r="AH9" i="6"/>
  <c r="AH29" i="6"/>
  <c r="AH30" i="6"/>
  <c r="AH31" i="6"/>
  <c r="BU23" i="6"/>
  <c r="BU20" i="6"/>
  <c r="AS16" i="10"/>
  <c r="AS20" i="10"/>
  <c r="AS19" i="10"/>
  <c r="AV9" i="6"/>
  <c r="AV29" i="6"/>
  <c r="AV30" i="6"/>
  <c r="BK16" i="12"/>
  <c r="BK20" i="12"/>
  <c r="BK19" i="12"/>
  <c r="D18" i="12"/>
  <c r="D22" i="12"/>
  <c r="AT16" i="6"/>
  <c r="AT14" i="6"/>
  <c r="AZ33" i="7"/>
  <c r="AB29" i="12"/>
  <c r="AF11" i="7"/>
  <c r="T16" i="10"/>
  <c r="T20" i="10"/>
  <c r="T19" i="10"/>
  <c r="G54" i="4"/>
  <c r="AL31" i="6"/>
  <c r="CB33" i="7"/>
  <c r="BP31" i="6"/>
  <c r="AF16" i="12"/>
  <c r="AF20" i="12"/>
  <c r="AF19" i="12"/>
  <c r="AE17" i="12"/>
  <c r="AE21" i="12"/>
  <c r="D68" i="9"/>
  <c r="D69" i="9"/>
  <c r="D73" i="9"/>
  <c r="D75" i="9"/>
  <c r="G75" i="9"/>
  <c r="AG29" i="6"/>
  <c r="AG30" i="6"/>
  <c r="BO29" i="6"/>
  <c r="BO30" i="6"/>
  <c r="CA5" i="7"/>
  <c r="CA8" i="7"/>
  <c r="BF12" i="12"/>
  <c r="BF11" i="12"/>
  <c r="CH9" i="6"/>
  <c r="BN31" i="6"/>
  <c r="CF31" i="7"/>
  <c r="AX29" i="10"/>
  <c r="BA10" i="7"/>
  <c r="R18" i="12"/>
  <c r="R22" i="12"/>
  <c r="AA12" i="10"/>
  <c r="AA11" i="10"/>
  <c r="AJ16" i="10"/>
  <c r="AJ20" i="10"/>
  <c r="AJ19" i="10"/>
  <c r="R27" i="10"/>
  <c r="AR31" i="6"/>
  <c r="O27" i="12"/>
  <c r="J46" i="4"/>
  <c r="J50" i="4"/>
  <c r="J52" i="4"/>
  <c r="J54" i="4"/>
  <c r="BI9" i="6"/>
  <c r="F16" i="12"/>
  <c r="F20" i="12"/>
  <c r="F19" i="12"/>
  <c r="F27" i="12"/>
  <c r="BX18" i="7"/>
  <c r="BX20" i="7"/>
  <c r="BX31" i="7"/>
  <c r="Z16" i="10"/>
  <c r="Z20" i="10"/>
  <c r="Z19" i="10"/>
  <c r="I16" i="10"/>
  <c r="I20" i="10"/>
  <c r="I19" i="10"/>
  <c r="I27" i="10"/>
  <c r="I29" i="10"/>
  <c r="D31" i="4"/>
  <c r="AU16" i="6"/>
  <c r="AU14" i="6"/>
  <c r="AU9" i="6"/>
  <c r="BG18" i="7"/>
  <c r="BG20" i="7"/>
  <c r="BM17" i="10"/>
  <c r="BM21" i="10"/>
  <c r="BH16" i="6"/>
  <c r="BH14" i="6"/>
  <c r="BH9" i="6"/>
  <c r="AY29" i="6"/>
  <c r="AY30" i="6"/>
  <c r="AL23" i="6"/>
  <c r="AL20" i="6"/>
  <c r="F6" i="9"/>
  <c r="F9" i="9"/>
  <c r="F30" i="9"/>
  <c r="F51" i="9"/>
  <c r="AQ29" i="6"/>
  <c r="AQ30" i="6"/>
  <c r="R16" i="12"/>
  <c r="R20" i="12"/>
  <c r="R19" i="12"/>
  <c r="AC25" i="6"/>
  <c r="AC24" i="6"/>
  <c r="B24" i="6"/>
  <c r="BU16" i="6"/>
  <c r="BU14" i="6"/>
  <c r="AV23" i="6"/>
  <c r="AV20" i="6"/>
  <c r="BK16" i="10"/>
  <c r="BK20" i="10"/>
  <c r="BK19" i="10"/>
  <c r="C19" i="12"/>
  <c r="C27" i="12"/>
  <c r="C29" i="12"/>
  <c r="B29" i="12"/>
  <c r="BF29" i="6"/>
  <c r="BF30" i="6"/>
  <c r="BM18" i="7"/>
  <c r="BM20" i="7"/>
  <c r="BM31" i="7"/>
  <c r="B11" i="7"/>
  <c r="CD9" i="6"/>
  <c r="CD29" i="6"/>
  <c r="CD30" i="6"/>
  <c r="AW9" i="6"/>
  <c r="AQ18" i="7"/>
  <c r="AQ20" i="7"/>
  <c r="AS9" i="6"/>
  <c r="AS29" i="6"/>
  <c r="AS30" i="6"/>
  <c r="BJ16" i="12"/>
  <c r="BJ20" i="12"/>
  <c r="BJ19" i="12"/>
  <c r="J18" i="12"/>
  <c r="J22" i="12"/>
  <c r="AH23" i="6"/>
  <c r="AH20" i="6"/>
  <c r="AS17" i="12"/>
  <c r="AS21" i="12"/>
  <c r="AE27" i="7"/>
  <c r="AE33" i="7"/>
  <c r="B35" i="7"/>
  <c r="D20" i="4"/>
  <c r="BJ23" i="6"/>
  <c r="BJ20" i="6"/>
  <c r="BI16" i="6"/>
  <c r="BI14" i="6"/>
  <c r="AL18" i="12"/>
  <c r="AL22" i="12"/>
  <c r="AX23" i="6"/>
  <c r="AX20" i="6"/>
  <c r="F8" i="9"/>
  <c r="F29" i="9"/>
  <c r="BQ23" i="6"/>
  <c r="BQ20" i="6"/>
  <c r="AK9" i="6"/>
  <c r="AK29" i="6"/>
  <c r="AK30" i="6"/>
  <c r="CF16" i="6"/>
  <c r="CF14" i="6"/>
  <c r="CF9" i="6"/>
  <c r="AV16" i="12"/>
  <c r="AV20" i="12"/>
  <c r="AV19" i="12"/>
  <c r="AV27" i="12"/>
  <c r="AV29" i="12"/>
  <c r="AZ11" i="7"/>
  <c r="Q16" i="10"/>
  <c r="Q20" i="10"/>
  <c r="Q19" i="10"/>
  <c r="Q27" i="10"/>
  <c r="Q29" i="10"/>
  <c r="F31" i="4"/>
  <c r="C7" i="9"/>
  <c r="C28" i="9"/>
  <c r="G51" i="4"/>
  <c r="F7" i="3"/>
  <c r="G44" i="4"/>
  <c r="G45" i="4"/>
  <c r="G50" i="4"/>
  <c r="G52" i="4"/>
  <c r="BM16" i="6"/>
  <c r="BM14" i="6"/>
  <c r="D27" i="9"/>
  <c r="D31" i="9"/>
  <c r="D34" i="9"/>
  <c r="D35" i="9"/>
  <c r="D41" i="9"/>
  <c r="G41" i="9"/>
  <c r="AI16" i="6"/>
  <c r="AI14" i="6"/>
  <c r="AC23" i="6"/>
  <c r="AC20" i="6"/>
  <c r="B20" i="6"/>
  <c r="D10" i="9"/>
  <c r="D13" i="9"/>
  <c r="D14" i="9"/>
  <c r="AN18" i="7"/>
  <c r="AN20" i="7"/>
  <c r="AW18" i="7"/>
  <c r="AW20" i="7"/>
  <c r="AW31" i="7"/>
  <c r="T16" i="12"/>
  <c r="T20" i="12"/>
  <c r="T19" i="12"/>
  <c r="T27" i="12"/>
  <c r="CG16" i="6"/>
  <c r="CG14" i="6"/>
  <c r="CG9" i="6"/>
  <c r="G48" i="9"/>
  <c r="AD16" i="6"/>
  <c r="AD14" i="6"/>
  <c r="AD9" i="6"/>
  <c r="AK16" i="12"/>
  <c r="AK20" i="12"/>
  <c r="AK19" i="12"/>
  <c r="AK27" i="12"/>
  <c r="C10" i="9"/>
  <c r="C12" i="9"/>
  <c r="BJ9" i="6"/>
  <c r="BJ29" i="6"/>
  <c r="BJ30" i="6"/>
  <c r="U16" i="12"/>
  <c r="U20" i="12"/>
  <c r="U19" i="12"/>
  <c r="BA18" i="7"/>
  <c r="BA20" i="7"/>
  <c r="BC16" i="6"/>
  <c r="BC14" i="6"/>
  <c r="BT16" i="6"/>
  <c r="BT14" i="6"/>
  <c r="BT9" i="6"/>
  <c r="AV16" i="6"/>
  <c r="AV14" i="6"/>
  <c r="C16" i="12"/>
  <c r="C20" i="12"/>
  <c r="B20" i="12"/>
  <c r="B19" i="12"/>
  <c r="B33" i="12"/>
  <c r="D9" i="4"/>
  <c r="CD16" i="6"/>
  <c r="CD14" i="6"/>
  <c r="AO18" i="12"/>
  <c r="AO22" i="12"/>
  <c r="BG16" i="12"/>
  <c r="BG20" i="12"/>
  <c r="BG19" i="12"/>
  <c r="AX9" i="6"/>
  <c r="AX29" i="6"/>
  <c r="AX30" i="6"/>
  <c r="AE16" i="10"/>
  <c r="AE20" i="10"/>
  <c r="AE19" i="10"/>
  <c r="Y18" i="12"/>
  <c r="Y22" i="12"/>
  <c r="C27" i="9"/>
  <c r="C31" i="9"/>
  <c r="C33" i="9"/>
  <c r="V16" i="12"/>
  <c r="V20" i="12"/>
  <c r="V19" i="12"/>
  <c r="V27" i="12"/>
  <c r="V29" i="12"/>
  <c r="I36" i="4"/>
  <c r="BO16" i="12"/>
  <c r="BO20" i="12"/>
  <c r="BO19" i="12"/>
  <c r="AX17" i="12"/>
  <c r="AX21" i="12"/>
  <c r="AE29" i="6"/>
  <c r="AE30" i="6"/>
  <c r="AR16" i="12"/>
  <c r="AR20" i="12"/>
  <c r="AR19" i="12"/>
  <c r="AR27" i="12"/>
  <c r="BF16" i="6"/>
  <c r="BF14" i="6"/>
  <c r="BF9" i="6"/>
  <c r="G18" i="12"/>
  <c r="G22" i="12"/>
  <c r="AL16" i="12"/>
  <c r="AL20" i="12"/>
  <c r="AL19" i="12"/>
  <c r="F68" i="9"/>
  <c r="F69" i="9"/>
  <c r="F73" i="9"/>
  <c r="F76" i="9"/>
  <c r="F77" i="9"/>
  <c r="AC16" i="10"/>
  <c r="AC20" i="10"/>
  <c r="AC19" i="10"/>
  <c r="BN17" i="12"/>
  <c r="BN21" i="12"/>
  <c r="CB9" i="6"/>
  <c r="CB29" i="6"/>
  <c r="CB30" i="6"/>
  <c r="CB31" i="6"/>
  <c r="BJ16" i="6"/>
  <c r="BJ14" i="6"/>
  <c r="BE18" i="7"/>
  <c r="BE20" i="7"/>
  <c r="BE31" i="7"/>
  <c r="AA16" i="12"/>
  <c r="AA20" i="12"/>
  <c r="AA19" i="12"/>
  <c r="AA27" i="12"/>
  <c r="AA29" i="12"/>
  <c r="AE11" i="7"/>
  <c r="BN29" i="6"/>
  <c r="BN30" i="6"/>
  <c r="F47" i="9"/>
  <c r="F48" i="9"/>
  <c r="F52" i="9"/>
  <c r="F55" i="9"/>
  <c r="F56" i="9"/>
  <c r="BK18" i="10"/>
  <c r="BK22" i="10"/>
  <c r="BI16" i="10"/>
  <c r="BI20" i="10"/>
  <c r="BI19" i="10"/>
  <c r="BK18" i="7"/>
  <c r="BK20" i="7"/>
  <c r="AM16" i="6"/>
  <c r="AM14" i="6"/>
  <c r="C8" i="9"/>
  <c r="C29" i="9"/>
  <c r="BA16" i="10"/>
  <c r="BA20" i="10"/>
  <c r="BA19" i="10"/>
  <c r="BB29" i="6"/>
  <c r="BB30" i="6"/>
  <c r="AR45" i="57"/>
  <c r="AR44" i="57"/>
  <c r="AR49" i="57"/>
  <c r="Q49" i="57"/>
  <c r="Q99" i="57"/>
  <c r="Q101" i="57"/>
  <c r="Q102" i="57"/>
  <c r="BN18" i="7"/>
  <c r="BN20" i="7"/>
  <c r="BN31" i="7"/>
  <c r="AM23" i="6"/>
  <c r="AM20" i="6"/>
  <c r="AW15" i="12"/>
  <c r="BU31" i="7"/>
  <c r="BU33" i="7"/>
  <c r="BK16" i="6"/>
  <c r="BK14" i="6"/>
  <c r="Z18" i="12"/>
  <c r="Z22" i="12"/>
  <c r="BI16" i="12"/>
  <c r="BI20" i="12"/>
  <c r="BI19" i="12"/>
  <c r="C68" i="9"/>
  <c r="C69" i="9"/>
  <c r="C73" i="9"/>
  <c r="BB16" i="6"/>
  <c r="BB14" i="6"/>
  <c r="BB9" i="6"/>
  <c r="AI23" i="6"/>
  <c r="AI20" i="6"/>
  <c r="AP16" i="6"/>
  <c r="AP14" i="6"/>
  <c r="B19" i="14"/>
  <c r="AM12" i="10"/>
  <c r="AM11" i="10"/>
  <c r="E16" i="10"/>
  <c r="E20" i="10"/>
  <c r="E19" i="10"/>
  <c r="C29" i="4"/>
  <c r="S29" i="4"/>
  <c r="BS16" i="6"/>
  <c r="BS14" i="6"/>
  <c r="BS9" i="6"/>
  <c r="BL16" i="6"/>
  <c r="BL14" i="6"/>
  <c r="BL9" i="6"/>
  <c r="BL29" i="6"/>
  <c r="BL30" i="6"/>
  <c r="CC16" i="6"/>
  <c r="CC14" i="6"/>
  <c r="CC9" i="6"/>
  <c r="CC29" i="6"/>
  <c r="CC30" i="6"/>
  <c r="CC31" i="6"/>
  <c r="AB16" i="10"/>
  <c r="AB20" i="10"/>
  <c r="AB19" i="10"/>
  <c r="AB27" i="10"/>
  <c r="AB29" i="10"/>
  <c r="AE10" i="7"/>
  <c r="BR12" i="7"/>
  <c r="BR13" i="7"/>
  <c r="C46" i="4"/>
  <c r="C50" i="4"/>
  <c r="C52" i="4"/>
  <c r="L52" i="4"/>
  <c r="L54" i="4"/>
  <c r="AY16" i="12"/>
  <c r="AY20" i="12"/>
  <c r="AY19" i="12"/>
  <c r="D26" i="9"/>
  <c r="D47" i="9"/>
  <c r="D48" i="9"/>
  <c r="D52" i="9"/>
  <c r="D55" i="9"/>
  <c r="D56" i="9"/>
  <c r="BY16" i="6"/>
  <c r="BY14" i="6"/>
  <c r="BY9" i="6"/>
  <c r="BA16" i="6"/>
  <c r="BA14" i="6"/>
  <c r="AE9" i="6"/>
  <c r="AT16" i="10"/>
  <c r="AT20" i="10"/>
  <c r="AT19" i="10"/>
  <c r="AM18" i="7"/>
  <c r="AM20" i="7"/>
  <c r="AM31" i="7"/>
  <c r="AM33" i="7"/>
  <c r="AO16" i="6"/>
  <c r="AO14" i="6"/>
  <c r="AO9" i="6"/>
  <c r="AM16" i="10"/>
  <c r="AM20" i="10"/>
  <c r="AM19" i="10"/>
  <c r="AM27" i="10"/>
  <c r="BN16" i="6"/>
  <c r="BN14" i="6"/>
  <c r="BN9" i="6"/>
  <c r="BN5" i="7"/>
  <c r="BN8" i="7"/>
  <c r="BS16" i="12"/>
  <c r="BS20" i="12"/>
  <c r="BS19" i="12"/>
  <c r="BC18" i="12"/>
  <c r="BC22" i="12"/>
  <c r="AN16" i="10"/>
  <c r="AN20" i="10"/>
  <c r="AN19" i="10"/>
  <c r="AN27" i="10"/>
  <c r="AN29" i="10"/>
  <c r="AQ10" i="7"/>
  <c r="AU18" i="12"/>
  <c r="AU22" i="12"/>
  <c r="AF16" i="6"/>
  <c r="AF14" i="6"/>
  <c r="AF9" i="6"/>
  <c r="AH16" i="6"/>
  <c r="AH14" i="6"/>
  <c r="BD16" i="12"/>
  <c r="BD20" i="12"/>
  <c r="BD19" i="12"/>
  <c r="AG16" i="6"/>
  <c r="AG14" i="6"/>
  <c r="AG9" i="6"/>
  <c r="BO16" i="6"/>
  <c r="BO14" i="6"/>
  <c r="BO9" i="6"/>
  <c r="BL16" i="12"/>
  <c r="BL20" i="12"/>
  <c r="BL19" i="12"/>
  <c r="BL27" i="12"/>
  <c r="BH23" i="6"/>
  <c r="BH20" i="6"/>
  <c r="BD16" i="6"/>
  <c r="BD14" i="6"/>
  <c r="BD9" i="6"/>
  <c r="BD29" i="6"/>
  <c r="BD30" i="6"/>
  <c r="BM16" i="10"/>
  <c r="BM20" i="10"/>
  <c r="BM19" i="10"/>
  <c r="CB18" i="7"/>
  <c r="CB20" i="7"/>
  <c r="CB31" i="7"/>
  <c r="BR16" i="6"/>
  <c r="BR14" i="6"/>
  <c r="BR9" i="6"/>
  <c r="CH16" i="6"/>
  <c r="CH14" i="6"/>
  <c r="F26" i="9"/>
  <c r="F27" i="9"/>
  <c r="F31" i="9"/>
  <c r="F34" i="9"/>
  <c r="F35" i="9"/>
  <c r="C56" i="9"/>
  <c r="R16" i="10"/>
  <c r="R20" i="10"/>
  <c r="R19" i="10"/>
  <c r="G16" i="10"/>
  <c r="G20" i="10"/>
  <c r="G19" i="10"/>
  <c r="CC18" i="7"/>
  <c r="CC20" i="7"/>
  <c r="H17" i="12"/>
  <c r="H21" i="12"/>
  <c r="CA16" i="6"/>
  <c r="CA14" i="6"/>
  <c r="CA9" i="6"/>
  <c r="D5" i="9"/>
  <c r="D6" i="9"/>
  <c r="G6" i="9"/>
  <c r="C6" i="9"/>
  <c r="C9" i="9"/>
  <c r="C30" i="9"/>
  <c r="C51" i="9"/>
  <c r="AS45" i="57"/>
  <c r="AS44" i="57"/>
  <c r="R44" i="57"/>
  <c r="F14" i="14"/>
  <c r="F15" i="14"/>
  <c r="BU18" i="7"/>
  <c r="BU20" i="7"/>
  <c r="AN16" i="6"/>
  <c r="AN14" i="6"/>
  <c r="AN9" i="6"/>
  <c r="AW16" i="12"/>
  <c r="AW20" i="12"/>
  <c r="AW19" i="12"/>
  <c r="AW27" i="12"/>
  <c r="CE16" i="6"/>
  <c r="CE14" i="6"/>
  <c r="CE9" i="6"/>
  <c r="CE29" i="6"/>
  <c r="CE30" i="6"/>
  <c r="CE31" i="6"/>
  <c r="AV16" i="10"/>
  <c r="AV20" i="10"/>
  <c r="AV19" i="10"/>
  <c r="BV16" i="6"/>
  <c r="BV14" i="6"/>
  <c r="BV9" i="6"/>
  <c r="BV29" i="6"/>
  <c r="BV30" i="6"/>
  <c r="CF18" i="7"/>
  <c r="CF20" i="7"/>
  <c r="CB16" i="6"/>
  <c r="CB14" i="6"/>
  <c r="AJ45" i="57"/>
  <c r="AJ44" i="57"/>
  <c r="I44" i="57"/>
  <c r="C14" i="14"/>
  <c r="C15" i="14"/>
  <c r="C7" i="3"/>
  <c r="D44" i="4"/>
  <c r="D45" i="4"/>
  <c r="AX16" i="6"/>
  <c r="AX14" i="6"/>
  <c r="BY18" i="7"/>
  <c r="BY20" i="7"/>
  <c r="BY31" i="7"/>
  <c r="BY33" i="7"/>
  <c r="AZ18" i="7"/>
  <c r="AZ20" i="7"/>
  <c r="AZ31" i="7"/>
  <c r="AX16" i="10"/>
  <c r="AX20" i="10"/>
  <c r="AX19" i="10"/>
  <c r="AX27" i="10"/>
  <c r="BL31" i="7"/>
  <c r="AB16" i="12"/>
  <c r="AB20" i="12"/>
  <c r="AB19" i="12"/>
  <c r="AB27" i="12"/>
  <c r="AY16" i="6"/>
  <c r="AY14" i="6"/>
  <c r="AY9" i="6"/>
  <c r="AS16" i="6"/>
  <c r="AS14" i="6"/>
  <c r="AQ16" i="6"/>
  <c r="AQ14" i="6"/>
  <c r="AQ9" i="6"/>
  <c r="BB16" i="10"/>
  <c r="BB20" i="10"/>
  <c r="BB19" i="10"/>
  <c r="BE16" i="10"/>
  <c r="BE20" i="10"/>
  <c r="BE19" i="10"/>
  <c r="N29" i="4"/>
  <c r="N32" i="4"/>
  <c r="AE16" i="6"/>
  <c r="AE14" i="6"/>
  <c r="AR16" i="6"/>
  <c r="AR14" i="6"/>
  <c r="AR9" i="6"/>
  <c r="AR29" i="6"/>
  <c r="AR30" i="6"/>
  <c r="O16" i="12"/>
  <c r="O20" i="12"/>
  <c r="O19" i="12"/>
  <c r="BK44" i="57"/>
  <c r="BK49" i="57"/>
  <c r="G5" i="9"/>
  <c r="F5" i="9"/>
  <c r="C5" i="9"/>
  <c r="C26" i="9"/>
  <c r="C47" i="9"/>
  <c r="C48" i="9"/>
  <c r="C52" i="9"/>
  <c r="C54" i="9"/>
  <c r="C55" i="9"/>
  <c r="AK16" i="6"/>
  <c r="AK14" i="6"/>
  <c r="AS16" i="12"/>
  <c r="AS20" i="12"/>
  <c r="AS19" i="12"/>
  <c r="AS27" i="12"/>
  <c r="AL16" i="6"/>
  <c r="AL14" i="6"/>
  <c r="AL9" i="6"/>
  <c r="AL29" i="6"/>
  <c r="AL30" i="6"/>
  <c r="AI17" i="10"/>
  <c r="AI21" i="10"/>
  <c r="BP16" i="6"/>
  <c r="BP14" i="6"/>
  <c r="BP9" i="6"/>
  <c r="BP29" i="6"/>
  <c r="BP30" i="6"/>
  <c r="W189" i="61"/>
  <c r="BK45" i="57"/>
  <c r="BB45" i="57"/>
  <c r="AV45" i="57"/>
  <c r="AV44" i="57"/>
  <c r="U44" i="57"/>
  <c r="G14" i="14"/>
  <c r="G15" i="14"/>
  <c r="G7" i="3"/>
  <c r="H44" i="4"/>
  <c r="AZ16" i="6"/>
  <c r="AZ14" i="6"/>
  <c r="AZ9" i="6"/>
  <c r="AX18" i="7"/>
  <c r="AX20" i="7"/>
  <c r="AX31" i="7"/>
  <c r="B33" i="3"/>
  <c r="B26" i="3"/>
  <c r="AW16" i="10"/>
  <c r="AW20" i="10"/>
  <c r="AW19" i="10"/>
  <c r="AW16" i="6"/>
  <c r="AW14" i="6"/>
  <c r="AC29" i="6"/>
  <c r="AC30" i="6"/>
  <c r="AC31" i="6"/>
  <c r="B31" i="6"/>
  <c r="O189" i="61"/>
  <c r="U189" i="61"/>
  <c r="V189" i="61"/>
  <c r="BL45" i="57"/>
  <c r="BL44" i="57"/>
  <c r="BL49" i="57"/>
  <c r="B32" i="3"/>
  <c r="AC16" i="6"/>
  <c r="AC14" i="6"/>
  <c r="AC9" i="6"/>
  <c r="AC5" i="7"/>
  <c r="AC8" i="7"/>
  <c r="AC9" i="7"/>
  <c r="B21" i="7"/>
  <c r="BL18" i="7"/>
  <c r="BL20" i="7"/>
</calcChain>
</file>

<file path=xl/comments1.xml><?xml version="1.0" encoding="utf-8"?>
<comments xmlns="http://schemas.openxmlformats.org/spreadsheetml/2006/main">
  <authors>
    <author>wyy</author>
  </authors>
  <commentList>
    <comment ref="A10" authorId="0" shapeId="0">
      <text>
        <r>
          <rPr>
            <b/>
            <sz val="9"/>
            <color indexed="81"/>
            <rFont val="宋体"/>
            <family val="3"/>
            <charset val="134"/>
          </rPr>
          <t>wyy:</t>
        </r>
        <r>
          <rPr>
            <sz val="9"/>
            <color indexed="81"/>
            <rFont val="宋体"/>
            <family val="3"/>
            <charset val="134"/>
          </rPr>
          <t xml:space="preserve">
按3，4，3</t>
        </r>
      </text>
    </comment>
  </commentList>
</comments>
</file>

<file path=xl/comments2.xml><?xml version="1.0" encoding="utf-8"?>
<comments xmlns="http://schemas.openxmlformats.org/spreadsheetml/2006/main">
  <authors>
    <author>作者</author>
  </authors>
  <commentList>
    <comment ref="C11" authorId="0" shapeId="0">
      <text>
        <r>
          <rPr>
            <b/>
            <sz val="9"/>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3.xml><?xml version="1.0" encoding="utf-8"?>
<comments xmlns="http://schemas.openxmlformats.org/spreadsheetml/2006/main">
  <authors>
    <author>作者</author>
    <author>DQDDE09.陈洪生</author>
  </authors>
  <commentList>
    <comment ref="N70" authorId="0" shapeId="0">
      <text>
        <r>
          <rPr>
            <b/>
            <sz val="9"/>
            <rFont val="宋体"/>
            <family val="3"/>
            <charset val="134"/>
          </rPr>
          <t>作者:</t>
        </r>
        <r>
          <rPr>
            <sz val="9"/>
            <rFont val="宋体"/>
            <family val="3"/>
            <charset val="134"/>
          </rPr>
          <t xml:space="preserve">
剩余地块34万m2，最近变电站3.2KM，每公里按照380万考虑费用，各地块平摊</t>
        </r>
      </text>
    </comment>
    <comment ref="J94" authorId="1" shapeId="0">
      <text>
        <r>
          <rPr>
            <b/>
            <sz val="9"/>
            <color indexed="81"/>
            <rFont val="宋体"/>
            <family val="3"/>
            <charset val="134"/>
          </rPr>
          <t>DQDDE09.陈洪生:</t>
        </r>
        <r>
          <rPr>
            <sz val="9"/>
            <color indexed="81"/>
            <rFont val="宋体"/>
            <family val="3"/>
            <charset val="134"/>
          </rPr>
          <t xml:space="preserve">
1.2m覆土倒运至5#地块，费用计入5#地块</t>
        </r>
      </text>
    </comment>
    <comment ref="N103" authorId="1" shapeId="0">
      <text>
        <r>
          <rPr>
            <b/>
            <sz val="9"/>
            <color indexed="81"/>
            <rFont val="宋体"/>
            <family val="3"/>
            <charset val="134"/>
          </rPr>
          <t>DQDDE09.陈洪生:</t>
        </r>
        <r>
          <rPr>
            <sz val="9"/>
            <color indexed="81"/>
            <rFont val="宋体"/>
            <family val="3"/>
            <charset val="134"/>
          </rPr>
          <t xml:space="preserve">
地上2米覆土</t>
        </r>
      </text>
    </comment>
    <comment ref="N104" authorId="0" shapeId="0">
      <text>
        <r>
          <rPr>
            <b/>
            <sz val="9"/>
            <rFont val="宋体"/>
            <family val="3"/>
            <charset val="134"/>
          </rPr>
          <t>作者:</t>
        </r>
        <r>
          <rPr>
            <sz val="9"/>
            <rFont val="宋体"/>
            <family val="3"/>
            <charset val="134"/>
          </rPr>
          <t xml:space="preserve">
20苗木清理</t>
        </r>
      </text>
    </comment>
  </commentList>
</comments>
</file>

<file path=xl/comments4.xml><?xml version="1.0" encoding="utf-8"?>
<comments xmlns="http://schemas.openxmlformats.org/spreadsheetml/2006/main">
  <authors>
    <author>作者</author>
  </authors>
  <commentList>
    <comment ref="F60" authorId="0" shapeId="0">
      <text>
        <r>
          <rPr>
            <b/>
            <sz val="9"/>
            <rFont val="宋体"/>
            <family val="3"/>
            <charset val="134"/>
          </rPr>
          <t xml:space="preserve">作者:
</t>
        </r>
      </text>
    </comment>
  </commentList>
</comments>
</file>

<file path=xl/comments5.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7.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8.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0.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1.xml><?xml version="1.0" encoding="utf-8"?>
<comments xmlns="http://schemas.openxmlformats.org/spreadsheetml/2006/main">
  <authors>
    <author>DWHDA01.文亮</author>
    <author>DZHD01.陈剑</author>
  </authors>
  <commentList>
    <comment ref="B5" authorId="0" shapeId="0">
      <text>
        <r>
          <rPr>
            <sz val="9"/>
            <color indexed="81"/>
            <rFont val="宋体"/>
            <family val="3"/>
            <charset val="134"/>
          </rPr>
          <t>含露天停车位面积</t>
        </r>
      </text>
    </comment>
    <comment ref="I5" authorId="1" shapeId="0">
      <text>
        <r>
          <rPr>
            <b/>
            <sz val="9"/>
            <color indexed="81"/>
            <rFont val="宋体"/>
            <family val="3"/>
            <charset val="134"/>
          </rPr>
          <t>按材质区分，草皮为绿化、硬铺为此处所说面积</t>
        </r>
      </text>
    </comment>
    <comment ref="D7" authorId="0" shapeId="0">
      <text>
        <r>
          <rPr>
            <sz val="9"/>
            <color indexed="81"/>
            <rFont val="宋体"/>
            <family val="3"/>
            <charset val="134"/>
          </rPr>
          <t>不含庭院占地面积</t>
        </r>
      </text>
    </comment>
    <comment ref="J7" authorId="0" shapeId="0">
      <text>
        <r>
          <rPr>
            <sz val="9"/>
            <color indexed="81"/>
            <rFont val="宋体"/>
            <family val="3"/>
            <charset val="134"/>
          </rPr>
          <t>不含室外泳池占地面积</t>
        </r>
      </text>
    </comment>
    <comment ref="C11" authorId="1" shapeId="0">
      <text>
        <r>
          <rPr>
            <b/>
            <sz val="9"/>
            <color indexed="81"/>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12.xml><?xml version="1.0" encoding="utf-8"?>
<comments xmlns="http://schemas.openxmlformats.org/spreadsheetml/2006/main">
  <authors>
    <author>DQDCA03.丁南</author>
    <author>DWHDA01.文亮</author>
  </authors>
  <commentList>
    <comment ref="M6" authorId="0" shapeId="0">
      <text>
        <r>
          <rPr>
            <b/>
            <sz val="9"/>
            <color indexed="81"/>
            <rFont val="宋体"/>
            <family val="3"/>
            <charset val="134"/>
          </rPr>
          <t>DQDCA03.丁南:</t>
        </r>
        <r>
          <rPr>
            <sz val="9"/>
            <color indexed="81"/>
            <rFont val="宋体"/>
            <family val="3"/>
            <charset val="134"/>
          </rPr>
          <t xml:space="preserve">
溢价含契税，分别列示</t>
        </r>
      </text>
    </comment>
    <comment ref="F16" authorId="1" shapeId="0">
      <text>
        <r>
          <rPr>
            <b/>
            <sz val="9"/>
            <color indexed="81"/>
            <rFont val="Tahoma"/>
            <family val="2"/>
          </rPr>
          <t>DWHDA01.</t>
        </r>
        <r>
          <rPr>
            <b/>
            <sz val="9"/>
            <color indexed="81"/>
            <rFont val="宋体"/>
            <family val="3"/>
            <charset val="134"/>
          </rPr>
          <t>文亮</t>
        </r>
        <r>
          <rPr>
            <b/>
            <sz val="9"/>
            <color indexed="81"/>
            <rFont val="Tahoma"/>
            <family val="2"/>
          </rPr>
          <t>:</t>
        </r>
        <r>
          <rPr>
            <sz val="9"/>
            <color indexed="81"/>
            <rFont val="Tahoma"/>
            <family val="2"/>
          </rPr>
          <t xml:space="preserve">
</t>
        </r>
        <r>
          <rPr>
            <sz val="9"/>
            <color indexed="81"/>
            <rFont val="宋体"/>
            <family val="3"/>
            <charset val="134"/>
          </rPr>
          <t>是否包含不计容积率地下室商业（需补交土地收益金）这种产品类型的经营面积</t>
        </r>
      </text>
    </comment>
  </commentList>
</comments>
</file>

<file path=xl/comments13.xml><?xml version="1.0" encoding="utf-8"?>
<comments xmlns="http://schemas.openxmlformats.org/spreadsheetml/2006/main">
  <authors>
    <author>DZHD01.陈剑</author>
  </authors>
  <commentList>
    <comment ref="F98"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 ref="F99"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List>
</comments>
</file>

<file path=xl/comments14.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5.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7.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18.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List>
</comments>
</file>

<file path=xl/comments1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0.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1.xml><?xml version="1.0" encoding="utf-8"?>
<comments xmlns="http://schemas.openxmlformats.org/spreadsheetml/2006/main">
  <authors>
    <author>DWHDA01.文亮</author>
    <author>DZHD01.陈剑</author>
  </authors>
  <commentList>
    <comment ref="B5" authorId="0" shapeId="0">
      <text>
        <r>
          <rPr>
            <sz val="9"/>
            <color indexed="81"/>
            <rFont val="宋体"/>
            <family val="3"/>
            <charset val="134"/>
          </rPr>
          <t>含露天停车位面积</t>
        </r>
      </text>
    </comment>
    <comment ref="I5" authorId="1" shapeId="0">
      <text>
        <r>
          <rPr>
            <b/>
            <sz val="9"/>
            <color indexed="81"/>
            <rFont val="宋体"/>
            <family val="3"/>
            <charset val="134"/>
          </rPr>
          <t>按材质区分，草皮为绿化、硬铺为此处所说面积</t>
        </r>
      </text>
    </comment>
    <comment ref="D7" authorId="0" shapeId="0">
      <text>
        <r>
          <rPr>
            <sz val="9"/>
            <color indexed="81"/>
            <rFont val="宋体"/>
            <family val="3"/>
            <charset val="134"/>
          </rPr>
          <t>不含庭院占地面积</t>
        </r>
      </text>
    </comment>
    <comment ref="J7" authorId="0" shapeId="0">
      <text>
        <r>
          <rPr>
            <sz val="9"/>
            <color indexed="81"/>
            <rFont val="宋体"/>
            <family val="3"/>
            <charset val="134"/>
          </rPr>
          <t>不含室外泳池占地面积</t>
        </r>
      </text>
    </comment>
    <comment ref="C11" authorId="1" shapeId="0">
      <text>
        <r>
          <rPr>
            <b/>
            <sz val="9"/>
            <color indexed="81"/>
            <rFont val="宋体"/>
            <family val="3"/>
            <charset val="134"/>
          </rPr>
          <t>（绿地率所指的"居住区用地范围内各类绿地占地面积"主要包括公共绿地、宅旁绿地等。其中，公共绿地，又包括居住区公园、小游园、组团绿地及其他的一些块状、带状化公共绿地。）（绿地率跟绿化率不是同一概念，绿化率亦为绿化覆盖率，即绿化垂直投影面积之和与小区用地面积的比率，比如一棵树的影子很大，但它的占地面积是很小的</t>
        </r>
      </text>
    </comment>
  </commentList>
</comments>
</file>

<file path=xl/comments22.xml><?xml version="1.0" encoding="utf-8"?>
<comments xmlns="http://schemas.openxmlformats.org/spreadsheetml/2006/main">
  <authors>
    <author>DQDCA03.丁南</author>
    <author>DQDL03.刘晓鹏</author>
    <author>DWHDA01.文亮</author>
  </authors>
  <commentList>
    <comment ref="M6" authorId="0" shapeId="0">
      <text>
        <r>
          <rPr>
            <b/>
            <sz val="9"/>
            <color indexed="81"/>
            <rFont val="宋体"/>
            <family val="3"/>
            <charset val="134"/>
          </rPr>
          <t>DQDCA03.丁南:</t>
        </r>
        <r>
          <rPr>
            <sz val="9"/>
            <color indexed="81"/>
            <rFont val="宋体"/>
            <family val="3"/>
            <charset val="134"/>
          </rPr>
          <t xml:space="preserve">
溢价含契税，分别列示</t>
        </r>
      </text>
    </comment>
    <comment ref="O7" authorId="1" shapeId="0">
      <text>
        <r>
          <rPr>
            <b/>
            <sz val="9"/>
            <color indexed="81"/>
            <rFont val="宋体"/>
            <family val="3"/>
            <charset val="134"/>
          </rPr>
          <t>DQDL03.刘晓鹏
烟草已缴纳契税，此部分契税应包含在股权交易对价中。</t>
        </r>
      </text>
    </comment>
    <comment ref="F16" authorId="2" shapeId="0">
      <text>
        <r>
          <rPr>
            <b/>
            <sz val="9"/>
            <color indexed="81"/>
            <rFont val="Tahoma"/>
            <family val="2"/>
          </rPr>
          <t>DWHDA01.</t>
        </r>
        <r>
          <rPr>
            <b/>
            <sz val="9"/>
            <color indexed="81"/>
            <rFont val="宋体"/>
            <family val="3"/>
            <charset val="134"/>
          </rPr>
          <t>文亮</t>
        </r>
        <r>
          <rPr>
            <b/>
            <sz val="9"/>
            <color indexed="81"/>
            <rFont val="Tahoma"/>
            <family val="2"/>
          </rPr>
          <t>:</t>
        </r>
        <r>
          <rPr>
            <sz val="9"/>
            <color indexed="81"/>
            <rFont val="Tahoma"/>
            <family val="2"/>
          </rPr>
          <t xml:space="preserve">
</t>
        </r>
        <r>
          <rPr>
            <sz val="9"/>
            <color indexed="81"/>
            <rFont val="宋体"/>
            <family val="3"/>
            <charset val="134"/>
          </rPr>
          <t>是否包含不计容积率地下室商业（需补交土地收益金）这种产品类型的经营面积</t>
        </r>
      </text>
    </comment>
  </commentList>
</comments>
</file>

<file path=xl/comments23.xml><?xml version="1.0" encoding="utf-8"?>
<comments xmlns="http://schemas.openxmlformats.org/spreadsheetml/2006/main">
  <authors>
    <author>DZHD01.陈剑</author>
  </authors>
  <commentList>
    <comment ref="F98"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 ref="F99" authorId="0" shapeId="0">
      <text>
        <r>
          <rPr>
            <b/>
            <sz val="9"/>
            <color indexed="81"/>
            <rFont val="宋体"/>
            <family val="3"/>
            <charset val="134"/>
          </rPr>
          <t>DZHD01.陈剑:</t>
        </r>
        <r>
          <rPr>
            <sz val="9"/>
            <color indexed="81"/>
            <rFont val="宋体"/>
            <family val="3"/>
            <charset val="134"/>
          </rPr>
          <t xml:space="preserve">
此项目中，地下室面积包括主楼地下部分；若地下与塔楼脱开，须增加塔楼基底面积</t>
        </r>
      </text>
    </comment>
  </commentList>
</comments>
</file>

<file path=xl/comments24.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5.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6.xml><?xml version="1.0" encoding="utf-8"?>
<comments xmlns="http://schemas.openxmlformats.org/spreadsheetml/2006/main">
  <authors>
    <author>DZHD01.陈剑</author>
  </authors>
  <commentLis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7.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comments28.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List>
</comments>
</file>

<file path=xl/comments29.xml><?xml version="1.0" encoding="utf-8"?>
<comments xmlns="http://schemas.openxmlformats.org/spreadsheetml/2006/main">
  <authors>
    <author>DZHD01.陈剑</author>
  </authors>
  <commentList>
    <comment ref="D17" authorId="0" shapeId="0">
      <text>
        <r>
          <rPr>
            <b/>
            <sz val="9"/>
            <color indexed="81"/>
            <rFont val="宋体"/>
            <family val="3"/>
            <charset val="134"/>
          </rPr>
          <t>DZHD01.陈剑:</t>
        </r>
        <r>
          <rPr>
            <sz val="9"/>
            <color indexed="81"/>
            <rFont val="宋体"/>
            <family val="3"/>
            <charset val="134"/>
          </rPr>
          <t xml:space="preserve">
原测算里预制楼梯甲供，有单合同，本次不再单列直接归此处</t>
        </r>
      </text>
    </comment>
    <comment ref="F112" authorId="0" shapeId="0">
      <text>
        <r>
          <rPr>
            <b/>
            <sz val="9"/>
            <color indexed="81"/>
            <rFont val="宋体"/>
            <family val="3"/>
            <charset val="134"/>
          </rPr>
          <t>DZHD01.陈剑:</t>
        </r>
        <r>
          <rPr>
            <sz val="9"/>
            <color indexed="81"/>
            <rFont val="宋体"/>
            <family val="3"/>
            <charset val="134"/>
          </rPr>
          <t xml:space="preserve">
算地下，故+1</t>
        </r>
      </text>
    </comment>
    <comment ref="F113" authorId="0" shapeId="0">
      <text>
        <r>
          <rPr>
            <b/>
            <sz val="9"/>
            <color indexed="81"/>
            <rFont val="宋体"/>
            <family val="3"/>
            <charset val="134"/>
          </rPr>
          <t>DZHD01.陈剑:</t>
        </r>
        <r>
          <rPr>
            <sz val="9"/>
            <color indexed="81"/>
            <rFont val="宋体"/>
            <family val="3"/>
            <charset val="134"/>
          </rPr>
          <t xml:space="preserve">
算地下，故+1</t>
        </r>
      </text>
    </comment>
    <comment ref="F122" authorId="0" shapeId="0">
      <text>
        <r>
          <rPr>
            <b/>
            <sz val="9"/>
            <color indexed="81"/>
            <rFont val="宋体"/>
            <family val="3"/>
            <charset val="134"/>
          </rPr>
          <t>DZHD01.陈剑:</t>
        </r>
        <r>
          <rPr>
            <sz val="9"/>
            <color indexed="81"/>
            <rFont val="宋体"/>
            <family val="3"/>
            <charset val="134"/>
          </rPr>
          <t xml:space="preserve">
算地下，故+1</t>
        </r>
      </text>
    </comment>
    <comment ref="J127" authorId="0" shapeId="0">
      <text>
        <r>
          <rPr>
            <b/>
            <sz val="9"/>
            <color indexed="81"/>
            <rFont val="宋体"/>
            <family val="3"/>
            <charset val="134"/>
          </rPr>
          <t>DZHD01.陈剑:</t>
        </r>
        <r>
          <rPr>
            <sz val="9"/>
            <color indexed="81"/>
            <rFont val="宋体"/>
            <family val="3"/>
            <charset val="134"/>
          </rPr>
          <t xml:space="preserve">
直接取原测算总值</t>
        </r>
      </text>
    </comment>
    <comment ref="F140" authorId="0" shapeId="0">
      <text>
        <r>
          <rPr>
            <b/>
            <sz val="9"/>
            <color indexed="81"/>
            <rFont val="宋体"/>
            <family val="3"/>
            <charset val="134"/>
          </rPr>
          <t>DZHD01.陈剑:</t>
        </r>
        <r>
          <rPr>
            <sz val="9"/>
            <color indexed="81"/>
            <rFont val="宋体"/>
            <family val="3"/>
            <charset val="134"/>
          </rPr>
          <t xml:space="preserve">
算地下，故+1</t>
        </r>
      </text>
    </comment>
    <comment ref="F142" authorId="0" shapeId="0">
      <text>
        <r>
          <rPr>
            <b/>
            <sz val="9"/>
            <color indexed="81"/>
            <rFont val="宋体"/>
            <family val="3"/>
            <charset val="134"/>
          </rPr>
          <t>DZHD01.陈剑:</t>
        </r>
        <r>
          <rPr>
            <sz val="9"/>
            <color indexed="81"/>
            <rFont val="宋体"/>
            <family val="3"/>
            <charset val="134"/>
          </rPr>
          <t xml:space="preserve">
去掉架空层，故-1</t>
        </r>
      </text>
    </comment>
    <comment ref="F143" authorId="0" shapeId="0">
      <text>
        <r>
          <rPr>
            <b/>
            <sz val="9"/>
            <color indexed="81"/>
            <rFont val="宋体"/>
            <family val="3"/>
            <charset val="134"/>
          </rPr>
          <t>DZHD01.陈剑:</t>
        </r>
        <r>
          <rPr>
            <sz val="9"/>
            <color indexed="81"/>
            <rFont val="宋体"/>
            <family val="3"/>
            <charset val="134"/>
          </rPr>
          <t xml:space="preserve">
去掉架空层，故-1</t>
        </r>
      </text>
    </comment>
    <comment ref="F144" authorId="0" shapeId="0">
      <text>
        <r>
          <rPr>
            <b/>
            <sz val="9"/>
            <color indexed="81"/>
            <rFont val="宋体"/>
            <family val="3"/>
            <charset val="134"/>
          </rPr>
          <t>DZHD01.陈剑:</t>
        </r>
        <r>
          <rPr>
            <sz val="9"/>
            <color indexed="81"/>
            <rFont val="宋体"/>
            <family val="3"/>
            <charset val="134"/>
          </rPr>
          <t xml:space="preserve">
去掉架空层，故-1</t>
        </r>
      </text>
    </comment>
  </commentList>
</comments>
</file>

<file path=xl/sharedStrings.xml><?xml version="1.0" encoding="utf-8"?>
<sst xmlns="http://schemas.openxmlformats.org/spreadsheetml/2006/main" count="35602" uniqueCount="4350">
  <si>
    <t>层数</t>
  </si>
  <si>
    <t>m2/个</t>
  </si>
  <si>
    <t>m2/层</t>
  </si>
  <si>
    <t>楼栋数(栋)</t>
  </si>
  <si>
    <t>套/户</t>
  </si>
  <si>
    <t>户数</t>
  </si>
  <si>
    <t>个/户</t>
  </si>
  <si>
    <t>m2/樘</t>
  </si>
  <si>
    <t>单方成本</t>
  </si>
  <si>
    <t>基底面积</t>
  </si>
  <si>
    <t>建筑面积</t>
  </si>
  <si>
    <t>建筑面积</t>
  </si>
  <si>
    <t>建筑物基底面积</t>
  </si>
  <si>
    <t>原始指标</t>
  </si>
  <si>
    <t>系数</t>
  </si>
  <si>
    <t>单价(元)</t>
  </si>
  <si>
    <t>工程量及单价说明</t>
  </si>
  <si>
    <t>主体建安工程费</t>
  </si>
  <si>
    <t>单元数</t>
  </si>
  <si>
    <t>防水</t>
  </si>
  <si>
    <t>可售面积</t>
  </si>
  <si>
    <t>门窗工程</t>
  </si>
  <si>
    <t>室内装修</t>
  </si>
  <si>
    <t>成本项目</t>
  </si>
  <si>
    <t>合计</t>
  </si>
  <si>
    <t>序号</t>
  </si>
  <si>
    <t>一</t>
  </si>
  <si>
    <t>二</t>
  </si>
  <si>
    <t>三</t>
  </si>
  <si>
    <t>管理费用</t>
  </si>
  <si>
    <t>销售费用</t>
  </si>
  <si>
    <t>财务费用</t>
  </si>
  <si>
    <t>项目总投资</t>
  </si>
  <si>
    <t>2）</t>
  </si>
  <si>
    <t>四</t>
  </si>
  <si>
    <t>建筑立面及部品</t>
  </si>
  <si>
    <t>1）</t>
  </si>
  <si>
    <t>序号</t>
  </si>
  <si>
    <t>总建筑面积</t>
  </si>
  <si>
    <t>◆</t>
  </si>
  <si>
    <t>场地平整</t>
  </si>
  <si>
    <t>户数</t>
  </si>
  <si>
    <t>建筑面积</t>
  </si>
  <si>
    <t>其他</t>
  </si>
  <si>
    <t>门窗工程</t>
  </si>
  <si>
    <t>室内装修</t>
  </si>
  <si>
    <t>小计</t>
  </si>
  <si>
    <t>原始指标</t>
  </si>
  <si>
    <t>工程量及单价说明</t>
  </si>
  <si>
    <t>电子巡更系统</t>
  </si>
  <si>
    <t>电子公告屏</t>
  </si>
  <si>
    <t>大堂精装修</t>
  </si>
  <si>
    <r>
      <t>项</t>
    </r>
    <r>
      <rPr>
        <b/>
        <sz val="10"/>
        <rFont val="Times New Roman"/>
        <family val="1"/>
      </rPr>
      <t xml:space="preserve">  </t>
    </r>
    <r>
      <rPr>
        <b/>
        <sz val="10"/>
        <rFont val="宋体"/>
        <family val="3"/>
        <charset val="134"/>
      </rPr>
      <t>目</t>
    </r>
  </si>
  <si>
    <t>期间费用</t>
  </si>
  <si>
    <t>增值额</t>
  </si>
  <si>
    <t>增值税</t>
  </si>
  <si>
    <t xml:space="preserve"> 合计 </t>
  </si>
  <si>
    <t>单元数</t>
  </si>
  <si>
    <t>合计</t>
  </si>
  <si>
    <t>混凝土</t>
  </si>
  <si>
    <t>建筑物基底面积</t>
  </si>
  <si>
    <t>入户门</t>
  </si>
  <si>
    <t>窗、阳台门</t>
  </si>
  <si>
    <t>土地属性指标类</t>
  </si>
  <si>
    <t>地下室</t>
  </si>
  <si>
    <t>规划设计费</t>
  </si>
  <si>
    <t>工程管理费</t>
  </si>
  <si>
    <t>造价咨询费</t>
  </si>
  <si>
    <t>2）</t>
  </si>
  <si>
    <t>3）</t>
  </si>
  <si>
    <t>4）</t>
  </si>
  <si>
    <t>5）</t>
  </si>
  <si>
    <t>7）</t>
  </si>
  <si>
    <t>8）</t>
  </si>
  <si>
    <t>9）</t>
  </si>
  <si>
    <t>10）</t>
  </si>
  <si>
    <t>土地出让金</t>
  </si>
  <si>
    <t>三</t>
  </si>
  <si>
    <t>4）</t>
  </si>
  <si>
    <t>5）</t>
  </si>
  <si>
    <t>6）</t>
  </si>
  <si>
    <t>六</t>
  </si>
  <si>
    <t>开发管理费</t>
  </si>
  <si>
    <t xml:space="preserve">公共部位精装修 </t>
  </si>
  <si>
    <t>室内弱电系统</t>
  </si>
  <si>
    <t>三</t>
  </si>
  <si>
    <t>四</t>
  </si>
  <si>
    <t>建筑立面及部品</t>
  </si>
  <si>
    <t>3）</t>
  </si>
  <si>
    <t>地下室大堂装修</t>
  </si>
  <si>
    <t>架空层泛大堂装修</t>
  </si>
  <si>
    <t>7）</t>
  </si>
  <si>
    <t>环保系统费</t>
  </si>
  <si>
    <t>新风系统</t>
  </si>
  <si>
    <t>太阳能设备及安装</t>
  </si>
  <si>
    <t>直饮水设备及安装</t>
  </si>
  <si>
    <t>降噪隔音系统</t>
  </si>
  <si>
    <t>楼体泛光照明</t>
  </si>
  <si>
    <t>中水（含室内）系统</t>
  </si>
  <si>
    <t>11）</t>
  </si>
  <si>
    <t>部/单元</t>
  </si>
  <si>
    <t>m2/m2</t>
  </si>
  <si>
    <t>m2/m2</t>
  </si>
  <si>
    <t>m3/m2</t>
  </si>
  <si>
    <t>kg/m2</t>
  </si>
  <si>
    <t>可售面积</t>
  </si>
  <si>
    <t>产品类型</t>
  </si>
  <si>
    <t>楼栋数</t>
  </si>
  <si>
    <t>消耗量系数</t>
  </si>
  <si>
    <t>系数单位</t>
  </si>
  <si>
    <t>消耗量</t>
  </si>
  <si>
    <t>m2</t>
  </si>
  <si>
    <t>kg/m2</t>
  </si>
  <si>
    <t>套/户</t>
  </si>
  <si>
    <t>层数</t>
  </si>
  <si>
    <t xml:space="preserve">公共部位精装修 </t>
  </si>
  <si>
    <t>架空层泛大堂装修</t>
  </si>
  <si>
    <t>m2/层</t>
  </si>
  <si>
    <t>标准层电梯厅装修</t>
  </si>
  <si>
    <t>个/户</t>
  </si>
  <si>
    <t>直饮水设备及安装</t>
  </si>
  <si>
    <t>中水（含室内）系统</t>
  </si>
  <si>
    <t>m2/个</t>
  </si>
  <si>
    <t>m2/个</t>
  </si>
  <si>
    <t>行政管理费</t>
  </si>
  <si>
    <t>消耗量</t>
  </si>
  <si>
    <t>原始指标</t>
  </si>
  <si>
    <t>工程量及单价说明</t>
  </si>
  <si>
    <t>混凝土</t>
  </si>
  <si>
    <t>门窗工程</t>
  </si>
  <si>
    <t>单元数</t>
  </si>
  <si>
    <t>地下室大堂装修</t>
  </si>
  <si>
    <t>太阳能设备及安装</t>
  </si>
  <si>
    <t>大堂精装修</t>
  </si>
  <si>
    <t>容积率</t>
  </si>
  <si>
    <t>m</t>
  </si>
  <si>
    <t>1)</t>
  </si>
  <si>
    <t>2)</t>
  </si>
  <si>
    <t>总成本</t>
  </si>
  <si>
    <t>环境提升工程费</t>
  </si>
  <si>
    <t>土地合同外选择型配套</t>
  </si>
  <si>
    <t>八</t>
  </si>
  <si>
    <t>资本化利息</t>
  </si>
  <si>
    <t>m2</t>
  </si>
  <si>
    <t>6）</t>
  </si>
  <si>
    <t>m2/m2</t>
  </si>
  <si>
    <t>11）</t>
  </si>
  <si>
    <t>12）</t>
  </si>
  <si>
    <t>13）</t>
  </si>
  <si>
    <t>市政设施用房</t>
  </si>
  <si>
    <t>教育设施建设及引入</t>
  </si>
  <si>
    <t>一期</t>
  </si>
  <si>
    <t>二期</t>
  </si>
  <si>
    <t>三期</t>
  </si>
  <si>
    <t>15-3Q</t>
  </si>
  <si>
    <t>15-4Q</t>
  </si>
  <si>
    <t>16-1Q</t>
  </si>
  <si>
    <t>16-2Q</t>
  </si>
  <si>
    <t>16-3Q</t>
  </si>
  <si>
    <t>16-4Q</t>
  </si>
  <si>
    <t>17-1Q</t>
  </si>
  <si>
    <t>17-2Q</t>
  </si>
  <si>
    <t>17-3Q</t>
  </si>
  <si>
    <t>17-4Q</t>
  </si>
  <si>
    <t>18-1Q</t>
  </si>
  <si>
    <t>18-2Q</t>
  </si>
  <si>
    <t>18-3Q</t>
  </si>
  <si>
    <t>18-4Q</t>
  </si>
  <si>
    <t>19-1Q</t>
  </si>
  <si>
    <t>19-2Q</t>
  </si>
  <si>
    <t>19-3Q</t>
  </si>
  <si>
    <t>19-4Q</t>
  </si>
  <si>
    <t>20-1Q</t>
  </si>
  <si>
    <t>15-3Q</t>
  </si>
  <si>
    <t>15-4Q</t>
  </si>
  <si>
    <t>16-1Q</t>
  </si>
  <si>
    <t>16-2Q</t>
  </si>
  <si>
    <t>16-3Q</t>
  </si>
  <si>
    <t>16-4Q</t>
  </si>
  <si>
    <t>17-1Q</t>
  </si>
  <si>
    <t>17-2Q</t>
  </si>
  <si>
    <t>17-3Q</t>
  </si>
  <si>
    <t>17-4Q</t>
  </si>
  <si>
    <t>18-1Q</t>
  </si>
  <si>
    <t>18-2Q</t>
  </si>
  <si>
    <t>18-3Q</t>
  </si>
  <si>
    <t>18-4Q</t>
  </si>
  <si>
    <t>19-1Q</t>
  </si>
  <si>
    <t>19-2Q</t>
  </si>
  <si>
    <t>19-3Q</t>
  </si>
  <si>
    <t>19-4Q</t>
  </si>
  <si>
    <t>20-1Q</t>
  </si>
  <si>
    <t>20-2Q</t>
  </si>
  <si>
    <t>一、地块基本信息</t>
  </si>
  <si>
    <r>
      <t>1</t>
    </r>
    <r>
      <rPr>
        <b/>
        <sz val="10"/>
        <rFont val="宋体"/>
        <family val="3"/>
        <charset val="134"/>
      </rPr>
      <t>、土地成交价格敏感性</t>
    </r>
  </si>
  <si>
    <t>平方米</t>
  </si>
  <si>
    <r>
      <rPr>
        <b/>
        <sz val="10"/>
        <rFont val="宋体"/>
        <family val="3"/>
        <charset val="134"/>
      </rPr>
      <t>起价</t>
    </r>
  </si>
  <si>
    <r>
      <rPr>
        <b/>
        <sz val="10"/>
        <rFont val="宋体"/>
        <family val="3"/>
        <charset val="134"/>
      </rPr>
      <t>加价</t>
    </r>
  </si>
  <si>
    <r>
      <rPr>
        <b/>
        <sz val="10"/>
        <rFont val="宋体"/>
        <family val="3"/>
        <charset val="134"/>
      </rPr>
      <t>成交价格</t>
    </r>
  </si>
  <si>
    <r>
      <rPr>
        <b/>
        <sz val="10"/>
        <rFont val="宋体"/>
        <family val="3"/>
        <charset val="134"/>
      </rPr>
      <t>底价上涨比例</t>
    </r>
  </si>
  <si>
    <t>容积率</t>
  </si>
  <si>
    <t>每亩地价</t>
  </si>
  <si>
    <t>计容积率面积</t>
  </si>
  <si>
    <t>平方米</t>
  </si>
  <si>
    <t>起拍价</t>
  </si>
  <si>
    <t>万/亩</t>
  </si>
  <si>
    <r>
      <rPr>
        <sz val="10"/>
        <rFont val="宋体"/>
        <family val="3"/>
        <charset val="134"/>
      </rPr>
      <t>楼面价（元</t>
    </r>
    <r>
      <rPr>
        <sz val="10"/>
        <rFont val="Times New Roman"/>
        <family val="1"/>
      </rPr>
      <t>/</t>
    </r>
    <r>
      <rPr>
        <sz val="10"/>
        <rFont val="宋体"/>
        <family val="3"/>
        <charset val="134"/>
      </rPr>
      <t>平米）</t>
    </r>
  </si>
  <si>
    <t>二、经济指标</t>
  </si>
  <si>
    <r>
      <rPr>
        <b/>
        <sz val="10"/>
        <rFont val="宋体"/>
        <family val="3"/>
        <charset val="134"/>
      </rPr>
      <t>项目</t>
    </r>
  </si>
  <si>
    <r>
      <rPr>
        <b/>
        <sz val="10"/>
        <rFont val="宋体"/>
        <family val="3"/>
        <charset val="134"/>
      </rPr>
      <t>指标值</t>
    </r>
  </si>
  <si>
    <t>起价</t>
  </si>
  <si>
    <t>季度价格涨幅</t>
  </si>
  <si>
    <t>均价</t>
  </si>
  <si>
    <t>面积</t>
  </si>
  <si>
    <t>销售额</t>
  </si>
  <si>
    <t>三、分年业绩体现情况</t>
  </si>
  <si>
    <t>2017年</t>
  </si>
  <si>
    <t>销售面积</t>
  </si>
  <si>
    <t>项目利润</t>
  </si>
  <si>
    <t>期间费用</t>
  </si>
  <si>
    <t>创造净利润</t>
  </si>
  <si>
    <t>净利率</t>
  </si>
  <si>
    <t>结算面积</t>
  </si>
  <si>
    <t>结算金额</t>
  </si>
  <si>
    <t>结算利润</t>
  </si>
  <si>
    <t>四、分产品盈利能力</t>
  </si>
  <si>
    <t>项目</t>
  </si>
  <si>
    <t>销售面积（平米）</t>
  </si>
  <si>
    <t>期间费用（万元）</t>
  </si>
  <si>
    <r>
      <t xml:space="preserve">     </t>
    </r>
    <r>
      <rPr>
        <sz val="10"/>
        <rFont val="宋体"/>
        <family val="3"/>
        <charset val="134"/>
      </rPr>
      <t>其中：管理费用（万元）</t>
    </r>
  </si>
  <si>
    <r>
      <t xml:space="preserve">                  </t>
    </r>
    <r>
      <rPr>
        <sz val="10"/>
        <rFont val="宋体"/>
        <family val="3"/>
        <charset val="134"/>
      </rPr>
      <t>销售费用（万元）</t>
    </r>
  </si>
  <si>
    <r>
      <t xml:space="preserve">     </t>
    </r>
    <r>
      <rPr>
        <sz val="10"/>
        <rFont val="宋体"/>
        <family val="3"/>
        <charset val="134"/>
      </rPr>
      <t>税前利润（万元）</t>
    </r>
  </si>
  <si>
    <t>所得税（万元）</t>
  </si>
  <si>
    <t>税后利润（万元）</t>
  </si>
  <si>
    <t>销售净利率</t>
  </si>
  <si>
    <t>单方净利（元/平米）</t>
  </si>
  <si>
    <t>2014年</t>
  </si>
  <si>
    <t>2015年</t>
  </si>
  <si>
    <r>
      <t>2016</t>
    </r>
    <r>
      <rPr>
        <sz val="10"/>
        <rFont val="宋体"/>
        <family val="3"/>
        <charset val="134"/>
      </rPr>
      <t>年</t>
    </r>
  </si>
  <si>
    <t>2017年</t>
  </si>
  <si>
    <t>2018年</t>
  </si>
  <si>
    <t>2019年</t>
  </si>
  <si>
    <t>2020年</t>
  </si>
  <si>
    <t>2021年</t>
  </si>
  <si>
    <t>2022年</t>
  </si>
  <si>
    <t>2023年</t>
  </si>
  <si>
    <t>2024年</t>
  </si>
  <si>
    <t>20-3Q</t>
  </si>
  <si>
    <t>20-4Q</t>
  </si>
  <si>
    <t>21-1Q</t>
  </si>
  <si>
    <t>21-2Q</t>
  </si>
  <si>
    <t>21-3Q</t>
  </si>
  <si>
    <t>21-4Q</t>
  </si>
  <si>
    <t>销售价格</t>
  </si>
  <si>
    <t>销售金额</t>
  </si>
  <si>
    <t>销售面积</t>
  </si>
  <si>
    <t>2025年</t>
  </si>
  <si>
    <t>累计</t>
  </si>
  <si>
    <t>结算面积</t>
  </si>
  <si>
    <t>项目利润</t>
  </si>
  <si>
    <t>期间费用</t>
  </si>
  <si>
    <r>
      <t xml:space="preserve">    </t>
    </r>
    <r>
      <rPr>
        <sz val="10"/>
        <rFont val="宋体"/>
        <family val="3"/>
        <charset val="134"/>
      </rPr>
      <t>其中：管理费用</t>
    </r>
  </si>
  <si>
    <t xml:space="preserve">          销售费用</t>
  </si>
  <si>
    <t>税前利润</t>
  </si>
  <si>
    <t>所得税</t>
  </si>
  <si>
    <t>税后利润</t>
  </si>
  <si>
    <r>
      <t>单位毛利</t>
    </r>
    <r>
      <rPr>
        <sz val="10"/>
        <rFont val="Times New Roman"/>
        <family val="1"/>
      </rPr>
      <t>(</t>
    </r>
    <r>
      <rPr>
        <sz val="10"/>
        <rFont val="宋体"/>
        <family val="3"/>
        <charset val="134"/>
      </rPr>
      <t>元/m2)</t>
    </r>
  </si>
  <si>
    <r>
      <t>单位净利</t>
    </r>
    <r>
      <rPr>
        <b/>
        <sz val="10"/>
        <color indexed="12"/>
        <rFont val="Times New Roman"/>
        <family val="1"/>
      </rPr>
      <t>(</t>
    </r>
    <r>
      <rPr>
        <b/>
        <sz val="10"/>
        <color indexed="12"/>
        <rFont val="宋体"/>
        <family val="3"/>
        <charset val="134"/>
      </rPr>
      <t>元/m2)</t>
    </r>
  </si>
  <si>
    <r>
      <t>销售毛利率</t>
    </r>
    <r>
      <rPr>
        <sz val="10"/>
        <rFont val="Times New Roman"/>
        <family val="1"/>
      </rPr>
      <t>%</t>
    </r>
  </si>
  <si>
    <r>
      <t>销售净利率</t>
    </r>
    <r>
      <rPr>
        <sz val="10"/>
        <rFont val="Times New Roman"/>
        <family val="1"/>
      </rPr>
      <t>%</t>
    </r>
  </si>
  <si>
    <r>
      <t>项</t>
    </r>
    <r>
      <rPr>
        <b/>
        <sz val="10"/>
        <rFont val="Times New Roman"/>
        <family val="1"/>
      </rPr>
      <t xml:space="preserve">  </t>
    </r>
    <r>
      <rPr>
        <b/>
        <sz val="10"/>
        <rFont val="宋体"/>
        <family val="3"/>
        <charset val="134"/>
      </rPr>
      <t>目</t>
    </r>
  </si>
  <si>
    <t>合计</t>
  </si>
  <si>
    <r>
      <t>2016</t>
    </r>
    <r>
      <rPr>
        <sz val="10"/>
        <rFont val="宋体"/>
        <family val="3"/>
        <charset val="134"/>
      </rPr>
      <t>年</t>
    </r>
  </si>
  <si>
    <t>14-3Q</t>
  </si>
  <si>
    <t>14-4Q</t>
  </si>
  <si>
    <t>15-1Q</t>
  </si>
  <si>
    <t>15-2Q</t>
  </si>
  <si>
    <t>15-3Q</t>
  </si>
  <si>
    <t>15-4Q</t>
  </si>
  <si>
    <t>16-1Q</t>
  </si>
  <si>
    <t>16-2Q</t>
  </si>
  <si>
    <t>16-3Q</t>
  </si>
  <si>
    <t>16-4Q</t>
  </si>
  <si>
    <t>17-1Q</t>
  </si>
  <si>
    <t>17-2Q</t>
  </si>
  <si>
    <t>17-3Q</t>
  </si>
  <si>
    <t>17-4Q</t>
  </si>
  <si>
    <t>18-1Q</t>
  </si>
  <si>
    <t>18-2Q</t>
  </si>
  <si>
    <t>18-3Q</t>
  </si>
  <si>
    <t>18-4Q</t>
  </si>
  <si>
    <t>19-1Q</t>
  </si>
  <si>
    <t>19-2Q</t>
  </si>
  <si>
    <t>结算面积</t>
  </si>
  <si>
    <t>项目利润</t>
  </si>
  <si>
    <t>补缴土地增值税</t>
  </si>
  <si>
    <t xml:space="preserve">    其中：管理费用</t>
  </si>
  <si>
    <t xml:space="preserve">          销售费用</t>
  </si>
  <si>
    <t>税前利润</t>
  </si>
  <si>
    <t>所得税</t>
  </si>
  <si>
    <t>税后利润</t>
  </si>
  <si>
    <r>
      <t>单位毛利</t>
    </r>
    <r>
      <rPr>
        <sz val="10"/>
        <rFont val="Times New Roman"/>
        <family val="1"/>
      </rPr>
      <t>(</t>
    </r>
    <r>
      <rPr>
        <sz val="10"/>
        <rFont val="宋体"/>
        <family val="3"/>
        <charset val="134"/>
      </rPr>
      <t>元/m2)</t>
    </r>
  </si>
  <si>
    <r>
      <t>单位净利</t>
    </r>
    <r>
      <rPr>
        <b/>
        <sz val="10"/>
        <color indexed="12"/>
        <rFont val="Times New Roman"/>
        <family val="1"/>
      </rPr>
      <t>(</t>
    </r>
    <r>
      <rPr>
        <b/>
        <sz val="10"/>
        <color indexed="12"/>
        <rFont val="宋体"/>
        <family val="3"/>
        <charset val="134"/>
      </rPr>
      <t>元/m2)</t>
    </r>
  </si>
  <si>
    <r>
      <t>销售毛利率</t>
    </r>
    <r>
      <rPr>
        <sz val="10"/>
        <rFont val="Times New Roman"/>
        <family val="1"/>
      </rPr>
      <t>%</t>
    </r>
  </si>
  <si>
    <r>
      <t>销售净利率</t>
    </r>
    <r>
      <rPr>
        <sz val="10"/>
        <rFont val="Times New Roman"/>
        <family val="1"/>
      </rPr>
      <t>%</t>
    </r>
  </si>
  <si>
    <t>内容</t>
  </si>
  <si>
    <t>整体清算</t>
  </si>
  <si>
    <t>分期合计</t>
  </si>
  <si>
    <r>
      <t>第</t>
    </r>
    <r>
      <rPr>
        <sz val="10"/>
        <rFont val="Times New Roman"/>
        <family val="1"/>
      </rPr>
      <t>1</t>
    </r>
    <r>
      <rPr>
        <sz val="10"/>
        <rFont val="宋体"/>
        <family val="3"/>
        <charset val="134"/>
      </rPr>
      <t>项</t>
    </r>
  </si>
  <si>
    <t>土地</t>
  </si>
  <si>
    <r>
      <t>第</t>
    </r>
    <r>
      <rPr>
        <sz val="10"/>
        <rFont val="Times New Roman"/>
        <family val="1"/>
      </rPr>
      <t>2项</t>
    </r>
  </si>
  <si>
    <t>建安（扣除利息）</t>
  </si>
  <si>
    <r>
      <t>1-2</t>
    </r>
    <r>
      <rPr>
        <sz val="10"/>
        <rFont val="宋体"/>
        <family val="3"/>
        <charset val="134"/>
      </rPr>
      <t>项合计</t>
    </r>
  </si>
  <si>
    <r>
      <t>第</t>
    </r>
    <r>
      <rPr>
        <sz val="10"/>
        <rFont val="Times New Roman"/>
        <family val="1"/>
      </rPr>
      <t>3项</t>
    </r>
  </si>
  <si>
    <t>开发费用</t>
  </si>
  <si>
    <r>
      <t>第</t>
    </r>
    <r>
      <rPr>
        <sz val="10"/>
        <rFont val="Times New Roman"/>
        <family val="1"/>
      </rPr>
      <t>4项</t>
    </r>
  </si>
  <si>
    <r>
      <t>第</t>
    </r>
    <r>
      <rPr>
        <sz val="10"/>
        <rFont val="Times New Roman"/>
        <family val="1"/>
      </rPr>
      <t>5项</t>
    </r>
  </si>
  <si>
    <t>开发商加计</t>
  </si>
  <si>
    <r>
      <t>第</t>
    </r>
    <r>
      <rPr>
        <sz val="10"/>
        <rFont val="Times New Roman"/>
        <family val="1"/>
      </rPr>
      <t>6项</t>
    </r>
  </si>
  <si>
    <t>扣除项合计</t>
  </si>
  <si>
    <t>增值比例</t>
  </si>
  <si>
    <t>增值税清算</t>
  </si>
  <si>
    <t>累进税率</t>
  </si>
  <si>
    <t>预交增值税</t>
  </si>
  <si>
    <t>补缴增值税</t>
  </si>
  <si>
    <t>项目</t>
  </si>
  <si>
    <t>二、现金流出</t>
  </si>
  <si>
    <r>
      <t>1</t>
    </r>
    <r>
      <rPr>
        <b/>
        <sz val="10"/>
        <rFont val="宋体"/>
        <family val="3"/>
        <charset val="134"/>
      </rPr>
      <t>、付地价款</t>
    </r>
  </si>
  <si>
    <t>契税</t>
  </si>
  <si>
    <t>地价工程</t>
  </si>
  <si>
    <r>
      <t>2</t>
    </r>
    <r>
      <rPr>
        <b/>
        <sz val="10"/>
        <rFont val="宋体"/>
        <family val="3"/>
        <charset val="134"/>
      </rPr>
      <t>、付工程款</t>
    </r>
  </si>
  <si>
    <r>
      <t>3</t>
    </r>
    <r>
      <rPr>
        <b/>
        <sz val="10"/>
        <rFont val="宋体"/>
        <family val="3"/>
        <charset val="134"/>
      </rPr>
      <t>、期间费用</t>
    </r>
  </si>
  <si>
    <r>
      <t>4</t>
    </r>
    <r>
      <rPr>
        <b/>
        <sz val="10"/>
        <rFont val="宋体"/>
        <family val="3"/>
        <charset val="134"/>
      </rPr>
      <t>、预缴税金</t>
    </r>
  </si>
  <si>
    <r>
      <t>5</t>
    </r>
    <r>
      <rPr>
        <b/>
        <sz val="10"/>
        <rFont val="宋体"/>
        <family val="3"/>
        <charset val="134"/>
      </rPr>
      <t>、汇缴税金</t>
    </r>
  </si>
  <si>
    <t>所得税汇算清缴</t>
  </si>
  <si>
    <t>三、净现金流</t>
  </si>
  <si>
    <t>四、累计净现金流</t>
  </si>
  <si>
    <t>五、资本化利息</t>
  </si>
  <si>
    <t>IRR</t>
  </si>
  <si>
    <t>check</t>
  </si>
  <si>
    <t>项目层现金流情况：</t>
  </si>
  <si>
    <t>投资款支出</t>
  </si>
  <si>
    <t>前期垫付利息补偿</t>
  </si>
  <si>
    <t>收回盈达出资</t>
  </si>
  <si>
    <t>支付盈达利息</t>
  </si>
  <si>
    <t>投资净现金流（不认购盈达）</t>
  </si>
  <si>
    <t>投资净现金流（认购盈达）</t>
  </si>
  <si>
    <t>一、项目可售资源</t>
  </si>
  <si>
    <t>二、开发计划</t>
  </si>
  <si>
    <t>开发节奏</t>
  </si>
  <si>
    <t>开工</t>
  </si>
  <si>
    <t>销售</t>
  </si>
  <si>
    <t>交付</t>
  </si>
  <si>
    <t>结算</t>
  </si>
  <si>
    <t>开发周期</t>
  </si>
  <si>
    <t>三、期间费用</t>
  </si>
  <si>
    <t>四、税率参数</t>
  </si>
  <si>
    <t>预计税费情况</t>
  </si>
  <si>
    <t>税率</t>
  </si>
  <si>
    <t>企业所得税</t>
  </si>
  <si>
    <t>项目名称</t>
  </si>
  <si>
    <t>总体规划</t>
  </si>
  <si>
    <t>成本汇总表</t>
  </si>
  <si>
    <t>销售计划</t>
  </si>
  <si>
    <t>结算计划</t>
  </si>
  <si>
    <t>创造利润</t>
  </si>
  <si>
    <t>结算利润</t>
  </si>
  <si>
    <t>现金流量</t>
  </si>
  <si>
    <t>检查式</t>
  </si>
  <si>
    <t>备注</t>
  </si>
  <si>
    <t>不含车位</t>
  </si>
  <si>
    <t>净利润</t>
  </si>
  <si>
    <t>检查式合计</t>
  </si>
  <si>
    <t>关注车位按个数转换</t>
  </si>
  <si>
    <t>工程款合计</t>
  </si>
  <si>
    <t>建造成本小计</t>
  </si>
  <si>
    <t>土地获得价款</t>
  </si>
  <si>
    <t>丈量报建费</t>
  </si>
  <si>
    <t>一</t>
  </si>
  <si>
    <t>五</t>
  </si>
  <si>
    <t>七</t>
  </si>
  <si>
    <t xml:space="preserve">产品 </t>
  </si>
  <si>
    <t>2018年</t>
  </si>
  <si>
    <t>2019年</t>
  </si>
  <si>
    <t>m3/m2</t>
  </si>
  <si>
    <t>基坑支护</t>
  </si>
  <si>
    <t>找平及抹灰</t>
  </si>
  <si>
    <t>2020年</t>
  </si>
  <si>
    <t>销售收入增值税比率</t>
  </si>
  <si>
    <t>清算与预征孰高</t>
  </si>
  <si>
    <t>清算与预征孰高(税率）</t>
  </si>
  <si>
    <t>规模指标</t>
  </si>
  <si>
    <t>跟投指标</t>
  </si>
  <si>
    <r>
      <rPr>
        <sz val="10"/>
        <rFont val="宋体"/>
        <family val="3"/>
        <charset val="134"/>
      </rPr>
      <t>核心指标</t>
    </r>
  </si>
  <si>
    <r>
      <t>1</t>
    </r>
    <r>
      <rPr>
        <sz val="10"/>
        <rFont val="宋体"/>
        <family val="3"/>
        <charset val="134"/>
      </rPr>
      <t>、内部收益率</t>
    </r>
  </si>
  <si>
    <t>员工跟投层</t>
  </si>
  <si>
    <t>股东投入峰值</t>
  </si>
  <si>
    <t>员工跟投比例</t>
  </si>
  <si>
    <t>员工跟投比例（杠杆后）</t>
  </si>
  <si>
    <t>土地增值税</t>
  </si>
  <si>
    <t>综合土增值税率</t>
  </si>
  <si>
    <t>基础信息</t>
  </si>
  <si>
    <t>经济指标</t>
  </si>
  <si>
    <r>
      <t>2016</t>
    </r>
    <r>
      <rPr>
        <b/>
        <sz val="10"/>
        <rFont val="宋体"/>
        <family val="3"/>
        <charset val="134"/>
      </rPr>
      <t>年</t>
    </r>
  </si>
  <si>
    <t>2021年</t>
  </si>
  <si>
    <t>合计</t>
  </si>
  <si>
    <t>跟投人分享融资</t>
  </si>
  <si>
    <t>跟投人分享融资利息</t>
  </si>
  <si>
    <t>投资分回（不认购盈达）</t>
  </si>
  <si>
    <t>投资分回（认购盈达）</t>
  </si>
  <si>
    <r>
      <rPr>
        <sz val="10"/>
        <rFont val="宋体"/>
        <family val="3"/>
        <charset val="134"/>
      </rPr>
      <t>经营流入</t>
    </r>
  </si>
  <si>
    <r>
      <rPr>
        <sz val="10"/>
        <rFont val="宋体"/>
        <family val="3"/>
        <charset val="134"/>
      </rPr>
      <t>经营流出</t>
    </r>
  </si>
  <si>
    <t>净现金流</t>
  </si>
  <si>
    <t>累计净现金流</t>
  </si>
  <si>
    <t>创造利润</t>
  </si>
  <si>
    <t>结算利润</t>
  </si>
  <si>
    <t>累计可分配利润</t>
  </si>
  <si>
    <t>预售监管资金余额</t>
  </si>
  <si>
    <t>预留未来半年资金</t>
  </si>
  <si>
    <t>累计可预分配资金</t>
  </si>
  <si>
    <t>清算分配资金</t>
  </si>
  <si>
    <t>合计分配资金</t>
  </si>
  <si>
    <t>税后累计可分配利润</t>
  </si>
  <si>
    <t>投资IRR(税后无杠杆）</t>
  </si>
  <si>
    <t>投资IRR（税后含杠杆）</t>
  </si>
  <si>
    <t>MOIC（税后无杠杆）</t>
  </si>
  <si>
    <t>MOIC（税后含杠杆）</t>
  </si>
  <si>
    <t>一期</t>
  </si>
  <si>
    <t>二期</t>
  </si>
  <si>
    <t>三期</t>
  </si>
  <si>
    <t>土增值税清算时间</t>
  </si>
  <si>
    <t>占地面积</t>
  </si>
  <si>
    <t>销售价格</t>
  </si>
  <si>
    <t>结算合计</t>
  </si>
  <si>
    <t>结算面积</t>
  </si>
  <si>
    <t>预征增值税率</t>
  </si>
  <si>
    <t>二期</t>
  </si>
  <si>
    <t>三期</t>
  </si>
  <si>
    <t>土地获取时间</t>
  </si>
  <si>
    <t>预交土地增值税</t>
  </si>
  <si>
    <t>所得税预缴</t>
  </si>
  <si>
    <t>管理费用</t>
  </si>
  <si>
    <t>营销费用</t>
  </si>
  <si>
    <t>围墙长度</t>
  </si>
  <si>
    <t>合同/合约包</t>
  </si>
  <si>
    <t>行政管理费</t>
  </si>
  <si>
    <t>地下车库</t>
  </si>
  <si>
    <t>水增容费</t>
  </si>
  <si>
    <t>电增容费</t>
  </si>
  <si>
    <t>燃气增容费</t>
  </si>
  <si>
    <t>木地板供货及安装合同</t>
  </si>
  <si>
    <t>方案专家评审费</t>
  </si>
  <si>
    <t>精装修总承包工程施工合同</t>
  </si>
  <si>
    <t>景观工程施工合同</t>
  </si>
  <si>
    <t>电线电缆供货合同</t>
  </si>
  <si>
    <t>消防工程施工合同</t>
  </si>
  <si>
    <t>电梯供货工程合同</t>
  </si>
  <si>
    <t>瓷砖供货合同</t>
  </si>
  <si>
    <t>智能化工程施工合同</t>
  </si>
  <si>
    <t>外墙涂料采购合同</t>
  </si>
  <si>
    <t>电梯安装工程合同</t>
  </si>
  <si>
    <t>新风系统设备及安装工程合同</t>
  </si>
  <si>
    <t>临电施工工程合同</t>
  </si>
  <si>
    <t>信报箱采购及安装合同</t>
  </si>
  <si>
    <t>临水施工工程合同</t>
  </si>
  <si>
    <t>土地使用费</t>
  </si>
  <si>
    <t>人防异地建设费</t>
  </si>
  <si>
    <t>大市政配套费</t>
  </si>
  <si>
    <t>外墙石材供货及施工合同</t>
  </si>
  <si>
    <t>外墙面砖供货合同</t>
  </si>
  <si>
    <t>楼体泛光照明合同</t>
  </si>
  <si>
    <t>屋面瓦供货合同</t>
  </si>
  <si>
    <t>进项税</t>
  </si>
  <si>
    <t>*</t>
  </si>
  <si>
    <t>可售面积/经营面积</t>
  </si>
  <si>
    <t>土地及政府规费</t>
  </si>
  <si>
    <t>5001.01.01</t>
  </si>
  <si>
    <t>5001.01.02</t>
  </si>
  <si>
    <t>土地溢价</t>
  </si>
  <si>
    <t>5001.01.03</t>
  </si>
  <si>
    <t>配套及地下室工程费</t>
  </si>
  <si>
    <t>5001.02.01</t>
  </si>
  <si>
    <t>5001.02.02</t>
  </si>
  <si>
    <t>5001.02.03</t>
  </si>
  <si>
    <t>土方、地基处理与边坡支护、桩基工程</t>
  </si>
  <si>
    <t>5001.02.04</t>
  </si>
  <si>
    <t>基建及管网工程费</t>
  </si>
  <si>
    <t>5001.03.01</t>
  </si>
  <si>
    <t>结构及粗装修工程</t>
  </si>
  <si>
    <t>直接归属</t>
  </si>
  <si>
    <t>5001.03.02</t>
  </si>
  <si>
    <t>主体安装工程</t>
  </si>
  <si>
    <t>5001.03.03</t>
  </si>
  <si>
    <t>室外管网工程</t>
  </si>
  <si>
    <t>5001.03.04</t>
  </si>
  <si>
    <t>风险费（材料、人工预留）</t>
  </si>
  <si>
    <t>5001.03.05</t>
  </si>
  <si>
    <t>室内精装修工程费</t>
  </si>
  <si>
    <t>装饰及环保工程费</t>
  </si>
  <si>
    <t>5001.05.01</t>
  </si>
  <si>
    <t>直接归属</t>
  </si>
  <si>
    <t>5001.05.02</t>
  </si>
  <si>
    <t>5001.05.03</t>
  </si>
  <si>
    <t>5001.05.04</t>
  </si>
  <si>
    <t>5001.06.01</t>
  </si>
  <si>
    <t>5001.06.02</t>
  </si>
  <si>
    <t>室外智能化系统</t>
  </si>
  <si>
    <t>5001.06.03</t>
  </si>
  <si>
    <t>园林环境工程</t>
  </si>
  <si>
    <t>5001.07.01</t>
  </si>
  <si>
    <t>5001.07.02</t>
  </si>
  <si>
    <t>5001.07.03</t>
  </si>
  <si>
    <t>5001.07.04</t>
  </si>
  <si>
    <t>营销/租赁设施建造费</t>
  </si>
  <si>
    <t>5001.07.05</t>
  </si>
  <si>
    <t>进项税率（%）</t>
  </si>
  <si>
    <t>◆</t>
  </si>
  <si>
    <t>2)</t>
  </si>
  <si>
    <t>地块周边市政设施改造费</t>
  </si>
  <si>
    <t>销售物业</t>
  </si>
  <si>
    <t>计容可售面积</t>
  </si>
  <si>
    <t>持有物业</t>
  </si>
  <si>
    <t>计容经营面积</t>
  </si>
  <si>
    <t>其中：酒店外地价</t>
  </si>
  <si>
    <t xml:space="preserve">占地面积 （m2） </t>
  </si>
  <si>
    <t>分摊基数</t>
  </si>
  <si>
    <t>计容可售面积 （m2）</t>
  </si>
  <si>
    <t>单基应摊</t>
  </si>
  <si>
    <t>土地出让金</t>
  </si>
  <si>
    <t>合作款项</t>
  </si>
  <si>
    <t>契税及其他（开发票补税）</t>
  </si>
  <si>
    <t>地块周边市政设施改造费</t>
  </si>
  <si>
    <t>补偿费（拆迁、青苗等）</t>
  </si>
  <si>
    <t>丈量及报建费</t>
  </si>
  <si>
    <t>场地平整</t>
  </si>
  <si>
    <t>场地土方平整</t>
  </si>
  <si>
    <t>5001.02.04.02</t>
  </si>
  <si>
    <t>5001.03</t>
  </si>
  <si>
    <t>室外给水系统</t>
  </si>
  <si>
    <t>室外雨污水系统</t>
  </si>
  <si>
    <t>室外管材采购（或甲指乙供）</t>
  </si>
  <si>
    <t>热交换站设备及安装</t>
  </si>
  <si>
    <t>调压站设备及安装</t>
  </si>
  <si>
    <t>室外弱电管道埋设</t>
  </si>
  <si>
    <t>4)</t>
  </si>
  <si>
    <t>5)</t>
  </si>
  <si>
    <t>周界红外防越</t>
  </si>
  <si>
    <t>5001.06.02.07</t>
  </si>
  <si>
    <t>室外背景音乐</t>
  </si>
  <si>
    <t>雕塑</t>
  </si>
  <si>
    <t>水景</t>
  </si>
  <si>
    <t>景观构件（非景观单位施工类）</t>
  </si>
  <si>
    <t>沥青(砼)路面车行道</t>
  </si>
  <si>
    <t>露天停车位</t>
  </si>
  <si>
    <t>隐形消防车道及登高面</t>
  </si>
  <si>
    <t>园路广场面积</t>
  </si>
  <si>
    <t>人行道面积</t>
  </si>
  <si>
    <t>室外景观水电</t>
  </si>
  <si>
    <t>室外景观水</t>
  </si>
  <si>
    <t>室外景观电</t>
  </si>
  <si>
    <t>室外零星设施</t>
  </si>
  <si>
    <t>成人健身体育设施、儿童游乐设施</t>
  </si>
  <si>
    <t>指示牌、交通标识系统</t>
  </si>
  <si>
    <t>垃圾桶、桌椅、阳伞等</t>
  </si>
  <si>
    <t>5001.07</t>
  </si>
  <si>
    <t>规划设计费</t>
  </si>
  <si>
    <t>景观面积</t>
  </si>
  <si>
    <t>建筑面积+赠送</t>
  </si>
  <si>
    <t>工程管理费</t>
  </si>
  <si>
    <t>5001.07.03.01</t>
  </si>
  <si>
    <t>1)</t>
  </si>
  <si>
    <t>5001.07.03.03</t>
  </si>
  <si>
    <t>3)</t>
  </si>
  <si>
    <t>5001.07.03.04</t>
  </si>
  <si>
    <t>4)</t>
  </si>
  <si>
    <t>5001.07.03.05</t>
  </si>
  <si>
    <t>5)</t>
  </si>
  <si>
    <t>5001.07.03.06</t>
  </si>
  <si>
    <t>工程临时围板</t>
  </si>
  <si>
    <t>销售临时围板</t>
  </si>
  <si>
    <t>地下室基底面积</t>
  </si>
  <si>
    <t>赠送比例</t>
  </si>
  <si>
    <t>㎡</t>
  </si>
  <si>
    <t>栋</t>
  </si>
  <si>
    <t>项</t>
  </si>
  <si>
    <t>5001.02.04.01</t>
  </si>
  <si>
    <t>5001.03.03.01</t>
  </si>
  <si>
    <t>5001.03.03.01.01</t>
  </si>
  <si>
    <t>5001.03.03.01.02</t>
  </si>
  <si>
    <t>5001.03.03.01.03</t>
  </si>
  <si>
    <t>5001.03.03.02</t>
  </si>
  <si>
    <t>5001.03.03.02.01</t>
  </si>
  <si>
    <t>5001.03.03.02.02</t>
  </si>
  <si>
    <t>5001.03.03.03</t>
  </si>
  <si>
    <t>5001.03.03.03.01</t>
  </si>
  <si>
    <t>5001.03.03.03.02</t>
  </si>
  <si>
    <t>5001.03.03.04.01</t>
  </si>
  <si>
    <t>5001.03.03.04.02</t>
  </si>
  <si>
    <t>5001.03.03.04.03</t>
  </si>
  <si>
    <t>5001.03.03.04.04</t>
  </si>
  <si>
    <t>5001.03.03.04.05</t>
  </si>
  <si>
    <r>
      <rPr>
        <sz val="9"/>
        <rFont val="宋体"/>
        <family val="3"/>
        <charset val="134"/>
      </rPr>
      <t>㎡</t>
    </r>
  </si>
  <si>
    <t>基建及管网工程费其他</t>
  </si>
  <si>
    <t>5001.06.01.02.02</t>
  </si>
  <si>
    <t>5001.06.01.02.03</t>
  </si>
  <si>
    <t>5001.06.02.01</t>
  </si>
  <si>
    <t>5001.06.02.02</t>
  </si>
  <si>
    <t>5001.06.02.03</t>
  </si>
  <si>
    <t>5001.06.02.04</t>
  </si>
  <si>
    <t>5001.06.02.05</t>
  </si>
  <si>
    <t>5001.06.02.06</t>
  </si>
  <si>
    <t>绿化面积</t>
  </si>
  <si>
    <t>5001.06.03.02</t>
  </si>
  <si>
    <t>5001.06.03.02.01</t>
  </si>
  <si>
    <t>5001.06.03.02.02</t>
  </si>
  <si>
    <t>5001.06.03.02.03</t>
  </si>
  <si>
    <t>5001.06.03.03</t>
  </si>
  <si>
    <t>5001.06.03.03.01</t>
  </si>
  <si>
    <t>5001.06.03.03.02</t>
  </si>
  <si>
    <t>5001.06.03.03.03</t>
  </si>
  <si>
    <t>5001.06.03.03.04</t>
  </si>
  <si>
    <t>5001.06.03.03.05</t>
  </si>
  <si>
    <t>5001.06.03.04</t>
  </si>
  <si>
    <t>5001.06.03.04.01</t>
  </si>
  <si>
    <t>占地面积-基底</t>
  </si>
  <si>
    <t>6)</t>
  </si>
  <si>
    <t>5001.06.03.06.01</t>
  </si>
  <si>
    <t>5001.06.03.06.03</t>
  </si>
  <si>
    <t>5001.06.03.06.05</t>
  </si>
  <si>
    <t>5001.07.01.01</t>
  </si>
  <si>
    <t>5001.07.01.02</t>
  </si>
  <si>
    <t>5001.07.01.03</t>
  </si>
  <si>
    <t>5001.07.01.04</t>
  </si>
  <si>
    <t>5001.07.01.05</t>
  </si>
  <si>
    <t>5001.07.01.06</t>
  </si>
  <si>
    <t>5001.07.01.07</t>
  </si>
  <si>
    <t>5001.07.01.08</t>
  </si>
  <si>
    <t>5001.07.01.09</t>
  </si>
  <si>
    <t>5001.07.01.10</t>
  </si>
  <si>
    <t>5001.07.01.11</t>
  </si>
  <si>
    <t>7)</t>
  </si>
  <si>
    <t>5001.07.04.01.02</t>
  </si>
  <si>
    <t>5001.07.04.01.03</t>
  </si>
  <si>
    <t>5001.07.04.01.04</t>
  </si>
  <si>
    <t>5001.07.04.01.05</t>
  </si>
  <si>
    <t>5001.07.04.02.02</t>
  </si>
  <si>
    <t>5001.07.04.02.03</t>
  </si>
  <si>
    <t>5001.07.04.02.04</t>
  </si>
  <si>
    <t>5001.07.04.02.05</t>
  </si>
  <si>
    <t>消耗消耗量</t>
  </si>
  <si>
    <t>主体结构工程</t>
  </si>
  <si>
    <t>5001.03.01.01</t>
  </si>
  <si>
    <t>5001.03.01.01.01</t>
  </si>
  <si>
    <t>5001.03.01.01.02</t>
  </si>
  <si>
    <t>地下室周边土方回填</t>
  </si>
  <si>
    <t>5001.03.01.02</t>
  </si>
  <si>
    <t>结构及粗装修工程</t>
  </si>
  <si>
    <t>建筑面积*（1+赠送比例）</t>
  </si>
  <si>
    <t>钢筋</t>
  </si>
  <si>
    <t>模板</t>
  </si>
  <si>
    <t>m/户</t>
  </si>
  <si>
    <t>5001.03.02.01</t>
  </si>
  <si>
    <t>5001.03.02.01.01</t>
  </si>
  <si>
    <t>建筑面积*（1+赠送比例）</t>
  </si>
  <si>
    <t>5001.03.02.01.02</t>
  </si>
  <si>
    <t>5001.03.02.01.03</t>
  </si>
  <si>
    <t>5001.03.02.01.04</t>
  </si>
  <si>
    <t>室内采暖系统费</t>
  </si>
  <si>
    <t>室内燃气系统费</t>
  </si>
  <si>
    <t>户</t>
  </si>
  <si>
    <t>5001.03.02.02</t>
  </si>
  <si>
    <t>5001.03.02.02.01</t>
  </si>
  <si>
    <t>5001.03.02.02.02</t>
  </si>
  <si>
    <t>5001.03.02.02.03</t>
  </si>
  <si>
    <t>5001.03.02.02.05</t>
  </si>
  <si>
    <t>5001.04</t>
  </si>
  <si>
    <t>5001.04.01</t>
  </si>
  <si>
    <t>5001.04.01.01</t>
  </si>
  <si>
    <t>5001.04.01.02</t>
  </si>
  <si>
    <t>5001.04.01.03</t>
  </si>
  <si>
    <t>5001.04.01.04</t>
  </si>
  <si>
    <t>5001.04.01.05</t>
  </si>
  <si>
    <t>5001.04.01.06</t>
  </si>
  <si>
    <t>5001.04.01.07</t>
  </si>
  <si>
    <t>5001.04.01.09</t>
  </si>
  <si>
    <t>5001.04.01.10</t>
  </si>
  <si>
    <t>5001.04.01.11</t>
  </si>
  <si>
    <t>5001.04.02</t>
  </si>
  <si>
    <t>经营增配（住宅、公寓及酒店家私及部品）</t>
  </si>
  <si>
    <t>5001.04.02.01</t>
  </si>
  <si>
    <t>家私</t>
  </si>
  <si>
    <t>5001.04.02.02</t>
  </si>
  <si>
    <t>房间小电器</t>
  </si>
  <si>
    <t>5001.04.02.03</t>
  </si>
  <si>
    <t>软装及装饰部品</t>
  </si>
  <si>
    <t>5001.04.03</t>
  </si>
  <si>
    <t>装修分离体系增加费</t>
  </si>
  <si>
    <t>5001.04.04</t>
  </si>
  <si>
    <t>持有物业租赁区装修费</t>
  </si>
  <si>
    <t>5001.05</t>
  </si>
  <si>
    <t>5001.05.01.01</t>
  </si>
  <si>
    <t>外立面工程</t>
  </si>
  <si>
    <t>5001.05.01.01.01</t>
  </si>
  <si>
    <t>5001.05.01.01.01.02</t>
  </si>
  <si>
    <t>5001.05.01.01.02.02</t>
  </si>
  <si>
    <t>5001.05.01.01.06</t>
  </si>
  <si>
    <t>5001.05.01.01.07</t>
  </si>
  <si>
    <t>5001.05.01.01.08</t>
  </si>
  <si>
    <t>雨蓬等装饰</t>
  </si>
  <si>
    <t>5001.05.01.01.09</t>
  </si>
  <si>
    <t>5001.05.01.01.10</t>
  </si>
  <si>
    <t>其他（外立面装饰工程类）</t>
  </si>
  <si>
    <t>5001.05.01.02</t>
  </si>
  <si>
    <t>栏杆百叶工程</t>
  </si>
  <si>
    <t>5001.05.01.02.01</t>
  </si>
  <si>
    <t>楼梯扶手栏杆</t>
  </si>
  <si>
    <t>m/栋</t>
  </si>
  <si>
    <t>5001.05.01.02.02</t>
  </si>
  <si>
    <t>5001.05.01.02.03</t>
  </si>
  <si>
    <t>阳、露台、生活阳台栏杆</t>
  </si>
  <si>
    <t>低窗护栏</t>
  </si>
  <si>
    <t>百叶（空调及遮阳等）</t>
  </si>
  <si>
    <t>m2/户</t>
  </si>
  <si>
    <t>5001.05.01.03</t>
  </si>
  <si>
    <t>5001.05.01.03.01</t>
  </si>
  <si>
    <t>公共区域出入门</t>
  </si>
  <si>
    <t>5001.05.01.03.02</t>
  </si>
  <si>
    <t>樘/户</t>
  </si>
  <si>
    <t>5001.05.01.03.03</t>
  </si>
  <si>
    <t>公共区域防火门、卷帘</t>
  </si>
  <si>
    <t>5001.05.01.03.04</t>
  </si>
  <si>
    <t>5001.05.01.04</t>
  </si>
  <si>
    <t>其他工程</t>
  </si>
  <si>
    <t>5001.05.01.04.01</t>
  </si>
  <si>
    <t>屋面精装修</t>
  </si>
  <si>
    <t>5001.05.01.04.02</t>
  </si>
  <si>
    <t>屋面精装修甲供材</t>
  </si>
  <si>
    <t>5001.05.01.04.03</t>
  </si>
  <si>
    <t>标识牌（指示/分区/楼栋/门牌等）</t>
  </si>
  <si>
    <t>5001.05.01.04.04</t>
  </si>
  <si>
    <t>信报箱</t>
  </si>
  <si>
    <t>个/户</t>
  </si>
  <si>
    <t>5001.05.02.01</t>
  </si>
  <si>
    <t>5001.05.02.01.01</t>
  </si>
  <si>
    <t>5001.05.02.01.02</t>
  </si>
  <si>
    <t>5001.05.02.01.03</t>
  </si>
  <si>
    <t>5001.05.02.02</t>
  </si>
  <si>
    <t>5001.05.02.02.01</t>
  </si>
  <si>
    <t>地下大堂精装修总包</t>
  </si>
  <si>
    <t>5001.05.02.02.02</t>
  </si>
  <si>
    <t>地下大堂瓷砖甲供材</t>
  </si>
  <si>
    <t>5001.05.02.02.03</t>
  </si>
  <si>
    <t>地下大堂涂料甲供材</t>
  </si>
  <si>
    <t>5001.05.02.03</t>
  </si>
  <si>
    <t>中庭装修硬装</t>
  </si>
  <si>
    <t>5001.05.02.04</t>
  </si>
  <si>
    <t>5001.05.02.05</t>
  </si>
  <si>
    <t>楼梯间装修</t>
  </si>
  <si>
    <t>5001.05.02.06</t>
  </si>
  <si>
    <t>5001.05.02.06.01</t>
  </si>
  <si>
    <t>标准层电梯厅装修总包</t>
  </si>
  <si>
    <t>5001.05.02.06.02</t>
  </si>
  <si>
    <t>5001.05.02.06.03</t>
  </si>
  <si>
    <t>5001.05.02.07</t>
  </si>
  <si>
    <t>5001.05.02.08</t>
  </si>
  <si>
    <t>5001.05.02.09</t>
  </si>
  <si>
    <t>5001.05.03.01</t>
  </si>
  <si>
    <t>5001.05.03.01.01</t>
  </si>
  <si>
    <t>居家防盗系统费用</t>
  </si>
  <si>
    <t>5001.05.03.01.02</t>
  </si>
  <si>
    <t>5001.05.03.01.03</t>
  </si>
  <si>
    <t>有线电视费用</t>
  </si>
  <si>
    <t>5001.05.03.01.04</t>
  </si>
  <si>
    <t>5001.05.03.01.05</t>
  </si>
  <si>
    <t>5001.05.03.01.06</t>
  </si>
  <si>
    <t>5001.05.03.01.07</t>
  </si>
  <si>
    <t>其他（室内弱电系统类）</t>
  </si>
  <si>
    <t>5001.05.03.02</t>
  </si>
  <si>
    <t>5001.05.03.03</t>
  </si>
  <si>
    <t>5001.05.04.03</t>
  </si>
  <si>
    <t>5001.05.04.04</t>
  </si>
  <si>
    <t>5001.05.04.05</t>
  </si>
  <si>
    <t>5001.05.04.06</t>
  </si>
  <si>
    <t>街区式商业</t>
  </si>
  <si>
    <t>土地合同（含契税）</t>
  </si>
  <si>
    <t>土地使用费</t>
  </si>
  <si>
    <t>拆迁补偿合同</t>
  </si>
  <si>
    <t xml:space="preserve"> </t>
  </si>
  <si>
    <r>
      <t>成本3:</t>
    </r>
    <r>
      <rPr>
        <sz val="10"/>
        <rFont val="宋体"/>
        <family val="3"/>
        <charset val="134"/>
      </rPr>
      <t>装修外产品建造成本</t>
    </r>
  </si>
  <si>
    <r>
      <t>成本4:</t>
    </r>
    <r>
      <rPr>
        <sz val="10"/>
        <rFont val="宋体"/>
        <family val="3"/>
        <charset val="134"/>
      </rPr>
      <t>持有商业出租面积单方</t>
    </r>
  </si>
  <si>
    <r>
      <t>成本5:</t>
    </r>
    <r>
      <rPr>
        <sz val="10"/>
        <rFont val="宋体"/>
        <family val="3"/>
        <charset val="134"/>
      </rPr>
      <t>持有酒店平均客房成本</t>
    </r>
  </si>
  <si>
    <t>全项目总地价及销售和持有物业地价分摊</t>
  </si>
  <si>
    <t>合同或收费名称</t>
  </si>
  <si>
    <t>单位</t>
  </si>
  <si>
    <t>工作量</t>
  </si>
  <si>
    <t>土地获得价款</t>
  </si>
  <si>
    <t>补偿费（拆迁、青苗等）</t>
  </si>
  <si>
    <t>销售和持有物业地价分摊</t>
  </si>
  <si>
    <t>可售单方（元/m2）</t>
  </si>
  <si>
    <t>小区门禁系统</t>
  </si>
  <si>
    <t>株/m2</t>
  </si>
  <si>
    <t>5001.05.01.01.01.01</t>
  </si>
  <si>
    <t>5001.05.01.01.02.01</t>
  </si>
  <si>
    <t>层数+1</t>
  </si>
  <si>
    <t>层数-1</t>
  </si>
  <si>
    <t>标准层电梯厅瓷砖甲供材</t>
  </si>
  <si>
    <t>标准层电梯厅涂料甲供材</t>
  </si>
  <si>
    <t>电梯轿厢装修</t>
  </si>
  <si>
    <t>扶梯装修</t>
  </si>
  <si>
    <t>租赁区走廊装修</t>
  </si>
  <si>
    <t>5001.05.02.10</t>
  </si>
  <si>
    <t>经营性物业内置家私及饰品</t>
  </si>
  <si>
    <t>楼宇智能化系统费用</t>
  </si>
  <si>
    <t>5001.05.03.01.08</t>
  </si>
  <si>
    <t>酒店管理系统费用</t>
  </si>
  <si>
    <t>商业信息化管理系统费用</t>
  </si>
  <si>
    <t>其他（环保类）</t>
  </si>
  <si>
    <t>地下车位单方成本</t>
  </si>
  <si>
    <t>造价咨询合同</t>
  </si>
  <si>
    <t>含车位按面积</t>
  </si>
  <si>
    <t xml:space="preserve"> </t>
  </si>
  <si>
    <t>11-1Q</t>
  </si>
  <si>
    <t>11-2Q</t>
  </si>
  <si>
    <t>土地增值税预缴率</t>
  </si>
  <si>
    <t>销项税额</t>
  </si>
  <si>
    <t>进项税额</t>
  </si>
  <si>
    <t>增值税率</t>
  </si>
  <si>
    <t>销售金额（不含税）</t>
  </si>
  <si>
    <t>增值税附加税</t>
  </si>
  <si>
    <t>增值税附加税+土增税</t>
  </si>
  <si>
    <t>增值税附加税+土增税</t>
  </si>
  <si>
    <t>增值税附加税+土增税（万元）</t>
  </si>
  <si>
    <t>一、现金流入（含销项税）</t>
  </si>
  <si>
    <t>预交增值税及附加</t>
  </si>
  <si>
    <t>不含税工程款</t>
  </si>
  <si>
    <t>销售额（不含税）</t>
  </si>
  <si>
    <t>结算收入（不含税）</t>
  </si>
  <si>
    <t>结算成本（不含税）</t>
  </si>
  <si>
    <t>销售收入（不含税）</t>
  </si>
  <si>
    <t>增值税附加税</t>
  </si>
  <si>
    <t>结算单价</t>
  </si>
  <si>
    <t>结算金额（不含税）</t>
  </si>
  <si>
    <t>销售成本（不含税）</t>
  </si>
  <si>
    <t>增值税</t>
  </si>
  <si>
    <t>销售金额（不含税）</t>
  </si>
  <si>
    <t>所得税预征收毛利率</t>
  </si>
  <si>
    <r>
      <t>3</t>
    </r>
    <r>
      <rPr>
        <sz val="10"/>
        <rFont val="宋体"/>
        <family val="3"/>
        <charset val="134"/>
      </rPr>
      <t>、销售净利率</t>
    </r>
  </si>
  <si>
    <t>开始时间</t>
  </si>
  <si>
    <t>结束时间</t>
  </si>
  <si>
    <t>节点需时（月）</t>
  </si>
  <si>
    <t>本期累计时间（月）</t>
  </si>
  <si>
    <t>启动时间：</t>
  </si>
  <si>
    <t>基础施工</t>
  </si>
  <si>
    <t>基础出地面</t>
  </si>
  <si>
    <t>结构封顶</t>
  </si>
  <si>
    <t>单体竣工</t>
  </si>
  <si>
    <t>竣工备案</t>
  </si>
  <si>
    <t>交付</t>
  </si>
  <si>
    <t>交付后6个月</t>
  </si>
  <si>
    <t>合计</t>
  </si>
  <si>
    <t>一期</t>
  </si>
  <si>
    <t>月份</t>
  </si>
  <si>
    <t>二期</t>
  </si>
  <si>
    <t>三期</t>
  </si>
  <si>
    <t>配套及地下室工程费</t>
  </si>
  <si>
    <t>基建及管网工程费</t>
  </si>
  <si>
    <t>室内精装修工程费</t>
  </si>
  <si>
    <t>装饰及环保工程费</t>
  </si>
  <si>
    <t>环境提升工程费</t>
  </si>
  <si>
    <t>开发管理费</t>
  </si>
  <si>
    <t>2015年</t>
  </si>
  <si>
    <t>2016年</t>
  </si>
  <si>
    <t>2017年</t>
  </si>
  <si>
    <t>2018年</t>
  </si>
  <si>
    <t>2019年</t>
  </si>
  <si>
    <t>2020年</t>
  </si>
  <si>
    <t>2022年</t>
  </si>
  <si>
    <t>月份</t>
  </si>
  <si>
    <t>合计</t>
  </si>
  <si>
    <t>合计</t>
  </si>
  <si>
    <t>注意：请填写累计付款比例</t>
  </si>
  <si>
    <t>一期</t>
  </si>
  <si>
    <t>二期</t>
  </si>
  <si>
    <t>三期</t>
  </si>
  <si>
    <t>预留经营性资产成本</t>
  </si>
  <si>
    <t>预留车位成本</t>
  </si>
  <si>
    <r>
      <t>4</t>
    </r>
    <r>
      <rPr>
        <sz val="10"/>
        <rFont val="宋体"/>
        <family val="3"/>
        <charset val="134"/>
      </rPr>
      <t>、增值税税率</t>
    </r>
  </si>
  <si>
    <r>
      <t>5</t>
    </r>
    <r>
      <rPr>
        <sz val="10"/>
        <rFont val="宋体"/>
        <family val="3"/>
        <charset val="134"/>
      </rPr>
      <t>、现金流回正（月）</t>
    </r>
  </si>
  <si>
    <r>
      <t>2</t>
    </r>
    <r>
      <rPr>
        <sz val="10"/>
        <rFont val="宋体"/>
        <family val="3"/>
        <charset val="134"/>
      </rPr>
      <t>、销售毛利率</t>
    </r>
  </si>
  <si>
    <r>
      <t>6</t>
    </r>
    <r>
      <rPr>
        <sz val="10"/>
        <rFont val="宋体"/>
        <family val="3"/>
        <charset val="134"/>
      </rPr>
      <t>、项目总销售额（含税）</t>
    </r>
  </si>
  <si>
    <t>7、项目总销售额（不含税）</t>
  </si>
  <si>
    <r>
      <t>8</t>
    </r>
    <r>
      <rPr>
        <sz val="10"/>
        <rFont val="宋体"/>
        <family val="3"/>
        <charset val="134"/>
      </rPr>
      <t>、项目总投资（含税）</t>
    </r>
  </si>
  <si>
    <t>9、项目总投资（不含税）</t>
  </si>
  <si>
    <r>
      <t>10</t>
    </r>
    <r>
      <rPr>
        <sz val="10"/>
        <rFont val="宋体"/>
        <family val="3"/>
        <charset val="134"/>
      </rPr>
      <t>、项目资金峰值</t>
    </r>
  </si>
  <si>
    <r>
      <t>11</t>
    </r>
    <r>
      <rPr>
        <sz val="10"/>
        <rFont val="宋体"/>
        <family val="3"/>
        <charset val="134"/>
      </rPr>
      <t>、项目净利润</t>
    </r>
  </si>
  <si>
    <r>
      <t>12</t>
    </r>
    <r>
      <rPr>
        <sz val="10"/>
        <rFont val="宋体"/>
        <family val="3"/>
        <charset val="134"/>
      </rPr>
      <t>、年均销售面积</t>
    </r>
  </si>
  <si>
    <r>
      <t>13</t>
    </r>
    <r>
      <rPr>
        <sz val="10"/>
        <rFont val="宋体"/>
        <family val="3"/>
        <charset val="134"/>
      </rPr>
      <t>、跟投</t>
    </r>
    <r>
      <rPr>
        <sz val="10"/>
        <rFont val="Times New Roman"/>
        <family val="1"/>
      </rPr>
      <t>IRR</t>
    </r>
    <r>
      <rPr>
        <sz val="10"/>
        <rFont val="宋体"/>
        <family val="3"/>
        <charset val="134"/>
      </rPr>
      <t>（无杠杆）</t>
    </r>
  </si>
  <si>
    <r>
      <t>14</t>
    </r>
    <r>
      <rPr>
        <sz val="10"/>
        <rFont val="宋体"/>
        <family val="3"/>
        <charset val="134"/>
      </rPr>
      <t>、</t>
    </r>
    <r>
      <rPr>
        <sz val="10"/>
        <rFont val="Times New Roman"/>
        <family val="1"/>
      </rPr>
      <t>MOIC</t>
    </r>
    <r>
      <rPr>
        <sz val="10"/>
        <rFont val="宋体"/>
        <family val="3"/>
        <charset val="134"/>
      </rPr>
      <t>（无杠杆）</t>
    </r>
  </si>
  <si>
    <r>
      <t>15</t>
    </r>
    <r>
      <rPr>
        <sz val="10"/>
        <rFont val="宋体"/>
        <family val="3"/>
        <charset val="134"/>
      </rPr>
      <t>、跟投</t>
    </r>
    <r>
      <rPr>
        <sz val="10"/>
        <rFont val="Times New Roman"/>
        <family val="1"/>
      </rPr>
      <t>IRR</t>
    </r>
    <r>
      <rPr>
        <sz val="10"/>
        <rFont val="宋体"/>
        <family val="3"/>
        <charset val="134"/>
      </rPr>
      <t>（</t>
    </r>
    <r>
      <rPr>
        <sz val="10"/>
        <rFont val="Times New Roman"/>
        <family val="1"/>
      </rPr>
      <t>1</t>
    </r>
    <r>
      <rPr>
        <sz val="10"/>
        <rFont val="宋体"/>
        <family val="3"/>
        <charset val="134"/>
      </rPr>
      <t>倍）</t>
    </r>
  </si>
  <si>
    <r>
      <t>16</t>
    </r>
    <r>
      <rPr>
        <sz val="10"/>
        <rFont val="宋体"/>
        <family val="3"/>
        <charset val="134"/>
      </rPr>
      <t>、</t>
    </r>
    <r>
      <rPr>
        <sz val="10"/>
        <rFont val="Times New Roman"/>
        <family val="1"/>
      </rPr>
      <t>MOIC</t>
    </r>
    <r>
      <rPr>
        <sz val="10"/>
        <rFont val="宋体"/>
        <family val="3"/>
        <charset val="134"/>
      </rPr>
      <t>（</t>
    </r>
    <r>
      <rPr>
        <sz val="10"/>
        <rFont val="Times New Roman"/>
        <family val="1"/>
      </rPr>
      <t>1</t>
    </r>
    <r>
      <rPr>
        <sz val="10"/>
        <rFont val="宋体"/>
        <family val="3"/>
        <charset val="134"/>
      </rPr>
      <t>倍）</t>
    </r>
  </si>
  <si>
    <t>毛利率</t>
  </si>
  <si>
    <t>销售收入（不含税）（万元）</t>
  </si>
  <si>
    <t>销售收入（含税）（万元）</t>
  </si>
  <si>
    <t>单方成本（不含税）（元/平米）</t>
  </si>
  <si>
    <t>销售成本（不含税）（万元）</t>
  </si>
  <si>
    <t>销售均价（不含税）（元/平米）</t>
  </si>
  <si>
    <t>销售均价（含税）（元/平米）</t>
  </si>
  <si>
    <t>高层住宅</t>
  </si>
  <si>
    <t>占总地价比例</t>
  </si>
  <si>
    <t>总地价（万元）</t>
  </si>
  <si>
    <t>总溢价（万元）</t>
  </si>
  <si>
    <r>
      <rPr>
        <sz val="10"/>
        <rFont val="宋体"/>
        <family val="3"/>
        <charset val="134"/>
      </rPr>
      <t>楼面溢价（元</t>
    </r>
    <r>
      <rPr>
        <sz val="10"/>
        <rFont val="Times New Roman"/>
        <family val="1"/>
      </rPr>
      <t>/</t>
    </r>
    <r>
      <rPr>
        <sz val="10"/>
        <rFont val="宋体"/>
        <family val="3"/>
        <charset val="134"/>
      </rPr>
      <t>平米）</t>
    </r>
  </si>
  <si>
    <t>敏感测算</t>
  </si>
  <si>
    <t>增值税税率</t>
  </si>
  <si>
    <t>销售毛利率</t>
  </si>
  <si>
    <t>土增税总额（预缴+清算）</t>
  </si>
  <si>
    <t>土增税占销售收入（不含税）比</t>
  </si>
  <si>
    <t>溢价测算</t>
  </si>
  <si>
    <r>
      <t>3</t>
    </r>
    <r>
      <rPr>
        <b/>
        <sz val="10"/>
        <rFont val="宋体"/>
        <family val="3"/>
        <charset val="134"/>
      </rPr>
      <t>、溢价敏感性（简算）</t>
    </r>
  </si>
  <si>
    <t>敏感性测算1</t>
  </si>
  <si>
    <t>分期清算（一期）</t>
  </si>
  <si>
    <t>分期清算（二期）</t>
  </si>
  <si>
    <t>分期清算（三期）</t>
  </si>
  <si>
    <t>分期合计</t>
  </si>
  <si>
    <t>敏感性测算2</t>
  </si>
  <si>
    <t>敏感性测算3</t>
  </si>
  <si>
    <t>填报指引</t>
  </si>
  <si>
    <r>
      <t>1</t>
    </r>
    <r>
      <rPr>
        <sz val="10"/>
        <rFont val="宋体"/>
        <family val="3"/>
        <charset val="134"/>
      </rPr>
      <t>、分期、分产品：项目销售、成本、创造利润、结算利润均需分期、分产品类型填写</t>
    </r>
  </si>
  <si>
    <r>
      <t>2</t>
    </r>
    <r>
      <rPr>
        <sz val="10"/>
        <rFont val="宋体"/>
        <family val="3"/>
        <charset val="134"/>
      </rPr>
      <t>、销售额：请按含增值税（销项税额）、不含增值税（销项税额）分别填列</t>
    </r>
  </si>
  <si>
    <t>注：增值税不参与利润计算，增值税附加税参与利润计算</t>
  </si>
  <si>
    <r>
      <t>3</t>
    </r>
    <r>
      <rPr>
        <sz val="10"/>
        <rFont val="宋体"/>
        <family val="3"/>
        <charset val="134"/>
      </rPr>
      <t>、成本：请按含增值税（进项税额）、不含增值税（进项税额）分别填列</t>
    </r>
  </si>
  <si>
    <t>增值税及附加清缴</t>
  </si>
  <si>
    <t>结算单价</t>
  </si>
  <si>
    <t>一、范围：适用于增值税一般征收办法的核心业务可研测算</t>
  </si>
  <si>
    <t>销售毛利率</t>
  </si>
  <si>
    <t>结算单价</t>
  </si>
  <si>
    <t>结算金额（不含税）</t>
  </si>
  <si>
    <t>销售收入（不含税）</t>
  </si>
  <si>
    <r>
      <t>2、</t>
    </r>
    <r>
      <rPr>
        <b/>
        <sz val="10"/>
        <color rgb="FFFF0000"/>
        <rFont val="宋体"/>
        <family val="3"/>
        <charset val="134"/>
      </rPr>
      <t>税售单价（含税）</t>
    </r>
    <r>
      <rPr>
        <b/>
        <sz val="10"/>
        <rFont val="宋体"/>
        <family val="3"/>
        <charset val="134"/>
      </rPr>
      <t>敏感性</t>
    </r>
  </si>
  <si>
    <t>注：假设地价总额中含溢价</t>
  </si>
  <si>
    <t>普通地下室</t>
  </si>
  <si>
    <r>
      <t>4</t>
    </r>
    <r>
      <rPr>
        <sz val="10"/>
        <rFont val="宋体"/>
        <family val="3"/>
        <charset val="134"/>
      </rPr>
      <t>、所得税预征收毛利率：测算按</t>
    </r>
    <r>
      <rPr>
        <sz val="10"/>
        <rFont val="Times New Roman"/>
        <family val="1"/>
      </rPr>
      <t>20%</t>
    </r>
    <r>
      <rPr>
        <sz val="10"/>
        <rFont val="宋体"/>
        <family val="3"/>
        <charset val="134"/>
      </rPr>
      <t>预估，可结合当地税收政策调整</t>
    </r>
  </si>
  <si>
    <r>
      <t>5</t>
    </r>
    <r>
      <rPr>
        <sz val="10"/>
        <rFont val="宋体"/>
        <family val="3"/>
        <charset val="134"/>
      </rPr>
      <t>、资金成本：按集团最新下发的</t>
    </r>
    <r>
      <rPr>
        <sz val="10"/>
        <rFont val="Times New Roman"/>
        <family val="1"/>
      </rPr>
      <t>WACC</t>
    </r>
    <r>
      <rPr>
        <sz val="10"/>
        <rFont val="宋体"/>
        <family val="3"/>
        <charset val="134"/>
      </rPr>
      <t>成本计算</t>
    </r>
  </si>
  <si>
    <r>
      <t>7</t>
    </r>
    <r>
      <rPr>
        <sz val="10"/>
        <rFont val="宋体"/>
        <family val="3"/>
        <charset val="134"/>
      </rPr>
      <t>、地价：为方便计算，地价可抵扣的税金列入进项税抵扣</t>
    </r>
  </si>
  <si>
    <r>
      <t>8</t>
    </r>
    <r>
      <rPr>
        <sz val="10"/>
        <rFont val="宋体"/>
        <family val="3"/>
        <charset val="134"/>
      </rPr>
      <t>、现金流之进项税：按工程款支付节奏匹配获取，若与项目预计情况有出入，建议据实调整</t>
    </r>
  </si>
  <si>
    <t>其中：行政管理费（列入开发管理费）</t>
  </si>
  <si>
    <t>节点</t>
  </si>
  <si>
    <t>一期</t>
  </si>
  <si>
    <t>二期</t>
  </si>
  <si>
    <t>三期</t>
  </si>
  <si>
    <t>主要节点</t>
  </si>
  <si>
    <t>基础施工</t>
  </si>
  <si>
    <t>基础出地面</t>
  </si>
  <si>
    <t>结构封顶</t>
  </si>
  <si>
    <t>单体竣工</t>
  </si>
  <si>
    <t>竣工备案</t>
  </si>
  <si>
    <t>交付</t>
  </si>
  <si>
    <t>交付后6个月</t>
  </si>
  <si>
    <t>溢价调整所得税</t>
  </si>
  <si>
    <r>
      <t>6</t>
    </r>
    <r>
      <rPr>
        <sz val="10"/>
        <rFont val="宋体"/>
        <family val="3"/>
        <charset val="134"/>
      </rPr>
      <t>、增值税预征率</t>
    </r>
    <r>
      <rPr>
        <sz val="10"/>
        <rFont val="Times New Roman"/>
        <family val="1"/>
      </rPr>
      <t>&amp;</t>
    </r>
    <r>
      <rPr>
        <sz val="10"/>
        <rFont val="宋体"/>
        <family val="3"/>
        <charset val="134"/>
      </rPr>
      <t>清算节奏：按</t>
    </r>
    <r>
      <rPr>
        <sz val="10"/>
        <rFont val="Times New Roman"/>
        <family val="1"/>
      </rPr>
      <t>3%</t>
    </r>
    <r>
      <rPr>
        <sz val="10"/>
        <rFont val="宋体"/>
        <family val="3"/>
        <charset val="134"/>
      </rPr>
      <t>预征率，清算节奏暂估每年一次；若政策有变化，建议据实调整</t>
    </r>
  </si>
  <si>
    <t>二、填写说明（财务）：</t>
  </si>
  <si>
    <t>1、本表适用于新项目成本测算、项目定位成本测算、目标成本测算的统一格式。</t>
  </si>
  <si>
    <t>2、本表填报的主要责任部门为成本管理部。其中规划指标需设计部配合，建造标准按营销、设计、成本、工程等相关的部门的讨论结果确定；报批报建费根据项目发展部提供的《房地产税费一览表》及当地优惠政策进行填写，具体项目可根据当地的政策自行增加或删减。</t>
  </si>
  <si>
    <t>3、目标成本科目分类及代码应依据《万科集团成本核算指导》，且应保持一级至三级成本科目及代码的唯一性，四级及四级成本科目以下可根据项目的具体情况自行增减，但应与财务核算保持一致。</t>
  </si>
  <si>
    <t>4、开发间接费中的行政费用、资本化利息和期间费用，请财务部提供。</t>
  </si>
  <si>
    <t>5、成本测算时应根据量价分离的原则进行计算，并注明量、价的计算思路。新项目或项目定位时的成本测算如无法细分时，可根据当地已结算的同类工程直接填写总价和单价，但应注明参考项目的成本情况。</t>
  </si>
  <si>
    <t>6、成本汇总表的总价从各表自动取数，并根据项目的一般分摊原则设置了分摊公式（已在备注中说明），如不符合项目的实际情况请自行修改公式；</t>
  </si>
  <si>
    <t>7、项目规模较大或分期开发时，《目标成本测算》中的地价宜按各期或各产品类型的占地面积分摊（当期中的公共用地按各产品类型的可售面积比例分摊），以免因后期规划调整对已完工程的成本核算造成影响。</t>
  </si>
  <si>
    <t>8、可销售的商业网点为独立的核算对象时，应作为一种产品类型单独计算其主体建安成本和收益情况。</t>
  </si>
  <si>
    <t>9、地面车库、架空层车位、地下车库有产权可销售时应作为独立的核算对象，单独计算其主体建安成本，并至少应保留12M2对应的建安成本。如其不可售时，其建安成本应全部作为配套设施费全部摊销。</t>
  </si>
  <si>
    <t>10、新项目成本测算时，该表应以连同财务测算部分在新项目发展小组实地调研前两天用电子邮件发送到总部财务部成本组。并尽量提供如下资料：项目所在城市政府基准地价或标定地价、税收及优惠政策、政府房地产规费及优惠政策、该区域集团已有类似项目的结算成本、该城市类似项目概算指标、设计概算、投资估算指标等工程造价资料、拟签订土地合约及地价资料、城市水文地质及工程地质勘探资料等。</t>
  </si>
  <si>
    <t>11、表中各成本项目所包括的内容详见《万科集团目标成本实施细则》</t>
  </si>
  <si>
    <t>12、项目成本测算时，表中与规划有关的数据尽量从规划指标中引用采用公式计算，便于规划改变时自动计算。</t>
  </si>
  <si>
    <t>三、填写说明（成本）：</t>
  </si>
  <si>
    <t>不含税单价
（元）</t>
  </si>
  <si>
    <t>不含税总额（万元）</t>
  </si>
  <si>
    <t>单方成本</t>
  </si>
  <si>
    <t>单方成本</t>
  </si>
  <si>
    <t>单方成本</t>
  </si>
  <si>
    <t>总成本</t>
  </si>
  <si>
    <t>备注</t>
  </si>
  <si>
    <t>合计</t>
  </si>
  <si>
    <t>不含税</t>
  </si>
  <si>
    <t>可售面积</t>
  </si>
  <si>
    <t>关注车位按个数转换</t>
  </si>
  <si>
    <t>成本全部摊入可售部分，不单独保留成本</t>
  </si>
  <si>
    <t xml:space="preserve"> </t>
  </si>
  <si>
    <t>＿＿＿项目＿＿期分产品类型成本汇总表</t>
  </si>
  <si>
    <t>成本项目</t>
  </si>
  <si>
    <t>总成本</t>
  </si>
  <si>
    <t>分摊标准说明</t>
  </si>
  <si>
    <t>地库</t>
  </si>
  <si>
    <t>整体单方</t>
  </si>
  <si>
    <t>产品单方</t>
  </si>
  <si>
    <t>可售单方</t>
  </si>
  <si>
    <t>不含税单方</t>
  </si>
  <si>
    <t>进项税单方</t>
  </si>
  <si>
    <t>总成本</t>
  </si>
  <si>
    <t>不含税成本</t>
  </si>
  <si>
    <t>进项税</t>
  </si>
  <si>
    <t>建筑面积</t>
  </si>
  <si>
    <t>*</t>
  </si>
  <si>
    <t>土地及政府规费</t>
  </si>
  <si>
    <t>见《地价分摊表》</t>
  </si>
  <si>
    <t>5001.01.02</t>
  </si>
  <si>
    <t>土地溢价</t>
  </si>
  <si>
    <t>基建及管网工程费</t>
  </si>
  <si>
    <t>直接归属</t>
  </si>
  <si>
    <t>5001.05.03</t>
  </si>
  <si>
    <t>5001.07.02</t>
  </si>
  <si>
    <t>5001.07.06</t>
  </si>
  <si>
    <t>物业完善费用</t>
  </si>
  <si>
    <t>开发成本</t>
  </si>
  <si>
    <t>九</t>
  </si>
  <si>
    <t>期间费用</t>
  </si>
  <si>
    <t>成本对比</t>
  </si>
  <si>
    <r>
      <t>成本1:</t>
    </r>
    <r>
      <rPr>
        <sz val="10"/>
        <rFont val="宋体"/>
        <family val="3"/>
        <charset val="134"/>
      </rPr>
      <t>地价外成本</t>
    </r>
  </si>
  <si>
    <r>
      <t>成本2:</t>
    </r>
    <r>
      <rPr>
        <sz val="10"/>
        <rFont val="宋体"/>
        <family val="3"/>
        <charset val="134"/>
      </rPr>
      <t>地价及资本化利息外建造成本</t>
    </r>
  </si>
  <si>
    <t>总成本</t>
  </si>
  <si>
    <t>进项税总额（万元）</t>
  </si>
  <si>
    <t>合价(万元)</t>
  </si>
  <si>
    <t>亩</t>
  </si>
  <si>
    <t>合作款项</t>
  </si>
  <si>
    <t>每亩</t>
  </si>
  <si>
    <t>契税及其他（开发票补税）</t>
  </si>
  <si>
    <t>地块周边给排水外线工程费</t>
  </si>
  <si>
    <t>地块周边电力外线工程费</t>
  </si>
  <si>
    <t>地块周边市政道路工程</t>
  </si>
  <si>
    <t>全项目占地面积分摊表（含公共配套部分占地）</t>
  </si>
  <si>
    <t xml:space="preserve">地块内容 </t>
  </si>
  <si>
    <t xml:space="preserve">计容可售面积 （m2） </t>
  </si>
  <si>
    <t xml:space="preserve"> 分摊面积基数</t>
  </si>
  <si>
    <t>说明</t>
  </si>
  <si>
    <t>一期（不含公共配套类及景观设施类部分占地面积）</t>
  </si>
  <si>
    <t>二期（不含公共配套类及景观设施类部分占地面积）</t>
  </si>
  <si>
    <t>三期（不含公共配套类及景观设施类部分占地面积）</t>
  </si>
  <si>
    <t xml:space="preserve"> 需进行跨期分摊地块 </t>
  </si>
  <si>
    <t xml:space="preserve"> 1、会所 </t>
  </si>
  <si>
    <t>按各期计容可售面积分摊</t>
  </si>
  <si>
    <t xml:space="preserve"> 2、幼儿园 </t>
  </si>
  <si>
    <t>3、学校</t>
  </si>
  <si>
    <t xml:space="preserve"> 4、湖区</t>
  </si>
  <si>
    <t xml:space="preserve"> 共计 </t>
  </si>
  <si>
    <t xml:space="preserve">   项目一期占地面积分摊表</t>
  </si>
  <si>
    <t xml:space="preserve">   项目销售物业全期地价分摊表</t>
  </si>
  <si>
    <t>含税地价分摊（万元）</t>
  </si>
  <si>
    <t>不含税地价分摊（万元）</t>
  </si>
  <si>
    <t>进项税分摊（万元）</t>
  </si>
  <si>
    <t>一期销售物业</t>
  </si>
  <si>
    <t>公摊及期间费用</t>
  </si>
  <si>
    <t>占地面积</t>
  </si>
  <si>
    <t>建筑面积</t>
  </si>
  <si>
    <t>计容积率建筑面积</t>
  </si>
  <si>
    <t>销售物业可售面积
（不含车位）</t>
  </si>
  <si>
    <t>建筑物基底面积</t>
  </si>
  <si>
    <t>地下室基底面积</t>
  </si>
  <si>
    <t>楼栋数</t>
  </si>
  <si>
    <t>单元数</t>
  </si>
  <si>
    <t>户数</t>
  </si>
  <si>
    <t>景观面积</t>
  </si>
  <si>
    <t>赠送比例</t>
  </si>
  <si>
    <t>成本项目</t>
  </si>
  <si>
    <t>合同/合约包</t>
  </si>
  <si>
    <t>原始指标</t>
  </si>
  <si>
    <t>消耗量系数</t>
  </si>
  <si>
    <t>系数单位</t>
  </si>
  <si>
    <t>消耗量</t>
  </si>
  <si>
    <t>含税单价</t>
  </si>
  <si>
    <t>单价(元)</t>
  </si>
  <si>
    <t>不含税成本（万元）</t>
  </si>
  <si>
    <t>不含税成本（万元）</t>
  </si>
  <si>
    <t>含税成本(万元)</t>
  </si>
  <si>
    <t>含税可售单方
(元/M2)</t>
  </si>
  <si>
    <t>销售物业合价(万元)</t>
  </si>
  <si>
    <t>持有物业合价(万元)</t>
  </si>
  <si>
    <t>一</t>
  </si>
  <si>
    <t>土地及政府规费</t>
  </si>
  <si>
    <t>5001.01.01</t>
  </si>
  <si>
    <t>土地价款</t>
  </si>
  <si>
    <t>占地面积比</t>
  </si>
  <si>
    <t>5001.01.01.01</t>
  </si>
  <si>
    <t>1）</t>
  </si>
  <si>
    <t>土地合同（含契税）</t>
  </si>
  <si>
    <t>5001.01.01.01.01</t>
  </si>
  <si>
    <t>5001.01.01.01.02</t>
  </si>
  <si>
    <t>◆</t>
  </si>
  <si>
    <t>土地合同（含契税）</t>
  </si>
  <si>
    <t>5001.01.01.01.03</t>
  </si>
  <si>
    <t>5001.01.01.01.04</t>
  </si>
  <si>
    <t>5001.01.01.02</t>
  </si>
  <si>
    <t>5001.01.01.02.01</t>
  </si>
  <si>
    <t>其他配套工程合约包</t>
  </si>
  <si>
    <t>5001.01.01.02.02</t>
  </si>
  <si>
    <t>5001.01.01.02.03</t>
  </si>
  <si>
    <t>5001.01.01.03</t>
  </si>
  <si>
    <t>5001.01.03.01</t>
  </si>
  <si>
    <t>1）</t>
  </si>
  <si>
    <t>勘察丈量费</t>
  </si>
  <si>
    <t>5001.01.03.01.01</t>
  </si>
  <si>
    <t>场地测绘及地籍测量</t>
  </si>
  <si>
    <t>勘察测绘合约包</t>
  </si>
  <si>
    <t>5001.01.03.01.02</t>
  </si>
  <si>
    <t>项目交通分析</t>
  </si>
  <si>
    <t>5001.01.03.01.03</t>
  </si>
  <si>
    <t>初勘工程费</t>
  </si>
  <si>
    <t>延米</t>
  </si>
  <si>
    <t>延米</t>
  </si>
  <si>
    <t>m</t>
  </si>
  <si>
    <t>5001.01.03.01.04</t>
  </si>
  <si>
    <t>详勘工程费</t>
  </si>
  <si>
    <t>5001.01.03.01.05</t>
  </si>
  <si>
    <t>红线定位费（施工放线）</t>
  </si>
  <si>
    <t>楼栋数(栋)</t>
  </si>
  <si>
    <t>5001.01.03.01.07</t>
  </si>
  <si>
    <t>宗地测量费</t>
  </si>
  <si>
    <t>占地面积</t>
  </si>
  <si>
    <t>㎡</t>
  </si>
  <si>
    <t>5001.01.03.01.08</t>
  </si>
  <si>
    <t>沉降观测费</t>
  </si>
  <si>
    <t>5001.01.03.01.09</t>
  </si>
  <si>
    <t>基坑监测费用</t>
  </si>
  <si>
    <t>桩基及支护检测合同</t>
  </si>
  <si>
    <t>5001.01.03.01.10</t>
  </si>
  <si>
    <t>日照分析</t>
  </si>
  <si>
    <t>5001.01.03.02</t>
  </si>
  <si>
    <t>政府报批报建费</t>
  </si>
  <si>
    <t>5001.01.03.02.01</t>
  </si>
  <si>
    <t>地震评估报告</t>
  </si>
  <si>
    <t>地震环境评估合约包</t>
  </si>
  <si>
    <t>5001.01.03.02.02</t>
  </si>
  <si>
    <t>环境影响评估</t>
  </si>
  <si>
    <t>5001.01.03.02.03</t>
  </si>
  <si>
    <t>用地规划许可证审查费</t>
  </si>
  <si>
    <t>政府报批报建费合约包</t>
  </si>
  <si>
    <t>5001.01.03.02.04</t>
  </si>
  <si>
    <t>散装水泥专项基金</t>
  </si>
  <si>
    <t>计容面积</t>
  </si>
  <si>
    <t>5001.01.03.02.05</t>
  </si>
  <si>
    <t>墙体建筑材料节能费</t>
  </si>
  <si>
    <t>计容面积</t>
  </si>
  <si>
    <t>㎡</t>
  </si>
  <si>
    <t>5001.01.03.02.06</t>
  </si>
  <si>
    <t>建筑企业养老保证金</t>
  </si>
  <si>
    <t>养老保证金</t>
  </si>
  <si>
    <t>5001.01.03.02.07</t>
  </si>
  <si>
    <t>招投标交易服务费</t>
  </si>
  <si>
    <t>5001.01.03.02.08</t>
  </si>
  <si>
    <t>招投标代理服务费</t>
  </si>
  <si>
    <t>5001.01.03.02.09</t>
  </si>
  <si>
    <t>档案保证金</t>
  </si>
  <si>
    <t>5001.01.03.02.10</t>
  </si>
  <si>
    <t>5001.01.03.02.11</t>
  </si>
  <si>
    <t>大产权登记费</t>
  </si>
  <si>
    <t>5001.01.03.02.12</t>
  </si>
  <si>
    <t>门牌制作费</t>
  </si>
  <si>
    <t>5001.01.03.02.13</t>
  </si>
  <si>
    <t>测绘费（住宅）</t>
  </si>
  <si>
    <t>5001.01.03.02.14</t>
  </si>
  <si>
    <t>测绘费（住宅带底商）</t>
  </si>
  <si>
    <t>5001.01.03.02.15</t>
  </si>
  <si>
    <t>预售许可证房屋交易费（住宅）</t>
  </si>
  <si>
    <t>5001.01.03.02.16</t>
  </si>
  <si>
    <t>预售许可证房屋交易费（非住宅）</t>
  </si>
  <si>
    <t>5001.01.03.02.17</t>
  </si>
  <si>
    <t>房屋初始登记（住宅）</t>
  </si>
  <si>
    <t>5001.01.03.02.18</t>
  </si>
  <si>
    <t>房屋初始登记（商业）</t>
  </si>
  <si>
    <t>5001.01.03.02.19</t>
  </si>
  <si>
    <t>室内环境检测费</t>
  </si>
  <si>
    <t>5001.01.03.02.20</t>
  </si>
  <si>
    <t>消防审查费</t>
  </si>
  <si>
    <t>5001.01.03.02.21</t>
  </si>
  <si>
    <t>白蚁防治费</t>
  </si>
  <si>
    <t>5001.01.03.02.22</t>
  </si>
  <si>
    <t>施工图审查费</t>
  </si>
  <si>
    <t>5001.01.03.02.23</t>
  </si>
  <si>
    <t>防雷检测及验收费</t>
  </si>
  <si>
    <t>5001.01.03.02.24</t>
  </si>
  <si>
    <t>燃气审查</t>
  </si>
  <si>
    <t>5001.01.03.02.25</t>
  </si>
  <si>
    <t>查丈费</t>
  </si>
  <si>
    <t>5001.01.03.02.26</t>
  </si>
  <si>
    <t>水土保持费</t>
  </si>
  <si>
    <t>5001.01.03.02.27</t>
  </si>
  <si>
    <t>项目可行性研究报告</t>
  </si>
  <si>
    <t>5001.01.03.02.28</t>
  </si>
  <si>
    <t>水土保持补偿费</t>
  </si>
  <si>
    <t>5001.01.03.02.29</t>
  </si>
  <si>
    <t>印花税</t>
  </si>
  <si>
    <t>5001.01.03.02.30</t>
  </si>
  <si>
    <t>建设用地技术服务费</t>
  </si>
  <si>
    <t>5001.01.03.02.31</t>
  </si>
  <si>
    <t>规划技术服务费（住宅）</t>
  </si>
  <si>
    <t>5001.01.03.02.32</t>
  </si>
  <si>
    <t>工程定额检测费</t>
  </si>
  <si>
    <t>5001.01.03.02.33</t>
  </si>
  <si>
    <t>勘查设计招投标交易服务费</t>
  </si>
  <si>
    <t>5001.01.03.02.34</t>
  </si>
  <si>
    <t>规划技术服务费（经营性用房）</t>
  </si>
  <si>
    <t>5001.01.03.02.35</t>
  </si>
  <si>
    <t>建筑面积</t>
  </si>
  <si>
    <t>㎡</t>
  </si>
  <si>
    <t>5001.01.03.02.36</t>
  </si>
  <si>
    <t>详勘审查备案</t>
  </si>
  <si>
    <t>占地面积</t>
  </si>
  <si>
    <t>5001.01.03.02.37</t>
  </si>
  <si>
    <t>影像档案</t>
  </si>
  <si>
    <t>计容面积</t>
  </si>
  <si>
    <t>5001.01.03.02.38</t>
  </si>
  <si>
    <t>监理招投标交易服务费</t>
  </si>
  <si>
    <t>5001.01.03.03</t>
  </si>
  <si>
    <t>增容费</t>
  </si>
  <si>
    <t>5001.01.03.03.01</t>
  </si>
  <si>
    <t>5001.01.03.03.02</t>
  </si>
  <si>
    <t>建筑面积</t>
  </si>
  <si>
    <t>5001.01.03.03.03</t>
  </si>
  <si>
    <t>㎡</t>
  </si>
  <si>
    <t>二</t>
  </si>
  <si>
    <t>配套及地下室工程费</t>
  </si>
  <si>
    <t>5001.02.01</t>
  </si>
  <si>
    <t>土地属性指标类</t>
  </si>
  <si>
    <t>5001.02.01.01</t>
  </si>
  <si>
    <t>建筑面积</t>
  </si>
  <si>
    <t>㎡</t>
  </si>
  <si>
    <t>5001.02.01.02</t>
  </si>
  <si>
    <t>物业管理用房</t>
  </si>
  <si>
    <t>5001.02.01.02.01</t>
  </si>
  <si>
    <t>物业管理用房建筑工程费</t>
  </si>
  <si>
    <t>总承包工程施工合同</t>
  </si>
  <si>
    <t>5001.02.01.02.02</t>
  </si>
  <si>
    <t>物业管理用房装修工程费</t>
  </si>
  <si>
    <t>5001.02.01.03</t>
  </si>
  <si>
    <t>5001.02.01.03.01</t>
  </si>
  <si>
    <t>幼儿园</t>
  </si>
  <si>
    <t>5001.02.01.03.02</t>
  </si>
  <si>
    <t>学校</t>
  </si>
  <si>
    <t>5001.02.01.04</t>
  </si>
  <si>
    <t>体育运动设施建设及引入</t>
  </si>
  <si>
    <t>5001.02.01.05</t>
  </si>
  <si>
    <t>交通设施建设及引入</t>
  </si>
  <si>
    <t>5001.02.01.06</t>
  </si>
  <si>
    <t>社区服务用房</t>
  </si>
  <si>
    <t>5001.02.01.07</t>
  </si>
  <si>
    <t>设备房</t>
  </si>
  <si>
    <t>5001.02.02</t>
  </si>
  <si>
    <t>地下室（地下地上以室内±0标高为分界线）</t>
  </si>
  <si>
    <t>5001.02.02.01</t>
  </si>
  <si>
    <t>人防地下室总包施工（分摊）</t>
  </si>
  <si>
    <t>m2</t>
  </si>
  <si>
    <t>5001.02.02.02</t>
  </si>
  <si>
    <t>人防设施设备采购及安装</t>
  </si>
  <si>
    <t>人防设备采购及安装合同</t>
  </si>
  <si>
    <t>人防设备采购及安装合同</t>
  </si>
  <si>
    <t>5001.02.02.03</t>
  </si>
  <si>
    <t>非人防地下室总包施工（分摊）</t>
  </si>
  <si>
    <t>5001.02.02.04</t>
  </si>
  <si>
    <t>机械停车设备及安装</t>
  </si>
  <si>
    <t>m2</t>
  </si>
  <si>
    <t>5001.02.02.05</t>
  </si>
  <si>
    <t>地下室防水供货（分摊）</t>
  </si>
  <si>
    <t>m2</t>
  </si>
  <si>
    <t>5001.02.02.06</t>
  </si>
  <si>
    <t>地下室消防工程（分摊）</t>
  </si>
  <si>
    <t>5001.02.02.07</t>
  </si>
  <si>
    <t>地下室土石方工程（分摊）</t>
  </si>
  <si>
    <t>5001.02.02.08</t>
  </si>
  <si>
    <t>地下室桩基工程（分摊）</t>
  </si>
  <si>
    <t>5001.02.02.09</t>
  </si>
  <si>
    <t>地下室基坑支护工程（分摊）</t>
  </si>
  <si>
    <t>5001.02.02.10</t>
  </si>
  <si>
    <t>人防门工程</t>
  </si>
  <si>
    <t>人防门工程合同</t>
  </si>
  <si>
    <t>5001.02.02.11</t>
  </si>
  <si>
    <t>地下车库地坪处理</t>
  </si>
  <si>
    <t>地下车库地坪处理合同</t>
  </si>
  <si>
    <t>5001.02.03</t>
  </si>
  <si>
    <t>5001.02.03.01</t>
  </si>
  <si>
    <t>土方挖运及回填</t>
  </si>
  <si>
    <t>土石方工程合同</t>
  </si>
  <si>
    <t>地下室基底面积</t>
  </si>
  <si>
    <t>m3/m2</t>
  </si>
  <si>
    <t>5001.02.03.02</t>
  </si>
  <si>
    <t>基坑支护工程合同</t>
  </si>
  <si>
    <t>m3/m2</t>
  </si>
  <si>
    <t>5001.02.03.03</t>
  </si>
  <si>
    <t>地基处理（超深、换填、降水等）</t>
  </si>
  <si>
    <t>5001.02.03.04</t>
  </si>
  <si>
    <t>桩基工程</t>
  </si>
  <si>
    <t>桩基础工程施工合同</t>
  </si>
  <si>
    <t>5001.02.03.05</t>
  </si>
  <si>
    <t>桩基及基坑支护检测</t>
  </si>
  <si>
    <t>场内垃圾清运</t>
  </si>
  <si>
    <t>室外给排水系统费</t>
  </si>
  <si>
    <t>自来水工程施工合同</t>
  </si>
  <si>
    <t>室外雨污水工程合同</t>
  </si>
  <si>
    <t>管材供货合同</t>
  </si>
  <si>
    <t>室外采暖系统费</t>
  </si>
  <si>
    <t>管道系统（室外采暖）</t>
  </si>
  <si>
    <t>室外燃气系统</t>
  </si>
  <si>
    <t>管道系统（室外燃气）</t>
  </si>
  <si>
    <t>燃气配套费合同</t>
  </si>
  <si>
    <t>燃气表</t>
  </si>
  <si>
    <t>5001.03.03.03.03</t>
  </si>
  <si>
    <t>其他配套工程合约包</t>
  </si>
  <si>
    <t>5001.03.03.04</t>
  </si>
  <si>
    <t>室外电气及高低压设备费</t>
  </si>
  <si>
    <t>电力配套费</t>
  </si>
  <si>
    <t>电力配套合同</t>
  </si>
  <si>
    <t>㎡</t>
  </si>
  <si>
    <t>低压出线及物业站设备安装工程</t>
  </si>
  <si>
    <t>低压出线及物业站设备安装工程合同</t>
  </si>
  <si>
    <t>高压进线工程</t>
  </si>
  <si>
    <t>高压进线工程合同</t>
  </si>
  <si>
    <t>建筑面积</t>
  </si>
  <si>
    <t>物业电站设备及母线采购合同</t>
  </si>
  <si>
    <t>5001.03.04</t>
  </si>
  <si>
    <t>风险费（材料、人工预留）</t>
  </si>
  <si>
    <r>
      <rPr>
        <sz val="9"/>
        <rFont val="宋体"/>
        <family val="3"/>
        <charset val="134"/>
      </rPr>
      <t>㎡</t>
    </r>
  </si>
  <si>
    <t>5001.06</t>
  </si>
  <si>
    <t>六</t>
  </si>
  <si>
    <t>5001.06.01.01</t>
  </si>
  <si>
    <t>游泳池</t>
  </si>
  <si>
    <t>5001.06.01.02</t>
  </si>
  <si>
    <t>会所</t>
  </si>
  <si>
    <t>5001.06.01.02.01</t>
  </si>
  <si>
    <t>会所建安工程费用</t>
  </si>
  <si>
    <t>会所装饰工程费用</t>
  </si>
  <si>
    <t>m2</t>
  </si>
  <si>
    <t>会所软装及设备采购</t>
  </si>
  <si>
    <t>精装修其他甲供材采购合约包</t>
  </si>
  <si>
    <t>5001.06.01.03</t>
  </si>
  <si>
    <t>运动配套</t>
  </si>
  <si>
    <t>5001.06.01.04</t>
  </si>
  <si>
    <t>教育配套</t>
  </si>
  <si>
    <t>5001.06.01.05</t>
  </si>
  <si>
    <t>交通配套</t>
  </si>
  <si>
    <t>5001.06.01.06</t>
  </si>
  <si>
    <t>架空层</t>
  </si>
  <si>
    <t>5001.06.01.07</t>
  </si>
  <si>
    <t>地块周边外共享景观</t>
  </si>
  <si>
    <t>5001.06.01.07.01</t>
  </si>
  <si>
    <t>地块周边示范区景观工程</t>
  </si>
  <si>
    <t>5001.06.01.07.02</t>
  </si>
  <si>
    <t>地块周边景观工程</t>
  </si>
  <si>
    <t>5001.06.01.08</t>
  </si>
  <si>
    <t>土地合同外选择型配套-其它</t>
  </si>
  <si>
    <t>5001.06.02</t>
  </si>
  <si>
    <t>室外智能化系统</t>
  </si>
  <si>
    <t>1）</t>
  </si>
  <si>
    <t>停车管理系统</t>
  </si>
  <si>
    <t>建筑面积</t>
  </si>
  <si>
    <t>㎡</t>
  </si>
  <si>
    <t>2）</t>
  </si>
  <si>
    <t>小区闭路监控系统</t>
  </si>
  <si>
    <t>建筑面积</t>
  </si>
  <si>
    <t>5001.06.03.01</t>
  </si>
  <si>
    <t>绿化建设费</t>
  </si>
  <si>
    <t>5001.06.03.01.01</t>
  </si>
  <si>
    <t>示范区景观工程</t>
  </si>
  <si>
    <t>示范区景观工程合同</t>
  </si>
  <si>
    <t>5001.06.03.01.02</t>
  </si>
  <si>
    <t>园区景观工程</t>
  </si>
  <si>
    <t>建筑小品</t>
  </si>
  <si>
    <t>景观类合约包</t>
  </si>
  <si>
    <t>道路及广场建设费</t>
  </si>
  <si>
    <t>围墙建造费</t>
  </si>
  <si>
    <t>小院围墙</t>
  </si>
  <si>
    <t>5001.06.03.04.02</t>
  </si>
  <si>
    <t>小区围墙</t>
  </si>
  <si>
    <t>5001.06.03.05</t>
  </si>
  <si>
    <t>5001.06.03.05.01</t>
  </si>
  <si>
    <t>5001.06.03.05.02</t>
  </si>
  <si>
    <t>5001.06.03.06</t>
  </si>
  <si>
    <t>概念及方案设计</t>
  </si>
  <si>
    <t>方案及扩初设计合同</t>
  </si>
  <si>
    <t>规划及扩初设计</t>
  </si>
  <si>
    <t>主体施工图设计</t>
  </si>
  <si>
    <t>施工图设计合同</t>
  </si>
  <si>
    <t>景观方案及施工图设计</t>
  </si>
  <si>
    <t>景观设计合约包</t>
  </si>
  <si>
    <t>精装方案及施工图设计</t>
  </si>
  <si>
    <t>精装修设计合同</t>
  </si>
  <si>
    <t>市政管网施工图设计</t>
  </si>
  <si>
    <t>市政管网设计合同</t>
  </si>
  <si>
    <t>人防施工图设计</t>
  </si>
  <si>
    <t>人防设计合同</t>
  </si>
  <si>
    <t>设计顾问合同</t>
  </si>
  <si>
    <t>设计顾问合约包</t>
  </si>
  <si>
    <t>建筑研究用房</t>
  </si>
  <si>
    <t>图纸外审及优化咨询费</t>
  </si>
  <si>
    <t>5001.07.01.12</t>
  </si>
  <si>
    <t>市场咨询费</t>
  </si>
  <si>
    <t>5001.07.01.13</t>
  </si>
  <si>
    <t>其它费用（晒图等）</t>
  </si>
  <si>
    <t>工程监理费</t>
  </si>
  <si>
    <t>工程监理服务合约包</t>
  </si>
  <si>
    <t>5001.07.03.02</t>
  </si>
  <si>
    <t>施工合同外奖金</t>
  </si>
  <si>
    <t>工程质量监督费</t>
  </si>
  <si>
    <t>建筑面积+赠送</t>
  </si>
  <si>
    <t>m2</t>
  </si>
  <si>
    <t>安全监督费</t>
  </si>
  <si>
    <t>建筑面积+赠送</t>
  </si>
  <si>
    <t>工程保险费</t>
  </si>
  <si>
    <t>临时设施费</t>
  </si>
  <si>
    <t>5001.07.03.06.01</t>
  </si>
  <si>
    <t>临时围墙</t>
  </si>
  <si>
    <t>其他临时设施合约包</t>
  </si>
  <si>
    <t>5001.07.03.06.02</t>
  </si>
  <si>
    <t>临时办公室</t>
  </si>
  <si>
    <t>5001.07.03.06.03</t>
  </si>
  <si>
    <t>临时场地占用费</t>
  </si>
  <si>
    <t>5001.07.03.06.04</t>
  </si>
  <si>
    <t>临时围板</t>
  </si>
  <si>
    <t>5001.07.03.06.04.01</t>
  </si>
  <si>
    <t>围挡工程施工合同</t>
  </si>
  <si>
    <t>5001.07.03.06.04.02</t>
  </si>
  <si>
    <t>5001.07.03.06.05</t>
  </si>
  <si>
    <t>临时道路</t>
  </si>
  <si>
    <t>5001.07.03.06.06</t>
  </si>
  <si>
    <t>临时用电</t>
  </si>
  <si>
    <t>5001.07.03.06.07</t>
  </si>
  <si>
    <t>临时用水</t>
  </si>
  <si>
    <t>5001.07.03.07</t>
  </si>
  <si>
    <t>建造技术服务费</t>
  </si>
  <si>
    <t>5001.07.04</t>
  </si>
  <si>
    <t>营销/租赁设施建造费</t>
  </si>
  <si>
    <t>5001.07.04.01</t>
  </si>
  <si>
    <t>营销卖场费用</t>
  </si>
  <si>
    <t>5001.07.04.01.01</t>
  </si>
  <si>
    <t>卖场建造/租赁费用</t>
  </si>
  <si>
    <t>售楼处合约包</t>
  </si>
  <si>
    <t>卖场精装设计费用</t>
  </si>
  <si>
    <t>卖场硬装工程</t>
  </si>
  <si>
    <t>卖场软装工程</t>
  </si>
  <si>
    <t>营销卖场设备费用</t>
  </si>
  <si>
    <t>5001.07.04.02</t>
  </si>
  <si>
    <t>样板间费用</t>
  </si>
  <si>
    <t>5001.07.04.02.01</t>
  </si>
  <si>
    <t>样板间搭建费用</t>
  </si>
  <si>
    <t>样板间设计费用</t>
  </si>
  <si>
    <t>样板间硬装工程</t>
  </si>
  <si>
    <t>样板间软装工程</t>
  </si>
  <si>
    <t>样板间设备费用</t>
  </si>
  <si>
    <t>5001.07.04.03</t>
  </si>
  <si>
    <t>销售/租赁环境改造费</t>
  </si>
  <si>
    <t>5001.07.04.03.01</t>
  </si>
  <si>
    <t>精神堡垒费</t>
  </si>
  <si>
    <t>5001.07.04.03.02</t>
  </si>
  <si>
    <t>营销现场包装</t>
  </si>
  <si>
    <t>5001.07.04.03.03</t>
  </si>
  <si>
    <t>销售环境整改</t>
  </si>
  <si>
    <t>5001.07.04.04</t>
  </si>
  <si>
    <t>维护费用</t>
  </si>
  <si>
    <t>5001.07.04.04.01</t>
  </si>
  <si>
    <t>卖场/样板间维护费用</t>
  </si>
  <si>
    <t>5001.07.04.04.02</t>
  </si>
  <si>
    <t>卖场/样板间水电费用</t>
  </si>
  <si>
    <t>5001.07.05</t>
  </si>
  <si>
    <t>造价咨询费</t>
  </si>
  <si>
    <t>造价咨询合同</t>
  </si>
  <si>
    <t>5001.07.06</t>
  </si>
  <si>
    <t>物业完善费用</t>
  </si>
  <si>
    <t>5001.07.06.01</t>
  </si>
  <si>
    <t>1）</t>
  </si>
  <si>
    <t>专项维修基金</t>
  </si>
  <si>
    <t>5001.07.06.02</t>
  </si>
  <si>
    <t>2）</t>
  </si>
  <si>
    <t>物业前期介入费用</t>
  </si>
  <si>
    <t>5001.08</t>
  </si>
  <si>
    <t>八</t>
  </si>
  <si>
    <t>资本化利息</t>
  </si>
  <si>
    <t>5001.08.01</t>
  </si>
  <si>
    <t>企业借款利息支出</t>
  </si>
  <si>
    <t>5001.08.02</t>
  </si>
  <si>
    <t>资金中心借款利息支出</t>
  </si>
  <si>
    <t>5001.08.03</t>
  </si>
  <si>
    <t>金融借款利息支出</t>
  </si>
  <si>
    <t>合计</t>
  </si>
  <si>
    <t>土方工程（主体）</t>
  </si>
  <si>
    <t>楼座周边回填</t>
  </si>
  <si>
    <t>房心回填</t>
  </si>
  <si>
    <t>5001.03.01.02.02</t>
  </si>
  <si>
    <t>5001.03.01.02.02.02</t>
  </si>
  <si>
    <t>5001.03.01.02.04</t>
  </si>
  <si>
    <t>5001.03.01.02.05</t>
  </si>
  <si>
    <t>5001.03.01.02.06</t>
  </si>
  <si>
    <t>防水供货</t>
  </si>
  <si>
    <t>防水供货合同</t>
  </si>
  <si>
    <t>5001.03.01.02.06.02</t>
  </si>
  <si>
    <t>5001.03.01.02.07.02</t>
  </si>
  <si>
    <t>5001.03.01.02.07.03</t>
  </si>
  <si>
    <t>5001.03.01.02.07.04</t>
  </si>
  <si>
    <t>外墙保温及涂料一体化施工合同</t>
  </si>
  <si>
    <t>5001.03.01.02.08.02</t>
  </si>
  <si>
    <t>5001.03.01.02.08.03</t>
  </si>
  <si>
    <t>工业化构件采购合同</t>
  </si>
  <si>
    <t>5001.03.01.02.13</t>
  </si>
  <si>
    <t>室内给排水施工</t>
  </si>
  <si>
    <t>5001.03.02.01.01.02</t>
  </si>
  <si>
    <t>室内给排水管材供货</t>
  </si>
  <si>
    <t>地采暖工程</t>
  </si>
  <si>
    <t>室内热力施工合同</t>
  </si>
  <si>
    <t>5001.03.02.01.02.02</t>
  </si>
  <si>
    <t>热计量表</t>
  </si>
  <si>
    <t>热计量表采购合同</t>
  </si>
  <si>
    <t>室内燃气系统</t>
  </si>
  <si>
    <t>5001.03.02.01.03.02</t>
  </si>
  <si>
    <t>室内电气系统施工</t>
  </si>
  <si>
    <t>室内电气施工</t>
  </si>
  <si>
    <t>5001.03.02.01.04.02</t>
  </si>
  <si>
    <t>室内电气主要材料-管材</t>
  </si>
  <si>
    <t>5001.03.02.01.04.03</t>
  </si>
  <si>
    <t>室内电气主要材料-电缆/母线</t>
  </si>
  <si>
    <t>5001.03.02.01.04.04</t>
  </si>
  <si>
    <t>室内电气主要材料-公共照明灯具</t>
  </si>
  <si>
    <t>精装修其他甲供材采购合约包</t>
  </si>
  <si>
    <t>5001.03.02.01.04.05</t>
  </si>
  <si>
    <t>室内电气主要材料-公共配电箱/柜</t>
  </si>
  <si>
    <t>5001.03.02.01.04.06</t>
  </si>
  <si>
    <t>室内电气主要材料-电表</t>
  </si>
  <si>
    <t>5001.03.02.01.04.07</t>
  </si>
  <si>
    <t>室内电气主要材料-户内配电箱/柜</t>
  </si>
  <si>
    <t>5001.03.02.01.04.08</t>
  </si>
  <si>
    <t>室内电气系统费-其他</t>
  </si>
  <si>
    <t>电梯供货</t>
  </si>
  <si>
    <t>5001.03.02.02.01.02</t>
  </si>
  <si>
    <t>电梯安装</t>
  </si>
  <si>
    <t>扶梯供货工程合同</t>
  </si>
  <si>
    <t>5001.03.02.02.02.02</t>
  </si>
  <si>
    <t>扶梯安装工程合同</t>
  </si>
  <si>
    <t>消防施工工程</t>
  </si>
  <si>
    <t>5001.03.02.02.03.02</t>
  </si>
  <si>
    <t>消防工程甲供材</t>
  </si>
  <si>
    <t>空调冷凝水系统</t>
  </si>
  <si>
    <t>空调供货安装工程合同</t>
  </si>
  <si>
    <t>通风排烟系统</t>
  </si>
  <si>
    <t>橱柜、收纳柜供货</t>
  </si>
  <si>
    <t>橱柜、收纳柜供货合同</t>
  </si>
  <si>
    <t>橱柜、收纳柜安装</t>
  </si>
  <si>
    <t>橱柜、收纳柜安装合同</t>
  </si>
  <si>
    <t>户内门供货</t>
  </si>
  <si>
    <t>户内门供货合同</t>
  </si>
  <si>
    <t>户内门安装</t>
  </si>
  <si>
    <t>户内门安装合同</t>
  </si>
  <si>
    <t>木地板供货及安装</t>
  </si>
  <si>
    <t>室内装修总包</t>
  </si>
  <si>
    <t>厨房电器采购</t>
  </si>
  <si>
    <t>厨房电器采购合同</t>
  </si>
  <si>
    <t>5001.04.01.08</t>
  </si>
  <si>
    <t>洁具及五金供货</t>
  </si>
  <si>
    <t>瓷砖供货</t>
  </si>
  <si>
    <t>室内石材供货</t>
  </si>
  <si>
    <t>室内石材供货合同</t>
  </si>
  <si>
    <t>精装修其他甲供材采购</t>
  </si>
  <si>
    <t>外立面涂料工程</t>
  </si>
  <si>
    <t>外立面涂料供货</t>
  </si>
  <si>
    <t>外立面涂料施工</t>
  </si>
  <si>
    <t>5001.05.01.01.02</t>
  </si>
  <si>
    <t>幕墙工程</t>
  </si>
  <si>
    <t>玻璃幕墙（含保温）</t>
  </si>
  <si>
    <t>金属板幕墙（含保温）</t>
  </si>
  <si>
    <t>5001.05.01.01.02.03</t>
  </si>
  <si>
    <t>陶板幕墙（含保温）</t>
  </si>
  <si>
    <t>5001.05.01.01.02.04</t>
  </si>
  <si>
    <t>石材幕墙（含保温）</t>
  </si>
  <si>
    <t>5001.05.01.01.03</t>
  </si>
  <si>
    <t>外立面面砖工程</t>
  </si>
  <si>
    <t>5001.05.01.01.03.01</t>
  </si>
  <si>
    <t>外墙面砖供货</t>
  </si>
  <si>
    <t>5001.05.01.01.03.02</t>
  </si>
  <si>
    <t>外墙面砖施工</t>
  </si>
  <si>
    <t>5001.05.01.01.04</t>
  </si>
  <si>
    <t>外立面石材</t>
  </si>
  <si>
    <t>5001.05.01.01.04.01</t>
  </si>
  <si>
    <t>外墙石材供货及施工</t>
  </si>
  <si>
    <t>5001.05.01.01.04.02</t>
  </si>
  <si>
    <t>外墙文化石</t>
  </si>
  <si>
    <t>5001.05.01.01.05</t>
  </si>
  <si>
    <t>外墙挂板</t>
  </si>
  <si>
    <t>铝合金（塑钢）门窗工程合同</t>
  </si>
  <si>
    <t>外立面钢构件</t>
  </si>
  <si>
    <t>外立面零星装饰</t>
  </si>
  <si>
    <t>栏杆、百叶工程合同</t>
  </si>
  <si>
    <t>公共部位扶手栏杆</t>
  </si>
  <si>
    <t>5001.05.01.02.04</t>
  </si>
  <si>
    <t>5001.05.01.02.05</t>
  </si>
  <si>
    <t>入户门供货合同</t>
  </si>
  <si>
    <t>5001.05.01.03.02.02</t>
  </si>
  <si>
    <t>入户门安装合同</t>
  </si>
  <si>
    <t>防火门工程合同</t>
  </si>
  <si>
    <t>层</t>
  </si>
  <si>
    <t>大堂精装修总包</t>
  </si>
  <si>
    <t>大堂精装修瓷砖甲供材</t>
  </si>
  <si>
    <t>大堂精装修涂料甲供材</t>
  </si>
  <si>
    <t>电话及宽带网络费用/综合布线</t>
  </si>
  <si>
    <t>网络集成工程施工合同</t>
  </si>
  <si>
    <t>室内对讲设备采购</t>
  </si>
  <si>
    <t>三表远传费用</t>
  </si>
  <si>
    <t>楼宇自控系统费用</t>
  </si>
  <si>
    <t>5001.05.04.01</t>
  </si>
  <si>
    <t>5001.05.04.02</t>
  </si>
  <si>
    <t>太阳能设备及安装合同</t>
  </si>
  <si>
    <t>混凝土供货合同</t>
  </si>
  <si>
    <t>钢筋供货合同</t>
  </si>
  <si>
    <t>基底面积</t>
  </si>
  <si>
    <t>钢结构工程合约包</t>
  </si>
  <si>
    <t>洁具及五金供货合约包</t>
  </si>
  <si>
    <t>精装修其他甲供材采购合约包</t>
  </si>
  <si>
    <t>幕墙施工合同</t>
  </si>
  <si>
    <t>保温涂料一体板工程合同</t>
  </si>
  <si>
    <t>m2/樘</t>
  </si>
  <si>
    <t>5001.05.01.03.02.01</t>
  </si>
  <si>
    <t>入户门供货</t>
  </si>
  <si>
    <t>户数</t>
  </si>
  <si>
    <t>入户门安装</t>
  </si>
  <si>
    <t>本体标识工程合同</t>
  </si>
  <si>
    <t>精装修总承包工程施工合同</t>
  </si>
  <si>
    <t>有线电视工程合约包</t>
  </si>
  <si>
    <t>室内对讲设备安装</t>
  </si>
  <si>
    <t>对讲系统采购合同</t>
  </si>
  <si>
    <t>暂时不用</t>
  </si>
  <si>
    <t>主体建安费</t>
  </si>
  <si>
    <t>含税单价</t>
  </si>
  <si>
    <t>单价(元)</t>
  </si>
  <si>
    <t>房心回填</t>
  </si>
  <si>
    <t>5001.03.01.02.01</t>
  </si>
  <si>
    <t>混凝土</t>
  </si>
  <si>
    <t>5001.03.01.02.01.01</t>
  </si>
  <si>
    <t>混凝土供货</t>
  </si>
  <si>
    <t>5001.03.01.02.01.02</t>
  </si>
  <si>
    <t>混凝土施工</t>
  </si>
  <si>
    <t>5001.03.01.02.02.01</t>
  </si>
  <si>
    <t>钢筋供货</t>
  </si>
  <si>
    <t>钢筋施工</t>
  </si>
  <si>
    <t>5001.03.01.02.03</t>
  </si>
  <si>
    <t>砌体及隔墙</t>
  </si>
  <si>
    <t>防水</t>
  </si>
  <si>
    <t>5001.03.01.02.06.01</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</si>
  <si>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</si>
  <si>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</si>
  <si>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</si>
  <si>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</si>
  <si>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</si>
  <si>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</si>
  <si>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</si>
  <si>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</si>
  <si>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</si>
  <si>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</si>
  <si>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</si>
  <si>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</si>
  <si>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</si>
  <si>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</si>
  <si>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5001.03.01.02.09</t>
  </si>
  <si>
    <t>工业化增加费</t>
  </si>
  <si>
    <t>5001.03.01.02.10</t>
  </si>
  <si>
    <t>钢结构工程</t>
  </si>
  <si>
    <t>5001.03.01.02.11</t>
  </si>
  <si>
    <t>零星项目</t>
  </si>
  <si>
    <t>5001.03.01.02.12</t>
  </si>
  <si>
    <t>变更、签证预留费</t>
  </si>
  <si>
    <t>绿色建筑增加费</t>
  </si>
  <si>
    <t>主体水暖气电</t>
  </si>
  <si>
    <t>室内给排水系统</t>
  </si>
  <si>
    <t>5001.03.02.01.01.01</t>
  </si>
  <si>
    <t>5001.03.02.01.02.01</t>
  </si>
  <si>
    <t>5001.03.02.01.03.01</t>
  </si>
  <si>
    <t>5001.03.02.01.04.01</t>
  </si>
  <si>
    <t>建筑面积*（2+赠送比例）</t>
  </si>
  <si>
    <t>建筑面积*（3+赠送比例）</t>
  </si>
  <si>
    <t>建筑面积*（4+赠送比例）</t>
  </si>
  <si>
    <t>配电箱、弱电箱、T接箱供货合同</t>
  </si>
  <si>
    <t>建筑面积*（5+赠送比例）</t>
  </si>
  <si>
    <t>建筑面积*（6+赠送比例）</t>
  </si>
  <si>
    <t>建筑面积*（7+赠送比例）</t>
  </si>
  <si>
    <t>建筑面积*（8+赠送比例）</t>
  </si>
  <si>
    <t>主体设备及其安装费</t>
  </si>
  <si>
    <t>电梯及其安装费</t>
  </si>
  <si>
    <t>5001.03.02.02.01.01</t>
  </si>
  <si>
    <t>扶梯及其安装费</t>
  </si>
  <si>
    <t>5001.03.02.02.02.01</t>
  </si>
  <si>
    <t>扶梯供货</t>
  </si>
  <si>
    <t>扶梯安装</t>
  </si>
  <si>
    <t>消防系统及其安装费</t>
  </si>
  <si>
    <t>5001.03.02.02.03.01</t>
  </si>
  <si>
    <t>空调及通风系统费</t>
  </si>
  <si>
    <t>5001.03.02.02.05.01</t>
  </si>
  <si>
    <t>5001.03.02.02.05.02</t>
  </si>
  <si>
    <t>配套用房</t>
  </si>
  <si>
    <t>成本（万元）</t>
  </si>
  <si>
    <t>高层</t>
  </si>
  <si>
    <t>赠送比例</t>
  </si>
  <si>
    <t>基底面积</t>
  </si>
  <si>
    <t>户数</t>
  </si>
  <si>
    <t>单元数</t>
  </si>
  <si>
    <t>层数</t>
  </si>
  <si>
    <t>主体建安工程费</t>
  </si>
  <si>
    <t>合同/合约包</t>
  </si>
  <si>
    <t>原始指标</t>
  </si>
  <si>
    <t>消耗量系数</t>
  </si>
  <si>
    <t>系数单位</t>
  </si>
  <si>
    <t>消耗量</t>
  </si>
  <si>
    <t>含税单价</t>
  </si>
  <si>
    <t>单价(元)</t>
  </si>
  <si>
    <t>不含税成本（万元）</t>
  </si>
  <si>
    <t>工程量及单价说明</t>
  </si>
  <si>
    <t>5001.03</t>
  </si>
  <si>
    <t>三</t>
  </si>
  <si>
    <t>基建及管网工程费</t>
  </si>
  <si>
    <t>5001.03.01</t>
  </si>
  <si>
    <t>主体结构工程</t>
  </si>
  <si>
    <t>5001.03.01.01</t>
  </si>
  <si>
    <t>1）</t>
  </si>
  <si>
    <t>土方工程（主体）</t>
  </si>
  <si>
    <t>5001.03.01.01.01</t>
  </si>
  <si>
    <t>5001.03.01.02</t>
  </si>
  <si>
    <t>2）</t>
  </si>
  <si>
    <t>结构及粗装修工程</t>
  </si>
  <si>
    <t>5001.03.01.02.01</t>
  </si>
  <si>
    <t>混凝土</t>
  </si>
  <si>
    <t>5001.03.01.02.01.01</t>
  </si>
  <si>
    <t>混凝土供货</t>
  </si>
  <si>
    <t>5001.03.01.02.01.02</t>
  </si>
  <si>
    <t>混凝土施工</t>
  </si>
  <si>
    <t>5001.03.01.02.02</t>
  </si>
  <si>
    <t>5001.03.01.02.02.01</t>
  </si>
  <si>
    <t>钢筋供货</t>
  </si>
  <si>
    <t>钢筋施工</t>
  </si>
  <si>
    <t>5001.03.01.02.03</t>
  </si>
  <si>
    <t>砌体及隔墙</t>
  </si>
  <si>
    <t>m2/m2</t>
  </si>
  <si>
    <t>防水</t>
  </si>
  <si>
    <t>5001.03.01.02.06.01</t>
  </si>
  <si>
    <t>防水供货</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</si>
  <si>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</si>
  <si>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</si>
  <si>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</si>
  <si>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</si>
  <si>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</si>
  <si>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</si>
  <si>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</si>
  <si>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</si>
  <si>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</si>
  <si>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</si>
  <si>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</si>
  <si>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</si>
  <si>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</si>
  <si>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</si>
  <si>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基底面积</t>
  </si>
  <si>
    <t>5001.03.01.02.09</t>
  </si>
  <si>
    <t>工业化增加费</t>
  </si>
  <si>
    <t>5001.03.01.02.10</t>
  </si>
  <si>
    <t>钢结构工程</t>
  </si>
  <si>
    <t>钢结构工程合约包</t>
  </si>
  <si>
    <t>70%的17%；30%的可能17%或者11%。</t>
  </si>
  <si>
    <t>5001.03.01.02.11</t>
  </si>
  <si>
    <t>零星项目</t>
  </si>
  <si>
    <t>5001.03.01.02.12</t>
  </si>
  <si>
    <t>变更、签证预留费</t>
  </si>
  <si>
    <t>绿色建筑增加费</t>
  </si>
  <si>
    <t>5001.03.02</t>
  </si>
  <si>
    <t>主体安装工程</t>
  </si>
  <si>
    <t>主体水暖气电</t>
  </si>
  <si>
    <t>室内给排水系统</t>
  </si>
  <si>
    <t>5001.03.02.01.01.01</t>
  </si>
  <si>
    <t>建筑面积*（1+赠送比例）</t>
  </si>
  <si>
    <t>5001.03.02.01.02.01</t>
  </si>
  <si>
    <t>5001.03.02.01.03.01</t>
  </si>
  <si>
    <t>燃气表</t>
  </si>
  <si>
    <t>5001.03.02.01.04.01</t>
  </si>
  <si>
    <t>建筑面积*（1+赠送比例）</t>
  </si>
  <si>
    <t>电线电缆供货合同</t>
  </si>
  <si>
    <t>精装修其他甲供材采购合约包</t>
  </si>
  <si>
    <t>配电箱、弱电箱、T接箱供货合同</t>
  </si>
  <si>
    <t>主体设备及其安装费</t>
  </si>
  <si>
    <t>电梯及其安装费</t>
  </si>
  <si>
    <t>5001.03.02.02.01.01</t>
  </si>
  <si>
    <t>部/单元</t>
  </si>
  <si>
    <t>电梯安装工程合同</t>
  </si>
  <si>
    <t>扶梯及其安装费</t>
  </si>
  <si>
    <t>5001.03.02.02.02.01</t>
  </si>
  <si>
    <t>扶梯供货</t>
  </si>
  <si>
    <t>扶梯安装</t>
  </si>
  <si>
    <t>消防系统及其安装费</t>
  </si>
  <si>
    <t>5001.03.02.02.03.01</t>
  </si>
  <si>
    <t>5001.03.02.02.04</t>
  </si>
  <si>
    <t>空调及通风系统费</t>
  </si>
  <si>
    <t>5001.03.02.02.04.01</t>
  </si>
  <si>
    <t>5001.03.02.02.04.02</t>
  </si>
  <si>
    <t>通风排烟系统</t>
  </si>
  <si>
    <t>5001.04</t>
  </si>
  <si>
    <t>四</t>
  </si>
  <si>
    <t>室内精装修工程费</t>
  </si>
  <si>
    <t>5001.04.01</t>
  </si>
  <si>
    <t>室内装修</t>
  </si>
  <si>
    <t>5001.04.01.01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</si>
  <si>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</si>
  <si>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</si>
  <si>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</si>
  <si>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</si>
  <si>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</si>
  <si>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</si>
  <si>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</si>
  <si>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</si>
  <si>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</si>
  <si>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</si>
  <si>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</si>
  <si>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</si>
  <si>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</si>
  <si>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</si>
  <si>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</si>
  <si>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5001.05.01</t>
  </si>
  <si>
    <t>建筑立面及部品</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</si>
  <si>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</si>
  <si>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</si>
  <si>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</si>
  <si>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</si>
  <si>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</si>
  <si>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</si>
  <si>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</si>
  <si>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</si>
  <si>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</si>
  <si>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</si>
  <si>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</si>
  <si>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</si>
  <si>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</si>
  <si>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</si>
  <si>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</si>
  <si>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</si>
  <si>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</si>
  <si>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楼体泛光照明</t>
  </si>
  <si>
    <t>5001.05.01.01.10</t>
  </si>
  <si>
    <t>其他（外立面装饰工程类）</t>
  </si>
  <si>
    <t>栏杆百叶工程</t>
  </si>
  <si>
    <t>楼梯扶手栏杆</t>
  </si>
  <si>
    <t>层数+1</t>
  </si>
  <si>
    <t>m/层</t>
  </si>
  <si>
    <t>阳、露台、生活阳台栏杆</t>
  </si>
  <si>
    <t>5001.05.01.02.04</t>
  </si>
  <si>
    <t>低窗护栏</t>
  </si>
  <si>
    <t>5001.05.01.02.05</t>
  </si>
  <si>
    <t>百叶（空调及遮阳等）</t>
  </si>
  <si>
    <t>3）</t>
  </si>
  <si>
    <t>门窗工程</t>
  </si>
  <si>
    <t>公共区域出入门</t>
  </si>
  <si>
    <t>入户门</t>
  </si>
  <si>
    <t>5001.05.01.03.02.01</t>
  </si>
  <si>
    <t>入户门供货</t>
  </si>
  <si>
    <t>户数</t>
  </si>
  <si>
    <t>入户门安装</t>
  </si>
  <si>
    <t>公共区域防火门、卷帘</t>
  </si>
  <si>
    <t>5001.05.01.03.04</t>
  </si>
  <si>
    <t>窗、阳台门</t>
  </si>
  <si>
    <t>考虑防火窗</t>
  </si>
  <si>
    <t>4）</t>
  </si>
  <si>
    <t>其他工程</t>
  </si>
  <si>
    <t>屋面精装修</t>
  </si>
  <si>
    <t>屋面精装修甲供材</t>
  </si>
  <si>
    <t>5001.05.01.04.03</t>
  </si>
  <si>
    <t>标识牌（指示/分区/楼栋/门牌等）</t>
  </si>
  <si>
    <t>本体标识工程合同</t>
  </si>
  <si>
    <t>信报箱</t>
  </si>
  <si>
    <t>5001.05.02</t>
  </si>
  <si>
    <t xml:space="preserve">公共部位精装修 </t>
  </si>
  <si>
    <t>大堂精装修</t>
  </si>
  <si>
    <t>5001.05.02.01.01</t>
  </si>
  <si>
    <t>大堂精装修总包</t>
  </si>
  <si>
    <t>精装修总承包工程施工合同</t>
  </si>
  <si>
    <t>大堂精装修瓷砖甲供材</t>
  </si>
  <si>
    <t>大堂精装修涂料甲供材</t>
  </si>
  <si>
    <t>5001.05.02.02</t>
  </si>
  <si>
    <t>地下室大堂装修</t>
  </si>
  <si>
    <t>5001.05.02.02.01</t>
  </si>
  <si>
    <t>地下大堂精装修总包</t>
  </si>
  <si>
    <t>地下大堂瓷砖甲供材</t>
  </si>
  <si>
    <t>地下大堂涂料甲供材</t>
  </si>
  <si>
    <t>5001.05.02.03</t>
  </si>
  <si>
    <t>中庭装修硬装</t>
  </si>
  <si>
    <t>架空层泛大堂装修</t>
  </si>
  <si>
    <t>楼梯间装修</t>
  </si>
  <si>
    <t>5001.05.02.06</t>
  </si>
  <si>
    <t>标准层电梯厅装修</t>
  </si>
  <si>
    <t>5001.05.02.06.01</t>
  </si>
  <si>
    <t>标准层电梯厅装修总包</t>
  </si>
  <si>
    <t>层数-1</t>
  </si>
  <si>
    <t>标准层电梯厅瓷砖甲供材</t>
  </si>
  <si>
    <t>标准层电梯厅涂料甲供材</t>
  </si>
  <si>
    <t>7）</t>
  </si>
  <si>
    <t>电梯轿厢装修</t>
  </si>
  <si>
    <t>扶梯装修</t>
  </si>
  <si>
    <t>租赁区走廊装修</t>
  </si>
  <si>
    <t>5001.05.02.10</t>
  </si>
  <si>
    <t>经营性物业内置家私及饰品</t>
  </si>
  <si>
    <t>5001.05.03</t>
  </si>
  <si>
    <t>室内弱电系统</t>
  </si>
  <si>
    <t>楼宇智能化系统费用</t>
  </si>
  <si>
    <t>电话及宽带网络费用/综合布线</t>
  </si>
  <si>
    <t>有线电视工程合约包</t>
  </si>
  <si>
    <t>室内对讲设备安装</t>
  </si>
  <si>
    <t>室内对讲设备采购</t>
  </si>
  <si>
    <t>对讲系统采购合同</t>
  </si>
  <si>
    <t>三表远传费用</t>
  </si>
  <si>
    <t>楼宇自控系统费用</t>
  </si>
  <si>
    <t>5001.05.03.01.08</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</si>
  <si>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</si>
  <si>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</si>
  <si>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</si>
  <si>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</si>
  <si>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</si>
  <si>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</si>
  <si>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</si>
  <si>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</si>
  <si>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</si>
  <si>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</si>
  <si>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</si>
  <si>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土地合同</t>
  </si>
  <si>
    <t>土地合同</t>
  </si>
  <si>
    <t>*</t>
  </si>
  <si>
    <t>米公寓/loft（装修）</t>
  </si>
  <si>
    <t>主体建安工程费</t>
  </si>
  <si>
    <t>部/单元</t>
  </si>
  <si>
    <t>m2/个</t>
  </si>
  <si>
    <t>m/层</t>
  </si>
  <si>
    <t>层</t>
  </si>
  <si>
    <t>m2/层</t>
  </si>
  <si>
    <t>户</t>
  </si>
  <si>
    <t>套/户</t>
  </si>
  <si>
    <t>kg/m2</t>
  </si>
  <si>
    <t>m3</t>
  </si>
  <si>
    <t>m4</t>
  </si>
  <si>
    <t>m5</t>
  </si>
  <si>
    <t>精装</t>
  </si>
  <si>
    <t>毛坯</t>
  </si>
  <si>
    <t>含税</t>
  </si>
  <si>
    <t>税前</t>
  </si>
  <si>
    <t>金额</t>
  </si>
  <si>
    <t>单方</t>
  </si>
  <si>
    <t>合计</t>
  </si>
  <si>
    <t>车位数</t>
  </si>
  <si>
    <t>车位售价</t>
  </si>
  <si>
    <t>占车位成本比例</t>
  </si>
  <si>
    <t>需分摊成本</t>
  </si>
  <si>
    <t>分摊系数</t>
  </si>
  <si>
    <t>含税成本</t>
  </si>
  <si>
    <t>含税单方</t>
  </si>
  <si>
    <t>税前成本</t>
  </si>
  <si>
    <t>税前单方</t>
  </si>
  <si>
    <t>3#、6#规划指标</t>
  </si>
  <si>
    <t>总占地面积</t>
  </si>
  <si>
    <t>m2</t>
  </si>
  <si>
    <t>建筑用地面积</t>
  </si>
  <si>
    <t>建筑密度</t>
  </si>
  <si>
    <t>绿地率</t>
  </si>
  <si>
    <t>计容积率面积</t>
  </si>
  <si>
    <t>容积率</t>
  </si>
  <si>
    <t>围墙长度</t>
  </si>
  <si>
    <t>m</t>
  </si>
  <si>
    <t>车行道面积合计</t>
  </si>
  <si>
    <t>沥青(砼)路面车行道</t>
  </si>
  <si>
    <t>露天停车位</t>
  </si>
  <si>
    <t>隐形消防车道及登高面</t>
  </si>
  <si>
    <t>红线外景观</t>
  </si>
  <si>
    <t>景观面积合计（不含庭院）</t>
  </si>
  <si>
    <t>绿地面积</t>
  </si>
  <si>
    <t>天然水景面积</t>
  </si>
  <si>
    <t>园路广场面积</t>
  </si>
  <si>
    <t>人行道面积</t>
  </si>
  <si>
    <t>景观设施面积</t>
  </si>
  <si>
    <t>硬底水景面积</t>
  </si>
  <si>
    <t>室外泳池面积</t>
  </si>
  <si>
    <t>别墅庭院占地面积</t>
  </si>
  <si>
    <t>总占地面积=建筑用地面积-代征用地面积(若无待征用地，则总占地面积=建筑用地面积，即用地红线面积)</t>
  </si>
  <si>
    <t>建筑密度=建筑物基底面积/建筑用地面积（建筑密度指建筑物覆盖率，反映出一定用地范围内的空地率和建筑密集程度。）</t>
  </si>
  <si>
    <t xml:space="preserve"> 绿地率=绿地面积/建筑用地面积（绿地率跟绿化率不是同一概念，绿地率基本为草皮和地被面积和）</t>
  </si>
  <si>
    <t>园建面积=景观面积+车行道面积+架空层面积+别墅庭院面积</t>
  </si>
  <si>
    <t>景观面积=硬景面积+软景面积</t>
  </si>
  <si>
    <t>车行道面积=地块内车行道面积+露天停车位面积（隐形消防车道及登高面按材质区分，草皮为绿地面积的一部分、而为硬铺时为车行道面积的一部分）</t>
  </si>
  <si>
    <t>硬景面积包含：园路，广场硬铺，球场，游乐设施，构筑小品，平台栈道，硬底水景，室外泳池的水平投影占地面积，</t>
  </si>
  <si>
    <t>软景面积包含：灌木面积，草坪面积，天然水景等。</t>
  </si>
  <si>
    <t>占地面积数据复核</t>
  </si>
  <si>
    <t>数据逻辑：建筑用地面积=基底面积+车行道面积+景观面积+别墅庭院面积（如有）</t>
  </si>
  <si>
    <t>产品构成</t>
  </si>
  <si>
    <t>占地面积</t>
  </si>
  <si>
    <t>楼栋数</t>
  </si>
  <si>
    <t>建筑物基底面积</t>
  </si>
  <si>
    <t>建筑面积</t>
  </si>
  <si>
    <t>可售面积</t>
  </si>
  <si>
    <t>持有面积</t>
  </si>
  <si>
    <t>产品比例</t>
  </si>
  <si>
    <t>户均面积</t>
  </si>
  <si>
    <t>单元数</t>
  </si>
  <si>
    <t>户数</t>
  </si>
  <si>
    <t>层数</t>
  </si>
  <si>
    <t>层高(m)</t>
  </si>
  <si>
    <t>赠送面积
（㎡）</t>
  </si>
  <si>
    <r>
      <t>赠送比(</t>
    </r>
    <r>
      <rPr>
        <b/>
        <sz val="9"/>
        <rFont val="宋体"/>
        <family val="3"/>
        <charset val="134"/>
      </rPr>
      <t>%)</t>
    </r>
  </si>
  <si>
    <t>住宅类</t>
  </si>
  <si>
    <t>高层住宅（15F）</t>
  </si>
  <si>
    <t>叠拼（4F）</t>
  </si>
  <si>
    <t>小联排（3F）</t>
  </si>
  <si>
    <t>小计</t>
  </si>
  <si>
    <t>非住宅类</t>
  </si>
  <si>
    <t>底层商业（1-2F）</t>
  </si>
  <si>
    <t>商墅（3-5F）</t>
  </si>
  <si>
    <t>高层公寓(15F)</t>
  </si>
  <si>
    <t>小计</t>
  </si>
  <si>
    <t>配套设施类</t>
  </si>
  <si>
    <t>社区服务用房</t>
  </si>
  <si>
    <t>物业管理用房</t>
  </si>
  <si>
    <t>幼儿园</t>
  </si>
  <si>
    <t>代征道路</t>
  </si>
  <si>
    <t>代征绿地</t>
  </si>
  <si>
    <t>车位数</t>
  </si>
  <si>
    <t>建筑面积</t>
  </si>
  <si>
    <t>可售面积</t>
  </si>
  <si>
    <t>持有面积</t>
  </si>
  <si>
    <t>地下室</t>
  </si>
  <si>
    <t>人防地下室</t>
  </si>
  <si>
    <t>根据是否可售及收入配比原则自行确定</t>
  </si>
  <si>
    <t>持有物业停车</t>
  </si>
  <si>
    <t>成本全部摊入持有物业部分，不单独保留成本</t>
  </si>
  <si>
    <t>住宅地下室</t>
  </si>
  <si>
    <t>见《核算指导》</t>
  </si>
  <si>
    <t>普通地下室</t>
  </si>
  <si>
    <t>可售物业停车</t>
  </si>
  <si>
    <t>持有物业配套停车</t>
  </si>
  <si>
    <t>地面露天</t>
  </si>
  <si>
    <t>成本全部摊入可售部分，不单独保留成本</t>
  </si>
  <si>
    <t>合计</t>
  </si>
  <si>
    <t>小叠拼</t>
  </si>
  <si>
    <t>小联排</t>
  </si>
  <si>
    <t>商墅</t>
  </si>
  <si>
    <t xml:space="preserve"> </t>
  </si>
  <si>
    <t>关注车位按个数转换</t>
  </si>
  <si>
    <t>单方成本</t>
  </si>
  <si>
    <t>产品类型</t>
  </si>
  <si>
    <t>合计</t>
  </si>
  <si>
    <t>工程款合计</t>
  </si>
  <si>
    <t>建造成本小计</t>
  </si>
  <si>
    <t>可售面积</t>
  </si>
  <si>
    <t>不含税</t>
  </si>
  <si>
    <t>备注</t>
  </si>
  <si>
    <t>总成本</t>
  </si>
  <si>
    <t>建筑面积</t>
  </si>
  <si>
    <t>单方</t>
  </si>
  <si>
    <t>金额</t>
  </si>
  <si>
    <t>税前</t>
  </si>
  <si>
    <t>含税</t>
  </si>
  <si>
    <t>毛坯</t>
  </si>
  <si>
    <t>精装</t>
  </si>
  <si>
    <t>降噪隔音系统</t>
  </si>
  <si>
    <t>暂时不用</t>
  </si>
  <si>
    <t>户数</t>
  </si>
  <si>
    <t>新风系统</t>
  </si>
  <si>
    <t>1）</t>
  </si>
  <si>
    <t>环保系统费</t>
  </si>
  <si>
    <t>5001.05.04</t>
  </si>
  <si>
    <t>商业信息化管理系统费用</t>
  </si>
  <si>
    <t>酒店管理系统费用</t>
  </si>
  <si>
    <t>2）</t>
  </si>
  <si>
    <t>5001.05.03.01.08</t>
  </si>
  <si>
    <t>三表远传费用</t>
  </si>
  <si>
    <t>对讲系统采购合同</t>
  </si>
  <si>
    <t>室内对讲设备采购</t>
  </si>
  <si>
    <t>架空层泛大堂装修</t>
  </si>
  <si>
    <t>单元数</t>
  </si>
  <si>
    <t>精装修总承包工程施工合同</t>
  </si>
  <si>
    <t>中庭装修硬装</t>
  </si>
  <si>
    <t>3）</t>
  </si>
  <si>
    <t>地下大堂涂料甲供材</t>
  </si>
  <si>
    <t>地下大堂瓷砖甲供材</t>
  </si>
  <si>
    <t>5001.05.02.02.01</t>
  </si>
  <si>
    <t>地下室大堂装修</t>
  </si>
  <si>
    <t>5001.05.02.02</t>
  </si>
  <si>
    <t>单元数</t>
  </si>
  <si>
    <t>大堂精装修涂料甲供材</t>
  </si>
  <si>
    <t>大堂精装修瓷砖甲供材</t>
  </si>
  <si>
    <t>精装修总承包工程施工合同</t>
  </si>
  <si>
    <t>大堂精装修总包</t>
  </si>
  <si>
    <t>5001.05.02.01.01</t>
  </si>
  <si>
    <t xml:space="preserve">公共部位精装修 </t>
  </si>
  <si>
    <t>5001.05.02</t>
  </si>
  <si>
    <t>信报箱</t>
  </si>
  <si>
    <t>标识牌（指示/分区/楼栋/门牌等）</t>
  </si>
  <si>
    <t>5001.05.01.04.03</t>
  </si>
  <si>
    <t>屋面精装修甲供材</t>
  </si>
  <si>
    <t>基底面积</t>
  </si>
  <si>
    <t>屋面精装修</t>
  </si>
  <si>
    <t>其他工程</t>
  </si>
  <si>
    <t>4）</t>
  </si>
  <si>
    <t>考虑防火窗</t>
  </si>
  <si>
    <t>窗、阳台门</t>
  </si>
  <si>
    <t>5001.05.01.03.04</t>
  </si>
  <si>
    <t>层数+1</t>
  </si>
  <si>
    <t>公共区域防火门、卷帘</t>
  </si>
  <si>
    <t>入户门供货</t>
  </si>
  <si>
    <t>5001.05.01.03.02.01</t>
  </si>
  <si>
    <t>入户门</t>
  </si>
  <si>
    <t>公共区域出入门</t>
  </si>
  <si>
    <t>门窗工程</t>
  </si>
  <si>
    <t>百叶（空调及遮阳等）</t>
  </si>
  <si>
    <t>5001.05.01.02.04</t>
  </si>
  <si>
    <t>栏杆百叶工程</t>
  </si>
  <si>
    <t>2）</t>
  </si>
  <si>
    <t>钢结构工程合约包</t>
  </si>
  <si>
    <t>5001.05.01.01.10</t>
  </si>
  <si>
    <t>楼体泛光照明</t>
  </si>
  <si>
    <t>单元数</t>
  </si>
  <si>
    <t>雨蓬等装饰</t>
  </si>
  <si>
    <t>保温涂料一体板工程合同</t>
  </si>
  <si>
    <t>5001.05.01.01.05</t>
  </si>
  <si>
    <t>5001.05.01.01.04.01</t>
  </si>
  <si>
    <t>外立面石材</t>
  </si>
  <si>
    <t>5001.05.01.01.03</t>
  </si>
  <si>
    <t>幕墙施工合同</t>
  </si>
  <si>
    <t>幕墙工程</t>
  </si>
  <si>
    <t>5001.05.01.01.02</t>
  </si>
  <si>
    <t>外立面涂料工程</t>
  </si>
  <si>
    <t>外立面工程</t>
  </si>
  <si>
    <t>1）</t>
  </si>
  <si>
    <t>建筑立面及部品</t>
  </si>
  <si>
    <t>5001.05.01</t>
  </si>
  <si>
    <t>装饰及环保工程费</t>
  </si>
  <si>
    <t>五</t>
  </si>
  <si>
    <t>5001.05</t>
  </si>
  <si>
    <t>5001.04.04</t>
  </si>
  <si>
    <t>装修分离体系增加费</t>
  </si>
  <si>
    <t>5001.04.03</t>
  </si>
  <si>
    <t>精装修其他甲供材采购合约包</t>
  </si>
  <si>
    <t>软装及装饰部品</t>
  </si>
  <si>
    <t>房间小电器</t>
  </si>
  <si>
    <t>家私</t>
  </si>
  <si>
    <t>1）</t>
  </si>
  <si>
    <t>经营增配（住宅、公寓及酒店家私及部品）</t>
  </si>
  <si>
    <t>精装修其他甲供材采购</t>
  </si>
  <si>
    <t>洁具及五金供货合约包</t>
  </si>
  <si>
    <t>5001.04.01.01</t>
  </si>
  <si>
    <t>5001.04.01</t>
  </si>
  <si>
    <t>5001.04</t>
  </si>
  <si>
    <t>通风排烟系统</t>
  </si>
  <si>
    <t>5001.03.02.02.04.02</t>
  </si>
  <si>
    <t>5001.03.02.02.04.01</t>
  </si>
  <si>
    <t>空调及通风系统费</t>
  </si>
  <si>
    <t>5001.03.02.02.04</t>
  </si>
  <si>
    <t>5001.03.02.02.03.01</t>
  </si>
  <si>
    <t>扶梯安装</t>
  </si>
  <si>
    <t>扶梯供货</t>
  </si>
  <si>
    <t>5001.03.02.02.02.01</t>
  </si>
  <si>
    <t>电梯安装工程合同</t>
  </si>
  <si>
    <t>电梯及其安装费</t>
  </si>
  <si>
    <t>主体设备及其安装费</t>
  </si>
  <si>
    <t>2）</t>
  </si>
  <si>
    <t>配电箱、弱电箱、T接箱供货合同</t>
  </si>
  <si>
    <t>精装修其他甲供材采购合约包</t>
  </si>
  <si>
    <t>电线电缆供货合同</t>
  </si>
  <si>
    <t>建筑面积*（1+赠送比例）</t>
  </si>
  <si>
    <t>5001.03.02.01.04.01</t>
  </si>
  <si>
    <t>燃气表</t>
  </si>
  <si>
    <t>燃气表</t>
  </si>
  <si>
    <t>建筑面积*（1+赠送比例）</t>
  </si>
  <si>
    <t>5001.03.02.01.03.01</t>
  </si>
  <si>
    <t>5001.03.02.01.01.01</t>
  </si>
  <si>
    <t>室内给排水系统</t>
  </si>
  <si>
    <t>主体水暖气电</t>
  </si>
  <si>
    <t>主体安装工程</t>
  </si>
  <si>
    <t>5001.03.02</t>
  </si>
  <si>
    <t>绿色建筑增加费</t>
  </si>
  <si>
    <t>变更、签证预留费</t>
  </si>
  <si>
    <t>零星项目</t>
  </si>
  <si>
    <t>5001.03.01.02.11</t>
  </si>
  <si>
    <t>70%的17%；30%的可能17%或者11%。</t>
  </si>
  <si>
    <t>钢结构工程</t>
  </si>
  <si>
    <t>工业化增加费</t>
  </si>
  <si>
    <t>5001.03.01.02.09</t>
  </si>
  <si>
    <t>基底面积</t>
  </si>
  <si>
    <t>屋面/基础/变形缝保温</t>
  </si>
  <si>
    <t>保温施工</t>
  </si>
  <si>
    <t>5001.03.01.02.08.01</t>
  </si>
  <si>
    <t>总包防腐、隔热、保温、降噪施工</t>
  </si>
  <si>
    <t>5001.03.01.02.08</t>
  </si>
  <si>
    <t>技术措施费用</t>
  </si>
  <si>
    <t>脚手架</t>
  </si>
  <si>
    <t>5001.03.01.02.07.01</t>
  </si>
  <si>
    <t>措施费（含安全文明、实测实量）</t>
  </si>
  <si>
    <t>5001.03.01.02.07</t>
  </si>
  <si>
    <t>防水施工</t>
  </si>
  <si>
    <t>防水供货</t>
  </si>
  <si>
    <t>5001.03.01.02.06.01</t>
  </si>
  <si>
    <t>户数</t>
  </si>
  <si>
    <t>基底面积</t>
  </si>
  <si>
    <t>层数</t>
  </si>
  <si>
    <t>赠送比例</t>
  </si>
  <si>
    <t>5001.03.02.02.04.02</t>
  </si>
  <si>
    <t>5001.03.02.02.04.01</t>
  </si>
  <si>
    <t>5001.03.02.02.04</t>
  </si>
  <si>
    <t>消防系统及其安装费</t>
  </si>
  <si>
    <t>扶梯安装</t>
  </si>
  <si>
    <t>5001.03.02.02.02.01</t>
  </si>
  <si>
    <t>扶梯及其安装费</t>
  </si>
  <si>
    <t>电梯安装工程合同</t>
  </si>
  <si>
    <t>5001.03.02.02.01.01</t>
  </si>
  <si>
    <t>电梯及其安装费</t>
  </si>
  <si>
    <t>主体设备及其安装费</t>
  </si>
  <si>
    <t>建筑面积*（1+赠送比例）</t>
  </si>
  <si>
    <t>电线电缆供货合同</t>
  </si>
  <si>
    <t>5001.03.02.01.03.01</t>
  </si>
  <si>
    <t>5001.03.02.01.02.01</t>
  </si>
  <si>
    <t>5001.03.02.01.01.01</t>
  </si>
  <si>
    <t>室内给排水系统</t>
  </si>
  <si>
    <t>主体水暖气电</t>
  </si>
  <si>
    <t>绿色建筑增加费</t>
  </si>
  <si>
    <t>5001.03.01.02.12</t>
  </si>
  <si>
    <t>零星项目</t>
  </si>
  <si>
    <t>5001.03.01.02.11</t>
  </si>
  <si>
    <t>70%的17%；30%的可能17%或者11%。</t>
  </si>
  <si>
    <t>电梯安装工程合同</t>
  </si>
  <si>
    <t>5001.03.02.02.01.01</t>
  </si>
  <si>
    <t>电梯及其安装费</t>
  </si>
  <si>
    <t>主体设备及其安装费</t>
  </si>
  <si>
    <t>建筑面积*（1+赠送比例）</t>
  </si>
  <si>
    <t>配电箱、弱电箱、T接箱供货合同</t>
  </si>
  <si>
    <t>精装修其他甲供材采购合约包</t>
  </si>
  <si>
    <t>电线电缆供货合同</t>
  </si>
  <si>
    <t>建筑面积*（1+赠送比例）</t>
  </si>
  <si>
    <t>5001.03.02.01.04.01</t>
  </si>
  <si>
    <t>燃气表</t>
  </si>
  <si>
    <t>5001.03.02.01.03.01</t>
  </si>
  <si>
    <t>5001.03.02.01.02.01</t>
  </si>
  <si>
    <t>5001.03.02.01.01.01</t>
  </si>
  <si>
    <t>室内给排水系统</t>
  </si>
  <si>
    <t>主体水暖气电</t>
  </si>
  <si>
    <t>主体安装工程</t>
  </si>
  <si>
    <t>5001.03.02</t>
  </si>
  <si>
    <t>绿色建筑增加费</t>
  </si>
  <si>
    <t>变更、签证预留费</t>
  </si>
  <si>
    <t>5001.03.01.02.12</t>
  </si>
  <si>
    <t>零星项目</t>
  </si>
  <si>
    <t>5001.03.01.02.11</t>
  </si>
  <si>
    <t>70%的17%；30%的可能17%或者11%。</t>
  </si>
  <si>
    <t>钢结构工程合约包</t>
  </si>
  <si>
    <t>钢结构工程</t>
  </si>
  <si>
    <t>5001.03.01.02.10</t>
  </si>
  <si>
    <t>工业化增加费</t>
  </si>
  <si>
    <t>5001.03.01.02.09</t>
  </si>
  <si>
    <t>基底面积</t>
  </si>
  <si>
    <t>屋面/基础/变形缝保温</t>
  </si>
  <si>
    <t>保温施工</t>
  </si>
  <si>
    <t>保温供货</t>
  </si>
  <si>
    <t>5001.03.01.02.08.01</t>
  </si>
  <si>
    <t>总包防腐、隔热、保温、降噪施工</t>
  </si>
  <si>
    <t>5001.03.01.02.08</t>
  </si>
  <si>
    <t>安全文明及实测实量费用</t>
  </si>
  <si>
    <t>技术措施费用</t>
  </si>
  <si>
    <t>垂直运输</t>
  </si>
  <si>
    <t>脚手架</t>
  </si>
  <si>
    <t>5001.03.01.02.07.01</t>
  </si>
  <si>
    <t>措施费（含安全文明、实测实量）</t>
  </si>
  <si>
    <t>5001.03.01.02.07</t>
  </si>
  <si>
    <t>防水施工</t>
  </si>
  <si>
    <t>防水供货</t>
  </si>
  <si>
    <t>5001.03.01.02.06.01</t>
  </si>
  <si>
    <t>防水</t>
  </si>
  <si>
    <t>砌体及隔墙</t>
  </si>
  <si>
    <t>5001.03.01.02.03</t>
  </si>
  <si>
    <t>钢筋施工</t>
  </si>
  <si>
    <t>钢筋供货</t>
  </si>
  <si>
    <t>5001.03.01.02.02.01</t>
  </si>
  <si>
    <t>5001.03.01.02.02</t>
  </si>
  <si>
    <t>混凝土施工</t>
  </si>
  <si>
    <t>5001.03.01.02.01.02</t>
  </si>
  <si>
    <t>混凝土供货</t>
  </si>
  <si>
    <t>5001.03.01.02.01.01</t>
  </si>
  <si>
    <t>混凝土</t>
  </si>
  <si>
    <t>5001.03.01.02.01</t>
  </si>
  <si>
    <t>结构及粗装修工程</t>
  </si>
  <si>
    <t>5001.03.01.02</t>
  </si>
  <si>
    <t>5001.03.01.01.01</t>
  </si>
  <si>
    <t>土方工程（主体）</t>
  </si>
  <si>
    <t>5001.03.01.01</t>
  </si>
  <si>
    <t>主体结构工程</t>
  </si>
  <si>
    <t>5001.03.01</t>
  </si>
  <si>
    <t>基建及管网工程费</t>
  </si>
  <si>
    <t>三</t>
  </si>
  <si>
    <t>5001.03</t>
  </si>
  <si>
    <t>工程量及单价说明</t>
  </si>
  <si>
    <t>不含税成本（万元）</t>
  </si>
  <si>
    <t>单价(元)</t>
  </si>
  <si>
    <t>含税单价</t>
  </si>
  <si>
    <t>消耗量</t>
  </si>
  <si>
    <t>系数单位</t>
  </si>
  <si>
    <t>消耗量系数</t>
  </si>
  <si>
    <t>原始指标</t>
  </si>
  <si>
    <t>合同/合约包</t>
  </si>
  <si>
    <t>主体建安工程费</t>
  </si>
  <si>
    <t>一期（首开）</t>
  </si>
  <si>
    <t>二期（首开）</t>
  </si>
  <si>
    <t>三期（首开）</t>
  </si>
  <si>
    <t>单方成本</t>
  </si>
  <si>
    <t>总成本</t>
  </si>
  <si>
    <t>备注</t>
  </si>
  <si>
    <t>合计</t>
  </si>
  <si>
    <t>不含税</t>
  </si>
  <si>
    <t>可售面积</t>
  </si>
  <si>
    <t>关注车位按个数转换</t>
  </si>
  <si>
    <t>建造成本小计</t>
  </si>
  <si>
    <t>工程款合计</t>
  </si>
  <si>
    <t>产品类型</t>
  </si>
  <si>
    <t xml:space="preserve"> </t>
  </si>
  <si>
    <t>1#、2#、5#规划指标</t>
  </si>
  <si>
    <t>总占地面积</t>
  </si>
  <si>
    <t>m2</t>
  </si>
  <si>
    <t>建筑用地面积</t>
  </si>
  <si>
    <t>建筑密度</t>
  </si>
  <si>
    <t>绿地率</t>
  </si>
  <si>
    <t>计容积率面积</t>
  </si>
  <si>
    <t>容积率</t>
  </si>
  <si>
    <t>围墙长度</t>
  </si>
  <si>
    <t>m</t>
  </si>
  <si>
    <t>车行道面积合计</t>
  </si>
  <si>
    <t>沥青(砼)路面车行道</t>
  </si>
  <si>
    <t>露天停车位</t>
  </si>
  <si>
    <t>隐形消防车道及登高面</t>
  </si>
  <si>
    <t>红线外景观</t>
  </si>
  <si>
    <t>景观面积合计（不含庭院）</t>
  </si>
  <si>
    <t>绿地面积</t>
  </si>
  <si>
    <t>天然水景面积</t>
  </si>
  <si>
    <t>园路广场面积</t>
  </si>
  <si>
    <t>人行道面积</t>
  </si>
  <si>
    <t>景观设施面积</t>
  </si>
  <si>
    <t>硬底水景面积</t>
  </si>
  <si>
    <t>室外泳池面积</t>
  </si>
  <si>
    <t>别墅庭院占地面积</t>
  </si>
  <si>
    <t>总占地面积=建筑用地面积-代征用地面积(若无待征用地，则总占地面积=建筑用地面积，即用地红线面积)</t>
  </si>
  <si>
    <t>建筑密度=建筑物基底面积/建筑用地面积（建筑密度指建筑物覆盖率，反映出一定用地范围内的空地率和建筑密集程度。）</t>
  </si>
  <si>
    <t xml:space="preserve"> 绿地率=绿地面积/建筑用地面积（绿地率跟绿化率不是同一概念，绿地率基本为草皮和地被面积和）</t>
  </si>
  <si>
    <t>园建面积=景观面积+车行道面积+架空层面积+别墅庭院面积</t>
  </si>
  <si>
    <t>景观面积=硬景面积+软景面积</t>
  </si>
  <si>
    <t>车行道面积=地块内车行道面积+露天停车位面积（隐形消防车道及登高面按材质区分，草皮为绿地面积的一部分、而为硬铺时为车行道面积的一部分）</t>
  </si>
  <si>
    <t>硬景面积包含：园路，广场硬铺，球场，游乐设施，构筑小品，平台栈道，硬底水景，室外泳池的水平投影占地面积，</t>
  </si>
  <si>
    <t>软景面积包含：灌木面积，草坪面积，天然水景等。</t>
  </si>
  <si>
    <t>占地面积数据复核</t>
  </si>
  <si>
    <t>数据逻辑：建筑用地面积=基底面积+车行道面积+景观面积+别墅庭院面积（如有）</t>
  </si>
  <si>
    <t>产品构成</t>
  </si>
  <si>
    <t>占地面积</t>
  </si>
  <si>
    <t>容积率</t>
  </si>
  <si>
    <t>楼栋数</t>
  </si>
  <si>
    <t>建筑物基底面积</t>
  </si>
  <si>
    <t>建筑面积</t>
  </si>
  <si>
    <t>可售面积</t>
  </si>
  <si>
    <t>持有面积</t>
  </si>
  <si>
    <t>产品比例</t>
  </si>
  <si>
    <t>户均面积</t>
  </si>
  <si>
    <t>单元数</t>
  </si>
  <si>
    <t>户数</t>
  </si>
  <si>
    <t>层数</t>
  </si>
  <si>
    <t>层高(m)</t>
  </si>
  <si>
    <t>赠送面积
（㎡）</t>
  </si>
  <si>
    <r>
      <t>赠送比(</t>
    </r>
    <r>
      <rPr>
        <b/>
        <sz val="9"/>
        <rFont val="宋体"/>
        <family val="3"/>
        <charset val="134"/>
      </rPr>
      <t>%)</t>
    </r>
  </si>
  <si>
    <t>住宅类</t>
  </si>
  <si>
    <t>小计</t>
  </si>
  <si>
    <t>非住宅类</t>
  </si>
  <si>
    <t>星级办公（22-26F）</t>
  </si>
  <si>
    <t>商墅（3-5F）</t>
  </si>
  <si>
    <t>大商业（4-5F）</t>
  </si>
  <si>
    <t>高层公寓(16F)</t>
  </si>
  <si>
    <t>配套设施类</t>
  </si>
  <si>
    <t>社区服务用房</t>
  </si>
  <si>
    <t>物业管理用房</t>
  </si>
  <si>
    <t>幼儿园</t>
  </si>
  <si>
    <t>代征道路</t>
  </si>
  <si>
    <t>代征绿地</t>
  </si>
  <si>
    <t>车位数</t>
  </si>
  <si>
    <t>地下室</t>
  </si>
  <si>
    <t>人防地下室</t>
  </si>
  <si>
    <t>根据是否可售及收入配比原则自行确定</t>
  </si>
  <si>
    <t>持有物业停车</t>
  </si>
  <si>
    <t>成本全部摊入持有物业部分，不单独保留成本</t>
  </si>
  <si>
    <t>住宅地下室</t>
  </si>
  <si>
    <t>见《核算指导》</t>
  </si>
  <si>
    <t>普通地下室</t>
  </si>
  <si>
    <t>可售物业停车</t>
  </si>
  <si>
    <t>持有物业配套停车</t>
  </si>
  <si>
    <t>地面露天</t>
  </si>
  <si>
    <t>成本全部摊入可售部分，不单独保留成本</t>
  </si>
  <si>
    <t>合计</t>
  </si>
  <si>
    <t>＿＿＿项目＿＿期分产品类型成本汇总表</t>
  </si>
  <si>
    <t>成本项目</t>
  </si>
  <si>
    <t>分摊标准说明</t>
  </si>
  <si>
    <t>地库</t>
  </si>
  <si>
    <t>配套用房</t>
  </si>
  <si>
    <t>整体单方</t>
  </si>
  <si>
    <t>产品单方</t>
  </si>
  <si>
    <t>不含税成本</t>
  </si>
  <si>
    <t>进项税</t>
  </si>
  <si>
    <t>建筑面积</t>
  </si>
  <si>
    <t>*</t>
  </si>
  <si>
    <t>可售面积/经营面积</t>
  </si>
  <si>
    <t>*</t>
  </si>
  <si>
    <t>占地面积</t>
  </si>
  <si>
    <t>土地及政府规费</t>
  </si>
  <si>
    <t>5001.01.01</t>
  </si>
  <si>
    <t>见《地价分摊表》</t>
  </si>
  <si>
    <t>5001.01.02</t>
  </si>
  <si>
    <t>土地溢价</t>
  </si>
  <si>
    <t>5001.01.03</t>
  </si>
  <si>
    <t>配套及地下室工程费</t>
  </si>
  <si>
    <t>5001.02.01</t>
  </si>
  <si>
    <t>5001.02.02</t>
  </si>
  <si>
    <t>5001.02.03</t>
  </si>
  <si>
    <t>土方、地基处理与边坡支护、桩基工程</t>
  </si>
  <si>
    <t>5001.02.04</t>
  </si>
  <si>
    <t>基建及管网工程费</t>
  </si>
  <si>
    <t>5001.03.01</t>
  </si>
  <si>
    <t>直接归属</t>
  </si>
  <si>
    <t>5001.03.02</t>
  </si>
  <si>
    <t>主体安装工程</t>
  </si>
  <si>
    <t>5001.03.03</t>
  </si>
  <si>
    <t>室外管网工程</t>
  </si>
  <si>
    <t>5001.03.04</t>
  </si>
  <si>
    <t>风险费（材料、人工预留）</t>
  </si>
  <si>
    <t>5001.03.05</t>
  </si>
  <si>
    <t>四</t>
  </si>
  <si>
    <t>室内精装修工程费</t>
  </si>
  <si>
    <t>五</t>
  </si>
  <si>
    <t>装饰及环保工程费</t>
  </si>
  <si>
    <t>5001.05.01</t>
  </si>
  <si>
    <t>建筑立面及部品</t>
  </si>
  <si>
    <t>5001.05.02</t>
  </si>
  <si>
    <t xml:space="preserve">公共部位精装修 </t>
  </si>
  <si>
    <t>5001.05.03</t>
  </si>
  <si>
    <t>室内弱电系统</t>
  </si>
  <si>
    <t>5001.05.04</t>
  </si>
  <si>
    <t>环保系统费</t>
  </si>
  <si>
    <t>六</t>
  </si>
  <si>
    <t>环境提升工程费</t>
  </si>
  <si>
    <t>5001.06.01</t>
  </si>
  <si>
    <t>土地合同外选择型配套</t>
  </si>
  <si>
    <t>5001.06.02</t>
  </si>
  <si>
    <t>室外智能化系统</t>
  </si>
  <si>
    <t>5001.06.03</t>
  </si>
  <si>
    <t>园林环境工程</t>
  </si>
  <si>
    <t>七</t>
  </si>
  <si>
    <t>开发管理费</t>
  </si>
  <si>
    <t>5001.07.01</t>
  </si>
  <si>
    <t>5001.07.02</t>
  </si>
  <si>
    <t>5001.07.03</t>
  </si>
  <si>
    <t>5001.07.04</t>
  </si>
  <si>
    <t>营销/租赁设施建造费</t>
  </si>
  <si>
    <t>5001.07.05</t>
  </si>
  <si>
    <t>5001.07.06</t>
  </si>
  <si>
    <t>物业完善费用</t>
  </si>
  <si>
    <t>八</t>
  </si>
  <si>
    <t>资本化利息</t>
  </si>
  <si>
    <t>开发成本</t>
  </si>
  <si>
    <t>九</t>
  </si>
  <si>
    <t>期间费用</t>
  </si>
  <si>
    <t>成本对比</t>
  </si>
  <si>
    <r>
      <t>成本1:</t>
    </r>
    <r>
      <rPr>
        <sz val="10"/>
        <rFont val="宋体"/>
        <family val="3"/>
        <charset val="134"/>
      </rPr>
      <t>地价外成本</t>
    </r>
  </si>
  <si>
    <r>
      <t>成本2:</t>
    </r>
    <r>
      <rPr>
        <sz val="10"/>
        <rFont val="宋体"/>
        <family val="3"/>
        <charset val="134"/>
      </rPr>
      <t>地价及资本化利息外建造成本</t>
    </r>
  </si>
  <si>
    <r>
      <t>成本3:</t>
    </r>
    <r>
      <rPr>
        <sz val="10"/>
        <rFont val="宋体"/>
        <family val="3"/>
        <charset val="134"/>
      </rPr>
      <t>装修外产品建造成本</t>
    </r>
  </si>
  <si>
    <r>
      <t>成本4:</t>
    </r>
    <r>
      <rPr>
        <sz val="10"/>
        <rFont val="宋体"/>
        <family val="3"/>
        <charset val="134"/>
      </rPr>
      <t>持有商业出租面积单方</t>
    </r>
  </si>
  <si>
    <r>
      <t>成本5:</t>
    </r>
    <r>
      <rPr>
        <sz val="10"/>
        <rFont val="宋体"/>
        <family val="3"/>
        <charset val="134"/>
      </rPr>
      <t>持有酒店平均客房成本</t>
    </r>
  </si>
  <si>
    <t>全项目总地价及销售和持有物业地价分摊</t>
  </si>
  <si>
    <t>合同或收费名称</t>
  </si>
  <si>
    <t>原始指标</t>
  </si>
  <si>
    <t>系数</t>
  </si>
  <si>
    <t>单位</t>
  </si>
  <si>
    <t>工作量</t>
  </si>
  <si>
    <t>单价(元)</t>
  </si>
  <si>
    <t>工程量及单价说明</t>
  </si>
  <si>
    <t>一</t>
  </si>
  <si>
    <t>土地获得价款</t>
  </si>
  <si>
    <t>1)</t>
  </si>
  <si>
    <t>土地出让金</t>
  </si>
  <si>
    <t>土地合同</t>
  </si>
  <si>
    <t>m2</t>
  </si>
  <si>
    <t>亩</t>
  </si>
  <si>
    <t>2)</t>
  </si>
  <si>
    <t>合作款项</t>
  </si>
  <si>
    <t>每亩</t>
  </si>
  <si>
    <t>4)</t>
  </si>
  <si>
    <t>契税及其他（开发票补税）</t>
  </si>
  <si>
    <t>土地合同（含契税）</t>
  </si>
  <si>
    <t>5)</t>
  </si>
  <si>
    <t>土地使用费</t>
  </si>
  <si>
    <t>6)</t>
  </si>
  <si>
    <t>地块周边市政设施改造费</t>
  </si>
  <si>
    <t>◆</t>
  </si>
  <si>
    <t>7)</t>
  </si>
  <si>
    <t>补偿费（拆迁、青苗等）</t>
  </si>
  <si>
    <t>拆迁补偿合同</t>
  </si>
  <si>
    <t>销售和持有物业地价分摊</t>
  </si>
  <si>
    <t>销售物业</t>
  </si>
  <si>
    <t>计容可售面积</t>
  </si>
  <si>
    <t>持有物业</t>
  </si>
  <si>
    <t>计容经营面积</t>
  </si>
  <si>
    <t>其中：酒店外地价</t>
  </si>
  <si>
    <t>计容经营面积</t>
  </si>
  <si>
    <t>全项目占地面积分摊表（含公共配套部分占地）</t>
  </si>
  <si>
    <t xml:space="preserve">计容可售面积 （m2） </t>
  </si>
  <si>
    <t xml:space="preserve"> 分摊面积基数</t>
  </si>
  <si>
    <t>一期</t>
  </si>
  <si>
    <t>二期</t>
  </si>
  <si>
    <t>三期</t>
  </si>
  <si>
    <t>一期（不含公共配套类及景观设施类部分占地面积）</t>
  </si>
  <si>
    <t>二期（不含公共配套类及景观设施类部分占地面积）</t>
  </si>
  <si>
    <t>三期（不含公共配套类及景观设施类部分占地面积）</t>
  </si>
  <si>
    <t xml:space="preserve"> 需进行跨期分摊地块 </t>
  </si>
  <si>
    <t>按各期计容可售面积分摊</t>
  </si>
  <si>
    <t xml:space="preserve"> 2、幼儿园 </t>
  </si>
  <si>
    <t>3、学校</t>
  </si>
  <si>
    <t xml:space="preserve"> 4、湖区</t>
  </si>
  <si>
    <t xml:space="preserve">   项目销售物业全期地价分摊表</t>
  </si>
  <si>
    <t>计容可售面积 （m2）</t>
  </si>
  <si>
    <t>分摊基数</t>
  </si>
  <si>
    <t>单基应摊</t>
  </si>
  <si>
    <t>含税地价分摊（万元）</t>
  </si>
  <si>
    <t>不含税地价分摊（万元）</t>
  </si>
  <si>
    <t>进项税分摊（万元）</t>
  </si>
  <si>
    <t>可售单方（元/m2）</t>
  </si>
  <si>
    <t>一期销售物业</t>
  </si>
  <si>
    <t>公摊及期间费用</t>
  </si>
  <si>
    <t>占地面积</t>
  </si>
  <si>
    <t>建筑面积</t>
  </si>
  <si>
    <t>计容积率建筑面积</t>
  </si>
  <si>
    <t>销售物业可售面积
（不含车位）</t>
  </si>
  <si>
    <t>建筑物基底面积</t>
  </si>
  <si>
    <t>地下室基底面积</t>
  </si>
  <si>
    <t>楼栋数</t>
  </si>
  <si>
    <t>单元数</t>
  </si>
  <si>
    <t>户数</t>
  </si>
  <si>
    <t>景观面积</t>
  </si>
  <si>
    <t>赠送比例</t>
  </si>
  <si>
    <t>合同/合约包</t>
  </si>
  <si>
    <t>消耗量系数</t>
  </si>
  <si>
    <t>系数单位</t>
  </si>
  <si>
    <t>消耗量</t>
  </si>
  <si>
    <t>含税单价</t>
  </si>
  <si>
    <t>单价(元)</t>
  </si>
  <si>
    <t>不含税成本（万元）</t>
  </si>
  <si>
    <t>销售物业合价(万元)</t>
  </si>
  <si>
    <t>持有物业合价(万元)</t>
  </si>
  <si>
    <t>一</t>
  </si>
  <si>
    <t>土地及政府规费</t>
  </si>
  <si>
    <t>5001.01.01</t>
  </si>
  <si>
    <t>土地价款</t>
  </si>
  <si>
    <t>占地面积比</t>
  </si>
  <si>
    <t>5001.01.01.01</t>
  </si>
  <si>
    <t>1）</t>
  </si>
  <si>
    <t>5001.01.01.01.01</t>
  </si>
  <si>
    <t>◆</t>
  </si>
  <si>
    <t>5001.01.01.01.02</t>
  </si>
  <si>
    <t>土地合同（含契税）</t>
  </si>
  <si>
    <t>5001.01.01.01.03</t>
  </si>
  <si>
    <t>5001.01.01.01.04</t>
  </si>
  <si>
    <t>5001.01.01.02</t>
  </si>
  <si>
    <t>2）</t>
  </si>
  <si>
    <t>5001.01.01.02.01</t>
  </si>
  <si>
    <t>5001.01.01.02.02</t>
  </si>
  <si>
    <t>5001.01.01.02.03</t>
  </si>
  <si>
    <t>5001.01.01.03</t>
  </si>
  <si>
    <t>3）</t>
  </si>
  <si>
    <t>土地溢价</t>
  </si>
  <si>
    <t>丈量及报建费</t>
  </si>
  <si>
    <t>㎡</t>
  </si>
  <si>
    <t>延米</t>
  </si>
  <si>
    <t>m</t>
  </si>
  <si>
    <t>楼栋数(栋)</t>
  </si>
  <si>
    <t>栋</t>
  </si>
  <si>
    <t>项</t>
  </si>
  <si>
    <t>计容面积</t>
  </si>
  <si>
    <t>户数</t>
  </si>
  <si>
    <t>户</t>
  </si>
  <si>
    <t>详勘审查备案</t>
  </si>
  <si>
    <t>影像档案</t>
  </si>
  <si>
    <t>监理招投标交易服务费</t>
  </si>
  <si>
    <t>二</t>
  </si>
  <si>
    <t>土地属性指标类</t>
  </si>
  <si>
    <t>物业管理用房</t>
  </si>
  <si>
    <t>地下室（地下地上以室内±0标高为分界线）</t>
  </si>
  <si>
    <t>人防设备采购及安装合同</t>
  </si>
  <si>
    <t>人防门工程合同</t>
  </si>
  <si>
    <t>11）</t>
  </si>
  <si>
    <t>地下车库地坪处理</t>
  </si>
  <si>
    <t>地下车库地坪处理合同</t>
  </si>
  <si>
    <t>地下室基底面积</t>
  </si>
  <si>
    <t>m3/m2</t>
  </si>
  <si>
    <t>m2/m2</t>
  </si>
  <si>
    <t>场地平整</t>
  </si>
  <si>
    <t>1）</t>
  </si>
  <si>
    <t>5001.02.04.02</t>
  </si>
  <si>
    <t>5001.03</t>
  </si>
  <si>
    <t>三</t>
  </si>
  <si>
    <t>其他配套工程合约包</t>
  </si>
  <si>
    <r>
      <rPr>
        <sz val="9"/>
        <rFont val="宋体"/>
        <family val="3"/>
        <charset val="134"/>
      </rPr>
      <t>㎡</t>
    </r>
  </si>
  <si>
    <t>基建及管网工程费其他</t>
  </si>
  <si>
    <t>5001.06</t>
  </si>
  <si>
    <t>室外智能化系统</t>
  </si>
  <si>
    <t>停车管理系统</t>
  </si>
  <si>
    <t>小区闭路监控系统</t>
  </si>
  <si>
    <t>周界红外防越</t>
  </si>
  <si>
    <t>4）</t>
  </si>
  <si>
    <t>小区门禁系统</t>
  </si>
  <si>
    <t>5）</t>
  </si>
  <si>
    <t>电子巡更系统</t>
  </si>
  <si>
    <t>6）</t>
  </si>
  <si>
    <t>电子公告屏</t>
  </si>
  <si>
    <t>5001.06.02.07</t>
  </si>
  <si>
    <t>7）</t>
  </si>
  <si>
    <t>室外背景音乐</t>
  </si>
  <si>
    <t>建筑面积</t>
  </si>
  <si>
    <t>㎡</t>
  </si>
  <si>
    <t>绿化面积</t>
  </si>
  <si>
    <t>株/m2</t>
  </si>
  <si>
    <t>主体建安工程费</t>
  </si>
  <si>
    <t>5001.03.01.01</t>
  </si>
  <si>
    <t>1）</t>
  </si>
  <si>
    <t>土方工程（主体）</t>
  </si>
  <si>
    <t>5001.03.01.01.01</t>
  </si>
  <si>
    <t>基底面积</t>
  </si>
  <si>
    <t>基底面积</t>
  </si>
  <si>
    <t>5001.03.01.02</t>
  </si>
  <si>
    <t>2）</t>
  </si>
  <si>
    <t>结构及粗装修工程</t>
  </si>
  <si>
    <t>5001.03.01.02.01</t>
  </si>
  <si>
    <t>混凝土</t>
  </si>
  <si>
    <t>5001.03.01.02.01.01</t>
  </si>
  <si>
    <t>混凝土供货</t>
  </si>
  <si>
    <t>5001.03.01.02.01.02</t>
  </si>
  <si>
    <t>混凝土施工</t>
  </si>
  <si>
    <t>5001.03.01.02.02</t>
  </si>
  <si>
    <t>5001.03.01.02.02.01</t>
  </si>
  <si>
    <t>钢筋供货</t>
  </si>
  <si>
    <t>钢筋施工</t>
  </si>
  <si>
    <t>5001.03.01.02.03</t>
  </si>
  <si>
    <t>砌体及隔墙</t>
  </si>
  <si>
    <t>防水</t>
  </si>
  <si>
    <t>5001.03.01.02.06.01</t>
  </si>
  <si>
    <t>防水供货</t>
  </si>
  <si>
    <t>防水施工</t>
  </si>
  <si>
    <t>5001.03.01.02.07</t>
  </si>
  <si>
    <t>措施费（含安全文明、实测实量）</t>
  </si>
  <si>
    <t>5001.03.01.02.07.01</t>
  </si>
  <si>
    <t>脚手架</t>
  </si>
  <si>
    <t>垂直运输</t>
  </si>
  <si>
    <t>技术措施费用</t>
  </si>
  <si>
    <t>安全文明及实测实量费用</t>
  </si>
  <si>
    <t>5001.03.01.02.08</t>
  </si>
  <si>
    <t>总包防腐、隔热、保温、降噪施工</t>
  </si>
  <si>
    <t>5001.03.01.02.08.01</t>
  </si>
  <si>
    <t>保温供货</t>
  </si>
  <si>
    <t>保温施工</t>
  </si>
  <si>
    <t>屋面/基础/变形缝保温</t>
  </si>
  <si>
    <t>基底面积</t>
  </si>
  <si>
    <t>5001.03.01.02.09</t>
  </si>
  <si>
    <t>工业化增加费</t>
  </si>
  <si>
    <t>5001.03.01.02.10</t>
  </si>
  <si>
    <t>钢结构工程</t>
  </si>
  <si>
    <t>钢结构工程合约包</t>
  </si>
  <si>
    <t>70%的17%；30%的可能17%或者11%。</t>
  </si>
  <si>
    <t>5001.03.01.02.11</t>
  </si>
  <si>
    <t>零星项目</t>
  </si>
  <si>
    <t>5001.03.01.02.12</t>
  </si>
  <si>
    <t>变更、签证预留费</t>
  </si>
  <si>
    <t>绿色建筑增加费</t>
  </si>
  <si>
    <t>5001.03.02</t>
  </si>
  <si>
    <t>主体安装工程</t>
  </si>
  <si>
    <t>主体水暖气电</t>
  </si>
  <si>
    <t>室内给排水系统</t>
  </si>
  <si>
    <t>5001.03.02.01.01.01</t>
  </si>
  <si>
    <t>建筑面积*（1+赠送比例）</t>
  </si>
  <si>
    <t>5001.03.02.01.02.01</t>
  </si>
  <si>
    <t>5001.03.02.01.03.01</t>
  </si>
  <si>
    <t>燃气表</t>
  </si>
  <si>
    <t>5001.03.02.01.04.01</t>
  </si>
  <si>
    <t>建筑面积*（1+赠送比例）</t>
  </si>
  <si>
    <t>电线电缆供货合同</t>
  </si>
  <si>
    <t>精装修其他甲供材采购合约包</t>
  </si>
  <si>
    <t>配电箱、弱电箱、T接箱供货合同</t>
  </si>
  <si>
    <t>主体设备及其安装费</t>
  </si>
  <si>
    <t>电梯及其安装费</t>
  </si>
  <si>
    <t>5001.03.02.02.01.01</t>
  </si>
  <si>
    <t>电梯安装工程合同</t>
  </si>
  <si>
    <t>扶梯及其安装费</t>
  </si>
  <si>
    <t>5001.03.02.02.02.01</t>
  </si>
  <si>
    <t>扶梯供货</t>
  </si>
  <si>
    <t>扶梯安装</t>
  </si>
  <si>
    <t>消防系统及其安装费</t>
  </si>
  <si>
    <t>5001.03.02.02.03.01</t>
  </si>
  <si>
    <t>5001.03.02.02.04</t>
  </si>
  <si>
    <t>空调及通风系统费</t>
  </si>
  <si>
    <t>5001.03.02.02.04.01</t>
  </si>
  <si>
    <t>5001.03.02.02.04.02</t>
  </si>
  <si>
    <t>通风排烟系统</t>
  </si>
  <si>
    <t>5001.04</t>
  </si>
  <si>
    <t>四</t>
  </si>
  <si>
    <t>室内精装修工程费</t>
  </si>
  <si>
    <t>5001.04.01</t>
  </si>
  <si>
    <t>室内装修</t>
  </si>
  <si>
    <t>5001.04.01.01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</si>
  <si>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</si>
  <si>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</si>
  <si>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</si>
  <si>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</si>
  <si>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</si>
  <si>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</si>
  <si>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</si>
  <si>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</si>
  <si>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</si>
  <si>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</si>
  <si>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</si>
  <si>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</si>
  <si>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</si>
  <si>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</si>
  <si>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</si>
  <si>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</si>
  <si>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</si>
  <si>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</si>
  <si>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</si>
  <si>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</si>
  <si>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</si>
  <si>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</si>
  <si>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</si>
  <si>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</si>
  <si>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</si>
  <si>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</si>
  <si>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</si>
  <si>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</si>
  <si>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</si>
  <si>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</si>
  <si>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</si>
  <si>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</si>
  <si>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楼体泛光照明</t>
  </si>
  <si>
    <t>5001.05.01.01.10</t>
  </si>
  <si>
    <t>其他（外立面装饰工程类）</t>
  </si>
  <si>
    <t>栏杆百叶工程</t>
  </si>
  <si>
    <t>楼梯扶手栏杆</t>
  </si>
  <si>
    <t>层数+1</t>
  </si>
  <si>
    <t>阳、露台、生活阳台栏杆</t>
  </si>
  <si>
    <t>5001.05.01.02.04</t>
  </si>
  <si>
    <t>低窗护栏</t>
  </si>
  <si>
    <t>5001.05.01.02.05</t>
  </si>
  <si>
    <t>百叶（空调及遮阳等）</t>
  </si>
  <si>
    <t>3）</t>
  </si>
  <si>
    <t>门窗工程</t>
  </si>
  <si>
    <t>公共区域出入门</t>
  </si>
  <si>
    <t>入户门</t>
  </si>
  <si>
    <t>5001.05.01.03.02.01</t>
  </si>
  <si>
    <t>入户门供货</t>
  </si>
  <si>
    <t>户数</t>
  </si>
  <si>
    <t>入户门安装</t>
  </si>
  <si>
    <t>公共区域防火门、卷帘</t>
  </si>
  <si>
    <t>5001.05.01.03.04</t>
  </si>
  <si>
    <t>窗、阳台门</t>
  </si>
  <si>
    <t>考虑防火窗</t>
  </si>
  <si>
    <t>4）</t>
  </si>
  <si>
    <t>其他工程</t>
  </si>
  <si>
    <t>屋面精装修</t>
  </si>
  <si>
    <t>屋面精装修甲供材</t>
  </si>
  <si>
    <t>5001.05.01.04.03</t>
  </si>
  <si>
    <t>标识牌（指示/分区/楼栋/门牌等）</t>
  </si>
  <si>
    <t>本体标识工程合同</t>
  </si>
  <si>
    <t>信报箱</t>
  </si>
  <si>
    <t>5001.05.02</t>
  </si>
  <si>
    <t xml:space="preserve">公共部位精装修 </t>
  </si>
  <si>
    <t>大堂精装修</t>
  </si>
  <si>
    <t>5001.05.02.01.01</t>
  </si>
  <si>
    <t>大堂精装修总包</t>
  </si>
  <si>
    <t>精装修总承包工程施工合同</t>
  </si>
  <si>
    <t>大堂精装修瓷砖甲供材</t>
  </si>
  <si>
    <t>大堂精装修涂料甲供材</t>
  </si>
  <si>
    <t>5001.05.02.02</t>
  </si>
  <si>
    <t>地下室大堂装修</t>
  </si>
  <si>
    <t>5001.05.02.02.01</t>
  </si>
  <si>
    <t>地下大堂精装修总包</t>
  </si>
  <si>
    <t>地下大堂瓷砖甲供材</t>
  </si>
  <si>
    <t>地下大堂涂料甲供材</t>
  </si>
  <si>
    <t>5001.05.02.03</t>
  </si>
  <si>
    <t>中庭装修硬装</t>
  </si>
  <si>
    <t>架空层泛大堂装修</t>
  </si>
  <si>
    <t>楼梯间装修</t>
  </si>
  <si>
    <t>5001.05.02.06</t>
  </si>
  <si>
    <t>标准层电梯厅装修</t>
  </si>
  <si>
    <t>5001.05.02.06.01</t>
  </si>
  <si>
    <t>标准层电梯厅装修总包</t>
  </si>
  <si>
    <t>精装修总承包工程施工合同</t>
  </si>
  <si>
    <t>层数-1</t>
  </si>
  <si>
    <t>标准层电梯厅瓷砖甲供材</t>
  </si>
  <si>
    <t>标准层电梯厅涂料甲供材</t>
  </si>
  <si>
    <t>电梯轿厢装修</t>
  </si>
  <si>
    <t>扶梯装修</t>
  </si>
  <si>
    <t>租赁区走廊装修</t>
  </si>
  <si>
    <t>5001.05.02.10</t>
  </si>
  <si>
    <t>经营性物业内置家私及饰品</t>
  </si>
  <si>
    <t>5001.05.03</t>
  </si>
  <si>
    <t>室内弱电系统</t>
  </si>
  <si>
    <t>楼宇智能化系统费用</t>
  </si>
  <si>
    <t>户数</t>
  </si>
  <si>
    <t>电话及宽带网络费用/综合布线</t>
  </si>
  <si>
    <t>有线电视工程合约包</t>
  </si>
  <si>
    <t>室内对讲设备安装</t>
  </si>
  <si>
    <t>室内对讲设备采购</t>
  </si>
  <si>
    <t>对讲系统采购合同</t>
  </si>
  <si>
    <t>三表远传费用</t>
  </si>
  <si>
    <t>楼宇自控系统费用</t>
  </si>
  <si>
    <t>5001.05.03.01.08</t>
  </si>
  <si>
    <t>2）</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</si>
  <si>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</si>
  <si>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</si>
  <si>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</si>
  <si>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</si>
  <si>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</si>
  <si>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</si>
  <si>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</si>
  <si>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</si>
  <si>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</si>
  <si>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</si>
  <si>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</si>
  <si>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合计</t>
  </si>
  <si>
    <t>精装</t>
  </si>
  <si>
    <t>毛坯</t>
  </si>
  <si>
    <t>含税</t>
  </si>
  <si>
    <t>金额</t>
  </si>
  <si>
    <t>单方</t>
  </si>
  <si>
    <t>税前</t>
  </si>
  <si>
    <t>金额</t>
  </si>
  <si>
    <t>单方</t>
  </si>
  <si>
    <t>入户门</t>
  </si>
  <si>
    <t>5001.05.01.03.02.01</t>
  </si>
  <si>
    <t>入户门供货</t>
  </si>
  <si>
    <t>户数</t>
  </si>
  <si>
    <t>入户门安装</t>
  </si>
  <si>
    <t>户数</t>
  </si>
  <si>
    <t>标准层电梯厅装修</t>
  </si>
  <si>
    <t>5001.05.02.06.01</t>
  </si>
  <si>
    <t>标准层电梯厅装修总包</t>
  </si>
  <si>
    <t>层数-1</t>
  </si>
  <si>
    <t>标准层电梯厅瓷砖甲供材</t>
  </si>
  <si>
    <t>标准层电梯厅涂料甲供材</t>
  </si>
  <si>
    <t>7）</t>
  </si>
  <si>
    <t>电梯轿厢装修</t>
  </si>
  <si>
    <t>扶梯装修</t>
  </si>
  <si>
    <t>租赁区走廊装修</t>
  </si>
  <si>
    <t>5001.05.02.10</t>
  </si>
  <si>
    <t>经营性物业内置家私及饰品</t>
  </si>
  <si>
    <t>5001.05.03</t>
  </si>
  <si>
    <t>室内弱电系统</t>
  </si>
  <si>
    <t>楼宇智能化系统费用</t>
  </si>
  <si>
    <t>室内对讲设备采购</t>
  </si>
  <si>
    <t>对讲系统采购合同</t>
  </si>
  <si>
    <t>三表远传费用</t>
  </si>
  <si>
    <t>楼宇自控系统费用</t>
  </si>
  <si>
    <t>5001.05.03.01.08</t>
  </si>
  <si>
    <t>酒店管理系统费用</t>
  </si>
  <si>
    <t>商业信息化管理系统费用</t>
  </si>
  <si>
    <t>5001.05.04</t>
  </si>
  <si>
    <t>环保系统费</t>
  </si>
  <si>
    <t>新风系统</t>
  </si>
  <si>
    <t>太阳能设备及安装</t>
  </si>
  <si>
    <t>直饮水设备及安装</t>
  </si>
  <si>
    <t>暂时不用</t>
  </si>
  <si>
    <t>降噪隔音系统</t>
  </si>
  <si>
    <t>中水（含室内）系统</t>
  </si>
  <si>
    <t>其他（环保类）</t>
  </si>
  <si>
    <t>精装</t>
  </si>
  <si>
    <t>毛坯</t>
  </si>
  <si>
    <t>含税</t>
  </si>
  <si>
    <t>m2/m2</t>
  </si>
  <si>
    <t>m2/m2</t>
  </si>
  <si>
    <t>基底面积</t>
  </si>
  <si>
    <t>m2</t>
  </si>
  <si>
    <t>钢结构工程合约包</t>
  </si>
  <si>
    <t>5001.03.02</t>
  </si>
  <si>
    <t>主体安装工程</t>
  </si>
  <si>
    <t>建筑面积*（1+赠送比例）</t>
  </si>
  <si>
    <t>个/户</t>
  </si>
  <si>
    <t>户数</t>
  </si>
  <si>
    <t>单元数</t>
  </si>
  <si>
    <t>部/单元</t>
  </si>
  <si>
    <t>通风排烟系统</t>
  </si>
  <si>
    <t>5001.04</t>
  </si>
  <si>
    <t>四</t>
  </si>
  <si>
    <t>室内精装修工程费</t>
  </si>
  <si>
    <t>5001.04.01</t>
  </si>
  <si>
    <t>室内装修</t>
  </si>
  <si>
    <t>5001.04.01.01</t>
  </si>
  <si>
    <t>1）</t>
  </si>
  <si>
    <t>洁具及五金供货合约包</t>
  </si>
  <si>
    <t>精装修其他甲供材采购</t>
  </si>
  <si>
    <t>精装修其他甲供材采购合约包</t>
  </si>
  <si>
    <t>5001.04.02</t>
  </si>
  <si>
    <t>经营增配（住宅、公寓及酒店家私及部品）</t>
  </si>
  <si>
    <t>家私</t>
  </si>
  <si>
    <t>房间小电器</t>
  </si>
  <si>
    <t>软装及装饰部品</t>
  </si>
  <si>
    <t>5001.04.03</t>
  </si>
  <si>
    <t>装修分离体系增加费</t>
  </si>
  <si>
    <t>5001.04.04</t>
  </si>
  <si>
    <t>持有物业租赁区装修费</t>
  </si>
  <si>
    <t>5001.05</t>
  </si>
  <si>
    <t>五</t>
  </si>
  <si>
    <t>装饰及环保工程费</t>
  </si>
  <si>
    <t>5001.05.01</t>
  </si>
  <si>
    <t>建筑立面及部品</t>
  </si>
  <si>
    <t>外立面工程</t>
  </si>
  <si>
    <t>外立面涂料工程</t>
  </si>
  <si>
    <t>5001.05.01.01.01.01</t>
  </si>
  <si>
    <t>5001.05.01.01.02</t>
  </si>
  <si>
    <t>幕墙工程</t>
  </si>
  <si>
    <t>5001.05.01.01.02.01</t>
  </si>
  <si>
    <t>幕墙施工合同</t>
  </si>
  <si>
    <t>5001.05.01.01.03</t>
  </si>
  <si>
    <t>外立面面砖工程</t>
  </si>
  <si>
    <t>5001.05.01.01.03.01</t>
  </si>
  <si>
    <t>5001.05.01.01.04</t>
  </si>
  <si>
    <t>外立面石材</t>
  </si>
  <si>
    <t>5001.05.01.01.04.01</t>
  </si>
  <si>
    <t>5001.05.01.01.05</t>
  </si>
  <si>
    <t>外墙挂板</t>
  </si>
  <si>
    <t>保温涂料一体板工程合同</t>
  </si>
  <si>
    <t>雨蓬等装饰</t>
  </si>
  <si>
    <t>钢结构工程合约包</t>
  </si>
  <si>
    <t>m2/m2</t>
  </si>
  <si>
    <t>单元数</t>
  </si>
  <si>
    <t>m2/个</t>
  </si>
  <si>
    <t>楼体泛光照明</t>
  </si>
  <si>
    <t>5001.05.01.01.10</t>
  </si>
  <si>
    <t>其他（外立面装饰工程类）</t>
  </si>
  <si>
    <t>2）</t>
  </si>
  <si>
    <t>栏杆百叶工程</t>
  </si>
  <si>
    <t>楼梯扶手栏杆</t>
  </si>
  <si>
    <t>层数+1</t>
  </si>
  <si>
    <t>层数</t>
  </si>
  <si>
    <t>阳、露台、生活阳台栏杆</t>
  </si>
  <si>
    <t>高层公寓</t>
  </si>
  <si>
    <t>商墅</t>
  </si>
  <si>
    <t>星级办公</t>
  </si>
  <si>
    <t>大商业</t>
  </si>
  <si>
    <t>大商业</t>
  </si>
  <si>
    <t>2022年</t>
  </si>
  <si>
    <t>2023年</t>
  </si>
  <si>
    <t>2024年</t>
  </si>
  <si>
    <t>个/单元</t>
  </si>
  <si>
    <t>均指含税价格</t>
  </si>
  <si>
    <t>2011年</t>
  </si>
  <si>
    <r>
      <t>2016</t>
    </r>
    <r>
      <rPr>
        <sz val="10"/>
        <rFont val="宋体"/>
        <family val="3"/>
        <charset val="134"/>
      </rPr>
      <t>年</t>
    </r>
  </si>
  <si>
    <t>累计</t>
  </si>
  <si>
    <t>15-3Q</t>
  </si>
  <si>
    <t>15-4Q</t>
  </si>
  <si>
    <t>16-3Q</t>
  </si>
  <si>
    <t>16-4Q</t>
  </si>
  <si>
    <t>17-1Q</t>
  </si>
  <si>
    <t>17-2Q</t>
  </si>
  <si>
    <t>17-3Q</t>
  </si>
  <si>
    <t>17-4Q</t>
  </si>
  <si>
    <t>18-1Q</t>
  </si>
  <si>
    <t>18-2Q</t>
  </si>
  <si>
    <t>18-3Q</t>
  </si>
  <si>
    <t>18-4Q</t>
  </si>
  <si>
    <t>19-1Q</t>
  </si>
  <si>
    <t>19-2Q</t>
  </si>
  <si>
    <t>19-3Q</t>
  </si>
  <si>
    <t>19-4Q</t>
  </si>
  <si>
    <t>20-1Q</t>
  </si>
  <si>
    <t>20-2Q</t>
  </si>
  <si>
    <t>销售合计</t>
  </si>
  <si>
    <t>销售面积</t>
  </si>
  <si>
    <t>销售价格</t>
  </si>
  <si>
    <t>销售金额</t>
  </si>
  <si>
    <t>街区式商业</t>
  </si>
  <si>
    <t>均指不含税价格</t>
  </si>
  <si>
    <t>地库</t>
  </si>
  <si>
    <r>
      <t>2025</t>
    </r>
    <r>
      <rPr>
        <b/>
        <sz val="10"/>
        <rFont val="宋体"/>
        <family val="3"/>
        <charset val="134"/>
      </rPr>
      <t>年</t>
    </r>
  </si>
  <si>
    <t>可售面积</t>
    <phoneticPr fontId="19" type="noConversion"/>
  </si>
  <si>
    <t>普通住宅</t>
    <phoneticPr fontId="19" type="noConversion"/>
  </si>
  <si>
    <t>非普通住宅</t>
    <phoneticPr fontId="19" type="noConversion"/>
  </si>
  <si>
    <t>其他</t>
    <phoneticPr fontId="19" type="noConversion"/>
  </si>
  <si>
    <t>疑问</t>
    <phoneticPr fontId="19" type="noConversion"/>
  </si>
  <si>
    <t>有无特殊建筑要求，如绿色建筑等。</t>
    <phoneticPr fontId="19" type="noConversion"/>
  </si>
  <si>
    <t>公寓户数</t>
    <phoneticPr fontId="19" type="noConversion"/>
  </si>
  <si>
    <t>小高层、公寓的精装标准</t>
    <phoneticPr fontId="19" type="noConversion"/>
  </si>
  <si>
    <t>景观标准</t>
    <phoneticPr fontId="19" type="noConversion"/>
  </si>
  <si>
    <t>销项-进项</t>
    <phoneticPr fontId="19" type="noConversion"/>
  </si>
  <si>
    <t>增值税&amp;附加</t>
    <phoneticPr fontId="19" type="noConversion"/>
  </si>
  <si>
    <t>附加</t>
    <phoneticPr fontId="19" type="noConversion"/>
  </si>
  <si>
    <t>土增税</t>
    <phoneticPr fontId="19" type="noConversion"/>
  </si>
  <si>
    <t>电话及宽带网络费用/综合布线</t>
    <phoneticPr fontId="19" type="noConversion"/>
  </si>
  <si>
    <t>合约金额规划</t>
    <phoneticPr fontId="19" type="noConversion"/>
  </si>
  <si>
    <t>序号</t>
    <phoneticPr fontId="19" type="noConversion"/>
  </si>
  <si>
    <t>类别</t>
    <phoneticPr fontId="19" type="noConversion"/>
  </si>
  <si>
    <t>合约PDC类别</t>
    <phoneticPr fontId="19" type="noConversion"/>
  </si>
  <si>
    <t>合同/合约包</t>
    <phoneticPr fontId="19" type="noConversion"/>
  </si>
  <si>
    <t>公摊费用(本期）</t>
    <phoneticPr fontId="19" type="noConversion"/>
  </si>
  <si>
    <t>本期管理合约金额小计</t>
    <phoneticPr fontId="19" type="noConversion"/>
  </si>
  <si>
    <t>管辖端口</t>
    <phoneticPr fontId="19" type="noConversion"/>
  </si>
  <si>
    <t>前期类</t>
  </si>
  <si>
    <t>项发</t>
    <phoneticPr fontId="19" type="noConversion"/>
  </si>
  <si>
    <t>财务</t>
    <phoneticPr fontId="19" type="noConversion"/>
  </si>
  <si>
    <t>前期</t>
  </si>
  <si>
    <t>工程采购</t>
    <phoneticPr fontId="19" type="noConversion"/>
  </si>
  <si>
    <t>物业变电站设计合同</t>
  </si>
  <si>
    <t>防雷工程合约包</t>
  </si>
  <si>
    <t>造价咨询合同</t>
    <phoneticPr fontId="19" type="noConversion"/>
  </si>
  <si>
    <t>成本</t>
    <phoneticPr fontId="19" type="noConversion"/>
  </si>
  <si>
    <t>设计类</t>
  </si>
  <si>
    <t>设计</t>
    <phoneticPr fontId="19" type="noConversion"/>
  </si>
  <si>
    <t>客关/工程</t>
    <phoneticPr fontId="19" type="noConversion"/>
  </si>
  <si>
    <t>品牌管理费</t>
    <phoneticPr fontId="19" type="noConversion"/>
  </si>
  <si>
    <t>采购</t>
  </si>
  <si>
    <t>甲供材及设备</t>
  </si>
  <si>
    <t>采购</t>
    <phoneticPr fontId="19" type="noConversion"/>
  </si>
  <si>
    <t>土建甲分包</t>
  </si>
  <si>
    <t>入户门供货及安装合同</t>
    <phoneticPr fontId="69" type="noConversion"/>
  </si>
  <si>
    <t>精装甲分包</t>
  </si>
  <si>
    <t>橱柜、收纳柜供货及安装合同</t>
  </si>
  <si>
    <t>户内门供货及安装合同</t>
  </si>
  <si>
    <t>橱柜、收纳柜供货合同</t>
    <phoneticPr fontId="19" type="noConversion"/>
  </si>
  <si>
    <t>户内门供货合同</t>
    <phoneticPr fontId="19" type="noConversion"/>
  </si>
  <si>
    <t>精装甲供材</t>
  </si>
  <si>
    <t>精装修其他甲供材采购合约包</t>
    <phoneticPr fontId="19" type="noConversion"/>
  </si>
  <si>
    <t>安装甲分包</t>
  </si>
  <si>
    <t>水表采购合同</t>
  </si>
  <si>
    <t>二供设备和潜污泵采购合同</t>
  </si>
  <si>
    <t>施工</t>
  </si>
  <si>
    <t>土建总承包</t>
  </si>
  <si>
    <t>精装总承包</t>
  </si>
  <si>
    <t>施工</t>
    <phoneticPr fontId="19" type="noConversion"/>
  </si>
  <si>
    <t>入户门安装合同</t>
    <phoneticPr fontId="69" type="noConversion"/>
  </si>
  <si>
    <t>其他临时设施合约包</t>
    <phoneticPr fontId="19" type="noConversion"/>
  </si>
  <si>
    <t>外墙保温及涂料一体化施工合同</t>
    <phoneticPr fontId="19" type="noConversion"/>
  </si>
  <si>
    <t>保温涂料一体板合同</t>
  </si>
  <si>
    <t>钢结构工程合约包</t>
    <phoneticPr fontId="19" type="noConversion"/>
  </si>
  <si>
    <t>工程采购</t>
    <phoneticPr fontId="19" type="noConversion"/>
  </si>
  <si>
    <t>工程采购</t>
    <phoneticPr fontId="19" type="noConversion"/>
  </si>
  <si>
    <t>物业用房精装修施工合同</t>
  </si>
  <si>
    <t>机械车位供货及安装合同</t>
  </si>
  <si>
    <t>环境</t>
  </si>
  <si>
    <t>环境类</t>
  </si>
  <si>
    <t>营销</t>
  </si>
  <si>
    <t>营销类</t>
  </si>
  <si>
    <t>营销</t>
    <phoneticPr fontId="19" type="noConversion"/>
  </si>
  <si>
    <t>样板间合约包</t>
    <phoneticPr fontId="19" type="noConversion"/>
  </si>
  <si>
    <t>其他营销设施类合约包</t>
  </si>
  <si>
    <t>营销</t>
    <phoneticPr fontId="19" type="noConversion"/>
  </si>
  <si>
    <t>合计</t>
    <phoneticPr fontId="19" type="noConversion"/>
  </si>
  <si>
    <t>数据验证（金额为0 ，则正确）</t>
    <phoneticPr fontId="19" type="noConversion"/>
  </si>
  <si>
    <r>
      <rPr>
        <b/>
        <sz val="10"/>
        <rFont val="宋体"/>
        <family val="3"/>
        <charset val="134"/>
      </rPr>
      <t xml:space="preserve">注：
</t>
    </r>
    <r>
      <rPr>
        <sz val="10"/>
        <rFont val="Arial"/>
        <family val="2"/>
      </rPr>
      <t/>
    </r>
    <phoneticPr fontId="19" type="noConversion"/>
  </si>
  <si>
    <r>
      <t>1.</t>
    </r>
    <r>
      <rPr>
        <sz val="10"/>
        <rFont val="宋体"/>
        <family val="3"/>
        <charset val="134"/>
      </rPr>
      <t>此表以合约发生为口径统计，与成本分摊无直接关联；</t>
    </r>
    <phoneticPr fontId="19" type="noConversion"/>
  </si>
  <si>
    <r>
      <t>2.</t>
    </r>
    <r>
      <rPr>
        <sz val="10"/>
        <rFont val="宋体"/>
        <family val="3"/>
        <charset val="134"/>
      </rPr>
      <t>数据验证逻辑：合约口径的各期数据应与同期科目口径数据闭合。</t>
    </r>
    <phoneticPr fontId="19" type="noConversion"/>
  </si>
  <si>
    <t>成本：</t>
    <phoneticPr fontId="19" type="noConversion"/>
  </si>
  <si>
    <t>项目：</t>
    <phoneticPr fontId="19" type="noConversion"/>
  </si>
  <si>
    <t>设计：</t>
    <phoneticPr fontId="19" type="noConversion"/>
  </si>
  <si>
    <t>项发：</t>
    <phoneticPr fontId="19" type="noConversion"/>
  </si>
  <si>
    <t>地下车库</t>
    <phoneticPr fontId="19" type="noConversion"/>
  </si>
  <si>
    <t>管理费用占销售额（含税）总比例</t>
    <phoneticPr fontId="19" type="noConversion"/>
  </si>
  <si>
    <t>剩余管理费用占销售额（含税）总比例</t>
    <phoneticPr fontId="19" type="noConversion"/>
  </si>
  <si>
    <t>营销费用占销售额（含税）比例</t>
    <phoneticPr fontId="19" type="noConversion"/>
  </si>
  <si>
    <r>
      <t>2026年</t>
    </r>
    <r>
      <rPr>
        <b/>
        <sz val="10"/>
        <rFont val="宋体"/>
        <family val="3"/>
        <charset val="134"/>
      </rPr>
      <t/>
    </r>
  </si>
  <si>
    <r>
      <t>2027年</t>
    </r>
    <r>
      <rPr>
        <b/>
        <sz val="10"/>
        <rFont val="宋体"/>
        <family val="3"/>
        <charset val="134"/>
      </rPr>
      <t/>
    </r>
  </si>
  <si>
    <r>
      <t>2028年</t>
    </r>
    <r>
      <rPr>
        <b/>
        <sz val="10"/>
        <rFont val="宋体"/>
        <family val="3"/>
        <charset val="134"/>
      </rPr>
      <t/>
    </r>
  </si>
  <si>
    <r>
      <t>2029年</t>
    </r>
    <r>
      <rPr>
        <b/>
        <sz val="10"/>
        <rFont val="宋体"/>
        <family val="3"/>
        <charset val="134"/>
      </rPr>
      <t/>
    </r>
  </si>
  <si>
    <r>
      <t>2030年</t>
    </r>
    <r>
      <rPr>
        <b/>
        <sz val="10"/>
        <rFont val="宋体"/>
        <family val="3"/>
        <charset val="134"/>
      </rPr>
      <t/>
    </r>
  </si>
  <si>
    <r>
      <t>2031年</t>
    </r>
    <r>
      <rPr>
        <b/>
        <sz val="10"/>
        <rFont val="宋体"/>
        <family val="3"/>
        <charset val="134"/>
      </rPr>
      <t/>
    </r>
  </si>
  <si>
    <t>垫付金额</t>
    <phoneticPr fontId="19" type="noConversion"/>
  </si>
  <si>
    <t>WACC</t>
    <phoneticPr fontId="19" type="noConversion"/>
  </si>
  <si>
    <t>垫付时间</t>
    <phoneticPr fontId="19" type="noConversion"/>
  </si>
  <si>
    <t>付款时间</t>
    <phoneticPr fontId="19" type="noConversion"/>
  </si>
  <si>
    <t>垫付天数</t>
    <phoneticPr fontId="19" type="noConversion"/>
  </si>
  <si>
    <t>资金成本</t>
    <phoneticPr fontId="19" type="noConversion"/>
  </si>
  <si>
    <t>1.1.1总包（不含甲供材）</t>
  </si>
  <si>
    <t>1.1.2总包甲供材</t>
  </si>
  <si>
    <t>1.1.3工业化PC</t>
  </si>
  <si>
    <t>1.2.1室内采暖</t>
  </si>
  <si>
    <t>1.2.2电梯</t>
  </si>
  <si>
    <t>1.2.3消防及通风</t>
  </si>
  <si>
    <t>1.2.4太阳能</t>
  </si>
  <si>
    <t>1.2.5防火门</t>
  </si>
  <si>
    <t>1.3.1给水</t>
  </si>
  <si>
    <t>1.3.2排水</t>
  </si>
  <si>
    <t>1.3.3热力</t>
  </si>
  <si>
    <t>1.3.4燃气</t>
  </si>
  <si>
    <t>1.3.5电力</t>
  </si>
  <si>
    <t>1.4.1外保温（含线条）</t>
  </si>
  <si>
    <t>1.4.2外窗</t>
  </si>
  <si>
    <t>1.4.3外饰面</t>
  </si>
  <si>
    <t>1.4.4铁艺</t>
  </si>
  <si>
    <t>1.4.5单元门</t>
  </si>
  <si>
    <t>1.5.1室外智能化</t>
  </si>
  <si>
    <t>1.5.2室内外弱电</t>
  </si>
  <si>
    <t>1.6.1室内装修</t>
  </si>
  <si>
    <t>1.6.2新风</t>
  </si>
  <si>
    <t>1.6.3室内空调系统</t>
  </si>
  <si>
    <t>1.6.4入户门</t>
  </si>
  <si>
    <t>1.6.5公区装修</t>
  </si>
  <si>
    <t>1.7.1园林景观</t>
  </si>
  <si>
    <t>1.8.1规划设计费</t>
  </si>
  <si>
    <t>1.8.2行政管理费</t>
  </si>
  <si>
    <t>1.8.3工程管理费</t>
  </si>
  <si>
    <t>1.8.4营销设施建造费</t>
  </si>
  <si>
    <t>1.8.5造价咨询费</t>
  </si>
  <si>
    <t>1.8.6物业完善费</t>
  </si>
  <si>
    <t>1.8.7除配套费之外的其他报建费</t>
  </si>
  <si>
    <t>1.9其他</t>
  </si>
  <si>
    <t>2.1.1市政设施配套费</t>
  </si>
  <si>
    <t>2.2.1车位、库房分摊</t>
  </si>
  <si>
    <t>2.2.2配套用房分摊</t>
  </si>
  <si>
    <t>2.3.1土方开挖</t>
  </si>
  <si>
    <t>2.3.2地基处理</t>
  </si>
  <si>
    <t>2.3.3支护降水</t>
  </si>
  <si>
    <t xml:space="preserve"> 项目 全 期规划指标</t>
  </si>
  <si>
    <t>景观面积合计（含庭院）</t>
  </si>
  <si>
    <t>庭院占地面积</t>
  </si>
  <si>
    <t>可经营面积</t>
  </si>
  <si>
    <t>产品主数据建立分期</t>
  </si>
  <si>
    <t>是否跨期分摊成本</t>
  </si>
  <si>
    <t>摊出比例</t>
  </si>
  <si>
    <t>摊入科目</t>
  </si>
  <si>
    <r>
      <rPr>
        <b/>
        <sz val="9"/>
        <rFont val="宋体"/>
        <family val="3"/>
        <charset val="134"/>
      </rPr>
      <t>赠送比(</t>
    </r>
    <r>
      <rPr>
        <b/>
        <sz val="9"/>
        <rFont val="宋体"/>
        <family val="3"/>
        <charset val="134"/>
      </rPr>
      <t>%)</t>
    </r>
  </si>
  <si>
    <t>高层（27F）</t>
  </si>
  <si>
    <t>8#</t>
  </si>
  <si>
    <t>否</t>
  </si>
  <si>
    <t>人才公寓26F（可售、T7）</t>
    <phoneticPr fontId="78" type="noConversion"/>
  </si>
  <si>
    <t>小高层（8~11F）</t>
    <phoneticPr fontId="78" type="noConversion"/>
  </si>
  <si>
    <t>临街商业</t>
    <phoneticPr fontId="78" type="noConversion"/>
  </si>
  <si>
    <t>人才公寓（租赁、27F）</t>
    <phoneticPr fontId="78" type="noConversion"/>
  </si>
  <si>
    <t>5.6+4.7</t>
  </si>
  <si>
    <t>可售物业停车-人防</t>
  </si>
  <si>
    <t>公摊测算表“可售物业的非人防车库分摊”</t>
  </si>
  <si>
    <t>可售物业停车-非人防</t>
  </si>
  <si>
    <t>人防设备夹层</t>
  </si>
  <si>
    <t>地面露天停车</t>
  </si>
  <si>
    <t>科目编码</t>
  </si>
  <si>
    <t>二期可售面积单位成本</t>
  </si>
  <si>
    <t>总成本（万元）</t>
  </si>
  <si>
    <t>车位</t>
  </si>
  <si>
    <t>人防车位</t>
  </si>
  <si>
    <t>人才公寓</t>
  </si>
  <si>
    <t>可售物业小计</t>
  </si>
  <si>
    <t>持有物业小计</t>
  </si>
  <si>
    <t>含税总成本</t>
  </si>
  <si>
    <t>不含税总成本</t>
  </si>
  <si>
    <t>含税总成本
（万元）</t>
  </si>
  <si>
    <t>不含税总成本（万元）</t>
  </si>
  <si>
    <t>进项税
（万元）</t>
  </si>
  <si>
    <t>含税总成本（万元）</t>
  </si>
  <si>
    <t>校验</t>
  </si>
  <si>
    <t>经营增配</t>
  </si>
  <si>
    <t>精装修建造技术费</t>
  </si>
  <si>
    <t>持有物业租赁区装修</t>
  </si>
  <si>
    <t>5001.07.07</t>
  </si>
  <si>
    <t>运营物业改造费</t>
  </si>
  <si>
    <t>5001.07.08</t>
  </si>
  <si>
    <t>运营物业开办费</t>
  </si>
  <si>
    <t>银行利息支出</t>
  </si>
  <si>
    <t>内部支出对资金中心</t>
  </si>
  <si>
    <t>对联合营公司</t>
  </si>
  <si>
    <t>5001.08.04</t>
  </si>
  <si>
    <t>内部支出对集团并表范围内其他公司</t>
  </si>
  <si>
    <t>成本信息</t>
  </si>
  <si>
    <t>成本1:地价外成本</t>
  </si>
  <si>
    <t>成本1:地价、品牌管理费及资本化利息外建造成本</t>
    <phoneticPr fontId="78" type="noConversion"/>
  </si>
  <si>
    <t>成本2扣除地价、资本化利息、精装修、地库及配套分摊外产品建造成本</t>
  </si>
  <si>
    <t>成本4:持有商业出租面积单方</t>
  </si>
  <si>
    <t>运营信息</t>
  </si>
  <si>
    <t>售价（元/m2）</t>
  </si>
  <si>
    <t>毛利（元/m2）-预征口径</t>
  </si>
  <si>
    <t>毛利（元/m2）-清算口径</t>
  </si>
  <si>
    <t>毛利润-预征口径</t>
  </si>
  <si>
    <t>毛利润-清算口径</t>
  </si>
  <si>
    <t>毛利率-预征口径</t>
  </si>
  <si>
    <t>毛利率-清算口径</t>
  </si>
  <si>
    <t>净利润（元/m2）-预征口径</t>
  </si>
  <si>
    <t>净利润（元/m2）-清算口径</t>
  </si>
  <si>
    <t>净利率-预征口径</t>
  </si>
  <si>
    <t>净利率-清算口径</t>
  </si>
  <si>
    <t>销售收入（万元）</t>
  </si>
  <si>
    <t>保本售价（元/m2）</t>
  </si>
  <si>
    <t>税务信息</t>
  </si>
  <si>
    <t>可抵扣成本（元/m2）</t>
  </si>
  <si>
    <t>增值额（元/m2）</t>
  </si>
  <si>
    <t>增值率</t>
  </si>
  <si>
    <t>预缴土地增值税（元/m2）</t>
  </si>
  <si>
    <t>清算土地增值税（元/m2）</t>
  </si>
  <si>
    <t>补纳土地增值税（元/m2）</t>
  </si>
  <si>
    <t>预缴与清算孰高取谁</t>
  </si>
  <si>
    <t>营业税及其附加税率</t>
  </si>
  <si>
    <t>土增税预征率【普通住宅】</t>
  </si>
  <si>
    <t>企业所得税率</t>
  </si>
  <si>
    <t>土增税预征率【非普住宅】</t>
  </si>
  <si>
    <t>土增税预征率【车位】</t>
  </si>
  <si>
    <t>土增税预征率【商业】</t>
  </si>
  <si>
    <r>
      <rPr>
        <b/>
        <sz val="9"/>
        <rFont val="宋体"/>
        <family val="3"/>
        <charset val="134"/>
      </rPr>
      <t>实际成交均价</t>
    </r>
  </si>
  <si>
    <t>单方溢价</t>
  </si>
  <si>
    <t>管理费用（1.5%)</t>
  </si>
  <si>
    <t>营销费用（2.5%)</t>
  </si>
  <si>
    <t>税金</t>
  </si>
  <si>
    <t>营业税及附加</t>
  </si>
  <si>
    <t>考核土地增值税</t>
  </si>
  <si>
    <t>项目毛利润</t>
  </si>
  <si>
    <t>项目毛利率</t>
  </si>
  <si>
    <t>土地
增值税</t>
  </si>
  <si>
    <t>收入</t>
  </si>
  <si>
    <t>可抵扣成本</t>
  </si>
  <si>
    <t>清缴土地增值税金额</t>
  </si>
  <si>
    <t>预征土地增值税金额</t>
  </si>
  <si>
    <t>模块编码</t>
  </si>
  <si>
    <t>合约包名称</t>
  </si>
  <si>
    <t>合约包编码</t>
  </si>
  <si>
    <t>核算产品</t>
  </si>
  <si>
    <t>当期公摊费用</t>
  </si>
  <si>
    <t>当期总成本</t>
  </si>
  <si>
    <t>跨期公摊费用</t>
  </si>
  <si>
    <t>人才公寓（持有</t>
  </si>
  <si>
    <t>人防地库</t>
  </si>
  <si>
    <t>5001.01</t>
  </si>
  <si>
    <t>土地合同或费用</t>
  </si>
  <si>
    <t>5001.01.01.04</t>
  </si>
  <si>
    <t>5001.01.01.04.01</t>
  </si>
  <si>
    <t>高压电力架空线迁移</t>
  </si>
  <si>
    <t>GYQ</t>
  </si>
  <si>
    <t>地块周边市政工程合同</t>
  </si>
  <si>
    <t>5001.01.01.04.02</t>
  </si>
  <si>
    <t>排水箱涵修建</t>
  </si>
  <si>
    <t>PSX</t>
  </si>
  <si>
    <t>5001.01.01.04.03</t>
  </si>
  <si>
    <t>地块周边电线电缆工程</t>
  </si>
  <si>
    <t>HWD</t>
  </si>
  <si>
    <t>5001.01.01.04.04</t>
  </si>
  <si>
    <t>地块周边线给排水工程</t>
  </si>
  <si>
    <t>HWG</t>
  </si>
  <si>
    <t>5001.01.01.04.05</t>
  </si>
  <si>
    <t>地块周边市政道路</t>
  </si>
  <si>
    <t>HWS</t>
  </si>
  <si>
    <t>5001.01.01.04.06</t>
  </si>
  <si>
    <t>地块周边市政热力</t>
  </si>
  <si>
    <t>HWR</t>
  </si>
  <si>
    <t>5001.01.01.04.07</t>
  </si>
  <si>
    <t>地块周边市政燃气</t>
  </si>
  <si>
    <t>HWQ</t>
  </si>
  <si>
    <t>5001.01.01.05</t>
  </si>
  <si>
    <t>5001.01.01.06</t>
  </si>
  <si>
    <t>政府代建用房</t>
  </si>
  <si>
    <t>5001.01.01.07</t>
  </si>
  <si>
    <t>土地使用费（税）</t>
  </si>
  <si>
    <t>5001.01.01.08</t>
  </si>
  <si>
    <t>场地租赁费</t>
  </si>
  <si>
    <t>5001.01.01.09</t>
  </si>
  <si>
    <t>地下室补交地价</t>
  </si>
  <si>
    <t>5001.01.02.01</t>
  </si>
  <si>
    <t>5001.01.02.01.01</t>
  </si>
  <si>
    <t>勘察测量合同</t>
  </si>
  <si>
    <t>5001.01.02.01.02</t>
  </si>
  <si>
    <t>CKG</t>
  </si>
  <si>
    <t>5001.01.02.01.03</t>
  </si>
  <si>
    <t>XKG</t>
  </si>
  <si>
    <t>5001.01.02.01.04</t>
  </si>
  <si>
    <t>5001.01.02.01.05</t>
  </si>
  <si>
    <t>预售\竣工房屋面积测量费</t>
  </si>
  <si>
    <t>5001.01.02.01.06</t>
  </si>
  <si>
    <t>5001.01.02.01.07</t>
  </si>
  <si>
    <t>5001.01.02.01.08</t>
  </si>
  <si>
    <t>基坑监测费</t>
  </si>
  <si>
    <t>JKJ</t>
  </si>
  <si>
    <t>5001.01.02.01.09</t>
  </si>
  <si>
    <t>其他勘察丈量费</t>
  </si>
  <si>
    <t>5001.01.02.02</t>
  </si>
  <si>
    <t>市政设施配套费</t>
  </si>
  <si>
    <t>5001.01.02.02.01</t>
  </si>
  <si>
    <t>大市政设施配套费</t>
  </si>
  <si>
    <t>报批报建合约包</t>
  </si>
  <si>
    <t>5001.01.02.02.02</t>
  </si>
  <si>
    <t>其他市政设施配套费</t>
  </si>
  <si>
    <t>5001.01.02.03</t>
  </si>
  <si>
    <t>综合报批报建费</t>
  </si>
  <si>
    <t>5001.01.02.03.01</t>
  </si>
  <si>
    <t>人防异地建设</t>
  </si>
  <si>
    <t>5001.01.02.03.02</t>
  </si>
  <si>
    <t>环境影响与水土保持评估</t>
  </si>
  <si>
    <t>5001.01.02.03.03</t>
  </si>
  <si>
    <t>5001.01.02.03.04</t>
  </si>
  <si>
    <t>地质灾害评估</t>
  </si>
  <si>
    <t>5001.01.02.03.05</t>
  </si>
  <si>
    <t>规划图纸审查</t>
  </si>
  <si>
    <t>5001.01.02.03.06</t>
  </si>
  <si>
    <t>施工图审查</t>
  </si>
  <si>
    <t>5001.01.02.03.07</t>
  </si>
  <si>
    <t>消防图纸审查</t>
  </si>
  <si>
    <t>5001.01.02.03.08</t>
  </si>
  <si>
    <t>人防图纸审查</t>
  </si>
  <si>
    <t>5001.01.02.03.09</t>
  </si>
  <si>
    <t>5001.01.02.03.10</t>
  </si>
  <si>
    <t>5001.01.02.03.11</t>
  </si>
  <si>
    <t>墙改保证金</t>
  </si>
  <si>
    <t>5001.01.02.03.12</t>
  </si>
  <si>
    <t>室内环境检测</t>
  </si>
  <si>
    <t>5001.01.02.03.13</t>
  </si>
  <si>
    <t>5001.01.02.03.14</t>
  </si>
  <si>
    <t>防雷检测及验收</t>
  </si>
  <si>
    <t>5001.01.02.03.15</t>
  </si>
  <si>
    <t>工程档案管理</t>
  </si>
  <si>
    <t>5001.01.02.03.16</t>
  </si>
  <si>
    <t>电梯消防设施设备专项维修基金</t>
  </si>
  <si>
    <t>5001.01.02.03.17</t>
  </si>
  <si>
    <t>文物勘察</t>
  </si>
  <si>
    <t>5001.01.02.03.18</t>
  </si>
  <si>
    <t>其他报建费</t>
  </si>
  <si>
    <t>5001.01.02.04</t>
  </si>
  <si>
    <t>5001.01.02.04.01</t>
  </si>
  <si>
    <t>5001.01.02.04.02</t>
  </si>
  <si>
    <t>5001.01.02.04.03</t>
  </si>
  <si>
    <t>5001.02</t>
  </si>
  <si>
    <t>幼儿园建设</t>
  </si>
  <si>
    <t>学校建设</t>
  </si>
  <si>
    <t>教育设施引入费</t>
  </si>
  <si>
    <t>JSY</t>
  </si>
  <si>
    <t>交通站场设施建设及引入</t>
  </si>
  <si>
    <t>5001.02.01.08</t>
  </si>
  <si>
    <t>其他配套设施</t>
  </si>
  <si>
    <t>5001.02.02.01.01</t>
  </si>
  <si>
    <t>可售物业的人防地下室</t>
  </si>
  <si>
    <t>5001.02.02.01.02</t>
  </si>
  <si>
    <t>持有物业配套的人防地下室</t>
  </si>
  <si>
    <t>人防设施设备费</t>
  </si>
  <si>
    <t>5001.02.02.02.01</t>
  </si>
  <si>
    <t>可售物业的人防地下室设备费</t>
  </si>
  <si>
    <t>KFS</t>
  </si>
  <si>
    <t>人防防护设施制作安装合同</t>
  </si>
  <si>
    <t>5001.02.02.02.02</t>
  </si>
  <si>
    <t>持有物业的人防地下室设备费</t>
  </si>
  <si>
    <t>CFS</t>
  </si>
  <si>
    <t>非人防公共车库分摊</t>
  </si>
  <si>
    <t>5001.02.02.03.01</t>
  </si>
  <si>
    <t>可售物业的地下室（非人防车库分摊）</t>
  </si>
  <si>
    <t>5001.02.02.03.02</t>
  </si>
  <si>
    <t>持有物业的地下室（非人防车库分摊）</t>
  </si>
  <si>
    <t>JXC</t>
  </si>
  <si>
    <t>土石方工程(公摊)</t>
  </si>
  <si>
    <t>GTF</t>
  </si>
  <si>
    <t>土石方工程施工合同</t>
  </si>
  <si>
    <t>JKZ</t>
  </si>
  <si>
    <t>降水工程</t>
  </si>
  <si>
    <t>JSG</t>
  </si>
  <si>
    <t>总承包工程合同</t>
  </si>
  <si>
    <t>特殊地基处理</t>
  </si>
  <si>
    <t>TSD</t>
  </si>
  <si>
    <t>ZJG</t>
  </si>
  <si>
    <t>桩基础工程合同</t>
  </si>
  <si>
    <t>5001.02.03.06</t>
  </si>
  <si>
    <t>桩基检测</t>
  </si>
  <si>
    <t>ZJJ</t>
  </si>
  <si>
    <t>桩基检测合同或收费包</t>
  </si>
  <si>
    <t>5001.02.03.07</t>
  </si>
  <si>
    <t>核心筒支护</t>
  </si>
  <si>
    <t>HZH</t>
  </si>
  <si>
    <t>5001.02.03.08</t>
  </si>
  <si>
    <t>永久性边坡支护</t>
  </si>
  <si>
    <t>YBZ</t>
  </si>
  <si>
    <t>CTP</t>
  </si>
  <si>
    <t>原有建筑物拆除</t>
  </si>
  <si>
    <t>YJC</t>
  </si>
  <si>
    <t>土石方工程(主体)</t>
  </si>
  <si>
    <t>ZTF</t>
  </si>
  <si>
    <t>HNT</t>
  </si>
  <si>
    <t>GJG</t>
  </si>
  <si>
    <t>MMG</t>
  </si>
  <si>
    <t>QZG</t>
  </si>
  <si>
    <t>防水工程</t>
  </si>
  <si>
    <t>FSG</t>
  </si>
  <si>
    <t>总承包工程合同/防水工程材料采购合同</t>
  </si>
  <si>
    <t>保温工程</t>
  </si>
  <si>
    <t>BWG</t>
  </si>
  <si>
    <t>楼地面找平及抹灰</t>
  </si>
  <si>
    <t>LDM</t>
  </si>
  <si>
    <t>内墙面找平及抹灰</t>
  </si>
  <si>
    <t>NQM</t>
  </si>
  <si>
    <t>外墙面找平及抹灰</t>
  </si>
  <si>
    <t>WQM</t>
  </si>
  <si>
    <t>天棚找平及抹灰</t>
  </si>
  <si>
    <t>TPZ</t>
  </si>
  <si>
    <t>5001.03.01.02.07.06</t>
  </si>
  <si>
    <t>屋面构造做法</t>
  </si>
  <si>
    <t>WMG</t>
  </si>
  <si>
    <t>5001.03.01.02.07.07</t>
  </si>
  <si>
    <t>地下室顶板构造做法</t>
  </si>
  <si>
    <t>DBG</t>
  </si>
  <si>
    <t>5001.03.01.02.07.08</t>
  </si>
  <si>
    <t>地下室底板构造做法</t>
  </si>
  <si>
    <t>DCG</t>
  </si>
  <si>
    <t>措施费</t>
  </si>
  <si>
    <t>JSJ</t>
  </si>
  <si>
    <t>CZY</t>
  </si>
  <si>
    <t>JCS</t>
  </si>
  <si>
    <t>5001.03.01.02.08.04</t>
  </si>
  <si>
    <t>AQW</t>
  </si>
  <si>
    <t>5001.03.01.02.08.05</t>
  </si>
  <si>
    <t>其他措施费</t>
  </si>
  <si>
    <t>QCS</t>
  </si>
  <si>
    <t>赠送与改造费</t>
  </si>
  <si>
    <t>ZGC</t>
  </si>
  <si>
    <t>GJI</t>
  </si>
  <si>
    <t>预制构件工程</t>
  </si>
  <si>
    <t>YZG</t>
  </si>
  <si>
    <t>工业化构件采购及安装合约包</t>
  </si>
  <si>
    <t>零星工程</t>
  </si>
  <si>
    <t>LXG</t>
  </si>
  <si>
    <t>主体建造技术服务费</t>
  </si>
  <si>
    <t>5001.03.01.03</t>
  </si>
  <si>
    <t>拆除与加固工程</t>
  </si>
  <si>
    <t>CCG</t>
  </si>
  <si>
    <t>主体给排水系统费</t>
  </si>
  <si>
    <t>给水系统工程</t>
  </si>
  <si>
    <t>GSX</t>
  </si>
  <si>
    <t>雨水系统工程</t>
  </si>
  <si>
    <t>YSX</t>
  </si>
  <si>
    <t>污水系统工程</t>
  </si>
  <si>
    <t>WSX</t>
  </si>
  <si>
    <t>水表、水箱甲供</t>
  </si>
  <si>
    <t>SBX</t>
  </si>
  <si>
    <t>水表供货合同</t>
  </si>
  <si>
    <t>5001.03.02.01.05</t>
  </si>
  <si>
    <t>给排水管材、管件甲供</t>
  </si>
  <si>
    <t>GGJ</t>
  </si>
  <si>
    <t>PPR、PVC、UPVC管采购合同</t>
  </si>
  <si>
    <t>5001.03.02.01.06</t>
  </si>
  <si>
    <t>主体给排水其他费</t>
  </si>
  <si>
    <t>GPQ</t>
  </si>
  <si>
    <t>5001.03.02.01.07</t>
  </si>
  <si>
    <t>冷却塔供应及安装</t>
  </si>
  <si>
    <t>LQT</t>
  </si>
  <si>
    <t>主体电气系统费</t>
  </si>
  <si>
    <t>电气照明系统</t>
  </si>
  <si>
    <t>DZM</t>
  </si>
  <si>
    <t>电气动力系统</t>
  </si>
  <si>
    <t>DDL</t>
  </si>
  <si>
    <t>防雷接地</t>
  </si>
  <si>
    <t>FLJ</t>
  </si>
  <si>
    <t>弱电预埋</t>
  </si>
  <si>
    <t>RDY</t>
  </si>
  <si>
    <t>火灾报警及消防联动</t>
  </si>
  <si>
    <t>HZB</t>
  </si>
  <si>
    <t>5001.03.02.02.06</t>
  </si>
  <si>
    <t>电线、电缆甲供</t>
  </si>
  <si>
    <t>DXD</t>
  </si>
  <si>
    <t>5001.03.02.02.07</t>
  </si>
  <si>
    <t>箱体甲供</t>
  </si>
  <si>
    <t>XTJ</t>
  </si>
  <si>
    <t>5001.03.02.02.08</t>
  </si>
  <si>
    <t>电气管材、管件甲供</t>
  </si>
  <si>
    <t>DGJ</t>
  </si>
  <si>
    <t>5001.03.02.02.09</t>
  </si>
  <si>
    <t>电表甲供</t>
  </si>
  <si>
    <t>DBJ</t>
  </si>
  <si>
    <t>5001.03.02.02.10</t>
  </si>
  <si>
    <t>公共区域灯具甲供</t>
  </si>
  <si>
    <t>GDJ</t>
  </si>
  <si>
    <t>5001.03.02.02.11</t>
  </si>
  <si>
    <t>航空障碍灯</t>
  </si>
  <si>
    <t>HKZ</t>
  </si>
  <si>
    <t>5001.03.02.02.12</t>
  </si>
  <si>
    <t>主体电气其他费</t>
  </si>
  <si>
    <t>DQQ</t>
  </si>
  <si>
    <t>5001.03.02.03</t>
  </si>
  <si>
    <t>5001.03.02.03.01</t>
  </si>
  <si>
    <t>分户采暖费</t>
  </si>
  <si>
    <t>FCN</t>
  </si>
  <si>
    <t>5001.03.02.03.02</t>
  </si>
  <si>
    <t>地暖管、散热器供货及安装</t>
  </si>
  <si>
    <t>DLG</t>
  </si>
  <si>
    <t>5001.03.02.04</t>
  </si>
  <si>
    <t>SNR</t>
  </si>
  <si>
    <t>燃气施工合同</t>
  </si>
  <si>
    <t>5001.03.02.05</t>
  </si>
  <si>
    <t>电梯采购及安装</t>
  </si>
  <si>
    <t>5001.03.02.05.01</t>
  </si>
  <si>
    <t>直梯采购</t>
  </si>
  <si>
    <t>ZTC</t>
  </si>
  <si>
    <t>5001.03.02.05.02</t>
  </si>
  <si>
    <t>直梯安装</t>
  </si>
  <si>
    <t>ZTA</t>
  </si>
  <si>
    <t>5001.03.02.05.03</t>
  </si>
  <si>
    <t>扶梯采购</t>
  </si>
  <si>
    <t>FTC</t>
  </si>
  <si>
    <t>5001.03.02.05.04</t>
  </si>
  <si>
    <t>FTA</t>
  </si>
  <si>
    <t>5001.03.02.06</t>
  </si>
  <si>
    <t>消防工程</t>
  </si>
  <si>
    <t>5001.03.02.06.01</t>
  </si>
  <si>
    <t>消火栓系统</t>
  </si>
  <si>
    <t>XHS</t>
  </si>
  <si>
    <t>5001.03.02.06.02</t>
  </si>
  <si>
    <t>喷淋系统</t>
  </si>
  <si>
    <t>PLX</t>
  </si>
  <si>
    <t>5001.03.02.06.03</t>
  </si>
  <si>
    <t>消防电系统</t>
  </si>
  <si>
    <t>XFD</t>
  </si>
  <si>
    <t>5001.03.02.06.04</t>
  </si>
  <si>
    <t>防火卷帘</t>
  </si>
  <si>
    <t>FJL</t>
  </si>
  <si>
    <t>5001.03.02.06.05</t>
  </si>
  <si>
    <t>灭火器</t>
  </si>
  <si>
    <t>MHQ</t>
  </si>
  <si>
    <t>5001.03.02.06.06</t>
  </si>
  <si>
    <t>便携式灭火装置</t>
  </si>
  <si>
    <t>BMH</t>
  </si>
  <si>
    <t>5001.03.02.06.07</t>
  </si>
  <si>
    <t>水炮系统</t>
  </si>
  <si>
    <t>SPX</t>
  </si>
  <si>
    <t>5001.03.02.06.08</t>
  </si>
  <si>
    <t>挡烟垂壁</t>
  </si>
  <si>
    <t>DYB</t>
  </si>
  <si>
    <t>5001.03.02.06.09</t>
  </si>
  <si>
    <t>厨房灭火系统</t>
  </si>
  <si>
    <t>CMH</t>
  </si>
  <si>
    <t>5001.03.02.07</t>
  </si>
  <si>
    <t>通风工程</t>
  </si>
  <si>
    <t>TFG</t>
  </si>
  <si>
    <t>5001.03.02.08</t>
  </si>
  <si>
    <t>空调工程</t>
  </si>
  <si>
    <t>5001.03.02.08.01</t>
  </si>
  <si>
    <t>主机及末端</t>
  </si>
  <si>
    <t>JMD</t>
  </si>
  <si>
    <t>中央空调供应及安装工程合同</t>
  </si>
  <si>
    <t>5001.03.02.08.02</t>
  </si>
  <si>
    <t>风系统</t>
  </si>
  <si>
    <t>FXT</t>
  </si>
  <si>
    <t>5001.03.02.08.03</t>
  </si>
  <si>
    <t>水系统</t>
  </si>
  <si>
    <t>SXT</t>
  </si>
  <si>
    <t>5001.03.02.09</t>
  </si>
  <si>
    <t>建筑清洁系统</t>
  </si>
  <si>
    <t>JQJ</t>
  </si>
  <si>
    <t>环保系统工程合同</t>
  </si>
  <si>
    <t>SWG</t>
  </si>
  <si>
    <t>室外消防系统</t>
  </si>
  <si>
    <t>SXF</t>
  </si>
  <si>
    <t>室外雨水系统</t>
  </si>
  <si>
    <t>SYS</t>
  </si>
  <si>
    <t>室外管网工程合同</t>
  </si>
  <si>
    <t>5001.03.03.01.04</t>
  </si>
  <si>
    <t>室外污水系统</t>
  </si>
  <si>
    <t>SWS</t>
  </si>
  <si>
    <t>5001.03.03.01.05</t>
  </si>
  <si>
    <t>雨水收集系统</t>
  </si>
  <si>
    <t>YSS</t>
  </si>
  <si>
    <t>5001.03.03.01.06</t>
  </si>
  <si>
    <t>室外管材采购</t>
  </si>
  <si>
    <t>SGC</t>
  </si>
  <si>
    <t>室外采暖管道系统</t>
  </si>
  <si>
    <t>SCN</t>
  </si>
  <si>
    <t>RJH</t>
  </si>
  <si>
    <t>5001.03.03.02.03</t>
  </si>
  <si>
    <t>锅炉房设备及安装</t>
  </si>
  <si>
    <t>GLS</t>
  </si>
  <si>
    <t>SRQ</t>
  </si>
  <si>
    <t>高低压配电设备及安装</t>
  </si>
  <si>
    <t>GPS</t>
  </si>
  <si>
    <t>高低压配电供货及安装工程施工合同</t>
  </si>
  <si>
    <t>室外强电电缆敷设</t>
  </si>
  <si>
    <t>SQD</t>
  </si>
  <si>
    <t>配电柜、变压器、电线电缆甲供</t>
  </si>
  <si>
    <t>PDJ</t>
  </si>
  <si>
    <t>电缆通道分包</t>
  </si>
  <si>
    <t>DLT</t>
  </si>
  <si>
    <t>气体灭火系统</t>
  </si>
  <si>
    <t>QTM</t>
  </si>
  <si>
    <t>5001.03.03.05</t>
  </si>
  <si>
    <t>发电机及其安装费</t>
  </si>
  <si>
    <t>FDJ</t>
  </si>
  <si>
    <t>柴油发电机组供货及安装合同</t>
  </si>
  <si>
    <t>5001.03.03.06</t>
  </si>
  <si>
    <t>SRD</t>
  </si>
  <si>
    <t>基建及管网工程其他费</t>
  </si>
  <si>
    <t>JJQ</t>
  </si>
  <si>
    <t>零星工程合约包</t>
  </si>
  <si>
    <t>室内装修工程费</t>
  </si>
  <si>
    <t>室内精装总包</t>
  </si>
  <si>
    <t>SJZ</t>
  </si>
  <si>
    <t>精装修工程施工合同</t>
  </si>
  <si>
    <t>室内门</t>
  </si>
  <si>
    <t>SNM</t>
  </si>
  <si>
    <t>户内门、挂墙板供货及安装合同</t>
  </si>
  <si>
    <t>室内收纳、橱柜</t>
  </si>
  <si>
    <t>SNG</t>
  </si>
  <si>
    <t>室内淋浴屏</t>
  </si>
  <si>
    <t>LYP</t>
  </si>
  <si>
    <t>室内木地板</t>
  </si>
  <si>
    <t>MDB</t>
  </si>
  <si>
    <t>室内整体卫浴</t>
  </si>
  <si>
    <t>ZTW</t>
  </si>
  <si>
    <t>室内厨卫电器</t>
  </si>
  <si>
    <t>CWD</t>
  </si>
  <si>
    <t>室内瓷砖甲供</t>
  </si>
  <si>
    <t>CZJ</t>
  </si>
  <si>
    <t>户内瓷砖供货合同</t>
  </si>
  <si>
    <t>室内瓷砖粘接剂甲供</t>
  </si>
  <si>
    <t>CJJ</t>
  </si>
  <si>
    <t>室内涂料甲供</t>
  </si>
  <si>
    <t>TLJ</t>
  </si>
  <si>
    <t>室内墙纸甲供</t>
  </si>
  <si>
    <t>QZJ</t>
  </si>
  <si>
    <t>5001.04.01.12</t>
  </si>
  <si>
    <t>室内灯具甲供</t>
  </si>
  <si>
    <t>SDJ</t>
  </si>
  <si>
    <t>5001.04.01.13</t>
  </si>
  <si>
    <t>室内开关插座甲供</t>
  </si>
  <si>
    <t>KGJ</t>
  </si>
  <si>
    <t>5001.04.01.14</t>
  </si>
  <si>
    <t>室内洁具甲供</t>
  </si>
  <si>
    <t>JJJ</t>
  </si>
  <si>
    <t>5001.04.01.15</t>
  </si>
  <si>
    <t>室内五金件甲供</t>
  </si>
  <si>
    <t>WJJ</t>
  </si>
  <si>
    <t>5001.04.01.16</t>
  </si>
  <si>
    <t>室内石材甲供</t>
  </si>
  <si>
    <t>SCJ</t>
  </si>
  <si>
    <t>室内石材供货及施工合同</t>
  </si>
  <si>
    <t>5001.04.01.17</t>
  </si>
  <si>
    <t>室内空调</t>
  </si>
  <si>
    <t>JKT</t>
  </si>
  <si>
    <t>5001.04.01.18</t>
  </si>
  <si>
    <t>铝扣板甲供</t>
  </si>
  <si>
    <t>LKB</t>
  </si>
  <si>
    <t>经营增配家私</t>
  </si>
  <si>
    <t>JZJ</t>
  </si>
  <si>
    <t>经营部品采购合同</t>
  </si>
  <si>
    <t>经营增配配饰</t>
  </si>
  <si>
    <t>JZP</t>
  </si>
  <si>
    <t>经营增配小电器</t>
  </si>
  <si>
    <t>JZD</t>
  </si>
  <si>
    <t>CWZ</t>
  </si>
  <si>
    <t>外墙涂料工程</t>
  </si>
  <si>
    <t>WTL</t>
  </si>
  <si>
    <t>外墙面砖工程</t>
  </si>
  <si>
    <t>WMZ</t>
  </si>
  <si>
    <t>外墙石材工程</t>
  </si>
  <si>
    <t>WSG</t>
  </si>
  <si>
    <t>幕墙工程施工合同</t>
  </si>
  <si>
    <t>玻璃幕墙</t>
  </si>
  <si>
    <t>BLM</t>
  </si>
  <si>
    <t>金属幕墙</t>
  </si>
  <si>
    <t>JSM</t>
  </si>
  <si>
    <t>装饰线条</t>
  </si>
  <si>
    <t>ZXT</t>
  </si>
  <si>
    <t>雨棚/连廊</t>
  </si>
  <si>
    <t>YUP</t>
  </si>
  <si>
    <t>LFZ</t>
  </si>
  <si>
    <t>垂直绿化</t>
  </si>
  <si>
    <t>CLH</t>
  </si>
  <si>
    <t>石材幕墙、陶板幕墙</t>
  </si>
  <si>
    <t>STM</t>
  </si>
  <si>
    <t>5001.05.01.01.11</t>
  </si>
  <si>
    <t>广告位</t>
  </si>
  <si>
    <t>GGW</t>
  </si>
  <si>
    <t>LFL</t>
  </si>
  <si>
    <t>栏杆施工合同</t>
  </si>
  <si>
    <t>中庭环廊及扶梯扶手栏杆</t>
  </si>
  <si>
    <t>ZTL</t>
  </si>
  <si>
    <t>阳、露台及屋面栏杆</t>
  </si>
  <si>
    <t>YLG</t>
  </si>
  <si>
    <t>生活阳台栏杆</t>
  </si>
  <si>
    <t>SYL</t>
  </si>
  <si>
    <t>DCH</t>
  </si>
  <si>
    <t>5001.05.01.02.06</t>
  </si>
  <si>
    <t>百叶</t>
  </si>
  <si>
    <t>BYE</t>
  </si>
  <si>
    <t>5001.05.01.02.07</t>
  </si>
  <si>
    <t>屋顶栏杆</t>
  </si>
  <si>
    <t>WDL</t>
  </si>
  <si>
    <t>5001.05.01.02.08</t>
  </si>
  <si>
    <t>遮阳板</t>
  </si>
  <si>
    <t>ZYB</t>
  </si>
  <si>
    <t>单元门</t>
  </si>
  <si>
    <t>DYM</t>
  </si>
  <si>
    <t>RHM</t>
  </si>
  <si>
    <t>入户门供货及安装工程合同</t>
  </si>
  <si>
    <t>防火门</t>
  </si>
  <si>
    <t>FHM</t>
  </si>
  <si>
    <t>防火门采购安装合同</t>
  </si>
  <si>
    <t>CYM</t>
  </si>
  <si>
    <t>铝合金门窗工程合同</t>
  </si>
  <si>
    <t>5001.05.01.03.05</t>
  </si>
  <si>
    <t>车库门</t>
  </si>
  <si>
    <t>CKM</t>
  </si>
  <si>
    <t>上人屋面装修</t>
  </si>
  <si>
    <t>SRW</t>
  </si>
  <si>
    <t>屋面天沟</t>
  </si>
  <si>
    <t>WMT</t>
  </si>
  <si>
    <t>屋面瓦</t>
  </si>
  <si>
    <t>WMW</t>
  </si>
  <si>
    <t>5001.05.01.05</t>
  </si>
  <si>
    <t>楼体标识牌</t>
  </si>
  <si>
    <t>5001.05.01.05.01</t>
  </si>
  <si>
    <t>每户标牌</t>
  </si>
  <si>
    <t>HBP</t>
  </si>
  <si>
    <t>小区标识供货及安装工程合同</t>
  </si>
  <si>
    <t>5001.05.01.05.02</t>
  </si>
  <si>
    <t>楼层标牌</t>
  </si>
  <si>
    <t>LCB</t>
  </si>
  <si>
    <t>5001.05.01.05.03</t>
  </si>
  <si>
    <t>楼栋标牌</t>
  </si>
  <si>
    <t>LDB</t>
  </si>
  <si>
    <t>5001.05.01.07</t>
  </si>
  <si>
    <t>XBX</t>
  </si>
  <si>
    <t>5001.05.01.08</t>
  </si>
  <si>
    <t>建筑立面建造技术服务费</t>
  </si>
  <si>
    <t>5001.05.01.06</t>
  </si>
  <si>
    <t>其他标识</t>
  </si>
  <si>
    <t>QBS</t>
  </si>
  <si>
    <t>公共部位精装修</t>
  </si>
  <si>
    <t>DTZ</t>
  </si>
  <si>
    <t>DXZ</t>
  </si>
  <si>
    <t>商业中庭装修</t>
  </si>
  <si>
    <t>SZZ</t>
  </si>
  <si>
    <t>JFZ</t>
  </si>
  <si>
    <t>LTZ</t>
  </si>
  <si>
    <t>BTZ</t>
  </si>
  <si>
    <t>DJZ</t>
  </si>
  <si>
    <t>FTZ</t>
  </si>
  <si>
    <t>公共走道/外走廊装修</t>
  </si>
  <si>
    <t>ZDZ</t>
  </si>
  <si>
    <t>公共卫生间装修</t>
  </si>
  <si>
    <t>GWZ</t>
  </si>
  <si>
    <t>5001.05.02.11</t>
  </si>
  <si>
    <t>商业功能用房装修</t>
  </si>
  <si>
    <t>SGZ</t>
  </si>
  <si>
    <t>5001.05.02.12</t>
  </si>
  <si>
    <t>JNJ</t>
  </si>
  <si>
    <t>5001.05.02.13</t>
  </si>
  <si>
    <t>地下地坪漆、交通标识划线</t>
  </si>
  <si>
    <t>DPQ</t>
  </si>
  <si>
    <t>地下车库地坪及入口坡道处理合约包</t>
  </si>
  <si>
    <t>楼宇智能化</t>
  </si>
  <si>
    <t>智能化系统</t>
  </si>
  <si>
    <t>ZNH</t>
  </si>
  <si>
    <t>电话网络费用</t>
  </si>
  <si>
    <t>DHW</t>
  </si>
  <si>
    <t>电话、网络接入合同</t>
  </si>
  <si>
    <t>YXD</t>
  </si>
  <si>
    <t>有线电视安装工程</t>
  </si>
  <si>
    <t>SBY</t>
  </si>
  <si>
    <t>对讲设备甲供材</t>
  </si>
  <si>
    <t>DJJ</t>
  </si>
  <si>
    <t>对讲系统采购供货合同</t>
  </si>
  <si>
    <t>JGX</t>
  </si>
  <si>
    <t>SXG</t>
  </si>
  <si>
    <t>新风系统设备及安装</t>
  </si>
  <si>
    <t>XFX</t>
  </si>
  <si>
    <t>TYN</t>
  </si>
  <si>
    <t>地源/水源/空气源热泵/冰蓄冷设备及安装</t>
  </si>
  <si>
    <t>DYR</t>
  </si>
  <si>
    <t>ZYS</t>
  </si>
  <si>
    <t>降噪隔音系统（设备类）</t>
  </si>
  <si>
    <t>JZG</t>
  </si>
  <si>
    <t>垃圾处理设备及安装</t>
  </si>
  <si>
    <t>LJC</t>
  </si>
  <si>
    <t>5001.05.04.07</t>
  </si>
  <si>
    <t>中水系统</t>
  </si>
  <si>
    <t>ZSX</t>
  </si>
  <si>
    <t>5001.05.04.08</t>
  </si>
  <si>
    <t>人工湿地系统</t>
  </si>
  <si>
    <t>RSD</t>
  </si>
  <si>
    <t>5001.05.04.09</t>
  </si>
  <si>
    <t>环保类其他</t>
  </si>
  <si>
    <t>HBQ</t>
  </si>
  <si>
    <t>其它(土地合同外选择型配套)</t>
  </si>
  <si>
    <t>TCG</t>
  </si>
  <si>
    <t>XBJ</t>
  </si>
  <si>
    <t>ZHF</t>
  </si>
  <si>
    <t>门禁系统</t>
  </si>
  <si>
    <t>XMJ</t>
  </si>
  <si>
    <t>DXG</t>
  </si>
  <si>
    <t>DGP</t>
  </si>
  <si>
    <t>背景音乐及广播系统</t>
  </si>
  <si>
    <t>SBJ</t>
  </si>
  <si>
    <t>软景工程</t>
  </si>
  <si>
    <t>RJG</t>
  </si>
  <si>
    <t>硬景工程</t>
  </si>
  <si>
    <t>YJG</t>
  </si>
  <si>
    <t>园林水电</t>
  </si>
  <si>
    <t>YSD</t>
  </si>
  <si>
    <t>建筑小品、雕塑、游乐设施</t>
  </si>
  <si>
    <t>XDY</t>
  </si>
  <si>
    <t>园林其他</t>
  </si>
  <si>
    <t>YQT</t>
  </si>
  <si>
    <t>外围景观工程</t>
  </si>
  <si>
    <t>WJG</t>
  </si>
  <si>
    <t>5001.06.03.07</t>
  </si>
  <si>
    <t>园林建造技术服务费</t>
  </si>
  <si>
    <t>建筑设计</t>
  </si>
  <si>
    <t>5001.07.01.01.01</t>
  </si>
  <si>
    <t>概念设计</t>
  </si>
  <si>
    <t>GN1</t>
  </si>
  <si>
    <t>设计类费用合约包</t>
  </si>
  <si>
    <t>5001.07.01.01.02</t>
  </si>
  <si>
    <t>方案设计</t>
  </si>
  <si>
    <t>FS1</t>
  </si>
  <si>
    <t>5001.07.01.01.03</t>
  </si>
  <si>
    <t>施工图设计</t>
  </si>
  <si>
    <t>ST1</t>
  </si>
  <si>
    <t>5001.07.01.01.04</t>
  </si>
  <si>
    <t>专项设计</t>
  </si>
  <si>
    <t>ZS1</t>
  </si>
  <si>
    <t>景观设计</t>
  </si>
  <si>
    <t>JG1</t>
  </si>
  <si>
    <t>装修设计</t>
  </si>
  <si>
    <t>ZX1</t>
  </si>
  <si>
    <t>晒图、模型及其他</t>
  </si>
  <si>
    <t>SM1</t>
  </si>
  <si>
    <t>行政费</t>
  </si>
  <si>
    <t>工程建设监理服务合同</t>
  </si>
  <si>
    <t>工程质量、安全监督费</t>
  </si>
  <si>
    <t>总包外临时设施费</t>
  </si>
  <si>
    <t>其他临时设施合同包</t>
  </si>
  <si>
    <t>工程建造技术服务费</t>
  </si>
  <si>
    <t>卖场/租赁中心费用</t>
  </si>
  <si>
    <t>MZF</t>
  </si>
  <si>
    <t>卖场大类包</t>
  </si>
  <si>
    <t>YJF</t>
  </si>
  <si>
    <t>样板间大类包</t>
  </si>
  <si>
    <t>ZXH</t>
  </si>
  <si>
    <t>营销设施建造费合同</t>
  </si>
  <si>
    <t>造价咨询服务合同</t>
  </si>
  <si>
    <t>5001.07.06.03</t>
  </si>
  <si>
    <t>开荒保洁费</t>
  </si>
  <si>
    <t>5001.07.06.04</t>
  </si>
  <si>
    <t>物业完善费其他</t>
  </si>
  <si>
    <t>开办费</t>
  </si>
  <si>
    <t>室外给水工程合同</t>
  </si>
  <si>
    <t>防水工程材料采购合同</t>
  </si>
  <si>
    <t>干混抹灰砂浆及石膏抹灰供货合约包</t>
  </si>
  <si>
    <t>二供设备及潜污泵采购合同</t>
  </si>
  <si>
    <t>阀门供货合同</t>
  </si>
  <si>
    <t>保温装饰一体板工程合同</t>
  </si>
  <si>
    <t>同层排水工程合同</t>
  </si>
  <si>
    <t>小高层</t>
  </si>
  <si>
    <t>填写注意事项：</t>
  </si>
  <si>
    <t>1、地价测算表体现集团标准核算科目明细，与跨期分摊表中地价模块保持一致；</t>
  </si>
  <si>
    <t>2、全期可售、持有物业地价分摊，单列表格进行计算；</t>
  </si>
  <si>
    <t>3、各分期地价分摊以可售物业为例，公共占地部分按各分期不含持有物业的计容经营面积分摊，再按各分期占地面积进行地价分摊；</t>
  </si>
  <si>
    <t>4、各产品地价分摊也按占地面积进行分摊，注意各分期分摊基数=占地面积；</t>
  </si>
  <si>
    <t>5、各产品各科目的测算金额线下表格不体现，由ICP系统直接查看；</t>
  </si>
  <si>
    <t>指标备注</t>
  </si>
  <si>
    <t>消耗系数</t>
  </si>
  <si>
    <t>含税单价(元)</t>
  </si>
  <si>
    <t>含税合价(万元)</t>
  </si>
  <si>
    <t>税率（%）</t>
  </si>
  <si>
    <t>不含税单价（元）</t>
  </si>
  <si>
    <t>不含税总价（万元）</t>
  </si>
  <si>
    <r>
      <rPr>
        <b/>
        <sz val="10"/>
        <color indexed="12"/>
        <rFont val="宋体"/>
        <family val="3"/>
        <charset val="134"/>
      </rPr>
      <t>土地成本（</t>
    </r>
    <r>
      <rPr>
        <b/>
        <sz val="10"/>
        <color rgb="FFFF0000"/>
        <rFont val="宋体"/>
        <family val="3"/>
        <charset val="134"/>
      </rPr>
      <t>D</t>
    </r>
    <r>
      <rPr>
        <b/>
        <sz val="10"/>
        <color indexed="12"/>
        <rFont val="宋体"/>
        <family val="3"/>
        <charset val="134"/>
      </rPr>
      <t>)</t>
    </r>
  </si>
  <si>
    <t>地下室面积</t>
  </si>
  <si>
    <t>不含补缴地价汇总</t>
  </si>
  <si>
    <r>
      <rPr>
        <b/>
        <sz val="10"/>
        <rFont val="宋体"/>
        <family val="3"/>
        <charset val="134"/>
      </rPr>
      <t>1、</t>
    </r>
    <r>
      <rPr>
        <b/>
        <sz val="10"/>
        <color rgb="FFFF0000"/>
        <rFont val="宋体"/>
        <family val="3"/>
        <charset val="134"/>
      </rPr>
      <t>全期</t>
    </r>
    <r>
      <rPr>
        <b/>
        <sz val="10"/>
        <rFont val="宋体"/>
        <family val="3"/>
        <charset val="134"/>
      </rPr>
      <t>可售、持有物业地价分摊</t>
    </r>
  </si>
  <si>
    <t>计算过程：</t>
  </si>
  <si>
    <t>类型</t>
  </si>
  <si>
    <t>计容积面积（㎡）</t>
  </si>
  <si>
    <t>地价单方</t>
  </si>
  <si>
    <t>地价分摊</t>
  </si>
  <si>
    <r>
      <rPr>
        <sz val="10"/>
        <rFont val="宋体"/>
        <family val="3"/>
        <charset val="134"/>
      </rPr>
      <t>STEP1：求</t>
    </r>
    <r>
      <rPr>
        <sz val="10"/>
        <color theme="1"/>
        <rFont val="宋体"/>
        <family val="3"/>
        <charset val="134"/>
      </rPr>
      <t xml:space="preserve"> 平均单方</t>
    </r>
  </si>
  <si>
    <r>
      <rPr>
        <sz val="10"/>
        <rFont val="宋体"/>
        <family val="3"/>
        <charset val="134"/>
      </rPr>
      <t xml:space="preserve">总地价/总计容积面积 = </t>
    </r>
    <r>
      <rPr>
        <b/>
        <sz val="11"/>
        <color theme="1"/>
        <rFont val="Calibri"/>
        <family val="3"/>
        <charset val="134"/>
        <scheme val="minor"/>
      </rPr>
      <t>平均单方</t>
    </r>
  </si>
  <si>
    <t>可售产品</t>
  </si>
  <si>
    <t>STEP2：求 持有产品单方</t>
  </si>
  <si>
    <r>
      <rPr>
        <sz val="10"/>
        <rFont val="宋体"/>
        <family val="3"/>
        <charset val="134"/>
      </rPr>
      <t>平均单方/ 3 =&gt;</t>
    </r>
    <r>
      <rPr>
        <b/>
        <sz val="11"/>
        <color theme="1"/>
        <rFont val="Calibri"/>
        <family val="3"/>
        <charset val="134"/>
        <scheme val="minor"/>
      </rPr>
      <t>持有产品单方</t>
    </r>
  </si>
  <si>
    <t>持有产品（不含酒店）</t>
  </si>
  <si>
    <t>STEP3：求 持有产品总地价</t>
  </si>
  <si>
    <r>
      <rPr>
        <sz val="10"/>
        <rFont val="宋体"/>
        <family val="3"/>
        <charset val="134"/>
      </rPr>
      <t xml:space="preserve">持有产品单方*持有产品计容积面积 = </t>
    </r>
    <r>
      <rPr>
        <b/>
        <sz val="11"/>
        <color theme="1"/>
        <rFont val="Calibri"/>
        <family val="3"/>
        <charset val="134"/>
        <scheme val="minor"/>
      </rPr>
      <t>持有产品总地价</t>
    </r>
  </si>
  <si>
    <t>持有产品(酒店)</t>
  </si>
  <si>
    <t>酒店不分摊地价</t>
  </si>
  <si>
    <t>STEP4：求 可售产品总地价</t>
  </si>
  <si>
    <r>
      <rPr>
        <sz val="10"/>
        <rFont val="宋体"/>
        <family val="3"/>
        <charset val="134"/>
      </rPr>
      <t xml:space="preserve">总地价-持有产品地价 = </t>
    </r>
    <r>
      <rPr>
        <b/>
        <sz val="11"/>
        <color theme="1"/>
        <rFont val="Calibri"/>
        <family val="3"/>
        <charset val="134"/>
        <scheme val="minor"/>
      </rPr>
      <t>可售产品总地价</t>
    </r>
  </si>
  <si>
    <t>小计 ( J )</t>
  </si>
  <si>
    <t>STEP5：求 可售产品单方</t>
  </si>
  <si>
    <r>
      <rPr>
        <sz val="10"/>
        <rFont val="宋体"/>
        <family val="3"/>
        <charset val="134"/>
      </rPr>
      <t xml:space="preserve">可售产品总地价/可售产品计容积面积 = </t>
    </r>
    <r>
      <rPr>
        <b/>
        <sz val="11"/>
        <color theme="1"/>
        <rFont val="Calibri"/>
        <family val="3"/>
        <charset val="134"/>
        <scheme val="minor"/>
      </rPr>
      <t>可售产品单方</t>
    </r>
  </si>
  <si>
    <t>注：数据可直接引自系统</t>
  </si>
  <si>
    <r>
      <rPr>
        <b/>
        <sz val="10"/>
        <rFont val="宋体"/>
        <family val="3"/>
        <charset val="134"/>
      </rPr>
      <t>2、</t>
    </r>
    <r>
      <rPr>
        <b/>
        <sz val="10"/>
        <color rgb="FFFF0000"/>
        <rFont val="宋体"/>
        <family val="3"/>
        <charset val="134"/>
      </rPr>
      <t>各分期</t>
    </r>
    <r>
      <rPr>
        <b/>
        <sz val="10"/>
        <rFont val="宋体"/>
        <family val="3"/>
        <charset val="134"/>
      </rPr>
      <t>可售物业地价分摊</t>
    </r>
  </si>
  <si>
    <t>全期</t>
  </si>
  <si>
    <t>/</t>
  </si>
  <si>
    <r>
      <rPr>
        <sz val="10"/>
        <rFont val="宋体"/>
        <family val="3"/>
        <charset val="134"/>
      </rPr>
      <t>STEP1：求</t>
    </r>
    <r>
      <rPr>
        <sz val="10"/>
        <color theme="1"/>
        <rFont val="宋体"/>
        <family val="3"/>
        <charset val="134"/>
      </rPr>
      <t xml:space="preserve"> 各期占地面积</t>
    </r>
  </si>
  <si>
    <r>
      <rPr>
        <sz val="10"/>
        <rFont val="宋体"/>
        <family val="3"/>
        <charset val="134"/>
      </rPr>
      <t>各期总用地面积-持有物业用地面积-配套用地面积 =</t>
    </r>
    <r>
      <rPr>
        <sz val="10"/>
        <rFont val="等线"/>
        <family val="3"/>
        <charset val="134"/>
      </rPr>
      <t xml:space="preserve"> </t>
    </r>
    <r>
      <rPr>
        <b/>
        <sz val="10"/>
        <rFont val="等线"/>
        <family val="3"/>
        <charset val="134"/>
      </rPr>
      <t>各期用地面积</t>
    </r>
  </si>
  <si>
    <t>STEP2：求 各期分摊的公共配套占地面积</t>
  </si>
  <si>
    <r>
      <rPr>
        <sz val="10"/>
        <rFont val="宋体"/>
        <family val="3"/>
        <charset val="134"/>
      </rPr>
      <t xml:space="preserve">（当期可售面积/全期计容可售面积）*公共配套占地面积 = </t>
    </r>
    <r>
      <rPr>
        <b/>
        <sz val="10"/>
        <rFont val="等线"/>
        <family val="3"/>
        <charset val="134"/>
      </rPr>
      <t>当期分摊的公共配套占地面积</t>
    </r>
  </si>
  <si>
    <t xml:space="preserve">总占地面积 </t>
  </si>
  <si>
    <t>手填</t>
  </si>
  <si>
    <t>STEP3：求 各期分摊的公共景观占地面积</t>
  </si>
  <si>
    <r>
      <rPr>
        <sz val="10"/>
        <rFont val="宋体"/>
        <family val="3"/>
        <charset val="134"/>
      </rPr>
      <t xml:space="preserve">（当期可售面积/全期计容可售面积）*公共景观占地占地面积 = </t>
    </r>
    <r>
      <rPr>
        <b/>
        <sz val="10"/>
        <rFont val="等线"/>
        <family val="3"/>
        <charset val="134"/>
      </rPr>
      <t>当期分摊的公共景观占地面积</t>
    </r>
  </si>
  <si>
    <t xml:space="preserve">XXX配套占地面积 </t>
  </si>
  <si>
    <t>STEP4：求 各期分摊后的总占地面积</t>
  </si>
  <si>
    <r>
      <rPr>
        <sz val="10"/>
        <rFont val="宋体"/>
        <family val="3"/>
        <charset val="134"/>
      </rPr>
      <t xml:space="preserve">各期占地+分摊的公共配套+分摊的公共景观 = </t>
    </r>
    <r>
      <rPr>
        <b/>
        <sz val="11"/>
        <color theme="1"/>
        <rFont val="Calibri"/>
        <family val="3"/>
        <charset val="134"/>
        <scheme val="minor"/>
      </rPr>
      <t>各期分摊后的总占地面积</t>
    </r>
  </si>
  <si>
    <t xml:space="preserve">公共景观占地面积 </t>
  </si>
  <si>
    <t>STEP5：求 各期地价</t>
  </si>
  <si>
    <r>
      <rPr>
        <sz val="10"/>
        <rFont val="宋体"/>
        <family val="3"/>
        <charset val="134"/>
      </rPr>
      <t xml:space="preserve">（各期占地面积/全期总占地面积）*总地价 = </t>
    </r>
    <r>
      <rPr>
        <b/>
        <sz val="11"/>
        <color theme="1"/>
        <rFont val="Calibri"/>
        <family val="3"/>
        <charset val="134"/>
        <scheme val="minor"/>
      </rPr>
      <t>各期地价</t>
    </r>
  </si>
  <si>
    <t>占地面积合计</t>
  </si>
  <si>
    <t>地价合计</t>
  </si>
  <si>
    <t>注：混合型物业需剔除持有物业的计容可售面积、占地面积</t>
  </si>
  <si>
    <r>
      <rPr>
        <b/>
        <sz val="10"/>
        <rFont val="宋体"/>
        <family val="3"/>
        <charset val="134"/>
      </rPr>
      <t>3、</t>
    </r>
    <r>
      <rPr>
        <b/>
        <sz val="10"/>
        <color rgb="FFFF0000"/>
        <rFont val="宋体"/>
        <family val="3"/>
        <charset val="134"/>
      </rPr>
      <t>各产品</t>
    </r>
    <r>
      <rPr>
        <b/>
        <sz val="10"/>
        <rFont val="宋体"/>
        <family val="3"/>
        <charset val="134"/>
      </rPr>
      <t>地价分摊</t>
    </r>
  </si>
  <si>
    <t>项目结构</t>
  </si>
  <si>
    <t>经营属性</t>
  </si>
  <si>
    <t>计容可售/经营面积</t>
  </si>
  <si>
    <t>地价分摊(万元）</t>
  </si>
  <si>
    <t>地价分摊（不含税）</t>
  </si>
  <si>
    <r>
      <rPr>
        <sz val="10"/>
        <rFont val="宋体"/>
        <family val="3"/>
        <charset val="134"/>
      </rPr>
      <t>STEP1：求</t>
    </r>
    <r>
      <rPr>
        <sz val="10"/>
        <color theme="1"/>
        <rFont val="宋体"/>
        <family val="3"/>
        <charset val="134"/>
      </rPr>
      <t xml:space="preserve"> 各分期分摊基数</t>
    </r>
  </si>
  <si>
    <r>
      <rPr>
        <sz val="10"/>
        <rFont val="宋体"/>
        <family val="3"/>
        <charset val="134"/>
      </rPr>
      <t>计容经营面积/经验容积率 =</t>
    </r>
    <r>
      <rPr>
        <sz val="10"/>
        <rFont val="等线"/>
        <family val="3"/>
        <charset val="134"/>
      </rPr>
      <t xml:space="preserve"> </t>
    </r>
    <r>
      <rPr>
        <b/>
        <sz val="10"/>
        <rFont val="等线"/>
        <family val="3"/>
        <charset val="134"/>
      </rPr>
      <t>分摊基数</t>
    </r>
  </si>
  <si>
    <t>8#地块</t>
  </si>
  <si>
    <t>STEP2：求 各经营类型单基应摊</t>
  </si>
  <si>
    <r>
      <rPr>
        <sz val="10"/>
        <rFont val="宋体"/>
        <family val="3"/>
        <charset val="134"/>
      </rPr>
      <t xml:space="preserve">可售（持有)地价/可售（持有）占地面积 = </t>
    </r>
    <r>
      <rPr>
        <b/>
        <sz val="10"/>
        <rFont val="等线"/>
        <family val="3"/>
        <charset val="134"/>
      </rPr>
      <t>单基应摊</t>
    </r>
  </si>
  <si>
    <t>即售</t>
  </si>
  <si>
    <t>STEP3：求 各产品分摊地价</t>
  </si>
  <si>
    <r>
      <rPr>
        <sz val="10"/>
        <rFont val="宋体"/>
        <family val="3"/>
        <charset val="134"/>
      </rPr>
      <t xml:space="preserve">分摊基数*单基应摊 = </t>
    </r>
    <r>
      <rPr>
        <b/>
        <sz val="10"/>
        <rFont val="等线"/>
        <family val="3"/>
        <charset val="134"/>
      </rPr>
      <t>各产品分摊地价</t>
    </r>
  </si>
  <si>
    <t>STEP4：求 各产品地价单方</t>
  </si>
  <si>
    <r>
      <rPr>
        <sz val="10"/>
        <rFont val="宋体"/>
        <family val="3"/>
        <charset val="134"/>
      </rPr>
      <t xml:space="preserve">各产品地价/各产品经营面积 = </t>
    </r>
    <r>
      <rPr>
        <b/>
        <sz val="11"/>
        <rFont val="Calibri"/>
        <family val="3"/>
        <charset val="134"/>
        <scheme val="minor"/>
      </rPr>
      <t>各产品地价单方</t>
    </r>
  </si>
  <si>
    <t>14-2#地块</t>
  </si>
  <si>
    <t>…</t>
  </si>
  <si>
    <t>汇总</t>
  </si>
  <si>
    <t>注：</t>
  </si>
  <si>
    <t>1、经验容积率通常是一个经验数据范围，具有一定灵活度</t>
  </si>
  <si>
    <t xml:space="preserve">2、对于底商，因其售价与上部住宅的差异，可通过乘以适当的放大系数，使其合理的承担相应比例的地价，系数的确定可参照商业与住宅的售价比；对于大型综合体中的各类产品，可依据不同类型物业的收益水平均衡考虑。
</t>
  </si>
  <si>
    <t>=</t>
  </si>
  <si>
    <t>建筑信息</t>
  </si>
  <si>
    <t>销售物业占地面积</t>
  </si>
  <si>
    <t>地下室建筑面积</t>
  </si>
  <si>
    <t>持有物业占地面积</t>
  </si>
  <si>
    <t>计容建筑面积</t>
  </si>
  <si>
    <t>销售物业可售面积（不含车位）</t>
  </si>
  <si>
    <t>销售物业地价分摊比例</t>
  </si>
  <si>
    <t>总层数</t>
  </si>
  <si>
    <t>持有物业经营面积（不含车位）</t>
  </si>
  <si>
    <t>持有物业地价分摊比例</t>
  </si>
  <si>
    <t>总户数</t>
  </si>
  <si>
    <t>清单模块</t>
  </si>
  <si>
    <t>合约包编号</t>
  </si>
  <si>
    <t>模块原始指标</t>
  </si>
  <si>
    <t>模块工程量说明</t>
  </si>
  <si>
    <t>模块工程量</t>
  </si>
  <si>
    <t>含税总成本(万元)</t>
  </si>
  <si>
    <t>不含税单价(元)</t>
  </si>
  <si>
    <t>不含税总成本(万元)</t>
  </si>
  <si>
    <t>跨期分摊至当期（万元）</t>
  </si>
  <si>
    <t>合计含税金额（万元）</t>
  </si>
  <si>
    <t>归属备注</t>
  </si>
  <si>
    <t>含税可售单方(万元)</t>
  </si>
  <si>
    <t>取值</t>
  </si>
  <si>
    <t>m/个</t>
  </si>
  <si>
    <t>初勘延米数</t>
  </si>
  <si>
    <t>详勘延米数</t>
  </si>
  <si>
    <t>楼栋/楼栋</t>
  </si>
  <si>
    <t>5001.01.02.03.18.01</t>
  </si>
  <si>
    <t>5001.01.02.03.18.02</t>
  </si>
  <si>
    <t>房屋初始登记费</t>
  </si>
  <si>
    <t>户/户</t>
  </si>
  <si>
    <t>5001.01.02.03.18.03</t>
  </si>
  <si>
    <t>公示费</t>
  </si>
  <si>
    <t>5001.01.02.03.18.05</t>
  </si>
  <si>
    <t>规划技术服务费</t>
  </si>
  <si>
    <t>5001.01.02.03.18.06</t>
  </si>
  <si>
    <t>招标代理服务费</t>
  </si>
  <si>
    <t>5001.01.02.03.18.07</t>
  </si>
  <si>
    <t>预售许可证交易服务费</t>
  </si>
  <si>
    <t>5001.01.02.03.18.08</t>
  </si>
  <si>
    <t>政府类罚款</t>
  </si>
  <si>
    <t>5001.01.02.03.18.09</t>
  </si>
  <si>
    <t>其他综合报建费</t>
  </si>
  <si>
    <t>提前开工处罚</t>
  </si>
  <si>
    <t>3.5+苗木砍伐+安置房划拨手续</t>
  </si>
  <si>
    <t>摊入性科目</t>
  </si>
  <si>
    <t>物业用房建筑面积</t>
  </si>
  <si>
    <t>市政设施用房建筑面积</t>
  </si>
  <si>
    <t>学校建筑面积</t>
  </si>
  <si>
    <t>教育配套建筑面积</t>
  </si>
  <si>
    <t>体育运动设施建筑面积</t>
  </si>
  <si>
    <t>交通站场设施建筑面积</t>
  </si>
  <si>
    <t>自定义</t>
  </si>
  <si>
    <t>配套劝学公园</t>
  </si>
  <si>
    <t>可售物业的人防地下室面积</t>
  </si>
  <si>
    <t>持有物业的人防地下室面积</t>
  </si>
  <si>
    <t>机械停车个数</t>
  </si>
  <si>
    <t>个</t>
  </si>
  <si>
    <t>挖方+填方总量</t>
  </si>
  <si>
    <t>m/幢</t>
  </si>
  <si>
    <t>总桩长</t>
  </si>
  <si>
    <t>挖方总量</t>
  </si>
  <si>
    <t>5001.03.03.01.01.01</t>
  </si>
  <si>
    <t>室外给水系统施工</t>
  </si>
  <si>
    <t>5001.03.03.01.01.02</t>
  </si>
  <si>
    <t>给水设备供货</t>
  </si>
  <si>
    <t>1.4.3消防</t>
  </si>
  <si>
    <t>5001.03.03.01.04.01</t>
  </si>
  <si>
    <t>室外污水系统施工</t>
  </si>
  <si>
    <t>5001.03.03.01.04.02</t>
  </si>
  <si>
    <t>潜污泵供货</t>
  </si>
  <si>
    <t>泳池面积</t>
  </si>
  <si>
    <t>会所面积</t>
  </si>
  <si>
    <t>运动配套面积</t>
  </si>
  <si>
    <t>教育配套面积</t>
  </si>
  <si>
    <t>交通配套面积</t>
  </si>
  <si>
    <t>架空层面积</t>
  </si>
  <si>
    <t>共享景观面积</t>
  </si>
  <si>
    <t>软景面积</t>
  </si>
  <si>
    <t>硬景面积</t>
  </si>
  <si>
    <t>外围景观工程面积</t>
  </si>
  <si>
    <t>卖场建筑面积</t>
  </si>
  <si>
    <t>样板间面积</t>
  </si>
  <si>
    <t>KHB</t>
  </si>
  <si>
    <t>产品信息</t>
  </si>
  <si>
    <t>用地面积</t>
  </si>
  <si>
    <t>级配等级</t>
  </si>
  <si>
    <t>自留比例</t>
  </si>
  <si>
    <t>电梯配置</t>
  </si>
  <si>
    <t>电梯数量</t>
  </si>
  <si>
    <t>标准层户数</t>
  </si>
  <si>
    <t>赠送率</t>
  </si>
  <si>
    <t>标准层层高</t>
  </si>
  <si>
    <t>不含税可售单方（元/m2）</t>
  </si>
  <si>
    <t>T</t>
  </si>
  <si>
    <t>人防地库面积</t>
  </si>
  <si>
    <t>主体土石方量</t>
  </si>
  <si>
    <t>混凝土总量</t>
  </si>
  <si>
    <t>钢筋总量</t>
  </si>
  <si>
    <t>砌体及隔墙总量</t>
  </si>
  <si>
    <t>5001.03.01.02.05.01</t>
  </si>
  <si>
    <t>防水供货总量</t>
  </si>
  <si>
    <t>5001.03.01.02.05.02</t>
  </si>
  <si>
    <t>防水施工面积</t>
  </si>
  <si>
    <t>保温总量</t>
  </si>
  <si>
    <t>地面找平总量</t>
  </si>
  <si>
    <t>内墙找平总量</t>
  </si>
  <si>
    <t>5001.03.01.02.07.02.01</t>
  </si>
  <si>
    <t>内墙面找平及抹灰施工</t>
  </si>
  <si>
    <t>内墙找平施工面积</t>
  </si>
  <si>
    <t>5001.03.01.02.07.02.02</t>
  </si>
  <si>
    <t>干混抹灰砂浆及石膏抹灰甲供</t>
  </si>
  <si>
    <t>干混抹灰砂浆及石膏抹灰甲供总量</t>
  </si>
  <si>
    <t>外墙找平总量</t>
  </si>
  <si>
    <t>天棚找平总量</t>
  </si>
  <si>
    <t>屋面面积</t>
  </si>
  <si>
    <t>地下室顶板面积</t>
  </si>
  <si>
    <t>地下室底板面积</t>
  </si>
  <si>
    <t>赠送面积</t>
  </si>
  <si>
    <t>污水系统总包施工</t>
  </si>
  <si>
    <t>同层排水工程</t>
  </si>
  <si>
    <t>电气动力系统总包施工</t>
  </si>
  <si>
    <t>封闭母线安装工程</t>
  </si>
  <si>
    <t xml:space="preserve"> 个/栋</t>
  </si>
  <si>
    <t>航空障碍灯个数</t>
  </si>
  <si>
    <t>5001.03.02.03.01.01</t>
  </si>
  <si>
    <t>分户采暖配套费</t>
  </si>
  <si>
    <t>5001.03.02.03.01.02</t>
  </si>
  <si>
    <t>热计量表供货</t>
  </si>
  <si>
    <t>台/单元</t>
  </si>
  <si>
    <t>直梯台数</t>
  </si>
  <si>
    <t>扶梯台数</t>
  </si>
  <si>
    <t>5001.03.02.06.02.01</t>
  </si>
  <si>
    <t>消防喷淋系统施工</t>
  </si>
  <si>
    <t>5001.03.02.06.02.02</t>
  </si>
  <si>
    <t>阀门供货</t>
  </si>
  <si>
    <t>户内门总套数</t>
  </si>
  <si>
    <t>淋浴屏总套数</t>
  </si>
  <si>
    <t>整体卫浴总套数</t>
  </si>
  <si>
    <t>租赁区面积</t>
  </si>
  <si>
    <t>外墙涂料供货</t>
  </si>
  <si>
    <t>涂料展开面积</t>
  </si>
  <si>
    <t>外墙涂料施工</t>
  </si>
  <si>
    <t>外墙砖展开面积</t>
  </si>
  <si>
    <t>外墙石材展开面积</t>
  </si>
  <si>
    <t>玻璃幕墙展开面积</t>
  </si>
  <si>
    <t>金属外墙展开面积</t>
  </si>
  <si>
    <t>m/m2</t>
  </si>
  <si>
    <t>装饰线条延米数</t>
  </si>
  <si>
    <t>雨棚投影面积</t>
  </si>
  <si>
    <t>石材/陶板幕墙展开面积</t>
  </si>
  <si>
    <t>广告位面积</t>
  </si>
  <si>
    <t>楼梯扶手栏杆总延米数</t>
  </si>
  <si>
    <t>中庭环廊及扶梯扶手栏杆总延米数</t>
  </si>
  <si>
    <t>阳、露台及屋面栏杆总延米数</t>
  </si>
  <si>
    <t>生活阳台栏杆总延米数</t>
  </si>
  <si>
    <t>低窗护栏总延米数</t>
  </si>
  <si>
    <t>百叶总面积</t>
  </si>
  <si>
    <t>m/单元</t>
  </si>
  <si>
    <t>屋顶栏杆总延米数</t>
  </si>
  <si>
    <t>遮阳板总面积</t>
  </si>
  <si>
    <t>单元门个数</t>
  </si>
  <si>
    <t>入户门个数</t>
  </si>
  <si>
    <t>防火门总面积</t>
  </si>
  <si>
    <t>窗、阳台门总面积</t>
  </si>
  <si>
    <t>车库门面积</t>
  </si>
  <si>
    <t>上人屋面装修面积</t>
  </si>
  <si>
    <t>屋面瓦展开面积</t>
  </si>
  <si>
    <t>m2/单元</t>
  </si>
  <si>
    <t>大堂总面积</t>
  </si>
  <si>
    <t>地下大堂总面积</t>
  </si>
  <si>
    <t>商业中庭装修面积</t>
  </si>
  <si>
    <t>泛大堂总面积</t>
  </si>
  <si>
    <t>楼梯间面积</t>
  </si>
  <si>
    <t>标准层电梯厅面积</t>
  </si>
  <si>
    <t>单元</t>
  </si>
  <si>
    <t>标准轿厢个数</t>
  </si>
  <si>
    <t>公共走道/外走廊装修面积</t>
  </si>
  <si>
    <t>公共卫生间装修面积</t>
  </si>
  <si>
    <t>商业功能用房装修面积</t>
  </si>
  <si>
    <t>含税价</t>
  </si>
  <si>
    <t>不含税价</t>
  </si>
  <si>
    <t>车位总成本</t>
  </si>
  <si>
    <t>车位数量</t>
  </si>
  <si>
    <t>车位售价（万元）</t>
  </si>
  <si>
    <t>车位预留系数</t>
  </si>
  <si>
    <t>实际预留系数</t>
  </si>
  <si>
    <t>车位自身承担成本</t>
  </si>
  <si>
    <t>车位需分摊成本</t>
  </si>
  <si>
    <t>仅分摊自身12平米成本系数</t>
  </si>
  <si>
    <t>车位自身承担的税金</t>
  </si>
  <si>
    <t>车位需分摊税金</t>
  </si>
  <si>
    <t>车位承担的不含税成本</t>
  </si>
  <si>
    <t>车位需分摊不含税成本</t>
  </si>
  <si>
    <t>标准层总户数</t>
  </si>
  <si>
    <t>防水总量</t>
  </si>
  <si>
    <t>`</t>
  </si>
  <si>
    <t>街铺</t>
  </si>
  <si>
    <t>当期公摊测算表（全期）的“幼儿园建设”</t>
  </si>
  <si>
    <t>SG.JT.0001</t>
  </si>
  <si>
    <t/>
  </si>
  <si>
    <t>CG.JT.0003</t>
  </si>
  <si>
    <t>SG.QD.0017</t>
  </si>
  <si>
    <t>CG.QD.0036</t>
  </si>
  <si>
    <t>SG.QD.0006</t>
  </si>
  <si>
    <t>CG.QD.0027</t>
  </si>
  <si>
    <t>QT.JT.0006</t>
  </si>
  <si>
    <t>SG.QD.0074</t>
  </si>
  <si>
    <t>CG.QD.0007</t>
  </si>
  <si>
    <t>CG.JT.0005</t>
  </si>
  <si>
    <t>SG.JT.0049</t>
  </si>
  <si>
    <t>SG.JT.0013</t>
  </si>
  <si>
    <t>CG.JT.0006</t>
  </si>
  <si>
    <t>CG.QD.0017</t>
  </si>
  <si>
    <t>SG.QD.0031</t>
  </si>
  <si>
    <t>CG.QD.0004</t>
  </si>
  <si>
    <t>SG.QD.0021</t>
  </si>
  <si>
    <t>CG.QD.0005</t>
  </si>
  <si>
    <t>SG.JT.0012</t>
  </si>
  <si>
    <t>CG.JT.0009</t>
  </si>
  <si>
    <t>SG.JT.0014</t>
  </si>
  <si>
    <t>CG.QD.0035</t>
  </si>
  <si>
    <t>SG.JT.0021</t>
  </si>
  <si>
    <t>SG.QD.0035</t>
  </si>
  <si>
    <t>SG.JT.0016</t>
  </si>
  <si>
    <t>SG.JT.0017</t>
  </si>
  <si>
    <t>SG.JT.0018</t>
  </si>
  <si>
    <t>SG.JT.0020</t>
  </si>
  <si>
    <t>CG.QD.0016</t>
  </si>
  <si>
    <t>CG.JT.0011</t>
  </si>
  <si>
    <t>CG.QD.0018</t>
  </si>
  <si>
    <t>SG.QD.0041</t>
  </si>
  <si>
    <t>YX.QD.0002</t>
  </si>
  <si>
    <t>CG.JT.0018</t>
  </si>
  <si>
    <t>CG.JT.0019</t>
  </si>
  <si>
    <t>SG.QD.0060</t>
  </si>
  <si>
    <t>SG.QD.0075</t>
  </si>
  <si>
    <t>SG.JT.0031</t>
  </si>
  <si>
    <t>HJ.QD.0003</t>
  </si>
  <si>
    <t>SG.JT.0030</t>
  </si>
  <si>
    <t>SG.JT.0033</t>
  </si>
  <si>
    <t>CG.JT.0020</t>
  </si>
  <si>
    <t>SG.JT.0032</t>
  </si>
  <si>
    <t>CG.JT.0021</t>
  </si>
  <si>
    <t>SG.JT.0034</t>
  </si>
  <si>
    <t>CG.JT.0023</t>
  </si>
  <si>
    <t>SG.QD.0053</t>
  </si>
  <si>
    <t>SG.JT.0037</t>
  </si>
  <si>
    <t>SG.JT.0038</t>
  </si>
  <si>
    <t>SG.JT.0039</t>
  </si>
  <si>
    <t>CG.JT.0028</t>
  </si>
  <si>
    <t>SG.JT.0040</t>
  </si>
  <si>
    <t>SG.QD.0073</t>
  </si>
  <si>
    <t>C-级</t>
  </si>
  <si>
    <t>中高层</t>
  </si>
  <si>
    <t>精装</t>
    <phoneticPr fontId="19" type="noConversion"/>
  </si>
  <si>
    <t>精装外建安（扣除利息）</t>
    <phoneticPr fontId="19" type="noConversion"/>
  </si>
  <si>
    <t>多出的面积为12#地块商业走廊增加面积</t>
  </si>
  <si>
    <t>TD.JT.0001</t>
  </si>
  <si>
    <t>TD.JT.0004</t>
  </si>
  <si>
    <t>TD.JT.0005</t>
  </si>
  <si>
    <t>QQ.JT.0005</t>
  </si>
  <si>
    <t>SG.JT.0006</t>
  </si>
  <si>
    <t>QQ.JT.0001</t>
  </si>
  <si>
    <t>QQ.QD.0051</t>
  </si>
  <si>
    <t>SG.QD.0050</t>
  </si>
  <si>
    <t>SG.JT.0004</t>
  </si>
  <si>
    <t>SG.QD.0013</t>
  </si>
  <si>
    <t>SG.JT.0005</t>
  </si>
  <si>
    <t>SG.JT.0007</t>
  </si>
  <si>
    <t>SG.JT.0008</t>
  </si>
  <si>
    <t>SG.QD.0030</t>
  </si>
  <si>
    <t>SG.QD.0015</t>
  </si>
  <si>
    <t>SG.JT.0015</t>
  </si>
  <si>
    <t>QT.QD.0001</t>
  </si>
  <si>
    <t>SG.JT.0041</t>
  </si>
  <si>
    <t>QQ.JT.0029</t>
  </si>
  <si>
    <t>QT.JT.0001</t>
  </si>
  <si>
    <t>QQ.JT.0025</t>
  </si>
  <si>
    <t>SG.JT.0044</t>
  </si>
  <si>
    <t>YX.JT.0001</t>
  </si>
  <si>
    <t>YX.JT.0002</t>
  </si>
  <si>
    <t>YX.QD.0001</t>
  </si>
  <si>
    <t>QQ.JT.0028</t>
  </si>
  <si>
    <t>QQ.QD.0056</t>
  </si>
  <si>
    <t>QQ.QD.0089</t>
  </si>
  <si>
    <t>QT.JT.0004</t>
  </si>
  <si>
    <t>SG.JT.0048</t>
  </si>
  <si>
    <t>CG.QD.0032</t>
  </si>
  <si>
    <t>资金监管</t>
    <phoneticPr fontId="19" type="noConversion"/>
  </si>
  <si>
    <t>可用资金</t>
    <phoneticPr fontId="19" type="noConversion"/>
  </si>
  <si>
    <r>
      <t>22-1</t>
    </r>
    <r>
      <rPr>
        <sz val="10"/>
        <rFont val="微软雅黑"/>
        <family val="1"/>
        <charset val="134"/>
      </rPr>
      <t>月</t>
    </r>
    <phoneticPr fontId="19" type="noConversion"/>
  </si>
  <si>
    <r>
      <t>22-2月</t>
    </r>
    <r>
      <rPr>
        <sz val="10"/>
        <rFont val="微软雅黑"/>
        <family val="1"/>
        <charset val="134"/>
      </rPr>
      <t/>
    </r>
  </si>
  <si>
    <r>
      <t>22-3月</t>
    </r>
    <r>
      <rPr>
        <sz val="10"/>
        <rFont val="微软雅黑"/>
        <family val="1"/>
        <charset val="134"/>
      </rPr>
      <t/>
    </r>
  </si>
  <si>
    <r>
      <t>22-4月</t>
    </r>
    <r>
      <rPr>
        <sz val="10"/>
        <rFont val="微软雅黑"/>
        <family val="1"/>
        <charset val="134"/>
      </rPr>
      <t/>
    </r>
  </si>
  <si>
    <r>
      <t>22-5月</t>
    </r>
    <r>
      <rPr>
        <sz val="10"/>
        <rFont val="微软雅黑"/>
        <family val="1"/>
        <charset val="134"/>
      </rPr>
      <t/>
    </r>
  </si>
  <si>
    <r>
      <t>22-6月</t>
    </r>
    <r>
      <rPr>
        <sz val="10"/>
        <rFont val="微软雅黑"/>
        <family val="1"/>
        <charset val="134"/>
      </rPr>
      <t/>
    </r>
  </si>
  <si>
    <r>
      <t>22-7月</t>
    </r>
    <r>
      <rPr>
        <sz val="10"/>
        <rFont val="微软雅黑"/>
        <family val="1"/>
        <charset val="134"/>
      </rPr>
      <t/>
    </r>
  </si>
  <si>
    <r>
      <t>22-8月</t>
    </r>
    <r>
      <rPr>
        <sz val="10"/>
        <rFont val="微软雅黑"/>
        <family val="1"/>
        <charset val="134"/>
      </rPr>
      <t/>
    </r>
  </si>
  <si>
    <r>
      <t>22-9月</t>
    </r>
    <r>
      <rPr>
        <sz val="10"/>
        <rFont val="微软雅黑"/>
        <family val="1"/>
        <charset val="134"/>
      </rPr>
      <t/>
    </r>
  </si>
  <si>
    <r>
      <t>22-10月</t>
    </r>
    <r>
      <rPr>
        <sz val="10"/>
        <rFont val="微软雅黑"/>
        <family val="1"/>
        <charset val="134"/>
      </rPr>
      <t/>
    </r>
  </si>
  <si>
    <r>
      <t>22-11月</t>
    </r>
    <r>
      <rPr>
        <sz val="10"/>
        <rFont val="微软雅黑"/>
        <family val="1"/>
        <charset val="134"/>
      </rPr>
      <t/>
    </r>
  </si>
  <si>
    <r>
      <t>22-12月</t>
    </r>
    <r>
      <rPr>
        <sz val="10"/>
        <rFont val="微软雅黑"/>
        <family val="1"/>
        <charset val="134"/>
      </rPr>
      <t/>
    </r>
  </si>
  <si>
    <r>
      <t>2023</t>
    </r>
    <r>
      <rPr>
        <sz val="10"/>
        <rFont val="宋体"/>
        <family val="3"/>
        <charset val="134"/>
      </rPr>
      <t>年</t>
    </r>
    <phoneticPr fontId="19" type="noConversion"/>
  </si>
  <si>
    <r>
      <t>2024</t>
    </r>
    <r>
      <rPr>
        <sz val="10"/>
        <rFont val="宋体"/>
        <family val="3"/>
        <charset val="134"/>
      </rPr>
      <t>年</t>
    </r>
    <phoneticPr fontId="19" type="noConversion"/>
  </si>
  <si>
    <r>
      <t>23-1</t>
    </r>
    <r>
      <rPr>
        <sz val="10"/>
        <rFont val="微软雅黑"/>
        <family val="1"/>
        <charset val="134"/>
      </rPr>
      <t>月</t>
    </r>
    <phoneticPr fontId="19" type="noConversion"/>
  </si>
  <si>
    <r>
      <t>23-2月</t>
    </r>
    <r>
      <rPr>
        <sz val="10"/>
        <rFont val="微软雅黑"/>
        <family val="1"/>
        <charset val="134"/>
      </rPr>
      <t/>
    </r>
  </si>
  <si>
    <r>
      <t>23-3月</t>
    </r>
    <r>
      <rPr>
        <sz val="10"/>
        <rFont val="微软雅黑"/>
        <family val="1"/>
        <charset val="134"/>
      </rPr>
      <t/>
    </r>
  </si>
  <si>
    <r>
      <t>23-4月</t>
    </r>
    <r>
      <rPr>
        <sz val="10"/>
        <rFont val="微软雅黑"/>
        <family val="1"/>
        <charset val="134"/>
      </rPr>
      <t/>
    </r>
  </si>
  <si>
    <r>
      <t>23-5月</t>
    </r>
    <r>
      <rPr>
        <sz val="10"/>
        <rFont val="微软雅黑"/>
        <family val="1"/>
        <charset val="134"/>
      </rPr>
      <t/>
    </r>
  </si>
  <si>
    <r>
      <t>23-6月</t>
    </r>
    <r>
      <rPr>
        <sz val="10"/>
        <rFont val="微软雅黑"/>
        <family val="1"/>
        <charset val="134"/>
      </rPr>
      <t/>
    </r>
  </si>
  <si>
    <r>
      <t>23-7月</t>
    </r>
    <r>
      <rPr>
        <sz val="10"/>
        <rFont val="微软雅黑"/>
        <family val="1"/>
        <charset val="134"/>
      </rPr>
      <t/>
    </r>
  </si>
  <si>
    <r>
      <t>23-8月</t>
    </r>
    <r>
      <rPr>
        <sz val="10"/>
        <rFont val="微软雅黑"/>
        <family val="1"/>
        <charset val="134"/>
      </rPr>
      <t/>
    </r>
  </si>
  <si>
    <r>
      <t>23-9月</t>
    </r>
    <r>
      <rPr>
        <sz val="10"/>
        <rFont val="微软雅黑"/>
        <family val="1"/>
        <charset val="134"/>
      </rPr>
      <t/>
    </r>
  </si>
  <si>
    <r>
      <t>23-10月</t>
    </r>
    <r>
      <rPr>
        <sz val="10"/>
        <rFont val="微软雅黑"/>
        <family val="1"/>
        <charset val="134"/>
      </rPr>
      <t/>
    </r>
  </si>
  <si>
    <r>
      <t>23-11月</t>
    </r>
    <r>
      <rPr>
        <sz val="10"/>
        <rFont val="微软雅黑"/>
        <family val="1"/>
        <charset val="134"/>
      </rPr>
      <t/>
    </r>
  </si>
  <si>
    <r>
      <t>23-12月</t>
    </r>
    <r>
      <rPr>
        <sz val="10"/>
        <rFont val="微软雅黑"/>
        <family val="1"/>
        <charset val="134"/>
      </rPr>
      <t/>
    </r>
  </si>
  <si>
    <r>
      <t>24-1</t>
    </r>
    <r>
      <rPr>
        <sz val="10"/>
        <rFont val="微软雅黑"/>
        <family val="1"/>
        <charset val="134"/>
      </rPr>
      <t>月</t>
    </r>
    <phoneticPr fontId="19" type="noConversion"/>
  </si>
  <si>
    <r>
      <t>24-2月</t>
    </r>
    <r>
      <rPr>
        <sz val="10"/>
        <rFont val="微软雅黑"/>
        <family val="1"/>
        <charset val="134"/>
      </rPr>
      <t/>
    </r>
  </si>
  <si>
    <r>
      <t>24-3月</t>
    </r>
    <r>
      <rPr>
        <sz val="10"/>
        <rFont val="微软雅黑"/>
        <family val="1"/>
        <charset val="134"/>
      </rPr>
      <t/>
    </r>
  </si>
  <si>
    <r>
      <t>24-4月</t>
    </r>
    <r>
      <rPr>
        <sz val="10"/>
        <rFont val="微软雅黑"/>
        <family val="1"/>
        <charset val="134"/>
      </rPr>
      <t/>
    </r>
  </si>
  <si>
    <r>
      <t>24-5月</t>
    </r>
    <r>
      <rPr>
        <sz val="10"/>
        <rFont val="微软雅黑"/>
        <family val="1"/>
        <charset val="134"/>
      </rPr>
      <t/>
    </r>
  </si>
  <si>
    <r>
      <t>24-6月</t>
    </r>
    <r>
      <rPr>
        <sz val="10"/>
        <rFont val="微软雅黑"/>
        <family val="1"/>
        <charset val="134"/>
      </rPr>
      <t/>
    </r>
  </si>
  <si>
    <r>
      <t>24-7月</t>
    </r>
    <r>
      <rPr>
        <sz val="10"/>
        <rFont val="微软雅黑"/>
        <family val="1"/>
        <charset val="134"/>
      </rPr>
      <t/>
    </r>
  </si>
  <si>
    <r>
      <t>24-8月</t>
    </r>
    <r>
      <rPr>
        <sz val="10"/>
        <rFont val="微软雅黑"/>
        <family val="1"/>
        <charset val="134"/>
      </rPr>
      <t/>
    </r>
  </si>
  <si>
    <r>
      <t>24-9月</t>
    </r>
    <r>
      <rPr>
        <sz val="10"/>
        <rFont val="微软雅黑"/>
        <family val="1"/>
        <charset val="134"/>
      </rPr>
      <t/>
    </r>
  </si>
  <si>
    <r>
      <t>24-10月</t>
    </r>
    <r>
      <rPr>
        <sz val="10"/>
        <rFont val="微软雅黑"/>
        <family val="1"/>
        <charset val="134"/>
      </rPr>
      <t/>
    </r>
  </si>
  <si>
    <r>
      <t>24-11月</t>
    </r>
    <r>
      <rPr>
        <sz val="10"/>
        <rFont val="微软雅黑"/>
        <family val="1"/>
        <charset val="134"/>
      </rPr>
      <t/>
    </r>
  </si>
  <si>
    <r>
      <t>24-12月</t>
    </r>
    <r>
      <rPr>
        <sz val="10"/>
        <rFont val="微软雅黑"/>
        <family val="1"/>
        <charset val="134"/>
      </rPr>
      <t/>
    </r>
  </si>
  <si>
    <r>
      <t>2025</t>
    </r>
    <r>
      <rPr>
        <sz val="10"/>
        <rFont val="宋体"/>
        <family val="3"/>
        <charset val="134"/>
      </rPr>
      <t>年</t>
    </r>
    <phoneticPr fontId="19" type="noConversion"/>
  </si>
  <si>
    <r>
      <t>25-1</t>
    </r>
    <r>
      <rPr>
        <sz val="10"/>
        <rFont val="微软雅黑"/>
        <family val="1"/>
        <charset val="134"/>
      </rPr>
      <t>月</t>
    </r>
    <phoneticPr fontId="19" type="noConversion"/>
  </si>
  <si>
    <r>
      <t>25-2月</t>
    </r>
    <r>
      <rPr>
        <sz val="10"/>
        <rFont val="微软雅黑"/>
        <family val="1"/>
        <charset val="134"/>
      </rPr>
      <t/>
    </r>
  </si>
  <si>
    <r>
      <t>25-3月</t>
    </r>
    <r>
      <rPr>
        <sz val="10"/>
        <rFont val="微软雅黑"/>
        <family val="1"/>
        <charset val="134"/>
      </rPr>
      <t/>
    </r>
  </si>
  <si>
    <r>
      <t>25-4月</t>
    </r>
    <r>
      <rPr>
        <sz val="10"/>
        <rFont val="微软雅黑"/>
        <family val="1"/>
        <charset val="134"/>
      </rPr>
      <t/>
    </r>
  </si>
  <si>
    <r>
      <t>25-5月</t>
    </r>
    <r>
      <rPr>
        <sz val="10"/>
        <rFont val="微软雅黑"/>
        <family val="1"/>
        <charset val="134"/>
      </rPr>
      <t/>
    </r>
  </si>
  <si>
    <r>
      <t>25-6月</t>
    </r>
    <r>
      <rPr>
        <sz val="10"/>
        <rFont val="微软雅黑"/>
        <family val="1"/>
        <charset val="134"/>
      </rPr>
      <t/>
    </r>
  </si>
  <si>
    <r>
      <t>25-7月</t>
    </r>
    <r>
      <rPr>
        <sz val="10"/>
        <rFont val="微软雅黑"/>
        <family val="1"/>
        <charset val="134"/>
      </rPr>
      <t/>
    </r>
  </si>
  <si>
    <r>
      <t>25-8月</t>
    </r>
    <r>
      <rPr>
        <sz val="10"/>
        <rFont val="微软雅黑"/>
        <family val="1"/>
        <charset val="134"/>
      </rPr>
      <t/>
    </r>
  </si>
  <si>
    <r>
      <t>25-9月</t>
    </r>
    <r>
      <rPr>
        <sz val="10"/>
        <rFont val="微软雅黑"/>
        <family val="1"/>
        <charset val="134"/>
      </rPr>
      <t/>
    </r>
  </si>
  <si>
    <r>
      <t>25-10月</t>
    </r>
    <r>
      <rPr>
        <sz val="10"/>
        <rFont val="微软雅黑"/>
        <family val="1"/>
        <charset val="134"/>
      </rPr>
      <t/>
    </r>
  </si>
  <si>
    <r>
      <t>25-11月</t>
    </r>
    <r>
      <rPr>
        <sz val="10"/>
        <rFont val="微软雅黑"/>
        <family val="1"/>
        <charset val="134"/>
      </rPr>
      <t/>
    </r>
  </si>
  <si>
    <r>
      <t>25-12月</t>
    </r>
    <r>
      <rPr>
        <sz val="10"/>
        <rFont val="微软雅黑"/>
        <family val="1"/>
        <charset val="134"/>
      </rPr>
      <t/>
    </r>
  </si>
  <si>
    <r>
      <t>2025年</t>
    </r>
    <r>
      <rPr>
        <sz val="10"/>
        <rFont val="宋体"/>
        <family val="3"/>
        <charset val="134"/>
      </rPr>
      <t/>
    </r>
  </si>
  <si>
    <r>
      <t>24-10</t>
    </r>
    <r>
      <rPr>
        <sz val="10"/>
        <rFont val="微软雅黑"/>
        <family val="1"/>
        <charset val="134"/>
      </rPr>
      <t>月</t>
    </r>
    <phoneticPr fontId="19" type="noConversion"/>
  </si>
  <si>
    <r>
      <t>24-1月</t>
    </r>
    <r>
      <rPr>
        <sz val="10"/>
        <rFont val="微软雅黑"/>
        <family val="1"/>
        <charset val="134"/>
      </rPr>
      <t/>
    </r>
  </si>
  <si>
    <r>
      <t>25-1</t>
    </r>
    <r>
      <rPr>
        <sz val="10"/>
        <rFont val="微软雅黑"/>
        <family val="1"/>
        <charset val="134"/>
      </rPr>
      <t>月</t>
    </r>
    <phoneticPr fontId="19" type="noConversion"/>
  </si>
  <si>
    <r>
      <t>2027年</t>
    </r>
    <r>
      <rPr>
        <sz val="10"/>
        <rFont val="宋体"/>
        <family val="3"/>
        <charset val="134"/>
      </rPr>
      <t/>
    </r>
  </si>
  <si>
    <r>
      <t>26-1</t>
    </r>
    <r>
      <rPr>
        <sz val="10"/>
        <rFont val="宋体"/>
        <family val="3"/>
        <charset val="134"/>
      </rPr>
      <t>月</t>
    </r>
    <phoneticPr fontId="19" type="noConversion"/>
  </si>
  <si>
    <r>
      <t>26-2月</t>
    </r>
    <r>
      <rPr>
        <sz val="10"/>
        <rFont val="宋体"/>
        <family val="3"/>
        <charset val="134"/>
      </rPr>
      <t/>
    </r>
  </si>
  <si>
    <r>
      <t>26-3月</t>
    </r>
    <r>
      <rPr>
        <sz val="10"/>
        <rFont val="宋体"/>
        <family val="3"/>
        <charset val="134"/>
      </rPr>
      <t/>
    </r>
  </si>
  <si>
    <r>
      <t>26-4月</t>
    </r>
    <r>
      <rPr>
        <sz val="10"/>
        <rFont val="宋体"/>
        <family val="3"/>
        <charset val="134"/>
      </rPr>
      <t/>
    </r>
  </si>
  <si>
    <r>
      <t>26-5月</t>
    </r>
    <r>
      <rPr>
        <sz val="10"/>
        <rFont val="宋体"/>
        <family val="3"/>
        <charset val="134"/>
      </rPr>
      <t/>
    </r>
  </si>
  <si>
    <r>
      <t>26-6月</t>
    </r>
    <r>
      <rPr>
        <sz val="10"/>
        <rFont val="宋体"/>
        <family val="3"/>
        <charset val="134"/>
      </rPr>
      <t/>
    </r>
  </si>
  <si>
    <r>
      <t>26-7月</t>
    </r>
    <r>
      <rPr>
        <sz val="10"/>
        <rFont val="宋体"/>
        <family val="3"/>
        <charset val="134"/>
      </rPr>
      <t/>
    </r>
  </si>
  <si>
    <r>
      <t>26-8月</t>
    </r>
    <r>
      <rPr>
        <sz val="10"/>
        <rFont val="宋体"/>
        <family val="3"/>
        <charset val="134"/>
      </rPr>
      <t/>
    </r>
  </si>
  <si>
    <r>
      <t>26-9月</t>
    </r>
    <r>
      <rPr>
        <sz val="10"/>
        <rFont val="宋体"/>
        <family val="3"/>
        <charset val="134"/>
      </rPr>
      <t/>
    </r>
  </si>
  <si>
    <r>
      <t>26-10月</t>
    </r>
    <r>
      <rPr>
        <sz val="10"/>
        <rFont val="宋体"/>
        <family val="3"/>
        <charset val="134"/>
      </rPr>
      <t/>
    </r>
  </si>
  <si>
    <r>
      <t>26-11月</t>
    </r>
    <r>
      <rPr>
        <sz val="10"/>
        <rFont val="宋体"/>
        <family val="3"/>
        <charset val="134"/>
      </rPr>
      <t/>
    </r>
  </si>
  <si>
    <r>
      <t>26-12月</t>
    </r>
    <r>
      <rPr>
        <sz val="10"/>
        <rFont val="宋体"/>
        <family val="3"/>
        <charset val="134"/>
      </rPr>
      <t/>
    </r>
  </si>
  <si>
    <r>
      <t>27-1</t>
    </r>
    <r>
      <rPr>
        <sz val="10"/>
        <rFont val="宋体"/>
        <family val="3"/>
        <charset val="134"/>
      </rPr>
      <t>月</t>
    </r>
    <phoneticPr fontId="19" type="noConversion"/>
  </si>
  <si>
    <r>
      <t>2021</t>
    </r>
    <r>
      <rPr>
        <sz val="10"/>
        <rFont val="宋体"/>
        <family val="1"/>
        <charset val="134"/>
      </rPr>
      <t>年</t>
    </r>
    <phoneticPr fontId="19" type="noConversion"/>
  </si>
  <si>
    <r>
      <t>2021年</t>
    </r>
    <r>
      <rPr>
        <sz val="10"/>
        <rFont val="宋体"/>
        <family val="1"/>
        <charset val="134"/>
      </rPr>
      <t/>
    </r>
  </si>
  <si>
    <r>
      <t>21-12</t>
    </r>
    <r>
      <rPr>
        <sz val="10"/>
        <rFont val="宋体"/>
        <family val="1"/>
        <charset val="134"/>
      </rPr>
      <t>月</t>
    </r>
    <phoneticPr fontId="19" type="noConversion"/>
  </si>
  <si>
    <r>
      <t>21-1月</t>
    </r>
    <r>
      <rPr>
        <sz val="10"/>
        <rFont val="宋体"/>
        <family val="1"/>
        <charset val="134"/>
      </rPr>
      <t/>
    </r>
  </si>
  <si>
    <r>
      <t>21-2月</t>
    </r>
    <r>
      <rPr>
        <sz val="10"/>
        <rFont val="宋体"/>
        <family val="1"/>
        <charset val="134"/>
      </rPr>
      <t/>
    </r>
  </si>
  <si>
    <r>
      <t>21-3月</t>
    </r>
    <r>
      <rPr>
        <sz val="10"/>
        <rFont val="宋体"/>
        <family val="1"/>
        <charset val="134"/>
      </rPr>
      <t/>
    </r>
  </si>
  <si>
    <r>
      <t>21-4月</t>
    </r>
    <r>
      <rPr>
        <sz val="10"/>
        <rFont val="宋体"/>
        <family val="1"/>
        <charset val="134"/>
      </rPr>
      <t/>
    </r>
  </si>
  <si>
    <r>
      <t>21-5月</t>
    </r>
    <r>
      <rPr>
        <sz val="10"/>
        <rFont val="宋体"/>
        <family val="1"/>
        <charset val="134"/>
      </rPr>
      <t/>
    </r>
  </si>
  <si>
    <r>
      <t>21-6月</t>
    </r>
    <r>
      <rPr>
        <sz val="10"/>
        <rFont val="宋体"/>
        <family val="1"/>
        <charset val="134"/>
      </rPr>
      <t/>
    </r>
  </si>
  <si>
    <r>
      <t>21-7月</t>
    </r>
    <r>
      <rPr>
        <sz val="10"/>
        <rFont val="宋体"/>
        <family val="1"/>
        <charset val="134"/>
      </rPr>
      <t/>
    </r>
  </si>
  <si>
    <r>
      <t>21-8月</t>
    </r>
    <r>
      <rPr>
        <sz val="10"/>
        <rFont val="宋体"/>
        <family val="1"/>
        <charset val="134"/>
      </rPr>
      <t/>
    </r>
  </si>
  <si>
    <r>
      <t>21-9月</t>
    </r>
    <r>
      <rPr>
        <sz val="10"/>
        <rFont val="宋体"/>
        <family val="1"/>
        <charset val="134"/>
      </rPr>
      <t/>
    </r>
  </si>
  <si>
    <r>
      <t>21-10月</t>
    </r>
    <r>
      <rPr>
        <sz val="10"/>
        <rFont val="宋体"/>
        <family val="1"/>
        <charset val="134"/>
      </rPr>
      <t/>
    </r>
  </si>
  <si>
    <r>
      <t>21-11月</t>
    </r>
    <r>
      <rPr>
        <sz val="10"/>
        <rFont val="宋体"/>
        <family val="1"/>
        <charset val="134"/>
      </rPr>
      <t/>
    </r>
  </si>
  <si>
    <t>22-10月</t>
    <phoneticPr fontId="19" type="noConversion"/>
  </si>
  <si>
    <t>22-11月</t>
  </si>
  <si>
    <t>22-12月</t>
  </si>
  <si>
    <t>2022年</t>
    <phoneticPr fontId="19" type="noConversion"/>
  </si>
  <si>
    <t>22-1月</t>
  </si>
  <si>
    <t>22-2月</t>
  </si>
  <si>
    <t>22-3月</t>
  </si>
  <si>
    <t>22-4月</t>
  </si>
  <si>
    <t>22-5月</t>
  </si>
  <si>
    <t>22-6月</t>
  </si>
  <si>
    <t>22-7月</t>
  </si>
  <si>
    <t>22-8月</t>
  </si>
  <si>
    <t>22-9月</t>
  </si>
  <si>
    <t>23-1月</t>
    <phoneticPr fontId="19" type="noConversion"/>
  </si>
  <si>
    <t>23-2月</t>
  </si>
  <si>
    <t>23-3月</t>
  </si>
  <si>
    <t>23-4月</t>
  </si>
  <si>
    <t>23-5月</t>
  </si>
  <si>
    <t>23-6月</t>
  </si>
  <si>
    <t>23-7月</t>
  </si>
  <si>
    <t>23-8月</t>
  </si>
  <si>
    <t>23-9月</t>
  </si>
  <si>
    <t>23-10月</t>
  </si>
  <si>
    <t>23-11月</t>
  </si>
  <si>
    <t>23-12月</t>
  </si>
  <si>
    <t>24-1月</t>
    <phoneticPr fontId="19" type="noConversion"/>
  </si>
  <si>
    <t>24-2月</t>
  </si>
  <si>
    <t>24-3月</t>
  </si>
  <si>
    <t>24-4月</t>
  </si>
  <si>
    <t>24-5月</t>
  </si>
  <si>
    <t>24-6月</t>
  </si>
  <si>
    <t>24-7月</t>
  </si>
  <si>
    <t>24-8月</t>
  </si>
  <si>
    <t>24-9月</t>
  </si>
  <si>
    <t>24-10月</t>
  </si>
  <si>
    <t>24-11月</t>
  </si>
  <si>
    <t>24-12月</t>
  </si>
  <si>
    <t>25-1月</t>
    <phoneticPr fontId="19" type="noConversion"/>
  </si>
  <si>
    <t>25-2月</t>
  </si>
  <si>
    <t>25-3月</t>
  </si>
  <si>
    <t>25-4月</t>
  </si>
  <si>
    <t>25-5月</t>
  </si>
  <si>
    <t>25-6月</t>
  </si>
  <si>
    <t>25-7月</t>
  </si>
  <si>
    <t>25-8月</t>
  </si>
  <si>
    <t>25-9月</t>
  </si>
  <si>
    <t>25-10月</t>
  </si>
  <si>
    <t>25-11月</t>
  </si>
  <si>
    <t>25-12月</t>
  </si>
  <si>
    <r>
      <t>2022</t>
    </r>
    <r>
      <rPr>
        <sz val="10"/>
        <rFont val="宋体"/>
        <family val="3"/>
        <charset val="134"/>
      </rPr>
      <t>年</t>
    </r>
    <phoneticPr fontId="19" type="noConversion"/>
  </si>
  <si>
    <r>
      <t>2026年</t>
    </r>
    <r>
      <rPr>
        <sz val="10"/>
        <rFont val="宋体"/>
        <family val="3"/>
        <charset val="134"/>
      </rPr>
      <t/>
    </r>
  </si>
  <si>
    <r>
      <t>25-11</t>
    </r>
    <r>
      <rPr>
        <sz val="10"/>
        <rFont val="宋体"/>
        <family val="3"/>
        <charset val="134"/>
      </rPr>
      <t>月</t>
    </r>
    <phoneticPr fontId="19" type="noConversion"/>
  </si>
  <si>
    <t>车位</t>
    <phoneticPr fontId="19" type="noConversion"/>
  </si>
  <si>
    <t>监管资金解付</t>
    <phoneticPr fontId="19" type="noConversion"/>
  </si>
  <si>
    <t>监管户资金余额</t>
    <phoneticPr fontId="19" type="noConversion"/>
  </si>
  <si>
    <r>
      <t>2026</t>
    </r>
    <r>
      <rPr>
        <sz val="10"/>
        <rFont val="宋体"/>
        <family val="3"/>
        <charset val="134"/>
      </rPr>
      <t>年</t>
    </r>
    <phoneticPr fontId="19" type="noConversion"/>
  </si>
  <si>
    <r>
      <t>26-1</t>
    </r>
    <r>
      <rPr>
        <sz val="10"/>
        <rFont val="微软雅黑"/>
        <family val="1"/>
        <charset val="134"/>
      </rPr>
      <t>月</t>
    </r>
    <phoneticPr fontId="19" type="noConversion"/>
  </si>
  <si>
    <r>
      <t>26-2月</t>
    </r>
    <r>
      <rPr>
        <sz val="10"/>
        <rFont val="微软雅黑"/>
        <family val="1"/>
        <charset val="134"/>
      </rPr>
      <t/>
    </r>
  </si>
  <si>
    <r>
      <t>26-3月</t>
    </r>
    <r>
      <rPr>
        <sz val="10"/>
        <rFont val="微软雅黑"/>
        <family val="1"/>
        <charset val="134"/>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</si>
</sst>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7">
    <numFmt numFmtId="164" formatCode="_ * #,##0_ ;_ * \-#,##0_ ;_ * &quot;-&quot;_ ;_ @_ "/>
    <numFmt numFmtId="165" formatCode="_ * #,##0.00_ ;_ * \-#,##0.00_ ;_ * &quot;-&quot;??_ ;_ @_ "/>
    <numFmt numFmtId="166" formatCode="_ * #,##0_ ;_ * \-#,##0_ ;_ * &quot;-&quot;??_ ;_ @_ "/>
    <numFmt numFmtId="167" formatCode="0_ "/>
    <numFmt numFmtId="168" formatCode="#,##0_ ;[Red]\-#,##0\ "/>
    <numFmt numFmtId="169" formatCode="_ * #,##0.0_ ;_ * \-#,##0.0_ ;_ * &quot;-&quot;??_ ;_ @_ "/>
    <numFmt numFmtId="170" formatCode="0.0%"/>
    <numFmt numFmtId="171" formatCode="#,##0.0"/>
    <numFmt numFmtId="172" formatCode="_-* #,##0_-;\-* #,##0_-;_-* &quot;-&quot;_-;_-@_-"/>
    <numFmt numFmtId="173" formatCode="yyyy&quot;年&quot;m&quot;月&quot;;@"/>
    <numFmt numFmtId="174" formatCode="#,##0_ "/>
    <numFmt numFmtId="175" formatCode="0_);[Red]\(0\)"/>
    <numFmt numFmtId="176" formatCode="_-* #,##0.000_-;\-* #,##0.000_-;_-* &quot;-&quot;_-;_-@_-"/>
    <numFmt numFmtId="177" formatCode="_-* #,##0.0_-;\-* #,##0.0_-;_-* &quot;-&quot;_-;_-@_-"/>
    <numFmt numFmtId="178" formatCode="_ * #,##0.00000_ ;_ * \-#,##0.00000_ ;_ * &quot;-&quot;??_ ;_ @_ "/>
    <numFmt numFmtId="179" formatCode="0.0"/>
    <numFmt numFmtId="180" formatCode="[$-F800]dddd\,\ mmmm\ dd\,\ yyyy"/>
    <numFmt numFmtId="181" formatCode="0.000%"/>
    <numFmt numFmtId="182" formatCode="0.00_ "/>
    <numFmt numFmtId="183" formatCode="#,##0.00_ "/>
    <numFmt numFmtId="184" formatCode="0.00_);[Red]\(0.00\)"/>
    <numFmt numFmtId="185" formatCode="0.0_ "/>
    <numFmt numFmtId="186" formatCode="0.0000_);[Red]\(0.0000\)"/>
    <numFmt numFmtId="187" formatCode="0.0000_ "/>
    <numFmt numFmtId="188" formatCode="0.0_);[Red]\(0.0\)"/>
    <numFmt numFmtId="189" formatCode="General;General;;"/>
    <numFmt numFmtId="190" formatCode="0.000000000000_ "/>
    <numFmt numFmtId="191" formatCode="0.000"/>
    <numFmt numFmtId="192" formatCode="_-* #,##0.00_-;\-* #,##0.00_-;_-* &quot;-&quot;??_-;_-@_-"/>
    <numFmt numFmtId="193" formatCode="_-* #,##0.00_-;\-* #,##0.00_-;_-* &quot;-&quot;_-;_-@_-"/>
    <numFmt numFmtId="194" formatCode="#,##0.00_ ;[Red]\-#,##0.00\ "/>
    <numFmt numFmtId="195" formatCode="0.00_ ;[Red]\-0.00\ "/>
    <numFmt numFmtId="196" formatCode="0.00000000000_);[Red]\(0.00000000000\)"/>
    <numFmt numFmtId="197" formatCode="#,##0.000000_ ;[Red]\-#,##0.000000\ "/>
    <numFmt numFmtId="198" formatCode="0.0000"/>
    <numFmt numFmtId="199" formatCode="0.0000_ ;[Red]\-0.0000\ "/>
    <numFmt numFmtId="200" formatCode="_ * #,##0.0000_ ;_ * \-#,##0.0000_ ;_ * &quot;-&quot;??_ ;_ @_ "/>
  </numFmts>
  <fonts count="102">
    <font>
      <sz val="12"/>
      <name val="Times New Roman"/>
    </font>
    <font>
      <sz val="12"/>
      <name val="Times New Roman"/>
      <family val="1"/>
    </font>
    <font>
      <u/>
      <sz val="14"/>
      <name val="宋体"/>
      <family val="3"/>
      <charset val="134"/>
    </font>
    <font>
      <sz val="10"/>
      <name val="Times New Roman"/>
      <family val="1"/>
    </font>
    <font>
      <sz val="10"/>
      <name val="宋体"/>
      <family val="3"/>
      <charset val="134"/>
    </font>
    <font>
      <b/>
      <sz val="10"/>
      <name val="宋体"/>
      <family val="3"/>
      <charset val="134"/>
    </font>
    <font>
      <b/>
      <sz val="10"/>
      <color rgb="FFFF0000"/>
      <name val="宋体"/>
      <family val="3"/>
      <charset val="134"/>
    </font>
    <font>
      <sz val="10"/>
      <color rgb="FFFF0000"/>
      <name val="Times New Roman"/>
      <family val="1"/>
    </font>
    <font>
      <b/>
      <sz val="10"/>
      <name val="Times New Roman"/>
      <family val="1"/>
    </font>
    <font>
      <b/>
      <sz val="16"/>
      <color rgb="FFE36B09"/>
      <name val="Times New Roman"/>
      <family val="1"/>
    </font>
    <font>
      <b/>
      <sz val="9"/>
      <name val="Times New Roman"/>
      <family val="1"/>
    </font>
    <font>
      <sz val="9"/>
      <name val="Times New Roman"/>
      <family val="1"/>
    </font>
    <font>
      <sz val="10"/>
      <color rgb="FFFF0000"/>
      <name val="宋体"/>
      <family val="3"/>
      <charset val="134"/>
    </font>
    <font>
      <sz val="10"/>
      <name val="Times New Roman"/>
      <family val="1"/>
    </font>
    <font>
      <b/>
      <sz val="11"/>
      <name val="Times New Roman"/>
      <family val="1"/>
    </font>
    <font>
      <sz val="10"/>
      <name val="Arial Unicode MS"/>
      <family val="2"/>
    </font>
    <font>
      <b/>
      <sz val="10"/>
      <name val="Arial Unicode MS"/>
      <family val="2"/>
    </font>
    <font>
      <sz val="10"/>
      <color indexed="48"/>
      <name val="宋体"/>
      <family val="3"/>
      <charset val="134"/>
    </font>
    <font>
      <sz val="10"/>
      <name val="宋体"/>
      <family val="3"/>
      <charset val="134"/>
    </font>
    <font>
      <sz val="9"/>
      <name val="宋体"/>
      <family val="3"/>
      <charset val="134"/>
    </font>
    <font>
      <sz val="8"/>
      <name val="宋体"/>
      <family val="3"/>
      <charset val="134"/>
    </font>
    <font>
      <sz val="8"/>
      <name val="Times New Roman"/>
      <family val="1"/>
    </font>
    <font>
      <sz val="12"/>
      <name val="宋体"/>
      <family val="3"/>
      <charset val="134"/>
    </font>
    <font>
      <sz val="11"/>
      <name val="宋体"/>
      <family val="3"/>
      <charset val="134"/>
    </font>
    <font>
      <b/>
      <sz val="10"/>
      <color indexed="12"/>
      <name val="宋体"/>
      <family val="3"/>
      <charset val="134"/>
    </font>
    <font>
      <sz val="10"/>
      <color indexed="12"/>
      <name val="宋体"/>
      <family val="3"/>
      <charset val="134"/>
    </font>
    <font>
      <sz val="10"/>
      <color rgb="FF000000"/>
      <name val="宋体"/>
      <family val="3"/>
      <charset val="134"/>
    </font>
    <font>
      <b/>
      <sz val="10"/>
      <color indexed="10"/>
      <name val="宋体"/>
      <family val="3"/>
      <charset val="134"/>
    </font>
    <font>
      <sz val="10"/>
      <color indexed="10"/>
      <name val="宋体"/>
      <family val="3"/>
      <charset val="134"/>
    </font>
    <font>
      <sz val="12"/>
      <name val="宋体"/>
      <family val="3"/>
      <charset val="134"/>
    </font>
    <font>
      <b/>
      <sz val="10"/>
      <name val="宋体"/>
      <family val="3"/>
      <charset val="134"/>
    </font>
    <font>
      <b/>
      <sz val="18"/>
      <color indexed="60"/>
      <name val="黑体"/>
      <family val="3"/>
      <charset val="134"/>
    </font>
    <font>
      <sz val="9"/>
      <color rgb="FFFF0000"/>
      <name val="宋体"/>
      <family val="3"/>
      <charset val="134"/>
    </font>
    <font>
      <sz val="9"/>
      <color rgb="FF568FD4"/>
      <name val="宋体"/>
      <family val="3"/>
      <charset val="134"/>
    </font>
    <font>
      <b/>
      <sz val="9"/>
      <name val="宋体"/>
      <family val="3"/>
      <charset val="134"/>
    </font>
    <font>
      <sz val="9"/>
      <color rgb="FF96B3D7"/>
      <name val="宋体"/>
      <family val="3"/>
      <charset val="134"/>
    </font>
    <font>
      <sz val="9"/>
      <color indexed="21"/>
      <name val="宋体"/>
      <family val="3"/>
      <charset val="134"/>
    </font>
    <font>
      <sz val="9"/>
      <color indexed="12"/>
      <name val="宋体"/>
      <family val="3"/>
      <charset val="134"/>
    </font>
    <font>
      <b/>
      <sz val="9"/>
      <color indexed="18"/>
      <name val="宋体"/>
      <family val="3"/>
      <charset val="134"/>
    </font>
    <font>
      <sz val="9"/>
      <color indexed="18"/>
      <name val="宋体"/>
      <family val="3"/>
      <charset val="134"/>
    </font>
    <font>
      <b/>
      <sz val="10"/>
      <color indexed="60"/>
      <name val="宋体"/>
      <family val="3"/>
      <charset val="134"/>
    </font>
    <font>
      <b/>
      <sz val="9"/>
      <color indexed="10"/>
      <name val="宋体"/>
      <family val="3"/>
      <charset val="134"/>
    </font>
    <font>
      <b/>
      <sz val="9"/>
      <color rgb="FFFF0000"/>
      <name val="宋体"/>
      <family val="3"/>
      <charset val="134"/>
    </font>
    <font>
      <b/>
      <sz val="9"/>
      <color indexed="12"/>
      <name val="宋体"/>
      <family val="3"/>
      <charset val="134"/>
    </font>
    <font>
      <b/>
      <sz val="10"/>
      <color indexed="10"/>
      <name val="宋体"/>
      <family val="3"/>
      <charset val="134"/>
    </font>
    <font>
      <sz val="9"/>
      <color indexed="8"/>
      <name val="宋体"/>
      <family val="3"/>
      <charset val="134"/>
    </font>
    <font>
      <sz val="9"/>
      <color rgb="FF000000"/>
      <name val="宋体"/>
      <family val="3"/>
      <charset val="134"/>
    </font>
    <font>
      <b/>
      <sz val="9"/>
      <color rgb="FF000000"/>
      <name val="宋体"/>
      <family val="3"/>
      <charset val="134"/>
    </font>
    <font>
      <sz val="9"/>
      <color indexed="8"/>
      <name val="宋体"/>
      <family val="3"/>
      <charset val="134"/>
    </font>
    <font>
      <sz val="9"/>
      <color rgb="FF000000"/>
      <name val="宋体"/>
      <family val="3"/>
      <charset val="134"/>
    </font>
    <font>
      <sz val="10"/>
      <color indexed="8"/>
      <name val="宋体"/>
      <family val="3"/>
      <charset val="134"/>
    </font>
    <font>
      <b/>
      <sz val="12"/>
      <color indexed="60"/>
      <name val="宋体"/>
      <family val="3"/>
      <charset val="134"/>
    </font>
    <font>
      <b/>
      <sz val="9"/>
      <color indexed="62"/>
      <name val="宋体"/>
      <family val="3"/>
      <charset val="134"/>
    </font>
    <font>
      <sz val="9"/>
      <color indexed="62"/>
      <name val="宋体"/>
      <family val="3"/>
      <charset val="134"/>
    </font>
    <font>
      <sz val="9"/>
      <color rgb="FF5181BD"/>
      <name val="宋体"/>
      <family val="3"/>
      <charset val="134"/>
    </font>
    <font>
      <sz val="12"/>
      <name val="Times New Roman"/>
      <family val="1"/>
    </font>
    <font>
      <sz val="10"/>
      <name val="Helv"/>
    </font>
    <font>
      <sz val="11"/>
      <color rgb="FF000000"/>
      <name val="宋体"/>
      <family val="3"/>
      <charset val="134"/>
    </font>
    <font>
      <sz val="10"/>
      <name val="Arial"/>
      <family val="2"/>
    </font>
    <font>
      <b/>
      <sz val="10"/>
      <color indexed="12"/>
      <name val="Times New Roman"/>
      <family val="1"/>
    </font>
    <font>
      <b/>
      <sz val="9"/>
      <color indexed="81"/>
      <name val="宋体"/>
      <family val="3"/>
      <charset val="134"/>
    </font>
    <font>
      <sz val="9"/>
      <color indexed="81"/>
      <name val="宋体"/>
      <family val="3"/>
      <charset val="134"/>
    </font>
    <font>
      <b/>
      <sz val="9"/>
      <color indexed="81"/>
      <name val="Tahoma"/>
      <family val="2"/>
    </font>
    <font>
      <sz val="9"/>
      <color indexed="81"/>
      <name val="Tahoma"/>
      <family val="2"/>
    </font>
    <font>
      <sz val="10"/>
      <name val="Calibri"/>
      <family val="3"/>
      <charset val="134"/>
      <scheme val="minor"/>
    </font>
    <font>
      <sz val="10"/>
      <color rgb="FFFF0000"/>
      <name val="Calibri"/>
      <family val="3"/>
      <charset val="134"/>
      <scheme val="minor"/>
    </font>
    <font>
      <sz val="9"/>
      <color theme="1"/>
      <name val="宋体"/>
      <family val="3"/>
      <charset val="134"/>
    </font>
    <font>
      <b/>
      <sz val="16"/>
      <name val="Calibri"/>
      <family val="3"/>
      <charset val="134"/>
      <scheme val="minor"/>
    </font>
    <font>
      <sz val="10"/>
      <name val="Helv"/>
      <family val="2"/>
    </font>
    <font>
      <sz val="9"/>
      <name val="Calibri"/>
      <family val="2"/>
      <charset val="134"/>
      <scheme val="minor"/>
    </font>
    <font>
      <sz val="9"/>
      <name val="华文中宋"/>
      <family val="3"/>
      <charset val="134"/>
    </font>
    <font>
      <b/>
      <sz val="10"/>
      <name val="Arial"/>
      <family val="2"/>
    </font>
    <font>
      <sz val="10"/>
      <color theme="0"/>
      <name val="宋体"/>
      <family val="1"/>
      <charset val="134"/>
    </font>
    <font>
      <sz val="10"/>
      <color theme="0"/>
      <name val="Times New Roman"/>
      <family val="1"/>
    </font>
    <font>
      <sz val="11"/>
      <color theme="1"/>
      <name val="Calibri"/>
      <family val="3"/>
      <charset val="134"/>
      <scheme val="minor"/>
    </font>
    <font>
      <b/>
      <sz val="11"/>
      <color theme="1"/>
      <name val="Calibri"/>
      <family val="3"/>
      <charset val="134"/>
      <scheme val="minor"/>
    </font>
    <font>
      <sz val="11"/>
      <color rgb="FF000000"/>
      <name val="Calibri"/>
      <family val="3"/>
      <charset val="134"/>
      <scheme val="minor"/>
    </font>
    <font>
      <sz val="11"/>
      <color rgb="FFFF0000"/>
      <name val="Calibri"/>
      <family val="3"/>
      <charset val="134"/>
      <scheme val="minor"/>
    </font>
    <font>
      <sz val="9"/>
      <name val="Calibri"/>
      <family val="3"/>
      <charset val="134"/>
      <scheme val="minor"/>
    </font>
    <font>
      <sz val="9"/>
      <color rgb="FF7030A0"/>
      <name val="宋体"/>
      <family val="3"/>
      <charset val="134"/>
    </font>
    <font>
      <sz val="9"/>
      <color rgb="FF0000FF"/>
      <name val="宋体"/>
      <family val="3"/>
      <charset val="134"/>
    </font>
    <font>
      <b/>
      <sz val="14"/>
      <color indexed="60"/>
      <name val="宋体"/>
      <family val="3"/>
      <charset val="134"/>
    </font>
    <font>
      <b/>
      <sz val="9"/>
      <color indexed="60"/>
      <name val="宋体"/>
      <family val="3"/>
      <charset val="134"/>
    </font>
    <font>
      <b/>
      <sz val="9"/>
      <color indexed="8"/>
      <name val="宋体"/>
      <family val="3"/>
      <charset val="134"/>
    </font>
    <font>
      <b/>
      <sz val="9"/>
      <name val="Arial Narrow"/>
      <family val="2"/>
    </font>
    <font>
      <sz val="9"/>
      <name val="Arial Narrow"/>
      <family val="2"/>
    </font>
    <font>
      <sz val="9"/>
      <color indexed="60"/>
      <name val="宋体"/>
      <family val="3"/>
      <charset val="134"/>
    </font>
    <font>
      <sz val="9"/>
      <color indexed="10"/>
      <name val="宋体"/>
      <family val="3"/>
      <charset val="134"/>
    </font>
    <font>
      <b/>
      <sz val="11"/>
      <name val="宋体"/>
      <family val="3"/>
      <charset val="134"/>
    </font>
    <font>
      <b/>
      <sz val="12"/>
      <name val="宋体"/>
      <family val="3"/>
      <charset val="134"/>
    </font>
    <font>
      <b/>
      <sz val="10"/>
      <color theme="1"/>
      <name val="Calibri"/>
      <family val="3"/>
      <charset val="134"/>
      <scheme val="minor"/>
    </font>
    <font>
      <sz val="10"/>
      <color theme="1"/>
      <name val="宋体"/>
      <family val="3"/>
      <charset val="134"/>
    </font>
    <font>
      <sz val="10"/>
      <color theme="1"/>
      <name val="Calibri"/>
      <family val="3"/>
      <charset val="134"/>
      <scheme val="minor"/>
    </font>
    <font>
      <sz val="10"/>
      <color rgb="FFFF0000"/>
      <name val="等线"/>
      <family val="3"/>
      <charset val="134"/>
    </font>
    <font>
      <sz val="10"/>
      <name val="等线"/>
      <family val="3"/>
      <charset val="134"/>
    </font>
    <font>
      <b/>
      <sz val="10"/>
      <name val="等线"/>
      <family val="3"/>
      <charset val="134"/>
    </font>
    <font>
      <sz val="11"/>
      <name val="Calibri"/>
      <family val="3"/>
      <charset val="134"/>
      <scheme val="minor"/>
    </font>
    <font>
      <b/>
      <sz val="11"/>
      <name val="Calibri"/>
      <family val="3"/>
      <charset val="134"/>
      <scheme val="minor"/>
    </font>
    <font>
      <b/>
      <sz val="9"/>
      <color theme="1"/>
      <name val="宋体"/>
      <family val="3"/>
      <charset val="134"/>
    </font>
    <font>
      <b/>
      <sz val="10"/>
      <color theme="1"/>
      <name val="宋体"/>
      <family val="3"/>
      <charset val="134"/>
    </font>
    <font>
      <sz val="10"/>
      <name val="微软雅黑"/>
      <family val="1"/>
      <charset val="134"/>
    </font>
    <font>
      <sz val="10"/>
      <name val="宋体"/>
      <family val="1"/>
      <charset val="134"/>
    </font>
  </fonts>
  <fills count="33">
    <fill>
      <patternFill patternType="none"/>
    </fill>
    <fill>
      <patternFill patternType="gray125"/>
    </fill>
    <fill>
      <patternFill patternType="solid">
        <fgColor rgb="FFFFFFFF"/>
        <bgColor indexed="64"/>
      </patternFill>
    </fill>
    <fill>
      <patternFill patternType="solid">
        <fgColor rgb="FFB9CCE4"/>
        <bgColor indexed="64"/>
      </patternFill>
    </fill>
    <fill>
      <patternFill patternType="solid">
        <fgColor indexed="43"/>
        <bgColor indexed="64"/>
      </patternFill>
    </fill>
    <fill>
      <patternFill patternType="solid">
        <fgColor rgb="FFFFFF00"/>
        <bgColor indexed="64"/>
      </patternFill>
    </fill>
    <fill>
      <patternFill patternType="solid">
        <fgColor indexed="9"/>
        <bgColor indexed="64"/>
      </patternFill>
    </fill>
    <fill>
      <patternFill patternType="solid">
        <fgColor rgb="FFC6D9F0"/>
        <bgColor indexed="64"/>
      </patternFill>
    </fill>
    <fill>
      <patternFill patternType="solid">
        <fgColor indexed="47"/>
        <bgColor indexed="64"/>
      </patternFill>
    </fill>
    <fill>
      <patternFill patternType="solid">
        <fgColor rgb="FFFFFF99"/>
        <bgColor indexed="64"/>
      </patternFill>
    </fill>
    <fill>
      <patternFill patternType="solid">
        <fgColor indexed="41"/>
        <bgColor indexed="64"/>
      </patternFill>
    </fill>
    <fill>
      <patternFill patternType="solid">
        <fgColor indexed="42"/>
        <bgColor indexed="64"/>
      </patternFill>
    </fill>
    <fill>
      <patternFill patternType="solid">
        <fgColor indexed="27"/>
        <bgColor indexed="64"/>
      </patternFill>
    </fill>
    <fill>
      <patternFill patternType="lightTrellis"/>
    </fill>
    <fill>
      <patternFill patternType="lightTrellis">
        <bgColor indexed="9"/>
      </patternFill>
    </fill>
    <fill>
      <patternFill patternType="gray125">
        <fgColor rgb="FFFFFFFF"/>
      </patternFill>
    </fill>
    <fill>
      <patternFill patternType="solid">
        <fgColor indexed="65"/>
        <bgColor indexed="64"/>
      </patternFill>
    </fill>
    <fill>
      <patternFill patternType="solid">
        <fgColor rgb="FFFFCC99"/>
        <bgColor indexed="64"/>
      </patternFill>
    </fill>
    <fill>
      <patternFill patternType="solid">
        <fgColor rgb="FF00B050"/>
        <bgColor indexed="64"/>
      </patternFill>
    </fill>
    <fill>
      <patternFill patternType="solid">
        <fgColor theme="0"/>
        <bgColor indexed="64"/>
      </patternFill>
    </fill>
    <fill>
      <patternFill patternType="solid">
        <fgColor theme="5"/>
        <bgColor indexed="64"/>
      </patternFill>
    </fill>
    <fill>
      <patternFill patternType="solid">
        <fgColor rgb="FFFF0000"/>
        <bgColor indexed="64"/>
      </patternFill>
    </fill>
    <fill>
      <patternFill patternType="solid">
        <fgColor theme="9" tint="0.79995117038483843"/>
        <bgColor indexed="64"/>
      </patternFill>
    </fill>
    <fill>
      <patternFill patternType="solid">
        <fgColor theme="5" tint="0.59999389629810485"/>
        <bgColor indexed="64"/>
      </patternFill>
    </fill>
    <fill>
      <patternFill patternType="solid">
        <fgColor rgb="FFC9F1FF"/>
        <bgColor indexed="64"/>
      </patternFill>
    </fill>
    <fill>
      <patternFill patternType="solid">
        <fgColor theme="4" tint="0.59999389629810485"/>
        <bgColor indexed="64"/>
      </patternFill>
    </fill>
    <fill>
      <patternFill patternType="solid">
        <fgColor rgb="FFFFC000"/>
        <bgColor indexed="64"/>
      </patternFill>
    </fill>
    <fill>
      <patternFill patternType="solid">
        <fgColor rgb="FFCCFFFF"/>
        <bgColor indexed="64"/>
      </patternFill>
    </fill>
    <fill>
      <patternFill patternType="solid">
        <fgColor theme="0" tint="-0.14996795556505021"/>
        <bgColor indexed="64"/>
      </patternFill>
    </fill>
    <fill>
      <patternFill patternType="solid">
        <fgColor rgb="FFED7D31"/>
        <bgColor rgb="FF000000"/>
      </patternFill>
    </fill>
    <fill>
      <patternFill patternType="solid">
        <fgColor rgb="FF00B0F0"/>
        <bgColor indexed="64"/>
      </patternFill>
    </fill>
    <fill>
      <patternFill patternType="solid">
        <fgColor theme="9" tint="0.79998168889431442"/>
        <bgColor indexed="64"/>
      </patternFill>
    </fill>
    <fill>
      <patternFill patternType="solid">
        <fgColor theme="2" tint="-9.9978637043366805E-2"/>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thin">
        <color indexed="64"/>
      </bottom>
      <diagonal/>
    </border>
    <border>
      <left style="thin">
        <color auto="1"/>
      </left>
      <right style="thin">
        <color auto="1"/>
      </right>
      <top style="medium">
        <color auto="1"/>
      </top>
      <bottom/>
      <diagonal/>
    </border>
    <border>
      <left/>
      <right style="medium">
        <color auto="1"/>
      </right>
      <top/>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rgb="FFFF0000"/>
      </left>
      <right/>
      <top style="medium">
        <color rgb="FFFF0000"/>
      </top>
      <bottom style="thin">
        <color auto="1"/>
      </bottom>
      <diagonal/>
    </border>
    <border>
      <left/>
      <right/>
      <top style="medium">
        <color rgb="FFFF0000"/>
      </top>
      <bottom style="thin">
        <color auto="1"/>
      </bottom>
      <diagonal/>
    </border>
    <border>
      <left/>
      <right style="medium">
        <color rgb="FFFF0000"/>
      </right>
      <top style="medium">
        <color rgb="FFFF0000"/>
      </top>
      <bottom style="thin">
        <color auto="1"/>
      </bottom>
      <diagonal/>
    </border>
    <border>
      <left style="medium">
        <color rgb="FFFF0000"/>
      </left>
      <right/>
      <top style="thin">
        <color auto="1"/>
      </top>
      <bottom style="thin">
        <color auto="1"/>
      </bottom>
      <diagonal/>
    </border>
    <border>
      <left/>
      <right style="medium">
        <color rgb="FFFF0000"/>
      </right>
      <top style="thin">
        <color auto="1"/>
      </top>
      <bottom style="thin">
        <color auto="1"/>
      </bottom>
      <diagonal/>
    </border>
    <border>
      <left style="medium">
        <color rgb="FFFF0000"/>
      </left>
      <right/>
      <top style="thin">
        <color auto="1"/>
      </top>
      <bottom/>
      <diagonal/>
    </border>
    <border>
      <left/>
      <right style="medium">
        <color rgb="FFFF0000"/>
      </right>
      <top style="thin">
        <color auto="1"/>
      </top>
      <bottom/>
      <diagonal/>
    </border>
    <border>
      <left style="medium">
        <color rgb="FFFF0000"/>
      </left>
      <right/>
      <top style="thin">
        <color auto="1"/>
      </top>
      <bottom style="medium">
        <color rgb="FFFF0000"/>
      </bottom>
      <diagonal/>
    </border>
    <border>
      <left/>
      <right/>
      <top style="thin">
        <color auto="1"/>
      </top>
      <bottom style="medium">
        <color rgb="FFFF0000"/>
      </bottom>
      <diagonal/>
    </border>
    <border>
      <left/>
      <right style="medium">
        <color rgb="FFFF0000"/>
      </right>
      <top style="thin">
        <color auto="1"/>
      </top>
      <bottom style="medium">
        <color rgb="FFFF0000"/>
      </bottom>
      <diagonal/>
    </border>
    <border>
      <left style="thin">
        <color auto="1"/>
      </left>
      <right style="medium">
        <color auto="1"/>
      </right>
      <top style="medium">
        <color auto="1"/>
      </top>
      <bottom/>
      <diagonal/>
    </border>
    <border>
      <left style="medium">
        <color auto="1"/>
      </left>
      <right/>
      <top/>
      <bottom/>
      <diagonal/>
    </border>
  </borders>
  <cellStyleXfs count="60">
    <xf numFmtId="0" fontId="0" fillId="0" borderId="0">
      <alignment vertical="center"/>
    </xf>
    <xf numFmtId="0" fontId="22" fillId="0" borderId="0">
      <protection locked="0"/>
    </xf>
    <xf numFmtId="165" fontId="55" fillId="0" borderId="0">
      <protection locked="0"/>
    </xf>
    <xf numFmtId="0" fontId="22" fillId="0" borderId="0">
      <protection locked="0"/>
    </xf>
    <xf numFmtId="0" fontId="22" fillId="0" borderId="0">
      <protection locked="0"/>
    </xf>
    <xf numFmtId="9" fontId="55" fillId="0" borderId="0">
      <protection locked="0"/>
    </xf>
    <xf numFmtId="0" fontId="22" fillId="0" borderId="0">
      <protection locked="0"/>
    </xf>
    <xf numFmtId="0" fontId="22" fillId="0" borderId="0">
      <protection locked="0"/>
    </xf>
    <xf numFmtId="164" fontId="55" fillId="0" borderId="0">
      <protection locked="0"/>
    </xf>
    <xf numFmtId="0" fontId="22" fillId="0" borderId="0">
      <protection locked="0"/>
    </xf>
    <xf numFmtId="0" fontId="55" fillId="0" borderId="0">
      <protection locked="0"/>
    </xf>
    <xf numFmtId="165" fontId="22" fillId="0" borderId="0">
      <protection locked="0"/>
    </xf>
    <xf numFmtId="172" fontId="22" fillId="0" borderId="0">
      <protection locked="0"/>
    </xf>
    <xf numFmtId="192" fontId="22" fillId="0" borderId="0">
      <protection locked="0"/>
    </xf>
    <xf numFmtId="0" fontId="56" fillId="0" borderId="0">
      <protection locked="0"/>
    </xf>
    <xf numFmtId="165" fontId="22" fillId="0" borderId="0">
      <protection locked="0"/>
    </xf>
    <xf numFmtId="180" fontId="22" fillId="0" borderId="0">
      <protection locked="0"/>
    </xf>
    <xf numFmtId="0" fontId="22" fillId="0" borderId="0">
      <protection locked="0"/>
    </xf>
    <xf numFmtId="9" fontId="22" fillId="0" borderId="0">
      <protection locked="0"/>
    </xf>
    <xf numFmtId="0" fontId="55" fillId="0" borderId="0">
      <protection locked="0"/>
    </xf>
    <xf numFmtId="3" fontId="22" fillId="0" borderId="1">
      <protection locked="0"/>
    </xf>
    <xf numFmtId="0" fontId="57" fillId="0" borderId="0">
      <protection locked="0"/>
    </xf>
    <xf numFmtId="0" fontId="55" fillId="0" borderId="0">
      <protection locked="0"/>
    </xf>
    <xf numFmtId="0" fontId="22" fillId="0" borderId="0">
      <protection locked="0"/>
    </xf>
    <xf numFmtId="0" fontId="22" fillId="0" borderId="0">
      <protection locked="0"/>
    </xf>
    <xf numFmtId="0" fontId="56" fillId="0" borderId="0">
      <protection locked="0"/>
    </xf>
    <xf numFmtId="0" fontId="55" fillId="0" borderId="0">
      <protection locked="0"/>
    </xf>
    <xf numFmtId="0" fontId="58" fillId="0" borderId="0">
      <protection locked="0"/>
    </xf>
    <xf numFmtId="0" fontId="55" fillId="0" borderId="0">
      <protection locked="0"/>
    </xf>
    <xf numFmtId="0" fontId="55" fillId="0" borderId="0">
      <protection locked="0"/>
    </xf>
    <xf numFmtId="0" fontId="58" fillId="0" borderId="0"/>
    <xf numFmtId="0" fontId="1" fillId="0" borderId="0"/>
    <xf numFmtId="165" fontId="1" fillId="0" borderId="0" applyFont="0" applyFill="0" applyBorder="0" applyAlignment="0" applyProtection="0"/>
    <xf numFmtId="0" fontId="22" fillId="0" borderId="0"/>
    <xf numFmtId="0" fontId="68" fillId="0" borderId="0"/>
    <xf numFmtId="9" fontId="1" fillId="0" borderId="0" applyFont="0" applyFill="0" applyBorder="0" applyAlignment="0" applyProtection="0"/>
    <xf numFmtId="0" fontId="74" fillId="0" borderId="0"/>
    <xf numFmtId="165" fontId="74" fillId="0" borderId="0" applyFont="0" applyFill="0" applyBorder="0" applyAlignment="0" applyProtection="0">
      <alignment vertical="center"/>
    </xf>
    <xf numFmtId="180" fontId="1" fillId="0" borderId="0"/>
    <xf numFmtId="165" fontId="1" fillId="0" borderId="0" applyFont="0" applyFill="0" applyBorder="0" applyAlignment="0" applyProtection="0"/>
    <xf numFmtId="9" fontId="76" fillId="0" borderId="0" applyFont="0" applyFill="0" applyBorder="0" applyAlignment="0" applyProtection="0">
      <alignment vertical="center"/>
    </xf>
    <xf numFmtId="9" fontId="74" fillId="0" borderId="0" applyFont="0" applyFill="0" applyBorder="0" applyAlignment="0" applyProtection="0">
      <alignment vertical="center"/>
    </xf>
    <xf numFmtId="9" fontId="1" fillId="0" borderId="0" applyFont="0" applyFill="0" applyBorder="0" applyAlignment="0" applyProtection="0"/>
    <xf numFmtId="180" fontId="1" fillId="0" borderId="0"/>
    <xf numFmtId="180" fontId="1" fillId="0" borderId="0"/>
    <xf numFmtId="180" fontId="1" fillId="0" borderId="0"/>
    <xf numFmtId="180" fontId="68" fillId="0" borderId="0"/>
    <xf numFmtId="180" fontId="22" fillId="0" borderId="0"/>
    <xf numFmtId="180" fontId="58" fillId="0" borderId="0"/>
    <xf numFmtId="180" fontId="22" fillId="0" borderId="0">
      <alignment vertical="center"/>
    </xf>
    <xf numFmtId="9" fontId="74" fillId="0" borderId="0" applyFont="0" applyFill="0" applyBorder="0" applyAlignment="0" applyProtection="0">
      <alignment vertical="center"/>
    </xf>
    <xf numFmtId="180" fontId="68" fillId="0" borderId="0"/>
    <xf numFmtId="0" fontId="74" fillId="0" borderId="0"/>
    <xf numFmtId="0" fontId="76" fillId="0" borderId="0"/>
    <xf numFmtId="180" fontId="1" fillId="0" borderId="0"/>
    <xf numFmtId="180" fontId="22" fillId="0" borderId="0"/>
    <xf numFmtId="180" fontId="1" fillId="0" borderId="0"/>
    <xf numFmtId="9" fontId="74" fillId="0" borderId="0" applyFont="0" applyFill="0" applyBorder="0" applyAlignment="0" applyProtection="0">
      <alignment vertical="center"/>
    </xf>
    <xf numFmtId="0" fontId="74" fillId="0" borderId="0">
      <alignment vertical="center"/>
    </xf>
    <xf numFmtId="0" fontId="22" fillId="0" borderId="0"/>
  </cellStyleXfs>
  <cellXfs count="2547">
    <xf numFmtId="0" fontId="0" fillId="0" borderId="0" xfId="0">
      <alignment vertical="center"/>
    </xf>
    <xf numFmtId="0" fontId="1" fillId="2" borderId="0" xfId="0" applyFont="1" applyFill="1" applyAlignment="1"/>
    <xf numFmtId="0" fontId="3" fillId="2" borderId="0" xfId="0" applyFont="1" applyFill="1" applyAlignment="1"/>
    <xf numFmtId="0" fontId="4" fillId="2" borderId="0" xfId="0" applyFont="1" applyFill="1" applyAlignment="1"/>
    <xf numFmtId="0" fontId="3" fillId="0" borderId="0" xfId="0" applyFont="1" applyAlignment="1"/>
    <xf numFmtId="0" fontId="5" fillId="0" borderId="0" xfId="1" applyFont="1" applyAlignment="1" applyProtection="1">
      <alignment vertical="center"/>
    </xf>
    <xf numFmtId="0" fontId="4" fillId="0" borderId="0" xfId="1" applyFont="1" applyAlignment="1" applyProtection="1">
      <alignment vertical="center"/>
    </xf>
    <xf numFmtId="166" fontId="4" fillId="0" borderId="0" xfId="2" applyNumberFormat="1" applyFont="1" applyAlignment="1" applyProtection="1">
      <alignment vertical="center"/>
    </xf>
    <xf numFmtId="0" fontId="5" fillId="3" borderId="1" xfId="3" applyFont="1" applyFill="1" applyBorder="1" applyAlignment="1" applyProtection="1">
      <alignment horizontal="center" vertical="center"/>
    </xf>
    <xf numFmtId="167" fontId="5" fillId="3" borderId="1" xfId="3" applyNumberFormat="1" applyFont="1" applyFill="1" applyBorder="1" applyAlignment="1" applyProtection="1">
      <alignment horizontal="center" vertical="center"/>
    </xf>
    <xf numFmtId="168" fontId="4" fillId="0" borderId="1" xfId="3" applyNumberFormat="1" applyFont="1" applyFill="1" applyBorder="1" applyAlignment="1" applyProtection="1">
      <alignment vertical="center"/>
    </xf>
    <xf numFmtId="166" fontId="4" fillId="0" borderId="1" xfId="2" applyNumberFormat="1" applyFont="1" applyFill="1" applyBorder="1" applyAlignment="1" applyProtection="1">
      <alignment vertical="center"/>
    </xf>
    <xf numFmtId="168" fontId="5" fillId="3" borderId="1" xfId="3" applyNumberFormat="1" applyFont="1" applyFill="1" applyBorder="1" applyAlignment="1" applyProtection="1">
      <alignment horizontal="center" vertical="center"/>
    </xf>
    <xf numFmtId="166" fontId="5" fillId="3" borderId="1" xfId="2" applyNumberFormat="1" applyFont="1" applyFill="1" applyBorder="1" applyAlignment="1" applyProtection="1">
      <alignment horizontal="center" vertical="center"/>
    </xf>
    <xf numFmtId="0" fontId="5" fillId="3" borderId="1" xfId="4" applyFont="1" applyFill="1" applyBorder="1" applyAlignment="1" applyProtection="1">
      <alignment horizontal="center"/>
    </xf>
    <xf numFmtId="14" fontId="4" fillId="0" borderId="1" xfId="4" applyNumberFormat="1" applyFont="1" applyFill="1" applyBorder="1" applyAlignment="1" applyProtection="1">
      <alignment horizontal="center"/>
    </xf>
    <xf numFmtId="14" fontId="4" fillId="0" borderId="0" xfId="1" applyNumberFormat="1" applyFont="1" applyAlignment="1" applyProtection="1">
      <alignment vertical="center"/>
    </xf>
    <xf numFmtId="166" fontId="4" fillId="4" borderId="1" xfId="2" applyNumberFormat="1" applyFont="1" applyFill="1" applyBorder="1" applyAlignment="1" applyProtection="1">
      <alignment horizontal="center" vertical="center"/>
    </xf>
    <xf numFmtId="0" fontId="5" fillId="3" borderId="1" xfId="3" applyFont="1" applyFill="1" applyBorder="1" applyAlignment="1" applyProtection="1">
      <alignment horizontal="center"/>
    </xf>
    <xf numFmtId="0" fontId="5" fillId="3" borderId="1" xfId="1" applyFont="1" applyFill="1" applyBorder="1" applyAlignment="1" applyProtection="1">
      <alignment horizontal="center"/>
    </xf>
    <xf numFmtId="14" fontId="4" fillId="0" borderId="1" xfId="3" applyNumberFormat="1" applyFont="1" applyFill="1" applyBorder="1" applyAlignment="1" applyProtection="1"/>
    <xf numFmtId="169" fontId="4" fillId="4" borderId="1" xfId="2" applyNumberFormat="1" applyFont="1" applyFill="1" applyBorder="1" applyAlignment="1" applyProtection="1">
      <alignment horizontal="center" vertical="center"/>
    </xf>
    <xf numFmtId="170" fontId="5" fillId="0" borderId="1" xfId="5" applyNumberFormat="1" applyFont="1" applyFill="1" applyBorder="1" applyAlignment="1" applyProtection="1">
      <alignment horizontal="center"/>
    </xf>
    <xf numFmtId="0" fontId="5" fillId="0" borderId="1" xfId="3" applyFont="1" applyFill="1" applyBorder="1" applyAlignment="1" applyProtection="1">
      <alignment horizontal="center"/>
    </xf>
    <xf numFmtId="166" fontId="5" fillId="0" borderId="1" xfId="2" applyNumberFormat="1" applyFont="1" applyFill="1" applyBorder="1" applyAlignment="1" applyProtection="1">
      <alignment horizontal="center" vertical="center"/>
    </xf>
    <xf numFmtId="10" fontId="6" fillId="0" borderId="1" xfId="4" applyNumberFormat="1" applyFont="1" applyFill="1" applyBorder="1" applyAlignment="1" applyProtection="1">
      <alignment horizontal="center"/>
    </xf>
    <xf numFmtId="0" fontId="5" fillId="5" borderId="1" xfId="4" applyFont="1" applyFill="1" applyBorder="1" applyAlignment="1" applyProtection="1">
      <alignment horizontal="center"/>
    </xf>
    <xf numFmtId="9" fontId="5" fillId="0" borderId="1" xfId="4" applyNumberFormat="1" applyFont="1" applyFill="1" applyBorder="1" applyAlignment="1" applyProtection="1">
      <alignment horizontal="center"/>
    </xf>
    <xf numFmtId="9" fontId="5" fillId="0" borderId="0" xfId="4" applyNumberFormat="1" applyFont="1" applyFill="1" applyBorder="1" applyAlignment="1" applyProtection="1">
      <alignment horizontal="center"/>
    </xf>
    <xf numFmtId="0" fontId="4" fillId="0" borderId="0" xfId="0" applyFont="1" applyAlignment="1"/>
    <xf numFmtId="166" fontId="3" fillId="0" borderId="0" xfId="0" applyNumberFormat="1" applyFont="1" applyAlignment="1"/>
    <xf numFmtId="10" fontId="3" fillId="0" borderId="1" xfId="5" applyNumberFormat="1" applyFont="1" applyBorder="1" applyAlignment="1" applyProtection="1"/>
    <xf numFmtId="166" fontId="3" fillId="0" borderId="0" xfId="2" applyNumberFormat="1" applyFont="1" applyAlignment="1" applyProtection="1"/>
    <xf numFmtId="10" fontId="4" fillId="4" borderId="1" xfId="5" applyNumberFormat="1" applyFont="1" applyFill="1" applyBorder="1" applyAlignment="1" applyProtection="1">
      <alignment horizontal="center" vertical="center"/>
    </xf>
    <xf numFmtId="170" fontId="4" fillId="4" borderId="1" xfId="5" applyNumberFormat="1" applyFont="1" applyFill="1" applyBorder="1" applyAlignment="1" applyProtection="1">
      <alignment horizontal="center" vertical="center"/>
    </xf>
    <xf numFmtId="166" fontId="5" fillId="3" borderId="1" xfId="2" applyNumberFormat="1" applyFont="1" applyFill="1" applyBorder="1" applyAlignment="1" applyProtection="1">
      <alignment horizontal="right" vertical="center"/>
    </xf>
    <xf numFmtId="10" fontId="5" fillId="3" borderId="1" xfId="5" applyNumberFormat="1" applyFont="1" applyFill="1" applyBorder="1" applyAlignment="1" applyProtection="1">
      <alignment horizontal="center" vertical="center"/>
    </xf>
    <xf numFmtId="0" fontId="4" fillId="0" borderId="1" xfId="0" applyFont="1" applyBorder="1" applyAlignment="1"/>
    <xf numFmtId="170" fontId="3" fillId="0" borderId="1" xfId="5" applyNumberFormat="1" applyFont="1" applyBorder="1" applyAlignment="1" applyProtection="1"/>
    <xf numFmtId="170" fontId="7" fillId="0" borderId="1" xfId="5" applyNumberFormat="1" applyFont="1" applyBorder="1" applyAlignment="1" applyProtection="1"/>
    <xf numFmtId="0" fontId="3" fillId="6" borderId="0" xfId="6" applyFont="1" applyFill="1" applyAlignment="1" applyProtection="1"/>
    <xf numFmtId="170" fontId="3" fillId="6" borderId="0" xfId="5" applyNumberFormat="1" applyFont="1" applyFill="1" applyAlignment="1" applyProtection="1"/>
    <xf numFmtId="0" fontId="5" fillId="6" borderId="0" xfId="6" applyFont="1" applyFill="1" applyAlignment="1" applyProtection="1"/>
    <xf numFmtId="0" fontId="8" fillId="6" borderId="0" xfId="6" applyFont="1" applyFill="1" applyAlignment="1" applyProtection="1"/>
    <xf numFmtId="0" fontId="9" fillId="6" borderId="0" xfId="6" applyFont="1" applyFill="1" applyAlignment="1" applyProtection="1"/>
    <xf numFmtId="0" fontId="4" fillId="3" borderId="1" xfId="1" applyFont="1" applyFill="1" applyBorder="1" applyAlignment="1" applyProtection="1">
      <alignment vertical="center"/>
    </xf>
    <xf numFmtId="3" fontId="3" fillId="6" borderId="1" xfId="5" applyNumberFormat="1" applyFont="1" applyFill="1" applyBorder="1" applyAlignment="1" applyProtection="1">
      <alignment horizontal="center" vertical="center"/>
    </xf>
    <xf numFmtId="0" fontId="4" fillId="0" borderId="1" xfId="1" applyFont="1" applyFill="1" applyBorder="1" applyAlignment="1" applyProtection="1">
      <alignment horizontal="center"/>
    </xf>
    <xf numFmtId="165" fontId="3" fillId="6" borderId="0" xfId="2" applyNumberFormat="1" applyFont="1" applyFill="1" applyAlignment="1" applyProtection="1"/>
    <xf numFmtId="0" fontId="8" fillId="3" borderId="1" xfId="6" applyFont="1" applyFill="1" applyBorder="1" applyAlignment="1" applyProtection="1">
      <alignment horizontal="center"/>
    </xf>
    <xf numFmtId="49" fontId="8" fillId="3" borderId="1" xfId="6" applyNumberFormat="1" applyFont="1" applyFill="1" applyBorder="1" applyAlignment="1" applyProtection="1">
      <alignment horizontal="center" vertical="center"/>
    </xf>
    <xf numFmtId="0" fontId="8" fillId="3" borderId="1" xfId="6" applyFont="1" applyFill="1" applyBorder="1" applyAlignment="1" applyProtection="1">
      <alignment horizontal="center" vertical="center"/>
    </xf>
    <xf numFmtId="171" fontId="3" fillId="6" borderId="1" xfId="5" applyNumberFormat="1" applyFont="1" applyFill="1" applyBorder="1" applyAlignment="1" applyProtection="1">
      <alignment horizontal="center" vertical="center"/>
    </xf>
    <xf numFmtId="170" fontId="4" fillId="6" borderId="1" xfId="5" applyNumberFormat="1" applyFont="1" applyFill="1" applyBorder="1" applyAlignment="1" applyProtection="1">
      <alignment horizontal="left" vertical="center"/>
    </xf>
    <xf numFmtId="3" fontId="3" fillId="6" borderId="1" xfId="5" applyNumberFormat="1" applyFont="1" applyFill="1" applyBorder="1" applyAlignment="1" applyProtection="1">
      <alignment horizontal="right" vertical="center"/>
    </xf>
    <xf numFmtId="3" fontId="3" fillId="2" borderId="1" xfId="5" applyNumberFormat="1" applyFont="1" applyFill="1" applyBorder="1" applyAlignment="1" applyProtection="1">
      <alignment horizontal="right" vertical="center"/>
    </xf>
    <xf numFmtId="9" fontId="3" fillId="6" borderId="1" xfId="6" applyNumberFormat="1" applyFont="1" applyFill="1" applyBorder="1" applyAlignment="1" applyProtection="1">
      <alignment horizontal="right" vertical="center"/>
    </xf>
    <xf numFmtId="170" fontId="3" fillId="6" borderId="1" xfId="5" applyNumberFormat="1" applyFont="1" applyFill="1" applyBorder="1" applyAlignment="1" applyProtection="1">
      <alignment horizontal="left" vertical="center"/>
    </xf>
    <xf numFmtId="166" fontId="8" fillId="6" borderId="0" xfId="2" applyNumberFormat="1" applyFont="1" applyFill="1" applyAlignment="1" applyProtection="1">
      <alignment horizontal="left"/>
    </xf>
    <xf numFmtId="0" fontId="10" fillId="6" borderId="0" xfId="7" applyFont="1" applyFill="1" applyAlignment="1" applyProtection="1">
      <alignment vertical="center"/>
    </xf>
    <xf numFmtId="3" fontId="11" fillId="6" borderId="0" xfId="7" applyNumberFormat="1" applyFont="1" applyFill="1" applyAlignment="1" applyProtection="1">
      <alignment vertical="center"/>
    </xf>
    <xf numFmtId="0" fontId="11" fillId="6" borderId="0" xfId="7" applyFont="1" applyFill="1" applyAlignment="1" applyProtection="1">
      <alignment vertical="center"/>
    </xf>
    <xf numFmtId="170" fontId="8" fillId="3" borderId="1" xfId="5" applyNumberFormat="1" applyFont="1" applyFill="1" applyBorder="1" applyAlignment="1" applyProtection="1">
      <alignment horizontal="center" vertical="center"/>
    </xf>
    <xf numFmtId="0" fontId="3" fillId="0" borderId="1" xfId="6" applyFont="1" applyFill="1" applyBorder="1" applyAlignment="1" applyProtection="1">
      <alignment vertical="center"/>
    </xf>
    <xf numFmtId="10" fontId="3" fillId="2" borderId="1" xfId="5" applyNumberFormat="1" applyFont="1" applyFill="1" applyBorder="1" applyAlignment="1" applyProtection="1">
      <alignment horizontal="center" vertical="center"/>
    </xf>
    <xf numFmtId="0" fontId="8" fillId="3" borderId="1" xfId="6" applyFont="1" applyFill="1" applyBorder="1" applyAlignment="1" applyProtection="1">
      <alignment horizontal="center" vertical="center"/>
    </xf>
    <xf numFmtId="49" fontId="5" fillId="3" borderId="1" xfId="6" applyNumberFormat="1" applyFont="1" applyFill="1" applyBorder="1" applyAlignment="1" applyProtection="1">
      <alignment horizontal="center" vertical="center"/>
    </xf>
    <xf numFmtId="0" fontId="5" fillId="3" borderId="1" xfId="6" applyFont="1" applyFill="1" applyBorder="1" applyAlignment="1" applyProtection="1">
      <alignment horizontal="center" vertical="center"/>
    </xf>
    <xf numFmtId="166" fontId="3" fillId="6" borderId="1" xfId="2" applyNumberFormat="1" applyFont="1" applyFill="1" applyBorder="1" applyAlignment="1" applyProtection="1">
      <alignment horizontal="right" vertical="center"/>
    </xf>
    <xf numFmtId="170" fontId="3" fillId="6" borderId="1" xfId="5" applyNumberFormat="1" applyFont="1" applyFill="1" applyBorder="1" applyAlignment="1" applyProtection="1">
      <alignment horizontal="right" vertical="center"/>
    </xf>
    <xf numFmtId="3" fontId="3" fillId="6" borderId="1" xfId="6" applyNumberFormat="1" applyFont="1" applyFill="1" applyBorder="1" applyAlignment="1" applyProtection="1">
      <alignment horizontal="right" vertical="center"/>
    </xf>
    <xf numFmtId="166" fontId="3" fillId="6" borderId="1" xfId="2" applyNumberFormat="1" applyFont="1" applyFill="1" applyBorder="1" applyAlignment="1" applyProtection="1">
      <alignment vertical="center"/>
    </xf>
    <xf numFmtId="10" fontId="3" fillId="6" borderId="1" xfId="6" applyNumberFormat="1" applyFont="1" applyFill="1" applyBorder="1" applyAlignment="1" applyProtection="1">
      <alignment horizontal="center" vertical="center"/>
    </xf>
    <xf numFmtId="170" fontId="4" fillId="6" borderId="1" xfId="6" applyNumberFormat="1" applyFont="1" applyFill="1" applyBorder="1" applyAlignment="1" applyProtection="1"/>
    <xf numFmtId="166" fontId="3" fillId="6" borderId="1" xfId="6" applyNumberFormat="1" applyFont="1" applyFill="1" applyBorder="1" applyAlignment="1" applyProtection="1">
      <alignment horizontal="center" vertical="center"/>
    </xf>
    <xf numFmtId="170" fontId="3" fillId="0" borderId="1" xfId="5" applyNumberFormat="1" applyFont="1" applyFill="1" applyBorder="1" applyAlignment="1" applyProtection="1"/>
    <xf numFmtId="3" fontId="3" fillId="6" borderId="1" xfId="2" applyNumberFormat="1" applyFont="1" applyFill="1" applyBorder="1" applyAlignment="1" applyProtection="1">
      <alignment horizontal="center" vertical="center"/>
    </xf>
    <xf numFmtId="170" fontId="4" fillId="0" borderId="1" xfId="5" applyNumberFormat="1" applyFont="1" applyFill="1" applyBorder="1" applyAlignment="1" applyProtection="1"/>
    <xf numFmtId="172" fontId="3" fillId="6" borderId="0" xfId="6" applyNumberFormat="1" applyFont="1" applyFill="1" applyAlignment="1" applyProtection="1"/>
    <xf numFmtId="0" fontId="12" fillId="6" borderId="0" xfId="6" applyFont="1" applyFill="1" applyAlignment="1" applyProtection="1"/>
    <xf numFmtId="0" fontId="4" fillId="6" borderId="1" xfId="6" applyFont="1" applyFill="1" applyBorder="1" applyAlignment="1" applyProtection="1">
      <alignment vertical="center"/>
    </xf>
    <xf numFmtId="0" fontId="3" fillId="7" borderId="1" xfId="6" applyFont="1" applyFill="1" applyBorder="1" applyAlignment="1" applyProtection="1">
      <alignment vertical="center"/>
    </xf>
    <xf numFmtId="0" fontId="4" fillId="6" borderId="0" xfId="6" applyFont="1" applyFill="1" applyAlignment="1" applyProtection="1"/>
    <xf numFmtId="0" fontId="4" fillId="6" borderId="1" xfId="6" applyFont="1" applyFill="1" applyBorder="1" applyAlignment="1" applyProtection="1"/>
    <xf numFmtId="10" fontId="3" fillId="6" borderId="1" xfId="6" applyNumberFormat="1" applyFont="1" applyFill="1" applyBorder="1" applyAlignment="1" applyProtection="1">
      <alignment vertical="center"/>
    </xf>
    <xf numFmtId="0" fontId="13" fillId="6" borderId="0" xfId="6" applyFont="1" applyFill="1" applyBorder="1" applyAlignment="1" applyProtection="1">
      <alignment horizontal="left" wrapText="1"/>
    </xf>
    <xf numFmtId="4" fontId="3" fillId="6" borderId="1" xfId="5" applyNumberFormat="1" applyFont="1" applyFill="1" applyBorder="1" applyAlignment="1" applyProtection="1">
      <alignment horizontal="center" vertical="center"/>
    </xf>
    <xf numFmtId="0" fontId="3" fillId="6" borderId="0" xfId="6" applyFont="1" applyFill="1" applyBorder="1" applyAlignment="1" applyProtection="1">
      <alignment horizontal="center" vertical="center"/>
    </xf>
    <xf numFmtId="166" fontId="3" fillId="6" borderId="0" xfId="2" applyNumberFormat="1" applyFont="1" applyFill="1" applyBorder="1" applyAlignment="1" applyProtection="1"/>
    <xf numFmtId="170" fontId="3" fillId="6" borderId="0" xfId="5" applyNumberFormat="1" applyFont="1" applyFill="1" applyBorder="1" applyAlignment="1" applyProtection="1"/>
    <xf numFmtId="0" fontId="4" fillId="6" borderId="0" xfId="6" applyFont="1" applyFill="1" applyBorder="1" applyAlignment="1" applyProtection="1">
      <alignment horizontal="center" vertical="center"/>
    </xf>
    <xf numFmtId="4" fontId="3" fillId="6" borderId="0" xfId="5" applyNumberFormat="1" applyFont="1" applyFill="1" applyBorder="1" applyAlignment="1" applyProtection="1">
      <alignment horizontal="center" vertical="center"/>
    </xf>
    <xf numFmtId="166" fontId="14" fillId="6" borderId="0" xfId="2" applyNumberFormat="1" applyFont="1" applyFill="1" applyAlignment="1" applyProtection="1"/>
    <xf numFmtId="165" fontId="3" fillId="6" borderId="0" xfId="2" applyFont="1" applyFill="1" applyBorder="1" applyAlignment="1" applyProtection="1"/>
    <xf numFmtId="165" fontId="3" fillId="6" borderId="0" xfId="6" applyNumberFormat="1" applyFont="1" applyFill="1" applyBorder="1" applyAlignment="1" applyProtection="1">
      <alignment horizontal="center" vertical="center"/>
    </xf>
    <xf numFmtId="0" fontId="13" fillId="6" borderId="0" xfId="6" applyFont="1" applyFill="1" applyBorder="1" applyAlignment="1" applyProtection="1">
      <alignment horizontal="center"/>
    </xf>
    <xf numFmtId="164" fontId="3" fillId="0" borderId="1" xfId="8" applyFont="1" applyFill="1" applyBorder="1" applyAlignment="1" applyProtection="1">
      <alignment vertical="center"/>
    </xf>
    <xf numFmtId="164" fontId="3" fillId="0" borderId="1" xfId="8" applyFont="1" applyFill="1" applyBorder="1" applyAlignment="1" applyProtection="1">
      <alignment horizontal="center" vertical="center"/>
    </xf>
    <xf numFmtId="0" fontId="12" fillId="6" borderId="1" xfId="6" applyFont="1" applyFill="1" applyBorder="1" applyAlignment="1" applyProtection="1">
      <alignment vertical="center"/>
    </xf>
    <xf numFmtId="165" fontId="3" fillId="0" borderId="1" xfId="2" applyFont="1" applyFill="1" applyBorder="1" applyAlignment="1" applyProtection="1">
      <alignment vertical="center"/>
    </xf>
    <xf numFmtId="9" fontId="3" fillId="0" borderId="1" xfId="5" applyFont="1" applyFill="1" applyBorder="1" applyAlignment="1" applyProtection="1">
      <alignment vertical="center"/>
    </xf>
    <xf numFmtId="170" fontId="3" fillId="0" borderId="1" xfId="5" applyNumberFormat="1" applyFont="1" applyFill="1" applyBorder="1" applyAlignment="1" applyProtection="1">
      <alignment vertical="center"/>
    </xf>
    <xf numFmtId="0" fontId="5" fillId="3" borderId="1" xfId="9" applyFont="1" applyFill="1" applyBorder="1" applyAlignment="1" applyProtection="1">
      <alignment horizontal="center"/>
    </xf>
    <xf numFmtId="170" fontId="5" fillId="3" borderId="2" xfId="5" applyNumberFormat="1" applyFont="1" applyFill="1" applyBorder="1" applyAlignment="1" applyProtection="1">
      <alignment horizontal="center" vertical="center"/>
    </xf>
    <xf numFmtId="0" fontId="4" fillId="0" borderId="1" xfId="9" applyFont="1" applyFill="1" applyBorder="1" applyAlignment="1" applyProtection="1"/>
    <xf numFmtId="166" fontId="3" fillId="0" borderId="1" xfId="2" applyNumberFormat="1" applyFont="1" applyFill="1" applyBorder="1" applyAlignment="1" applyProtection="1"/>
    <xf numFmtId="166" fontId="3" fillId="0" borderId="1" xfId="2" applyNumberFormat="1" applyFont="1" applyBorder="1" applyAlignment="1" applyProtection="1"/>
    <xf numFmtId="0" fontId="5" fillId="0" borderId="1" xfId="9" applyFont="1" applyFill="1" applyBorder="1" applyAlignment="1" applyProtection="1"/>
    <xf numFmtId="0" fontId="4" fillId="0" borderId="1" xfId="9" applyFont="1" applyBorder="1" applyAlignment="1" applyProtection="1"/>
    <xf numFmtId="0" fontId="3" fillId="0" borderId="1" xfId="9" applyFont="1" applyBorder="1" applyAlignment="1" applyProtection="1"/>
    <xf numFmtId="10" fontId="5" fillId="3" borderId="1" xfId="5" applyNumberFormat="1" applyFont="1" applyFill="1" applyBorder="1" applyAlignment="1" applyProtection="1"/>
    <xf numFmtId="10" fontId="8" fillId="3" borderId="1" xfId="5" applyNumberFormat="1" applyFont="1" applyFill="1" applyBorder="1" applyAlignment="1" applyProtection="1"/>
    <xf numFmtId="0" fontId="5" fillId="3" borderId="1" xfId="9" applyFont="1" applyFill="1" applyBorder="1" applyAlignment="1" applyProtection="1"/>
    <xf numFmtId="166" fontId="8" fillId="3" borderId="1" xfId="2" applyNumberFormat="1" applyFont="1" applyFill="1" applyBorder="1" applyAlignment="1" applyProtection="1"/>
    <xf numFmtId="0" fontId="15" fillId="2" borderId="0" xfId="10" applyFont="1" applyFill="1" applyBorder="1" applyAlignment="1" applyProtection="1">
      <alignment horizontal="center"/>
    </xf>
    <xf numFmtId="165" fontId="15" fillId="2" borderId="0" xfId="11" applyNumberFormat="1" applyFont="1" applyFill="1" applyBorder="1" applyAlignment="1" applyProtection="1">
      <alignment horizontal="center"/>
    </xf>
    <xf numFmtId="166" fontId="16" fillId="2" borderId="0" xfId="10" applyNumberFormat="1" applyFont="1" applyFill="1" applyBorder="1" applyAlignment="1" applyProtection="1">
      <alignment horizontal="center"/>
    </xf>
    <xf numFmtId="172" fontId="4" fillId="0" borderId="0" xfId="12" applyFont="1" applyAlignment="1" applyProtection="1">
      <alignment vertical="center"/>
    </xf>
    <xf numFmtId="172" fontId="4" fillId="0" borderId="0" xfId="12" applyFont="1" applyAlignment="1" applyProtection="1">
      <alignment horizontal="center" vertical="center"/>
    </xf>
    <xf numFmtId="172" fontId="6" fillId="4" borderId="1" xfId="12" applyFont="1" applyFill="1" applyBorder="1" applyAlignment="1" applyProtection="1">
      <alignment vertical="center"/>
    </xf>
    <xf numFmtId="172" fontId="4" fillId="4" borderId="1" xfId="12" applyFont="1" applyFill="1" applyBorder="1" applyAlignment="1" applyProtection="1">
      <alignment horizontal="center" vertical="center"/>
    </xf>
    <xf numFmtId="173" fontId="3" fillId="4" borderId="1" xfId="12" applyNumberFormat="1" applyFont="1" applyFill="1" applyBorder="1" applyAlignment="1" applyProtection="1">
      <alignment horizontal="center" vertical="center"/>
    </xf>
    <xf numFmtId="172" fontId="4" fillId="4" borderId="1" xfId="12" applyFont="1" applyFill="1" applyBorder="1" applyAlignment="1" applyProtection="1">
      <alignment vertical="center"/>
    </xf>
    <xf numFmtId="172" fontId="3" fillId="4" borderId="1" xfId="12" applyFont="1" applyFill="1" applyBorder="1" applyAlignment="1" applyProtection="1">
      <alignment horizontal="center" vertical="center"/>
    </xf>
    <xf numFmtId="172" fontId="4" fillId="8" borderId="1" xfId="12" applyFont="1" applyFill="1" applyBorder="1" applyAlignment="1" applyProtection="1">
      <alignment vertical="center"/>
    </xf>
    <xf numFmtId="172" fontId="4" fillId="4" borderId="1" xfId="12" applyFont="1" applyFill="1" applyBorder="1" applyAlignment="1" applyProtection="1">
      <alignment horizontal="left" vertical="center"/>
    </xf>
    <xf numFmtId="172" fontId="4" fillId="2" borderId="0" xfId="12" applyFont="1" applyFill="1" applyAlignment="1" applyProtection="1">
      <alignment vertical="center"/>
    </xf>
    <xf numFmtId="166" fontId="4" fillId="2" borderId="1" xfId="13" applyNumberFormat="1" applyFont="1" applyFill="1" applyBorder="1" applyAlignment="1" applyProtection="1"/>
    <xf numFmtId="166" fontId="4" fillId="2" borderId="1" xfId="13" applyNumberFormat="1" applyFont="1" applyFill="1" applyBorder="1" applyAlignment="1" applyProtection="1">
      <alignment horizontal="center"/>
    </xf>
    <xf numFmtId="166" fontId="4" fillId="2" borderId="1" xfId="13" applyNumberFormat="1" applyFont="1" applyFill="1" applyBorder="1" applyAlignment="1" applyProtection="1">
      <alignment horizontal="left"/>
    </xf>
    <xf numFmtId="166" fontId="17" fillId="2" borderId="1" xfId="13" applyNumberFormat="1" applyFont="1" applyFill="1" applyBorder="1" applyAlignment="1" applyProtection="1">
      <alignment horizontal="right"/>
    </xf>
    <xf numFmtId="172" fontId="4" fillId="2" borderId="1" xfId="12" applyNumberFormat="1" applyFont="1" applyFill="1" applyBorder="1" applyAlignment="1" applyProtection="1">
      <alignment vertical="center"/>
    </xf>
    <xf numFmtId="172" fontId="4" fillId="3" borderId="1" xfId="12" applyFont="1" applyFill="1" applyBorder="1" applyAlignment="1" applyProtection="1">
      <alignment vertical="center"/>
    </xf>
    <xf numFmtId="172" fontId="4" fillId="3" borderId="1" xfId="12" applyFont="1" applyFill="1" applyBorder="1" applyAlignment="1" applyProtection="1">
      <alignment horizontal="center" vertical="center"/>
    </xf>
    <xf numFmtId="172" fontId="4" fillId="3" borderId="1" xfId="12" applyNumberFormat="1" applyFont="1" applyFill="1" applyBorder="1" applyAlignment="1" applyProtection="1">
      <alignment horizontal="center" vertical="center"/>
    </xf>
    <xf numFmtId="172" fontId="4" fillId="2" borderId="1" xfId="12" applyFont="1" applyFill="1" applyBorder="1" applyAlignment="1" applyProtection="1">
      <alignment horizontal="center" vertical="center"/>
    </xf>
    <xf numFmtId="166" fontId="4" fillId="2" borderId="1" xfId="12" applyNumberFormat="1" applyFont="1" applyFill="1" applyBorder="1" applyAlignment="1" applyProtection="1">
      <alignment horizontal="center" vertical="center"/>
    </xf>
    <xf numFmtId="172" fontId="4" fillId="2" borderId="1" xfId="12" applyNumberFormat="1" applyFont="1" applyFill="1" applyBorder="1" applyAlignment="1" applyProtection="1">
      <alignment horizontal="center" vertical="center"/>
    </xf>
    <xf numFmtId="172" fontId="4" fillId="2" borderId="1" xfId="12" applyFont="1" applyFill="1" applyBorder="1" applyAlignment="1" applyProtection="1">
      <alignment vertical="center"/>
    </xf>
    <xf numFmtId="165" fontId="4" fillId="0" borderId="0" xfId="12" applyNumberFormat="1" applyFont="1" applyAlignment="1" applyProtection="1">
      <alignment vertical="center"/>
    </xf>
    <xf numFmtId="174" fontId="4" fillId="0" borderId="0" xfId="12" applyNumberFormat="1" applyFont="1" applyAlignment="1" applyProtection="1">
      <alignment vertical="center"/>
    </xf>
    <xf numFmtId="173" fontId="4" fillId="0" borderId="0" xfId="12" applyNumberFormat="1" applyFont="1" applyAlignment="1" applyProtection="1">
      <alignment vertical="center"/>
    </xf>
    <xf numFmtId="172" fontId="4" fillId="0" borderId="1" xfId="12" applyFont="1" applyBorder="1" applyAlignment="1" applyProtection="1">
      <alignment horizontal="center" vertical="center"/>
    </xf>
    <xf numFmtId="172" fontId="4" fillId="0" borderId="1" xfId="12" applyFont="1" applyBorder="1" applyAlignment="1" applyProtection="1">
      <alignment vertical="center"/>
    </xf>
    <xf numFmtId="172" fontId="6" fillId="3" borderId="1" xfId="12" applyFont="1" applyFill="1" applyBorder="1" applyAlignment="1" applyProtection="1">
      <alignment vertical="center"/>
    </xf>
    <xf numFmtId="175" fontId="8" fillId="8" borderId="1" xfId="13" applyNumberFormat="1" applyFont="1" applyFill="1" applyBorder="1" applyAlignment="1" applyProtection="1">
      <alignment horizontal="left"/>
    </xf>
    <xf numFmtId="166" fontId="4" fillId="8" borderId="1" xfId="2" applyNumberFormat="1" applyFont="1" applyFill="1" applyBorder="1" applyAlignment="1" applyProtection="1">
      <alignment vertical="center"/>
    </xf>
    <xf numFmtId="175" fontId="4" fillId="0" borderId="1" xfId="13" applyNumberFormat="1" applyFont="1" applyFill="1" applyBorder="1" applyAlignment="1" applyProtection="1">
      <alignment horizontal="right"/>
    </xf>
    <xf numFmtId="166" fontId="4" fillId="0" borderId="1" xfId="12" applyNumberFormat="1" applyFont="1" applyBorder="1" applyAlignment="1" applyProtection="1">
      <alignment vertical="center"/>
    </xf>
    <xf numFmtId="166" fontId="4" fillId="0" borderId="1" xfId="2" applyNumberFormat="1" applyFont="1" applyBorder="1" applyAlignment="1" applyProtection="1">
      <alignment vertical="center"/>
    </xf>
    <xf numFmtId="172" fontId="18" fillId="2" borderId="1" xfId="12" applyFont="1" applyFill="1" applyBorder="1" applyAlignment="1" applyProtection="1">
      <alignment horizontal="right" vertical="center"/>
    </xf>
    <xf numFmtId="172" fontId="18" fillId="4" borderId="1" xfId="12" applyFont="1" applyFill="1" applyBorder="1" applyAlignment="1" applyProtection="1">
      <alignment horizontal="right" vertical="center"/>
    </xf>
    <xf numFmtId="172" fontId="18" fillId="4" borderId="1" xfId="12" applyFont="1" applyFill="1" applyBorder="1" applyAlignment="1" applyProtection="1">
      <alignment horizontal="center" vertical="center"/>
    </xf>
    <xf numFmtId="166" fontId="4" fillId="3" borderId="1" xfId="2" applyNumberFormat="1" applyFont="1" applyFill="1" applyBorder="1" applyAlignment="1" applyProtection="1">
      <alignment vertical="center"/>
    </xf>
    <xf numFmtId="166" fontId="5" fillId="3" borderId="1" xfId="2" applyNumberFormat="1" applyFont="1" applyFill="1" applyBorder="1" applyAlignment="1" applyProtection="1">
      <alignment vertical="center"/>
    </xf>
    <xf numFmtId="166" fontId="4" fillId="5" borderId="1" xfId="2" applyNumberFormat="1" applyFont="1" applyFill="1" applyBorder="1" applyAlignment="1" applyProtection="1">
      <alignment vertical="center"/>
    </xf>
    <xf numFmtId="172" fontId="4" fillId="0" borderId="0" xfId="12" applyFont="1" applyFill="1" applyAlignment="1" applyProtection="1">
      <alignment vertical="center"/>
    </xf>
    <xf numFmtId="172" fontId="4" fillId="0" borderId="3" xfId="12" applyFont="1" applyFill="1" applyBorder="1" applyAlignment="1" applyProtection="1">
      <alignment vertical="center"/>
    </xf>
    <xf numFmtId="170" fontId="4" fillId="0" borderId="3" xfId="5" applyNumberFormat="1" applyFont="1" applyFill="1" applyBorder="1" applyAlignment="1" applyProtection="1">
      <alignment vertical="center"/>
    </xf>
    <xf numFmtId="10" fontId="4" fillId="0" borderId="0" xfId="5" applyNumberFormat="1" applyFont="1" applyFill="1" applyBorder="1" applyAlignment="1" applyProtection="1">
      <alignment vertical="center"/>
    </xf>
    <xf numFmtId="170" fontId="4" fillId="0" borderId="0" xfId="5" applyNumberFormat="1" applyFont="1" applyAlignment="1" applyProtection="1">
      <alignment vertical="center"/>
    </xf>
    <xf numFmtId="176" fontId="4" fillId="0" borderId="0" xfId="12" applyNumberFormat="1" applyFont="1" applyAlignment="1" applyProtection="1">
      <alignment vertical="center"/>
    </xf>
    <xf numFmtId="166" fontId="19" fillId="0" borderId="0" xfId="2" applyNumberFormat="1" applyFont="1" applyAlignment="1" applyProtection="1">
      <alignment vertical="center"/>
    </xf>
    <xf numFmtId="166" fontId="19" fillId="0" borderId="1" xfId="2" applyNumberFormat="1" applyFont="1" applyBorder="1" applyAlignment="1" applyProtection="1">
      <alignment vertical="center"/>
    </xf>
    <xf numFmtId="177" fontId="4" fillId="0" borderId="1" xfId="12" applyNumberFormat="1" applyFont="1" applyBorder="1" applyAlignment="1" applyProtection="1">
      <alignment vertical="center"/>
    </xf>
    <xf numFmtId="177" fontId="4" fillId="0" borderId="0" xfId="12" applyNumberFormat="1" applyFont="1" applyAlignment="1" applyProtection="1">
      <alignment vertical="center"/>
    </xf>
    <xf numFmtId="166" fontId="3" fillId="0" borderId="0" xfId="2" applyNumberFormat="1" applyFont="1" applyAlignment="1" applyProtection="1">
      <alignment horizontal="left"/>
    </xf>
    <xf numFmtId="166" fontId="5" fillId="0" borderId="0" xfId="2" applyNumberFormat="1" applyFont="1" applyAlignment="1" applyProtection="1">
      <alignment horizontal="left"/>
    </xf>
    <xf numFmtId="0" fontId="5" fillId="0" borderId="0" xfId="0" applyFont="1" applyAlignment="1"/>
    <xf numFmtId="165" fontId="3" fillId="0" borderId="0" xfId="2" applyFont="1" applyAlignment="1" applyProtection="1">
      <alignment horizontal="center" vertical="center"/>
    </xf>
    <xf numFmtId="166" fontId="3" fillId="9" borderId="1" xfId="2" applyNumberFormat="1" applyFont="1" applyFill="1" applyBorder="1" applyAlignment="1" applyProtection="1">
      <alignment horizontal="left" vertical="center"/>
    </xf>
    <xf numFmtId="165" fontId="3" fillId="9" borderId="1" xfId="2" applyFont="1" applyFill="1" applyBorder="1" applyAlignment="1" applyProtection="1">
      <alignment horizontal="center" vertical="center"/>
    </xf>
    <xf numFmtId="166" fontId="4" fillId="9" borderId="1" xfId="2" applyNumberFormat="1" applyFont="1" applyFill="1" applyBorder="1" applyAlignment="1" applyProtection="1">
      <alignment horizontal="left" vertical="center"/>
    </xf>
    <xf numFmtId="165" fontId="4" fillId="9" borderId="1" xfId="2" applyFont="1" applyFill="1" applyBorder="1" applyAlignment="1" applyProtection="1">
      <alignment horizontal="center" vertical="center"/>
    </xf>
    <xf numFmtId="165" fontId="3" fillId="0" borderId="0" xfId="2" applyFont="1" applyAlignment="1" applyProtection="1"/>
    <xf numFmtId="166" fontId="3" fillId="4" borderId="1" xfId="2" applyNumberFormat="1" applyFont="1" applyFill="1" applyBorder="1" applyAlignment="1" applyProtection="1">
      <alignment horizontal="left" vertical="center"/>
    </xf>
    <xf numFmtId="166" fontId="3" fillId="4" borderId="1" xfId="2" applyNumberFormat="1" applyFont="1" applyFill="1" applyBorder="1" applyAlignment="1" applyProtection="1">
      <alignment horizontal="center" vertical="center"/>
    </xf>
    <xf numFmtId="166" fontId="3" fillId="2" borderId="0" xfId="2" applyNumberFormat="1" applyFont="1" applyFill="1" applyAlignment="1" applyProtection="1"/>
    <xf numFmtId="166" fontId="4" fillId="2" borderId="1" xfId="2" applyNumberFormat="1" applyFont="1" applyFill="1" applyBorder="1" applyAlignment="1" applyProtection="1">
      <alignment horizontal="left" vertical="center"/>
    </xf>
    <xf numFmtId="166" fontId="3" fillId="2" borderId="1" xfId="2" applyNumberFormat="1" applyFont="1" applyFill="1" applyBorder="1" applyAlignment="1" applyProtection="1">
      <alignment horizontal="left" vertical="center"/>
    </xf>
    <xf numFmtId="166" fontId="4" fillId="4" borderId="1" xfId="2" applyNumberFormat="1" applyFont="1" applyFill="1" applyBorder="1" applyAlignment="1" applyProtection="1">
      <alignment horizontal="left" vertical="center"/>
    </xf>
    <xf numFmtId="165" fontId="4" fillId="0" borderId="0" xfId="2" applyFont="1" applyAlignment="1" applyProtection="1"/>
    <xf numFmtId="9" fontId="3" fillId="2" borderId="1" xfId="5" applyFont="1" applyFill="1" applyBorder="1" applyAlignment="1" applyProtection="1">
      <alignment horizontal="right" vertical="center"/>
    </xf>
    <xf numFmtId="170" fontId="3" fillId="0" borderId="0" xfId="5" applyNumberFormat="1" applyFont="1" applyAlignment="1" applyProtection="1"/>
    <xf numFmtId="165" fontId="20" fillId="0" borderId="0" xfId="2" applyFont="1" applyAlignment="1" applyProtection="1">
      <alignment horizontal="left"/>
    </xf>
    <xf numFmtId="9" fontId="3" fillId="0" borderId="0" xfId="5" applyNumberFormat="1" applyFont="1" applyAlignment="1" applyProtection="1"/>
    <xf numFmtId="166" fontId="4" fillId="0" borderId="0" xfId="2" applyNumberFormat="1" applyFont="1" applyAlignment="1" applyProtection="1">
      <alignment horizontal="left"/>
    </xf>
    <xf numFmtId="166" fontId="4" fillId="0" borderId="1" xfId="2" applyNumberFormat="1" applyFont="1" applyBorder="1" applyAlignment="1" applyProtection="1">
      <alignment horizontal="left"/>
    </xf>
    <xf numFmtId="165" fontId="3" fillId="0" borderId="1" xfId="2" applyNumberFormat="1" applyFont="1" applyBorder="1" applyAlignment="1" applyProtection="1"/>
    <xf numFmtId="166" fontId="3" fillId="0" borderId="1" xfId="2" applyNumberFormat="1" applyFont="1" applyBorder="1" applyAlignment="1" applyProtection="1"/>
    <xf numFmtId="165" fontId="3" fillId="0" borderId="1" xfId="2" applyFont="1" applyBorder="1" applyAlignment="1" applyProtection="1"/>
    <xf numFmtId="165" fontId="3" fillId="4" borderId="1" xfId="2" applyNumberFormat="1" applyFont="1" applyFill="1" applyBorder="1" applyAlignment="1" applyProtection="1">
      <alignment horizontal="center" vertical="center"/>
    </xf>
    <xf numFmtId="10" fontId="3" fillId="4" borderId="1" xfId="5" applyNumberFormat="1" applyFont="1" applyFill="1" applyBorder="1" applyAlignment="1" applyProtection="1">
      <alignment horizontal="center" vertical="center"/>
    </xf>
    <xf numFmtId="0" fontId="3" fillId="0" borderId="0" xfId="0" applyFont="1" applyFill="1" applyAlignment="1">
      <alignment horizontal="center"/>
    </xf>
    <xf numFmtId="0" fontId="21" fillId="0" borderId="0" xfId="0" applyFont="1" applyFill="1" applyAlignment="1">
      <alignment horizontal="center" wrapText="1"/>
    </xf>
    <xf numFmtId="0" fontId="4" fillId="0" borderId="0" xfId="0" applyFont="1" applyFill="1" applyAlignment="1">
      <alignment horizontal="center"/>
    </xf>
    <xf numFmtId="0" fontId="5" fillId="8" borderId="1" xfId="0" applyFont="1" applyFill="1" applyBorder="1" applyAlignment="1">
      <alignment horizontal="center"/>
    </xf>
    <xf numFmtId="0" fontId="5" fillId="8" borderId="1" xfId="0" applyFont="1" applyFill="1" applyBorder="1" applyAlignment="1">
      <alignment horizontal="center" wrapText="1"/>
    </xf>
    <xf numFmtId="0" fontId="4" fillId="0" borderId="1" xfId="0" applyFont="1" applyFill="1" applyBorder="1" applyAlignment="1">
      <alignment horizontal="center"/>
    </xf>
    <xf numFmtId="0" fontId="4" fillId="0" borderId="1" xfId="0" applyFont="1" applyFill="1" applyBorder="1" applyAlignment="1">
      <alignment horizontal="center" wrapText="1"/>
    </xf>
    <xf numFmtId="165" fontId="4" fillId="0" borderId="0" xfId="0" applyNumberFormat="1" applyFont="1" applyFill="1" applyAlignment="1">
      <alignment horizontal="center"/>
    </xf>
    <xf numFmtId="0" fontId="4" fillId="0" borderId="1" xfId="0" applyFont="1" applyFill="1" applyBorder="1" applyAlignment="1">
      <alignment horizontal="center"/>
    </xf>
    <xf numFmtId="166" fontId="4" fillId="0" borderId="1" xfId="2" applyNumberFormat="1" applyFont="1" applyFill="1" applyBorder="1" applyAlignment="1" applyProtection="1">
      <alignment horizontal="center"/>
    </xf>
    <xf numFmtId="0" fontId="4" fillId="0" borderId="0" xfId="0" applyFont="1" applyFill="1" applyAlignment="1">
      <alignment horizontal="center" wrapText="1"/>
    </xf>
    <xf numFmtId="178" fontId="4" fillId="0" borderId="0" xfId="0" applyNumberFormat="1" applyFont="1" applyFill="1" applyAlignment="1">
      <alignment horizontal="center"/>
    </xf>
    <xf numFmtId="166" fontId="4" fillId="0" borderId="0" xfId="0" applyNumberFormat="1" applyFont="1" applyFill="1" applyAlignment="1">
      <alignment horizontal="center"/>
    </xf>
    <xf numFmtId="179" fontId="3" fillId="0" borderId="0" xfId="0" applyNumberFormat="1" applyFont="1" applyFill="1" applyAlignment="1">
      <alignment horizontal="center"/>
    </xf>
    <xf numFmtId="0" fontId="22" fillId="0" borderId="0" xfId="14" applyFont="1" applyAlignment="1" applyProtection="1"/>
    <xf numFmtId="166" fontId="5" fillId="9" borderId="2" xfId="2" applyNumberFormat="1" applyFont="1" applyFill="1" applyBorder="1" applyAlignment="1" applyProtection="1">
      <alignment horizontal="center"/>
    </xf>
    <xf numFmtId="166" fontId="4" fillId="2" borderId="1" xfId="2" applyNumberFormat="1" applyFont="1" applyFill="1" applyBorder="1" applyAlignment="1" applyProtection="1"/>
    <xf numFmtId="166" fontId="18" fillId="2" borderId="1" xfId="2" applyNumberFormat="1" applyFont="1" applyFill="1" applyBorder="1" applyAlignment="1" applyProtection="1"/>
    <xf numFmtId="0" fontId="4" fillId="0" borderId="0" xfId="14" applyFont="1" applyAlignment="1" applyProtection="1"/>
    <xf numFmtId="166" fontId="3" fillId="0" borderId="1" xfId="2" applyNumberFormat="1" applyFont="1" applyFill="1" applyBorder="1" applyAlignment="1" applyProtection="1">
      <alignment horizontal="left" vertical="center"/>
    </xf>
    <xf numFmtId="166" fontId="4" fillId="0" borderId="1" xfId="2" applyNumberFormat="1" applyFont="1" applyFill="1" applyBorder="1" applyAlignment="1" applyProtection="1"/>
    <xf numFmtId="166" fontId="4" fillId="0" borderId="1" xfId="2" applyNumberFormat="1" applyFont="1" applyFill="1" applyBorder="1" applyAlignment="1" applyProtection="1">
      <alignment horizontal="left" vertical="center"/>
    </xf>
    <xf numFmtId="166" fontId="3" fillId="0" borderId="1" xfId="2" applyNumberFormat="1" applyFont="1" applyFill="1" applyBorder="1" applyAlignment="1" applyProtection="1"/>
    <xf numFmtId="166" fontId="3" fillId="2" borderId="1" xfId="2" applyNumberFormat="1" applyFont="1" applyFill="1" applyBorder="1" applyAlignment="1" applyProtection="1"/>
    <xf numFmtId="10" fontId="18" fillId="2" borderId="1" xfId="5" applyNumberFormat="1" applyFont="1" applyFill="1" applyBorder="1" applyAlignment="1" applyProtection="1"/>
    <xf numFmtId="10" fontId="4" fillId="3" borderId="1" xfId="5" applyNumberFormat="1" applyFont="1" applyFill="1" applyBorder="1" applyAlignment="1" applyProtection="1">
      <alignment horizontal="left" vertical="center"/>
    </xf>
    <xf numFmtId="10" fontId="4" fillId="3" borderId="1" xfId="5" applyNumberFormat="1" applyFont="1" applyFill="1" applyBorder="1" applyAlignment="1" applyProtection="1">
      <alignment vertical="center"/>
    </xf>
    <xf numFmtId="10" fontId="18" fillId="3" borderId="1" xfId="5" applyNumberFormat="1" applyFont="1" applyFill="1" applyBorder="1" applyAlignment="1" applyProtection="1">
      <alignment vertical="center"/>
    </xf>
    <xf numFmtId="165" fontId="4" fillId="0" borderId="0" xfId="14" applyNumberFormat="1" applyFont="1" applyAlignment="1" applyProtection="1"/>
    <xf numFmtId="165" fontId="22" fillId="0" borderId="0" xfId="14" applyNumberFormat="1" applyFont="1" applyAlignment="1" applyProtection="1"/>
    <xf numFmtId="0" fontId="23" fillId="7" borderId="0" xfId="14" applyFont="1" applyFill="1" applyAlignment="1" applyProtection="1"/>
    <xf numFmtId="166" fontId="18" fillId="7" borderId="1" xfId="2" applyNumberFormat="1" applyFont="1" applyFill="1" applyBorder="1" applyAlignment="1" applyProtection="1"/>
    <xf numFmtId="166" fontId="3" fillId="0" borderId="0" xfId="2" applyNumberFormat="1" applyFont="1" applyAlignment="1" applyProtection="1"/>
    <xf numFmtId="166" fontId="8" fillId="0" borderId="0" xfId="2" applyNumberFormat="1" applyFont="1" applyAlignment="1" applyProtection="1"/>
    <xf numFmtId="173" fontId="8" fillId="0" borderId="0" xfId="2" applyNumberFormat="1" applyFont="1" applyAlignment="1" applyProtection="1">
      <alignment horizontal="center"/>
    </xf>
    <xf numFmtId="166" fontId="24" fillId="10" borderId="3" xfId="2" applyNumberFormat="1" applyFont="1" applyFill="1" applyBorder="1" applyAlignment="1" applyProtection="1">
      <alignment horizontal="left" vertical="center"/>
    </xf>
    <xf numFmtId="164" fontId="3" fillId="10" borderId="3" xfId="8" applyFont="1" applyFill="1" applyBorder="1" applyAlignment="1" applyProtection="1">
      <alignment vertical="center"/>
    </xf>
    <xf numFmtId="0" fontId="4" fillId="11" borderId="1" xfId="0" applyFont="1" applyFill="1" applyBorder="1" applyAlignment="1">
      <alignment horizontal="left"/>
    </xf>
    <xf numFmtId="164" fontId="3" fillId="11" borderId="3" xfId="8" applyFont="1" applyFill="1" applyBorder="1" applyAlignment="1" applyProtection="1">
      <alignment vertical="center"/>
    </xf>
    <xf numFmtId="164" fontId="3" fillId="8" borderId="3" xfId="8" applyFont="1" applyFill="1" applyBorder="1" applyAlignment="1" applyProtection="1"/>
    <xf numFmtId="166" fontId="24" fillId="10" borderId="1" xfId="2" applyNumberFormat="1" applyFont="1" applyFill="1" applyBorder="1" applyAlignment="1" applyProtection="1">
      <alignment horizontal="left"/>
    </xf>
    <xf numFmtId="164" fontId="3" fillId="10" borderId="1" xfId="8" applyFont="1" applyFill="1" applyBorder="1" applyAlignment="1" applyProtection="1">
      <alignment vertical="center"/>
    </xf>
    <xf numFmtId="165" fontId="3" fillId="8" borderId="1" xfId="8" applyNumberFormat="1" applyFont="1" applyFill="1" applyBorder="1" applyAlignment="1" applyProtection="1"/>
    <xf numFmtId="166" fontId="4" fillId="11" borderId="1" xfId="2" applyNumberFormat="1" applyFont="1" applyFill="1" applyBorder="1" applyAlignment="1" applyProtection="1">
      <alignment horizontal="left"/>
    </xf>
    <xf numFmtId="166" fontId="3" fillId="8" borderId="1" xfId="2" applyNumberFormat="1" applyFont="1" applyFill="1" applyBorder="1" applyAlignment="1" applyProtection="1"/>
    <xf numFmtId="166" fontId="3" fillId="8" borderId="1" xfId="8" applyNumberFormat="1" applyFont="1" applyFill="1" applyBorder="1" applyAlignment="1" applyProtection="1"/>
    <xf numFmtId="164" fontId="3" fillId="10" borderId="1" xfId="8" applyFont="1" applyFill="1" applyBorder="1" applyAlignment="1" applyProtection="1"/>
    <xf numFmtId="164" fontId="3" fillId="8" borderId="1" xfId="8" applyFont="1" applyFill="1" applyBorder="1" applyAlignment="1" applyProtection="1"/>
    <xf numFmtId="164" fontId="3" fillId="4" borderId="1" xfId="8" applyFont="1" applyFill="1" applyBorder="1" applyAlignment="1" applyProtection="1"/>
    <xf numFmtId="165" fontId="3" fillId="4" borderId="1" xfId="8" applyNumberFormat="1" applyFont="1" applyFill="1" applyBorder="1" applyAlignment="1" applyProtection="1"/>
    <xf numFmtId="166" fontId="3" fillId="0" borderId="0" xfId="2" applyNumberFormat="1" applyFont="1" applyBorder="1" applyAlignment="1" applyProtection="1"/>
    <xf numFmtId="166" fontId="25" fillId="6" borderId="0" xfId="2" applyNumberFormat="1" applyFont="1" applyFill="1" applyBorder="1" applyAlignment="1" applyProtection="1">
      <alignment horizontal="left"/>
    </xf>
    <xf numFmtId="175" fontId="4" fillId="0" borderId="0" xfId="2" applyNumberFormat="1" applyFont="1" applyBorder="1" applyAlignment="1" applyProtection="1">
      <alignment vertical="center"/>
    </xf>
    <xf numFmtId="175" fontId="3" fillId="0" borderId="0" xfId="2" applyNumberFormat="1" applyFont="1" applyBorder="1" applyAlignment="1" applyProtection="1"/>
    <xf numFmtId="166" fontId="3" fillId="4" borderId="1" xfId="8" applyNumberFormat="1" applyFont="1" applyFill="1" applyBorder="1" applyAlignment="1" applyProtection="1"/>
    <xf numFmtId="170" fontId="3" fillId="4" borderId="1" xfId="5" applyNumberFormat="1" applyFont="1" applyFill="1" applyBorder="1" applyAlignment="1" applyProtection="1"/>
    <xf numFmtId="172" fontId="4" fillId="8" borderId="1" xfId="12" applyFont="1" applyFill="1" applyBorder="1" applyAlignment="1" applyProtection="1">
      <alignment horizontal="center" vertical="center"/>
    </xf>
    <xf numFmtId="166" fontId="17" fillId="2" borderId="1" xfId="13" applyNumberFormat="1" applyFont="1" applyFill="1" applyBorder="1" applyAlignment="1" applyProtection="1">
      <alignment horizontal="center"/>
    </xf>
    <xf numFmtId="165" fontId="3" fillId="8" borderId="1" xfId="2" applyNumberFormat="1" applyFont="1" applyFill="1" applyBorder="1" applyAlignment="1" applyProtection="1"/>
    <xf numFmtId="165" fontId="3" fillId="0" borderId="0" xfId="2" applyFont="1" applyAlignment="1" applyProtection="1">
      <alignment horizontal="left"/>
    </xf>
    <xf numFmtId="166" fontId="18" fillId="6" borderId="0" xfId="15" applyNumberFormat="1" applyFont="1" applyFill="1" applyAlignment="1" applyProtection="1"/>
    <xf numFmtId="166" fontId="18" fillId="6" borderId="0" xfId="15" applyNumberFormat="1" applyFont="1" applyFill="1" applyAlignment="1" applyProtection="1">
      <alignment horizontal="center"/>
    </xf>
    <xf numFmtId="166" fontId="18" fillId="9" borderId="1" xfId="15" applyNumberFormat="1" applyFont="1" applyFill="1" applyBorder="1" applyAlignment="1" applyProtection="1">
      <alignment horizontal="center"/>
    </xf>
    <xf numFmtId="166" fontId="26" fillId="6" borderId="1" xfId="15" applyNumberFormat="1" applyFont="1" applyFill="1" applyBorder="1" applyAlignment="1" applyProtection="1"/>
    <xf numFmtId="14" fontId="18" fillId="0" borderId="1" xfId="3" applyNumberFormat="1" applyFont="1" applyFill="1" applyBorder="1" applyAlignment="1" applyProtection="1">
      <alignment horizontal="center"/>
    </xf>
    <xf numFmtId="14" fontId="26" fillId="0" borderId="1" xfId="16" applyNumberFormat="1" applyFont="1" applyFill="1" applyBorder="1" applyAlignment="1">
      <alignment horizontal="center" vertical="center"/>
      <protection locked="0"/>
    </xf>
    <xf numFmtId="166" fontId="27" fillId="6" borderId="0" xfId="15" applyNumberFormat="1" applyFont="1" applyFill="1" applyAlignment="1" applyProtection="1"/>
    <xf numFmtId="14" fontId="26" fillId="6" borderId="1" xfId="16" applyNumberFormat="1" applyFont="1" applyFill="1" applyBorder="1" applyAlignment="1">
      <alignment horizontal="center" vertical="center"/>
      <protection locked="0"/>
    </xf>
    <xf numFmtId="166" fontId="18" fillId="6" borderId="0" xfId="15" applyNumberFormat="1" applyFont="1" applyFill="1" applyBorder="1" applyAlignment="1" applyProtection="1"/>
    <xf numFmtId="14" fontId="18" fillId="6" borderId="0" xfId="15" applyNumberFormat="1" applyFont="1" applyFill="1" applyBorder="1" applyAlignment="1" applyProtection="1"/>
    <xf numFmtId="166" fontId="18" fillId="9" borderId="5" xfId="15" applyNumberFormat="1" applyFont="1" applyFill="1" applyBorder="1" applyAlignment="1" applyProtection="1"/>
    <xf numFmtId="0" fontId="18" fillId="6" borderId="0" xfId="15" applyNumberFormat="1" applyFont="1" applyFill="1" applyAlignment="1" applyProtection="1"/>
    <xf numFmtId="0" fontId="18" fillId="6" borderId="1" xfId="15" applyNumberFormat="1" applyFont="1" applyFill="1" applyBorder="1" applyAlignment="1" applyProtection="1">
      <alignment horizontal="left"/>
    </xf>
    <xf numFmtId="0" fontId="18" fillId="6" borderId="1" xfId="15" applyNumberFormat="1" applyFont="1" applyFill="1" applyBorder="1" applyAlignment="1" applyProtection="1">
      <alignment horizontal="center"/>
    </xf>
    <xf numFmtId="0" fontId="18" fillId="6" borderId="1" xfId="0" applyNumberFormat="1" applyFont="1" applyFill="1" applyBorder="1" applyAlignment="1">
      <alignment horizontal="center"/>
    </xf>
    <xf numFmtId="0" fontId="18" fillId="6" borderId="1" xfId="15" applyNumberFormat="1" applyFont="1" applyFill="1" applyBorder="1" applyAlignment="1" applyProtection="1"/>
    <xf numFmtId="180" fontId="18" fillId="6" borderId="0" xfId="15" applyNumberFormat="1" applyFont="1" applyFill="1" applyAlignment="1" applyProtection="1"/>
    <xf numFmtId="180" fontId="18" fillId="6" borderId="0" xfId="15" applyNumberFormat="1" applyFont="1" applyFill="1" applyAlignment="1" applyProtection="1">
      <alignment horizontal="center"/>
    </xf>
    <xf numFmtId="0" fontId="18" fillId="0" borderId="0" xfId="17" applyFont="1" applyFill="1" applyAlignment="1" applyProtection="1"/>
    <xf numFmtId="166" fontId="28" fillId="6" borderId="0" xfId="15" applyNumberFormat="1" applyFont="1" applyFill="1" applyAlignment="1" applyProtection="1"/>
    <xf numFmtId="9" fontId="18" fillId="0" borderId="0" xfId="18" applyFont="1" applyFill="1" applyBorder="1" applyAlignment="1" applyProtection="1">
      <alignment vertical="center"/>
    </xf>
    <xf numFmtId="9" fontId="18" fillId="0" borderId="0" xfId="18" applyFont="1" applyFill="1" applyBorder="1" applyAlignment="1" applyProtection="1"/>
    <xf numFmtId="0" fontId="18" fillId="0" borderId="0" xfId="17" applyFont="1" applyFill="1" applyBorder="1" applyAlignment="1" applyProtection="1"/>
    <xf numFmtId="0" fontId="29" fillId="2" borderId="0" xfId="0" applyFont="1" applyFill="1" applyAlignment="1"/>
    <xf numFmtId="0" fontId="18" fillId="12" borderId="1" xfId="17" applyFont="1" applyFill="1" applyBorder="1" applyAlignment="1" applyProtection="1">
      <alignment horizontal="left"/>
    </xf>
    <xf numFmtId="3" fontId="30" fillId="12" borderId="1" xfId="15" applyNumberFormat="1" applyFont="1" applyFill="1" applyBorder="1" applyAlignment="1" applyProtection="1">
      <alignment horizontal="center"/>
    </xf>
    <xf numFmtId="9" fontId="18" fillId="6" borderId="1" xfId="18" applyFont="1" applyFill="1" applyBorder="1" applyAlignment="1" applyProtection="1"/>
    <xf numFmtId="181" fontId="18" fillId="6" borderId="1" xfId="18" applyNumberFormat="1" applyFont="1" applyFill="1" applyBorder="1" applyAlignment="1" applyProtection="1"/>
    <xf numFmtId="166" fontId="18" fillId="0" borderId="0" xfId="15" applyNumberFormat="1" applyFont="1" applyFill="1" applyAlignment="1" applyProtection="1"/>
    <xf numFmtId="166" fontId="18" fillId="6" borderId="1" xfId="15" applyNumberFormat="1" applyFont="1" applyFill="1" applyBorder="1" applyAlignment="1" applyProtection="1">
      <alignment horizontal="left"/>
    </xf>
    <xf numFmtId="166" fontId="18" fillId="0" borderId="0" xfId="15" applyNumberFormat="1" applyFont="1" applyFill="1" applyAlignment="1" applyProtection="1">
      <alignment horizontal="center"/>
    </xf>
    <xf numFmtId="166" fontId="18" fillId="8" borderId="1" xfId="15" applyNumberFormat="1" applyFont="1" applyFill="1" applyBorder="1" applyAlignment="1" applyProtection="1">
      <alignment horizontal="center"/>
    </xf>
    <xf numFmtId="3" fontId="18" fillId="0" borderId="0" xfId="15" applyNumberFormat="1" applyFont="1" applyFill="1" applyAlignment="1" applyProtection="1"/>
    <xf numFmtId="3" fontId="18" fillId="6" borderId="1" xfId="15" applyNumberFormat="1" applyFont="1" applyFill="1" applyBorder="1" applyAlignment="1" applyProtection="1">
      <alignment horizontal="right"/>
    </xf>
    <xf numFmtId="166" fontId="18" fillId="6" borderId="1" xfId="15" applyNumberFormat="1" applyFont="1" applyFill="1" applyBorder="1" applyAlignment="1" applyProtection="1">
      <alignment horizontal="right"/>
    </xf>
    <xf numFmtId="164" fontId="3" fillId="0" borderId="0" xfId="8" applyFont="1" applyAlignment="1" applyProtection="1"/>
    <xf numFmtId="164" fontId="3" fillId="3" borderId="1" xfId="8" applyFont="1" applyFill="1" applyBorder="1" applyAlignment="1" applyProtection="1">
      <alignment horizontal="center"/>
    </xf>
    <xf numFmtId="164" fontId="4" fillId="3" borderId="1" xfId="8" applyFont="1" applyFill="1" applyBorder="1" applyAlignment="1" applyProtection="1">
      <alignment horizontal="center"/>
    </xf>
    <xf numFmtId="164" fontId="4" fillId="0" borderId="0" xfId="8" applyFont="1" applyFill="1" applyBorder="1" applyAlignment="1" applyProtection="1">
      <alignment horizontal="center"/>
    </xf>
    <xf numFmtId="164" fontId="3" fillId="0" borderId="0" xfId="8" applyFont="1" applyFill="1" applyBorder="1" applyAlignment="1" applyProtection="1">
      <alignment horizontal="center"/>
    </xf>
    <xf numFmtId="164" fontId="4" fillId="3" borderId="3" xfId="8" applyFont="1" applyFill="1" applyBorder="1" applyAlignment="1" applyProtection="1">
      <alignment horizontal="center"/>
    </xf>
    <xf numFmtId="164" fontId="4" fillId="0" borderId="1" xfId="8" applyFont="1" applyBorder="1" applyAlignment="1" applyProtection="1"/>
    <xf numFmtId="164" fontId="3" fillId="0" borderId="1" xfId="8" applyFont="1" applyBorder="1" applyAlignment="1" applyProtection="1"/>
    <xf numFmtId="164" fontId="3" fillId="0" borderId="0" xfId="8" applyFont="1" applyFill="1" applyBorder="1" applyAlignment="1" applyProtection="1"/>
    <xf numFmtId="164" fontId="4" fillId="3" borderId="1" xfId="8" applyFont="1" applyFill="1" applyBorder="1" applyAlignment="1" applyProtection="1"/>
    <xf numFmtId="164" fontId="3" fillId="3" borderId="1" xfId="8" applyFont="1" applyFill="1" applyBorder="1" applyAlignment="1" applyProtection="1"/>
    <xf numFmtId="164" fontId="3" fillId="0" borderId="1" xfId="8" applyFont="1" applyFill="1" applyBorder="1" applyAlignment="1" applyProtection="1"/>
    <xf numFmtId="0" fontId="19" fillId="6" borderId="1" xfId="0" applyFont="1" applyFill="1" applyBorder="1" applyAlignment="1">
      <alignment horizontal="left" vertical="center" wrapText="1"/>
    </xf>
    <xf numFmtId="164" fontId="4" fillId="0" borderId="1" xfId="8" applyFont="1" applyBorder="1" applyAlignment="1" applyProtection="1">
      <alignment horizontal="center"/>
    </xf>
    <xf numFmtId="164" fontId="4" fillId="0" borderId="0" xfId="8" applyFont="1" applyBorder="1" applyAlignment="1" applyProtection="1">
      <alignment horizontal="center"/>
    </xf>
    <xf numFmtId="164" fontId="4" fillId="0" borderId="0" xfId="8" applyFont="1" applyBorder="1" applyAlignment="1" applyProtection="1"/>
    <xf numFmtId="164" fontId="3" fillId="0" borderId="0" xfId="8" applyFont="1" applyBorder="1" applyAlignment="1" applyProtection="1"/>
    <xf numFmtId="164" fontId="8" fillId="0" borderId="0" xfId="8" applyFont="1" applyAlignment="1" applyProtection="1"/>
    <xf numFmtId="0" fontId="19" fillId="6" borderId="0" xfId="0" applyFont="1" applyFill="1" applyAlignment="1"/>
    <xf numFmtId="0" fontId="19" fillId="6" borderId="1" xfId="0" applyFont="1" applyFill="1" applyBorder="1" applyAlignment="1">
      <alignment horizontal="center" vertical="center" wrapText="1"/>
    </xf>
    <xf numFmtId="182" fontId="19" fillId="6" borderId="0" xfId="0" applyNumberFormat="1" applyFont="1" applyFill="1" applyAlignment="1"/>
    <xf numFmtId="0" fontId="23" fillId="6" borderId="0" xfId="0" applyFont="1" applyFill="1" applyAlignment="1">
      <alignment horizontal="center" vertical="center"/>
    </xf>
    <xf numFmtId="182" fontId="23" fillId="6" borderId="0" xfId="0" applyNumberFormat="1" applyFont="1" applyFill="1" applyAlignment="1">
      <alignment horizontal="center" vertical="center"/>
    </xf>
    <xf numFmtId="0" fontId="19" fillId="4" borderId="1" xfId="0" applyFont="1" applyFill="1" applyBorder="1">
      <alignment vertical="center"/>
    </xf>
    <xf numFmtId="0" fontId="11" fillId="0" borderId="0" xfId="0" applyFont="1" applyAlignment="1"/>
    <xf numFmtId="0" fontId="11" fillId="0" borderId="0" xfId="0" applyFont="1" applyBorder="1" applyAlignment="1"/>
    <xf numFmtId="174" fontId="19" fillId="0" borderId="0" xfId="0" applyNumberFormat="1" applyFont="1" applyFill="1" applyBorder="1" applyAlignment="1">
      <alignment horizontal="center" vertical="center"/>
    </xf>
    <xf numFmtId="2" fontId="19" fillId="0" borderId="0" xfId="0" applyNumberFormat="1" applyFont="1" applyFill="1" applyBorder="1" applyAlignment="1">
      <alignment horizontal="left" vertical="center"/>
    </xf>
    <xf numFmtId="2" fontId="19" fillId="0" borderId="0" xfId="0" applyNumberFormat="1" applyFont="1" applyFill="1" applyBorder="1" applyAlignment="1">
      <alignment horizontal="center" vertical="center"/>
    </xf>
    <xf numFmtId="185" fontId="19" fillId="0" borderId="0" xfId="0" applyNumberFormat="1" applyFont="1" applyFill="1" applyBorder="1" applyAlignment="1">
      <alignment horizontal="center" vertical="center"/>
    </xf>
    <xf numFmtId="0" fontId="19" fillId="0" borderId="0" xfId="0" applyFont="1" applyFill="1" applyBorder="1" applyAlignment="1">
      <alignment horizontal="center" vertical="center"/>
    </xf>
    <xf numFmtId="0" fontId="19" fillId="0" borderId="0" xfId="0" applyFont="1" applyBorder="1" applyAlignment="1"/>
    <xf numFmtId="0" fontId="11" fillId="0" borderId="0" xfId="0" applyFont="1" applyBorder="1">
      <alignment vertical="center"/>
    </xf>
    <xf numFmtId="0" fontId="11" fillId="0" borderId="0" xfId="0" applyFont="1" applyBorder="1" applyAlignment="1">
      <alignment horizontal="center"/>
    </xf>
    <xf numFmtId="0" fontId="19" fillId="0" borderId="0" xfId="0" applyFont="1" applyAlignment="1"/>
    <xf numFmtId="0" fontId="19" fillId="0" borderId="6" xfId="0" applyFont="1" applyFill="1" applyBorder="1" applyAlignment="1">
      <alignment horizontal="center" vertical="center"/>
    </xf>
    <xf numFmtId="174" fontId="34" fillId="10" borderId="1" xfId="0" applyNumberFormat="1" applyFont="1" applyFill="1" applyBorder="1" applyAlignment="1">
      <alignment horizontal="center" vertical="center" wrapText="1"/>
    </xf>
    <xf numFmtId="174" fontId="34" fillId="10" borderId="1" xfId="0" applyNumberFormat="1" applyFont="1" applyFill="1" applyBorder="1" applyAlignment="1">
      <alignment vertical="center" wrapText="1"/>
    </xf>
    <xf numFmtId="174" fontId="5" fillId="10" borderId="1" xfId="0" applyNumberFormat="1" applyFont="1" applyFill="1" applyBorder="1" applyAlignment="1">
      <alignment horizontal="center" vertical="center" wrapText="1"/>
    </xf>
    <xf numFmtId="184" fontId="19" fillId="0" borderId="1" xfId="0" applyNumberFormat="1" applyFont="1" applyFill="1" applyBorder="1" applyAlignment="1">
      <alignment horizontal="left" vertical="center" wrapText="1"/>
    </xf>
    <xf numFmtId="182" fontId="19" fillId="0" borderId="1" xfId="0" applyNumberFormat="1" applyFont="1" applyFill="1" applyBorder="1" applyAlignment="1">
      <alignment horizontal="center" vertical="center" wrapText="1"/>
    </xf>
    <xf numFmtId="9" fontId="19" fillId="0" borderId="1" xfId="0" applyNumberFormat="1" applyFont="1" applyFill="1" applyBorder="1" applyAlignment="1">
      <alignment horizontal="center" vertical="center" wrapText="1"/>
    </xf>
    <xf numFmtId="0" fontId="19" fillId="6" borderId="1" xfId="0" applyFont="1" applyFill="1" applyBorder="1">
      <alignment vertical="center"/>
    </xf>
    <xf numFmtId="9" fontId="19" fillId="6" borderId="1" xfId="0" applyNumberFormat="1" applyFont="1" applyFill="1" applyBorder="1">
      <alignment vertical="center"/>
    </xf>
    <xf numFmtId="167" fontId="19" fillId="6" borderId="0" xfId="5" applyNumberFormat="1" applyFont="1" applyFill="1" applyAlignment="1" applyProtection="1"/>
    <xf numFmtId="2" fontId="19" fillId="6" borderId="0" xfId="0" applyNumberFormat="1" applyFont="1" applyFill="1" applyAlignment="1"/>
    <xf numFmtId="170" fontId="19" fillId="6" borderId="1" xfId="5" applyNumberFormat="1" applyFont="1" applyFill="1" applyBorder="1" applyAlignment="1" applyProtection="1">
      <alignment vertical="center"/>
    </xf>
    <xf numFmtId="9" fontId="19" fillId="6" borderId="0" xfId="5" applyFont="1" applyFill="1" applyAlignment="1" applyProtection="1"/>
    <xf numFmtId="0" fontId="19" fillId="8" borderId="1" xfId="0" applyFont="1" applyFill="1" applyBorder="1" applyAlignment="1">
      <alignment horizontal="center" vertical="center" wrapText="1"/>
    </xf>
    <xf numFmtId="182" fontId="19" fillId="8" borderId="1" xfId="0" applyNumberFormat="1" applyFont="1" applyFill="1" applyBorder="1" applyAlignment="1">
      <alignment horizontal="center" vertical="center" wrapText="1"/>
    </xf>
    <xf numFmtId="182" fontId="33" fillId="8" borderId="1" xfId="0" applyNumberFormat="1" applyFont="1" applyFill="1" applyBorder="1" applyAlignment="1">
      <alignment horizontal="center" vertical="center" wrapText="1"/>
    </xf>
    <xf numFmtId="167" fontId="19" fillId="8" borderId="1" xfId="0" applyNumberFormat="1" applyFont="1" applyFill="1" applyBorder="1" applyAlignment="1">
      <alignment horizontal="center" vertical="center" wrapText="1"/>
    </xf>
    <xf numFmtId="9" fontId="19" fillId="8" borderId="1" xfId="5" applyFont="1" applyFill="1" applyBorder="1" applyAlignment="1" applyProtection="1">
      <alignment horizontal="center" vertical="center" wrapText="1"/>
    </xf>
    <xf numFmtId="0" fontId="19" fillId="8" borderId="1" xfId="0" applyFont="1" applyFill="1" applyBorder="1">
      <alignment vertical="center"/>
    </xf>
    <xf numFmtId="167" fontId="35" fillId="0" borderId="1" xfId="0" applyNumberFormat="1" applyFont="1" applyFill="1" applyBorder="1" applyAlignment="1">
      <alignment horizontal="center" vertical="center" wrapText="1"/>
    </xf>
    <xf numFmtId="167" fontId="35" fillId="0" borderId="1" xfId="0" applyNumberFormat="1" applyFont="1" applyBorder="1" applyAlignment="1">
      <alignment horizontal="center" vertical="center" wrapText="1"/>
    </xf>
    <xf numFmtId="0" fontId="19" fillId="2" borderId="1" xfId="0" applyFont="1" applyFill="1" applyBorder="1">
      <alignment vertical="center"/>
    </xf>
    <xf numFmtId="0" fontId="19" fillId="0" borderId="1" xfId="0" applyFont="1" applyFill="1" applyBorder="1">
      <alignment vertical="center"/>
    </xf>
    <xf numFmtId="182" fontId="32" fillId="8" borderId="1" xfId="0" applyNumberFormat="1" applyFont="1" applyFill="1" applyBorder="1" applyAlignment="1">
      <alignment vertical="center" wrapText="1"/>
    </xf>
    <xf numFmtId="182" fontId="36" fillId="8" borderId="1" xfId="0" applyNumberFormat="1" applyFont="1" applyFill="1" applyBorder="1" applyAlignment="1">
      <alignment vertical="center" wrapText="1"/>
    </xf>
    <xf numFmtId="184" fontId="19" fillId="0" borderId="1" xfId="0" applyNumberFormat="1" applyFont="1" applyFill="1" applyBorder="1" applyAlignment="1">
      <alignment horizontal="left" vertical="center"/>
    </xf>
    <xf numFmtId="182" fontId="33" fillId="0" borderId="1" xfId="0" applyNumberFormat="1" applyFont="1" applyFill="1" applyBorder="1" applyAlignment="1">
      <alignment vertical="center" wrapText="1"/>
    </xf>
    <xf numFmtId="182" fontId="36" fillId="6" borderId="1" xfId="0" applyNumberFormat="1" applyFont="1" applyFill="1" applyBorder="1" applyAlignment="1">
      <alignment vertical="center" wrapText="1"/>
    </xf>
    <xf numFmtId="0" fontId="19" fillId="0" borderId="1" xfId="0" applyFont="1" applyFill="1" applyBorder="1" applyAlignment="1">
      <alignment horizontal="left" vertical="center" wrapText="1"/>
    </xf>
    <xf numFmtId="184" fontId="19" fillId="0" borderId="1" xfId="0" applyNumberFormat="1" applyFont="1" applyFill="1" applyBorder="1" applyAlignment="1">
      <alignment horizontal="left" vertical="center" wrapText="1"/>
    </xf>
    <xf numFmtId="182" fontId="19" fillId="8" borderId="1" xfId="0" applyNumberFormat="1" applyFont="1" applyFill="1" applyBorder="1" applyAlignment="1">
      <alignment horizontal="center" vertical="center"/>
    </xf>
    <xf numFmtId="182" fontId="19" fillId="8" borderId="1" xfId="0" applyNumberFormat="1" applyFont="1" applyFill="1" applyBorder="1" applyAlignment="1">
      <alignment vertical="center" wrapText="1"/>
    </xf>
    <xf numFmtId="182" fontId="34" fillId="10" borderId="1" xfId="0" applyNumberFormat="1" applyFont="1" applyFill="1" applyBorder="1" applyAlignment="1">
      <alignment horizontal="center" vertical="center" wrapText="1"/>
    </xf>
    <xf numFmtId="182" fontId="34" fillId="10" borderId="1" xfId="0" applyNumberFormat="1" applyFont="1" applyFill="1" applyBorder="1" applyAlignment="1">
      <alignment vertical="center" wrapText="1"/>
    </xf>
    <xf numFmtId="182" fontId="34" fillId="0" borderId="1" xfId="0" applyNumberFormat="1" applyFont="1" applyFill="1" applyBorder="1" applyAlignment="1">
      <alignment horizontal="center" vertical="center" wrapText="1"/>
    </xf>
    <xf numFmtId="182" fontId="19" fillId="0" borderId="1" xfId="0" applyNumberFormat="1" applyFont="1" applyFill="1" applyBorder="1" applyAlignment="1">
      <alignment vertical="center" wrapText="1"/>
    </xf>
    <xf numFmtId="0" fontId="19" fillId="0" borderId="1" xfId="0" applyFont="1" applyFill="1" applyBorder="1" applyAlignment="1">
      <alignment horizontal="right" vertical="center" wrapText="1"/>
    </xf>
    <xf numFmtId="167" fontId="33" fillId="0" borderId="1" xfId="0" applyNumberFormat="1" applyFont="1" applyBorder="1" applyAlignment="1">
      <alignment horizontal="center" vertical="center" wrapText="1"/>
    </xf>
    <xf numFmtId="182" fontId="19" fillId="0" borderId="1" xfId="0" applyNumberFormat="1" applyFont="1" applyBorder="1" applyAlignment="1">
      <alignment horizontal="center" vertical="center" wrapText="1"/>
    </xf>
    <xf numFmtId="167" fontId="19" fillId="0" borderId="1" xfId="0" applyNumberFormat="1" applyFont="1" applyFill="1" applyBorder="1" applyAlignment="1">
      <alignment horizontal="center" vertical="center" wrapText="1"/>
    </xf>
    <xf numFmtId="182" fontId="19" fillId="0" borderId="1" xfId="0" applyNumberFormat="1" applyFont="1" applyBorder="1" applyAlignment="1">
      <alignment vertical="center" wrapText="1"/>
    </xf>
    <xf numFmtId="182" fontId="37" fillId="13" borderId="1" xfId="0" applyNumberFormat="1" applyFont="1" applyFill="1" applyBorder="1" applyAlignment="1">
      <alignment horizontal="center" vertical="center" wrapText="1"/>
    </xf>
    <xf numFmtId="182" fontId="19" fillId="13" borderId="1" xfId="0" applyNumberFormat="1" applyFont="1" applyFill="1" applyBorder="1" applyAlignment="1">
      <alignment horizontal="center" vertical="center" wrapText="1"/>
    </xf>
    <xf numFmtId="182" fontId="19" fillId="8" borderId="1" xfId="0" applyNumberFormat="1" applyFont="1" applyFill="1" applyBorder="1" applyAlignment="1">
      <alignment horizontal="left" vertical="center" wrapText="1"/>
    </xf>
    <xf numFmtId="182" fontId="39" fillId="10" borderId="1" xfId="0" applyNumberFormat="1" applyFont="1" applyFill="1" applyBorder="1" applyAlignment="1">
      <alignment horizontal="center" vertical="center" wrapText="1"/>
    </xf>
    <xf numFmtId="167" fontId="34" fillId="10" borderId="1" xfId="0" applyNumberFormat="1" applyFont="1" applyFill="1" applyBorder="1" applyAlignment="1">
      <alignment horizontal="center" vertical="center" wrapText="1"/>
    </xf>
    <xf numFmtId="167" fontId="39" fillId="10" borderId="1" xfId="0" applyNumberFormat="1" applyFont="1" applyFill="1" applyBorder="1" applyAlignment="1">
      <alignment horizontal="center" vertical="center" wrapText="1"/>
    </xf>
    <xf numFmtId="182" fontId="39" fillId="10" borderId="1" xfId="0" applyNumberFormat="1" applyFont="1" applyFill="1" applyBorder="1" applyAlignment="1">
      <alignment horizontal="center" vertical="center"/>
    </xf>
    <xf numFmtId="9" fontId="19" fillId="10" borderId="1" xfId="5" applyFont="1" applyFill="1" applyBorder="1" applyAlignment="1" applyProtection="1">
      <alignment horizontal="center" vertical="center" wrapText="1"/>
    </xf>
    <xf numFmtId="10" fontId="19" fillId="6" borderId="0" xfId="0" applyNumberFormat="1" applyFont="1" applyFill="1" applyAlignment="1"/>
    <xf numFmtId="40" fontId="19" fillId="6" borderId="0" xfId="0" applyNumberFormat="1" applyFont="1" applyFill="1" applyAlignment="1"/>
    <xf numFmtId="167" fontId="19" fillId="6" borderId="0" xfId="0" applyNumberFormat="1" applyFont="1" applyFill="1" applyAlignment="1"/>
    <xf numFmtId="184" fontId="4" fillId="2" borderId="0" xfId="0" applyNumberFormat="1" applyFont="1" applyFill="1" applyAlignment="1">
      <alignment vertical="center" wrapText="1"/>
    </xf>
    <xf numFmtId="49" fontId="4" fillId="2" borderId="0" xfId="0" applyNumberFormat="1" applyFont="1" applyFill="1" applyAlignment="1">
      <alignment horizontal="left" vertical="center" wrapText="1"/>
    </xf>
    <xf numFmtId="175" fontId="4" fillId="6" borderId="0" xfId="0" applyNumberFormat="1" applyFont="1" applyFill="1" applyAlignment="1">
      <alignment horizontal="center" vertical="center" wrapText="1"/>
    </xf>
    <xf numFmtId="184" fontId="4" fillId="6" borderId="0" xfId="0" applyNumberFormat="1" applyFont="1" applyFill="1" applyBorder="1" applyAlignment="1">
      <alignment vertical="center" wrapText="1"/>
    </xf>
    <xf numFmtId="184" fontId="4" fillId="6" borderId="0" xfId="0" applyNumberFormat="1" applyFont="1" applyFill="1" applyBorder="1" applyAlignment="1">
      <alignment horizontal="right" vertical="center" wrapText="1"/>
    </xf>
    <xf numFmtId="184" fontId="4" fillId="6" borderId="0" xfId="2" applyNumberFormat="1" applyFont="1" applyFill="1" applyAlignment="1" applyProtection="1">
      <alignment horizontal="right" vertical="center" wrapText="1"/>
    </xf>
    <xf numFmtId="184" fontId="4" fillId="0" borderId="0" xfId="2" applyNumberFormat="1" applyFont="1" applyFill="1" applyAlignment="1" applyProtection="1">
      <alignment horizontal="right" vertical="center" wrapText="1"/>
    </xf>
    <xf numFmtId="184" fontId="4" fillId="0" borderId="0" xfId="2" applyNumberFormat="1" applyFont="1" applyFill="1" applyAlignment="1" applyProtection="1">
      <alignment horizontal="center" vertical="center" wrapText="1"/>
    </xf>
    <xf numFmtId="184" fontId="4" fillId="6" borderId="0" xfId="0" applyNumberFormat="1" applyFont="1" applyFill="1" applyAlignment="1">
      <alignment vertical="center" wrapText="1"/>
    </xf>
    <xf numFmtId="0" fontId="40" fillId="6" borderId="0" xfId="0" applyFont="1" applyFill="1" applyBorder="1" applyAlignment="1">
      <alignment horizontal="right" vertical="center" wrapText="1"/>
    </xf>
    <xf numFmtId="184" fontId="4" fillId="2" borderId="0" xfId="0" applyNumberFormat="1" applyFont="1" applyFill="1" applyAlignment="1">
      <alignment horizontal="right" vertical="center" wrapText="1"/>
    </xf>
    <xf numFmtId="0" fontId="40" fillId="0" borderId="0" xfId="0" applyFont="1" applyFill="1" applyBorder="1" applyAlignment="1">
      <alignment horizontal="right" vertical="center" wrapText="1"/>
    </xf>
    <xf numFmtId="0" fontId="4" fillId="0" borderId="0" xfId="0" applyFont="1" applyFill="1" applyBorder="1" applyAlignment="1">
      <alignment horizontal="right" vertical="center" wrapText="1"/>
    </xf>
    <xf numFmtId="0" fontId="40" fillId="0" borderId="0" xfId="0" applyFont="1" applyFill="1" applyBorder="1" applyAlignment="1">
      <alignment vertical="center" wrapText="1"/>
    </xf>
    <xf numFmtId="0" fontId="40" fillId="6" borderId="0" xfId="0" applyFont="1" applyFill="1" applyBorder="1" applyAlignment="1">
      <alignment vertical="center" wrapText="1"/>
    </xf>
    <xf numFmtId="2" fontId="4" fillId="0" borderId="0" xfId="0" applyNumberFormat="1" applyFont="1" applyFill="1" applyBorder="1" applyAlignment="1">
      <alignment horizontal="right" vertical="center" wrapText="1"/>
    </xf>
    <xf numFmtId="184" fontId="41" fillId="0" borderId="1" xfId="0" applyNumberFormat="1" applyFont="1" applyFill="1" applyBorder="1" applyAlignment="1">
      <alignment horizontal="center" vertical="center" wrapText="1"/>
    </xf>
    <xf numFmtId="184" fontId="4" fillId="2" borderId="0" xfId="0" applyNumberFormat="1" applyFont="1" applyFill="1" applyAlignment="1">
      <alignment horizontal="center" vertical="center" wrapText="1"/>
    </xf>
    <xf numFmtId="184" fontId="42" fillId="0" borderId="1" xfId="0" applyNumberFormat="1" applyFont="1" applyFill="1" applyBorder="1" applyAlignment="1">
      <alignment horizontal="center" vertical="center" wrapText="1"/>
    </xf>
    <xf numFmtId="184" fontId="4" fillId="6" borderId="0" xfId="0" applyNumberFormat="1" applyFont="1" applyFill="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75" fontId="19" fillId="11" borderId="1" xfId="0" applyNumberFormat="1" applyFont="1" applyFill="1" applyBorder="1" applyAlignment="1">
      <alignment horizontal="center" vertical="center" wrapText="1"/>
    </xf>
    <xf numFmtId="184" fontId="19" fillId="11" borderId="1" xfId="0" applyNumberFormat="1" applyFont="1" applyFill="1" applyBorder="1" applyAlignment="1">
      <alignment horizontal="center" vertical="center" wrapText="1"/>
    </xf>
    <xf numFmtId="184" fontId="19" fillId="11" borderId="1" xfId="0" applyNumberFormat="1" applyFont="1" applyFill="1" applyBorder="1" applyAlignment="1">
      <alignment horizontal="right" vertical="center" wrapText="1"/>
    </xf>
    <xf numFmtId="184" fontId="19" fillId="0" borderId="1" xfId="0" applyNumberFormat="1" applyFont="1" applyFill="1" applyBorder="1" applyAlignment="1">
      <alignment horizontal="right" vertical="center" wrapText="1"/>
    </xf>
    <xf numFmtId="184" fontId="19" fillId="11" borderId="1" xfId="2" applyNumberFormat="1" applyFont="1" applyFill="1" applyBorder="1" applyAlignment="1" applyProtection="1">
      <alignment horizontal="center" vertical="center" wrapText="1"/>
    </xf>
    <xf numFmtId="184" fontId="4" fillId="0" borderId="0" xfId="0" applyNumberFormat="1" applyFont="1" applyFill="1" applyAlignment="1">
      <alignment horizontal="center" vertical="center" wrapText="1"/>
    </xf>
    <xf numFmtId="184" fontId="5" fillId="2" borderId="0" xfId="0" applyNumberFormat="1" applyFont="1" applyFill="1" applyAlignment="1">
      <alignment vertical="center" wrapText="1"/>
    </xf>
    <xf numFmtId="49" fontId="43" fillId="10" borderId="1" xfId="0" applyNumberFormat="1" applyFont="1" applyFill="1" applyBorder="1" applyAlignment="1">
      <alignment horizontal="left" vertical="center" wrapText="1"/>
    </xf>
    <xf numFmtId="175" fontId="43" fillId="10" borderId="1" xfId="0" applyNumberFormat="1" applyFont="1" applyFill="1" applyBorder="1" applyAlignment="1">
      <alignment horizontal="center" vertical="center" wrapText="1"/>
    </xf>
    <xf numFmtId="184" fontId="43" fillId="10" borderId="1" xfId="0" applyNumberFormat="1" applyFont="1" applyFill="1" applyBorder="1" applyAlignment="1">
      <alignment horizontal="left" vertical="center" wrapText="1"/>
    </xf>
    <xf numFmtId="184" fontId="34" fillId="10" borderId="1" xfId="0" applyNumberFormat="1" applyFont="1" applyFill="1" applyBorder="1" applyAlignment="1">
      <alignment horizontal="right" vertical="center" wrapText="1"/>
    </xf>
    <xf numFmtId="184" fontId="34" fillId="0" borderId="1" xfId="0" applyNumberFormat="1" applyFont="1" applyFill="1" applyBorder="1" applyAlignment="1">
      <alignment horizontal="right" vertical="center" wrapText="1"/>
    </xf>
    <xf numFmtId="184" fontId="43" fillId="10" borderId="1" xfId="2" applyNumberFormat="1" applyFont="1" applyFill="1" applyBorder="1" applyAlignment="1" applyProtection="1">
      <alignment horizontal="right" vertical="center" wrapText="1"/>
    </xf>
    <xf numFmtId="184" fontId="43" fillId="0" borderId="1" xfId="2" applyNumberFormat="1" applyFont="1" applyFill="1" applyBorder="1" applyAlignment="1" applyProtection="1">
      <alignment vertical="center" wrapText="1"/>
    </xf>
    <xf numFmtId="184" fontId="43" fillId="10" borderId="1" xfId="2" applyNumberFormat="1" applyFont="1" applyFill="1" applyBorder="1" applyAlignment="1" applyProtection="1">
      <alignment horizontal="center" vertical="center" wrapText="1"/>
    </xf>
    <xf numFmtId="49" fontId="19" fillId="3" borderId="1" xfId="0" applyNumberFormat="1" applyFont="1" applyFill="1" applyBorder="1" applyAlignment="1">
      <alignment horizontal="left" vertical="center" wrapText="1"/>
    </xf>
    <xf numFmtId="175" fontId="19" fillId="3" borderId="1" xfId="0" applyNumberFormat="1" applyFont="1" applyFill="1" applyBorder="1" applyAlignment="1">
      <alignment horizontal="center" vertical="center" wrapText="1"/>
    </xf>
    <xf numFmtId="184" fontId="19" fillId="3" borderId="1" xfId="0" quotePrefix="1" applyNumberFormat="1" applyFont="1" applyFill="1" applyBorder="1" applyAlignment="1">
      <alignment horizontal="left" vertical="center" wrapText="1"/>
    </xf>
    <xf numFmtId="184" fontId="19" fillId="3" borderId="1" xfId="0" applyNumberFormat="1" applyFont="1" applyFill="1" applyBorder="1" applyAlignment="1">
      <alignment horizontal="right" vertical="center" wrapText="1"/>
    </xf>
    <xf numFmtId="184" fontId="19" fillId="0" borderId="1" xfId="0" applyNumberFormat="1" applyFont="1" applyFill="1" applyBorder="1" applyAlignment="1">
      <alignment vertical="center" wrapText="1"/>
    </xf>
    <xf numFmtId="184" fontId="34" fillId="3" borderId="1" xfId="2" applyNumberFormat="1" applyFont="1" applyFill="1" applyBorder="1" applyAlignment="1" applyProtection="1">
      <alignment horizontal="center" vertical="center" wrapText="1"/>
    </xf>
    <xf numFmtId="184" fontId="19" fillId="3" borderId="1" xfId="0" applyNumberFormat="1" applyFont="1" applyFill="1" applyBorder="1" applyAlignment="1">
      <alignment vertical="center" wrapText="1"/>
    </xf>
    <xf numFmtId="184" fontId="19" fillId="3" borderId="1" xfId="2" applyNumberFormat="1" applyFont="1" applyFill="1" applyBorder="1" applyAlignment="1" applyProtection="1">
      <alignment horizontal="center" vertical="center" wrapText="1"/>
    </xf>
    <xf numFmtId="0" fontId="19" fillId="3" borderId="1" xfId="0" applyFont="1" applyFill="1" applyBorder="1" applyAlignment="1">
      <alignment horizontal="left" vertical="center" wrapText="1"/>
    </xf>
    <xf numFmtId="184" fontId="19" fillId="3" borderId="1" xfId="2" applyNumberFormat="1" applyFont="1" applyFill="1" applyBorder="1" applyAlignment="1" applyProtection="1">
      <alignment horizontal="right" vertical="center" wrapText="1"/>
    </xf>
    <xf numFmtId="184" fontId="19" fillId="0" borderId="1" xfId="2" applyNumberFormat="1" applyFont="1" applyFill="1" applyBorder="1" applyAlignment="1" applyProtection="1">
      <alignment horizontal="right" vertical="center" wrapText="1"/>
    </xf>
    <xf numFmtId="184" fontId="4" fillId="3" borderId="1" xfId="2" applyNumberFormat="1" applyFont="1" applyFill="1" applyBorder="1" applyAlignment="1" applyProtection="1">
      <alignment horizontal="center" vertical="center" wrapText="1"/>
    </xf>
    <xf numFmtId="184" fontId="19" fillId="3" borderId="1" xfId="0" applyNumberFormat="1" applyFont="1" applyFill="1" applyBorder="1" applyAlignment="1">
      <alignment horizontal="left" vertical="center" wrapText="1"/>
    </xf>
    <xf numFmtId="175" fontId="41" fillId="4" borderId="1" xfId="0" applyNumberFormat="1" applyFont="1" applyFill="1" applyBorder="1" applyAlignment="1">
      <alignment horizontal="center" vertical="center" wrapText="1"/>
    </xf>
    <xf numFmtId="184" fontId="41" fillId="4" borderId="1" xfId="0" applyNumberFormat="1" applyFont="1" applyFill="1" applyBorder="1" applyAlignment="1">
      <alignment horizontal="left" vertical="center" wrapText="1"/>
    </xf>
    <xf numFmtId="184" fontId="34" fillId="4" borderId="1" xfId="0" applyNumberFormat="1" applyFont="1" applyFill="1" applyBorder="1" applyAlignment="1">
      <alignment horizontal="right" vertical="center" wrapText="1"/>
    </xf>
    <xf numFmtId="184" fontId="41" fillId="0" borderId="1" xfId="0" applyNumberFormat="1" applyFont="1" applyFill="1" applyBorder="1" applyAlignment="1">
      <alignment horizontal="right" vertical="center" wrapText="1"/>
    </xf>
    <xf numFmtId="184" fontId="41" fillId="4" borderId="1" xfId="0" applyNumberFormat="1" applyFont="1" applyFill="1" applyBorder="1" applyAlignment="1">
      <alignment horizontal="right" vertical="center" wrapText="1"/>
    </xf>
    <xf numFmtId="184" fontId="41" fillId="4" borderId="1" xfId="2" applyNumberFormat="1" applyFont="1" applyFill="1" applyBorder="1" applyAlignment="1" applyProtection="1">
      <alignment horizontal="center" vertical="center" wrapText="1"/>
    </xf>
    <xf numFmtId="184" fontId="5" fillId="0" borderId="0" xfId="0" applyNumberFormat="1" applyFont="1" applyFill="1" applyAlignment="1">
      <alignment vertical="center" wrapText="1"/>
    </xf>
    <xf numFmtId="184" fontId="41" fillId="4" borderId="1" xfId="2" applyNumberFormat="1" applyFont="1" applyFill="1" applyBorder="1" applyAlignment="1" applyProtection="1">
      <alignment horizontal="right" vertical="center" wrapText="1"/>
    </xf>
    <xf numFmtId="184" fontId="41" fillId="0" borderId="1" xfId="2" applyNumberFormat="1" applyFont="1" applyFill="1" applyBorder="1" applyAlignment="1" applyProtection="1">
      <alignment vertical="center" wrapText="1"/>
    </xf>
    <xf numFmtId="184" fontId="5" fillId="6" borderId="0" xfId="0" applyNumberFormat="1" applyFont="1" applyFill="1" applyAlignment="1">
      <alignment vertical="center" wrapText="1"/>
    </xf>
    <xf numFmtId="49" fontId="5" fillId="2" borderId="0" xfId="0" applyNumberFormat="1" applyFont="1" applyFill="1" applyAlignment="1">
      <alignment horizontal="left" vertical="center" wrapText="1"/>
    </xf>
    <xf numFmtId="184" fontId="5" fillId="6" borderId="0" xfId="0" applyNumberFormat="1" applyFont="1" applyFill="1" applyBorder="1" applyAlignment="1">
      <alignment horizontal="left" vertical="center" wrapText="1"/>
    </xf>
    <xf numFmtId="184" fontId="4" fillId="6" borderId="0" xfId="2" applyNumberFormat="1" applyFont="1" applyFill="1" applyBorder="1" applyAlignment="1" applyProtection="1">
      <alignment horizontal="right" vertical="center" wrapText="1"/>
    </xf>
    <xf numFmtId="175" fontId="4" fillId="6" borderId="0" xfId="0" applyNumberFormat="1" applyFont="1" applyFill="1" applyAlignment="1">
      <alignment horizontal="right" vertical="center" wrapText="1"/>
    </xf>
    <xf numFmtId="184" fontId="4" fillId="0" borderId="0" xfId="2" applyNumberFormat="1" applyFont="1" applyFill="1" applyBorder="1" applyAlignment="1" applyProtection="1">
      <alignment horizontal="right" vertical="center" wrapText="1"/>
    </xf>
    <xf numFmtId="184" fontId="4" fillId="6" borderId="0" xfId="0" applyNumberFormat="1" applyFont="1" applyFill="1" applyAlignment="1">
      <alignment horizontal="right" vertical="center" wrapText="1"/>
    </xf>
    <xf numFmtId="184" fontId="4" fillId="0" borderId="0" xfId="0" applyNumberFormat="1" applyFont="1" applyFill="1" applyAlignment="1">
      <alignment vertical="center" wrapText="1"/>
    </xf>
    <xf numFmtId="184" fontId="4" fillId="0" borderId="0" xfId="2" applyNumberFormat="1" applyFont="1" applyFill="1" applyBorder="1" applyAlignment="1" applyProtection="1">
      <alignment horizontal="center" vertical="center" wrapText="1"/>
    </xf>
    <xf numFmtId="184" fontId="4" fillId="0" borderId="0" xfId="0" applyNumberFormat="1" applyFont="1" applyFill="1" applyBorder="1" applyAlignment="1">
      <alignment vertical="center" wrapText="1"/>
    </xf>
    <xf numFmtId="184" fontId="4" fillId="6" borderId="14" xfId="0" applyNumberFormat="1" applyFont="1" applyFill="1" applyBorder="1" applyAlignment="1">
      <alignment horizontal="right" vertical="center" wrapText="1"/>
    </xf>
    <xf numFmtId="184" fontId="4" fillId="6" borderId="14" xfId="2" applyNumberFormat="1" applyFont="1" applyFill="1" applyBorder="1" applyAlignment="1" applyProtection="1">
      <alignment horizontal="right" vertical="center" wrapText="1"/>
    </xf>
    <xf numFmtId="184" fontId="5" fillId="0" borderId="0" xfId="0" applyNumberFormat="1" applyFont="1" applyFill="1" applyBorder="1" applyAlignment="1">
      <alignment horizontal="center" vertical="center" wrapText="1"/>
    </xf>
    <xf numFmtId="184" fontId="44" fillId="6" borderId="16" xfId="0" applyNumberFormat="1" applyFont="1" applyFill="1" applyBorder="1" applyAlignment="1">
      <alignment vertical="center" wrapText="1"/>
    </xf>
    <xf numFmtId="184" fontId="4" fillId="6" borderId="16" xfId="0" applyNumberFormat="1" applyFont="1" applyFill="1" applyBorder="1" applyAlignment="1">
      <alignment horizontal="right" vertical="center" wrapText="1"/>
    </xf>
    <xf numFmtId="184" fontId="4" fillId="0" borderId="0" xfId="0" applyNumberFormat="1" applyFont="1" applyFill="1" applyBorder="1" applyAlignment="1">
      <alignment horizontal="right" vertical="center" wrapText="1"/>
    </xf>
    <xf numFmtId="0" fontId="5" fillId="0" borderId="0" xfId="20" applyNumberFormat="1" applyFont="1" applyFill="1" applyBorder="1" applyAlignment="1" applyProtection="1">
      <alignment vertical="center" wrapText="1"/>
    </xf>
    <xf numFmtId="184" fontId="5" fillId="0" borderId="0" xfId="20" applyNumberFormat="1" applyFont="1" applyFill="1" applyBorder="1" applyAlignment="1" applyProtection="1">
      <alignment horizontal="left" vertical="center" wrapText="1"/>
    </xf>
    <xf numFmtId="0" fontId="5" fillId="0" borderId="0" xfId="20" applyNumberFormat="1" applyFont="1" applyFill="1" applyBorder="1" applyAlignment="1" applyProtection="1">
      <alignment horizontal="centerContinuous" vertical="center" wrapText="1"/>
    </xf>
    <xf numFmtId="184" fontId="44" fillId="6" borderId="1" xfId="0" applyNumberFormat="1" applyFont="1" applyFill="1" applyBorder="1" applyAlignment="1">
      <alignment vertical="center" wrapText="1"/>
    </xf>
    <xf numFmtId="184" fontId="4" fillId="6" borderId="1" xfId="0" applyNumberFormat="1" applyFont="1" applyFill="1" applyBorder="1" applyAlignment="1">
      <alignment horizontal="right" vertical="center" wrapText="1"/>
    </xf>
    <xf numFmtId="38" fontId="4" fillId="0" borderId="0" xfId="21" applyNumberFormat="1" applyFont="1" applyFill="1" applyBorder="1" applyAlignment="1" applyProtection="1">
      <alignment vertical="center"/>
    </xf>
    <xf numFmtId="184" fontId="4" fillId="0" borderId="0" xfId="21" applyNumberFormat="1" applyFont="1" applyFill="1" applyBorder="1" applyAlignment="1" applyProtection="1">
      <alignment horizontal="left" vertical="center" wrapText="1"/>
    </xf>
    <xf numFmtId="184" fontId="4" fillId="0" borderId="0" xfId="21" applyNumberFormat="1" applyFont="1" applyFill="1" applyBorder="1" applyAlignment="1" applyProtection="1">
      <alignment horizontal="centerContinuous" vertical="center" wrapText="1"/>
    </xf>
    <xf numFmtId="184" fontId="4" fillId="0" borderId="0" xfId="0" applyNumberFormat="1" applyFont="1" applyFill="1" applyBorder="1" applyAlignment="1">
      <alignment horizontal="center" vertical="center" wrapText="1"/>
    </xf>
    <xf numFmtId="184" fontId="4" fillId="6" borderId="2" xfId="0" applyNumberFormat="1" applyFont="1" applyFill="1" applyBorder="1" applyAlignment="1">
      <alignment horizontal="right" vertical="center" wrapText="1"/>
    </xf>
    <xf numFmtId="184" fontId="4" fillId="0" borderId="0" xfId="21" applyNumberFormat="1" applyFont="1" applyFill="1" applyBorder="1" applyAlignment="1" applyProtection="1">
      <alignment horizontal="centerContinuous" vertical="center"/>
    </xf>
    <xf numFmtId="184" fontId="4" fillId="0" borderId="0" xfId="0" applyNumberFormat="1" applyFont="1" applyFill="1" applyBorder="1" applyAlignment="1">
      <alignment horizontal="centerContinuous" vertical="center" wrapText="1"/>
    </xf>
    <xf numFmtId="184" fontId="44" fillId="6" borderId="1" xfId="22" applyNumberFormat="1" applyFont="1" applyFill="1" applyBorder="1" applyAlignment="1" applyProtection="1">
      <alignment vertical="center" wrapText="1"/>
    </xf>
    <xf numFmtId="186" fontId="4" fillId="0" borderId="0" xfId="2" applyNumberFormat="1" applyFont="1" applyFill="1" applyBorder="1" applyAlignment="1" applyProtection="1">
      <alignment horizontal="right" vertical="center" wrapText="1"/>
    </xf>
    <xf numFmtId="186" fontId="4" fillId="0" borderId="0" xfId="21" applyNumberFormat="1" applyFont="1" applyFill="1" applyBorder="1" applyAlignment="1" applyProtection="1">
      <alignment vertical="center"/>
    </xf>
    <xf numFmtId="186" fontId="4" fillId="0" borderId="0" xfId="21" applyNumberFormat="1" applyFont="1" applyFill="1" applyBorder="1" applyAlignment="1" applyProtection="1">
      <alignment horizontal="centerContinuous" vertical="center"/>
    </xf>
    <xf numFmtId="186" fontId="4" fillId="0" borderId="0" xfId="0" applyNumberFormat="1" applyFont="1" applyFill="1" applyBorder="1" applyAlignment="1">
      <alignment horizontal="centerContinuous" vertical="center" wrapText="1"/>
    </xf>
    <xf numFmtId="184" fontId="44" fillId="6" borderId="20" xfId="22" applyNumberFormat="1" applyFont="1" applyFill="1" applyBorder="1" applyAlignment="1" applyProtection="1">
      <alignment vertical="center" wrapText="1"/>
    </xf>
    <xf numFmtId="184" fontId="4" fillId="6" borderId="20" xfId="0" applyNumberFormat="1" applyFont="1" applyFill="1" applyBorder="1" applyAlignment="1">
      <alignment horizontal="right" vertical="center" wrapText="1"/>
    </xf>
    <xf numFmtId="38" fontId="24" fillId="0" borderId="0" xfId="21" applyNumberFormat="1" applyFont="1" applyFill="1" applyBorder="1" applyAlignment="1" applyProtection="1">
      <alignment vertical="center"/>
    </xf>
    <xf numFmtId="175" fontId="4" fillId="6" borderId="0" xfId="22" applyNumberFormat="1" applyFont="1" applyFill="1" applyAlignment="1" applyProtection="1">
      <alignment horizontal="center" vertical="center" wrapText="1"/>
    </xf>
    <xf numFmtId="184" fontId="4" fillId="0" borderId="0" xfId="22" applyNumberFormat="1" applyFont="1" applyFill="1" applyBorder="1" applyAlignment="1" applyProtection="1">
      <alignment vertical="center" wrapText="1"/>
    </xf>
    <xf numFmtId="38" fontId="4" fillId="0" borderId="0" xfId="21" applyNumberFormat="1" applyFont="1" applyFill="1" applyBorder="1" applyAlignment="1" applyProtection="1">
      <alignment horizontal="center" vertical="center"/>
    </xf>
    <xf numFmtId="38" fontId="24" fillId="0" borderId="0" xfId="21" applyNumberFormat="1" applyFont="1" applyFill="1" applyBorder="1" applyAlignment="1" applyProtection="1">
      <alignment horizontal="center" vertical="center"/>
    </xf>
    <xf numFmtId="184" fontId="24" fillId="0" borderId="0" xfId="21" applyNumberFormat="1" applyFont="1" applyFill="1" applyBorder="1" applyAlignment="1" applyProtection="1">
      <alignment horizontal="left" vertical="center"/>
    </xf>
    <xf numFmtId="0" fontId="19" fillId="2" borderId="0" xfId="0" applyFont="1" applyFill="1" applyAlignment="1"/>
    <xf numFmtId="0" fontId="34" fillId="4" borderId="1" xfId="0" applyFont="1" applyFill="1" applyBorder="1" applyAlignment="1">
      <alignment horizontal="center" vertical="center" wrapText="1"/>
    </xf>
    <xf numFmtId="175" fontId="34" fillId="4" borderId="1" xfId="0" quotePrefix="1" applyNumberFormat="1" applyFont="1" applyFill="1" applyBorder="1" applyAlignment="1">
      <alignment horizontal="center" vertical="center" wrapText="1"/>
    </xf>
    <xf numFmtId="184" fontId="34" fillId="4" borderId="1" xfId="0" quotePrefix="1" applyNumberFormat="1" applyFont="1" applyFill="1" applyBorder="1" applyAlignment="1">
      <alignment horizontal="center" vertical="center" wrapText="1"/>
    </xf>
    <xf numFmtId="0" fontId="43" fillId="10" borderId="1" xfId="0" applyFont="1" applyFill="1" applyBorder="1" applyAlignment="1">
      <alignment horizontal="center" vertical="center" wrapText="1"/>
    </xf>
    <xf numFmtId="38" fontId="43" fillId="10" borderId="1" xfId="0" applyNumberFormat="1" applyFont="1" applyFill="1" applyBorder="1" applyAlignment="1">
      <alignment horizontal="left" vertical="center" wrapText="1"/>
    </xf>
    <xf numFmtId="38" fontId="43" fillId="10" borderId="1" xfId="0" applyNumberFormat="1" applyFont="1" applyFill="1" applyBorder="1" applyAlignment="1">
      <alignment horizontal="center" vertical="center" wrapText="1"/>
    </xf>
    <xf numFmtId="38" fontId="37" fillId="10" borderId="1" xfId="0" applyNumberFormat="1" applyFont="1" applyFill="1" applyBorder="1" applyAlignment="1">
      <alignment horizontal="center" vertical="center" wrapText="1"/>
    </xf>
    <xf numFmtId="166" fontId="43" fillId="10" borderId="1" xfId="2" applyNumberFormat="1" applyFont="1" applyFill="1" applyBorder="1" applyAlignment="1" applyProtection="1">
      <alignment horizontal="center" vertical="center" wrapText="1"/>
    </xf>
    <xf numFmtId="175" fontId="43" fillId="10" borderId="1" xfId="2" applyNumberFormat="1" applyFont="1" applyFill="1" applyBorder="1" applyAlignment="1" applyProtection="1">
      <alignment horizontal="center" vertical="center" wrapText="1"/>
    </xf>
    <xf numFmtId="184" fontId="43" fillId="10" borderId="1" xfId="5" applyNumberFormat="1" applyFont="1" applyFill="1" applyBorder="1" applyAlignment="1" applyProtection="1">
      <alignment horizontal="center" vertical="center" wrapText="1"/>
    </xf>
    <xf numFmtId="40" fontId="43" fillId="10" borderId="1" xfId="0" applyNumberFormat="1" applyFont="1" applyFill="1" applyBorder="1" applyAlignment="1">
      <alignment horizontal="center" vertical="center" wrapText="1"/>
    </xf>
    <xf numFmtId="38" fontId="34" fillId="8" borderId="1" xfId="0" applyNumberFormat="1" applyFont="1" applyFill="1" applyBorder="1" applyAlignment="1">
      <alignment horizontal="center" vertical="center" wrapText="1"/>
    </xf>
    <xf numFmtId="38" fontId="34" fillId="8" borderId="1" xfId="0" applyNumberFormat="1" applyFont="1" applyFill="1" applyBorder="1" applyAlignment="1">
      <alignment horizontal="left" vertical="center" wrapText="1"/>
    </xf>
    <xf numFmtId="38" fontId="19" fillId="8" borderId="1" xfId="0" applyNumberFormat="1" applyFont="1" applyFill="1" applyBorder="1" applyAlignment="1">
      <alignment horizontal="center" vertical="center" wrapText="1"/>
    </xf>
    <xf numFmtId="166" fontId="19" fillId="8" borderId="1" xfId="2" applyNumberFormat="1" applyFont="1" applyFill="1" applyBorder="1" applyAlignment="1" applyProtection="1">
      <alignment horizontal="center" vertical="center" wrapText="1"/>
    </xf>
    <xf numFmtId="166" fontId="34" fillId="8" borderId="1" xfId="2" applyNumberFormat="1" applyFont="1" applyFill="1" applyBorder="1" applyAlignment="1" applyProtection="1">
      <alignment horizontal="center" vertical="center" wrapText="1"/>
    </xf>
    <xf numFmtId="175" fontId="34" fillId="8" borderId="1" xfId="2" applyNumberFormat="1" applyFont="1" applyFill="1" applyBorder="1" applyAlignment="1" applyProtection="1">
      <alignment horizontal="center" vertical="center" wrapText="1"/>
    </xf>
    <xf numFmtId="184" fontId="34" fillId="8" borderId="1" xfId="2" applyNumberFormat="1" applyFont="1" applyFill="1" applyBorder="1" applyAlignment="1" applyProtection="1">
      <alignment horizontal="center" vertical="center" wrapText="1"/>
    </xf>
    <xf numFmtId="40" fontId="34" fillId="8" borderId="1" xfId="0" applyNumberFormat="1"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1" xfId="0" applyFont="1" applyFill="1" applyBorder="1" applyAlignment="1">
      <alignment horizontal="left" vertical="center" wrapText="1"/>
    </xf>
    <xf numFmtId="0" fontId="19" fillId="4" borderId="1" xfId="0" applyFont="1" applyFill="1" applyBorder="1" applyAlignment="1">
      <alignment vertical="center" wrapText="1"/>
    </xf>
    <xf numFmtId="38" fontId="19" fillId="4" borderId="1" xfId="0" applyNumberFormat="1" applyFont="1" applyFill="1" applyBorder="1" applyAlignment="1">
      <alignment horizontal="center" vertical="center" wrapText="1"/>
    </xf>
    <xf numFmtId="184" fontId="19" fillId="4" borderId="1" xfId="0" applyNumberFormat="1" applyFont="1" applyFill="1" applyBorder="1" applyAlignment="1">
      <alignment vertical="center" wrapText="1"/>
    </xf>
    <xf numFmtId="9" fontId="19" fillId="4" borderId="1" xfId="5" applyFont="1" applyFill="1" applyBorder="1" applyAlignment="1" applyProtection="1">
      <alignment vertical="center" wrapText="1"/>
    </xf>
    <xf numFmtId="40" fontId="19" fillId="4" borderId="1" xfId="0" applyNumberFormat="1" applyFont="1" applyFill="1" applyBorder="1" applyAlignment="1">
      <alignment horizontal="center" vertical="center" wrapText="1"/>
    </xf>
    <xf numFmtId="0" fontId="19" fillId="0" borderId="0" xfId="23" applyFont="1" applyAlignment="1" applyProtection="1"/>
    <xf numFmtId="0" fontId="19" fillId="2" borderId="0" xfId="23" applyFont="1" applyFill="1" applyAlignment="1" applyProtection="1"/>
    <xf numFmtId="40" fontId="19" fillId="4" borderId="1" xfId="0" quotePrefix="1" applyNumberFormat="1" applyFont="1" applyFill="1" applyBorder="1" applyAlignment="1">
      <alignment vertical="center" wrapText="1"/>
    </xf>
    <xf numFmtId="9" fontId="19" fillId="4" borderId="1" xfId="0" applyNumberFormat="1" applyFont="1" applyFill="1" applyBorder="1" applyAlignment="1">
      <alignment horizontal="center" vertical="center" wrapText="1"/>
    </xf>
    <xf numFmtId="40" fontId="19" fillId="4" borderId="1" xfId="0" applyNumberFormat="1" applyFont="1" applyFill="1" applyBorder="1" applyAlignment="1">
      <alignment vertical="center" wrapText="1"/>
    </xf>
    <xf numFmtId="38" fontId="19" fillId="4" borderId="1" xfId="23" applyNumberFormat="1" applyFont="1" applyFill="1" applyBorder="1" applyAlignment="1" applyProtection="1">
      <alignment horizontal="center" vertical="center" wrapText="1"/>
    </xf>
    <xf numFmtId="40" fontId="19" fillId="4" borderId="1" xfId="23" applyNumberFormat="1" applyFont="1" applyFill="1" applyBorder="1" applyAlignment="1" applyProtection="1">
      <alignment horizontal="center" vertical="center" wrapText="1"/>
    </xf>
    <xf numFmtId="0" fontId="45" fillId="2" borderId="1" xfId="24" applyFont="1" applyFill="1" applyBorder="1" applyAlignment="1" applyProtection="1">
      <alignment horizontal="center" vertical="center" wrapText="1"/>
    </xf>
    <xf numFmtId="0" fontId="45" fillId="2" borderId="1" xfId="24" applyFont="1" applyFill="1" applyBorder="1" applyAlignment="1" applyProtection="1">
      <alignment horizontal="justify" vertical="center" wrapText="1"/>
    </xf>
    <xf numFmtId="0" fontId="19" fillId="6" borderId="1" xfId="0" applyFont="1" applyFill="1" applyBorder="1" applyAlignment="1">
      <alignment vertical="center" wrapText="1"/>
    </xf>
    <xf numFmtId="38" fontId="19" fillId="6" borderId="1" xfId="23" applyNumberFormat="1" applyFont="1" applyFill="1" applyBorder="1" applyAlignment="1" applyProtection="1">
      <alignment horizontal="center" vertical="center" wrapText="1"/>
    </xf>
    <xf numFmtId="184" fontId="19" fillId="6" borderId="1" xfId="0" applyNumberFormat="1" applyFont="1" applyFill="1" applyBorder="1" applyAlignment="1">
      <alignment vertical="center" wrapText="1"/>
    </xf>
    <xf numFmtId="38" fontId="19" fillId="6" borderId="1" xfId="0" applyNumberFormat="1" applyFont="1" applyFill="1" applyBorder="1" applyAlignment="1">
      <alignment horizontal="center" vertical="center" wrapText="1"/>
    </xf>
    <xf numFmtId="184" fontId="19" fillId="6" borderId="1" xfId="0" applyNumberFormat="1" applyFont="1" applyFill="1" applyBorder="1" applyAlignment="1">
      <alignment horizontal="center" vertical="center" wrapText="1"/>
    </xf>
    <xf numFmtId="40" fontId="19" fillId="6" borderId="1" xfId="0" applyNumberFormat="1" applyFont="1" applyFill="1" applyBorder="1" applyAlignment="1">
      <alignment horizontal="center" vertical="center" wrapText="1"/>
    </xf>
    <xf numFmtId="0" fontId="19" fillId="0" borderId="0" xfId="0" applyFont="1" applyBorder="1" applyAlignment="1">
      <alignment horizontal="left" vertical="center"/>
    </xf>
    <xf numFmtId="0" fontId="19" fillId="0" borderId="0" xfId="0" applyFont="1" applyBorder="1" applyAlignment="1"/>
    <xf numFmtId="0" fontId="34" fillId="2" borderId="0" xfId="0" applyFont="1" applyFill="1" applyBorder="1">
      <alignment vertical="center"/>
    </xf>
    <xf numFmtId="184" fontId="34" fillId="2" borderId="0" xfId="0" applyNumberFormat="1" applyFont="1" applyFill="1" applyBorder="1">
      <alignment vertical="center"/>
    </xf>
    <xf numFmtId="40" fontId="19" fillId="0" borderId="0" xfId="0" applyNumberFormat="1" applyFont="1" applyBorder="1" applyAlignment="1"/>
    <xf numFmtId="0" fontId="34" fillId="4" borderId="1" xfId="0" applyFont="1" applyFill="1" applyBorder="1" applyAlignment="1">
      <alignment horizontal="center" vertical="center"/>
    </xf>
    <xf numFmtId="0" fontId="19" fillId="10" borderId="1" xfId="0" applyFont="1" applyFill="1" applyBorder="1" applyAlignment="1">
      <alignment horizontal="center" vertical="center"/>
    </xf>
    <xf numFmtId="3"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xf>
    <xf numFmtId="9" fontId="19" fillId="0" borderId="1" xfId="5" applyNumberFormat="1" applyFont="1" applyBorder="1" applyAlignment="1" applyProtection="1">
      <alignment horizontal="center" vertical="center"/>
    </xf>
    <xf numFmtId="9" fontId="19" fillId="0" borderId="0" xfId="5" applyNumberFormat="1" applyFont="1" applyBorder="1" applyAlignment="1" applyProtection="1">
      <alignment horizontal="center" vertical="center"/>
    </xf>
    <xf numFmtId="0" fontId="19" fillId="0" borderId="1" xfId="0" applyFont="1" applyBorder="1" applyAlignment="1"/>
    <xf numFmtId="174" fontId="19" fillId="13" borderId="1" xfId="0" applyNumberFormat="1" applyFont="1" applyFill="1" applyBorder="1" applyAlignment="1">
      <alignment horizontal="center" vertical="center" wrapText="1"/>
    </xf>
    <xf numFmtId="0" fontId="19" fillId="0" borderId="0" xfId="0" applyFont="1" applyBorder="1" applyAlignment="1">
      <alignment horizontal="center" vertical="center" wrapText="1"/>
    </xf>
    <xf numFmtId="0" fontId="19" fillId="8" borderId="1" xfId="0" applyFont="1" applyFill="1" applyBorder="1" applyAlignment="1">
      <alignment horizontal="center" vertical="center"/>
    </xf>
    <xf numFmtId="4" fontId="19" fillId="8" borderId="1" xfId="0" applyNumberFormat="1" applyFont="1" applyFill="1" applyBorder="1" applyAlignment="1">
      <alignment horizontal="center" vertical="center"/>
    </xf>
    <xf numFmtId="3" fontId="19" fillId="8" borderId="1" xfId="0" applyNumberFormat="1" applyFont="1" applyFill="1" applyBorder="1" applyAlignment="1">
      <alignment horizontal="center" vertical="center"/>
    </xf>
    <xf numFmtId="0" fontId="19" fillId="8" borderId="0" xfId="0" applyFont="1" applyFill="1" applyBorder="1" applyAlignment="1">
      <alignment horizontal="center" vertical="center"/>
    </xf>
    <xf numFmtId="0" fontId="19" fillId="1" borderId="0" xfId="0" applyFont="1" applyFill="1" applyBorder="1" applyAlignment="1"/>
    <xf numFmtId="0" fontId="19" fillId="15" borderId="0" xfId="0" applyFont="1" applyFill="1" applyBorder="1" applyAlignment="1">
      <alignment horizontal="center"/>
    </xf>
    <xf numFmtId="0" fontId="34" fillId="0" borderId="0" xfId="0" applyFont="1" applyBorder="1" applyAlignment="1">
      <alignment horizontal="center" vertical="center"/>
    </xf>
    <xf numFmtId="0" fontId="34" fillId="10" borderId="1" xfId="0" applyFont="1" applyFill="1" applyBorder="1" applyAlignment="1">
      <alignment horizontal="center" vertical="center"/>
    </xf>
    <xf numFmtId="182" fontId="19" fillId="0" borderId="1" xfId="0" applyNumberFormat="1" applyFont="1" applyFill="1" applyBorder="1" applyAlignment="1">
      <alignment horizontal="center" vertical="center"/>
    </xf>
    <xf numFmtId="182" fontId="19" fillId="0" borderId="1" xfId="0" applyNumberFormat="1" applyFont="1" applyBorder="1" applyAlignment="1">
      <alignment horizontal="center" vertical="center"/>
    </xf>
    <xf numFmtId="182" fontId="19" fillId="0" borderId="1" xfId="0" applyNumberFormat="1" applyFont="1" applyFill="1" applyBorder="1" applyAlignment="1">
      <alignment horizontal="center" vertical="center"/>
    </xf>
    <xf numFmtId="187" fontId="19" fillId="8" borderId="1" xfId="0" applyNumberFormat="1" applyFont="1" applyFill="1" applyBorder="1" applyAlignment="1">
      <alignment horizontal="center" vertical="center"/>
    </xf>
    <xf numFmtId="183" fontId="19" fillId="0" borderId="0" xfId="0" applyNumberFormat="1" applyFont="1" applyAlignment="1"/>
    <xf numFmtId="182" fontId="19" fillId="0" borderId="0" xfId="0" applyNumberFormat="1" applyFont="1" applyAlignment="1"/>
    <xf numFmtId="0" fontId="19" fillId="4" borderId="1" xfId="25" applyFont="1" applyFill="1" applyBorder="1" applyAlignment="1" applyProtection="1">
      <alignment horizontal="center" vertical="center" wrapText="1"/>
    </xf>
    <xf numFmtId="0" fontId="19" fillId="4" borderId="0" xfId="0" applyFont="1" applyFill="1" applyBorder="1" applyAlignment="1">
      <alignment horizontal="center" vertical="center" wrapText="1"/>
    </xf>
    <xf numFmtId="0" fontId="19" fillId="2" borderId="1" xfId="0" applyFont="1" applyFill="1" applyBorder="1" applyAlignment="1">
      <alignment horizontal="center" vertical="center"/>
    </xf>
    <xf numFmtId="3" fontId="34" fillId="2" borderId="1" xfId="0" applyNumberFormat="1" applyFont="1" applyFill="1" applyBorder="1" applyAlignment="1">
      <alignment horizontal="center" vertical="center"/>
    </xf>
    <xf numFmtId="2" fontId="34" fillId="2" borderId="1" xfId="0" applyNumberFormat="1" applyFont="1" applyFill="1" applyBorder="1" applyAlignment="1">
      <alignment horizontal="center" vertical="center"/>
    </xf>
    <xf numFmtId="9" fontId="34" fillId="2" borderId="1" xfId="5" applyNumberFormat="1" applyFont="1" applyFill="1" applyBorder="1" applyAlignment="1" applyProtection="1">
      <alignment horizontal="center" vertical="center"/>
    </xf>
    <xf numFmtId="9" fontId="34" fillId="2" borderId="0" xfId="5" applyNumberFormat="1" applyFont="1" applyFill="1" applyBorder="1" applyAlignment="1" applyProtection="1">
      <alignment horizontal="center" vertical="center"/>
    </xf>
    <xf numFmtId="0" fontId="34" fillId="10" borderId="1" xfId="0" applyFont="1" applyFill="1" applyBorder="1" applyAlignment="1">
      <alignment horizontal="right" vertical="center"/>
    </xf>
    <xf numFmtId="2" fontId="34" fillId="0" borderId="1" xfId="0" applyNumberFormat="1" applyFont="1" applyFill="1" applyBorder="1" applyAlignment="1">
      <alignment horizontal="center" vertical="center"/>
    </xf>
    <xf numFmtId="182" fontId="34" fillId="0" borderId="1" xfId="0" applyNumberFormat="1" applyFont="1" applyBorder="1" applyAlignment="1">
      <alignment horizontal="center" vertical="center"/>
    </xf>
    <xf numFmtId="182" fontId="34" fillId="0" borderId="0" xfId="0" applyNumberFormat="1" applyFont="1" applyBorder="1" applyAlignment="1">
      <alignment horizontal="center" vertical="center"/>
    </xf>
    <xf numFmtId="2" fontId="19" fillId="8" borderId="1" xfId="0" applyNumberFormat="1" applyFont="1" applyFill="1" applyBorder="1" applyAlignment="1">
      <alignment horizontal="center" vertical="center"/>
    </xf>
    <xf numFmtId="182" fontId="34" fillId="8" borderId="1" xfId="0" applyNumberFormat="1" applyFont="1" applyFill="1" applyBorder="1" applyAlignment="1">
      <alignment horizontal="center" vertical="center"/>
    </xf>
    <xf numFmtId="182" fontId="34" fillId="8" borderId="0" xfId="0" applyNumberFormat="1" applyFont="1" applyFill="1" applyBorder="1" applyAlignment="1">
      <alignment horizontal="center" vertical="center"/>
    </xf>
    <xf numFmtId="0" fontId="19" fillId="16" borderId="0" xfId="0" applyFont="1" applyFill="1" applyBorder="1" applyAlignment="1">
      <alignment horizontal="center"/>
    </xf>
    <xf numFmtId="38" fontId="19" fillId="6" borderId="0" xfId="0" applyNumberFormat="1" applyFont="1" applyFill="1" applyAlignment="1">
      <alignment horizontal="center" vertical="center" wrapText="1"/>
    </xf>
    <xf numFmtId="0" fontId="19" fillId="6" borderId="0" xfId="0" applyNumberFormat="1" applyFont="1" applyFill="1" applyAlignment="1">
      <alignment horizontal="center" vertical="center" wrapText="1"/>
    </xf>
    <xf numFmtId="166" fontId="19" fillId="6" borderId="0" xfId="2" applyNumberFormat="1" applyFont="1" applyFill="1" applyAlignment="1" applyProtection="1">
      <alignment horizontal="center" vertical="center" wrapText="1"/>
    </xf>
    <xf numFmtId="184" fontId="19" fillId="6" borderId="0" xfId="0" applyNumberFormat="1" applyFont="1" applyFill="1" applyAlignment="1">
      <alignment horizontal="center" vertical="center" wrapText="1"/>
    </xf>
    <xf numFmtId="184" fontId="19" fillId="6" borderId="0" xfId="5" applyNumberFormat="1" applyFont="1" applyFill="1" applyAlignment="1" applyProtection="1">
      <alignment horizontal="center" vertical="center" wrapText="1"/>
    </xf>
    <xf numFmtId="9" fontId="19" fillId="6" borderId="0" xfId="5" applyFont="1" applyFill="1" applyAlignment="1" applyProtection="1">
      <alignment horizontal="center" vertical="center" wrapText="1"/>
    </xf>
    <xf numFmtId="175" fontId="19" fillId="6" borderId="0" xfId="0" applyNumberFormat="1" applyFont="1" applyFill="1" applyAlignment="1">
      <alignment horizontal="center" vertical="center" wrapText="1"/>
    </xf>
    <xf numFmtId="175" fontId="19" fillId="0" borderId="1" xfId="24" applyNumberFormat="1" applyFont="1" applyFill="1" applyBorder="1" applyAlignment="1" applyProtection="1">
      <alignment horizontal="center" vertical="center" wrapText="1"/>
    </xf>
    <xf numFmtId="184" fontId="19" fillId="0" borderId="1" xfId="24" applyNumberFormat="1" applyFont="1" applyFill="1" applyBorder="1" applyAlignment="1" applyProtection="1">
      <alignment horizontal="center" vertical="center" wrapText="1"/>
    </xf>
    <xf numFmtId="9" fontId="19" fillId="0" borderId="1" xfId="5" applyFont="1" applyFill="1" applyBorder="1" applyAlignment="1" applyProtection="1">
      <alignment horizontal="center" vertical="center" wrapText="1"/>
    </xf>
    <xf numFmtId="38" fontId="19" fillId="6" borderId="0" xfId="0" applyNumberFormat="1" applyFont="1" applyFill="1" applyBorder="1" applyAlignment="1">
      <alignment horizontal="center" vertical="center" wrapText="1"/>
    </xf>
    <xf numFmtId="0" fontId="34" fillId="4" borderId="22" xfId="0" applyNumberFormat="1" applyFont="1" applyFill="1" applyBorder="1" applyAlignment="1">
      <alignment horizontal="center" vertical="center" wrapText="1"/>
    </xf>
    <xf numFmtId="182" fontId="34" fillId="4" borderId="3" xfId="0" applyNumberFormat="1" applyFont="1" applyFill="1" applyBorder="1" applyAlignment="1">
      <alignment horizontal="center" vertical="center" wrapText="1"/>
    </xf>
    <xf numFmtId="184" fontId="34" fillId="4" borderId="3" xfId="0" applyNumberFormat="1" applyFont="1" applyFill="1" applyBorder="1" applyAlignment="1">
      <alignment horizontal="center" vertical="center" wrapText="1"/>
    </xf>
    <xf numFmtId="182" fontId="34" fillId="4" borderId="16" xfId="0" applyNumberFormat="1" applyFont="1" applyFill="1" applyBorder="1" applyAlignment="1">
      <alignment horizontal="center" vertical="center" wrapText="1"/>
    </xf>
    <xf numFmtId="38" fontId="43" fillId="6" borderId="0" xfId="0" applyNumberFormat="1" applyFont="1" applyFill="1" applyAlignment="1">
      <alignment horizontal="center" vertical="center" wrapText="1"/>
    </xf>
    <xf numFmtId="38" fontId="43" fillId="0" borderId="0" xfId="0" applyNumberFormat="1" applyFont="1" applyFill="1" applyAlignment="1">
      <alignment horizontal="center" vertical="center" wrapText="1"/>
    </xf>
    <xf numFmtId="0" fontId="43" fillId="10" borderId="5" xfId="0" applyNumberFormat="1" applyFont="1" applyFill="1" applyBorder="1" applyAlignment="1">
      <alignment horizontal="left" vertical="center" wrapText="1"/>
    </xf>
    <xf numFmtId="0" fontId="43" fillId="10" borderId="1" xfId="0" applyNumberFormat="1" applyFont="1" applyFill="1" applyBorder="1" applyAlignment="1">
      <alignment horizontal="center" vertical="center" wrapText="1"/>
    </xf>
    <xf numFmtId="175" fontId="43" fillId="10" borderId="1" xfId="5" applyNumberFormat="1" applyFont="1" applyFill="1" applyBorder="1" applyAlignment="1" applyProtection="1">
      <alignment horizontal="center" vertical="center" wrapText="1"/>
    </xf>
    <xf numFmtId="9" fontId="43" fillId="10" borderId="1" xfId="5" applyFont="1" applyFill="1" applyBorder="1" applyAlignment="1" applyProtection="1">
      <alignment horizontal="center" vertical="center" wrapText="1"/>
    </xf>
    <xf numFmtId="184" fontId="43" fillId="10" borderId="1" xfId="0" applyNumberFormat="1" applyFont="1" applyFill="1" applyBorder="1" applyAlignment="1">
      <alignment horizontal="center" vertical="center" wrapText="1"/>
    </xf>
    <xf numFmtId="0" fontId="19" fillId="0" borderId="0" xfId="0" applyFont="1" applyFill="1">
      <alignment vertical="center"/>
    </xf>
    <xf numFmtId="0" fontId="19" fillId="2" borderId="0" xfId="0" applyFont="1" applyFill="1">
      <alignment vertical="center"/>
    </xf>
    <xf numFmtId="0" fontId="34" fillId="8" borderId="1" xfId="0" quotePrefix="1" applyNumberFormat="1" applyFont="1" applyFill="1" applyBorder="1" applyAlignment="1">
      <alignment horizontal="left" vertical="center" wrapText="1"/>
    </xf>
    <xf numFmtId="0" fontId="34" fillId="8" borderId="1" xfId="0" quotePrefix="1" applyNumberFormat="1" applyFont="1" applyFill="1" applyBorder="1" applyAlignment="1">
      <alignment horizontal="center" vertical="center" wrapText="1"/>
    </xf>
    <xf numFmtId="38" fontId="34" fillId="8" borderId="1" xfId="0" quotePrefix="1" applyNumberFormat="1" applyFont="1" applyFill="1" applyBorder="1" applyAlignment="1">
      <alignment horizontal="left" vertical="center" wrapText="1"/>
    </xf>
    <xf numFmtId="0" fontId="34" fillId="8" borderId="1" xfId="0" applyFont="1" applyFill="1" applyBorder="1" applyAlignment="1">
      <alignment horizontal="center" vertical="center" wrapText="1"/>
    </xf>
    <xf numFmtId="9" fontId="34" fillId="8" borderId="1" xfId="5" applyFont="1" applyFill="1" applyBorder="1" applyAlignment="1" applyProtection="1">
      <alignment horizontal="center" vertical="center" wrapText="1"/>
    </xf>
    <xf numFmtId="184" fontId="34" fillId="8" borderId="1" xfId="0" applyNumberFormat="1" applyFont="1" applyFill="1" applyBorder="1" applyAlignment="1">
      <alignment horizontal="center" vertical="center" wrapText="1"/>
    </xf>
    <xf numFmtId="38" fontId="19" fillId="8" borderId="5" xfId="0" applyNumberFormat="1" applyFont="1" applyFill="1" applyBorder="1" applyAlignment="1">
      <alignment horizontal="center" vertical="center" wrapText="1"/>
    </xf>
    <xf numFmtId="0" fontId="19" fillId="11" borderId="0" xfId="0" applyFont="1" applyFill="1">
      <alignment vertical="center"/>
    </xf>
    <xf numFmtId="0" fontId="19"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9" fontId="34" fillId="2" borderId="1" xfId="5" applyFont="1" applyFill="1" applyBorder="1" applyAlignment="1" applyProtection="1">
      <alignment horizontal="center" vertical="center" wrapText="1"/>
    </xf>
    <xf numFmtId="38" fontId="19" fillId="2" borderId="1" xfId="0" applyNumberFormat="1" applyFont="1" applyFill="1" applyBorder="1" applyAlignment="1">
      <alignment horizontal="center" vertical="center" wrapText="1"/>
    </xf>
    <xf numFmtId="38" fontId="19" fillId="2" borderId="5" xfId="0" applyNumberFormat="1" applyFont="1" applyFill="1" applyBorder="1" applyAlignment="1">
      <alignment horizontal="center" vertical="center" wrapText="1"/>
    </xf>
    <xf numFmtId="9" fontId="19" fillId="2" borderId="1" xfId="5" applyFont="1" applyFill="1" applyBorder="1" applyAlignment="1" applyProtection="1">
      <alignment horizontal="center" vertical="center" wrapText="1"/>
    </xf>
    <xf numFmtId="0" fontId="45" fillId="0" borderId="1" xfId="24" applyFont="1" applyFill="1" applyBorder="1" applyAlignment="1" applyProtection="1">
      <alignment horizontal="center" vertical="center" wrapText="1"/>
    </xf>
    <xf numFmtId="184" fontId="46" fillId="0" borderId="1" xfId="0" applyNumberFormat="1" applyFont="1" applyFill="1" applyBorder="1" applyAlignment="1">
      <alignment horizontal="center" vertical="center" wrapText="1"/>
    </xf>
    <xf numFmtId="38" fontId="19" fillId="0" borderId="0" xfId="0" applyNumberFormat="1" applyFont="1" applyFill="1" applyAlignment="1">
      <alignment horizontal="center" vertical="center" wrapText="1"/>
    </xf>
    <xf numFmtId="0" fontId="34" fillId="8" borderId="5" xfId="0" quotePrefix="1" applyNumberFormat="1" applyFont="1" applyFill="1" applyBorder="1" applyAlignment="1">
      <alignment horizontal="left" vertical="center" wrapText="1"/>
    </xf>
    <xf numFmtId="38" fontId="34" fillId="8" borderId="1" xfId="0" quotePrefix="1" applyNumberFormat="1" applyFont="1" applyFill="1" applyBorder="1" applyAlignment="1">
      <alignment horizontal="center" vertical="center" wrapText="1"/>
    </xf>
    <xf numFmtId="0" fontId="4" fillId="0" borderId="5" xfId="0" applyNumberFormat="1" applyFont="1" applyFill="1" applyBorder="1">
      <alignment vertical="center"/>
    </xf>
    <xf numFmtId="0" fontId="4" fillId="0" borderId="1" xfId="0" applyNumberFormat="1" applyFont="1" applyFill="1" applyBorder="1" applyAlignment="1">
      <alignment horizontal="center" vertical="center"/>
    </xf>
    <xf numFmtId="0" fontId="45" fillId="2" borderId="1" xfId="17" applyFont="1" applyFill="1" applyBorder="1" applyAlignment="1" applyProtection="1">
      <alignment horizontal="justify" vertical="center" wrapText="1"/>
    </xf>
    <xf numFmtId="166" fontId="46" fillId="0" borderId="1" xfId="2" applyNumberFormat="1" applyFont="1" applyFill="1" applyBorder="1" applyAlignment="1" applyProtection="1">
      <alignment horizontal="center" vertical="center" wrapText="1"/>
    </xf>
    <xf numFmtId="166" fontId="19" fillId="0" borderId="1" xfId="2" applyNumberFormat="1" applyFont="1" applyFill="1" applyBorder="1" applyAlignment="1" applyProtection="1">
      <alignment horizontal="center" vertical="center" wrapText="1"/>
    </xf>
    <xf numFmtId="184" fontId="34" fillId="0" borderId="1" xfId="2" applyNumberFormat="1" applyFont="1" applyFill="1" applyBorder="1" applyAlignment="1" applyProtection="1">
      <alignment horizontal="center" vertical="center" wrapText="1"/>
    </xf>
    <xf numFmtId="166" fontId="34" fillId="0" borderId="1" xfId="2" applyNumberFormat="1" applyFont="1" applyFill="1" applyBorder="1" applyAlignment="1" applyProtection="1">
      <alignment horizontal="center" vertical="center" wrapText="1"/>
    </xf>
    <xf numFmtId="175" fontId="34" fillId="0" borderId="1" xfId="2" applyNumberFormat="1" applyFont="1" applyFill="1" applyBorder="1" applyAlignment="1" applyProtection="1">
      <alignment horizontal="center" vertical="center" wrapText="1"/>
    </xf>
    <xf numFmtId="188" fontId="34" fillId="0" borderId="1" xfId="2" applyNumberFormat="1" applyFont="1" applyFill="1" applyBorder="1" applyAlignment="1" applyProtection="1">
      <alignment horizontal="center" vertical="center" wrapText="1"/>
    </xf>
    <xf numFmtId="9" fontId="34" fillId="0" borderId="1" xfId="5" applyFont="1" applyFill="1" applyBorder="1" applyAlignment="1" applyProtection="1">
      <alignment horizontal="center" vertical="center" wrapText="1"/>
    </xf>
    <xf numFmtId="184" fontId="34" fillId="0" borderId="1" xfId="0" applyNumberFormat="1" applyFont="1" applyFill="1" applyBorder="1" applyAlignment="1">
      <alignment horizontal="center" vertical="center" wrapText="1"/>
    </xf>
    <xf numFmtId="184" fontId="19" fillId="0"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46" fillId="0" borderId="1" xfId="17" applyFont="1" applyFill="1" applyBorder="1" applyAlignment="1" applyProtection="1">
      <alignment horizontal="justify" vertical="center" wrapText="1"/>
    </xf>
    <xf numFmtId="184" fontId="46" fillId="0" borderId="1" xfId="24" applyNumberFormat="1" applyFont="1" applyFill="1" applyBorder="1" applyAlignment="1" applyProtection="1">
      <alignment horizontal="center" vertical="center" wrapText="1"/>
    </xf>
    <xf numFmtId="1" fontId="46" fillId="0" borderId="1" xfId="24" applyNumberFormat="1" applyFont="1" applyFill="1" applyBorder="1" applyAlignment="1" applyProtection="1">
      <alignment horizontal="center" vertical="center" wrapText="1"/>
    </xf>
    <xf numFmtId="188" fontId="46" fillId="0" borderId="1" xfId="24" applyNumberFormat="1" applyFont="1" applyFill="1" applyBorder="1" applyAlignment="1" applyProtection="1">
      <alignment horizontal="center" vertical="center" wrapText="1"/>
    </xf>
    <xf numFmtId="9" fontId="46" fillId="0" borderId="1" xfId="5" applyFont="1" applyFill="1" applyBorder="1" applyAlignment="1" applyProtection="1">
      <alignment horizontal="center" vertical="center" wrapText="1"/>
    </xf>
    <xf numFmtId="184" fontId="19" fillId="2" borderId="1" xfId="0" applyNumberFormat="1" applyFont="1" applyFill="1" applyBorder="1" applyAlignment="1">
      <alignment horizontal="center" vertical="center" wrapText="1"/>
    </xf>
    <xf numFmtId="184" fontId="46" fillId="0" borderId="1" xfId="2" applyNumberFormat="1" applyFont="1" applyFill="1" applyBorder="1" applyAlignment="1" applyProtection="1">
      <alignment horizontal="center" vertical="center" wrapText="1"/>
    </xf>
    <xf numFmtId="188" fontId="46" fillId="0" borderId="1" xfId="2" applyNumberFormat="1" applyFont="1" applyFill="1" applyBorder="1" applyAlignment="1" applyProtection="1">
      <alignment horizontal="center" vertical="center" wrapText="1"/>
    </xf>
    <xf numFmtId="0" fontId="19" fillId="0" borderId="1" xfId="0" applyFont="1" applyFill="1" applyBorder="1" applyAlignment="1">
      <alignment horizontal="center" vertical="center" wrapText="1"/>
    </xf>
    <xf numFmtId="175" fontId="47" fillId="0" borderId="1" xfId="2" applyNumberFormat="1" applyFont="1" applyFill="1" applyBorder="1" applyAlignment="1" applyProtection="1">
      <alignment horizontal="center" vertical="center" wrapText="1"/>
    </xf>
    <xf numFmtId="188" fontId="47" fillId="0" borderId="1" xfId="2" applyNumberFormat="1" applyFont="1" applyFill="1" applyBorder="1" applyAlignment="1" applyProtection="1">
      <alignment horizontal="center" vertical="center" wrapText="1"/>
    </xf>
    <xf numFmtId="0" fontId="46" fillId="0" borderId="1" xfId="17" applyNumberFormat="1" applyFont="1" applyFill="1" applyBorder="1" applyAlignment="1" applyProtection="1">
      <alignment horizontal="left" vertical="center"/>
    </xf>
    <xf numFmtId="188" fontId="43" fillId="10" borderId="1" xfId="5" applyNumberFormat="1" applyFont="1" applyFill="1" applyBorder="1" applyAlignment="1" applyProtection="1">
      <alignment horizontal="center" vertical="center" wrapText="1"/>
    </xf>
    <xf numFmtId="0" fontId="34" fillId="8" borderId="5" xfId="0" applyFont="1" applyFill="1" applyBorder="1" applyAlignment="1">
      <alignment horizontal="left" vertical="center" wrapText="1"/>
    </xf>
    <xf numFmtId="40" fontId="34" fillId="8" borderId="1" xfId="0" applyNumberFormat="1" applyFont="1" applyFill="1" applyBorder="1" applyAlignment="1">
      <alignment vertical="center" wrapText="1"/>
    </xf>
    <xf numFmtId="188" fontId="34" fillId="8" borderId="1" xfId="0" applyNumberFormat="1" applyFont="1" applyFill="1" applyBorder="1" applyAlignment="1">
      <alignment horizontal="center" vertical="center" wrapText="1"/>
    </xf>
    <xf numFmtId="0" fontId="19" fillId="6" borderId="0" xfId="0" applyFont="1" applyFill="1" applyAlignment="1">
      <alignment vertical="center" wrapText="1"/>
    </xf>
    <xf numFmtId="0" fontId="19" fillId="0" borderId="0" xfId="0" applyFont="1" applyFill="1" applyAlignment="1">
      <alignment vertical="center" wrapText="1"/>
    </xf>
    <xf numFmtId="188" fontId="19" fillId="0" borderId="1" xfId="0" applyNumberFormat="1" applyFont="1" applyFill="1" applyBorder="1" applyAlignment="1">
      <alignment horizontal="center" vertical="center" wrapText="1"/>
    </xf>
    <xf numFmtId="0" fontId="45" fillId="0" borderId="1" xfId="17" applyFont="1" applyFill="1" applyBorder="1" applyAlignment="1" applyProtection="1">
      <alignment horizontal="justify" vertical="center" wrapText="1"/>
    </xf>
    <xf numFmtId="0" fontId="19" fillId="5" borderId="0" xfId="0" applyFont="1" applyFill="1" applyAlignment="1">
      <alignment vertical="center" wrapText="1"/>
    </xf>
    <xf numFmtId="0" fontId="4" fillId="5" borderId="5" xfId="0" applyNumberFormat="1" applyFont="1" applyFill="1" applyBorder="1">
      <alignment vertical="center"/>
    </xf>
    <xf numFmtId="0" fontId="19" fillId="5" borderId="1" xfId="0" applyFont="1" applyFill="1" applyBorder="1" applyAlignment="1">
      <alignment horizontal="center" vertical="center" wrapText="1"/>
    </xf>
    <xf numFmtId="0" fontId="45" fillId="5" borderId="1" xfId="17" applyFont="1" applyFill="1" applyBorder="1" applyAlignment="1" applyProtection="1">
      <alignment horizontal="justify" vertical="center" wrapText="1"/>
    </xf>
    <xf numFmtId="1" fontId="46" fillId="5" borderId="1" xfId="24" applyNumberFormat="1" applyFont="1" applyFill="1" applyBorder="1" applyAlignment="1" applyProtection="1">
      <alignment horizontal="center" vertical="center" wrapText="1"/>
    </xf>
    <xf numFmtId="165" fontId="19" fillId="5" borderId="1" xfId="0" applyNumberFormat="1" applyFont="1" applyFill="1" applyBorder="1" applyAlignment="1">
      <alignment horizontal="center" vertical="center" wrapText="1"/>
    </xf>
    <xf numFmtId="188" fontId="19" fillId="5" borderId="1" xfId="0" applyNumberFormat="1" applyFont="1" applyFill="1" applyBorder="1" applyAlignment="1">
      <alignment horizontal="center" vertical="center" wrapText="1"/>
    </xf>
    <xf numFmtId="188" fontId="46" fillId="5" borderId="1" xfId="24" applyNumberFormat="1" applyFont="1" applyFill="1" applyBorder="1" applyAlignment="1" applyProtection="1">
      <alignment horizontal="center" vertical="center" wrapText="1"/>
    </xf>
    <xf numFmtId="9" fontId="19" fillId="5" borderId="1" xfId="5" applyFont="1" applyFill="1" applyBorder="1" applyAlignment="1" applyProtection="1">
      <alignment horizontal="center" vertical="center" wrapText="1"/>
    </xf>
    <xf numFmtId="184" fontId="46" fillId="5" borderId="1" xfId="0" applyNumberFormat="1" applyFont="1" applyFill="1" applyBorder="1" applyAlignment="1">
      <alignment horizontal="center" vertical="center" wrapText="1"/>
    </xf>
    <xf numFmtId="184" fontId="19" fillId="5" borderId="1" xfId="0" applyNumberFormat="1" applyFont="1" applyFill="1" applyBorder="1" applyAlignment="1">
      <alignment horizontal="center" vertical="center" wrapText="1"/>
    </xf>
    <xf numFmtId="184" fontId="34" fillId="5" borderId="1" xfId="0" applyNumberFormat="1" applyFont="1" applyFill="1" applyBorder="1" applyAlignment="1">
      <alignment horizontal="center" vertical="center" wrapText="1"/>
    </xf>
    <xf numFmtId="0" fontId="19" fillId="0" borderId="1" xfId="25" applyFont="1" applyFill="1" applyBorder="1" applyAlignment="1" applyProtection="1">
      <alignment horizontal="center" vertical="center" wrapText="1"/>
    </xf>
    <xf numFmtId="165" fontId="19" fillId="0" borderId="1" xfId="0" applyNumberFormat="1" applyFont="1" applyFill="1" applyBorder="1" applyAlignment="1">
      <alignment horizontal="center" vertical="center" wrapText="1"/>
    </xf>
    <xf numFmtId="0" fontId="45" fillId="0" borderId="1" xfId="17" applyFont="1" applyFill="1" applyBorder="1" applyAlignment="1" applyProtection="1">
      <alignment vertical="center" wrapText="1"/>
    </xf>
    <xf numFmtId="0" fontId="19" fillId="0" borderId="1" xfId="17" applyFont="1" applyFill="1" applyBorder="1" applyAlignment="1" applyProtection="1">
      <alignment horizontal="justify" vertical="center" wrapText="1"/>
    </xf>
    <xf numFmtId="0" fontId="19" fillId="2" borderId="1" xfId="17" applyFont="1" applyFill="1" applyBorder="1" applyAlignment="1" applyProtection="1">
      <alignment horizontal="justify" vertical="center" wrapText="1"/>
    </xf>
    <xf numFmtId="182" fontId="34" fillId="8" borderId="1" xfId="0" applyNumberFormat="1" applyFont="1" applyFill="1" applyBorder="1" applyAlignment="1">
      <alignment horizontal="center" vertical="center" wrapText="1"/>
    </xf>
    <xf numFmtId="2" fontId="19" fillId="5" borderId="1" xfId="0" applyNumberFormat="1" applyFont="1" applyFill="1" applyBorder="1" applyAlignment="1">
      <alignment horizontal="center" vertical="center" wrapText="1"/>
    </xf>
    <xf numFmtId="175" fontId="19" fillId="2" borderId="1" xfId="0" applyNumberFormat="1" applyFont="1" applyFill="1" applyBorder="1" applyAlignment="1">
      <alignment horizontal="center" vertical="center" wrapText="1"/>
    </xf>
    <xf numFmtId="188" fontId="19" fillId="2" borderId="1" xfId="0" applyNumberFormat="1" applyFont="1" applyFill="1" applyBorder="1" applyAlignment="1">
      <alignment horizontal="center" vertical="center" wrapText="1"/>
    </xf>
    <xf numFmtId="188" fontId="19" fillId="2" borderId="1" xfId="0" applyNumberFormat="1" applyFont="1" applyFill="1" applyBorder="1" applyAlignment="1">
      <alignment horizontal="center" vertical="center" wrapText="1"/>
    </xf>
    <xf numFmtId="9" fontId="19" fillId="2" borderId="1" xfId="5" applyFont="1" applyFill="1" applyBorder="1" applyAlignment="1" applyProtection="1">
      <alignment horizontal="center" vertical="center" wrapText="1"/>
    </xf>
    <xf numFmtId="0" fontId="19" fillId="2" borderId="1" xfId="0" applyFont="1" applyFill="1" applyBorder="1" applyAlignment="1">
      <alignment horizontal="left" vertical="center" wrapText="1"/>
    </xf>
    <xf numFmtId="184" fontId="34" fillId="6" borderId="1" xfId="0" applyNumberFormat="1" applyFont="1" applyFill="1" applyBorder="1" applyAlignment="1">
      <alignment horizontal="center" vertical="center" wrapText="1"/>
    </xf>
    <xf numFmtId="0" fontId="45" fillId="2" borderId="1" xfId="17" applyFont="1" applyFill="1" applyBorder="1" applyAlignment="1" applyProtection="1">
      <alignment horizontal="center" vertical="center" wrapText="1"/>
    </xf>
    <xf numFmtId="0" fontId="45" fillId="2" borderId="1" xfId="17" applyFont="1" applyFill="1" applyBorder="1" applyAlignment="1" applyProtection="1">
      <alignment vertical="center" wrapText="1"/>
    </xf>
    <xf numFmtId="0" fontId="46" fillId="2" borderId="1" xfId="17" applyNumberFormat="1" applyFont="1" applyFill="1" applyBorder="1" applyAlignment="1" applyProtection="1">
      <alignment horizontal="left" vertical="center"/>
    </xf>
    <xf numFmtId="0" fontId="46" fillId="2" borderId="1" xfId="17" applyNumberFormat="1" applyFont="1" applyFill="1" applyBorder="1" applyAlignment="1" applyProtection="1">
      <alignment horizontal="center" vertical="center"/>
    </xf>
    <xf numFmtId="0" fontId="19" fillId="2" borderId="1" xfId="25" applyFont="1" applyFill="1" applyBorder="1" applyAlignment="1" applyProtection="1">
      <alignment horizontal="center" vertical="center" wrapText="1"/>
    </xf>
    <xf numFmtId="0" fontId="46" fillId="0" borderId="1" xfId="0" applyFont="1" applyFill="1" applyBorder="1" applyAlignment="1">
      <alignment horizontal="center" vertical="center" wrapText="1"/>
    </xf>
    <xf numFmtId="175" fontId="46" fillId="0" borderId="1" xfId="0" applyNumberFormat="1" applyFont="1" applyFill="1" applyBorder="1" applyAlignment="1">
      <alignment horizontal="center" vertical="center" wrapText="1"/>
    </xf>
    <xf numFmtId="188" fontId="46" fillId="0" borderId="1" xfId="0" applyNumberFormat="1" applyFont="1" applyFill="1" applyBorder="1" applyAlignment="1">
      <alignment horizontal="center" vertical="center" wrapText="1"/>
    </xf>
    <xf numFmtId="40" fontId="19" fillId="0" borderId="1" xfId="0" applyNumberFormat="1" applyFont="1" applyFill="1" applyBorder="1" applyAlignment="1">
      <alignment horizontal="center" vertical="center" wrapText="1"/>
    </xf>
    <xf numFmtId="0" fontId="47" fillId="2" borderId="1" xfId="0" applyFont="1" applyFill="1" applyBorder="1" applyAlignment="1">
      <alignment horizontal="center" vertical="center" wrapText="1"/>
    </xf>
    <xf numFmtId="0" fontId="48" fillId="2" borderId="11" xfId="24" applyFont="1" applyFill="1" applyBorder="1" applyAlignment="1" applyProtection="1">
      <alignment horizontal="left" vertical="center" wrapText="1"/>
    </xf>
    <xf numFmtId="184" fontId="19" fillId="0" borderId="1" xfId="25" applyNumberFormat="1" applyFont="1" applyFill="1" applyBorder="1" applyAlignment="1" applyProtection="1">
      <alignment horizontal="center" vertical="center" wrapText="1"/>
    </xf>
    <xf numFmtId="184" fontId="19" fillId="0" borderId="1" xfId="25" applyNumberFormat="1" applyFont="1" applyFill="1" applyBorder="1" applyAlignment="1" applyProtection="1">
      <alignment vertical="center" wrapText="1"/>
    </xf>
    <xf numFmtId="0" fontId="48" fillId="2" borderId="11" xfId="24" applyFont="1" applyFill="1" applyBorder="1" applyAlignment="1" applyProtection="1">
      <alignment horizontal="center" vertical="center" wrapText="1"/>
    </xf>
    <xf numFmtId="184" fontId="19" fillId="0" borderId="1" xfId="0" applyNumberFormat="1" applyFont="1" applyFill="1" applyBorder="1" applyAlignment="1">
      <alignment horizontal="center" vertical="center"/>
    </xf>
    <xf numFmtId="0" fontId="34" fillId="8" borderId="1" xfId="17" applyFont="1" applyFill="1" applyBorder="1" applyAlignment="1" applyProtection="1">
      <alignment vertical="center" wrapText="1"/>
    </xf>
    <xf numFmtId="0" fontId="34" fillId="8" borderId="1" xfId="17" applyFont="1" applyFill="1" applyBorder="1" applyAlignment="1" applyProtection="1">
      <alignment horizontal="center" vertical="center" wrapText="1"/>
    </xf>
    <xf numFmtId="0" fontId="41" fillId="8" borderId="11" xfId="17" applyFont="1" applyFill="1" applyBorder="1" applyAlignment="1" applyProtection="1">
      <alignment vertical="center" wrapText="1"/>
    </xf>
    <xf numFmtId="188" fontId="34" fillId="8" borderId="1" xfId="2" applyNumberFormat="1" applyFont="1" applyFill="1" applyBorder="1" applyAlignment="1" applyProtection="1">
      <alignment horizontal="center" vertical="center" wrapText="1"/>
    </xf>
    <xf numFmtId="0" fontId="45" fillId="0" borderId="1" xfId="17" applyFont="1" applyFill="1" applyBorder="1" applyAlignment="1" applyProtection="1">
      <alignment horizontal="center" vertical="center" wrapText="1"/>
    </xf>
    <xf numFmtId="175" fontId="19" fillId="0" borderId="1" xfId="25" applyNumberFormat="1" applyFont="1" applyFill="1" applyBorder="1" applyAlignment="1" applyProtection="1">
      <alignment horizontal="center" vertical="center" wrapText="1"/>
    </xf>
    <xf numFmtId="188" fontId="19" fillId="0" borderId="1" xfId="25" applyNumberFormat="1" applyFont="1" applyFill="1" applyBorder="1" applyAlignment="1" applyProtection="1">
      <alignment horizontal="center" vertical="center" wrapText="1"/>
    </xf>
    <xf numFmtId="0" fontId="19" fillId="0" borderId="1" xfId="17" applyFont="1" applyFill="1" applyBorder="1" applyAlignment="1" applyProtection="1">
      <alignment horizontal="center" vertical="center" wrapText="1"/>
    </xf>
    <xf numFmtId="166" fontId="19" fillId="2" borderId="1" xfId="2" applyNumberFormat="1" applyFont="1" applyFill="1" applyBorder="1" applyAlignment="1" applyProtection="1">
      <alignment horizontal="center" vertical="center" wrapText="1"/>
    </xf>
    <xf numFmtId="1" fontId="19" fillId="0" borderId="1" xfId="24" applyNumberFormat="1" applyFont="1" applyFill="1" applyBorder="1" applyAlignment="1" applyProtection="1">
      <alignment horizontal="center" vertical="center" wrapText="1"/>
    </xf>
    <xf numFmtId="188" fontId="19" fillId="0" borderId="1" xfId="2" applyNumberFormat="1" applyFont="1" applyFill="1" applyBorder="1" applyAlignment="1" applyProtection="1">
      <alignment horizontal="center" vertical="center" wrapText="1"/>
    </xf>
    <xf numFmtId="0" fontId="19" fillId="2" borderId="1" xfId="17" applyFont="1" applyFill="1" applyBorder="1" applyAlignment="1" applyProtection="1">
      <alignment horizontal="justify" vertical="center" wrapText="1"/>
    </xf>
    <xf numFmtId="166" fontId="19" fillId="0" borderId="1" xfId="2" applyNumberFormat="1" applyFont="1" applyFill="1" applyBorder="1" applyAlignment="1" applyProtection="1">
      <alignment horizontal="left" vertical="center" wrapText="1"/>
    </xf>
    <xf numFmtId="0" fontId="19" fillId="2" borderId="1" xfId="17" applyFont="1" applyFill="1" applyBorder="1" applyAlignment="1" applyProtection="1">
      <alignment horizontal="center" vertical="center" wrapText="1"/>
    </xf>
    <xf numFmtId="0" fontId="49" fillId="0" borderId="1" xfId="17" applyNumberFormat="1" applyFont="1" applyFill="1" applyBorder="1" applyAlignment="1" applyProtection="1">
      <alignment horizontal="center" vertical="center"/>
    </xf>
    <xf numFmtId="0" fontId="34" fillId="8" borderId="1" xfId="17" applyFont="1" applyFill="1" applyBorder="1" applyAlignment="1" applyProtection="1">
      <alignment horizontal="left" vertical="center" wrapText="1"/>
    </xf>
    <xf numFmtId="167" fontId="34" fillId="8" borderId="1" xfId="2" applyNumberFormat="1" applyFont="1" applyFill="1" applyBorder="1" applyAlignment="1" applyProtection="1">
      <alignment horizontal="center" vertical="center" wrapText="1"/>
    </xf>
    <xf numFmtId="184" fontId="19" fillId="0" borderId="1" xfId="2" applyNumberFormat="1" applyFont="1" applyFill="1" applyBorder="1" applyAlignment="1" applyProtection="1">
      <alignment horizontal="center" vertical="center" wrapText="1"/>
    </xf>
    <xf numFmtId="0" fontId="46" fillId="0" borderId="1" xfId="24" applyNumberFormat="1" applyFont="1" applyFill="1" applyBorder="1" applyAlignment="1" applyProtection="1">
      <alignment horizontal="left" vertical="center"/>
    </xf>
    <xf numFmtId="0" fontId="19" fillId="11" borderId="0" xfId="0" applyFont="1" applyFill="1" applyAlignment="1">
      <alignment vertical="center" wrapText="1"/>
    </xf>
    <xf numFmtId="175" fontId="19" fillId="8" borderId="1" xfId="25" applyNumberFormat="1" applyFont="1" applyFill="1" applyBorder="1" applyAlignment="1" applyProtection="1">
      <alignment horizontal="center" vertical="center" wrapText="1"/>
    </xf>
    <xf numFmtId="0" fontId="19" fillId="2" borderId="1" xfId="26" applyFont="1" applyFill="1" applyBorder="1" applyAlignment="1" applyProtection="1">
      <alignment horizontal="left" vertical="center" wrapText="1"/>
    </xf>
    <xf numFmtId="188" fontId="19" fillId="0" borderId="1" xfId="5" applyNumberFormat="1" applyFont="1" applyFill="1" applyBorder="1" applyAlignment="1" applyProtection="1">
      <alignment horizontal="center" vertical="center" wrapText="1"/>
    </xf>
    <xf numFmtId="0" fontId="19" fillId="2" borderId="1" xfId="25" applyFont="1" applyFill="1" applyBorder="1" applyAlignment="1" applyProtection="1">
      <alignment horizontal="left" vertical="center" wrapText="1"/>
    </xf>
    <xf numFmtId="175" fontId="19" fillId="0" borderId="1" xfId="2" applyNumberFormat="1" applyFont="1" applyFill="1" applyBorder="1" applyAlignment="1" applyProtection="1">
      <alignment horizontal="center" vertical="center" wrapText="1"/>
    </xf>
    <xf numFmtId="0" fontId="19" fillId="0" borderId="1" xfId="25" applyFont="1" applyFill="1" applyBorder="1" applyAlignment="1" applyProtection="1">
      <alignment horizontal="left" vertical="center" wrapText="1"/>
    </xf>
    <xf numFmtId="188" fontId="46" fillId="0" borderId="1" xfId="2" applyNumberFormat="1" applyFont="1" applyFill="1" applyBorder="1" applyAlignment="1" applyProtection="1">
      <alignment horizontal="center" vertical="center"/>
    </xf>
    <xf numFmtId="9" fontId="46" fillId="0" borderId="1" xfId="5" applyFont="1" applyFill="1" applyBorder="1" applyAlignment="1" applyProtection="1">
      <alignment horizontal="center" vertical="center"/>
    </xf>
    <xf numFmtId="0" fontId="19" fillId="2" borderId="1" xfId="17" applyFont="1" applyFill="1" applyBorder="1" applyAlignment="1" applyProtection="1">
      <alignment horizontal="left" vertical="center" wrapText="1"/>
    </xf>
    <xf numFmtId="38" fontId="34" fillId="10" borderId="1" xfId="25" applyNumberFormat="1" applyFont="1" applyFill="1" applyBorder="1" applyAlignment="1" applyProtection="1">
      <alignment horizontal="center" vertical="center" wrapText="1"/>
    </xf>
    <xf numFmtId="184" fontId="34" fillId="10" borderId="1" xfId="2" applyNumberFormat="1" applyFont="1" applyFill="1" applyBorder="1" applyAlignment="1" applyProtection="1">
      <alignment horizontal="center" vertical="center" wrapText="1"/>
    </xf>
    <xf numFmtId="166" fontId="34" fillId="10" borderId="1" xfId="2" applyNumberFormat="1" applyFont="1" applyFill="1" applyBorder="1" applyAlignment="1" applyProtection="1">
      <alignment horizontal="center" vertical="center" wrapText="1"/>
    </xf>
    <xf numFmtId="175" fontId="34" fillId="10" borderId="1" xfId="2" applyNumberFormat="1" applyFont="1" applyFill="1" applyBorder="1" applyAlignment="1" applyProtection="1">
      <alignment horizontal="center" vertical="center" wrapText="1"/>
    </xf>
    <xf numFmtId="188" fontId="34" fillId="10" borderId="1" xfId="5" applyNumberFormat="1" applyFont="1" applyFill="1" applyBorder="1" applyAlignment="1" applyProtection="1">
      <alignment horizontal="center" vertical="center" wrapText="1"/>
    </xf>
    <xf numFmtId="9" fontId="34" fillId="10" borderId="1" xfId="5" applyFont="1" applyFill="1" applyBorder="1" applyAlignment="1" applyProtection="1">
      <alignment horizontal="center" vertical="center" wrapText="1"/>
    </xf>
    <xf numFmtId="40" fontId="34" fillId="10" borderId="1" xfId="25" applyNumberFormat="1" applyFont="1" applyFill="1" applyBorder="1" applyAlignment="1" applyProtection="1">
      <alignment horizontal="center" vertical="center" wrapText="1"/>
    </xf>
    <xf numFmtId="0" fontId="34" fillId="8" borderId="1" xfId="25" applyFont="1" applyFill="1" applyBorder="1" applyAlignment="1" applyProtection="1">
      <alignment horizontal="center" vertical="center" wrapText="1"/>
    </xf>
    <xf numFmtId="184" fontId="34" fillId="8" borderId="1" xfId="25" applyNumberFormat="1" applyFont="1" applyFill="1" applyBorder="1" applyAlignment="1" applyProtection="1">
      <alignment horizontal="center" vertical="center" wrapText="1"/>
    </xf>
    <xf numFmtId="0" fontId="19" fillId="0" borderId="5" xfId="27" applyFont="1" applyFill="1" applyBorder="1" applyAlignment="1">
      <alignment horizontal="center" vertical="center"/>
      <protection locked="0"/>
    </xf>
    <xf numFmtId="175" fontId="19" fillId="0" borderId="1" xfId="0" applyNumberFormat="1" applyFont="1" applyFill="1" applyBorder="1" applyAlignment="1">
      <alignment horizontal="center" vertical="center" wrapText="1"/>
    </xf>
    <xf numFmtId="184" fontId="19" fillId="8" borderId="1" xfId="2" applyNumberFormat="1" applyFont="1" applyFill="1" applyBorder="1" applyAlignment="1" applyProtection="1">
      <alignment horizontal="center" vertical="center" wrapText="1"/>
    </xf>
    <xf numFmtId="40" fontId="34" fillId="8" borderId="1" xfId="25" applyNumberFormat="1" applyFont="1" applyFill="1" applyBorder="1" applyAlignment="1" applyProtection="1">
      <alignment horizontal="center" vertical="center" wrapText="1"/>
    </xf>
    <xf numFmtId="40" fontId="19" fillId="0" borderId="1" xfId="25" applyNumberFormat="1" applyFont="1" applyFill="1" applyBorder="1" applyAlignment="1" applyProtection="1">
      <alignment horizontal="center" vertical="center" wrapText="1"/>
    </xf>
    <xf numFmtId="0" fontId="50" fillId="0" borderId="1" xfId="0" applyFont="1" applyFill="1" applyBorder="1" applyAlignment="1">
      <alignment horizontal="center" vertical="center"/>
    </xf>
    <xf numFmtId="0" fontId="45" fillId="0" borderId="1" xfId="17" applyFont="1" applyFill="1" applyBorder="1" applyAlignment="1" applyProtection="1">
      <alignment horizontal="left" vertical="center" wrapText="1" indent="1"/>
    </xf>
    <xf numFmtId="175" fontId="19" fillId="8" borderId="1" xfId="2" applyNumberFormat="1" applyFont="1" applyFill="1" applyBorder="1" applyAlignment="1" applyProtection="1">
      <alignment horizontal="center" vertical="center" wrapText="1"/>
    </xf>
    <xf numFmtId="188" fontId="19" fillId="8" borderId="1" xfId="2" applyNumberFormat="1" applyFont="1" applyFill="1" applyBorder="1" applyAlignment="1" applyProtection="1">
      <alignment horizontal="center" vertical="center" wrapText="1"/>
    </xf>
    <xf numFmtId="38" fontId="19" fillId="0" borderId="1" xfId="0" applyNumberFormat="1" applyFont="1" applyFill="1" applyBorder="1" applyAlignment="1">
      <alignment horizontal="center" vertical="center" wrapText="1"/>
    </xf>
    <xf numFmtId="0" fontId="19" fillId="2" borderId="1" xfId="26" applyFont="1" applyFill="1" applyBorder="1" applyAlignment="1" applyProtection="1">
      <alignment horizontal="center" vertical="center" wrapText="1"/>
    </xf>
    <xf numFmtId="38" fontId="43" fillId="10" borderId="20" xfId="0" applyNumberFormat="1" applyFont="1" applyFill="1" applyBorder="1" applyAlignment="1">
      <alignment horizontal="left" vertical="center" wrapText="1"/>
    </xf>
    <xf numFmtId="38" fontId="43" fillId="10" borderId="20" xfId="0" applyNumberFormat="1" applyFont="1" applyFill="1" applyBorder="1" applyAlignment="1">
      <alignment horizontal="center" vertical="center" wrapText="1"/>
    </xf>
    <xf numFmtId="38" fontId="34" fillId="10" borderId="20" xfId="25" applyNumberFormat="1" applyFont="1" applyFill="1" applyBorder="1" applyAlignment="1" applyProtection="1">
      <alignment horizontal="center" vertical="center" wrapText="1"/>
    </xf>
    <xf numFmtId="188" fontId="43" fillId="10" borderId="1" xfId="0" applyNumberFormat="1" applyFont="1" applyFill="1" applyBorder="1" applyAlignment="1">
      <alignment horizontal="center" vertical="center" wrapText="1"/>
    </xf>
    <xf numFmtId="184" fontId="43" fillId="10" borderId="2" xfId="0" applyNumberFormat="1" applyFont="1" applyFill="1" applyBorder="1" applyAlignment="1">
      <alignment horizontal="center" vertical="center" wrapText="1"/>
    </xf>
    <xf numFmtId="184" fontId="43" fillId="10" borderId="20" xfId="0" applyNumberFormat="1" applyFont="1" applyFill="1" applyBorder="1" applyAlignment="1">
      <alignment horizontal="center" vertical="center" wrapText="1"/>
    </xf>
    <xf numFmtId="0" fontId="47" fillId="8" borderId="1" xfId="24" applyNumberFormat="1" applyFont="1" applyFill="1" applyBorder="1" applyAlignment="1" applyProtection="1">
      <alignment horizontal="left" vertical="center" wrapText="1"/>
    </xf>
    <xf numFmtId="0" fontId="34" fillId="8" borderId="1" xfId="24" applyNumberFormat="1" applyFont="1" applyFill="1" applyBorder="1" applyAlignment="1" applyProtection="1">
      <alignment horizontal="center" vertical="center" wrapText="1"/>
    </xf>
    <xf numFmtId="0" fontId="47" fillId="8" borderId="1" xfId="24" applyFont="1" applyFill="1" applyBorder="1" applyAlignment="1" applyProtection="1">
      <alignment horizontal="left" vertical="center" wrapText="1"/>
    </xf>
    <xf numFmtId="0" fontId="34" fillId="2" borderId="0" xfId="25" applyNumberFormat="1" applyFont="1" applyFill="1" applyBorder="1" applyAlignment="1" applyProtection="1">
      <alignment horizontal="center" vertical="center" wrapText="1"/>
    </xf>
    <xf numFmtId="0" fontId="19" fillId="2" borderId="0" xfId="25" applyFont="1" applyFill="1" applyBorder="1" applyAlignment="1" applyProtection="1">
      <alignment horizontal="left" vertical="center" wrapText="1"/>
    </xf>
    <xf numFmtId="0" fontId="19" fillId="2" borderId="0" xfId="25" applyFont="1" applyFill="1" applyBorder="1" applyAlignment="1" applyProtection="1">
      <alignment horizontal="center" vertical="center" wrapText="1"/>
    </xf>
    <xf numFmtId="184" fontId="19" fillId="2" borderId="0" xfId="25" applyNumberFormat="1" applyFont="1" applyFill="1" applyBorder="1" applyAlignment="1" applyProtection="1">
      <alignment horizontal="center" vertical="center" wrapText="1"/>
    </xf>
    <xf numFmtId="0" fontId="19" fillId="2" borderId="0" xfId="25" applyFont="1" applyFill="1" applyBorder="1" applyAlignment="1" applyProtection="1">
      <alignment vertical="center" wrapText="1"/>
    </xf>
    <xf numFmtId="167" fontId="19" fillId="2" borderId="0" xfId="25" applyNumberFormat="1" applyFont="1" applyFill="1" applyBorder="1" applyAlignment="1" applyProtection="1">
      <alignment horizontal="center" vertical="center" wrapText="1"/>
    </xf>
    <xf numFmtId="175" fontId="19" fillId="2" borderId="0" xfId="25" applyNumberFormat="1" applyFont="1" applyFill="1" applyBorder="1" applyAlignment="1" applyProtection="1">
      <alignment horizontal="center" vertical="center" wrapText="1"/>
    </xf>
    <xf numFmtId="184" fontId="19" fillId="6" borderId="0" xfId="0" applyNumberFormat="1" applyFont="1" applyFill="1" applyBorder="1" applyAlignment="1">
      <alignment horizontal="center" vertical="center" wrapText="1"/>
    </xf>
    <xf numFmtId="0" fontId="19" fillId="2" borderId="0" xfId="0" applyNumberFormat="1" applyFont="1" applyFill="1" applyAlignment="1">
      <alignment horizontal="center" vertical="center" wrapText="1"/>
    </xf>
    <xf numFmtId="166" fontId="19" fillId="2" borderId="0" xfId="2" applyNumberFormat="1" applyFont="1" applyFill="1" applyAlignment="1" applyProtection="1">
      <alignment horizontal="center" vertical="center" wrapText="1"/>
    </xf>
    <xf numFmtId="184" fontId="19" fillId="2" borderId="0" xfId="5" applyNumberFormat="1" applyFont="1" applyFill="1" applyAlignment="1" applyProtection="1">
      <alignment horizontal="center" vertical="center" wrapText="1"/>
    </xf>
    <xf numFmtId="9" fontId="19" fillId="2" borderId="0" xfId="5" applyFont="1" applyFill="1" applyAlignment="1" applyProtection="1">
      <alignment horizontal="center" vertical="center" wrapText="1"/>
    </xf>
    <xf numFmtId="175" fontId="19" fillId="2" borderId="0" xfId="0" applyNumberFormat="1" applyFont="1" applyFill="1" applyAlignment="1">
      <alignment horizontal="center" vertical="center" wrapText="1"/>
    </xf>
    <xf numFmtId="184" fontId="19" fillId="2" borderId="0" xfId="0" applyNumberFormat="1" applyFont="1" applyFill="1" applyAlignment="1">
      <alignment horizontal="center" vertical="center" wrapText="1"/>
    </xf>
    <xf numFmtId="0" fontId="19" fillId="6" borderId="0" xfId="0" applyFont="1" applyFill="1" applyAlignment="1">
      <alignment horizontal="center" vertical="center" wrapText="1"/>
    </xf>
    <xf numFmtId="189" fontId="19" fillId="6" borderId="0" xfId="0" applyNumberFormat="1" applyFont="1" applyFill="1" applyAlignment="1">
      <alignment horizontal="center" vertical="center" wrapText="1"/>
    </xf>
    <xf numFmtId="2" fontId="19" fillId="6" borderId="0" xfId="0" applyNumberFormat="1" applyFont="1" applyFill="1" applyAlignment="1">
      <alignment horizontal="center" vertical="center" wrapText="1"/>
    </xf>
    <xf numFmtId="9" fontId="19" fillId="6" borderId="0" xfId="0" applyNumberFormat="1" applyFont="1" applyFill="1" applyAlignment="1">
      <alignment vertical="center" wrapText="1"/>
    </xf>
    <xf numFmtId="0" fontId="19" fillId="0" borderId="0" xfId="0" applyFont="1" applyFill="1" applyAlignment="1">
      <alignment horizontal="center" vertical="center" wrapText="1"/>
    </xf>
    <xf numFmtId="0" fontId="51" fillId="0" borderId="0" xfId="0" applyFont="1" applyFill="1" applyAlignment="1">
      <alignment horizontal="center" vertical="center" wrapText="1"/>
    </xf>
    <xf numFmtId="0" fontId="19" fillId="0" borderId="0" xfId="0" applyFont="1" applyFill="1" applyBorder="1" applyAlignment="1">
      <alignment horizontal="center" vertical="center" wrapText="1"/>
    </xf>
    <xf numFmtId="184" fontId="19" fillId="0" borderId="0" xfId="0" applyNumberFormat="1" applyFont="1" applyFill="1" applyAlignment="1">
      <alignment horizontal="center" vertical="center" wrapText="1"/>
    </xf>
    <xf numFmtId="9" fontId="19" fillId="0" borderId="0" xfId="0" applyNumberFormat="1" applyFont="1" applyFill="1" applyAlignment="1">
      <alignment vertical="center" wrapText="1"/>
    </xf>
    <xf numFmtId="165" fontId="19" fillId="0" borderId="2" xfId="0" applyNumberFormat="1" applyFont="1" applyFill="1" applyBorder="1" applyAlignment="1">
      <alignment horizontal="center" vertical="center" wrapText="1"/>
    </xf>
    <xf numFmtId="170" fontId="19" fillId="0" borderId="2" xfId="5" applyNumberFormat="1" applyFont="1" applyFill="1" applyBorder="1" applyAlignment="1" applyProtection="1">
      <alignment horizontal="center" vertical="center" wrapText="1"/>
    </xf>
    <xf numFmtId="179" fontId="19" fillId="0" borderId="2" xfId="0" applyNumberFormat="1" applyFont="1" applyFill="1" applyBorder="1" applyAlignment="1">
      <alignment horizontal="center" vertical="center" wrapText="1"/>
    </xf>
    <xf numFmtId="179" fontId="19" fillId="0" borderId="1" xfId="0" applyNumberFormat="1" applyFont="1" applyFill="1" applyBorder="1" applyAlignment="1">
      <alignment horizontal="center" vertical="center" wrapText="1"/>
    </xf>
    <xf numFmtId="179" fontId="19" fillId="0" borderId="0" xfId="0" applyNumberFormat="1" applyFont="1" applyFill="1" applyBorder="1" applyAlignment="1">
      <alignment horizontal="center" vertical="center" wrapText="1"/>
    </xf>
    <xf numFmtId="40" fontId="34" fillId="4" borderId="1" xfId="0" applyNumberFormat="1" applyFont="1" applyFill="1" applyBorder="1" applyAlignment="1">
      <alignment horizontal="center" vertical="center" wrapText="1"/>
    </xf>
    <xf numFmtId="40" fontId="42" fillId="4" borderId="1" xfId="0" applyNumberFormat="1" applyFont="1" applyFill="1" applyBorder="1" applyAlignment="1">
      <alignment horizontal="center" vertical="center" wrapText="1"/>
    </xf>
    <xf numFmtId="2" fontId="34" fillId="4" borderId="1" xfId="0" applyNumberFormat="1" applyFont="1" applyFill="1" applyBorder="1" applyAlignment="1">
      <alignment horizontal="center" vertical="center" wrapText="1"/>
    </xf>
    <xf numFmtId="0" fontId="52" fillId="10" borderId="1" xfId="25" applyFont="1" applyFill="1" applyBorder="1" applyAlignment="1" applyProtection="1">
      <alignment horizontal="center" vertical="center" wrapText="1"/>
    </xf>
    <xf numFmtId="184" fontId="34" fillId="10" borderId="1" xfId="25" applyNumberFormat="1" applyFont="1" applyFill="1" applyBorder="1" applyAlignment="1" applyProtection="1">
      <alignment horizontal="center" vertical="center" wrapText="1"/>
    </xf>
    <xf numFmtId="9" fontId="52" fillId="10" borderId="1" xfId="5" applyFont="1" applyFill="1" applyBorder="1" applyAlignment="1" applyProtection="1">
      <alignment horizontal="center" vertical="center" wrapText="1"/>
    </xf>
    <xf numFmtId="2" fontId="52" fillId="10" borderId="1" xfId="25" applyNumberFormat="1" applyFont="1" applyFill="1" applyBorder="1" applyAlignment="1" applyProtection="1">
      <alignment horizontal="right" vertical="center" wrapText="1"/>
    </xf>
    <xf numFmtId="184" fontId="52" fillId="10" borderId="1" xfId="25" applyNumberFormat="1" applyFont="1" applyFill="1" applyBorder="1" applyAlignment="1" applyProtection="1">
      <alignment horizontal="center" vertical="center" wrapText="1"/>
    </xf>
    <xf numFmtId="0" fontId="53" fillId="10" borderId="1" xfId="0" applyFont="1" applyFill="1" applyBorder="1" applyAlignment="1">
      <alignment vertical="center" wrapText="1"/>
    </xf>
    <xf numFmtId="0" fontId="34" fillId="8" borderId="1" xfId="25" applyFont="1" applyFill="1" applyBorder="1" applyAlignment="1" applyProtection="1">
      <alignment horizontal="left" vertical="center" wrapText="1"/>
    </xf>
    <xf numFmtId="167" fontId="34" fillId="8" borderId="1" xfId="25" applyNumberFormat="1" applyFont="1" applyFill="1" applyBorder="1" applyAlignment="1" applyProtection="1">
      <alignment horizontal="center" vertical="center" wrapText="1"/>
    </xf>
    <xf numFmtId="2" fontId="34" fillId="8" borderId="1" xfId="25" applyNumberFormat="1" applyFont="1" applyFill="1" applyBorder="1" applyAlignment="1" applyProtection="1">
      <alignment horizontal="right" vertical="center" wrapText="1"/>
    </xf>
    <xf numFmtId="2" fontId="34" fillId="8" borderId="1" xfId="25" applyNumberFormat="1" applyFont="1" applyFill="1" applyBorder="1" applyAlignment="1" applyProtection="1">
      <alignment horizontal="center" vertical="center" wrapText="1"/>
    </xf>
    <xf numFmtId="0" fontId="19" fillId="8" borderId="1" xfId="0" applyFont="1" applyFill="1" applyBorder="1" applyAlignment="1">
      <alignment vertical="center" wrapText="1"/>
    </xf>
    <xf numFmtId="0" fontId="4" fillId="0" borderId="1" xfId="0" applyFont="1" applyFill="1" applyBorder="1">
      <alignment vertical="center"/>
    </xf>
    <xf numFmtId="0" fontId="4" fillId="0" borderId="1" xfId="0" applyFont="1" applyFill="1" applyBorder="1" applyAlignment="1">
      <alignment horizontal="center" vertical="center"/>
    </xf>
    <xf numFmtId="188" fontId="19" fillId="0" borderId="1" xfId="28" applyNumberFormat="1" applyFont="1" applyFill="1" applyBorder="1" applyAlignment="1" applyProtection="1">
      <alignment horizontal="center" vertical="center" wrapText="1"/>
    </xf>
    <xf numFmtId="2" fontId="19" fillId="0" borderId="1" xfId="25" applyNumberFormat="1" applyFont="1" applyFill="1" applyBorder="1" applyAlignment="1" applyProtection="1">
      <alignment vertical="center" wrapText="1"/>
    </xf>
    <xf numFmtId="2" fontId="19" fillId="0" borderId="1" xfId="25" applyNumberFormat="1" applyFont="1" applyFill="1" applyBorder="1" applyAlignment="1" applyProtection="1">
      <alignment horizontal="center" vertical="center" wrapText="1"/>
    </xf>
    <xf numFmtId="0" fontId="19" fillId="0" borderId="1" xfId="0" applyFont="1" applyFill="1" applyBorder="1" applyAlignment="1">
      <alignment vertical="center" wrapText="1"/>
    </xf>
    <xf numFmtId="0" fontId="20" fillId="6" borderId="1" xfId="25" applyFont="1" applyFill="1" applyBorder="1" applyAlignment="1" applyProtection="1">
      <alignment horizontal="center" vertical="center" wrapText="1"/>
    </xf>
    <xf numFmtId="0" fontId="4" fillId="0" borderId="1" xfId="0" applyFont="1" applyFill="1" applyBorder="1" applyAlignment="1">
      <alignment horizontal="left" vertical="center"/>
    </xf>
    <xf numFmtId="0" fontId="19" fillId="2" borderId="1" xfId="25" applyFont="1" applyFill="1" applyBorder="1" applyAlignment="1" applyProtection="1">
      <alignment horizontal="center" vertical="center" wrapText="1"/>
    </xf>
    <xf numFmtId="167" fontId="19" fillId="2" borderId="1" xfId="25" applyNumberFormat="1" applyFont="1" applyFill="1" applyBorder="1" applyAlignment="1" applyProtection="1">
      <alignment horizontal="center" vertical="center" wrapText="1"/>
    </xf>
    <xf numFmtId="184" fontId="19" fillId="0" borderId="1" xfId="28" applyNumberFormat="1" applyFont="1" applyFill="1" applyBorder="1" applyAlignment="1" applyProtection="1">
      <alignment horizontal="center" vertical="center" wrapText="1"/>
    </xf>
    <xf numFmtId="167" fontId="19" fillId="0" borderId="1" xfId="25" applyNumberFormat="1" applyFont="1" applyFill="1" applyBorder="1" applyAlignment="1" applyProtection="1">
      <alignment horizontal="center" vertical="center" wrapText="1"/>
    </xf>
    <xf numFmtId="9" fontId="19" fillId="6" borderId="1" xfId="5" applyFont="1" applyFill="1" applyBorder="1" applyAlignment="1" applyProtection="1">
      <alignment horizontal="center" vertical="center" wrapText="1"/>
    </xf>
    <xf numFmtId="184" fontId="19" fillId="2" borderId="1" xfId="25" applyNumberFormat="1" applyFont="1" applyFill="1" applyBorder="1" applyAlignment="1" applyProtection="1">
      <alignment horizontal="center" vertical="center" wrapText="1"/>
    </xf>
    <xf numFmtId="167" fontId="19" fillId="2" borderId="1" xfId="25" applyNumberFormat="1" applyFont="1" applyFill="1" applyBorder="1" applyAlignment="1" applyProtection="1">
      <alignment horizontal="center" vertical="center" wrapText="1"/>
    </xf>
    <xf numFmtId="184" fontId="19" fillId="6" borderId="1" xfId="25" applyNumberFormat="1" applyFont="1" applyFill="1" applyBorder="1" applyAlignment="1" applyProtection="1">
      <alignment horizontal="center" vertical="center" wrapText="1"/>
    </xf>
    <xf numFmtId="0" fontId="20" fillId="0" borderId="1" xfId="25" applyFont="1" applyFill="1" applyBorder="1" applyAlignment="1" applyProtection="1">
      <alignment horizontal="center" vertical="center" wrapText="1"/>
    </xf>
    <xf numFmtId="190" fontId="19" fillId="8" borderId="1" xfId="0" applyNumberFormat="1" applyFont="1" applyFill="1" applyBorder="1" applyAlignment="1">
      <alignment vertical="center" wrapText="1"/>
    </xf>
    <xf numFmtId="184" fontId="19" fillId="6" borderId="1" xfId="25" applyNumberFormat="1" applyFont="1" applyFill="1" applyBorder="1" applyAlignment="1" applyProtection="1">
      <alignment vertical="center" wrapText="1"/>
    </xf>
    <xf numFmtId="167" fontId="19" fillId="6" borderId="1" xfId="25" applyNumberFormat="1" applyFont="1" applyFill="1" applyBorder="1" applyAlignment="1" applyProtection="1">
      <alignment horizontal="center" vertical="center" wrapText="1"/>
    </xf>
    <xf numFmtId="0" fontId="4" fillId="0" borderId="1" xfId="0" applyFont="1" applyFill="1" applyBorder="1" applyAlignment="1">
      <alignment horizontal="left" vertical="center" indent="1"/>
    </xf>
    <xf numFmtId="0" fontId="50" fillId="0" borderId="2" xfId="0" applyFont="1" applyFill="1" applyBorder="1" applyAlignment="1">
      <alignment horizontal="center" vertical="center"/>
    </xf>
    <xf numFmtId="175" fontId="19" fillId="6" borderId="1" xfId="25" applyNumberFormat="1" applyFont="1" applyFill="1" applyBorder="1" applyAlignment="1" applyProtection="1">
      <alignment horizontal="center" vertical="center" wrapText="1"/>
    </xf>
    <xf numFmtId="0" fontId="50" fillId="2" borderId="1" xfId="0" applyFont="1" applyFill="1" applyBorder="1" applyAlignment="1">
      <alignment horizontal="center" vertical="center"/>
    </xf>
    <xf numFmtId="167" fontId="52" fillId="10" borderId="1" xfId="25" applyNumberFormat="1" applyFont="1" applyFill="1" applyBorder="1" applyAlignment="1" applyProtection="1">
      <alignment horizontal="center" vertical="center" wrapText="1"/>
    </xf>
    <xf numFmtId="0" fontId="19" fillId="10" borderId="1" xfId="0" applyFont="1" applyFill="1" applyBorder="1" applyAlignment="1">
      <alignment vertical="center" wrapText="1"/>
    </xf>
    <xf numFmtId="0" fontId="34" fillId="8" borderId="1" xfId="24" applyFont="1" applyFill="1" applyBorder="1" applyAlignment="1" applyProtection="1">
      <alignment horizontal="left" vertical="center" wrapText="1"/>
    </xf>
    <xf numFmtId="0" fontId="34" fillId="8" borderId="1" xfId="24" applyFont="1" applyFill="1" applyBorder="1" applyAlignment="1" applyProtection="1">
      <alignment horizontal="center" vertical="center" wrapText="1"/>
    </xf>
    <xf numFmtId="0" fontId="19" fillId="0" borderId="1" xfId="24" applyFont="1" applyFill="1" applyBorder="1" applyAlignment="1" applyProtection="1">
      <alignment horizontal="justify" vertical="center" wrapText="1"/>
    </xf>
    <xf numFmtId="167" fontId="46" fillId="6" borderId="1" xfId="25" applyNumberFormat="1" applyFont="1" applyFill="1" applyBorder="1" applyAlignment="1" applyProtection="1">
      <alignment horizontal="center" vertical="center" wrapText="1"/>
    </xf>
    <xf numFmtId="0" fontId="19" fillId="2" borderId="1" xfId="0" applyFont="1" applyFill="1" applyBorder="1" applyAlignment="1">
      <alignment vertical="center" wrapText="1"/>
    </xf>
    <xf numFmtId="0" fontId="19" fillId="0" borderId="1" xfId="24" applyFont="1" applyFill="1" applyBorder="1" applyAlignment="1" applyProtection="1">
      <alignment horizontal="left" vertical="center" wrapText="1" indent="1"/>
    </xf>
    <xf numFmtId="182" fontId="46" fillId="6" borderId="1" xfId="25" applyNumberFormat="1" applyFont="1" applyFill="1" applyBorder="1" applyAlignment="1" applyProtection="1">
      <alignment horizontal="center" vertical="center" wrapText="1"/>
    </xf>
    <xf numFmtId="182" fontId="19" fillId="2" borderId="1" xfId="29" applyNumberFormat="1" applyFont="1" applyFill="1" applyBorder="1" applyAlignment="1" applyProtection="1">
      <alignment horizontal="center" vertical="center" wrapText="1"/>
    </xf>
    <xf numFmtId="167" fontId="19" fillId="2" borderId="1" xfId="29" applyNumberFormat="1" applyFont="1" applyFill="1" applyBorder="1" applyAlignment="1" applyProtection="1">
      <alignment horizontal="center" vertical="center" wrapText="1"/>
    </xf>
    <xf numFmtId="185" fontId="46" fillId="6" borderId="1" xfId="25" applyNumberFormat="1" applyFont="1" applyFill="1" applyBorder="1" applyAlignment="1" applyProtection="1">
      <alignment horizontal="center" vertical="center" wrapText="1"/>
    </xf>
    <xf numFmtId="167" fontId="46" fillId="0" borderId="1" xfId="25" applyNumberFormat="1" applyFont="1" applyFill="1" applyBorder="1" applyAlignment="1" applyProtection="1">
      <alignment horizontal="center" vertical="center" wrapText="1"/>
    </xf>
    <xf numFmtId="185" fontId="19" fillId="2" borderId="1" xfId="29" applyNumberFormat="1" applyFont="1" applyFill="1" applyBorder="1" applyAlignment="1" applyProtection="1">
      <alignment horizontal="center" vertical="center" wrapText="1"/>
    </xf>
    <xf numFmtId="0" fontId="46" fillId="6" borderId="1" xfId="25" applyFont="1" applyFill="1" applyBorder="1" applyAlignment="1" applyProtection="1">
      <alignment horizontal="center" vertical="center" wrapText="1"/>
    </xf>
    <xf numFmtId="0" fontId="45" fillId="0" borderId="1" xfId="24" applyFont="1" applyFill="1" applyBorder="1" applyAlignment="1" applyProtection="1">
      <alignment horizontal="left" vertical="center" wrapText="1"/>
    </xf>
    <xf numFmtId="0" fontId="46" fillId="0" borderId="1" xfId="25" applyFont="1" applyFill="1" applyBorder="1" applyAlignment="1" applyProtection="1">
      <alignment horizontal="center" vertical="center" wrapText="1"/>
    </xf>
    <xf numFmtId="0" fontId="19" fillId="0" borderId="1" xfId="24" applyFont="1" applyFill="1" applyBorder="1" applyAlignment="1" applyProtection="1">
      <alignment horizontal="left" vertical="center" wrapText="1"/>
    </xf>
    <xf numFmtId="0" fontId="34" fillId="17" borderId="1" xfId="25" applyFont="1" applyFill="1" applyBorder="1" applyAlignment="1" applyProtection="1">
      <alignment horizontal="left" vertical="center" wrapText="1"/>
    </xf>
    <xf numFmtId="0" fontId="34" fillId="17" borderId="1" xfId="25" applyFont="1" applyFill="1" applyBorder="1" applyAlignment="1" applyProtection="1">
      <alignment horizontal="center" vertical="center" wrapText="1"/>
    </xf>
    <xf numFmtId="167" fontId="34" fillId="17" borderId="1" xfId="25" applyNumberFormat="1" applyFont="1" applyFill="1" applyBorder="1" applyAlignment="1" applyProtection="1">
      <alignment horizontal="center" vertical="center" wrapText="1"/>
    </xf>
    <xf numFmtId="184" fontId="34" fillId="17" borderId="1" xfId="25" applyNumberFormat="1" applyFont="1" applyFill="1" applyBorder="1" applyAlignment="1" applyProtection="1">
      <alignment horizontal="center" vertical="center" wrapText="1"/>
    </xf>
    <xf numFmtId="9" fontId="34" fillId="17" borderId="1" xfId="5" applyFont="1" applyFill="1" applyBorder="1" applyAlignment="1" applyProtection="1">
      <alignment horizontal="center" vertical="center" wrapText="1"/>
    </xf>
    <xf numFmtId="2" fontId="34" fillId="17" borderId="1" xfId="25" applyNumberFormat="1" applyFont="1" applyFill="1" applyBorder="1" applyAlignment="1" applyProtection="1">
      <alignment horizontal="center" vertical="center" wrapText="1"/>
    </xf>
    <xf numFmtId="0" fontId="19" fillId="17" borderId="1" xfId="0" applyFont="1" applyFill="1" applyBorder="1" applyAlignment="1">
      <alignment vertical="center" wrapText="1"/>
    </xf>
    <xf numFmtId="185" fontId="19" fillId="0" borderId="1" xfId="29" applyNumberFormat="1" applyFont="1" applyFill="1" applyBorder="1" applyAlignment="1" applyProtection="1">
      <alignment horizontal="center" vertical="center" wrapText="1"/>
    </xf>
    <xf numFmtId="0" fontId="34" fillId="0" borderId="1" xfId="25" applyFont="1" applyFill="1" applyBorder="1" applyAlignment="1" applyProtection="1">
      <alignment horizontal="center" vertical="center" wrapText="1"/>
    </xf>
    <xf numFmtId="167" fontId="34" fillId="0" borderId="1" xfId="25" applyNumberFormat="1" applyFont="1" applyFill="1" applyBorder="1" applyAlignment="1" applyProtection="1">
      <alignment horizontal="center" vertical="center" wrapText="1"/>
    </xf>
    <xf numFmtId="184" fontId="34" fillId="0" borderId="1" xfId="25" applyNumberFormat="1" applyFont="1" applyFill="1" applyBorder="1" applyAlignment="1" applyProtection="1">
      <alignment horizontal="center" vertical="center" wrapText="1"/>
    </xf>
    <xf numFmtId="2" fontId="19" fillId="6" borderId="0" xfId="0" applyNumberFormat="1" applyFont="1" applyFill="1" applyBorder="1" applyAlignment="1">
      <alignment horizontal="center" vertical="center" wrapText="1"/>
    </xf>
    <xf numFmtId="0" fontId="19" fillId="6" borderId="0" xfId="0" applyFont="1" applyFill="1" applyBorder="1" applyAlignment="1">
      <alignment horizontal="center" vertical="center" wrapText="1"/>
    </xf>
    <xf numFmtId="191" fontId="19" fillId="6" borderId="0" xfId="0" applyNumberFormat="1" applyFont="1" applyFill="1" applyAlignment="1">
      <alignment vertical="center" wrapText="1"/>
    </xf>
    <xf numFmtId="2" fontId="19" fillId="5" borderId="0" xfId="0" applyNumberFormat="1" applyFont="1" applyFill="1" applyAlignment="1">
      <alignment horizontal="center" vertical="center" wrapText="1"/>
    </xf>
    <xf numFmtId="0" fontId="19" fillId="0" borderId="1" xfId="0" applyFont="1" applyFill="1" applyBorder="1" applyAlignment="1">
      <alignment horizontal="center" vertical="center" wrapText="1"/>
    </xf>
    <xf numFmtId="0" fontId="19" fillId="0" borderId="0" xfId="0" applyFont="1" applyFill="1" applyBorder="1" applyAlignment="1">
      <alignment horizontal="left" vertical="center" wrapText="1"/>
    </xf>
    <xf numFmtId="0" fontId="19" fillId="5" borderId="1" xfId="25" applyFont="1" applyFill="1" applyBorder="1" applyAlignment="1" applyProtection="1">
      <alignment horizontal="center" vertical="center" wrapText="1"/>
    </xf>
    <xf numFmtId="0" fontId="19" fillId="2" borderId="1" xfId="25" applyFont="1" applyFill="1" applyBorder="1" applyAlignment="1" applyProtection="1">
      <alignment horizontal="center" vertical="center"/>
    </xf>
    <xf numFmtId="2" fontId="46" fillId="0" borderId="1" xfId="25" applyNumberFormat="1" applyFont="1" applyFill="1" applyBorder="1" applyAlignment="1" applyProtection="1">
      <alignment horizontal="center" vertical="center" wrapText="1"/>
    </xf>
    <xf numFmtId="0" fontId="42" fillId="4" borderId="1" xfId="0" applyFont="1" applyFill="1" applyBorder="1" applyAlignment="1">
      <alignment horizontal="center" vertical="center" wrapText="1"/>
    </xf>
    <xf numFmtId="164" fontId="4" fillId="3" borderId="3" xfId="8" applyFont="1" applyFill="1" applyBorder="1" applyAlignment="1" applyProtection="1">
      <alignment horizontal="center"/>
    </xf>
    <xf numFmtId="0" fontId="19" fillId="4" borderId="1" xfId="0" applyFont="1" applyFill="1" applyBorder="1" applyAlignment="1">
      <alignment horizontal="center" vertical="center"/>
    </xf>
    <xf numFmtId="0" fontId="19" fillId="6" borderId="0" xfId="0" applyFont="1" applyFill="1" applyBorder="1" applyAlignment="1">
      <alignment horizontal="center" vertical="center"/>
    </xf>
    <xf numFmtId="167" fontId="33" fillId="0" borderId="1" xfId="0" applyNumberFormat="1" applyFont="1" applyFill="1" applyBorder="1" applyAlignment="1">
      <alignment horizontal="center" vertical="center"/>
    </xf>
    <xf numFmtId="182" fontId="33" fillId="0" borderId="1"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34" fillId="10" borderId="1" xfId="0" applyFont="1" applyFill="1" applyBorder="1" applyAlignment="1">
      <alignment horizontal="center" vertical="center" wrapText="1"/>
    </xf>
    <xf numFmtId="174" fontId="34" fillId="10" borderId="5" xfId="0" applyNumberFormat="1" applyFont="1" applyFill="1" applyBorder="1" applyAlignment="1">
      <alignment vertical="center" wrapText="1"/>
    </xf>
    <xf numFmtId="174" fontId="34" fillId="10" borderId="16" xfId="0" applyNumberFormat="1" applyFont="1" applyFill="1" applyBorder="1" applyAlignment="1">
      <alignment horizontal="center" vertical="center" wrapText="1"/>
    </xf>
    <xf numFmtId="0" fontId="34" fillId="10" borderId="24" xfId="0" applyFont="1" applyFill="1" applyBorder="1" applyAlignment="1">
      <alignment horizontal="center" vertical="center" wrapText="1"/>
    </xf>
    <xf numFmtId="184" fontId="33" fillId="0" borderId="1" xfId="0" applyNumberFormat="1" applyFont="1" applyFill="1" applyBorder="1" applyAlignment="1">
      <alignment horizontal="center" vertical="center" wrapText="1"/>
    </xf>
    <xf numFmtId="182" fontId="33" fillId="0" borderId="1" xfId="0" applyNumberFormat="1" applyFont="1" applyFill="1" applyBorder="1" applyAlignment="1">
      <alignment horizontal="center" vertical="center" wrapText="1"/>
    </xf>
    <xf numFmtId="167" fontId="33" fillId="6" borderId="10" xfId="0" applyNumberFormat="1" applyFont="1" applyFill="1" applyBorder="1" applyAlignment="1">
      <alignment horizontal="center" vertical="center" wrapText="1"/>
    </xf>
    <xf numFmtId="182" fontId="33" fillId="6" borderId="3" xfId="0" applyNumberFormat="1" applyFont="1" applyFill="1" applyBorder="1" applyAlignment="1">
      <alignment horizontal="center" vertical="center" wrapText="1"/>
    </xf>
    <xf numFmtId="182" fontId="19" fillId="6" borderId="3" xfId="0" applyNumberFormat="1" applyFont="1" applyFill="1" applyBorder="1" applyAlignment="1">
      <alignment horizontal="center" vertical="center" wrapText="1"/>
    </xf>
    <xf numFmtId="182" fontId="19" fillId="0" borderId="5" xfId="0" applyNumberFormat="1" applyFont="1" applyFill="1" applyBorder="1" applyAlignment="1">
      <alignment horizontal="center" vertical="center" wrapText="1"/>
    </xf>
    <xf numFmtId="9" fontId="19" fillId="0" borderId="5" xfId="0" applyNumberFormat="1" applyFont="1" applyFill="1" applyBorder="1" applyAlignment="1">
      <alignment horizontal="center" vertical="center" wrapText="1"/>
    </xf>
    <xf numFmtId="0" fontId="54" fillId="6" borderId="11" xfId="0" applyFont="1" applyFill="1" applyBorder="1" applyAlignment="1">
      <alignment horizontal="center" vertical="center"/>
    </xf>
    <xf numFmtId="9" fontId="19" fillId="6" borderId="23" xfId="0" applyNumberFormat="1" applyFont="1" applyFill="1" applyBorder="1">
      <alignment vertical="center"/>
    </xf>
    <xf numFmtId="182" fontId="33" fillId="6" borderId="12" xfId="0" applyNumberFormat="1" applyFont="1" applyFill="1" applyBorder="1" applyAlignment="1">
      <alignment horizontal="center" vertical="center" wrapText="1"/>
    </xf>
    <xf numFmtId="170" fontId="19" fillId="6" borderId="23" xfId="5" applyNumberFormat="1" applyFont="1" applyFill="1" applyBorder="1" applyAlignment="1" applyProtection="1">
      <alignment vertical="center"/>
    </xf>
    <xf numFmtId="9" fontId="19" fillId="8" borderId="5" xfId="5" applyFont="1" applyFill="1" applyBorder="1" applyAlignment="1" applyProtection="1">
      <alignment horizontal="center" vertical="center" wrapText="1"/>
    </xf>
    <xf numFmtId="0" fontId="19" fillId="8" borderId="11" xfId="0" applyFont="1" applyFill="1" applyBorder="1">
      <alignment vertical="center"/>
    </xf>
    <xf numFmtId="0" fontId="19" fillId="8" borderId="23" xfId="0" applyFont="1" applyFill="1" applyBorder="1">
      <alignment vertical="center"/>
    </xf>
    <xf numFmtId="182" fontId="33" fillId="0" borderId="1" xfId="0" applyNumberFormat="1" applyFont="1" applyBorder="1" applyAlignment="1">
      <alignment horizontal="center" vertical="center" wrapText="1"/>
    </xf>
    <xf numFmtId="182" fontId="54" fillId="0" borderId="1" xfId="0" applyNumberFormat="1" applyFont="1" applyFill="1" applyBorder="1" applyAlignment="1">
      <alignment horizontal="center" vertical="center" wrapText="1"/>
    </xf>
    <xf numFmtId="167" fontId="54" fillId="0" borderId="1" xfId="0" applyNumberFormat="1" applyFont="1" applyBorder="1" applyAlignment="1">
      <alignment horizontal="center" vertical="center" wrapText="1"/>
    </xf>
    <xf numFmtId="0" fontId="19" fillId="0" borderId="23" xfId="0" applyFont="1" applyFill="1" applyBorder="1">
      <alignment vertical="center"/>
    </xf>
    <xf numFmtId="167" fontId="54" fillId="0" borderId="1" xfId="0" applyNumberFormat="1" applyFont="1" applyFill="1" applyBorder="1" applyAlignment="1">
      <alignment horizontal="center" vertical="center" wrapText="1"/>
    </xf>
    <xf numFmtId="167" fontId="19" fillId="0" borderId="1" xfId="0" applyNumberFormat="1" applyFont="1" applyBorder="1" applyAlignment="1">
      <alignment horizontal="center" vertical="center" wrapText="1"/>
    </xf>
    <xf numFmtId="0" fontId="19" fillId="6" borderId="11" xfId="0" applyFont="1" applyFill="1" applyBorder="1" applyAlignment="1">
      <alignment horizontal="center" vertical="center"/>
    </xf>
    <xf numFmtId="0" fontId="19" fillId="6" borderId="23" xfId="0" applyFont="1" applyFill="1" applyBorder="1">
      <alignment vertical="center"/>
    </xf>
    <xf numFmtId="182" fontId="36" fillId="8" borderId="20" xfId="0" applyNumberFormat="1" applyFont="1" applyFill="1" applyBorder="1" applyAlignment="1">
      <alignment vertical="center" wrapText="1"/>
    </xf>
    <xf numFmtId="182" fontId="36" fillId="8" borderId="27" xfId="0" applyNumberFormat="1" applyFont="1" applyFill="1" applyBorder="1" applyAlignment="1">
      <alignment vertical="center" wrapText="1"/>
    </xf>
    <xf numFmtId="182" fontId="36" fillId="6" borderId="4" xfId="0" applyNumberFormat="1" applyFont="1" applyFill="1" applyBorder="1" applyAlignment="1">
      <alignment vertical="center" wrapText="1"/>
    </xf>
    <xf numFmtId="182" fontId="36" fillId="0" borderId="1" xfId="0" applyNumberFormat="1" applyFont="1" applyFill="1" applyBorder="1" applyAlignment="1">
      <alignment horizontal="left" vertical="center" wrapText="1"/>
    </xf>
    <xf numFmtId="182" fontId="36" fillId="0" borderId="23" xfId="0" applyNumberFormat="1" applyFont="1" applyFill="1" applyBorder="1" applyAlignment="1">
      <alignment horizontal="left" vertical="center" wrapText="1"/>
    </xf>
    <xf numFmtId="182" fontId="33" fillId="2" borderId="1" xfId="0" applyNumberFormat="1" applyFont="1" applyFill="1" applyBorder="1" applyAlignment="1">
      <alignment horizontal="center" vertical="center" wrapText="1"/>
    </xf>
    <xf numFmtId="0" fontId="19" fillId="0" borderId="17" xfId="0" applyFont="1" applyFill="1" applyBorder="1" applyAlignment="1">
      <alignment horizontal="center" vertical="center" wrapText="1"/>
    </xf>
    <xf numFmtId="182" fontId="36" fillId="6" borderId="3" xfId="0" applyNumberFormat="1" applyFont="1" applyFill="1" applyBorder="1" applyAlignment="1">
      <alignment vertical="center" wrapText="1"/>
    </xf>
    <xf numFmtId="182" fontId="39" fillId="10" borderId="20" xfId="0" applyNumberFormat="1" applyFont="1" applyFill="1" applyBorder="1" applyAlignment="1">
      <alignment horizontal="center" vertical="center" wrapText="1"/>
    </xf>
    <xf numFmtId="167" fontId="34" fillId="10" borderId="20" xfId="0" applyNumberFormat="1" applyFont="1" applyFill="1" applyBorder="1" applyAlignment="1">
      <alignment horizontal="center" vertical="center" wrapText="1"/>
    </xf>
    <xf numFmtId="167" fontId="39" fillId="10" borderId="20" xfId="0" applyNumberFormat="1" applyFont="1" applyFill="1" applyBorder="1" applyAlignment="1">
      <alignment horizontal="center" vertical="center" wrapText="1"/>
    </xf>
    <xf numFmtId="182" fontId="39" fillId="10" borderId="20" xfId="0" applyNumberFormat="1" applyFont="1" applyFill="1" applyBorder="1" applyAlignment="1">
      <alignment horizontal="center" vertical="center"/>
    </xf>
    <xf numFmtId="9" fontId="19" fillId="10" borderId="20" xfId="5" applyFont="1" applyFill="1" applyBorder="1" applyAlignment="1" applyProtection="1">
      <alignment horizontal="center" vertical="center" wrapText="1"/>
    </xf>
    <xf numFmtId="0" fontId="40" fillId="6" borderId="0" xfId="0"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0" fontId="34" fillId="4" borderId="22" xfId="0" applyFont="1" applyFill="1" applyBorder="1" applyAlignment="1">
      <alignment horizontal="center" vertical="center" wrapText="1"/>
    </xf>
    <xf numFmtId="0" fontId="34" fillId="4" borderId="15" xfId="0" applyFont="1" applyFill="1" applyBorder="1" applyAlignment="1">
      <alignment horizontal="center" vertical="center" wrapText="1"/>
    </xf>
    <xf numFmtId="0" fontId="34" fillId="4" borderId="30" xfId="0" applyFont="1" applyFill="1" applyBorder="1" applyAlignment="1">
      <alignment horizontal="center" vertical="center" wrapText="1"/>
    </xf>
    <xf numFmtId="0" fontId="34" fillId="4" borderId="24" xfId="0" applyFont="1" applyFill="1" applyBorder="1" applyAlignment="1">
      <alignment horizontal="center" vertical="center" wrapText="1"/>
    </xf>
    <xf numFmtId="0" fontId="34" fillId="4" borderId="31" xfId="0" applyFont="1" applyFill="1" applyBorder="1" applyAlignment="1">
      <alignment horizontal="center" vertical="center" wrapText="1"/>
    </xf>
    <xf numFmtId="0" fontId="34" fillId="4" borderId="16" xfId="0" applyFont="1" applyFill="1" applyBorder="1" applyAlignment="1">
      <alignment horizontal="center" vertical="center" wrapText="1"/>
    </xf>
    <xf numFmtId="175" fontId="34" fillId="4" borderId="16" xfId="0" quotePrefix="1" applyNumberFormat="1" applyFont="1" applyFill="1" applyBorder="1" applyAlignment="1">
      <alignment horizontal="center" vertical="center" wrapText="1"/>
    </xf>
    <xf numFmtId="184" fontId="34" fillId="4" borderId="16" xfId="0" quotePrefix="1" applyNumberFormat="1" applyFont="1" applyFill="1" applyBorder="1" applyAlignment="1">
      <alignment horizontal="center" vertical="center" wrapText="1"/>
    </xf>
    <xf numFmtId="0" fontId="34" fillId="4" borderId="32" xfId="0" applyFont="1" applyFill="1" applyBorder="1" applyAlignment="1">
      <alignment horizontal="center" vertical="center" wrapText="1"/>
    </xf>
    <xf numFmtId="0" fontId="43" fillId="10" borderId="33" xfId="0" applyFont="1" applyFill="1" applyBorder="1" applyAlignment="1">
      <alignment horizontal="center" vertical="center" wrapText="1"/>
    </xf>
    <xf numFmtId="38" fontId="43" fillId="10" borderId="19" xfId="0" applyNumberFormat="1" applyFont="1" applyFill="1" applyBorder="1" applyAlignment="1">
      <alignment horizontal="left" vertical="center" wrapText="1"/>
    </xf>
    <xf numFmtId="38" fontId="43" fillId="10" borderId="34" xfId="0" applyNumberFormat="1" applyFont="1" applyFill="1" applyBorder="1" applyAlignment="1">
      <alignment horizontal="center" vertical="center" wrapText="1"/>
    </xf>
    <xf numFmtId="38" fontId="37" fillId="10" borderId="27" xfId="0" applyNumberFormat="1" applyFont="1" applyFill="1" applyBorder="1" applyAlignment="1">
      <alignment horizontal="center" vertical="center" wrapText="1"/>
    </xf>
    <xf numFmtId="166" fontId="43" fillId="10" borderId="11" xfId="2" applyNumberFormat="1" applyFont="1" applyFill="1" applyBorder="1" applyAlignment="1" applyProtection="1">
      <alignment horizontal="center" vertical="center" wrapText="1"/>
    </xf>
    <xf numFmtId="40" fontId="43" fillId="10" borderId="5" xfId="0" applyNumberFormat="1" applyFont="1" applyFill="1" applyBorder="1" applyAlignment="1">
      <alignment horizontal="center" vertical="center" wrapText="1"/>
    </xf>
    <xf numFmtId="38" fontId="43" fillId="10" borderId="23" xfId="0" applyNumberFormat="1" applyFont="1" applyFill="1" applyBorder="1" applyAlignment="1">
      <alignment horizontal="center" vertical="center" wrapText="1"/>
    </xf>
    <xf numFmtId="38" fontId="34" fillId="8" borderId="33" xfId="0" applyNumberFormat="1" applyFont="1" applyFill="1" applyBorder="1" applyAlignment="1">
      <alignment horizontal="center" vertical="center" wrapText="1"/>
    </xf>
    <xf numFmtId="38" fontId="34" fillId="8" borderId="26" xfId="0" applyNumberFormat="1" applyFont="1" applyFill="1" applyBorder="1" applyAlignment="1">
      <alignment horizontal="left" vertical="center" wrapText="1"/>
    </xf>
    <xf numFmtId="38" fontId="19" fillId="8" borderId="3" xfId="0" applyNumberFormat="1" applyFont="1" applyFill="1" applyBorder="1" applyAlignment="1">
      <alignment horizontal="center" vertical="center" wrapText="1"/>
    </xf>
    <xf numFmtId="166" fontId="19" fillId="8" borderId="3" xfId="2" applyNumberFormat="1" applyFont="1" applyFill="1" applyBorder="1" applyAlignment="1" applyProtection="1">
      <alignment horizontal="center" vertical="center" wrapText="1"/>
    </xf>
    <xf numFmtId="38" fontId="19" fillId="8" borderId="23" xfId="0" applyNumberFormat="1" applyFont="1" applyFill="1" applyBorder="1" applyAlignment="1">
      <alignment horizontal="center" vertical="center" wrapText="1"/>
    </xf>
    <xf numFmtId="0" fontId="19" fillId="4" borderId="17" xfId="0" applyFont="1" applyFill="1" applyBorder="1" applyAlignment="1">
      <alignment horizontal="center" vertical="center" wrapText="1"/>
    </xf>
    <xf numFmtId="40" fontId="19" fillId="4" borderId="5" xfId="0" applyNumberFormat="1" applyFont="1" applyFill="1" applyBorder="1" applyAlignment="1">
      <alignment horizontal="center" vertical="center" wrapText="1"/>
    </xf>
    <xf numFmtId="0" fontId="19" fillId="4" borderId="23" xfId="0" applyFont="1" applyFill="1" applyBorder="1" applyAlignment="1">
      <alignment vertical="center" wrapText="1"/>
    </xf>
    <xf numFmtId="0" fontId="19" fillId="4" borderId="2" xfId="0" applyFont="1" applyFill="1" applyBorder="1" applyAlignment="1">
      <alignment vertical="center" wrapText="1"/>
    </xf>
    <xf numFmtId="184" fontId="19" fillId="4" borderId="2" xfId="0" applyNumberFormat="1" applyFont="1" applyFill="1" applyBorder="1" applyAlignment="1">
      <alignment vertical="center" wrapText="1"/>
    </xf>
    <xf numFmtId="0" fontId="19" fillId="4" borderId="35" xfId="0" applyFont="1" applyFill="1" applyBorder="1" applyAlignment="1">
      <alignment vertical="center" wrapText="1"/>
    </xf>
    <xf numFmtId="0" fontId="19" fillId="4" borderId="2" xfId="0" applyFont="1" applyFill="1" applyBorder="1" applyAlignment="1">
      <alignment horizontal="center" vertical="center" wrapText="1"/>
    </xf>
    <xf numFmtId="40" fontId="19" fillId="4" borderId="36" xfId="23" applyNumberFormat="1" applyFont="1" applyFill="1" applyBorder="1" applyAlignment="1" applyProtection="1">
      <alignment horizontal="center" vertical="center" wrapText="1"/>
    </xf>
    <xf numFmtId="0" fontId="19" fillId="6" borderId="2" xfId="0" applyFont="1" applyFill="1" applyBorder="1" applyAlignment="1">
      <alignment vertical="center" wrapText="1"/>
    </xf>
    <xf numFmtId="0" fontId="19" fillId="6" borderId="2" xfId="0" applyFont="1" applyFill="1" applyBorder="1" applyAlignment="1">
      <alignment horizontal="center" vertical="center" wrapText="1"/>
    </xf>
    <xf numFmtId="184" fontId="19" fillId="6" borderId="2" xfId="0" applyNumberFormat="1" applyFont="1" applyFill="1" applyBorder="1" applyAlignment="1">
      <alignment vertical="center" wrapText="1"/>
    </xf>
    <xf numFmtId="182" fontId="19" fillId="6" borderId="1" xfId="0" applyNumberFormat="1" applyFont="1" applyFill="1" applyBorder="1" applyAlignment="1">
      <alignment horizontal="center" vertical="center" wrapText="1"/>
    </xf>
    <xf numFmtId="182" fontId="19" fillId="6" borderId="5" xfId="0" applyNumberFormat="1" applyFont="1" applyFill="1" applyBorder="1" applyAlignment="1">
      <alignment horizontal="center" vertical="center" wrapText="1"/>
    </xf>
    <xf numFmtId="0" fontId="19" fillId="6" borderId="23" xfId="0" applyFont="1" applyFill="1" applyBorder="1" applyAlignment="1">
      <alignment vertical="center" wrapText="1"/>
    </xf>
    <xf numFmtId="182" fontId="19" fillId="6" borderId="36" xfId="0" applyNumberFormat="1" applyFont="1" applyFill="1" applyBorder="1" applyAlignment="1">
      <alignment horizontal="center" vertical="center" wrapText="1"/>
    </xf>
    <xf numFmtId="0" fontId="19" fillId="6" borderId="35" xfId="0" applyFont="1" applyFill="1" applyBorder="1" applyAlignment="1">
      <alignment vertical="center" wrapText="1"/>
    </xf>
    <xf numFmtId="0" fontId="43" fillId="10" borderId="26" xfId="0" applyFont="1" applyFill="1" applyBorder="1" applyAlignment="1">
      <alignment horizontal="center" vertical="center" wrapText="1"/>
    </xf>
    <xf numFmtId="38" fontId="43" fillId="10" borderId="3" xfId="0" applyNumberFormat="1" applyFont="1" applyFill="1" applyBorder="1" applyAlignment="1">
      <alignment horizontal="left" vertical="center" wrapText="1"/>
    </xf>
    <xf numFmtId="38" fontId="43" fillId="10" borderId="3" xfId="0" applyNumberFormat="1" applyFont="1" applyFill="1" applyBorder="1" applyAlignment="1">
      <alignment horizontal="center" vertical="center" wrapText="1"/>
    </xf>
    <xf numFmtId="166" fontId="43" fillId="10" borderId="3" xfId="2" applyNumberFormat="1" applyFont="1" applyFill="1" applyBorder="1" applyAlignment="1" applyProtection="1">
      <alignment horizontal="center" vertical="center" wrapText="1"/>
    </xf>
    <xf numFmtId="175" fontId="43" fillId="10" borderId="3" xfId="2" applyNumberFormat="1" applyFont="1" applyFill="1" applyBorder="1" applyAlignment="1" applyProtection="1">
      <alignment horizontal="center" vertical="center" wrapText="1"/>
    </xf>
    <xf numFmtId="184" fontId="43" fillId="10" borderId="3" xfId="2" applyNumberFormat="1" applyFont="1" applyFill="1" applyBorder="1" applyAlignment="1" applyProtection="1">
      <alignment horizontal="center" vertical="center" wrapText="1"/>
    </xf>
    <xf numFmtId="40" fontId="43" fillId="10" borderId="3" xfId="0" applyNumberFormat="1" applyFont="1" applyFill="1" applyBorder="1" applyAlignment="1">
      <alignment horizontal="center" vertical="center" wrapText="1"/>
    </xf>
    <xf numFmtId="38" fontId="43" fillId="10" borderId="37" xfId="0" applyNumberFormat="1" applyFont="1" applyFill="1" applyBorder="1" applyAlignment="1">
      <alignment horizontal="center" vertical="center" wrapText="1"/>
    </xf>
    <xf numFmtId="0" fontId="19" fillId="6" borderId="17" xfId="0" applyFont="1" applyFill="1" applyBorder="1" applyAlignment="1">
      <alignment horizontal="center" vertical="center" wrapText="1"/>
    </xf>
    <xf numFmtId="40" fontId="19" fillId="6" borderId="5" xfId="0" applyNumberFormat="1" applyFont="1" applyFill="1" applyBorder="1" applyAlignment="1">
      <alignment horizontal="center" vertical="center" wrapText="1"/>
    </xf>
    <xf numFmtId="0" fontId="19" fillId="6" borderId="19" xfId="0" applyFont="1" applyFill="1" applyBorder="1" applyAlignment="1">
      <alignment horizontal="center" vertical="center" wrapText="1"/>
    </xf>
    <xf numFmtId="0" fontId="19" fillId="6" borderId="20" xfId="0" applyFont="1" applyFill="1" applyBorder="1" applyAlignment="1">
      <alignment horizontal="left" vertical="center" wrapText="1"/>
    </xf>
    <xf numFmtId="0" fontId="19" fillId="6" borderId="20" xfId="0" applyFont="1" applyFill="1" applyBorder="1" applyAlignment="1">
      <alignment vertical="center" wrapText="1"/>
    </xf>
    <xf numFmtId="38" fontId="19" fillId="6" borderId="20" xfId="0" applyNumberFormat="1" applyFont="1" applyFill="1" applyBorder="1" applyAlignment="1">
      <alignment horizontal="center" vertical="center" wrapText="1"/>
    </xf>
    <xf numFmtId="0" fontId="19" fillId="6" borderId="20" xfId="0" applyFont="1" applyFill="1" applyBorder="1" applyAlignment="1">
      <alignment horizontal="center" vertical="center" wrapText="1"/>
    </xf>
    <xf numFmtId="184" fontId="19" fillId="6" borderId="20" xfId="0" applyNumberFormat="1" applyFont="1" applyFill="1" applyBorder="1" applyAlignment="1">
      <alignment horizontal="center" vertical="center" wrapText="1"/>
    </xf>
    <xf numFmtId="40" fontId="19" fillId="6" borderId="20" xfId="0" applyNumberFormat="1" applyFont="1" applyFill="1" applyBorder="1" applyAlignment="1">
      <alignment horizontal="center" vertical="center" wrapText="1"/>
    </xf>
    <xf numFmtId="40" fontId="19" fillId="6" borderId="38" xfId="0" applyNumberFormat="1" applyFont="1" applyFill="1" applyBorder="1" applyAlignment="1">
      <alignment horizontal="center" vertical="center" wrapText="1"/>
    </xf>
    <xf numFmtId="0" fontId="19" fillId="6" borderId="27" xfId="0" applyFont="1" applyFill="1" applyBorder="1" applyAlignment="1">
      <alignment vertical="center" wrapText="1"/>
    </xf>
    <xf numFmtId="0" fontId="19" fillId="1" borderId="0" xfId="0" applyFont="1" applyFill="1" applyBorder="1" applyAlignment="1">
      <alignment horizontal="center"/>
    </xf>
    <xf numFmtId="0" fontId="34" fillId="2" borderId="0" xfId="0" applyFont="1" applyFill="1" applyBorder="1" applyAlignment="1">
      <alignment horizontal="center" vertical="center"/>
    </xf>
    <xf numFmtId="0" fontId="19" fillId="4" borderId="16" xfId="0" applyFont="1" applyFill="1" applyBorder="1" applyAlignment="1">
      <alignment horizontal="center" vertical="center" wrapText="1"/>
    </xf>
    <xf numFmtId="0" fontId="19" fillId="4" borderId="40" xfId="0" applyFont="1" applyFill="1" applyBorder="1" applyAlignment="1">
      <alignment horizontal="center" vertical="center"/>
    </xf>
    <xf numFmtId="0" fontId="19" fillId="4" borderId="0" xfId="0" applyFont="1" applyFill="1" applyBorder="1" applyAlignment="1">
      <alignment horizontal="center" vertical="center"/>
    </xf>
    <xf numFmtId="0" fontId="34" fillId="4" borderId="5" xfId="0" applyFont="1" applyFill="1" applyBorder="1" applyAlignment="1">
      <alignment horizontal="center" vertical="center"/>
    </xf>
    <xf numFmtId="0" fontId="34" fillId="4" borderId="8" xfId="0" applyFont="1" applyFill="1" applyBorder="1" applyAlignment="1">
      <alignment horizontal="center" vertical="center"/>
    </xf>
    <xf numFmtId="0" fontId="19" fillId="10" borderId="17" xfId="0" applyFont="1" applyFill="1" applyBorder="1" applyAlignment="1">
      <alignment horizontal="center" vertical="center"/>
    </xf>
    <xf numFmtId="0" fontId="19" fillId="6" borderId="10" xfId="0" applyFont="1" applyFill="1" applyBorder="1" applyAlignment="1">
      <alignment horizontal="center" vertical="center"/>
    </xf>
    <xf numFmtId="9" fontId="19" fillId="0" borderId="37" xfId="5" applyNumberFormat="1" applyFont="1" applyBorder="1" applyAlignment="1" applyProtection="1">
      <alignment horizontal="center" vertical="center"/>
    </xf>
    <xf numFmtId="0" fontId="19" fillId="6" borderId="5" xfId="0" applyFont="1" applyFill="1" applyBorder="1" applyAlignment="1">
      <alignment horizontal="center" vertical="center"/>
    </xf>
    <xf numFmtId="9" fontId="19" fillId="0" borderId="23" xfId="5" applyNumberFormat="1" applyFont="1" applyBorder="1" applyAlignment="1" applyProtection="1">
      <alignment horizontal="center" vertical="center"/>
    </xf>
    <xf numFmtId="3" fontId="19" fillId="6" borderId="5" xfId="0" applyNumberFormat="1" applyFont="1" applyFill="1" applyBorder="1" applyAlignment="1">
      <alignment horizontal="center" vertical="center"/>
    </xf>
    <xf numFmtId="0" fontId="19" fillId="8" borderId="19" xfId="0" applyFont="1" applyFill="1" applyBorder="1" applyAlignment="1">
      <alignment horizontal="center" vertical="center"/>
    </xf>
    <xf numFmtId="4" fontId="19" fillId="8" borderId="20" xfId="0" applyNumberFormat="1" applyFont="1" applyFill="1" applyBorder="1" applyAlignment="1">
      <alignment horizontal="center" vertical="center"/>
    </xf>
    <xf numFmtId="3" fontId="19" fillId="8" borderId="20" xfId="0" applyNumberFormat="1" applyFont="1" applyFill="1" applyBorder="1" applyAlignment="1">
      <alignment horizontal="center" vertical="center"/>
    </xf>
    <xf numFmtId="3" fontId="19" fillId="8" borderId="38" xfId="0" applyNumberFormat="1" applyFont="1" applyFill="1" applyBorder="1" applyAlignment="1">
      <alignment horizontal="center" vertical="center"/>
    </xf>
    <xf numFmtId="0" fontId="19" fillId="8" borderId="27" xfId="0" applyFont="1" applyFill="1" applyBorder="1" applyAlignment="1">
      <alignment horizontal="center" vertical="center"/>
    </xf>
    <xf numFmtId="0" fontId="19" fillId="4" borderId="15" xfId="0" applyFont="1" applyFill="1" applyBorder="1" applyAlignment="1">
      <alignment horizontal="center" vertical="center"/>
    </xf>
    <xf numFmtId="0" fontId="34" fillId="10" borderId="17" xfId="0" applyFont="1" applyFill="1" applyBorder="1" applyAlignment="1">
      <alignment horizontal="center" vertical="center"/>
    </xf>
    <xf numFmtId="182" fontId="19" fillId="0" borderId="23" xfId="0" applyNumberFormat="1" applyFont="1" applyFill="1" applyBorder="1" applyAlignment="1">
      <alignment horizontal="center" vertical="center"/>
    </xf>
    <xf numFmtId="182" fontId="19" fillId="8" borderId="20" xfId="0" applyNumberFormat="1" applyFont="1" applyFill="1" applyBorder="1" applyAlignment="1">
      <alignment horizontal="center" vertical="center"/>
    </xf>
    <xf numFmtId="187" fontId="19" fillId="8" borderId="20" xfId="0" applyNumberFormat="1" applyFont="1" applyFill="1" applyBorder="1" applyAlignment="1">
      <alignment horizontal="center" vertical="center"/>
    </xf>
    <xf numFmtId="182" fontId="19" fillId="8" borderId="27" xfId="0" applyNumberFormat="1" applyFont="1" applyFill="1" applyBorder="1" applyAlignment="1">
      <alignment horizontal="center" vertical="center"/>
    </xf>
    <xf numFmtId="0" fontId="19" fillId="4" borderId="16" xfId="25" applyFont="1" applyFill="1" applyBorder="1" applyAlignment="1" applyProtection="1">
      <alignment horizontal="center" vertical="center" wrapText="1"/>
    </xf>
    <xf numFmtId="0" fontId="19" fillId="4" borderId="24" xfId="0" applyFont="1" applyFill="1" applyBorder="1" applyAlignment="1">
      <alignment horizontal="center" vertical="center" wrapText="1"/>
    </xf>
    <xf numFmtId="0" fontId="19" fillId="2" borderId="17" xfId="0" applyFont="1" applyFill="1" applyBorder="1" applyAlignment="1">
      <alignment horizontal="center" vertical="center"/>
    </xf>
    <xf numFmtId="9" fontId="34" fillId="2" borderId="23" xfId="5" applyNumberFormat="1" applyFont="1" applyFill="1" applyBorder="1" applyAlignment="1" applyProtection="1">
      <alignment horizontal="center" vertical="center"/>
    </xf>
    <xf numFmtId="0" fontId="34" fillId="10" borderId="17" xfId="0" applyFont="1" applyFill="1" applyBorder="1" applyAlignment="1">
      <alignment horizontal="right" vertical="center"/>
    </xf>
    <xf numFmtId="2" fontId="34" fillId="0" borderId="5" xfId="0" applyNumberFormat="1" applyFont="1" applyFill="1" applyBorder="1" applyAlignment="1">
      <alignment horizontal="center" vertical="center"/>
    </xf>
    <xf numFmtId="182" fontId="34" fillId="0" borderId="23" xfId="0" applyNumberFormat="1" applyFont="1" applyBorder="1" applyAlignment="1">
      <alignment horizontal="center" vertical="center"/>
    </xf>
    <xf numFmtId="0" fontId="34" fillId="10" borderId="18" xfId="0" applyFont="1" applyFill="1" applyBorder="1" applyAlignment="1">
      <alignment horizontal="right" vertical="center"/>
    </xf>
    <xf numFmtId="182" fontId="19" fillId="0" borderId="2" xfId="0" applyNumberFormat="1" applyFont="1" applyFill="1" applyBorder="1" applyAlignment="1">
      <alignment horizontal="center" vertical="center"/>
    </xf>
    <xf numFmtId="0" fontId="19" fillId="8" borderId="20" xfId="0" applyFont="1" applyFill="1" applyBorder="1" applyAlignment="1">
      <alignment horizontal="center" vertical="center"/>
    </xf>
    <xf numFmtId="2" fontId="19" fillId="8" borderId="20" xfId="0" applyNumberFormat="1" applyFont="1" applyFill="1" applyBorder="1" applyAlignment="1">
      <alignment horizontal="center" vertical="center"/>
    </xf>
    <xf numFmtId="182" fontId="34" fillId="8" borderId="27" xfId="0" applyNumberFormat="1" applyFont="1" applyFill="1" applyBorder="1" applyAlignment="1">
      <alignment horizontal="center" vertical="center"/>
    </xf>
    <xf numFmtId="0" fontId="19" fillId="0" borderId="0" xfId="0" applyFont="1" applyAlignment="1">
      <alignment horizontal="center"/>
    </xf>
    <xf numFmtId="175" fontId="19" fillId="0" borderId="2" xfId="24" applyNumberFormat="1" applyFont="1" applyFill="1" applyBorder="1" applyAlignment="1" applyProtection="1">
      <alignment horizontal="center" vertical="center" wrapText="1"/>
    </xf>
    <xf numFmtId="180" fontId="19" fillId="0" borderId="2" xfId="24" applyNumberFormat="1" applyFont="1" applyFill="1" applyBorder="1" applyAlignment="1" applyProtection="1">
      <alignment horizontal="center" vertical="center" wrapText="1"/>
    </xf>
    <xf numFmtId="175" fontId="19" fillId="0" borderId="35" xfId="24" applyNumberFormat="1" applyFont="1" applyFill="1" applyBorder="1" applyAlignment="1" applyProtection="1">
      <alignment horizontal="center" vertical="center" wrapText="1"/>
    </xf>
    <xf numFmtId="184" fontId="19" fillId="0" borderId="2" xfId="24" applyNumberFormat="1" applyFont="1" applyFill="1" applyBorder="1" applyAlignment="1" applyProtection="1">
      <alignment horizontal="center" vertical="center" wrapText="1"/>
    </xf>
    <xf numFmtId="175" fontId="19" fillId="0" borderId="36" xfId="24" applyNumberFormat="1" applyFont="1" applyFill="1" applyBorder="1" applyAlignment="1" applyProtection="1">
      <alignment horizontal="center" vertical="center" wrapText="1"/>
    </xf>
    <xf numFmtId="0" fontId="19" fillId="0" borderId="23" xfId="24" applyNumberFormat="1" applyFont="1" applyFill="1" applyBorder="1" applyAlignment="1" applyProtection="1">
      <alignment horizontal="center" vertical="center" wrapText="1"/>
    </xf>
    <xf numFmtId="175" fontId="19" fillId="0" borderId="23" xfId="24" applyNumberFormat="1" applyFont="1" applyFill="1" applyBorder="1" applyAlignment="1" applyProtection="1">
      <alignment horizontal="center" vertical="center" wrapText="1"/>
    </xf>
    <xf numFmtId="175" fontId="19" fillId="0" borderId="27" xfId="24" applyNumberFormat="1" applyFont="1" applyFill="1" applyBorder="1" applyAlignment="1" applyProtection="1">
      <alignment horizontal="center" vertical="center" wrapText="1"/>
    </xf>
    <xf numFmtId="9" fontId="19" fillId="0" borderId="27" xfId="5" applyFont="1" applyFill="1" applyBorder="1" applyAlignment="1" applyProtection="1">
      <alignment horizontal="center" vertical="center" wrapText="1"/>
    </xf>
    <xf numFmtId="184" fontId="32" fillId="6" borderId="43" xfId="0" applyNumberFormat="1" applyFont="1" applyFill="1" applyBorder="1">
      <alignment vertical="center"/>
    </xf>
    <xf numFmtId="0" fontId="34" fillId="4" borderId="1" xfId="0" applyNumberFormat="1" applyFont="1" applyFill="1" applyBorder="1" applyAlignment="1">
      <alignment horizontal="center" vertical="center" wrapText="1"/>
    </xf>
    <xf numFmtId="182" fontId="34" fillId="4" borderId="3" xfId="0" applyNumberFormat="1" applyFont="1" applyFill="1" applyBorder="1" applyAlignment="1">
      <alignment horizontal="center" vertical="center" wrapText="1"/>
    </xf>
    <xf numFmtId="0" fontId="34" fillId="4" borderId="1" xfId="0" applyFont="1" applyFill="1" applyBorder="1" applyAlignment="1">
      <alignment horizontal="center" vertical="center" wrapText="1"/>
    </xf>
    <xf numFmtId="0" fontId="34" fillId="8" borderId="1" xfId="0" applyFont="1" applyFill="1" applyBorder="1" applyAlignment="1">
      <alignment horizontal="center" vertical="center" wrapText="1"/>
    </xf>
    <xf numFmtId="0" fontId="34" fillId="4" borderId="1" xfId="0" applyFont="1" applyFill="1" applyBorder="1" applyAlignment="1">
      <alignment horizontal="center" vertical="center" wrapText="1"/>
    </xf>
    <xf numFmtId="164" fontId="4" fillId="3" borderId="3" xfId="8" applyFont="1" applyFill="1" applyBorder="1" applyAlignment="1" applyProtection="1">
      <alignment horizontal="center"/>
    </xf>
    <xf numFmtId="0" fontId="19" fillId="4" borderId="1" xfId="0" applyFont="1" applyFill="1" applyBorder="1" applyAlignment="1">
      <alignment horizontal="center" vertical="center"/>
    </xf>
    <xf numFmtId="0" fontId="19" fillId="6" borderId="0" xfId="0" applyFont="1" applyFill="1" applyBorder="1" applyAlignment="1">
      <alignment horizontal="center" vertical="center"/>
    </xf>
    <xf numFmtId="167" fontId="33" fillId="0" borderId="1" xfId="0" applyNumberFormat="1" applyFont="1" applyFill="1" applyBorder="1" applyAlignment="1">
      <alignment horizontal="center" vertical="center"/>
    </xf>
    <xf numFmtId="182" fontId="19" fillId="0" borderId="1" xfId="0" applyNumberFormat="1" applyFont="1" applyFill="1" applyBorder="1" applyAlignment="1">
      <alignment horizontal="center" vertical="center"/>
    </xf>
    <xf numFmtId="0" fontId="19" fillId="0" borderId="1" xfId="0" applyFont="1" applyFill="1" applyBorder="1" applyAlignment="1">
      <alignment horizontal="center" vertical="center"/>
    </xf>
    <xf numFmtId="0" fontId="34" fillId="10" borderId="1" xfId="0" applyFont="1" applyFill="1" applyBorder="1" applyAlignment="1">
      <alignment horizontal="center" vertical="center" wrapText="1"/>
    </xf>
    <xf numFmtId="182" fontId="33" fillId="0" borderId="1" xfId="0" applyNumberFormat="1" applyFont="1" applyFill="1" applyBorder="1" applyAlignment="1">
      <alignment horizontal="center" vertical="center" wrapText="1"/>
    </xf>
    <xf numFmtId="167" fontId="33" fillId="6" borderId="1" xfId="0" applyNumberFormat="1" applyFont="1" applyFill="1" applyBorder="1" applyAlignment="1">
      <alignment horizontal="center" vertical="center" wrapText="1"/>
    </xf>
    <xf numFmtId="182" fontId="33" fillId="6" borderId="1" xfId="0" applyNumberFormat="1" applyFont="1" applyFill="1" applyBorder="1" applyAlignment="1">
      <alignment horizontal="center" vertical="center" wrapText="1"/>
    </xf>
    <xf numFmtId="182" fontId="19" fillId="6" borderId="1" xfId="0" applyNumberFormat="1" applyFont="1" applyFill="1" applyBorder="1" applyAlignment="1">
      <alignment horizontal="center" vertical="center" wrapText="1"/>
    </xf>
    <xf numFmtId="0" fontId="54" fillId="6" borderId="1" xfId="0" applyFont="1" applyFill="1" applyBorder="1" applyAlignment="1">
      <alignment horizontal="center" vertical="center"/>
    </xf>
    <xf numFmtId="167" fontId="54" fillId="0" borderId="11" xfId="0" applyNumberFormat="1" applyFont="1" applyBorder="1" applyAlignment="1">
      <alignment horizontal="center" vertical="center" wrapText="1"/>
    </xf>
    <xf numFmtId="182" fontId="36" fillId="0" borderId="1" xfId="0" applyNumberFormat="1" applyFont="1" applyFill="1" applyBorder="1" applyAlignment="1">
      <alignment horizontal="left" vertical="center" wrapText="1"/>
    </xf>
    <xf numFmtId="0" fontId="19" fillId="0" borderId="1" xfId="0" applyFont="1" applyFill="1" applyBorder="1" applyAlignment="1">
      <alignment horizontal="center" vertical="center" wrapText="1"/>
    </xf>
    <xf numFmtId="0" fontId="40" fillId="6" borderId="0" xfId="0"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0" fontId="19" fillId="1" borderId="0" xfId="0" applyFont="1" applyFill="1" applyBorder="1" applyAlignment="1">
      <alignment horizontal="center"/>
    </xf>
    <xf numFmtId="0" fontId="34" fillId="2" borderId="0" xfId="0" applyFont="1" applyFill="1" applyBorder="1" applyAlignment="1">
      <alignment horizontal="center" vertical="center"/>
    </xf>
    <xf numFmtId="0" fontId="19" fillId="4" borderId="0" xfId="0" applyFont="1" applyFill="1" applyBorder="1" applyAlignment="1">
      <alignment horizontal="center" vertical="center"/>
    </xf>
    <xf numFmtId="0" fontId="19" fillId="0" borderId="0" xfId="0" applyFont="1" applyAlignment="1">
      <alignment horizontal="center"/>
    </xf>
    <xf numFmtId="0" fontId="34" fillId="4" borderId="1" xfId="0" applyNumberFormat="1" applyFont="1" applyFill="1" applyBorder="1" applyAlignment="1">
      <alignment horizontal="center" vertical="center" wrapText="1"/>
    </xf>
    <xf numFmtId="40" fontId="19" fillId="0" borderId="1" xfId="0" applyNumberFormat="1" applyFont="1" applyFill="1" applyBorder="1" applyAlignment="1">
      <alignment horizontal="center" vertical="center" wrapText="1"/>
    </xf>
    <xf numFmtId="9" fontId="64" fillId="6" borderId="1" xfId="18" applyFont="1" applyFill="1" applyBorder="1" applyProtection="1"/>
    <xf numFmtId="9" fontId="65" fillId="6" borderId="1" xfId="18" applyFont="1" applyFill="1" applyBorder="1" applyProtection="1"/>
    <xf numFmtId="166" fontId="22" fillId="0" borderId="0" xfId="14" applyNumberFormat="1" applyFont="1" applyAlignment="1" applyProtection="1"/>
    <xf numFmtId="165" fontId="18" fillId="2" borderId="1" xfId="2" applyNumberFormat="1" applyFont="1" applyFill="1" applyBorder="1" applyAlignment="1" applyProtection="1"/>
    <xf numFmtId="9" fontId="55" fillId="0" borderId="0" xfId="5">
      <protection locked="0"/>
    </xf>
    <xf numFmtId="0" fontId="22" fillId="0" borderId="0" xfId="0" applyFont="1">
      <alignment vertical="center"/>
    </xf>
    <xf numFmtId="0" fontId="1" fillId="0" borderId="0" xfId="0" applyFont="1" applyAlignment="1">
      <alignment horizontal="center" vertical="center"/>
    </xf>
    <xf numFmtId="166" fontId="4" fillId="0" borderId="0" xfId="14" applyNumberFormat="1" applyFont="1" applyAlignment="1" applyProtection="1"/>
    <xf numFmtId="166" fontId="4" fillId="0" borderId="0" xfId="0" applyNumberFormat="1" applyFont="1" applyAlignment="1"/>
    <xf numFmtId="166" fontId="4" fillId="6" borderId="0" xfId="15" applyNumberFormat="1" applyFont="1" applyFill="1" applyAlignment="1" applyProtection="1"/>
    <xf numFmtId="166" fontId="4" fillId="6" borderId="0" xfId="15" applyNumberFormat="1" applyFont="1" applyFill="1" applyAlignment="1" applyProtection="1">
      <alignment horizontal="center"/>
    </xf>
    <xf numFmtId="165" fontId="4" fillId="8" borderId="1" xfId="12" applyNumberFormat="1" applyFont="1" applyFill="1" applyBorder="1" applyAlignment="1" applyProtection="1">
      <alignment vertical="center"/>
    </xf>
    <xf numFmtId="184" fontId="19" fillId="5" borderId="1" xfId="25" applyNumberFormat="1" applyFont="1" applyFill="1" applyBorder="1" applyAlignment="1" applyProtection="1">
      <alignment horizontal="center" vertical="center" wrapText="1"/>
    </xf>
    <xf numFmtId="14" fontId="4" fillId="0" borderId="1" xfId="3" applyNumberFormat="1" applyFont="1" applyFill="1" applyBorder="1" applyAlignment="1" applyProtection="1">
      <alignment horizontal="center"/>
    </xf>
    <xf numFmtId="184" fontId="66" fillId="0" borderId="1" xfId="25" applyNumberFormat="1" applyFont="1" applyFill="1" applyBorder="1" applyAlignment="1" applyProtection="1">
      <alignment horizontal="center" vertical="center" wrapText="1"/>
    </xf>
    <xf numFmtId="179" fontId="19" fillId="18" borderId="2" xfId="0" applyNumberFormat="1" applyFont="1" applyFill="1" applyBorder="1" applyAlignment="1">
      <alignment horizontal="center" vertical="center" wrapText="1"/>
    </xf>
    <xf numFmtId="165" fontId="4" fillId="0" borderId="1" xfId="2" applyNumberFormat="1" applyFont="1" applyBorder="1" applyAlignment="1" applyProtection="1">
      <alignment vertical="center"/>
    </xf>
    <xf numFmtId="182" fontId="46" fillId="5" borderId="1" xfId="25" applyNumberFormat="1" applyFont="1" applyFill="1" applyBorder="1" applyAlignment="1" applyProtection="1">
      <alignment horizontal="center" vertical="center" wrapText="1"/>
    </xf>
    <xf numFmtId="166" fontId="4" fillId="0" borderId="0" xfId="12" applyNumberFormat="1" applyFont="1" applyAlignment="1" applyProtection="1">
      <alignment vertical="center"/>
    </xf>
    <xf numFmtId="0" fontId="58" fillId="0" borderId="0" xfId="30"/>
    <xf numFmtId="0" fontId="34" fillId="4" borderId="1" xfId="31" applyFont="1" applyFill="1" applyBorder="1" applyAlignment="1">
      <alignment horizontal="center" vertical="center" wrapText="1"/>
    </xf>
    <xf numFmtId="0" fontId="34" fillId="4" borderId="2" xfId="31" applyFont="1" applyFill="1" applyBorder="1" applyAlignment="1">
      <alignment horizontal="center" vertical="center" wrapText="1"/>
    </xf>
    <xf numFmtId="0" fontId="58" fillId="0" borderId="1" xfId="30" applyFill="1" applyBorder="1" applyAlignment="1">
      <alignment horizontal="center" vertical="center"/>
    </xf>
    <xf numFmtId="0" fontId="19" fillId="0" borderId="1" xfId="30" applyFont="1" applyFill="1" applyBorder="1" applyAlignment="1" applyProtection="1">
      <alignment horizontal="center" vertical="center"/>
      <protection locked="0"/>
    </xf>
    <xf numFmtId="2" fontId="19" fillId="0" borderId="1" xfId="30" applyNumberFormat="1" applyFont="1" applyFill="1" applyBorder="1" applyAlignment="1">
      <alignment horizontal="center" vertical="center"/>
    </xf>
    <xf numFmtId="0" fontId="19" fillId="0" borderId="1" xfId="30" applyFont="1" applyFill="1" applyBorder="1" applyAlignment="1">
      <alignment horizontal="center" vertical="center"/>
    </xf>
    <xf numFmtId="0" fontId="58" fillId="0" borderId="0" xfId="30" applyFill="1"/>
    <xf numFmtId="2" fontId="58" fillId="0" borderId="0" xfId="30" applyNumberFormat="1" applyFill="1"/>
    <xf numFmtId="166" fontId="66" fillId="0" borderId="1" xfId="32" applyNumberFormat="1" applyFont="1" applyFill="1" applyBorder="1" applyAlignment="1">
      <alignment horizontal="center" vertical="center" wrapText="1"/>
    </xf>
    <xf numFmtId="0" fontId="19" fillId="0" borderId="5" xfId="30" applyFont="1" applyFill="1" applyBorder="1" applyAlignment="1" applyProtection="1">
      <alignment horizontal="center" vertical="center"/>
      <protection locked="0"/>
    </xf>
    <xf numFmtId="0" fontId="4" fillId="0" borderId="1" xfId="30" applyFont="1" applyFill="1" applyBorder="1" applyAlignment="1">
      <alignment horizontal="center"/>
    </xf>
    <xf numFmtId="0" fontId="45" fillId="0" borderId="1" xfId="33" applyFont="1" applyFill="1" applyBorder="1" applyAlignment="1">
      <alignment horizontal="center" vertical="center" wrapText="1"/>
    </xf>
    <xf numFmtId="0" fontId="66" fillId="0" borderId="1" xfId="33" applyNumberFormat="1" applyFont="1" applyFill="1" applyBorder="1" applyAlignment="1" applyProtection="1">
      <alignment horizontal="center" vertical="center"/>
    </xf>
    <xf numFmtId="0" fontId="19" fillId="2" borderId="1" xfId="34" applyFont="1" applyFill="1" applyBorder="1" applyAlignment="1">
      <alignment horizontal="center" vertical="center" wrapText="1"/>
    </xf>
    <xf numFmtId="0" fontId="19" fillId="0" borderId="1" xfId="34" applyFont="1" applyFill="1" applyBorder="1" applyAlignment="1">
      <alignment horizontal="center" vertical="center" wrapText="1"/>
    </xf>
    <xf numFmtId="0" fontId="58" fillId="0" borderId="1" xfId="30" applyFill="1" applyBorder="1" applyAlignment="1">
      <alignment horizontal="center"/>
    </xf>
    <xf numFmtId="2" fontId="19" fillId="0" borderId="1" xfId="30" applyNumberFormat="1" applyFont="1" applyFill="1" applyBorder="1" applyAlignment="1">
      <alignment horizontal="center" vertical="center" wrapText="1"/>
    </xf>
    <xf numFmtId="0" fontId="19" fillId="0" borderId="1" xfId="30" applyFont="1" applyFill="1" applyBorder="1" applyAlignment="1">
      <alignment vertical="center" wrapText="1"/>
    </xf>
    <xf numFmtId="0" fontId="58" fillId="0" borderId="0" xfId="30" applyFill="1" applyAlignment="1">
      <alignment horizontal="center" vertical="center"/>
    </xf>
    <xf numFmtId="0" fontId="58" fillId="0" borderId="0" xfId="30" applyAlignment="1">
      <alignment horizontal="center" vertical="center"/>
    </xf>
    <xf numFmtId="0" fontId="58" fillId="0" borderId="0" xfId="30" applyBorder="1" applyAlignment="1">
      <alignment horizontal="center" vertical="center"/>
    </xf>
    <xf numFmtId="0" fontId="70" fillId="0" borderId="0" xfId="30" applyFont="1" applyBorder="1" applyAlignment="1">
      <alignment horizontal="center" vertical="center"/>
    </xf>
    <xf numFmtId="0" fontId="5" fillId="0" borderId="1" xfId="30" applyFont="1" applyBorder="1" applyAlignment="1">
      <alignment horizontal="center" vertical="center"/>
    </xf>
    <xf numFmtId="184" fontId="58" fillId="0" borderId="1" xfId="30" applyNumberFormat="1" applyBorder="1" applyAlignment="1">
      <alignment horizontal="center" vertical="center"/>
    </xf>
    <xf numFmtId="182" fontId="58" fillId="0" borderId="1" xfId="30" applyNumberFormat="1" applyBorder="1" applyAlignment="1">
      <alignment horizontal="center" vertical="center"/>
    </xf>
    <xf numFmtId="0" fontId="71" fillId="0" borderId="0" xfId="30" applyFont="1" applyAlignment="1">
      <alignment horizontal="left" vertical="top" wrapText="1"/>
    </xf>
    <xf numFmtId="9" fontId="70" fillId="0" borderId="0" xfId="35" applyFont="1" applyBorder="1" applyAlignment="1">
      <alignment horizontal="center" vertical="center"/>
    </xf>
    <xf numFmtId="0" fontId="58" fillId="0" borderId="0" xfId="30" applyAlignment="1">
      <alignment horizontal="left" vertical="center"/>
    </xf>
    <xf numFmtId="10" fontId="70" fillId="0" borderId="0" xfId="35" applyNumberFormat="1" applyFont="1" applyBorder="1" applyAlignment="1">
      <alignment horizontal="center" vertical="center"/>
    </xf>
    <xf numFmtId="184" fontId="58" fillId="0" borderId="0" xfId="30" applyNumberFormat="1" applyAlignment="1">
      <alignment horizontal="center" vertical="center"/>
    </xf>
    <xf numFmtId="0" fontId="4" fillId="0" borderId="0" xfId="30" applyFont="1" applyAlignment="1">
      <alignment horizontal="center" vertical="center"/>
    </xf>
    <xf numFmtId="0" fontId="58" fillId="0" borderId="0" xfId="30" applyAlignment="1">
      <alignment horizontal="right"/>
    </xf>
    <xf numFmtId="0" fontId="34" fillId="4" borderId="2" xfId="31" applyFont="1" applyFill="1" applyBorder="1" applyAlignment="1">
      <alignment horizontal="right" vertical="center" wrapText="1"/>
    </xf>
    <xf numFmtId="2" fontId="19" fillId="0" borderId="1" xfId="30" applyNumberFormat="1" applyFont="1" applyFill="1" applyBorder="1" applyAlignment="1">
      <alignment horizontal="right" vertical="center"/>
    </xf>
    <xf numFmtId="2" fontId="19" fillId="0" borderId="1" xfId="30" applyNumberFormat="1" applyFont="1" applyFill="1" applyBorder="1" applyAlignment="1">
      <alignment horizontal="right" vertical="center" wrapText="1"/>
    </xf>
    <xf numFmtId="0" fontId="58" fillId="0" borderId="0" xfId="30" applyBorder="1" applyAlignment="1">
      <alignment horizontal="right" vertical="center"/>
    </xf>
    <xf numFmtId="184" fontId="58" fillId="0" borderId="1" xfId="30" applyNumberFormat="1" applyBorder="1" applyAlignment="1">
      <alignment horizontal="right" vertical="center"/>
    </xf>
    <xf numFmtId="0" fontId="58" fillId="0" borderId="0" xfId="30" applyAlignment="1">
      <alignment horizontal="right" vertical="center"/>
    </xf>
    <xf numFmtId="0" fontId="19" fillId="5" borderId="5" xfId="30" applyFont="1" applyFill="1" applyBorder="1" applyAlignment="1" applyProtection="1">
      <alignment horizontal="center" vertical="center"/>
      <protection locked="0"/>
    </xf>
    <xf numFmtId="9" fontId="4" fillId="6" borderId="1" xfId="18" applyFont="1" applyFill="1" applyBorder="1" applyAlignment="1" applyProtection="1"/>
    <xf numFmtId="166" fontId="18" fillId="2" borderId="1" xfId="5" applyNumberFormat="1" applyFont="1" applyFill="1" applyBorder="1" applyAlignment="1" applyProtection="1"/>
    <xf numFmtId="165" fontId="18" fillId="4" borderId="1" xfId="12" applyNumberFormat="1" applyFont="1" applyFill="1" applyBorder="1" applyAlignment="1" applyProtection="1">
      <alignment horizontal="center" vertical="center"/>
    </xf>
    <xf numFmtId="166" fontId="18" fillId="4" borderId="1" xfId="12" applyNumberFormat="1" applyFont="1" applyFill="1" applyBorder="1" applyAlignment="1" applyProtection="1">
      <alignment horizontal="center" vertical="center"/>
    </xf>
    <xf numFmtId="165" fontId="3" fillId="0" borderId="0" xfId="0" applyNumberFormat="1" applyFont="1" applyAlignment="1"/>
    <xf numFmtId="164" fontId="3" fillId="10" borderId="1" xfId="8" applyNumberFormat="1" applyFont="1" applyFill="1" applyBorder="1" applyAlignment="1" applyProtection="1">
      <alignment vertical="center"/>
    </xf>
    <xf numFmtId="172" fontId="4" fillId="8" borderId="1" xfId="12" applyNumberFormat="1" applyFont="1" applyFill="1" applyBorder="1" applyAlignment="1" applyProtection="1">
      <alignment vertical="center"/>
    </xf>
    <xf numFmtId="172" fontId="18" fillId="4" borderId="1" xfId="12" applyNumberFormat="1" applyFont="1" applyFill="1" applyBorder="1" applyAlignment="1" applyProtection="1">
      <alignment horizontal="center" vertical="center"/>
    </xf>
    <xf numFmtId="164" fontId="13" fillId="6" borderId="1" xfId="6" applyNumberFormat="1" applyFont="1" applyFill="1" applyBorder="1" applyAlignment="1" applyProtection="1">
      <alignment horizontal="center"/>
    </xf>
    <xf numFmtId="164" fontId="10" fillId="6" borderId="1" xfId="7" applyNumberFormat="1" applyFont="1" applyFill="1" applyBorder="1" applyAlignment="1" applyProtection="1">
      <alignment vertical="center"/>
    </xf>
    <xf numFmtId="164" fontId="3" fillId="6" borderId="1" xfId="6" applyNumberFormat="1" applyFont="1" applyFill="1" applyBorder="1" applyAlignment="1" applyProtection="1"/>
    <xf numFmtId="9" fontId="55" fillId="0" borderId="1" xfId="5" applyBorder="1">
      <protection locked="0"/>
    </xf>
    <xf numFmtId="0" fontId="3" fillId="0" borderId="0" xfId="6" applyFont="1" applyFill="1" applyAlignment="1" applyProtection="1"/>
    <xf numFmtId="1" fontId="3" fillId="0" borderId="0" xfId="6" applyNumberFormat="1" applyFont="1" applyFill="1" applyAlignment="1" applyProtection="1"/>
    <xf numFmtId="0" fontId="4" fillId="0" borderId="0" xfId="6" applyFont="1" applyFill="1" applyAlignment="1" applyProtection="1"/>
    <xf numFmtId="0" fontId="19" fillId="0" borderId="0" xfId="7" applyFont="1" applyFill="1" applyAlignment="1" applyProtection="1">
      <alignment vertical="center"/>
    </xf>
    <xf numFmtId="0" fontId="11" fillId="0" borderId="0" xfId="7" applyFont="1" applyFill="1" applyAlignment="1" applyProtection="1">
      <alignment vertical="center"/>
    </xf>
    <xf numFmtId="0" fontId="10" fillId="0" borderId="0" xfId="7" applyFont="1" applyFill="1" applyAlignment="1" applyProtection="1">
      <alignment vertical="center"/>
    </xf>
    <xf numFmtId="166" fontId="3" fillId="6" borderId="0" xfId="6" applyNumberFormat="1" applyFont="1" applyFill="1" applyAlignment="1" applyProtection="1"/>
    <xf numFmtId="3" fontId="3" fillId="5" borderId="1" xfId="2" applyNumberFormat="1" applyFont="1" applyFill="1" applyBorder="1" applyAlignment="1" applyProtection="1">
      <alignment horizontal="center" vertical="center"/>
    </xf>
    <xf numFmtId="166" fontId="3" fillId="5" borderId="1" xfId="2" applyNumberFormat="1" applyFont="1" applyFill="1" applyBorder="1" applyAlignment="1" applyProtection="1"/>
    <xf numFmtId="9" fontId="3" fillId="4" borderId="1" xfId="5" applyNumberFormat="1" applyFont="1" applyFill="1" applyBorder="1" applyAlignment="1" applyProtection="1">
      <alignment vertical="center"/>
    </xf>
    <xf numFmtId="193" fontId="4" fillId="0" borderId="0" xfId="12" applyNumberFormat="1" applyFont="1" applyAlignment="1" applyProtection="1">
      <alignment vertical="center"/>
    </xf>
    <xf numFmtId="2" fontId="3" fillId="6" borderId="0" xfId="6" applyNumberFormat="1" applyFont="1" applyFill="1" applyAlignment="1" applyProtection="1"/>
    <xf numFmtId="170" fontId="3" fillId="2" borderId="1" xfId="5" applyNumberFormat="1" applyFont="1" applyFill="1" applyBorder="1" applyAlignment="1" applyProtection="1">
      <alignment horizontal="center" vertical="center"/>
    </xf>
    <xf numFmtId="0" fontId="4" fillId="0" borderId="0" xfId="6" applyFont="1" applyFill="1" applyBorder="1" applyAlignment="1" applyProtection="1"/>
    <xf numFmtId="0" fontId="3" fillId="0" borderId="0" xfId="6" applyFont="1" applyFill="1" applyBorder="1" applyAlignment="1" applyProtection="1"/>
    <xf numFmtId="1" fontId="22" fillId="0" borderId="0" xfId="14" applyNumberFormat="1" applyFont="1" applyAlignment="1" applyProtection="1"/>
    <xf numFmtId="2" fontId="22" fillId="0" borderId="0" xfId="14" applyNumberFormat="1" applyFont="1" applyAlignment="1" applyProtection="1"/>
    <xf numFmtId="172" fontId="4" fillId="0" borderId="1" xfId="12" applyFont="1" applyFill="1" applyBorder="1" applyAlignment="1" applyProtection="1">
      <alignment vertical="center"/>
    </xf>
    <xf numFmtId="0" fontId="72" fillId="0" borderId="0" xfId="0" applyFont="1" applyAlignment="1"/>
    <xf numFmtId="166" fontId="73" fillId="0" borderId="0" xfId="0" applyNumberFormat="1" applyFont="1" applyAlignment="1"/>
    <xf numFmtId="0" fontId="73" fillId="0" borderId="0" xfId="0" applyFont="1" applyAlignment="1"/>
    <xf numFmtId="9" fontId="73" fillId="0" borderId="0" xfId="0" applyNumberFormat="1" applyFont="1" applyAlignment="1"/>
    <xf numFmtId="14" fontId="73" fillId="0" borderId="0" xfId="0" applyNumberFormat="1" applyFont="1" applyAlignment="1"/>
    <xf numFmtId="165" fontId="73" fillId="0" borderId="0" xfId="0" applyNumberFormat="1" applyFont="1" applyAlignment="1"/>
    <xf numFmtId="165" fontId="3" fillId="6" borderId="0" xfId="6" applyNumberFormat="1" applyFont="1" applyFill="1" applyAlignment="1" applyProtection="1"/>
    <xf numFmtId="0" fontId="4" fillId="0" borderId="1" xfId="6" applyFont="1" applyFill="1" applyBorder="1" applyAlignment="1" applyProtection="1">
      <alignment vertical="center"/>
    </xf>
    <xf numFmtId="164" fontId="3" fillId="11" borderId="3" xfId="8" applyNumberFormat="1" applyFont="1" applyFill="1" applyBorder="1" applyAlignment="1" applyProtection="1">
      <alignment vertical="center"/>
    </xf>
    <xf numFmtId="0" fontId="74" fillId="0" borderId="0" xfId="36"/>
    <xf numFmtId="180" fontId="19" fillId="6" borderId="0" xfId="38" applyFont="1" applyFill="1"/>
    <xf numFmtId="180" fontId="19" fillId="6" borderId="0" xfId="38" applyFont="1" applyFill="1" applyAlignment="1">
      <alignment horizontal="center"/>
    </xf>
    <xf numFmtId="180" fontId="19" fillId="6" borderId="16" xfId="38" applyFont="1" applyFill="1" applyBorder="1" applyAlignment="1">
      <alignment horizontal="center" vertical="center" wrapText="1"/>
    </xf>
    <xf numFmtId="180" fontId="19" fillId="6" borderId="16" xfId="38" applyFont="1" applyFill="1" applyBorder="1" applyAlignment="1">
      <alignment horizontal="left" vertical="center" wrapText="1"/>
    </xf>
    <xf numFmtId="180" fontId="19" fillId="4" borderId="16" xfId="38" applyFont="1" applyFill="1" applyBorder="1" applyAlignment="1">
      <alignment horizontal="center" vertical="center"/>
    </xf>
    <xf numFmtId="180" fontId="19" fillId="6" borderId="24" xfId="38" applyFont="1" applyFill="1" applyBorder="1" applyAlignment="1">
      <alignment horizontal="left" vertical="center" wrapText="1"/>
    </xf>
    <xf numFmtId="180" fontId="19" fillId="6" borderId="1" xfId="38" applyFont="1" applyFill="1" applyBorder="1" applyAlignment="1">
      <alignment horizontal="center" vertical="center" wrapText="1"/>
    </xf>
    <xf numFmtId="184" fontId="19" fillId="6" borderId="0" xfId="38" applyNumberFormat="1" applyFont="1" applyFill="1"/>
    <xf numFmtId="180" fontId="19" fillId="6" borderId="23" xfId="38" applyFont="1" applyFill="1" applyBorder="1" applyAlignment="1">
      <alignment horizontal="left" vertical="center" wrapText="1"/>
    </xf>
    <xf numFmtId="180" fontId="23" fillId="4" borderId="0" xfId="38" applyFont="1" applyFill="1" applyBorder="1" applyAlignment="1">
      <alignment horizontal="center" vertical="center"/>
    </xf>
    <xf numFmtId="180" fontId="23" fillId="4" borderId="46" xfId="38" applyFont="1" applyFill="1" applyBorder="1" applyAlignment="1">
      <alignment horizontal="center" vertical="center"/>
    </xf>
    <xf numFmtId="180" fontId="23" fillId="6" borderId="0" xfId="38" applyFont="1" applyFill="1" applyAlignment="1">
      <alignment horizontal="center" vertical="center"/>
    </xf>
    <xf numFmtId="180" fontId="19" fillId="4" borderId="23" xfId="38" applyFont="1" applyFill="1" applyBorder="1" applyAlignment="1">
      <alignment vertical="center"/>
    </xf>
    <xf numFmtId="167" fontId="19" fillId="22" borderId="20" xfId="38" applyNumberFormat="1" applyFont="1" applyFill="1" applyBorder="1" applyAlignment="1">
      <alignment vertical="center"/>
    </xf>
    <xf numFmtId="180" fontId="19" fillId="22" borderId="20" xfId="38" applyFont="1" applyFill="1" applyBorder="1" applyAlignment="1">
      <alignment vertical="center"/>
    </xf>
    <xf numFmtId="180" fontId="19" fillId="0" borderId="29" xfId="38" applyFont="1" applyFill="1" applyBorder="1" applyAlignment="1">
      <alignment vertical="center"/>
    </xf>
    <xf numFmtId="174" fontId="19" fillId="0" borderId="0" xfId="38" applyNumberFormat="1" applyFont="1" applyFill="1" applyBorder="1" applyAlignment="1">
      <alignment horizontal="center" vertical="center"/>
    </xf>
    <xf numFmtId="2" fontId="19" fillId="0" borderId="0" xfId="38" applyNumberFormat="1" applyFont="1" applyFill="1" applyBorder="1" applyAlignment="1">
      <alignment horizontal="left" vertical="center"/>
    </xf>
    <xf numFmtId="180" fontId="11" fillId="0" borderId="0" xfId="38" applyFont="1"/>
    <xf numFmtId="2" fontId="19" fillId="0" borderId="0" xfId="38" applyNumberFormat="1" applyFont="1" applyFill="1" applyBorder="1" applyAlignment="1">
      <alignment horizontal="center" vertical="center"/>
    </xf>
    <xf numFmtId="185" fontId="19" fillId="0" borderId="0" xfId="38" applyNumberFormat="1" applyFont="1" applyFill="1" applyBorder="1" applyAlignment="1">
      <alignment horizontal="center" vertical="center"/>
    </xf>
    <xf numFmtId="180" fontId="19" fillId="0" borderId="0" xfId="38" applyFont="1" applyFill="1" applyBorder="1" applyAlignment="1">
      <alignment horizontal="center" vertical="center"/>
    </xf>
    <xf numFmtId="180" fontId="19" fillId="0" borderId="0" xfId="38" applyFont="1"/>
    <xf numFmtId="174" fontId="34" fillId="10" borderId="16" xfId="38" applyNumberFormat="1" applyFont="1" applyFill="1" applyBorder="1" applyAlignment="1">
      <alignment horizontal="center" vertical="center" wrapText="1"/>
    </xf>
    <xf numFmtId="174" fontId="42" fillId="10" borderId="16" xfId="38" applyNumberFormat="1" applyFont="1" applyFill="1" applyBorder="1" applyAlignment="1">
      <alignment horizontal="center" vertical="center" wrapText="1"/>
    </xf>
    <xf numFmtId="174" fontId="34" fillId="10" borderId="32" xfId="38" applyNumberFormat="1" applyFont="1" applyFill="1" applyBorder="1" applyAlignment="1">
      <alignment vertical="center" wrapText="1"/>
    </xf>
    <xf numFmtId="174" fontId="5" fillId="10" borderId="16" xfId="38" applyNumberFormat="1" applyFont="1" applyFill="1" applyBorder="1" applyAlignment="1">
      <alignment horizontal="center" vertical="center" wrapText="1"/>
    </xf>
    <xf numFmtId="180" fontId="34" fillId="10" borderId="40" xfId="38" applyFont="1" applyFill="1" applyBorder="1" applyAlignment="1">
      <alignment horizontal="center" vertical="center" wrapText="1"/>
    </xf>
    <xf numFmtId="184" fontId="19" fillId="0" borderId="1" xfId="38" applyNumberFormat="1" applyFont="1" applyFill="1" applyBorder="1" applyAlignment="1">
      <alignment horizontal="left" vertical="center" wrapText="1"/>
    </xf>
    <xf numFmtId="194" fontId="19" fillId="0" borderId="5" xfId="38" applyNumberFormat="1" applyFont="1" applyFill="1" applyBorder="1" applyAlignment="1">
      <alignment horizontal="right" vertical="center" wrapText="1"/>
    </xf>
    <xf numFmtId="182" fontId="19" fillId="22" borderId="5" xfId="38" applyNumberFormat="1" applyFont="1" applyFill="1" applyBorder="1" applyAlignment="1">
      <alignment horizontal="center" vertical="center" wrapText="1"/>
    </xf>
    <xf numFmtId="182" fontId="19" fillId="0" borderId="5" xfId="38" applyNumberFormat="1" applyFont="1" applyFill="1" applyBorder="1" applyAlignment="1">
      <alignment horizontal="center" vertical="center" wrapText="1"/>
    </xf>
    <xf numFmtId="184" fontId="19" fillId="0" borderId="1" xfId="38" applyNumberFormat="1" applyFont="1" applyFill="1" applyBorder="1" applyAlignment="1">
      <alignment horizontal="center" vertical="center"/>
    </xf>
    <xf numFmtId="167" fontId="19" fillId="5" borderId="1" xfId="38" applyNumberFormat="1" applyFont="1" applyFill="1" applyBorder="1" applyAlignment="1">
      <alignment horizontal="center" vertical="center" wrapText="1"/>
    </xf>
    <xf numFmtId="165" fontId="19" fillId="0" borderId="0" xfId="37" applyFont="1" applyFill="1" applyAlignment="1"/>
    <xf numFmtId="165" fontId="4" fillId="0" borderId="0" xfId="37" applyFont="1" applyFill="1" applyBorder="1" applyAlignment="1">
      <alignment horizontal="center" vertical="center"/>
    </xf>
    <xf numFmtId="180" fontId="4" fillId="0" borderId="0" xfId="38" applyFont="1" applyFill="1" applyBorder="1" applyAlignment="1">
      <alignment horizontal="center" vertical="center" wrapText="1"/>
    </xf>
    <xf numFmtId="180" fontId="19" fillId="0" borderId="0" xfId="38" applyFont="1" applyFill="1"/>
    <xf numFmtId="167" fontId="19" fillId="0" borderId="1" xfId="38" applyNumberFormat="1" applyFont="1" applyFill="1" applyBorder="1" applyAlignment="1">
      <alignment horizontal="center" vertical="center" wrapText="1"/>
    </xf>
    <xf numFmtId="194" fontId="11" fillId="0" borderId="1" xfId="38" applyNumberFormat="1" applyFont="1" applyFill="1" applyBorder="1" applyAlignment="1">
      <alignment horizontal="right" vertical="center" wrapText="1"/>
    </xf>
    <xf numFmtId="10" fontId="19" fillId="0" borderId="1" xfId="42" applyNumberFormat="1" applyFont="1" applyFill="1" applyBorder="1" applyAlignment="1">
      <alignment horizontal="center" vertical="center" wrapText="1"/>
    </xf>
    <xf numFmtId="180" fontId="5" fillId="0" borderId="0" xfId="38" applyFont="1" applyFill="1" applyBorder="1" applyAlignment="1">
      <alignment horizontal="center" vertical="center"/>
    </xf>
    <xf numFmtId="182" fontId="4" fillId="0" borderId="0" xfId="38" applyNumberFormat="1" applyFont="1" applyFill="1" applyBorder="1" applyAlignment="1">
      <alignment horizontal="center" vertical="center"/>
    </xf>
    <xf numFmtId="187" fontId="4" fillId="0" borderId="0" xfId="38" applyNumberFormat="1" applyFont="1" applyFill="1" applyBorder="1" applyAlignment="1">
      <alignment horizontal="center" vertical="center"/>
    </xf>
    <xf numFmtId="182" fontId="11" fillId="0" borderId="1" xfId="38" applyNumberFormat="1" applyFont="1" applyFill="1" applyBorder="1" applyAlignment="1">
      <alignment horizontal="center" vertical="center" wrapText="1"/>
    </xf>
    <xf numFmtId="180" fontId="19" fillId="8" borderId="1" xfId="38" applyFont="1" applyFill="1" applyBorder="1" applyAlignment="1">
      <alignment horizontal="center" vertical="center" wrapText="1"/>
    </xf>
    <xf numFmtId="182" fontId="19" fillId="8" borderId="1" xfId="38" applyNumberFormat="1" applyFont="1" applyFill="1" applyBorder="1" applyAlignment="1">
      <alignment horizontal="center" vertical="center" wrapText="1"/>
    </xf>
    <xf numFmtId="194" fontId="19" fillId="8" borderId="1" xfId="38" applyNumberFormat="1" applyFont="1" applyFill="1" applyBorder="1" applyAlignment="1">
      <alignment horizontal="right" vertical="center" wrapText="1"/>
    </xf>
    <xf numFmtId="182" fontId="19" fillId="8" borderId="23" xfId="38" applyNumberFormat="1" applyFont="1" applyFill="1" applyBorder="1" applyAlignment="1">
      <alignment horizontal="center" vertical="center" wrapText="1"/>
    </xf>
    <xf numFmtId="184" fontId="19" fillId="0" borderId="1" xfId="43" applyNumberFormat="1" applyFont="1" applyFill="1" applyBorder="1" applyAlignment="1">
      <alignment horizontal="left" vertical="center" wrapText="1"/>
    </xf>
    <xf numFmtId="194" fontId="19" fillId="0" borderId="1" xfId="38" applyNumberFormat="1" applyFont="1" applyFill="1" applyBorder="1" applyAlignment="1">
      <alignment horizontal="right" vertical="center" wrapText="1"/>
    </xf>
    <xf numFmtId="182" fontId="19" fillId="0" borderId="1" xfId="38" applyNumberFormat="1" applyFont="1" applyFill="1" applyBorder="1" applyAlignment="1">
      <alignment vertical="center" wrapText="1"/>
    </xf>
    <xf numFmtId="184" fontId="19" fillId="0" borderId="1" xfId="38" applyNumberFormat="1" applyFont="1" applyFill="1" applyBorder="1" applyAlignment="1">
      <alignment vertical="center"/>
    </xf>
    <xf numFmtId="180" fontId="19" fillId="0" borderId="1" xfId="38" applyFont="1" applyFill="1" applyBorder="1" applyAlignment="1">
      <alignment vertical="center"/>
    </xf>
    <xf numFmtId="180" fontId="19" fillId="0" borderId="47" xfId="38" applyFont="1" applyFill="1" applyBorder="1" applyAlignment="1">
      <alignment horizontal="center" vertical="center"/>
    </xf>
    <xf numFmtId="167" fontId="32" fillId="0" borderId="1" xfId="38" applyNumberFormat="1" applyFont="1" applyFill="1" applyBorder="1" applyAlignment="1">
      <alignment horizontal="center" vertical="center" wrapText="1"/>
    </xf>
    <xf numFmtId="194" fontId="32" fillId="0" borderId="1" xfId="38" applyNumberFormat="1" applyFont="1" applyFill="1" applyBorder="1" applyAlignment="1">
      <alignment horizontal="right" vertical="center" wrapText="1"/>
    </xf>
    <xf numFmtId="182" fontId="32" fillId="0" borderId="5" xfId="38" applyNumberFormat="1" applyFont="1" applyFill="1" applyBorder="1" applyAlignment="1">
      <alignment horizontal="center" vertical="center" wrapText="1"/>
    </xf>
    <xf numFmtId="182" fontId="36" fillId="0" borderId="1" xfId="38" applyNumberFormat="1" applyFont="1" applyFill="1" applyBorder="1" applyAlignment="1">
      <alignment vertical="center" wrapText="1"/>
    </xf>
    <xf numFmtId="182" fontId="32" fillId="0" borderId="1" xfId="38" applyNumberFormat="1" applyFont="1" applyFill="1" applyBorder="1" applyAlignment="1">
      <alignment horizontal="center" vertical="center" wrapText="1"/>
    </xf>
    <xf numFmtId="194" fontId="32" fillId="0" borderId="5" xfId="38" applyNumberFormat="1" applyFont="1" applyFill="1" applyBorder="1" applyAlignment="1">
      <alignment horizontal="right" vertical="center" wrapText="1"/>
    </xf>
    <xf numFmtId="184" fontId="32" fillId="0" borderId="1" xfId="38" applyNumberFormat="1" applyFont="1" applyFill="1" applyBorder="1" applyAlignment="1">
      <alignment vertical="center"/>
    </xf>
    <xf numFmtId="182" fontId="79" fillId="0" borderId="1" xfId="38" applyNumberFormat="1" applyFont="1" applyFill="1" applyBorder="1" applyAlignment="1">
      <alignment horizontal="center" vertical="center" wrapText="1"/>
    </xf>
    <xf numFmtId="167" fontId="32" fillId="22" borderId="1" xfId="38" applyNumberFormat="1" applyFont="1" applyFill="1" applyBorder="1" applyAlignment="1">
      <alignment horizontal="center" vertical="center" wrapText="1"/>
    </xf>
    <xf numFmtId="194" fontId="79" fillId="22" borderId="1" xfId="38" applyNumberFormat="1" applyFont="1" applyFill="1" applyBorder="1" applyAlignment="1">
      <alignment horizontal="right" vertical="center" wrapText="1"/>
    </xf>
    <xf numFmtId="194" fontId="80" fillId="22" borderId="1" xfId="38" applyNumberFormat="1" applyFont="1" applyFill="1" applyBorder="1" applyAlignment="1">
      <alignment horizontal="right" vertical="center" wrapText="1"/>
    </xf>
    <xf numFmtId="184" fontId="19" fillId="0" borderId="1" xfId="38" applyNumberFormat="1" applyFont="1" applyFill="1" applyBorder="1" applyAlignment="1">
      <alignment horizontal="left" vertical="center"/>
    </xf>
    <xf numFmtId="180" fontId="19" fillId="0" borderId="1" xfId="38" applyFont="1" applyFill="1" applyBorder="1" applyAlignment="1">
      <alignment horizontal="left" vertical="center" wrapText="1"/>
    </xf>
    <xf numFmtId="194" fontId="19" fillId="22" borderId="1" xfId="38" applyNumberFormat="1" applyFont="1" applyFill="1" applyBorder="1" applyAlignment="1">
      <alignment horizontal="right" vertical="center" wrapText="1"/>
    </xf>
    <xf numFmtId="194" fontId="19" fillId="0" borderId="1" xfId="38" applyNumberFormat="1" applyFont="1" applyFill="1" applyBorder="1" applyAlignment="1">
      <alignment horizontal="right" vertical="center"/>
    </xf>
    <xf numFmtId="182" fontId="19" fillId="0" borderId="1" xfId="38" applyNumberFormat="1" applyFont="1" applyFill="1" applyBorder="1" applyAlignment="1">
      <alignment horizontal="center" vertical="center"/>
    </xf>
    <xf numFmtId="180" fontId="19" fillId="0" borderId="33" xfId="38" applyFont="1" applyBorder="1" applyAlignment="1">
      <alignment horizontal="center" vertical="center" wrapText="1"/>
    </xf>
    <xf numFmtId="182" fontId="19" fillId="8" borderId="1" xfId="38" applyNumberFormat="1" applyFont="1" applyFill="1" applyBorder="1" applyAlignment="1">
      <alignment horizontal="center" vertical="center"/>
    </xf>
    <xf numFmtId="182" fontId="19" fillId="8" borderId="1" xfId="38" applyNumberFormat="1" applyFont="1" applyFill="1" applyBorder="1" applyAlignment="1">
      <alignment vertical="center" wrapText="1"/>
    </xf>
    <xf numFmtId="167" fontId="19" fillId="8" borderId="1" xfId="38" applyNumberFormat="1" applyFont="1" applyFill="1" applyBorder="1" applyAlignment="1">
      <alignment horizontal="center" vertical="center" wrapText="1"/>
    </xf>
    <xf numFmtId="182" fontId="34" fillId="10" borderId="1" xfId="38" applyNumberFormat="1" applyFont="1" applyFill="1" applyBorder="1" applyAlignment="1">
      <alignment horizontal="center" vertical="center" wrapText="1"/>
    </xf>
    <xf numFmtId="194" fontId="34" fillId="10" borderId="1" xfId="38" applyNumberFormat="1" applyFont="1" applyFill="1" applyBorder="1" applyAlignment="1">
      <alignment horizontal="center" vertical="center" wrapText="1"/>
    </xf>
    <xf numFmtId="180" fontId="19" fillId="0" borderId="1" xfId="38" applyFont="1" applyBorder="1" applyAlignment="1">
      <alignment horizontal="left" vertical="center" wrapText="1"/>
    </xf>
    <xf numFmtId="182" fontId="34" fillId="0" borderId="1" xfId="38" applyNumberFormat="1" applyFont="1" applyBorder="1" applyAlignment="1">
      <alignment horizontal="center" vertical="center" wrapText="1"/>
    </xf>
    <xf numFmtId="182" fontId="19" fillId="0" borderId="1" xfId="38" applyNumberFormat="1" applyFont="1" applyBorder="1" applyAlignment="1">
      <alignment vertical="center" wrapText="1"/>
    </xf>
    <xf numFmtId="182" fontId="19" fillId="0" borderId="1" xfId="38" applyNumberFormat="1" applyFont="1" applyBorder="1" applyAlignment="1">
      <alignment horizontal="center" vertical="center" wrapText="1"/>
    </xf>
    <xf numFmtId="194" fontId="19" fillId="0" borderId="1" xfId="38" applyNumberFormat="1" applyFont="1" applyBorder="1" applyAlignment="1">
      <alignment horizontal="right" vertical="center" wrapText="1"/>
    </xf>
    <xf numFmtId="180" fontId="19" fillId="0" borderId="1" xfId="38" applyFont="1" applyFill="1" applyBorder="1" applyAlignment="1">
      <alignment horizontal="right" vertical="center" wrapText="1"/>
    </xf>
    <xf numFmtId="167" fontId="19" fillId="22" borderId="1" xfId="38" applyNumberFormat="1" applyFont="1" applyFill="1" applyBorder="1" applyAlignment="1">
      <alignment horizontal="center" vertical="center" wrapText="1"/>
    </xf>
    <xf numFmtId="182" fontId="34" fillId="0" borderId="1" xfId="38" applyNumberFormat="1" applyFont="1" applyFill="1" applyBorder="1" applyAlignment="1">
      <alignment horizontal="center" vertical="center" wrapText="1"/>
    </xf>
    <xf numFmtId="195" fontId="19" fillId="0" borderId="1" xfId="38" applyNumberFormat="1" applyFont="1" applyFill="1" applyBorder="1" applyAlignment="1">
      <alignment horizontal="center" vertical="center" wrapText="1"/>
    </xf>
    <xf numFmtId="10" fontId="19" fillId="0" borderId="1" xfId="38" applyNumberFormat="1" applyFont="1" applyFill="1" applyBorder="1" applyAlignment="1">
      <alignment horizontal="center" vertical="center" wrapText="1"/>
    </xf>
    <xf numFmtId="182" fontId="39" fillId="10" borderId="20" xfId="38" applyNumberFormat="1" applyFont="1" applyFill="1" applyBorder="1" applyAlignment="1">
      <alignment horizontal="center" vertical="center" wrapText="1"/>
    </xf>
    <xf numFmtId="182" fontId="34" fillId="10" borderId="20" xfId="38" applyNumberFormat="1" applyFont="1" applyFill="1" applyBorder="1" applyAlignment="1">
      <alignment vertical="center" wrapText="1"/>
    </xf>
    <xf numFmtId="167" fontId="39" fillId="10" borderId="20" xfId="38" applyNumberFormat="1" applyFont="1" applyFill="1" applyBorder="1" applyAlignment="1">
      <alignment horizontal="center" vertical="center" wrapText="1"/>
    </xf>
    <xf numFmtId="194" fontId="39" fillId="10" borderId="20" xfId="38" applyNumberFormat="1" applyFont="1" applyFill="1" applyBorder="1" applyAlignment="1">
      <alignment horizontal="right" vertical="center" wrapText="1"/>
    </xf>
    <xf numFmtId="194" fontId="39" fillId="10" borderId="20" xfId="38" applyNumberFormat="1" applyFont="1" applyFill="1" applyBorder="1" applyAlignment="1">
      <alignment horizontal="right" vertical="center"/>
    </xf>
    <xf numFmtId="182" fontId="39" fillId="10" borderId="20" xfId="38" applyNumberFormat="1" applyFont="1" applyFill="1" applyBorder="1" applyAlignment="1">
      <alignment horizontal="center" vertical="center"/>
    </xf>
    <xf numFmtId="194" fontId="19" fillId="6" borderId="0" xfId="38" applyNumberFormat="1" applyFont="1" applyFill="1"/>
    <xf numFmtId="195" fontId="19" fillId="6" borderId="0" xfId="38" applyNumberFormat="1" applyFont="1" applyFill="1"/>
    <xf numFmtId="184" fontId="4" fillId="6" borderId="0" xfId="38" applyNumberFormat="1" applyFont="1" applyFill="1" applyAlignment="1">
      <alignment vertical="center" wrapText="1"/>
    </xf>
    <xf numFmtId="180" fontId="81" fillId="6" borderId="0" xfId="38" applyFont="1" applyFill="1" applyBorder="1" applyAlignment="1">
      <alignment horizontal="center" vertical="center"/>
    </xf>
    <xf numFmtId="180" fontId="82" fillId="6" borderId="0" xfId="38" applyFont="1" applyFill="1" applyBorder="1" applyAlignment="1">
      <alignment vertical="center" wrapText="1"/>
    </xf>
    <xf numFmtId="180" fontId="40" fillId="6" borderId="0" xfId="38" applyFont="1" applyFill="1" applyBorder="1" applyAlignment="1">
      <alignment vertical="center" wrapText="1"/>
    </xf>
    <xf numFmtId="184" fontId="4" fillId="0" borderId="0" xfId="38" applyNumberFormat="1" applyFont="1" applyFill="1" applyAlignment="1">
      <alignment vertical="center" wrapText="1"/>
    </xf>
    <xf numFmtId="0" fontId="74" fillId="0" borderId="0" xfId="36" applyFill="1"/>
    <xf numFmtId="184" fontId="5" fillId="4" borderId="16" xfId="38" applyNumberFormat="1" applyFont="1" applyFill="1" applyBorder="1" applyAlignment="1">
      <alignment vertical="center" wrapText="1"/>
    </xf>
    <xf numFmtId="184" fontId="4" fillId="6" borderId="0" xfId="38" applyNumberFormat="1" applyFont="1" applyFill="1" applyAlignment="1">
      <alignment horizontal="center" vertical="center" wrapText="1"/>
    </xf>
    <xf numFmtId="184" fontId="4" fillId="0" borderId="0" xfId="38" applyNumberFormat="1" applyFont="1" applyFill="1" applyAlignment="1">
      <alignment horizontal="center" vertical="center" wrapText="1"/>
    </xf>
    <xf numFmtId="184" fontId="34" fillId="4" borderId="1" xfId="38" applyNumberFormat="1" applyFont="1" applyFill="1" applyBorder="1" applyAlignment="1">
      <alignment horizontal="center" vertical="center" wrapText="1"/>
    </xf>
    <xf numFmtId="184" fontId="34" fillId="23" borderId="1" xfId="38" applyNumberFormat="1" applyFont="1" applyFill="1" applyBorder="1" applyAlignment="1">
      <alignment horizontal="center" vertical="center" wrapText="1"/>
    </xf>
    <xf numFmtId="184" fontId="4" fillId="4" borderId="23" xfId="39" applyNumberFormat="1" applyFont="1" applyFill="1" applyBorder="1" applyAlignment="1">
      <alignment horizontal="center" vertical="center" wrapText="1"/>
    </xf>
    <xf numFmtId="175" fontId="19" fillId="11" borderId="33" xfId="38" applyNumberFormat="1" applyFont="1" applyFill="1" applyBorder="1" applyAlignment="1">
      <alignment horizontal="center" vertical="center" wrapText="1"/>
    </xf>
    <xf numFmtId="175" fontId="19" fillId="11" borderId="1" xfId="38" applyNumberFormat="1" applyFont="1" applyFill="1" applyBorder="1" applyAlignment="1">
      <alignment horizontal="right" vertical="center" wrapText="1"/>
    </xf>
    <xf numFmtId="184" fontId="19" fillId="11" borderId="1" xfId="38" applyNumberFormat="1" applyFont="1" applyFill="1" applyBorder="1" applyAlignment="1">
      <alignment horizontal="center" vertical="center" wrapText="1"/>
    </xf>
    <xf numFmtId="165" fontId="19" fillId="11" borderId="1" xfId="39" applyFont="1" applyFill="1" applyBorder="1" applyAlignment="1">
      <alignment horizontal="center" vertical="center" wrapText="1"/>
    </xf>
    <xf numFmtId="184" fontId="4" fillId="11" borderId="11" xfId="38" applyNumberFormat="1" applyFont="1" applyFill="1" applyBorder="1" applyAlignment="1">
      <alignment horizontal="right" vertical="center" wrapText="1"/>
    </xf>
    <xf numFmtId="184" fontId="4" fillId="11" borderId="1" xfId="38" applyNumberFormat="1" applyFont="1" applyFill="1" applyBorder="1" applyAlignment="1">
      <alignment horizontal="right" vertical="center" wrapText="1"/>
    </xf>
    <xf numFmtId="184" fontId="4" fillId="11" borderId="1" xfId="38" applyNumberFormat="1" applyFont="1" applyFill="1" applyBorder="1" applyAlignment="1">
      <alignment horizontal="center" vertical="center" wrapText="1"/>
    </xf>
    <xf numFmtId="184" fontId="4" fillId="11" borderId="23" xfId="39" applyNumberFormat="1" applyFont="1" applyFill="1" applyBorder="1" applyAlignment="1">
      <alignment horizontal="center" vertical="center" wrapText="1"/>
    </xf>
    <xf numFmtId="184" fontId="5" fillId="24" borderId="0" xfId="38" applyNumberFormat="1" applyFont="1" applyFill="1" applyAlignment="1">
      <alignment vertical="center" wrapText="1"/>
    </xf>
    <xf numFmtId="49" fontId="43" fillId="24" borderId="33" xfId="38" applyNumberFormat="1" applyFont="1" applyFill="1" applyBorder="1" applyAlignment="1">
      <alignment horizontal="left" vertical="center" wrapText="1"/>
    </xf>
    <xf numFmtId="175" fontId="43" fillId="24" borderId="1" xfId="38" applyNumberFormat="1" applyFont="1" applyFill="1" applyBorder="1" applyAlignment="1">
      <alignment horizontal="center" vertical="center" wrapText="1"/>
    </xf>
    <xf numFmtId="184" fontId="43" fillId="24" borderId="1" xfId="38" applyNumberFormat="1" applyFont="1" applyFill="1" applyBorder="1" applyAlignment="1">
      <alignment horizontal="left" vertical="center" wrapText="1"/>
    </xf>
    <xf numFmtId="184" fontId="5" fillId="24" borderId="1" xfId="37" applyNumberFormat="1" applyFont="1" applyFill="1" applyBorder="1" applyAlignment="1">
      <alignment horizontal="right" vertical="center" wrapText="1"/>
    </xf>
    <xf numFmtId="184" fontId="5" fillId="24" borderId="1" xfId="38" applyNumberFormat="1" applyFont="1" applyFill="1" applyBorder="1" applyAlignment="1">
      <alignment horizontal="right" vertical="center" wrapText="1"/>
    </xf>
    <xf numFmtId="165" fontId="5" fillId="24" borderId="1" xfId="38" applyNumberFormat="1" applyFont="1" applyFill="1" applyBorder="1" applyAlignment="1">
      <alignment horizontal="center" vertical="center" wrapText="1"/>
    </xf>
    <xf numFmtId="165" fontId="24" fillId="24" borderId="11" xfId="37" applyNumberFormat="1" applyFont="1" applyFill="1" applyBorder="1" applyAlignment="1">
      <alignment horizontal="center" vertical="center" wrapText="1"/>
    </xf>
    <xf numFmtId="165" fontId="24" fillId="24" borderId="1" xfId="37" applyNumberFormat="1" applyFont="1" applyFill="1" applyBorder="1" applyAlignment="1">
      <alignment horizontal="center" vertical="center" wrapText="1"/>
    </xf>
    <xf numFmtId="184" fontId="24" fillId="24" borderId="23" xfId="39" applyNumberFormat="1" applyFont="1" applyFill="1" applyBorder="1" applyAlignment="1">
      <alignment horizontal="center" vertical="center" wrapText="1"/>
    </xf>
    <xf numFmtId="184" fontId="5" fillId="0" borderId="0" xfId="38" applyNumberFormat="1" applyFont="1" applyFill="1" applyAlignment="1">
      <alignment vertical="center" wrapText="1"/>
    </xf>
    <xf numFmtId="184" fontId="4" fillId="25" borderId="0" xfId="38" applyNumberFormat="1" applyFont="1" applyFill="1" applyAlignment="1">
      <alignment vertical="center" wrapText="1"/>
    </xf>
    <xf numFmtId="49" fontId="19" fillId="25" borderId="33" xfId="38" applyNumberFormat="1" applyFont="1" applyFill="1" applyBorder="1" applyAlignment="1">
      <alignment horizontal="left" vertical="center" wrapText="1"/>
    </xf>
    <xf numFmtId="175" fontId="19" fillId="25" borderId="1" xfId="38" applyNumberFormat="1" applyFont="1" applyFill="1" applyBorder="1" applyAlignment="1">
      <alignment horizontal="center" vertical="center" wrapText="1"/>
    </xf>
    <xf numFmtId="184" fontId="19" fillId="25" borderId="1" xfId="38" quotePrefix="1" applyNumberFormat="1" applyFont="1" applyFill="1" applyBorder="1" applyAlignment="1">
      <alignment horizontal="left" vertical="center" wrapText="1"/>
    </xf>
    <xf numFmtId="184" fontId="19" fillId="25" borderId="1" xfId="39" applyNumberFormat="1" applyFont="1" applyFill="1" applyBorder="1" applyAlignment="1">
      <alignment horizontal="right" vertical="center" wrapText="1"/>
    </xf>
    <xf numFmtId="184" fontId="32" fillId="25" borderId="1" xfId="39" applyNumberFormat="1" applyFont="1" applyFill="1" applyBorder="1" applyAlignment="1">
      <alignment horizontal="right" vertical="center" wrapText="1"/>
    </xf>
    <xf numFmtId="165" fontId="4" fillId="25" borderId="11" xfId="38" applyNumberFormat="1" applyFont="1" applyFill="1" applyBorder="1" applyAlignment="1">
      <alignment horizontal="center" vertical="center" wrapText="1"/>
    </xf>
    <xf numFmtId="165" fontId="24" fillId="25" borderId="1" xfId="39" applyNumberFormat="1" applyFont="1" applyFill="1" applyBorder="1" applyAlignment="1">
      <alignment horizontal="center" vertical="center" wrapText="1"/>
    </xf>
    <xf numFmtId="165" fontId="4" fillId="25" borderId="1" xfId="38" applyNumberFormat="1" applyFont="1" applyFill="1" applyBorder="1" applyAlignment="1">
      <alignment horizontal="center" vertical="center" wrapText="1"/>
    </xf>
    <xf numFmtId="165" fontId="4" fillId="25" borderId="1" xfId="39" applyNumberFormat="1" applyFont="1" applyFill="1" applyBorder="1" applyAlignment="1">
      <alignment horizontal="center" vertical="center" wrapText="1"/>
    </xf>
    <xf numFmtId="184" fontId="34" fillId="25" borderId="23" xfId="39" applyNumberFormat="1" applyFont="1" applyFill="1" applyBorder="1" applyAlignment="1">
      <alignment horizontal="center" vertical="center" wrapText="1"/>
    </xf>
    <xf numFmtId="184" fontId="19" fillId="25" borderId="1" xfId="38" applyNumberFormat="1" applyFont="1" applyFill="1" applyBorder="1" applyAlignment="1">
      <alignment vertical="center" wrapText="1"/>
    </xf>
    <xf numFmtId="165" fontId="19" fillId="25" borderId="1" xfId="39" applyNumberFormat="1" applyFont="1" applyFill="1" applyBorder="1" applyAlignment="1">
      <alignment horizontal="center" vertical="center" wrapText="1"/>
    </xf>
    <xf numFmtId="165" fontId="19" fillId="25" borderId="1" xfId="36" applyNumberFormat="1" applyFont="1" applyFill="1" applyBorder="1" applyAlignment="1">
      <alignment horizontal="center" vertical="center" wrapText="1"/>
    </xf>
    <xf numFmtId="184" fontId="4" fillId="25" borderId="23" xfId="39" applyNumberFormat="1" applyFont="1" applyFill="1" applyBorder="1" applyAlignment="1">
      <alignment horizontal="center" vertical="center" wrapText="1"/>
    </xf>
    <xf numFmtId="165" fontId="24" fillId="24" borderId="11" xfId="39" applyNumberFormat="1" applyFont="1" applyFill="1" applyBorder="1" applyAlignment="1">
      <alignment horizontal="center" vertical="center" wrapText="1"/>
    </xf>
    <xf numFmtId="165" fontId="24" fillId="24" borderId="1" xfId="39" applyNumberFormat="1" applyFont="1" applyFill="1" applyBorder="1" applyAlignment="1">
      <alignment horizontal="center" vertical="center" wrapText="1"/>
    </xf>
    <xf numFmtId="175" fontId="24" fillId="24" borderId="1" xfId="38" applyNumberFormat="1" applyFont="1" applyFill="1" applyBorder="1" applyAlignment="1">
      <alignment horizontal="center" vertical="center" wrapText="1"/>
    </xf>
    <xf numFmtId="175" fontId="41" fillId="4" borderId="33" xfId="38" applyNumberFormat="1" applyFont="1" applyFill="1" applyBorder="1" applyAlignment="1">
      <alignment horizontal="center" vertical="center" wrapText="1"/>
    </xf>
    <xf numFmtId="175" fontId="27" fillId="4" borderId="1" xfId="38" applyNumberFormat="1" applyFont="1" applyFill="1" applyBorder="1" applyAlignment="1">
      <alignment horizontal="right" vertical="center" wrapText="1"/>
    </xf>
    <xf numFmtId="184" fontId="41" fillId="4" borderId="1" xfId="38" applyNumberFormat="1" applyFont="1" applyFill="1" applyBorder="1" applyAlignment="1">
      <alignment horizontal="left" vertical="center" wrapText="1"/>
    </xf>
    <xf numFmtId="184" fontId="41" fillId="4" borderId="1" xfId="38" applyNumberFormat="1" applyFont="1" applyFill="1" applyBorder="1" applyAlignment="1">
      <alignment horizontal="right" vertical="center" wrapText="1"/>
    </xf>
    <xf numFmtId="165" fontId="41" fillId="4" borderId="1" xfId="38" applyNumberFormat="1" applyFont="1" applyFill="1" applyBorder="1" applyAlignment="1">
      <alignment horizontal="center" vertical="center" wrapText="1"/>
    </xf>
    <xf numFmtId="165" fontId="41" fillId="4" borderId="11" xfId="38" applyNumberFormat="1" applyFont="1" applyFill="1" applyBorder="1" applyAlignment="1">
      <alignment horizontal="center" vertical="center" wrapText="1"/>
    </xf>
    <xf numFmtId="184" fontId="41" fillId="4" borderId="23" xfId="38" applyNumberFormat="1" applyFont="1" applyFill="1" applyBorder="1" applyAlignment="1">
      <alignment horizontal="center" vertical="center" wrapText="1"/>
    </xf>
    <xf numFmtId="184" fontId="5" fillId="6" borderId="0" xfId="38" applyNumberFormat="1" applyFont="1" applyFill="1" applyAlignment="1">
      <alignment vertical="center" wrapText="1"/>
    </xf>
    <xf numFmtId="184" fontId="4" fillId="24" borderId="1" xfId="38" applyNumberFormat="1" applyFont="1" applyFill="1" applyBorder="1" applyAlignment="1">
      <alignment horizontal="right" vertical="center" wrapText="1"/>
    </xf>
    <xf numFmtId="165" fontId="4" fillId="24" borderId="1" xfId="38" applyNumberFormat="1" applyFont="1" applyFill="1" applyBorder="1" applyAlignment="1">
      <alignment horizontal="center" vertical="center" wrapText="1"/>
    </xf>
    <xf numFmtId="165" fontId="25" fillId="24" borderId="1" xfId="39" applyNumberFormat="1" applyFont="1" applyFill="1" applyBorder="1" applyAlignment="1">
      <alignment horizontal="center" vertical="center" wrapText="1"/>
    </xf>
    <xf numFmtId="165" fontId="4" fillId="24" borderId="1" xfId="39" applyNumberFormat="1" applyFont="1" applyFill="1" applyBorder="1" applyAlignment="1">
      <alignment horizontal="center" vertical="center" wrapText="1"/>
    </xf>
    <xf numFmtId="184" fontId="4" fillId="25" borderId="1" xfId="38" applyNumberFormat="1" applyFont="1" applyFill="1" applyBorder="1" applyAlignment="1">
      <alignment horizontal="right" vertical="center" wrapText="1"/>
    </xf>
    <xf numFmtId="184" fontId="5" fillId="25" borderId="1" xfId="38" applyNumberFormat="1" applyFont="1" applyFill="1" applyBorder="1" applyAlignment="1">
      <alignment horizontal="right" vertical="center" wrapText="1"/>
    </xf>
    <xf numFmtId="165" fontId="5" fillId="25" borderId="1" xfId="38" applyNumberFormat="1" applyFont="1" applyFill="1" applyBorder="1" applyAlignment="1">
      <alignment horizontal="center" vertical="center" wrapText="1"/>
    </xf>
    <xf numFmtId="175" fontId="41" fillId="4" borderId="48" xfId="38" applyNumberFormat="1" applyFont="1" applyFill="1" applyBorder="1" applyAlignment="1">
      <alignment horizontal="center" vertical="center" wrapText="1"/>
    </xf>
    <xf numFmtId="175" fontId="27" fillId="4" borderId="20" xfId="38" applyNumberFormat="1" applyFont="1" applyFill="1" applyBorder="1" applyAlignment="1">
      <alignment horizontal="right" vertical="center" wrapText="1"/>
    </xf>
    <xf numFmtId="184" fontId="41" fillId="4" borderId="20" xfId="38" applyNumberFormat="1" applyFont="1" applyFill="1" applyBorder="1" applyAlignment="1">
      <alignment horizontal="left" vertical="center" wrapText="1"/>
    </xf>
    <xf numFmtId="184" fontId="27" fillId="4" borderId="20" xfId="38" applyNumberFormat="1" applyFont="1" applyFill="1" applyBorder="1" applyAlignment="1">
      <alignment horizontal="right" vertical="center" wrapText="1"/>
    </xf>
    <xf numFmtId="165" fontId="27" fillId="4" borderId="20" xfId="38" applyNumberFormat="1" applyFont="1" applyFill="1" applyBorder="1" applyAlignment="1">
      <alignment horizontal="center" vertical="center" wrapText="1"/>
    </xf>
    <xf numFmtId="165" fontId="27" fillId="4" borderId="49" xfId="38" applyNumberFormat="1" applyFont="1" applyFill="1" applyBorder="1" applyAlignment="1">
      <alignment horizontal="center" vertical="center" wrapText="1"/>
    </xf>
    <xf numFmtId="184" fontId="27" fillId="4" borderId="27" xfId="38" applyNumberFormat="1" applyFont="1" applyFill="1" applyBorder="1" applyAlignment="1">
      <alignment horizontal="center" vertical="center" wrapText="1"/>
    </xf>
    <xf numFmtId="184" fontId="4" fillId="6" borderId="0" xfId="39" applyNumberFormat="1" applyFont="1" applyFill="1" applyBorder="1" applyAlignment="1">
      <alignment horizontal="center" vertical="center" wrapText="1"/>
    </xf>
    <xf numFmtId="175" fontId="4" fillId="6" borderId="3" xfId="38" applyNumberFormat="1" applyFont="1" applyFill="1" applyBorder="1" applyAlignment="1">
      <alignment horizontal="center" vertical="center" wrapText="1"/>
    </xf>
    <xf numFmtId="175" fontId="4" fillId="6" borderId="2" xfId="38" applyNumberFormat="1" applyFont="1" applyFill="1" applyBorder="1" applyAlignment="1">
      <alignment horizontal="center" vertical="center" wrapText="1"/>
    </xf>
    <xf numFmtId="184" fontId="4" fillId="6" borderId="36" xfId="38" applyNumberFormat="1" applyFont="1" applyFill="1" applyBorder="1" applyAlignment="1">
      <alignment vertical="center" wrapText="1"/>
    </xf>
    <xf numFmtId="180" fontId="19" fillId="0" borderId="16" xfId="38" applyFont="1" applyFill="1" applyBorder="1" applyAlignment="1">
      <alignment vertical="center" wrapText="1"/>
    </xf>
    <xf numFmtId="184" fontId="19" fillId="6" borderId="16" xfId="38" applyNumberFormat="1" applyFont="1" applyFill="1" applyBorder="1" applyAlignment="1">
      <alignment horizontal="center" vertical="center" wrapText="1"/>
    </xf>
    <xf numFmtId="184" fontId="4" fillId="6" borderId="16" xfId="38" applyNumberFormat="1" applyFont="1" applyFill="1" applyBorder="1" applyAlignment="1">
      <alignment vertical="center" wrapText="1"/>
    </xf>
    <xf numFmtId="184" fontId="4" fillId="6" borderId="24" xfId="38" applyNumberFormat="1" applyFont="1" applyFill="1" applyBorder="1" applyAlignment="1">
      <alignment vertical="center" wrapText="1"/>
    </xf>
    <xf numFmtId="184" fontId="4" fillId="6" borderId="50" xfId="38" applyNumberFormat="1" applyFont="1" applyFill="1" applyBorder="1" applyAlignment="1">
      <alignment vertical="center" wrapText="1"/>
    </xf>
    <xf numFmtId="180" fontId="19" fillId="0" borderId="1" xfId="38" applyFont="1" applyFill="1" applyBorder="1" applyAlignment="1">
      <alignment vertical="center" wrapText="1"/>
    </xf>
    <xf numFmtId="184" fontId="19" fillId="6" borderId="1" xfId="38" applyNumberFormat="1" applyFont="1" applyFill="1" applyBorder="1" applyAlignment="1">
      <alignment horizontal="center" vertical="center" wrapText="1"/>
    </xf>
    <xf numFmtId="184" fontId="4" fillId="6" borderId="1" xfId="38" applyNumberFormat="1" applyFont="1" applyFill="1" applyBorder="1" applyAlignment="1">
      <alignment vertical="center" wrapText="1"/>
    </xf>
    <xf numFmtId="184" fontId="4" fillId="6" borderId="23" xfId="38" applyNumberFormat="1" applyFont="1" applyFill="1" applyBorder="1" applyAlignment="1">
      <alignment vertical="center" wrapText="1"/>
    </xf>
    <xf numFmtId="184" fontId="4" fillId="6" borderId="10" xfId="38" applyNumberFormat="1" applyFont="1" applyFill="1" applyBorder="1" applyAlignment="1">
      <alignment vertical="center" wrapText="1"/>
    </xf>
    <xf numFmtId="180" fontId="19" fillId="0" borderId="20" xfId="38" applyFont="1" applyFill="1" applyBorder="1" applyAlignment="1">
      <alignment vertical="center" wrapText="1"/>
    </xf>
    <xf numFmtId="184" fontId="19" fillId="6" borderId="20" xfId="38" applyNumberFormat="1" applyFont="1" applyFill="1" applyBorder="1" applyAlignment="1">
      <alignment horizontal="center" vertical="center" wrapText="1"/>
    </xf>
    <xf numFmtId="184" fontId="4" fillId="6" borderId="49" xfId="39" applyNumberFormat="1" applyFont="1" applyFill="1" applyBorder="1" applyAlignment="1">
      <alignment horizontal="center" vertical="center" wrapText="1"/>
    </xf>
    <xf numFmtId="184" fontId="4" fillId="6" borderId="20" xfId="39" applyNumberFormat="1" applyFont="1" applyFill="1" applyBorder="1" applyAlignment="1">
      <alignment horizontal="center" vertical="center" wrapText="1"/>
    </xf>
    <xf numFmtId="184" fontId="4" fillId="6" borderId="20" xfId="38" applyNumberFormat="1" applyFont="1" applyFill="1" applyBorder="1" applyAlignment="1">
      <alignment vertical="center" wrapText="1"/>
    </xf>
    <xf numFmtId="184" fontId="4" fillId="6" borderId="27" xfId="38" applyNumberFormat="1" applyFont="1" applyFill="1" applyBorder="1" applyAlignment="1">
      <alignment vertical="center" wrapText="1"/>
    </xf>
    <xf numFmtId="184" fontId="4" fillId="6" borderId="0" xfId="38" applyNumberFormat="1" applyFont="1" applyFill="1" applyBorder="1" applyAlignment="1">
      <alignment vertical="center" wrapText="1"/>
    </xf>
    <xf numFmtId="175" fontId="34" fillId="6" borderId="0" xfId="38" applyNumberFormat="1" applyFont="1" applyFill="1" applyBorder="1" applyAlignment="1">
      <alignment horizontal="center" vertical="center" wrapText="1"/>
    </xf>
    <xf numFmtId="180" fontId="19" fillId="0" borderId="14" xfId="38" applyFont="1" applyFill="1" applyBorder="1" applyAlignment="1">
      <alignment vertical="center" wrapText="1"/>
    </xf>
    <xf numFmtId="184" fontId="19" fillId="6" borderId="14" xfId="38" applyNumberFormat="1" applyFont="1" applyFill="1" applyBorder="1" applyAlignment="1">
      <alignment horizontal="center" vertical="center" wrapText="1"/>
    </xf>
    <xf numFmtId="184" fontId="19" fillId="6" borderId="0" xfId="38" applyNumberFormat="1" applyFont="1" applyFill="1" applyBorder="1" applyAlignment="1">
      <alignment horizontal="center" vertical="center" wrapText="1"/>
    </xf>
    <xf numFmtId="184" fontId="19" fillId="6" borderId="14" xfId="43" applyNumberFormat="1" applyFont="1" applyFill="1" applyBorder="1" applyAlignment="1">
      <alignment vertical="center"/>
    </xf>
    <xf numFmtId="184" fontId="19" fillId="6" borderId="0" xfId="43" applyNumberFormat="1" applyFont="1" applyFill="1" applyBorder="1" applyAlignment="1">
      <alignment horizontal="left" vertical="center"/>
    </xf>
    <xf numFmtId="184" fontId="4" fillId="6" borderId="0" xfId="39" applyNumberFormat="1" applyFont="1" applyFill="1" applyAlignment="1">
      <alignment horizontal="center" vertical="center" wrapText="1"/>
    </xf>
    <xf numFmtId="184" fontId="19" fillId="0" borderId="16" xfId="38" applyNumberFormat="1" applyFont="1" applyFill="1" applyBorder="1" applyAlignment="1">
      <alignment horizontal="center" vertical="center" wrapText="1"/>
    </xf>
    <xf numFmtId="184" fontId="19" fillId="0" borderId="32" xfId="38" applyNumberFormat="1" applyFont="1" applyFill="1" applyBorder="1" applyAlignment="1">
      <alignment horizontal="center" vertical="center" wrapText="1"/>
    </xf>
    <xf numFmtId="184" fontId="19" fillId="0" borderId="24" xfId="38" applyNumberFormat="1" applyFont="1" applyFill="1" applyBorder="1" applyAlignment="1">
      <alignment horizontal="center" vertical="center" wrapText="1"/>
    </xf>
    <xf numFmtId="184" fontId="83" fillId="0" borderId="1" xfId="44" applyNumberFormat="1" applyFont="1" applyFill="1" applyBorder="1" applyAlignment="1">
      <alignment horizontal="center" vertical="center" wrapText="1"/>
    </xf>
    <xf numFmtId="184" fontId="83" fillId="0" borderId="5" xfId="44" applyNumberFormat="1" applyFont="1" applyFill="1" applyBorder="1" applyAlignment="1">
      <alignment horizontal="center" vertical="center" wrapText="1"/>
    </xf>
    <xf numFmtId="184" fontId="83" fillId="0" borderId="23" xfId="44" applyNumberFormat="1" applyFont="1" applyFill="1" applyBorder="1" applyAlignment="1">
      <alignment horizontal="center" vertical="center" wrapText="1"/>
    </xf>
    <xf numFmtId="184" fontId="83" fillId="6" borderId="0" xfId="44" applyNumberFormat="1" applyFont="1" applyFill="1" applyBorder="1" applyAlignment="1">
      <alignment horizontal="center" vertical="center" wrapText="1"/>
    </xf>
    <xf numFmtId="184" fontId="34" fillId="0" borderId="1" xfId="44" applyNumberFormat="1" applyFont="1" applyFill="1" applyBorder="1" applyAlignment="1">
      <alignment vertical="center" wrapText="1"/>
    </xf>
    <xf numFmtId="10" fontId="19" fillId="0" borderId="5" xfId="42" applyNumberFormat="1" applyFont="1" applyFill="1" applyBorder="1" applyAlignment="1">
      <alignment horizontal="center" vertical="center" wrapText="1"/>
    </xf>
    <xf numFmtId="10" fontId="19" fillId="0" borderId="23" xfId="42" applyNumberFormat="1" applyFont="1" applyFill="1" applyBorder="1" applyAlignment="1">
      <alignment horizontal="center" vertical="center" wrapText="1"/>
    </xf>
    <xf numFmtId="10" fontId="19" fillId="26" borderId="0" xfId="42" applyNumberFormat="1" applyFont="1" applyFill="1" applyBorder="1" applyAlignment="1">
      <alignment horizontal="center" vertical="center" wrapText="1"/>
    </xf>
    <xf numFmtId="196" fontId="4" fillId="6" borderId="0" xfId="39" applyNumberFormat="1" applyFont="1" applyFill="1" applyAlignment="1">
      <alignment horizontal="center" vertical="center" wrapText="1"/>
    </xf>
    <xf numFmtId="184" fontId="19" fillId="0" borderId="1" xfId="38" applyNumberFormat="1" applyFont="1" applyFill="1" applyBorder="1" applyAlignment="1">
      <alignment horizontal="center" vertical="center" wrapText="1"/>
    </xf>
    <xf numFmtId="184" fontId="19" fillId="0" borderId="5" xfId="38" applyNumberFormat="1" applyFont="1" applyFill="1" applyBorder="1" applyAlignment="1">
      <alignment horizontal="center" vertical="center" wrapText="1"/>
    </xf>
    <xf numFmtId="184" fontId="19" fillId="0" borderId="23" xfId="38" applyNumberFormat="1" applyFont="1" applyFill="1" applyBorder="1" applyAlignment="1">
      <alignment horizontal="center" vertical="center" wrapText="1"/>
    </xf>
    <xf numFmtId="180" fontId="19" fillId="6" borderId="0" xfId="38" applyFont="1" applyFill="1" applyBorder="1" applyAlignment="1">
      <alignment horizontal="center" vertical="center" wrapText="1"/>
    </xf>
    <xf numFmtId="10" fontId="19" fillId="6" borderId="0" xfId="42" applyNumberFormat="1" applyFont="1" applyFill="1" applyBorder="1" applyAlignment="1">
      <alignment horizontal="center" vertical="center" wrapText="1"/>
    </xf>
    <xf numFmtId="10" fontId="4" fillId="6" borderId="0" xfId="39" applyNumberFormat="1" applyFont="1" applyFill="1" applyAlignment="1">
      <alignment horizontal="center" vertical="center" wrapText="1"/>
    </xf>
    <xf numFmtId="184" fontId="19" fillId="0" borderId="20" xfId="38" applyNumberFormat="1" applyFont="1" applyFill="1" applyBorder="1" applyAlignment="1">
      <alignment horizontal="center" vertical="center" wrapText="1"/>
    </xf>
    <xf numFmtId="184" fontId="19" fillId="0" borderId="38" xfId="38" applyNumberFormat="1" applyFont="1" applyFill="1" applyBorder="1" applyAlignment="1">
      <alignment horizontal="center" vertical="center" wrapText="1"/>
    </xf>
    <xf numFmtId="184" fontId="19" fillId="0" borderId="27" xfId="38" applyNumberFormat="1" applyFont="1" applyFill="1" applyBorder="1" applyAlignment="1">
      <alignment horizontal="center" vertical="center" wrapText="1"/>
    </xf>
    <xf numFmtId="180" fontId="19" fillId="6" borderId="0" xfId="38" applyFont="1" applyFill="1" applyAlignment="1">
      <alignment horizontal="right" vertical="center" wrapText="1"/>
    </xf>
    <xf numFmtId="180" fontId="19" fillId="0" borderId="0" xfId="38" applyFont="1" applyFill="1" applyBorder="1" applyAlignment="1">
      <alignment vertical="center" wrapText="1"/>
    </xf>
    <xf numFmtId="184" fontId="4" fillId="0" borderId="0" xfId="38" applyNumberFormat="1" applyFont="1" applyFill="1" applyBorder="1" applyAlignment="1">
      <alignment horizontal="center" vertical="center" wrapText="1"/>
    </xf>
    <xf numFmtId="184" fontId="19" fillId="0" borderId="0" xfId="38" applyNumberFormat="1" applyFont="1" applyFill="1" applyBorder="1" applyAlignment="1">
      <alignment horizontal="center" vertical="center" wrapText="1"/>
    </xf>
    <xf numFmtId="184" fontId="19" fillId="0" borderId="16" xfId="38" applyNumberFormat="1" applyFont="1" applyFill="1" applyBorder="1" applyAlignment="1">
      <alignment vertical="center" wrapText="1"/>
    </xf>
    <xf numFmtId="184" fontId="19" fillId="0" borderId="16" xfId="45" applyNumberFormat="1" applyFont="1" applyFill="1" applyBorder="1" applyAlignment="1">
      <alignment horizontal="center" vertical="center" wrapText="1"/>
    </xf>
    <xf numFmtId="184" fontId="19" fillId="0" borderId="32" xfId="45" applyNumberFormat="1" applyFont="1" applyFill="1" applyBorder="1" applyAlignment="1">
      <alignment horizontal="center" vertical="center" wrapText="1"/>
    </xf>
    <xf numFmtId="184" fontId="19" fillId="0" borderId="24" xfId="45" applyNumberFormat="1" applyFont="1" applyFill="1" applyBorder="1" applyAlignment="1">
      <alignment horizontal="center" vertical="center" wrapText="1"/>
    </xf>
    <xf numFmtId="182" fontId="19" fillId="6" borderId="0" xfId="45" applyNumberFormat="1" applyFont="1" applyFill="1" applyBorder="1" applyAlignment="1">
      <alignment horizontal="center" vertical="center" wrapText="1"/>
    </xf>
    <xf numFmtId="184" fontId="19" fillId="0" borderId="1" xfId="38" applyNumberFormat="1" applyFont="1" applyFill="1" applyBorder="1" applyAlignment="1">
      <alignment vertical="center" wrapText="1"/>
    </xf>
    <xf numFmtId="184" fontId="19" fillId="0" borderId="1" xfId="45" applyNumberFormat="1" applyFont="1" applyFill="1" applyBorder="1" applyAlignment="1">
      <alignment horizontal="center" vertical="center" wrapText="1"/>
    </xf>
    <xf numFmtId="184" fontId="19" fillId="0" borderId="5" xfId="45" applyNumberFormat="1" applyFont="1" applyFill="1" applyBorder="1" applyAlignment="1">
      <alignment horizontal="center" vertical="center" wrapText="1"/>
    </xf>
    <xf numFmtId="184" fontId="19" fillId="0" borderId="23" xfId="45" applyNumberFormat="1" applyFont="1" applyFill="1" applyBorder="1" applyAlignment="1">
      <alignment horizontal="center" vertical="center" wrapText="1"/>
    </xf>
    <xf numFmtId="184" fontId="19" fillId="0" borderId="1" xfId="42" applyNumberFormat="1" applyFont="1" applyFill="1" applyBorder="1" applyAlignment="1">
      <alignment horizontal="center" vertical="center" wrapText="1"/>
    </xf>
    <xf numFmtId="184" fontId="19" fillId="0" borderId="5" xfId="42" applyNumberFormat="1" applyFont="1" applyFill="1" applyBorder="1" applyAlignment="1">
      <alignment horizontal="center" vertical="center" wrapText="1"/>
    </xf>
    <xf numFmtId="184" fontId="19" fillId="0" borderId="23" xfId="42" applyNumberFormat="1" applyFont="1" applyFill="1" applyBorder="1" applyAlignment="1">
      <alignment horizontal="center" vertical="center" wrapText="1"/>
    </xf>
    <xf numFmtId="184" fontId="34" fillId="0" borderId="1" xfId="46" applyNumberFormat="1" applyFont="1" applyFill="1" applyBorder="1" applyAlignment="1">
      <alignment horizontal="center" vertical="center" wrapText="1"/>
    </xf>
    <xf numFmtId="2" fontId="34" fillId="0" borderId="0" xfId="46" applyNumberFormat="1" applyFont="1" applyFill="1" applyBorder="1" applyAlignment="1">
      <alignment horizontal="center" vertical="center" wrapText="1"/>
    </xf>
    <xf numFmtId="184" fontId="34" fillId="0" borderId="1" xfId="39" applyNumberFormat="1" applyFont="1" applyFill="1" applyBorder="1" applyAlignment="1">
      <alignment horizontal="center" vertical="center" wrapText="1"/>
    </xf>
    <xf numFmtId="184" fontId="34" fillId="0" borderId="20" xfId="44" applyNumberFormat="1" applyFont="1" applyFill="1" applyBorder="1" applyAlignment="1">
      <alignment vertical="center" wrapText="1"/>
    </xf>
    <xf numFmtId="2" fontId="34" fillId="0" borderId="20" xfId="46" applyNumberFormat="1" applyFont="1" applyFill="1" applyBorder="1" applyAlignment="1">
      <alignment horizontal="center" vertical="center" wrapText="1"/>
    </xf>
    <xf numFmtId="2" fontId="34" fillId="0" borderId="27" xfId="46" applyNumberFormat="1" applyFont="1" applyFill="1" applyBorder="1" applyAlignment="1">
      <alignment horizontal="center" vertical="center" wrapText="1"/>
    </xf>
    <xf numFmtId="184" fontId="19" fillId="6" borderId="0" xfId="43" applyNumberFormat="1" applyFont="1" applyFill="1" applyAlignment="1">
      <alignment horizontal="right" vertical="center" wrapText="1"/>
    </xf>
    <xf numFmtId="184" fontId="19" fillId="6" borderId="0" xfId="38" applyNumberFormat="1" applyFont="1" applyFill="1" applyBorder="1" applyAlignment="1">
      <alignment vertical="center" wrapText="1"/>
    </xf>
    <xf numFmtId="184" fontId="19" fillId="6" borderId="0" xfId="39" applyNumberFormat="1" applyFont="1" applyFill="1" applyAlignment="1">
      <alignment horizontal="center" vertical="center" wrapText="1"/>
    </xf>
    <xf numFmtId="180" fontId="19" fillId="11" borderId="15" xfId="38" applyFont="1" applyFill="1" applyBorder="1" applyAlignment="1" applyProtection="1">
      <alignment horizontal="center" vertical="center"/>
      <protection locked="0"/>
    </xf>
    <xf numFmtId="10" fontId="84" fillId="11" borderId="16" xfId="38" applyNumberFormat="1" applyFont="1" applyFill="1" applyBorder="1" applyAlignment="1" applyProtection="1">
      <alignment horizontal="center" vertical="center"/>
      <protection locked="0"/>
    </xf>
    <xf numFmtId="180" fontId="19" fillId="11" borderId="32" xfId="38" applyFont="1" applyFill="1" applyBorder="1" applyAlignment="1" applyProtection="1">
      <alignment horizontal="center" vertical="center"/>
      <protection locked="0"/>
    </xf>
    <xf numFmtId="10" fontId="84" fillId="11" borderId="24" xfId="38" applyNumberFormat="1" applyFont="1" applyFill="1" applyBorder="1" applyAlignment="1" applyProtection="1">
      <alignment horizontal="center" vertical="center"/>
      <protection locked="0"/>
    </xf>
    <xf numFmtId="10" fontId="84" fillId="11" borderId="0" xfId="38" applyNumberFormat="1" applyFont="1" applyFill="1" applyBorder="1" applyAlignment="1" applyProtection="1">
      <alignment horizontal="center" vertical="center"/>
      <protection locked="0"/>
    </xf>
    <xf numFmtId="180" fontId="19" fillId="11" borderId="17" xfId="38" applyFont="1" applyFill="1" applyBorder="1" applyAlignment="1" applyProtection="1">
      <alignment horizontal="center" vertical="center"/>
      <protection locked="0"/>
    </xf>
    <xf numFmtId="10" fontId="84" fillId="11" borderId="1" xfId="38" applyNumberFormat="1" applyFont="1" applyFill="1" applyBorder="1" applyAlignment="1" applyProtection="1">
      <alignment horizontal="center" vertical="center"/>
      <protection locked="0"/>
    </xf>
    <xf numFmtId="180" fontId="19" fillId="11" borderId="5" xfId="38" applyFont="1" applyFill="1" applyBorder="1" applyAlignment="1" applyProtection="1">
      <alignment horizontal="center" vertical="center"/>
      <protection locked="0"/>
    </xf>
    <xf numFmtId="10" fontId="84" fillId="11" borderId="23" xfId="38" applyNumberFormat="1" applyFont="1" applyFill="1" applyBorder="1" applyAlignment="1" applyProtection="1">
      <alignment horizontal="center" vertical="center"/>
      <protection locked="0"/>
    </xf>
    <xf numFmtId="180" fontId="19" fillId="11" borderId="26" xfId="38" applyFont="1" applyFill="1" applyBorder="1" applyAlignment="1" applyProtection="1">
      <alignment horizontal="center" vertical="center"/>
      <protection locked="0"/>
    </xf>
    <xf numFmtId="10" fontId="84" fillId="11" borderId="3" xfId="38" applyNumberFormat="1" applyFont="1" applyFill="1" applyBorder="1" applyAlignment="1" applyProtection="1">
      <alignment horizontal="center" vertical="center"/>
      <protection locked="0"/>
    </xf>
    <xf numFmtId="10" fontId="84" fillId="11" borderId="50" xfId="38" applyNumberFormat="1" applyFont="1" applyFill="1" applyBorder="1" applyAlignment="1" applyProtection="1">
      <alignment horizontal="center" vertical="center"/>
      <protection locked="0"/>
    </xf>
    <xf numFmtId="180" fontId="19" fillId="11" borderId="8" xfId="38" applyFont="1" applyFill="1" applyBorder="1" applyAlignment="1" applyProtection="1">
      <alignment horizontal="center" vertical="center"/>
      <protection locked="0"/>
    </xf>
    <xf numFmtId="184" fontId="19" fillId="6" borderId="0" xfId="39" applyNumberFormat="1" applyFont="1" applyFill="1" applyBorder="1" applyAlignment="1">
      <alignment horizontal="center" vertical="center" wrapText="1"/>
    </xf>
    <xf numFmtId="182" fontId="34" fillId="11" borderId="18" xfId="38" applyNumberFormat="1" applyFont="1" applyFill="1" applyBorder="1" applyAlignment="1" applyProtection="1">
      <alignment vertical="center"/>
      <protection hidden="1"/>
    </xf>
    <xf numFmtId="182" fontId="34" fillId="11" borderId="1" xfId="38" applyNumberFormat="1" applyFont="1" applyFill="1" applyBorder="1" applyAlignment="1" applyProtection="1">
      <alignment vertical="center"/>
      <protection hidden="1"/>
    </xf>
    <xf numFmtId="182" fontId="34" fillId="11" borderId="26" xfId="38" applyNumberFormat="1" applyFont="1" applyFill="1" applyBorder="1" applyAlignment="1" applyProtection="1">
      <alignment vertical="center"/>
      <protection hidden="1"/>
    </xf>
    <xf numFmtId="182" fontId="19" fillId="11" borderId="17" xfId="38" applyNumberFormat="1" applyFont="1" applyFill="1" applyBorder="1" applyAlignment="1" applyProtection="1">
      <alignment horizontal="center" vertical="center"/>
      <protection hidden="1"/>
    </xf>
    <xf numFmtId="182" fontId="34" fillId="11" borderId="17" xfId="38" applyNumberFormat="1" applyFont="1" applyFill="1" applyBorder="1" applyAlignment="1" applyProtection="1">
      <alignment vertical="center"/>
      <protection hidden="1"/>
    </xf>
    <xf numFmtId="182" fontId="19" fillId="11" borderId="17" xfId="38" applyNumberFormat="1" applyFont="1" applyFill="1" applyBorder="1" applyAlignment="1" applyProtection="1">
      <alignment horizontal="left" vertical="center"/>
      <protection hidden="1"/>
    </xf>
    <xf numFmtId="182" fontId="19" fillId="11" borderId="17" xfId="38" applyNumberFormat="1" applyFont="1" applyFill="1" applyBorder="1" applyAlignment="1" applyProtection="1">
      <alignment vertical="center"/>
      <protection hidden="1"/>
    </xf>
    <xf numFmtId="10" fontId="84" fillId="19" borderId="20" xfId="42" applyNumberFormat="1" applyFont="1" applyFill="1" applyBorder="1" applyAlignment="1" applyProtection="1">
      <alignment horizontal="center" vertical="center"/>
    </xf>
    <xf numFmtId="10" fontId="84" fillId="19" borderId="0" xfId="42" applyNumberFormat="1" applyFont="1" applyFill="1" applyBorder="1" applyAlignment="1" applyProtection="1">
      <alignment horizontal="center" vertical="center"/>
    </xf>
    <xf numFmtId="175" fontId="19" fillId="6" borderId="0" xfId="38" applyNumberFormat="1" applyFont="1" applyFill="1" applyAlignment="1">
      <alignment horizontal="right" vertical="center" wrapText="1"/>
    </xf>
    <xf numFmtId="180" fontId="85" fillId="0" borderId="0" xfId="38" applyFont="1" applyFill="1" applyBorder="1" applyAlignment="1" applyProtection="1">
      <alignment vertical="center"/>
      <protection locked="0"/>
    </xf>
    <xf numFmtId="180" fontId="85" fillId="0" borderId="0" xfId="38" applyFont="1" applyFill="1" applyBorder="1" applyAlignment="1" applyProtection="1">
      <alignment horizontal="center" vertical="center"/>
      <protection locked="0"/>
    </xf>
    <xf numFmtId="180" fontId="19" fillId="11" borderId="11" xfId="38" applyFont="1" applyFill="1" applyBorder="1" applyAlignment="1" applyProtection="1">
      <alignment vertical="center"/>
      <protection locked="0"/>
    </xf>
    <xf numFmtId="10" fontId="19" fillId="6" borderId="1" xfId="42" applyNumberFormat="1" applyFont="1" applyFill="1" applyBorder="1" applyAlignment="1">
      <alignment horizontal="center" vertical="center" wrapText="1"/>
    </xf>
    <xf numFmtId="180" fontId="19" fillId="11" borderId="49" xfId="38" applyFont="1" applyFill="1" applyBorder="1" applyAlignment="1" applyProtection="1">
      <alignment vertical="center"/>
      <protection locked="0"/>
    </xf>
    <xf numFmtId="182" fontId="19" fillId="11" borderId="11" xfId="38" applyNumberFormat="1" applyFont="1" applyFill="1" applyBorder="1" applyAlignment="1" applyProtection="1">
      <alignment horizontal="left" vertical="center"/>
      <protection hidden="1"/>
    </xf>
    <xf numFmtId="175" fontId="4" fillId="6" borderId="0" xfId="38" applyNumberFormat="1" applyFont="1" applyFill="1" applyAlignment="1">
      <alignment horizontal="right" vertical="center" wrapText="1"/>
    </xf>
    <xf numFmtId="184" fontId="4" fillId="6" borderId="0" xfId="38" applyNumberFormat="1" applyFont="1" applyFill="1" applyBorder="1" applyAlignment="1">
      <alignment horizontal="center" vertical="center" wrapText="1"/>
    </xf>
    <xf numFmtId="180" fontId="40" fillId="6" borderId="0" xfId="38" applyFont="1" applyFill="1" applyBorder="1" applyAlignment="1">
      <alignment horizontal="center" vertical="center"/>
    </xf>
    <xf numFmtId="180" fontId="82" fillId="6" borderId="0" xfId="38" applyFont="1" applyFill="1" applyBorder="1" applyAlignment="1">
      <alignment horizontal="center" vertical="center" wrapText="1"/>
    </xf>
    <xf numFmtId="180" fontId="86" fillId="6" borderId="0" xfId="38" applyFont="1" applyFill="1" applyBorder="1" applyAlignment="1">
      <alignment horizontal="left" vertical="center"/>
    </xf>
    <xf numFmtId="180" fontId="86" fillId="6" borderId="0" xfId="38" applyFont="1" applyFill="1" applyBorder="1" applyAlignment="1">
      <alignment horizontal="center" vertical="center" wrapText="1"/>
    </xf>
    <xf numFmtId="180" fontId="40" fillId="6" borderId="0" xfId="38" applyFont="1" applyFill="1" applyBorder="1" applyAlignment="1">
      <alignment horizontal="center" vertical="center" wrapText="1"/>
    </xf>
    <xf numFmtId="184" fontId="5" fillId="4" borderId="1" xfId="38" applyNumberFormat="1" applyFont="1" applyFill="1" applyBorder="1" applyAlignment="1">
      <alignment horizontal="center" vertical="center" wrapText="1"/>
    </xf>
    <xf numFmtId="175" fontId="19" fillId="11" borderId="17" xfId="38" applyNumberFormat="1" applyFont="1" applyFill="1" applyBorder="1" applyAlignment="1">
      <alignment horizontal="center" vertical="center" wrapText="1"/>
    </xf>
    <xf numFmtId="184" fontId="19" fillId="11" borderId="1" xfId="38" applyNumberFormat="1" applyFont="1" applyFill="1" applyBorder="1" applyAlignment="1">
      <alignment horizontal="left" vertical="center"/>
    </xf>
    <xf numFmtId="194" fontId="4" fillId="11" borderId="1" xfId="38" applyNumberFormat="1" applyFont="1" applyFill="1" applyBorder="1" applyAlignment="1">
      <alignment horizontal="right" vertical="center" wrapText="1"/>
    </xf>
    <xf numFmtId="49" fontId="43" fillId="27" borderId="17" xfId="38" applyNumberFormat="1" applyFont="1" applyFill="1" applyBorder="1" applyAlignment="1">
      <alignment horizontal="left" vertical="center" wrapText="1"/>
    </xf>
    <xf numFmtId="49" fontId="43" fillId="27" borderId="1" xfId="38" applyNumberFormat="1" applyFont="1" applyFill="1" applyBorder="1" applyAlignment="1">
      <alignment horizontal="left" vertical="center" wrapText="1"/>
    </xf>
    <xf numFmtId="49" fontId="43" fillId="27" borderId="1" xfId="38" applyNumberFormat="1" applyFont="1" applyFill="1" applyBorder="1" applyAlignment="1">
      <alignment horizontal="center" vertical="center" wrapText="1"/>
    </xf>
    <xf numFmtId="49" fontId="37" fillId="27" borderId="1" xfId="38" applyNumberFormat="1" applyFont="1" applyFill="1" applyBorder="1" applyAlignment="1">
      <alignment horizontal="left" vertical="center"/>
    </xf>
    <xf numFmtId="49" fontId="37" fillId="27" borderId="1" xfId="38" applyNumberFormat="1" applyFont="1" applyFill="1" applyBorder="1" applyAlignment="1">
      <alignment horizontal="center" vertical="center" wrapText="1"/>
    </xf>
    <xf numFmtId="165" fontId="24" fillId="27" borderId="1" xfId="37" applyFont="1" applyFill="1" applyBorder="1" applyAlignment="1">
      <alignment horizontal="center" vertical="center" wrapText="1"/>
    </xf>
    <xf numFmtId="194" fontId="24" fillId="27" borderId="1" xfId="37" applyNumberFormat="1" applyFont="1" applyFill="1" applyBorder="1" applyAlignment="1">
      <alignment horizontal="right" vertical="center" wrapText="1"/>
    </xf>
    <xf numFmtId="194" fontId="24" fillId="27" borderId="1" xfId="39" applyNumberFormat="1" applyFont="1" applyFill="1" applyBorder="1" applyAlignment="1">
      <alignment horizontal="right" vertical="center" wrapText="1"/>
    </xf>
    <xf numFmtId="184" fontId="24" fillId="27" borderId="23" xfId="39" applyNumberFormat="1" applyFont="1" applyFill="1" applyBorder="1" applyAlignment="1">
      <alignment horizontal="center" vertical="center" wrapText="1"/>
    </xf>
    <xf numFmtId="184" fontId="5" fillId="27" borderId="0" xfId="38" applyNumberFormat="1" applyFont="1" applyFill="1" applyAlignment="1">
      <alignment vertical="center" wrapText="1"/>
    </xf>
    <xf numFmtId="49" fontId="34" fillId="25" borderId="17" xfId="38" applyNumberFormat="1" applyFont="1" applyFill="1" applyBorder="1" applyAlignment="1">
      <alignment horizontal="left" vertical="center" wrapText="1"/>
    </xf>
    <xf numFmtId="49" fontId="34" fillId="25" borderId="1" xfId="38" applyNumberFormat="1" applyFont="1" applyFill="1" applyBorder="1" applyAlignment="1">
      <alignment horizontal="left" vertical="center" wrapText="1"/>
    </xf>
    <xf numFmtId="49" fontId="34" fillId="25" borderId="1" xfId="38" applyNumberFormat="1" applyFont="1" applyFill="1" applyBorder="1" applyAlignment="1">
      <alignment horizontal="center" vertical="center" wrapText="1"/>
    </xf>
    <xf numFmtId="49" fontId="19" fillId="25" borderId="1" xfId="38" applyNumberFormat="1" applyFont="1" applyFill="1" applyBorder="1" applyAlignment="1">
      <alignment horizontal="left" vertical="center"/>
    </xf>
    <xf numFmtId="49" fontId="19" fillId="25" borderId="1" xfId="38" applyNumberFormat="1" applyFont="1" applyFill="1" applyBorder="1" applyAlignment="1">
      <alignment horizontal="center" vertical="center" wrapText="1"/>
    </xf>
    <xf numFmtId="184" fontId="5" fillId="25" borderId="1" xfId="39" applyNumberFormat="1" applyFont="1" applyFill="1" applyBorder="1" applyAlignment="1">
      <alignment horizontal="center" vertical="center" wrapText="1"/>
    </xf>
    <xf numFmtId="194" fontId="5" fillId="25" borderId="1" xfId="39" applyNumberFormat="1" applyFont="1" applyFill="1" applyBorder="1" applyAlignment="1">
      <alignment horizontal="right" vertical="center" wrapText="1"/>
    </xf>
    <xf numFmtId="184" fontId="5" fillId="25" borderId="23" xfId="39" applyNumberFormat="1" applyFont="1" applyFill="1" applyBorder="1" applyAlignment="1">
      <alignment horizontal="center" vertical="center" wrapText="1"/>
    </xf>
    <xf numFmtId="184" fontId="5" fillId="25" borderId="0" xfId="38" applyNumberFormat="1" applyFont="1" applyFill="1" applyAlignment="1">
      <alignment vertical="center" wrapText="1"/>
    </xf>
    <xf numFmtId="49" fontId="34" fillId="0" borderId="17" xfId="38" applyNumberFormat="1" applyFont="1" applyFill="1" applyBorder="1" applyAlignment="1">
      <alignment horizontal="left" vertical="center" wrapText="1"/>
    </xf>
    <xf numFmtId="49" fontId="34" fillId="0" borderId="1" xfId="38" applyNumberFormat="1" applyFont="1" applyFill="1" applyBorder="1" applyAlignment="1">
      <alignment horizontal="left" vertical="center" wrapText="1"/>
    </xf>
    <xf numFmtId="49" fontId="34" fillId="0" borderId="1" xfId="38" applyNumberFormat="1" applyFont="1" applyFill="1" applyBorder="1" applyAlignment="1">
      <alignment horizontal="center" vertical="center" wrapText="1"/>
    </xf>
    <xf numFmtId="49" fontId="19" fillId="0" borderId="1" xfId="38" applyNumberFormat="1" applyFont="1" applyFill="1" applyBorder="1" applyAlignment="1">
      <alignment horizontal="left" vertical="center"/>
    </xf>
    <xf numFmtId="0" fontId="19" fillId="0" borderId="1" xfId="38" applyNumberFormat="1" applyFont="1" applyFill="1" applyBorder="1" applyAlignment="1">
      <alignment horizontal="center" vertical="center" wrapText="1"/>
    </xf>
    <xf numFmtId="194" fontId="5" fillId="0" borderId="1" xfId="39" applyNumberFormat="1" applyFont="1" applyFill="1" applyBorder="1" applyAlignment="1">
      <alignment horizontal="right" vertical="center" wrapText="1"/>
    </xf>
    <xf numFmtId="194" fontId="34" fillId="0" borderId="1" xfId="38" applyNumberFormat="1" applyFont="1" applyFill="1" applyBorder="1" applyAlignment="1">
      <alignment horizontal="right" vertical="center" wrapText="1"/>
    </xf>
    <xf numFmtId="184" fontId="5" fillId="0" borderId="23" xfId="39" applyNumberFormat="1" applyFont="1" applyFill="1" applyBorder="1" applyAlignment="1">
      <alignment horizontal="center" vertical="center" wrapText="1"/>
    </xf>
    <xf numFmtId="184" fontId="5" fillId="0" borderId="0" xfId="38" applyNumberFormat="1" applyFont="1" applyFill="1" applyAlignment="1">
      <alignment horizontal="center" vertical="center" wrapText="1"/>
    </xf>
    <xf numFmtId="49" fontId="19" fillId="0" borderId="1" xfId="38" applyNumberFormat="1" applyFont="1" applyFill="1" applyBorder="1" applyAlignment="1">
      <alignment horizontal="center" vertical="center" wrapText="1"/>
    </xf>
    <xf numFmtId="49" fontId="43" fillId="0" borderId="1" xfId="38" applyNumberFormat="1" applyFont="1" applyFill="1" applyBorder="1" applyAlignment="1">
      <alignment horizontal="center" vertical="center" wrapText="1"/>
    </xf>
    <xf numFmtId="49" fontId="19" fillId="0" borderId="17" xfId="38" applyNumberFormat="1" applyFont="1" applyFill="1" applyBorder="1" applyAlignment="1">
      <alignment horizontal="left" vertical="center" wrapText="1"/>
    </xf>
    <xf numFmtId="49" fontId="19" fillId="0" borderId="1" xfId="38" applyNumberFormat="1" applyFont="1" applyFill="1" applyBorder="1" applyAlignment="1">
      <alignment horizontal="left" vertical="center" wrapText="1"/>
    </xf>
    <xf numFmtId="180" fontId="19" fillId="2" borderId="1" xfId="47" applyNumberFormat="1" applyFont="1" applyFill="1" applyBorder="1" applyAlignment="1" applyProtection="1">
      <alignment horizontal="left" vertical="center"/>
    </xf>
    <xf numFmtId="180" fontId="19" fillId="2" borderId="1" xfId="47" applyNumberFormat="1" applyFont="1" applyFill="1" applyBorder="1" applyAlignment="1" applyProtection="1">
      <alignment horizontal="center" vertical="center"/>
    </xf>
    <xf numFmtId="194" fontId="4" fillId="0" borderId="1" xfId="39" applyNumberFormat="1" applyFont="1" applyFill="1" applyBorder="1" applyAlignment="1">
      <alignment horizontal="right" vertical="center" wrapText="1"/>
    </xf>
    <xf numFmtId="184" fontId="4" fillId="0" borderId="23" xfId="39" applyNumberFormat="1" applyFont="1" applyFill="1" applyBorder="1" applyAlignment="1">
      <alignment horizontal="center" vertical="center" wrapText="1"/>
    </xf>
    <xf numFmtId="0" fontId="19" fillId="2" borderId="1" xfId="47" applyNumberFormat="1" applyFont="1" applyFill="1" applyBorder="1" applyAlignment="1" applyProtection="1">
      <alignment horizontal="left" vertical="center"/>
    </xf>
    <xf numFmtId="0" fontId="19" fillId="2" borderId="1" xfId="47" applyNumberFormat="1" applyFont="1" applyFill="1" applyBorder="1" applyAlignment="1" applyProtection="1">
      <alignment horizontal="center" vertical="center"/>
    </xf>
    <xf numFmtId="0" fontId="32" fillId="0" borderId="1" xfId="38" applyNumberFormat="1" applyFont="1" applyFill="1" applyBorder="1" applyAlignment="1">
      <alignment horizontal="center" vertical="center"/>
    </xf>
    <xf numFmtId="49" fontId="43" fillId="25" borderId="1" xfId="38" applyNumberFormat="1" applyFont="1" applyFill="1" applyBorder="1" applyAlignment="1">
      <alignment horizontal="center" vertical="center" wrapText="1"/>
    </xf>
    <xf numFmtId="184" fontId="24" fillId="25" borderId="23" xfId="39" applyNumberFormat="1" applyFont="1" applyFill="1" applyBorder="1" applyAlignment="1">
      <alignment horizontal="center" vertical="center" wrapText="1"/>
    </xf>
    <xf numFmtId="49" fontId="42" fillId="0" borderId="1" xfId="38" applyNumberFormat="1" applyFont="1" applyFill="1" applyBorder="1" applyAlignment="1">
      <alignment horizontal="left" vertical="center"/>
    </xf>
    <xf numFmtId="49" fontId="42" fillId="0" borderId="1" xfId="38" applyNumberFormat="1" applyFont="1" applyFill="1" applyBorder="1" applyAlignment="1">
      <alignment horizontal="center" vertical="center" wrapText="1"/>
    </xf>
    <xf numFmtId="184" fontId="5" fillId="0" borderId="1" xfId="39" applyNumberFormat="1" applyFont="1" applyFill="1" applyBorder="1" applyAlignment="1">
      <alignment horizontal="center" vertical="center" wrapText="1"/>
    </xf>
    <xf numFmtId="2" fontId="19" fillId="0" borderId="1" xfId="38" applyNumberFormat="1" applyFont="1" applyFill="1" applyBorder="1" applyAlignment="1">
      <alignment horizontal="center" vertical="center" wrapText="1"/>
    </xf>
    <xf numFmtId="49" fontId="37" fillId="25" borderId="1" xfId="38" applyNumberFormat="1" applyFont="1" applyFill="1" applyBorder="1" applyAlignment="1">
      <alignment horizontal="center" vertical="center" wrapText="1"/>
    </xf>
    <xf numFmtId="49" fontId="37" fillId="25" borderId="1" xfId="38" applyNumberFormat="1" applyFont="1" applyFill="1" applyBorder="1" applyAlignment="1">
      <alignment horizontal="left" vertical="center"/>
    </xf>
    <xf numFmtId="184" fontId="43" fillId="27" borderId="1" xfId="38" applyNumberFormat="1" applyFont="1" applyFill="1" applyBorder="1" applyAlignment="1">
      <alignment horizontal="center" vertical="center" wrapText="1"/>
    </xf>
    <xf numFmtId="194" fontId="43" fillId="27" borderId="1" xfId="38" applyNumberFormat="1" applyFont="1" applyFill="1" applyBorder="1" applyAlignment="1">
      <alignment horizontal="right" vertical="center" wrapText="1"/>
    </xf>
    <xf numFmtId="184" fontId="34" fillId="25" borderId="1" xfId="38" applyNumberFormat="1" applyFont="1" applyFill="1" applyBorder="1" applyAlignment="1">
      <alignment horizontal="center" vertical="center" wrapText="1"/>
    </xf>
    <xf numFmtId="194" fontId="34" fillId="25" borderId="1" xfId="38" applyNumberFormat="1" applyFont="1" applyFill="1" applyBorder="1" applyAlignment="1">
      <alignment horizontal="right" vertical="center" wrapText="1"/>
    </xf>
    <xf numFmtId="184" fontId="34" fillId="0" borderId="1" xfId="38" applyNumberFormat="1" applyFont="1" applyFill="1" applyBorder="1" applyAlignment="1">
      <alignment horizontal="center" vertical="center" wrapText="1"/>
    </xf>
    <xf numFmtId="2" fontId="34" fillId="0" borderId="1" xfId="38" applyNumberFormat="1" applyFont="1" applyFill="1" applyBorder="1" applyAlignment="1">
      <alignment horizontal="center" vertical="center" wrapText="1"/>
    </xf>
    <xf numFmtId="197" fontId="4" fillId="0" borderId="1" xfId="39" applyNumberFormat="1" applyFont="1" applyFill="1" applyBorder="1" applyAlignment="1">
      <alignment horizontal="right" vertical="center" wrapText="1"/>
    </xf>
    <xf numFmtId="194" fontId="24" fillId="25" borderId="1" xfId="39" applyNumberFormat="1" applyFont="1" applyFill="1" applyBorder="1" applyAlignment="1">
      <alignment horizontal="right" vertical="center" wrapText="1"/>
    </xf>
    <xf numFmtId="184" fontId="37" fillId="25" borderId="1" xfId="38" applyNumberFormat="1" applyFont="1" applyFill="1" applyBorder="1" applyAlignment="1">
      <alignment horizontal="center" vertical="center" wrapText="1"/>
    </xf>
    <xf numFmtId="49" fontId="19" fillId="27" borderId="1" xfId="38" applyNumberFormat="1" applyFont="1" applyFill="1" applyBorder="1" applyAlignment="1">
      <alignment horizontal="center" vertical="center" wrapText="1"/>
    </xf>
    <xf numFmtId="184" fontId="19" fillId="25" borderId="1" xfId="38" applyNumberFormat="1" applyFont="1" applyFill="1" applyBorder="1" applyAlignment="1">
      <alignment horizontal="center" vertical="center" wrapText="1"/>
    </xf>
    <xf numFmtId="184" fontId="5" fillId="25" borderId="1" xfId="39" applyNumberFormat="1" applyFont="1" applyFill="1" applyBorder="1" applyAlignment="1">
      <alignment horizontal="left" vertical="center"/>
    </xf>
    <xf numFmtId="184" fontId="66" fillId="0" borderId="1" xfId="38" applyNumberFormat="1" applyFont="1" applyFill="1" applyBorder="1" applyAlignment="1">
      <alignment horizontal="left" vertical="center"/>
    </xf>
    <xf numFmtId="49" fontId="19" fillId="27" borderId="1" xfId="38" applyNumberFormat="1" applyFont="1" applyFill="1" applyBorder="1" applyAlignment="1">
      <alignment horizontal="left" vertical="center"/>
    </xf>
    <xf numFmtId="184" fontId="4" fillId="0" borderId="1" xfId="39" applyNumberFormat="1" applyFont="1" applyFill="1" applyBorder="1" applyAlignment="1">
      <alignment horizontal="center" vertical="center" wrapText="1"/>
    </xf>
    <xf numFmtId="175" fontId="41" fillId="9" borderId="17" xfId="38" applyNumberFormat="1" applyFont="1" applyFill="1" applyBorder="1" applyAlignment="1">
      <alignment horizontal="center" vertical="center" wrapText="1"/>
    </xf>
    <xf numFmtId="175" fontId="27" fillId="9" borderId="1" xfId="38" applyNumberFormat="1" applyFont="1" applyFill="1" applyBorder="1" applyAlignment="1">
      <alignment horizontal="right" vertical="center" wrapText="1"/>
    </xf>
    <xf numFmtId="184" fontId="41" fillId="9" borderId="1" xfId="38" applyNumberFormat="1" applyFont="1" applyFill="1" applyBorder="1" applyAlignment="1">
      <alignment horizontal="left" vertical="center" wrapText="1"/>
    </xf>
    <xf numFmtId="184" fontId="41" fillId="9" borderId="1" xfId="38" applyNumberFormat="1" applyFont="1" applyFill="1" applyBorder="1" applyAlignment="1">
      <alignment horizontal="center" vertical="center" wrapText="1"/>
    </xf>
    <xf numFmtId="184" fontId="87" fillId="9" borderId="1" xfId="38" applyNumberFormat="1" applyFont="1" applyFill="1" applyBorder="1" applyAlignment="1">
      <alignment horizontal="left" vertical="center"/>
    </xf>
    <xf numFmtId="184" fontId="87" fillId="9" borderId="1" xfId="38" applyNumberFormat="1" applyFont="1" applyFill="1" applyBorder="1" applyAlignment="1">
      <alignment horizontal="center" vertical="center" wrapText="1"/>
    </xf>
    <xf numFmtId="194" fontId="41" fillId="9" borderId="1" xfId="38" applyNumberFormat="1" applyFont="1" applyFill="1" applyBorder="1" applyAlignment="1">
      <alignment horizontal="right" vertical="center" wrapText="1"/>
    </xf>
    <xf numFmtId="184" fontId="41" fillId="9" borderId="23" xfId="38" applyNumberFormat="1" applyFont="1" applyFill="1" applyBorder="1" applyAlignment="1">
      <alignment horizontal="center" vertical="center" wrapText="1"/>
    </xf>
    <xf numFmtId="184" fontId="5" fillId="9" borderId="0" xfId="38" applyNumberFormat="1" applyFont="1" applyFill="1" applyAlignment="1">
      <alignment vertical="center" wrapText="1"/>
    </xf>
    <xf numFmtId="175" fontId="24" fillId="27" borderId="1" xfId="38" applyNumberFormat="1" applyFont="1" applyFill="1" applyBorder="1" applyAlignment="1">
      <alignment horizontal="center" vertical="center" wrapText="1"/>
    </xf>
    <xf numFmtId="184" fontId="43" fillId="27" borderId="1" xfId="38" applyNumberFormat="1" applyFont="1" applyFill="1" applyBorder="1" applyAlignment="1">
      <alignment horizontal="left" vertical="center" wrapText="1"/>
    </xf>
    <xf numFmtId="184" fontId="37" fillId="27" borderId="1" xfId="38" applyNumberFormat="1" applyFont="1" applyFill="1" applyBorder="1" applyAlignment="1">
      <alignment horizontal="left" vertical="center"/>
    </xf>
    <xf numFmtId="184" fontId="37" fillId="27" borderId="1" xfId="38" applyNumberFormat="1" applyFont="1" applyFill="1" applyBorder="1" applyAlignment="1">
      <alignment horizontal="center" vertical="center" wrapText="1"/>
    </xf>
    <xf numFmtId="184" fontId="24" fillId="27" borderId="1" xfId="39" applyNumberFormat="1" applyFont="1" applyFill="1" applyBorder="1" applyAlignment="1">
      <alignment horizontal="center" vertical="center" wrapText="1"/>
    </xf>
    <xf numFmtId="194" fontId="4" fillId="27" borderId="1" xfId="38" applyNumberFormat="1" applyFont="1" applyFill="1" applyBorder="1" applyAlignment="1">
      <alignment horizontal="right" vertical="center" wrapText="1"/>
    </xf>
    <xf numFmtId="194" fontId="25" fillId="27" borderId="1" xfId="39" applyNumberFormat="1" applyFont="1" applyFill="1" applyBorder="1" applyAlignment="1">
      <alignment horizontal="right" vertical="center" wrapText="1"/>
    </xf>
    <xf numFmtId="175" fontId="19" fillId="0" borderId="1" xfId="38" applyNumberFormat="1" applyFont="1" applyFill="1" applyBorder="1" applyAlignment="1">
      <alignment horizontal="center" vertical="center" wrapText="1"/>
    </xf>
    <xf numFmtId="184" fontId="19" fillId="0" borderId="1" xfId="38" quotePrefix="1" applyNumberFormat="1" applyFont="1" applyFill="1" applyBorder="1" applyAlignment="1">
      <alignment horizontal="left" vertical="center" wrapText="1"/>
    </xf>
    <xf numFmtId="184" fontId="4" fillId="0" borderId="1" xfId="38" applyNumberFormat="1" applyFont="1" applyFill="1" applyBorder="1" applyAlignment="1">
      <alignment horizontal="center" vertical="center" wrapText="1"/>
    </xf>
    <xf numFmtId="194" fontId="4" fillId="0" borderId="1" xfId="38" applyNumberFormat="1" applyFont="1" applyFill="1" applyBorder="1" applyAlignment="1">
      <alignment horizontal="right" vertical="center" wrapText="1"/>
    </xf>
    <xf numFmtId="175" fontId="41" fillId="9" borderId="19" xfId="38" applyNumberFormat="1" applyFont="1" applyFill="1" applyBorder="1" applyAlignment="1">
      <alignment horizontal="center" vertical="center" wrapText="1"/>
    </xf>
    <xf numFmtId="175" fontId="27" fillId="9" borderId="20" xfId="38" applyNumberFormat="1" applyFont="1" applyFill="1" applyBorder="1" applyAlignment="1">
      <alignment horizontal="right" vertical="center" wrapText="1"/>
    </xf>
    <xf numFmtId="184" fontId="41" fillId="9" borderId="20" xfId="38" applyNumberFormat="1" applyFont="1" applyFill="1" applyBorder="1" applyAlignment="1">
      <alignment horizontal="left" vertical="center" wrapText="1"/>
    </xf>
    <xf numFmtId="184" fontId="41" fillId="9" borderId="20" xfId="38" applyNumberFormat="1" applyFont="1" applyFill="1" applyBorder="1" applyAlignment="1">
      <alignment horizontal="center" vertical="center" wrapText="1"/>
    </xf>
    <xf numFmtId="184" fontId="87" fillId="9" borderId="20" xfId="38" applyNumberFormat="1" applyFont="1" applyFill="1" applyBorder="1" applyAlignment="1">
      <alignment horizontal="left" vertical="center"/>
    </xf>
    <xf numFmtId="184" fontId="87" fillId="9" borderId="20" xfId="38" applyNumberFormat="1" applyFont="1" applyFill="1" applyBorder="1" applyAlignment="1">
      <alignment horizontal="center" vertical="center" wrapText="1"/>
    </xf>
    <xf numFmtId="184" fontId="27" fillId="9" borderId="20" xfId="38" applyNumberFormat="1" applyFont="1" applyFill="1" applyBorder="1" applyAlignment="1">
      <alignment horizontal="center" vertical="center" wrapText="1"/>
    </xf>
    <xf numFmtId="194" fontId="27" fillId="9" borderId="20" xfId="38" applyNumberFormat="1" applyFont="1" applyFill="1" applyBorder="1" applyAlignment="1">
      <alignment horizontal="right" vertical="center" wrapText="1"/>
    </xf>
    <xf numFmtId="194" fontId="27" fillId="9" borderId="2" xfId="38" applyNumberFormat="1" applyFont="1" applyFill="1" applyBorder="1" applyAlignment="1">
      <alignment horizontal="right" vertical="center" wrapText="1"/>
    </xf>
    <xf numFmtId="184" fontId="27" fillId="9" borderId="27" xfId="38" applyNumberFormat="1" applyFont="1" applyFill="1" applyBorder="1" applyAlignment="1">
      <alignment horizontal="center" vertical="center" wrapText="1"/>
    </xf>
    <xf numFmtId="184" fontId="34" fillId="6" borderId="0" xfId="38" applyNumberFormat="1" applyFont="1" applyFill="1" applyBorder="1" applyAlignment="1">
      <alignment horizontal="left" vertical="center" wrapText="1"/>
    </xf>
    <xf numFmtId="184" fontId="34" fillId="6" borderId="0" xfId="38" applyNumberFormat="1" applyFont="1" applyFill="1" applyBorder="1" applyAlignment="1">
      <alignment horizontal="center" vertical="center" wrapText="1"/>
    </xf>
    <xf numFmtId="184" fontId="19" fillId="6" borderId="0" xfId="38" applyNumberFormat="1" applyFont="1" applyFill="1" applyBorder="1" applyAlignment="1">
      <alignment horizontal="left" vertical="center"/>
    </xf>
    <xf numFmtId="184" fontId="4" fillId="6" borderId="1" xfId="38" applyNumberFormat="1" applyFont="1" applyFill="1" applyBorder="1" applyAlignment="1">
      <alignment horizontal="center" vertical="center" wrapText="1"/>
    </xf>
    <xf numFmtId="180" fontId="19" fillId="11" borderId="0" xfId="38" applyFont="1" applyFill="1" applyBorder="1" applyAlignment="1" applyProtection="1">
      <alignment horizontal="center" vertical="center"/>
      <protection locked="0"/>
    </xf>
    <xf numFmtId="180" fontId="19" fillId="11" borderId="0" xfId="38" applyFont="1" applyFill="1" applyBorder="1" applyAlignment="1" applyProtection="1">
      <alignment horizontal="left" vertical="center"/>
      <protection locked="0"/>
    </xf>
    <xf numFmtId="182" fontId="34" fillId="11" borderId="0" xfId="38" applyNumberFormat="1" applyFont="1" applyFill="1" applyBorder="1" applyAlignment="1" applyProtection="1">
      <alignment horizontal="center" vertical="center"/>
      <protection hidden="1"/>
    </xf>
    <xf numFmtId="182" fontId="19" fillId="11" borderId="0" xfId="38" applyNumberFormat="1" applyFont="1" applyFill="1" applyBorder="1" applyAlignment="1" applyProtection="1">
      <alignment horizontal="left" vertical="center"/>
      <protection hidden="1"/>
    </xf>
    <xf numFmtId="182" fontId="19" fillId="11" borderId="0" xfId="38" applyNumberFormat="1" applyFont="1" applyFill="1" applyBorder="1" applyAlignment="1" applyProtection="1">
      <alignment horizontal="center" vertical="center"/>
      <protection hidden="1"/>
    </xf>
    <xf numFmtId="180" fontId="85" fillId="0" borderId="0" xfId="38" applyFont="1" applyFill="1" applyBorder="1" applyAlignment="1" applyProtection="1">
      <alignment horizontal="left" vertical="center"/>
      <protection locked="0"/>
    </xf>
    <xf numFmtId="0" fontId="74" fillId="0" borderId="0" xfId="36" applyAlignment="1">
      <alignment horizontal="center"/>
    </xf>
    <xf numFmtId="0" fontId="74" fillId="0" borderId="0" xfId="36" applyFont="1" applyAlignment="1">
      <alignment horizontal="left"/>
    </xf>
    <xf numFmtId="0" fontId="74" fillId="0" borderId="0" xfId="36" applyFont="1" applyAlignment="1">
      <alignment horizontal="center"/>
    </xf>
    <xf numFmtId="179" fontId="74" fillId="0" borderId="0" xfId="36" applyNumberFormat="1" applyAlignment="1">
      <alignment horizontal="center"/>
    </xf>
    <xf numFmtId="180" fontId="88" fillId="6" borderId="53" xfId="49" applyFont="1" applyFill="1" applyBorder="1" applyAlignment="1">
      <alignment horizontal="left" vertical="center"/>
    </xf>
    <xf numFmtId="180" fontId="23" fillId="6" borderId="54" xfId="49" applyFont="1" applyFill="1" applyBorder="1" applyAlignment="1">
      <alignment horizontal="left" vertical="center"/>
    </xf>
    <xf numFmtId="180" fontId="22" fillId="6" borderId="54" xfId="49" applyFill="1" applyBorder="1" applyAlignment="1">
      <alignment horizontal="left" vertical="center"/>
    </xf>
    <xf numFmtId="180" fontId="22" fillId="6" borderId="55" xfId="49" applyFill="1" applyBorder="1" applyAlignment="1">
      <alignment horizontal="left" vertical="center"/>
    </xf>
    <xf numFmtId="180" fontId="4" fillId="0" borderId="0" xfId="38" applyFont="1" applyAlignment="1">
      <alignment vertical="center" wrapText="1"/>
    </xf>
    <xf numFmtId="180" fontId="23" fillId="6" borderId="56" xfId="49" applyFont="1" applyFill="1" applyBorder="1" applyAlignment="1">
      <alignment horizontal="left" vertical="center"/>
    </xf>
    <xf numFmtId="180" fontId="23" fillId="6" borderId="13" xfId="49" applyFont="1" applyFill="1" applyBorder="1" applyAlignment="1">
      <alignment horizontal="left" vertical="center"/>
    </xf>
    <xf numFmtId="180" fontId="22" fillId="6" borderId="13" xfId="49" applyFill="1" applyBorder="1" applyAlignment="1">
      <alignment horizontal="left" vertical="center"/>
    </xf>
    <xf numFmtId="180" fontId="22" fillId="6" borderId="57" xfId="49" applyFill="1" applyBorder="1" applyAlignment="1">
      <alignment horizontal="left" vertical="center"/>
    </xf>
    <xf numFmtId="180" fontId="23" fillId="6" borderId="58" xfId="49" applyFont="1" applyFill="1" applyBorder="1" applyAlignment="1">
      <alignment horizontal="left" vertical="center"/>
    </xf>
    <xf numFmtId="180" fontId="23" fillId="6" borderId="8" xfId="49" applyFont="1" applyFill="1" applyBorder="1" applyAlignment="1">
      <alignment horizontal="left" vertical="center"/>
    </xf>
    <xf numFmtId="180" fontId="22" fillId="6" borderId="8" xfId="49" applyFill="1" applyBorder="1" applyAlignment="1">
      <alignment horizontal="left" vertical="center"/>
    </xf>
    <xf numFmtId="180" fontId="22" fillId="6" borderId="59" xfId="49" applyFill="1" applyBorder="1" applyAlignment="1">
      <alignment horizontal="left" vertical="center"/>
    </xf>
    <xf numFmtId="180" fontId="23" fillId="6" borderId="60" xfId="49" applyFont="1" applyFill="1" applyBorder="1" applyAlignment="1">
      <alignment horizontal="left" vertical="center"/>
    </xf>
    <xf numFmtId="180" fontId="23" fillId="6" borderId="61" xfId="49" applyFont="1" applyFill="1" applyBorder="1" applyAlignment="1">
      <alignment horizontal="left" vertical="center"/>
    </xf>
    <xf numFmtId="180" fontId="22" fillId="6" borderId="61" xfId="49" applyFill="1" applyBorder="1" applyAlignment="1">
      <alignment horizontal="left" vertical="center"/>
    </xf>
    <xf numFmtId="180" fontId="22" fillId="6" borderId="62" xfId="49" applyFill="1" applyBorder="1" applyAlignment="1">
      <alignment horizontal="left" vertical="center"/>
    </xf>
    <xf numFmtId="0" fontId="5" fillId="4" borderId="15" xfId="38" applyNumberFormat="1" applyFont="1" applyFill="1" applyBorder="1" applyAlignment="1">
      <alignment horizontal="center" vertical="center" wrapText="1"/>
    </xf>
    <xf numFmtId="180" fontId="5" fillId="4" borderId="16" xfId="38" applyFont="1" applyFill="1" applyBorder="1" applyAlignment="1">
      <alignment horizontal="center" vertical="center" wrapText="1"/>
    </xf>
    <xf numFmtId="175" fontId="5" fillId="4" borderId="16" xfId="38" quotePrefix="1" applyNumberFormat="1" applyFont="1" applyFill="1" applyBorder="1" applyAlignment="1">
      <alignment horizontal="center" vertical="center" wrapText="1"/>
    </xf>
    <xf numFmtId="184" fontId="5" fillId="4" borderId="16" xfId="38" quotePrefix="1" applyNumberFormat="1" applyFont="1" applyFill="1" applyBorder="1" applyAlignment="1">
      <alignment horizontal="center" vertical="center" wrapText="1"/>
    </xf>
    <xf numFmtId="180" fontId="5" fillId="4" borderId="16" xfId="38" applyNumberFormat="1" applyFont="1" applyFill="1" applyBorder="1" applyAlignment="1">
      <alignment horizontal="center" vertical="center" wrapText="1"/>
    </xf>
    <xf numFmtId="180" fontId="5" fillId="4" borderId="24" xfId="38" applyFont="1" applyFill="1" applyBorder="1" applyAlignment="1">
      <alignment horizontal="center" vertical="center" wrapText="1"/>
    </xf>
    <xf numFmtId="0" fontId="24" fillId="10" borderId="17" xfId="38" applyNumberFormat="1" applyFont="1" applyFill="1" applyBorder="1" applyAlignment="1">
      <alignment horizontal="left" vertical="center" wrapText="1"/>
    </xf>
    <xf numFmtId="180" fontId="24" fillId="10" borderId="1" xfId="38" applyFont="1" applyFill="1" applyBorder="1" applyAlignment="1">
      <alignment horizontal="left" vertical="center" wrapText="1"/>
    </xf>
    <xf numFmtId="180" fontId="25" fillId="10" borderId="1" xfId="38" applyFont="1" applyFill="1" applyBorder="1" applyAlignment="1">
      <alignment horizontal="center" vertical="center" wrapText="1"/>
    </xf>
    <xf numFmtId="165" fontId="24" fillId="10" borderId="1" xfId="39" applyFont="1" applyFill="1" applyBorder="1" applyAlignment="1">
      <alignment horizontal="center" vertical="center" wrapText="1"/>
    </xf>
    <xf numFmtId="175" fontId="24" fillId="10" borderId="1" xfId="39" applyNumberFormat="1" applyFont="1" applyFill="1" applyBorder="1" applyAlignment="1">
      <alignment horizontal="center" vertical="center" wrapText="1"/>
    </xf>
    <xf numFmtId="194" fontId="24" fillId="10" borderId="1" xfId="42" applyNumberFormat="1" applyFont="1" applyFill="1" applyBorder="1" applyAlignment="1">
      <alignment horizontal="right" vertical="center" wrapText="1"/>
    </xf>
    <xf numFmtId="194" fontId="24" fillId="10" borderId="1" xfId="38" applyNumberFormat="1" applyFont="1" applyFill="1" applyBorder="1" applyAlignment="1">
      <alignment horizontal="right" vertical="center" wrapText="1"/>
    </xf>
    <xf numFmtId="180" fontId="24" fillId="10" borderId="1" xfId="38" applyFont="1" applyFill="1" applyBorder="1" applyAlignment="1">
      <alignment horizontal="center" vertical="center" wrapText="1"/>
    </xf>
    <xf numFmtId="184" fontId="24" fillId="10" borderId="1" xfId="38" applyNumberFormat="1" applyFont="1" applyFill="1" applyBorder="1" applyAlignment="1">
      <alignment horizontal="center" vertical="center" wrapText="1"/>
    </xf>
    <xf numFmtId="180" fontId="24" fillId="10" borderId="23" xfId="38" applyFont="1" applyFill="1" applyBorder="1" applyAlignment="1">
      <alignment horizontal="center" vertical="center" wrapText="1"/>
    </xf>
    <xf numFmtId="0" fontId="5" fillId="8" borderId="17" xfId="38" applyNumberFormat="1" applyFont="1" applyFill="1" applyBorder="1" applyAlignment="1">
      <alignment horizontal="left" vertical="center" wrapText="1"/>
    </xf>
    <xf numFmtId="180" fontId="5" fillId="8" borderId="1" xfId="38" quotePrefix="1" applyFont="1" applyFill="1" applyBorder="1" applyAlignment="1">
      <alignment horizontal="left" vertical="center" wrapText="1"/>
    </xf>
    <xf numFmtId="165" fontId="4" fillId="8" borderId="1" xfId="39" applyFont="1" applyFill="1" applyBorder="1" applyAlignment="1">
      <alignment horizontal="center" vertical="center" wrapText="1"/>
    </xf>
    <xf numFmtId="165" fontId="5" fillId="8" borderId="1" xfId="39" applyFont="1" applyFill="1" applyBorder="1" applyAlignment="1">
      <alignment horizontal="center" vertical="center" wrapText="1"/>
    </xf>
    <xf numFmtId="175" fontId="5" fillId="8" borderId="1" xfId="39" applyNumberFormat="1" applyFont="1" applyFill="1" applyBorder="1" applyAlignment="1">
      <alignment horizontal="center" vertical="center" wrapText="1"/>
    </xf>
    <xf numFmtId="194" fontId="5" fillId="8" borderId="1" xfId="39" applyNumberFormat="1" applyFont="1" applyFill="1" applyBorder="1" applyAlignment="1">
      <alignment horizontal="right" vertical="center" wrapText="1"/>
    </xf>
    <xf numFmtId="194" fontId="5" fillId="8" borderId="1" xfId="38" applyNumberFormat="1" applyFont="1" applyFill="1" applyBorder="1" applyAlignment="1">
      <alignment horizontal="right" vertical="center" wrapText="1"/>
    </xf>
    <xf numFmtId="182" fontId="5" fillId="8" borderId="1" xfId="38" applyNumberFormat="1" applyFont="1" applyFill="1" applyBorder="1" applyAlignment="1">
      <alignment vertical="center" wrapText="1"/>
    </xf>
    <xf numFmtId="184" fontId="5" fillId="8" borderId="1" xfId="38" applyNumberFormat="1" applyFont="1" applyFill="1" applyBorder="1" applyAlignment="1">
      <alignment horizontal="center" vertical="center" wrapText="1"/>
    </xf>
    <xf numFmtId="180" fontId="4" fillId="8" borderId="23" xfId="38" applyFont="1" applyFill="1" applyBorder="1" applyAlignment="1">
      <alignment horizontal="center" vertical="center" wrapText="1"/>
    </xf>
    <xf numFmtId="180" fontId="4" fillId="10" borderId="17" xfId="38" applyFont="1" applyFill="1" applyBorder="1" applyAlignment="1">
      <alignment horizontal="left" vertical="center"/>
    </xf>
    <xf numFmtId="180" fontId="4" fillId="10" borderId="1" xfId="38" applyFont="1" applyFill="1" applyBorder="1" applyAlignment="1">
      <alignment horizontal="left" vertical="center"/>
    </xf>
    <xf numFmtId="180" fontId="4" fillId="0" borderId="1" xfId="38" applyFont="1" applyFill="1" applyBorder="1" applyAlignment="1">
      <alignment horizontal="center" vertical="center" wrapText="1"/>
    </xf>
    <xf numFmtId="184" fontId="4" fillId="0" borderId="1" xfId="38" applyNumberFormat="1" applyFont="1" applyFill="1" applyBorder="1" applyAlignment="1">
      <alignment vertical="center" wrapText="1"/>
    </xf>
    <xf numFmtId="9" fontId="4" fillId="0" borderId="1" xfId="38" applyNumberFormat="1" applyFont="1" applyFill="1" applyBorder="1" applyAlignment="1">
      <alignment vertical="center" wrapText="1"/>
    </xf>
    <xf numFmtId="194" fontId="4" fillId="6" borderId="1" xfId="38" applyNumberFormat="1" applyFont="1" applyFill="1" applyBorder="1" applyAlignment="1">
      <alignment horizontal="right" vertical="center" wrapText="1"/>
    </xf>
    <xf numFmtId="180" fontId="4" fillId="6" borderId="23" xfId="38" applyFont="1" applyFill="1" applyBorder="1" applyAlignment="1">
      <alignment vertical="center" wrapText="1"/>
    </xf>
    <xf numFmtId="184" fontId="4" fillId="0" borderId="1" xfId="38" applyNumberFormat="1" applyFont="1" applyFill="1" applyBorder="1" applyAlignment="1">
      <alignment horizontal="right" vertical="center" wrapText="1"/>
    </xf>
    <xf numFmtId="194" fontId="12" fillId="0" borderId="1" xfId="38" applyNumberFormat="1" applyFont="1" applyFill="1" applyBorder="1" applyAlignment="1">
      <alignment horizontal="right" vertical="center" wrapText="1"/>
    </xf>
    <xf numFmtId="9" fontId="4" fillId="0" borderId="1" xfId="38" applyNumberFormat="1" applyFont="1" applyFill="1" applyBorder="1" applyAlignment="1">
      <alignment horizontal="center" vertical="center" wrapText="1"/>
    </xf>
    <xf numFmtId="184" fontId="4" fillId="0" borderId="0" xfId="38" applyNumberFormat="1" applyFont="1" applyAlignment="1">
      <alignment vertical="center" wrapText="1"/>
    </xf>
    <xf numFmtId="9" fontId="4" fillId="0" borderId="1" xfId="50" applyFont="1" applyFill="1" applyBorder="1" applyAlignment="1">
      <alignment horizontal="center" vertical="center" wrapText="1"/>
    </xf>
    <xf numFmtId="194" fontId="4" fillId="0" borderId="1" xfId="51" applyNumberFormat="1" applyFont="1" applyFill="1" applyBorder="1" applyAlignment="1">
      <alignment horizontal="right" vertical="center" wrapText="1"/>
    </xf>
    <xf numFmtId="180" fontId="4" fillId="0" borderId="23" xfId="38" applyFont="1" applyFill="1" applyBorder="1" applyAlignment="1">
      <alignment vertical="center" wrapText="1"/>
    </xf>
    <xf numFmtId="180" fontId="4" fillId="0" borderId="0" xfId="38" applyFont="1" applyFill="1" applyAlignment="1">
      <alignment vertical="center" wrapText="1"/>
    </xf>
    <xf numFmtId="184" fontId="4" fillId="0" borderId="1" xfId="51" applyNumberFormat="1" applyFont="1" applyFill="1" applyBorder="1" applyAlignment="1">
      <alignment horizontal="center" vertical="center" wrapText="1"/>
    </xf>
    <xf numFmtId="0" fontId="24" fillId="10" borderId="19" xfId="38" applyNumberFormat="1" applyFont="1" applyFill="1" applyBorder="1" applyAlignment="1">
      <alignment horizontal="left" vertical="center" wrapText="1"/>
    </xf>
    <xf numFmtId="180" fontId="24" fillId="10" borderId="20" xfId="38" applyFont="1" applyFill="1" applyBorder="1" applyAlignment="1">
      <alignment horizontal="left" vertical="center" wrapText="1"/>
    </xf>
    <xf numFmtId="180" fontId="25" fillId="10" borderId="20" xfId="38" applyFont="1" applyFill="1" applyBorder="1" applyAlignment="1">
      <alignment horizontal="center" vertical="center" wrapText="1"/>
    </xf>
    <xf numFmtId="165" fontId="24" fillId="10" borderId="20" xfId="39" applyFont="1" applyFill="1" applyBorder="1" applyAlignment="1">
      <alignment horizontal="center" vertical="center" wrapText="1"/>
    </xf>
    <xf numFmtId="175" fontId="24" fillId="10" borderId="20" xfId="39" applyNumberFormat="1" applyFont="1" applyFill="1" applyBorder="1" applyAlignment="1">
      <alignment horizontal="center" vertical="center" wrapText="1"/>
    </xf>
    <xf numFmtId="194" fontId="24" fillId="10" borderId="20" xfId="42" applyNumberFormat="1" applyFont="1" applyFill="1" applyBorder="1" applyAlignment="1">
      <alignment horizontal="right" vertical="center" wrapText="1"/>
    </xf>
    <xf numFmtId="194" fontId="24" fillId="10" borderId="20" xfId="38" applyNumberFormat="1" applyFont="1" applyFill="1" applyBorder="1" applyAlignment="1">
      <alignment horizontal="right" vertical="center" wrapText="1"/>
    </xf>
    <xf numFmtId="180" fontId="24" fillId="10" borderId="20" xfId="38" applyFont="1" applyFill="1" applyBorder="1" applyAlignment="1">
      <alignment horizontal="center" vertical="center" wrapText="1"/>
    </xf>
    <xf numFmtId="184" fontId="24" fillId="10" borderId="20" xfId="38" applyNumberFormat="1" applyFont="1" applyFill="1" applyBorder="1" applyAlignment="1">
      <alignment horizontal="center" vertical="center" wrapText="1"/>
    </xf>
    <xf numFmtId="180" fontId="24" fillId="10" borderId="27" xfId="38" applyFont="1" applyFill="1" applyBorder="1" applyAlignment="1">
      <alignment horizontal="center" vertical="center" wrapText="1"/>
    </xf>
    <xf numFmtId="0" fontId="4" fillId="1" borderId="0" xfId="38" applyNumberFormat="1" applyFont="1" applyFill="1" applyBorder="1" applyAlignment="1">
      <alignment horizontal="center" vertical="center" wrapText="1"/>
    </xf>
    <xf numFmtId="180" fontId="4" fillId="1" borderId="0" xfId="38" applyFont="1" applyFill="1" applyBorder="1" applyAlignment="1">
      <alignment horizontal="center" vertical="center" wrapText="1"/>
    </xf>
    <xf numFmtId="0" fontId="4" fillId="0" borderId="0" xfId="38" applyNumberFormat="1" applyFont="1" applyBorder="1" applyAlignment="1">
      <alignment vertical="center" wrapText="1"/>
    </xf>
    <xf numFmtId="180" fontId="4" fillId="0" borderId="0" xfId="38" applyFont="1" applyBorder="1" applyAlignment="1">
      <alignment vertical="center" wrapText="1"/>
    </xf>
    <xf numFmtId="0" fontId="74" fillId="0" borderId="0" xfId="52" applyAlignment="1">
      <alignment vertical="center" wrapText="1"/>
    </xf>
    <xf numFmtId="0" fontId="74" fillId="0" borderId="0" xfId="52" applyAlignment="1">
      <alignment horizontal="center" vertical="center" wrapText="1"/>
    </xf>
    <xf numFmtId="0" fontId="5" fillId="4" borderId="24" xfId="38" applyNumberFormat="1" applyFont="1" applyFill="1" applyBorder="1" applyAlignment="1">
      <alignment horizontal="left" vertical="center" wrapText="1"/>
    </xf>
    <xf numFmtId="0" fontId="90" fillId="27" borderId="17" xfId="52" applyFont="1" applyFill="1" applyBorder="1" applyAlignment="1">
      <alignment horizontal="left" vertical="center" wrapText="1"/>
    </xf>
    <xf numFmtId="0" fontId="90" fillId="27" borderId="1" xfId="52" applyFont="1" applyFill="1" applyBorder="1" applyAlignment="1">
      <alignment horizontal="center" vertical="center" wrapText="1"/>
    </xf>
    <xf numFmtId="0" fontId="90" fillId="27" borderId="23" xfId="52" applyFont="1" applyFill="1" applyBorder="1" applyAlignment="1">
      <alignment horizontal="center" vertical="center" wrapText="1"/>
    </xf>
    <xf numFmtId="180" fontId="4" fillId="10" borderId="33" xfId="38" applyFont="1" applyFill="1" applyBorder="1" applyAlignment="1">
      <alignment horizontal="left" vertical="center"/>
    </xf>
    <xf numFmtId="180" fontId="4" fillId="10" borderId="11" xfId="38" applyFont="1" applyFill="1" applyBorder="1" applyAlignment="1">
      <alignment horizontal="left" vertical="center"/>
    </xf>
    <xf numFmtId="180" fontId="64" fillId="10" borderId="17" xfId="38" applyFont="1" applyFill="1" applyBorder="1" applyAlignment="1">
      <alignment horizontal="left" vertical="center"/>
    </xf>
    <xf numFmtId="194" fontId="92" fillId="0" borderId="5" xfId="52" applyNumberFormat="1" applyFont="1" applyBorder="1" applyAlignment="1">
      <alignment vertical="center" wrapText="1"/>
    </xf>
    <xf numFmtId="49" fontId="93" fillId="10" borderId="23" xfId="38" applyNumberFormat="1" applyFont="1" applyFill="1" applyBorder="1" applyAlignment="1">
      <alignment horizontal="center" vertical="center"/>
    </xf>
    <xf numFmtId="182" fontId="92" fillId="27" borderId="19" xfId="52" applyNumberFormat="1" applyFont="1" applyFill="1" applyBorder="1" applyAlignment="1">
      <alignment horizontal="center" vertical="center" wrapText="1"/>
    </xf>
    <xf numFmtId="194" fontId="92" fillId="0" borderId="20" xfId="52" applyNumberFormat="1" applyFont="1" applyBorder="1" applyAlignment="1">
      <alignment vertical="center" wrapText="1"/>
    </xf>
    <xf numFmtId="194" fontId="24" fillId="0" borderId="20" xfId="38" applyNumberFormat="1" applyFont="1" applyFill="1" applyBorder="1" applyAlignment="1">
      <alignment vertical="center" wrapText="1"/>
    </xf>
    <xf numFmtId="49" fontId="65" fillId="27" borderId="27" xfId="52" applyNumberFormat="1" applyFont="1" applyFill="1" applyBorder="1" applyAlignment="1">
      <alignment horizontal="center" vertical="center" wrapText="1"/>
    </xf>
    <xf numFmtId="180" fontId="4" fillId="10" borderId="19" xfId="38" applyFont="1" applyFill="1" applyBorder="1" applyAlignment="1">
      <alignment horizontal="left" vertical="center"/>
    </xf>
    <xf numFmtId="180" fontId="4" fillId="10" borderId="20" xfId="38" applyFont="1" applyFill="1" applyBorder="1" applyAlignment="1">
      <alignment horizontal="left" vertical="center"/>
    </xf>
    <xf numFmtId="182" fontId="77" fillId="0" borderId="0" xfId="52" applyNumberFormat="1" applyFont="1" applyBorder="1" applyAlignment="1">
      <alignment horizontal="center" vertical="center" wrapText="1"/>
    </xf>
    <xf numFmtId="182" fontId="74" fillId="0" borderId="0" xfId="52" applyNumberFormat="1" applyBorder="1" applyAlignment="1">
      <alignment horizontal="center" vertical="center" wrapText="1"/>
    </xf>
    <xf numFmtId="0" fontId="74" fillId="0" borderId="0" xfId="52" applyBorder="1" applyAlignment="1">
      <alignment vertical="center" wrapText="1"/>
    </xf>
    <xf numFmtId="0" fontId="0" fillId="0" borderId="0" xfId="52" applyFont="1" applyBorder="1" applyAlignment="1">
      <alignment vertical="center" wrapText="1"/>
    </xf>
    <xf numFmtId="0" fontId="75" fillId="27" borderId="17" xfId="52" applyFont="1" applyFill="1" applyBorder="1" applyAlignment="1">
      <alignment horizontal="center" vertical="center" wrapText="1"/>
    </xf>
    <xf numFmtId="180" fontId="5" fillId="27" borderId="1" xfId="38" applyFont="1" applyFill="1" applyBorder="1" applyAlignment="1">
      <alignment horizontal="center" vertical="center" wrapText="1"/>
    </xf>
    <xf numFmtId="180" fontId="5" fillId="27" borderId="23" xfId="38" applyFont="1" applyFill="1" applyBorder="1" applyAlignment="1">
      <alignment horizontal="center" vertical="center" wrapText="1"/>
    </xf>
    <xf numFmtId="0" fontId="96" fillId="27" borderId="17" xfId="52" applyFont="1" applyFill="1" applyBorder="1" applyAlignment="1">
      <alignment vertical="center" wrapText="1"/>
    </xf>
    <xf numFmtId="194" fontId="92" fillId="0" borderId="1" xfId="52" applyNumberFormat="1" applyFont="1" applyBorder="1" applyAlignment="1">
      <alignment vertical="center" wrapText="1"/>
    </xf>
    <xf numFmtId="194" fontId="92" fillId="0" borderId="1" xfId="52" applyNumberFormat="1" applyFont="1" applyFill="1" applyBorder="1" applyAlignment="1">
      <alignment vertical="center" wrapText="1"/>
    </xf>
    <xf numFmtId="194" fontId="92" fillId="0" borderId="23" xfId="52" applyNumberFormat="1" applyFont="1" applyFill="1" applyBorder="1" applyAlignment="1">
      <alignment vertical="center" wrapText="1"/>
    </xf>
    <xf numFmtId="194" fontId="4" fillId="0" borderId="0" xfId="38" applyNumberFormat="1" applyFont="1" applyBorder="1" applyAlignment="1">
      <alignment vertical="center" wrapText="1"/>
    </xf>
    <xf numFmtId="0" fontId="74" fillId="27" borderId="17" xfId="52" applyFill="1" applyBorder="1" applyAlignment="1">
      <alignment vertical="center" wrapText="1"/>
    </xf>
    <xf numFmtId="180" fontId="4" fillId="10" borderId="48" xfId="38" applyFont="1" applyFill="1" applyBorder="1" applyAlignment="1">
      <alignment horizontal="left" vertical="center"/>
    </xf>
    <xf numFmtId="180" fontId="4" fillId="10" borderId="49" xfId="38" applyFont="1" applyFill="1" applyBorder="1" applyAlignment="1">
      <alignment horizontal="left" vertical="center"/>
    </xf>
    <xf numFmtId="0" fontId="75" fillId="27" borderId="19" xfId="52" applyFont="1" applyFill="1" applyBorder="1" applyAlignment="1">
      <alignment horizontal="center" vertical="center" wrapText="1"/>
    </xf>
    <xf numFmtId="194" fontId="92" fillId="0" borderId="20" xfId="52" applyNumberFormat="1" applyFont="1" applyFill="1" applyBorder="1" applyAlignment="1">
      <alignment vertical="center" wrapText="1"/>
    </xf>
    <xf numFmtId="194" fontId="92" fillId="0" borderId="27" xfId="52" applyNumberFormat="1" applyFont="1" applyFill="1" applyBorder="1" applyAlignment="1">
      <alignment vertical="center" wrapText="1"/>
    </xf>
    <xf numFmtId="0" fontId="77" fillId="0" borderId="0" xfId="52" applyFont="1" applyAlignment="1">
      <alignment vertical="center"/>
    </xf>
    <xf numFmtId="194" fontId="74" fillId="0" borderId="0" xfId="52" applyNumberFormat="1" applyAlignment="1">
      <alignment horizontal="center" vertical="center" wrapText="1"/>
    </xf>
    <xf numFmtId="182" fontId="77" fillId="0" borderId="0" xfId="52" applyNumberFormat="1" applyFont="1" applyBorder="1" applyAlignment="1">
      <alignment horizontal="left" vertical="center"/>
    </xf>
    <xf numFmtId="0" fontId="75" fillId="0" borderId="0" xfId="52" applyFont="1" applyFill="1" applyBorder="1" applyAlignment="1">
      <alignment horizontal="center" vertical="center" wrapText="1"/>
    </xf>
    <xf numFmtId="182" fontId="0" fillId="0" borderId="0" xfId="52" applyNumberFormat="1" applyFont="1" applyFill="1" applyBorder="1" applyAlignment="1">
      <alignment vertical="center" wrapText="1"/>
    </xf>
    <xf numFmtId="0" fontId="74" fillId="0" borderId="0" xfId="52" applyFill="1" applyAlignment="1">
      <alignment vertical="center" wrapText="1"/>
    </xf>
    <xf numFmtId="180" fontId="4" fillId="0" borderId="0" xfId="38" applyFont="1" applyFill="1" applyBorder="1" applyAlignment="1">
      <alignment vertical="center" wrapText="1"/>
    </xf>
    <xf numFmtId="0" fontId="0" fillId="0" borderId="0" xfId="52" applyFont="1" applyFill="1" applyBorder="1" applyAlignment="1">
      <alignment vertical="center" wrapText="1"/>
    </xf>
    <xf numFmtId="0" fontId="5" fillId="4" borderId="22" xfId="38" applyNumberFormat="1" applyFont="1" applyFill="1" applyBorder="1" applyAlignment="1">
      <alignment vertical="center" wrapText="1"/>
    </xf>
    <xf numFmtId="0" fontId="5" fillId="4" borderId="39" xfId="38" applyNumberFormat="1" applyFont="1" applyFill="1" applyBorder="1" applyAlignment="1">
      <alignment vertical="center" wrapText="1"/>
    </xf>
    <xf numFmtId="0" fontId="5" fillId="4" borderId="40" xfId="38" applyNumberFormat="1" applyFont="1" applyFill="1" applyBorder="1" applyAlignment="1">
      <alignment vertical="center" wrapText="1"/>
    </xf>
    <xf numFmtId="0" fontId="75" fillId="27" borderId="1" xfId="52" applyFont="1" applyFill="1" applyBorder="1" applyAlignment="1">
      <alignment horizontal="center" vertical="center" wrapText="1"/>
    </xf>
    <xf numFmtId="0" fontId="75" fillId="27" borderId="23" xfId="52" applyFont="1" applyFill="1" applyBorder="1" applyAlignment="1">
      <alignment horizontal="center" vertical="center" wrapText="1"/>
    </xf>
    <xf numFmtId="0" fontId="74" fillId="27" borderId="1" xfId="52" applyFill="1" applyBorder="1" applyAlignment="1">
      <alignment horizontal="center" vertical="center" wrapText="1"/>
    </xf>
    <xf numFmtId="194" fontId="24" fillId="27" borderId="1" xfId="38" applyNumberFormat="1" applyFont="1" applyFill="1" applyBorder="1" applyAlignment="1">
      <alignment vertical="center" wrapText="1"/>
    </xf>
    <xf numFmtId="194" fontId="74" fillId="27" borderId="1" xfId="52" applyNumberFormat="1" applyFill="1" applyBorder="1" applyAlignment="1">
      <alignment vertical="center" wrapText="1"/>
    </xf>
    <xf numFmtId="194" fontId="24" fillId="27" borderId="23" xfId="38" applyNumberFormat="1" applyFont="1" applyFill="1" applyBorder="1" applyAlignment="1">
      <alignment vertical="center" wrapText="1"/>
    </xf>
    <xf numFmtId="0" fontId="64" fillId="0" borderId="17" xfId="52" applyFont="1" applyBorder="1" applyAlignment="1">
      <alignment vertical="center" wrapText="1"/>
    </xf>
    <xf numFmtId="0" fontId="64" fillId="0" borderId="1" xfId="52" applyFont="1" applyBorder="1" applyAlignment="1">
      <alignment horizontal="center" vertical="center" wrapText="1"/>
    </xf>
    <xf numFmtId="194" fontId="64" fillId="0" borderId="1" xfId="52" applyNumberFormat="1" applyFont="1" applyBorder="1" applyAlignment="1">
      <alignment vertical="center" wrapText="1"/>
    </xf>
    <xf numFmtId="194" fontId="64" fillId="0" borderId="23" xfId="52" applyNumberFormat="1" applyFont="1" applyBorder="1" applyAlignment="1">
      <alignment vertical="center" wrapText="1"/>
    </xf>
    <xf numFmtId="0" fontId="96" fillId="0" borderId="0" xfId="52" applyFont="1" applyAlignment="1">
      <alignment horizontal="center" vertical="center" wrapText="1"/>
    </xf>
    <xf numFmtId="0" fontId="96" fillId="0" borderId="0" xfId="52" applyFont="1" applyAlignment="1">
      <alignment vertical="center" wrapText="1"/>
    </xf>
    <xf numFmtId="194" fontId="96" fillId="0" borderId="0" xfId="52" applyNumberFormat="1" applyFont="1" applyAlignment="1">
      <alignment horizontal="center" vertical="center" wrapText="1"/>
    </xf>
    <xf numFmtId="0" fontId="92" fillId="0" borderId="17" xfId="52" applyFont="1" applyBorder="1" applyAlignment="1">
      <alignment vertical="center" wrapText="1"/>
    </xf>
    <xf numFmtId="0" fontId="92" fillId="0" borderId="1" xfId="52" applyFont="1" applyBorder="1" applyAlignment="1">
      <alignment horizontal="center" vertical="center" wrapText="1"/>
    </xf>
    <xf numFmtId="194" fontId="92" fillId="0" borderId="23" xfId="52" applyNumberFormat="1" applyFont="1" applyBorder="1" applyAlignment="1">
      <alignment vertical="center" wrapText="1"/>
    </xf>
    <xf numFmtId="0" fontId="75" fillId="27" borderId="20" xfId="52" applyFont="1" applyFill="1" applyBorder="1" applyAlignment="1">
      <alignment horizontal="center" vertical="center" wrapText="1"/>
    </xf>
    <xf numFmtId="194" fontId="75" fillId="27" borderId="20" xfId="52" applyNumberFormat="1" applyFont="1" applyFill="1" applyBorder="1" applyAlignment="1">
      <alignment horizontal="right" vertical="center" wrapText="1"/>
    </xf>
    <xf numFmtId="194" fontId="75" fillId="27" borderId="27" xfId="52" applyNumberFormat="1" applyFont="1" applyFill="1" applyBorder="1" applyAlignment="1">
      <alignment horizontal="right" vertical="center" wrapText="1"/>
    </xf>
    <xf numFmtId="0" fontId="75" fillId="0" borderId="0" xfId="52" applyFont="1" applyAlignment="1">
      <alignment horizontal="center" vertical="center" wrapText="1"/>
    </xf>
    <xf numFmtId="0" fontId="75" fillId="0" borderId="0" xfId="52" applyFont="1" applyAlignment="1">
      <alignment vertical="center" wrapText="1"/>
    </xf>
    <xf numFmtId="180" fontId="5" fillId="0" borderId="0" xfId="38" applyFont="1" applyBorder="1" applyAlignment="1">
      <alignment vertical="center" wrapText="1"/>
    </xf>
    <xf numFmtId="0" fontId="4" fillId="0" borderId="0" xfId="38" applyNumberFormat="1" applyFont="1" applyAlignment="1">
      <alignment vertical="center" wrapText="1"/>
    </xf>
    <xf numFmtId="0" fontId="98" fillId="6" borderId="0" xfId="39" quotePrefix="1" applyNumberFormat="1" applyFont="1" applyFill="1" applyBorder="1" applyAlignment="1">
      <alignment vertical="center"/>
    </xf>
    <xf numFmtId="0" fontId="98" fillId="6" borderId="0" xfId="39" applyNumberFormat="1" applyFont="1" applyFill="1" applyBorder="1" applyAlignment="1">
      <alignment vertical="center"/>
    </xf>
    <xf numFmtId="184" fontId="98" fillId="6" borderId="0" xfId="39" applyNumberFormat="1" applyFont="1" applyFill="1" applyBorder="1" applyAlignment="1">
      <alignment vertical="center"/>
    </xf>
    <xf numFmtId="0" fontId="66" fillId="6" borderId="0" xfId="42" applyNumberFormat="1" applyFont="1" applyFill="1" applyBorder="1" applyAlignment="1">
      <alignment horizontal="center" vertical="center"/>
    </xf>
    <xf numFmtId="0" fontId="66" fillId="6" borderId="0" xfId="38" applyNumberFormat="1" applyFont="1" applyFill="1" applyAlignment="1">
      <alignment horizontal="left" vertical="center"/>
    </xf>
    <xf numFmtId="180" fontId="66" fillId="6" borderId="0" xfId="38" applyFont="1" applyFill="1" applyAlignment="1">
      <alignment horizontal="center" vertical="center"/>
    </xf>
    <xf numFmtId="0" fontId="98" fillId="0" borderId="16" xfId="38" applyNumberFormat="1" applyFont="1" applyFill="1" applyBorder="1" applyAlignment="1">
      <alignment horizontal="left" vertical="center"/>
    </xf>
    <xf numFmtId="194" fontId="98" fillId="0" borderId="16" xfId="38" applyNumberFormat="1" applyFont="1" applyFill="1" applyBorder="1" applyAlignment="1">
      <alignment horizontal="right" vertical="center"/>
    </xf>
    <xf numFmtId="0" fontId="98" fillId="0" borderId="16" xfId="38" applyNumberFormat="1" applyFont="1" applyFill="1" applyBorder="1" applyAlignment="1">
      <alignment vertical="center" wrapText="1"/>
    </xf>
    <xf numFmtId="194" fontId="98" fillId="0" borderId="16" xfId="38" applyNumberFormat="1" applyFont="1" applyFill="1" applyBorder="1" applyAlignment="1">
      <alignment horizontal="right" vertical="center" wrapText="1"/>
    </xf>
    <xf numFmtId="2" fontId="98" fillId="0" borderId="16" xfId="38" applyNumberFormat="1" applyFont="1" applyFill="1" applyBorder="1" applyAlignment="1">
      <alignment horizontal="center" vertical="center" wrapText="1"/>
    </xf>
    <xf numFmtId="184" fontId="98" fillId="0" borderId="16" xfId="38" applyNumberFormat="1" applyFont="1" applyFill="1" applyBorder="1" applyAlignment="1">
      <alignment vertical="center" wrapText="1"/>
    </xf>
    <xf numFmtId="0" fontId="98" fillId="0" borderId="24" xfId="38" applyNumberFormat="1" applyFont="1" applyFill="1" applyBorder="1" applyAlignment="1">
      <alignment horizontal="center" vertical="center" wrapText="1"/>
    </xf>
    <xf numFmtId="0" fontId="66" fillId="6" borderId="0" xfId="38" applyNumberFormat="1" applyFont="1" applyFill="1" applyAlignment="1">
      <alignment horizontal="center" vertical="center"/>
    </xf>
    <xf numFmtId="0" fontId="98" fillId="0" borderId="1" xfId="38" applyNumberFormat="1" applyFont="1" applyFill="1" applyBorder="1" applyAlignment="1">
      <alignment horizontal="left" vertical="center"/>
    </xf>
    <xf numFmtId="194" fontId="98" fillId="0" borderId="1" xfId="38" applyNumberFormat="1" applyFont="1" applyFill="1" applyBorder="1" applyAlignment="1">
      <alignment horizontal="right" vertical="center"/>
    </xf>
    <xf numFmtId="0" fontId="98" fillId="0" borderId="1" xfId="38" applyNumberFormat="1" applyFont="1" applyFill="1" applyBorder="1" applyAlignment="1">
      <alignment vertical="center" wrapText="1"/>
    </xf>
    <xf numFmtId="194" fontId="98" fillId="0" borderId="1" xfId="38" applyNumberFormat="1" applyFont="1" applyFill="1" applyBorder="1" applyAlignment="1">
      <alignment horizontal="right" vertical="center" wrapText="1"/>
    </xf>
    <xf numFmtId="2" fontId="98" fillId="0" borderId="1" xfId="38" applyNumberFormat="1" applyFont="1" applyFill="1" applyBorder="1" applyAlignment="1">
      <alignment horizontal="center" vertical="center" wrapText="1"/>
    </xf>
    <xf numFmtId="184" fontId="98" fillId="0" borderId="1" xfId="38" applyNumberFormat="1" applyFont="1" applyFill="1" applyBorder="1" applyAlignment="1">
      <alignment vertical="center" wrapText="1"/>
    </xf>
    <xf numFmtId="0" fontId="98" fillId="0" borderId="23" xfId="38" applyNumberFormat="1" applyFont="1" applyFill="1" applyBorder="1" applyAlignment="1">
      <alignment horizontal="center" vertical="center" wrapText="1"/>
    </xf>
    <xf numFmtId="0" fontId="98" fillId="0" borderId="1" xfId="38" applyNumberFormat="1" applyFont="1" applyFill="1" applyBorder="1" applyAlignment="1">
      <alignment horizontal="left" vertical="center" wrapText="1"/>
    </xf>
    <xf numFmtId="9" fontId="98" fillId="0" borderId="1" xfId="41" applyFont="1" applyFill="1" applyBorder="1" applyAlignment="1">
      <alignment horizontal="center" vertical="center" wrapText="1"/>
    </xf>
    <xf numFmtId="0" fontId="98" fillId="0" borderId="20" xfId="38" applyNumberFormat="1" applyFont="1" applyFill="1" applyBorder="1" applyAlignment="1">
      <alignment vertical="center" wrapText="1"/>
    </xf>
    <xf numFmtId="194" fontId="98" fillId="0" borderId="20" xfId="38" applyNumberFormat="1" applyFont="1" applyFill="1" applyBorder="1" applyAlignment="1">
      <alignment horizontal="right" vertical="center"/>
    </xf>
    <xf numFmtId="0" fontId="98" fillId="0" borderId="20" xfId="38" applyNumberFormat="1" applyFont="1" applyFill="1" applyBorder="1" applyAlignment="1">
      <alignment horizontal="left" vertical="center" wrapText="1"/>
    </xf>
    <xf numFmtId="194" fontId="98" fillId="0" borderId="20" xfId="38" applyNumberFormat="1" applyFont="1" applyFill="1" applyBorder="1" applyAlignment="1">
      <alignment horizontal="right" vertical="center" wrapText="1"/>
    </xf>
    <xf numFmtId="9" fontId="98" fillId="0" borderId="20" xfId="41" applyFont="1" applyFill="1" applyBorder="1" applyAlignment="1">
      <alignment horizontal="center" vertical="center" wrapText="1"/>
    </xf>
    <xf numFmtId="184" fontId="98" fillId="0" borderId="20" xfId="38" applyNumberFormat="1" applyFont="1" applyFill="1" applyBorder="1" applyAlignment="1">
      <alignment vertical="center" wrapText="1"/>
    </xf>
    <xf numFmtId="0" fontId="98" fillId="0" borderId="27" xfId="38" applyNumberFormat="1" applyFont="1" applyFill="1" applyBorder="1" applyAlignment="1">
      <alignment horizontal="center" vertical="center" wrapText="1"/>
    </xf>
    <xf numFmtId="0" fontId="66" fillId="6" borderId="0" xfId="42" applyNumberFormat="1" applyFont="1" applyFill="1" applyAlignment="1">
      <alignment horizontal="center" vertical="center"/>
    </xf>
    <xf numFmtId="180" fontId="66" fillId="6" borderId="0" xfId="38" applyFont="1" applyFill="1" applyBorder="1" applyAlignment="1">
      <alignment horizontal="center" vertical="center" wrapText="1"/>
    </xf>
    <xf numFmtId="0" fontId="98" fillId="4" borderId="1" xfId="38" applyNumberFormat="1" applyFont="1" applyFill="1" applyBorder="1" applyAlignment="1">
      <alignment horizontal="center" vertical="center" wrapText="1"/>
    </xf>
    <xf numFmtId="0" fontId="98" fillId="10" borderId="17" xfId="38" applyNumberFormat="1" applyFont="1" applyFill="1" applyBorder="1" applyAlignment="1">
      <alignment horizontal="left" vertical="center"/>
    </xf>
    <xf numFmtId="0" fontId="98" fillId="10" borderId="1" xfId="38" applyNumberFormat="1" applyFont="1" applyFill="1" applyBorder="1" applyAlignment="1">
      <alignment horizontal="center" vertical="center"/>
    </xf>
    <xf numFmtId="0" fontId="98" fillId="10" borderId="1" xfId="38" applyNumberFormat="1" applyFont="1" applyFill="1" applyBorder="1" applyAlignment="1">
      <alignment vertical="center"/>
    </xf>
    <xf numFmtId="0" fontId="98" fillId="10" borderId="1" xfId="38" applyNumberFormat="1" applyFont="1" applyFill="1" applyBorder="1" applyAlignment="1">
      <alignment horizontal="left" vertical="center"/>
    </xf>
    <xf numFmtId="0" fontId="66" fillId="10" borderId="1" xfId="38" applyNumberFormat="1" applyFont="1" applyFill="1" applyBorder="1" applyAlignment="1">
      <alignment horizontal="center" vertical="center"/>
    </xf>
    <xf numFmtId="2" fontId="98" fillId="10" borderId="1" xfId="38" applyNumberFormat="1" applyFont="1" applyFill="1" applyBorder="1" applyAlignment="1">
      <alignment horizontal="center" vertical="center"/>
    </xf>
    <xf numFmtId="186" fontId="98" fillId="10" borderId="1" xfId="38" applyNumberFormat="1" applyFont="1" applyFill="1" applyBorder="1" applyAlignment="1">
      <alignment horizontal="center" vertical="center"/>
    </xf>
    <xf numFmtId="9" fontId="98" fillId="10" borderId="1" xfId="41" applyFont="1" applyFill="1" applyBorder="1" applyAlignment="1">
      <alignment horizontal="center" vertical="center"/>
    </xf>
    <xf numFmtId="2" fontId="98" fillId="10" borderId="23" xfId="38" applyNumberFormat="1" applyFont="1" applyFill="1" applyBorder="1" applyAlignment="1">
      <alignment horizontal="center" vertical="center"/>
    </xf>
    <xf numFmtId="180" fontId="98" fillId="6" borderId="0" xfId="38" applyFont="1" applyFill="1" applyAlignment="1">
      <alignment horizontal="center" vertical="center"/>
    </xf>
    <xf numFmtId="0" fontId="98" fillId="8" borderId="17" xfId="38" applyNumberFormat="1" applyFont="1" applyFill="1" applyBorder="1" applyAlignment="1">
      <alignment vertical="center"/>
    </xf>
    <xf numFmtId="0" fontId="98" fillId="8" borderId="1" xfId="38" applyNumberFormat="1" applyFont="1" applyFill="1" applyBorder="1" applyAlignment="1">
      <alignment horizontal="center" vertical="center" wrapText="1"/>
    </xf>
    <xf numFmtId="0" fontId="98" fillId="8" borderId="1" xfId="38" quotePrefix="1" applyNumberFormat="1" applyFont="1" applyFill="1" applyBorder="1" applyAlignment="1">
      <alignment horizontal="left" vertical="center"/>
    </xf>
    <xf numFmtId="0" fontId="98" fillId="8" borderId="1" xfId="38" applyNumberFormat="1" applyFont="1" applyFill="1" applyBorder="1" applyAlignment="1">
      <alignment horizontal="left" vertical="center"/>
    </xf>
    <xf numFmtId="0" fontId="98" fillId="8" borderId="1" xfId="38" applyNumberFormat="1" applyFont="1" applyFill="1" applyBorder="1" applyAlignment="1">
      <alignment horizontal="left" vertical="center" wrapText="1"/>
    </xf>
    <xf numFmtId="2" fontId="66" fillId="8" borderId="1" xfId="38" applyNumberFormat="1" applyFont="1" applyFill="1" applyBorder="1" applyAlignment="1">
      <alignment horizontal="center" vertical="center" wrapText="1"/>
    </xf>
    <xf numFmtId="186" fontId="66" fillId="8" borderId="1" xfId="38" applyNumberFormat="1" applyFont="1" applyFill="1" applyBorder="1" applyAlignment="1">
      <alignment horizontal="center" vertical="center" wrapText="1"/>
    </xf>
    <xf numFmtId="2" fontId="98" fillId="8" borderId="1" xfId="38" applyNumberFormat="1" applyFont="1" applyFill="1" applyBorder="1" applyAlignment="1">
      <alignment horizontal="center" vertical="center" wrapText="1"/>
    </xf>
    <xf numFmtId="2" fontId="98" fillId="8" borderId="23" xfId="38" applyNumberFormat="1" applyFont="1" applyFill="1" applyBorder="1" applyAlignment="1">
      <alignment horizontal="center" vertical="center" wrapText="1"/>
    </xf>
    <xf numFmtId="180" fontId="66" fillId="0" borderId="0" xfId="38" applyFont="1" applyFill="1" applyAlignment="1">
      <alignment vertical="center"/>
    </xf>
    <xf numFmtId="0" fontId="66" fillId="0" borderId="1" xfId="38" applyNumberFormat="1" applyFont="1" applyFill="1" applyBorder="1" applyAlignment="1">
      <alignment horizontal="left" vertical="center"/>
    </xf>
    <xf numFmtId="0" fontId="66" fillId="0" borderId="1" xfId="39" applyNumberFormat="1" applyFont="1" applyFill="1" applyBorder="1" applyAlignment="1">
      <alignment horizontal="center" vertical="center" wrapText="1"/>
    </xf>
    <xf numFmtId="0" fontId="66" fillId="0" borderId="1" xfId="38" applyNumberFormat="1" applyFont="1" applyFill="1" applyBorder="1" applyAlignment="1">
      <alignment horizontal="center" vertical="center"/>
    </xf>
    <xf numFmtId="0" fontId="66" fillId="0" borderId="1" xfId="53" applyNumberFormat="1" applyFont="1" applyBorder="1"/>
    <xf numFmtId="0" fontId="66" fillId="2" borderId="1" xfId="47" applyNumberFormat="1" applyFont="1" applyFill="1" applyBorder="1" applyAlignment="1" applyProtection="1">
      <alignment horizontal="left" vertical="center"/>
    </xf>
    <xf numFmtId="0" fontId="66" fillId="2" borderId="1" xfId="47" applyNumberFormat="1" applyFont="1" applyFill="1" applyBorder="1" applyAlignment="1" applyProtection="1">
      <alignment horizontal="center" vertical="center"/>
    </xf>
    <xf numFmtId="2" fontId="66" fillId="0" borderId="1" xfId="38" applyNumberFormat="1" applyFont="1" applyFill="1" applyBorder="1" applyAlignment="1">
      <alignment horizontal="center" vertical="center" wrapText="1"/>
    </xf>
    <xf numFmtId="186" fontId="66" fillId="0" borderId="1" xfId="38" applyNumberFormat="1" applyFont="1" applyFill="1" applyBorder="1" applyAlignment="1">
      <alignment horizontal="center" vertical="center" wrapText="1"/>
    </xf>
    <xf numFmtId="184" fontId="66" fillId="0" borderId="1" xfId="51" applyNumberFormat="1" applyFont="1" applyFill="1" applyBorder="1" applyAlignment="1">
      <alignment horizontal="center" vertical="center" wrapText="1"/>
    </xf>
    <xf numFmtId="9" fontId="66" fillId="0" borderId="1" xfId="41" applyFont="1" applyFill="1" applyBorder="1" applyAlignment="1">
      <alignment horizontal="center" vertical="center" wrapText="1"/>
    </xf>
    <xf numFmtId="2" fontId="66" fillId="2" borderId="1" xfId="38" applyNumberFormat="1" applyFont="1" applyFill="1" applyBorder="1" applyAlignment="1">
      <alignment horizontal="center" vertical="center"/>
    </xf>
    <xf numFmtId="2" fontId="66" fillId="0" borderId="23" xfId="51" applyNumberFormat="1" applyFont="1" applyFill="1" applyBorder="1" applyAlignment="1">
      <alignment horizontal="center" vertical="center" wrapText="1"/>
    </xf>
    <xf numFmtId="0" fontId="66" fillId="28" borderId="1" xfId="38" applyNumberFormat="1" applyFont="1" applyFill="1" applyBorder="1" applyAlignment="1">
      <alignment horizontal="left" vertical="center"/>
    </xf>
    <xf numFmtId="0" fontId="66" fillId="28" borderId="1" xfId="39" applyNumberFormat="1" applyFont="1" applyFill="1" applyBorder="1" applyAlignment="1">
      <alignment horizontal="center" vertical="center" wrapText="1"/>
    </xf>
    <xf numFmtId="0" fontId="66" fillId="28" borderId="1" xfId="38" applyNumberFormat="1" applyFont="1" applyFill="1" applyBorder="1" applyAlignment="1">
      <alignment horizontal="center" vertical="center"/>
    </xf>
    <xf numFmtId="0" fontId="66" fillId="28" borderId="1" xfId="47" applyNumberFormat="1" applyFont="1" applyFill="1" applyBorder="1" applyAlignment="1" applyProtection="1">
      <alignment horizontal="left" vertical="center"/>
    </xf>
    <xf numFmtId="2" fontId="66" fillId="28" borderId="1" xfId="38" applyNumberFormat="1" applyFont="1" applyFill="1" applyBorder="1" applyAlignment="1">
      <alignment horizontal="center" vertical="center" wrapText="1"/>
    </xf>
    <xf numFmtId="186" fontId="66" fillId="28" borderId="1" xfId="38" applyNumberFormat="1" applyFont="1" applyFill="1" applyBorder="1" applyAlignment="1">
      <alignment horizontal="center" vertical="center" wrapText="1"/>
    </xf>
    <xf numFmtId="2" fontId="98" fillId="28" borderId="1" xfId="38" applyNumberFormat="1" applyFont="1" applyFill="1" applyBorder="1" applyAlignment="1">
      <alignment horizontal="center" vertical="center" wrapText="1"/>
    </xf>
    <xf numFmtId="9" fontId="98" fillId="28" borderId="1" xfId="41" applyFont="1" applyFill="1" applyBorder="1" applyAlignment="1">
      <alignment horizontal="center" vertical="center" wrapText="1"/>
    </xf>
    <xf numFmtId="2" fontId="98" fillId="28" borderId="23" xfId="51" applyNumberFormat="1" applyFont="1" applyFill="1" applyBorder="1" applyAlignment="1">
      <alignment horizontal="center" vertical="center" wrapText="1"/>
    </xf>
    <xf numFmtId="0" fontId="66" fillId="6" borderId="1" xfId="39" applyNumberFormat="1" applyFont="1" applyFill="1" applyBorder="1" applyAlignment="1">
      <alignment horizontal="center" vertical="center" wrapText="1"/>
    </xf>
    <xf numFmtId="180" fontId="66" fillId="2" borderId="1" xfId="47" applyNumberFormat="1" applyFont="1" applyFill="1" applyBorder="1" applyAlignment="1" applyProtection="1">
      <alignment horizontal="left" vertical="center"/>
    </xf>
    <xf numFmtId="0" fontId="66" fillId="0" borderId="1" xfId="47" applyNumberFormat="1" applyFont="1" applyFill="1" applyBorder="1" applyAlignment="1" applyProtection="1">
      <alignment horizontal="center" vertical="center"/>
    </xf>
    <xf numFmtId="0" fontId="66" fillId="6" borderId="1" xfId="39" applyNumberFormat="1" applyFont="1" applyFill="1" applyBorder="1" applyAlignment="1">
      <alignment horizontal="left" vertical="center" wrapText="1"/>
    </xf>
    <xf numFmtId="0" fontId="98" fillId="8" borderId="1" xfId="38" applyNumberFormat="1" applyFont="1" applyFill="1" applyBorder="1" applyAlignment="1">
      <alignment horizontal="center" vertical="center"/>
    </xf>
    <xf numFmtId="0" fontId="98" fillId="8" borderId="1" xfId="38" quotePrefix="1" applyNumberFormat="1" applyFont="1" applyFill="1" applyBorder="1" applyAlignment="1">
      <alignment vertical="center"/>
    </xf>
    <xf numFmtId="0" fontId="98" fillId="8" borderId="1" xfId="38" applyNumberFormat="1" applyFont="1" applyFill="1" applyBorder="1" applyAlignment="1">
      <alignment vertical="center"/>
    </xf>
    <xf numFmtId="0" fontId="66" fillId="8" borderId="1" xfId="39" applyNumberFormat="1" applyFont="1" applyFill="1" applyBorder="1" applyAlignment="1">
      <alignment horizontal="center" vertical="center"/>
    </xf>
    <xf numFmtId="2" fontId="98" fillId="8" borderId="1" xfId="38" applyNumberFormat="1" applyFont="1" applyFill="1" applyBorder="1" applyAlignment="1">
      <alignment horizontal="center" vertical="center"/>
    </xf>
    <xf numFmtId="186" fontId="98" fillId="8" borderId="1" xfId="38" applyNumberFormat="1" applyFont="1" applyFill="1" applyBorder="1" applyAlignment="1">
      <alignment horizontal="center" vertical="center"/>
    </xf>
    <xf numFmtId="9" fontId="98" fillId="8" borderId="1" xfId="41" applyFont="1" applyFill="1" applyBorder="1" applyAlignment="1">
      <alignment horizontal="center" vertical="center"/>
    </xf>
    <xf numFmtId="2" fontId="98" fillId="8" borderId="23" xfId="38" applyNumberFormat="1" applyFont="1" applyFill="1" applyBorder="1" applyAlignment="1">
      <alignment horizontal="center" vertical="center"/>
    </xf>
    <xf numFmtId="0" fontId="66" fillId="28" borderId="17" xfId="47" applyNumberFormat="1" applyFont="1" applyFill="1" applyBorder="1" applyAlignment="1">
      <alignment vertical="center"/>
    </xf>
    <xf numFmtId="0" fontId="66" fillId="28" borderId="1" xfId="47" applyNumberFormat="1" applyFont="1" applyFill="1" applyBorder="1" applyAlignment="1">
      <alignment horizontal="right" vertical="center"/>
    </xf>
    <xf numFmtId="0" fontId="66" fillId="28" borderId="1" xfId="47" applyNumberFormat="1" applyFont="1" applyFill="1" applyBorder="1" applyAlignment="1">
      <alignment vertical="center"/>
    </xf>
    <xf numFmtId="0" fontId="66" fillId="28" borderId="1" xfId="47" applyNumberFormat="1" applyFont="1" applyFill="1" applyBorder="1" applyAlignment="1">
      <alignment horizontal="center" vertical="center"/>
    </xf>
    <xf numFmtId="0" fontId="66" fillId="28" borderId="1" xfId="47" applyNumberFormat="1" applyFont="1" applyFill="1" applyBorder="1" applyAlignment="1">
      <alignment horizontal="justify" vertical="center"/>
    </xf>
    <xf numFmtId="0" fontId="66" fillId="28" borderId="1" xfId="39" applyNumberFormat="1" applyFont="1" applyFill="1" applyBorder="1" applyAlignment="1">
      <alignment horizontal="center" vertical="center"/>
    </xf>
    <xf numFmtId="2" fontId="98" fillId="28" borderId="1" xfId="38" applyNumberFormat="1" applyFont="1" applyFill="1" applyBorder="1" applyAlignment="1">
      <alignment horizontal="center" vertical="center"/>
    </xf>
    <xf numFmtId="186" fontId="98" fillId="28" borderId="1" xfId="38" applyNumberFormat="1" applyFont="1" applyFill="1" applyBorder="1" applyAlignment="1">
      <alignment horizontal="center" vertical="center"/>
    </xf>
    <xf numFmtId="9" fontId="98" fillId="28" borderId="1" xfId="41" applyFont="1" applyFill="1" applyBorder="1" applyAlignment="1">
      <alignment horizontal="center" vertical="center"/>
    </xf>
    <xf numFmtId="2" fontId="66" fillId="28" borderId="23" xfId="38" applyNumberFormat="1" applyFont="1" applyFill="1" applyBorder="1" applyAlignment="1">
      <alignment horizontal="center" vertical="center"/>
    </xf>
    <xf numFmtId="180" fontId="19" fillId="6" borderId="0" xfId="38" applyFont="1" applyFill="1" applyAlignment="1">
      <alignment horizontal="left" vertical="center" wrapText="1"/>
    </xf>
    <xf numFmtId="0" fontId="66" fillId="2" borderId="17" xfId="47" applyNumberFormat="1" applyFont="1" applyFill="1" applyBorder="1" applyAlignment="1">
      <alignment vertical="center"/>
    </xf>
    <xf numFmtId="0" fontId="66" fillId="2" borderId="1" xfId="38" applyNumberFormat="1" applyFont="1" applyFill="1" applyBorder="1" applyAlignment="1">
      <alignment horizontal="center" vertical="center"/>
    </xf>
    <xf numFmtId="0" fontId="66" fillId="2" borderId="1" xfId="47" applyNumberFormat="1" applyFont="1" applyFill="1" applyBorder="1" applyAlignment="1" applyProtection="1">
      <alignment vertical="center"/>
    </xf>
    <xf numFmtId="0" fontId="66" fillId="0" borderId="1" xfId="53" applyFont="1" applyBorder="1"/>
    <xf numFmtId="0" fontId="66" fillId="2" borderId="1" xfId="39" applyNumberFormat="1" applyFont="1" applyFill="1" applyBorder="1" applyAlignment="1">
      <alignment horizontal="center" vertical="center" shrinkToFit="1"/>
    </xf>
    <xf numFmtId="186" fontId="66" fillId="22" borderId="1" xfId="38" applyNumberFormat="1" applyFont="1" applyFill="1" applyBorder="1" applyAlignment="1">
      <alignment horizontal="center" vertical="center"/>
    </xf>
    <xf numFmtId="182" fontId="66" fillId="0" borderId="1" xfId="51" applyNumberFormat="1" applyFont="1" applyFill="1" applyBorder="1" applyAlignment="1">
      <alignment horizontal="center" vertical="center" wrapText="1"/>
    </xf>
    <xf numFmtId="2" fontId="66" fillId="0" borderId="1" xfId="38" applyNumberFormat="1" applyFont="1" applyFill="1" applyBorder="1" applyAlignment="1">
      <alignment horizontal="center" vertical="center"/>
    </xf>
    <xf numFmtId="184" fontId="66" fillId="22" borderId="1" xfId="51" applyNumberFormat="1" applyFont="1" applyFill="1" applyBorder="1" applyAlignment="1">
      <alignment horizontal="center" vertical="center" wrapText="1"/>
    </xf>
    <xf numFmtId="9" fontId="66" fillId="0" borderId="1" xfId="51" applyNumberFormat="1" applyFont="1" applyFill="1" applyBorder="1" applyAlignment="1">
      <alignment horizontal="center" vertical="center" wrapText="1"/>
    </xf>
    <xf numFmtId="2" fontId="66" fillId="6" borderId="23" xfId="38" applyNumberFormat="1" applyFont="1" applyFill="1" applyBorder="1" applyAlignment="1">
      <alignment horizontal="center" vertical="center"/>
    </xf>
    <xf numFmtId="0" fontId="66" fillId="0" borderId="1" xfId="53" applyNumberFormat="1" applyFont="1" applyBorder="1" applyAlignment="1">
      <alignment horizontal="center"/>
    </xf>
    <xf numFmtId="0" fontId="66" fillId="0" borderId="1" xfId="39" applyNumberFormat="1" applyFont="1" applyFill="1" applyBorder="1" applyAlignment="1">
      <alignment horizontal="center" vertical="center"/>
    </xf>
    <xf numFmtId="184" fontId="66" fillId="22" borderId="1" xfId="38" applyNumberFormat="1" applyFont="1" applyFill="1" applyBorder="1" applyAlignment="1">
      <alignment horizontal="center" vertical="center"/>
    </xf>
    <xf numFmtId="0" fontId="66" fillId="2" borderId="17" xfId="38" applyNumberFormat="1" applyFont="1" applyFill="1" applyBorder="1" applyAlignment="1">
      <alignment vertical="center"/>
    </xf>
    <xf numFmtId="0" fontId="66" fillId="0" borderId="1" xfId="47" applyNumberFormat="1" applyFont="1" applyFill="1" applyBorder="1" applyAlignment="1" applyProtection="1">
      <alignment horizontal="left" vertical="center"/>
    </xf>
    <xf numFmtId="186" fontId="66" fillId="0" borderId="1" xfId="38" applyNumberFormat="1" applyFont="1" applyFill="1" applyBorder="1" applyAlignment="1">
      <alignment horizontal="center" vertical="center"/>
    </xf>
    <xf numFmtId="198" fontId="66" fillId="2" borderId="1" xfId="38" applyNumberFormat="1" applyFont="1" applyFill="1" applyBorder="1" applyAlignment="1">
      <alignment horizontal="center" vertical="center"/>
    </xf>
    <xf numFmtId="188" fontId="66" fillId="22" borderId="1" xfId="51" applyNumberFormat="1" applyFont="1" applyFill="1" applyBorder="1" applyAlignment="1">
      <alignment horizontal="center" vertical="center" wrapText="1"/>
    </xf>
    <xf numFmtId="0" fontId="19" fillId="0" borderId="1" xfId="47" applyNumberFormat="1" applyFont="1" applyFill="1" applyBorder="1" applyAlignment="1" applyProtection="1">
      <alignment vertical="center"/>
    </xf>
    <xf numFmtId="0" fontId="19" fillId="2" borderId="1" xfId="47" applyNumberFormat="1" applyFont="1" applyFill="1" applyBorder="1" applyAlignment="1" applyProtection="1">
      <alignment vertical="center"/>
    </xf>
    <xf numFmtId="186" fontId="66" fillId="2" borderId="1" xfId="38" applyNumberFormat="1" applyFont="1" applyFill="1" applyBorder="1" applyAlignment="1">
      <alignment horizontal="center" vertical="center"/>
    </xf>
    <xf numFmtId="0" fontId="19" fillId="28" borderId="1" xfId="47" applyNumberFormat="1" applyFont="1" applyFill="1" applyBorder="1" applyAlignment="1">
      <alignment vertical="center"/>
    </xf>
    <xf numFmtId="0" fontId="66" fillId="19" borderId="17" xfId="47" applyNumberFormat="1" applyFont="1" applyFill="1" applyBorder="1" applyAlignment="1">
      <alignment vertical="center"/>
    </xf>
    <xf numFmtId="2" fontId="66" fillId="22" borderId="1" xfId="38" applyNumberFormat="1" applyFont="1" applyFill="1" applyBorder="1" applyAlignment="1">
      <alignment horizontal="center" vertical="center"/>
    </xf>
    <xf numFmtId="0" fontId="66" fillId="25" borderId="17" xfId="47" applyNumberFormat="1" applyFont="1" applyFill="1" applyBorder="1" applyAlignment="1">
      <alignment vertical="center"/>
    </xf>
    <xf numFmtId="0" fontId="66" fillId="25" borderId="1" xfId="38" applyNumberFormat="1" applyFont="1" applyFill="1" applyBorder="1" applyAlignment="1">
      <alignment horizontal="center" vertical="center"/>
    </xf>
    <xf numFmtId="0" fontId="19" fillId="25" borderId="1" xfId="47" applyNumberFormat="1" applyFont="1" applyFill="1" applyBorder="1" applyAlignment="1" applyProtection="1">
      <alignment vertical="center"/>
    </xf>
    <xf numFmtId="0" fontId="66" fillId="25" borderId="1" xfId="47" applyNumberFormat="1" applyFont="1" applyFill="1" applyBorder="1" applyAlignment="1" applyProtection="1">
      <alignment horizontal="center" vertical="center"/>
    </xf>
    <xf numFmtId="0" fontId="66" fillId="25" borderId="1" xfId="47" applyNumberFormat="1" applyFont="1" applyFill="1" applyBorder="1" applyAlignment="1" applyProtection="1">
      <alignment horizontal="left" vertical="center"/>
    </xf>
    <xf numFmtId="0" fontId="66" fillId="25" borderId="1" xfId="53" applyNumberFormat="1" applyFont="1" applyFill="1" applyBorder="1"/>
    <xf numFmtId="2" fontId="66" fillId="25" borderId="1" xfId="38" applyNumberFormat="1" applyFont="1" applyFill="1" applyBorder="1" applyAlignment="1">
      <alignment horizontal="center" vertical="center"/>
    </xf>
    <xf numFmtId="2" fontId="66" fillId="25" borderId="1" xfId="38" applyNumberFormat="1" applyFont="1" applyFill="1" applyBorder="1" applyAlignment="1">
      <alignment horizontal="center" vertical="center" wrapText="1"/>
    </xf>
    <xf numFmtId="9" fontId="66" fillId="25" borderId="1" xfId="41" applyFont="1" applyFill="1" applyBorder="1" applyAlignment="1">
      <alignment horizontal="center" vertical="center"/>
    </xf>
    <xf numFmtId="2" fontId="66" fillId="25" borderId="23" xfId="38" applyNumberFormat="1" applyFont="1" applyFill="1" applyBorder="1" applyAlignment="1">
      <alignment horizontal="center" vertical="center"/>
    </xf>
    <xf numFmtId="180" fontId="66" fillId="6" borderId="0" xfId="38" applyFont="1" applyFill="1" applyAlignment="1">
      <alignment horizontal="left" vertical="center"/>
    </xf>
    <xf numFmtId="180" fontId="66" fillId="6" borderId="0" xfId="38" applyFont="1" applyFill="1" applyAlignment="1">
      <alignment vertical="center"/>
    </xf>
    <xf numFmtId="0" fontId="98" fillId="10" borderId="17" xfId="38" applyNumberFormat="1" applyFont="1" applyFill="1" applyBorder="1" applyAlignment="1">
      <alignment vertical="center"/>
    </xf>
    <xf numFmtId="0" fontId="98" fillId="8" borderId="17" xfId="47" applyNumberFormat="1" applyFont="1" applyFill="1" applyBorder="1" applyAlignment="1">
      <alignment vertical="center"/>
    </xf>
    <xf numFmtId="0" fontId="98" fillId="8" borderId="1" xfId="47" applyNumberFormat="1" applyFont="1" applyFill="1" applyBorder="1" applyAlignment="1">
      <alignment vertical="center"/>
    </xf>
    <xf numFmtId="0" fontId="98" fillId="8" borderId="1" xfId="47" applyNumberFormat="1" applyFont="1" applyFill="1" applyBorder="1" applyAlignment="1">
      <alignment horizontal="left" vertical="center"/>
    </xf>
    <xf numFmtId="0" fontId="66" fillId="0" borderId="1" xfId="47" applyNumberFormat="1" applyFont="1" applyFill="1" applyBorder="1" applyAlignment="1">
      <alignment horizontal="right" vertical="center"/>
    </xf>
    <xf numFmtId="0" fontId="66" fillId="0" borderId="1" xfId="47" applyNumberFormat="1" applyFont="1" applyFill="1" applyBorder="1" applyAlignment="1">
      <alignment vertical="center"/>
    </xf>
    <xf numFmtId="0" fontId="98" fillId="0" borderId="1" xfId="47" applyNumberFormat="1" applyFont="1" applyFill="1" applyBorder="1" applyAlignment="1">
      <alignment horizontal="center" vertical="center"/>
    </xf>
    <xf numFmtId="2" fontId="66" fillId="21" borderId="1" xfId="38" applyNumberFormat="1" applyFont="1" applyFill="1" applyBorder="1" applyAlignment="1">
      <alignment horizontal="center" vertical="center"/>
    </xf>
    <xf numFmtId="9" fontId="66" fillId="0" borderId="1" xfId="41" applyFont="1" applyFill="1" applyBorder="1" applyAlignment="1">
      <alignment horizontal="center" vertical="center"/>
    </xf>
    <xf numFmtId="2" fontId="66" fillId="0" borderId="23" xfId="38" applyNumberFormat="1" applyFont="1" applyFill="1" applyBorder="1" applyAlignment="1">
      <alignment horizontal="center" vertical="center"/>
    </xf>
    <xf numFmtId="186" fontId="98" fillId="0" borderId="1" xfId="38" applyNumberFormat="1" applyFont="1" applyFill="1" applyBorder="1" applyAlignment="1">
      <alignment horizontal="center" vertical="center"/>
    </xf>
    <xf numFmtId="0" fontId="66" fillId="0" borderId="1" xfId="53" applyNumberFormat="1" applyFont="1" applyFill="1" applyBorder="1"/>
    <xf numFmtId="0" fontId="66" fillId="0" borderId="1" xfId="47" applyNumberFormat="1" applyFont="1" applyFill="1" applyBorder="1" applyAlignment="1">
      <alignment horizontal="justify" vertical="center"/>
    </xf>
    <xf numFmtId="186" fontId="98" fillId="22" borderId="1" xfId="38" applyNumberFormat="1" applyFont="1" applyFill="1" applyBorder="1" applyAlignment="1">
      <alignment horizontal="center" vertical="center"/>
    </xf>
    <xf numFmtId="0" fontId="98" fillId="28" borderId="1" xfId="47" applyNumberFormat="1" applyFont="1" applyFill="1" applyBorder="1" applyAlignment="1">
      <alignment horizontal="center" vertical="center"/>
    </xf>
    <xf numFmtId="0" fontId="66" fillId="28" borderId="1" xfId="51" applyNumberFormat="1" applyFont="1" applyFill="1" applyBorder="1" applyAlignment="1">
      <alignment horizontal="center" vertical="center"/>
    </xf>
    <xf numFmtId="0" fontId="66" fillId="28" borderId="1" xfId="53" applyNumberFormat="1" applyFont="1" applyFill="1" applyBorder="1"/>
    <xf numFmtId="0" fontId="66" fillId="6" borderId="1" xfId="47" applyNumberFormat="1" applyFont="1" applyFill="1" applyBorder="1" applyAlignment="1" applyProtection="1">
      <alignment vertical="center"/>
    </xf>
    <xf numFmtId="0" fontId="66" fillId="6" borderId="1" xfId="47" applyNumberFormat="1" applyFont="1" applyFill="1" applyBorder="1" applyAlignment="1" applyProtection="1">
      <alignment horizontal="center" vertical="center"/>
    </xf>
    <xf numFmtId="0" fontId="66" fillId="6" borderId="1" xfId="38" applyNumberFormat="1" applyFont="1" applyFill="1" applyBorder="1" applyAlignment="1">
      <alignment vertical="center"/>
    </xf>
    <xf numFmtId="9" fontId="66" fillId="2" borderId="1" xfId="41" applyFont="1" applyFill="1" applyBorder="1" applyAlignment="1">
      <alignment horizontal="center" vertical="center"/>
    </xf>
    <xf numFmtId="2" fontId="66" fillId="2" borderId="23" xfId="38" applyNumberFormat="1" applyFont="1" applyFill="1" applyBorder="1" applyAlignment="1">
      <alignment horizontal="center" vertical="center"/>
    </xf>
    <xf numFmtId="0" fontId="66" fillId="0" borderId="17" xfId="47" applyNumberFormat="1" applyFont="1" applyFill="1" applyBorder="1" applyAlignment="1">
      <alignment vertical="center"/>
    </xf>
    <xf numFmtId="0" fontId="66" fillId="0" borderId="1" xfId="47" applyNumberFormat="1" applyFont="1" applyFill="1" applyBorder="1" applyAlignment="1">
      <alignment horizontal="center" vertical="center"/>
    </xf>
    <xf numFmtId="2" fontId="98" fillId="0" borderId="23" xfId="38" applyNumberFormat="1" applyFont="1" applyFill="1" applyBorder="1" applyAlignment="1">
      <alignment horizontal="center" vertical="center"/>
    </xf>
    <xf numFmtId="0" fontId="66" fillId="0" borderId="1" xfId="51" applyNumberFormat="1" applyFont="1" applyFill="1" applyBorder="1" applyAlignment="1">
      <alignment horizontal="center" vertical="center"/>
    </xf>
    <xf numFmtId="0" fontId="66" fillId="19" borderId="1" xfId="47" applyNumberFormat="1" applyFont="1" applyFill="1" applyBorder="1" applyAlignment="1">
      <alignment horizontal="right" vertical="center"/>
    </xf>
    <xf numFmtId="0" fontId="66" fillId="2" borderId="1" xfId="38" applyNumberFormat="1" applyFont="1" applyFill="1" applyBorder="1" applyAlignment="1">
      <alignment horizontal="left" vertical="center"/>
    </xf>
    <xf numFmtId="180" fontId="19" fillId="0" borderId="0" xfId="38" applyFont="1" applyFill="1" applyAlignment="1">
      <alignment horizontal="left" vertical="center" wrapText="1"/>
    </xf>
    <xf numFmtId="0" fontId="66" fillId="0" borderId="1" xfId="38" applyNumberFormat="1" applyFont="1" applyFill="1" applyBorder="1" applyAlignment="1">
      <alignment horizontal="center" vertical="center" wrapText="1"/>
    </xf>
    <xf numFmtId="0" fontId="66" fillId="19" borderId="1" xfId="47" applyNumberFormat="1" applyFont="1" applyFill="1" applyBorder="1" applyAlignment="1">
      <alignment vertical="center"/>
    </xf>
    <xf numFmtId="0" fontId="66" fillId="19" borderId="1" xfId="47" applyNumberFormat="1" applyFont="1" applyFill="1" applyBorder="1" applyAlignment="1">
      <alignment horizontal="center" vertical="center"/>
    </xf>
    <xf numFmtId="0" fontId="98" fillId="8" borderId="1" xfId="47" applyNumberFormat="1" applyFont="1" applyFill="1" applyBorder="1" applyAlignment="1">
      <alignment horizontal="center" vertical="center"/>
    </xf>
    <xf numFmtId="0" fontId="98" fillId="8" borderId="1" xfId="39" applyNumberFormat="1" applyFont="1" applyFill="1" applyBorder="1" applyAlignment="1">
      <alignment horizontal="center" vertical="center"/>
    </xf>
    <xf numFmtId="2" fontId="98" fillId="8" borderId="23" xfId="39" applyNumberFormat="1" applyFont="1" applyFill="1" applyBorder="1" applyAlignment="1">
      <alignment horizontal="center" vertical="center"/>
    </xf>
    <xf numFmtId="0" fontId="66" fillId="0" borderId="17" xfId="38" applyNumberFormat="1" applyFont="1" applyFill="1" applyBorder="1" applyAlignment="1">
      <alignment vertical="center"/>
    </xf>
    <xf numFmtId="0" fontId="66" fillId="28" borderId="17" xfId="38" applyNumberFormat="1" applyFont="1" applyFill="1" applyBorder="1" applyAlignment="1">
      <alignment vertical="center"/>
    </xf>
    <xf numFmtId="2" fontId="98" fillId="28" borderId="23" xfId="38" applyNumberFormat="1" applyFont="1" applyFill="1" applyBorder="1" applyAlignment="1">
      <alignment horizontal="center" vertical="center"/>
    </xf>
    <xf numFmtId="0" fontId="66" fillId="2" borderId="1" xfId="47" applyNumberFormat="1" applyFont="1" applyFill="1" applyBorder="1" applyAlignment="1">
      <alignment vertical="center"/>
    </xf>
    <xf numFmtId="2" fontId="66" fillId="2" borderId="23" xfId="51" applyNumberFormat="1" applyFont="1" applyFill="1" applyBorder="1" applyAlignment="1">
      <alignment horizontal="center" vertical="center"/>
    </xf>
    <xf numFmtId="0" fontId="66" fillId="25" borderId="17" xfId="38" applyNumberFormat="1" applyFont="1" applyFill="1" applyBorder="1" applyAlignment="1">
      <alignment vertical="center"/>
    </xf>
    <xf numFmtId="0" fontId="66" fillId="25" borderId="1" xfId="47" applyNumberFormat="1" applyFont="1" applyFill="1" applyBorder="1" applyAlignment="1">
      <alignment vertical="center"/>
    </xf>
    <xf numFmtId="0" fontId="66" fillId="25" borderId="1" xfId="53" applyNumberFormat="1" applyFont="1" applyFill="1" applyBorder="1" applyAlignment="1">
      <alignment horizontal="center"/>
    </xf>
    <xf numFmtId="0" fontId="66" fillId="25" borderId="1" xfId="51" applyNumberFormat="1" applyFont="1" applyFill="1" applyBorder="1" applyAlignment="1">
      <alignment horizontal="center" vertical="center"/>
    </xf>
    <xf numFmtId="2" fontId="66" fillId="25" borderId="23" xfId="51" applyNumberFormat="1" applyFont="1" applyFill="1" applyBorder="1" applyAlignment="1">
      <alignment horizontal="center" vertical="center"/>
    </xf>
    <xf numFmtId="186" fontId="66" fillId="25" borderId="1" xfId="38" applyNumberFormat="1" applyFont="1" applyFill="1" applyBorder="1" applyAlignment="1">
      <alignment horizontal="center" vertical="center"/>
    </xf>
    <xf numFmtId="0" fontId="66" fillId="2" borderId="1" xfId="47" applyNumberFormat="1" applyFont="1" applyFill="1" applyBorder="1" applyAlignment="1">
      <alignment horizontal="center" vertical="center"/>
    </xf>
    <xf numFmtId="0" fontId="66" fillId="2" borderId="1" xfId="38" applyNumberFormat="1" applyFont="1" applyFill="1" applyBorder="1" applyAlignment="1">
      <alignment vertical="center"/>
    </xf>
    <xf numFmtId="0" fontId="66" fillId="28" borderId="1" xfId="53" applyNumberFormat="1" applyFont="1" applyFill="1" applyBorder="1" applyAlignment="1">
      <alignment horizontal="center"/>
    </xf>
    <xf numFmtId="2" fontId="66" fillId="28" borderId="1" xfId="38" applyNumberFormat="1" applyFont="1" applyFill="1" applyBorder="1" applyAlignment="1">
      <alignment horizontal="center" vertical="center"/>
    </xf>
    <xf numFmtId="9" fontId="66" fillId="28" borderId="1" xfId="41" applyFont="1" applyFill="1" applyBorder="1" applyAlignment="1">
      <alignment horizontal="center" vertical="center"/>
    </xf>
    <xf numFmtId="0" fontId="66" fillId="28" borderId="1" xfId="38" applyNumberFormat="1" applyFont="1" applyFill="1" applyBorder="1" applyAlignment="1">
      <alignment vertical="center"/>
    </xf>
    <xf numFmtId="2" fontId="66" fillId="0" borderId="23" xfId="51" applyNumberFormat="1" applyFont="1" applyFill="1" applyBorder="1" applyAlignment="1">
      <alignment horizontal="center" vertical="center"/>
    </xf>
    <xf numFmtId="2" fontId="98" fillId="8" borderId="1" xfId="38" applyNumberFormat="1" applyFont="1" applyFill="1" applyBorder="1" applyAlignment="1">
      <alignment horizontal="left" vertical="center"/>
    </xf>
    <xf numFmtId="0" fontId="66" fillId="19" borderId="1" xfId="39" applyNumberFormat="1" applyFont="1" applyFill="1" applyBorder="1" applyAlignment="1">
      <alignment horizontal="center" vertical="center"/>
    </xf>
    <xf numFmtId="0" fontId="66" fillId="6" borderId="1" xfId="38" applyNumberFormat="1" applyFont="1" applyFill="1" applyBorder="1" applyAlignment="1">
      <alignment horizontal="left" vertical="center"/>
    </xf>
    <xf numFmtId="0" fontId="66" fillId="6" borderId="1" xfId="38" applyNumberFormat="1" applyFont="1" applyFill="1" applyBorder="1" applyAlignment="1">
      <alignment horizontal="center" vertical="center"/>
    </xf>
    <xf numFmtId="2" fontId="66" fillId="19" borderId="1" xfId="38" applyNumberFormat="1" applyFont="1" applyFill="1" applyBorder="1" applyAlignment="1">
      <alignment horizontal="center" vertical="center"/>
    </xf>
    <xf numFmtId="0" fontId="66" fillId="0" borderId="1" xfId="47" applyNumberFormat="1" applyFont="1" applyFill="1" applyBorder="1" applyAlignment="1">
      <alignment horizontal="left" vertical="center"/>
    </xf>
    <xf numFmtId="0" fontId="66" fillId="19" borderId="1" xfId="47" applyNumberFormat="1" applyFont="1" applyFill="1" applyBorder="1" applyAlignment="1" applyProtection="1">
      <alignment horizontal="center" vertical="center"/>
    </xf>
    <xf numFmtId="186" fontId="66" fillId="2" borderId="1" xfId="51" applyNumberFormat="1" applyFont="1" applyFill="1" applyBorder="1" applyAlignment="1">
      <alignment horizontal="center" vertical="center"/>
    </xf>
    <xf numFmtId="2" fontId="66" fillId="2" borderId="1" xfId="51" applyNumberFormat="1" applyFont="1" applyFill="1" applyBorder="1" applyAlignment="1">
      <alignment horizontal="center" vertical="center"/>
    </xf>
    <xf numFmtId="2" fontId="66" fillId="19" borderId="1" xfId="51" applyNumberFormat="1" applyFont="1" applyFill="1" applyBorder="1" applyAlignment="1">
      <alignment horizontal="center" vertical="center"/>
    </xf>
    <xf numFmtId="0" fontId="98" fillId="10" borderId="1" xfId="51" applyNumberFormat="1" applyFont="1" applyFill="1" applyBorder="1" applyAlignment="1">
      <alignment horizontal="center" vertical="center"/>
    </xf>
    <xf numFmtId="2" fontId="98" fillId="10" borderId="23" xfId="51" applyNumberFormat="1" applyFont="1" applyFill="1" applyBorder="1" applyAlignment="1">
      <alignment horizontal="center" vertical="center"/>
    </xf>
    <xf numFmtId="0" fontId="66" fillId="8" borderId="1" xfId="47" applyNumberFormat="1" applyFont="1" applyFill="1" applyBorder="1" applyAlignment="1">
      <alignment horizontal="center" vertical="center"/>
    </xf>
    <xf numFmtId="0" fontId="66" fillId="8" borderId="1" xfId="47" applyNumberFormat="1" applyFont="1" applyFill="1" applyBorder="1" applyAlignment="1">
      <alignment horizontal="left" vertical="center"/>
    </xf>
    <xf numFmtId="0" fontId="98" fillId="8" borderId="1" xfId="51" applyNumberFormat="1" applyFont="1" applyFill="1" applyBorder="1" applyAlignment="1">
      <alignment horizontal="center" vertical="center"/>
    </xf>
    <xf numFmtId="2" fontId="98" fillId="8" borderId="23" xfId="51" applyNumberFormat="1" applyFont="1" applyFill="1" applyBorder="1" applyAlignment="1">
      <alignment horizontal="center" vertical="center"/>
    </xf>
    <xf numFmtId="0" fontId="66" fillId="28" borderId="1" xfId="47" applyNumberFormat="1" applyFont="1" applyFill="1" applyBorder="1" applyAlignment="1" applyProtection="1">
      <alignment horizontal="center" vertical="center"/>
    </xf>
    <xf numFmtId="0" fontId="66" fillId="8" borderId="1" xfId="38" applyNumberFormat="1" applyFont="1" applyFill="1" applyBorder="1" applyAlignment="1">
      <alignment horizontal="left" vertical="center"/>
    </xf>
    <xf numFmtId="2" fontId="98" fillId="21" borderId="1" xfId="38" applyNumberFormat="1" applyFont="1" applyFill="1" applyBorder="1" applyAlignment="1">
      <alignment horizontal="center" vertical="center"/>
    </xf>
    <xf numFmtId="2" fontId="66" fillId="21" borderId="1" xfId="51" applyNumberFormat="1" applyFont="1" applyFill="1" applyBorder="1" applyAlignment="1">
      <alignment horizontal="center" vertical="center"/>
    </xf>
    <xf numFmtId="2" fontId="98" fillId="8" borderId="1" xfId="39" applyNumberFormat="1" applyFont="1" applyFill="1" applyBorder="1" applyAlignment="1">
      <alignment horizontal="center" vertical="center"/>
    </xf>
    <xf numFmtId="186" fontId="98" fillId="8" borderId="1" xfId="39" applyNumberFormat="1" applyFont="1" applyFill="1" applyBorder="1" applyAlignment="1">
      <alignment horizontal="center" vertical="center"/>
    </xf>
    <xf numFmtId="2" fontId="66" fillId="22" borderId="1" xfId="51" applyNumberFormat="1" applyFont="1" applyFill="1" applyBorder="1" applyAlignment="1">
      <alignment horizontal="center" vertical="center"/>
    </xf>
    <xf numFmtId="0" fontId="66" fillId="8" borderId="1" xfId="38" applyNumberFormat="1" applyFont="1" applyFill="1" applyBorder="1" applyAlignment="1">
      <alignment horizontal="center" vertical="center"/>
    </xf>
    <xf numFmtId="0" fontId="66" fillId="2" borderId="1" xfId="51" applyNumberFormat="1" applyFont="1" applyFill="1" applyBorder="1" applyAlignment="1">
      <alignment vertical="center"/>
    </xf>
    <xf numFmtId="0" fontId="66" fillId="8" borderId="1" xfId="47" applyNumberFormat="1" applyFont="1" applyFill="1" applyBorder="1" applyAlignment="1">
      <alignment vertical="center"/>
    </xf>
    <xf numFmtId="186" fontId="66" fillId="8" borderId="1" xfId="39" applyNumberFormat="1" applyFont="1" applyFill="1" applyBorder="1" applyAlignment="1">
      <alignment horizontal="center" vertical="center"/>
    </xf>
    <xf numFmtId="2" fontId="66" fillId="8" borderId="1" xfId="39" applyNumberFormat="1" applyFont="1" applyFill="1" applyBorder="1" applyAlignment="1">
      <alignment horizontal="center" vertical="center"/>
    </xf>
    <xf numFmtId="2" fontId="98" fillId="21" borderId="1" xfId="39" applyNumberFormat="1" applyFont="1" applyFill="1" applyBorder="1" applyAlignment="1">
      <alignment horizontal="center" vertical="center"/>
    </xf>
    <xf numFmtId="2" fontId="42" fillId="8" borderId="1" xfId="39" applyNumberFormat="1" applyFont="1" applyFill="1" applyBorder="1" applyAlignment="1">
      <alignment horizontal="center" vertical="center"/>
    </xf>
    <xf numFmtId="2" fontId="98" fillId="8" borderId="1" xfId="51" applyNumberFormat="1" applyFont="1" applyFill="1" applyBorder="1" applyAlignment="1">
      <alignment horizontal="center" vertical="center"/>
    </xf>
    <xf numFmtId="0" fontId="98" fillId="8" borderId="19" xfId="38" applyNumberFormat="1" applyFont="1" applyFill="1" applyBorder="1" applyAlignment="1">
      <alignment vertical="center"/>
    </xf>
    <xf numFmtId="0" fontId="98" fillId="8" borderId="20" xfId="47" applyNumberFormat="1" applyFont="1" applyFill="1" applyBorder="1" applyAlignment="1">
      <alignment horizontal="center" vertical="center"/>
    </xf>
    <xf numFmtId="0" fontId="98" fillId="8" borderId="20" xfId="47" applyNumberFormat="1" applyFont="1" applyFill="1" applyBorder="1" applyAlignment="1">
      <alignment horizontal="left" vertical="center"/>
    </xf>
    <xf numFmtId="0" fontId="66" fillId="8" borderId="20" xfId="47" applyNumberFormat="1" applyFont="1" applyFill="1" applyBorder="1" applyAlignment="1">
      <alignment vertical="center"/>
    </xf>
    <xf numFmtId="0" fontId="98" fillId="8" borderId="20" xfId="38" applyNumberFormat="1" applyFont="1" applyFill="1" applyBorder="1" applyAlignment="1">
      <alignment horizontal="left" vertical="center"/>
    </xf>
    <xf numFmtId="0" fontId="98" fillId="8" borderId="20" xfId="39" applyNumberFormat="1" applyFont="1" applyFill="1" applyBorder="1" applyAlignment="1">
      <alignment horizontal="center" vertical="center"/>
    </xf>
    <xf numFmtId="2" fontId="98" fillId="8" borderId="20" xfId="39" applyNumberFormat="1" applyFont="1" applyFill="1" applyBorder="1" applyAlignment="1">
      <alignment horizontal="center" vertical="center"/>
    </xf>
    <xf numFmtId="186" fontId="66" fillId="8" borderId="20" xfId="39" applyNumberFormat="1" applyFont="1" applyFill="1" applyBorder="1" applyAlignment="1">
      <alignment horizontal="center" vertical="center"/>
    </xf>
    <xf numFmtId="2" fontId="66" fillId="8" borderId="20" xfId="39" applyNumberFormat="1" applyFont="1" applyFill="1" applyBorder="1" applyAlignment="1">
      <alignment horizontal="center" vertical="center"/>
    </xf>
    <xf numFmtId="2" fontId="98" fillId="8" borderId="20" xfId="51" applyNumberFormat="1" applyFont="1" applyFill="1" applyBorder="1" applyAlignment="1">
      <alignment horizontal="center" vertical="center"/>
    </xf>
    <xf numFmtId="9" fontId="98" fillId="8" borderId="20" xfId="41" applyFont="1" applyFill="1" applyBorder="1" applyAlignment="1">
      <alignment horizontal="center" vertical="center"/>
    </xf>
    <xf numFmtId="2" fontId="98" fillId="8" borderId="27" xfId="51" applyNumberFormat="1" applyFont="1" applyFill="1" applyBorder="1" applyAlignment="1">
      <alignment horizontal="center" vertical="center"/>
    </xf>
    <xf numFmtId="180" fontId="66" fillId="2" borderId="0" xfId="51" applyFont="1" applyFill="1" applyBorder="1" applyAlignment="1">
      <alignment vertical="center"/>
    </xf>
    <xf numFmtId="0" fontId="66" fillId="2" borderId="0" xfId="51" applyNumberFormat="1" applyFont="1" applyFill="1" applyBorder="1" applyAlignment="1">
      <alignment horizontal="center" vertical="center"/>
    </xf>
    <xf numFmtId="180" fontId="66" fillId="2" borderId="0" xfId="51" applyFont="1" applyFill="1" applyBorder="1" applyAlignment="1">
      <alignment horizontal="center" vertical="center"/>
    </xf>
    <xf numFmtId="184" fontId="66" fillId="2" borderId="0" xfId="51" applyNumberFormat="1" applyFont="1" applyFill="1" applyBorder="1" applyAlignment="1">
      <alignment horizontal="center" vertical="center"/>
    </xf>
    <xf numFmtId="184" fontId="66" fillId="2" borderId="0" xfId="38" applyNumberFormat="1" applyFont="1" applyFill="1" applyBorder="1" applyAlignment="1">
      <alignment horizontal="center" vertical="center"/>
    </xf>
    <xf numFmtId="175" fontId="66" fillId="2" borderId="0" xfId="51" applyNumberFormat="1" applyFont="1" applyFill="1" applyBorder="1" applyAlignment="1">
      <alignment horizontal="center" vertical="center"/>
    </xf>
    <xf numFmtId="184" fontId="66" fillId="6" borderId="0" xfId="38" applyNumberFormat="1" applyFont="1" applyFill="1" applyBorder="1" applyAlignment="1">
      <alignment horizontal="center" vertical="center"/>
    </xf>
    <xf numFmtId="9" fontId="66" fillId="2" borderId="0" xfId="42" applyFont="1" applyFill="1" applyBorder="1" applyAlignment="1">
      <alignment horizontal="center" vertical="center"/>
    </xf>
    <xf numFmtId="175" fontId="66" fillId="6" borderId="0" xfId="38" applyNumberFormat="1" applyFont="1" applyFill="1" applyBorder="1" applyAlignment="1">
      <alignment horizontal="center" vertical="center"/>
    </xf>
    <xf numFmtId="184" fontId="66" fillId="6" borderId="0" xfId="38" applyNumberFormat="1" applyFont="1" applyFill="1" applyBorder="1" applyAlignment="1">
      <alignment horizontal="left" vertical="center"/>
    </xf>
    <xf numFmtId="165" fontId="66" fillId="6" borderId="0" xfId="39" applyFont="1" applyFill="1" applyAlignment="1">
      <alignment vertical="center"/>
    </xf>
    <xf numFmtId="165" fontId="66" fillId="6" borderId="0" xfId="39" applyFont="1" applyFill="1" applyAlignment="1">
      <alignment horizontal="center" vertical="center"/>
    </xf>
    <xf numFmtId="184" fontId="66" fillId="6" borderId="0" xfId="42" applyNumberFormat="1" applyFont="1" applyFill="1" applyAlignment="1">
      <alignment horizontal="center" vertical="center"/>
    </xf>
    <xf numFmtId="175" fontId="66" fillId="6" borderId="0" xfId="38" applyNumberFormat="1" applyFont="1" applyFill="1" applyAlignment="1">
      <alignment horizontal="center" vertical="center"/>
    </xf>
    <xf numFmtId="184" fontId="66" fillId="6" borderId="0" xfId="38" applyNumberFormat="1" applyFont="1" applyFill="1" applyAlignment="1">
      <alignment horizontal="center" vertical="center"/>
    </xf>
    <xf numFmtId="9" fontId="66" fillId="6" borderId="0" xfId="42" applyFont="1" applyFill="1" applyAlignment="1">
      <alignment horizontal="center" vertical="center"/>
    </xf>
    <xf numFmtId="184" fontId="66" fillId="6" borderId="0" xfId="38" applyNumberFormat="1" applyFont="1" applyFill="1" applyAlignment="1">
      <alignment horizontal="left" vertical="center"/>
    </xf>
    <xf numFmtId="180" fontId="66" fillId="6" borderId="0" xfId="38" applyFont="1" applyFill="1" applyAlignment="1">
      <alignment vertical="center" wrapText="1"/>
    </xf>
    <xf numFmtId="0" fontId="66" fillId="6" borderId="0" xfId="38" applyNumberFormat="1" applyFont="1" applyFill="1" applyAlignment="1">
      <alignment vertical="center"/>
    </xf>
    <xf numFmtId="180" fontId="66" fillId="6" borderId="0" xfId="38" applyFont="1" applyFill="1" applyAlignment="1">
      <alignment horizontal="center" vertical="center" wrapText="1"/>
    </xf>
    <xf numFmtId="194" fontId="66" fillId="6" borderId="0" xfId="38" applyNumberFormat="1" applyFont="1" applyFill="1" applyAlignment="1">
      <alignment horizontal="center" vertical="center" wrapText="1"/>
    </xf>
    <xf numFmtId="184" fontId="66" fillId="6" borderId="0" xfId="38" applyNumberFormat="1" applyFont="1" applyFill="1" applyAlignment="1">
      <alignment horizontal="center" vertical="center" wrapText="1"/>
    </xf>
    <xf numFmtId="175" fontId="66" fillId="6" borderId="0" xfId="38" applyNumberFormat="1" applyFont="1" applyFill="1" applyAlignment="1">
      <alignment horizontal="center" vertical="center" wrapText="1"/>
    </xf>
    <xf numFmtId="180" fontId="98" fillId="6" borderId="0" xfId="38" applyFont="1" applyFill="1" applyAlignment="1">
      <alignment vertical="center"/>
    </xf>
    <xf numFmtId="184" fontId="98" fillId="6" borderId="0" xfId="38" applyNumberFormat="1" applyFont="1" applyFill="1" applyBorder="1" applyAlignment="1">
      <alignment horizontal="left" vertical="center" wrapText="1"/>
    </xf>
    <xf numFmtId="180" fontId="98" fillId="6" borderId="0" xfId="38" applyFont="1" applyFill="1" applyBorder="1" applyAlignment="1">
      <alignment horizontal="left" vertical="center" wrapText="1"/>
    </xf>
    <xf numFmtId="180" fontId="66" fillId="6" borderId="0" xfId="38" applyFont="1" applyFill="1" applyAlignment="1">
      <alignment horizontal="left" vertical="center" wrapText="1"/>
    </xf>
    <xf numFmtId="0" fontId="98" fillId="0" borderId="15" xfId="38" applyNumberFormat="1" applyFont="1" applyFill="1" applyBorder="1" applyAlignment="1">
      <alignment horizontal="center" vertical="center"/>
    </xf>
    <xf numFmtId="180" fontId="98" fillId="0" borderId="16" xfId="38" applyFont="1" applyFill="1" applyBorder="1" applyAlignment="1">
      <alignment horizontal="center" vertical="center"/>
    </xf>
    <xf numFmtId="180" fontId="98" fillId="0" borderId="16" xfId="38" applyFont="1" applyFill="1" applyBorder="1" applyAlignment="1">
      <alignment horizontal="left" vertical="center"/>
    </xf>
    <xf numFmtId="184" fontId="98" fillId="0" borderId="16" xfId="38" applyNumberFormat="1" applyFont="1" applyFill="1" applyBorder="1" applyAlignment="1">
      <alignment horizontal="center" vertical="center"/>
    </xf>
    <xf numFmtId="194" fontId="98" fillId="6" borderId="16" xfId="38" applyNumberFormat="1" applyFont="1" applyFill="1" applyBorder="1" applyAlignment="1">
      <alignment horizontal="left" vertical="center" wrapText="1"/>
    </xf>
    <xf numFmtId="9" fontId="98" fillId="6" borderId="16" xfId="41" applyFont="1" applyFill="1" applyBorder="1" applyAlignment="1">
      <alignment horizontal="left" vertical="center" wrapText="1"/>
    </xf>
    <xf numFmtId="9" fontId="98" fillId="6" borderId="0" xfId="41" applyFont="1" applyFill="1" applyBorder="1" applyAlignment="1">
      <alignment vertical="center" wrapText="1"/>
    </xf>
    <xf numFmtId="180" fontId="98" fillId="0" borderId="1" xfId="38" applyFont="1" applyFill="1" applyBorder="1" applyAlignment="1">
      <alignment horizontal="center" vertical="center"/>
    </xf>
    <xf numFmtId="184" fontId="98" fillId="0" borderId="1" xfId="38" applyNumberFormat="1" applyFont="1" applyFill="1" applyBorder="1" applyAlignment="1">
      <alignment horizontal="center" vertical="center"/>
    </xf>
    <xf numFmtId="180" fontId="98" fillId="0" borderId="1" xfId="38" applyFont="1" applyFill="1" applyBorder="1" applyAlignment="1">
      <alignment vertical="center" wrapText="1"/>
    </xf>
    <xf numFmtId="184" fontId="98" fillId="0" borderId="1" xfId="38" applyNumberFormat="1" applyFont="1" applyFill="1" applyBorder="1" applyAlignment="1">
      <alignment horizontal="center" vertical="center" wrapText="1"/>
    </xf>
    <xf numFmtId="194" fontId="98" fillId="6" borderId="1" xfId="38" applyNumberFormat="1" applyFont="1" applyFill="1" applyBorder="1" applyAlignment="1">
      <alignment horizontal="left" vertical="center" wrapText="1"/>
    </xf>
    <xf numFmtId="9" fontId="98" fillId="6" borderId="1" xfId="41" applyFont="1" applyFill="1" applyBorder="1" applyAlignment="1">
      <alignment horizontal="left" vertical="center" wrapText="1"/>
    </xf>
    <xf numFmtId="194" fontId="98" fillId="6" borderId="1" xfId="38" applyNumberFormat="1" applyFont="1" applyFill="1" applyBorder="1" applyAlignment="1">
      <alignment vertical="center" wrapText="1"/>
    </xf>
    <xf numFmtId="184" fontId="98" fillId="6" borderId="0" xfId="38" applyNumberFormat="1" applyFont="1" applyFill="1" applyBorder="1" applyAlignment="1">
      <alignment vertical="top"/>
    </xf>
    <xf numFmtId="180" fontId="98" fillId="0" borderId="1" xfId="38" applyFont="1" applyFill="1" applyBorder="1" applyAlignment="1">
      <alignment horizontal="center" vertical="center" wrapText="1"/>
    </xf>
    <xf numFmtId="184" fontId="98" fillId="6" borderId="1" xfId="38" applyNumberFormat="1" applyFont="1" applyFill="1" applyBorder="1" applyAlignment="1">
      <alignment vertical="top"/>
    </xf>
    <xf numFmtId="184" fontId="98" fillId="6" borderId="23" xfId="38" applyNumberFormat="1" applyFont="1" applyFill="1" applyBorder="1" applyAlignment="1">
      <alignment vertical="top"/>
    </xf>
    <xf numFmtId="180" fontId="98" fillId="0" borderId="20" xfId="38" applyFont="1" applyFill="1" applyBorder="1" applyAlignment="1">
      <alignment horizontal="center" vertical="center" wrapText="1"/>
    </xf>
    <xf numFmtId="184" fontId="98" fillId="0" borderId="20" xfId="38" applyNumberFormat="1" applyFont="1" applyFill="1" applyBorder="1" applyAlignment="1">
      <alignment horizontal="center" vertical="center"/>
    </xf>
    <xf numFmtId="180" fontId="98" fillId="0" borderId="20" xfId="38" applyFont="1" applyFill="1" applyBorder="1" applyAlignment="1">
      <alignment vertical="center" wrapText="1"/>
    </xf>
    <xf numFmtId="184" fontId="98" fillId="0" borderId="20" xfId="38" applyNumberFormat="1" applyFont="1" applyFill="1" applyBorder="1" applyAlignment="1">
      <alignment horizontal="center" vertical="center" wrapText="1"/>
    </xf>
    <xf numFmtId="194" fontId="98" fillId="6" borderId="20" xfId="38" applyNumberFormat="1" applyFont="1" applyFill="1" applyBorder="1" applyAlignment="1">
      <alignment vertical="center" wrapText="1"/>
    </xf>
    <xf numFmtId="184" fontId="98" fillId="6" borderId="20" xfId="38" applyNumberFormat="1" applyFont="1" applyFill="1" applyBorder="1" applyAlignment="1">
      <alignment vertical="top" wrapText="1"/>
    </xf>
    <xf numFmtId="184" fontId="98" fillId="6" borderId="27" xfId="38" applyNumberFormat="1" applyFont="1" applyFill="1" applyBorder="1" applyAlignment="1">
      <alignment vertical="top" wrapText="1"/>
    </xf>
    <xf numFmtId="184" fontId="98" fillId="6" borderId="0" xfId="38" applyNumberFormat="1" applyFont="1" applyFill="1" applyBorder="1" applyAlignment="1">
      <alignment vertical="top" wrapText="1"/>
    </xf>
    <xf numFmtId="180" fontId="98" fillId="6" borderId="0" xfId="38" applyFont="1" applyFill="1" applyBorder="1" applyAlignment="1">
      <alignment horizontal="center" vertical="center" wrapText="1"/>
    </xf>
    <xf numFmtId="180" fontId="98" fillId="6" borderId="0" xfId="38" applyFont="1" applyFill="1" applyBorder="1" applyAlignment="1">
      <alignment horizontal="center" vertical="center"/>
    </xf>
    <xf numFmtId="184" fontId="98" fillId="6" borderId="0" xfId="38" applyNumberFormat="1" applyFont="1" applyFill="1" applyBorder="1" applyAlignment="1">
      <alignment horizontal="center" vertical="center"/>
    </xf>
    <xf numFmtId="182" fontId="66" fillId="6" borderId="0" xfId="38" applyNumberFormat="1" applyFont="1" applyFill="1" applyBorder="1" applyAlignment="1">
      <alignment horizontal="center" vertical="center" wrapText="1"/>
    </xf>
    <xf numFmtId="180" fontId="91" fillId="6" borderId="0" xfId="38" applyFont="1" applyFill="1" applyAlignment="1">
      <alignment horizontal="center" vertical="center" wrapText="1"/>
    </xf>
    <xf numFmtId="180" fontId="99" fillId="4" borderId="1" xfId="38" applyFont="1" applyFill="1" applyBorder="1" applyAlignment="1">
      <alignment horizontal="center" vertical="center"/>
    </xf>
    <xf numFmtId="184" fontId="99" fillId="4" borderId="1" xfId="38" applyNumberFormat="1" applyFont="1" applyFill="1" applyBorder="1" applyAlignment="1">
      <alignment horizontal="center" vertical="center"/>
    </xf>
    <xf numFmtId="194" fontId="98" fillId="10" borderId="1" xfId="38" applyNumberFormat="1" applyFont="1" applyFill="1" applyBorder="1" applyAlignment="1">
      <alignment horizontal="center" vertical="center"/>
    </xf>
    <xf numFmtId="180" fontId="66" fillId="0" borderId="0" xfId="38" applyFont="1" applyFill="1" applyAlignment="1">
      <alignment vertical="center" wrapText="1"/>
    </xf>
    <xf numFmtId="194" fontId="98" fillId="8" borderId="1" xfId="38" applyNumberFormat="1" applyFont="1" applyFill="1" applyBorder="1" applyAlignment="1">
      <alignment horizontal="center" vertical="center"/>
    </xf>
    <xf numFmtId="180" fontId="91" fillId="0" borderId="0" xfId="38" applyFont="1" applyFill="1" applyAlignment="1">
      <alignment vertical="center" wrapText="1"/>
    </xf>
    <xf numFmtId="180" fontId="66" fillId="0" borderId="1" xfId="38" applyFont="1" applyFill="1" applyBorder="1" applyAlignment="1">
      <alignment vertical="center"/>
    </xf>
    <xf numFmtId="180" fontId="66" fillId="0" borderId="1" xfId="38" applyFont="1" applyFill="1" applyBorder="1" applyAlignment="1">
      <alignment horizontal="center" vertical="center"/>
    </xf>
    <xf numFmtId="180" fontId="66" fillId="0" borderId="1" xfId="51" applyFont="1" applyFill="1" applyBorder="1" applyAlignment="1">
      <alignment horizontal="center" vertical="center"/>
    </xf>
    <xf numFmtId="184" fontId="66" fillId="0" borderId="1" xfId="51" applyNumberFormat="1" applyFont="1" applyFill="1" applyBorder="1" applyAlignment="1">
      <alignment horizontal="center" vertical="center"/>
    </xf>
    <xf numFmtId="194" fontId="66" fillId="0" borderId="1" xfId="51" applyNumberFormat="1" applyFont="1" applyFill="1" applyBorder="1" applyAlignment="1">
      <alignment horizontal="center" vertical="center" wrapText="1"/>
    </xf>
    <xf numFmtId="167" fontId="66" fillId="0" borderId="1" xfId="51" applyNumberFormat="1" applyFont="1" applyFill="1" applyBorder="1" applyAlignment="1">
      <alignment horizontal="center" vertical="center" wrapText="1"/>
    </xf>
    <xf numFmtId="184" fontId="66" fillId="0" borderId="1" xfId="54" applyNumberFormat="1" applyFont="1" applyFill="1" applyBorder="1" applyAlignment="1">
      <alignment horizontal="center" vertical="center" wrapText="1"/>
    </xf>
    <xf numFmtId="184" fontId="66" fillId="0" borderId="23" xfId="38" applyNumberFormat="1" applyFont="1" applyFill="1" applyBorder="1" applyAlignment="1">
      <alignment horizontal="center" vertical="center" wrapText="1"/>
    </xf>
    <xf numFmtId="184" fontId="66" fillId="0" borderId="1" xfId="38" applyNumberFormat="1" applyFont="1" applyFill="1" applyBorder="1" applyAlignment="1">
      <alignment horizontal="center" vertical="center"/>
    </xf>
    <xf numFmtId="194" fontId="32" fillId="22" borderId="1" xfId="38" applyNumberFormat="1" applyFont="1" applyFill="1" applyBorder="1" applyAlignment="1">
      <alignment horizontal="center" vertical="center"/>
    </xf>
    <xf numFmtId="194" fontId="66" fillId="0" borderId="1" xfId="38" applyNumberFormat="1" applyFont="1" applyFill="1" applyBorder="1" applyAlignment="1">
      <alignment horizontal="center" vertical="center"/>
    </xf>
    <xf numFmtId="180" fontId="98" fillId="10" borderId="1" xfId="38" applyFont="1" applyFill="1" applyBorder="1" applyAlignment="1">
      <alignment vertical="center"/>
    </xf>
    <xf numFmtId="180" fontId="98" fillId="10" borderId="1" xfId="38" applyFont="1" applyFill="1" applyBorder="1" applyAlignment="1">
      <alignment horizontal="center" vertical="center"/>
    </xf>
    <xf numFmtId="180" fontId="98" fillId="10" borderId="1" xfId="38" applyFont="1" applyFill="1" applyBorder="1" applyAlignment="1">
      <alignment horizontal="left" vertical="center"/>
    </xf>
    <xf numFmtId="180" fontId="98" fillId="10" borderId="1" xfId="51" applyFont="1" applyFill="1" applyBorder="1" applyAlignment="1">
      <alignment horizontal="center" vertical="center"/>
    </xf>
    <xf numFmtId="184" fontId="98" fillId="10" borderId="1" xfId="51" applyNumberFormat="1" applyFont="1" applyFill="1" applyBorder="1" applyAlignment="1">
      <alignment horizontal="center" vertical="center"/>
    </xf>
    <xf numFmtId="194" fontId="98" fillId="10" borderId="1" xfId="51" applyNumberFormat="1" applyFont="1" applyFill="1" applyBorder="1" applyAlignment="1">
      <alignment horizontal="center" vertical="center" wrapText="1"/>
    </xf>
    <xf numFmtId="180" fontId="98" fillId="10" borderId="1" xfId="51" applyFont="1" applyFill="1" applyBorder="1" applyAlignment="1">
      <alignment horizontal="center" vertical="center" wrapText="1"/>
    </xf>
    <xf numFmtId="184" fontId="98" fillId="10" borderId="1" xfId="51" applyNumberFormat="1" applyFont="1" applyFill="1" applyBorder="1" applyAlignment="1">
      <alignment horizontal="center" vertical="center" wrapText="1"/>
    </xf>
    <xf numFmtId="184" fontId="98" fillId="10" borderId="23" xfId="38" applyNumberFormat="1" applyFont="1" applyFill="1" applyBorder="1" applyAlignment="1">
      <alignment horizontal="center" vertical="center" wrapText="1"/>
    </xf>
    <xf numFmtId="0" fontId="98" fillId="8" borderId="17" xfId="51" applyNumberFormat="1" applyFont="1" applyFill="1" applyBorder="1" applyAlignment="1">
      <alignment vertical="center"/>
    </xf>
    <xf numFmtId="180" fontId="98" fillId="8" borderId="1" xfId="51" applyFont="1" applyFill="1" applyBorder="1" applyAlignment="1">
      <alignment vertical="center"/>
    </xf>
    <xf numFmtId="180" fontId="98" fillId="8" borderId="1" xfId="51" applyFont="1" applyFill="1" applyBorder="1" applyAlignment="1">
      <alignment horizontal="center" vertical="center"/>
    </xf>
    <xf numFmtId="180" fontId="98" fillId="8" borderId="1" xfId="51" applyFont="1" applyFill="1" applyBorder="1" applyAlignment="1">
      <alignment horizontal="left" vertical="center"/>
    </xf>
    <xf numFmtId="184" fontId="98" fillId="8" borderId="1" xfId="51" applyNumberFormat="1" applyFont="1" applyFill="1" applyBorder="1" applyAlignment="1">
      <alignment horizontal="center" vertical="center"/>
    </xf>
    <xf numFmtId="194" fontId="98" fillId="8" borderId="1" xfId="51" applyNumberFormat="1" applyFont="1" applyFill="1" applyBorder="1" applyAlignment="1">
      <alignment horizontal="center" vertical="center" wrapText="1"/>
    </xf>
    <xf numFmtId="167" fontId="98" fillId="8" borderId="1" xfId="51" applyNumberFormat="1" applyFont="1" applyFill="1" applyBorder="1" applyAlignment="1">
      <alignment horizontal="center" vertical="center" wrapText="1"/>
    </xf>
    <xf numFmtId="182" fontId="98" fillId="8" borderId="1" xfId="51" applyNumberFormat="1" applyFont="1" applyFill="1" applyBorder="1" applyAlignment="1">
      <alignment horizontal="center" vertical="center" wrapText="1"/>
    </xf>
    <xf numFmtId="184" fontId="98" fillId="8" borderId="1" xfId="51" applyNumberFormat="1" applyFont="1" applyFill="1" applyBorder="1" applyAlignment="1">
      <alignment horizontal="center" vertical="center" wrapText="1"/>
    </xf>
    <xf numFmtId="184" fontId="98" fillId="8" borderId="23" xfId="38" applyNumberFormat="1" applyFont="1" applyFill="1" applyBorder="1" applyAlignment="1">
      <alignment horizontal="center" vertical="center" wrapText="1"/>
    </xf>
    <xf numFmtId="175" fontId="66" fillId="0" borderId="1" xfId="51" applyNumberFormat="1" applyFont="1" applyFill="1" applyBorder="1" applyAlignment="1">
      <alignment horizontal="center" vertical="center"/>
    </xf>
    <xf numFmtId="194" fontId="66" fillId="22" borderId="1" xfId="51" applyNumberFormat="1" applyFont="1" applyFill="1" applyBorder="1" applyAlignment="1">
      <alignment horizontal="center" vertical="center" wrapText="1"/>
    </xf>
    <xf numFmtId="0" fontId="66" fillId="0" borderId="1" xfId="52" applyFont="1" applyFill="1" applyBorder="1" applyAlignment="1">
      <alignment horizontal="center" vertical="center"/>
    </xf>
    <xf numFmtId="0" fontId="66" fillId="0" borderId="17" xfId="51" applyNumberFormat="1" applyFont="1" applyFill="1" applyBorder="1" applyAlignment="1">
      <alignment vertical="center"/>
    </xf>
    <xf numFmtId="180" fontId="66" fillId="0" borderId="1" xfId="47" applyNumberFormat="1" applyFont="1" applyFill="1" applyBorder="1" applyAlignment="1" applyProtection="1">
      <alignment vertical="center"/>
    </xf>
    <xf numFmtId="180" fontId="66" fillId="0" borderId="1" xfId="47" applyNumberFormat="1" applyFont="1" applyFill="1" applyBorder="1" applyAlignment="1" applyProtection="1">
      <alignment horizontal="center" vertical="center"/>
    </xf>
    <xf numFmtId="184" fontId="66" fillId="0" borderId="1" xfId="38" applyNumberFormat="1" applyFont="1" applyFill="1" applyBorder="1" applyAlignment="1">
      <alignment horizontal="left" vertical="center" wrapText="1"/>
    </xf>
    <xf numFmtId="180" fontId="66" fillId="0" borderId="1" xfId="38" applyFont="1" applyFill="1" applyBorder="1" applyAlignment="1">
      <alignment horizontal="center" vertical="center" wrapText="1"/>
    </xf>
    <xf numFmtId="175" fontId="66" fillId="0" borderId="1" xfId="51" applyNumberFormat="1" applyFont="1" applyFill="1" applyBorder="1" applyAlignment="1">
      <alignment horizontal="center" vertical="center" wrapText="1"/>
    </xf>
    <xf numFmtId="180" fontId="99" fillId="0" borderId="0" xfId="38" applyFont="1" applyFill="1" applyAlignment="1">
      <alignment vertical="center" wrapText="1"/>
    </xf>
    <xf numFmtId="0" fontId="66" fillId="25" borderId="17" xfId="51" applyNumberFormat="1" applyFont="1" applyFill="1" applyBorder="1" applyAlignment="1">
      <alignment vertical="center"/>
    </xf>
    <xf numFmtId="180" fontId="66" fillId="25" borderId="1" xfId="47" applyNumberFormat="1" applyFont="1" applyFill="1" applyBorder="1" applyAlignment="1" applyProtection="1">
      <alignment vertical="center"/>
    </xf>
    <xf numFmtId="180" fontId="66" fillId="25" borderId="1" xfId="47" applyNumberFormat="1" applyFont="1" applyFill="1" applyBorder="1" applyAlignment="1" applyProtection="1">
      <alignment horizontal="center" vertical="center"/>
    </xf>
    <xf numFmtId="184" fontId="66" fillId="25" borderId="1" xfId="38" applyNumberFormat="1" applyFont="1" applyFill="1" applyBorder="1" applyAlignment="1">
      <alignment horizontal="left" vertical="center"/>
    </xf>
    <xf numFmtId="184" fontId="66" fillId="25" borderId="1" xfId="38" applyNumberFormat="1" applyFont="1" applyFill="1" applyBorder="1" applyAlignment="1">
      <alignment horizontal="center" vertical="center"/>
    </xf>
    <xf numFmtId="180" fontId="66" fillId="25" borderId="1" xfId="51" applyFont="1" applyFill="1" applyBorder="1" applyAlignment="1">
      <alignment horizontal="center" vertical="center"/>
    </xf>
    <xf numFmtId="184" fontId="66" fillId="25" borderId="1" xfId="51" applyNumberFormat="1" applyFont="1" applyFill="1" applyBorder="1" applyAlignment="1">
      <alignment horizontal="center" vertical="center" wrapText="1"/>
    </xf>
    <xf numFmtId="180" fontId="66" fillId="25" borderId="1" xfId="38" applyFont="1" applyFill="1" applyBorder="1" applyAlignment="1">
      <alignment horizontal="center" vertical="center" wrapText="1"/>
    </xf>
    <xf numFmtId="9" fontId="66" fillId="25" borderId="1" xfId="51" applyNumberFormat="1" applyFont="1" applyFill="1" applyBorder="1" applyAlignment="1">
      <alignment horizontal="center" vertical="center" wrapText="1"/>
    </xf>
    <xf numFmtId="184" fontId="66" fillId="25" borderId="23" xfId="38" applyNumberFormat="1" applyFont="1" applyFill="1" applyBorder="1" applyAlignment="1">
      <alignment horizontal="center" vertical="center" wrapText="1"/>
    </xf>
    <xf numFmtId="184" fontId="66" fillId="0" borderId="1" xfId="54" applyNumberFormat="1" applyFont="1" applyFill="1" applyBorder="1" applyAlignment="1">
      <alignment vertical="center"/>
    </xf>
    <xf numFmtId="184" fontId="66" fillId="0" borderId="1" xfId="54" applyNumberFormat="1" applyFont="1" applyFill="1" applyBorder="1" applyAlignment="1">
      <alignment horizontal="center" vertical="center"/>
    </xf>
    <xf numFmtId="182" fontId="66" fillId="21" borderId="1" xfId="51" applyNumberFormat="1" applyFont="1" applyFill="1" applyBorder="1" applyAlignment="1">
      <alignment horizontal="center" vertical="center" wrapText="1"/>
    </xf>
    <xf numFmtId="184" fontId="66" fillId="25" borderId="1" xfId="54" applyNumberFormat="1" applyFont="1" applyFill="1" applyBorder="1" applyAlignment="1">
      <alignment vertical="center"/>
    </xf>
    <xf numFmtId="184" fontId="66" fillId="25" borderId="1" xfId="54" applyNumberFormat="1" applyFont="1" applyFill="1" applyBorder="1" applyAlignment="1">
      <alignment horizontal="center" vertical="center"/>
    </xf>
    <xf numFmtId="167" fontId="66" fillId="25" borderId="1" xfId="51" applyNumberFormat="1" applyFont="1" applyFill="1" applyBorder="1" applyAlignment="1">
      <alignment horizontal="center" vertical="center" wrapText="1"/>
    </xf>
    <xf numFmtId="184" fontId="32" fillId="22" borderId="1" xfId="51" applyNumberFormat="1" applyFont="1" applyFill="1" applyBorder="1" applyAlignment="1">
      <alignment horizontal="center" vertical="center" wrapText="1"/>
    </xf>
    <xf numFmtId="180" fontId="32" fillId="0" borderId="1" xfId="51" applyFont="1" applyFill="1" applyBorder="1" applyAlignment="1">
      <alignment horizontal="center" vertical="center"/>
    </xf>
    <xf numFmtId="184" fontId="32" fillId="0" borderId="1" xfId="51" applyNumberFormat="1" applyFont="1" applyFill="1" applyBorder="1" applyAlignment="1">
      <alignment horizontal="center" vertical="center" wrapText="1"/>
    </xf>
    <xf numFmtId="194" fontId="32" fillId="22" borderId="1" xfId="51" applyNumberFormat="1" applyFont="1" applyFill="1" applyBorder="1" applyAlignment="1">
      <alignment horizontal="center" vertical="center" wrapText="1"/>
    </xf>
    <xf numFmtId="184" fontId="66" fillId="0" borderId="1" xfId="55" applyNumberFormat="1" applyFont="1" applyFill="1" applyBorder="1" applyAlignment="1">
      <alignment horizontal="center" vertical="center" wrapText="1"/>
    </xf>
    <xf numFmtId="180" fontId="12" fillId="0" borderId="0" xfId="38" applyFont="1" applyFill="1" applyAlignment="1">
      <alignment vertical="center" wrapText="1"/>
    </xf>
    <xf numFmtId="184" fontId="98" fillId="8" borderId="1" xfId="38" applyNumberFormat="1" applyFont="1" applyFill="1" applyBorder="1" applyAlignment="1">
      <alignment horizontal="center" vertical="center"/>
    </xf>
    <xf numFmtId="180" fontId="66" fillId="0" borderId="1" xfId="47" applyFont="1" applyFill="1" applyBorder="1" applyAlignment="1">
      <alignment vertical="center"/>
    </xf>
    <xf numFmtId="180" fontId="66" fillId="0" borderId="1" xfId="47" applyFont="1" applyFill="1" applyBorder="1" applyAlignment="1">
      <alignment horizontal="center" vertical="center"/>
    </xf>
    <xf numFmtId="180" fontId="19" fillId="25" borderId="1" xfId="47" applyFont="1" applyFill="1" applyBorder="1" applyAlignment="1">
      <alignment vertical="center"/>
    </xf>
    <xf numFmtId="180" fontId="66" fillId="25" borderId="1" xfId="47" applyFont="1" applyFill="1" applyBorder="1" applyAlignment="1">
      <alignment horizontal="center" vertical="center"/>
    </xf>
    <xf numFmtId="175" fontId="66" fillId="25" borderId="1" xfId="51" applyNumberFormat="1" applyFont="1" applyFill="1" applyBorder="1" applyAlignment="1">
      <alignment horizontal="center" vertical="center"/>
    </xf>
    <xf numFmtId="180" fontId="66" fillId="25" borderId="1" xfId="47" applyFont="1" applyFill="1" applyBorder="1" applyAlignment="1">
      <alignment vertical="center"/>
    </xf>
    <xf numFmtId="194" fontId="66" fillId="25" borderId="1" xfId="51" applyNumberFormat="1" applyFont="1" applyFill="1" applyBorder="1" applyAlignment="1">
      <alignment horizontal="center" vertical="center" wrapText="1"/>
    </xf>
    <xf numFmtId="184" fontId="98" fillId="0" borderId="23" xfId="38" applyNumberFormat="1" applyFont="1" applyFill="1" applyBorder="1" applyAlignment="1">
      <alignment horizontal="center" vertical="center" wrapText="1"/>
    </xf>
    <xf numFmtId="180" fontId="66" fillId="0" borderId="1" xfId="51" applyFont="1" applyFill="1" applyBorder="1" applyAlignment="1">
      <alignment horizontal="center" vertical="center" wrapText="1"/>
    </xf>
    <xf numFmtId="0" fontId="66" fillId="0" borderId="1" xfId="51" applyNumberFormat="1" applyFont="1" applyFill="1" applyBorder="1" applyAlignment="1">
      <alignment horizontal="left" vertical="center"/>
    </xf>
    <xf numFmtId="0" fontId="66" fillId="25" borderId="1" xfId="51" applyNumberFormat="1" applyFont="1" applyFill="1" applyBorder="1" applyAlignment="1">
      <alignment horizontal="left" vertical="center"/>
    </xf>
    <xf numFmtId="180" fontId="91" fillId="6" borderId="0" xfId="38" applyFont="1" applyFill="1" applyAlignment="1">
      <alignment vertical="center" wrapText="1"/>
    </xf>
    <xf numFmtId="184" fontId="98" fillId="10" borderId="1" xfId="38" applyNumberFormat="1" applyFont="1" applyFill="1" applyBorder="1" applyAlignment="1">
      <alignment horizontal="left" vertical="center"/>
    </xf>
    <xf numFmtId="184" fontId="98" fillId="10" borderId="1" xfId="38" applyNumberFormat="1" applyFont="1" applyFill="1" applyBorder="1" applyAlignment="1">
      <alignment horizontal="center" vertical="center"/>
    </xf>
    <xf numFmtId="167" fontId="98" fillId="10" borderId="1" xfId="51" applyNumberFormat="1" applyFont="1" applyFill="1" applyBorder="1" applyAlignment="1">
      <alignment horizontal="center" vertical="center" wrapText="1"/>
    </xf>
    <xf numFmtId="0" fontId="98" fillId="8" borderId="17" xfId="51" quotePrefix="1" applyNumberFormat="1" applyFont="1" applyFill="1" applyBorder="1" applyAlignment="1">
      <alignment vertical="center"/>
    </xf>
    <xf numFmtId="180" fontId="98" fillId="8" borderId="1" xfId="47" applyFont="1" applyFill="1" applyBorder="1" applyAlignment="1">
      <alignment vertical="center"/>
    </xf>
    <xf numFmtId="180" fontId="66" fillId="8" borderId="1" xfId="47" applyFont="1" applyFill="1" applyBorder="1" applyAlignment="1">
      <alignment horizontal="center" vertical="center"/>
    </xf>
    <xf numFmtId="180" fontId="66" fillId="8" borderId="1" xfId="51" applyFont="1" applyFill="1" applyBorder="1" applyAlignment="1">
      <alignment horizontal="left" vertical="center"/>
    </xf>
    <xf numFmtId="184" fontId="66" fillId="8" borderId="1" xfId="38" applyNumberFormat="1" applyFont="1" applyFill="1" applyBorder="1" applyAlignment="1">
      <alignment horizontal="center" vertical="center"/>
    </xf>
    <xf numFmtId="175" fontId="66" fillId="8" borderId="1" xfId="51" applyNumberFormat="1" applyFont="1" applyFill="1" applyBorder="1" applyAlignment="1">
      <alignment horizontal="center" vertical="center"/>
    </xf>
    <xf numFmtId="184" fontId="66" fillId="8" borderId="1" xfId="51" applyNumberFormat="1" applyFont="1" applyFill="1" applyBorder="1" applyAlignment="1">
      <alignment horizontal="center" vertical="center"/>
    </xf>
    <xf numFmtId="194" fontId="66" fillId="8" borderId="1" xfId="51" applyNumberFormat="1" applyFont="1" applyFill="1" applyBorder="1" applyAlignment="1">
      <alignment horizontal="center" vertical="center" wrapText="1"/>
    </xf>
    <xf numFmtId="167" fontId="66" fillId="8" borderId="1" xfId="51" applyNumberFormat="1" applyFont="1" applyFill="1" applyBorder="1" applyAlignment="1">
      <alignment horizontal="center" vertical="center" wrapText="1"/>
    </xf>
    <xf numFmtId="180" fontId="66" fillId="8" borderId="1" xfId="51" applyFont="1" applyFill="1" applyBorder="1" applyAlignment="1">
      <alignment horizontal="center" vertical="center"/>
    </xf>
    <xf numFmtId="9" fontId="98" fillId="8" borderId="1" xfId="41" applyFont="1" applyFill="1" applyBorder="1" applyAlignment="1">
      <alignment horizontal="center" vertical="center" wrapText="1"/>
    </xf>
    <xf numFmtId="175" fontId="98" fillId="8" borderId="1" xfId="51" applyNumberFormat="1" applyFont="1" applyFill="1" applyBorder="1" applyAlignment="1">
      <alignment horizontal="center" vertical="center" wrapText="1"/>
    </xf>
    <xf numFmtId="194" fontId="66" fillId="0" borderId="1" xfId="56" applyNumberFormat="1" applyFont="1" applyFill="1" applyBorder="1" applyAlignment="1">
      <alignment horizontal="center" vertical="center" wrapText="1"/>
    </xf>
    <xf numFmtId="194" fontId="66" fillId="0" borderId="1" xfId="51" applyNumberFormat="1" applyFont="1" applyFill="1" applyBorder="1" applyAlignment="1">
      <alignment vertical="center" wrapText="1"/>
    </xf>
    <xf numFmtId="194" fontId="66" fillId="22" borderId="1" xfId="56" applyNumberFormat="1" applyFont="1" applyFill="1" applyBorder="1" applyAlignment="1">
      <alignment horizontal="center" vertical="center" wrapText="1"/>
    </xf>
    <xf numFmtId="180" fontId="66" fillId="0" borderId="1" xfId="51" applyFont="1" applyFill="1" applyBorder="1" applyAlignment="1">
      <alignment vertical="center"/>
    </xf>
    <xf numFmtId="180" fontId="66" fillId="0" borderId="1" xfId="38" applyFont="1" applyFill="1" applyBorder="1" applyAlignment="1">
      <alignment vertical="center" wrapText="1"/>
    </xf>
    <xf numFmtId="194" fontId="66" fillId="22" borderId="1" xfId="51" applyNumberFormat="1" applyFont="1" applyFill="1" applyBorder="1" applyAlignment="1">
      <alignment vertical="center" wrapText="1"/>
    </xf>
    <xf numFmtId="194" fontId="66" fillId="0" borderId="1" xfId="51" applyNumberFormat="1" applyFont="1" applyFill="1" applyBorder="1" applyAlignment="1">
      <alignment horizontal="center" vertical="center"/>
    </xf>
    <xf numFmtId="194" fontId="66" fillId="22" borderId="1" xfId="51" applyNumberFormat="1" applyFont="1" applyFill="1" applyBorder="1" applyAlignment="1">
      <alignment horizontal="center" vertical="center"/>
    </xf>
    <xf numFmtId="184" fontId="66" fillId="0" borderId="1" xfId="38" applyNumberFormat="1" applyFont="1" applyFill="1" applyBorder="1" applyAlignment="1">
      <alignment horizontal="center" vertical="center" wrapText="1"/>
    </xf>
    <xf numFmtId="0" fontId="66" fillId="0" borderId="19" xfId="47" applyNumberFormat="1" applyFont="1" applyFill="1" applyBorder="1" applyAlignment="1">
      <alignment vertical="center"/>
    </xf>
    <xf numFmtId="0" fontId="66" fillId="0" borderId="20" xfId="47" applyNumberFormat="1" applyFont="1" applyFill="1" applyBorder="1" applyAlignment="1">
      <alignment horizontal="center" vertical="center"/>
    </xf>
    <xf numFmtId="180" fontId="66" fillId="0" borderId="20" xfId="47" applyFont="1" applyFill="1" applyBorder="1" applyAlignment="1">
      <alignment vertical="center"/>
    </xf>
    <xf numFmtId="180" fontId="66" fillId="0" borderId="20" xfId="47" applyFont="1" applyFill="1" applyBorder="1" applyAlignment="1">
      <alignment horizontal="center" vertical="center"/>
    </xf>
    <xf numFmtId="184" fontId="66" fillId="0" borderId="20" xfId="38" applyNumberFormat="1" applyFont="1" applyFill="1" applyBorder="1" applyAlignment="1">
      <alignment horizontal="left" vertical="center"/>
    </xf>
    <xf numFmtId="184" fontId="66" fillId="0" borderId="20" xfId="38" applyNumberFormat="1" applyFont="1" applyFill="1" applyBorder="1" applyAlignment="1">
      <alignment horizontal="center" vertical="center"/>
    </xf>
    <xf numFmtId="175" fontId="66" fillId="0" borderId="20" xfId="51" applyNumberFormat="1" applyFont="1" applyFill="1" applyBorder="1" applyAlignment="1">
      <alignment horizontal="center" vertical="center"/>
    </xf>
    <xf numFmtId="184" fontId="66" fillId="0" borderId="20" xfId="51" applyNumberFormat="1" applyFont="1" applyFill="1" applyBorder="1" applyAlignment="1">
      <alignment horizontal="center" vertical="center"/>
    </xf>
    <xf numFmtId="194" fontId="66" fillId="0" borderId="20" xfId="51" applyNumberFormat="1" applyFont="1" applyFill="1" applyBorder="1" applyAlignment="1">
      <alignment vertical="center" wrapText="1"/>
    </xf>
    <xf numFmtId="167" fontId="66" fillId="0" borderId="20" xfId="51" applyNumberFormat="1" applyFont="1" applyFill="1" applyBorder="1" applyAlignment="1">
      <alignment horizontal="center" vertical="center" wrapText="1"/>
    </xf>
    <xf numFmtId="180" fontId="66" fillId="0" borderId="20" xfId="51" applyFont="1" applyFill="1" applyBorder="1" applyAlignment="1">
      <alignment horizontal="center" vertical="center"/>
    </xf>
    <xf numFmtId="182" fontId="66" fillId="0" borderId="20" xfId="51" applyNumberFormat="1" applyFont="1" applyFill="1" applyBorder="1" applyAlignment="1">
      <alignment horizontal="center" vertical="center" wrapText="1"/>
    </xf>
    <xf numFmtId="184" fontId="32" fillId="0" borderId="20" xfId="51" applyNumberFormat="1" applyFont="1" applyFill="1" applyBorder="1" applyAlignment="1">
      <alignment horizontal="center" vertical="center" wrapText="1"/>
    </xf>
    <xf numFmtId="184" fontId="66" fillId="0" borderId="20" xfId="51" applyNumberFormat="1" applyFont="1" applyFill="1" applyBorder="1" applyAlignment="1">
      <alignment horizontal="center" vertical="center" wrapText="1"/>
    </xf>
    <xf numFmtId="9" fontId="66" fillId="0" borderId="20" xfId="41" applyFont="1" applyFill="1" applyBorder="1" applyAlignment="1">
      <alignment horizontal="center" vertical="center" wrapText="1"/>
    </xf>
    <xf numFmtId="184" fontId="66" fillId="0" borderId="20" xfId="38" applyNumberFormat="1" applyFont="1" applyFill="1" applyBorder="1" applyAlignment="1">
      <alignment horizontal="center" vertical="center" wrapText="1"/>
    </xf>
    <xf numFmtId="184" fontId="66" fillId="0" borderId="27" xfId="38" applyNumberFormat="1" applyFont="1" applyFill="1" applyBorder="1" applyAlignment="1">
      <alignment horizontal="center" vertical="center" wrapText="1"/>
    </xf>
    <xf numFmtId="0" fontId="66" fillId="6" borderId="15" xfId="38" applyNumberFormat="1" applyFont="1" applyFill="1" applyBorder="1" applyAlignment="1">
      <alignment horizontal="center" vertical="center" wrapText="1"/>
    </xf>
    <xf numFmtId="0" fontId="66" fillId="6" borderId="16" xfId="38" applyNumberFormat="1" applyFont="1" applyFill="1" applyBorder="1" applyAlignment="1">
      <alignment horizontal="center" vertical="center" wrapText="1"/>
    </xf>
    <xf numFmtId="0" fontId="66" fillId="6" borderId="24" xfId="38" applyNumberFormat="1" applyFont="1" applyFill="1" applyBorder="1" applyAlignment="1">
      <alignment horizontal="center" vertical="center" wrapText="1"/>
    </xf>
    <xf numFmtId="0" fontId="66" fillId="6" borderId="17" xfId="38" applyNumberFormat="1" applyFont="1" applyFill="1" applyBorder="1" applyAlignment="1">
      <alignment horizontal="center" vertical="center" wrapText="1"/>
    </xf>
    <xf numFmtId="2" fontId="66" fillId="6" borderId="1" xfId="38" applyNumberFormat="1" applyFont="1" applyFill="1" applyBorder="1" applyAlignment="1">
      <alignment horizontal="center" vertical="center" wrapText="1"/>
    </xf>
    <xf numFmtId="2" fontId="66" fillId="6" borderId="23" xfId="38" applyNumberFormat="1" applyFont="1" applyFill="1" applyBorder="1" applyAlignment="1">
      <alignment horizontal="center" vertical="center" wrapText="1"/>
    </xf>
    <xf numFmtId="186" fontId="66" fillId="6" borderId="1" xfId="41" applyNumberFormat="1" applyFont="1" applyFill="1" applyBorder="1" applyAlignment="1">
      <alignment horizontal="center" vertical="center" wrapText="1"/>
    </xf>
    <xf numFmtId="0" fontId="66" fillId="6" borderId="1" xfId="38" applyNumberFormat="1" applyFont="1" applyFill="1" applyBorder="1" applyAlignment="1">
      <alignment horizontal="center" vertical="center" wrapText="1"/>
    </xf>
    <xf numFmtId="0" fontId="66" fillId="6" borderId="23" xfId="38" applyNumberFormat="1" applyFont="1" applyFill="1" applyBorder="1" applyAlignment="1">
      <alignment horizontal="center" vertical="center" wrapText="1"/>
    </xf>
    <xf numFmtId="186" fontId="66" fillId="6" borderId="1" xfId="38" applyNumberFormat="1" applyFont="1" applyFill="1" applyBorder="1" applyAlignment="1">
      <alignment horizontal="center" vertical="center" wrapText="1"/>
    </xf>
    <xf numFmtId="184" fontId="66" fillId="6" borderId="1" xfId="38" applyNumberFormat="1" applyFont="1" applyFill="1" applyBorder="1" applyAlignment="1">
      <alignment horizontal="center" vertical="center" wrapText="1"/>
    </xf>
    <xf numFmtId="186" fontId="66" fillId="6" borderId="0" xfId="38" applyNumberFormat="1" applyFont="1" applyFill="1" applyAlignment="1">
      <alignment horizontal="center" vertical="center" wrapText="1"/>
    </xf>
    <xf numFmtId="180" fontId="66" fillId="6" borderId="19" xfId="38" applyFont="1" applyFill="1" applyBorder="1" applyAlignment="1">
      <alignment horizontal="center" vertical="center" wrapText="1"/>
    </xf>
    <xf numFmtId="184" fontId="66" fillId="6" borderId="20" xfId="38" applyNumberFormat="1" applyFont="1" applyFill="1" applyBorder="1" applyAlignment="1">
      <alignment horizontal="center" vertical="center" wrapText="1"/>
    </xf>
    <xf numFmtId="0" fontId="66" fillId="6" borderId="20" xfId="38" applyNumberFormat="1" applyFont="1" applyFill="1" applyBorder="1" applyAlignment="1">
      <alignment horizontal="center" vertical="center" wrapText="1"/>
    </xf>
    <xf numFmtId="184" fontId="66" fillId="6" borderId="27" xfId="38" applyNumberFormat="1" applyFont="1" applyFill="1" applyBorder="1" applyAlignment="1">
      <alignment horizontal="center" vertical="center" wrapText="1"/>
    </xf>
    <xf numFmtId="195" fontId="66" fillId="6" borderId="0" xfId="38" applyNumberFormat="1" applyFont="1" applyFill="1" applyAlignment="1">
      <alignment vertical="center" wrapText="1"/>
    </xf>
    <xf numFmtId="195" fontId="91" fillId="6" borderId="0" xfId="38" applyNumberFormat="1" applyFont="1" applyFill="1" applyAlignment="1">
      <alignment horizontal="center" vertical="center" wrapText="1"/>
    </xf>
    <xf numFmtId="195" fontId="66" fillId="0" borderId="0" xfId="38" applyNumberFormat="1" applyFont="1" applyFill="1" applyAlignment="1">
      <alignment vertical="center" wrapText="1"/>
    </xf>
    <xf numFmtId="195" fontId="98" fillId="6" borderId="0" xfId="38" applyNumberFormat="1" applyFont="1" applyFill="1" applyAlignment="1">
      <alignment horizontal="center" vertical="center"/>
    </xf>
    <xf numFmtId="195" fontId="66" fillId="6" borderId="0" xfId="38" applyNumberFormat="1" applyFont="1" applyFill="1" applyAlignment="1">
      <alignment horizontal="center" vertical="center"/>
    </xf>
    <xf numFmtId="195" fontId="66" fillId="6" borderId="0" xfId="38" applyNumberFormat="1" applyFont="1" applyFill="1" applyAlignment="1">
      <alignment vertical="center"/>
    </xf>
    <xf numFmtId="0" fontId="98" fillId="0" borderId="15" xfId="38" applyNumberFormat="1" applyFont="1" applyFill="1" applyBorder="1" applyAlignment="1">
      <alignment horizontal="left" vertical="center"/>
    </xf>
    <xf numFmtId="180" fontId="98" fillId="0" borderId="32" xfId="38" applyFont="1" applyFill="1" applyBorder="1" applyAlignment="1">
      <alignment horizontal="left" vertical="center"/>
    </xf>
    <xf numFmtId="180" fontId="98" fillId="0" borderId="31" xfId="38" applyFont="1" applyFill="1" applyBorder="1" applyAlignment="1">
      <alignment horizontal="left" vertical="center"/>
    </xf>
    <xf numFmtId="184" fontId="98" fillId="22" borderId="24" xfId="38" applyNumberFormat="1" applyFont="1" applyFill="1" applyBorder="1" applyAlignment="1">
      <alignment horizontal="center" vertical="center"/>
    </xf>
    <xf numFmtId="194" fontId="98" fillId="6" borderId="0" xfId="38" applyNumberFormat="1" applyFont="1" applyFill="1" applyBorder="1" applyAlignment="1">
      <alignment horizontal="center" vertical="center" wrapText="1"/>
    </xf>
    <xf numFmtId="184" fontId="98" fillId="0" borderId="3" xfId="38" applyNumberFormat="1" applyFont="1" applyFill="1" applyBorder="1" applyAlignment="1">
      <alignment horizontal="center" vertical="center"/>
    </xf>
    <xf numFmtId="184" fontId="98" fillId="0" borderId="2" xfId="38" applyNumberFormat="1" applyFont="1" applyFill="1" applyBorder="1" applyAlignment="1">
      <alignment horizontal="center" vertical="center"/>
    </xf>
    <xf numFmtId="180" fontId="98" fillId="0" borderId="38" xfId="38" applyFont="1" applyFill="1" applyBorder="1" applyAlignment="1">
      <alignment vertical="center" wrapText="1"/>
    </xf>
    <xf numFmtId="180" fontId="98" fillId="0" borderId="49" xfId="38" applyFont="1" applyFill="1" applyBorder="1" applyAlignment="1">
      <alignment vertical="center" wrapText="1"/>
    </xf>
    <xf numFmtId="184" fontId="98" fillId="0" borderId="27" xfId="38" applyNumberFormat="1" applyFont="1" applyFill="1" applyBorder="1" applyAlignment="1">
      <alignment horizontal="center" vertical="center" wrapText="1"/>
    </xf>
    <xf numFmtId="194" fontId="66" fillId="6" borderId="0" xfId="38" applyNumberFormat="1" applyFont="1" applyFill="1" applyBorder="1" applyAlignment="1">
      <alignment horizontal="center" vertical="center" wrapText="1"/>
    </xf>
    <xf numFmtId="180" fontId="66" fillId="6" borderId="0" xfId="38" applyFont="1" applyFill="1" applyBorder="1" applyAlignment="1">
      <alignment horizontal="left" vertical="center" wrapText="1"/>
    </xf>
    <xf numFmtId="194" fontId="19" fillId="22" borderId="1" xfId="51" applyNumberFormat="1" applyFont="1" applyFill="1" applyBorder="1" applyAlignment="1">
      <alignment horizontal="center" vertical="center" wrapText="1"/>
    </xf>
    <xf numFmtId="194" fontId="19" fillId="25" borderId="1" xfId="51" applyNumberFormat="1" applyFont="1" applyFill="1" applyBorder="1" applyAlignment="1">
      <alignment horizontal="center" vertical="center" wrapText="1"/>
    </xf>
    <xf numFmtId="194" fontId="32" fillId="22" borderId="1" xfId="56" applyNumberFormat="1" applyFont="1" applyFill="1" applyBorder="1" applyAlignment="1">
      <alignment horizontal="center" vertical="center" wrapText="1"/>
    </xf>
    <xf numFmtId="194" fontId="66" fillId="25" borderId="1" xfId="56" applyNumberFormat="1" applyFont="1" applyFill="1" applyBorder="1" applyAlignment="1">
      <alignment horizontal="center" vertical="center" wrapText="1"/>
    </xf>
    <xf numFmtId="186" fontId="66" fillId="0" borderId="1" xfId="51" applyNumberFormat="1" applyFont="1" applyFill="1" applyBorder="1" applyAlignment="1">
      <alignment horizontal="center" vertical="center" wrapText="1"/>
    </xf>
    <xf numFmtId="194" fontId="66" fillId="0" borderId="20" xfId="51" applyNumberFormat="1" applyFont="1" applyFill="1" applyBorder="1" applyAlignment="1">
      <alignment horizontal="center" vertical="center" wrapText="1"/>
    </xf>
    <xf numFmtId="180" fontId="66" fillId="6" borderId="0" xfId="38" applyNumberFormat="1" applyFont="1" applyFill="1" applyAlignment="1">
      <alignment vertical="center"/>
    </xf>
    <xf numFmtId="180" fontId="66" fillId="6" borderId="0" xfId="38" applyNumberFormat="1" applyFont="1" applyFill="1" applyAlignment="1">
      <alignment horizontal="center" vertical="center"/>
    </xf>
    <xf numFmtId="194" fontId="66" fillId="6" borderId="0" xfId="38" applyNumberFormat="1" applyFont="1" applyFill="1" applyAlignment="1">
      <alignment vertical="center" wrapText="1"/>
    </xf>
    <xf numFmtId="180" fontId="98" fillId="0" borderId="15" xfId="38" applyNumberFormat="1" applyFont="1" applyFill="1" applyBorder="1" applyAlignment="1">
      <alignment horizontal="center" vertical="center"/>
    </xf>
    <xf numFmtId="184" fontId="98" fillId="5" borderId="24" xfId="38" applyNumberFormat="1" applyFont="1" applyFill="1" applyBorder="1" applyAlignment="1">
      <alignment horizontal="center" vertical="center"/>
    </xf>
    <xf numFmtId="184" fontId="98" fillId="6" borderId="0" xfId="38" applyNumberFormat="1" applyFont="1" applyFill="1" applyBorder="1" applyAlignment="1">
      <alignment horizontal="center" vertical="center" wrapText="1"/>
    </xf>
    <xf numFmtId="184" fontId="98" fillId="5" borderId="23" xfId="38" applyNumberFormat="1" applyFont="1" applyFill="1" applyBorder="1" applyAlignment="1">
      <alignment horizontal="center" vertical="center" wrapText="1"/>
    </xf>
    <xf numFmtId="184" fontId="98" fillId="5" borderId="27" xfId="38" applyNumberFormat="1" applyFont="1" applyFill="1" applyBorder="1" applyAlignment="1">
      <alignment horizontal="center" vertical="center" wrapText="1"/>
    </xf>
    <xf numFmtId="184" fontId="66" fillId="6" borderId="0" xfId="38" applyNumberFormat="1" applyFont="1" applyFill="1" applyBorder="1" applyAlignment="1">
      <alignment horizontal="center" vertical="center" wrapText="1"/>
    </xf>
    <xf numFmtId="194" fontId="91" fillId="6" borderId="0" xfId="38" applyNumberFormat="1" applyFont="1" applyFill="1" applyAlignment="1">
      <alignment horizontal="center" vertical="center" wrapText="1"/>
    </xf>
    <xf numFmtId="180" fontId="98" fillId="10" borderId="17" xfId="38" applyNumberFormat="1" applyFont="1" applyFill="1" applyBorder="1" applyAlignment="1">
      <alignment vertical="center"/>
    </xf>
    <xf numFmtId="180" fontId="98" fillId="10" borderId="1" xfId="38" applyNumberFormat="1" applyFont="1" applyFill="1" applyBorder="1" applyAlignment="1">
      <alignment horizontal="center" vertical="center"/>
    </xf>
    <xf numFmtId="186" fontId="98" fillId="10" borderId="1" xfId="51" applyNumberFormat="1" applyFont="1" applyFill="1" applyBorder="1" applyAlignment="1">
      <alignment horizontal="center" vertical="center" wrapText="1"/>
    </xf>
    <xf numFmtId="180" fontId="98" fillId="8" borderId="17" xfId="51" applyNumberFormat="1" applyFont="1" applyFill="1" applyBorder="1" applyAlignment="1">
      <alignment vertical="center"/>
    </xf>
    <xf numFmtId="180" fontId="98" fillId="8" borderId="1" xfId="51" applyNumberFormat="1" applyFont="1" applyFill="1" applyBorder="1" applyAlignment="1">
      <alignment horizontal="center" vertical="center"/>
    </xf>
    <xf numFmtId="186" fontId="98" fillId="8" borderId="1" xfId="51" applyNumberFormat="1" applyFont="1" applyFill="1" applyBorder="1" applyAlignment="1">
      <alignment horizontal="center" vertical="center" wrapText="1"/>
    </xf>
    <xf numFmtId="180" fontId="66" fillId="0" borderId="17" xfId="38" applyNumberFormat="1" applyFont="1" applyFill="1" applyBorder="1" applyAlignment="1">
      <alignment vertical="center"/>
    </xf>
    <xf numFmtId="180" fontId="66" fillId="0" borderId="1" xfId="47" applyNumberFormat="1" applyFont="1" applyFill="1" applyBorder="1" applyAlignment="1">
      <alignment horizontal="center" vertical="center"/>
    </xf>
    <xf numFmtId="194" fontId="66" fillId="0" borderId="0" xfId="38" applyNumberFormat="1" applyFont="1" applyFill="1" applyAlignment="1">
      <alignment vertical="center" wrapText="1"/>
    </xf>
    <xf numFmtId="180" fontId="66" fillId="0" borderId="17" xfId="51" applyNumberFormat="1" applyFont="1" applyFill="1" applyBorder="1" applyAlignment="1">
      <alignment vertical="center"/>
    </xf>
    <xf numFmtId="180" fontId="66" fillId="0" borderId="1" xfId="51" applyNumberFormat="1" applyFont="1" applyFill="1" applyBorder="1" applyAlignment="1">
      <alignment horizontal="center" vertical="center"/>
    </xf>
    <xf numFmtId="180" fontId="66" fillId="25" borderId="17" xfId="51" applyNumberFormat="1" applyFont="1" applyFill="1" applyBorder="1" applyAlignment="1">
      <alignment vertical="center"/>
    </xf>
    <xf numFmtId="180" fontId="66" fillId="25" borderId="1" xfId="51" applyNumberFormat="1" applyFont="1" applyFill="1" applyBorder="1" applyAlignment="1">
      <alignment horizontal="center" vertical="center"/>
    </xf>
    <xf numFmtId="186" fontId="66" fillId="25" borderId="1" xfId="51" applyNumberFormat="1" applyFont="1" applyFill="1" applyBorder="1" applyAlignment="1">
      <alignment horizontal="center" vertical="center" wrapText="1"/>
    </xf>
    <xf numFmtId="186" fontId="32" fillId="0" borderId="1" xfId="51" applyNumberFormat="1" applyFont="1" applyFill="1" applyBorder="1" applyAlignment="1">
      <alignment horizontal="center" vertical="center" wrapText="1"/>
    </xf>
    <xf numFmtId="184" fontId="66" fillId="5" borderId="1" xfId="51" applyNumberFormat="1" applyFont="1" applyFill="1" applyBorder="1" applyAlignment="1">
      <alignment horizontal="center" vertical="center" wrapText="1"/>
    </xf>
    <xf numFmtId="184" fontId="32" fillId="25" borderId="1" xfId="51" applyNumberFormat="1" applyFont="1" applyFill="1" applyBorder="1" applyAlignment="1">
      <alignment horizontal="center" vertical="center" wrapText="1"/>
    </xf>
    <xf numFmtId="180" fontId="66" fillId="0" borderId="1" xfId="51" applyNumberFormat="1" applyFont="1" applyFill="1" applyBorder="1" applyAlignment="1">
      <alignment horizontal="left" vertical="center"/>
    </xf>
    <xf numFmtId="180" fontId="66" fillId="25" borderId="1" xfId="51" applyNumberFormat="1" applyFont="1" applyFill="1" applyBorder="1" applyAlignment="1">
      <alignment horizontal="left" vertical="center"/>
    </xf>
    <xf numFmtId="180" fontId="98" fillId="10" borderId="17" xfId="38" applyNumberFormat="1" applyFont="1" applyFill="1" applyBorder="1" applyAlignment="1">
      <alignment horizontal="left" vertical="center"/>
    </xf>
    <xf numFmtId="180" fontId="98" fillId="8" borderId="17" xfId="51" quotePrefix="1" applyNumberFormat="1" applyFont="1" applyFill="1" applyBorder="1" applyAlignment="1">
      <alignment vertical="center"/>
    </xf>
    <xf numFmtId="180" fontId="66" fillId="0" borderId="17" xfId="47" applyNumberFormat="1" applyFont="1" applyFill="1" applyBorder="1" applyAlignment="1">
      <alignment vertical="center"/>
    </xf>
    <xf numFmtId="180" fontId="66" fillId="0" borderId="1" xfId="47" applyNumberFormat="1" applyFont="1" applyFill="1" applyBorder="1" applyAlignment="1">
      <alignment horizontal="left" vertical="center"/>
    </xf>
    <xf numFmtId="186" fontId="66" fillId="8" borderId="1" xfId="51" applyNumberFormat="1" applyFont="1" applyFill="1" applyBorder="1" applyAlignment="1">
      <alignment horizontal="center" vertical="center" wrapText="1"/>
    </xf>
    <xf numFmtId="186" fontId="66" fillId="0" borderId="1" xfId="56" applyNumberFormat="1" applyFont="1" applyFill="1" applyBorder="1" applyAlignment="1">
      <alignment horizontal="center" vertical="center" wrapText="1"/>
    </xf>
    <xf numFmtId="186" fontId="66" fillId="25" borderId="1" xfId="56" applyNumberFormat="1" applyFont="1" applyFill="1" applyBorder="1" applyAlignment="1">
      <alignment horizontal="center" vertical="center" wrapText="1"/>
    </xf>
    <xf numFmtId="186" fontId="32" fillId="25" borderId="1" xfId="56" applyNumberFormat="1" applyFont="1" applyFill="1" applyBorder="1" applyAlignment="1">
      <alignment horizontal="center" vertical="center" wrapText="1"/>
    </xf>
    <xf numFmtId="186" fontId="32" fillId="0" borderId="1" xfId="56" applyNumberFormat="1" applyFont="1" applyFill="1" applyBorder="1" applyAlignment="1">
      <alignment horizontal="center" vertical="center" wrapText="1"/>
    </xf>
    <xf numFmtId="186" fontId="66" fillId="0" borderId="1" xfId="51" applyNumberFormat="1" applyFont="1" applyFill="1" applyBorder="1" applyAlignment="1">
      <alignment vertical="center" wrapText="1"/>
    </xf>
    <xf numFmtId="186" fontId="66" fillId="0" borderId="1" xfId="51" applyNumberFormat="1" applyFont="1" applyFill="1" applyBorder="1" applyAlignment="1">
      <alignment horizontal="center" vertical="center"/>
    </xf>
    <xf numFmtId="186" fontId="32" fillId="0" borderId="1" xfId="51" applyNumberFormat="1" applyFont="1" applyFill="1" applyBorder="1" applyAlignment="1">
      <alignment horizontal="center" vertical="center"/>
    </xf>
    <xf numFmtId="180" fontId="66" fillId="0" borderId="19" xfId="47" applyNumberFormat="1" applyFont="1" applyFill="1" applyBorder="1" applyAlignment="1">
      <alignment vertical="center"/>
    </xf>
    <xf numFmtId="180" fontId="66" fillId="0" borderId="20" xfId="47" applyNumberFormat="1" applyFont="1" applyFill="1" applyBorder="1" applyAlignment="1">
      <alignment horizontal="center" vertical="center"/>
    </xf>
    <xf numFmtId="186" fontId="66" fillId="0" borderId="20" xfId="51" applyNumberFormat="1" applyFont="1" applyFill="1" applyBorder="1" applyAlignment="1">
      <alignment vertical="center" wrapText="1"/>
    </xf>
    <xf numFmtId="184" fontId="98" fillId="22" borderId="23" xfId="38" applyNumberFormat="1" applyFont="1" applyFill="1" applyBorder="1" applyAlignment="1">
      <alignment horizontal="center" vertical="center" wrapText="1"/>
    </xf>
    <xf numFmtId="184" fontId="98" fillId="22" borderId="27" xfId="38" applyNumberFormat="1" applyFont="1" applyFill="1" applyBorder="1" applyAlignment="1">
      <alignment horizontal="center" vertical="center" wrapText="1"/>
    </xf>
    <xf numFmtId="186" fontId="66" fillId="22" borderId="1" xfId="51" applyNumberFormat="1" applyFont="1" applyFill="1" applyBorder="1" applyAlignment="1">
      <alignment horizontal="center" vertical="center" wrapText="1"/>
    </xf>
    <xf numFmtId="186" fontId="66" fillId="22" borderId="1" xfId="56" applyNumberFormat="1" applyFont="1" applyFill="1" applyBorder="1" applyAlignment="1">
      <alignment horizontal="center" vertical="center" wrapText="1"/>
    </xf>
    <xf numFmtId="186" fontId="66" fillId="22" borderId="1" xfId="51" applyNumberFormat="1" applyFont="1" applyFill="1" applyBorder="1" applyAlignment="1">
      <alignment horizontal="center" vertical="center"/>
    </xf>
    <xf numFmtId="186" fontId="66" fillId="0" borderId="20" xfId="51" applyNumberFormat="1" applyFont="1" applyFill="1" applyBorder="1" applyAlignment="1">
      <alignment horizontal="center" vertical="center" wrapText="1"/>
    </xf>
    <xf numFmtId="184" fontId="98" fillId="5" borderId="16" xfId="38" applyNumberFormat="1" applyFont="1" applyFill="1" applyBorder="1" applyAlignment="1">
      <alignment horizontal="center" vertical="center"/>
    </xf>
    <xf numFmtId="184" fontId="98" fillId="6" borderId="16" xfId="38" applyNumberFormat="1" applyFont="1" applyFill="1" applyBorder="1" applyAlignment="1">
      <alignment horizontal="left" vertical="center" wrapText="1"/>
    </xf>
    <xf numFmtId="9" fontId="98" fillId="6" borderId="16" xfId="57" applyFont="1" applyFill="1" applyBorder="1" applyAlignment="1">
      <alignment horizontal="left" vertical="center" wrapText="1"/>
    </xf>
    <xf numFmtId="9" fontId="98" fillId="6" borderId="16" xfId="57" applyFont="1" applyFill="1" applyBorder="1" applyAlignment="1">
      <alignment vertical="center" wrapText="1"/>
    </xf>
    <xf numFmtId="9" fontId="98" fillId="6" borderId="24" xfId="57" applyFont="1" applyFill="1" applyBorder="1" applyAlignment="1">
      <alignment vertical="center" wrapText="1"/>
    </xf>
    <xf numFmtId="9" fontId="98" fillId="6" borderId="0" xfId="57" applyFont="1" applyFill="1" applyBorder="1" applyAlignment="1">
      <alignment vertical="center" wrapText="1"/>
    </xf>
    <xf numFmtId="180" fontId="66" fillId="6" borderId="0" xfId="38" applyFont="1" applyFill="1" applyBorder="1" applyAlignment="1">
      <alignment vertical="center" wrapText="1"/>
    </xf>
    <xf numFmtId="184" fontId="98" fillId="5" borderId="1" xfId="38" applyNumberFormat="1" applyFont="1" applyFill="1" applyBorder="1" applyAlignment="1">
      <alignment horizontal="center" vertical="center" wrapText="1"/>
    </xf>
    <xf numFmtId="184" fontId="98" fillId="6" borderId="1" xfId="38" applyNumberFormat="1" applyFont="1" applyFill="1" applyBorder="1" applyAlignment="1">
      <alignment horizontal="left" vertical="center" wrapText="1"/>
    </xf>
    <xf numFmtId="9" fontId="98" fillId="6" borderId="1" xfId="57" applyFont="1" applyFill="1" applyBorder="1" applyAlignment="1">
      <alignment horizontal="left" vertical="center" wrapText="1"/>
    </xf>
    <xf numFmtId="9" fontId="98" fillId="6" borderId="1" xfId="57" applyFont="1" applyFill="1" applyBorder="1" applyAlignment="1">
      <alignment vertical="center" wrapText="1"/>
    </xf>
    <xf numFmtId="9" fontId="98" fillId="6" borderId="23" xfId="57" applyFont="1" applyFill="1" applyBorder="1" applyAlignment="1">
      <alignment vertical="center" wrapText="1"/>
    </xf>
    <xf numFmtId="184" fontId="98" fillId="5" borderId="1" xfId="38" applyNumberFormat="1" applyFont="1" applyFill="1" applyBorder="1" applyAlignment="1">
      <alignment horizontal="center" vertical="center"/>
    </xf>
    <xf numFmtId="184" fontId="98" fillId="6" borderId="1" xfId="38" applyNumberFormat="1" applyFont="1" applyFill="1" applyBorder="1" applyAlignment="1">
      <alignment vertical="center" wrapText="1"/>
    </xf>
    <xf numFmtId="184" fontId="98" fillId="5" borderId="20" xfId="38" applyNumberFormat="1" applyFont="1" applyFill="1" applyBorder="1" applyAlignment="1">
      <alignment horizontal="center" vertical="center"/>
    </xf>
    <xf numFmtId="184" fontId="98" fillId="5" borderId="20" xfId="38" applyNumberFormat="1" applyFont="1" applyFill="1" applyBorder="1" applyAlignment="1">
      <alignment horizontal="center" vertical="center" wrapText="1"/>
    </xf>
    <xf numFmtId="184" fontId="98" fillId="6" borderId="20" xfId="38" applyNumberFormat="1" applyFont="1" applyFill="1" applyBorder="1" applyAlignment="1">
      <alignment vertical="center" wrapText="1"/>
    </xf>
    <xf numFmtId="186" fontId="66" fillId="20" borderId="1" xfId="51" applyNumberFormat="1" applyFont="1" applyFill="1" applyBorder="1" applyAlignment="1">
      <alignment horizontal="center" vertical="center" wrapText="1"/>
    </xf>
    <xf numFmtId="184" fontId="66" fillId="20" borderId="1" xfId="51" applyNumberFormat="1" applyFont="1" applyFill="1" applyBorder="1" applyAlignment="1">
      <alignment horizontal="center" vertical="center" wrapText="1"/>
    </xf>
    <xf numFmtId="9" fontId="98" fillId="8" borderId="1" xfId="57" applyFont="1" applyFill="1" applyBorder="1" applyAlignment="1">
      <alignment horizontal="center" vertical="center" wrapText="1"/>
    </xf>
    <xf numFmtId="186" fontId="66" fillId="20" borderId="1" xfId="56" applyNumberFormat="1" applyFont="1" applyFill="1" applyBorder="1" applyAlignment="1">
      <alignment horizontal="center" vertical="center" wrapText="1"/>
    </xf>
    <xf numFmtId="184" fontId="46" fillId="29" borderId="1" xfId="52" applyNumberFormat="1" applyFont="1" applyFill="1" applyBorder="1" applyAlignment="1">
      <alignment horizontal="center" vertical="center" wrapText="1"/>
    </xf>
    <xf numFmtId="9" fontId="66" fillId="0" borderId="1" xfId="57" applyFont="1" applyFill="1" applyBorder="1" applyAlignment="1">
      <alignment horizontal="center" vertical="center" wrapText="1"/>
    </xf>
    <xf numFmtId="9" fontId="66" fillId="0" borderId="20" xfId="57" applyFont="1" applyFill="1" applyBorder="1" applyAlignment="1">
      <alignment horizontal="center" vertical="center" wrapText="1"/>
    </xf>
    <xf numFmtId="184" fontId="98" fillId="0" borderId="24" xfId="38" applyNumberFormat="1" applyFont="1" applyFill="1" applyBorder="1" applyAlignment="1">
      <alignment horizontal="center" vertical="center"/>
    </xf>
    <xf numFmtId="186" fontId="66" fillId="0" borderId="1" xfId="56" applyNumberFormat="1" applyFont="1" applyFill="1" applyBorder="1" applyAlignment="1">
      <alignment vertical="center" wrapText="1"/>
    </xf>
    <xf numFmtId="186" fontId="32" fillId="0" borderId="1" xfId="51" applyNumberFormat="1" applyFont="1" applyFill="1" applyBorder="1" applyAlignment="1">
      <alignment vertical="center" wrapText="1"/>
    </xf>
    <xf numFmtId="184" fontId="66" fillId="30" borderId="1" xfId="51" applyNumberFormat="1" applyFont="1" applyFill="1" applyBorder="1" applyAlignment="1">
      <alignment horizontal="center" vertical="center" wrapText="1"/>
    </xf>
    <xf numFmtId="194" fontId="32" fillId="0" borderId="1" xfId="51" applyNumberFormat="1" applyFont="1" applyFill="1" applyBorder="1" applyAlignment="1">
      <alignment horizontal="center" vertical="center" wrapText="1"/>
    </xf>
    <xf numFmtId="194" fontId="32" fillId="25" borderId="1" xfId="56" applyNumberFormat="1" applyFont="1" applyFill="1" applyBorder="1" applyAlignment="1">
      <alignment horizontal="center" vertical="center" wrapText="1"/>
    </xf>
    <xf numFmtId="194" fontId="66" fillId="5" borderId="1" xfId="56" applyNumberFormat="1" applyFont="1" applyFill="1" applyBorder="1" applyAlignment="1">
      <alignment horizontal="center" vertical="center" wrapText="1"/>
    </xf>
    <xf numFmtId="10" fontId="55" fillId="0" borderId="0" xfId="5" applyNumberFormat="1">
      <protection locked="0"/>
    </xf>
    <xf numFmtId="166" fontId="18" fillId="0" borderId="1" xfId="2" applyNumberFormat="1" applyFont="1" applyFill="1" applyBorder="1" applyAlignment="1" applyProtection="1"/>
    <xf numFmtId="170" fontId="55" fillId="0" borderId="0" xfId="5" applyNumberFormat="1">
      <protection locked="0"/>
    </xf>
    <xf numFmtId="184" fontId="66" fillId="0" borderId="1" xfId="0" applyNumberFormat="1" applyFont="1" applyFill="1" applyBorder="1" applyAlignment="1">
      <alignment horizontal="center" vertical="center" wrapText="1"/>
    </xf>
    <xf numFmtId="167" fontId="66" fillId="22" borderId="10" xfId="0" applyNumberFormat="1" applyFont="1" applyFill="1" applyBorder="1" applyAlignment="1">
      <alignment horizontal="center" vertical="center" wrapText="1"/>
    </xf>
    <xf numFmtId="194" fontId="66" fillId="22" borderId="3" xfId="0" applyNumberFormat="1" applyFont="1" applyFill="1" applyBorder="1" applyAlignment="1">
      <alignment horizontal="right" vertical="center" wrapText="1"/>
    </xf>
    <xf numFmtId="167" fontId="19" fillId="22" borderId="1" xfId="0" applyNumberFormat="1" applyFont="1" applyFill="1" applyBorder="1" applyAlignment="1">
      <alignment horizontal="center" vertical="center" wrapText="1"/>
    </xf>
    <xf numFmtId="9" fontId="19" fillId="0" borderId="47" xfId="57" applyFont="1" applyFill="1" applyBorder="1" applyAlignment="1">
      <alignment horizontal="center" vertical="center"/>
    </xf>
    <xf numFmtId="167" fontId="19" fillId="22" borderId="10" xfId="0" applyNumberFormat="1" applyFont="1" applyFill="1" applyBorder="1" applyAlignment="1">
      <alignment horizontal="center" vertical="center" wrapText="1"/>
    </xf>
    <xf numFmtId="194" fontId="19" fillId="22" borderId="3" xfId="0" applyNumberFormat="1" applyFont="1" applyFill="1" applyBorder="1" applyAlignment="1">
      <alignment horizontal="right" vertical="center" wrapText="1"/>
    </xf>
    <xf numFmtId="167" fontId="19" fillId="0" borderId="10" xfId="0" applyNumberFormat="1" applyFont="1" applyFill="1" applyBorder="1" applyAlignment="1">
      <alignment horizontal="center" vertical="center" wrapText="1"/>
    </xf>
    <xf numFmtId="194" fontId="19" fillId="0" borderId="3" xfId="0" applyNumberFormat="1" applyFont="1" applyFill="1" applyBorder="1" applyAlignment="1">
      <alignment horizontal="right" vertical="center" wrapText="1"/>
    </xf>
    <xf numFmtId="184" fontId="32" fillId="0" borderId="1" xfId="0" applyNumberFormat="1" applyFont="1" applyFill="1" applyBorder="1" applyAlignment="1">
      <alignment horizontal="center" vertical="center" wrapText="1"/>
    </xf>
    <xf numFmtId="194" fontId="19" fillId="0" borderId="1" xfId="0" applyNumberFormat="1" applyFont="1" applyFill="1" applyBorder="1" applyAlignment="1">
      <alignment horizontal="right" vertical="center" wrapText="1"/>
    </xf>
    <xf numFmtId="167" fontId="32" fillId="0" borderId="1" xfId="0" applyNumberFormat="1" applyFont="1" applyFill="1" applyBorder="1" applyAlignment="1">
      <alignment horizontal="center" vertical="center" wrapText="1"/>
    </xf>
    <xf numFmtId="167" fontId="66" fillId="0" borderId="1" xfId="0" applyNumberFormat="1" applyFont="1" applyFill="1" applyBorder="1" applyAlignment="1">
      <alignment horizontal="center" vertical="center" wrapText="1"/>
    </xf>
    <xf numFmtId="194" fontId="66" fillId="0" borderId="1" xfId="0" applyNumberFormat="1" applyFont="1" applyFill="1" applyBorder="1" applyAlignment="1">
      <alignment horizontal="right" vertical="center" wrapText="1"/>
    </xf>
    <xf numFmtId="9" fontId="36" fillId="0" borderId="1" xfId="57" applyFont="1" applyFill="1" applyBorder="1" applyAlignment="1">
      <alignment horizontal="center" vertical="center" wrapText="1"/>
    </xf>
    <xf numFmtId="194" fontId="66" fillId="0" borderId="3" xfId="0" applyNumberFormat="1" applyFont="1" applyFill="1" applyBorder="1" applyAlignment="1">
      <alignment horizontal="right" vertical="center" wrapText="1"/>
    </xf>
    <xf numFmtId="184" fontId="79" fillId="0" borderId="1" xfId="0" applyNumberFormat="1" applyFont="1" applyFill="1" applyBorder="1" applyAlignment="1">
      <alignment horizontal="center" vertical="center" wrapText="1"/>
    </xf>
    <xf numFmtId="10" fontId="19" fillId="0" borderId="1" xfId="57" applyNumberFormat="1" applyFont="1" applyFill="1" applyBorder="1" applyAlignment="1">
      <alignment horizontal="center" vertical="center"/>
    </xf>
    <xf numFmtId="9" fontId="19" fillId="6" borderId="0" xfId="57" applyFont="1" applyFill="1" applyAlignment="1"/>
    <xf numFmtId="199" fontId="19" fillId="6" borderId="0" xfId="38" applyNumberFormat="1" applyFont="1" applyFill="1"/>
    <xf numFmtId="165" fontId="3" fillId="0" borderId="0" xfId="0" applyNumberFormat="1" applyFont="1" applyFill="1" applyAlignment="1">
      <alignment horizontal="center"/>
    </xf>
    <xf numFmtId="166" fontId="55" fillId="21" borderId="0" xfId="2" applyNumberFormat="1" applyFill="1">
      <protection locked="0"/>
    </xf>
    <xf numFmtId="186" fontId="55" fillId="0" borderId="0" xfId="5" applyNumberFormat="1">
      <protection locked="0"/>
    </xf>
    <xf numFmtId="182" fontId="19" fillId="0" borderId="1" xfId="38" applyNumberFormat="1" applyFont="1" applyFill="1" applyBorder="1" applyAlignment="1">
      <alignment horizontal="center" vertical="center" wrapText="1"/>
    </xf>
    <xf numFmtId="10" fontId="19" fillId="0" borderId="5" xfId="38" applyNumberFormat="1" applyFont="1" applyFill="1" applyBorder="1" applyAlignment="1">
      <alignment horizontal="center" vertical="center" wrapText="1"/>
    </xf>
    <xf numFmtId="180" fontId="19" fillId="4" borderId="1" xfId="38" applyFont="1" applyFill="1" applyBorder="1" applyAlignment="1">
      <alignment horizontal="center" vertical="center"/>
    </xf>
    <xf numFmtId="180" fontId="34" fillId="10" borderId="16" xfId="38" applyFont="1" applyFill="1" applyBorder="1" applyAlignment="1">
      <alignment horizontal="center" vertical="center" wrapText="1"/>
    </xf>
    <xf numFmtId="180" fontId="19" fillId="4" borderId="5" xfId="38" applyFont="1" applyFill="1" applyBorder="1" applyAlignment="1">
      <alignment horizontal="center" vertical="center"/>
    </xf>
    <xf numFmtId="182" fontId="19" fillId="22" borderId="20" xfId="38" applyNumberFormat="1" applyFont="1" applyFill="1" applyBorder="1" applyAlignment="1">
      <alignment horizontal="center" vertical="center"/>
    </xf>
    <xf numFmtId="180" fontId="19" fillId="22" borderId="20" xfId="38" applyFont="1" applyFill="1" applyBorder="1" applyAlignment="1">
      <alignment horizontal="center" vertical="center"/>
    </xf>
    <xf numFmtId="180" fontId="19" fillId="6" borderId="0" xfId="38" applyFont="1" applyFill="1" applyBorder="1" applyAlignment="1">
      <alignment horizontal="center" vertical="center"/>
    </xf>
    <xf numFmtId="182" fontId="36" fillId="0" borderId="5" xfId="38" applyNumberFormat="1" applyFont="1" applyFill="1" applyBorder="1" applyAlignment="1">
      <alignment horizontal="center" vertical="center" wrapText="1"/>
    </xf>
    <xf numFmtId="182" fontId="36" fillId="0" borderId="13" xfId="38" applyNumberFormat="1" applyFont="1" applyFill="1" applyBorder="1" applyAlignment="1">
      <alignment horizontal="center" vertical="center" wrapText="1"/>
    </xf>
    <xf numFmtId="182" fontId="36" fillId="0" borderId="47" xfId="38" applyNumberFormat="1" applyFont="1" applyFill="1" applyBorder="1" applyAlignment="1">
      <alignment horizontal="center" vertical="center" wrapText="1"/>
    </xf>
    <xf numFmtId="182" fontId="19" fillId="8" borderId="5" xfId="38" applyNumberFormat="1" applyFont="1" applyFill="1" applyBorder="1" applyAlignment="1">
      <alignment horizontal="center" vertical="center" wrapText="1"/>
    </xf>
    <xf numFmtId="182" fontId="36" fillId="0" borderId="5" xfId="38" applyNumberFormat="1" applyFont="1" applyFill="1" applyBorder="1" applyAlignment="1">
      <alignment horizontal="left" vertical="center" wrapText="1"/>
    </xf>
    <xf numFmtId="182" fontId="36" fillId="0" borderId="13" xfId="38" applyNumberFormat="1" applyFont="1" applyFill="1" applyBorder="1" applyAlignment="1">
      <alignment horizontal="left" vertical="center" wrapText="1"/>
    </xf>
    <xf numFmtId="167" fontId="80" fillId="31" borderId="1" xfId="38" applyNumberFormat="1" applyFont="1" applyFill="1" applyBorder="1" applyAlignment="1">
      <alignment horizontal="center" vertical="center" wrapText="1"/>
    </xf>
    <xf numFmtId="166" fontId="4" fillId="2" borderId="1" xfId="13" applyNumberFormat="1" applyFont="1" applyFill="1" applyBorder="1" applyAlignment="1" applyProtection="1">
      <alignment horizontal="right"/>
    </xf>
    <xf numFmtId="0" fontId="1" fillId="0" borderId="0" xfId="0" applyFont="1">
      <alignment vertical="center"/>
    </xf>
    <xf numFmtId="0" fontId="4" fillId="2" borderId="1" xfId="13" applyNumberFormat="1" applyFont="1" applyFill="1" applyBorder="1" applyAlignment="1" applyProtection="1">
      <alignment horizontal="right"/>
    </xf>
    <xf numFmtId="165" fontId="4" fillId="2" borderId="1" xfId="13" applyNumberFormat="1" applyFont="1" applyFill="1" applyBorder="1" applyAlignment="1" applyProtection="1">
      <alignment horizontal="right"/>
    </xf>
    <xf numFmtId="165" fontId="73" fillId="0" borderId="0" xfId="2" applyFont="1" applyAlignment="1" applyProtection="1"/>
    <xf numFmtId="186" fontId="3" fillId="6" borderId="0" xfId="6" applyNumberFormat="1" applyFont="1" applyFill="1" applyAlignment="1" applyProtection="1"/>
    <xf numFmtId="1" fontId="3" fillId="6" borderId="0" xfId="6" applyNumberFormat="1" applyFont="1" applyFill="1" applyAlignment="1" applyProtection="1"/>
    <xf numFmtId="184" fontId="3" fillId="6" borderId="0" xfId="6" applyNumberFormat="1" applyFont="1" applyFill="1" applyAlignment="1" applyProtection="1"/>
    <xf numFmtId="175" fontId="19" fillId="6" borderId="0" xfId="38" applyNumberFormat="1" applyFont="1" applyFill="1"/>
    <xf numFmtId="200" fontId="4" fillId="2" borderId="1" xfId="13" applyNumberFormat="1" applyFont="1" applyFill="1" applyBorder="1" applyAlignment="1" applyProtection="1">
      <alignment horizontal="right"/>
    </xf>
    <xf numFmtId="3" fontId="5" fillId="12" borderId="1" xfId="15" applyNumberFormat="1" applyFont="1" applyFill="1" applyBorder="1" applyAlignment="1" applyProtection="1">
      <alignment horizontal="center"/>
    </xf>
    <xf numFmtId="172" fontId="6" fillId="32" borderId="1" xfId="12" applyFont="1" applyFill="1" applyBorder="1" applyAlignment="1" applyProtection="1">
      <alignment vertical="center"/>
    </xf>
    <xf numFmtId="172" fontId="4" fillId="32" borderId="1" xfId="12" applyNumberFormat="1" applyFont="1" applyFill="1" applyBorder="1" applyAlignment="1" applyProtection="1">
      <alignment horizontal="center" vertical="center"/>
    </xf>
    <xf numFmtId="172" fontId="4" fillId="32" borderId="1" xfId="12" applyFont="1" applyFill="1" applyBorder="1" applyAlignment="1" applyProtection="1">
      <alignment horizontal="center" vertical="center"/>
    </xf>
    <xf numFmtId="3" fontId="3" fillId="6" borderId="0" xfId="6" applyNumberFormat="1" applyFont="1" applyFill="1" applyAlignment="1" applyProtection="1"/>
    <xf numFmtId="10" fontId="3" fillId="18" borderId="1" xfId="5" applyNumberFormat="1" applyFont="1" applyFill="1" applyBorder="1" applyAlignment="1" applyProtection="1">
      <alignment horizontal="center" vertical="center"/>
    </xf>
    <xf numFmtId="0" fontId="2" fillId="2" borderId="0" xfId="0" applyFont="1" applyFill="1" applyAlignment="1">
      <alignment horizontal="center"/>
    </xf>
    <xf numFmtId="0" fontId="3" fillId="6" borderId="2" xfId="6" applyFont="1" applyFill="1" applyBorder="1" applyAlignment="1" applyProtection="1">
      <alignment horizontal="center" vertical="center"/>
    </xf>
    <xf numFmtId="0" fontId="3" fillId="6" borderId="4" xfId="6" applyFont="1" applyFill="1" applyBorder="1" applyAlignment="1" applyProtection="1">
      <alignment horizontal="center" vertical="center"/>
    </xf>
    <xf numFmtId="0" fontId="3" fillId="6" borderId="3" xfId="6" applyFont="1" applyFill="1" applyBorder="1" applyAlignment="1" applyProtection="1">
      <alignment horizontal="center" vertical="center"/>
    </xf>
    <xf numFmtId="0" fontId="4" fillId="6" borderId="2" xfId="6" applyFont="1" applyFill="1" applyBorder="1" applyAlignment="1" applyProtection="1">
      <alignment horizontal="center" vertical="center"/>
    </xf>
    <xf numFmtId="0" fontId="4" fillId="6" borderId="4" xfId="6" applyFont="1" applyFill="1" applyBorder="1" applyAlignment="1" applyProtection="1">
      <alignment horizontal="center" vertical="center"/>
    </xf>
    <xf numFmtId="0" fontId="4" fillId="6" borderId="3" xfId="6" applyFont="1" applyFill="1" applyBorder="1" applyAlignment="1" applyProtection="1">
      <alignment horizontal="center" vertical="center"/>
    </xf>
    <xf numFmtId="0" fontId="5" fillId="3" borderId="2" xfId="4" applyFont="1" applyFill="1" applyBorder="1" applyAlignment="1" applyProtection="1">
      <alignment horizontal="center" vertical="center" wrapText="1"/>
    </xf>
    <xf numFmtId="0" fontId="5" fillId="3" borderId="3" xfId="4" applyFont="1" applyFill="1" applyBorder="1" applyAlignment="1" applyProtection="1">
      <alignment horizontal="center" vertical="center" wrapText="1"/>
    </xf>
    <xf numFmtId="173" fontId="4" fillId="4" borderId="2" xfId="12" applyNumberFormat="1" applyFont="1" applyFill="1" applyBorder="1" applyAlignment="1" applyProtection="1">
      <alignment horizontal="center" vertical="center"/>
    </xf>
    <xf numFmtId="173" fontId="4" fillId="4" borderId="3" xfId="12" applyNumberFormat="1" applyFont="1" applyFill="1" applyBorder="1" applyAlignment="1" applyProtection="1">
      <alignment horizontal="center" vertical="center"/>
    </xf>
    <xf numFmtId="166" fontId="5" fillId="9" borderId="2" xfId="2" applyNumberFormat="1" applyFont="1" applyFill="1" applyBorder="1" applyAlignment="1" applyProtection="1">
      <alignment horizontal="left" vertical="center"/>
    </xf>
    <xf numFmtId="166" fontId="8" fillId="9" borderId="3" xfId="2" applyNumberFormat="1" applyFont="1" applyFill="1" applyBorder="1" applyAlignment="1" applyProtection="1">
      <alignment horizontal="left" vertical="center"/>
    </xf>
    <xf numFmtId="0" fontId="4" fillId="0" borderId="1" xfId="0" applyFont="1" applyFill="1" applyBorder="1" applyAlignment="1">
      <alignment horizontal="center"/>
    </xf>
    <xf numFmtId="166" fontId="5" fillId="4" borderId="2" xfId="2" applyNumberFormat="1" applyFont="1" applyFill="1" applyBorder="1" applyAlignment="1" applyProtection="1">
      <alignment horizontal="left" vertical="center"/>
    </xf>
    <xf numFmtId="166" fontId="5" fillId="4" borderId="3" xfId="2" applyNumberFormat="1" applyFont="1" applyFill="1" applyBorder="1" applyAlignment="1" applyProtection="1">
      <alignment horizontal="left" vertical="center"/>
    </xf>
    <xf numFmtId="166" fontId="5" fillId="4" borderId="2" xfId="2" applyNumberFormat="1" applyFont="1" applyFill="1" applyBorder="1" applyAlignment="1" applyProtection="1">
      <alignment horizontal="center" vertical="center"/>
    </xf>
    <xf numFmtId="166" fontId="5" fillId="4" borderId="3" xfId="2" applyNumberFormat="1" applyFont="1" applyFill="1" applyBorder="1" applyAlignment="1" applyProtection="1">
      <alignment horizontal="center" vertical="center"/>
    </xf>
    <xf numFmtId="166" fontId="5" fillId="4" borderId="2" xfId="2" applyNumberFormat="1" applyFont="1" applyFill="1" applyBorder="1" applyAlignment="1" applyProtection="1">
      <alignment vertical="center"/>
    </xf>
    <xf numFmtId="166" fontId="5" fillId="4" borderId="3" xfId="2" applyNumberFormat="1" applyFont="1" applyFill="1" applyBorder="1" applyAlignment="1" applyProtection="1">
      <alignment vertical="center"/>
    </xf>
    <xf numFmtId="166" fontId="18" fillId="9" borderId="1" xfId="15" applyNumberFormat="1" applyFont="1" applyFill="1" applyBorder="1" applyAlignment="1" applyProtection="1">
      <alignment horizontal="center"/>
    </xf>
    <xf numFmtId="166" fontId="18" fillId="9" borderId="2" xfId="15" applyNumberFormat="1" applyFont="1" applyFill="1" applyBorder="1" applyAlignment="1" applyProtection="1">
      <alignment horizontal="center" vertical="center"/>
    </xf>
    <xf numFmtId="166" fontId="18" fillId="9" borderId="3" xfId="15" applyNumberFormat="1" applyFont="1" applyFill="1" applyBorder="1" applyAlignment="1" applyProtection="1">
      <alignment horizontal="center" vertical="center"/>
    </xf>
    <xf numFmtId="164" fontId="4" fillId="3" borderId="2" xfId="8" applyFont="1" applyFill="1" applyBorder="1" applyAlignment="1" applyProtection="1">
      <alignment horizontal="center"/>
    </xf>
    <xf numFmtId="164" fontId="4" fillId="3" borderId="3" xfId="8" applyFont="1" applyFill="1" applyBorder="1" applyAlignment="1" applyProtection="1">
      <alignment horizontal="center"/>
    </xf>
    <xf numFmtId="180" fontId="38" fillId="10" borderId="19" xfId="38" applyFont="1" applyFill="1" applyBorder="1" applyAlignment="1">
      <alignment horizontal="center" vertical="center"/>
    </xf>
    <xf numFmtId="180" fontId="38" fillId="10" borderId="20" xfId="38" applyFont="1" applyFill="1" applyBorder="1" applyAlignment="1">
      <alignment horizontal="center" vertical="center"/>
    </xf>
    <xf numFmtId="182" fontId="39" fillId="10" borderId="38" xfId="38" applyNumberFormat="1" applyFont="1" applyFill="1" applyBorder="1" applyAlignment="1">
      <alignment horizontal="center" vertical="center"/>
    </xf>
    <xf numFmtId="182" fontId="39" fillId="10" borderId="28" xfId="38" applyNumberFormat="1" applyFont="1" applyFill="1" applyBorder="1" applyAlignment="1">
      <alignment horizontal="center" vertical="center"/>
    </xf>
    <xf numFmtId="182" fontId="39" fillId="10" borderId="29" xfId="38" applyNumberFormat="1" applyFont="1" applyFill="1" applyBorder="1" applyAlignment="1">
      <alignment horizontal="center" vertical="center"/>
    </xf>
    <xf numFmtId="182" fontId="34" fillId="10" borderId="5" xfId="38" applyNumberFormat="1" applyFont="1" applyFill="1" applyBorder="1" applyAlignment="1">
      <alignment horizontal="center" vertical="center" wrapText="1"/>
    </xf>
    <xf numFmtId="182" fontId="34" fillId="10" borderId="13" xfId="38" applyNumberFormat="1" applyFont="1" applyFill="1" applyBorder="1" applyAlignment="1">
      <alignment horizontal="center" vertical="center" wrapText="1"/>
    </xf>
    <xf numFmtId="182" fontId="34" fillId="10" borderId="47" xfId="38" applyNumberFormat="1" applyFont="1" applyFill="1" applyBorder="1" applyAlignment="1">
      <alignment horizontal="center" vertical="center" wrapText="1"/>
    </xf>
    <xf numFmtId="180" fontId="19" fillId="0" borderId="17" xfId="38" applyFont="1" applyBorder="1" applyAlignment="1">
      <alignment horizontal="center" vertical="center" wrapText="1"/>
    </xf>
    <xf numFmtId="182" fontId="36" fillId="0" borderId="5" xfId="38" applyNumberFormat="1" applyFont="1" applyBorder="1" applyAlignment="1">
      <alignment horizontal="left" vertical="center"/>
    </xf>
    <xf numFmtId="182" fontId="36" fillId="0" borderId="13" xfId="38" applyNumberFormat="1" applyFont="1" applyBorder="1" applyAlignment="1">
      <alignment horizontal="left" vertical="center"/>
    </xf>
    <xf numFmtId="182" fontId="36" fillId="0" borderId="47" xfId="38" applyNumberFormat="1" applyFont="1" applyBorder="1" applyAlignment="1">
      <alignment horizontal="left" vertical="center"/>
    </xf>
    <xf numFmtId="182" fontId="36" fillId="0" borderId="5" xfId="38" applyNumberFormat="1" applyFont="1" applyBorder="1" applyAlignment="1">
      <alignment horizontal="left" vertical="center" wrapText="1"/>
    </xf>
    <xf numFmtId="182" fontId="36" fillId="0" borderId="13" xfId="38" applyNumberFormat="1" applyFont="1" applyBorder="1" applyAlignment="1">
      <alignment horizontal="left" vertical="center" wrapText="1"/>
    </xf>
    <xf numFmtId="182" fontId="36" fillId="0" borderId="47" xfId="38" applyNumberFormat="1" applyFont="1" applyBorder="1" applyAlignment="1">
      <alignment horizontal="left" vertical="center" wrapText="1"/>
    </xf>
    <xf numFmtId="182" fontId="36" fillId="0" borderId="5" xfId="38" applyNumberFormat="1" applyFont="1" applyFill="1" applyBorder="1" applyAlignment="1">
      <alignment horizontal="left" vertical="center" wrapText="1"/>
    </xf>
    <xf numFmtId="182" fontId="36" fillId="0" borderId="13" xfId="38" applyNumberFormat="1" applyFont="1" applyFill="1" applyBorder="1" applyAlignment="1">
      <alignment horizontal="left" vertical="center" wrapText="1"/>
    </xf>
    <xf numFmtId="182" fontId="36" fillId="0" borderId="47" xfId="38" applyNumberFormat="1" applyFont="1" applyFill="1" applyBorder="1" applyAlignment="1">
      <alignment horizontal="left" vertical="center" wrapText="1"/>
    </xf>
    <xf numFmtId="182" fontId="36" fillId="0" borderId="5" xfId="38" applyNumberFormat="1" applyFont="1" applyFill="1" applyBorder="1" applyAlignment="1">
      <alignment horizontal="left" vertical="center"/>
    </xf>
    <xf numFmtId="182" fontId="36" fillId="0" borderId="13" xfId="38" applyNumberFormat="1" applyFont="1" applyFill="1" applyBorder="1" applyAlignment="1">
      <alignment horizontal="left" vertical="center"/>
    </xf>
    <xf numFmtId="182" fontId="36" fillId="0" borderId="47" xfId="38" applyNumberFormat="1" applyFont="1" applyFill="1" applyBorder="1" applyAlignment="1">
      <alignment horizontal="left" vertical="center"/>
    </xf>
    <xf numFmtId="182" fontId="19" fillId="8" borderId="5" xfId="38" applyNumberFormat="1" applyFont="1" applyFill="1" applyBorder="1" applyAlignment="1">
      <alignment horizontal="center" vertical="center" wrapText="1"/>
    </xf>
    <xf numFmtId="182" fontId="19" fillId="8" borderId="13" xfId="38" applyNumberFormat="1" applyFont="1" applyFill="1" applyBorder="1" applyAlignment="1">
      <alignment horizontal="center" vertical="center" wrapText="1"/>
    </xf>
    <xf numFmtId="182" fontId="19" fillId="8" borderId="47" xfId="38" applyNumberFormat="1" applyFont="1" applyFill="1" applyBorder="1" applyAlignment="1">
      <alignment horizontal="center" vertical="center" wrapText="1"/>
    </xf>
    <xf numFmtId="180" fontId="19" fillId="0" borderId="18" xfId="38" applyFont="1" applyBorder="1" applyAlignment="1">
      <alignment horizontal="center" vertical="center" textRotation="255" wrapText="1"/>
    </xf>
    <xf numFmtId="180" fontId="19" fillId="0" borderId="25" xfId="38" applyFont="1" applyBorder="1" applyAlignment="1">
      <alignment horizontal="center" vertical="center" textRotation="255" wrapText="1"/>
    </xf>
    <xf numFmtId="180" fontId="19" fillId="0" borderId="26" xfId="38" applyFont="1" applyBorder="1" applyAlignment="1">
      <alignment horizontal="center" vertical="center" textRotation="255" wrapText="1"/>
    </xf>
    <xf numFmtId="180" fontId="1" fillId="0" borderId="25" xfId="38" applyBorder="1"/>
    <xf numFmtId="180" fontId="1" fillId="0" borderId="26" xfId="38" applyBorder="1"/>
    <xf numFmtId="182" fontId="36" fillId="6" borderId="4" xfId="38" applyNumberFormat="1" applyFont="1" applyFill="1" applyBorder="1" applyAlignment="1">
      <alignment horizontal="center" vertical="center" wrapText="1"/>
    </xf>
    <xf numFmtId="182" fontId="36" fillId="0" borderId="5" xfId="38" applyNumberFormat="1" applyFont="1" applyFill="1" applyBorder="1" applyAlignment="1">
      <alignment horizontal="center" vertical="center" wrapText="1"/>
    </xf>
    <xf numFmtId="182" fontId="36" fillId="0" borderId="13" xfId="38" applyNumberFormat="1" applyFont="1" applyFill="1" applyBorder="1" applyAlignment="1">
      <alignment horizontal="center" vertical="center" wrapText="1"/>
    </xf>
    <xf numFmtId="182" fontId="36" fillId="0" borderId="47" xfId="38" applyNumberFormat="1" applyFont="1" applyFill="1" applyBorder="1" applyAlignment="1">
      <alignment horizontal="center" vertical="center" wrapText="1"/>
    </xf>
    <xf numFmtId="180" fontId="34" fillId="10" borderId="33" xfId="38" applyFont="1" applyFill="1" applyBorder="1" applyAlignment="1">
      <alignment horizontal="center" vertical="center" wrapText="1"/>
    </xf>
    <xf numFmtId="180" fontId="34" fillId="10" borderId="11" xfId="38" applyFont="1" applyFill="1" applyBorder="1" applyAlignment="1">
      <alignment horizontal="center" vertical="center" wrapText="1"/>
    </xf>
    <xf numFmtId="180" fontId="34" fillId="10" borderId="15" xfId="38" applyFont="1" applyFill="1" applyBorder="1" applyAlignment="1">
      <alignment horizontal="center" vertical="center" wrapText="1"/>
    </xf>
    <xf numFmtId="180" fontId="34" fillId="10" borderId="16" xfId="38" applyFont="1" applyFill="1" applyBorder="1" applyAlignment="1">
      <alignment horizontal="center" vertical="center" wrapText="1"/>
    </xf>
    <xf numFmtId="167" fontId="19" fillId="0" borderId="1" xfId="38" applyNumberFormat="1" applyFont="1" applyFill="1" applyBorder="1" applyAlignment="1">
      <alignment horizontal="center" vertical="center"/>
    </xf>
    <xf numFmtId="167" fontId="19" fillId="0" borderId="23" xfId="38" applyNumberFormat="1" applyFont="1" applyFill="1" applyBorder="1" applyAlignment="1">
      <alignment horizontal="center" vertical="center"/>
    </xf>
    <xf numFmtId="180" fontId="19" fillId="4" borderId="17" xfId="38" applyFont="1" applyFill="1" applyBorder="1" applyAlignment="1">
      <alignment horizontal="center" vertical="center"/>
    </xf>
    <xf numFmtId="180" fontId="19" fillId="4" borderId="1" xfId="38" applyFont="1" applyFill="1" applyBorder="1" applyAlignment="1">
      <alignment horizontal="center" vertical="center"/>
    </xf>
    <xf numFmtId="180" fontId="19" fillId="4" borderId="5" xfId="38" applyFont="1" applyFill="1" applyBorder="1" applyAlignment="1">
      <alignment horizontal="center" vertical="center"/>
    </xf>
    <xf numFmtId="180" fontId="19" fillId="4" borderId="11" xfId="38" applyFont="1" applyFill="1" applyBorder="1" applyAlignment="1">
      <alignment horizontal="center" vertical="center"/>
    </xf>
    <xf numFmtId="182" fontId="19" fillId="22" borderId="19" xfId="38" applyNumberFormat="1" applyFont="1" applyFill="1" applyBorder="1" applyAlignment="1">
      <alignment horizontal="center" vertical="center"/>
    </xf>
    <xf numFmtId="182" fontId="19" fillId="22" borderId="20" xfId="38" applyNumberFormat="1" applyFont="1" applyFill="1" applyBorder="1" applyAlignment="1">
      <alignment horizontal="center" vertical="center"/>
    </xf>
    <xf numFmtId="167" fontId="19" fillId="22" borderId="20" xfId="38" applyNumberFormat="1" applyFont="1" applyFill="1" applyBorder="1" applyAlignment="1">
      <alignment horizontal="center" vertical="center"/>
    </xf>
    <xf numFmtId="180" fontId="19" fillId="22" borderId="20" xfId="38" applyFont="1" applyFill="1" applyBorder="1" applyAlignment="1">
      <alignment horizontal="center" vertical="center"/>
    </xf>
    <xf numFmtId="180" fontId="19" fillId="1" borderId="18" xfId="38" applyFont="1" applyFill="1" applyBorder="1" applyAlignment="1">
      <alignment horizontal="center" vertical="center"/>
    </xf>
    <xf numFmtId="180" fontId="19" fillId="1" borderId="2" xfId="38" applyFont="1" applyFill="1" applyBorder="1" applyAlignment="1">
      <alignment horizontal="center" vertical="center"/>
    </xf>
    <xf numFmtId="180" fontId="19" fillId="1" borderId="35" xfId="38" applyFont="1" applyFill="1" applyBorder="1" applyAlignment="1">
      <alignment horizontal="center" vertical="center"/>
    </xf>
    <xf numFmtId="180" fontId="19" fillId="6" borderId="0" xfId="38" applyFont="1" applyFill="1" applyBorder="1" applyAlignment="1">
      <alignment horizontal="center" vertical="center"/>
    </xf>
    <xf numFmtId="182" fontId="19" fillId="0" borderId="1" xfId="0" applyNumberFormat="1" applyFont="1" applyFill="1" applyBorder="1" applyAlignment="1">
      <alignment horizontal="center" vertical="center"/>
    </xf>
    <xf numFmtId="2" fontId="19" fillId="0" borderId="1" xfId="0" applyNumberFormat="1" applyFont="1" applyFill="1" applyBorder="1" applyAlignment="1">
      <alignment horizontal="center" vertical="center"/>
    </xf>
    <xf numFmtId="174" fontId="19" fillId="0" borderId="1" xfId="38" applyNumberFormat="1" applyFont="1" applyFill="1" applyBorder="1" applyAlignment="1">
      <alignment horizontal="center" vertical="center"/>
    </xf>
    <xf numFmtId="180" fontId="19" fillId="0" borderId="1" xfId="38" applyFont="1" applyFill="1" applyBorder="1" applyAlignment="1">
      <alignment horizontal="center" vertical="center"/>
    </xf>
    <xf numFmtId="182" fontId="19" fillId="4" borderId="17" xfId="39" applyNumberFormat="1" applyFont="1" applyFill="1" applyBorder="1" applyAlignment="1">
      <alignment horizontal="center" vertical="center"/>
    </xf>
    <xf numFmtId="182" fontId="19" fillId="4" borderId="1" xfId="39" applyNumberFormat="1" applyFont="1" applyFill="1" applyBorder="1" applyAlignment="1">
      <alignment horizontal="center" vertical="center"/>
    </xf>
    <xf numFmtId="182" fontId="19" fillId="0" borderId="1" xfId="38" applyNumberFormat="1" applyFont="1" applyFill="1" applyBorder="1" applyAlignment="1">
      <alignment horizontal="center" vertical="center" wrapText="1"/>
    </xf>
    <xf numFmtId="174" fontId="19" fillId="4" borderId="1" xfId="38" applyNumberFormat="1" applyFont="1" applyFill="1" applyBorder="1" applyAlignment="1">
      <alignment horizontal="center" vertical="center" wrapText="1"/>
    </xf>
    <xf numFmtId="10" fontId="19" fillId="0" borderId="5" xfId="38" applyNumberFormat="1" applyFont="1" applyFill="1" applyBorder="1" applyAlignment="1">
      <alignment horizontal="center" vertical="center" wrapText="1"/>
    </xf>
    <xf numFmtId="10" fontId="19" fillId="0" borderId="13" xfId="38" applyNumberFormat="1" applyFont="1" applyFill="1" applyBorder="1" applyAlignment="1">
      <alignment horizontal="center" vertical="center" wrapText="1"/>
    </xf>
    <xf numFmtId="10" fontId="19" fillId="0" borderId="11" xfId="38" applyNumberFormat="1" applyFont="1" applyFill="1" applyBorder="1" applyAlignment="1">
      <alignment horizontal="center" vertical="center" wrapText="1"/>
    </xf>
    <xf numFmtId="9" fontId="19" fillId="22" borderId="1" xfId="40" applyFont="1" applyFill="1" applyBorder="1" applyAlignment="1">
      <alignment horizontal="center" vertical="center"/>
    </xf>
    <xf numFmtId="9" fontId="19" fillId="22" borderId="23" xfId="40" applyFont="1" applyFill="1" applyBorder="1" applyAlignment="1">
      <alignment horizontal="center" vertical="center"/>
    </xf>
    <xf numFmtId="182" fontId="19" fillId="4" borderId="17" xfId="39" applyNumberFormat="1" applyFont="1" applyFill="1" applyBorder="1" applyAlignment="1">
      <alignment horizontal="center" vertical="center" wrapText="1"/>
    </xf>
    <xf numFmtId="182" fontId="19" fillId="4" borderId="1" xfId="39" applyNumberFormat="1" applyFont="1" applyFill="1" applyBorder="1" applyAlignment="1">
      <alignment horizontal="center" vertical="center" wrapText="1"/>
    </xf>
    <xf numFmtId="182" fontId="19" fillId="6" borderId="1" xfId="38" applyNumberFormat="1" applyFont="1" applyFill="1" applyBorder="1" applyAlignment="1">
      <alignment horizontal="center" vertical="center" wrapText="1"/>
    </xf>
    <xf numFmtId="184" fontId="19" fillId="0" borderId="5" xfId="38" applyNumberFormat="1" applyFont="1" applyFill="1" applyBorder="1" applyAlignment="1">
      <alignment horizontal="center" vertical="center" wrapText="1"/>
    </xf>
    <xf numFmtId="184" fontId="19" fillId="0" borderId="13" xfId="38" applyNumberFormat="1" applyFont="1" applyFill="1" applyBorder="1" applyAlignment="1">
      <alignment horizontal="center" vertical="center" wrapText="1"/>
    </xf>
    <xf numFmtId="184" fontId="19" fillId="0" borderId="11" xfId="38" applyNumberFormat="1" applyFont="1" applyFill="1" applyBorder="1" applyAlignment="1">
      <alignment horizontal="center" vertical="center" wrapText="1"/>
    </xf>
    <xf numFmtId="174" fontId="19" fillId="22" borderId="1" xfId="38" applyNumberFormat="1" applyFont="1" applyFill="1" applyBorder="1" applyAlignment="1">
      <alignment horizontal="center" vertical="center"/>
    </xf>
    <xf numFmtId="180" fontId="19" fillId="22" borderId="1" xfId="38" applyFont="1" applyFill="1" applyBorder="1" applyAlignment="1">
      <alignment horizontal="center" vertical="center"/>
    </xf>
    <xf numFmtId="180" fontId="31" fillId="6" borderId="0" xfId="38" applyFont="1" applyFill="1" applyBorder="1" applyAlignment="1">
      <alignment horizontal="center" vertical="center"/>
    </xf>
    <xf numFmtId="182" fontId="19" fillId="4" borderId="15" xfId="39" applyNumberFormat="1" applyFont="1" applyFill="1" applyBorder="1" applyAlignment="1">
      <alignment horizontal="center" vertical="center"/>
    </xf>
    <xf numFmtId="182" fontId="19" fillId="4" borderId="16" xfId="39" applyNumberFormat="1" applyFont="1" applyFill="1" applyBorder="1" applyAlignment="1">
      <alignment horizontal="center" vertical="center"/>
    </xf>
    <xf numFmtId="182" fontId="19" fillId="6" borderId="45" xfId="38" applyNumberFormat="1" applyFont="1" applyFill="1" applyBorder="1" applyAlignment="1">
      <alignment horizontal="center" vertical="center" wrapText="1"/>
    </xf>
    <xf numFmtId="174" fontId="19" fillId="4" borderId="16" xfId="38" applyNumberFormat="1" applyFont="1" applyFill="1" applyBorder="1" applyAlignment="1">
      <alignment horizontal="center" vertical="center" wrapText="1"/>
    </xf>
    <xf numFmtId="182" fontId="19" fillId="19" borderId="32" xfId="38" applyNumberFormat="1" applyFont="1" applyFill="1" applyBorder="1" applyAlignment="1">
      <alignment horizontal="center" vertical="center" wrapText="1"/>
    </xf>
    <xf numFmtId="182" fontId="19" fillId="19" borderId="31" xfId="38" applyNumberFormat="1" applyFont="1" applyFill="1" applyBorder="1" applyAlignment="1">
      <alignment horizontal="center" vertical="center" wrapText="1"/>
    </xf>
    <xf numFmtId="182" fontId="19" fillId="19" borderId="45" xfId="38" applyNumberFormat="1" applyFont="1" applyFill="1" applyBorder="1" applyAlignment="1">
      <alignment horizontal="center" vertical="center" wrapText="1"/>
    </xf>
    <xf numFmtId="180" fontId="19" fillId="11" borderId="2" xfId="38" applyFont="1" applyFill="1" applyBorder="1" applyAlignment="1" applyProtection="1">
      <alignment horizontal="right" vertical="center" wrapText="1"/>
      <protection locked="0"/>
    </xf>
    <xf numFmtId="180" fontId="19" fillId="11" borderId="4" xfId="38" applyFont="1" applyFill="1" applyBorder="1" applyAlignment="1" applyProtection="1">
      <alignment horizontal="right" vertical="center"/>
      <protection locked="0"/>
    </xf>
    <xf numFmtId="180" fontId="19" fillId="11" borderId="3" xfId="38" applyFont="1" applyFill="1" applyBorder="1" applyAlignment="1" applyProtection="1">
      <alignment horizontal="right" vertical="center"/>
      <protection locked="0"/>
    </xf>
    <xf numFmtId="175" fontId="34" fillId="6" borderId="51" xfId="38" applyNumberFormat="1" applyFont="1" applyFill="1" applyBorder="1" applyAlignment="1">
      <alignment horizontal="center" vertical="center" wrapText="1"/>
    </xf>
    <xf numFmtId="175" fontId="34" fillId="6" borderId="25" xfId="38" applyNumberFormat="1" applyFont="1" applyFill="1" applyBorder="1" applyAlignment="1">
      <alignment horizontal="center" vertical="center" wrapText="1"/>
    </xf>
    <xf numFmtId="175" fontId="34" fillId="6" borderId="52" xfId="38" applyNumberFormat="1" applyFont="1" applyFill="1" applyBorder="1" applyAlignment="1">
      <alignment horizontal="center" vertical="center" wrapText="1"/>
    </xf>
    <xf numFmtId="180" fontId="19" fillId="11" borderId="36" xfId="38" applyFont="1" applyFill="1" applyBorder="1" applyAlignment="1" applyProtection="1">
      <alignment horizontal="right" vertical="center" wrapText="1"/>
      <protection locked="0"/>
    </xf>
    <xf numFmtId="180" fontId="19" fillId="11" borderId="50" xfId="38" applyFont="1" applyFill="1" applyBorder="1" applyAlignment="1" applyProtection="1">
      <alignment horizontal="right" vertical="center" wrapText="1"/>
      <protection locked="0"/>
    </xf>
    <xf numFmtId="180" fontId="19" fillId="11" borderId="16" xfId="38" applyFont="1" applyFill="1" applyBorder="1" applyAlignment="1" applyProtection="1">
      <alignment horizontal="center" vertical="center"/>
      <protection locked="0"/>
    </xf>
    <xf numFmtId="180" fontId="19" fillId="11" borderId="1" xfId="38" applyFont="1" applyFill="1" applyBorder="1" applyAlignment="1" applyProtection="1">
      <alignment horizontal="center" vertical="center"/>
      <protection locked="0"/>
    </xf>
    <xf numFmtId="180" fontId="19" fillId="11" borderId="38" xfId="38" applyFont="1" applyFill="1" applyBorder="1" applyAlignment="1" applyProtection="1">
      <alignment horizontal="center" vertical="center"/>
      <protection locked="0"/>
    </xf>
    <xf numFmtId="180" fontId="19" fillId="11" borderId="28" xfId="38" applyFont="1" applyFill="1" applyBorder="1" applyAlignment="1" applyProtection="1">
      <alignment horizontal="center" vertical="center"/>
      <protection locked="0"/>
    </xf>
    <xf numFmtId="180" fontId="19" fillId="11" borderId="10" xfId="38" applyFont="1" applyFill="1" applyBorder="1" applyAlignment="1" applyProtection="1">
      <alignment horizontal="right" vertical="center" wrapText="1"/>
      <protection locked="0"/>
    </xf>
    <xf numFmtId="180" fontId="34" fillId="6" borderId="15" xfId="38" applyFont="1" applyFill="1" applyBorder="1" applyAlignment="1">
      <alignment horizontal="center" vertical="center" wrapText="1"/>
    </xf>
    <xf numFmtId="180" fontId="34" fillId="6" borderId="17" xfId="38" applyFont="1" applyFill="1" applyBorder="1" applyAlignment="1">
      <alignment horizontal="center" vertical="center" wrapText="1"/>
    </xf>
    <xf numFmtId="180" fontId="34" fillId="6" borderId="19" xfId="38" applyFont="1" applyFill="1" applyBorder="1" applyAlignment="1">
      <alignment horizontal="center" vertical="center" wrapText="1"/>
    </xf>
    <xf numFmtId="184" fontId="5" fillId="23" borderId="1" xfId="38" applyNumberFormat="1" applyFont="1" applyFill="1" applyBorder="1" applyAlignment="1">
      <alignment horizontal="center" vertical="center" wrapText="1"/>
    </xf>
    <xf numFmtId="184" fontId="5" fillId="4" borderId="1" xfId="38" applyNumberFormat="1" applyFont="1" applyFill="1" applyBorder="1" applyAlignment="1">
      <alignment horizontal="center" vertical="center" wrapText="1"/>
    </xf>
    <xf numFmtId="180" fontId="5" fillId="4" borderId="1" xfId="38" applyFont="1" applyFill="1" applyBorder="1" applyAlignment="1">
      <alignment horizontal="center" vertical="center" wrapText="1"/>
    </xf>
    <xf numFmtId="175" fontId="34" fillId="6" borderId="17" xfId="38" applyNumberFormat="1" applyFont="1" applyFill="1" applyBorder="1" applyAlignment="1">
      <alignment horizontal="center" vertical="center" wrapText="1"/>
    </xf>
    <xf numFmtId="175" fontId="34" fillId="4" borderId="22" xfId="38" applyNumberFormat="1" applyFont="1" applyFill="1" applyBorder="1" applyAlignment="1">
      <alignment horizontal="center" vertical="center" wrapText="1"/>
    </xf>
    <xf numFmtId="175" fontId="34" fillId="4" borderId="33" xfId="38" applyNumberFormat="1" applyFont="1" applyFill="1" applyBorder="1" applyAlignment="1">
      <alignment horizontal="center" vertical="center" wrapText="1"/>
    </xf>
    <xf numFmtId="175" fontId="34" fillId="4" borderId="16" xfId="38" applyNumberFormat="1" applyFont="1" applyFill="1" applyBorder="1" applyAlignment="1">
      <alignment horizontal="center" vertical="center" wrapText="1"/>
    </xf>
    <xf numFmtId="175" fontId="34" fillId="4" borderId="1" xfId="38" applyNumberFormat="1" applyFont="1" applyFill="1" applyBorder="1" applyAlignment="1">
      <alignment horizontal="center" vertical="center" wrapText="1"/>
    </xf>
    <xf numFmtId="184" fontId="34" fillId="4" borderId="16" xfId="38" applyNumberFormat="1" applyFont="1" applyFill="1" applyBorder="1" applyAlignment="1">
      <alignment horizontal="center" vertical="center" wrapText="1"/>
    </xf>
    <xf numFmtId="184" fontId="34" fillId="4" borderId="1" xfId="38" applyNumberFormat="1" applyFont="1" applyFill="1" applyBorder="1" applyAlignment="1">
      <alignment horizontal="center" vertical="center" wrapText="1"/>
    </xf>
    <xf numFmtId="184" fontId="5" fillId="4" borderId="32" xfId="38" applyNumberFormat="1" applyFont="1" applyFill="1" applyBorder="1" applyAlignment="1">
      <alignment horizontal="center" vertical="center" wrapText="1"/>
    </xf>
    <xf numFmtId="184" fontId="5" fillId="4" borderId="39" xfId="38" applyNumberFormat="1" applyFont="1" applyFill="1" applyBorder="1" applyAlignment="1">
      <alignment horizontal="center" vertical="center" wrapText="1"/>
    </xf>
    <xf numFmtId="184" fontId="5" fillId="4" borderId="31" xfId="38" applyNumberFormat="1" applyFont="1" applyFill="1" applyBorder="1" applyAlignment="1">
      <alignment horizontal="center" vertical="center" wrapText="1"/>
    </xf>
    <xf numFmtId="184" fontId="5" fillId="23" borderId="32" xfId="39" applyNumberFormat="1" applyFont="1" applyFill="1" applyBorder="1" applyAlignment="1">
      <alignment horizontal="center" vertical="center" wrapText="1"/>
    </xf>
    <xf numFmtId="184" fontId="5" fillId="23" borderId="39" xfId="39" applyNumberFormat="1" applyFont="1" applyFill="1" applyBorder="1" applyAlignment="1">
      <alignment horizontal="center" vertical="center" wrapText="1"/>
    </xf>
    <xf numFmtId="184" fontId="5" fillId="23" borderId="31" xfId="39" applyNumberFormat="1" applyFont="1" applyFill="1" applyBorder="1" applyAlignment="1">
      <alignment horizontal="center" vertical="center" wrapText="1"/>
    </xf>
    <xf numFmtId="184" fontId="4" fillId="4" borderId="24" xfId="39" applyNumberFormat="1" applyFont="1" applyFill="1" applyBorder="1" applyAlignment="1">
      <alignment horizontal="center" vertical="center" wrapText="1"/>
    </xf>
    <xf numFmtId="184" fontId="4" fillId="4" borderId="23" xfId="39" applyNumberFormat="1" applyFont="1" applyFill="1" applyBorder="1" applyAlignment="1">
      <alignment horizontal="center" vertical="center" wrapText="1"/>
    </xf>
    <xf numFmtId="184" fontId="5" fillId="4" borderId="16" xfId="39" applyNumberFormat="1" applyFont="1" applyFill="1" applyBorder="1" applyAlignment="1">
      <alignment horizontal="center" vertical="center" wrapText="1"/>
    </xf>
    <xf numFmtId="184" fontId="5" fillId="4" borderId="1" xfId="39" applyNumberFormat="1" applyFont="1" applyFill="1" applyBorder="1" applyAlignment="1">
      <alignment horizontal="center" vertical="center" wrapText="1"/>
    </xf>
    <xf numFmtId="184" fontId="5" fillId="4" borderId="2" xfId="39" applyNumberFormat="1" applyFont="1" applyFill="1" applyBorder="1" applyAlignment="1">
      <alignment horizontal="center" vertical="center" wrapText="1"/>
    </xf>
    <xf numFmtId="184" fontId="5" fillId="4" borderId="3" xfId="39" applyNumberFormat="1" applyFont="1" applyFill="1" applyBorder="1" applyAlignment="1">
      <alignment horizontal="center" vertical="center" wrapText="1"/>
    </xf>
    <xf numFmtId="184" fontId="5" fillId="4" borderId="2" xfId="38" applyNumberFormat="1" applyFont="1" applyFill="1" applyBorder="1" applyAlignment="1">
      <alignment horizontal="center" vertical="center" wrapText="1"/>
    </xf>
    <xf numFmtId="184" fontId="5" fillId="4" borderId="3" xfId="38" applyNumberFormat="1" applyFont="1" applyFill="1" applyBorder="1" applyAlignment="1">
      <alignment horizontal="center" vertical="center" wrapText="1"/>
    </xf>
    <xf numFmtId="175" fontId="34" fillId="4" borderId="15" xfId="38" applyNumberFormat="1" applyFont="1" applyFill="1" applyBorder="1" applyAlignment="1">
      <alignment horizontal="center" vertical="center" wrapText="1"/>
    </xf>
    <xf numFmtId="175" fontId="34" fillId="4" borderId="17" xfId="38" applyNumberFormat="1" applyFont="1" applyFill="1" applyBorder="1" applyAlignment="1">
      <alignment horizontal="center" vertical="center" wrapText="1"/>
    </xf>
    <xf numFmtId="184" fontId="34" fillId="4" borderId="16" xfId="38" applyNumberFormat="1" applyFont="1" applyFill="1" applyBorder="1" applyAlignment="1">
      <alignment horizontal="left" vertical="center"/>
    </xf>
    <xf numFmtId="184" fontId="34" fillId="4" borderId="1" xfId="38" applyNumberFormat="1" applyFont="1" applyFill="1" applyBorder="1" applyAlignment="1">
      <alignment horizontal="left" vertical="center"/>
    </xf>
    <xf numFmtId="180" fontId="4" fillId="10" borderId="1" xfId="38" applyFont="1" applyFill="1" applyBorder="1" applyAlignment="1">
      <alignment horizontal="left" vertical="center"/>
    </xf>
    <xf numFmtId="180" fontId="4" fillId="10" borderId="23" xfId="38" applyFont="1" applyFill="1" applyBorder="1" applyAlignment="1">
      <alignment horizontal="left" vertical="center"/>
    </xf>
    <xf numFmtId="180" fontId="4" fillId="10" borderId="20" xfId="38" applyFont="1" applyFill="1" applyBorder="1" applyAlignment="1">
      <alignment horizontal="left" vertical="center"/>
    </xf>
    <xf numFmtId="180" fontId="4" fillId="10" borderId="27" xfId="38" applyFont="1" applyFill="1" applyBorder="1" applyAlignment="1">
      <alignment horizontal="left" vertical="center"/>
    </xf>
    <xf numFmtId="180" fontId="5" fillId="10" borderId="15" xfId="38" applyFont="1" applyFill="1" applyBorder="1" applyAlignment="1">
      <alignment horizontal="left" vertical="center"/>
    </xf>
    <xf numFmtId="180" fontId="5" fillId="10" borderId="16" xfId="38" applyFont="1" applyFill="1" applyBorder="1" applyAlignment="1">
      <alignment horizontal="left" vertical="center"/>
    </xf>
    <xf numFmtId="180" fontId="5" fillId="10" borderId="24" xfId="38" applyFont="1" applyFill="1" applyBorder="1" applyAlignment="1">
      <alignment horizontal="left" vertical="center"/>
    </xf>
    <xf numFmtId="180" fontId="89" fillId="0" borderId="14" xfId="38" applyFont="1" applyBorder="1" applyAlignment="1">
      <alignment horizontal="center" vertical="center" wrapText="1"/>
    </xf>
    <xf numFmtId="0" fontId="5" fillId="4" borderId="22" xfId="38" applyNumberFormat="1" applyFont="1" applyFill="1" applyBorder="1" applyAlignment="1">
      <alignment horizontal="left" vertical="center" wrapText="1"/>
    </xf>
    <xf numFmtId="0" fontId="5" fillId="4" borderId="39" xfId="38" applyNumberFormat="1" applyFont="1" applyFill="1" applyBorder="1" applyAlignment="1">
      <alignment horizontal="left" vertical="center" wrapText="1"/>
    </xf>
    <xf numFmtId="0" fontId="5" fillId="4" borderId="31" xfId="38" applyNumberFormat="1" applyFont="1" applyFill="1" applyBorder="1" applyAlignment="1">
      <alignment horizontal="left" vertical="center" wrapText="1"/>
    </xf>
    <xf numFmtId="180" fontId="5" fillId="10" borderId="22" xfId="38" applyFont="1" applyFill="1" applyBorder="1" applyAlignment="1">
      <alignment horizontal="left" vertical="center"/>
    </xf>
    <xf numFmtId="180" fontId="5" fillId="10" borderId="39" xfId="38" applyFont="1" applyFill="1" applyBorder="1" applyAlignment="1">
      <alignment horizontal="left" vertical="center"/>
    </xf>
    <xf numFmtId="180" fontId="5" fillId="10" borderId="40" xfId="38" applyFont="1" applyFill="1" applyBorder="1" applyAlignment="1">
      <alignment horizontal="left" vertical="center"/>
    </xf>
    <xf numFmtId="0" fontId="5" fillId="4" borderId="15" xfId="38" applyNumberFormat="1" applyFont="1" applyFill="1" applyBorder="1" applyAlignment="1">
      <alignment horizontal="left" vertical="center" wrapText="1"/>
    </xf>
    <xf numFmtId="0" fontId="5" fillId="4" borderId="16" xfId="38" applyNumberFormat="1" applyFont="1" applyFill="1" applyBorder="1" applyAlignment="1">
      <alignment horizontal="left" vertical="center" wrapText="1"/>
    </xf>
    <xf numFmtId="0" fontId="5" fillId="4" borderId="24" xfId="38" applyNumberFormat="1" applyFont="1" applyFill="1" applyBorder="1" applyAlignment="1">
      <alignment horizontal="left" vertical="center" wrapText="1"/>
    </xf>
    <xf numFmtId="0" fontId="98" fillId="4" borderId="16" xfId="38" applyNumberFormat="1" applyFont="1" applyFill="1" applyBorder="1" applyAlignment="1">
      <alignment horizontal="center" vertical="center" wrapText="1"/>
    </xf>
    <xf numFmtId="0" fontId="98" fillId="4" borderId="1" xfId="38" applyNumberFormat="1" applyFont="1" applyFill="1" applyBorder="1" applyAlignment="1">
      <alignment horizontal="center" vertical="center" wrapText="1"/>
    </xf>
    <xf numFmtId="0" fontId="98" fillId="4" borderId="45" xfId="38" applyNumberFormat="1" applyFont="1" applyFill="1" applyBorder="1" applyAlignment="1">
      <alignment horizontal="center" vertical="center" wrapText="1"/>
    </xf>
    <xf numFmtId="0" fontId="98" fillId="4" borderId="3" xfId="38" applyNumberFormat="1" applyFont="1" applyFill="1" applyBorder="1" applyAlignment="1">
      <alignment horizontal="center" vertical="center" wrapText="1"/>
    </xf>
    <xf numFmtId="0" fontId="98" fillId="4" borderId="24" xfId="38" applyNumberFormat="1" applyFont="1" applyFill="1" applyBorder="1" applyAlignment="1">
      <alignment horizontal="center" vertical="center" wrapText="1"/>
    </xf>
    <xf numFmtId="0" fontId="98" fillId="4" borderId="23" xfId="38" applyNumberFormat="1" applyFont="1" applyFill="1" applyBorder="1" applyAlignment="1">
      <alignment horizontal="center" vertical="center" wrapText="1"/>
    </xf>
    <xf numFmtId="0" fontId="98" fillId="0" borderId="15" xfId="38" applyNumberFormat="1" applyFont="1" applyFill="1" applyBorder="1" applyAlignment="1">
      <alignment horizontal="center" vertical="center"/>
    </xf>
    <xf numFmtId="0" fontId="98" fillId="0" borderId="17" xfId="38" applyNumberFormat="1" applyFont="1" applyFill="1" applyBorder="1" applyAlignment="1">
      <alignment horizontal="center" vertical="center"/>
    </xf>
    <xf numFmtId="0" fontId="98" fillId="0" borderId="19" xfId="38" applyNumberFormat="1" applyFont="1" applyFill="1" applyBorder="1" applyAlignment="1">
      <alignment horizontal="center" vertical="center"/>
    </xf>
    <xf numFmtId="0" fontId="98" fillId="4" borderId="15" xfId="38" applyNumberFormat="1" applyFont="1" applyFill="1" applyBorder="1" applyAlignment="1">
      <alignment horizontal="center" vertical="center"/>
    </xf>
    <xf numFmtId="0" fontId="98" fillId="4" borderId="17" xfId="38" applyNumberFormat="1" applyFont="1" applyFill="1" applyBorder="1" applyAlignment="1">
      <alignment horizontal="center" vertical="center"/>
    </xf>
    <xf numFmtId="0" fontId="98" fillId="4" borderId="16" xfId="38" applyNumberFormat="1" applyFont="1" applyFill="1" applyBorder="1" applyAlignment="1">
      <alignment horizontal="center" vertical="center"/>
    </xf>
    <xf numFmtId="0" fontId="98" fillId="4" borderId="1" xfId="38" applyNumberFormat="1" applyFont="1" applyFill="1" applyBorder="1" applyAlignment="1">
      <alignment horizontal="center" vertical="center"/>
    </xf>
    <xf numFmtId="186" fontId="98" fillId="4" borderId="16" xfId="38" applyNumberFormat="1" applyFont="1" applyFill="1" applyBorder="1" applyAlignment="1">
      <alignment horizontal="center" vertical="center" wrapText="1"/>
    </xf>
    <xf numFmtId="186" fontId="98" fillId="4" borderId="1" xfId="38" applyNumberFormat="1" applyFont="1" applyFill="1" applyBorder="1" applyAlignment="1">
      <alignment horizontal="center" vertical="center" wrapText="1"/>
    </xf>
    <xf numFmtId="180" fontId="99" fillId="4" borderId="45" xfId="38" applyFont="1" applyFill="1" applyBorder="1" applyAlignment="1">
      <alignment horizontal="center" vertical="center" wrapText="1"/>
    </xf>
    <xf numFmtId="180" fontId="99" fillId="4" borderId="3" xfId="38" applyFont="1" applyFill="1" applyBorder="1" applyAlignment="1">
      <alignment horizontal="center" vertical="center" wrapText="1"/>
    </xf>
    <xf numFmtId="180" fontId="99" fillId="4" borderId="63" xfId="38" applyFont="1" applyFill="1" applyBorder="1" applyAlignment="1">
      <alignment horizontal="center" vertical="center" wrapText="1"/>
    </xf>
    <xf numFmtId="180" fontId="99" fillId="4" borderId="37" xfId="38" applyFont="1" applyFill="1" applyBorder="1" applyAlignment="1">
      <alignment horizontal="center" vertical="center" wrapText="1"/>
    </xf>
    <xf numFmtId="180" fontId="66" fillId="0" borderId="64" xfId="38" applyFont="1" applyFill="1" applyBorder="1" applyAlignment="1">
      <alignment horizontal="center" vertical="center" wrapText="1"/>
    </xf>
    <xf numFmtId="184" fontId="99" fillId="4" borderId="45" xfId="38" applyNumberFormat="1" applyFont="1" applyFill="1" applyBorder="1" applyAlignment="1">
      <alignment horizontal="center" vertical="center" wrapText="1"/>
    </xf>
    <xf numFmtId="184" fontId="99" fillId="4" borderId="3" xfId="38" applyNumberFormat="1" applyFont="1" applyFill="1" applyBorder="1" applyAlignment="1">
      <alignment horizontal="center" vertical="center" wrapText="1"/>
    </xf>
    <xf numFmtId="180" fontId="98" fillId="6" borderId="14" xfId="38" applyFont="1" applyFill="1" applyBorder="1" applyAlignment="1">
      <alignment horizontal="left" vertical="center" wrapText="1"/>
    </xf>
    <xf numFmtId="9" fontId="98" fillId="6" borderId="32" xfId="41" applyFont="1" applyFill="1" applyBorder="1" applyAlignment="1">
      <alignment horizontal="center" vertical="center" wrapText="1"/>
    </xf>
    <xf numFmtId="9" fontId="98" fillId="6" borderId="40" xfId="41" applyFont="1" applyFill="1" applyBorder="1" applyAlignment="1">
      <alignment horizontal="center" vertical="center" wrapText="1"/>
    </xf>
    <xf numFmtId="0" fontId="98" fillId="0" borderId="18" xfId="38" applyNumberFormat="1" applyFont="1" applyFill="1" applyBorder="1" applyAlignment="1">
      <alignment horizontal="center" vertical="center"/>
    </xf>
    <xf numFmtId="0" fontId="98" fillId="0" borderId="25" xfId="38" applyNumberFormat="1" applyFont="1" applyFill="1" applyBorder="1" applyAlignment="1">
      <alignment horizontal="center" vertical="center"/>
    </xf>
    <xf numFmtId="0" fontId="98" fillId="0" borderId="52" xfId="38" applyNumberFormat="1" applyFont="1" applyFill="1" applyBorder="1" applyAlignment="1">
      <alignment horizontal="center" vertical="center"/>
    </xf>
    <xf numFmtId="9" fontId="98" fillId="6" borderId="5" xfId="41" applyFont="1" applyFill="1" applyBorder="1" applyAlignment="1">
      <alignment horizontal="center" vertical="center" wrapText="1"/>
    </xf>
    <xf numFmtId="9" fontId="98" fillId="6" borderId="47" xfId="41" applyFont="1" applyFill="1" applyBorder="1" applyAlignment="1">
      <alignment horizontal="center" vertical="center" wrapText="1"/>
    </xf>
    <xf numFmtId="184" fontId="98" fillId="6" borderId="5" xfId="38" applyNumberFormat="1" applyFont="1" applyFill="1" applyBorder="1" applyAlignment="1">
      <alignment horizontal="left" vertical="top"/>
    </xf>
    <xf numFmtId="184" fontId="98" fillId="6" borderId="13" xfId="38" applyNumberFormat="1" applyFont="1" applyFill="1" applyBorder="1" applyAlignment="1">
      <alignment horizontal="left" vertical="top"/>
    </xf>
    <xf numFmtId="184" fontId="98" fillId="6" borderId="47" xfId="38" applyNumberFormat="1" applyFont="1" applyFill="1" applyBorder="1" applyAlignment="1">
      <alignment horizontal="left" vertical="top"/>
    </xf>
    <xf numFmtId="180" fontId="99" fillId="4" borderId="45" xfId="38" applyFont="1" applyFill="1" applyBorder="1" applyAlignment="1">
      <alignment horizontal="center" vertical="center"/>
    </xf>
    <xf numFmtId="180" fontId="99" fillId="4" borderId="3" xfId="38" applyFont="1" applyFill="1" applyBorder="1" applyAlignment="1">
      <alignment horizontal="center" vertical="center"/>
    </xf>
    <xf numFmtId="180" fontId="99" fillId="4" borderId="32" xfId="38" applyFont="1" applyFill="1" applyBorder="1" applyAlignment="1">
      <alignment horizontal="center" vertical="center"/>
    </xf>
    <xf numFmtId="180" fontId="99" fillId="4" borderId="31" xfId="38" applyFont="1" applyFill="1" applyBorder="1" applyAlignment="1">
      <alignment horizontal="center" vertical="center"/>
    </xf>
    <xf numFmtId="194" fontId="99" fillId="4" borderId="45" xfId="38" applyNumberFormat="1" applyFont="1" applyFill="1" applyBorder="1" applyAlignment="1">
      <alignment horizontal="center" vertical="center" wrapText="1"/>
    </xf>
    <xf numFmtId="194" fontId="99" fillId="4" borderId="3" xfId="38" applyNumberFormat="1" applyFont="1" applyFill="1" applyBorder="1" applyAlignment="1">
      <alignment horizontal="center" vertical="center" wrapText="1"/>
    </xf>
    <xf numFmtId="180" fontId="99" fillId="4" borderId="51" xfId="38" applyFont="1" applyFill="1" applyBorder="1" applyAlignment="1">
      <alignment horizontal="center" vertical="center"/>
    </xf>
    <xf numFmtId="180" fontId="99" fillId="4" borderId="26" xfId="38" applyFont="1" applyFill="1" applyBorder="1" applyAlignment="1">
      <alignment horizontal="center" vertical="center"/>
    </xf>
    <xf numFmtId="180" fontId="99" fillId="4" borderId="24" xfId="38" applyFont="1" applyFill="1" applyBorder="1" applyAlignment="1">
      <alignment horizontal="center" vertical="center" wrapText="1"/>
    </xf>
    <xf numFmtId="180" fontId="99" fillId="4" borderId="23" xfId="38" applyFont="1" applyFill="1" applyBorder="1" applyAlignment="1">
      <alignment horizontal="center" vertical="center" wrapText="1"/>
    </xf>
    <xf numFmtId="180" fontId="99" fillId="4" borderId="16" xfId="38" applyFont="1" applyFill="1" applyBorder="1" applyAlignment="1">
      <alignment horizontal="center" vertical="center" wrapText="1"/>
    </xf>
    <xf numFmtId="180" fontId="99" fillId="4" borderId="1" xfId="38" applyFont="1" applyFill="1" applyBorder="1" applyAlignment="1">
      <alignment horizontal="center" vertical="center" wrapText="1"/>
    </xf>
    <xf numFmtId="180" fontId="98" fillId="6" borderId="0" xfId="38" applyFont="1" applyFill="1" applyBorder="1" applyAlignment="1">
      <alignment horizontal="left" vertical="center" wrapText="1"/>
    </xf>
    <xf numFmtId="180" fontId="99" fillId="4" borderId="15" xfId="38" applyFont="1" applyFill="1" applyBorder="1" applyAlignment="1">
      <alignment horizontal="center" vertical="center"/>
    </xf>
    <xf numFmtId="180" fontId="99" fillId="4" borderId="17" xfId="38" applyFont="1" applyFill="1" applyBorder="1" applyAlignment="1">
      <alignment horizontal="center" vertical="center"/>
    </xf>
    <xf numFmtId="180" fontId="99" fillId="4" borderId="16" xfId="38" applyFont="1" applyFill="1" applyBorder="1" applyAlignment="1">
      <alignment horizontal="center" vertical="center"/>
    </xf>
    <xf numFmtId="180" fontId="99" fillId="4" borderId="1" xfId="38" applyFont="1" applyFill="1" applyBorder="1" applyAlignment="1">
      <alignment horizontal="center" vertical="center"/>
    </xf>
    <xf numFmtId="194" fontId="99" fillId="4" borderId="16" xfId="38" applyNumberFormat="1" applyFont="1" applyFill="1" applyBorder="1" applyAlignment="1">
      <alignment horizontal="center" vertical="center" wrapText="1"/>
    </xf>
    <xf numFmtId="194" fontId="99" fillId="4" borderId="1" xfId="38" applyNumberFormat="1" applyFont="1" applyFill="1" applyBorder="1" applyAlignment="1">
      <alignment horizontal="center" vertical="center" wrapText="1"/>
    </xf>
    <xf numFmtId="184" fontId="99" fillId="4" borderId="16" xfId="38" applyNumberFormat="1" applyFont="1" applyFill="1" applyBorder="1" applyAlignment="1">
      <alignment horizontal="center" vertical="center" wrapText="1"/>
    </xf>
    <xf numFmtId="184" fontId="99" fillId="4" borderId="1" xfId="38" applyNumberFormat="1" applyFont="1" applyFill="1" applyBorder="1" applyAlignment="1">
      <alignment horizontal="center" vertical="center" wrapText="1"/>
    </xf>
    <xf numFmtId="180" fontId="98" fillId="0" borderId="17" xfId="38" applyNumberFormat="1" applyFont="1" applyFill="1" applyBorder="1" applyAlignment="1">
      <alignment horizontal="center" vertical="center"/>
    </xf>
    <xf numFmtId="180" fontId="98" fillId="0" borderId="19" xfId="38" applyNumberFormat="1" applyFont="1" applyFill="1" applyBorder="1" applyAlignment="1">
      <alignment horizontal="center" vertical="center"/>
    </xf>
    <xf numFmtId="0" fontId="99" fillId="4" borderId="15" xfId="38" applyNumberFormat="1" applyFont="1" applyFill="1" applyBorder="1" applyAlignment="1">
      <alignment horizontal="center" vertical="center"/>
    </xf>
    <xf numFmtId="0" fontId="99" fillId="4" borderId="17" xfId="38" applyNumberFormat="1" applyFont="1" applyFill="1" applyBorder="1" applyAlignment="1">
      <alignment horizontal="center" vertical="center"/>
    </xf>
    <xf numFmtId="0" fontId="99" fillId="4" borderId="16" xfId="38" applyNumberFormat="1" applyFont="1" applyFill="1" applyBorder="1" applyAlignment="1">
      <alignment horizontal="center" vertical="center"/>
    </xf>
    <xf numFmtId="0" fontId="99" fillId="4" borderId="1" xfId="38" applyNumberFormat="1" applyFont="1" applyFill="1" applyBorder="1" applyAlignment="1">
      <alignment horizontal="center" vertical="center"/>
    </xf>
    <xf numFmtId="0" fontId="67" fillId="0" borderId="44" xfId="30" applyFont="1" applyFill="1" applyBorder="1" applyAlignment="1">
      <alignment horizontal="center" vertical="center"/>
    </xf>
    <xf numFmtId="0" fontId="19" fillId="0" borderId="5" xfId="30" applyFont="1" applyFill="1" applyBorder="1" applyAlignment="1">
      <alignment horizontal="center" vertical="center" wrapText="1"/>
    </xf>
    <xf numFmtId="0" fontId="19" fillId="0" borderId="13" xfId="30" applyFont="1" applyFill="1" applyBorder="1" applyAlignment="1">
      <alignment horizontal="center" vertical="center" wrapText="1"/>
    </xf>
    <xf numFmtId="0" fontId="19" fillId="0" borderId="11" xfId="30" applyFont="1" applyFill="1" applyBorder="1" applyAlignment="1">
      <alignment horizontal="center" vertical="center" wrapText="1"/>
    </xf>
    <xf numFmtId="0" fontId="34" fillId="10" borderId="17" xfId="0" applyFont="1" applyFill="1" applyBorder="1" applyAlignment="1">
      <alignment horizontal="center" vertical="center" wrapText="1"/>
    </xf>
    <xf numFmtId="0" fontId="34" fillId="10" borderId="1" xfId="0" applyFont="1" applyFill="1" applyBorder="1" applyAlignment="1">
      <alignment horizontal="center" vertical="center" wrapText="1"/>
    </xf>
    <xf numFmtId="182" fontId="36" fillId="0" borderId="1" xfId="0" applyNumberFormat="1" applyFont="1" applyFill="1" applyBorder="1" applyAlignment="1">
      <alignment horizontal="left" vertical="center" wrapText="1"/>
    </xf>
    <xf numFmtId="182" fontId="36" fillId="0" borderId="23" xfId="0" applyNumberFormat="1" applyFont="1" applyFill="1" applyBorder="1" applyAlignment="1">
      <alignment horizontal="left" vertical="center" wrapText="1"/>
    </xf>
    <xf numFmtId="0" fontId="19" fillId="0" borderId="1" xfId="0" applyFont="1" applyFill="1" applyBorder="1" applyAlignment="1">
      <alignment horizontal="center" vertical="center"/>
    </xf>
    <xf numFmtId="182" fontId="19" fillId="4" borderId="1" xfId="2" applyNumberFormat="1" applyFont="1" applyFill="1" applyBorder="1" applyAlignment="1" applyProtection="1">
      <alignment horizontal="center" vertical="center" wrapText="1"/>
    </xf>
    <xf numFmtId="0" fontId="19" fillId="4" borderId="1" xfId="0" applyFont="1" applyFill="1" applyBorder="1" applyAlignment="1">
      <alignment horizontal="center" vertical="center"/>
    </xf>
    <xf numFmtId="40" fontId="19" fillId="0" borderId="1" xfId="0" applyNumberFormat="1" applyFont="1" applyFill="1" applyBorder="1" applyAlignment="1">
      <alignment horizontal="center" vertical="center" wrapText="1"/>
    </xf>
    <xf numFmtId="0" fontId="19" fillId="0" borderId="18" xfId="0" applyFont="1" applyFill="1" applyBorder="1" applyAlignment="1">
      <alignment horizontal="center" vertical="center" textRotation="255" wrapText="1"/>
    </xf>
    <xf numFmtId="0" fontId="19" fillId="0" borderId="25" xfId="0" applyFont="1" applyFill="1" applyBorder="1" applyAlignment="1">
      <alignment horizontal="center" vertical="center" textRotation="255" wrapText="1"/>
    </xf>
    <xf numFmtId="0" fontId="19" fillId="0" borderId="26" xfId="0" applyFont="1" applyFill="1" applyBorder="1" applyAlignment="1">
      <alignment horizontal="center" vertical="center" textRotation="255" wrapText="1"/>
    </xf>
    <xf numFmtId="182" fontId="19" fillId="6" borderId="1" xfId="0" applyNumberFormat="1" applyFont="1" applyFill="1" applyBorder="1" applyAlignment="1">
      <alignment horizontal="center" vertical="center" wrapText="1"/>
    </xf>
    <xf numFmtId="182" fontId="19" fillId="4" borderId="1" xfId="2" applyNumberFormat="1" applyFont="1" applyFill="1" applyBorder="1" applyAlignment="1" applyProtection="1">
      <alignment horizontal="center" vertical="center"/>
    </xf>
    <xf numFmtId="182" fontId="33" fillId="0" borderId="1" xfId="0" applyNumberFormat="1" applyFont="1" applyFill="1" applyBorder="1" applyAlignment="1">
      <alignment horizontal="center" vertical="center" wrapText="1"/>
    </xf>
    <xf numFmtId="2" fontId="33" fillId="0" borderId="1" xfId="0" applyNumberFormat="1" applyFont="1" applyFill="1" applyBorder="1" applyAlignment="1">
      <alignment horizontal="center" vertical="center"/>
    </xf>
    <xf numFmtId="174" fontId="19" fillId="4" borderId="1" xfId="0" applyNumberFormat="1" applyFont="1" applyFill="1" applyBorder="1" applyAlignment="1">
      <alignment horizontal="center" vertical="center" wrapText="1"/>
    </xf>
    <xf numFmtId="0" fontId="31" fillId="6" borderId="0" xfId="0" applyFont="1" applyFill="1" applyBorder="1" applyAlignment="1">
      <alignment horizontal="center" vertical="center"/>
    </xf>
    <xf numFmtId="0" fontId="39" fillId="14" borderId="28" xfId="0" applyFont="1" applyFill="1" applyBorder="1" applyAlignment="1">
      <alignment horizontal="center" vertical="center"/>
    </xf>
    <xf numFmtId="0" fontId="39" fillId="14" borderId="29" xfId="0" applyFont="1" applyFill="1" applyBorder="1" applyAlignment="1">
      <alignment horizontal="center" vertical="center"/>
    </xf>
    <xf numFmtId="182" fontId="36" fillId="8" borderId="1" xfId="0" applyNumberFormat="1" applyFont="1" applyFill="1" applyBorder="1" applyAlignment="1">
      <alignment horizontal="left" vertical="center" wrapText="1"/>
    </xf>
    <xf numFmtId="182" fontId="36" fillId="8" borderId="23" xfId="0" applyNumberFormat="1" applyFont="1" applyFill="1" applyBorder="1" applyAlignment="1">
      <alignment horizontal="left" vertical="center" wrapText="1"/>
    </xf>
    <xf numFmtId="182" fontId="36" fillId="0" borderId="1" xfId="0" applyNumberFormat="1" applyFont="1" applyFill="1" applyBorder="1" applyAlignment="1">
      <alignment horizontal="left" vertical="center"/>
    </xf>
    <xf numFmtId="182" fontId="36" fillId="0" borderId="23" xfId="0" applyNumberFormat="1" applyFont="1" applyFill="1" applyBorder="1" applyAlignment="1">
      <alignment horizontal="left" vertical="center"/>
    </xf>
    <xf numFmtId="174" fontId="54" fillId="6" borderId="1" xfId="0" applyNumberFormat="1" applyFont="1" applyFill="1" applyBorder="1" applyAlignment="1">
      <alignment horizontal="center" vertical="center"/>
    </xf>
    <xf numFmtId="0" fontId="54" fillId="6" borderId="1" xfId="0" applyFont="1" applyFill="1" applyBorder="1" applyAlignment="1">
      <alignment horizontal="center" vertical="center"/>
    </xf>
    <xf numFmtId="0" fontId="4" fillId="4" borderId="1" xfId="0" applyFont="1" applyFill="1" applyBorder="1" applyAlignment="1">
      <alignment horizontal="center" vertical="center"/>
    </xf>
    <xf numFmtId="185" fontId="4" fillId="0" borderId="1" xfId="19" applyNumberFormat="1" applyFont="1" applyFill="1" applyBorder="1" applyAlignment="1" applyProtection="1">
      <alignment horizontal="center" vertical="center"/>
    </xf>
    <xf numFmtId="0" fontId="19" fillId="1" borderId="17" xfId="0" applyFont="1" applyFill="1" applyBorder="1" applyAlignment="1">
      <alignment horizontal="center" vertical="center"/>
    </xf>
    <xf numFmtId="0" fontId="19" fillId="1" borderId="1" xfId="0" applyFont="1" applyFill="1" applyBorder="1" applyAlignment="1">
      <alignment horizontal="center" vertical="center"/>
    </xf>
    <xf numFmtId="0" fontId="19" fillId="1" borderId="23" xfId="0" applyFont="1" applyFill="1" applyBorder="1" applyAlignment="1">
      <alignment horizontal="center" vertical="center"/>
    </xf>
    <xf numFmtId="0" fontId="38" fillId="10" borderId="19" xfId="0" applyFont="1" applyFill="1" applyBorder="1" applyAlignment="1">
      <alignment horizontal="center" vertical="center"/>
    </xf>
    <xf numFmtId="0" fontId="38" fillId="10" borderId="20" xfId="0" applyFont="1" applyFill="1" applyBorder="1" applyAlignment="1">
      <alignment horizontal="center" vertical="center"/>
    </xf>
    <xf numFmtId="0" fontId="19" fillId="6" borderId="0" xfId="0" applyFont="1" applyFill="1" applyBorder="1" applyAlignment="1">
      <alignment horizontal="center" vertical="center"/>
    </xf>
    <xf numFmtId="0" fontId="19" fillId="0" borderId="17" xfId="0" applyFont="1" applyFill="1" applyBorder="1" applyAlignment="1">
      <alignment horizontal="center" vertical="center" wrapText="1"/>
    </xf>
    <xf numFmtId="184" fontId="4" fillId="0" borderId="1" xfId="19" applyNumberFormat="1" applyFont="1" applyFill="1" applyBorder="1" applyAlignment="1" applyProtection="1">
      <alignment horizontal="center" vertical="center"/>
    </xf>
    <xf numFmtId="10" fontId="19" fillId="0" borderId="1" xfId="0" applyNumberFormat="1" applyFont="1" applyFill="1" applyBorder="1" applyAlignment="1">
      <alignment horizontal="center" vertical="center" wrapText="1"/>
    </xf>
    <xf numFmtId="170" fontId="19" fillId="0" borderId="1" xfId="0" applyNumberFormat="1" applyFont="1" applyFill="1" applyBorder="1" applyAlignment="1">
      <alignment horizontal="center" vertical="center"/>
    </xf>
    <xf numFmtId="167" fontId="33" fillId="0" borderId="1" xfId="0" applyNumberFormat="1" applyFont="1" applyFill="1" applyBorder="1" applyAlignment="1">
      <alignment horizontal="center" vertical="center"/>
    </xf>
    <xf numFmtId="183" fontId="19" fillId="0" borderId="1" xfId="0" applyNumberFormat="1" applyFont="1" applyFill="1" applyBorder="1" applyAlignment="1">
      <alignment horizontal="center" vertical="center" wrapText="1"/>
    </xf>
    <xf numFmtId="175" fontId="34" fillId="4" borderId="1" xfId="0" applyNumberFormat="1" applyFont="1" applyFill="1" applyBorder="1" applyAlignment="1">
      <alignment horizontal="center" vertical="center" wrapText="1"/>
    </xf>
    <xf numFmtId="184" fontId="34" fillId="4" borderId="5" xfId="0" applyNumberFormat="1" applyFont="1" applyFill="1" applyBorder="1" applyAlignment="1">
      <alignment horizontal="center" vertical="center" wrapText="1"/>
    </xf>
    <xf numFmtId="184" fontId="34" fillId="4" borderId="13" xfId="0" applyNumberFormat="1" applyFont="1" applyFill="1" applyBorder="1" applyAlignment="1">
      <alignment horizontal="center" vertical="center" wrapText="1"/>
    </xf>
    <xf numFmtId="184" fontId="34" fillId="4" borderId="11" xfId="0" applyNumberFormat="1" applyFont="1" applyFill="1" applyBorder="1" applyAlignment="1">
      <alignment horizontal="center" vertical="center" wrapText="1"/>
    </xf>
    <xf numFmtId="0" fontId="34" fillId="4" borderId="5" xfId="0" applyFont="1" applyFill="1" applyBorder="1" applyAlignment="1">
      <alignment horizontal="center" vertical="center" wrapText="1"/>
    </xf>
    <xf numFmtId="0" fontId="34" fillId="4" borderId="13" xfId="0" applyFont="1" applyFill="1" applyBorder="1" applyAlignment="1">
      <alignment horizontal="center" vertical="center" wrapText="1"/>
    </xf>
    <xf numFmtId="0" fontId="34" fillId="4" borderId="11" xfId="0" applyFont="1" applyFill="1" applyBorder="1" applyAlignment="1">
      <alignment horizontal="center" vertical="center" wrapText="1"/>
    </xf>
    <xf numFmtId="184" fontId="34" fillId="4" borderId="1" xfId="0" applyNumberFormat="1" applyFont="1" applyFill="1" applyBorder="1" applyAlignment="1">
      <alignment horizontal="center" vertical="center" wrapText="1"/>
    </xf>
    <xf numFmtId="184" fontId="19" fillId="4" borderId="1" xfId="2" applyNumberFormat="1" applyFont="1" applyFill="1" applyBorder="1" applyAlignment="1" applyProtection="1">
      <alignment horizontal="center" vertical="center" wrapText="1"/>
    </xf>
    <xf numFmtId="175" fontId="5" fillId="6" borderId="15" xfId="0" applyNumberFormat="1" applyFont="1" applyFill="1" applyBorder="1" applyAlignment="1">
      <alignment horizontal="center" vertical="center" wrapText="1"/>
    </xf>
    <xf numFmtId="175" fontId="5" fillId="6" borderId="17" xfId="0" applyNumberFormat="1" applyFont="1" applyFill="1" applyBorder="1" applyAlignment="1">
      <alignment horizontal="center" vertical="center" wrapText="1"/>
    </xf>
    <xf numFmtId="175" fontId="5" fillId="6" borderId="18" xfId="0" applyNumberFormat="1" applyFont="1" applyFill="1" applyBorder="1" applyAlignment="1">
      <alignment horizontal="center" vertical="center" wrapText="1"/>
    </xf>
    <xf numFmtId="175" fontId="5" fillId="6" borderId="19" xfId="0" applyNumberFormat="1" applyFont="1" applyFill="1" applyBorder="1" applyAlignment="1">
      <alignment horizontal="center" vertical="center" wrapText="1"/>
    </xf>
    <xf numFmtId="0" fontId="40" fillId="6" borderId="0" xfId="0" applyFont="1" applyFill="1" applyBorder="1" applyAlignment="1">
      <alignment horizontal="center" vertical="center" wrapText="1"/>
    </xf>
    <xf numFmtId="184" fontId="34" fillId="4" borderId="5" xfId="2" applyNumberFormat="1" applyFont="1" applyFill="1" applyBorder="1" applyAlignment="1" applyProtection="1">
      <alignment horizontal="center" vertical="center" wrapText="1"/>
    </xf>
    <xf numFmtId="184" fontId="34" fillId="4" borderId="13" xfId="2" applyNumberFormat="1" applyFont="1" applyFill="1" applyBorder="1" applyAlignment="1" applyProtection="1">
      <alignment horizontal="center" vertical="center" wrapText="1"/>
    </xf>
    <xf numFmtId="184" fontId="34" fillId="4" borderId="11" xfId="2" applyNumberFormat="1" applyFont="1" applyFill="1" applyBorder="1" applyAlignment="1" applyProtection="1">
      <alignment horizontal="center" vertical="center" wrapText="1"/>
    </xf>
    <xf numFmtId="0" fontId="19" fillId="0" borderId="23" xfId="0" applyFont="1" applyBorder="1" applyAlignment="1">
      <alignment horizontal="center" vertical="center" wrapText="1"/>
    </xf>
    <xf numFmtId="0" fontId="34" fillId="2" borderId="14" xfId="0" applyFont="1" applyFill="1" applyBorder="1" applyAlignment="1">
      <alignment horizontal="center" vertical="center"/>
    </xf>
    <xf numFmtId="0" fontId="34" fillId="2" borderId="0" xfId="0" applyFont="1" applyFill="1" applyBorder="1" applyAlignment="1">
      <alignment horizontal="center" vertical="center"/>
    </xf>
    <xf numFmtId="0" fontId="19" fillId="0" borderId="0" xfId="0" applyFont="1" applyAlignment="1">
      <alignment horizontal="center"/>
    </xf>
    <xf numFmtId="0" fontId="19" fillId="1" borderId="0" xfId="0" applyFont="1" applyFill="1" applyBorder="1" applyAlignment="1">
      <alignment horizontal="center"/>
    </xf>
    <xf numFmtId="0" fontId="19" fillId="4" borderId="15" xfId="0" applyFont="1" applyFill="1" applyBorder="1" applyAlignment="1">
      <alignment horizontal="center" vertical="center"/>
    </xf>
    <xf numFmtId="0" fontId="19" fillId="4" borderId="17" xfId="0" applyFont="1" applyFill="1" applyBorder="1" applyAlignment="1">
      <alignment horizontal="center" vertical="center"/>
    </xf>
    <xf numFmtId="0" fontId="19" fillId="4" borderId="32" xfId="0" applyFont="1" applyFill="1" applyBorder="1" applyAlignment="1">
      <alignment horizontal="center" vertical="center"/>
    </xf>
    <xf numFmtId="0" fontId="19" fillId="4" borderId="39" xfId="0" applyFont="1" applyFill="1" applyBorder="1" applyAlignment="1">
      <alignment horizontal="center" vertical="center"/>
    </xf>
    <xf numFmtId="0" fontId="19" fillId="4" borderId="40" xfId="0" applyFont="1" applyFill="1" applyBorder="1" applyAlignment="1">
      <alignment horizontal="center" vertical="center"/>
    </xf>
    <xf numFmtId="0" fontId="19" fillId="4" borderId="41" xfId="0" applyFont="1" applyFill="1" applyBorder="1" applyAlignment="1">
      <alignment horizontal="center" vertical="center"/>
    </xf>
    <xf numFmtId="0" fontId="19" fillId="4" borderId="42" xfId="0" applyFont="1" applyFill="1" applyBorder="1" applyAlignment="1">
      <alignment horizontal="center" vertical="center"/>
    </xf>
    <xf numFmtId="166" fontId="40" fillId="6" borderId="6" xfId="2" quotePrefix="1" applyNumberFormat="1" applyFont="1" applyFill="1" applyBorder="1" applyAlignment="1" applyProtection="1">
      <alignment horizontal="center" vertical="center" wrapText="1"/>
    </xf>
    <xf numFmtId="166" fontId="40" fillId="6" borderId="21" xfId="2" quotePrefix="1" applyNumberFormat="1" applyFont="1" applyFill="1" applyBorder="1" applyAlignment="1" applyProtection="1">
      <alignment horizontal="center" vertical="center" wrapText="1"/>
    </xf>
    <xf numFmtId="0" fontId="19" fillId="1" borderId="7" xfId="0" applyFont="1" applyFill="1" applyBorder="1" applyAlignment="1">
      <alignment horizontal="center" vertical="center"/>
    </xf>
    <xf numFmtId="0" fontId="19" fillId="1" borderId="8" xfId="0" applyFont="1" applyFill="1" applyBorder="1" applyAlignment="1">
      <alignment horizontal="center" vertical="center"/>
    </xf>
    <xf numFmtId="0" fontId="19" fillId="1" borderId="9" xfId="0" applyFont="1" applyFill="1" applyBorder="1" applyAlignment="1">
      <alignment horizontal="center" vertical="center"/>
    </xf>
    <xf numFmtId="0" fontId="19" fillId="0" borderId="1" xfId="0" applyFont="1" applyFill="1" applyBorder="1" applyAlignment="1">
      <alignment horizontal="center" vertical="center" wrapText="1"/>
    </xf>
    <xf numFmtId="0" fontId="19" fillId="0" borderId="1" xfId="0" applyFont="1" applyFill="1" applyBorder="1" applyAlignment="1">
      <alignment horizontal="center" vertical="center" textRotation="255" wrapText="1"/>
    </xf>
    <xf numFmtId="0" fontId="38" fillId="10" borderId="1" xfId="0" applyFont="1" applyFill="1" applyBorder="1" applyAlignment="1">
      <alignment horizontal="center" vertical="center"/>
    </xf>
    <xf numFmtId="0" fontId="39" fillId="14" borderId="1" xfId="0" applyFont="1" applyFill="1" applyBorder="1" applyAlignment="1">
      <alignment horizontal="center" vertical="center"/>
    </xf>
    <xf numFmtId="0" fontId="19" fillId="0" borderId="1" xfId="0" applyFont="1" applyBorder="1" applyAlignment="1">
      <alignment horizontal="center" vertical="center" wrapText="1"/>
    </xf>
  </cellXfs>
  <cellStyles count="60">
    <cellStyle name="0,0_x000d__x000a_NA_x000d__x000a_" xfId="46"/>
    <cellStyle name="0,0_x000d__x000a_NA_x000d__x000a_ 2" xfId="45"/>
    <cellStyle name="Change A&amp;ll 3" xfId="20"/>
    <cellStyle name="千位分隔" xfId="2" builtinId="3"/>
    <cellStyle name="千位分隔 10" xfId="15"/>
    <cellStyle name="千位分隔 2" xfId="32"/>
    <cellStyle name="千位分隔 2 2 2" xfId="39"/>
    <cellStyle name="千位分隔 3" xfId="11"/>
    <cellStyle name="千位分隔 4" xfId="37"/>
    <cellStyle name="千位分隔[0] 2" xfId="8"/>
    <cellStyle name="千位分隔[0]_新项目测算模板" xfId="12"/>
    <cellStyle name="千位分隔_新项目测算模板" xfId="13"/>
    <cellStyle name="常规" xfId="0" builtinId="0"/>
    <cellStyle name="常规 15" xfId="53"/>
    <cellStyle name="常规 2" xfId="17"/>
    <cellStyle name="常规 2 125" xfId="52"/>
    <cellStyle name="常规 2 2" xfId="30"/>
    <cellStyle name="常规 2 2 2" xfId="48"/>
    <cellStyle name="常规 2 2 5" xfId="27"/>
    <cellStyle name="常规 2 3" xfId="24"/>
    <cellStyle name="常规 2 3 2" xfId="33"/>
    <cellStyle name="常规 2 3 3" xfId="47"/>
    <cellStyle name="常规 2 4" xfId="38"/>
    <cellStyle name="常规 3" xfId="23"/>
    <cellStyle name="常规 3 2" xfId="58"/>
    <cellStyle name="常规 3 2 2" xfId="59"/>
    <cellStyle name="常规 4" xfId="31"/>
    <cellStyle name="常规 5" xfId="36"/>
    <cellStyle name="常规 5 2" xfId="21"/>
    <cellStyle name="常规 6" xfId="22"/>
    <cellStyle name="常规 6 2" xfId="43"/>
    <cellStyle name="常规_副本中林项目目标成本-1(070626)" xfId="9"/>
    <cellStyle name="常规_土地原始成本" xfId="7"/>
    <cellStyle name="常规_多层单一测算" xfId="28"/>
    <cellStyle name="常规_多层单一测算 2" xfId="54"/>
    <cellStyle name="常规_房地产税种" xfId="4"/>
    <cellStyle name="常规_新区地块测算0104（12、16、18、32）" xfId="55"/>
    <cellStyle name="常规_新区地块测算1229" xfId="3"/>
    <cellStyle name="常规_新项目测算模板" xfId="1"/>
    <cellStyle name="常规_深圳区域目标成本审批表" xfId="49"/>
    <cellStyle name="常规_罗店工程、销售、结算计划(071015)" xfId="16"/>
    <cellStyle name="常规_草庄地块立项报告090804" xfId="6"/>
    <cellStyle name="常规_金色城市二期目标成本20110803" xfId="44"/>
    <cellStyle name="常规_金色家园（中林）目标成本测算表071201" xfId="14"/>
    <cellStyle name="常规_项目成本测算表200909" xfId="19"/>
    <cellStyle name="常规_黄岐泌冲港测算1110" xfId="10"/>
    <cellStyle name="样式 1" xfId="26"/>
    <cellStyle name="样式 1 2" xfId="29"/>
    <cellStyle name="样式 1 2 2" xfId="56"/>
    <cellStyle name="样式 2" xfId="25"/>
    <cellStyle name="样式 2 2" xfId="34"/>
    <cellStyle name="样式 2 3" xfId="51"/>
    <cellStyle name="百分比" xfId="5" builtinId="5"/>
    <cellStyle name="百分比 2" xfId="18"/>
    <cellStyle name="百分比 2 2" xfId="42"/>
    <cellStyle name="百分比 3" xfId="35"/>
    <cellStyle name="百分比 3 2" xfId="57"/>
    <cellStyle name="百分比 4" xfId="41"/>
    <cellStyle name="百分比 5" xfId="50"/>
    <cellStyle name="百分比 7" xfId="40"/>
  </cellStyles>
  <dxfs count="562">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9C0006"/>
      </font>
      <fill>
        <patternFill>
          <bgColor rgb="FFFFC7CE"/>
        </patternFill>
      </fill>
    </dxf>
    <dxf>
      <font>
        <sz val="12"/>
        <color rgb="FFFFFFFF"/>
      </font>
    </dxf>
    <dxf>
      <font>
        <sz val="12"/>
        <color rgb="FF9C0006"/>
      </font>
      <fill>
        <patternFill>
          <bgColor rgb="FFFFC7CE"/>
        </patternFill>
      </fill>
    </dxf>
    <dxf>
      <font>
        <sz val="12"/>
        <color rgb="FF9C0006"/>
      </font>
      <fill>
        <patternFill>
          <bgColor rgb="FFFFC7CE"/>
        </patternFill>
      </fill>
    </dxf>
    <dxf>
      <font>
        <sz val="12"/>
        <color rgb="FFFFFFFF"/>
      </font>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DDD"/>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5.xml"/><Relationship Id="rId68" Type="http://schemas.openxmlformats.org/officeDocument/2006/relationships/externalLink" Target="externalLinks/externalLink10.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8.xml"/><Relationship Id="rId74" Type="http://schemas.openxmlformats.org/officeDocument/2006/relationships/externalLink" Target="externalLinks/externalLink16.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6.xml"/><Relationship Id="rId69" Type="http://schemas.openxmlformats.org/officeDocument/2006/relationships/externalLink" Target="externalLinks/externalLink11.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externalLink" Target="externalLinks/externalLink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70" Type="http://schemas.openxmlformats.org/officeDocument/2006/relationships/externalLink" Target="externalLinks/externalLink12.xml"/><Relationship Id="rId75"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externalLink" Target="externalLinks/externalLink7.xml"/><Relationship Id="rId73" Type="http://schemas.openxmlformats.org/officeDocument/2006/relationships/externalLink" Target="externalLinks/externalLink15.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3.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portal-bjdc:88\Documents%20and%20Settings\zhenghh\Local%20Settings\Temporary%20Internet%20Files\OLKBB\&#38738;&#38738;2006&#24180;&#25104;&#26412;&#39044;&#31639;(&#19979;&#21322;&#2418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ortal-bjdc:88/Documents%20and%20Settings/zhenghh/Local%20Settings/Temporary%20Internet%20Files/OLKBB/&#38738;&#38738;2006&#24180;&#25104;&#26412;&#39044;&#31639;(&#19979;&#21322;&#2418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26032;&#24314;&#25991;&#20214;&#22841;q\Documents%20and%20Settings\chengy\Local%20Settings\Temporary%20Internet%20Files\OLK14\&#35199;&#23665;&#21160;&#24577;&#25104;&#26412;&#20998;&#26512;ol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wuxun\Local%20Settings\Temporary%20Internet%20Files\OLKA8\Documents%20and%20Settings\zengzc.VANKE\Local%20Settings\Temporary%20Internet%20Files\OLK134\&#26080;&#38177;&#39749;&#21147;&#20043;&#22478;B3&#26223;&#35266;&#24037;&#31243;&#37327;&#28165;&#2133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ocuments%2520and%2520Settings\wuxun\Local%2520Settings\Temporary%2520Internet%2520Files\OLKA8\Documents%2520and%2520Settings\zengzc.VANKE\Local%2520Settings\Temporary%2520Internet%2520Files\OLK134\&#26080;&#38177;&#39749;&#21147;&#20043;&#22478;B3&#26223;&#35266;&#24037;&#31243;&#37327;&#28165;&#2133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24658;&#36890;&#27704;&#36798;\&#20975;&#33589;&#35946;&#22253;\&#20975;&#33589;&#35946;&#22253;&#32467;&#31639;\&#20013;&#24515;&#21306;&#24037;&#31243;&#32467;&#31639;\&#22320;&#19979;&#23460;&#24037;&#31243;\&#38050;&#31563;-&#22522;&#30784;&#2675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7779;&#22303;&#35745;&#21010;&#20132;&#27969;&#24037;&#20316;&#25991;&#20214;/&#38738;&#23707;&#20844;&#21496;ICP&#22522;&#30784;&#35774;&#32622;/&#19968;&#32447;&#25104;&#26412;&#31185;&#30446;&#35774;&#32622;/&#19968;&#32447;&#20844;&#21496;&#25104;&#26412;&#31185;&#30446;(&#38738;&#23707;&#20844;&#2149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portal-bjdc:88/&#29579;&#36154;&#23431;/&#22235;&#23395;&#33457;&#22478;/&#25104;&#26412;&#21450;&#38754;&#31215;/&#22235;&#23395;&#33457;&#22478;&#19977;&#26399;&#65288;6&#21306;&#65289;&#30446;&#26631;&#25104;&#26412;031031&#65288;&#29579;&#25913;2&#6528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26032;&#24314;&#25991;&#20214;&#22841;q\Documents%20and%20Settings\chengy\Local%20Settings\Temporary%20Internet%20Files\OLK14\&#36131;&#20219;&#25104;&#26412;&#21450;&#20184;&#27454;&#35745;&#21010;&#27169;&#26495;20050114(xm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78DC9671\Temporary%20Internet%20File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20313;&#27589;&#28304;\&#24037;&#31243;&#37327;&#35745;&#31639;&#24335;\&#24037;&#31243;&#37327;&#35745;&#31639;(&#2716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26631;&#24213;\&#20016;&#30000;\&#22303;&#24314;&#24037;&#31243;&#37327;&#35745;&#31639;&#24335;&#21464;&#21387;&#22120;&#2515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1\linyong\LOCALS~1\Temp\&#37329;&#33394;&#23478;&#22253;&#19977;&#26399;&#30446;&#26631;&#25104;&#26412;&#27979;&#31639;&#34920;0402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henz21/Desktop/0906&#25913;&#65306;&#38598;&#22242;&#26032;&#29256;&#21512;&#32422;&#39044;&#31639;&#26679;&#34920;&#65288;&#26694;&#26550;&#65289;.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chenz21/AppData/Local/Microsoft/Windows/INetCache/Content.Outlook/LDOQEJPG/0905&#25913;&#65306;&#38598;&#22242;&#26032;&#29256;&#21512;&#32422;&#39044;&#31639;&#26679;&#34920;&#65288;&#26694;&#26550;&#65289;.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xuzf01/Desktop/0906&#25913;&#65306;&#38598;&#22242;&#26032;&#29256;&#20998;&#26399;&#21512;&#32422;&#39044;&#31639;&#26679;&#34920;(&#2177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oc-szzb\&#37096;&#38376;2-&#36130;&#21153;.&#36164;&#37329;.&#20225;&#21010;.IT\DOCUME~1\yaoj\LOCALS~1\Temp\107&#24037;&#20316;&#65293;home\&#22478;&#33457;\&#33829;&#38144;&#36153;&#29992;&#21512;&#21516;&#65293;&#20184;&#27454;&#65288;&#22478;&#33457;&#65289;01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成本预算调整说明"/>
      <sheetName val="一、青青全项目资金计划"/>
      <sheetName val="二、青青四期各部门责任成本及资金计划"/>
      <sheetName val="2.1设计部"/>
      <sheetName val="2.2拓展部"/>
      <sheetName val="2.3财务部"/>
      <sheetName val="2.4成本部"/>
      <sheetName val="2.5工程部"/>
      <sheetName val="2.6采购部"/>
      <sheetName val="2.7项目部"/>
      <sheetName val="2.8责任成本归属标准"/>
      <sheetName val="三.青青全项目结算汇总表"/>
      <sheetName val="3.1青青一期"/>
      <sheetName val="3.2青青二期"/>
      <sheetName val="3.3青青三期"/>
      <sheetName val="3.4青青四期"/>
      <sheetName val="3.5青青跨期"/>
      <sheetName val="四.变更签证计划"/>
      <sheetName val="审批查询1"/>
      <sheetName val="审批查询2"/>
      <sheetName val="Sheet2"/>
      <sheetName val="装饰清单"/>
      <sheetName val="基本参数"/>
      <sheetName val="成本估算"/>
      <sheetName val="设计部"/>
      <sheetName val="规划指标"/>
      <sheetName val="表格设置"/>
      <sheetName val="12.措施项目清单计价表（一）"/>
      <sheetName val="合同明细"/>
      <sheetName val="#REF!"/>
      <sheetName val="e"/>
      <sheetName val="_Recovered_SheetName_ 1_"/>
      <sheetName val="楼梯间"/>
      <sheetName val="9、措施项目清单计价表"/>
      <sheetName val="（室内）装饰工程量"/>
      <sheetName val="Sheet3"/>
      <sheetName val="_x0002_"/>
      <sheetName val="Sh"/>
      <sheetName val="计算底稿"/>
      <sheetName val="#REF"/>
      <sheetName val="面积指标"/>
      <sheetName val="Main"/>
      <sheetName val="Financ. Overview"/>
      <sheetName val="Toolbox"/>
      <sheetName val="Open"/>
      <sheetName val="DDETABLE "/>
      <sheetName val="eva"/>
      <sheetName val="SW-TEO"/>
      <sheetName val="标准层E户型室内（正、反） "/>
      <sheetName val="_x005f_x0002__x005f_x0000_떸,_x005f_x0000__x005f_x0000__"/>
      <sheetName val="Sh_x005f_x0000__x005f_x0000_ቴ"/>
      <sheetName val="_x005f_x0002_"/>
      <sheetName val="MOHKG"/>
      <sheetName val="07水"/>
      <sheetName val="eqpmad2"/>
      <sheetName val="2_1设计部"/>
      <sheetName val="2_2拓展部"/>
      <sheetName val="2_3财务部"/>
      <sheetName val="2_4成本部"/>
      <sheetName val="2_5工程部"/>
      <sheetName val="2_6采购部"/>
      <sheetName val="2_7项目部"/>
      <sheetName val="2_8责任成本归属标准"/>
      <sheetName val="三_青青全项目结算汇总表"/>
      <sheetName val="3_1青青一期"/>
      <sheetName val="3_2青青二期"/>
      <sheetName val="3_3青青三期"/>
      <sheetName val="3_4青青四期"/>
      <sheetName val="3_5青青跨期"/>
      <sheetName val="四_变更签证计划"/>
      <sheetName val="12_措施项目清单计价表（一）"/>
      <sheetName val="_Recovered_SheetName__1_"/>
      <sheetName val="떸,ࠀ"/>
      <sheetName val=""/>
      <sheetName val="Financ__Overview"/>
      <sheetName val="DDETABLE_"/>
      <sheetName val="标准层E户型室内（正、反）_"/>
      <sheetName val="_x0002__x0000_떸,_x0000__x0000__x0001_ࠀ"/>
      <sheetName val="Sh_x0000__x0000_ቴ"/>
      <sheetName val="21"/>
      <sheetName val="_x0002__x0000_떸,_x0000__x0000__"/>
      <sheetName val="_x005f_x0002__x005f_x0000_떸,_x0"/>
      <sheetName val="6"/>
      <sheetName val="_x005f_x005f_x005f_x0002__x005f"/>
      <sheetName val="Sh_x005f_x005f_x005f_x0000__x00"/>
      <sheetName val="_x005f_x005f_x005f_x0002_"/>
      <sheetName val="_x005f_x005f_x005f_x0002__x005f_x005f_x005f_x0000_떸,_x0"/>
      <sheetName val="Sh_x005f_x005f_x005f_x0000__x005f_x005f_x005f_x0000_ቴ"/>
      <sheetName val="_x005f_x005f_x005f_x005f_x005f_x005f_x005f_x0002__x005f"/>
      <sheetName val="Sh_x005f_x005f_x005f_x005f_x005f_x005f_x005f_x0000__x00"/>
      <sheetName val="_x005f_x005f_x005f_x005f_x005f_x005f_x005f_x0002_"/>
      <sheetName val="8.措施项目清单计价表（一） "/>
      <sheetName val="_x005f_x005f_x005f_x005f_x005f_x005f_x005f_x005f_x005f_x005f_"/>
      <sheetName val="Sh_x005f_x005f_x005f_x005f_x005f_x005f_x005f_x005f_x005"/>
      <sheetName val="设计费用-ICP"/>
      <sheetName val="_x0002__x0000_떸,_x0"/>
      <sheetName val="Sh_x005f_x005f_x005f_x005f_x005"/>
      <sheetName val="_x005f_x005f_x005f_x005f_"/>
      <sheetName val="_x005f_x0002__x005f"/>
      <sheetName val="Sh_x005f_x0000__x00"/>
      <sheetName val="Sh_x005f_x005f_x005"/>
      <sheetName val="_x005f_x005f_"/>
      <sheetName val="基础工程量估算"/>
      <sheetName val="大面工程量"/>
      <sheetName val="防火隔离带"/>
      <sheetName val="单位库"/>
      <sheetName val="施工参考单价报价表"/>
      <sheetName val="甲指乙供材料报价表"/>
      <sheetName val="土方"/>
      <sheetName val="Sheet9"/>
      <sheetName val="A1户型装饰"/>
      <sheetName val="青青2006年成本预算(下半年)"/>
    </sheetNames>
    <sheetDataSet>
      <sheetData sheetId="0" refreshError="1"/>
      <sheetData sheetId="1" refreshError="1"/>
      <sheetData sheetId="2" refreshError="1"/>
      <sheetData sheetId="3" refreshError="1"/>
      <sheetData sheetId="4"/>
      <sheetData sheetId="5"/>
      <sheetData sheetId="6"/>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成本预算调整说明"/>
      <sheetName val="一、青青全项目资金计划"/>
      <sheetName val="二、青青四期各部门责任成本及资金计划"/>
      <sheetName val="2.1设计部"/>
      <sheetName val="2.2拓展部"/>
      <sheetName val="2.3财务部"/>
      <sheetName val="2.4成本部"/>
      <sheetName val="2.5工程部"/>
      <sheetName val="2.6采购部"/>
      <sheetName val="2.7项目部"/>
      <sheetName val="2.8责任成本归属标准"/>
      <sheetName val="三.青青全项目结算汇总表"/>
      <sheetName val="3.1青青一期"/>
      <sheetName val="3.2青青二期"/>
      <sheetName val="3.3青青三期"/>
      <sheetName val="3.4青青四期"/>
      <sheetName val="3.5青青跨期"/>
      <sheetName val="四.变更签证计划"/>
      <sheetName val="审批查询1"/>
      <sheetName val="审批查询2"/>
      <sheetName val="Sheet2"/>
      <sheetName val="装饰清单"/>
      <sheetName val="基本参数"/>
      <sheetName val="成本估算"/>
      <sheetName val="设计部"/>
      <sheetName val="规划指标"/>
      <sheetName val="表格设置"/>
      <sheetName val="12.措施项目清单计价表（一）"/>
      <sheetName val="合同明细"/>
      <sheetName val="#REF!"/>
      <sheetName val="e"/>
      <sheetName val="_Recovered_SheetName_ 1_"/>
      <sheetName val="楼梯间"/>
      <sheetName val="9、措施项目清单计价表"/>
      <sheetName val="（室内）装饰工程量"/>
      <sheetName val="Sheet3"/>
      <sheetName val="_x0002__x0000_떸,_x0000__x0000__x0001_ࠀ"/>
      <sheetName val="Sh_x0000__x0000_ቴ"/>
      <sheetName val="_x0002_"/>
      <sheetName val="Sh"/>
      <sheetName val="计算底稿"/>
      <sheetName val="#REF"/>
      <sheetName val="面积指标"/>
      <sheetName val="Main"/>
      <sheetName val="Financ. Overview"/>
      <sheetName val="Toolbox"/>
      <sheetName val="Open"/>
      <sheetName val="DDETABLE "/>
      <sheetName val="eva"/>
      <sheetName val="SW-TEO"/>
      <sheetName val="标准层E户型室内（正、反） "/>
      <sheetName val="_x005f_x0002__x005f_x0000_떸,_x005f_x0000__x005f_x0000__"/>
      <sheetName val="Sh_x005f_x0000__x005f_x0000_ቴ"/>
      <sheetName val="_x005f_x0002_"/>
      <sheetName val="MOHKG"/>
      <sheetName val="07水"/>
      <sheetName val="eqpmad2"/>
      <sheetName val="2_1设计部"/>
      <sheetName val="2_2拓展部"/>
      <sheetName val="2_3财务部"/>
      <sheetName val="2_4成本部"/>
      <sheetName val="2_5工程部"/>
      <sheetName val="2_6采购部"/>
      <sheetName val="2_7项目部"/>
      <sheetName val="2_8责任成本归属标准"/>
      <sheetName val="三_青青全项目结算汇总表"/>
      <sheetName val="3_1青青一期"/>
      <sheetName val="3_2青青二期"/>
      <sheetName val="3_3青青三期"/>
      <sheetName val="3_4青青四期"/>
      <sheetName val="3_5青青跨期"/>
      <sheetName val="四_变更签证计划"/>
      <sheetName val="12_措施项目清单计价表（一）"/>
      <sheetName val="_Recovered_SheetName__1_"/>
      <sheetName val="떸,ࠀ"/>
      <sheetName val=""/>
      <sheetName val="Financ__Overview"/>
      <sheetName val="DDETABLE_"/>
      <sheetName val="标准层E户型室内（正、反）_"/>
      <sheetName val="施工参考单价报价表"/>
      <sheetName val="甲指乙供材料报价表"/>
      <sheetName val="设计费用-ICP"/>
      <sheetName val="21"/>
      <sheetName val="土方"/>
      <sheetName val="Sheet9"/>
      <sheetName val="A1户型装饰"/>
      <sheetName val="青青2006年成本预算(下半年)"/>
    </sheetNames>
    <sheetDataSet>
      <sheetData sheetId="0" refreshError="1"/>
      <sheetData sheetId="1" refreshError="1"/>
      <sheetData sheetId="2" refreshError="1"/>
      <sheetData sheetId="3" refreshError="1"/>
      <sheetData sheetId="4"/>
      <sheetData sheetId="5"/>
      <sheetData sheetId="6"/>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西山责任成本及资金计划汇总"/>
      <sheetName val="工程部"/>
      <sheetName val="财务部"/>
      <sheetName val="设计部"/>
      <sheetName val="拓展部"/>
      <sheetName val="成本部"/>
      <sheetName val="销售中心"/>
      <sheetName val="采购部"/>
      <sheetName val="责任成本归属标准"/>
      <sheetName val="项目部"/>
      <sheetName val="结算及付款计划初稿"/>
      <sheetName val="规划指标"/>
      <sheetName val="基本参数"/>
      <sheetName val="成本估算"/>
      <sheetName val="二次对量汇总"/>
      <sheetName val="Sheet2"/>
      <sheetName val="貨品科目"/>
      <sheetName val="Mp-team 1"/>
      <sheetName val="#REF!"/>
      <sheetName val="Main"/>
      <sheetName val="e"/>
      <sheetName val="07水"/>
      <sheetName val="试算平衡表"/>
      <sheetName val="TRAFFIC-bud"/>
      <sheetName val="设计费用-ICP"/>
      <sheetName val="资料库"/>
      <sheetName val="5201.2004"/>
      <sheetName val="Quick Input1"/>
      <sheetName val="HW-SW Support"/>
      <sheetName val="Alcatel Final RFQ"/>
      <sheetName val="Input Item Qties"/>
      <sheetName val="Data"/>
      <sheetName val="1320CT"/>
      <sheetName val="Cashflow(Scenario)"/>
      <sheetName val="Parameters"/>
      <sheetName val="合同明细"/>
      <sheetName val="21"/>
      <sheetName val="3"/>
      <sheetName val="7"/>
      <sheetName val="投标材料清单 "/>
      <sheetName val="材料单价表"/>
      <sheetName val="改加胶玻璃、室外栏杆"/>
      <sheetName val="Open"/>
      <sheetName val="Toolbox"/>
      <sheetName val="封面"/>
      <sheetName val="Global"/>
      <sheetName val="CFA"/>
      <sheetName val="Outline"/>
      <sheetName val="费用表"/>
      <sheetName val="单位库"/>
      <sheetName val="内围地梁钢筋说明"/>
      <sheetName val="2.1设计部"/>
      <sheetName val="General"/>
      <sheetName val="Construction"/>
      <sheetName val="4.1.1"/>
      <sheetName val="Modified Store"/>
      <sheetName val="Cat A Change Control"/>
      <sheetName val="2016.6.12"/>
      <sheetName val="下拉"/>
      <sheetName val="Estimate Details"/>
      <sheetName val="DDETABLE "/>
      <sheetName val="list"/>
      <sheetName val="NAME"/>
      <sheetName val="A投资指标"/>
      <sheetName val="Z控制表"/>
      <sheetName val="K流量表过渡"/>
      <sheetName val="O售价敏感分析"/>
      <sheetName val="資料庫"/>
      <sheetName val="甲指乙供材料报价表"/>
      <sheetName val="型材"/>
      <sheetName val="施工参考单价报价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基本参数"/>
      <sheetName val="成本估算"/>
      <sheetName val="规划指标"/>
      <sheetName val="设计部"/>
      <sheetName val="Cashflow(Scenario)"/>
      <sheetName val="eqpmad2"/>
      <sheetName val="Sheet9"/>
      <sheetName val="Parameters"/>
      <sheetName val="SW-TEO"/>
      <sheetName val="Financ. Overview"/>
      <sheetName val="方案4"/>
      <sheetName val="合同台账"/>
      <sheetName val="方案1"/>
      <sheetName val="报表项目基本情况表"/>
      <sheetName val="石材购买量统计"/>
      <sheetName val="敏感参数"/>
      <sheetName val="面积指标"/>
      <sheetName val="7.1附表1 外装脚手架平米单价组成"/>
      <sheetName val="2.1设计部"/>
      <sheetName val="合同明细"/>
      <sheetName val="楼梯间"/>
      <sheetName val="e"/>
      <sheetName val="二次对量汇总"/>
      <sheetName val="表格设置"/>
      <sheetName val="_Recovered_SheetName_ 1_"/>
      <sheetName val="无锡魅力之城B3景观工程量清单"/>
      <sheetName val="设计费用-ICP"/>
      <sheetName val="Toolbox"/>
      <sheetName val="XL4Poppy"/>
      <sheetName val="Aging Datasheet"/>
      <sheetName val="ECCS_1 DataSheet"/>
      <sheetName val="KPI Datasheet"/>
      <sheetName val="下拉菜单"/>
      <sheetName val="7.合约规划（仅供参考）"/>
      <sheetName val="Sheet1"/>
      <sheetName val="增值税 敏感)"/>
      <sheetName val="地价变动影响表2"/>
      <sheetName val="Sheet5"/>
      <sheetName val="填报指引"/>
      <sheetName val="经济指标"/>
      <sheetName val="创造利润"/>
      <sheetName val="现金流量"/>
      <sheetName val="勾稽关系"/>
      <sheetName val="地价分摊表"/>
      <sheetName val="销售计划"/>
      <sheetName val="结算计划"/>
      <sheetName val="结算利润"/>
      <sheetName val="基础信息"/>
      <sheetName val="成本过渡"/>
      <sheetName val="工程款付款计划"/>
      <sheetName val="成本汇总"/>
      <sheetName val="现金流量表"/>
      <sheetName val="设计指标20160426"/>
      <sheetName val="跟投测算"/>
      <sheetName val="土地增值税"/>
      <sheetName val="全期合约金额规划表"/>
      <sheetName val="产值规划表"/>
      <sheetName val="标准合同目录"/>
      <sheetName val="跨期成本分摊明细表"/>
      <sheetName val="全期规划指标"/>
      <sheetName val="公摊费用及期间费"/>
      <sheetName val="高层住宅（27层） "/>
      <sheetName val="多层6"/>
      <sheetName val="高层（17层）"/>
      <sheetName val="底层商业"/>
      <sheetName val="持有住宅"/>
      <sheetName val="集中商业"/>
      <sheetName val="普通地下室"/>
      <sheetName val="配套测算表（示例）"/>
      <sheetName val="合约规划原则"/>
      <sheetName val="价格波动对成本影响的模拟推演"/>
      <sheetName val="填表指引"/>
      <sheetName val="填表指引 (成本)"/>
      <sheetName val="可售底商"/>
      <sheetName val="小高层"/>
      <sheetName val="高层18"/>
      <sheetName val="多层"/>
      <sheetName val="超高层(46)"/>
      <sheetName val="购物中心-销售部分"/>
      <sheetName val="购物中心-持有部分"/>
      <sheetName val="保护建筑(销售商业)"/>
      <sheetName val="保护建筑(持有商业)"/>
      <sheetName val="高层还建房"/>
      <sheetName val="持有商业"/>
      <sheetName val="公寓"/>
      <sheetName val="超市"/>
      <sheetName val="办公楼"/>
      <sheetName val="独栋"/>
      <sheetName val="酒店"/>
      <sheetName val="叠拼"/>
      <sheetName val="承台(砖模) "/>
      <sheetName val="柱"/>
      <sheetName val="地产口"/>
      <sheetName val="施工参考单价报价表"/>
      <sheetName val="其它工作项目报价清单"/>
      <sheetName val="甲指乙供材料报价表"/>
      <sheetName val="测算原则"/>
      <sheetName val="Note 1 - Recon Profit"/>
      <sheetName val="Cash Flow Statement"/>
      <sheetName val="Open"/>
      <sheetName val="temp"/>
      <sheetName val="21"/>
      <sheetName val="5201.2004"/>
      <sheetName val="土方"/>
      <sheetName val="03城东"/>
      <sheetName val="系数516"/>
      <sheetName val="基本设置"/>
      <sheetName val="目录"/>
      <sheetName val="General"/>
      <sheetName val="成本测算"/>
      <sheetName val="附表1"/>
      <sheetName val="XLR_NoRangeSheet"/>
      <sheetName val="单位"/>
      <sheetName val="Estimate Details"/>
      <sheetName val="99CCTV"/>
      <sheetName val="材料"/>
      <sheetName val="Assumptions"/>
      <sheetName val="Scenarios"/>
      <sheetName val="09实际"/>
      <sheetName val="大面工程量"/>
      <sheetName val="防火隔离带"/>
      <sheetName val="合同台帐"/>
      <sheetName val="季度成本动态控制表"/>
      <sheetName val="MOHKG"/>
      <sheetName val="雨棚"/>
      <sheetName val="改加胶玻璃、室外栏杆"/>
      <sheetName val="内围地梁钢筋说明"/>
      <sheetName val="名称"/>
      <sheetName val="常用项目"/>
      <sheetName val="基础工程量估算"/>
      <sheetName val="main"/>
      <sheetName val="土建工程综合单价表"/>
      <sheetName val="土建工程综合单价组价明细表"/>
      <sheetName val="单位库"/>
      <sheetName val="防水工程"/>
      <sheetName val="下拉"/>
      <sheetName val="#REF"/>
      <sheetName val="防水指标"/>
      <sheetName val="07水"/>
      <sheetName val="砌體"/>
      <sheetName val="说明"/>
      <sheetName val="目标责任成本指标"/>
      <sheetName val="主体造价"/>
      <sheetName val="报批报建费"/>
      <sheetName val="（室内）装饰工程量"/>
      <sheetName val="5【住宅及配套】模拟清单汇总表（澄清后）"/>
      <sheetName val="6【车库】模拟清单汇总表（澄清后）"/>
      <sheetName val="内部往来抵消"/>
      <sheetName val="G.1R-Shou COP Gf"/>
      <sheetName val="墙"/>
      <sheetName val="水池、土方及零星"/>
      <sheetName val="地下室外墙及挡土墙"/>
      <sheetName val="大样"/>
      <sheetName val="基础梁1"/>
      <sheetName val="其它"/>
      <sheetName val="00000ppy"/>
      <sheetName val="POWER ASSUMPTIONS"/>
      <sheetName val="#REF!"/>
      <sheetName val="参数"/>
      <sheetName val="Outline"/>
      <sheetName val="增值税_敏感)"/>
      <sheetName val="高层住宅（27层）_"/>
      <sheetName val="填表指引_(成本)"/>
      <sheetName val="承台(砖模)_"/>
    </sheetNames>
    <sheetDataSet>
      <sheetData sheetId="0">
        <row r="1">
          <cell r="A1" t="str">
            <v xml:space="preserve"> </v>
          </cell>
        </row>
      </sheetData>
      <sheetData sheetId="1"/>
      <sheetData sheetId="2">
        <row r="1">
          <cell r="A1" t="str">
            <v xml:space="preserve"> </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
          <cell r="A1">
            <v>0</v>
          </cell>
        </row>
      </sheetData>
      <sheetData sheetId="40">
        <row r="1">
          <cell r="A1">
            <v>0</v>
          </cell>
        </row>
      </sheetData>
      <sheetData sheetId="41">
        <row r="1">
          <cell r="A1">
            <v>0</v>
          </cell>
        </row>
      </sheetData>
      <sheetData sheetId="42" refreshError="1"/>
      <sheetData sheetId="43" refreshError="1"/>
      <sheetData sheetId="44" refreshError="1"/>
      <sheetData sheetId="45" refreshError="1"/>
      <sheetData sheetId="46">
        <row r="1">
          <cell r="A1" t="str">
            <v>均指含税价格</v>
          </cell>
        </row>
      </sheetData>
      <sheetData sheetId="47">
        <row r="1">
          <cell r="A1" t="str">
            <v>均指含税价格</v>
          </cell>
        </row>
      </sheetData>
      <sheetData sheetId="48">
        <row r="1">
          <cell r="A1" t="str">
            <v>均指含税价格</v>
          </cell>
        </row>
      </sheetData>
      <sheetData sheetId="49">
        <row r="1">
          <cell r="A1" t="str">
            <v>均指含税价格</v>
          </cell>
        </row>
      </sheetData>
      <sheetData sheetId="50">
        <row r="1">
          <cell r="A1">
            <v>0</v>
          </cell>
        </row>
      </sheetData>
      <sheetData sheetId="51">
        <row r="1">
          <cell r="A1">
            <v>0</v>
          </cell>
        </row>
      </sheetData>
      <sheetData sheetId="52">
        <row r="1">
          <cell r="A1" t="str">
            <v>均指含税价格</v>
          </cell>
        </row>
      </sheetData>
      <sheetData sheetId="53">
        <row r="1">
          <cell r="A1">
            <v>0</v>
          </cell>
        </row>
      </sheetData>
      <sheetData sheetId="54">
        <row r="1">
          <cell r="A1">
            <v>0</v>
          </cell>
        </row>
      </sheetData>
      <sheetData sheetId="55">
        <row r="1">
          <cell r="A1" t="str">
            <v>均指含税价格</v>
          </cell>
        </row>
      </sheetData>
      <sheetData sheetId="56">
        <row r="1">
          <cell r="A1" t="str">
            <v>均指含税价格</v>
          </cell>
        </row>
      </sheetData>
      <sheetData sheetId="57">
        <row r="1">
          <cell r="A1" t="str">
            <v>均指含税价格</v>
          </cell>
        </row>
      </sheetData>
      <sheetData sheetId="58">
        <row r="1">
          <cell r="A1" t="str">
            <v>均指含税价格</v>
          </cell>
        </row>
      </sheetData>
      <sheetData sheetId="59">
        <row r="1">
          <cell r="A1" t="str">
            <v>均指含税价格</v>
          </cell>
        </row>
      </sheetData>
      <sheetData sheetId="60">
        <row r="1">
          <cell r="A1" t="str">
            <v>均指含税价格</v>
          </cell>
        </row>
      </sheetData>
      <sheetData sheetId="61">
        <row r="1">
          <cell r="A1" t="str">
            <v>均指含税价格</v>
          </cell>
        </row>
      </sheetData>
      <sheetData sheetId="62">
        <row r="1">
          <cell r="A1">
            <v>0</v>
          </cell>
        </row>
      </sheetData>
      <sheetData sheetId="63">
        <row r="1">
          <cell r="A1">
            <v>0</v>
          </cell>
        </row>
      </sheetData>
      <sheetData sheetId="64">
        <row r="1">
          <cell r="A1" t="str">
            <v>均指含税价格</v>
          </cell>
        </row>
      </sheetData>
      <sheetData sheetId="65">
        <row r="1">
          <cell r="A1" t="str">
            <v>均指含税价格</v>
          </cell>
        </row>
      </sheetData>
      <sheetData sheetId="66">
        <row r="1">
          <cell r="A1" t="str">
            <v>均指含税价格</v>
          </cell>
        </row>
      </sheetData>
      <sheetData sheetId="67">
        <row r="1">
          <cell r="A1" t="str">
            <v>均指含税价格</v>
          </cell>
        </row>
      </sheetData>
      <sheetData sheetId="68">
        <row r="1">
          <cell r="A1" t="str">
            <v>均指含税价格</v>
          </cell>
        </row>
      </sheetData>
      <sheetData sheetId="69">
        <row r="1">
          <cell r="A1" t="str">
            <v>均指含税价格</v>
          </cell>
        </row>
      </sheetData>
      <sheetData sheetId="70">
        <row r="1">
          <cell r="A1" t="str">
            <v>均指含税价格</v>
          </cell>
        </row>
      </sheetData>
      <sheetData sheetId="71">
        <row r="1">
          <cell r="A1" t="str">
            <v>均指含税价格</v>
          </cell>
        </row>
      </sheetData>
      <sheetData sheetId="72">
        <row r="1">
          <cell r="A1" t="str">
            <v>均指含税价格</v>
          </cell>
        </row>
      </sheetData>
      <sheetData sheetId="73">
        <row r="1">
          <cell r="A1" t="str">
            <v>均指含税价格</v>
          </cell>
        </row>
      </sheetData>
      <sheetData sheetId="74">
        <row r="1">
          <cell r="A1" t="str">
            <v>均指含税价格</v>
          </cell>
        </row>
      </sheetData>
      <sheetData sheetId="75">
        <row r="1">
          <cell r="A1" t="str">
            <v>均指含税价格</v>
          </cell>
        </row>
      </sheetData>
      <sheetData sheetId="76">
        <row r="1">
          <cell r="A1" t="str">
            <v>均指含税价格</v>
          </cell>
        </row>
      </sheetData>
      <sheetData sheetId="77">
        <row r="1">
          <cell r="A1" t="str">
            <v>均指含税价格</v>
          </cell>
        </row>
      </sheetData>
      <sheetData sheetId="78">
        <row r="1">
          <cell r="A1" t="str">
            <v>均指含税价格</v>
          </cell>
        </row>
      </sheetData>
      <sheetData sheetId="79">
        <row r="1">
          <cell r="A1" t="str">
            <v>均指含税价格</v>
          </cell>
        </row>
      </sheetData>
      <sheetData sheetId="80">
        <row r="1">
          <cell r="A1" t="str">
            <v>均指含税价格</v>
          </cell>
        </row>
      </sheetData>
      <sheetData sheetId="81">
        <row r="1">
          <cell r="A1">
            <v>0</v>
          </cell>
        </row>
      </sheetData>
      <sheetData sheetId="82">
        <row r="1">
          <cell r="A1" t="str">
            <v>均指含税价格</v>
          </cell>
        </row>
      </sheetData>
      <sheetData sheetId="83">
        <row r="1">
          <cell r="A1" t="str">
            <v>均指含税价格</v>
          </cell>
        </row>
      </sheetData>
      <sheetData sheetId="84">
        <row r="1">
          <cell r="A1" t="str">
            <v>均指含税价格</v>
          </cell>
        </row>
      </sheetData>
      <sheetData sheetId="85">
        <row r="1">
          <cell r="A1" t="str">
            <v>均指含税价格</v>
          </cell>
        </row>
      </sheetData>
      <sheetData sheetId="86">
        <row r="1">
          <cell r="A1" t="str">
            <v>均指含税价格</v>
          </cell>
        </row>
      </sheetData>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基本参数"/>
      <sheetName val="成本估算"/>
      <sheetName val="规划指标"/>
      <sheetName val="设计部"/>
      <sheetName val="Cashflow(Scenario)"/>
      <sheetName val="7.1附表1 外装脚手架平米单价组成"/>
      <sheetName val="2.1设计部"/>
      <sheetName val="楼梯间"/>
      <sheetName val="表格设置"/>
      <sheetName val="合同明细"/>
      <sheetName val="_Recovered_SheetName_ 1_"/>
      <sheetName val="二次对量汇总"/>
      <sheetName val="e"/>
      <sheetName val="SW-TEO"/>
      <sheetName val="eqpmad2"/>
      <sheetName val="无锡魅力之城B3景观工程量清单"/>
      <sheetName val="方案1"/>
      <sheetName val="Financ. Overview"/>
      <sheetName val="Toolbox"/>
      <sheetName val="Sheet9"/>
      <sheetName val="Parameters"/>
      <sheetName val="方案4"/>
      <sheetName val="合同台账"/>
      <sheetName val="报表项目基本情况表"/>
      <sheetName val="03城东"/>
      <sheetName val="系数516"/>
      <sheetName val="基本设置"/>
      <sheetName val="目录"/>
      <sheetName val="General"/>
      <sheetName val="成本测算"/>
      <sheetName val="附表1"/>
      <sheetName val="敏感参数"/>
      <sheetName val="面积指标"/>
      <sheetName val="Aging Datasheet"/>
      <sheetName val="ECCS_1 DataSheet"/>
      <sheetName val="KPI Datasheet"/>
      <sheetName val="下拉菜单"/>
      <sheetName val="7.合约规划（仅供参考）"/>
      <sheetName val="Estimate Details"/>
      <sheetName val="99CCTV"/>
      <sheetName val="XL4Poppy"/>
      <sheetName val="Sheet1"/>
      <sheetName val="增值税 敏感)"/>
      <sheetName val="地价变动影响表2"/>
      <sheetName val="Sheet5"/>
      <sheetName val="填报指引"/>
      <sheetName val="经济指标"/>
      <sheetName val="创造利润"/>
      <sheetName val="现金流量"/>
      <sheetName val="勾稽关系"/>
      <sheetName val="地价分摊表"/>
      <sheetName val="销售计划"/>
      <sheetName val="结算计划"/>
      <sheetName val="结算利润"/>
      <sheetName val="基础信息"/>
      <sheetName val="成本过渡"/>
      <sheetName val="工程款付款计划"/>
      <sheetName val="成本汇总"/>
      <sheetName val="现金流量表"/>
      <sheetName val="设计指标20160426"/>
      <sheetName val="跟投测算"/>
      <sheetName val="土地增值税"/>
      <sheetName val="全期合约金额规划表"/>
      <sheetName val="产值规划表"/>
      <sheetName val="标准合同目录"/>
      <sheetName val="跨期成本分摊明细表"/>
      <sheetName val="全期规划指标"/>
      <sheetName val="公摊费用及期间费"/>
      <sheetName val="高层住宅（27层） "/>
      <sheetName val="多层6"/>
      <sheetName val="高层（17层）"/>
      <sheetName val="底层商业"/>
      <sheetName val="持有住宅"/>
      <sheetName val="集中商业"/>
      <sheetName val="普通地下室"/>
      <sheetName val="配套测算表（示例）"/>
      <sheetName val="合约规划原则"/>
      <sheetName val="价格波动对成本影响的模拟推演"/>
      <sheetName val="填表指引"/>
      <sheetName val="填表指引 (成本)"/>
      <sheetName val="可售底商"/>
      <sheetName val="小高层"/>
      <sheetName val="高层18"/>
      <sheetName val="多层"/>
      <sheetName val="超高层(46)"/>
      <sheetName val="购物中心-销售部分"/>
      <sheetName val="购物中心-持有部分"/>
      <sheetName val="保护建筑(销售商业)"/>
      <sheetName val="保护建筑(持有商业)"/>
      <sheetName val="高层还建房"/>
      <sheetName val="持有商业"/>
      <sheetName val="公寓"/>
      <sheetName val="超市"/>
      <sheetName val="办公楼"/>
      <sheetName val="独栋"/>
      <sheetName val="酒店"/>
      <sheetName val="叠拼"/>
      <sheetName val="承台(砖模) "/>
      <sheetName val="柱"/>
      <sheetName val="地产口"/>
      <sheetName val="施工参考单价报价表"/>
      <sheetName val="其它工作项目报价清单"/>
      <sheetName val="甲指乙供材料报价表"/>
      <sheetName val="石材购买量统计"/>
    </sheetNames>
    <sheetDataSet>
      <sheetData sheetId="0">
        <row r="1">
          <cell r="A1" t="str">
            <v xml:space="preserve"> </v>
          </cell>
        </row>
      </sheetData>
      <sheetData sheetId="1"/>
      <sheetData sheetId="2">
        <row r="1">
          <cell r="A1">
            <v>0</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
          <cell r="A1">
            <v>0</v>
          </cell>
        </row>
      </sheetData>
      <sheetData sheetId="48">
        <row r="1">
          <cell r="A1">
            <v>0</v>
          </cell>
        </row>
      </sheetData>
      <sheetData sheetId="49" refreshError="1"/>
      <sheetData sheetId="50" refreshError="1"/>
      <sheetData sheetId="51" refreshError="1"/>
      <sheetData sheetId="52" refreshError="1"/>
      <sheetData sheetId="53"/>
      <sheetData sheetId="54"/>
      <sheetData sheetId="55">
        <row r="1">
          <cell r="A1" t="str">
            <v>均指含税价格</v>
          </cell>
        </row>
      </sheetData>
      <sheetData sheetId="56">
        <row r="1">
          <cell r="A1" t="str">
            <v>均指含税价格</v>
          </cell>
        </row>
      </sheetData>
      <sheetData sheetId="57">
        <row r="1">
          <cell r="A1">
            <v>0</v>
          </cell>
        </row>
      </sheetData>
      <sheetData sheetId="58">
        <row r="1">
          <cell r="A1">
            <v>0</v>
          </cell>
        </row>
      </sheetData>
      <sheetData sheetId="59"/>
      <sheetData sheetId="60"/>
      <sheetData sheetId="61"/>
      <sheetData sheetId="62"/>
      <sheetData sheetId="63">
        <row r="1">
          <cell r="A1" t="str">
            <v>均指含税价格</v>
          </cell>
        </row>
      </sheetData>
      <sheetData sheetId="64"/>
      <sheetData sheetId="65">
        <row r="1">
          <cell r="A1" t="str">
            <v>均指含税价格</v>
          </cell>
        </row>
      </sheetData>
      <sheetData sheetId="66">
        <row r="1">
          <cell r="A1" t="str">
            <v>均指含税价格</v>
          </cell>
        </row>
      </sheetData>
      <sheetData sheetId="67"/>
      <sheetData sheetId="68"/>
      <sheetData sheetId="69"/>
      <sheetData sheetId="70"/>
      <sheetData sheetId="71"/>
      <sheetData sheetId="72"/>
      <sheetData sheetId="73">
        <row r="1">
          <cell r="A1" t="str">
            <v>均指含税价格</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围地梁钢筋说明"/>
      <sheetName val="原表模"/>
      <sheetName val="内基梁J~R"/>
      <sheetName val="钢筋模1.1"/>
      <sheetName val="内基梁A~J"/>
      <sheetName val="承台(砖模) "/>
      <sheetName val="柱"/>
      <sheetName val="建筑面积 "/>
      <sheetName val="土建工程综合单价表"/>
      <sheetName val="土建工程综合单价组价明细表"/>
      <sheetName val="施工参考单价报价表"/>
      <sheetName val="其它工作项目报价清单"/>
      <sheetName val="甲指乙供材料报价表"/>
      <sheetName val="基础项目"/>
      <sheetName val="5201.2004"/>
      <sheetName val="#REF!"/>
      <sheetName val="工程量计算"/>
      <sheetName val="Sheet1"/>
      <sheetName val="CAT_5"/>
      <sheetName val="下拉"/>
      <sheetName val="2.1设计部"/>
      <sheetName val="基本参数"/>
      <sheetName val="成本估算"/>
      <sheetName val="工程材料"/>
      <sheetName val="General"/>
    </sheetNames>
    <sheetDataSet>
      <sheetData sheetId="0" refreshError="1">
        <row r="15">
          <cell r="C15">
            <v>35</v>
          </cell>
        </row>
        <row r="17">
          <cell r="C17">
            <v>35</v>
          </cell>
        </row>
        <row r="20">
          <cell r="C20">
            <v>35</v>
          </cell>
        </row>
        <row r="21">
          <cell r="C21">
            <v>350</v>
          </cell>
        </row>
        <row r="22">
          <cell r="C22">
            <v>60</v>
          </cell>
        </row>
        <row r="23">
          <cell r="C23">
            <v>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线公司成本科目"/>
      <sheetName val="下拉框值"/>
    </sheetNames>
    <sheetDataSet>
      <sheetData sheetId="0" refreshError="1"/>
      <sheetData sheetId="1">
        <row r="5">
          <cell r="K5" t="str">
            <v>0</v>
          </cell>
        </row>
        <row r="6">
          <cell r="K6" t="str">
            <v>3</v>
          </cell>
        </row>
        <row r="7">
          <cell r="K7" t="str">
            <v>4</v>
          </cell>
        </row>
        <row r="8">
          <cell r="K8" t="str">
            <v>6</v>
          </cell>
        </row>
        <row r="9">
          <cell r="K9" t="str">
            <v>11</v>
          </cell>
        </row>
        <row r="10">
          <cell r="K10" t="str">
            <v>17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说明"/>
      <sheetName val="目标责任成本指标"/>
      <sheetName val="基本参数"/>
      <sheetName val="成本估算"/>
      <sheetName val="主体造价"/>
      <sheetName val="报批报建费"/>
      <sheetName val="规划指标"/>
      <sheetName val="Sheet2"/>
      <sheetName val="2.1设计部"/>
      <sheetName val="设计部"/>
      <sheetName val="_Recovered_SheetName_ 1_"/>
      <sheetName val="（室内）装饰工程量"/>
      <sheetName val="5【住宅及配套】模拟清单汇总表（澄清后）"/>
      <sheetName val="6【车库】模拟清单汇总表（澄清后）"/>
      <sheetName val="楼梯间"/>
      <sheetName val="e"/>
      <sheetName val="内部往来抵消"/>
      <sheetName val="成本汇总"/>
      <sheetName val="当期规划指标"/>
      <sheetName val="5201.2004"/>
      <sheetName val="G.1R-Shou COP Gf"/>
      <sheetName val="#REF!"/>
      <sheetName val="2_1设计部"/>
      <sheetName val="_Recovered_SheetName__1_"/>
      <sheetName val="Toolbox"/>
      <sheetName val="POWER ASSUMPTIONS"/>
      <sheetName val="07水"/>
      <sheetName val="temp"/>
      <sheetName val="eva"/>
      <sheetName val="Open"/>
      <sheetName val="DDETABLE "/>
      <sheetName val="Financ. Overview"/>
      <sheetName val="MOHKG"/>
      <sheetName val="8"/>
      <sheetName val="2"/>
      <sheetName val="6"/>
      <sheetName val="面积合计（藏）"/>
      <sheetName val="7"/>
      <sheetName val="3"/>
      <sheetName val="4"/>
      <sheetName val="投标材料清单 "/>
      <sheetName val="5"/>
      <sheetName val="1"/>
      <sheetName val="四季花城三期（6区）目标成本031031（王改2）"/>
      <sheetName val="#REF"/>
      <sheetName val="Main"/>
      <sheetName val="基础工程量估算"/>
      <sheetName val="工程量计算"/>
      <sheetName val="01型明细表（措施费附表1.外装脚手架平米单价组成)"/>
      <sheetName val="大面工程量"/>
      <sheetName val="防火隔离带"/>
      <sheetName val="XL4Poppy"/>
      <sheetName val="A1户型装饰"/>
      <sheetName val="基础项目"/>
    </sheetNames>
    <sheetDataSet>
      <sheetData sheetId="0"/>
      <sheetData sheetId="1"/>
      <sheetData sheetId="2"/>
      <sheetData sheetId="3" refreshError="1">
        <row r="15">
          <cell r="C15">
            <v>25248.275000000001</v>
          </cell>
        </row>
      </sheetData>
      <sheetData sheetId="4" refreshError="1">
        <row r="6">
          <cell r="B6">
            <v>44834</v>
          </cell>
          <cell r="C6">
            <v>44834</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计部"/>
      <sheetName val="拓展部"/>
      <sheetName val="财务部"/>
      <sheetName val="成本部"/>
      <sheetName val="销售中心"/>
      <sheetName val="工程部"/>
      <sheetName val="采购部"/>
      <sheetName val="项目部"/>
      <sheetName val="客户关系中心"/>
      <sheetName val="责任成本归属标准"/>
      <sheetName val="结算及付款计划初稿"/>
      <sheetName val="基本参数"/>
      <sheetName val="成本估算"/>
      <sheetName val="规划指标"/>
      <sheetName val="2.1设计部"/>
      <sheetName val="Sheet2"/>
      <sheetName val="5201.2004"/>
      <sheetName val="temp"/>
      <sheetName val="#REF!"/>
      <sheetName val="地产口"/>
      <sheetName val="工程量计算书"/>
      <sheetName val="汇总表"/>
      <sheetName val="data"/>
      <sheetName val="基本"/>
      <sheetName val="参数"/>
      <sheetName val="承台(砖模) "/>
      <sheetName val="柱"/>
      <sheetName val="G2TempSheet"/>
      <sheetName val="责任成本及付款计划模板20050114(xmb)"/>
      <sheetName val="POWER ASSUMPTIONS"/>
      <sheetName val="楼梯间"/>
      <sheetName val="名称"/>
      <sheetName val="Cashflow(Scenario)"/>
      <sheetName val="10月发生（手工）"/>
      <sheetName val="1#量统计"/>
      <sheetName val="3"/>
      <sheetName val="7"/>
      <sheetName val="投标材料清单 "/>
      <sheetName val="e"/>
      <sheetName val="材料单价表"/>
      <sheetName val="变量单"/>
      <sheetName val="材料单价"/>
      <sheetName val="#REF"/>
      <sheetName val="DDETABLE "/>
      <sheetName val="计算006对量灯具"/>
      <sheetName val="设计费用-ICP"/>
      <sheetName val="综合单价汇总表"/>
      <sheetName val="05惠州"/>
      <sheetName val="04宝棠"/>
      <sheetName val="03城东"/>
      <sheetName val="02龙岗"/>
      <sheetName val="16#楼公共区域"/>
      <sheetName val="ZH COA"/>
      <sheetName val="给排水设置"/>
      <sheetName val="vip会员费启动费"/>
      <sheetName val="附件13-报批报建费"/>
      <sheetName val="附件17-报批报建费"/>
      <sheetName val="给排水计算"/>
      <sheetName val="下拉框值"/>
      <sheetName val="主要规划指标"/>
      <sheetName val="Mp-team 1"/>
      <sheetName val="G.1R-Shou COP Gf"/>
      <sheetName val="施工参考单价报价表"/>
      <sheetName val="甲指乙供材料报价表"/>
      <sheetName val="给排水工程量计算书"/>
      <sheetName val="内部往来抵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绿化"/>
      <sheetName val="景观"/>
      <sheetName val="Sheet2"/>
      <sheetName val="Sheet3"/>
      <sheetName val="设计部"/>
      <sheetName val="Cashflow(Scenario)"/>
    </sheetNames>
    <sheetDataSet>
      <sheetData sheetId="0" refreshError="1"/>
      <sheetData sheetId="1" refreshError="1"/>
      <sheetData sheetId="2" refreshError="1">
        <row r="1">
          <cell r="A1">
            <v>0</v>
          </cell>
        </row>
      </sheetData>
      <sheetData sheetId="3" refreshError="1"/>
      <sheetData sheetId="4" refreshError="1"/>
      <sheetData sheetId="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甲供料表"/>
      <sheetName val="人工挖孔桩"/>
      <sheetName val="承台(砖模) "/>
      <sheetName val="承台(木模)"/>
      <sheetName val="基础梁"/>
      <sheetName val="梁"/>
      <sheetName val="柱"/>
      <sheetName val="计算试"/>
      <sheetName val="砖墙"/>
      <sheetName val="门窗表"/>
      <sheetName val="建筑面积 "/>
      <sheetName val="内围地梁钢筋说明"/>
      <sheetName val="施工参考单价报价表"/>
      <sheetName val="其它工作项目报价清单"/>
      <sheetName val="甲指乙供材料报价表"/>
      <sheetName val="#REF!"/>
      <sheetName val="分部分项"/>
      <sheetName val="土建工程综合单价表"/>
      <sheetName val="土建工程综合单价组价明细表"/>
      <sheetName val="基础项目"/>
      <sheetName val="sheet2"/>
      <sheetName val="5201.2004"/>
      <sheetName val="墙面工程"/>
      <sheetName val="工程量计算"/>
      <sheetName val="102 清单"/>
      <sheetName val="General"/>
      <sheetName val="材料库"/>
      <sheetName val="data"/>
      <sheetName val="供应商名录"/>
      <sheetName val="系统材料"/>
      <sheetName val="二号清单-联排别墅地下土建（14#）"/>
      <sheetName val="Sheet4"/>
      <sheetName val="计算式表"/>
      <sheetName val="改加胶玻璃、室外栏杆"/>
      <sheetName val="费用表"/>
      <sheetName val="单位库"/>
      <sheetName val="XLR_NoRangeSheet"/>
      <sheetName val="常用项目"/>
      <sheetName val="G2TempSheet"/>
      <sheetName val="门窗及阳台栏杆"/>
      <sheetName val="工程材料"/>
      <sheetName val="301-6"/>
      <sheetName val="东一一层方柱砼"/>
      <sheetName val="下拉"/>
      <sheetName val="eqpmad2"/>
      <sheetName val="主要规划指标"/>
      <sheetName val="测算明细表(0+1+1)"/>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细部结构"/>
      <sheetName val="条型基础"/>
      <sheetName val="基础"/>
      <sheetName val="柱"/>
      <sheetName val="梁"/>
      <sheetName val="平楼板表(进度)"/>
      <sheetName val="钢筋"/>
      <sheetName val="建筑面积 "/>
      <sheetName val="Sheet3"/>
      <sheetName val="内围地梁钢筋说明"/>
      <sheetName val="承台(砖模) "/>
      <sheetName val="施工参考单价报价表"/>
      <sheetName val="甲指乙供材料报价表"/>
      <sheetName val="土建工程综合单价表"/>
      <sheetName val="土建工程综合单价组价明细表"/>
      <sheetName val="其它工作项目报价清单"/>
      <sheetName val="BQ2.1 (3、4#A1户型)"/>
      <sheetName val="#REF!"/>
      <sheetName val="墙面工程"/>
      <sheetName val="基础项目"/>
      <sheetName val="给水管件"/>
      <sheetName val="消防管件"/>
      <sheetName val="排水管件"/>
      <sheetName val="301-6"/>
      <sheetName val="工程材料"/>
      <sheetName val="单价分析表格式"/>
      <sheetName val="设计部"/>
      <sheetName val="sheet2"/>
      <sheetName val="洋房土建工程量清单（地上）"/>
      <sheetName val="材料库"/>
      <sheetName val="东一一层方柱砼"/>
      <sheetName val="细目样式"/>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5">
          <cell r="I5">
            <v>170.55999999999997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木门套"/>
      <sheetName val="防火门"/>
      <sheetName val="目标责任成本指标"/>
      <sheetName val="规划指标"/>
      <sheetName val="明细"/>
      <sheetName val="成本汇总"/>
      <sheetName val="六类公摊费用及期间费"/>
      <sheetName val="高层"/>
      <sheetName val="小高层"/>
      <sheetName val="多层"/>
      <sheetName val="半地下车库"/>
      <sheetName val="商业主体"/>
      <sheetName val="各类产品建筑标准"/>
      <sheetName val="填表指引"/>
      <sheetName val="规划面积附表 "/>
      <sheetName val="设计部"/>
      <sheetName val="2.1设计部"/>
      <sheetName val="Sheet2"/>
      <sheetName val="基本参数"/>
      <sheetName val="成本估算"/>
      <sheetName val="1#楼"/>
      <sheetName val="3#楼"/>
      <sheetName val="6#楼"/>
      <sheetName val="12#楼"/>
      <sheetName val="e"/>
      <sheetName val="土建工程综合单价表"/>
      <sheetName val="土建工程综合单价组价明细表"/>
      <sheetName val="合同明细"/>
      <sheetName val="机械费"/>
      <sheetName val="楼梯间"/>
      <sheetName val="7措施项目清单计价表（一）"/>
      <sheetName val="03城东"/>
      <sheetName val="规划面积附表_"/>
      <sheetName val="2_1设计部"/>
      <sheetName val="计算底稿"/>
      <sheetName val="施工参考单价报价表"/>
      <sheetName val="其它工作项目报价清单"/>
      <sheetName val="甲指乙供材料报价表"/>
      <sheetName val="Sheet3"/>
      <sheetName val="墙面工程"/>
      <sheetName val="ls"/>
      <sheetName val="工程量计算书"/>
      <sheetName val="资金计划 "/>
      <sheetName val="#REF!"/>
      <sheetName val="main"/>
      <sheetName val="7"/>
      <sheetName val="投标材料清单 "/>
      <sheetName val="汇总表"/>
      <sheetName val="ZH COA"/>
      <sheetName val="Assumptions"/>
      <sheetName val="Scenarios"/>
      <sheetName val="补充清单"/>
      <sheetName val="Toolbox"/>
      <sheetName val="5201.2004"/>
      <sheetName val="设计费用-ICP"/>
      <sheetName val="POWER ASSUMPTIONS"/>
      <sheetName val="基本资料"/>
      <sheetName val="供应商名录"/>
      <sheetName val="预算200326"/>
      <sheetName val="报价单"/>
      <sheetName val="补充004-竣备前验收事宜瓷砖认价"/>
      <sheetName val="补充004-竣备前验收事宜"/>
      <sheetName val="承台(砖模) "/>
      <sheetName val="柱"/>
      <sheetName val="基础数据"/>
      <sheetName val="10月发生（手工）"/>
      <sheetName val="05惠州"/>
      <sheetName val="04宝棠"/>
      <sheetName val="基础项目"/>
      <sheetName val="02龙岗"/>
      <sheetName val="基础"/>
      <sheetName val="参数"/>
      <sheetName val="Cashflow(Scenario)"/>
    </sheetNames>
    <sheetDataSet>
      <sheetData sheetId="0" refreshError="1"/>
      <sheetData sheetId="1" refreshError="1"/>
      <sheetData sheetId="2" refreshError="1"/>
      <sheetData sheetId="3" refreshError="1">
        <row r="11">
          <cell r="N11">
            <v>162</v>
          </cell>
        </row>
        <row r="12">
          <cell r="N12">
            <v>78</v>
          </cell>
        </row>
        <row r="13">
          <cell r="N13">
            <v>12</v>
          </cell>
        </row>
        <row r="14">
          <cell r="N14">
            <v>85.949206349206335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二期规划指标 "/>
      <sheetName val="报批报建费-ICP"/>
      <sheetName val="设计费用-ICP"/>
      <sheetName val="成本汇总（测算构成）"/>
      <sheetName val="成本汇总（分摊后）"/>
      <sheetName val="公摊费用及期间费（二期）"/>
      <sheetName val="高层"/>
      <sheetName val="二期车位"/>
      <sheetName val="二期人防车位"/>
      <sheetName val="购物中心 "/>
      <sheetName val="社区商业"/>
      <sheetName val="街区式商业"/>
      <sheetName val="街铺"/>
      <sheetName val="基准成本对比 (科目口径)"/>
      <sheetName val="基准成本对比（测算口径）暂定"/>
      <sheetName val="二期合约规划表"/>
      <sheetName val="标准合同目录-ICP"/>
      <sheetName val="合同规划内容及边界"/>
      <sheetName val="采购策划"/>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全期规划指标"/>
      <sheetName val="二期规划指标 "/>
      <sheetName val="报批报建费-ICP"/>
      <sheetName val="设计费用-ICP"/>
      <sheetName val="成本汇总（测算构成）"/>
      <sheetName val="成本汇总（分摊后）"/>
      <sheetName val="地价分摊表"/>
      <sheetName val="跨期成本分摊明细表"/>
      <sheetName val="公摊费用及期间费（二期）"/>
      <sheetName val="高层T2"/>
      <sheetName val="高层T4"/>
      <sheetName val="高层T6"/>
      <sheetName val="二期车位 "/>
      <sheetName val="二期人防车位  "/>
      <sheetName val="购物中心"/>
      <sheetName val="社区商业"/>
      <sheetName val="街区式商业"/>
      <sheetName val="街铺"/>
      <sheetName val="配套测算表（会所）"/>
      <sheetName val="配套测算表（幼儿园）"/>
      <sheetName val="配套测算表（…）"/>
      <sheetName val="基准成本对比 (科目口径)"/>
      <sheetName val="基准成本对比（测算口径）暂定"/>
      <sheetName val="跨期合约规划表"/>
      <sheetName val="二期合约规划表"/>
      <sheetName val="标准合同目录-ICP"/>
      <sheetName val="合同规划内容及边界"/>
      <sheetName val="采购策划"/>
    </sheetNames>
    <sheetDataSet>
      <sheetData sheetId="0"/>
      <sheetData sheetId="1"/>
      <sheetData sheetId="2">
        <row r="20">
          <cell r="D20">
            <v>7887.1091513498332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全期规划指标"/>
      <sheetName val="二期规划指标 "/>
      <sheetName val="报批报建费-ICP"/>
      <sheetName val="设计费用-ICP"/>
      <sheetName val="成本汇总（测算构成）"/>
      <sheetName val="成本汇总（分摊后）"/>
      <sheetName val="地价分摊表"/>
      <sheetName val="公摊费用及期间费（二期）"/>
      <sheetName val="高层"/>
      <sheetName val="二期车位"/>
      <sheetName val="二期人防车位"/>
      <sheetName val="购物中心 "/>
      <sheetName val="社区商业"/>
      <sheetName val="街区式商业"/>
      <sheetName val="街铺"/>
      <sheetName val="配套测算表（会所）"/>
      <sheetName val="配套测算表（幼儿园） "/>
      <sheetName val="配套测算表（……） "/>
      <sheetName val="基准成本对比 (科目口径)"/>
      <sheetName val="基准成本对比（测算口径）暂定"/>
      <sheetName val="跨期合约规划表"/>
      <sheetName val="二期合约规划表"/>
      <sheetName val="标准合同目录-ICP"/>
      <sheetName val="合同规划内容及边界"/>
      <sheetName val="采购策划"/>
    </sheetNames>
    <sheetDataSet>
      <sheetData sheetId="0"/>
      <sheetData sheetId="1"/>
      <sheetData sheetId="2">
        <row r="20">
          <cell r="F20">
            <v>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1.2004ch"/>
      <sheetName val="5201.2004"/>
      <sheetName val="城花营销费用"/>
      <sheetName val="预算执行情况 (2)"/>
      <sheetName val="大表2004"/>
      <sheetName val="预算执行情况"/>
      <sheetName val="城花费用明细新"/>
      <sheetName val="城花营销费用预算"/>
      <sheetName val="大表"/>
      <sheetName val="11-12"/>
      <sheetName val="4301"/>
      <sheetName val="比较"/>
      <sheetName val="土方"/>
      <sheetName val="成本汇总"/>
      <sheetName val="指标"/>
      <sheetName val="139叠加"/>
      <sheetName val="室内装修价格明细"/>
      <sheetName val="全区规划指标"/>
      <sheetName val="全区成本汇总"/>
      <sheetName val="参数表"/>
      <sheetName val="计算表"/>
      <sheetName val="Sheet3"/>
      <sheetName val="B"/>
      <sheetName val="单位库"/>
      <sheetName val="承台(砖模) "/>
      <sheetName val="柱"/>
      <sheetName val="Estimate Details"/>
      <sheetName val="#REF!"/>
      <sheetName val="21"/>
      <sheetName val="墙面工程"/>
      <sheetName val="内围地梁钢筋说明"/>
      <sheetName val="建筑面积 "/>
      <sheetName val="名称"/>
      <sheetName val="规划指标"/>
      <sheetName val="成本汇总 "/>
      <sheetName val="设计部"/>
      <sheetName val="4301_2004ch"/>
      <sheetName val="5201_2004"/>
      <sheetName val="预算执行情况_(2)"/>
      <sheetName val="工程量计算书"/>
      <sheetName val="汇总表"/>
      <sheetName val="施工参考单价报价表"/>
      <sheetName val="甲指乙供材料报价表"/>
      <sheetName val="ls"/>
      <sheetName val="全期规划指标 "/>
      <sheetName val="枣园--建安-间接"/>
      <sheetName val="Sheet2"/>
      <sheetName val="土建工程综合单价表"/>
      <sheetName val="综合单价汇总表"/>
      <sheetName val="给排水工程量计算书"/>
      <sheetName val="其它工作项目报价清单"/>
      <sheetName val="Cashflow(Scenario)"/>
      <sheetName val="XLR_NoRangeSheet"/>
      <sheetName val="UFPrn20031203195053"/>
      <sheetName val="Parameters"/>
      <sheetName val="目录"/>
      <sheetName val="Note 1 - Recon Profit"/>
      <sheetName val="Cash Flow Statement"/>
      <sheetName val="基础资料（B）"/>
      <sheetName val="单方成本测算(帐面)"/>
      <sheetName val="成本结转表(IFRS)"/>
      <sheetName val="组团面积"/>
      <sheetName val="套数"/>
      <sheetName val="总指标"/>
      <sheetName val="2004年"/>
      <sheetName val="2006年"/>
      <sheetName val="2005年"/>
      <sheetName val="资本化利息分配表"/>
      <sheetName val="面积指标"/>
      <sheetName val="Aging Datasheet"/>
      <sheetName val="CFS"/>
      <sheetName val="敏感参数"/>
      <sheetName val="指标表"/>
      <sheetName val="车库"/>
      <sheetName val="江宁新指标"/>
      <sheetName val="叠拼"/>
      <sheetName val="复式"/>
      <sheetName val="平层"/>
      <sheetName val="独立商业"/>
      <sheetName val="地下超市"/>
      <sheetName val="Mp-team 1"/>
      <sheetName val="土地款支出"/>
      <sheetName val="规划指标表"/>
      <sheetName val="基础项目"/>
      <sheetName val="梁"/>
      <sheetName val="工程量计算"/>
      <sheetName val="内部往来"/>
      <sheetName val="工程材料"/>
      <sheetName val="门窗表"/>
      <sheetName val="四季花城城南地块户型面积"/>
      <sheetName val="土建工程综合单价组价明细表"/>
      <sheetName val="土建直接费"/>
      <sheetName val="下拉菜单"/>
      <sheetName val="测算2-当前状态（含返迁）"/>
      <sheetName val="弱电"/>
      <sheetName val="301-6"/>
      <sheetName val="折线图2数据"/>
      <sheetName val="写字楼B"/>
      <sheetName val="财务费用"/>
      <sheetName val="收入与成本"/>
      <sheetName val="销售比率"/>
      <sheetName val="BS"/>
      <sheetName val="材料费"/>
      <sheetName val="Global"/>
      <sheetName val="Sheetl"/>
      <sheetName val="六类"/>
      <sheetName val="总体指标表"/>
      <sheetName val="地下车库"/>
      <sheetName val="Main"/>
      <sheetName val="成本测算"/>
      <sheetName val="Contacts"/>
      <sheetName val="基础数据"/>
      <sheetName val="一标段地上"/>
      <sheetName val="银行账户"/>
      <sheetName val="2.1设计部"/>
      <sheetName val="截止2006年6月17日股权投资"/>
      <sheetName val="04-06折旧"/>
      <sheetName val="成本动态台帐"/>
      <sheetName val="04-05年运营费用"/>
      <sheetName val="明细"/>
      <sheetName val="存货"/>
      <sheetName val="2、明细表"/>
      <sheetName val="型材线密度表"/>
      <sheetName val="电（计算式）"/>
      <sheetName val="东一一层方柱砼"/>
      <sheetName val="summary"/>
      <sheetName val="技术经济指标"/>
      <sheetName val="常用项目"/>
      <sheetName val="参数"/>
      <sheetName val="基本参数"/>
      <sheetName val="成本估算"/>
      <sheetName val="报批报建计划"/>
      <sheetName val="时间设置"/>
      <sheetName val="Sheet1"/>
      <sheetName val="甲供材表一水电材料(开关)"/>
      <sheetName val="甲供材表二水电材料（灯具）"/>
      <sheetName val="甲供材表三水电材料（浴霸）"/>
      <sheetName val="甲供材表四水电材料（五金洁具）"/>
      <sheetName val="040506利息分摊"/>
      <sheetName val="2006内部公司往来利息及调整（per entity）"/>
      <sheetName val="07利息分摊"/>
      <sheetName val="参数1"/>
      <sheetName val="Financial highligts"/>
      <sheetName val="成本测算-太科园"/>
      <sheetName val="Toolbox"/>
      <sheetName val="ECCS_1 DataSheet"/>
      <sheetName val="计算表达式"/>
      <sheetName val="单位"/>
      <sheetName val="板房区目标成本"/>
      <sheetName val="Open"/>
      <sheetName val="设计指标"/>
      <sheetName val="list"/>
      <sheetName val="NAME"/>
      <sheetName val="   合同台账  "/>
      <sheetName val="A投资指标"/>
      <sheetName val="Z控制表"/>
      <sheetName val="K流量表过渡"/>
      <sheetName val="O售价敏感分析"/>
      <sheetName val="总表"/>
      <sheetName val="成就共享（全周期）"/>
      <sheetName val="15年御湾"/>
      <sheetName val="收入预测"/>
      <sheetName val="POWER ASSUMPTIONS"/>
      <sheetName val="材料"/>
      <sheetName val="P&amp;A"/>
      <sheetName val="5、销售费用预算表"/>
      <sheetName val="选项"/>
      <sheetName val="XL4Poppy"/>
      <sheetName val="每日C300"/>
      <sheetName val="项目指标"/>
      <sheetName val="动态成本"/>
      <sheetName val="付款台账"/>
      <sheetName val="附表1"/>
      <sheetName val="合同台账"/>
      <sheetName val="测算明细表(0+1+1)"/>
      <sheetName val="主要规划指标"/>
      <sheetName val="PL 2007"/>
      <sheetName val="PL 2005"/>
      <sheetName val="PL 2006"/>
      <sheetName val="计算稿"/>
      <sheetName val="Macro1"/>
      <sheetName val="3-工程现金流"/>
      <sheetName val="清单1"/>
      <sheetName val="附表-规划指标表一期"/>
      <sheetName val="附表-规划指标表三期"/>
      <sheetName val="财务费用多栏明细账"/>
      <sheetName val="管理费用多栏明细账"/>
      <sheetName val="营业费用多栏明细账"/>
      <sheetName val="变更"/>
      <sheetName val="日报_无证（扣除变更数）"/>
      <sheetName val="日报_有证（扣除变更数）"/>
      <sheetName val="挞定退房"/>
      <sheetName val="营销费用合同－付款（城花）0109"/>
      <sheetName val="KPI Datasheet"/>
      <sheetName val="A3"/>
      <sheetName val="A300"/>
      <sheetName val="資料庫"/>
      <sheetName val="G.1R-Shou COP Gf"/>
      <sheetName val="封面"/>
      <sheetName val="8"/>
      <sheetName val="2"/>
      <sheetName val="6"/>
      <sheetName val="面积合计（藏）"/>
      <sheetName val="7"/>
      <sheetName val="3"/>
      <sheetName val="4"/>
      <sheetName val="投标材料清单 "/>
      <sheetName val="5"/>
      <sheetName val="1"/>
      <sheetName val="Financ. Overview"/>
      <sheetName val="CJA 2006"/>
      <sheetName val="公摊费用及期间费"/>
      <sheetName val="系数516"/>
      <sheetName val="报价单"/>
      <sheetName val="General"/>
      <sheetName val="计量"/>
      <sheetName val="付款进度表"/>
      <sheetName val="科目列表"/>
      <sheetName val="无合同工程及销费"/>
      <sheetName val="二级成本动态表"/>
      <sheetName val="成本表1 项目规划指标及收入计划"/>
      <sheetName val="基本数据计算底稿"/>
      <sheetName val="人工费"/>
      <sheetName val="D户型防水"/>
      <sheetName val="TAX COM"/>
      <sheetName val="A翼写字楼"/>
      <sheetName val="2-汇总"/>
      <sheetName val="6-科目表"/>
      <sheetName val="3-收益利润"/>
      <sheetName val="5-运作安排"/>
      <sheetName val="地库三安装工程"/>
      <sheetName val="B标段叠拼"/>
      <sheetName val="B标段联排"/>
      <sheetName val="一期规划面积"/>
      <sheetName val="1-指标"/>
      <sheetName val="1.1-楼栋情况"/>
      <sheetName val="2.1-补充协议明细"/>
      <sheetName val="Note_1_-_Recon_Profit"/>
      <sheetName val="Cash_Flow_Statement"/>
      <sheetName val="Aging_Datasheet"/>
      <sheetName val="1_1-楼栋情况"/>
      <sheetName val="2_1-补充协议明细"/>
      <sheetName val="HVAC BoQ"/>
      <sheetName val="RA-markate"/>
      <sheetName val="T1T2T3T4门窗表"/>
      <sheetName val="表3"/>
      <sheetName val="室内汇总"/>
      <sheetName val="分摊基础"/>
      <sheetName val="2经济测算"/>
      <sheetName val="报表项目基本情况表"/>
      <sheetName val="裙楼土建成本分析"/>
      <sheetName val="99CCTV"/>
      <sheetName val="材料表"/>
      <sheetName val="地下室劳务"/>
      <sheetName val="地上劳务"/>
      <sheetName val="表10计算规则表"/>
      <sheetName val="表9单位情况"/>
      <sheetName val="BTH-TMDT"/>
      <sheetName val="gd_02"/>
      <sheetName val="TH-TDT"/>
      <sheetName val="BTH"/>
      <sheetName val="材料清单"/>
      <sheetName val="地面过水泥砂"/>
      <sheetName val="楼板镂空及加楼板（部分项目有争议）"/>
      <sheetName val="DDETABLE "/>
      <sheetName val="基本设置"/>
      <sheetName val="资料库"/>
      <sheetName val="综合计算表(饰面)"/>
      <sheetName val="工程量计算表"/>
      <sheetName val="营业费用"/>
      <sheetName val="应付款项"/>
      <sheetName val="2007.03.31"/>
      <sheetName val="附表28"/>
      <sheetName val="附表5-1"/>
      <sheetName val="附表8-1"/>
      <sheetName val="附表27"/>
      <sheetName val="附表17"/>
      <sheetName val="附表16"/>
      <sheetName val="附表4"/>
      <sheetName val="附表21"/>
      <sheetName val="附表24"/>
      <sheetName val="附表32"/>
      <sheetName val="附表33"/>
      <sheetName val="附表13"/>
      <sheetName val="附表15-1"/>
      <sheetName val="附表2"/>
      <sheetName val="附表3"/>
      <sheetName val="K401"/>
      <sheetName val="97取费(定额直接费)"/>
      <sheetName val="3.基础梁"/>
      <sheetName val="主营业务成本明细表"/>
      <sheetName val="ZH COA"/>
      <sheetName val="A1、A2栏杆和百叶清单 "/>
      <sheetName val="A1、A2单价分析表"/>
      <sheetName val="A1门窗清单"/>
      <sheetName val="A20单价分析表"/>
      <sheetName val="A20栋清单"/>
      <sheetName val="A21、A22单价分析表"/>
      <sheetName val="A21、22栋清单"/>
      <sheetName val="A3-4单价分析表"/>
      <sheetName val="A3门窗清单"/>
      <sheetName val="A4门窗清单"/>
      <sheetName val="B1、B2、B4-B7栋清单"/>
      <sheetName val="B1、B2、B4-B7单价分析表"/>
      <sheetName val="B1幕墙价分析表"/>
      <sheetName val="B1幕墙"/>
      <sheetName val="B2幕墙价分析表"/>
      <sheetName val="B2幕墙"/>
      <sheetName val="B3单价分析表"/>
      <sheetName val="B3幕墙价分析表"/>
      <sheetName val="B3幕墙"/>
      <sheetName val="B3栋清单"/>
      <sheetName val="B4幕墙价分析表"/>
      <sheetName val="B4幕墙"/>
      <sheetName val="B5幕墙价分析表"/>
      <sheetName val="B5幕墙"/>
      <sheetName val="B6幕墙价分析表"/>
      <sheetName val="B6幕墙"/>
      <sheetName val="B7幕墙价分析表"/>
      <sheetName val="B7幕墙"/>
      <sheetName val="售楼部单价分析表"/>
      <sheetName val="售楼部"/>
      <sheetName val="小学单价分析表"/>
      <sheetName val="小学"/>
      <sheetName val="幼儿园单价分析表"/>
      <sheetName val="幼儿园"/>
      <sheetName val="主材表"/>
      <sheetName val="3、销售物业开发销售表"/>
      <sheetName val="设计费用-ICP"/>
      <sheetName val="B4零星"/>
      <sheetName val="KKKKKKKK"/>
      <sheetName val="摊销表"/>
      <sheetName val="#511BkRec"/>
      <sheetName val="#511-SEPT97"/>
      <sheetName val="#511-OCT97"/>
      <sheetName val="#511-NOV97"/>
      <sheetName val="#511-DEC97"/>
      <sheetName val="Hotel"/>
      <sheetName val="G201os"/>
      <sheetName val="FA Addition"/>
      <sheetName val="貨品科目"/>
      <sheetName val="地价利息"/>
      <sheetName val="其他值列表"/>
      <sheetName val="采购类别"/>
      <sheetName val="项目分期"/>
      <sheetName val="责任人"/>
      <sheetName val="pcQueryData"/>
      <sheetName val="补充清单"/>
      <sheetName val="合格证 (2)"/>
      <sheetName val="eqpmad2"/>
      <sheetName val="working sheet"/>
      <sheetName val="清单总览"/>
      <sheetName val="调价系数表"/>
      <sheetName val="TRAFFIC-bud"/>
      <sheetName val="科目"/>
      <sheetName val="清单"/>
      <sheetName val="月度预算表"/>
      <sheetName val="损益预算执行（分月）"/>
      <sheetName val="月度预算执行总表"/>
      <sheetName val="重要内部交易情况表"/>
      <sheetName val="财务费用明细表"/>
      <sheetName val="管理费用明细表"/>
      <sheetName val="营业费用明细表"/>
      <sheetName val="制造费用明细表"/>
      <sheetName val="模板"/>
      <sheetName val="加压泵房"/>
      <sheetName val="总措施项目"/>
      <sheetName val="含量"/>
      <sheetName val="Sheet9"/>
      <sheetName val="附 录 一"/>
      <sheetName val="Collateral"/>
      <sheetName val="Disposition"/>
      <sheetName val="盈A030617使用格式"/>
      <sheetName val="2006年10月"/>
      <sheetName val="计量单位数据有效性"/>
      <sheetName val="4.产品成本分摊"/>
      <sheetName val="(请勿修改或删除本页)"/>
      <sheetName val="下拉"/>
      <sheetName val="成本对标表"/>
      <sheetName val="Sheet1 (11)"/>
      <sheetName val="汇率"/>
      <sheetName val="生产成本明细表"/>
      <sheetName val="策划4"/>
      <sheetName val="有已开票数"/>
      <sheetName val="5-1、规划指标"/>
      <sheetName val="附件1、六类公摊费用及期间费"/>
      <sheetName val="方案1"/>
      <sheetName val="销量"/>
      <sheetName val="Adjustment"/>
      <sheetName val="成本测算及分摊"/>
      <sheetName val="Enhanced FASB 123"/>
      <sheetName val="Occ, Other Rev, Exp, Dispo"/>
      <sheetName val="A-General"/>
      <sheetName val="tph-comrental"/>
      <sheetName val="招标项目"/>
      <sheetName val="BS 2006"/>
      <sheetName val="Cash flow"/>
      <sheetName val="11#"/>
      <sheetName val="C18"/>
      <sheetName val="05惠州"/>
      <sheetName val="04宝棠"/>
      <sheetName val="03城东"/>
      <sheetName val="02龙岗"/>
      <sheetName val="4301_2004ch1"/>
      <sheetName val="5201_20041"/>
      <sheetName val="预算执行情况_(2)1"/>
      <sheetName val="建筑面积_"/>
      <sheetName val="成本汇总_"/>
      <sheetName val="承台(砖模)_"/>
      <sheetName val="Estimate_Details"/>
      <sheetName val="全期规划指标_"/>
      <sheetName val="Mp-team_1"/>
      <sheetName val="2_1设计部"/>
      <sheetName val="Financial_highligts"/>
      <sheetName val="2006内部公司往来利息及调整（per_entity）"/>
      <sheetName val="___合同台账__"/>
      <sheetName val="POWER_ASSUMPTIONS"/>
      <sheetName val="合价"/>
      <sheetName val="计算式"/>
      <sheetName val="顶板"/>
      <sheetName val="改加胶玻璃、室外栏杆"/>
      <sheetName val="A8独立基础 "/>
      <sheetName val="基础"/>
      <sheetName val="门窗"/>
      <sheetName val="3层装修计算"/>
      <sheetName val="技术指标"/>
      <sheetName val="三家其他应付公司"/>
      <sheetName val="计算表2"/>
      <sheetName val="LAVT"/>
      <sheetName val="面积"/>
      <sheetName val="营销费用预算"/>
      <sheetName val="营销合约"/>
      <sheetName val="temp"/>
      <sheetName val="G2TempSheet"/>
      <sheetName val="19#楼(作废)"/>
      <sheetName val="Elem Cost"/>
      <sheetName val="材料汇总"/>
      <sheetName val="测算依据"/>
      <sheetName val="砂浆单价表"/>
      <sheetName val="表六 "/>
      <sheetName val="调整系数"/>
      <sheetName val="强电过路砼保护管 "/>
      <sheetName val="分类"/>
      <sheetName val="一层柱砼C40"/>
      <sheetName val="工程量A"/>
      <sheetName val="1.1.1（土建6#楼）"/>
      <sheetName val="5-现金流"/>
      <sheetName val="2007年成本计算"/>
      <sheetName val="A.R 01"/>
      <sheetName val="南沙奥园环湖工程 "/>
      <sheetName val="PL"/>
      <sheetName val="金泽蓝湾强电工程量"/>
      <sheetName val="价格数据库"/>
      <sheetName val="变配电"/>
      <sheetName val="北区裙楼工程量"/>
      <sheetName val="5期B栋会所装饰精装修"/>
      <sheetName val="19号楼"/>
      <sheetName val="20号楼"/>
      <sheetName val="21号楼 "/>
      <sheetName val="31号楼 "/>
      <sheetName val="预算200326"/>
      <sheetName val="利息7月-8月"/>
      <sheetName val="d-7"/>
      <sheetName val="试算平衡表"/>
      <sheetName val="地产口"/>
      <sheetName val="磨具余料庫"/>
      <sheetName val="地上砌体 "/>
      <sheetName val="FOL - Bar"/>
      <sheetName val="COST"/>
      <sheetName val="B1、B2清单表"/>
      <sheetName val="职工花名册"/>
      <sheetName val="核算项目余额表"/>
      <sheetName val="土方、桩基、支护、降水工程综合单价表"/>
      <sheetName val="X1"/>
      <sheetName val="Marco"/>
      <sheetName val="项目签名封面"/>
      <sheetName val="accode"/>
      <sheetName val="Air Conditional"/>
      <sheetName val="Computer"/>
      <sheetName val="Equipment"/>
      <sheetName val="Motor Vehicle"/>
      <sheetName val="Renovation"/>
      <sheetName val="G402."/>
      <sheetName val="Bill-2.1（1）"/>
      <sheetName val="成本项目"/>
      <sheetName val="汇总"/>
      <sheetName val="Journal Entries - EJE(09930)"/>
      <sheetName val="PUD adjust in Consol level"/>
      <sheetName val="全区分摊项目汇总"/>
      <sheetName val="计算书"/>
      <sheetName val="#REF"/>
      <sheetName val="CP"/>
      <sheetName val="公司清单"/>
      <sheetName val="内地面"/>
      <sheetName val="园林电气汇总"/>
      <sheetName val="资产试算"/>
      <sheetName val="项目单价"/>
      <sheetName val="完"/>
      <sheetName val="园建工程（后期）"/>
      <sheetName val="Setting"/>
      <sheetName val="数据录入"/>
      <sheetName val="7号签证"/>
      <sheetName val="EVALUATE"/>
      <sheetName val="A1-A3清单表"/>
      <sheetName val="A1-A3门窗单价分析表"/>
      <sheetName val="型材米重表"/>
      <sheetName val="主材"/>
      <sheetName val="合同付款"/>
      <sheetName val="出租写字楼方案"/>
      <sheetName val="评估结论"/>
      <sheetName val="sheet"/>
      <sheetName val="工商税收"/>
      <sheetName val="成本科目维护"/>
      <sheetName val="成本指标"/>
      <sheetName val="合同付款台账"/>
      <sheetName val="合同基本信息"/>
      <sheetName val="龙江销售收入"/>
      <sheetName val="GDP"/>
      <sheetName val="DATA"/>
      <sheetName val="列表"/>
      <sheetName val="A"/>
      <sheetName val="5税收优惠明细表"/>
      <sheetName val="N201"/>
      <sheetName val="安装工程量计算书单项模板"/>
      <sheetName val="应收票据(关联方)"/>
      <sheetName val="行政区划"/>
      <sheetName val="农业用地"/>
      <sheetName val="C01-1"/>
      <sheetName val="财政供养人员增幅"/>
      <sheetName val="本年收入合计"/>
      <sheetName val="人员支出"/>
      <sheetName val="事业发展"/>
      <sheetName val="营销无文本"/>
      <sheetName val="村级支出"/>
      <sheetName val="农业人口"/>
      <sheetName val="四月份月报"/>
      <sheetName val="基础编码"/>
      <sheetName val="对标-甲级写字楼"/>
      <sheetName val="销售预测表"/>
      <sheetName val="销售财务日报表②"/>
      <sheetName val="设置"/>
      <sheetName val="1#计算书"/>
      <sheetName val="标准层电梯厅清单"/>
      <sheetName val="5#质感"/>
      <sheetName val="时代廊桥花园23栋给排水工程"/>
      <sheetName val="基本资料"/>
      <sheetName val="清单(成本)"/>
      <sheetName val="湿装饰"/>
      <sheetName val="工程量汇总表"/>
      <sheetName val="零星工程"/>
      <sheetName val="_x0000__x0000__x0000__x0000__x0000__x0000__x0000__x0000_"/>
      <sheetName val="XX排总"/>
      <sheetName val="定额(清单)库"/>
      <sheetName val="至10月末全成本汇总表（动态）"/>
      <sheetName val="19.门窗"/>
      <sheetName val="_x0000__x0000__x0000__x0000__x0"/>
      <sheetName val="_x005f_x0000__x005f_x0000__x005f_x0000__x005f_x0000__x0"/>
      <sheetName val="至4月末全成本汇总表（动态）"/>
      <sheetName val="承台(木模)"/>
      <sheetName val="_x005f_x005f_x005f_x0000__x005f_x005f_x005f_x0000__x005"/>
      <sheetName val="引用数据"/>
      <sheetName val="基础梁工程量 (外)"/>
      <sheetName val="基础梁工程量(内)"/>
      <sheetName val="Cost Plan -2"/>
      <sheetName val="住宅建安-公寓"/>
      <sheetName val="序列表"/>
      <sheetName val="1.资金支付台帐"/>
      <sheetName val="E1020"/>
      <sheetName val="编码"/>
      <sheetName val="QY"/>
      <sheetName val="应付账款1-11明细表"/>
      <sheetName val="新城资金明细"/>
      <sheetName val="申鑫大厦租金明细"/>
      <sheetName val="三林明细"/>
      <sheetName val="东陆明细"/>
      <sheetName val="ITEM"/>
      <sheetName val="役"/>
      <sheetName val="基础资料"/>
      <sheetName val="_x005f_x0000__x005f_x0000__x005"/>
      <sheetName val="南沙尚品国际3#（底商）"/>
      <sheetName val="分部分项清单(模板)"/>
      <sheetName val="分产品销售收入、成本分析表"/>
      <sheetName val="BA-Pl"/>
      <sheetName val="防水工程"/>
      <sheetName val="企业表一"/>
      <sheetName val="M-5C"/>
      <sheetName val="M-5A"/>
      <sheetName val="合同台帐"/>
      <sheetName val="16#楼公共区域"/>
      <sheetName val="102 清单"/>
      <sheetName val="UFPrn20100203142250"/>
      <sheetName val="UFPrn20091103150220"/>
      <sheetName val="6601"/>
      <sheetName val="6602"/>
      <sheetName val="6603"/>
      <sheetName val="采购公司抵销"/>
      <sheetName val="PUR资料库"/>
      <sheetName val="付款计划（投委会）"/>
      <sheetName val="弗莱明戈1A区"/>
      <sheetName val="华房01"/>
      <sheetName val="健翔01"/>
      <sheetName val="京通01"/>
      <sheetName val="参照表"/>
      <sheetName val="46亩(新)"/>
      <sheetName val="税金预测"/>
      <sheetName val="税金缴纳情况"/>
      <sheetName val="土地款预测"/>
      <sheetName val="销售回款预测"/>
      <sheetName val="政府性收费预测"/>
      <sheetName val="威灵电机"/>
      <sheetName val="计量单位（综）"/>
      <sheetName val="财务指标"/>
      <sheetName val="进度款台帐"/>
      <sheetName val="利润表"/>
      <sheetName val="初步规划表"/>
      <sheetName val="楼层梁筋"/>
      <sheetName val="建筑面积及其它"/>
      <sheetName val="科目余额表"/>
      <sheetName val="雨水管网"/>
      <sheetName val="污水管网 "/>
      <sheetName val="当期规划指标"/>
      <sheetName val="Drop List References"/>
      <sheetName val="指标分摊"/>
      <sheetName val="分部分项工程量清单计价表"/>
      <sheetName val="综合单价表"/>
      <sheetName val="工程清单"/>
      <sheetName val="清单1-裙楼Ea"/>
      <sheetName val="给排水"/>
      <sheetName val="总成本、总收入、租赁收入、资产估值"/>
      <sheetName val="定义构件"/>
      <sheetName val="平窗"/>
      <sheetName val="JOA首頁"/>
      <sheetName val="标准合同目录"/>
      <sheetName val="制造费用明细账"/>
      <sheetName val="对比"/>
      <sheetName val="合并TB"/>
      <sheetName val="调整分录"/>
      <sheetName val="金色二期产品成本分摊表"/>
      <sheetName val="P&amp;L"/>
      <sheetName val="高层F毛坯"/>
      <sheetName val="C.现金流量表"/>
      <sheetName val="PL_2007"/>
      <sheetName val="PL_2005"/>
      <sheetName val="PL_2006"/>
      <sheetName val="CJA_2006"/>
      <sheetName val="1_资金支付台帐"/>
      <sheetName val="G_1R-Shou_COP_Gf"/>
      <sheetName val="ECCS_1_DataSheet"/>
      <sheetName val="KPI_Datasheet"/>
      <sheetName val="PRC GAAP"/>
      <sheetName val="项目开发周期表"/>
      <sheetName val="项目基本情况"/>
      <sheetName val="铝合金栏杆、雨篷 (渝园)"/>
      <sheetName val="工作台帐"/>
      <sheetName val="Metadata"/>
      <sheetName val="5清波"/>
      <sheetName val="2A2户型86m2装饰"/>
      <sheetName val="清单-总"/>
      <sheetName val="单价分析表"/>
      <sheetName val="目标进度表(扣除变更数）"/>
      <sheetName val="附表10"/>
      <sheetName val="利润"/>
      <sheetName val="其他货币资金.dbf"/>
      <sheetName val="银行存款.dbf"/>
      <sheetName val="ACC"/>
      <sheetName val="電気設備表"/>
      <sheetName val="基础工程量估算"/>
      <sheetName val="sum(Flooring )"/>
      <sheetName val="动态成本差异分析表"/>
      <sheetName val="2018版成本动态台帐"/>
      <sheetName val="凤一"/>
      <sheetName val="Bill-1基本要求费用"/>
      <sheetName val="Bill-3小计"/>
      <sheetName val="Bill-4雨篷"/>
      <sheetName val="sn"/>
      <sheetName val="_x0000__x0000__x005"/>
      <sheetName val="明細表"/>
      <sheetName val="股利分配抵销09.06.30"/>
      <sheetName val="万科四季花城城南项目面积解疑表"/>
      <sheetName val="部位"/>
      <sheetName val="3.成本盈利预测表"/>
      <sheetName val="方案4"/>
      <sheetName val="E系列"/>
      <sheetName val="园建计算表1梁工"/>
      <sheetName val="4#号清单之地下室土建"/>
      <sheetName val="_x005f_x005f_x005f_x005f_x005f_x005f_x005f_x0000__x005f"/>
      <sheetName val="_x005f_x005f_x005f_x005f_x005f_x005f_x005f_x005f_x005f_x005f_"/>
      <sheetName val="地上首层"/>
      <sheetName val="_x005f_x005f_x005f_x0000__x005f"/>
      <sheetName val="_x005f_x005f_x005f_x005f_"/>
      <sheetName val="S1单价表"/>
      <sheetName val="隔墙"/>
      <sheetName val="费用表"/>
      <sheetName val="定义（勿删）"/>
      <sheetName val="本"/>
      <sheetName val="销售利润明细表"/>
      <sheetName val="项目信息"/>
      <sheetName val="销售计划"/>
      <sheetName val="酒店"/>
      <sheetName val="商业"/>
      <sheetName val="写字楼"/>
      <sheetName val="D1-项目现金流量表"/>
      <sheetName val="A1 OUTPUT"/>
      <sheetName val="B5目标成本"/>
      <sheetName val="B8参数设定"/>
      <sheetName val="现金流表"/>
      <sheetName val="关键假设及填报说明"/>
      <sheetName val="1.1销售参数"/>
      <sheetName val="Repayment Summary"/>
      <sheetName val="单价分析表格式"/>
      <sheetName val="序列"/>
      <sheetName val="4结算明细"/>
      <sheetName val="6签约明细"/>
      <sheetName val="8未结转信息"/>
      <sheetName val="7项目成本表"/>
      <sheetName val="5项目签约"/>
      <sheetName val="Input"/>
      <sheetName val="Note_1_-_Recon_Profit1"/>
      <sheetName val="Cash_Flow_Statement1"/>
      <sheetName val="Aging_Datasheet1"/>
      <sheetName val="BS_2006"/>
      <sheetName val="Cash_flow"/>
      <sheetName val="1_1-楼栋情况1"/>
      <sheetName val="2_1-补充协议明细1"/>
      <sheetName val="投标材料清单_"/>
      <sheetName val="102_清单"/>
      <sheetName val="Financ__Overview"/>
      <sheetName val="TAX_COM"/>
      <sheetName val="成本表1_项目规划指标及收入计划"/>
      <sheetName val="Occ,_Other_Rev,_Exp,_Dispo"/>
      <sheetName val="2007_03_31"/>
      <sheetName val="Sheet1_(11)"/>
      <sheetName val="HVAC_BoQ"/>
      <sheetName val="1_1_1（土建6#楼）"/>
      <sheetName val="A8独立基础_"/>
      <sheetName val="DDETABLE_"/>
      <sheetName val="ZH_COA"/>
      <sheetName val="附_录_一"/>
      <sheetName val="3_基础梁"/>
      <sheetName val="4_产品成本分摊"/>
      <sheetName val="Enhanced_FASB_123"/>
      <sheetName val="其他货币资金_dbf"/>
      <sheetName val="银行存款_dbf"/>
      <sheetName val="Air_Conditional"/>
      <sheetName val="Motor_Vehicle"/>
      <sheetName val="FA_Addition"/>
      <sheetName val="A_R_01"/>
      <sheetName val="南沙奥园环湖工程_"/>
      <sheetName val="铝合金栏杆、雨篷_(渝园)"/>
      <sheetName val="合格证_(2)"/>
      <sheetName val="强电过路砼保护管_"/>
      <sheetName val="污水管网_"/>
      <sheetName val="21号楼_"/>
      <sheetName val="31号楼_"/>
      <sheetName val="A1、A2栏杆和百叶清单_"/>
      <sheetName val="G402_"/>
      <sheetName val="表六_"/>
      <sheetName val="19_门窗"/>
      <sheetName val="地上砌体_"/>
      <sheetName val="基础梁工程量_(外)"/>
      <sheetName val="Elem_Cost"/>
      <sheetName val="Cost_Plan_-2"/>
      <sheetName val="PRC_GAAP"/>
      <sheetName val="3_成本盈利预测表"/>
      <sheetName val="sum(Flooring_)"/>
      <sheetName val="Bill-2_1（1）"/>
      <sheetName val="Journal_Entries_-_EJE(09930)"/>
      <sheetName val="PUD_adjust_in_Consol_level"/>
      <sheetName val="_x005f_x0000__x005f"/>
      <sheetName val="现场签证"/>
      <sheetName val="工程量计算表2"/>
      <sheetName val="工程量计算书3"/>
      <sheetName val="分部分项工程量计算式"/>
      <sheetName val="总公司序时帐"/>
      <sheetName val="材料损耗(不打印)"/>
      <sheetName val="售价"/>
      <sheetName val="页码引用"/>
      <sheetName val="VAS TB"/>
      <sheetName val="LS-BS"/>
      <sheetName val="工程量"/>
      <sheetName val="结构"/>
      <sheetName val="其它"/>
      <sheetName val="措施"/>
      <sheetName val="03定额库"/>
      <sheetName val="94定额库"/>
      <sheetName val="清单库"/>
      <sheetName val="基本信息"/>
      <sheetName val="Wl. Fin."/>
      <sheetName val="综合单价分析表"/>
      <sheetName val="园建"/>
      <sheetName val="_x0000__x005f"/>
      <sheetName val="标准层幕墙综合单价分析表"/>
      <sheetName val="甲供材料清单"/>
      <sheetName val="4-1 销售物业敏感性测试"/>
      <sheetName val="1-13 长租公寓"/>
      <sheetName val="1-14 联合办公"/>
      <sheetName val="0-2 投资评价指标"/>
      <sheetName val="1-4 签约回款"/>
      <sheetName val="1-1 基础信息"/>
      <sheetName val="1-2 面积信息"/>
      <sheetName val="1-3 开发计划"/>
      <sheetName val="1-7 支付"/>
      <sheetName val="1-8 分年结利（模型口径）"/>
      <sheetName val="1-9 银行融资"/>
      <sheetName val="1-16 股东方指标表"/>
      <sheetName val="1-5 供销存"/>
      <sheetName val="3-1 项目损益（模型口径）"/>
      <sheetName val="4-2 留存物业敏感性测试"/>
      <sheetName val="4-3 创新业务敏感性测试"/>
      <sheetName val="1-10 商场"/>
      <sheetName val="1-11 酒店"/>
      <sheetName val="1-12 写字楼"/>
      <sheetName val="1-15 留存养老"/>
      <sheetName val="5-1 指标对比（模型口径）"/>
      <sheetName val="5-1 指标对比（预算口径）"/>
      <sheetName val="0-1 检验结果"/>
      <sheetName val="2-3 成本及对标口径成本（模型口径）"/>
      <sheetName val="0-3 投资评价指标-创新业务"/>
      <sheetName val="2-4 资金来源与运用表"/>
      <sheetName val="1-8 分年结利（预算口径）"/>
      <sheetName val="2-3 成本及对标口径成本（预算口径）"/>
      <sheetName val="自定义1"/>
      <sheetName val="自定义2"/>
      <sheetName val="自定义3"/>
      <sheetName val="ICCM"/>
      <sheetName val="2-1 付款计划"/>
      <sheetName val="10月发生（手工）"/>
      <sheetName val="SW-TEO"/>
      <sheetName val="型材表"/>
      <sheetName val="3#门窗表"/>
      <sheetName val="总人口"/>
      <sheetName val="初始设定"/>
      <sheetName val="W"/>
      <sheetName val="4301_2004ch2"/>
      <sheetName val="5201_20042"/>
      <sheetName val="预算执行情况_(2)2"/>
      <sheetName val="建筑面积_1"/>
      <sheetName val="2006内部公司往来利息及调整（per_entity）1"/>
      <sheetName val="成本汇总_1"/>
      <sheetName val="___合同台账__1"/>
      <sheetName val="全期规划指标_1"/>
      <sheetName val="Financial_highligts1"/>
      <sheetName val="Mp-team_11"/>
      <sheetName val="承台(砖模)_1"/>
      <sheetName val="1."/>
      <sheetName val="计算过程"/>
      <sheetName val="uint"/>
      <sheetName val="会议纪要"/>
      <sheetName val="工程"/>
      <sheetName val="研发"/>
      <sheetName val="报建"/>
      <sheetName val="造采"/>
      <sheetName val="财务"/>
      <sheetName val="客研"/>
      <sheetName val="客服"/>
      <sheetName val="景观"/>
      <sheetName val="营销"/>
      <sheetName val="规划面积"/>
      <sheetName val="MOHKG"/>
      <sheetName val="重庆"/>
      <sheetName val="牛栏山一级"/>
      <sheetName val="金泰(艳澜山)"/>
      <sheetName val="Overstatement"/>
      <sheetName val="材料单价表"/>
      <sheetName val="二层"/>
      <sheetName val="地下"/>
      <sheetName val="大面工程量"/>
      <sheetName val="防火隔离带"/>
      <sheetName val="Total road area"/>
      <sheetName val="石材购买量统计"/>
      <sheetName val="_x005f_x005f_"/>
      <sheetName val="管理费用"/>
      <sheetName val="营业税金所得税Breakdown"/>
      <sheetName val="土建综合单价表"/>
      <sheetName val="土建综合单价组价明细表"/>
      <sheetName val="标准表格"/>
      <sheetName val="Construction"/>
      <sheetName val="Register"/>
      <sheetName val="附件36-电动隔光帘系统测算"/>
      <sheetName val="（成本清查）汇总表"/>
      <sheetName val="附件1 合同规划（招采）"/>
      <sheetName val="vip会员费启动费"/>
      <sheetName val="量(原)"/>
      <sheetName val="地上办公60(土建)"/>
      <sheetName val="主材价格"/>
      <sheetName val="工程量计算手写稿"/>
      <sheetName val="变更16"/>
      <sheetName val="洋房电梯厅变更"/>
      <sheetName val="建设路增加梯步"/>
      <sheetName val="新增二环路门卫室变更24"/>
      <sheetName val="签证"/>
      <sheetName val="新增停车场22"/>
      <sheetName val="13楼侧"/>
      <sheetName val="变更19"/>
      <sheetName val="二环路梯步"/>
      <sheetName val="自行车出入口一"/>
      <sheetName val="外墙装饰"/>
      <sheetName val="PopCache"/>
      <sheetName val="统计分析表"/>
      <sheetName val="G核"/>
      <sheetName val="基本档案"/>
      <sheetName val="现金流量表"/>
      <sheetName val="基 础"/>
      <sheetName val="零星项目计价清单"/>
      <sheetName val="07水"/>
      <sheetName val="跨期分摊表"/>
      <sheetName val="08年 (2)"/>
      <sheetName val="HISTFORE"/>
      <sheetName val="柱计算"/>
      <sheetName val="主营业务税金及附加Dy"/>
      <sheetName val="应收账款Dy"/>
      <sheetName val="09实际"/>
      <sheetName val="递延税计算底稿"/>
      <sheetName val="定额"/>
      <sheetName val="Return Summary"/>
      <sheetName val="Ｔ型账"/>
      <sheetName val="C1"/>
      <sheetName val="Template"/>
      <sheetName val="材料价格表"/>
      <sheetName val="门窗及阳台栏杆"/>
    </sheetNames>
    <sheetDataSet>
      <sheetData sheetId="0" refreshError="1"/>
      <sheetData sheetId="1" refreshError="1">
        <row r="1">
          <cell r="A1" t="str">
            <v>科目代码</v>
          </cell>
          <cell r="B1" t="str">
            <v>科目名称</v>
          </cell>
          <cell r="C1" t="str">
            <v>日期</v>
          </cell>
          <cell r="D1" t="str">
            <v>凭证字号</v>
          </cell>
          <cell r="E1" t="str">
            <v>摘要</v>
          </cell>
          <cell r="F1" t="str">
            <v>借方金额</v>
          </cell>
          <cell r="G1" t="str">
            <v>贷方金额</v>
          </cell>
          <cell r="H1" t="str">
            <v>方向</v>
          </cell>
          <cell r="I1" t="str">
            <v>余额</v>
          </cell>
        </row>
        <row r="2">
          <cell r="A2" t="str">
            <v>5501.502</v>
          </cell>
          <cell r="B2" t="str">
            <v>营销推广费用</v>
          </cell>
          <cell r="C2">
            <v>37987</v>
          </cell>
          <cell r="D2">
            <v>0</v>
          </cell>
          <cell r="E2" t="str">
            <v>年初余额</v>
          </cell>
          <cell r="F2">
            <v>0</v>
          </cell>
          <cell r="G2">
            <v>0</v>
          </cell>
          <cell r="H2" t="str">
            <v>平</v>
          </cell>
          <cell r="I2">
            <v>0</v>
          </cell>
        </row>
        <row r="3">
          <cell r="C3">
            <v>38017</v>
          </cell>
          <cell r="D3" t="str">
            <v>转字 - 1</v>
          </cell>
          <cell r="E3" t="str">
            <v>广州地产转来代付名美广告城花策划咨询费</v>
          </cell>
          <cell r="F3">
            <v>100000</v>
          </cell>
          <cell r="G3">
            <v>0</v>
          </cell>
          <cell r="H3" t="str">
            <v>借</v>
          </cell>
          <cell r="I3">
            <v>100000</v>
          </cell>
        </row>
        <row r="4">
          <cell r="C4">
            <v>38257</v>
          </cell>
          <cell r="D4" t="str">
            <v>银付 - 2</v>
          </cell>
          <cell r="E4" t="str">
            <v>付广州市天基广告有限公司 9月1日夹报费用</v>
          </cell>
          <cell r="F4">
            <v>34824</v>
          </cell>
          <cell r="G4">
            <v>0</v>
          </cell>
          <cell r="H4" t="str">
            <v>借</v>
          </cell>
          <cell r="I4">
            <v>134824</v>
          </cell>
        </row>
        <row r="5">
          <cell r="C5">
            <v>38257</v>
          </cell>
          <cell r="D5" t="str">
            <v>银付 - 4</v>
          </cell>
          <cell r="E5" t="str">
            <v>付广州市点彩广告有限公司 黄埔3人篮球赛-1</v>
          </cell>
          <cell r="F5">
            <v>94698</v>
          </cell>
          <cell r="G5">
            <v>0</v>
          </cell>
          <cell r="H5" t="str">
            <v>借</v>
          </cell>
          <cell r="I5">
            <v>229522</v>
          </cell>
        </row>
        <row r="6">
          <cell r="C6">
            <v>38260</v>
          </cell>
          <cell r="D6" t="str">
            <v>转字 - 5</v>
          </cell>
          <cell r="E6" t="str">
            <v>佛山代付南方都市报城花参展场地费</v>
          </cell>
          <cell r="F6">
            <v>2700</v>
          </cell>
          <cell r="G6">
            <v>0</v>
          </cell>
          <cell r="H6" t="str">
            <v>借</v>
          </cell>
          <cell r="I6">
            <v>232222</v>
          </cell>
        </row>
        <row r="7">
          <cell r="C7">
            <v>38260</v>
          </cell>
          <cell r="D7" t="str">
            <v>转字 - 5</v>
          </cell>
          <cell r="E7" t="str">
            <v>佛山代付天基城花9.16夹报费</v>
          </cell>
          <cell r="F7">
            <v>32896</v>
          </cell>
          <cell r="G7">
            <v>0</v>
          </cell>
          <cell r="H7" t="str">
            <v>借</v>
          </cell>
          <cell r="I7">
            <v>265118</v>
          </cell>
        </row>
        <row r="8">
          <cell r="C8">
            <v>38260</v>
          </cell>
          <cell r="D8" t="str">
            <v>转字 - 5</v>
          </cell>
          <cell r="E8" t="str">
            <v>佛山代付伟丰城花利丰大厦停车位租费</v>
          </cell>
          <cell r="F8">
            <v>1600</v>
          </cell>
          <cell r="G8">
            <v>0</v>
          </cell>
          <cell r="H8" t="str">
            <v>借</v>
          </cell>
          <cell r="I8">
            <v>266718</v>
          </cell>
        </row>
        <row r="9">
          <cell r="C9">
            <v>38260</v>
          </cell>
          <cell r="D9" t="str">
            <v>转字 - 5</v>
          </cell>
          <cell r="E9" t="str">
            <v>佛山代付黑弧城花04.8-05.8广告代理费首期</v>
          </cell>
          <cell r="F9">
            <v>140000</v>
          </cell>
          <cell r="G9">
            <v>0</v>
          </cell>
          <cell r="H9" t="str">
            <v>借</v>
          </cell>
          <cell r="I9">
            <v>406718</v>
          </cell>
        </row>
        <row r="10">
          <cell r="C10">
            <v>38291</v>
          </cell>
          <cell r="D10" t="str">
            <v>银付 - 8</v>
          </cell>
          <cell r="E10" t="str">
            <v>付点彩广告公司黄埔三人篮球赛尾款</v>
          </cell>
          <cell r="F10">
            <v>142049</v>
          </cell>
          <cell r="G10">
            <v>0</v>
          </cell>
          <cell r="H10" t="str">
            <v>借</v>
          </cell>
          <cell r="I10">
            <v>548767</v>
          </cell>
        </row>
        <row r="11">
          <cell r="C11">
            <v>38291</v>
          </cell>
          <cell r="D11" t="str">
            <v>银付 - 17</v>
          </cell>
          <cell r="E11" t="str">
            <v>付点彩公司黄埔区石化影剧院前广场中秋活动执行费用</v>
          </cell>
          <cell r="F11">
            <v>29291</v>
          </cell>
          <cell r="G11">
            <v>0</v>
          </cell>
          <cell r="H11" t="str">
            <v>借</v>
          </cell>
          <cell r="I11">
            <v>578058</v>
          </cell>
        </row>
        <row r="12">
          <cell r="C12">
            <v>38291</v>
          </cell>
          <cell r="D12" t="str">
            <v>银付 - 18</v>
          </cell>
          <cell r="E12" t="str">
            <v>付诚和广告公司十一看楼巴士标识制作费</v>
          </cell>
          <cell r="F12">
            <v>1500</v>
          </cell>
          <cell r="G12">
            <v>0</v>
          </cell>
          <cell r="H12" t="str">
            <v>借</v>
          </cell>
          <cell r="I12">
            <v>579558</v>
          </cell>
        </row>
        <row r="13">
          <cell r="C13">
            <v>38291</v>
          </cell>
          <cell r="D13" t="str">
            <v>银付 - 40</v>
          </cell>
          <cell r="E13" t="str">
            <v>付天基广告公司 城花圆领T恤加印付款</v>
          </cell>
          <cell r="F13">
            <v>5000</v>
          </cell>
          <cell r="G13">
            <v>0</v>
          </cell>
          <cell r="H13" t="str">
            <v>借</v>
          </cell>
          <cell r="I13">
            <v>584558</v>
          </cell>
        </row>
        <row r="14">
          <cell r="C14">
            <v>38291</v>
          </cell>
          <cell r="D14" t="str">
            <v>银付 - 40</v>
          </cell>
          <cell r="E14" t="str">
            <v>付天基广告公司 9月29、30广州日报夹报宣传单张费用</v>
          </cell>
          <cell r="F14">
            <v>86278</v>
          </cell>
          <cell r="G14">
            <v>0</v>
          </cell>
          <cell r="H14" t="str">
            <v>借</v>
          </cell>
          <cell r="I14">
            <v>670836</v>
          </cell>
        </row>
        <row r="15">
          <cell r="C15">
            <v>38291</v>
          </cell>
          <cell r="D15" t="str">
            <v>银付 - 40</v>
          </cell>
          <cell r="E15" t="str">
            <v>付天基广告公司 10月1日广州日报夹报宣传单张费用</v>
          </cell>
          <cell r="F15">
            <v>43050</v>
          </cell>
          <cell r="G15">
            <v>0</v>
          </cell>
          <cell r="H15" t="str">
            <v>借</v>
          </cell>
          <cell r="I15">
            <v>713886</v>
          </cell>
        </row>
        <row r="16">
          <cell r="C16">
            <v>38291</v>
          </cell>
          <cell r="D16" t="str">
            <v>银付 - 41</v>
          </cell>
          <cell r="E16" t="str">
            <v>付海珠天衡展示制作中心 城花巡展制作、布置费用</v>
          </cell>
          <cell r="F16">
            <v>76960</v>
          </cell>
          <cell r="G16">
            <v>0</v>
          </cell>
          <cell r="H16" t="str">
            <v>借</v>
          </cell>
          <cell r="I16">
            <v>790846</v>
          </cell>
        </row>
        <row r="17">
          <cell r="C17">
            <v>38291</v>
          </cell>
          <cell r="D17" t="str">
            <v>银付 - 42</v>
          </cell>
          <cell r="E17" t="str">
            <v>付保税区凤凰国际公关传播公司 十一开放系列活动承办费用</v>
          </cell>
          <cell r="F17">
            <v>137528</v>
          </cell>
          <cell r="G17">
            <v>0</v>
          </cell>
          <cell r="H17" t="str">
            <v>借</v>
          </cell>
          <cell r="I17">
            <v>928374</v>
          </cell>
        </row>
        <row r="18">
          <cell r="C18">
            <v>38291</v>
          </cell>
          <cell r="D18" t="str">
            <v>银付 - 43</v>
          </cell>
          <cell r="E18" t="str">
            <v>付车之友 9月城花客户花城行大巴租用费</v>
          </cell>
          <cell r="F18">
            <v>5400</v>
          </cell>
          <cell r="G18">
            <v>0</v>
          </cell>
          <cell r="H18" t="str">
            <v>借</v>
          </cell>
          <cell r="I18">
            <v>933774</v>
          </cell>
        </row>
        <row r="19">
          <cell r="C19">
            <v>38291</v>
          </cell>
          <cell r="D19" t="str">
            <v>银付 - 44</v>
          </cell>
          <cell r="E19" t="str">
            <v>付员村天之龙电脑装饰部 看楼车移动不锈钢指示牌制作安装费</v>
          </cell>
          <cell r="F19">
            <v>4000</v>
          </cell>
          <cell r="G19">
            <v>0</v>
          </cell>
          <cell r="H19" t="str">
            <v>借</v>
          </cell>
          <cell r="I19">
            <v>937774</v>
          </cell>
        </row>
        <row r="20">
          <cell r="C20">
            <v>38291</v>
          </cell>
          <cell r="D20" t="str">
            <v>银付 - 51</v>
          </cell>
          <cell r="E20" t="str">
            <v>付点彩广告公司 黄埔地区运动会开幕式系列活动费用</v>
          </cell>
          <cell r="F20">
            <v>88970</v>
          </cell>
          <cell r="G20">
            <v>0</v>
          </cell>
          <cell r="H20" t="str">
            <v>借</v>
          </cell>
          <cell r="I20">
            <v>1026744</v>
          </cell>
        </row>
        <row r="21">
          <cell r="C21">
            <v>38291</v>
          </cell>
          <cell r="D21" t="str">
            <v>转字 - 5</v>
          </cell>
          <cell r="E21" t="str">
            <v>佛山代付 城花10.1医疗咨询服务费</v>
          </cell>
          <cell r="F21">
            <v>2800</v>
          </cell>
          <cell r="G21">
            <v>0</v>
          </cell>
          <cell r="H21" t="str">
            <v>借</v>
          </cell>
          <cell r="I21">
            <v>1029544</v>
          </cell>
        </row>
        <row r="22">
          <cell r="C22">
            <v>38291</v>
          </cell>
          <cell r="D22" t="str">
            <v>转字 - 5</v>
          </cell>
          <cell r="E22" t="str">
            <v>佛山代付 城花开放用桌子运费</v>
          </cell>
          <cell r="F22">
            <v>450</v>
          </cell>
          <cell r="G22">
            <v>0</v>
          </cell>
          <cell r="H22" t="str">
            <v>借</v>
          </cell>
          <cell r="I22">
            <v>1029994</v>
          </cell>
        </row>
        <row r="23">
          <cell r="C23">
            <v>38291</v>
          </cell>
          <cell r="D23" t="str">
            <v>转字 - 5</v>
          </cell>
          <cell r="E23" t="str">
            <v>佛山代付 城花10.1活动费</v>
          </cell>
          <cell r="F23">
            <v>20913</v>
          </cell>
          <cell r="G23">
            <v>0</v>
          </cell>
          <cell r="H23" t="str">
            <v>借</v>
          </cell>
          <cell r="I23">
            <v>1050907</v>
          </cell>
        </row>
        <row r="24">
          <cell r="C24">
            <v>38291</v>
          </cell>
          <cell r="D24" t="str">
            <v>转字 - 5</v>
          </cell>
          <cell r="E24" t="str">
            <v>佛山代付 城花销售现场费用</v>
          </cell>
          <cell r="F24">
            <v>5960</v>
          </cell>
          <cell r="G24">
            <v>0</v>
          </cell>
          <cell r="H24" t="str">
            <v>借</v>
          </cell>
          <cell r="I24">
            <v>1056867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ow r="1">
          <cell r="A1" t="str">
            <v>科目代码</v>
          </cell>
        </row>
      </sheetData>
      <sheetData sheetId="405"/>
      <sheetData sheetId="406"/>
      <sheetData sheetId="407"/>
      <sheetData sheetId="408"/>
      <sheetData sheetId="409"/>
      <sheetData sheetId="410"/>
      <sheetData sheetId="411"/>
      <sheetData sheetId="412"/>
      <sheetData sheetId="413"/>
      <sheetData sheetId="414"/>
      <sheetData sheetId="415"/>
      <sheetData sheetId="416"/>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sheetData sheetId="643"/>
      <sheetData sheetId="644">
        <row r="1">
          <cell r="A1" t="str">
            <v>科目代码</v>
          </cell>
        </row>
      </sheetData>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sheetData sheetId="721"/>
      <sheetData sheetId="722"/>
      <sheetData sheetId="723"/>
      <sheetData sheetId="724"/>
      <sheetData sheetId="725"/>
      <sheetData sheetId="726"/>
      <sheetData sheetId="727"/>
      <sheetData sheetId="728"/>
      <sheetData sheetId="729"/>
      <sheetData sheetId="730"/>
      <sheetData sheetId="731"/>
      <sheetData sheetId="732">
        <row r="1">
          <cell r="A1" t="str">
            <v>科目代码</v>
          </cell>
        </row>
      </sheetData>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sheetData sheetId="849"/>
      <sheetData sheetId="850"/>
      <sheetData sheetId="851"/>
      <sheetData sheetId="852"/>
      <sheetData sheetId="853"/>
      <sheetData sheetId="854"/>
      <sheetData sheetId="855"/>
      <sheetData sheetId="856"/>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showZeros="0" showOutlineSymbols="0" topLeftCell="B1" workbookViewId="0"/>
  </sheetViews>
  <sheetFormatPr defaultRowHeight="15.5"/>
  <sheetData/>
  <phoneticPr fontId="19"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8"/>
  <sheetViews>
    <sheetView workbookViewId="0">
      <selection activeCell="A26" sqref="A26"/>
    </sheetView>
  </sheetViews>
  <sheetFormatPr defaultColWidth="9" defaultRowHeight="15.5"/>
  <cols>
    <col min="1" max="1" width="13.58203125" style="1" customWidth="1"/>
    <col min="2" max="2" width="19.08203125" style="1" customWidth="1"/>
    <col min="3" max="3" width="29.33203125" style="1" customWidth="1"/>
    <col min="4" max="4" width="12.33203125" style="1" customWidth="1"/>
    <col min="5" max="256" width="8.6640625" style="1" customWidth="1"/>
  </cols>
  <sheetData>
    <row r="1" spans="1:3" ht="18">
      <c r="A1" s="2239" t="s">
        <v>926</v>
      </c>
      <c r="B1" s="2239"/>
      <c r="C1" s="2239"/>
    </row>
    <row r="3" spans="1:3" s="2" customFormat="1" ht="13.5">
      <c r="A3" s="3" t="s">
        <v>933</v>
      </c>
    </row>
    <row r="4" spans="1:3" s="2" customFormat="1" ht="13"/>
    <row r="5" spans="1:3" s="2" customFormat="1" ht="13.5">
      <c r="A5" s="3" t="s">
        <v>960</v>
      </c>
    </row>
    <row r="6" spans="1:3" s="2" customFormat="1" ht="13.5">
      <c r="A6" s="2" t="s">
        <v>927</v>
      </c>
    </row>
    <row r="7" spans="1:3" s="2" customFormat="1" ht="13.5">
      <c r="A7" s="2" t="s">
        <v>928</v>
      </c>
    </row>
    <row r="8" spans="1:3" s="2" customFormat="1" ht="13.5">
      <c r="A8" s="2" t="s">
        <v>930</v>
      </c>
    </row>
    <row r="9" spans="1:3" s="2" customFormat="1" ht="13.5">
      <c r="A9" s="2" t="s">
        <v>941</v>
      </c>
    </row>
    <row r="10" spans="1:3" s="2" customFormat="1" ht="13.5">
      <c r="A10" s="2" t="s">
        <v>942</v>
      </c>
    </row>
    <row r="11" spans="1:3" s="2" customFormat="1" ht="13.5">
      <c r="A11" s="2" t="s">
        <v>959</v>
      </c>
    </row>
    <row r="12" spans="1:3" s="2" customFormat="1" ht="13.5">
      <c r="A12" s="2" t="s">
        <v>943</v>
      </c>
    </row>
    <row r="13" spans="1:3" s="2" customFormat="1" ht="13.5">
      <c r="A13" s="2" t="s">
        <v>944</v>
      </c>
    </row>
    <row r="14" spans="1:3" s="2" customFormat="1" ht="13.5">
      <c r="A14" s="3" t="s">
        <v>929</v>
      </c>
    </row>
    <row r="15" spans="1:3" s="2" customFormat="1" ht="14.25" customHeight="1"/>
    <row r="16" spans="1:3">
      <c r="A16" s="3" t="s">
        <v>973</v>
      </c>
    </row>
    <row r="17" spans="1:1" s="2" customFormat="1" ht="13.5">
      <c r="A17" s="3" t="s">
        <v>961</v>
      </c>
    </row>
    <row r="18" spans="1:1" s="2" customFormat="1" ht="13.5">
      <c r="A18" s="3" t="s">
        <v>962</v>
      </c>
    </row>
    <row r="19" spans="1:1" s="2" customFormat="1" ht="13.5">
      <c r="A19" s="3" t="s">
        <v>963</v>
      </c>
    </row>
    <row r="20" spans="1:1" s="2" customFormat="1" ht="13.5">
      <c r="A20" s="3" t="s">
        <v>964</v>
      </c>
    </row>
    <row r="21" spans="1:1" s="2" customFormat="1" ht="13.5">
      <c r="A21" s="3" t="s">
        <v>965</v>
      </c>
    </row>
    <row r="22" spans="1:1" s="2" customFormat="1" ht="13.5">
      <c r="A22" s="3" t="s">
        <v>966</v>
      </c>
    </row>
    <row r="23" spans="1:1" s="2" customFormat="1" ht="13.5">
      <c r="A23" s="3" t="s">
        <v>967</v>
      </c>
    </row>
    <row r="24" spans="1:1" s="2" customFormat="1" ht="13.5">
      <c r="A24" s="3" t="s">
        <v>968</v>
      </c>
    </row>
    <row r="25" spans="1:1" s="2" customFormat="1" ht="13.5">
      <c r="A25" s="3" t="s">
        <v>969</v>
      </c>
    </row>
    <row r="26" spans="1:1" s="2" customFormat="1" ht="13.5">
      <c r="A26" s="3" t="s">
        <v>970</v>
      </c>
    </row>
    <row r="27" spans="1:1" s="2" customFormat="1" ht="13.5">
      <c r="A27" s="3" t="s">
        <v>971</v>
      </c>
    </row>
    <row r="28" spans="1:1" s="2" customFormat="1" ht="13.5">
      <c r="A28" s="3" t="s">
        <v>972</v>
      </c>
    </row>
  </sheetData>
  <mergeCells count="1">
    <mergeCell ref="A1:C1"/>
  </mergeCells>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U61"/>
  <sheetViews>
    <sheetView zoomScaleNormal="100" workbookViewId="0">
      <pane xSplit="2" ySplit="5" topLeftCell="C6" activePane="bottomRight" state="frozen"/>
      <selection pane="topRight"/>
      <selection pane="bottomLeft"/>
      <selection pane="bottomRight" activeCell="E14" sqref="E14"/>
    </sheetView>
  </sheetViews>
  <sheetFormatPr defaultColWidth="9" defaultRowHeight="20.149999999999999" customHeight="1"/>
  <cols>
    <col min="1" max="1" width="1.33203125" style="40" customWidth="1"/>
    <col min="2" max="2" width="27.83203125" style="40" customWidth="1"/>
    <col min="3" max="3" width="22.6640625" style="41" customWidth="1"/>
    <col min="4" max="4" width="15" style="40" customWidth="1"/>
    <col min="5" max="5" width="13.58203125" style="40" customWidth="1"/>
    <col min="6" max="6" width="14.08203125" style="40" customWidth="1"/>
    <col min="7" max="7" width="13.6640625" style="40" customWidth="1"/>
    <col min="8" max="8" width="13.33203125" style="40" customWidth="1"/>
    <col min="9" max="9" width="13.6640625" style="40" customWidth="1"/>
    <col min="10" max="10" width="12.6640625" style="40" customWidth="1"/>
    <col min="11" max="11" width="12.58203125" style="40" customWidth="1"/>
    <col min="12" max="12" width="11.6640625" style="40" customWidth="1"/>
    <col min="13" max="255" width="9" style="40" customWidth="1"/>
  </cols>
  <sheetData>
    <row r="1" spans="2:19" ht="20.149999999999999" customHeight="1">
      <c r="B1" s="42" t="s">
        <v>193</v>
      </c>
      <c r="F1" s="43" t="s">
        <v>194</v>
      </c>
      <c r="K1" s="44" t="str">
        <f ca="1">IF(勾稽关系!K11&gt;1,"测算数据有误，请检查！","勾稽关系检查通过")</f>
        <v>勾稽关系检查通过</v>
      </c>
    </row>
    <row r="2" spans="2:19" ht="20.149999999999999" customHeight="1">
      <c r="B2" s="45" t="s">
        <v>431</v>
      </c>
      <c r="C2" s="46">
        <f>'全期规划指标 '!D2</f>
        <v>43229</v>
      </c>
      <c r="D2" s="47" t="s">
        <v>195</v>
      </c>
      <c r="E2" s="48"/>
      <c r="F2" s="49"/>
      <c r="G2" s="50" t="s">
        <v>196</v>
      </c>
      <c r="H2" s="51" t="s">
        <v>197</v>
      </c>
      <c r="I2" s="51" t="s">
        <v>198</v>
      </c>
      <c r="J2" s="51" t="s">
        <v>199</v>
      </c>
    </row>
    <row r="3" spans="2:19" ht="20.149999999999999" customHeight="1">
      <c r="B3" s="45" t="s">
        <v>200</v>
      </c>
      <c r="C3" s="52">
        <f>'全期规划指标 '!I4</f>
        <v>2.4184986930070087</v>
      </c>
      <c r="D3" s="47"/>
      <c r="F3" s="53" t="s">
        <v>201</v>
      </c>
      <c r="G3" s="54">
        <f>C5</f>
        <v>541.14665618510367</v>
      </c>
      <c r="H3" s="54">
        <v>30</v>
      </c>
      <c r="I3" s="55">
        <f>G3+H3</f>
        <v>571.14665618510367</v>
      </c>
      <c r="J3" s="56">
        <f>I3/G3-1</f>
        <v>5.5437836780678929E-2</v>
      </c>
    </row>
    <row r="4" spans="2:19" ht="20.149999999999999" customHeight="1">
      <c r="B4" s="45" t="s">
        <v>202</v>
      </c>
      <c r="C4" s="46">
        <f>'全期规划指标 '!D4</f>
        <v>104549.27999999998</v>
      </c>
      <c r="D4" s="47" t="s">
        <v>203</v>
      </c>
      <c r="F4" s="53" t="s">
        <v>909</v>
      </c>
      <c r="G4" s="54">
        <f>G3*$C$2/666.67</f>
        <v>35089.667752000008</v>
      </c>
      <c r="H4" s="54">
        <f>H3*$C$2/666.67</f>
        <v>1945.2952735236324</v>
      </c>
      <c r="I4" s="54">
        <f>G4+H4</f>
        <v>37034.963025523641</v>
      </c>
      <c r="J4" s="56">
        <f>I4/G4-1</f>
        <v>5.5437836780678929E-2</v>
      </c>
    </row>
    <row r="5" spans="2:19" ht="20.149999999999999" customHeight="1">
      <c r="B5" s="45" t="s">
        <v>204</v>
      </c>
      <c r="C5" s="46">
        <f>地价分摊表!J14/C2*666.67</f>
        <v>541.14665618510367</v>
      </c>
      <c r="D5" s="47" t="s">
        <v>205</v>
      </c>
      <c r="F5" s="57" t="s">
        <v>206</v>
      </c>
      <c r="G5" s="54">
        <f>G4/C4*10000</f>
        <v>3356.280191695248</v>
      </c>
      <c r="H5" s="54">
        <f>H4/C4*10000</f>
        <v>186.06491345742722</v>
      </c>
      <c r="I5" s="54">
        <f>G5+H5</f>
        <v>3542.3451051526754</v>
      </c>
      <c r="J5" s="56">
        <f>I5/G5-1</f>
        <v>5.5437836780679151E-2</v>
      </c>
    </row>
    <row r="6" spans="2:19" ht="18" customHeight="1">
      <c r="B6" s="58" t="s">
        <v>207</v>
      </c>
      <c r="F6" s="59"/>
      <c r="G6" s="60"/>
      <c r="I6" s="59"/>
      <c r="J6" s="61"/>
    </row>
    <row r="7" spans="2:19" ht="18" customHeight="1">
      <c r="B7" s="51"/>
      <c r="C7" s="51" t="s">
        <v>208</v>
      </c>
      <c r="D7" s="62" t="s">
        <v>209</v>
      </c>
      <c r="F7" s="42" t="s">
        <v>938</v>
      </c>
      <c r="L7" s="1094"/>
      <c r="M7" s="1107"/>
      <c r="N7" s="1107"/>
      <c r="O7" s="1107"/>
      <c r="P7" s="1107"/>
      <c r="Q7" s="1107"/>
      <c r="R7" s="1094"/>
      <c r="S7" s="1094"/>
    </row>
    <row r="8" spans="2:19" ht="21" customHeight="1">
      <c r="B8" s="2240" t="s">
        <v>393</v>
      </c>
      <c r="C8" s="63" t="s">
        <v>394</v>
      </c>
      <c r="D8" s="64">
        <f ca="1">现金流量!B32</f>
        <v>0.39614880749001724</v>
      </c>
      <c r="F8" s="65"/>
      <c r="G8" s="66" t="s">
        <v>210</v>
      </c>
      <c r="H8" s="67" t="s">
        <v>211</v>
      </c>
      <c r="I8" s="67" t="s">
        <v>212</v>
      </c>
      <c r="J8" s="67" t="s">
        <v>213</v>
      </c>
      <c r="K8" s="67" t="s">
        <v>214</v>
      </c>
      <c r="L8" s="1094"/>
      <c r="M8" s="1107"/>
      <c r="N8" s="1107"/>
      <c r="O8" s="1107"/>
      <c r="P8" s="1107"/>
      <c r="Q8" s="1107"/>
      <c r="R8" s="1094"/>
      <c r="S8" s="1094"/>
    </row>
    <row r="9" spans="2:19" ht="18.75" customHeight="1">
      <c r="B9" s="2241"/>
      <c r="C9" s="63" t="s">
        <v>888</v>
      </c>
      <c r="D9" s="64">
        <f ca="1">结算利润!B33</f>
        <v>0.20728517602540228</v>
      </c>
      <c r="F9" s="53" t="str">
        <f>C38</f>
        <v>车位</v>
      </c>
      <c r="G9" s="68">
        <f>C42</f>
        <v>2079.0000000000005</v>
      </c>
      <c r="H9" s="69">
        <v>0.01</v>
      </c>
      <c r="I9" s="70">
        <f>K9/J9*10000</f>
        <v>2079.0000000000005</v>
      </c>
      <c r="J9" s="71">
        <f>C39</f>
        <v>24565.840000000004</v>
      </c>
      <c r="K9" s="71">
        <f>C40</f>
        <v>5107.2381360000018</v>
      </c>
      <c r="L9" s="1095"/>
      <c r="M9" s="1107"/>
      <c r="N9" s="1107"/>
      <c r="O9" s="1107"/>
      <c r="P9" s="1107"/>
      <c r="Q9" s="1107"/>
      <c r="R9" s="1094"/>
      <c r="S9" s="1094"/>
    </row>
    <row r="10" spans="2:19" ht="18" customHeight="1">
      <c r="B10" s="2241"/>
      <c r="C10" s="63" t="s">
        <v>846</v>
      </c>
      <c r="D10" s="2238">
        <f ca="1">结算利润!B34</f>
        <v>0.12173124980839223</v>
      </c>
      <c r="E10" s="2230"/>
      <c r="F10" s="53" t="str">
        <f>D38</f>
        <v>高层（27F）</v>
      </c>
      <c r="G10" s="68">
        <f>D42</f>
        <v>11549.976548358445</v>
      </c>
      <c r="H10" s="69">
        <v>0.01</v>
      </c>
      <c r="I10" s="70">
        <f>K10/J10*10000</f>
        <v>11549.976548358445</v>
      </c>
      <c r="J10" s="71">
        <f>D39</f>
        <v>43173.95</v>
      </c>
      <c r="K10" s="71">
        <f>D40</f>
        <v>49865.811000000002</v>
      </c>
      <c r="L10" s="1095"/>
      <c r="M10" s="1107"/>
      <c r="N10" s="1107"/>
      <c r="O10" s="1107"/>
      <c r="P10" s="1107"/>
      <c r="Q10" s="1107"/>
      <c r="R10" s="1094"/>
      <c r="S10" s="1094"/>
    </row>
    <row r="11" spans="2:19" ht="18" customHeight="1">
      <c r="B11" s="2241"/>
      <c r="C11" s="63" t="s">
        <v>886</v>
      </c>
      <c r="D11" s="72">
        <f ca="1">基础信息!B33</f>
        <v>2.4782375173565765E-2</v>
      </c>
      <c r="F11" s="73" t="str">
        <f>F38</f>
        <v>人才公寓26F（可售、T7）</v>
      </c>
      <c r="G11" s="68">
        <f>F42</f>
        <v>0</v>
      </c>
      <c r="H11" s="69">
        <v>0.01</v>
      </c>
      <c r="I11" s="70" t="e">
        <f>K11/J11*10000</f>
        <v>#DIV/0!</v>
      </c>
      <c r="J11" s="70">
        <f>F39</f>
        <v>0</v>
      </c>
      <c r="K11" s="74">
        <f>F40</f>
        <v>0</v>
      </c>
      <c r="L11" s="1094"/>
      <c r="M11" s="1108"/>
      <c r="N11" s="1108"/>
      <c r="O11" s="1108"/>
      <c r="P11" s="1108"/>
      <c r="Q11" s="1108"/>
      <c r="R11" s="1094"/>
      <c r="S11" s="1094"/>
    </row>
    <row r="12" spans="2:19" ht="18" customHeight="1">
      <c r="B12" s="2242"/>
      <c r="C12" s="63" t="s">
        <v>887</v>
      </c>
      <c r="D12" s="46">
        <f ca="1">COUNTIF(现金流量!C30:CH30,"&lt;0")</f>
        <v>14</v>
      </c>
      <c r="F12" s="53" t="str">
        <f>G38</f>
        <v>小高层（8~11F）</v>
      </c>
      <c r="G12" s="68">
        <v>15000</v>
      </c>
      <c r="H12" s="69">
        <v>0.01</v>
      </c>
      <c r="I12" s="70">
        <f>K12/J12*10000</f>
        <v>13350.362423738112</v>
      </c>
      <c r="J12" s="71">
        <f>G39</f>
        <v>59174.38</v>
      </c>
      <c r="K12" s="71">
        <f>G40</f>
        <v>78999.941919999997</v>
      </c>
      <c r="L12" s="1094"/>
      <c r="M12" s="1108"/>
      <c r="N12" s="1108"/>
      <c r="O12" s="1108"/>
      <c r="P12" s="1108"/>
      <c r="Q12" s="1108"/>
      <c r="R12" s="1094"/>
      <c r="S12" s="1094"/>
    </row>
    <row r="13" spans="2:19" ht="18" customHeight="1">
      <c r="B13" s="2243" t="s">
        <v>391</v>
      </c>
      <c r="C13" s="75" t="s">
        <v>889</v>
      </c>
      <c r="D13" s="76">
        <f>销售计划!C5</f>
        <v>138788.36828999998</v>
      </c>
      <c r="E13" s="2237"/>
      <c r="F13" s="53">
        <f>I38</f>
        <v>0</v>
      </c>
      <c r="G13" s="68">
        <f>I42</f>
        <v>0</v>
      </c>
      <c r="H13" s="69">
        <v>0.01</v>
      </c>
      <c r="I13" s="70" t="e">
        <f>K13/J13*10000</f>
        <v>#DIV/0!</v>
      </c>
      <c r="J13" s="71">
        <f>I39</f>
        <v>0</v>
      </c>
      <c r="K13" s="71">
        <f>I40</f>
        <v>0</v>
      </c>
      <c r="L13" s="1094"/>
      <c r="M13" s="1094"/>
      <c r="N13" s="1094"/>
      <c r="O13" s="1094"/>
      <c r="P13" s="1094"/>
      <c r="Q13" s="1094"/>
      <c r="R13" s="1094"/>
      <c r="S13" s="1094"/>
    </row>
    <row r="14" spans="2:19" ht="18" customHeight="1">
      <c r="B14" s="2244"/>
      <c r="C14" s="77" t="s">
        <v>890</v>
      </c>
      <c r="D14" s="76">
        <f>销售计划!C62</f>
        <v>127328.7782477064</v>
      </c>
      <c r="E14" s="78"/>
      <c r="F14" s="43" t="s">
        <v>918</v>
      </c>
      <c r="G14" s="79" t="s">
        <v>939</v>
      </c>
      <c r="L14" s="1094"/>
      <c r="M14" s="1096"/>
      <c r="N14" s="1096"/>
      <c r="O14" s="1096"/>
      <c r="P14" s="1096"/>
      <c r="Q14" s="1096"/>
      <c r="R14" s="1094"/>
      <c r="S14" s="1094"/>
    </row>
    <row r="15" spans="2:19" ht="18" customHeight="1">
      <c r="B15" s="2244"/>
      <c r="C15" s="75" t="s">
        <v>891</v>
      </c>
      <c r="D15" s="76">
        <f ca="1">'成本汇总（分摊）'!BJ49</f>
        <v>106373.91196536715</v>
      </c>
      <c r="E15" s="78">
        <f ca="1">D18+D17</f>
        <v>55636.195727134764</v>
      </c>
      <c r="F15" s="80" t="s">
        <v>910</v>
      </c>
      <c r="G15" s="81">
        <v>0</v>
      </c>
      <c r="H15" s="81">
        <v>5000</v>
      </c>
      <c r="I15" s="81">
        <v>10000</v>
      </c>
      <c r="J15" s="81">
        <v>15000</v>
      </c>
      <c r="K15" s="82" t="s">
        <v>912</v>
      </c>
      <c r="L15" s="1094"/>
      <c r="M15" s="1096"/>
      <c r="N15" s="1096"/>
      <c r="O15" s="1096"/>
      <c r="P15" s="1096"/>
      <c r="Q15" s="1096"/>
      <c r="R15" s="1094"/>
      <c r="S15" s="1094"/>
    </row>
    <row r="16" spans="2:19" ht="18" customHeight="1">
      <c r="B16" s="2244"/>
      <c r="C16" s="77" t="s">
        <v>892</v>
      </c>
      <c r="D16" s="76">
        <f ca="1">'成本汇总（分摊）'!BK49</f>
        <v>98069.831476000007</v>
      </c>
      <c r="E16" s="1118">
        <f ca="1">E15/D17</f>
        <v>1.3861813273242589</v>
      </c>
      <c r="F16" s="57" t="s">
        <v>911</v>
      </c>
      <c r="G16" s="54">
        <f>G15/$C$4*10000</f>
        <v>0</v>
      </c>
      <c r="H16" s="54">
        <f>H15/$C$4*10000</f>
        <v>478.24337001651287</v>
      </c>
      <c r="I16" s="54">
        <f>I15/$C$4*10000</f>
        <v>956.48674003302574</v>
      </c>
      <c r="J16" s="54">
        <f>J15/$C$4*10000</f>
        <v>1434.7301100495386</v>
      </c>
      <c r="L16" s="1094"/>
      <c r="M16" s="1097"/>
      <c r="N16" s="1097"/>
      <c r="O16" s="1097"/>
      <c r="P16" s="1097"/>
      <c r="Q16" s="1097"/>
      <c r="R16" s="1094"/>
      <c r="S16" s="1094"/>
    </row>
    <row r="17" spans="2:19" ht="18" customHeight="1">
      <c r="B17" s="2244"/>
      <c r="C17" s="75" t="s">
        <v>893</v>
      </c>
      <c r="D17" s="76">
        <f ca="1">-MIN(现金流量!C30:AR30)</f>
        <v>40136.304414465834</v>
      </c>
      <c r="E17" s="2237">
        <f ca="1">D17-地价分摊表!J15</f>
        <v>6272.4349744658321</v>
      </c>
      <c r="F17" s="80" t="s">
        <v>908</v>
      </c>
      <c r="G17" s="56">
        <f>15/$G$4</f>
        <v>4.2747626184477176E-4</v>
      </c>
      <c r="H17" s="56">
        <f>H15/$G$4</f>
        <v>0.1424920872815906</v>
      </c>
      <c r="I17" s="56">
        <f>I15/$G$4</f>
        <v>0.2849841745631812</v>
      </c>
      <c r="J17" s="56">
        <f>J15/$G$4</f>
        <v>0.42747626184477178</v>
      </c>
      <c r="L17" s="1094"/>
      <c r="M17" s="1098"/>
      <c r="N17" s="1098"/>
      <c r="O17" s="1098"/>
      <c r="P17" s="1098"/>
      <c r="Q17" s="1098"/>
      <c r="R17" s="1094"/>
      <c r="S17" s="1094"/>
    </row>
    <row r="18" spans="2:19" ht="18" customHeight="1">
      <c r="B18" s="2244"/>
      <c r="C18" s="75" t="s">
        <v>894</v>
      </c>
      <c r="D18" s="1101">
        <f ca="1">结算利润!B29</f>
        <v>15499.891312668926</v>
      </c>
      <c r="E18" s="1105">
        <f ca="1">(D17+D18)/D17</f>
        <v>1.3861813273242589</v>
      </c>
      <c r="F18" s="83" t="s">
        <v>913</v>
      </c>
      <c r="G18" s="84">
        <f ca="1">D11</f>
        <v>2.4782375173565765E-2</v>
      </c>
      <c r="H18" s="84">
        <f ca="1">(基础信息!$B$31-基础信息!$B$32+经济指标!H15*0.11)/经济指标!$D$14</f>
        <v>2.9101901423397723E-2</v>
      </c>
      <c r="I18" s="84">
        <f ca="1">(基础信息!$B$31-基础信息!$B$32+经济指标!I15*0.11)/经济指标!$D$14</f>
        <v>3.3421427673229677E-2</v>
      </c>
      <c r="J18" s="84">
        <f ca="1">(基础信息!$B$31-基础信息!$B$32+经济指标!J15*0.11)/经济指标!$D$14</f>
        <v>3.7740953923061635E-2</v>
      </c>
      <c r="L18" s="1094"/>
      <c r="M18" s="1098"/>
      <c r="N18" s="1098"/>
      <c r="O18" s="1098"/>
      <c r="P18" s="1098"/>
      <c r="Q18" s="1098"/>
      <c r="R18" s="1094"/>
      <c r="S18" s="1094"/>
    </row>
    <row r="19" spans="2:19" ht="18" customHeight="1">
      <c r="B19" s="2245"/>
      <c r="C19" s="75" t="s">
        <v>895</v>
      </c>
      <c r="D19" s="46">
        <f>S27/COUNTIF(销售计划!D3:AS3,"&gt;100")*4</f>
        <v>42271.556923076925</v>
      </c>
      <c r="F19" s="83" t="s">
        <v>915</v>
      </c>
      <c r="G19" s="54">
        <f ca="1">土地增值税!G20</f>
        <v>2550.0276042385321</v>
      </c>
      <c r="H19" s="54">
        <f ca="1">土地增值税!G41</f>
        <v>19268.690137270507</v>
      </c>
      <c r="I19" s="54">
        <f ca="1">土地增值税!G62</f>
        <v>20129.745019029175</v>
      </c>
      <c r="J19" s="54">
        <f ca="1">土地增值税!G83</f>
        <v>21042.278025411175</v>
      </c>
      <c r="L19" s="1099"/>
      <c r="M19" s="1098"/>
      <c r="N19" s="1098"/>
      <c r="O19" s="1098"/>
      <c r="P19" s="1098"/>
      <c r="Q19" s="1098"/>
      <c r="R19" s="1094"/>
      <c r="S19" s="1094"/>
    </row>
    <row r="20" spans="2:19" ht="18" customHeight="1">
      <c r="B20" s="2243" t="s">
        <v>392</v>
      </c>
      <c r="C20" s="75" t="s">
        <v>896</v>
      </c>
      <c r="D20" s="1106">
        <f ca="1">跟投测算!B35</f>
        <v>0.31765524819423607</v>
      </c>
      <c r="F20" s="83" t="s">
        <v>916</v>
      </c>
      <c r="G20" s="84">
        <f ca="1">G19/$D$14</f>
        <v>2.0027111226008063E-2</v>
      </c>
      <c r="H20" s="84">
        <f ca="1">H19/$D$14</f>
        <v>0.15133020517785103</v>
      </c>
      <c r="I20" s="84">
        <f ca="1">I19/$D$14</f>
        <v>0.15809265820385562</v>
      </c>
      <c r="J20" s="84">
        <f ca="1">J19/$D$14</f>
        <v>0.16525940415822857</v>
      </c>
      <c r="K20" s="85"/>
      <c r="L20" s="1094"/>
      <c r="M20" s="1094"/>
      <c r="N20" s="1094"/>
      <c r="O20" s="1094"/>
      <c r="P20" s="1094"/>
      <c r="Q20" s="1094"/>
      <c r="R20" s="1094"/>
      <c r="S20" s="1094"/>
    </row>
    <row r="21" spans="2:19" ht="18" customHeight="1">
      <c r="B21" s="2244"/>
      <c r="C21" s="75" t="s">
        <v>897</v>
      </c>
      <c r="D21" s="86">
        <f ca="1">跟投测算!B37</f>
        <v>1.3089450618594072</v>
      </c>
      <c r="E21" s="2237">
        <f ca="1">D17*0.01</f>
        <v>401.36304414465837</v>
      </c>
      <c r="F21" s="83" t="s">
        <v>914</v>
      </c>
      <c r="G21" s="84">
        <f ca="1">D9</f>
        <v>0.20728517602540228</v>
      </c>
      <c r="H21" s="84">
        <f ca="1">(($G$21*$D$14)-(H19-$G$19)-H15*0.11-H15*0.25)/$D$14</f>
        <v>6.184545071047292E-2</v>
      </c>
      <c r="I21" s="84">
        <f ca="1">(($G$21*$D$14)-(I19-$G$19)-I15*0.11-I15*0.25)/$D$14</f>
        <v>4.094636632138194E-2</v>
      </c>
      <c r="J21" s="84">
        <f ca="1">(($G$21*$D$14)-(J19-$G$19)-J15*0.11-J15*0.25)/$D$14</f>
        <v>1.9642989003922588E-2</v>
      </c>
      <c r="K21" s="85"/>
    </row>
    <row r="22" spans="2:19" ht="18" customHeight="1">
      <c r="B22" s="2244"/>
      <c r="C22" s="75" t="s">
        <v>898</v>
      </c>
      <c r="D22" s="64">
        <f>跟投测算!B36</f>
        <v>0</v>
      </c>
      <c r="F22" s="87"/>
      <c r="G22" s="88"/>
      <c r="H22" s="89"/>
      <c r="I22" s="87"/>
      <c r="J22" s="85"/>
      <c r="K22" s="85"/>
    </row>
    <row r="23" spans="2:19" ht="18" customHeight="1">
      <c r="B23" s="2245"/>
      <c r="C23" s="75" t="s">
        <v>899</v>
      </c>
      <c r="D23" s="86">
        <v>0</v>
      </c>
      <c r="F23" s="87"/>
      <c r="G23" s="88"/>
      <c r="H23" s="89"/>
      <c r="I23" s="87"/>
      <c r="J23" s="85"/>
      <c r="K23" s="85"/>
    </row>
    <row r="24" spans="2:19" ht="18" customHeight="1">
      <c r="B24" s="90"/>
      <c r="C24" s="89"/>
      <c r="D24" s="91"/>
      <c r="F24" s="87"/>
      <c r="G24" s="88"/>
      <c r="H24" s="89"/>
      <c r="I24" s="87"/>
      <c r="J24" s="85"/>
      <c r="K24" s="85"/>
    </row>
    <row r="25" spans="2:19" ht="18" customHeight="1">
      <c r="B25" s="42" t="s">
        <v>215</v>
      </c>
      <c r="C25" s="40"/>
      <c r="E25" s="92">
        <f>E28*1.1</f>
        <v>0</v>
      </c>
      <c r="F25" s="92">
        <f>F28*1.1</f>
        <v>0</v>
      </c>
      <c r="G25" s="92">
        <f>G28*1.1</f>
        <v>0</v>
      </c>
      <c r="H25" s="88">
        <f>G25+F25+E25</f>
        <v>0</v>
      </c>
      <c r="I25" s="93">
        <f>H25-C40</f>
        <v>-5107.2381360000018</v>
      </c>
      <c r="J25" s="94">
        <f>I25/(D39+H39+I39)*10000</f>
        <v>-1154.6248256952751</v>
      </c>
      <c r="K25" s="85"/>
      <c r="L25" s="85"/>
    </row>
    <row r="26" spans="2:19" ht="18" customHeight="1">
      <c r="B26" s="51"/>
      <c r="C26" s="51" t="s">
        <v>403</v>
      </c>
      <c r="D26" s="51" t="s">
        <v>216</v>
      </c>
      <c r="E26" s="51" t="s">
        <v>382</v>
      </c>
      <c r="F26" s="51" t="s">
        <v>383</v>
      </c>
      <c r="G26" s="51" t="s">
        <v>387</v>
      </c>
      <c r="H26" s="51" t="s">
        <v>404</v>
      </c>
      <c r="I26" s="51" t="s">
        <v>2939</v>
      </c>
      <c r="J26" s="51" t="s">
        <v>2940</v>
      </c>
      <c r="K26" s="51" t="s">
        <v>2941</v>
      </c>
      <c r="L26" s="51" t="s">
        <v>2972</v>
      </c>
      <c r="M26" s="65" t="s">
        <v>3057</v>
      </c>
      <c r="N26" s="65" t="s">
        <v>3058</v>
      </c>
      <c r="O26" s="65" t="s">
        <v>3059</v>
      </c>
      <c r="P26" s="65" t="s">
        <v>3060</v>
      </c>
      <c r="Q26" s="65" t="s">
        <v>3061</v>
      </c>
      <c r="R26" s="65" t="s">
        <v>3062</v>
      </c>
      <c r="S26" s="67" t="s">
        <v>24</v>
      </c>
    </row>
    <row r="27" spans="2:19" ht="18" customHeight="1">
      <c r="B27" s="80" t="s">
        <v>217</v>
      </c>
      <c r="C27" s="96">
        <f>SUM(创造利润!E3:H3)</f>
        <v>0</v>
      </c>
      <c r="D27" s="96">
        <f>SUM(创造利润!I3:L3)</f>
        <v>0</v>
      </c>
      <c r="E27" s="96">
        <f>SUM(创造利润!M3:P3)</f>
        <v>0</v>
      </c>
      <c r="F27" s="96">
        <f>SUM(创造利润!Q3:T3)</f>
        <v>0</v>
      </c>
      <c r="G27" s="96">
        <f>SUM(创造利润!U3:X3)</f>
        <v>0</v>
      </c>
      <c r="H27" s="96">
        <f>SUM(创造利润!Y3:AB3)</f>
        <v>0</v>
      </c>
      <c r="I27" s="96">
        <f>SUM(创造利润!AC3:AF3)</f>
        <v>16600</v>
      </c>
      <c r="J27" s="96">
        <f>SUM(创造利润!AG3:AJ3)</f>
        <v>20850</v>
      </c>
      <c r="K27" s="96">
        <f>SUM(创造利润!AK3:AN3)</f>
        <v>27300</v>
      </c>
      <c r="L27" s="96">
        <f>SUM(创造利润!AO3:AR3)</f>
        <v>27400</v>
      </c>
      <c r="M27" s="96">
        <f>SUM(创造利润!AS3:AV3)</f>
        <v>22232.879999999997</v>
      </c>
      <c r="N27" s="96">
        <f>SUM(创造利润!AW3:AZ3)</f>
        <v>9774.3799999999974</v>
      </c>
      <c r="O27" s="96">
        <f>SUM(创造利润!BA3:BD3)</f>
        <v>7200</v>
      </c>
      <c r="P27" s="96">
        <f>SUM(创造利润!BE3:BH3)</f>
        <v>6025.3000000000029</v>
      </c>
      <c r="Q27" s="96">
        <f>SUM(创造利润!BI3:BL3)</f>
        <v>0</v>
      </c>
      <c r="R27" s="1091">
        <f>SUM(创造利润!BM3:BP3)</f>
        <v>0</v>
      </c>
      <c r="S27" s="97">
        <f>SUM(C27:R27)</f>
        <v>137382.56</v>
      </c>
    </row>
    <row r="28" spans="2:19" ht="18" customHeight="1">
      <c r="B28" s="98" t="s">
        <v>827</v>
      </c>
      <c r="C28" s="96">
        <f>SUM(创造利润!E7:H7)</f>
        <v>0</v>
      </c>
      <c r="D28" s="96">
        <f>SUM(创造利润!I7:L7)</f>
        <v>0</v>
      </c>
      <c r="E28" s="96">
        <f>SUM(创造利润!M7:P7)</f>
        <v>0</v>
      </c>
      <c r="F28" s="96">
        <f>SUM(创造利润!Q7:T7)</f>
        <v>0</v>
      </c>
      <c r="G28" s="96">
        <f>SUM(创造利润!U7:X7)</f>
        <v>0</v>
      </c>
      <c r="H28" s="96">
        <f>SUM(创造利润!Y7:AB7)</f>
        <v>0</v>
      </c>
      <c r="I28" s="96">
        <f>SUM(创造利润!AC7:AF7)</f>
        <v>18351.192660550456</v>
      </c>
      <c r="J28" s="96">
        <f>SUM(创造利润!AG7:AJ7)</f>
        <v>23226.376146788989</v>
      </c>
      <c r="K28" s="96">
        <f>SUM(创造利润!AK7:AN7)</f>
        <v>25499.403669724768</v>
      </c>
      <c r="L28" s="96">
        <f>SUM(创造利润!AO7:AR7)</f>
        <v>27783.220183486235</v>
      </c>
      <c r="M28" s="96">
        <f>SUM(创造利润!AS7:AV7)</f>
        <v>23415.799541284399</v>
      </c>
      <c r="N28" s="96">
        <f>SUM(创造利润!AW7:AZ7)</f>
        <v>6530.27240366972</v>
      </c>
      <c r="O28" s="96">
        <f>SUM(创造利润!BA7:BD7)</f>
        <v>1373.2844036697247</v>
      </c>
      <c r="P28" s="96">
        <f>SUM(创造利润!BE7:BH7)</f>
        <v>1149.2292385321107</v>
      </c>
      <c r="Q28" s="96">
        <f>SUM(创造利润!BI7:BL7)</f>
        <v>0</v>
      </c>
      <c r="R28" s="1091">
        <f>SUM(创造利润!BM7:BP7)</f>
        <v>0</v>
      </c>
      <c r="S28" s="97">
        <f>SUM(C28:R28)</f>
        <v>127328.77824770639</v>
      </c>
    </row>
    <row r="29" spans="2:19" ht="18" customHeight="1">
      <c r="B29" s="80" t="s">
        <v>218</v>
      </c>
      <c r="C29" s="96">
        <f ca="1">SUM(创造利润!E19:H19)-SUM(创造利润!E23:H23)</f>
        <v>0</v>
      </c>
      <c r="D29" s="96">
        <f ca="1">SUM(创造利润!I19:L19)-SUM(创造利润!I23:L23)</f>
        <v>0</v>
      </c>
      <c r="E29" s="96">
        <f ca="1">SUM(创造利润!M19:P19)-SUM(创造利润!M23:P23)</f>
        <v>0</v>
      </c>
      <c r="F29" s="96">
        <f ca="1">SUM(创造利润!Q19:T19)-SUM(创造利润!Q23:T23)</f>
        <v>0</v>
      </c>
      <c r="G29" s="96">
        <f ca="1">SUM(创造利润!U19:X19)-SUM(创造利润!U23:X23)</f>
        <v>0</v>
      </c>
      <c r="H29" s="96">
        <f ca="1">SUM(创造利润!Y19:AB19)-SUM(创造利润!Y23:AB23)</f>
        <v>0</v>
      </c>
      <c r="I29" s="96">
        <f ca="1">SUM(创造利润!AC19:AF19)-SUM(创造利润!AC23:AF23)</f>
        <v>2830.5289775484089</v>
      </c>
      <c r="J29" s="96">
        <f ca="1">SUM(创造利润!AG19:AJ19)-SUM(创造利润!AG23:AJ23)</f>
        <v>4127.4119504335722</v>
      </c>
      <c r="K29" s="96">
        <f ca="1">SUM(创造利润!AK19:AN19)-SUM(创造利润!AK23:AN23)</f>
        <v>5242.951351833186</v>
      </c>
      <c r="L29" s="96">
        <f ca="1">SUM(创造利润!AO19:AR19)-SUM(创造利润!AO23:AR23)</f>
        <v>6016.1563259832574</v>
      </c>
      <c r="M29" s="1092">
        <f ca="1">SUM(创造利润!AS19:AV19)-SUM(创造利润!AS23:AV23)</f>
        <v>5149.3057313839417</v>
      </c>
      <c r="N29" s="1092">
        <f ca="1">SUM(创造利润!AW19:AZ19)-SUM(创造利润!AW23:AZ23)</f>
        <v>1668.5364382097289</v>
      </c>
      <c r="O29" s="1092">
        <f ca="1">SUM(创造利润!BA19:BD19)-SUM(创造利润!BA23:BD23)</f>
        <v>739.53849154485283</v>
      </c>
      <c r="P29" s="1092">
        <f ca="1">SUM(创造利润!BE19:BH19)-SUM(创造利润!BE23:BH23)</f>
        <v>618.93894523828067</v>
      </c>
      <c r="Q29" s="1092">
        <f ca="1">SUM(创造利润!BI19:BL19)-SUM(创造利润!BI23:BL23)</f>
        <v>0</v>
      </c>
      <c r="R29" s="1090">
        <f ca="1">SUM(创造利润!BM19:BP19)-SUM(创造利润!BM23:BP23)</f>
        <v>0</v>
      </c>
      <c r="S29" s="97">
        <f ca="1">SUM(C29:R29)</f>
        <v>26393.368212175228</v>
      </c>
    </row>
    <row r="30" spans="2:19" ht="18" customHeight="1">
      <c r="B30" s="80" t="s">
        <v>219</v>
      </c>
      <c r="C30" s="96">
        <f>SUM(创造利润!E24:H24)</f>
        <v>0</v>
      </c>
      <c r="D30" s="96">
        <f>SUM(创造利润!I24:L24)</f>
        <v>0</v>
      </c>
      <c r="E30" s="96">
        <f>SUM(创造利润!M24:P24)</f>
        <v>0</v>
      </c>
      <c r="F30" s="96">
        <f>SUM(创造利润!Q24:T24)</f>
        <v>0</v>
      </c>
      <c r="G30" s="96">
        <f>SUM(创造利润!U24:X24)</f>
        <v>0</v>
      </c>
      <c r="H30" s="96">
        <f>SUM(创造利润!Y24:AB24)</f>
        <v>0</v>
      </c>
      <c r="I30" s="96">
        <f>SUM(创造利润!AC24:AF24)</f>
        <v>825.37871019373631</v>
      </c>
      <c r="J30" s="96">
        <f>SUM(创造利润!AG24:AJ24)</f>
        <v>1044.6490721947564</v>
      </c>
      <c r="K30" s="96">
        <f>SUM(创造利润!AK24:AN24)</f>
        <v>1146.8826741092885</v>
      </c>
      <c r="L30" s="96">
        <f>SUM(创造利润!AO24:AR24)</f>
        <v>1249.6015307697501</v>
      </c>
      <c r="M30" s="1092">
        <f>SUM(创造利润!AS24:AV24)</f>
        <v>1053.1687384595677</v>
      </c>
      <c r="N30" s="1092">
        <f>SUM(创造利润!AW24:AZ24)</f>
        <v>293.71103630454667</v>
      </c>
      <c r="O30" s="1092">
        <f>SUM(创造利润!BA24:BD24)</f>
        <v>61.76599694616754</v>
      </c>
      <c r="P30" s="1092">
        <f>SUM(创造利润!BE24:BH24)</f>
        <v>51.68870297218659</v>
      </c>
      <c r="Q30" s="1092">
        <f>SUM(创造利润!BI24:BL24)</f>
        <v>0</v>
      </c>
      <c r="R30" s="1091">
        <f>SUM(创造利润!BM24:BP24)</f>
        <v>0</v>
      </c>
      <c r="S30" s="97">
        <f>SUM(C30:R30)</f>
        <v>5726.84646195</v>
      </c>
    </row>
    <row r="31" spans="2:19" ht="18" customHeight="1">
      <c r="B31" s="80" t="s">
        <v>220</v>
      </c>
      <c r="C31" s="96">
        <f ca="1">SUM(创造利润!E29:H29)</f>
        <v>0</v>
      </c>
      <c r="D31" s="96">
        <f ca="1">SUM(创造利润!I29:L29)</f>
        <v>0</v>
      </c>
      <c r="E31" s="96">
        <f ca="1">SUM(创造利润!M29:P29)</f>
        <v>0</v>
      </c>
      <c r="F31" s="96">
        <f ca="1">SUM(创造利润!Q29:T29)</f>
        <v>0</v>
      </c>
      <c r="G31" s="99">
        <f ca="1">SUM(创造利润!U29:X29)</f>
        <v>0</v>
      </c>
      <c r="H31" s="96">
        <f ca="1">SUM(创造利润!Y29:AB29)</f>
        <v>0</v>
      </c>
      <c r="I31" s="96">
        <f ca="1">SUM(创造利润!AC29:AF29)</f>
        <v>1503.8627005160042</v>
      </c>
      <c r="J31" s="96">
        <f ca="1">SUM(创造利润!AG29:AJ29)</f>
        <v>2312.0721586791119</v>
      </c>
      <c r="K31" s="96">
        <f ca="1">SUM(创造利润!AK29:AN29)</f>
        <v>3072.0515082929228</v>
      </c>
      <c r="L31" s="96">
        <f ca="1">SUM(创造利润!AO29:AR29)</f>
        <v>3574.9160964101302</v>
      </c>
      <c r="M31" s="1092">
        <f ca="1">SUM(创造利润!AS29:AV29)</f>
        <v>3072.1027446932803</v>
      </c>
      <c r="N31" s="1092">
        <f ca="1">SUM(创造利润!AW29:AZ29)</f>
        <v>1031.1190514288867</v>
      </c>
      <c r="O31" s="1092">
        <f ca="1">SUM(创造利润!BA29:BD29)</f>
        <v>508.32937094901399</v>
      </c>
      <c r="P31" s="1092">
        <f ca="1">SUM(创造利润!BE29:BH29)</f>
        <v>425.43768169957059</v>
      </c>
      <c r="Q31" s="1092">
        <f ca="1">SUM(创造利润!BI29:BL29)</f>
        <v>0</v>
      </c>
      <c r="R31" s="1091">
        <f ca="1">SUM(创造利润!BM29:BP29)</f>
        <v>0</v>
      </c>
      <c r="S31" s="97">
        <f ca="1">SUM(C31:R31)</f>
        <v>15499.891312668919</v>
      </c>
    </row>
    <row r="32" spans="2:19" ht="18" customHeight="1">
      <c r="B32" s="1119" t="s">
        <v>900</v>
      </c>
      <c r="C32" s="99">
        <f>IF(C28=0,0,C29/C28)</f>
        <v>0</v>
      </c>
      <c r="D32" s="99">
        <f t="shared" ref="D32:L32" si="0">IF(D28=0,0,D29/D28)</f>
        <v>0</v>
      </c>
      <c r="E32" s="100">
        <f t="shared" si="0"/>
        <v>0</v>
      </c>
      <c r="F32" s="100">
        <f t="shared" si="0"/>
        <v>0</v>
      </c>
      <c r="G32" s="100">
        <f t="shared" si="0"/>
        <v>0</v>
      </c>
      <c r="H32" s="100">
        <f t="shared" si="0"/>
        <v>0</v>
      </c>
      <c r="I32" s="100">
        <f t="shared" ca="1" si="0"/>
        <v>0.15424223536343742</v>
      </c>
      <c r="J32" s="99">
        <f t="shared" ca="1" si="0"/>
        <v>0.1777036557209197</v>
      </c>
      <c r="K32" s="100">
        <f t="shared" ca="1" si="0"/>
        <v>0.20561074367625698</v>
      </c>
      <c r="L32" s="99">
        <f t="shared" ca="1" si="0"/>
        <v>0.21653920194460161</v>
      </c>
      <c r="M32" s="99">
        <f t="shared" ref="M32:R32" ca="1" si="1">IF(M28=0,0,M29/M28)</f>
        <v>0.21990732036739552</v>
      </c>
      <c r="N32" s="99">
        <f t="shared" ca="1" si="1"/>
        <v>0.25550793827101093</v>
      </c>
      <c r="O32" s="99">
        <f t="shared" ca="1" si="1"/>
        <v>0.5385180881459366</v>
      </c>
      <c r="P32" s="99">
        <f t="shared" ca="1" si="1"/>
        <v>0.53856874197600468</v>
      </c>
      <c r="Q32" s="99">
        <f t="shared" si="1"/>
        <v>0</v>
      </c>
      <c r="R32" s="1093">
        <f t="shared" si="1"/>
        <v>0</v>
      </c>
      <c r="S32" s="101">
        <f ca="1">S29/S28</f>
        <v>0.20728517602540225</v>
      </c>
    </row>
    <row r="33" spans="2:19" ht="18" customHeight="1">
      <c r="B33" s="80" t="s">
        <v>221</v>
      </c>
      <c r="C33" s="99">
        <f>IF(C28=0,0,C31/C28)</f>
        <v>0</v>
      </c>
      <c r="D33" s="99">
        <f t="shared" ref="D33:L33" si="2">IF(D28=0,0,D31/D28)</f>
        <v>0</v>
      </c>
      <c r="E33" s="100">
        <f t="shared" si="2"/>
        <v>0</v>
      </c>
      <c r="F33" s="100">
        <f t="shared" si="2"/>
        <v>0</v>
      </c>
      <c r="G33" s="100">
        <f t="shared" si="2"/>
        <v>0</v>
      </c>
      <c r="H33" s="100">
        <f t="shared" si="2"/>
        <v>0</v>
      </c>
      <c r="I33" s="100">
        <f t="shared" ca="1" si="2"/>
        <v>8.1949044311918573E-2</v>
      </c>
      <c r="J33" s="99">
        <f t="shared" ca="1" si="2"/>
        <v>9.9545109580030308E-2</v>
      </c>
      <c r="K33" s="100">
        <f t="shared" ca="1" si="2"/>
        <v>0.12047542554653323</v>
      </c>
      <c r="L33" s="99">
        <f t="shared" ca="1" si="2"/>
        <v>0.12867176924779172</v>
      </c>
      <c r="M33" s="99">
        <f t="shared" ref="M33:R33" ca="1" si="3">IF(M28=0,0,M31/M28)</f>
        <v>0.13119785806488715</v>
      </c>
      <c r="N33" s="99">
        <f t="shared" ca="1" si="3"/>
        <v>0.15789832149259869</v>
      </c>
      <c r="O33" s="99">
        <f t="shared" ca="1" si="3"/>
        <v>0.37015593389879298</v>
      </c>
      <c r="P33" s="99">
        <f t="shared" ca="1" si="3"/>
        <v>0.37019392427134407</v>
      </c>
      <c r="Q33" s="99">
        <f t="shared" si="3"/>
        <v>0</v>
      </c>
      <c r="R33" s="1093">
        <f t="shared" si="3"/>
        <v>0</v>
      </c>
      <c r="S33" s="101">
        <f ca="1">S31/S28</f>
        <v>0.12173124980839217</v>
      </c>
    </row>
    <row r="34" spans="2:19" ht="18" customHeight="1">
      <c r="B34" s="80" t="s">
        <v>222</v>
      </c>
      <c r="C34" s="96">
        <f>SUM(结算利润!D3:G3)</f>
        <v>0</v>
      </c>
      <c r="D34" s="96">
        <f>SUM(结算利润!H3:K3)</f>
        <v>0</v>
      </c>
      <c r="E34" s="96">
        <f>SUM(结算利润!L3:O3)</f>
        <v>0</v>
      </c>
      <c r="F34" s="96">
        <f>SUM(结算利润!P3:S3)</f>
        <v>0</v>
      </c>
      <c r="G34" s="96">
        <f>SUM(结算利润!T3:W3)</f>
        <v>0</v>
      </c>
      <c r="H34" s="96">
        <f>SUM(结算利润!X3:AA3)</f>
        <v>0</v>
      </c>
      <c r="I34" s="96">
        <f>SUM(结算利润!AB3:AE3)</f>
        <v>0</v>
      </c>
      <c r="J34" s="96">
        <f>SUM(结算利润!AF3:AI3)</f>
        <v>0</v>
      </c>
      <c r="K34" s="96">
        <f>SUM(结算利润!AG3:AJ3)</f>
        <v>0</v>
      </c>
      <c r="L34" s="96">
        <f>SUM(结算利润!AH3:AK3)</f>
        <v>0</v>
      </c>
      <c r="M34" s="1092">
        <f>SUM(结算利润!AR3:AU3)</f>
        <v>0</v>
      </c>
      <c r="N34" s="1092">
        <f>SUM(创造利润!AW3:AZ3)</f>
        <v>9774.3799999999974</v>
      </c>
      <c r="O34" s="1092">
        <f>SUM(结算利润!AZ3:BC3)</f>
        <v>0</v>
      </c>
      <c r="P34" s="1092">
        <f>SUM(结算利润!BD3:BG3)</f>
        <v>0</v>
      </c>
      <c r="Q34" s="1092">
        <f>SUM(结算利润!BH3:BK3)</f>
        <v>0</v>
      </c>
      <c r="R34" s="1091">
        <f>SUM(结算利润!BL3:BO3)</f>
        <v>0</v>
      </c>
      <c r="S34" s="97">
        <f>SUM(C34:R34)</f>
        <v>9774.3799999999974</v>
      </c>
    </row>
    <row r="35" spans="2:19" ht="18" customHeight="1">
      <c r="B35" s="80" t="s">
        <v>223</v>
      </c>
      <c r="C35" s="96"/>
      <c r="D35" s="96"/>
      <c r="E35" s="96"/>
      <c r="F35" s="96"/>
      <c r="G35" s="96"/>
      <c r="H35" s="96"/>
      <c r="I35" s="96">
        <f>SUM(结算利润!V7:AG7)</f>
        <v>0</v>
      </c>
      <c r="J35" s="96">
        <f>SUM(结算利润!AH7:AS7)</f>
        <v>0</v>
      </c>
      <c r="K35" s="96">
        <f>SUM(结算利润!AT7:BE7)</f>
        <v>0</v>
      </c>
      <c r="L35" s="96">
        <f>SUM(结算利润!BF7:BQ7)</f>
        <v>127328.7782477064</v>
      </c>
      <c r="M35" s="1092"/>
      <c r="N35" s="1092"/>
      <c r="O35" s="1092"/>
      <c r="P35" s="1092"/>
      <c r="Q35" s="1092"/>
      <c r="R35" s="1091"/>
      <c r="S35" s="97">
        <f>SUM(C35:R35)</f>
        <v>127328.7782477064</v>
      </c>
    </row>
    <row r="36" spans="2:19" ht="18" customHeight="1">
      <c r="B36" s="80" t="s">
        <v>224</v>
      </c>
      <c r="C36" s="96"/>
      <c r="D36" s="96"/>
      <c r="E36" s="96"/>
      <c r="F36" s="96"/>
      <c r="G36" s="96"/>
      <c r="H36" s="96"/>
      <c r="I36" s="96">
        <f ca="1">SUM(结算利润!V29:AG29)</f>
        <v>-1084.3045150426483</v>
      </c>
      <c r="J36" s="96">
        <f ca="1">SUM(结算利润!AH29:AS29)</f>
        <v>-2575.499823073575</v>
      </c>
      <c r="K36" s="96">
        <f ca="1">SUM(结算利润!AT29:BE29)</f>
        <v>-635.33050834627602</v>
      </c>
      <c r="L36" s="96">
        <f ca="1">SUM(结算利润!BF29:BQ29)</f>
        <v>19795.026159131427</v>
      </c>
      <c r="M36" s="1092"/>
      <c r="N36" s="1092"/>
      <c r="O36" s="1092"/>
      <c r="P36" s="1092"/>
      <c r="Q36" s="1092"/>
      <c r="R36" s="1091"/>
      <c r="S36" s="97">
        <f ca="1">SUM(C36:R36)</f>
        <v>15499.891312668928</v>
      </c>
    </row>
    <row r="37" spans="2:19" ht="18" customHeight="1">
      <c r="B37" s="42" t="s">
        <v>225</v>
      </c>
      <c r="C37" s="40"/>
      <c r="F37" s="87"/>
      <c r="G37" s="87"/>
      <c r="H37" s="85"/>
      <c r="I37" s="95"/>
      <c r="J37" s="95"/>
    </row>
    <row r="38" spans="2:19" ht="18" customHeight="1">
      <c r="B38" s="102" t="s">
        <v>226</v>
      </c>
      <c r="C38" s="103" t="str">
        <f>基础信息!B2</f>
        <v>车位</v>
      </c>
      <c r="D38" s="103" t="str">
        <f>基础信息!C2</f>
        <v>高层（27F）</v>
      </c>
      <c r="E38" s="103" t="str">
        <f>基础信息!D2</f>
        <v>人防车位</v>
      </c>
      <c r="F38" s="103" t="str">
        <f>基础信息!E2</f>
        <v>人才公寓26F（可售、T7）</v>
      </c>
      <c r="G38" s="103" t="str">
        <f>基础信息!F2</f>
        <v>小高层（8~11F）</v>
      </c>
      <c r="H38" s="103" t="str">
        <f>基础信息!G2</f>
        <v>临街商业</v>
      </c>
      <c r="I38" s="103">
        <f>基础信息!H2</f>
        <v>0</v>
      </c>
      <c r="J38" s="103">
        <f>基础信息!I2</f>
        <v>0</v>
      </c>
      <c r="K38" s="103" t="str">
        <f>基础信息!J2</f>
        <v>大商业</v>
      </c>
      <c r="L38" s="102" t="s">
        <v>24</v>
      </c>
    </row>
    <row r="39" spans="2:19" ht="20.149999999999999" customHeight="1">
      <c r="B39" s="104" t="s">
        <v>227</v>
      </c>
      <c r="C39" s="105">
        <f>基础信息!B6</f>
        <v>24565.840000000004</v>
      </c>
      <c r="D39" s="105">
        <f>基础信息!C6</f>
        <v>43173.95</v>
      </c>
      <c r="E39" s="105">
        <f>基础信息!D6</f>
        <v>9409.4599999999991</v>
      </c>
      <c r="F39" s="105">
        <f>基础信息!E6</f>
        <v>0</v>
      </c>
      <c r="G39" s="105">
        <f>基础信息!F6</f>
        <v>59174.38</v>
      </c>
      <c r="H39" s="105">
        <f>基础信息!G6</f>
        <v>1058.93</v>
      </c>
      <c r="I39" s="105">
        <f>基础信息!H6</f>
        <v>0</v>
      </c>
      <c r="J39" s="105">
        <f>基础信息!I6</f>
        <v>0</v>
      </c>
      <c r="K39" s="105">
        <f>基础信息!J6</f>
        <v>0</v>
      </c>
      <c r="L39" s="106">
        <f>SUM(C39:K39)</f>
        <v>137382.56</v>
      </c>
      <c r="M39" s="189"/>
      <c r="N39" s="189"/>
      <c r="O39" s="189"/>
      <c r="P39" s="189"/>
      <c r="Q39" s="189"/>
    </row>
    <row r="40" spans="2:19" ht="20.149999999999999" customHeight="1">
      <c r="B40" s="104" t="s">
        <v>902</v>
      </c>
      <c r="C40" s="105">
        <f>C41*1.09</f>
        <v>5107.2381360000018</v>
      </c>
      <c r="D40" s="215">
        <f t="shared" ref="D40:K40" si="4">D41*1.09</f>
        <v>49865.811000000002</v>
      </c>
      <c r="E40" s="215">
        <f t="shared" si="4"/>
        <v>1956.2267340000001</v>
      </c>
      <c r="F40" s="215">
        <f t="shared" si="4"/>
        <v>0</v>
      </c>
      <c r="G40" s="215">
        <f t="shared" si="4"/>
        <v>78999.941919999997</v>
      </c>
      <c r="H40" s="215">
        <f t="shared" si="4"/>
        <v>2859.1505000000002</v>
      </c>
      <c r="I40" s="215">
        <f t="shared" si="4"/>
        <v>0</v>
      </c>
      <c r="J40" s="215">
        <f t="shared" si="4"/>
        <v>0</v>
      </c>
      <c r="K40" s="215">
        <f t="shared" si="4"/>
        <v>0</v>
      </c>
      <c r="L40" s="106">
        <f>SUM(C40:K40)</f>
        <v>138788.36828999998</v>
      </c>
      <c r="M40" s="189"/>
      <c r="N40" s="189"/>
      <c r="O40" s="189"/>
      <c r="P40" s="189"/>
      <c r="Q40" s="189"/>
    </row>
    <row r="41" spans="2:19" ht="20.149999999999999" customHeight="1">
      <c r="B41" s="104" t="s">
        <v>901</v>
      </c>
      <c r="C41" s="105">
        <f>基础信息!B40</f>
        <v>4685.5395743119279</v>
      </c>
      <c r="D41" s="105">
        <f>基础信息!C40</f>
        <v>45748.450458715597</v>
      </c>
      <c r="E41" s="105">
        <f>基础信息!D40</f>
        <v>1794.7034256880734</v>
      </c>
      <c r="F41" s="105">
        <f>基础信息!E40</f>
        <v>0</v>
      </c>
      <c r="G41" s="105">
        <f>基础信息!F40</f>
        <v>72477.010935779806</v>
      </c>
      <c r="H41" s="105">
        <f>基础信息!G40</f>
        <v>2623.073853211009</v>
      </c>
      <c r="I41" s="105">
        <f>基础信息!H40</f>
        <v>0</v>
      </c>
      <c r="J41" s="105">
        <f>基础信息!I40</f>
        <v>0</v>
      </c>
      <c r="K41" s="105">
        <f>基础信息!J40</f>
        <v>0</v>
      </c>
      <c r="L41" s="106">
        <f>SUM(C41:K41)</f>
        <v>127328.77824770642</v>
      </c>
      <c r="M41" s="1100"/>
    </row>
    <row r="42" spans="2:19" ht="20.149999999999999" customHeight="1">
      <c r="B42" s="104" t="s">
        <v>906</v>
      </c>
      <c r="C42" s="105">
        <f>IF(C39=0,0,C40/C39*10000)</f>
        <v>2079.0000000000005</v>
      </c>
      <c r="D42" s="105">
        <f t="shared" ref="D42:J42" si="5">IF(D39=0,0,D40/D39*10000)</f>
        <v>11549.976548358445</v>
      </c>
      <c r="E42" s="105">
        <f t="shared" si="5"/>
        <v>2079.0000000000005</v>
      </c>
      <c r="F42" s="105">
        <f t="shared" si="5"/>
        <v>0</v>
      </c>
      <c r="G42" s="105">
        <f t="shared" si="5"/>
        <v>13350.362423738112</v>
      </c>
      <c r="H42" s="105">
        <f t="shared" si="5"/>
        <v>27000.373018046521</v>
      </c>
      <c r="I42" s="105">
        <f t="shared" si="5"/>
        <v>0</v>
      </c>
      <c r="J42" s="105">
        <f t="shared" si="5"/>
        <v>0</v>
      </c>
      <c r="K42" s="105"/>
      <c r="L42" s="106">
        <f>L40/L39*10000</f>
        <v>10102.328002186012</v>
      </c>
      <c r="M42" s="2184"/>
      <c r="N42" s="189"/>
      <c r="O42" s="189"/>
      <c r="P42" s="189"/>
      <c r="Q42" s="189"/>
    </row>
    <row r="43" spans="2:19" ht="20.149999999999999" customHeight="1">
      <c r="B43" s="107" t="s">
        <v>905</v>
      </c>
      <c r="C43" s="105">
        <f>C42/1.09</f>
        <v>1907.3394495412847</v>
      </c>
      <c r="D43" s="215">
        <f t="shared" ref="D43:K43" si="6">D42/1.09</f>
        <v>10596.308759961876</v>
      </c>
      <c r="E43" s="215">
        <f t="shared" si="6"/>
        <v>1907.3394495412847</v>
      </c>
      <c r="F43" s="215">
        <f t="shared" si="6"/>
        <v>0</v>
      </c>
      <c r="G43" s="215">
        <f t="shared" si="6"/>
        <v>12248.038920860652</v>
      </c>
      <c r="H43" s="215">
        <f t="shared" si="6"/>
        <v>24770.984420226163</v>
      </c>
      <c r="I43" s="215">
        <f t="shared" si="6"/>
        <v>0</v>
      </c>
      <c r="J43" s="215">
        <f t="shared" si="6"/>
        <v>0</v>
      </c>
      <c r="K43" s="215">
        <f t="shared" si="6"/>
        <v>0</v>
      </c>
      <c r="L43" s="189">
        <f>+L41/L39*10000</f>
        <v>9268.1908276935901</v>
      </c>
      <c r="N43" s="1100"/>
    </row>
    <row r="44" spans="2:19" ht="20.149999999999999" customHeight="1">
      <c r="B44" s="107" t="s">
        <v>903</v>
      </c>
      <c r="C44" s="105">
        <f>IF(基础信息!B6=0,0,基础信息!B7/基础信息!B6)</f>
        <v>846.94635088614302</v>
      </c>
      <c r="D44" s="105">
        <f ca="1">IF(基础信息!C6=0,0,基础信息!C7/基础信息!C6)</f>
        <v>8218.8008917813167</v>
      </c>
      <c r="E44" s="105">
        <f>IF(基础信息!D6=0,0,基础信息!D7/基础信息!D6)</f>
        <v>815.30223751540791</v>
      </c>
      <c r="F44" s="105">
        <f>IF(基础信息!E6=0,0,基础信息!E7/基础信息!E6)</f>
        <v>0</v>
      </c>
      <c r="G44" s="105">
        <f ca="1">IF(基础信息!F6=0,0,基础信息!F7/基础信息!F6)</f>
        <v>9845.972238406539</v>
      </c>
      <c r="H44" s="105">
        <f ca="1">IF(基础信息!G6=0,0,基础信息!G7/基础信息!G6)</f>
        <v>13932.376037220933</v>
      </c>
      <c r="I44" s="105">
        <f>IF(基础信息!H6=0,0,基础信息!H7/基础信息!H6)</f>
        <v>0</v>
      </c>
      <c r="J44" s="105">
        <f>IF(基础信息!I6=0,0,基础信息!I7/基础信息!I6)</f>
        <v>0</v>
      </c>
      <c r="K44" s="105">
        <f>IF(基础信息!J6=0,0,基础信息!J7/基础信息!J6)</f>
        <v>0</v>
      </c>
      <c r="L44" s="105">
        <f ca="1">基础信息!K7/L39</f>
        <v>7138.4483937408058</v>
      </c>
      <c r="O44" s="1100">
        <f>D40+G40</f>
        <v>128865.75292</v>
      </c>
      <c r="P44" s="1100">
        <f>O44+F40</f>
        <v>128865.75292</v>
      </c>
      <c r="R44" s="1100">
        <f>L40-E40-C40</f>
        <v>131724.90341999999</v>
      </c>
      <c r="S44" s="1100"/>
    </row>
    <row r="45" spans="2:19" ht="20.149999999999999" customHeight="1">
      <c r="B45" s="104" t="s">
        <v>904</v>
      </c>
      <c r="C45" s="105">
        <f>C44*C39/10000</f>
        <v>2080.5948544452849</v>
      </c>
      <c r="D45" s="105">
        <f t="shared" ref="D45:J45" ca="1" si="7">D44*D39/10000</f>
        <v>35483.809876172199</v>
      </c>
      <c r="E45" s="105">
        <f>E44*E39/10000</f>
        <v>767.15537918117298</v>
      </c>
      <c r="F45" s="105">
        <f t="shared" si="7"/>
        <v>0</v>
      </c>
      <c r="G45" s="105">
        <f t="shared" ca="1" si="7"/>
        <v>58262.93027049191</v>
      </c>
      <c r="H45" s="105">
        <f t="shared" ca="1" si="7"/>
        <v>1475.3410957094363</v>
      </c>
      <c r="I45" s="105">
        <f t="shared" si="7"/>
        <v>0</v>
      </c>
      <c r="J45" s="105">
        <f t="shared" si="7"/>
        <v>0</v>
      </c>
      <c r="K45" s="105"/>
      <c r="L45" s="106">
        <f ca="1">SUM(C45:K45)</f>
        <v>98069.831476000007</v>
      </c>
      <c r="O45" s="1100">
        <f>D39+G39</f>
        <v>102348.32999999999</v>
      </c>
      <c r="P45" s="1100">
        <f>O45+F39</f>
        <v>102348.32999999999</v>
      </c>
      <c r="R45" s="1100">
        <f>L39-E39-C39</f>
        <v>103407.26000000001</v>
      </c>
      <c r="S45" s="1100"/>
    </row>
    <row r="46" spans="2:19" ht="20.149999999999999" customHeight="1">
      <c r="B46" s="104" t="s">
        <v>831</v>
      </c>
      <c r="C46" s="105">
        <f ca="1">C41*(基础信息!$B$26+土地增值税!$G$19)+创造利润!$B$23/经济指标!$L$39*经济指标!C39</f>
        <v>105.44970217072621</v>
      </c>
      <c r="D46" s="105">
        <f ca="1">D41*(基础信息!$B$26+土地增值税!$G$19)+创造利润!$B$23/经济指标!$L$39*经济指标!D39</f>
        <v>1029.5848320419343</v>
      </c>
      <c r="E46" s="105">
        <f ca="1">E41*(基础信息!$B$26+土地增值税!$G$19)+创造利润!$B$23/经济指标!$L$39*经济指标!E39</f>
        <v>40.39042648602129</v>
      </c>
      <c r="F46" s="105">
        <f ca="1">F41*(基础信息!$B$26+土地增值税!$G$19)+创造利润!$B$23/经济指标!$L$39*经济指标!F39</f>
        <v>0</v>
      </c>
      <c r="G46" s="105">
        <f ca="1">G41*(基础信息!$B$26+土地增值税!$G$19)+创造利润!$B$23/经济指标!$L$39*经济指标!G39</f>
        <v>1631.120406986377</v>
      </c>
      <c r="H46" s="105">
        <f ca="1">H41*(基础信息!$B$26+土地增值税!$G$19)+创造利润!$B$23/经济指标!$L$39*经济指标!H39</f>
        <v>59.03319184611501</v>
      </c>
      <c r="I46" s="105">
        <f ca="1">I41*(基础信息!$B$26+土地增值税!$G$19)+创造利润!$B$23/经济指标!$L$39*经济指标!I39</f>
        <v>0</v>
      </c>
      <c r="J46" s="105">
        <f ca="1">J41*(基础信息!$B$26+土地增值税!$G$19)+创造利润!$B$23/经济指标!$L$39*经济指标!J39</f>
        <v>0</v>
      </c>
      <c r="K46" s="105">
        <f ca="1">K41*(基础信息!$B$26+土地增值税!$G$19)+创造利润!$B$23/经济指标!$L$39*经济指标!K39</f>
        <v>0</v>
      </c>
      <c r="L46" s="106">
        <f t="shared" ref="L46:L51" ca="1" si="8">SUM(C46:K46)</f>
        <v>2865.5785595311741</v>
      </c>
      <c r="M46" s="1027"/>
      <c r="N46" s="1027"/>
      <c r="O46" s="2207">
        <f>O44/O45</f>
        <v>1.2590899423566562</v>
      </c>
      <c r="P46" s="2207">
        <f>P44/P45</f>
        <v>1.2590899423566562</v>
      </c>
      <c r="Q46" s="1027"/>
      <c r="R46" s="2229">
        <f>R44/R45*10000</f>
        <v>12738.457959334768</v>
      </c>
    </row>
    <row r="47" spans="2:19" ht="20.149999999999999" customHeight="1">
      <c r="B47" s="108" t="s">
        <v>228</v>
      </c>
      <c r="C47" s="106">
        <f t="shared" ref="C47:K47" si="9">SUM(C48:C49)</f>
        <v>210.740777558339</v>
      </c>
      <c r="D47" s="106">
        <f t="shared" si="9"/>
        <v>2057.6208713752389</v>
      </c>
      <c r="E47" s="106">
        <f t="shared" si="9"/>
        <v>80.720094114595241</v>
      </c>
      <c r="F47" s="106">
        <f t="shared" si="9"/>
        <v>0</v>
      </c>
      <c r="G47" s="106">
        <f t="shared" si="9"/>
        <v>3259.7871381661407</v>
      </c>
      <c r="H47" s="106">
        <f t="shared" si="9"/>
        <v>117.97758073568582</v>
      </c>
      <c r="I47" s="106">
        <f t="shared" si="9"/>
        <v>0</v>
      </c>
      <c r="J47" s="106">
        <f t="shared" si="9"/>
        <v>0</v>
      </c>
      <c r="K47" s="106">
        <f t="shared" si="9"/>
        <v>0</v>
      </c>
      <c r="L47" s="106">
        <f t="shared" si="8"/>
        <v>5726.8464619499991</v>
      </c>
      <c r="M47" s="1027"/>
      <c r="N47" s="1027"/>
      <c r="O47" s="2207"/>
      <c r="P47" s="1027"/>
      <c r="Q47" s="1027"/>
    </row>
    <row r="48" spans="2:19" ht="20.149999999999999" customHeight="1">
      <c r="B48" s="109" t="s">
        <v>229</v>
      </c>
      <c r="C48" s="189">
        <f>C$40*基础信息!$B20</f>
        <v>83.059824158338969</v>
      </c>
      <c r="D48" s="189">
        <f>D$40*基础信息!$B20</f>
        <v>810.97559637523898</v>
      </c>
      <c r="E48" s="189">
        <f>E$40*基础信息!$B20</f>
        <v>31.814425764595228</v>
      </c>
      <c r="F48" s="189">
        <f>F$40*基础信息!$B20</f>
        <v>0</v>
      </c>
      <c r="G48" s="189">
        <f>G$40*基础信息!$B20</f>
        <v>1284.7885901661409</v>
      </c>
      <c r="H48" s="189">
        <f>H$40*基础信息!$B20</f>
        <v>46.498818235685825</v>
      </c>
      <c r="I48" s="189">
        <f>I$40*基础信息!$B20</f>
        <v>0</v>
      </c>
      <c r="J48" s="189">
        <f>J$40*基础信息!$B20</f>
        <v>0</v>
      </c>
      <c r="K48" s="189">
        <f>K$40*基础信息!$B20</f>
        <v>0</v>
      </c>
      <c r="L48" s="106">
        <f t="shared" si="8"/>
        <v>2257.1372547000001</v>
      </c>
      <c r="O48" s="2228"/>
    </row>
    <row r="49" spans="2:17" ht="20.149999999999999" customHeight="1">
      <c r="B49" s="109" t="s">
        <v>230</v>
      </c>
      <c r="C49" s="189">
        <f>C$40*基础信息!$B21</f>
        <v>127.68095340000005</v>
      </c>
      <c r="D49" s="189">
        <f>D$40*基础信息!$B21</f>
        <v>1246.6452750000001</v>
      </c>
      <c r="E49" s="189">
        <f>E$40*基础信息!$B21</f>
        <v>48.905668350000006</v>
      </c>
      <c r="F49" s="189">
        <f>F$40*基础信息!$B21</f>
        <v>0</v>
      </c>
      <c r="G49" s="189">
        <f>G$40*基础信息!$B21</f>
        <v>1974.998548</v>
      </c>
      <c r="H49" s="189">
        <f>H$40*基础信息!$B21</f>
        <v>71.478762500000002</v>
      </c>
      <c r="I49" s="189">
        <f>I$40*基础信息!$B21</f>
        <v>0</v>
      </c>
      <c r="J49" s="189">
        <f>J$40*基础信息!$B21</f>
        <v>0</v>
      </c>
      <c r="K49" s="189">
        <f>K$40*基础信息!$B21</f>
        <v>0</v>
      </c>
      <c r="L49" s="106">
        <f t="shared" si="8"/>
        <v>3469.70920725</v>
      </c>
    </row>
    <row r="50" spans="2:17" ht="20.149999999999999" customHeight="1">
      <c r="B50" s="109" t="s">
        <v>231</v>
      </c>
      <c r="C50" s="106">
        <f t="shared" ref="C50:K50" ca="1" si="10">+C41-C45-C46-C47</f>
        <v>2288.7542401375777</v>
      </c>
      <c r="D50" s="106">
        <f ca="1">+D41-D45-D46-D47</f>
        <v>7177.4348791262255</v>
      </c>
      <c r="E50" s="106">
        <f t="shared" ca="1" si="10"/>
        <v>906.43752590628389</v>
      </c>
      <c r="F50" s="106">
        <f t="shared" ca="1" si="10"/>
        <v>0</v>
      </c>
      <c r="G50" s="106">
        <f t="shared" ca="1" si="10"/>
        <v>9323.1731201353778</v>
      </c>
      <c r="H50" s="106">
        <f t="shared" ca="1" si="10"/>
        <v>970.7219849197719</v>
      </c>
      <c r="I50" s="106">
        <f t="shared" ca="1" si="10"/>
        <v>0</v>
      </c>
      <c r="J50" s="106">
        <f t="shared" ca="1" si="10"/>
        <v>0</v>
      </c>
      <c r="K50" s="106">
        <f t="shared" ca="1" si="10"/>
        <v>0</v>
      </c>
      <c r="L50" s="106">
        <f t="shared" ca="1" si="8"/>
        <v>20666.521750225234</v>
      </c>
    </row>
    <row r="51" spans="2:17" ht="20.149999999999999" customHeight="1">
      <c r="B51" s="108" t="s">
        <v>232</v>
      </c>
      <c r="C51" s="106">
        <f t="shared" ref="C51:K51" ca="1" si="11">+C50*0.25</f>
        <v>572.18856003439441</v>
      </c>
      <c r="D51" s="106">
        <f ca="1">+D50*0.25</f>
        <v>1794.3587197815564</v>
      </c>
      <c r="E51" s="106">
        <f t="shared" ca="1" si="11"/>
        <v>226.60938147657097</v>
      </c>
      <c r="F51" s="106">
        <f t="shared" ca="1" si="11"/>
        <v>0</v>
      </c>
      <c r="G51" s="106">
        <f t="shared" ca="1" si="11"/>
        <v>2330.7932800338444</v>
      </c>
      <c r="H51" s="106">
        <f t="shared" ca="1" si="11"/>
        <v>242.68049622994297</v>
      </c>
      <c r="I51" s="106">
        <f t="shared" ca="1" si="11"/>
        <v>0</v>
      </c>
      <c r="J51" s="106">
        <f t="shared" ca="1" si="11"/>
        <v>0</v>
      </c>
      <c r="K51" s="106">
        <f t="shared" ca="1" si="11"/>
        <v>0</v>
      </c>
      <c r="L51" s="106">
        <f t="shared" ca="1" si="8"/>
        <v>5166.6304375563086</v>
      </c>
      <c r="M51" s="1027"/>
      <c r="N51" s="1027"/>
      <c r="O51" s="1027"/>
      <c r="P51" s="1027"/>
      <c r="Q51" s="1027"/>
    </row>
    <row r="52" spans="2:17" ht="20.149999999999999" customHeight="1">
      <c r="B52" s="108" t="s">
        <v>233</v>
      </c>
      <c r="C52" s="105">
        <f t="shared" ref="C52:K52" ca="1" si="12">+C50-C51</f>
        <v>1716.5656801031832</v>
      </c>
      <c r="D52" s="105">
        <f ca="1">+D50-D51</f>
        <v>5383.0761593446696</v>
      </c>
      <c r="E52" s="105">
        <f t="shared" ca="1" si="12"/>
        <v>679.82814442971289</v>
      </c>
      <c r="F52" s="105">
        <f t="shared" ca="1" si="12"/>
        <v>0</v>
      </c>
      <c r="G52" s="105">
        <f t="shared" ca="1" si="12"/>
        <v>6992.3798401015338</v>
      </c>
      <c r="H52" s="105">
        <f t="shared" ca="1" si="12"/>
        <v>728.04148868982895</v>
      </c>
      <c r="I52" s="105">
        <f t="shared" ca="1" si="12"/>
        <v>0</v>
      </c>
      <c r="J52" s="105">
        <f t="shared" ca="1" si="12"/>
        <v>0</v>
      </c>
      <c r="K52" s="105">
        <f t="shared" ca="1" si="12"/>
        <v>0</v>
      </c>
      <c r="L52" s="1102">
        <f ca="1">SUM(C52:K52)</f>
        <v>15499.891312668929</v>
      </c>
      <c r="M52" s="1100"/>
      <c r="N52" s="1100"/>
      <c r="O52" s="1100"/>
      <c r="P52" s="1100"/>
      <c r="Q52" s="1100"/>
    </row>
    <row r="53" spans="2:17" ht="20.149999999999999" customHeight="1">
      <c r="B53" s="110" t="s">
        <v>934</v>
      </c>
      <c r="C53" s="111">
        <f t="shared" ref="C53:J53" ca="1" si="13">(C41-C45-C46)/C41</f>
        <v>0.53344870490459317</v>
      </c>
      <c r="D53" s="111">
        <f t="shared" ca="1" si="13"/>
        <v>0.20186597923869312</v>
      </c>
      <c r="E53" s="111">
        <f t="shared" ca="1" si="13"/>
        <v>0.55003941369444465</v>
      </c>
      <c r="F53" s="111" t="e">
        <f t="shared" ca="1" si="13"/>
        <v>#DIV/0!</v>
      </c>
      <c r="G53" s="111">
        <f t="shared" ca="1" si="13"/>
        <v>0.17361312360758072</v>
      </c>
      <c r="H53" s="111">
        <f t="shared" ca="1" si="13"/>
        <v>0.41504724097750328</v>
      </c>
      <c r="I53" s="111" t="e">
        <f t="shared" ca="1" si="13"/>
        <v>#DIV/0!</v>
      </c>
      <c r="J53" s="111" t="e">
        <f t="shared" ca="1" si="13"/>
        <v>#DIV/0!</v>
      </c>
      <c r="K53" s="111"/>
      <c r="L53" s="111">
        <f ca="1">(L41-L45-L46)/L41</f>
        <v>0.20728517602540225</v>
      </c>
    </row>
    <row r="54" spans="2:17" ht="20.149999999999999" customHeight="1">
      <c r="B54" s="110" t="s">
        <v>234</v>
      </c>
      <c r="C54" s="111">
        <f t="shared" ref="C54:L54" ca="1" si="14">C52/C41</f>
        <v>0.36635389646778538</v>
      </c>
      <c r="D54" s="111">
        <f t="shared" ca="1" si="14"/>
        <v>0.11766685221836039</v>
      </c>
      <c r="E54" s="111">
        <f ca="1">E52/E41</f>
        <v>0.37879692806017395</v>
      </c>
      <c r="F54" s="111" t="e">
        <f t="shared" ca="1" si="14"/>
        <v>#DIV/0!</v>
      </c>
      <c r="G54" s="111">
        <f t="shared" ca="1" si="14"/>
        <v>9.6477210495026056E-2</v>
      </c>
      <c r="H54" s="111">
        <f ca="1">H52/H41</f>
        <v>0.277552798522468</v>
      </c>
      <c r="I54" s="111" t="e">
        <f ca="1">I52/I41</f>
        <v>#DIV/0!</v>
      </c>
      <c r="J54" s="111" t="e">
        <f ca="1">J52/J41</f>
        <v>#DIV/0!</v>
      </c>
      <c r="K54" s="111"/>
      <c r="L54" s="111">
        <f t="shared" ca="1" si="14"/>
        <v>0.12173124980839224</v>
      </c>
    </row>
    <row r="55" spans="2:17" ht="20.149999999999999" customHeight="1">
      <c r="B55" s="112" t="s">
        <v>235</v>
      </c>
      <c r="C55" s="113">
        <f t="shared" ref="C55:J55" ca="1" si="15">C43*C54</f>
        <v>698.76123922617057</v>
      </c>
      <c r="D55" s="113">
        <f t="shared" ca="1" si="15"/>
        <v>1246.8342969185517</v>
      </c>
      <c r="E55" s="113">
        <f t="shared" ca="1" si="15"/>
        <v>722.49432425422185</v>
      </c>
      <c r="F55" s="113" t="e">
        <f t="shared" ca="1" si="15"/>
        <v>#DIV/0!</v>
      </c>
      <c r="G55" s="113">
        <f t="shared" ca="1" si="15"/>
        <v>1181.656629119145</v>
      </c>
      <c r="H55" s="113">
        <f t="shared" ca="1" si="15"/>
        <v>6875.2560479902259</v>
      </c>
      <c r="I55" s="113" t="e">
        <f t="shared" ca="1" si="15"/>
        <v>#DIV/0!</v>
      </c>
      <c r="J55" s="113" t="e">
        <f t="shared" ca="1" si="15"/>
        <v>#DIV/0!</v>
      </c>
      <c r="K55" s="113"/>
      <c r="L55" s="113">
        <f ca="1">L43*L54</f>
        <v>1128.228452917818</v>
      </c>
    </row>
    <row r="56" spans="2:17" ht="20.149999999999999" customHeight="1">
      <c r="D56" s="1100"/>
      <c r="F56" s="1100"/>
      <c r="G56" s="1100"/>
      <c r="H56" s="1100"/>
    </row>
    <row r="57" spans="2:17" ht="20.149999999999999" customHeight="1">
      <c r="B57" s="114"/>
      <c r="C57" s="115"/>
      <c r="D57" s="1100">
        <f>D39+G39</f>
        <v>102348.32999999999</v>
      </c>
      <c r="E57" s="116"/>
      <c r="F57" s="1100"/>
      <c r="G57" s="1100"/>
      <c r="H57" s="1100"/>
    </row>
    <row r="58" spans="2:17" ht="20.149999999999999" customHeight="1">
      <c r="D58" s="1100">
        <f>D40+G40</f>
        <v>128865.75292</v>
      </c>
      <c r="H58" s="1027"/>
    </row>
    <row r="59" spans="2:17" ht="20.149999999999999" customHeight="1">
      <c r="D59" s="40">
        <f>D58/D57*10000</f>
        <v>12590.899423566561</v>
      </c>
      <c r="H59" s="1100"/>
    </row>
    <row r="61" spans="2:17" ht="20.149999999999999" customHeight="1">
      <c r="H61" s="1118"/>
    </row>
  </sheetData>
  <protectedRanges>
    <protectedRange sqref="G2 G8 I15 H18:J18 H9:H14" name="区域1"/>
  </protectedRanges>
  <mergeCells count="3">
    <mergeCell ref="B8:B12"/>
    <mergeCell ref="B13:B19"/>
    <mergeCell ref="B20:B23"/>
  </mergeCells>
  <phoneticPr fontId="19" type="noConversion"/>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45"/>
  <sheetViews>
    <sheetView zoomScale="85" zoomScaleNormal="85" workbookViewId="0">
      <pane xSplit="1" ySplit="2" topLeftCell="B3" activePane="bottomRight" state="frozen"/>
      <selection pane="topRight"/>
      <selection pane="bottomLeft"/>
      <selection pane="bottomRight" activeCell="B52" sqref="B52"/>
    </sheetView>
  </sheetViews>
  <sheetFormatPr defaultColWidth="9" defaultRowHeight="15.5"/>
  <cols>
    <col min="1" max="1" width="38.6640625" style="4" customWidth="1"/>
    <col min="2" max="2" width="16.5" style="4" customWidth="1"/>
    <col min="3" max="3" width="14.58203125" style="4" customWidth="1"/>
    <col min="4" max="4" width="14.6640625" style="4" customWidth="1"/>
    <col min="5" max="5" width="15.08203125" style="4" customWidth="1"/>
    <col min="6" max="6" width="13.6640625" style="4" customWidth="1"/>
    <col min="7" max="8" width="15" style="4" customWidth="1"/>
    <col min="9" max="10" width="13.6640625" style="4" customWidth="1"/>
    <col min="11" max="11" width="15.1640625" style="4" bestFit="1" customWidth="1"/>
    <col min="12" max="12" width="12" style="4" customWidth="1"/>
    <col min="13" max="13" width="10.1640625" style="4" customWidth="1"/>
    <col min="14" max="14" width="14.08203125" style="4" customWidth="1"/>
    <col min="15" max="256" width="9" style="4" customWidth="1"/>
  </cols>
  <sheetData>
    <row r="1" spans="1:17">
      <c r="A1" s="5" t="s">
        <v>347</v>
      </c>
      <c r="B1" s="6"/>
      <c r="C1" s="6"/>
      <c r="D1" s="6"/>
      <c r="E1" s="6"/>
      <c r="F1" s="7"/>
      <c r="G1" s="7"/>
      <c r="H1" s="7"/>
      <c r="I1" s="7"/>
      <c r="J1" s="7"/>
      <c r="K1" s="7"/>
      <c r="L1" s="7"/>
      <c r="M1" s="7"/>
    </row>
    <row r="2" spans="1:17">
      <c r="A2" s="8" t="s">
        <v>325</v>
      </c>
      <c r="B2" s="9" t="str">
        <f>销售计划!A9</f>
        <v>车位</v>
      </c>
      <c r="C2" s="9" t="str">
        <f>销售计划!A12</f>
        <v>高层（27F）</v>
      </c>
      <c r="D2" s="9" t="str">
        <f>销售计划!A15</f>
        <v>人防车位</v>
      </c>
      <c r="E2" s="9" t="str">
        <f>销售计划!A18</f>
        <v>人才公寓26F（可售、T7）</v>
      </c>
      <c r="F2" s="9" t="str">
        <f>销售计划!A21</f>
        <v>小高层（8~11F）</v>
      </c>
      <c r="G2" s="9" t="str">
        <f>销售计划!A24</f>
        <v>临街商业</v>
      </c>
      <c r="H2" s="9">
        <f>销售计划!A27</f>
        <v>0</v>
      </c>
      <c r="I2" s="9">
        <f>销售计划!A30</f>
        <v>0</v>
      </c>
      <c r="J2" s="9" t="s">
        <v>2938</v>
      </c>
      <c r="K2" s="9" t="s">
        <v>24</v>
      </c>
      <c r="L2" s="7"/>
      <c r="M2" s="7"/>
      <c r="N2" s="7"/>
      <c r="O2" s="7"/>
      <c r="P2" s="7"/>
      <c r="Q2" s="7"/>
    </row>
    <row r="3" spans="1:17">
      <c r="A3" s="8" t="s">
        <v>427</v>
      </c>
      <c r="B3" s="10">
        <f>销售计划!C9</f>
        <v>24565.840000000004</v>
      </c>
      <c r="C3" s="11">
        <f>销售计划!C12</f>
        <v>43173.95</v>
      </c>
      <c r="D3" s="11">
        <f>销售计划!C15</f>
        <v>9409.4599999999991</v>
      </c>
      <c r="E3" s="11">
        <f>销售计划!C18</f>
        <v>0</v>
      </c>
      <c r="F3" s="11">
        <f>销售计划!C21</f>
        <v>59174.38</v>
      </c>
      <c r="G3" s="11">
        <f>销售计划!C24</f>
        <v>1058.93</v>
      </c>
      <c r="H3" s="11">
        <f>销售计划!C27</f>
        <v>0</v>
      </c>
      <c r="I3" s="11">
        <f>销售计划!C30</f>
        <v>0</v>
      </c>
      <c r="J3" s="11"/>
      <c r="K3" s="11">
        <f>SUM(B3:J3)</f>
        <v>137382.56</v>
      </c>
      <c r="L3" s="7"/>
      <c r="M3" s="7"/>
      <c r="N3" s="7"/>
      <c r="O3" s="7"/>
      <c r="P3" s="7"/>
      <c r="Q3" s="7"/>
    </row>
    <row r="4" spans="1:17">
      <c r="A4" s="8" t="s">
        <v>428</v>
      </c>
      <c r="B4" s="10">
        <f>销售计划!C33</f>
        <v>0</v>
      </c>
      <c r="C4" s="11">
        <f>销售计划!C36</f>
        <v>0</v>
      </c>
      <c r="D4" s="11">
        <f>销售计划!C39</f>
        <v>0</v>
      </c>
      <c r="E4" s="11">
        <f>销售计划!C42</f>
        <v>0</v>
      </c>
      <c r="F4" s="11">
        <f>销售计划!C45</f>
        <v>0</v>
      </c>
      <c r="G4" s="11">
        <f>销售计划!C48</f>
        <v>0</v>
      </c>
      <c r="H4" s="11">
        <f>销售计划!C51</f>
        <v>0</v>
      </c>
      <c r="I4" s="11"/>
      <c r="J4" s="11"/>
      <c r="K4" s="11">
        <f>SUM(B4:J4)</f>
        <v>0</v>
      </c>
      <c r="L4" s="7"/>
      <c r="M4" s="7"/>
      <c r="N4" s="7"/>
      <c r="O4" s="7"/>
      <c r="P4" s="7"/>
      <c r="Q4" s="7"/>
    </row>
    <row r="5" spans="1:17">
      <c r="A5" s="8" t="s">
        <v>429</v>
      </c>
      <c r="B5" s="10">
        <f>销售计划!C135</f>
        <v>0</v>
      </c>
      <c r="C5" s="11"/>
      <c r="D5" s="11"/>
      <c r="E5" s="11"/>
      <c r="F5" s="11"/>
      <c r="G5" s="11">
        <f>销售计划!C141</f>
        <v>0</v>
      </c>
      <c r="H5" s="11">
        <f>销售计划!C138</f>
        <v>0</v>
      </c>
      <c r="I5" s="11">
        <f>销售计划!C144</f>
        <v>0</v>
      </c>
      <c r="J5" s="11">
        <f>销售计划!C147</f>
        <v>0</v>
      </c>
      <c r="K5" s="11">
        <f>SUM(B5:J5)</f>
        <v>0</v>
      </c>
      <c r="L5" s="7"/>
      <c r="M5" s="7"/>
      <c r="N5" s="7"/>
      <c r="O5" s="7"/>
      <c r="P5" s="7"/>
      <c r="Q5" s="7"/>
    </row>
    <row r="6" spans="1:17">
      <c r="A6" s="8" t="s">
        <v>58</v>
      </c>
      <c r="B6" s="12">
        <f t="shared" ref="B6:K6" si="0">SUM(B3:B5)</f>
        <v>24565.840000000004</v>
      </c>
      <c r="C6" s="13">
        <f t="shared" si="0"/>
        <v>43173.95</v>
      </c>
      <c r="D6" s="13">
        <f>SUM(D3:D5)</f>
        <v>9409.4599999999991</v>
      </c>
      <c r="E6" s="13">
        <f t="shared" si="0"/>
        <v>0</v>
      </c>
      <c r="F6" s="13">
        <f t="shared" si="0"/>
        <v>59174.38</v>
      </c>
      <c r="G6" s="13">
        <f>SUM(G3:G5)</f>
        <v>1058.93</v>
      </c>
      <c r="H6" s="13">
        <f t="shared" si="0"/>
        <v>0</v>
      </c>
      <c r="I6" s="13">
        <f t="shared" si="0"/>
        <v>0</v>
      </c>
      <c r="J6" s="13">
        <f t="shared" si="0"/>
        <v>0</v>
      </c>
      <c r="K6" s="13">
        <f t="shared" si="0"/>
        <v>137382.56</v>
      </c>
      <c r="L6" s="7"/>
      <c r="M6" s="7"/>
      <c r="N6" s="7"/>
      <c r="O6" s="7"/>
      <c r="P6" s="7"/>
      <c r="Q6" s="7"/>
    </row>
    <row r="7" spans="1:17">
      <c r="A7" s="6"/>
      <c r="B7" s="7">
        <f>'1-成本过渡'!B15*'1-成本过渡'!B4+'2-成本过渡'!B16+'3-成本过渡'!B16</f>
        <v>20805948.54445285</v>
      </c>
      <c r="C7" s="7">
        <f ca="1">'1-成本过渡'!C15*'1-成本过渡'!C4+'2-成本过渡'!C16+'3-成本过渡'!C16</f>
        <v>354838098.76172197</v>
      </c>
      <c r="D7" s="7">
        <f>'1-成本过渡'!D15*'1-成本过渡'!D4+'2-成本过渡'!D16+'3-成本过渡'!D16</f>
        <v>7671553.7918117298</v>
      </c>
      <c r="E7" s="7">
        <f>'1-成本过渡'!E15*'1-成本过渡'!E4+'2-成本过渡'!E16+'3-成本过渡'!E16</f>
        <v>0</v>
      </c>
      <c r="F7" s="7">
        <f ca="1">'1-成本过渡'!F15*'1-成本过渡'!F4+'2-成本过渡'!F16+'3-成本过渡'!F16</f>
        <v>582629302.7049191</v>
      </c>
      <c r="G7" s="7">
        <f ca="1">'1-成本过渡'!G15*'1-成本过渡'!G4+'2-成本过渡'!G16+'3-成本过渡'!G16</f>
        <v>14753410.957094364</v>
      </c>
      <c r="H7" s="7">
        <f>'1-成本过渡'!H15*'1-成本过渡'!H4+'2-成本过渡'!H16+'3-成本过渡'!H16</f>
        <v>0</v>
      </c>
      <c r="I7" s="7">
        <f>'1-成本过渡'!I15*'1-成本过渡'!I4+'2-成本过渡'!I16+'3-成本过渡'!I16</f>
        <v>0</v>
      </c>
      <c r="J7" s="7">
        <f>'1-成本过渡'!J15*'1-成本过渡'!J4+'2-成本过渡'!J16+'3-成本过渡'!J16</f>
        <v>0</v>
      </c>
      <c r="K7" s="11">
        <f ca="1">SUM(B7:J7)</f>
        <v>980698314.75999987</v>
      </c>
      <c r="L7" s="7"/>
      <c r="M7" s="7"/>
    </row>
    <row r="8" spans="1:17">
      <c r="A8" s="5" t="s">
        <v>348</v>
      </c>
      <c r="D8" s="6"/>
      <c r="E8" s="6" t="s">
        <v>820</v>
      </c>
      <c r="F8" s="7"/>
      <c r="G8" s="7"/>
      <c r="H8" s="7"/>
      <c r="I8" s="7"/>
      <c r="J8" s="7"/>
      <c r="K8" s="7"/>
      <c r="L8" s="7"/>
      <c r="M8" s="7"/>
    </row>
    <row r="9" spans="1:17">
      <c r="A9" s="14" t="s">
        <v>438</v>
      </c>
      <c r="B9" s="15">
        <v>44727</v>
      </c>
      <c r="C9" s="16"/>
      <c r="D9" s="6"/>
      <c r="E9" s="6"/>
      <c r="F9" s="7"/>
      <c r="G9" s="7"/>
      <c r="H9" s="7"/>
      <c r="I9" s="7"/>
      <c r="J9" s="7"/>
      <c r="K9" s="7"/>
      <c r="L9" s="7"/>
      <c r="M9" s="7"/>
    </row>
    <row r="10" spans="1:17">
      <c r="A10" s="14" t="s">
        <v>430</v>
      </c>
      <c r="B10" s="15">
        <v>46052</v>
      </c>
      <c r="C10" s="16"/>
      <c r="D10" s="6"/>
      <c r="E10" s="6"/>
      <c r="F10" s="7"/>
      <c r="G10" s="7"/>
      <c r="H10" s="7"/>
      <c r="I10" s="7"/>
      <c r="J10" s="7"/>
      <c r="K10" s="7"/>
      <c r="L10" s="7"/>
      <c r="M10" s="7"/>
    </row>
    <row r="11" spans="1:17">
      <c r="A11" s="14" t="s">
        <v>430</v>
      </c>
      <c r="B11" s="17" t="str">
        <f>IF(B10&gt;0,RIGHT(YEAR(B10),2)&amp;"-"&amp;(MONTH(B10)+1)&amp;"月")</f>
        <v>26-2月</v>
      </c>
      <c r="C11" s="16"/>
      <c r="D11" s="6"/>
      <c r="E11" s="6"/>
      <c r="F11" s="6"/>
    </row>
    <row r="12" spans="1:17">
      <c r="A12" s="18" t="s">
        <v>349</v>
      </c>
      <c r="B12" s="19" t="s">
        <v>350</v>
      </c>
      <c r="C12" s="18" t="s">
        <v>351</v>
      </c>
      <c r="D12" s="18" t="s">
        <v>352</v>
      </c>
      <c r="E12" s="18" t="s">
        <v>353</v>
      </c>
      <c r="F12" s="18" t="s">
        <v>354</v>
      </c>
    </row>
    <row r="13" spans="1:17">
      <c r="A13" s="8" t="str">
        <f>A3</f>
        <v>一期</v>
      </c>
      <c r="B13" s="20">
        <f>工程款付款计划!B3</f>
        <v>44727</v>
      </c>
      <c r="C13" s="20">
        <f>B9+30</f>
        <v>44757</v>
      </c>
      <c r="D13" s="20">
        <f>工程款付款计划!B9</f>
        <v>45957</v>
      </c>
      <c r="E13" s="17" t="str">
        <f>IF(D13&gt;0,RIGHT(YEAR(D13),2))&amp;"-"&amp;(MONTH(D13)+1)&amp;"月"</f>
        <v>25-11月</v>
      </c>
      <c r="F13" s="21">
        <f>(D13-B13)/30</f>
        <v>41</v>
      </c>
      <c r="H13" s="4" t="str">
        <f>IF(D13&gt;0,RIGHT(YEAR(D13),2))&amp;"-"&amp;(MONTH(D13)+1)&amp;"月"</f>
        <v>25-11月</v>
      </c>
      <c r="I13" s="4" t="str">
        <f>IF(D13&gt;0,RIGHT(YEAR(D13),2)&amp;"-"&amp;IF(MONTH(D13)&lt;4,1&amp;"Q",IF(MONTH(D13)&lt;7,2&amp;"Q",IF(MONTH(D13)&lt;10,3&amp;"Q",4&amp;"Q"))),0)</f>
        <v>25-4Q</v>
      </c>
    </row>
    <row r="14" spans="1:17">
      <c r="A14" s="8" t="str">
        <f>A4</f>
        <v>二期</v>
      </c>
      <c r="B14" s="20">
        <f>工程款付款计划!D3</f>
        <v>0</v>
      </c>
      <c r="C14" s="20">
        <v>42906</v>
      </c>
      <c r="D14" s="20">
        <f>工程款付款计划!D9</f>
        <v>0</v>
      </c>
      <c r="E14" s="17">
        <f>IF(D14&gt;0,RIGHT(YEAR(D14),2)&amp;"-"&amp;IF(MONTH(D14)&lt;4,1&amp;"Q",IF(MONTH(D14)&lt;7,2&amp;"Q",IF(MONTH(D14)&lt;10,3&amp;"Q",4&amp;"Q"))),0)</f>
        <v>0</v>
      </c>
      <c r="F14" s="21">
        <f>(D14-B14)/30</f>
        <v>0</v>
      </c>
    </row>
    <row r="15" spans="1:17">
      <c r="A15" s="8" t="str">
        <f>A5</f>
        <v>三期</v>
      </c>
      <c r="B15" s="20">
        <f>工程款付款计划!F3</f>
        <v>0</v>
      </c>
      <c r="C15" s="20">
        <v>43349</v>
      </c>
      <c r="D15" s="20">
        <f>工程款付款计划!F9</f>
        <v>0</v>
      </c>
      <c r="E15" s="17">
        <f>IF(D15&gt;0,RIGHT(YEAR(D15),2)&amp;"-"&amp;IF(MONTH(D15)&lt;4,1&amp;"Q",IF(MONTH(D15)&lt;7,2&amp;"Q",IF(MONTH(D15)&lt;10,3&amp;"Q",4&amp;"Q"))),0)</f>
        <v>0</v>
      </c>
      <c r="F15" s="21">
        <f>(D15-B15)/30</f>
        <v>0</v>
      </c>
    </row>
    <row r="17" spans="1:6">
      <c r="A17" s="5" t="s">
        <v>355</v>
      </c>
      <c r="B17" s="6"/>
    </row>
    <row r="18" spans="1:6">
      <c r="A18" s="18" t="s">
        <v>3054</v>
      </c>
      <c r="B18" s="22">
        <v>0.03</v>
      </c>
    </row>
    <row r="19" spans="1:6">
      <c r="A19" s="23" t="s">
        <v>945</v>
      </c>
      <c r="B19" s="24">
        <f>'当期公摊测算表（全期）'!U168+'当期公摊测算表（全期）'!U174</f>
        <v>1906.513794</v>
      </c>
    </row>
    <row r="20" spans="1:6">
      <c r="A20" s="23" t="s">
        <v>3055</v>
      </c>
      <c r="B20" s="22">
        <f>(B18*销售计划!C8-基础信息!B19)/销售计划!C8</f>
        <v>1.6263158667473371E-2</v>
      </c>
    </row>
    <row r="21" spans="1:6">
      <c r="A21" s="18" t="s">
        <v>3056</v>
      </c>
      <c r="B21" s="22">
        <v>2.5000000000000001E-2</v>
      </c>
    </row>
    <row r="22" spans="1:6">
      <c r="A22" s="5"/>
      <c r="B22" s="6"/>
    </row>
    <row r="23" spans="1:6">
      <c r="A23" s="5" t="s">
        <v>356</v>
      </c>
      <c r="B23" s="6"/>
    </row>
    <row r="24" spans="1:6">
      <c r="A24" s="2246" t="s">
        <v>357</v>
      </c>
      <c r="B24" s="2246" t="s">
        <v>358</v>
      </c>
    </row>
    <row r="25" spans="1:6">
      <c r="A25" s="2247"/>
      <c r="B25" s="2247"/>
    </row>
    <row r="26" spans="1:6">
      <c r="A26" s="14" t="s">
        <v>828</v>
      </c>
      <c r="B26" s="25">
        <f ca="1">B33*(3%+7%)</f>
        <v>2.4782375173565767E-3</v>
      </c>
    </row>
    <row r="27" spans="1:6">
      <c r="A27" s="26" t="s">
        <v>845</v>
      </c>
      <c r="B27" s="27">
        <v>0.15</v>
      </c>
    </row>
    <row r="28" spans="1:6">
      <c r="A28" s="14" t="s">
        <v>359</v>
      </c>
      <c r="B28" s="27">
        <v>0.25</v>
      </c>
    </row>
    <row r="29" spans="1:6">
      <c r="B29" s="28"/>
    </row>
    <row r="30" spans="1:6">
      <c r="A30" s="29" t="s">
        <v>55</v>
      </c>
      <c r="B30" s="28"/>
    </row>
    <row r="31" spans="1:6">
      <c r="A31" s="14" t="s">
        <v>824</v>
      </c>
      <c r="B31" s="11">
        <f>(销售计划!C62)*0.09</f>
        <v>11459.590042293576</v>
      </c>
    </row>
    <row r="32" spans="1:6">
      <c r="A32" s="14" t="s">
        <v>825</v>
      </c>
      <c r="B32" s="11">
        <f ca="1">'成本汇总（分摊）'!BL49</f>
        <v>8304.0804893671557</v>
      </c>
      <c r="C32" s="29" t="s">
        <v>2982</v>
      </c>
      <c r="D32" s="1031" t="s">
        <v>2983</v>
      </c>
      <c r="E32" s="29" t="s">
        <v>2984</v>
      </c>
      <c r="F32" s="29" t="s">
        <v>2985</v>
      </c>
    </row>
    <row r="33" spans="1:13">
      <c r="A33" s="14" t="s">
        <v>826</v>
      </c>
      <c r="B33" s="31">
        <f ca="1">(B31-B32)/销售计划!C62</f>
        <v>2.4782375173565765E-2</v>
      </c>
      <c r="C33" s="30">
        <f ca="1">B31-B32</f>
        <v>3155.5095529264199</v>
      </c>
      <c r="D33" s="30">
        <f ca="1">C33*1.1</f>
        <v>3471.0605082190623</v>
      </c>
      <c r="E33" s="30">
        <f ca="1">D33-C33</f>
        <v>315.55095529264236</v>
      </c>
      <c r="F33" s="32">
        <f ca="1">土地增值税!G20</f>
        <v>2550.0276042385321</v>
      </c>
    </row>
    <row r="34" spans="1:13">
      <c r="B34" s="28"/>
    </row>
    <row r="35" spans="1:13">
      <c r="A35" s="29" t="s">
        <v>399</v>
      </c>
    </row>
    <row r="36" spans="1:13">
      <c r="A36" s="8" t="s">
        <v>226</v>
      </c>
      <c r="B36" s="9" t="str">
        <f t="shared" ref="B36:J36" si="1">B2</f>
        <v>车位</v>
      </c>
      <c r="C36" s="9" t="str">
        <f t="shared" si="1"/>
        <v>高层（27F）</v>
      </c>
      <c r="D36" s="9" t="str">
        <f t="shared" si="1"/>
        <v>人防车位</v>
      </c>
      <c r="E36" s="9" t="str">
        <f t="shared" si="1"/>
        <v>人才公寓26F（可售、T7）</v>
      </c>
      <c r="F36" s="9" t="str">
        <f>F2</f>
        <v>小高层（8~11F）</v>
      </c>
      <c r="G36" s="9" t="str">
        <f t="shared" si="1"/>
        <v>临街商业</v>
      </c>
      <c r="H36" s="9">
        <f t="shared" si="1"/>
        <v>0</v>
      </c>
      <c r="I36" s="9">
        <f t="shared" si="1"/>
        <v>0</v>
      </c>
      <c r="J36" s="9" t="str">
        <f t="shared" si="1"/>
        <v>大商业</v>
      </c>
      <c r="K36" s="9" t="s">
        <v>24</v>
      </c>
      <c r="L36" s="9" t="s">
        <v>400</v>
      </c>
    </row>
    <row r="37" spans="1:13">
      <c r="A37" s="8" t="str">
        <f>A3</f>
        <v>一期</v>
      </c>
      <c r="B37" s="17">
        <f>销售计划!C68</f>
        <v>4685.5395743119279</v>
      </c>
      <c r="C37" s="17">
        <f>销售计划!C71</f>
        <v>45748.450458715597</v>
      </c>
      <c r="D37" s="17">
        <f>销售计划!C74</f>
        <v>1794.7034256880734</v>
      </c>
      <c r="E37" s="17">
        <f>销售计划!C77</f>
        <v>0</v>
      </c>
      <c r="F37" s="17">
        <f>销售计划!C80</f>
        <v>72477.010935779806</v>
      </c>
      <c r="G37" s="17">
        <f>销售计划!C83</f>
        <v>2623.073853211009</v>
      </c>
      <c r="H37" s="17">
        <f>销售计划!C86</f>
        <v>0</v>
      </c>
      <c r="I37" s="17">
        <f>销售计划!C89</f>
        <v>0</v>
      </c>
      <c r="J37" s="17"/>
      <c r="K37" s="17">
        <f>SUM(B37:J37)</f>
        <v>127328.77824770642</v>
      </c>
      <c r="L37" s="33">
        <f>IF(K37&gt;0,SUMPRODUCT(B37:J37,$B$41:$J$41)/K37,0)</f>
        <v>2.002711122600806E-2</v>
      </c>
      <c r="M37" s="30"/>
    </row>
    <row r="38" spans="1:13">
      <c r="A38" s="8" t="str">
        <f>A4</f>
        <v>二期</v>
      </c>
      <c r="B38" s="17">
        <f>销售计划!C113</f>
        <v>0</v>
      </c>
      <c r="C38" s="17">
        <f>销售计划!C116</f>
        <v>0</v>
      </c>
      <c r="D38" s="17">
        <f>销售计划!C119</f>
        <v>0</v>
      </c>
      <c r="E38" s="17">
        <f>销售计划!C122</f>
        <v>0</v>
      </c>
      <c r="F38" s="17">
        <f>销售计划!C125</f>
        <v>0</v>
      </c>
      <c r="G38" s="17">
        <f>销售计划!C128</f>
        <v>0</v>
      </c>
      <c r="H38" s="17">
        <f>销售计划!C131</f>
        <v>0</v>
      </c>
      <c r="I38" s="17"/>
      <c r="J38" s="17"/>
      <c r="K38" s="17">
        <f>SUM(B38:J38)</f>
        <v>0</v>
      </c>
      <c r="L38" s="34">
        <f>IF(K38&gt;0,SUMPRODUCT(B38:H38,$B$41:$H$41)/K38,0)</f>
        <v>0</v>
      </c>
      <c r="M38" s="30"/>
    </row>
    <row r="39" spans="1:13">
      <c r="A39" s="8" t="str">
        <f>A5</f>
        <v>三期</v>
      </c>
      <c r="B39" s="17">
        <f>销售计划!C137</f>
        <v>0</v>
      </c>
      <c r="C39" s="17"/>
      <c r="D39" s="17"/>
      <c r="E39" s="17"/>
      <c r="F39" s="17"/>
      <c r="G39" s="17">
        <f>销售计划!C143</f>
        <v>0</v>
      </c>
      <c r="H39" s="17">
        <f>销售计划!C140</f>
        <v>0</v>
      </c>
      <c r="I39" s="17">
        <f>销售计划!C146</f>
        <v>0</v>
      </c>
      <c r="J39" s="17">
        <f>销售计划!C149</f>
        <v>0</v>
      </c>
      <c r="K39" s="17">
        <f>SUM(B39:J39)</f>
        <v>0</v>
      </c>
      <c r="L39" s="34">
        <f>IF(K39&gt;0,SUMPRODUCT(B39:J39,$B$41:$J$41)/K39,0)</f>
        <v>0</v>
      </c>
      <c r="M39" s="30"/>
    </row>
    <row r="40" spans="1:13">
      <c r="A40" s="8" t="s">
        <v>58</v>
      </c>
      <c r="B40" s="12">
        <f t="shared" ref="B40:J40" si="2">SUM(B37:B39)</f>
        <v>4685.5395743119279</v>
      </c>
      <c r="C40" s="13">
        <f t="shared" si="2"/>
        <v>45748.450458715597</v>
      </c>
      <c r="D40" s="13">
        <f>SUM(D37:D39)</f>
        <v>1794.7034256880734</v>
      </c>
      <c r="E40" s="13">
        <f t="shared" si="2"/>
        <v>0</v>
      </c>
      <c r="F40" s="13">
        <f t="shared" si="2"/>
        <v>72477.010935779806</v>
      </c>
      <c r="G40" s="13">
        <f>SUM(G37:G39)</f>
        <v>2623.073853211009</v>
      </c>
      <c r="H40" s="13">
        <f t="shared" si="2"/>
        <v>0</v>
      </c>
      <c r="I40" s="13">
        <f t="shared" si="2"/>
        <v>0</v>
      </c>
      <c r="J40" s="13">
        <f t="shared" si="2"/>
        <v>0</v>
      </c>
      <c r="K40" s="35">
        <f>SUM(K37:K39)</f>
        <v>127328.77824770642</v>
      </c>
      <c r="L40" s="36">
        <f>IF(K40&gt;0,SUMPRODUCT(B40:K40,$B$41:$K$41)/K40,0)</f>
        <v>2.002711122600806E-2</v>
      </c>
      <c r="M40" s="30"/>
    </row>
    <row r="41" spans="1:13">
      <c r="A41" s="37" t="s">
        <v>823</v>
      </c>
      <c r="B41" s="38">
        <v>0.02</v>
      </c>
      <c r="C41" s="38">
        <v>0.02</v>
      </c>
      <c r="D41" s="38">
        <v>0</v>
      </c>
      <c r="E41" s="39">
        <v>0.02</v>
      </c>
      <c r="F41" s="39">
        <v>0.02</v>
      </c>
      <c r="G41" s="39">
        <v>3.5000000000000003E-2</v>
      </c>
      <c r="H41" s="39">
        <v>0.05</v>
      </c>
      <c r="I41" s="39">
        <v>0.05</v>
      </c>
      <c r="J41" s="39">
        <v>0.05</v>
      </c>
      <c r="K41" s="39">
        <v>0</v>
      </c>
      <c r="L41" s="39">
        <v>0</v>
      </c>
    </row>
    <row r="42" spans="1:13">
      <c r="B42" s="30">
        <f>B40*B41</f>
        <v>93.710791486238563</v>
      </c>
      <c r="C42" s="30">
        <f t="shared" ref="C42:G42" si="3">C40*C41</f>
        <v>914.96900917431196</v>
      </c>
      <c r="D42" s="30">
        <f t="shared" si="3"/>
        <v>0</v>
      </c>
      <c r="E42" s="30">
        <f t="shared" si="3"/>
        <v>0</v>
      </c>
      <c r="F42" s="30">
        <f t="shared" si="3"/>
        <v>1449.5402187155962</v>
      </c>
      <c r="G42" s="30">
        <f t="shared" si="3"/>
        <v>91.807584862385326</v>
      </c>
      <c r="H42" s="1086"/>
      <c r="I42" s="1086"/>
      <c r="J42" s="1086"/>
      <c r="K42" s="1086"/>
    </row>
    <row r="45" spans="1:13">
      <c r="B45" s="32"/>
      <c r="C45" s="32"/>
      <c r="D45" s="32"/>
      <c r="E45" s="32"/>
      <c r="F45" s="32"/>
      <c r="G45" s="32"/>
      <c r="H45" s="32"/>
      <c r="I45" s="32">
        <f>IF(I6=0,0,I40/I6*10000*1.11)</f>
        <v>0</v>
      </c>
      <c r="J45" s="32">
        <f>IF(J6=0,0,J40/J6*10000*1.11)</f>
        <v>0</v>
      </c>
    </row>
  </sheetData>
  <mergeCells count="2">
    <mergeCell ref="A24:A25"/>
    <mergeCell ref="B24:B25"/>
  </mergeCells>
  <phoneticPr fontId="19"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6B3D7"/>
  </sheetPr>
  <dimension ref="A1:IV43"/>
  <sheetViews>
    <sheetView zoomScale="85" zoomScaleNormal="85" workbookViewId="0">
      <pane xSplit="2" ySplit="2" topLeftCell="C3" activePane="bottomRight" state="frozen"/>
      <selection pane="topRight"/>
      <selection pane="bottomLeft"/>
      <selection pane="bottomRight" activeCell="AG54" sqref="AG54"/>
    </sheetView>
  </sheetViews>
  <sheetFormatPr defaultColWidth="9" defaultRowHeight="15.5" outlineLevelRow="1"/>
  <cols>
    <col min="1" max="1" width="27.08203125" style="117" customWidth="1"/>
    <col min="2" max="2" width="11.5" style="117" customWidth="1"/>
    <col min="3" max="28" width="11.5" style="117" hidden="1" customWidth="1"/>
    <col min="29" max="29" width="10.58203125" style="117" customWidth="1"/>
    <col min="30" max="46" width="11.5" style="117" customWidth="1"/>
    <col min="47" max="249" width="9" style="117" customWidth="1"/>
    <col min="250" max="250" width="15.08203125" style="117" customWidth="1"/>
    <col min="251" max="256" width="11.5" style="117" customWidth="1"/>
  </cols>
  <sheetData>
    <row r="1" spans="1:87" ht="15.75" customHeight="1">
      <c r="A1" s="2248" t="s">
        <v>325</v>
      </c>
      <c r="B1" s="2248" t="s">
        <v>24</v>
      </c>
      <c r="C1" s="121" t="s">
        <v>237</v>
      </c>
      <c r="D1" s="121" t="s">
        <v>237</v>
      </c>
      <c r="E1" s="121" t="s">
        <v>238</v>
      </c>
      <c r="F1" s="121" t="s">
        <v>238</v>
      </c>
      <c r="G1" s="121" t="s">
        <v>238</v>
      </c>
      <c r="H1" s="121" t="s">
        <v>238</v>
      </c>
      <c r="I1" s="121" t="s">
        <v>239</v>
      </c>
      <c r="J1" s="121" t="s">
        <v>239</v>
      </c>
      <c r="K1" s="121" t="s">
        <v>239</v>
      </c>
      <c r="L1" s="121" t="s">
        <v>239</v>
      </c>
      <c r="M1" s="121" t="s">
        <v>240</v>
      </c>
      <c r="N1" s="121" t="s">
        <v>240</v>
      </c>
      <c r="O1" s="121" t="s">
        <v>240</v>
      </c>
      <c r="P1" s="121" t="s">
        <v>240</v>
      </c>
      <c r="Q1" s="121" t="s">
        <v>241</v>
      </c>
      <c r="R1" s="121" t="s">
        <v>241</v>
      </c>
      <c r="S1" s="121" t="s">
        <v>241</v>
      </c>
      <c r="T1" s="121" t="s">
        <v>241</v>
      </c>
      <c r="U1" s="121" t="s">
        <v>242</v>
      </c>
      <c r="V1" s="121" t="s">
        <v>242</v>
      </c>
      <c r="W1" s="121" t="s">
        <v>242</v>
      </c>
      <c r="X1" s="121" t="s">
        <v>242</v>
      </c>
      <c r="Y1" s="121" t="s">
        <v>243</v>
      </c>
      <c r="Z1" s="121" t="s">
        <v>243</v>
      </c>
      <c r="AA1" s="121" t="s">
        <v>4340</v>
      </c>
      <c r="AB1" s="121" t="s">
        <v>4340</v>
      </c>
      <c r="AC1" s="121" t="s">
        <v>244</v>
      </c>
      <c r="AD1" s="121" t="s">
        <v>244</v>
      </c>
      <c r="AE1" s="121" t="s">
        <v>244</v>
      </c>
      <c r="AF1" s="121" t="s">
        <v>244</v>
      </c>
      <c r="AG1" s="121" t="s">
        <v>244</v>
      </c>
      <c r="AH1" s="121" t="s">
        <v>244</v>
      </c>
      <c r="AI1" s="121" t="s">
        <v>244</v>
      </c>
      <c r="AJ1" s="121" t="s">
        <v>244</v>
      </c>
      <c r="AK1" s="121" t="s">
        <v>244</v>
      </c>
      <c r="AL1" s="121" t="s">
        <v>4220</v>
      </c>
      <c r="AM1" s="121" t="s">
        <v>4220</v>
      </c>
      <c r="AN1" s="121" t="s">
        <v>4220</v>
      </c>
      <c r="AO1" s="121" t="s">
        <v>4220</v>
      </c>
      <c r="AP1" s="121" t="s">
        <v>4220</v>
      </c>
      <c r="AQ1" s="121" t="s">
        <v>4220</v>
      </c>
      <c r="AR1" s="121" t="s">
        <v>4220</v>
      </c>
      <c r="AS1" s="121" t="s">
        <v>4220</v>
      </c>
      <c r="AT1" s="121" t="s">
        <v>4220</v>
      </c>
      <c r="AU1" s="121" t="s">
        <v>4220</v>
      </c>
      <c r="AV1" s="121" t="s">
        <v>4220</v>
      </c>
      <c r="AW1" s="121" t="s">
        <v>4220</v>
      </c>
      <c r="AX1" s="121" t="s">
        <v>4221</v>
      </c>
      <c r="AY1" s="121" t="s">
        <v>4221</v>
      </c>
      <c r="AZ1" s="121" t="s">
        <v>4221</v>
      </c>
      <c r="BA1" s="121" t="s">
        <v>4221</v>
      </c>
      <c r="BB1" s="121" t="s">
        <v>4221</v>
      </c>
      <c r="BC1" s="121" t="s">
        <v>4221</v>
      </c>
      <c r="BD1" s="121" t="s">
        <v>4221</v>
      </c>
      <c r="BE1" s="121" t="s">
        <v>4221</v>
      </c>
      <c r="BF1" s="121" t="s">
        <v>4221</v>
      </c>
      <c r="BG1" s="121" t="s">
        <v>4221</v>
      </c>
      <c r="BH1" s="121" t="s">
        <v>4221</v>
      </c>
      <c r="BI1" s="121" t="s">
        <v>4221</v>
      </c>
      <c r="BJ1" s="121" t="s">
        <v>4246</v>
      </c>
      <c r="BK1" s="121" t="s">
        <v>4246</v>
      </c>
      <c r="BL1" s="121" t="s">
        <v>4246</v>
      </c>
      <c r="BM1" s="121" t="s">
        <v>4246</v>
      </c>
      <c r="BN1" s="121" t="s">
        <v>4221</v>
      </c>
      <c r="BO1" s="121" t="s">
        <v>4221</v>
      </c>
      <c r="BP1" s="121" t="s">
        <v>4246</v>
      </c>
      <c r="BQ1" s="121" t="s">
        <v>4246</v>
      </c>
      <c r="BR1" s="121" t="s">
        <v>4246</v>
      </c>
      <c r="BS1" s="121" t="s">
        <v>4246</v>
      </c>
      <c r="BT1" s="121" t="s">
        <v>4259</v>
      </c>
      <c r="BU1" s="121" t="s">
        <v>4259</v>
      </c>
      <c r="BV1" s="121" t="s">
        <v>4341</v>
      </c>
      <c r="BW1" s="121" t="s">
        <v>4341</v>
      </c>
      <c r="BX1" s="121" t="s">
        <v>4341</v>
      </c>
      <c r="BY1" s="121" t="s">
        <v>4341</v>
      </c>
      <c r="BZ1" s="121" t="s">
        <v>4341</v>
      </c>
      <c r="CA1" s="121" t="s">
        <v>4341</v>
      </c>
      <c r="CB1" s="121" t="s">
        <v>4341</v>
      </c>
      <c r="CC1" s="121" t="s">
        <v>4341</v>
      </c>
      <c r="CD1" s="121" t="s">
        <v>4341</v>
      </c>
      <c r="CE1" s="121" t="s">
        <v>4341</v>
      </c>
      <c r="CF1" s="121" t="s">
        <v>4341</v>
      </c>
      <c r="CG1" s="121" t="s">
        <v>4341</v>
      </c>
      <c r="CH1" s="121" t="s">
        <v>4263</v>
      </c>
    </row>
    <row r="2" spans="1:87" s="141" customFormat="1" ht="14.5">
      <c r="A2" s="2249"/>
      <c r="B2" s="2249"/>
      <c r="C2" s="123" t="s">
        <v>173</v>
      </c>
      <c r="D2" s="123" t="s">
        <v>174</v>
      </c>
      <c r="E2" s="123" t="s">
        <v>175</v>
      </c>
      <c r="F2" s="123" t="s">
        <v>176</v>
      </c>
      <c r="G2" s="123" t="s">
        <v>177</v>
      </c>
      <c r="H2" s="123" t="s">
        <v>178</v>
      </c>
      <c r="I2" s="123" t="s">
        <v>179</v>
      </c>
      <c r="J2" s="123" t="s">
        <v>180</v>
      </c>
      <c r="K2" s="123" t="s">
        <v>181</v>
      </c>
      <c r="L2" s="123" t="s">
        <v>182</v>
      </c>
      <c r="M2" s="123" t="s">
        <v>183</v>
      </c>
      <c r="N2" s="123" t="s">
        <v>184</v>
      </c>
      <c r="O2" s="123" t="s">
        <v>185</v>
      </c>
      <c r="P2" s="123" t="s">
        <v>186</v>
      </c>
      <c r="Q2" s="123" t="s">
        <v>187</v>
      </c>
      <c r="R2" s="123" t="s">
        <v>188</v>
      </c>
      <c r="S2" s="123" t="s">
        <v>189</v>
      </c>
      <c r="T2" s="123" t="s">
        <v>190</v>
      </c>
      <c r="U2" s="123" t="s">
        <v>191</v>
      </c>
      <c r="V2" s="123" t="s">
        <v>192</v>
      </c>
      <c r="W2" s="123" t="s">
        <v>247</v>
      </c>
      <c r="X2" s="123" t="s">
        <v>248</v>
      </c>
      <c r="Y2" s="123" t="s">
        <v>249</v>
      </c>
      <c r="Z2" s="123" t="s">
        <v>250</v>
      </c>
      <c r="AA2" s="123" t="s">
        <v>4209</v>
      </c>
      <c r="AB2" s="123" t="s">
        <v>4210</v>
      </c>
      <c r="AC2" s="123" t="s">
        <v>4211</v>
      </c>
      <c r="AD2" s="123" t="s">
        <v>4212</v>
      </c>
      <c r="AE2" s="123" t="s">
        <v>4213</v>
      </c>
      <c r="AF2" s="123" t="s">
        <v>4214</v>
      </c>
      <c r="AG2" s="123" t="s">
        <v>4215</v>
      </c>
      <c r="AH2" s="123" t="s">
        <v>4216</v>
      </c>
      <c r="AI2" s="123" t="s">
        <v>4217</v>
      </c>
      <c r="AJ2" s="123" t="s">
        <v>4218</v>
      </c>
      <c r="AK2" s="123" t="s">
        <v>4219</v>
      </c>
      <c r="AL2" s="123" t="s">
        <v>4222</v>
      </c>
      <c r="AM2" s="123" t="s">
        <v>4223</v>
      </c>
      <c r="AN2" s="123" t="s">
        <v>4224</v>
      </c>
      <c r="AO2" s="123" t="s">
        <v>4225</v>
      </c>
      <c r="AP2" s="123" t="s">
        <v>4226</v>
      </c>
      <c r="AQ2" s="123" t="s">
        <v>4227</v>
      </c>
      <c r="AR2" s="123" t="s">
        <v>4228</v>
      </c>
      <c r="AS2" s="123" t="s">
        <v>4229</v>
      </c>
      <c r="AT2" s="123" t="s">
        <v>4230</v>
      </c>
      <c r="AU2" s="123" t="s">
        <v>4231</v>
      </c>
      <c r="AV2" s="123" t="s">
        <v>4232</v>
      </c>
      <c r="AW2" s="123" t="s">
        <v>4233</v>
      </c>
      <c r="AX2" s="123" t="s">
        <v>4234</v>
      </c>
      <c r="AY2" s="123" t="s">
        <v>4235</v>
      </c>
      <c r="AZ2" s="123" t="s">
        <v>4236</v>
      </c>
      <c r="BA2" s="123" t="s">
        <v>4237</v>
      </c>
      <c r="BB2" s="123" t="s">
        <v>4238</v>
      </c>
      <c r="BC2" s="123" t="s">
        <v>4239</v>
      </c>
      <c r="BD2" s="123" t="s">
        <v>4240</v>
      </c>
      <c r="BE2" s="123" t="s">
        <v>4241</v>
      </c>
      <c r="BF2" s="123" t="s">
        <v>4242</v>
      </c>
      <c r="BG2" s="123" t="s">
        <v>4243</v>
      </c>
      <c r="BH2" s="123" t="s">
        <v>4244</v>
      </c>
      <c r="BI2" s="123" t="s">
        <v>4245</v>
      </c>
      <c r="BJ2" s="123" t="s">
        <v>4247</v>
      </c>
      <c r="BK2" s="123" t="s">
        <v>4248</v>
      </c>
      <c r="BL2" s="123" t="s">
        <v>4249</v>
      </c>
      <c r="BM2" s="123" t="s">
        <v>4250</v>
      </c>
      <c r="BN2" s="123" t="s">
        <v>4251</v>
      </c>
      <c r="BO2" s="123" t="s">
        <v>4252</v>
      </c>
      <c r="BP2" s="123" t="s">
        <v>4253</v>
      </c>
      <c r="BQ2" s="123" t="s">
        <v>4254</v>
      </c>
      <c r="BR2" s="123" t="s">
        <v>4255</v>
      </c>
      <c r="BS2" s="123" t="s">
        <v>4256</v>
      </c>
      <c r="BT2" s="123" t="s">
        <v>4342</v>
      </c>
      <c r="BU2" s="123" t="s">
        <v>4258</v>
      </c>
      <c r="BV2" s="123" t="s">
        <v>4264</v>
      </c>
      <c r="BW2" s="123" t="s">
        <v>4265</v>
      </c>
      <c r="BX2" s="123" t="s">
        <v>4266</v>
      </c>
      <c r="BY2" s="123" t="s">
        <v>4267</v>
      </c>
      <c r="BZ2" s="123" t="s">
        <v>4268</v>
      </c>
      <c r="CA2" s="123" t="s">
        <v>4269</v>
      </c>
      <c r="CB2" s="123" t="s">
        <v>4270</v>
      </c>
      <c r="CC2" s="123" t="s">
        <v>4271</v>
      </c>
      <c r="CD2" s="123" t="s">
        <v>4272</v>
      </c>
      <c r="CE2" s="123" t="s">
        <v>4273</v>
      </c>
      <c r="CF2" s="123" t="s">
        <v>4274</v>
      </c>
      <c r="CG2" s="123" t="s">
        <v>4275</v>
      </c>
      <c r="CH2" s="123" t="s">
        <v>4276</v>
      </c>
    </row>
    <row r="3" spans="1:87">
      <c r="A3" s="142" t="s">
        <v>835</v>
      </c>
      <c r="B3" s="143">
        <f t="shared" ref="B3:B27" si="0">SUM(C3:CH3)</f>
        <v>127328.77824770639</v>
      </c>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f>销售计划!AA65</f>
        <v>0</v>
      </c>
      <c r="AD3" s="143">
        <f>销售计划!AB65</f>
        <v>0</v>
      </c>
      <c r="AE3" s="143">
        <f>销售计划!AC65</f>
        <v>0</v>
      </c>
      <c r="AF3" s="143">
        <f>销售计划!AD65</f>
        <v>0</v>
      </c>
      <c r="AG3" s="143">
        <f>销售计划!AE65</f>
        <v>0</v>
      </c>
      <c r="AH3" s="143">
        <f>销售计划!AF65</f>
        <v>0</v>
      </c>
      <c r="AI3" s="143">
        <f>销售计划!AG65</f>
        <v>18351.192660550456</v>
      </c>
      <c r="AJ3" s="143">
        <f>销售计划!AH65</f>
        <v>4467.8899082568805</v>
      </c>
      <c r="AK3" s="143">
        <f>销售计划!AI65</f>
        <v>9325</v>
      </c>
      <c r="AL3" s="143">
        <f>销售计划!AJ65</f>
        <v>3850.9174311926604</v>
      </c>
      <c r="AM3" s="143">
        <f>销售计划!AK65</f>
        <v>5582.5688073394494</v>
      </c>
      <c r="AN3" s="143">
        <f>销售计划!AL65</f>
        <v>6135.6972477064219</v>
      </c>
      <c r="AO3" s="143">
        <f>销售计划!AM65</f>
        <v>6017.8715596330267</v>
      </c>
      <c r="AP3" s="143">
        <f>销售计划!AN65</f>
        <v>7238.0550458715588</v>
      </c>
      <c r="AQ3" s="143">
        <f>销售计划!AO65</f>
        <v>6107.779816513761</v>
      </c>
      <c r="AR3" s="143">
        <f>销售计划!AP65</f>
        <v>6965.119266055045</v>
      </c>
      <c r="AS3" s="143">
        <f>销售计划!AQ65</f>
        <v>6364.2018348623842</v>
      </c>
      <c r="AT3" s="143">
        <f>销售计划!AR65</f>
        <v>6238.0550458715588</v>
      </c>
      <c r="AU3" s="143">
        <f>销售计划!AS65</f>
        <v>8215.8440366972482</v>
      </c>
      <c r="AV3" s="143">
        <f>销售计划!AT65</f>
        <v>6458.8073394495405</v>
      </c>
      <c r="AW3" s="143">
        <f>销售计划!AU65</f>
        <v>7175.4784403669682</v>
      </c>
      <c r="AX3" s="143">
        <f>销售计划!AV65</f>
        <v>6540.0825688073382</v>
      </c>
      <c r="AY3" s="143">
        <f>销售计划!AW65</f>
        <v>3241.4311926605501</v>
      </c>
      <c r="AZ3" s="143">
        <f>销售计划!AX65</f>
        <v>5767.3366238532071</v>
      </c>
      <c r="BA3" s="143">
        <f>销售计划!AY65</f>
        <v>267.02752293577981</v>
      </c>
      <c r="BB3" s="143">
        <f>销售计划!AZ65</f>
        <v>247.95412844036693</v>
      </c>
      <c r="BC3" s="143">
        <f>销售计划!BA65</f>
        <v>247.95412844036693</v>
      </c>
      <c r="BD3" s="143">
        <f>销售计划!BB65</f>
        <v>267.02752293577981</v>
      </c>
      <c r="BE3" s="143">
        <f>销售计划!BC65</f>
        <v>267.02752293577981</v>
      </c>
      <c r="BF3" s="143">
        <f>销售计划!BD65</f>
        <v>267.02752293577981</v>
      </c>
      <c r="BG3" s="143">
        <f>销售计划!BE65</f>
        <v>572.20183486238534</v>
      </c>
      <c r="BH3" s="143">
        <f>销售计划!BF65</f>
        <v>572.20183486238534</v>
      </c>
      <c r="BI3" s="143">
        <f>销售计划!BG65</f>
        <v>577.02740366972523</v>
      </c>
      <c r="BJ3" s="143">
        <f>销售计划!BH65</f>
        <v>0</v>
      </c>
      <c r="BK3" s="143">
        <f>销售计划!BI65</f>
        <v>0</v>
      </c>
      <c r="BL3" s="143">
        <f>销售计划!BJ65</f>
        <v>0</v>
      </c>
      <c r="BM3" s="143">
        <f>销售计划!BK65</f>
        <v>0</v>
      </c>
      <c r="BN3" s="143">
        <f>销售计划!BL65</f>
        <v>0</v>
      </c>
      <c r="BO3" s="143">
        <f>销售计划!BM65</f>
        <v>0</v>
      </c>
      <c r="BP3" s="143">
        <f>销售计划!BN65</f>
        <v>0</v>
      </c>
      <c r="BQ3" s="143">
        <f>销售计划!BO65</f>
        <v>0</v>
      </c>
      <c r="BR3" s="143">
        <f>销售计划!BP65</f>
        <v>0</v>
      </c>
      <c r="BS3" s="143">
        <f>销售计划!BQ65</f>
        <v>0</v>
      </c>
      <c r="BT3" s="143">
        <f>销售计划!BR65</f>
        <v>0</v>
      </c>
      <c r="BU3" s="143">
        <f>销售计划!BS65</f>
        <v>0</v>
      </c>
      <c r="BV3" s="143">
        <f>销售计划!BT65</f>
        <v>0</v>
      </c>
      <c r="BW3" s="143">
        <f>销售计划!BU65</f>
        <v>0</v>
      </c>
      <c r="BX3" s="143">
        <f>销售计划!BV65</f>
        <v>0</v>
      </c>
      <c r="BY3" s="143">
        <f>销售计划!BW65</f>
        <v>0</v>
      </c>
      <c r="BZ3" s="143">
        <f>销售计划!BX65</f>
        <v>0</v>
      </c>
      <c r="CA3" s="143">
        <f>销售计划!BY65</f>
        <v>0</v>
      </c>
      <c r="CB3" s="143">
        <f>销售计划!BZ65</f>
        <v>0</v>
      </c>
      <c r="CC3" s="143">
        <f>销售计划!CA65</f>
        <v>0</v>
      </c>
      <c r="CD3" s="143">
        <f>销售计划!CB65</f>
        <v>0</v>
      </c>
      <c r="CE3" s="143">
        <f>销售计划!CC65</f>
        <v>0</v>
      </c>
      <c r="CF3" s="143">
        <f>销售计划!CD65</f>
        <v>0</v>
      </c>
      <c r="CG3" s="143">
        <f>销售计划!CE65</f>
        <v>0</v>
      </c>
      <c r="CH3" s="143">
        <f>销售计划!CF65</f>
        <v>0</v>
      </c>
    </row>
    <row r="4" spans="1:87">
      <c r="A4" s="144" t="s">
        <v>832</v>
      </c>
      <c r="B4" s="134">
        <f t="shared" si="0"/>
        <v>138788.36828999998</v>
      </c>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f>(AB3*0.5+AC3*0.5)*(1+9%)</f>
        <v>0</v>
      </c>
      <c r="AD4" s="133">
        <f t="shared" ref="AD4:CH4" si="1">(AC3*0.5+AD3*0.5)*(1+9%)</f>
        <v>0</v>
      </c>
      <c r="AE4" s="133">
        <f t="shared" si="1"/>
        <v>0</v>
      </c>
      <c r="AF4" s="133">
        <f t="shared" si="1"/>
        <v>0</v>
      </c>
      <c r="AG4" s="133">
        <f t="shared" si="1"/>
        <v>0</v>
      </c>
      <c r="AH4" s="133">
        <f t="shared" si="1"/>
        <v>0</v>
      </c>
      <c r="AI4" s="133">
        <f t="shared" si="1"/>
        <v>10001.4</v>
      </c>
      <c r="AJ4" s="133">
        <f t="shared" si="1"/>
        <v>12436.4</v>
      </c>
      <c r="AK4" s="133">
        <f t="shared" si="1"/>
        <v>7517.125</v>
      </c>
      <c r="AL4" s="133">
        <f t="shared" si="1"/>
        <v>7180.875</v>
      </c>
      <c r="AM4" s="133">
        <f t="shared" si="1"/>
        <v>5141.2500000000009</v>
      </c>
      <c r="AN4" s="133">
        <f t="shared" si="1"/>
        <v>6386.4549999999999</v>
      </c>
      <c r="AO4" s="133">
        <f t="shared" si="1"/>
        <v>6623.6949999999997</v>
      </c>
      <c r="AP4" s="133">
        <f t="shared" si="1"/>
        <v>7224.48</v>
      </c>
      <c r="AQ4" s="133">
        <f t="shared" si="1"/>
        <v>7273.48</v>
      </c>
      <c r="AR4" s="133">
        <f t="shared" si="1"/>
        <v>7124.73</v>
      </c>
      <c r="AS4" s="133">
        <f t="shared" si="1"/>
        <v>7264.48</v>
      </c>
      <c r="AT4" s="133">
        <f t="shared" si="1"/>
        <v>6868.23</v>
      </c>
      <c r="AU4" s="133">
        <f t="shared" si="1"/>
        <v>7877.375</v>
      </c>
      <c r="AV4" s="133">
        <f t="shared" si="1"/>
        <v>7997.6850000000004</v>
      </c>
      <c r="AW4" s="133">
        <f t="shared" si="1"/>
        <v>7430.6857499999978</v>
      </c>
      <c r="AX4" s="133">
        <f t="shared" si="1"/>
        <v>7474.9807499999979</v>
      </c>
      <c r="AY4" s="133">
        <f t="shared" si="1"/>
        <v>5330.9249999999993</v>
      </c>
      <c r="AZ4" s="133">
        <f t="shared" si="1"/>
        <v>4909.7784599999977</v>
      </c>
      <c r="BA4" s="133">
        <f t="shared" si="1"/>
        <v>3288.728459999998</v>
      </c>
      <c r="BB4" s="133">
        <f t="shared" si="1"/>
        <v>280.66499999999996</v>
      </c>
      <c r="BC4" s="133">
        <f t="shared" si="1"/>
        <v>270.27</v>
      </c>
      <c r="BD4" s="133">
        <f t="shared" si="1"/>
        <v>280.66499999999996</v>
      </c>
      <c r="BE4" s="133">
        <f t="shared" si="1"/>
        <v>291.06</v>
      </c>
      <c r="BF4" s="133">
        <f t="shared" si="1"/>
        <v>291.06</v>
      </c>
      <c r="BG4" s="133">
        <f t="shared" si="1"/>
        <v>457.38000000000005</v>
      </c>
      <c r="BH4" s="133">
        <f t="shared" si="1"/>
        <v>623.70000000000005</v>
      </c>
      <c r="BI4" s="133">
        <f t="shared" si="1"/>
        <v>626.32993500000032</v>
      </c>
      <c r="BJ4" s="133">
        <f t="shared" si="1"/>
        <v>314.4799350000003</v>
      </c>
      <c r="BK4" s="133">
        <f t="shared" si="1"/>
        <v>0</v>
      </c>
      <c r="BL4" s="133">
        <f t="shared" si="1"/>
        <v>0</v>
      </c>
      <c r="BM4" s="133">
        <f t="shared" si="1"/>
        <v>0</v>
      </c>
      <c r="BN4" s="133">
        <f t="shared" si="1"/>
        <v>0</v>
      </c>
      <c r="BO4" s="133">
        <f t="shared" si="1"/>
        <v>0</v>
      </c>
      <c r="BP4" s="133">
        <f t="shared" si="1"/>
        <v>0</v>
      </c>
      <c r="BQ4" s="133">
        <f t="shared" si="1"/>
        <v>0</v>
      </c>
      <c r="BR4" s="133">
        <f t="shared" si="1"/>
        <v>0</v>
      </c>
      <c r="BS4" s="133">
        <f t="shared" si="1"/>
        <v>0</v>
      </c>
      <c r="BT4" s="133">
        <f t="shared" si="1"/>
        <v>0</v>
      </c>
      <c r="BU4" s="133">
        <f t="shared" si="1"/>
        <v>0</v>
      </c>
      <c r="BV4" s="133">
        <f t="shared" si="1"/>
        <v>0</v>
      </c>
      <c r="BW4" s="133">
        <f t="shared" si="1"/>
        <v>0</v>
      </c>
      <c r="BX4" s="133">
        <f t="shared" si="1"/>
        <v>0</v>
      </c>
      <c r="BY4" s="133">
        <f t="shared" si="1"/>
        <v>0</v>
      </c>
      <c r="BZ4" s="133">
        <f t="shared" si="1"/>
        <v>0</v>
      </c>
      <c r="CA4" s="133">
        <f t="shared" si="1"/>
        <v>0</v>
      </c>
      <c r="CB4" s="133">
        <f t="shared" si="1"/>
        <v>0</v>
      </c>
      <c r="CC4" s="133">
        <f t="shared" si="1"/>
        <v>0</v>
      </c>
      <c r="CD4" s="133">
        <f t="shared" si="1"/>
        <v>0</v>
      </c>
      <c r="CE4" s="133">
        <f t="shared" si="1"/>
        <v>0</v>
      </c>
      <c r="CF4" s="133">
        <f t="shared" si="1"/>
        <v>0</v>
      </c>
      <c r="CG4" s="133">
        <f t="shared" si="1"/>
        <v>0</v>
      </c>
      <c r="CH4" s="133">
        <f t="shared" si="1"/>
        <v>0</v>
      </c>
      <c r="CI4" s="141"/>
    </row>
    <row r="5" spans="1:87">
      <c r="A5" s="144" t="s">
        <v>4206</v>
      </c>
      <c r="B5" s="134">
        <f t="shared" si="0"/>
        <v>36192.540999999997</v>
      </c>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f>0.35*(销售计划!AA12+销售计划!AA18+销售计划!AA21+销售计划!AA24)</f>
        <v>0</v>
      </c>
      <c r="AD5" s="133">
        <f>0.35*(销售计划!AB12+销售计划!AB18+销售计划!AB21+销售计划!AB24)</f>
        <v>0</v>
      </c>
      <c r="AE5" s="133">
        <f>0.35*(销售计划!AC12+销售计划!AC18+销售计划!AC21+销售计划!AC24)</f>
        <v>0</v>
      </c>
      <c r="AF5" s="133">
        <f>0.35*(销售计划!AD12+销售计划!AD18+销售计划!AD21+销售计划!AD24)</f>
        <v>0</v>
      </c>
      <c r="AG5" s="133">
        <f>0.35*(销售计划!AE12+销售计划!AE18+销售计划!AE21+销售计划!AE24)</f>
        <v>0</v>
      </c>
      <c r="AH5" s="133">
        <f>0.35*(销售计划!AF12+销售计划!AF18+销售计划!AF21+销售计划!AF24)</f>
        <v>0</v>
      </c>
      <c r="AI5" s="133">
        <f>0.35*(销售计划!AG12+销售计划!AG18+销售计划!AG21+销售计划!AG24)</f>
        <v>5810</v>
      </c>
      <c r="AJ5" s="133">
        <f>0.35*(销售计划!AH12+销售计划!AH18+销售计划!AH21+销售计划!AH24)</f>
        <v>1400</v>
      </c>
      <c r="AK5" s="133">
        <f>0.35*(销售计划!AI12+销售计划!AI18+销售计划!AI21+销售计划!AI24)</f>
        <v>2922.5</v>
      </c>
      <c r="AL5" s="133">
        <f>0.35*(销售计划!AJ12+销售计划!AJ18+销售计划!AJ21+销售计划!AJ24)</f>
        <v>1225</v>
      </c>
      <c r="AM5" s="133">
        <f>0.35*(销售计划!AK12+销售计划!AK18+销售计划!AK21+销售计划!AK24)</f>
        <v>1750</v>
      </c>
      <c r="AN5" s="133">
        <f>0.35*(销售计划!AL12+销售计划!AL18+销售计划!AL21+销售计划!AL24)</f>
        <v>1750</v>
      </c>
      <c r="AO5" s="133">
        <f>0.35*(销售计划!AM12+销售计划!AM18+销售计划!AM21+销售计划!AM24)</f>
        <v>1750</v>
      </c>
      <c r="AP5" s="133">
        <f>0.35*(销售计划!AN12+销售计划!AN18+销售计划!AN21+销售计划!AN24)</f>
        <v>2100</v>
      </c>
      <c r="AQ5" s="133">
        <f>0.35*(销售计划!AO12+销售计划!AO18+销售计划!AO21+销售计划!AO24)</f>
        <v>1680</v>
      </c>
      <c r="AR5" s="133">
        <f>0.35*(销售计划!AP12+销售计划!AP18+销售计划!AP21+销售计划!AP24)</f>
        <v>1977.4999999999998</v>
      </c>
      <c r="AS5" s="133">
        <f>0.35*(销售计划!AQ12+销售计划!AQ18+销售计划!AQ21+销售计划!AQ24)</f>
        <v>1802.4999999999998</v>
      </c>
      <c r="AT5" s="133">
        <f>0.35*(销售计划!AR12+销售计划!AR18+销售计划!AR21+销售计划!AR24)</f>
        <v>1785</v>
      </c>
      <c r="AU5" s="133">
        <f>0.35*(销售计划!AS12+销售计划!AS18+销售计划!AS21+销售计划!AS24)</f>
        <v>2310</v>
      </c>
      <c r="AV5" s="133">
        <f>0.35*(销售计划!AT12+销售计划!AT18+销售计划!AT21+销售计划!AT24)</f>
        <v>1785</v>
      </c>
      <c r="AW5" s="133">
        <f>0.35*(销售计划!AU12+销售计划!AU18+销售计划!AU21+销售计划!AU24)</f>
        <v>2006.5079999999989</v>
      </c>
      <c r="AX5" s="133">
        <f>0.35*(销售计划!AV12+销售计划!AV18+销售计划!AV21+销售计划!AV24)</f>
        <v>1750</v>
      </c>
      <c r="AY5" s="133">
        <f>0.35*(销售计划!AW12+销售计划!AW18+销售计划!AW21+销售计划!AW24)</f>
        <v>875</v>
      </c>
      <c r="AZ5" s="133">
        <f>0.35*(销售计划!AX12+销售计划!AX18+销售计划!AX21+销售计划!AX24)</f>
        <v>1513.532999999999</v>
      </c>
      <c r="BA5" s="133">
        <f>0.35*(销售计划!AY12+销售计划!AY18+销售计划!AY21+销售计划!AY24)</f>
        <v>0</v>
      </c>
      <c r="BB5" s="133">
        <f>0.35*(销售计划!AZ12+销售计划!AZ18+销售计划!AZ21+销售计划!AZ24)</f>
        <v>0</v>
      </c>
      <c r="BC5" s="133">
        <f>0.35*(销售计划!BA12+销售计划!BA18+销售计划!BA21+销售计划!BA24)</f>
        <v>0</v>
      </c>
      <c r="BD5" s="133">
        <f>0.35*(销售计划!BB12+销售计划!BB18+销售计划!BB21+销售计划!BB24)</f>
        <v>0</v>
      </c>
      <c r="BE5" s="133">
        <f>0.35*(销售计划!BC12+销售计划!BC18+销售计划!BC21+销售计划!BC24)</f>
        <v>0</v>
      </c>
      <c r="BF5" s="133">
        <f>0.35*(销售计划!BD12+销售计划!BD18+销售计划!BD21+销售计划!BD24)</f>
        <v>0</v>
      </c>
      <c r="BG5" s="133">
        <f>0.35*(销售计划!BE12+销售计划!BE18+销售计划!BE21+销售计划!BE24)</f>
        <v>0</v>
      </c>
      <c r="BH5" s="133">
        <f>0.35*(销售计划!BF12+销售计划!BF18+销售计划!BF21+销售计划!BF24)</f>
        <v>0</v>
      </c>
      <c r="BI5" s="133">
        <f>0.35*(销售计划!BG12+销售计划!BG18+销售计划!BG21+销售计划!BG24)</f>
        <v>0</v>
      </c>
      <c r="BJ5" s="133">
        <f>0.35*(销售计划!BH12+销售计划!BH18+销售计划!BH21+销售计划!BH24)</f>
        <v>0</v>
      </c>
      <c r="BK5" s="133">
        <f>0.35*(销售计划!BI12+销售计划!BI18+销售计划!BI21+销售计划!BI24)</f>
        <v>0</v>
      </c>
      <c r="BL5" s="133">
        <f>0.35*(销售计划!BJ12+销售计划!BJ18+销售计划!BJ21+销售计划!BJ24)</f>
        <v>0</v>
      </c>
      <c r="BM5" s="133">
        <f>0.35*(销售计划!BK12+销售计划!BK18+销售计划!BK21+销售计划!BK24)</f>
        <v>0</v>
      </c>
      <c r="BN5" s="133">
        <f>0.35*(销售计划!BL12+销售计划!BL18+销售计划!BL21+销售计划!BL24)</f>
        <v>0</v>
      </c>
      <c r="BO5" s="133">
        <f>0.35*(销售计划!BM12+销售计划!BM18+销售计划!BM21+销售计划!BM24)</f>
        <v>0</v>
      </c>
      <c r="BP5" s="133">
        <f>0.35*(销售计划!BN12+销售计划!BN18+销售计划!BN21+销售计划!BN24)</f>
        <v>0</v>
      </c>
      <c r="BQ5" s="133">
        <f>0.35*(销售计划!BO12+销售计划!BO18+销售计划!BO21+销售计划!BO24)</f>
        <v>0</v>
      </c>
      <c r="BR5" s="133">
        <f>0.35*(销售计划!BP12+销售计划!BP18+销售计划!BP21+销售计划!BP24)</f>
        <v>0</v>
      </c>
      <c r="BS5" s="133">
        <f>0.35*(销售计划!BQ12+销售计划!BQ18+销售计划!BQ21+销售计划!BQ24)</f>
        <v>0</v>
      </c>
      <c r="BT5" s="133">
        <f>0.35*(销售计划!BR12+销售计划!BR18+销售计划!BR21+销售计划!BR24)</f>
        <v>0</v>
      </c>
      <c r="BU5" s="133">
        <f>0.35*(销售计划!BS12+销售计划!BS18+销售计划!BS21+销售计划!BS24)</f>
        <v>0</v>
      </c>
      <c r="BV5" s="133">
        <f>0.35*(销售计划!BT12+销售计划!BT18+销售计划!BT21+销售计划!BT24)</f>
        <v>0</v>
      </c>
      <c r="BW5" s="133">
        <f>0.35*(销售计划!BU12+销售计划!BU18+销售计划!BU21+销售计划!BU24)</f>
        <v>0</v>
      </c>
      <c r="BX5" s="133">
        <f>0.35*(销售计划!BV12+销售计划!BV18+销售计划!BV21+销售计划!BV24)</f>
        <v>0</v>
      </c>
      <c r="BY5" s="133">
        <f>0.35*(销售计划!BW12+销售计划!BW18+销售计划!BW21+销售计划!BW24)</f>
        <v>0</v>
      </c>
      <c r="BZ5" s="133">
        <f>0.35*(销售计划!BX12+销售计划!BX18+销售计划!BX21+销售计划!BX24)</f>
        <v>0</v>
      </c>
      <c r="CA5" s="133">
        <f>0.35*(销售计划!BY12+销售计划!BY18+销售计划!BY21+销售计划!BY24)</f>
        <v>0</v>
      </c>
      <c r="CB5" s="133">
        <f>0.35*(销售计划!BZ12+销售计划!BZ18+销售计划!BZ21+销售计划!BZ24)</f>
        <v>0</v>
      </c>
      <c r="CC5" s="133">
        <f>0.35*(销售计划!CA12+销售计划!CA18+销售计划!CA21+销售计划!CA24)</f>
        <v>0</v>
      </c>
      <c r="CD5" s="133">
        <f>0.35*(销售计划!CB12+销售计划!CB18+销售计划!CB21+销售计划!CB24)</f>
        <v>0</v>
      </c>
      <c r="CE5" s="133">
        <f>0.35*(销售计划!CC12+销售计划!CC18+销售计划!CC21+销售计划!CC24)</f>
        <v>0</v>
      </c>
      <c r="CF5" s="133">
        <f>0.35*(销售计划!CD12+销售计划!CD18+销售计划!CD21+销售计划!CD24)</f>
        <v>0</v>
      </c>
      <c r="CG5" s="133">
        <f>0.35*(销售计划!CE12+销售计划!CE18+销售计划!CE21+销售计划!CE24)</f>
        <v>0</v>
      </c>
      <c r="CH5" s="133">
        <f>0.35*(销售计划!CF12+销售计划!CF18+销售计划!CF21+销售计划!CF24)</f>
        <v>0</v>
      </c>
    </row>
    <row r="6" spans="1:87">
      <c r="A6" s="144" t="s">
        <v>4344</v>
      </c>
      <c r="B6" s="134"/>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f>0.3*SUM(AI5:AK5)</f>
        <v>3039.75</v>
      </c>
      <c r="AM6" s="133"/>
      <c r="AN6" s="133"/>
      <c r="AO6" s="133">
        <f>0.4*SUM(AI5:AN5)-SUM(AI6:AN6)</f>
        <v>2903.25</v>
      </c>
      <c r="AP6" s="133"/>
      <c r="AQ6" s="133">
        <f>0.6*SUM(AI5:AP5)-SUM(AI6:AP6)</f>
        <v>5281.5</v>
      </c>
      <c r="AR6" s="133"/>
      <c r="AS6" s="133"/>
      <c r="AT6" s="133"/>
      <c r="AU6" s="133">
        <f>0.7*SUM(AI5:AT5)-SUM(AI6:AT6)</f>
        <v>6942.25</v>
      </c>
      <c r="AV6" s="133"/>
      <c r="AW6" s="133"/>
      <c r="AX6" s="133"/>
      <c r="AY6" s="133"/>
      <c r="AZ6" s="133"/>
      <c r="BA6" s="133"/>
      <c r="BB6" s="133"/>
      <c r="BC6" s="133"/>
      <c r="BD6" s="133"/>
      <c r="BE6" s="133"/>
      <c r="BF6" s="133"/>
      <c r="BG6" s="133"/>
      <c r="BH6" s="133"/>
      <c r="BI6" s="133"/>
      <c r="BJ6" s="133"/>
      <c r="BK6" s="133"/>
      <c r="BL6" s="133"/>
      <c r="BM6" s="133"/>
      <c r="BN6" s="133"/>
      <c r="BO6" s="133">
        <f>0.85*SUM(AI5:BN5)-SUM(AI6:BN6)</f>
        <v>12596.909849999996</v>
      </c>
      <c r="BP6" s="133"/>
      <c r="BQ6" s="133"/>
      <c r="BR6" s="133"/>
      <c r="BS6" s="133"/>
      <c r="BT6" s="133"/>
      <c r="BU6" s="133">
        <f>SUM(AI5:BT5)-SUM(AI6:BT6)</f>
        <v>5428.8811500000011</v>
      </c>
      <c r="BV6" s="133"/>
      <c r="BW6" s="133"/>
      <c r="BX6" s="133"/>
      <c r="BY6" s="133"/>
      <c r="BZ6" s="133"/>
      <c r="CA6" s="133"/>
      <c r="CB6" s="133"/>
      <c r="CC6" s="133"/>
      <c r="CD6" s="133"/>
      <c r="CE6" s="133"/>
      <c r="CF6" s="133"/>
      <c r="CG6" s="133"/>
      <c r="CH6" s="133"/>
    </row>
    <row r="7" spans="1:87">
      <c r="A7" s="2234" t="s">
        <v>4345</v>
      </c>
      <c r="B7" s="2235"/>
      <c r="C7" s="2236"/>
      <c r="D7" s="2236"/>
      <c r="E7" s="2236"/>
      <c r="F7" s="2236"/>
      <c r="G7" s="2236"/>
      <c r="H7" s="2236"/>
      <c r="I7" s="2236"/>
      <c r="J7" s="2236"/>
      <c r="K7" s="2236"/>
      <c r="L7" s="2236"/>
      <c r="M7" s="2236"/>
      <c r="N7" s="2236"/>
      <c r="O7" s="2236"/>
      <c r="P7" s="2236"/>
      <c r="Q7" s="2236"/>
      <c r="R7" s="2236"/>
      <c r="S7" s="2236"/>
      <c r="T7" s="2236"/>
      <c r="U7" s="2236"/>
      <c r="V7" s="2236"/>
      <c r="W7" s="2236"/>
      <c r="X7" s="2236"/>
      <c r="Y7" s="2236"/>
      <c r="Z7" s="2236"/>
      <c r="AA7" s="2236"/>
      <c r="AB7" s="2236"/>
      <c r="AC7" s="2236"/>
      <c r="AD7" s="2236"/>
      <c r="AE7" s="2236"/>
      <c r="AF7" s="2236"/>
      <c r="AG7" s="2236"/>
      <c r="AH7" s="2236"/>
      <c r="AI7" s="2236">
        <f>SUM($AI5:AI5)-SUM($AI6:AI6)</f>
        <v>5810</v>
      </c>
      <c r="AJ7" s="2236">
        <f>SUM($AI5:AJ5)-SUM($AI6:AJ6)</f>
        <v>7210</v>
      </c>
      <c r="AK7" s="2236">
        <f>SUM($AI5:AK5)-SUM($AI6:AK6)</f>
        <v>10132.5</v>
      </c>
      <c r="AL7" s="2236">
        <f>SUM($AI5:AL5)-SUM($AI6:AL6)</f>
        <v>8317.75</v>
      </c>
      <c r="AM7" s="2236">
        <f>SUM($AI5:AM5)-SUM($AI6:AM6)</f>
        <v>10067.75</v>
      </c>
      <c r="AN7" s="2236">
        <f>SUM($AI5:AN5)-SUM($AI6:AN6)</f>
        <v>11817.75</v>
      </c>
      <c r="AO7" s="2236">
        <f>SUM($AI5:AO5)-SUM($AI6:AO6)</f>
        <v>10664.5</v>
      </c>
      <c r="AP7" s="2236">
        <f>SUM($AI5:AP5)-SUM($AI6:AP6)</f>
        <v>12764.5</v>
      </c>
      <c r="AQ7" s="2236">
        <f>SUM($AI5:AQ5)-SUM($AI6:AQ6)</f>
        <v>9163</v>
      </c>
      <c r="AR7" s="2236">
        <f>SUM($AI5:AR5)-SUM($AI6:AR6)</f>
        <v>11140.5</v>
      </c>
      <c r="AS7" s="2236">
        <f>SUM($AI5:AS5)-SUM($AI6:AS6)</f>
        <v>12943</v>
      </c>
      <c r="AT7" s="2236">
        <f>SUM($AI5:AT5)-SUM($AI6:AT6)</f>
        <v>14728</v>
      </c>
      <c r="AU7" s="2236">
        <f>SUM($AI5:AU5)-SUM($AI6:AU6)</f>
        <v>10095.75</v>
      </c>
      <c r="AV7" s="2236">
        <f>SUM($AI5:AV5)-SUM($AI6:AV6)</f>
        <v>11880.75</v>
      </c>
      <c r="AW7" s="2236">
        <f>SUM($AI5:AW5)-SUM($AI6:AW6)</f>
        <v>13887.257999999998</v>
      </c>
      <c r="AX7" s="2236">
        <f>SUM($AI5:AX5)-SUM($AI6:AX6)</f>
        <v>15637.258000000002</v>
      </c>
      <c r="AY7" s="2236">
        <f>SUM($AI5:AY5)-SUM($AI6:AY6)</f>
        <v>16512.258000000002</v>
      </c>
      <c r="AZ7" s="2236">
        <f>SUM($AI5:AZ5)-SUM($AI6:AZ6)</f>
        <v>18025.790999999997</v>
      </c>
      <c r="BA7" s="2236">
        <f>SUM($AI5:BA5)-SUM($AI6:BA6)</f>
        <v>18025.790999999997</v>
      </c>
      <c r="BB7" s="2236">
        <f>SUM($AI5:BB5)-SUM($AI6:BB6)</f>
        <v>18025.790999999997</v>
      </c>
      <c r="BC7" s="2236">
        <f>SUM($AI5:BC5)-SUM($AI6:BC6)</f>
        <v>18025.790999999997</v>
      </c>
      <c r="BD7" s="2236">
        <f>SUM($AI5:BD5)-SUM($AI6:BD6)</f>
        <v>18025.790999999997</v>
      </c>
      <c r="BE7" s="2236">
        <f>SUM($AI5:BE5)-SUM($AI6:BE6)</f>
        <v>18025.790999999997</v>
      </c>
      <c r="BF7" s="2236">
        <f>SUM($AI5:BF5)-SUM($AI6:BF6)</f>
        <v>18025.790999999997</v>
      </c>
      <c r="BG7" s="2236">
        <f>SUM($AI5:BG5)-SUM($AI6:BG6)</f>
        <v>18025.790999999997</v>
      </c>
      <c r="BH7" s="2236">
        <f>SUM($AI5:BH5)-SUM($AI6:BH6)</f>
        <v>18025.790999999997</v>
      </c>
      <c r="BI7" s="2236">
        <f>SUM($AI5:BI5)-SUM($AI6:BI6)</f>
        <v>18025.790999999997</v>
      </c>
      <c r="BJ7" s="2236">
        <f>SUM($AI5:BJ5)-SUM($AI6:BJ6)</f>
        <v>18025.790999999997</v>
      </c>
      <c r="BK7" s="2236">
        <f>SUM($AI5:BK5)-SUM($AI6:BK6)</f>
        <v>18025.790999999997</v>
      </c>
      <c r="BL7" s="2236">
        <f>SUM($AI5:BL5)-SUM($AI6:BL6)</f>
        <v>18025.790999999997</v>
      </c>
      <c r="BM7" s="2236">
        <f>SUM($AI5:BM5)-SUM($AI6:BM6)</f>
        <v>18025.790999999997</v>
      </c>
      <c r="BN7" s="2236">
        <f>SUM($AI5:BN5)-SUM($AI6:BN6)</f>
        <v>18025.790999999997</v>
      </c>
      <c r="BO7" s="2236">
        <f>SUM($AI5:BO5)-SUM($AI6:BO6)</f>
        <v>5428.8811500000011</v>
      </c>
      <c r="BP7" s="2236">
        <f>SUM($AI5:BP5)-SUM($AI6:BP6)</f>
        <v>5428.8811500000011</v>
      </c>
      <c r="BQ7" s="2236">
        <f>SUM($AI5:BQ5)-SUM($AI6:BQ6)</f>
        <v>5428.8811500000011</v>
      </c>
      <c r="BR7" s="2236">
        <f>SUM($AI5:BR5)-SUM($AI6:BR6)</f>
        <v>5428.8811500000011</v>
      </c>
      <c r="BS7" s="2236">
        <f>SUM($AI5:BS5)-SUM($AI6:BS6)</f>
        <v>5428.8811500000011</v>
      </c>
      <c r="BT7" s="2236">
        <f>SUM($AI5:BT5)-SUM($AI6:BT6)</f>
        <v>5428.8811500000011</v>
      </c>
      <c r="BU7" s="2236">
        <f>SUM($AI5:BU5)-SUM($AI6:BU6)</f>
        <v>0</v>
      </c>
      <c r="BV7" s="2236">
        <f>SUM($AI5:BV5)-SUM($AI6:BV6)</f>
        <v>0</v>
      </c>
      <c r="BW7" s="2236">
        <f>SUM($AI5:BW5)-SUM($AI6:BW6)</f>
        <v>0</v>
      </c>
      <c r="BX7" s="2236">
        <f>SUM($AI5:BX5)-SUM($AI6:BX6)</f>
        <v>0</v>
      </c>
      <c r="BY7" s="2236">
        <f>SUM($AI5:BY5)-SUM($AI6:BY6)</f>
        <v>0</v>
      </c>
      <c r="BZ7" s="2236">
        <f>SUM($AI5:BZ5)-SUM($AI6:BZ6)</f>
        <v>0</v>
      </c>
      <c r="CA7" s="2236">
        <f>SUM($AI5:CA5)-SUM($AI6:CA6)</f>
        <v>0</v>
      </c>
      <c r="CB7" s="2236">
        <f>SUM($AI5:CB5)-SUM($AI6:CB6)</f>
        <v>0</v>
      </c>
      <c r="CC7" s="2236">
        <f>SUM($AI5:CC5)-SUM($AI6:CC6)</f>
        <v>0</v>
      </c>
      <c r="CD7" s="2236">
        <f>SUM($AI5:CD5)-SUM($AI6:CD6)</f>
        <v>0</v>
      </c>
      <c r="CE7" s="2236">
        <f>SUM($AI5:CE5)-SUM($AI6:CE6)</f>
        <v>0</v>
      </c>
      <c r="CF7" s="2236">
        <f>SUM($AI5:CF5)-SUM($AI6:CF6)</f>
        <v>0</v>
      </c>
      <c r="CG7" s="2236">
        <f>SUM($AI5:CG5)-SUM($AI6:CG6)</f>
        <v>0</v>
      </c>
      <c r="CH7" s="2236">
        <f>SUM($AI5:CH5)-SUM($AI6:CH6)</f>
        <v>0</v>
      </c>
    </row>
    <row r="8" spans="1:87">
      <c r="A8" s="144" t="s">
        <v>4207</v>
      </c>
      <c r="B8" s="134">
        <f t="shared" si="0"/>
        <v>138788.36828999998</v>
      </c>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f>AI4-AI5+AI6</f>
        <v>4191.3999999999996</v>
      </c>
      <c r="AJ8" s="133">
        <f t="shared" ref="AJ8:CH8" si="2">AJ4-AJ5+AJ6</f>
        <v>11036.4</v>
      </c>
      <c r="AK8" s="133">
        <f t="shared" si="2"/>
        <v>4594.625</v>
      </c>
      <c r="AL8" s="133">
        <f t="shared" si="2"/>
        <v>8995.625</v>
      </c>
      <c r="AM8" s="133">
        <f t="shared" si="2"/>
        <v>3391.2500000000009</v>
      </c>
      <c r="AN8" s="133">
        <f t="shared" si="2"/>
        <v>4636.4549999999999</v>
      </c>
      <c r="AO8" s="133">
        <f t="shared" si="2"/>
        <v>7776.9449999999997</v>
      </c>
      <c r="AP8" s="133">
        <f t="shared" si="2"/>
        <v>5124.4799999999996</v>
      </c>
      <c r="AQ8" s="133">
        <f t="shared" si="2"/>
        <v>10874.98</v>
      </c>
      <c r="AR8" s="133">
        <f t="shared" si="2"/>
        <v>5147.2299999999996</v>
      </c>
      <c r="AS8" s="133">
        <f t="shared" si="2"/>
        <v>5461.98</v>
      </c>
      <c r="AT8" s="133">
        <f t="shared" si="2"/>
        <v>5083.2299999999996</v>
      </c>
      <c r="AU8" s="133">
        <f t="shared" si="2"/>
        <v>12509.625</v>
      </c>
      <c r="AV8" s="133">
        <f t="shared" si="2"/>
        <v>6212.6850000000004</v>
      </c>
      <c r="AW8" s="133">
        <f t="shared" si="2"/>
        <v>5424.1777499999989</v>
      </c>
      <c r="AX8" s="133">
        <f t="shared" si="2"/>
        <v>5724.9807499999979</v>
      </c>
      <c r="AY8" s="133">
        <f t="shared" si="2"/>
        <v>4455.9249999999993</v>
      </c>
      <c r="AZ8" s="133">
        <f t="shared" si="2"/>
        <v>3396.2454599999987</v>
      </c>
      <c r="BA8" s="133">
        <f t="shared" si="2"/>
        <v>3288.728459999998</v>
      </c>
      <c r="BB8" s="133">
        <f t="shared" si="2"/>
        <v>280.66499999999996</v>
      </c>
      <c r="BC8" s="133">
        <f t="shared" si="2"/>
        <v>270.27</v>
      </c>
      <c r="BD8" s="133">
        <f t="shared" si="2"/>
        <v>280.66499999999996</v>
      </c>
      <c r="BE8" s="133">
        <f t="shared" si="2"/>
        <v>291.06</v>
      </c>
      <c r="BF8" s="133">
        <f t="shared" si="2"/>
        <v>291.06</v>
      </c>
      <c r="BG8" s="133">
        <f t="shared" si="2"/>
        <v>457.38000000000005</v>
      </c>
      <c r="BH8" s="133">
        <f t="shared" si="2"/>
        <v>623.70000000000005</v>
      </c>
      <c r="BI8" s="133">
        <f t="shared" si="2"/>
        <v>626.32993500000032</v>
      </c>
      <c r="BJ8" s="133">
        <f t="shared" si="2"/>
        <v>314.4799350000003</v>
      </c>
      <c r="BK8" s="133">
        <f t="shared" si="2"/>
        <v>0</v>
      </c>
      <c r="BL8" s="133">
        <f t="shared" si="2"/>
        <v>0</v>
      </c>
      <c r="BM8" s="133">
        <f t="shared" si="2"/>
        <v>0</v>
      </c>
      <c r="BN8" s="133">
        <f t="shared" si="2"/>
        <v>0</v>
      </c>
      <c r="BO8" s="133">
        <f t="shared" si="2"/>
        <v>12596.909849999996</v>
      </c>
      <c r="BP8" s="133">
        <f t="shared" si="2"/>
        <v>0</v>
      </c>
      <c r="BQ8" s="133">
        <f t="shared" si="2"/>
        <v>0</v>
      </c>
      <c r="BR8" s="133">
        <f t="shared" si="2"/>
        <v>0</v>
      </c>
      <c r="BS8" s="133">
        <f t="shared" si="2"/>
        <v>0</v>
      </c>
      <c r="BT8" s="133">
        <f t="shared" si="2"/>
        <v>0</v>
      </c>
      <c r="BU8" s="133">
        <f t="shared" si="2"/>
        <v>5428.8811500000011</v>
      </c>
      <c r="BV8" s="133">
        <f t="shared" si="2"/>
        <v>0</v>
      </c>
      <c r="BW8" s="133">
        <f t="shared" si="2"/>
        <v>0</v>
      </c>
      <c r="BX8" s="133">
        <f t="shared" si="2"/>
        <v>0</v>
      </c>
      <c r="BY8" s="133">
        <f t="shared" si="2"/>
        <v>0</v>
      </c>
      <c r="BZ8" s="133">
        <f t="shared" si="2"/>
        <v>0</v>
      </c>
      <c r="CA8" s="133">
        <f t="shared" si="2"/>
        <v>0</v>
      </c>
      <c r="CB8" s="133">
        <f t="shared" si="2"/>
        <v>0</v>
      </c>
      <c r="CC8" s="133">
        <f t="shared" si="2"/>
        <v>0</v>
      </c>
      <c r="CD8" s="133">
        <f t="shared" si="2"/>
        <v>0</v>
      </c>
      <c r="CE8" s="133">
        <f t="shared" si="2"/>
        <v>0</v>
      </c>
      <c r="CF8" s="133">
        <f t="shared" si="2"/>
        <v>0</v>
      </c>
      <c r="CG8" s="133">
        <f t="shared" si="2"/>
        <v>0</v>
      </c>
      <c r="CH8" s="133">
        <f t="shared" si="2"/>
        <v>0</v>
      </c>
    </row>
    <row r="9" spans="1:87">
      <c r="A9" s="132" t="s">
        <v>326</v>
      </c>
      <c r="B9" s="132">
        <f t="shared" ca="1" si="0"/>
        <v>121147.60585933104</v>
      </c>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f t="shared" ref="AC9:CH9" ca="1" si="3">SUM(AC10,AC14,AC17,AC20,AC24)</f>
        <v>0</v>
      </c>
      <c r="AD9" s="132">
        <f t="shared" ca="1" si="3"/>
        <v>0</v>
      </c>
      <c r="AE9" s="132">
        <f ca="1">SUM(AE10,AE14,AE17,AE20,AE24)</f>
        <v>33863.869440000002</v>
      </c>
      <c r="AF9" s="132">
        <f t="shared" ca="1" si="3"/>
        <v>5012.2351247208153</v>
      </c>
      <c r="AG9" s="132">
        <f ca="1">SUM(AG10,AG14,AG17,AG20,AG24)</f>
        <v>785.27808312250829</v>
      </c>
      <c r="AH9" s="132">
        <f t="shared" ca="1" si="3"/>
        <v>474.92176662250858</v>
      </c>
      <c r="AI9" s="132">
        <f t="shared" ca="1" si="3"/>
        <v>1804.4521215099401</v>
      </c>
      <c r="AJ9" s="132">
        <f t="shared" ca="1" si="3"/>
        <v>2190.4045034776036</v>
      </c>
      <c r="AK9" s="132">
        <f t="shared" ca="1" si="3"/>
        <v>1869.2591780491646</v>
      </c>
      <c r="AL9" s="132">
        <f t="shared" ca="1" si="3"/>
        <v>790.25643166546206</v>
      </c>
      <c r="AM9" s="132">
        <f t="shared" ca="1" si="3"/>
        <v>1992.5843973699189</v>
      </c>
      <c r="AN9" s="132">
        <f t="shared" ca="1" si="3"/>
        <v>2442.1334037354063</v>
      </c>
      <c r="AO9" s="132">
        <f ca="1">SUM(AO10,AO14,AO17,AO20,AO24)</f>
        <v>2973.2634172053099</v>
      </c>
      <c r="AP9" s="132">
        <f ca="1">SUM(AP10,AP14,AP17,AP20,AP24)</f>
        <v>3388.4268289474344</v>
      </c>
      <c r="AQ9" s="132">
        <f t="shared" ca="1" si="3"/>
        <v>4195.8937366544023</v>
      </c>
      <c r="AR9" s="132">
        <f t="shared" ca="1" si="3"/>
        <v>4413.3420079658972</v>
      </c>
      <c r="AS9" s="132">
        <f t="shared" ca="1" si="3"/>
        <v>4799.1245077395788</v>
      </c>
      <c r="AT9" s="132">
        <f t="shared" ca="1" si="3"/>
        <v>5083.539392920773</v>
      </c>
      <c r="AU9" s="132">
        <f t="shared" ca="1" si="3"/>
        <v>5377.3713758042732</v>
      </c>
      <c r="AV9" s="132">
        <f t="shared" ca="1" si="3"/>
        <v>4904.5205219537002</v>
      </c>
      <c r="AW9" s="132">
        <f t="shared" ca="1" si="3"/>
        <v>4799.5644557888791</v>
      </c>
      <c r="AX9" s="132">
        <f t="shared" ca="1" si="3"/>
        <v>1246.7491459029279</v>
      </c>
      <c r="AY9" s="132">
        <f t="shared" ca="1" si="3"/>
        <v>3731.907966810802</v>
      </c>
      <c r="AZ9" s="132">
        <f t="shared" ca="1" si="3"/>
        <v>2976.690667732842</v>
      </c>
      <c r="BA9" s="132">
        <f t="shared" ca="1" si="3"/>
        <v>2419.2635727931711</v>
      </c>
      <c r="BB9" s="132">
        <f t="shared" ca="1" si="3"/>
        <v>2062.7044982838229</v>
      </c>
      <c r="BC9" s="132">
        <f t="shared" ca="1" si="3"/>
        <v>1483.8391897256267</v>
      </c>
      <c r="BD9" s="132">
        <f t="shared" ca="1" si="3"/>
        <v>1360.2193066621119</v>
      </c>
      <c r="BE9" s="132">
        <f t="shared" ca="1" si="3"/>
        <v>1361.3595316116534</v>
      </c>
      <c r="BF9" s="132">
        <f t="shared" ca="1" si="3"/>
        <v>1361.3595316116534</v>
      </c>
      <c r="BG9" s="132">
        <f t="shared" ca="1" si="3"/>
        <v>1271.0036208206509</v>
      </c>
      <c r="BH9" s="132">
        <f t="shared" ca="1" si="3"/>
        <v>1289.2472200133143</v>
      </c>
      <c r="BI9" s="132">
        <f t="shared" ca="1" si="3"/>
        <v>1214.2244480993945</v>
      </c>
      <c r="BJ9" s="132">
        <f t="shared" ca="1" si="3"/>
        <v>151.24755961899859</v>
      </c>
      <c r="BK9" s="132">
        <f t="shared" ca="1" si="3"/>
        <v>553.4687925032639</v>
      </c>
      <c r="BL9" s="132">
        <f t="shared" ca="1" si="3"/>
        <v>228.35948715504747</v>
      </c>
      <c r="BM9" s="132">
        <f t="shared" ca="1" si="3"/>
        <v>228.35948715504747</v>
      </c>
      <c r="BN9" s="132">
        <f t="shared" ca="1" si="3"/>
        <v>228.35948715504747</v>
      </c>
      <c r="BO9" s="132">
        <f t="shared" ca="1" si="3"/>
        <v>153.15420627901395</v>
      </c>
      <c r="BP9" s="132">
        <f t="shared" ca="1" si="3"/>
        <v>75.181024763494918</v>
      </c>
      <c r="BQ9" s="132">
        <f t="shared" ca="1" si="3"/>
        <v>0</v>
      </c>
      <c r="BR9" s="132">
        <f t="shared" ca="1" si="3"/>
        <v>0</v>
      </c>
      <c r="BS9" s="132">
        <f t="shared" ca="1" si="3"/>
        <v>0</v>
      </c>
      <c r="BT9" s="132">
        <f t="shared" ca="1" si="3"/>
        <v>0</v>
      </c>
      <c r="BU9" s="132">
        <f t="shared" ca="1" si="3"/>
        <v>0</v>
      </c>
      <c r="BV9" s="132">
        <f t="shared" ca="1" si="3"/>
        <v>6590.4664193795916</v>
      </c>
      <c r="BW9" s="132">
        <f t="shared" ca="1" si="3"/>
        <v>0</v>
      </c>
      <c r="BX9" s="132">
        <f t="shared" ca="1" si="3"/>
        <v>0</v>
      </c>
      <c r="BY9" s="132">
        <f t="shared" ca="1" si="3"/>
        <v>0</v>
      </c>
      <c r="BZ9" s="132">
        <f t="shared" ca="1" si="3"/>
        <v>0</v>
      </c>
      <c r="CA9" s="132">
        <f t="shared" ca="1" si="3"/>
        <v>0</v>
      </c>
      <c r="CB9" s="132">
        <f t="shared" ca="1" si="3"/>
        <v>0</v>
      </c>
      <c r="CC9" s="132">
        <f t="shared" ca="1" si="3"/>
        <v>0</v>
      </c>
      <c r="CD9" s="132">
        <f t="shared" ca="1" si="3"/>
        <v>0</v>
      </c>
      <c r="CE9" s="132">
        <f t="shared" ca="1" si="3"/>
        <v>0</v>
      </c>
      <c r="CF9" s="132">
        <f t="shared" ca="1" si="3"/>
        <v>0</v>
      </c>
      <c r="CG9" s="132">
        <f t="shared" ca="1" si="3"/>
        <v>0</v>
      </c>
      <c r="CH9" s="132">
        <f t="shared" ca="1" si="3"/>
        <v>0</v>
      </c>
      <c r="CI9" s="141"/>
    </row>
    <row r="10" spans="1:87" outlineLevel="1">
      <c r="A10" s="145" t="s">
        <v>327</v>
      </c>
      <c r="B10" s="124">
        <f t="shared" si="0"/>
        <v>36452.035360999987</v>
      </c>
      <c r="C10" s="124"/>
      <c r="D10" s="124"/>
      <c r="E10" s="124"/>
      <c r="F10" s="124"/>
      <c r="G10" s="124"/>
      <c r="H10" s="124"/>
      <c r="I10" s="146"/>
      <c r="J10" s="146"/>
      <c r="K10" s="146"/>
      <c r="L10" s="146"/>
      <c r="M10" s="146"/>
      <c r="N10" s="146"/>
      <c r="O10" s="146"/>
      <c r="P10" s="146"/>
      <c r="Q10" s="146"/>
      <c r="R10" s="146"/>
      <c r="S10" s="146"/>
      <c r="T10" s="124"/>
      <c r="U10" s="124"/>
      <c r="V10" s="124"/>
      <c r="W10" s="124"/>
      <c r="X10" s="124"/>
      <c r="Y10" s="124"/>
      <c r="Z10" s="124"/>
      <c r="AA10" s="124"/>
      <c r="AB10" s="124"/>
      <c r="AC10" s="124">
        <f t="shared" ref="AC10:AR10" si="4">SUM(AC11:AC13)</f>
        <v>0</v>
      </c>
      <c r="AD10" s="124">
        <f t="shared" si="4"/>
        <v>0</v>
      </c>
      <c r="AE10" s="124">
        <f t="shared" si="4"/>
        <v>33863.869440000002</v>
      </c>
      <c r="AF10" s="124">
        <f t="shared" si="4"/>
        <v>4763.5526</v>
      </c>
      <c r="AG10" s="124">
        <f>SUM(AG11:AG13)</f>
        <v>310.35631649999971</v>
      </c>
      <c r="AH10" s="124">
        <f>SUM(AH11:AH13)</f>
        <v>0</v>
      </c>
      <c r="AI10" s="124">
        <f t="shared" si="4"/>
        <v>-92.63001446692698</v>
      </c>
      <c r="AJ10" s="124">
        <f t="shared" si="4"/>
        <v>-98.11343570944733</v>
      </c>
      <c r="AK10" s="124">
        <f t="shared" si="4"/>
        <v>-204.77402236339839</v>
      </c>
      <c r="AL10" s="124">
        <f t="shared" si="4"/>
        <v>-84.564917123286492</v>
      </c>
      <c r="AM10" s="124">
        <f t="shared" si="4"/>
        <v>-122.59142839671192</v>
      </c>
      <c r="AN10" s="124">
        <f t="shared" si="4"/>
        <v>-134.73795232352566</v>
      </c>
      <c r="AO10" s="124">
        <f t="shared" si="4"/>
        <v>-132.1505378372496</v>
      </c>
      <c r="AP10" s="124">
        <f t="shared" si="4"/>
        <v>-158.94537756898777</v>
      </c>
      <c r="AQ10" s="124">
        <f t="shared" si="4"/>
        <v>-134.12489444906188</v>
      </c>
      <c r="AR10" s="124">
        <f t="shared" si="4"/>
        <v>-152.95179499741477</v>
      </c>
      <c r="AS10" s="124">
        <f>SUM(AS11:AS13)</f>
        <v>-139.75584009193466</v>
      </c>
      <c r="AT10" s="124">
        <f t="shared" ref="AT10:BP10" si="5">SUM(AT11:AT13)</f>
        <v>-136.9856968865858</v>
      </c>
      <c r="AU10" s="124">
        <f t="shared" si="5"/>
        <v>-180.41731158228797</v>
      </c>
      <c r="AV10" s="124">
        <f t="shared" si="5"/>
        <v>-141.83334676346615</v>
      </c>
      <c r="AW10" s="124">
        <f t="shared" si="5"/>
        <v>-157.57121529391833</v>
      </c>
      <c r="AX10" s="124">
        <f t="shared" si="5"/>
        <v>-143.61812484755237</v>
      </c>
      <c r="AY10" s="124">
        <f t="shared" si="5"/>
        <v>-71.180793944803057</v>
      </c>
      <c r="AZ10" s="124">
        <f t="shared" si="5"/>
        <v>-126.64887064773868</v>
      </c>
      <c r="BA10" s="124">
        <f t="shared" si="5"/>
        <v>-5.8638391370824925</v>
      </c>
      <c r="BB10" s="124">
        <f t="shared" si="5"/>
        <v>-5.4449934844337422</v>
      </c>
      <c r="BC10" s="124">
        <f t="shared" si="5"/>
        <v>-5.4449934844337422</v>
      </c>
      <c r="BD10" s="124">
        <f t="shared" si="5"/>
        <v>-5.8638391370824925</v>
      </c>
      <c r="BE10" s="124">
        <f t="shared" si="5"/>
        <v>-5.8638391370824925</v>
      </c>
      <c r="BF10" s="124">
        <f t="shared" si="5"/>
        <v>-5.8638391370824925</v>
      </c>
      <c r="BG10" s="124">
        <f t="shared" si="5"/>
        <v>-12.565369579462484</v>
      </c>
      <c r="BH10" s="124">
        <f t="shared" si="5"/>
        <v>-12.565369579462484</v>
      </c>
      <c r="BI10" s="124">
        <f t="shared" si="5"/>
        <v>-12.671337529582628</v>
      </c>
      <c r="BJ10" s="124">
        <f t="shared" si="5"/>
        <v>0</v>
      </c>
      <c r="BK10" s="124">
        <f t="shared" si="5"/>
        <v>0</v>
      </c>
      <c r="BL10" s="124">
        <f t="shared" si="5"/>
        <v>0</v>
      </c>
      <c r="BM10" s="124">
        <f t="shared" si="5"/>
        <v>0</v>
      </c>
      <c r="BN10" s="124">
        <f t="shared" si="5"/>
        <v>0</v>
      </c>
      <c r="BO10" s="124">
        <f t="shared" si="5"/>
        <v>0</v>
      </c>
      <c r="BP10" s="124">
        <f t="shared" si="5"/>
        <v>0</v>
      </c>
      <c r="BQ10" s="124">
        <f>SUM(BQ11:BQ13)</f>
        <v>0</v>
      </c>
      <c r="BR10" s="124">
        <f>SUM(BR11:BR13)</f>
        <v>0</v>
      </c>
      <c r="BS10" s="124">
        <f>SUM(BS11:BS13)</f>
        <v>0</v>
      </c>
      <c r="BT10" s="124">
        <f>SUM(BT11:BT13)</f>
        <v>0</v>
      </c>
      <c r="BU10" s="124">
        <f t="shared" ref="BU10:CD10" si="6">SUM(BU11:BU13)</f>
        <v>0</v>
      </c>
      <c r="BV10" s="124">
        <f t="shared" si="6"/>
        <v>0</v>
      </c>
      <c r="BW10" s="124">
        <f t="shared" si="6"/>
        <v>0</v>
      </c>
      <c r="BX10" s="124">
        <f t="shared" si="6"/>
        <v>0</v>
      </c>
      <c r="BY10" s="124">
        <f t="shared" si="6"/>
        <v>0</v>
      </c>
      <c r="BZ10" s="124">
        <f t="shared" si="6"/>
        <v>0</v>
      </c>
      <c r="CA10" s="124">
        <f t="shared" si="6"/>
        <v>0</v>
      </c>
      <c r="CB10" s="124">
        <f t="shared" si="6"/>
        <v>0</v>
      </c>
      <c r="CC10" s="124">
        <f t="shared" si="6"/>
        <v>0</v>
      </c>
      <c r="CD10" s="124">
        <f t="shared" si="6"/>
        <v>0</v>
      </c>
      <c r="CE10" s="124">
        <f t="shared" ref="CE10" si="7">SUM(CE11:CE13)</f>
        <v>0</v>
      </c>
      <c r="CF10" s="124">
        <f t="shared" ref="CF10" si="8">SUM(CF11:CF13)</f>
        <v>0</v>
      </c>
      <c r="CG10" s="124">
        <f t="shared" ref="CG10:CH10" si="9">SUM(CG11:CG13)</f>
        <v>0</v>
      </c>
      <c r="CH10" s="124">
        <f t="shared" si="9"/>
        <v>0</v>
      </c>
    </row>
    <row r="11" spans="1:87" outlineLevel="1">
      <c r="A11" s="147" t="s">
        <v>76</v>
      </c>
      <c r="B11" s="143">
        <f t="shared" si="0"/>
        <v>31067.770127999993</v>
      </c>
      <c r="C11" s="143"/>
      <c r="D11" s="148"/>
      <c r="E11" s="143"/>
      <c r="F11" s="143"/>
      <c r="H11" s="148"/>
      <c r="I11" s="149"/>
      <c r="J11" s="149"/>
      <c r="K11" s="149"/>
      <c r="L11" s="149"/>
      <c r="M11" s="149"/>
      <c r="N11" s="149"/>
      <c r="O11" s="149"/>
      <c r="P11" s="149"/>
      <c r="Q11" s="149"/>
      <c r="R11" s="149"/>
      <c r="S11" s="149"/>
      <c r="T11" s="149"/>
      <c r="U11" s="149"/>
      <c r="V11" s="149"/>
      <c r="W11" s="149"/>
      <c r="X11" s="149"/>
      <c r="Y11" s="149"/>
      <c r="Z11" s="1039"/>
      <c r="AA11" s="11"/>
      <c r="AB11" s="11"/>
      <c r="AC11" s="11"/>
      <c r="AD11" s="11">
        <f>(地价分摊表!$M$15-地价分摊表!$J$15)*AD3/$B$3</f>
        <v>0</v>
      </c>
      <c r="AE11" s="11">
        <f>(地价分摊表!$M$15-地价分摊表!$J$15)*AE3/$B$3+地价分摊表!J15</f>
        <v>33863.869440000002</v>
      </c>
      <c r="AF11" s="11">
        <f>(地价分摊表!$M$15-地价分摊表!$J$15)*AF3/$B$3</f>
        <v>0</v>
      </c>
      <c r="AG11" s="11">
        <f>(地价分摊表!$M$15-地价分摊表!$J$15)*AG3/$B$3</f>
        <v>0</v>
      </c>
      <c r="AH11" s="11">
        <f>(地价分摊表!$M$15-地价分摊表!$J$15)*AH3/$B$3</f>
        <v>0</v>
      </c>
      <c r="AI11" s="11">
        <f>(地价分摊表!$M$15-地价分摊表!$J$15)*AI3/$B$3</f>
        <v>-402.98633096692669</v>
      </c>
      <c r="AJ11" s="11">
        <f>(地价分摊表!$M$15-地价分摊表!$J$15)*AJ3/$B$3</f>
        <v>-98.11343570944733</v>
      </c>
      <c r="AK11" s="11">
        <f>(地价分摊表!$M$15-地价分摊表!$J$15)*AK3/$B$3</f>
        <v>-204.77402236339839</v>
      </c>
      <c r="AL11" s="11">
        <f>(地价分摊表!$M$15-地价分摊表!$J$15)*AL3/$B$3</f>
        <v>-84.564917123286492</v>
      </c>
      <c r="AM11" s="11">
        <f>(地价分摊表!$M$15-地价分摊表!$J$15)*AM3/$B$3</f>
        <v>-122.59142839671192</v>
      </c>
      <c r="AN11" s="11">
        <f>(地价分摊表!$M$15-地价分摊表!$J$15)*AN3/$B$3</f>
        <v>-134.73795232352566</v>
      </c>
      <c r="AO11" s="11">
        <f>(地价分摊表!$M$15-地价分摊表!$J$15)*AO3/$B$3</f>
        <v>-132.1505378372496</v>
      </c>
      <c r="AP11" s="11">
        <f>(地价分摊表!$M$15-地价分摊表!$J$15)*AP3/$B$3</f>
        <v>-158.94537756898777</v>
      </c>
      <c r="AQ11" s="11">
        <f>(地价分摊表!$M$15-地价分摊表!$J$15)*AQ3/$B$3</f>
        <v>-134.12489444906188</v>
      </c>
      <c r="AR11" s="11">
        <f>(地价分摊表!$M$15-地价分摊表!$J$15)*AR3/$B$3</f>
        <v>-152.95179499741477</v>
      </c>
      <c r="AS11" s="11">
        <f>(地价分摊表!$M$15-地价分摊表!$J$15)*AS3/$B$3</f>
        <v>-139.75584009193466</v>
      </c>
      <c r="AT11" s="11">
        <f>(地价分摊表!$M$15-地价分摊表!$J$15)*AT3/$B$3</f>
        <v>-136.9856968865858</v>
      </c>
      <c r="AU11" s="11">
        <f>(地价分摊表!$M$15-地价分摊表!$J$15)*AU3/$B$3</f>
        <v>-180.41731158228797</v>
      </c>
      <c r="AV11" s="11">
        <f>(地价分摊表!$M$15-地价分摊表!$J$15)*AV3/$B$3</f>
        <v>-141.83334676346615</v>
      </c>
      <c r="AW11" s="11">
        <f>(地价分摊表!$M$15-地价分摊表!$J$15)*AW3/$B$3</f>
        <v>-157.57121529391833</v>
      </c>
      <c r="AX11" s="11">
        <f>(地价分摊表!$M$15-地价分摊表!$J$15)*AX3/$B$3</f>
        <v>-143.61812484755237</v>
      </c>
      <c r="AY11" s="11">
        <f>(地价分摊表!$M$15-地价分摊表!$J$15)*AY3/$B$3</f>
        <v>-71.180793944803057</v>
      </c>
      <c r="AZ11" s="11">
        <f>(地价分摊表!$M$15-地价分摊表!$J$15)*AZ3/$B$3</f>
        <v>-126.64887064773868</v>
      </c>
      <c r="BA11" s="11">
        <f>(地价分摊表!$M$15-地价分摊表!$J$15)*BA3/$B$3</f>
        <v>-5.8638391370824925</v>
      </c>
      <c r="BB11" s="11">
        <f>(地价分摊表!$M$15-地价分摊表!$J$15)*BB3/$B$3</f>
        <v>-5.4449934844337422</v>
      </c>
      <c r="BC11" s="11">
        <f>(地价分摊表!$M$15-地价分摊表!$J$15)*BC3/$B$3</f>
        <v>-5.4449934844337422</v>
      </c>
      <c r="BD11" s="11">
        <f>(地价分摊表!$M$15-地价分摊表!$J$15)*BD3/$B$3</f>
        <v>-5.8638391370824925</v>
      </c>
      <c r="BE11" s="11">
        <f>(地价分摊表!$M$15-地价分摊表!$J$15)*BE3/$B$3</f>
        <v>-5.8638391370824925</v>
      </c>
      <c r="BF11" s="11">
        <f>(地价分摊表!$M$15-地价分摊表!$J$15)*BF3/$B$3</f>
        <v>-5.8638391370824925</v>
      </c>
      <c r="BG11" s="11">
        <f>(地价分摊表!$M$15-地价分摊表!$J$15)*BG3/$B$3</f>
        <v>-12.565369579462484</v>
      </c>
      <c r="BH11" s="11">
        <f>(地价分摊表!$M$15-地价分摊表!$J$15)*BH3/$B$3</f>
        <v>-12.565369579462484</v>
      </c>
      <c r="BI11" s="11">
        <f>(地价分摊表!$M$15-地价分摊表!$J$15)*BI3/$B$3</f>
        <v>-12.671337529582628</v>
      </c>
      <c r="BJ11" s="11">
        <f>(地价分摊表!$M$15-地价分摊表!$J$15)*BJ3/$B$3</f>
        <v>0</v>
      </c>
      <c r="BK11" s="11">
        <f>(地价分摊表!$M$15-地价分摊表!$J$15)*BK3/$B$3</f>
        <v>0</v>
      </c>
      <c r="BL11" s="11">
        <f>(地价分摊表!$M$15-地价分摊表!$J$15)*BL3/$B$3</f>
        <v>0</v>
      </c>
      <c r="BM11" s="11">
        <f>(地价分摊表!$M$15-地价分摊表!$J$15)*BM3/$B$3</f>
        <v>0</v>
      </c>
      <c r="BN11" s="11">
        <f>(地价分摊表!$M$15-地价分摊表!$J$15)*BN3/$B$3</f>
        <v>0</v>
      </c>
      <c r="BO11" s="11">
        <f>(地价分摊表!$M$15-地价分摊表!$J$15)*BO3/$B$3</f>
        <v>0</v>
      </c>
      <c r="BP11" s="11">
        <f>(地价分摊表!$M$15-地价分摊表!$J$15)*BP3/$B$3</f>
        <v>0</v>
      </c>
      <c r="BQ11" s="11">
        <f>(地价分摊表!$M$15-地价分摊表!$J$15)*BQ3/$B$3</f>
        <v>0</v>
      </c>
      <c r="BR11" s="11">
        <f>(地价分摊表!$M$15-地价分摊表!$J$15)*BR3/$B$3</f>
        <v>0</v>
      </c>
      <c r="BS11" s="11">
        <f>(地价分摊表!$M$15-地价分摊表!$J$15)*BS3/$B$3</f>
        <v>0</v>
      </c>
      <c r="BT11" s="11">
        <f>(地价分摊表!$M$15-地价分摊表!$J$15)*BT3/$B$3</f>
        <v>0</v>
      </c>
      <c r="BU11" s="11">
        <f>(地价分摊表!$M$15-地价分摊表!$J$15)*BU3/$B$3</f>
        <v>0</v>
      </c>
      <c r="BV11" s="11">
        <f>(地价分摊表!$M$15-地价分摊表!$J$15)*BV3/$B$3</f>
        <v>0</v>
      </c>
      <c r="BW11" s="11">
        <f>(地价分摊表!$M$15-地价分摊表!$J$15)*BW3/$B$3</f>
        <v>0</v>
      </c>
      <c r="BX11" s="11">
        <f>(地价分摊表!$M$15-地价分摊表!$J$15)*BX3/$B$3</f>
        <v>0</v>
      </c>
      <c r="BY11" s="11">
        <f>(地价分摊表!$M$15-地价分摊表!$J$15)*BY3/$B$3</f>
        <v>0</v>
      </c>
      <c r="BZ11" s="11">
        <f>(地价分摊表!$M$15-地价分摊表!$J$15)*BZ3/$B$3</f>
        <v>0</v>
      </c>
      <c r="CA11" s="11">
        <f>(地价分摊表!$M$15-地价分摊表!$J$15)*CA3/$B$3</f>
        <v>0</v>
      </c>
      <c r="CB11" s="11">
        <f>(地价分摊表!$M$15-地价分摊表!$J$15)*CB3/$B$3</f>
        <v>0</v>
      </c>
      <c r="CC11" s="11">
        <f>(地价分摊表!$M$15-地价分摊表!$J$15)*CC3/$B$3</f>
        <v>0</v>
      </c>
      <c r="CD11" s="11">
        <f>(地价分摊表!$M$15-地价分摊表!$J$15)*CD3/$B$3</f>
        <v>0</v>
      </c>
      <c r="CE11" s="11">
        <f>(地价分摊表!$M$15-地价分摊表!$J$15)*CE3/$B$3</f>
        <v>0</v>
      </c>
      <c r="CF11" s="11">
        <f>(地价分摊表!$M$15-地价分摊表!$J$15)*CF3/$B$3</f>
        <v>0</v>
      </c>
      <c r="CG11" s="11">
        <f>(地价分摊表!$M$15-地价分摊表!$J$15)*CG3/$B$3</f>
        <v>0</v>
      </c>
      <c r="CH11" s="11">
        <f>(地价分摊表!$M$15-地价分摊表!$J$15)*CH3/$B$3</f>
        <v>0</v>
      </c>
      <c r="CI11" s="141"/>
    </row>
    <row r="12" spans="1:87" outlineLevel="1">
      <c r="A12" s="147" t="s">
        <v>328</v>
      </c>
      <c r="B12" s="143">
        <f t="shared" si="0"/>
        <v>1122.048712</v>
      </c>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111"/>
      <c r="AB12" s="1111"/>
      <c r="AC12" s="1111"/>
      <c r="AD12" s="1111"/>
      <c r="AE12" s="1111"/>
      <c r="AF12" s="143">
        <f>地价分摊表!J17</f>
        <v>1122.048712</v>
      </c>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row>
    <row r="13" spans="1:87" outlineLevel="1">
      <c r="A13" s="147" t="s">
        <v>329</v>
      </c>
      <c r="B13" s="143">
        <f t="shared" si="0"/>
        <v>4262.2165209999994</v>
      </c>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B13" s="143"/>
      <c r="AC13" s="143"/>
      <c r="AD13" s="143"/>
      <c r="AE13" s="143"/>
      <c r="AF13" s="143">
        <f>地价分摊表!J28+'当期公摊测算表（全期）'!O38+'当期公摊测算表（全期）'!O118</f>
        <v>3641.5038880000002</v>
      </c>
      <c r="AG13" s="143">
        <f>('成本汇总（分摊）'!BK10-'当期公摊测算表（全期）'!O38-'当期公摊测算表（全期）'!O118)/2</f>
        <v>310.35631649999971</v>
      </c>
      <c r="AH13" s="143"/>
      <c r="AI13" s="143">
        <f>('成本汇总（分摊）'!BK10-'当期公摊测算表（全期）'!O38-'当期公摊测算表（全期）'!O118)/2</f>
        <v>310.35631649999971</v>
      </c>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1"/>
    </row>
    <row r="14" spans="1:87" outlineLevel="1">
      <c r="A14" s="145" t="s">
        <v>330</v>
      </c>
      <c r="B14" s="124">
        <f t="shared" ca="1" si="0"/>
        <v>67781.005486367154</v>
      </c>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c r="AA14" s="124"/>
      <c r="AB14" s="124"/>
      <c r="AC14" s="124">
        <f t="shared" ref="AC14:AR14" ca="1" si="10">SUM(AC15+AC16)</f>
        <v>0</v>
      </c>
      <c r="AD14" s="124">
        <f t="shared" ca="1" si="10"/>
        <v>0</v>
      </c>
      <c r="AE14" s="124">
        <f t="shared" ca="1" si="10"/>
        <v>0</v>
      </c>
      <c r="AF14" s="124">
        <f t="shared" ca="1" si="10"/>
        <v>248.68252472081519</v>
      </c>
      <c r="AG14" s="124">
        <f t="shared" ca="1" si="10"/>
        <v>474.92176662250858</v>
      </c>
      <c r="AH14" s="124">
        <f t="shared" ca="1" si="10"/>
        <v>474.92176662250858</v>
      </c>
      <c r="AI14" s="124">
        <f t="shared" ca="1" si="10"/>
        <v>800.03107197072518</v>
      </c>
      <c r="AJ14" s="124">
        <f t="shared" ca="1" si="10"/>
        <v>924.37233433113261</v>
      </c>
      <c r="AK14" s="124">
        <f t="shared" ca="1" si="10"/>
        <v>1249.481639679349</v>
      </c>
      <c r="AL14" s="124">
        <f t="shared" ca="1" si="10"/>
        <v>1373.8229020397566</v>
      </c>
      <c r="AM14" s="124">
        <f t="shared" ca="1" si="10"/>
        <v>1551.2333994241612</v>
      </c>
      <c r="AN14" s="124">
        <f t="shared" ca="1" si="10"/>
        <v>1876.3427047723776</v>
      </c>
      <c r="AO14" s="124">
        <f t="shared" ca="1" si="10"/>
        <v>2378.8625075049986</v>
      </c>
      <c r="AP14" s="124">
        <f t="shared" ca="1" si="10"/>
        <v>2754.920802623858</v>
      </c>
      <c r="AQ14" s="124">
        <f t="shared" ca="1" si="10"/>
        <v>3532.1924294689538</v>
      </c>
      <c r="AR14" s="124">
        <f t="shared" ca="1" si="10"/>
        <v>3784.7839516168528</v>
      </c>
      <c r="AS14" s="124">
        <f ca="1">SUM(AS15+AS16)</f>
        <v>4142.041353945524</v>
      </c>
      <c r="AT14" s="124">
        <f t="shared" ref="AT14:BP14" ca="1" si="11">SUM(AT15+AT16)</f>
        <v>4467.1506592937412</v>
      </c>
      <c r="AU14" s="124">
        <f t="shared" ca="1" si="11"/>
        <v>4693.7213942750586</v>
      </c>
      <c r="AV14" s="124">
        <f t="shared" ca="1" si="11"/>
        <v>4169.0898018029384</v>
      </c>
      <c r="AW14" s="124">
        <f t="shared" ca="1" si="11"/>
        <v>4142.0656100580627</v>
      </c>
      <c r="AX14" s="124">
        <f t="shared" ca="1" si="11"/>
        <v>3542.2044805973719</v>
      </c>
      <c r="AY14" s="124">
        <f t="shared" ca="1" si="11"/>
        <v>3218.3409311130613</v>
      </c>
      <c r="AZ14" s="124">
        <f t="shared" ca="1" si="11"/>
        <v>2564.7871673547806</v>
      </c>
      <c r="BA14" s="124">
        <f t="shared" ca="1" si="11"/>
        <v>2064.3876098755136</v>
      </c>
      <c r="BB14" s="124">
        <f t="shared" ca="1" si="11"/>
        <v>2037.3634181306375</v>
      </c>
      <c r="BC14" s="124">
        <f t="shared" ca="1" si="11"/>
        <v>1459.6383345219829</v>
      </c>
      <c r="BD14" s="124">
        <f t="shared" ca="1" si="11"/>
        <v>1335.2970721615754</v>
      </c>
      <c r="BE14" s="124">
        <f t="shared" ca="1" si="11"/>
        <v>1335.2970721615754</v>
      </c>
      <c r="BF14" s="124">
        <f t="shared" ca="1" si="11"/>
        <v>1335.2970721615754</v>
      </c>
      <c r="BG14" s="124">
        <f t="shared" ca="1" si="11"/>
        <v>1233.3990926202896</v>
      </c>
      <c r="BH14" s="124">
        <f t="shared" ca="1" si="11"/>
        <v>1233.3990926202896</v>
      </c>
      <c r="BI14" s="124">
        <f t="shared" ca="1" si="11"/>
        <v>1158.1938117442562</v>
      </c>
      <c r="BJ14" s="124">
        <f t="shared" ca="1" si="11"/>
        <v>757.87922552000612</v>
      </c>
      <c r="BK14" s="124">
        <f t="shared" ca="1" si="11"/>
        <v>553.4687925032639</v>
      </c>
      <c r="BL14" s="124">
        <f t="shared" ca="1" si="11"/>
        <v>228.35948715504747</v>
      </c>
      <c r="BM14" s="124">
        <f t="shared" ca="1" si="11"/>
        <v>228.35948715504747</v>
      </c>
      <c r="BN14" s="124">
        <f t="shared" ca="1" si="11"/>
        <v>228.35948715504747</v>
      </c>
      <c r="BO14" s="124">
        <f t="shared" ca="1" si="11"/>
        <v>153.15420627901395</v>
      </c>
      <c r="BP14" s="124">
        <f t="shared" ca="1" si="11"/>
        <v>75.181024763494918</v>
      </c>
      <c r="BQ14" s="124">
        <f ca="1">SUM(BQ15+BQ16)</f>
        <v>0</v>
      </c>
      <c r="BR14" s="124">
        <f ca="1">SUM(BR15+BR16)</f>
        <v>0</v>
      </c>
      <c r="BS14" s="124">
        <f ca="1">SUM(BS15+BS16)</f>
        <v>0</v>
      </c>
      <c r="BT14" s="124">
        <f ca="1">SUM(BT15+BT16)</f>
        <v>0</v>
      </c>
      <c r="BU14" s="124">
        <f t="shared" ref="BU14:CD14" ca="1" si="12">SUM(BU15+BU16)</f>
        <v>0</v>
      </c>
      <c r="BV14" s="124">
        <f t="shared" ca="1" si="12"/>
        <v>0</v>
      </c>
      <c r="BW14" s="124">
        <f t="shared" ca="1" si="12"/>
        <v>0</v>
      </c>
      <c r="BX14" s="124">
        <f t="shared" ca="1" si="12"/>
        <v>0</v>
      </c>
      <c r="BY14" s="124">
        <f t="shared" ca="1" si="12"/>
        <v>0</v>
      </c>
      <c r="BZ14" s="124">
        <f t="shared" ca="1" si="12"/>
        <v>0</v>
      </c>
      <c r="CA14" s="124">
        <f t="shared" ca="1" si="12"/>
        <v>0</v>
      </c>
      <c r="CB14" s="124">
        <f t="shared" ca="1" si="12"/>
        <v>0</v>
      </c>
      <c r="CC14" s="124">
        <f t="shared" ca="1" si="12"/>
        <v>0</v>
      </c>
      <c r="CD14" s="124">
        <f t="shared" ca="1" si="12"/>
        <v>0</v>
      </c>
      <c r="CE14" s="124">
        <f t="shared" ref="CE14" ca="1" si="13">SUM(CE15+CE16)</f>
        <v>0</v>
      </c>
      <c r="CF14" s="124">
        <f t="shared" ref="CF14" ca="1" si="14">SUM(CF15+CF16)</f>
        <v>0</v>
      </c>
      <c r="CG14" s="124">
        <f t="shared" ref="CG14:CH14" ca="1" si="15">SUM(CG15+CG16)</f>
        <v>0</v>
      </c>
      <c r="CH14" s="124">
        <f t="shared" ca="1" si="15"/>
        <v>0</v>
      </c>
    </row>
    <row r="15" spans="1:87" outlineLevel="1">
      <c r="A15" s="147" t="s">
        <v>834</v>
      </c>
      <c r="B15" s="143">
        <f t="shared" si="0"/>
        <v>59476.924996999995</v>
      </c>
      <c r="C15" s="148"/>
      <c r="D15" s="148"/>
      <c r="E15" s="148"/>
      <c r="F15" s="148"/>
      <c r="G15" s="148"/>
      <c r="H15" s="148"/>
      <c r="I15" s="148"/>
      <c r="J15" s="148"/>
      <c r="K15" s="148"/>
      <c r="L15" s="148"/>
      <c r="M15" s="148"/>
      <c r="N15" s="148"/>
      <c r="O15" s="148"/>
      <c r="P15" s="148"/>
      <c r="Q15" s="148"/>
      <c r="R15" s="148"/>
      <c r="S15" s="148"/>
      <c r="T15" s="148"/>
      <c r="U15" s="148"/>
      <c r="V15" s="148"/>
      <c r="W15" s="148"/>
      <c r="X15" s="148"/>
      <c r="Y15" s="148"/>
      <c r="Z15" s="148"/>
      <c r="AA15" s="148"/>
      <c r="AB15" s="148"/>
      <c r="AC15" s="148">
        <f>工程款付款计划!Y53</f>
        <v>0</v>
      </c>
      <c r="AD15" s="148">
        <f>工程款付款计划!Z53</f>
        <v>0</v>
      </c>
      <c r="AE15" s="148">
        <f>工程款付款计划!AA53</f>
        <v>0</v>
      </c>
      <c r="AF15" s="148">
        <f>工程款付款计划!AB53</f>
        <v>218.21558657549602</v>
      </c>
      <c r="AG15" s="148">
        <f>工程款付款计划!AC53</f>
        <v>416.73749290324406</v>
      </c>
      <c r="AH15" s="148">
        <f>工程款付款计划!AD53</f>
        <v>416.73749290324406</v>
      </c>
      <c r="AI15" s="148">
        <f>工程款付款计划!AE53</f>
        <v>702.0165564295562</v>
      </c>
      <c r="AJ15" s="148">
        <f>工程款付款计划!AF53</f>
        <v>811.12434971730409</v>
      </c>
      <c r="AK15" s="148">
        <f>工程款付款计划!AG53</f>
        <v>1096.4034132436161</v>
      </c>
      <c r="AL15" s="148">
        <f>工程款付款计划!AH53</f>
        <v>1205.5112065313642</v>
      </c>
      <c r="AM15" s="148">
        <f>工程款付款计划!AI53</f>
        <v>1361.1865431673041</v>
      </c>
      <c r="AN15" s="148">
        <f>工程款付款计划!AJ53</f>
        <v>1646.4656066936161</v>
      </c>
      <c r="AO15" s="148">
        <f>工程款付款计划!AK53</f>
        <v>2087.420006855868</v>
      </c>
      <c r="AP15" s="148">
        <f>工程款付款计划!AL53</f>
        <v>2417.4061269021799</v>
      </c>
      <c r="AQ15" s="148">
        <f>工程款付款计划!AM53</f>
        <v>3099.4515748921799</v>
      </c>
      <c r="AR15" s="148">
        <f>工程款付款计划!AN53</f>
        <v>3321.0972543840594</v>
      </c>
      <c r="AS15" s="148">
        <f>工程款付款计划!AO53</f>
        <v>3634.5858426759396</v>
      </c>
      <c r="AT15" s="148">
        <f>工程款付款计划!AP53</f>
        <v>3919.8649062022523</v>
      </c>
      <c r="AU15" s="148">
        <f>工程款付款计划!AQ53</f>
        <v>4118.6776932700004</v>
      </c>
      <c r="AV15" s="148">
        <f>工程款付款计划!AR53</f>
        <v>3658.3204935999997</v>
      </c>
      <c r="AW15" s="148">
        <f>工程款付款计划!AS53</f>
        <v>3634.6071270899997</v>
      </c>
      <c r="AX15" s="148">
        <f>工程款付款计划!AT53</f>
        <v>3108.2370157359401</v>
      </c>
      <c r="AY15" s="148">
        <f>工程款付款计划!AU53</f>
        <v>2824.0510863045038</v>
      </c>
      <c r="AZ15" s="148">
        <f>工程款付款计划!AV53</f>
        <v>2250.5664070845037</v>
      </c>
      <c r="BA15" s="148">
        <f>工程款付款计划!AW53</f>
        <v>1811.4724937504436</v>
      </c>
      <c r="BB15" s="148">
        <f>工程款付款计划!AX53</f>
        <v>1787.7591272404436</v>
      </c>
      <c r="BC15" s="148">
        <f>工程款付款计划!AY53</f>
        <v>1280.8130998081917</v>
      </c>
      <c r="BD15" s="148">
        <f>工程款付款计划!AZ53</f>
        <v>1171.7053065204439</v>
      </c>
      <c r="BE15" s="148">
        <f>工程款付款计划!BA53</f>
        <v>1171.7053065204439</v>
      </c>
      <c r="BF15" s="148">
        <f>工程款付款计划!BB53</f>
        <v>1171.7053065204439</v>
      </c>
      <c r="BG15" s="148">
        <f>工程款付款计划!BC53</f>
        <v>1082.2911934804438</v>
      </c>
      <c r="BH15" s="148">
        <f>工程款付款计划!BD53</f>
        <v>1082.2911934804438</v>
      </c>
      <c r="BI15" s="148">
        <f>工程款付款计划!BE53</f>
        <v>1016.2995662104439</v>
      </c>
      <c r="BJ15" s="148">
        <f>工程款付款计划!BF53</f>
        <v>665.0288754141319</v>
      </c>
      <c r="BK15" s="148">
        <f>工程款付款计划!BG53</f>
        <v>485.66145668225192</v>
      </c>
      <c r="BL15" s="148">
        <f>工程款付款计划!BH53</f>
        <v>200.38239315593992</v>
      </c>
      <c r="BM15" s="148">
        <f>工程款付款计划!BI53</f>
        <v>200.38239315593992</v>
      </c>
      <c r="BN15" s="148">
        <f>工程款付款计划!BJ53</f>
        <v>200.38239315593992</v>
      </c>
      <c r="BO15" s="148">
        <f>工程款付款计划!BK53</f>
        <v>134.39076588593994</v>
      </c>
      <c r="BP15" s="148">
        <f>工程款付款计划!BL53</f>
        <v>65.970342855939933</v>
      </c>
      <c r="BQ15" s="148">
        <f>工程款付款计划!BM53</f>
        <v>0</v>
      </c>
      <c r="BR15" s="148">
        <f>工程款付款计划!BN53</f>
        <v>0</v>
      </c>
      <c r="BS15" s="148">
        <f>工程款付款计划!BO53</f>
        <v>0</v>
      </c>
      <c r="BT15" s="148">
        <f>工程款付款计划!BP53</f>
        <v>0</v>
      </c>
      <c r="BU15" s="148">
        <f>工程款付款计划!BQ53</f>
        <v>0</v>
      </c>
      <c r="BV15" s="148">
        <f>工程款付款计划!BR53</f>
        <v>0</v>
      </c>
      <c r="BW15" s="148">
        <f>工程款付款计划!BS53</f>
        <v>0</v>
      </c>
      <c r="BX15" s="148">
        <f>工程款付款计划!BT53</f>
        <v>0</v>
      </c>
      <c r="BY15" s="148">
        <f>工程款付款计划!BU53</f>
        <v>0</v>
      </c>
      <c r="BZ15" s="148">
        <f>工程款付款计划!BV53</f>
        <v>0</v>
      </c>
      <c r="CA15" s="148">
        <f>工程款付款计划!BW53</f>
        <v>0</v>
      </c>
      <c r="CB15" s="148">
        <f>工程款付款计划!BX53</f>
        <v>0</v>
      </c>
      <c r="CC15" s="148">
        <f>工程款付款计划!BY53</f>
        <v>0</v>
      </c>
      <c r="CD15" s="148">
        <f>工程款付款计划!BZ53</f>
        <v>0</v>
      </c>
      <c r="CE15" s="148">
        <f>工程款付款计划!CA53</f>
        <v>0</v>
      </c>
      <c r="CF15" s="148">
        <f>工程款付款计划!CB53</f>
        <v>0</v>
      </c>
      <c r="CG15" s="148">
        <f>工程款付款计划!CC53</f>
        <v>0</v>
      </c>
      <c r="CH15" s="148">
        <f>工程款付款计划!CD53</f>
        <v>0</v>
      </c>
      <c r="CI15" s="141"/>
    </row>
    <row r="16" spans="1:87" outlineLevel="1">
      <c r="A16" s="150" t="s">
        <v>472</v>
      </c>
      <c r="B16" s="143">
        <f t="shared" ca="1" si="0"/>
        <v>8304.0804893671502</v>
      </c>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f ca="1">AC15*(基础信息!$B$32/工程款付款计划!$B$53)</f>
        <v>0</v>
      </c>
      <c r="AD16" s="143">
        <f ca="1">AD15*(基础信息!$B$32/工程款付款计划!$B$53)</f>
        <v>0</v>
      </c>
      <c r="AE16" s="143">
        <f ca="1">AE15*(基础信息!$B$32/工程款付款计划!$B$53)</f>
        <v>0</v>
      </c>
      <c r="AF16" s="143">
        <f ca="1">AF15*(基础信息!$B$32/工程款付款计划!$B$53)</f>
        <v>30.466938145319162</v>
      </c>
      <c r="AG16" s="143">
        <f ca="1">AG15*(基础信息!$B$32/工程款付款计划!$B$53)</f>
        <v>58.184273719264496</v>
      </c>
      <c r="AH16" s="143">
        <f ca="1">AH15*(基础信息!$B$32/工程款付款计划!$B$53)</f>
        <v>58.184273719264496</v>
      </c>
      <c r="AI16" s="143">
        <f ca="1">AI15*(基础信息!$B$32/工程款付款计划!$B$53)</f>
        <v>98.014515541168919</v>
      </c>
      <c r="AJ16" s="143">
        <f ca="1">AJ15*(基础信息!$B$32/工程款付款计划!$B$53)</f>
        <v>113.24798461382848</v>
      </c>
      <c r="AK16" s="143">
        <f ca="1">AK15*(基础信息!$B$32/工程款付款计划!$B$53)</f>
        <v>153.07822643573289</v>
      </c>
      <c r="AL16" s="143">
        <f ca="1">AL15*(基础信息!$B$32/工程款付款计划!$B$53)</f>
        <v>168.31169550839249</v>
      </c>
      <c r="AM16" s="143">
        <f ca="1">AM15*(基础信息!$B$32/工程款付款计划!$B$53)</f>
        <v>190.04685625685715</v>
      </c>
      <c r="AN16" s="143">
        <f ca="1">AN15*(基础信息!$B$32/工程款付款计划!$B$53)</f>
        <v>229.87709807876158</v>
      </c>
      <c r="AO16" s="143">
        <f ca="1">AO15*(基础信息!$B$32/工程款付款计划!$B$53)</f>
        <v>291.44250064913069</v>
      </c>
      <c r="AP16" s="143">
        <f ca="1">AP15*(基础信息!$B$32/工程款付款计划!$B$53)</f>
        <v>337.51467572167792</v>
      </c>
      <c r="AQ16" s="143">
        <f ca="1">AQ15*(基础信息!$B$32/工程款付款计划!$B$53)</f>
        <v>432.74085457677376</v>
      </c>
      <c r="AR16" s="143">
        <f ca="1">AR15*(基础信息!$B$32/工程款付款计划!$B$53)</f>
        <v>463.68669723279334</v>
      </c>
      <c r="AS16" s="143">
        <f ca="1">AS15*(基础信息!$B$32/工程款付款计划!$B$53)</f>
        <v>507.45551126958429</v>
      </c>
      <c r="AT16" s="143">
        <f ca="1">AT15*(基础信息!$B$32/工程款付款计划!$B$53)</f>
        <v>547.2857530914888</v>
      </c>
      <c r="AU16" s="143">
        <f ca="1">AU15*(基础信息!$B$32/工程款付款计划!$B$53)</f>
        <v>575.0437010050581</v>
      </c>
      <c r="AV16" s="143">
        <f ca="1">AV15*(基础信息!$B$32/工程款付款计划!$B$53)</f>
        <v>510.76930820293904</v>
      </c>
      <c r="AW16" s="143">
        <f ca="1">AW15*(基础信息!$B$32/工程款付款计划!$B$53)</f>
        <v>507.45848296806287</v>
      </c>
      <c r="AX16" s="143">
        <f ca="1">AX15*(基础信息!$B$32/工程款付款计划!$B$53)</f>
        <v>433.96746486143184</v>
      </c>
      <c r="AY16" s="143">
        <f ca="1">AY15*(基础信息!$B$32/工程款付款计划!$B$53)</f>
        <v>394.28984480855763</v>
      </c>
      <c r="AZ16" s="143">
        <f ca="1">AZ15*(基础信息!$B$32/工程款付款计划!$B$53)</f>
        <v>314.22076027027674</v>
      </c>
      <c r="BA16" s="143">
        <f ca="1">BA15*(基础信息!$B$32/工程款付款计划!$B$53)</f>
        <v>252.91511612506989</v>
      </c>
      <c r="BB16" s="143">
        <f ca="1">BB15*(基础信息!$B$32/工程款付款计划!$B$53)</f>
        <v>249.60429089019374</v>
      </c>
      <c r="BC16" s="143">
        <f ca="1">BC15*(基础信息!$B$32/工程款付款计划!$B$53)</f>
        <v>178.82523471379108</v>
      </c>
      <c r="BD16" s="143">
        <f ca="1">BD15*(基础信息!$B$32/工程款付款计划!$B$53)</f>
        <v>163.59176564113153</v>
      </c>
      <c r="BE16" s="143">
        <f ca="1">BE15*(基础信息!$B$32/工程款付款计划!$B$53)</f>
        <v>163.59176564113153</v>
      </c>
      <c r="BF16" s="143">
        <f ca="1">BF15*(基础信息!$B$32/工程款付款计划!$B$53)</f>
        <v>163.59176564113153</v>
      </c>
      <c r="BG16" s="143">
        <f ca="1">BG15*(基础信息!$B$32/工程款付款计划!$B$53)</f>
        <v>151.10789913984576</v>
      </c>
      <c r="BH16" s="143">
        <f ca="1">BH15*(基础信息!$B$32/工程款付款计划!$B$53)</f>
        <v>151.10789913984576</v>
      </c>
      <c r="BI16" s="143">
        <f ca="1">BI15*(基础信息!$B$32/工程款付款计划!$B$53)</f>
        <v>141.89424553381221</v>
      </c>
      <c r="BJ16" s="143">
        <f ca="1">BJ15*(基础信息!$B$32/工程款付款计划!$B$53)</f>
        <v>92.850350105874256</v>
      </c>
      <c r="BK16" s="143">
        <f ca="1">BK15*(基础信息!$B$32/工程款付款计划!$B$53)</f>
        <v>67.807335821011975</v>
      </c>
      <c r="BL16" s="143">
        <f ca="1">BL15*(基础信息!$B$32/工程款付款计划!$B$53)</f>
        <v>27.977093999107566</v>
      </c>
      <c r="BM16" s="143">
        <f ca="1">BM15*(基础信息!$B$32/工程款付款计划!$B$53)</f>
        <v>27.977093999107566</v>
      </c>
      <c r="BN16" s="143">
        <f ca="1">BN15*(基础信息!$B$32/工程款付款计划!$B$53)</f>
        <v>27.977093999107566</v>
      </c>
      <c r="BO16" s="143">
        <f ca="1">BO15*(基础信息!$B$32/工程款付款计划!$B$53)</f>
        <v>18.76344039307401</v>
      </c>
      <c r="BP16" s="143">
        <f ca="1">BP15*(基础信息!$B$32/工程款付款计划!$B$53)</f>
        <v>9.2106819075549851</v>
      </c>
      <c r="BQ16" s="143">
        <f ca="1">BQ15*(基础信息!$B$32/工程款付款计划!$B$53)</f>
        <v>0</v>
      </c>
      <c r="BR16" s="143">
        <f ca="1">BR15*(基础信息!$B$32/工程款付款计划!$B$53)</f>
        <v>0</v>
      </c>
      <c r="BS16" s="143">
        <f ca="1">BS15*(基础信息!$B$32/工程款付款计划!$B$53)</f>
        <v>0</v>
      </c>
      <c r="BT16" s="143">
        <f ca="1">BT15*(基础信息!$B$32/工程款付款计划!$B$53)</f>
        <v>0</v>
      </c>
      <c r="BU16" s="143">
        <f ca="1">BU15*(基础信息!$B$32/工程款付款计划!$B$53)</f>
        <v>0</v>
      </c>
      <c r="BV16" s="143">
        <f ca="1">BV15*(基础信息!$B$32/工程款付款计划!$B$53)</f>
        <v>0</v>
      </c>
      <c r="BW16" s="143">
        <f ca="1">BW15*(基础信息!$B$32/工程款付款计划!$B$53)</f>
        <v>0</v>
      </c>
      <c r="BX16" s="143">
        <f ca="1">BX15*(基础信息!$B$32/工程款付款计划!$B$53)</f>
        <v>0</v>
      </c>
      <c r="BY16" s="143">
        <f ca="1">BY15*(基础信息!$B$32/工程款付款计划!$B$53)</f>
        <v>0</v>
      </c>
      <c r="BZ16" s="143">
        <f ca="1">BZ15*(基础信息!$B$32/工程款付款计划!$B$53)</f>
        <v>0</v>
      </c>
      <c r="CA16" s="143">
        <f ca="1">CA15*(基础信息!$B$32/工程款付款计划!$B$53)</f>
        <v>0</v>
      </c>
      <c r="CB16" s="143">
        <f ca="1">CB15*(基础信息!$B$32/工程款付款计划!$B$53)</f>
        <v>0</v>
      </c>
      <c r="CC16" s="143">
        <f ca="1">CC15*(基础信息!$B$32/工程款付款计划!$B$53)</f>
        <v>0</v>
      </c>
      <c r="CD16" s="143">
        <f ca="1">CD15*(基础信息!$B$32/工程款付款计划!$B$53)</f>
        <v>0</v>
      </c>
      <c r="CE16" s="143">
        <f ca="1">CE15*(基础信息!$B$32/工程款付款计划!$B$53)</f>
        <v>0</v>
      </c>
      <c r="CF16" s="143">
        <f ca="1">CF15*(基础信息!$B$32/工程款付款计划!$B$53)</f>
        <v>0</v>
      </c>
      <c r="CG16" s="143">
        <f ca="1">CG15*(基础信息!$B$32/工程款付款计划!$B$53)</f>
        <v>0</v>
      </c>
      <c r="CH16" s="143">
        <f ca="1">CH15*(基础信息!$B$32/工程款付款计划!$B$53)</f>
        <v>0</v>
      </c>
    </row>
    <row r="17" spans="1:87" outlineLevel="1">
      <c r="A17" s="145" t="s">
        <v>331</v>
      </c>
      <c r="B17" s="124">
        <f t="shared" si="0"/>
        <v>5726.8464619499982</v>
      </c>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f t="shared" ref="AC17:AR17" si="16">SUM(AC18:AC19)</f>
        <v>0</v>
      </c>
      <c r="AD17" s="124">
        <f t="shared" si="16"/>
        <v>0</v>
      </c>
      <c r="AE17" s="124">
        <f t="shared" si="16"/>
        <v>0</v>
      </c>
      <c r="AF17" s="124">
        <f t="shared" si="16"/>
        <v>0</v>
      </c>
      <c r="AG17" s="124">
        <f t="shared" si="16"/>
        <v>0</v>
      </c>
      <c r="AH17" s="124">
        <f t="shared" si="16"/>
        <v>0</v>
      </c>
      <c r="AI17" s="124">
        <f t="shared" si="16"/>
        <v>412.68935509686816</v>
      </c>
      <c r="AJ17" s="124">
        <f t="shared" si="16"/>
        <v>513.1651464521658</v>
      </c>
      <c r="AK17" s="124">
        <f t="shared" si="16"/>
        <v>310.18032159823076</v>
      </c>
      <c r="AL17" s="124">
        <f t="shared" si="16"/>
        <v>296.30558449629285</v>
      </c>
      <c r="AM17" s="124">
        <f t="shared" si="16"/>
        <v>212.14421449914749</v>
      </c>
      <c r="AN17" s="124">
        <f t="shared" si="16"/>
        <v>263.52530598767868</v>
      </c>
      <c r="AO17" s="124">
        <f t="shared" si="16"/>
        <v>273.31457774995005</v>
      </c>
      <c r="AP17" s="124">
        <f t="shared" si="16"/>
        <v>298.10486452998799</v>
      </c>
      <c r="AQ17" s="124">
        <f t="shared" si="16"/>
        <v>300.12675930469419</v>
      </c>
      <c r="AR17" s="124">
        <f t="shared" si="16"/>
        <v>293.98886445290753</v>
      </c>
      <c r="AS17" s="124">
        <f>SUM(AS18:AS19)</f>
        <v>299.75539087668693</v>
      </c>
      <c r="AT17" s="124">
        <f t="shared" ref="AT17:BP17" si="17">SUM(AT18:AT19)</f>
        <v>283.40486425470061</v>
      </c>
      <c r="AU17" s="124">
        <f t="shared" si="17"/>
        <v>325.04537450818805</v>
      </c>
      <c r="AV17" s="124">
        <f t="shared" si="17"/>
        <v>330.00974512747177</v>
      </c>
      <c r="AW17" s="124">
        <f t="shared" si="17"/>
        <v>306.61356511038326</v>
      </c>
      <c r="AX17" s="124">
        <f t="shared" si="17"/>
        <v>308.441316723559</v>
      </c>
      <c r="AY17" s="124">
        <f t="shared" si="17"/>
        <v>219.97080411940047</v>
      </c>
      <c r="AZ17" s="124">
        <f t="shared" si="17"/>
        <v>202.59296761712295</v>
      </c>
      <c r="BA17" s="124">
        <f t="shared" si="17"/>
        <v>135.70332425921526</v>
      </c>
      <c r="BB17" s="124">
        <f t="shared" si="17"/>
        <v>11.581124427406412</v>
      </c>
      <c r="BC17" s="124">
        <f t="shared" si="17"/>
        <v>11.152193893058028</v>
      </c>
      <c r="BD17" s="124">
        <f t="shared" si="17"/>
        <v>11.581124427406412</v>
      </c>
      <c r="BE17" s="124">
        <f t="shared" si="17"/>
        <v>12.0100549617548</v>
      </c>
      <c r="BF17" s="124">
        <f t="shared" si="17"/>
        <v>12.0100549617548</v>
      </c>
      <c r="BG17" s="124">
        <f t="shared" si="17"/>
        <v>18.872943511328973</v>
      </c>
      <c r="BH17" s="124">
        <f t="shared" si="17"/>
        <v>25.735832060903142</v>
      </c>
      <c r="BI17" s="124">
        <f t="shared" si="17"/>
        <v>25.844351486093295</v>
      </c>
      <c r="BJ17" s="124">
        <f t="shared" si="17"/>
        <v>12.976435455641724</v>
      </c>
      <c r="BK17" s="124">
        <f t="shared" si="17"/>
        <v>0</v>
      </c>
      <c r="BL17" s="124">
        <f t="shared" si="17"/>
        <v>0</v>
      </c>
      <c r="BM17" s="124">
        <f t="shared" si="17"/>
        <v>0</v>
      </c>
      <c r="BN17" s="124">
        <f t="shared" si="17"/>
        <v>0</v>
      </c>
      <c r="BO17" s="124">
        <f t="shared" si="17"/>
        <v>0</v>
      </c>
      <c r="BP17" s="124">
        <f t="shared" si="17"/>
        <v>0</v>
      </c>
      <c r="BQ17" s="124">
        <f>SUM(BQ18:BQ19)</f>
        <v>0</v>
      </c>
      <c r="BR17" s="124">
        <f>SUM(BR18:BR19)</f>
        <v>0</v>
      </c>
      <c r="BS17" s="124">
        <f>SUM(BS18:BS19)</f>
        <v>0</v>
      </c>
      <c r="BT17" s="124">
        <f>SUM(BT18:BT19)</f>
        <v>0</v>
      </c>
      <c r="BU17" s="124">
        <f t="shared" ref="BU17:CD17" si="18">SUM(BU18:BU19)</f>
        <v>0</v>
      </c>
      <c r="BV17" s="124">
        <f t="shared" si="18"/>
        <v>0</v>
      </c>
      <c r="BW17" s="124">
        <f t="shared" si="18"/>
        <v>0</v>
      </c>
      <c r="BX17" s="124">
        <f t="shared" si="18"/>
        <v>0</v>
      </c>
      <c r="BY17" s="124">
        <f t="shared" si="18"/>
        <v>0</v>
      </c>
      <c r="BZ17" s="124">
        <f t="shared" si="18"/>
        <v>0</v>
      </c>
      <c r="CA17" s="124">
        <f t="shared" si="18"/>
        <v>0</v>
      </c>
      <c r="CB17" s="124">
        <f t="shared" si="18"/>
        <v>0</v>
      </c>
      <c r="CC17" s="124">
        <f t="shared" si="18"/>
        <v>0</v>
      </c>
      <c r="CD17" s="124">
        <f t="shared" si="18"/>
        <v>0</v>
      </c>
      <c r="CE17" s="124">
        <f t="shared" ref="CE17" si="19">SUM(CE18:CE19)</f>
        <v>0</v>
      </c>
      <c r="CF17" s="124">
        <f t="shared" ref="CF17" si="20">SUM(CF18:CF19)</f>
        <v>0</v>
      </c>
      <c r="CG17" s="124">
        <f t="shared" ref="CG17:CH17" si="21">SUM(CG18:CG19)</f>
        <v>0</v>
      </c>
      <c r="CH17" s="124">
        <f t="shared" si="21"/>
        <v>0</v>
      </c>
      <c r="CI17" s="141"/>
    </row>
    <row r="18" spans="1:87" outlineLevel="1">
      <c r="A18" s="151" t="s">
        <v>441</v>
      </c>
      <c r="B18" s="152">
        <f t="shared" si="0"/>
        <v>2257.1372546999992</v>
      </c>
      <c r="C18" s="152"/>
      <c r="D18" s="152"/>
      <c r="E18" s="152"/>
      <c r="F18" s="152"/>
      <c r="G18" s="152"/>
      <c r="H18" s="152"/>
      <c r="I18" s="152"/>
      <c r="J18" s="152"/>
      <c r="K18" s="152"/>
      <c r="L18" s="152"/>
      <c r="M18" s="152"/>
      <c r="N18" s="152"/>
      <c r="O18" s="152"/>
      <c r="P18" s="152"/>
      <c r="Q18" s="152"/>
      <c r="R18" s="152"/>
      <c r="S18" s="152"/>
      <c r="T18" s="152"/>
      <c r="U18" s="152"/>
      <c r="V18" s="152"/>
      <c r="W18" s="152"/>
      <c r="X18" s="152"/>
      <c r="Y18" s="1084"/>
      <c r="Z18" s="1084"/>
      <c r="AA18" s="1084"/>
      <c r="AB18" s="1085"/>
      <c r="AC18" s="1085">
        <f>AC$4*基础信息!$B20</f>
        <v>0</v>
      </c>
      <c r="AD18" s="1085">
        <f>AD$4*基础信息!$B20</f>
        <v>0</v>
      </c>
      <c r="AE18" s="1085">
        <f>AE$4*基础信息!$B20</f>
        <v>0</v>
      </c>
      <c r="AF18" s="1085">
        <f>AF$4*基础信息!$B20</f>
        <v>0</v>
      </c>
      <c r="AG18" s="1085">
        <f>AG$4*基础信息!$B20</f>
        <v>0</v>
      </c>
      <c r="AH18" s="1085">
        <f>AH$4*基础信息!$B20</f>
        <v>0</v>
      </c>
      <c r="AI18" s="1085">
        <f>AI$4*基础信息!$B20</f>
        <v>162.65435509686816</v>
      </c>
      <c r="AJ18" s="1085">
        <f>AJ$4*基础信息!$B20</f>
        <v>202.25514645216583</v>
      </c>
      <c r="AK18" s="1085">
        <f>AK$4*基础信息!$B20</f>
        <v>122.25219659823077</v>
      </c>
      <c r="AL18" s="1085">
        <f>AL$4*基础信息!$B20</f>
        <v>116.78370949629284</v>
      </c>
      <c r="AM18" s="1085">
        <f>AM$4*基础信息!$B20</f>
        <v>83.612964499147481</v>
      </c>
      <c r="AN18" s="1085">
        <f>AN$4*基础信息!$B20</f>
        <v>103.86393098767864</v>
      </c>
      <c r="AO18" s="1085">
        <f>AO$4*基础信息!$B20</f>
        <v>107.72220274995003</v>
      </c>
      <c r="AP18" s="1085">
        <f>AP$4*基础信息!$B20</f>
        <v>117.49286452998801</v>
      </c>
      <c r="AQ18" s="1085">
        <f>AQ$4*基础信息!$B20</f>
        <v>118.28975930469421</v>
      </c>
      <c r="AR18" s="1085">
        <f>AR$4*基础信息!$B20</f>
        <v>115.87061445290755</v>
      </c>
      <c r="AS18" s="1085">
        <f>AS$4*基础信息!$B20</f>
        <v>118.14339087668695</v>
      </c>
      <c r="AT18" s="1085">
        <f>AT$4*基础信息!$B20</f>
        <v>111.69911425470063</v>
      </c>
      <c r="AU18" s="1085">
        <f>AU$4*基础信息!$B20</f>
        <v>128.11099950818806</v>
      </c>
      <c r="AV18" s="1085">
        <f>AV$4*基础信息!$B20</f>
        <v>130.06762012747177</v>
      </c>
      <c r="AW18" s="1085">
        <f>AW$4*基础信息!$B20</f>
        <v>120.84642136038333</v>
      </c>
      <c r="AX18" s="1085">
        <f>AX$4*基础信息!$B20</f>
        <v>121.56679797355906</v>
      </c>
      <c r="AY18" s="1085">
        <f>AY$4*基础信息!$B20</f>
        <v>86.697679119400476</v>
      </c>
      <c r="AZ18" s="1085">
        <f>AZ$4*基础信息!$B20</f>
        <v>79.848506117123023</v>
      </c>
      <c r="BA18" s="1085">
        <f>BA$4*基础信息!$B20</f>
        <v>53.485112759215319</v>
      </c>
      <c r="BB18" s="1085">
        <f>BB$4*基础信息!$B20</f>
        <v>4.564499427406413</v>
      </c>
      <c r="BC18" s="1085">
        <f>BC$4*基础信息!$B20</f>
        <v>4.3954438930580277</v>
      </c>
      <c r="BD18" s="1085">
        <f>BD$4*基础信息!$B20</f>
        <v>4.564499427406413</v>
      </c>
      <c r="BE18" s="1085">
        <f>BE$4*基础信息!$B20</f>
        <v>4.7335549617547992</v>
      </c>
      <c r="BF18" s="1085">
        <f>BF$4*基础信息!$B20</f>
        <v>4.7335549617547992</v>
      </c>
      <c r="BG18" s="1085">
        <f>BG$4*基础信息!$B20</f>
        <v>7.4384435113289715</v>
      </c>
      <c r="BH18" s="1085">
        <f>BH$4*基础信息!$B20</f>
        <v>10.143332060903143</v>
      </c>
      <c r="BI18" s="1085">
        <f>BI$4*基础信息!$B20</f>
        <v>10.186103111093288</v>
      </c>
      <c r="BJ18" s="1085">
        <f>BJ$4*基础信息!$B20</f>
        <v>5.114437080641717</v>
      </c>
      <c r="BK18" s="1085">
        <f>BK$4*基础信息!$B20</f>
        <v>0</v>
      </c>
      <c r="BL18" s="1085">
        <f>BL$4*基础信息!$B20</f>
        <v>0</v>
      </c>
      <c r="BM18" s="1085">
        <f>BM$4*基础信息!$B20</f>
        <v>0</v>
      </c>
      <c r="BN18" s="1085">
        <f>BN$4*基础信息!$B20</f>
        <v>0</v>
      </c>
      <c r="BO18" s="1085">
        <f>BO$4*基础信息!$B20</f>
        <v>0</v>
      </c>
      <c r="BP18" s="1085">
        <f>BP$4*基础信息!$B20</f>
        <v>0</v>
      </c>
      <c r="BQ18" s="1085">
        <f>BQ$4*基础信息!$B20</f>
        <v>0</v>
      </c>
      <c r="BR18" s="1085">
        <f>BR$4*基础信息!$B20</f>
        <v>0</v>
      </c>
      <c r="BS18" s="1085">
        <f>BS$4*基础信息!$B20</f>
        <v>0</v>
      </c>
      <c r="BT18" s="1085">
        <f>BT$4*基础信息!$B20</f>
        <v>0</v>
      </c>
      <c r="BU18" s="1085">
        <f>BU$4*基础信息!$B20</f>
        <v>0</v>
      </c>
      <c r="BV18" s="1085">
        <f>BV$4*基础信息!$B20</f>
        <v>0</v>
      </c>
      <c r="BW18" s="1085">
        <f>BW$4*基础信息!$B20</f>
        <v>0</v>
      </c>
      <c r="BX18" s="1085">
        <f>BX$4*基础信息!$B20</f>
        <v>0</v>
      </c>
      <c r="BY18" s="1085">
        <f>BY$4*基础信息!$B20</f>
        <v>0</v>
      </c>
      <c r="BZ18" s="1085">
        <f>BZ$4*基础信息!$B20</f>
        <v>0</v>
      </c>
      <c r="CA18" s="1085">
        <f>CA$4*基础信息!$B20</f>
        <v>0</v>
      </c>
      <c r="CB18" s="1085">
        <f>CB$4*基础信息!$B20</f>
        <v>0</v>
      </c>
      <c r="CC18" s="1085">
        <f>CC$4*基础信息!$B20</f>
        <v>0</v>
      </c>
      <c r="CD18" s="1085">
        <f>CD$4*基础信息!$B20</f>
        <v>0</v>
      </c>
      <c r="CE18" s="1085">
        <f>CE$4*基础信息!$B20</f>
        <v>0</v>
      </c>
      <c r="CF18" s="1085">
        <f>CF$4*基础信息!$B20</f>
        <v>0</v>
      </c>
      <c r="CG18" s="1085">
        <f>CG$4*基础信息!$B20</f>
        <v>0</v>
      </c>
      <c r="CH18" s="1085">
        <f>CH$4*基础信息!$B20</f>
        <v>0</v>
      </c>
    </row>
    <row r="19" spans="1:87" outlineLevel="1">
      <c r="A19" s="151" t="s">
        <v>442</v>
      </c>
      <c r="B19" s="152">
        <f t="shared" si="0"/>
        <v>3469.70920725</v>
      </c>
      <c r="C19" s="152"/>
      <c r="D19" s="152"/>
      <c r="E19" s="152"/>
      <c r="F19" s="152"/>
      <c r="G19" s="152"/>
      <c r="H19" s="152"/>
      <c r="I19" s="152"/>
      <c r="J19" s="152"/>
      <c r="K19" s="152"/>
      <c r="L19" s="152"/>
      <c r="M19" s="152"/>
      <c r="N19" s="152"/>
      <c r="O19" s="152"/>
      <c r="P19" s="152"/>
      <c r="Q19" s="152"/>
      <c r="R19" s="152"/>
      <c r="S19" s="152"/>
      <c r="T19" s="152"/>
      <c r="U19" s="152"/>
      <c r="V19" s="152"/>
      <c r="W19" s="152"/>
      <c r="X19" s="152"/>
      <c r="Y19" s="1084"/>
      <c r="Z19" s="1084"/>
      <c r="AA19" s="1084"/>
      <c r="AB19" s="1085"/>
      <c r="AC19" s="1085">
        <f>AC$4*基础信息!$B21</f>
        <v>0</v>
      </c>
      <c r="AD19" s="1085">
        <f>AD$4*基础信息!$B21</f>
        <v>0</v>
      </c>
      <c r="AE19" s="1085">
        <f>AE$4*基础信息!$B21</f>
        <v>0</v>
      </c>
      <c r="AF19" s="1085">
        <f>AF$4*基础信息!$B21</f>
        <v>0</v>
      </c>
      <c r="AG19" s="1085">
        <f>AG$4*基础信息!$B21</f>
        <v>0</v>
      </c>
      <c r="AH19" s="1085">
        <f>AH$4*基础信息!$B21</f>
        <v>0</v>
      </c>
      <c r="AI19" s="1085">
        <f>AI$4*基础信息!$B21</f>
        <v>250.035</v>
      </c>
      <c r="AJ19" s="1085">
        <f>AJ$4*基础信息!$B21</f>
        <v>310.91000000000003</v>
      </c>
      <c r="AK19" s="1085">
        <f>AK$4*基础信息!$B21</f>
        <v>187.92812500000002</v>
      </c>
      <c r="AL19" s="1085">
        <f>AL$4*基础信息!$B21</f>
        <v>179.52187500000002</v>
      </c>
      <c r="AM19" s="1085">
        <f>AM$4*基础信息!$B21</f>
        <v>128.53125000000003</v>
      </c>
      <c r="AN19" s="1085">
        <f>AN$4*基础信息!$B21</f>
        <v>159.66137500000002</v>
      </c>
      <c r="AO19" s="1085">
        <f>AO$4*基础信息!$B21</f>
        <v>165.592375</v>
      </c>
      <c r="AP19" s="1085">
        <f>AP$4*基础信息!$B21</f>
        <v>180.61199999999999</v>
      </c>
      <c r="AQ19" s="1085">
        <f>AQ$4*基础信息!$B21</f>
        <v>181.83699999999999</v>
      </c>
      <c r="AR19" s="1085">
        <f>AR$4*基础信息!$B21</f>
        <v>178.11824999999999</v>
      </c>
      <c r="AS19" s="1085">
        <f>AS$4*基础信息!$B21</f>
        <v>181.61199999999999</v>
      </c>
      <c r="AT19" s="1085">
        <f>AT$4*基础信息!$B21</f>
        <v>171.70574999999999</v>
      </c>
      <c r="AU19" s="1085">
        <f>AU$4*基础信息!$B21</f>
        <v>196.93437500000002</v>
      </c>
      <c r="AV19" s="1085">
        <f>AV$4*基础信息!$B21</f>
        <v>199.94212500000003</v>
      </c>
      <c r="AW19" s="1085">
        <f>AW$4*基础信息!$B21</f>
        <v>185.76714374999995</v>
      </c>
      <c r="AX19" s="1085">
        <f>AX$4*基础信息!$B21</f>
        <v>186.87451874999996</v>
      </c>
      <c r="AY19" s="1085">
        <f>AY$4*基础信息!$B21</f>
        <v>133.27312499999999</v>
      </c>
      <c r="AZ19" s="1085">
        <f>AZ$4*基础信息!$B21</f>
        <v>122.74446149999994</v>
      </c>
      <c r="BA19" s="1085">
        <f>BA$4*基础信息!$B21</f>
        <v>82.218211499999953</v>
      </c>
      <c r="BB19" s="1085">
        <f>BB$4*基础信息!$B21</f>
        <v>7.0166249999999994</v>
      </c>
      <c r="BC19" s="1085">
        <f>BC$4*基础信息!$B21</f>
        <v>6.7567500000000003</v>
      </c>
      <c r="BD19" s="1085">
        <f>BD$4*基础信息!$B21</f>
        <v>7.0166249999999994</v>
      </c>
      <c r="BE19" s="1085">
        <f>BE$4*基础信息!$B21</f>
        <v>7.2765000000000004</v>
      </c>
      <c r="BF19" s="1085">
        <f>BF$4*基础信息!$B21</f>
        <v>7.2765000000000004</v>
      </c>
      <c r="BG19" s="1085">
        <f>BG$4*基础信息!$B21</f>
        <v>11.434500000000002</v>
      </c>
      <c r="BH19" s="1085">
        <f>BH$4*基础信息!$B21</f>
        <v>15.592500000000001</v>
      </c>
      <c r="BI19" s="1085">
        <f>BI$4*基础信息!$B21</f>
        <v>15.658248375000008</v>
      </c>
      <c r="BJ19" s="1085">
        <f>BJ$4*基础信息!$B21</f>
        <v>7.8619983750000078</v>
      </c>
      <c r="BK19" s="1085">
        <f>BK$4*基础信息!$B21</f>
        <v>0</v>
      </c>
      <c r="BL19" s="1085">
        <f>BL$4*基础信息!$B21</f>
        <v>0</v>
      </c>
      <c r="BM19" s="1085">
        <f>BM$4*基础信息!$B21</f>
        <v>0</v>
      </c>
      <c r="BN19" s="1085">
        <f>BN$4*基础信息!$B21</f>
        <v>0</v>
      </c>
      <c r="BO19" s="1085">
        <f>BO$4*基础信息!$B21</f>
        <v>0</v>
      </c>
      <c r="BP19" s="1085">
        <f>BP$4*基础信息!$B21</f>
        <v>0</v>
      </c>
      <c r="BQ19" s="1085">
        <f>BQ$4*基础信息!$B21</f>
        <v>0</v>
      </c>
      <c r="BR19" s="1085">
        <f>BR$4*基础信息!$B21</f>
        <v>0</v>
      </c>
      <c r="BS19" s="1085">
        <f>BS$4*基础信息!$B21</f>
        <v>0</v>
      </c>
      <c r="BT19" s="1085">
        <f>BT$4*基础信息!$B21</f>
        <v>0</v>
      </c>
      <c r="BU19" s="1085">
        <f>BU$4*基础信息!$B21</f>
        <v>0</v>
      </c>
      <c r="BV19" s="1085">
        <f>BV$4*基础信息!$B21</f>
        <v>0</v>
      </c>
      <c r="BW19" s="1085">
        <f>BW$4*基础信息!$B21</f>
        <v>0</v>
      </c>
      <c r="BX19" s="1085">
        <f>BX$4*基础信息!$B21</f>
        <v>0</v>
      </c>
      <c r="BY19" s="1085">
        <f>BY$4*基础信息!$B21</f>
        <v>0</v>
      </c>
      <c r="BZ19" s="1085">
        <f>BZ$4*基础信息!$B21</f>
        <v>0</v>
      </c>
      <c r="CA19" s="1085">
        <f>CA$4*基础信息!$B21</f>
        <v>0</v>
      </c>
      <c r="CB19" s="1085">
        <f>CB$4*基础信息!$B21</f>
        <v>0</v>
      </c>
      <c r="CC19" s="1085">
        <f>CC$4*基础信息!$B21</f>
        <v>0</v>
      </c>
      <c r="CD19" s="1085">
        <f>CD$4*基础信息!$B21</f>
        <v>0</v>
      </c>
      <c r="CE19" s="1085">
        <f>CE$4*基础信息!$B21</f>
        <v>0</v>
      </c>
      <c r="CF19" s="1085">
        <f>CF$4*基础信息!$B21</f>
        <v>0</v>
      </c>
      <c r="CG19" s="1085">
        <f>CG$4*基础信息!$B21</f>
        <v>0</v>
      </c>
      <c r="CH19" s="1085">
        <f>CH$4*基础信息!$B21</f>
        <v>0</v>
      </c>
      <c r="CI19" s="141"/>
    </row>
    <row r="20" spans="1:87" outlineLevel="1">
      <c r="A20" s="145" t="s">
        <v>332</v>
      </c>
      <c r="B20" s="124">
        <f t="shared" ca="1" si="0"/>
        <v>9496.814935876384</v>
      </c>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f t="shared" ref="AC20:AP20" ca="1" si="22">SUM(AC21:AC23)</f>
        <v>0</v>
      </c>
      <c r="AD20" s="124">
        <f t="shared" ca="1" si="22"/>
        <v>0</v>
      </c>
      <c r="AE20" s="124">
        <f t="shared" ca="1" si="22"/>
        <v>0</v>
      </c>
      <c r="AF20" s="124">
        <f t="shared" ca="1" si="22"/>
        <v>0</v>
      </c>
      <c r="AG20" s="124">
        <f t="shared" ca="1" si="22"/>
        <v>0</v>
      </c>
      <c r="AH20" s="124">
        <f t="shared" ca="1" si="22"/>
        <v>0</v>
      </c>
      <c r="AI20" s="124">
        <f t="shared" ca="1" si="22"/>
        <v>684.3617089092736</v>
      </c>
      <c r="AJ20" s="124">
        <f t="shared" ca="1" si="22"/>
        <v>850.98045840375244</v>
      </c>
      <c r="AK20" s="124">
        <f t="shared" ca="1" si="22"/>
        <v>514.3712391349834</v>
      </c>
      <c r="AL20" s="124">
        <f t="shared" ca="1" si="22"/>
        <v>491.36279785468832</v>
      </c>
      <c r="AM20" s="124">
        <f t="shared" ca="1" si="22"/>
        <v>351.79821184332224</v>
      </c>
      <c r="AN20" s="124">
        <f t="shared" ca="1" si="22"/>
        <v>437.00334529887562</v>
      </c>
      <c r="AO20" s="124">
        <f t="shared" ca="1" si="22"/>
        <v>453.23686978761071</v>
      </c>
      <c r="AP20" s="124">
        <f t="shared" ca="1" si="22"/>
        <v>494.34653936257598</v>
      </c>
      <c r="AQ20" s="124">
        <f ca="1">SUM(AQ21:AQ23)</f>
        <v>497.69944232981607</v>
      </c>
      <c r="AR20" s="124">
        <f ca="1">SUM(AR21:AR23)</f>
        <v>487.52098689355171</v>
      </c>
      <c r="AS20" s="124">
        <f ca="1">SUM(AS21:AS23)</f>
        <v>497.08360300930269</v>
      </c>
      <c r="AT20" s="124">
        <f t="shared" ref="AT20:BP20" ca="1" si="23">SUM(AT21:AT23)</f>
        <v>469.96956625891772</v>
      </c>
      <c r="AU20" s="124">
        <f t="shared" ca="1" si="23"/>
        <v>539.02191860331436</v>
      </c>
      <c r="AV20" s="124">
        <f t="shared" ca="1" si="23"/>
        <v>547.25432178675612</v>
      </c>
      <c r="AW20" s="124">
        <f t="shared" ca="1" si="23"/>
        <v>508.45649591435057</v>
      </c>
      <c r="AX20" s="124">
        <f t="shared" ca="1" si="23"/>
        <v>511.48745177014439</v>
      </c>
      <c r="AY20" s="124">
        <f t="shared" ca="1" si="23"/>
        <v>364.77702552314366</v>
      </c>
      <c r="AZ20" s="124">
        <f t="shared" ca="1" si="23"/>
        <v>335.95940340867674</v>
      </c>
      <c r="BA20" s="124">
        <f t="shared" ca="1" si="23"/>
        <v>225.03647779552483</v>
      </c>
      <c r="BB20" s="124">
        <f t="shared" ca="1" si="23"/>
        <v>19.204949210212696</v>
      </c>
      <c r="BC20" s="124">
        <f t="shared" ca="1" si="23"/>
        <v>18.49365479501963</v>
      </c>
      <c r="BD20" s="124">
        <f t="shared" ca="1" si="23"/>
        <v>19.204949210212696</v>
      </c>
      <c r="BE20" s="124">
        <f t="shared" ca="1" si="23"/>
        <v>19.916243625405759</v>
      </c>
      <c r="BF20" s="124">
        <f t="shared" ca="1" si="23"/>
        <v>19.916243625405759</v>
      </c>
      <c r="BG20" s="124">
        <f t="shared" ca="1" si="23"/>
        <v>31.296954268494765</v>
      </c>
      <c r="BH20" s="124">
        <f t="shared" ca="1" si="23"/>
        <v>42.677664911583776</v>
      </c>
      <c r="BI20" s="124">
        <f t="shared" ca="1" si="23"/>
        <v>42.85762239862764</v>
      </c>
      <c r="BJ20" s="124">
        <f t="shared" ca="1" si="23"/>
        <v>21.518789942835749</v>
      </c>
      <c r="BK20" s="124">
        <f t="shared" ca="1" si="23"/>
        <v>0</v>
      </c>
      <c r="BL20" s="124">
        <f t="shared" ca="1" si="23"/>
        <v>0</v>
      </c>
      <c r="BM20" s="124">
        <f t="shared" ca="1" si="23"/>
        <v>0</v>
      </c>
      <c r="BN20" s="124">
        <f t="shared" ca="1" si="23"/>
        <v>0</v>
      </c>
      <c r="BO20" s="124">
        <f t="shared" ca="1" si="23"/>
        <v>0</v>
      </c>
      <c r="BP20" s="124">
        <f t="shared" ca="1" si="23"/>
        <v>0</v>
      </c>
      <c r="BQ20" s="124">
        <f ca="1">SUM(BQ21:BQ23)</f>
        <v>0</v>
      </c>
      <c r="BR20" s="124">
        <f ca="1">SUM(BR21:BR23)</f>
        <v>0</v>
      </c>
      <c r="BS20" s="124">
        <f ca="1">SUM(BS21:BS23)</f>
        <v>0</v>
      </c>
      <c r="BT20" s="124">
        <f ca="1">SUM(BT21:BT23)</f>
        <v>0</v>
      </c>
      <c r="BU20" s="124">
        <f t="shared" ref="BU20:CD20" ca="1" si="24">SUM(BU21:BU23)</f>
        <v>0</v>
      </c>
      <c r="BV20" s="124">
        <f t="shared" ca="1" si="24"/>
        <v>0</v>
      </c>
      <c r="BW20" s="124">
        <f t="shared" ca="1" si="24"/>
        <v>0</v>
      </c>
      <c r="BX20" s="124">
        <f t="shared" ca="1" si="24"/>
        <v>0</v>
      </c>
      <c r="BY20" s="124">
        <f t="shared" ca="1" si="24"/>
        <v>0</v>
      </c>
      <c r="BZ20" s="124">
        <f t="shared" ca="1" si="24"/>
        <v>0</v>
      </c>
      <c r="CA20" s="124">
        <f t="shared" ca="1" si="24"/>
        <v>0</v>
      </c>
      <c r="CB20" s="124">
        <f t="shared" ca="1" si="24"/>
        <v>0</v>
      </c>
      <c r="CC20" s="124">
        <f t="shared" ca="1" si="24"/>
        <v>0</v>
      </c>
      <c r="CD20" s="124">
        <f t="shared" ca="1" si="24"/>
        <v>0</v>
      </c>
      <c r="CE20" s="124">
        <f t="shared" ref="CE20" ca="1" si="25">SUM(CE21:CE23)</f>
        <v>0</v>
      </c>
      <c r="CF20" s="124">
        <f t="shared" ref="CF20" ca="1" si="26">SUM(CF21:CF23)</f>
        <v>0</v>
      </c>
      <c r="CG20" s="124">
        <f t="shared" ref="CG20:CH20" ca="1" si="27">SUM(CG21:CG23)</f>
        <v>0</v>
      </c>
      <c r="CH20" s="124">
        <f t="shared" ca="1" si="27"/>
        <v>0</v>
      </c>
    </row>
    <row r="21" spans="1:87" outlineLevel="1">
      <c r="A21" s="151" t="s">
        <v>833</v>
      </c>
      <c r="B21" s="1089">
        <f t="shared" si="0"/>
        <v>4201.849682174312</v>
      </c>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c r="AA21" s="152"/>
      <c r="AB21" s="152"/>
      <c r="AC21" s="152">
        <f t="shared" ref="AC21:BH21" si="28">((AC4/(1+9%)*3%)*(1+3%+7%))</f>
        <v>0</v>
      </c>
      <c r="AD21" s="152">
        <f t="shared" si="28"/>
        <v>0</v>
      </c>
      <c r="AE21" s="152">
        <f t="shared" si="28"/>
        <v>0</v>
      </c>
      <c r="AF21" s="152">
        <f t="shared" si="28"/>
        <v>0</v>
      </c>
      <c r="AG21" s="152">
        <f t="shared" si="28"/>
        <v>0</v>
      </c>
      <c r="AH21" s="152">
        <f t="shared" si="28"/>
        <v>0</v>
      </c>
      <c r="AI21" s="152">
        <f t="shared" si="28"/>
        <v>302.79467889908256</v>
      </c>
      <c r="AJ21" s="152">
        <f t="shared" si="28"/>
        <v>376.51486238532112</v>
      </c>
      <c r="AK21" s="152">
        <f t="shared" si="28"/>
        <v>227.58268348623855</v>
      </c>
      <c r="AL21" s="152">
        <f t="shared" si="28"/>
        <v>217.40263761467889</v>
      </c>
      <c r="AM21" s="152">
        <f t="shared" si="28"/>
        <v>155.65252293577981</v>
      </c>
      <c r="AN21" s="152">
        <f t="shared" si="28"/>
        <v>193.35138990825689</v>
      </c>
      <c r="AO21" s="152">
        <f t="shared" si="28"/>
        <v>200.53388532110088</v>
      </c>
      <c r="AP21" s="152">
        <f t="shared" si="28"/>
        <v>218.72278899082565</v>
      </c>
      <c r="AQ21" s="152">
        <f t="shared" si="28"/>
        <v>220.20627522935777</v>
      </c>
      <c r="AR21" s="152">
        <f t="shared" si="28"/>
        <v>215.70283486238532</v>
      </c>
      <c r="AS21" s="152">
        <f t="shared" si="28"/>
        <v>219.93379816513763</v>
      </c>
      <c r="AT21" s="152">
        <f t="shared" si="28"/>
        <v>207.93723853211006</v>
      </c>
      <c r="AU21" s="152">
        <f t="shared" si="28"/>
        <v>238.48933486238531</v>
      </c>
      <c r="AV21" s="152">
        <f t="shared" si="28"/>
        <v>242.131747706422</v>
      </c>
      <c r="AW21" s="152">
        <f t="shared" si="28"/>
        <v>224.9657153669724</v>
      </c>
      <c r="AX21" s="152">
        <f t="shared" si="28"/>
        <v>226.30675665137608</v>
      </c>
      <c r="AY21" s="152">
        <f t="shared" si="28"/>
        <v>161.39497706422017</v>
      </c>
      <c r="AZ21" s="152">
        <f t="shared" si="28"/>
        <v>148.64466897247698</v>
      </c>
      <c r="BA21" s="152">
        <f t="shared" si="28"/>
        <v>99.567008422018276</v>
      </c>
      <c r="BB21" s="152">
        <f t="shared" si="28"/>
        <v>8.4971972477064224</v>
      </c>
      <c r="BC21" s="152">
        <f t="shared" si="28"/>
        <v>8.1824862385321087</v>
      </c>
      <c r="BD21" s="152">
        <f t="shared" si="28"/>
        <v>8.4971972477064224</v>
      </c>
      <c r="BE21" s="152">
        <f t="shared" si="28"/>
        <v>8.8119082568807343</v>
      </c>
      <c r="BF21" s="152">
        <f t="shared" si="28"/>
        <v>8.8119082568807343</v>
      </c>
      <c r="BG21" s="152">
        <f t="shared" si="28"/>
        <v>13.847284403669727</v>
      </c>
      <c r="BH21" s="152">
        <f t="shared" si="28"/>
        <v>18.882660550458716</v>
      </c>
      <c r="BI21" s="152">
        <f t="shared" ref="BI21:CH21" si="29">((BI4/(1+9%)*3%)*(1+3%+7%))</f>
        <v>18.96228243577983</v>
      </c>
      <c r="BJ21" s="152">
        <f t="shared" si="29"/>
        <v>9.5209521605504666</v>
      </c>
      <c r="BK21" s="152">
        <f t="shared" si="29"/>
        <v>0</v>
      </c>
      <c r="BL21" s="152">
        <f t="shared" si="29"/>
        <v>0</v>
      </c>
      <c r="BM21" s="152">
        <f t="shared" si="29"/>
        <v>0</v>
      </c>
      <c r="BN21" s="152">
        <f t="shared" si="29"/>
        <v>0</v>
      </c>
      <c r="BO21" s="152">
        <f t="shared" si="29"/>
        <v>0</v>
      </c>
      <c r="BP21" s="152">
        <f t="shared" si="29"/>
        <v>0</v>
      </c>
      <c r="BQ21" s="152">
        <f t="shared" si="29"/>
        <v>0</v>
      </c>
      <c r="BR21" s="152">
        <f t="shared" si="29"/>
        <v>0</v>
      </c>
      <c r="BS21" s="152">
        <f t="shared" si="29"/>
        <v>0</v>
      </c>
      <c r="BT21" s="152">
        <f t="shared" si="29"/>
        <v>0</v>
      </c>
      <c r="BU21" s="152">
        <f t="shared" si="29"/>
        <v>0</v>
      </c>
      <c r="BV21" s="152">
        <f t="shared" si="29"/>
        <v>0</v>
      </c>
      <c r="BW21" s="152">
        <f t="shared" si="29"/>
        <v>0</v>
      </c>
      <c r="BX21" s="152">
        <f t="shared" si="29"/>
        <v>0</v>
      </c>
      <c r="BY21" s="152">
        <f t="shared" si="29"/>
        <v>0</v>
      </c>
      <c r="BZ21" s="152">
        <f t="shared" si="29"/>
        <v>0</v>
      </c>
      <c r="CA21" s="152">
        <f t="shared" si="29"/>
        <v>0</v>
      </c>
      <c r="CB21" s="152">
        <f t="shared" si="29"/>
        <v>0</v>
      </c>
      <c r="CC21" s="152">
        <f t="shared" si="29"/>
        <v>0</v>
      </c>
      <c r="CD21" s="152">
        <f t="shared" si="29"/>
        <v>0</v>
      </c>
      <c r="CE21" s="152">
        <f t="shared" si="29"/>
        <v>0</v>
      </c>
      <c r="CF21" s="152">
        <f t="shared" si="29"/>
        <v>0</v>
      </c>
      <c r="CG21" s="152">
        <f t="shared" si="29"/>
        <v>0</v>
      </c>
      <c r="CH21" s="152">
        <f t="shared" si="29"/>
        <v>0</v>
      </c>
      <c r="CI21" s="141"/>
    </row>
    <row r="22" spans="1:87" outlineLevel="1">
      <c r="A22" s="151" t="s">
        <v>439</v>
      </c>
      <c r="B22" s="1089">
        <f t="shared" si="0"/>
        <v>2550.0276042385312</v>
      </c>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f>AC4/1.09*土地增值税!$G$15</f>
        <v>0</v>
      </c>
      <c r="AD22" s="152">
        <f>AD4/1.09*土地增值税!$G$15</f>
        <v>0</v>
      </c>
      <c r="AE22" s="152">
        <f>AE4/1.09*土地增值税!$G$15</f>
        <v>0</v>
      </c>
      <c r="AF22" s="152">
        <f>AF4/1.09*土地增值税!$G$15</f>
        <v>0</v>
      </c>
      <c r="AG22" s="152">
        <f>AG4/1.09*土地增值税!$G$15</f>
        <v>0</v>
      </c>
      <c r="AH22" s="152">
        <f>AH4/1.09*土地增值税!$G$15</f>
        <v>0</v>
      </c>
      <c r="AI22" s="152">
        <f>AI4/1.09*土地增值税!$G$15</f>
        <v>183.76068827137337</v>
      </c>
      <c r="AJ22" s="152">
        <f>AJ4/1.09*土地增值税!$G$15</f>
        <v>228.50015234048314</v>
      </c>
      <c r="AK22" s="152">
        <f>AK4/1.09*土地增值税!$G$15</f>
        <v>138.11587016037231</v>
      </c>
      <c r="AL22" s="152">
        <f>AL4/1.09*土地增值税!$G$15</f>
        <v>131.93778194959691</v>
      </c>
      <c r="AM22" s="152">
        <f>AM4/1.09*土地增值税!$G$15</f>
        <v>94.46273907404948</v>
      </c>
      <c r="AN22" s="152">
        <f>AN4/1.09*土地增值税!$G$15</f>
        <v>117.34150883017918</v>
      </c>
      <c r="AO22" s="152">
        <f>AO4/1.09*土地增值税!$G$15</f>
        <v>121.70043714876462</v>
      </c>
      <c r="AP22" s="152">
        <f>AP4/1.09*土地增值税!$G$15</f>
        <v>132.73895826611988</v>
      </c>
      <c r="AQ22" s="152">
        <f>AQ4/1.09*土地增值税!$G$15</f>
        <v>133.63925959646338</v>
      </c>
      <c r="AR22" s="152">
        <f>AR4/1.09*土地增值税!$G$15</f>
        <v>130.90620198649208</v>
      </c>
      <c r="AS22" s="152">
        <f>AS4/1.09*土地增值税!$G$15</f>
        <v>133.47389812762478</v>
      </c>
      <c r="AT22" s="152">
        <f>AT4/1.09*土地增值税!$G$15</f>
        <v>126.19340012459203</v>
      </c>
      <c r="AU22" s="152">
        <f>AU4/1.09*土地增值税!$G$15</f>
        <v>144.73492228805068</v>
      </c>
      <c r="AV22" s="152">
        <f>AV4/1.09*土地增值税!$G$15</f>
        <v>146.94543765649198</v>
      </c>
      <c r="AW22" s="152">
        <f>AW4/1.09*土地增值税!$G$15</f>
        <v>136.52767889978264</v>
      </c>
      <c r="AX22" s="152">
        <f>AX4/1.09*土地增值税!$G$15</f>
        <v>137.34153292891659</v>
      </c>
      <c r="AY22" s="152">
        <f>AY4/1.09*土地增值税!$G$15</f>
        <v>97.94773202982293</v>
      </c>
      <c r="AZ22" s="152">
        <f>AZ4/1.09*土地增值税!$G$15</f>
        <v>90.209797535301391</v>
      </c>
      <c r="BA22" s="152">
        <f>BA4/1.09*土地增值税!$G$15</f>
        <v>60.425440972989129</v>
      </c>
      <c r="BB22" s="152">
        <f>BB4/1.09*土地增值税!$G$15</f>
        <v>5.1567974057316981</v>
      </c>
      <c r="BC22" s="152">
        <f>BC4/1.09*土地增值税!$G$15</f>
        <v>4.9658049092231167</v>
      </c>
      <c r="BD22" s="152">
        <f>BD4/1.09*土地增值税!$G$15</f>
        <v>5.1567974057316981</v>
      </c>
      <c r="BE22" s="152">
        <f>BE4/1.09*土地增值税!$G$15</f>
        <v>5.3477899022402804</v>
      </c>
      <c r="BF22" s="152">
        <f>BF4/1.09*土地增值税!$G$15</f>
        <v>5.3477899022402804</v>
      </c>
      <c r="BG22" s="152">
        <f>BG4/1.09*土地增值税!$G$15</f>
        <v>8.4036698463775839</v>
      </c>
      <c r="BH22" s="152">
        <f>BH4/1.09*土地增值税!$G$15</f>
        <v>11.459549790514888</v>
      </c>
      <c r="BI22" s="152">
        <f>BI4/1.09*土地增值税!$G$15</f>
        <v>11.507870892131564</v>
      </c>
      <c r="BJ22" s="152">
        <f>BJ4/1.09*土地增值税!$G$15</f>
        <v>5.7780959968741188</v>
      </c>
      <c r="BK22" s="152">
        <f>BK4/1.09*土地增值税!$G$15</f>
        <v>0</v>
      </c>
      <c r="BL22" s="152">
        <f>BL4/1.09*土地增值税!$G$15</f>
        <v>0</v>
      </c>
      <c r="BM22" s="152">
        <f>BM4/1.09*土地增值税!$G$15</f>
        <v>0</v>
      </c>
      <c r="BN22" s="152">
        <f>BN4/1.09*土地增值税!$G$15</f>
        <v>0</v>
      </c>
      <c r="BO22" s="152">
        <f>BO4/1.09*土地增值税!$G$15</f>
        <v>0</v>
      </c>
      <c r="BP22" s="152">
        <f>BP4/1.09*土地增值税!$G$15</f>
        <v>0</v>
      </c>
      <c r="BQ22" s="152">
        <f>BQ4/1.09*土地增值税!$G$15</f>
        <v>0</v>
      </c>
      <c r="BR22" s="152">
        <f>BR4/1.09*土地增值税!$G$15</f>
        <v>0</v>
      </c>
      <c r="BS22" s="152">
        <f>BS4/1.09*土地增值税!$G$15</f>
        <v>0</v>
      </c>
      <c r="BT22" s="152">
        <f>BT4/1.09*土地增值税!$G$15</f>
        <v>0</v>
      </c>
      <c r="BU22" s="152">
        <f>BU4/1.09*土地增值税!$G$15</f>
        <v>0</v>
      </c>
      <c r="BV22" s="152">
        <f>BV4/1.09*土地增值税!$G$15</f>
        <v>0</v>
      </c>
      <c r="BW22" s="152">
        <f>BW4/1.09*土地增值税!$G$15</f>
        <v>0</v>
      </c>
      <c r="BX22" s="152">
        <f>BX4/1.09*土地增值税!$G$15</f>
        <v>0</v>
      </c>
      <c r="BY22" s="152">
        <f>BY4/1.09*土地增值税!$G$15</f>
        <v>0</v>
      </c>
      <c r="BZ22" s="152">
        <f>BZ4/1.09*土地增值税!$G$15</f>
        <v>0</v>
      </c>
      <c r="CA22" s="152">
        <f>CA4/1.09*土地增值税!$G$15</f>
        <v>0</v>
      </c>
      <c r="CB22" s="152">
        <f>CB4/1.09*土地增值税!$G$15</f>
        <v>0</v>
      </c>
      <c r="CC22" s="152">
        <f>CC4/1.09*土地增值税!$G$15</f>
        <v>0</v>
      </c>
      <c r="CD22" s="152">
        <f>CD4/1.09*土地增值税!$G$15</f>
        <v>0</v>
      </c>
      <c r="CE22" s="152">
        <f>CE4/1.09*土地增值税!$G$15</f>
        <v>0</v>
      </c>
      <c r="CF22" s="152">
        <f>CF4/1.09*土地增值税!$G$15</f>
        <v>0</v>
      </c>
      <c r="CG22" s="152">
        <f>CG4/1.09*土地增值税!$G$15</f>
        <v>0</v>
      </c>
      <c r="CH22" s="152">
        <f>CH4/1.09*土地增值税!$G$15</f>
        <v>0</v>
      </c>
    </row>
    <row r="23" spans="1:87" outlineLevel="1">
      <c r="A23" s="151" t="s">
        <v>440</v>
      </c>
      <c r="B23" s="1089">
        <f t="shared" ca="1" si="0"/>
        <v>2744.9376494635371</v>
      </c>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f ca="1">(AC4*(基础信息!$B$27-基础信息!$B$26-基础信息!$L$40)-AC17)*基础信息!$B$28/1.09</f>
        <v>0</v>
      </c>
      <c r="AD23" s="152">
        <f ca="1">(AD4*(基础信息!$B$27-基础信息!$B$26-基础信息!$L$40)-AD17)*基础信息!$B$28/1.09</f>
        <v>0</v>
      </c>
      <c r="AE23" s="152">
        <f ca="1">(AE4*(基础信息!$B$27-基础信息!$B$26-基础信息!$L$40)-AE17)*基础信息!$B$28/1.09</f>
        <v>0</v>
      </c>
      <c r="AF23" s="152">
        <f ca="1">(AF4*(基础信息!$B$27-基础信息!$B$26-基础信息!$L$40)-AF17)*基础信息!$B$28/1.09</f>
        <v>0</v>
      </c>
      <c r="AG23" s="152">
        <f ca="1">(AG4*(基础信息!$B$27-基础信息!$B$26-基础信息!$L$40)-AG17)*基础信息!$B$28/1.09</f>
        <v>0</v>
      </c>
      <c r="AH23" s="152">
        <f ca="1">(AH4*(基础信息!$B$27-基础信息!$B$26-基础信息!$L$40)-AH17)*基础信息!$B$28/1.09</f>
        <v>0</v>
      </c>
      <c r="AI23" s="152">
        <f ca="1">(AI4*(基础信息!$B$27-基础信息!$B$26-基础信息!$L$40)-AI17)*基础信息!$B$28/1.09</f>
        <v>197.80634173881759</v>
      </c>
      <c r="AJ23" s="152">
        <f ca="1">(AJ4*(基础信息!$B$27-基础信息!$B$26-基础信息!$L$40)-AJ17)*基础信息!$B$28/1.09</f>
        <v>245.96544367794817</v>
      </c>
      <c r="AK23" s="152">
        <f ca="1">(AK4*(基础信息!$B$27-基础信息!$B$26-基础信息!$L$40)-AK17)*基础信息!$B$28/1.09</f>
        <v>148.67268548837254</v>
      </c>
      <c r="AL23" s="152">
        <f ca="1">(AL4*(基础信息!$B$27-基础信息!$B$26-基础信息!$L$40)-AL17)*基础信息!$B$28/1.09</f>
        <v>142.02237829041252</v>
      </c>
      <c r="AM23" s="152">
        <f ca="1">(AM4*(基础信息!$B$27-基础信息!$B$26-基础信息!$L$40)-AM17)*基础信息!$B$28/1.09</f>
        <v>101.68294983349294</v>
      </c>
      <c r="AN23" s="152">
        <f ca="1">(AN4*(基础信息!$B$27-基础信息!$B$26-基础信息!$L$40)-AN17)*基础信息!$B$28/1.09</f>
        <v>126.31044656043959</v>
      </c>
      <c r="AO23" s="152">
        <f ca="1">(AO4*(基础信息!$B$27-基础信息!$B$26-基础信息!$L$40)-AO17)*基础信息!$B$28/1.09</f>
        <v>131.00254731774521</v>
      </c>
      <c r="AP23" s="152">
        <f ca="1">(AP4*(基础信息!$B$27-基础信息!$B$26-基础信息!$L$40)-AP17)*基础信息!$B$28/1.09</f>
        <v>142.88479210563048</v>
      </c>
      <c r="AQ23" s="152">
        <f ca="1">(AQ4*(基础信息!$B$27-基础信息!$B$26-基础信息!$L$40)-AQ17)*基础信息!$B$28/1.09</f>
        <v>143.85390750399492</v>
      </c>
      <c r="AR23" s="152">
        <f ca="1">(AR4*(基础信息!$B$27-基础信息!$B$26-基础信息!$L$40)-AR17)*基础信息!$B$28/1.09</f>
        <v>140.91195004467431</v>
      </c>
      <c r="AS23" s="152">
        <f ca="1">(AS4*(基础信息!$B$27-基础信息!$B$26-基础信息!$L$40)-AS17)*基础信息!$B$28/1.09</f>
        <v>143.67590671654025</v>
      </c>
      <c r="AT23" s="152">
        <f ca="1">(AT4*(基础信息!$B$27-基础信息!$B$26-基础信息!$L$40)-AT17)*基础信息!$B$28/1.09</f>
        <v>135.83892760221562</v>
      </c>
      <c r="AU23" s="152">
        <f ca="1">(AU4*(基础信息!$B$27-基础信息!$B$26-基础信息!$L$40)-AU17)*基础信息!$B$28/1.09</f>
        <v>155.79766145287843</v>
      </c>
      <c r="AV23" s="152">
        <f ca="1">(AV4*(基础信息!$B$27-基础信息!$B$26-基础信息!$L$40)-AV17)*基础信息!$B$28/1.09</f>
        <v>158.1771364238422</v>
      </c>
      <c r="AW23" s="152">
        <f ca="1">(AW4*(基础信息!$B$27-基础信息!$B$26-基础信息!$L$40)-AW17)*基础信息!$B$28/1.09</f>
        <v>146.96310164759552</v>
      </c>
      <c r="AX23" s="152">
        <f ca="1">(AX4*(基础信息!$B$27-基础信息!$B$26-基础信息!$L$40)-AX17)*基础信息!$B$28/1.09</f>
        <v>147.83916218985169</v>
      </c>
      <c r="AY23" s="152">
        <f ca="1">(AY4*(基础信息!$B$27-基础信息!$B$26-基础信息!$L$40)-AY17)*基础信息!$B$28/1.09</f>
        <v>105.43431642910055</v>
      </c>
      <c r="AZ23" s="152">
        <f ca="1">(AZ4*(基础信息!$B$27-基础信息!$B$26-基础信息!$L$40)-AZ17)*基础信息!$B$28/1.09</f>
        <v>97.10493690089838</v>
      </c>
      <c r="BA23" s="152">
        <f ca="1">(BA4*(基础信息!$B$27-基础信息!$B$26-基础信息!$L$40)-BA17)*基础信息!$B$28/1.09</f>
        <v>65.044028400517419</v>
      </c>
      <c r="BB23" s="152">
        <f ca="1">(BB4*(基础信息!$B$27-基础信息!$B$26-基础信息!$L$40)-BB17)*基础信息!$B$28/1.09</f>
        <v>5.5509545567745748</v>
      </c>
      <c r="BC23" s="152">
        <f ca="1">(BC4*(基础信息!$B$27-基础信息!$B$26-基础信息!$L$40)-BC17)*基础信息!$B$28/1.09</f>
        <v>5.3453636472644055</v>
      </c>
      <c r="BD23" s="152">
        <f ca="1">(BD4*(基础信息!$B$27-基础信息!$B$26-基础信息!$L$40)-BD17)*基础信息!$B$28/1.09</f>
        <v>5.5509545567745748</v>
      </c>
      <c r="BE23" s="152">
        <f ca="1">(BE4*(基础信息!$B$27-基础信息!$B$26-基础信息!$L$40)-BE17)*基础信息!$B$28/1.09</f>
        <v>5.7565454662847442</v>
      </c>
      <c r="BF23" s="152">
        <f ca="1">(BF4*(基础信息!$B$27-基础信息!$B$26-基础信息!$L$40)-BF17)*基础信息!$B$28/1.09</f>
        <v>5.7565454662847442</v>
      </c>
      <c r="BG23" s="152">
        <f ca="1">(BG4*(基础信息!$B$27-基础信息!$B$26-基础信息!$L$40)-BG17)*基础信息!$B$28/1.09</f>
        <v>9.0460000184474563</v>
      </c>
      <c r="BH23" s="152">
        <f ca="1">(BH4*(基础信息!$B$27-基础信息!$B$26-基础信息!$L$40)-BH17)*基础信息!$B$28/1.09</f>
        <v>12.335454570610169</v>
      </c>
      <c r="BI23" s="152">
        <f ca="1">(BI4*(基础信息!$B$27-基础信息!$B$26-基础信息!$L$40)-BI17)*基础信息!$B$28/1.09</f>
        <v>12.387469070716248</v>
      </c>
      <c r="BJ23" s="152">
        <f ca="1">(BJ4*(基础信息!$B$27-基础信息!$B$26-基础信息!$L$40)-BJ17)*基础信息!$B$28/1.09</f>
        <v>6.2197417854111627</v>
      </c>
      <c r="BK23" s="152">
        <f ca="1">(BK4*(基础信息!$B$27-基础信息!$B$26-基础信息!$L$40)-BK17)*基础信息!$B$28/1.09</f>
        <v>0</v>
      </c>
      <c r="BL23" s="152">
        <f ca="1">(BL4*(基础信息!$B$27-基础信息!$B$26-基础信息!$L$40)-BL17)*基础信息!$B$28/1.09</f>
        <v>0</v>
      </c>
      <c r="BM23" s="152">
        <f ca="1">(BM4*(基础信息!$B$27-基础信息!$B$26-基础信息!$L$40)-BM17)*基础信息!$B$28/1.09</f>
        <v>0</v>
      </c>
      <c r="BN23" s="152">
        <f ca="1">(BN4*(基础信息!$B$27-基础信息!$B$26-基础信息!$L$40)-BN17)*基础信息!$B$28/1.09</f>
        <v>0</v>
      </c>
      <c r="BO23" s="152">
        <f ca="1">(BO4*(基础信息!$B$27-基础信息!$B$26-基础信息!$L$40)-BO17)*基础信息!$B$28/1.09</f>
        <v>0</v>
      </c>
      <c r="BP23" s="152">
        <f ca="1">(BP4*(基础信息!$B$27-基础信息!$B$26-基础信息!$L$40)-BP17)*基础信息!$B$28/1.09</f>
        <v>0</v>
      </c>
      <c r="BQ23" s="152">
        <f ca="1">(BQ4*(基础信息!$B$27-基础信息!$B$26-基础信息!$L$40)-BQ17)*基础信息!$B$28/1.09</f>
        <v>0</v>
      </c>
      <c r="BR23" s="152">
        <f ca="1">(BR4*(基础信息!$B$27-基础信息!$B$26-基础信息!$L$40)-BR17)*基础信息!$B$28/1.09</f>
        <v>0</v>
      </c>
      <c r="BS23" s="152">
        <f ca="1">(BS4*(基础信息!$B$27-基础信息!$B$26-基础信息!$L$40)-BS17)*基础信息!$B$28/1.09</f>
        <v>0</v>
      </c>
      <c r="BT23" s="152">
        <f ca="1">(BT4*(基础信息!$B$27-基础信息!$B$26-基础信息!$L$40)-BT17)*基础信息!$B$28/1.09</f>
        <v>0</v>
      </c>
      <c r="BU23" s="152">
        <f ca="1">(BU4*(基础信息!$B$27-基础信息!$B$26-基础信息!$L$40)-BU17)*基础信息!$B$28/1.09</f>
        <v>0</v>
      </c>
      <c r="BV23" s="152">
        <f ca="1">(BV4*(基础信息!$B$27-基础信息!$B$26-基础信息!$L$40)-BV17)*基础信息!$B$28/1.09</f>
        <v>0</v>
      </c>
      <c r="BW23" s="152">
        <f ca="1">(BW4*(基础信息!$B$27-基础信息!$B$26-基础信息!$L$40)-BW17)*基础信息!$B$28/1.09</f>
        <v>0</v>
      </c>
      <c r="BX23" s="152">
        <f ca="1">(BX4*(基础信息!$B$27-基础信息!$B$26-基础信息!$L$40)-BX17)*基础信息!$B$28/1.09</f>
        <v>0</v>
      </c>
      <c r="BY23" s="152">
        <f ca="1">(BY4*(基础信息!$B$27-基础信息!$B$26-基础信息!$L$40)-BY17)*基础信息!$B$28/1.09</f>
        <v>0</v>
      </c>
      <c r="BZ23" s="152">
        <f ca="1">(BZ4*(基础信息!$B$27-基础信息!$B$26-基础信息!$L$40)-BZ17)*基础信息!$B$28/1.09</f>
        <v>0</v>
      </c>
      <c r="CA23" s="152">
        <f ca="1">(CA4*(基础信息!$B$27-基础信息!$B$26-基础信息!$L$40)-CA17)*基础信息!$B$28/1.09</f>
        <v>0</v>
      </c>
      <c r="CB23" s="152">
        <f ca="1">(CB4*(基础信息!$B$27-基础信息!$B$26-基础信息!$L$40)-CB17)*基础信息!$B$28/1.09</f>
        <v>0</v>
      </c>
      <c r="CC23" s="152">
        <f ca="1">(CC4*(基础信息!$B$27-基础信息!$B$26-基础信息!$L$40)-CC17)*基础信息!$B$28/1.09</f>
        <v>0</v>
      </c>
      <c r="CD23" s="152">
        <f ca="1">(CD4*(基础信息!$B$27-基础信息!$B$26-基础信息!$L$40)-CD17)*基础信息!$B$28/1.09</f>
        <v>0</v>
      </c>
      <c r="CE23" s="152">
        <f ca="1">(CE4*(基础信息!$B$27-基础信息!$B$26-基础信息!$L$40)-CE17)*基础信息!$B$28/1.09</f>
        <v>0</v>
      </c>
      <c r="CF23" s="152">
        <f ca="1">(CF4*(基础信息!$B$27-基础信息!$B$26-基础信息!$L$40)-CF17)*基础信息!$B$28/1.09</f>
        <v>0</v>
      </c>
      <c r="CG23" s="152">
        <f ca="1">(CG4*(基础信息!$B$27-基础信息!$B$26-基础信息!$L$40)-CG17)*基础信息!$B$28/1.09</f>
        <v>0</v>
      </c>
      <c r="CH23" s="152">
        <f ca="1">(CH4*(基础信息!$B$27-基础信息!$B$26-基础信息!$L$40)-CH17)*基础信息!$B$28/1.09</f>
        <v>0</v>
      </c>
      <c r="CI23" s="141"/>
    </row>
    <row r="24" spans="1:87" outlineLevel="1">
      <c r="A24" s="145" t="s">
        <v>333</v>
      </c>
      <c r="B24" s="1088">
        <f t="shared" ca="1" si="0"/>
        <v>1690.9036141375218</v>
      </c>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4">
        <f t="shared" ref="AC24:AR24" ca="1" si="30">SUM(AC25:AC27)</f>
        <v>0</v>
      </c>
      <c r="AD24" s="124">
        <f t="shared" si="30"/>
        <v>0</v>
      </c>
      <c r="AE24" s="124">
        <f t="shared" si="30"/>
        <v>0</v>
      </c>
      <c r="AF24" s="124">
        <f t="shared" si="30"/>
        <v>0</v>
      </c>
      <c r="AG24" s="124">
        <f t="shared" si="30"/>
        <v>0</v>
      </c>
      <c r="AH24" s="124">
        <f t="shared" si="30"/>
        <v>0</v>
      </c>
      <c r="AI24" s="124">
        <f t="shared" si="30"/>
        <v>0</v>
      </c>
      <c r="AJ24" s="124">
        <f t="shared" si="30"/>
        <v>0</v>
      </c>
      <c r="AK24" s="124">
        <f t="shared" si="30"/>
        <v>0</v>
      </c>
      <c r="AL24" s="124">
        <f ca="1">SUM(AL25:AL27)</f>
        <v>-1286.6699356019894</v>
      </c>
      <c r="AM24" s="124">
        <f>SUM(AM25:AM27)</f>
        <v>0</v>
      </c>
      <c r="AN24" s="124">
        <f>SUM(AN25:AN27)</f>
        <v>0</v>
      </c>
      <c r="AO24" s="124">
        <f>SUM(AO25:AO27)</f>
        <v>0</v>
      </c>
      <c r="AP24" s="124">
        <f t="shared" si="30"/>
        <v>0</v>
      </c>
      <c r="AQ24" s="124">
        <f t="shared" si="30"/>
        <v>0</v>
      </c>
      <c r="AR24" s="124">
        <f t="shared" si="30"/>
        <v>0</v>
      </c>
      <c r="AS24" s="124">
        <f>SUM(AS25:AS27)</f>
        <v>0</v>
      </c>
      <c r="AT24" s="124">
        <f t="shared" ref="AT24:BP24" si="31">SUM(AT25:AT27)</f>
        <v>0</v>
      </c>
      <c r="AU24" s="124">
        <f t="shared" si="31"/>
        <v>0</v>
      </c>
      <c r="AV24" s="124">
        <f t="shared" si="31"/>
        <v>0</v>
      </c>
      <c r="AW24" s="124">
        <f t="shared" si="31"/>
        <v>0</v>
      </c>
      <c r="AX24" s="124">
        <f t="shared" ca="1" si="31"/>
        <v>-2971.7659783405952</v>
      </c>
      <c r="AY24" s="124">
        <f t="shared" si="31"/>
        <v>0</v>
      </c>
      <c r="AZ24" s="124">
        <f t="shared" si="31"/>
        <v>0</v>
      </c>
      <c r="BA24" s="124">
        <f t="shared" si="31"/>
        <v>0</v>
      </c>
      <c r="BB24" s="124">
        <f t="shared" si="31"/>
        <v>0</v>
      </c>
      <c r="BC24" s="124">
        <f t="shared" si="31"/>
        <v>0</v>
      </c>
      <c r="BD24" s="124">
        <f t="shared" si="31"/>
        <v>0</v>
      </c>
      <c r="BE24" s="124">
        <f t="shared" si="31"/>
        <v>0</v>
      </c>
      <c r="BF24" s="124">
        <f t="shared" si="31"/>
        <v>0</v>
      </c>
      <c r="BG24" s="124">
        <f t="shared" si="31"/>
        <v>0</v>
      </c>
      <c r="BH24" s="124">
        <f t="shared" si="31"/>
        <v>0</v>
      </c>
      <c r="BI24" s="124">
        <f t="shared" si="31"/>
        <v>0</v>
      </c>
      <c r="BJ24" s="124">
        <f t="shared" ca="1" si="31"/>
        <v>-641.12689129948501</v>
      </c>
      <c r="BK24" s="124">
        <f t="shared" si="31"/>
        <v>0</v>
      </c>
      <c r="BL24" s="124">
        <f t="shared" si="31"/>
        <v>0</v>
      </c>
      <c r="BM24" s="124">
        <f t="shared" si="31"/>
        <v>0</v>
      </c>
      <c r="BN24" s="124">
        <f t="shared" si="31"/>
        <v>0</v>
      </c>
      <c r="BO24" s="124">
        <f t="shared" si="31"/>
        <v>0</v>
      </c>
      <c r="BP24" s="124">
        <f t="shared" si="31"/>
        <v>0</v>
      </c>
      <c r="BQ24" s="124">
        <f>SUM(BQ25:BQ27)</f>
        <v>0</v>
      </c>
      <c r="BR24" s="124">
        <f>SUM(BR25:BR27)</f>
        <v>0</v>
      </c>
      <c r="BS24" s="124">
        <f>SUM(BS25:BS27)</f>
        <v>0</v>
      </c>
      <c r="BT24" s="124">
        <f>SUM(BT25:BT27)</f>
        <v>0</v>
      </c>
      <c r="BU24" s="124">
        <f t="shared" ref="BU24:CD24" si="32">SUM(BU25:BU27)</f>
        <v>0</v>
      </c>
      <c r="BV24" s="124">
        <f t="shared" ca="1" si="32"/>
        <v>6590.4664193795916</v>
      </c>
      <c r="BW24" s="124">
        <f t="shared" ca="1" si="32"/>
        <v>0</v>
      </c>
      <c r="BX24" s="124">
        <f t="shared" si="32"/>
        <v>0</v>
      </c>
      <c r="BY24" s="124">
        <f t="shared" si="32"/>
        <v>0</v>
      </c>
      <c r="BZ24" s="124">
        <f t="shared" si="32"/>
        <v>0</v>
      </c>
      <c r="CA24" s="124">
        <f t="shared" si="32"/>
        <v>0</v>
      </c>
      <c r="CB24" s="124">
        <f t="shared" si="32"/>
        <v>0</v>
      </c>
      <c r="CC24" s="124">
        <f t="shared" si="32"/>
        <v>0</v>
      </c>
      <c r="CD24" s="124">
        <f t="shared" si="32"/>
        <v>0</v>
      </c>
      <c r="CE24" s="124">
        <f t="shared" ref="CE24" si="33">SUM(CE25:CE27)</f>
        <v>0</v>
      </c>
      <c r="CF24" s="124">
        <f t="shared" ref="CF24" si="34">SUM(CF25:CF27)</f>
        <v>0</v>
      </c>
      <c r="CG24" s="124">
        <f t="shared" ref="CG24:CH24" si="35">SUM(CG25:CG27)</f>
        <v>0</v>
      </c>
      <c r="CH24" s="124">
        <f t="shared" ca="1" si="35"/>
        <v>0</v>
      </c>
    </row>
    <row r="25" spans="1:87" outlineLevel="1">
      <c r="A25" s="151" t="s">
        <v>931</v>
      </c>
      <c r="B25" s="1089">
        <f t="shared" ca="1" si="0"/>
        <v>-730.78917395524957</v>
      </c>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f ca="1">SUM(Y4:AB4)/1.09*(基础信息!$B$33-0.03)*1.1</f>
        <v>0</v>
      </c>
      <c r="AD25" s="152"/>
      <c r="AE25" s="152"/>
      <c r="AF25" s="152"/>
      <c r="AG25" s="152"/>
      <c r="AH25" s="152"/>
      <c r="AI25" s="152"/>
      <c r="AJ25" s="152"/>
      <c r="AK25" s="152"/>
      <c r="AL25" s="152">
        <f ca="1">SUM(AC4:AK4)/1.09*(基础信息!$B$33-0.03)*1.1</f>
        <v>0</v>
      </c>
      <c r="AM25" s="152"/>
      <c r="AN25" s="152"/>
      <c r="AO25" s="152"/>
      <c r="AP25" s="152"/>
      <c r="AQ25" s="152"/>
      <c r="AR25" s="152"/>
      <c r="AS25" s="152"/>
      <c r="AT25" s="152"/>
      <c r="AU25" s="152"/>
      <c r="AV25" s="152"/>
      <c r="AW25" s="152"/>
      <c r="AX25" s="152">
        <f ca="1">SUM(AL4:AW4)/1.09*(基础信息!$B$33-0.03)*1.1</f>
        <v>-444.37296148825783</v>
      </c>
      <c r="AY25" s="152"/>
      <c r="AZ25" s="152"/>
      <c r="BA25" s="152"/>
      <c r="BB25" s="152"/>
      <c r="BC25" s="152"/>
      <c r="BD25" s="152"/>
      <c r="BE25" s="152"/>
      <c r="BF25" s="152"/>
      <c r="BG25" s="152"/>
      <c r="BH25" s="152"/>
      <c r="BI25" s="152"/>
      <c r="BJ25" s="152">
        <f ca="1">SUM(AX4:BI4)/1.09*(基础信息!$B$33-0.03)*1.1</f>
        <v>-127.03287435940307</v>
      </c>
      <c r="BK25" s="152"/>
      <c r="BL25" s="152"/>
      <c r="BM25" s="152"/>
      <c r="BN25" s="152"/>
      <c r="BO25" s="152"/>
      <c r="BP25" s="152"/>
      <c r="BQ25" s="152"/>
      <c r="BR25" s="152"/>
      <c r="BS25" s="152"/>
      <c r="BT25" s="152"/>
      <c r="BU25" s="152"/>
      <c r="BV25" s="152">
        <f ca="1">SUM(BJ4:BU4)/1.09*(基础信息!$B$33-0.03)*1.1</f>
        <v>-1.6558918788060257</v>
      </c>
      <c r="BW25" s="152"/>
      <c r="BX25" s="152"/>
      <c r="BY25" s="152"/>
      <c r="BZ25" s="152"/>
      <c r="CA25" s="152"/>
      <c r="CB25" s="152"/>
      <c r="CC25" s="152"/>
      <c r="CD25" s="152"/>
      <c r="CE25" s="152"/>
      <c r="CF25" s="152"/>
      <c r="CG25" s="152"/>
      <c r="CH25" s="152">
        <f ca="1">SUM(BV4:CG4)/1.09*(基础信息!$B$33-0.03)*1.1</f>
        <v>0</v>
      </c>
      <c r="CI25" s="141"/>
    </row>
    <row r="26" spans="1:87" outlineLevel="1">
      <c r="A26" s="151" t="s">
        <v>334</v>
      </c>
      <c r="B26" s="1089">
        <f t="shared" ca="1" si="0"/>
        <v>2421.6927880927715</v>
      </c>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f ca="1">(SUM(结算利润!$C28:AA28)+SUM(结算利润!$C23:AA23)-SUM($C23:AB23)-SUM($C26:AB26))</f>
        <v>0</v>
      </c>
      <c r="AD26" s="152"/>
      <c r="AE26" s="152"/>
      <c r="AF26" s="152"/>
      <c r="AG26" s="152"/>
      <c r="AH26" s="152"/>
      <c r="AI26" s="152"/>
      <c r="AJ26" s="152"/>
      <c r="AK26" s="152"/>
      <c r="AL26" s="152">
        <f ca="1">(SUM(结算利润!$C28:AJ28)+SUM(结算利润!$C23:AJ23)-SUM($C23:AK23)-SUM($C26:AK26))</f>
        <v>-1128.9424893732069</v>
      </c>
      <c r="AM26" s="152"/>
      <c r="AN26" s="152"/>
      <c r="AO26" s="152"/>
      <c r="AP26" s="152"/>
      <c r="AQ26" s="152"/>
      <c r="AR26" s="152"/>
      <c r="AS26" s="152"/>
      <c r="AT26" s="152"/>
      <c r="AU26" s="152"/>
      <c r="AV26" s="152"/>
      <c r="AW26" s="152"/>
      <c r="AX26" s="152">
        <f ca="1">(SUM(结算利润!$C28:AV28)+SUM(结算利润!$C23:AV23)-SUM($C23:AW23)-SUM($C26:AW26))</f>
        <v>-2527.3930168523375</v>
      </c>
      <c r="AY26" s="152"/>
      <c r="AZ26" s="152"/>
      <c r="BA26" s="152"/>
      <c r="BB26" s="152"/>
      <c r="BC26" s="152"/>
      <c r="BD26" s="152"/>
      <c r="BE26" s="152"/>
      <c r="BF26" s="152"/>
      <c r="BG26" s="152"/>
      <c r="BH26" s="152"/>
      <c r="BI26" s="152"/>
      <c r="BJ26" s="152">
        <f ca="1">(SUM(结算利润!$C28:BH28)+SUM(结算利润!$C23:BH23)-SUM($C23:BI23)-SUM($C26:BI26))</f>
        <v>-514.09401694008193</v>
      </c>
      <c r="BK26" s="152"/>
      <c r="BL26" s="152"/>
      <c r="BM26" s="152"/>
      <c r="BN26" s="152"/>
      <c r="BO26" s="152"/>
      <c r="BP26" s="152"/>
      <c r="BQ26" s="152"/>
      <c r="BR26" s="152"/>
      <c r="BS26" s="152"/>
      <c r="BT26" s="152"/>
      <c r="BU26" s="152"/>
      <c r="BV26" s="152">
        <f ca="1">(SUM(结算利润!$C28:BT28)+SUM(结算利润!$C23:BT23)-SUM($C23:BU23)-SUM($C26:BU26))</f>
        <v>6592.1223112583975</v>
      </c>
      <c r="BW26" s="152"/>
      <c r="BX26" s="152"/>
      <c r="BY26" s="152"/>
      <c r="BZ26" s="152"/>
      <c r="CA26" s="152"/>
      <c r="CB26" s="152"/>
      <c r="CC26" s="152"/>
      <c r="CD26" s="152"/>
      <c r="CE26" s="152"/>
      <c r="CF26" s="152"/>
      <c r="CG26" s="152"/>
      <c r="CH26" s="152">
        <f ca="1">(SUM(结算利润!$C28:CF28)+SUM(结算利润!$C23:CF23)-SUM($C23:CG23)-SUM($C26:CG26))</f>
        <v>0</v>
      </c>
    </row>
    <row r="27" spans="1:87" outlineLevel="1">
      <c r="A27" s="151" t="s">
        <v>295</v>
      </c>
      <c r="B27" s="1089">
        <f t="shared" ca="1" si="0"/>
        <v>0</v>
      </c>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f>IF(AC2=基础信息!$B$11,土地增值税!$G$20-土地增值税!$G$16,0)</f>
        <v>0</v>
      </c>
      <c r="AD27" s="152">
        <f>IF(AD2=基础信息!$B$11,土地增值税!$G$20-土地增值税!$G$16,0)</f>
        <v>0</v>
      </c>
      <c r="AE27" s="152">
        <f>IF(AE2=基础信息!$B$11,土地增值税!$G$20-土地增值税!$G$16,0)</f>
        <v>0</v>
      </c>
      <c r="AF27" s="152">
        <f>IF(AF2=基础信息!$B$11,土地增值税!$G$20-土地增值税!$G$16,0)</f>
        <v>0</v>
      </c>
      <c r="AG27" s="152">
        <f>IF(AG2=基础信息!$B$11,土地增值税!$G$20-土地增值税!$G$16,0)</f>
        <v>0</v>
      </c>
      <c r="AH27" s="152">
        <f>IF(AH2=基础信息!$B$11,土地增值税!$G$20-土地增值税!$G$16,0)</f>
        <v>0</v>
      </c>
      <c r="AI27" s="152">
        <f>IF(AI2=基础信息!$B$11,土地增值税!$G$20-土地增值税!$G$16,0)</f>
        <v>0</v>
      </c>
      <c r="AJ27" s="152">
        <f>IF(AJ2=基础信息!$B$11,土地增值税!$G$20-土地增值税!$G$16,0)</f>
        <v>0</v>
      </c>
      <c r="AK27" s="152">
        <f>IF(AK2=基础信息!$B$11,土地增值税!$G$20-土地增值税!$G$16,0)</f>
        <v>0</v>
      </c>
      <c r="AL27" s="152">
        <f>IF(AL2=基础信息!$B$11,土地增值税!$G$20-土地增值税!$G$16,0)</f>
        <v>0</v>
      </c>
      <c r="AM27" s="152">
        <f>IF(AM2=基础信息!$B$11,土地增值税!$G$20-土地增值税!$G$16,0)</f>
        <v>0</v>
      </c>
      <c r="AN27" s="152">
        <f>IF(AN2=基础信息!$B$11,土地增值税!$G$20-土地增值税!$G$16,0)</f>
        <v>0</v>
      </c>
      <c r="AO27" s="152">
        <f>IF(AO2=基础信息!$B$11,土地增值税!$G$20-土地增值税!$G$16,0)</f>
        <v>0</v>
      </c>
      <c r="AP27" s="152">
        <f>IF(AP2=基础信息!$B$11,土地增值税!$G$20-土地增值税!$G$16,0)</f>
        <v>0</v>
      </c>
      <c r="AQ27" s="152">
        <f>IF(AQ2=基础信息!$B$11,土地增值税!$G$20-土地增值税!$G$16,0)</f>
        <v>0</v>
      </c>
      <c r="AR27" s="152">
        <f>IF(AR2=基础信息!$B$11,土地增值税!$G$20-土地增值税!$G$16,0)</f>
        <v>0</v>
      </c>
      <c r="AS27" s="152">
        <f>IF(AS2=基础信息!$B$11,土地增值税!$G$20-土地增值税!$G$16,0)</f>
        <v>0</v>
      </c>
      <c r="AT27" s="152">
        <f>IF(AT2=基础信息!$B$11,土地增值税!$G$20-土地增值税!$G$16,0)</f>
        <v>0</v>
      </c>
      <c r="AU27" s="152">
        <f>IF(AU2=基础信息!$B$11,土地增值税!$G$20-土地增值税!$G$16,0)</f>
        <v>0</v>
      </c>
      <c r="AV27" s="152">
        <f>IF(AV2=基础信息!$B$11,土地增值税!$G$20-土地增值税!$G$16,0)</f>
        <v>0</v>
      </c>
      <c r="AW27" s="152">
        <f>IF(AW2=基础信息!$B$11,土地增值税!$G$20-土地增值税!$G$16,0)</f>
        <v>0</v>
      </c>
      <c r="AX27" s="152">
        <f>IF(AX2=基础信息!$B$11,土地增值税!$G$20-土地增值税!$G$16,0)</f>
        <v>0</v>
      </c>
      <c r="AY27" s="152">
        <f>IF(AY2=基础信息!$B$11,土地增值税!$G$20-土地增值税!$G$16,0)</f>
        <v>0</v>
      </c>
      <c r="AZ27" s="152">
        <f>IF(AZ2=基础信息!$B$11,土地增值税!$G$20-土地增值税!$G$16,0)</f>
        <v>0</v>
      </c>
      <c r="BA27" s="152">
        <f>IF(BA2=基础信息!$B$11,土地增值税!$G$20-土地增值税!$G$16,0)</f>
        <v>0</v>
      </c>
      <c r="BB27" s="152">
        <f>IF(BB2=基础信息!$B$11,土地增值税!$G$20-土地增值税!$G$16,0)</f>
        <v>0</v>
      </c>
      <c r="BC27" s="152">
        <f>IF(BC2=基础信息!$B$11,土地增值税!$G$20-土地增值税!$G$16,0)</f>
        <v>0</v>
      </c>
      <c r="BD27" s="152">
        <f>IF(BD2=基础信息!$B$11,土地增值税!$G$20-土地增值税!$G$16,0)</f>
        <v>0</v>
      </c>
      <c r="BE27" s="152">
        <f>IF(BE2=基础信息!$B$11,土地增值税!$G$20-土地增值税!$G$16,0)</f>
        <v>0</v>
      </c>
      <c r="BF27" s="152">
        <f>IF(BF2=基础信息!$B$11,土地增值税!$G$20-土地增值税!$G$16,0)</f>
        <v>0</v>
      </c>
      <c r="BG27" s="152">
        <f>IF(BG2=基础信息!$B$11,土地增值税!$G$20-土地增值税!$G$16,0)</f>
        <v>0</v>
      </c>
      <c r="BH27" s="152">
        <f>IF(BH2=基础信息!$B$11,土地增值税!$G$20-土地增值税!$G$16,0)</f>
        <v>0</v>
      </c>
      <c r="BI27" s="152">
        <f>IF(BI2=基础信息!$B$11,土地增值税!$G$20-土地增值税!$G$16,0)</f>
        <v>0</v>
      </c>
      <c r="BJ27" s="152">
        <f>IF(BJ2=基础信息!$B$11,土地增值税!$G$20-土地增值税!$G$16,0)</f>
        <v>0</v>
      </c>
      <c r="BK27" s="152">
        <f>IF(BK2=基础信息!$B$11,土地增值税!$G$20-土地增值税!$G$16,0)</f>
        <v>0</v>
      </c>
      <c r="BL27" s="152">
        <f>IF(BL2=基础信息!$B$11,土地增值税!$G$20-土地增值税!$G$16,0)</f>
        <v>0</v>
      </c>
      <c r="BM27" s="152">
        <f>IF(BM2=基础信息!$B$11,土地增值税!$G$20-土地增值税!$G$16,0)</f>
        <v>0</v>
      </c>
      <c r="BN27" s="152">
        <f>IF(BN2=基础信息!$B$11,土地增值税!$G$20-土地增值税!$G$16,0)</f>
        <v>0</v>
      </c>
      <c r="BO27" s="152">
        <f>IF(BO2=基础信息!$B$11,土地增值税!$G$20-土地增值税!$G$16,0)</f>
        <v>0</v>
      </c>
      <c r="BP27" s="152">
        <f>IF(BP2=基础信息!$B$11,土地增值税!$G$20-土地增值税!$G$16,0)</f>
        <v>0</v>
      </c>
      <c r="BQ27" s="152">
        <f>IF(BQ2=基础信息!$B$11,土地增值税!$G$20-土地增值税!$G$16,0)</f>
        <v>0</v>
      </c>
      <c r="BR27" s="152">
        <f>IF(BR2=基础信息!$B$11,土地增值税!$G$20-土地增值税!$G$16,0)</f>
        <v>0</v>
      </c>
      <c r="BS27" s="152">
        <f>IF(BS2=基础信息!$B$11,土地增值税!$G$20-土地增值税!$G$16,0)</f>
        <v>0</v>
      </c>
      <c r="BT27" s="152">
        <f>IF(BT2=基础信息!$B$11,土地增值税!$G$20-土地增值税!$G$16,0)</f>
        <v>0</v>
      </c>
      <c r="BU27" s="152">
        <f>IF(BU2=基础信息!$B$11,土地增值税!$G$20-土地增值税!$G$16,0)</f>
        <v>0</v>
      </c>
      <c r="BV27" s="152">
        <f>IF(BV2=基础信息!$B$11,土地增值税!$G$20-土地增值税!$G$16,0)</f>
        <v>0</v>
      </c>
      <c r="BW27" s="152">
        <f ca="1">IF(BW2=基础信息!$B$11,土地增值税!$G$20-土地增值税!$G$16,0)</f>
        <v>0</v>
      </c>
      <c r="BX27" s="152">
        <f>IF(BX2=基础信息!$B$11,土地增值税!$G$20-土地增值税!$G$16,0)</f>
        <v>0</v>
      </c>
      <c r="BY27" s="152">
        <f>IF(BY2=基础信息!$B$11,土地增值税!$G$20-土地增值税!$G$16,0)</f>
        <v>0</v>
      </c>
      <c r="BZ27" s="152">
        <f>IF(BZ2=基础信息!$B$11,土地增值税!$G$20-土地增值税!$G$16,0)</f>
        <v>0</v>
      </c>
      <c r="CA27" s="152">
        <f>IF(CA2=基础信息!$B$11,土地增值税!$G$20-土地增值税!$G$16,0)</f>
        <v>0</v>
      </c>
      <c r="CB27" s="152">
        <f>IF(CB2=基础信息!$B$11,土地增值税!$G$20-土地增值税!$G$16,0)</f>
        <v>0</v>
      </c>
      <c r="CC27" s="152">
        <f>IF(CC2=基础信息!$B$11,土地增值税!$G$20-土地增值税!$G$16,0)</f>
        <v>0</v>
      </c>
      <c r="CD27" s="152">
        <f>IF(CD2=基础信息!$B$11,土地增值税!$G$20-土地增值税!$G$16,0)</f>
        <v>0</v>
      </c>
      <c r="CE27" s="152">
        <f>IF(CE2=基础信息!$B$11,土地增值税!$G$20-土地增值税!$G$16,0)</f>
        <v>0</v>
      </c>
      <c r="CF27" s="152">
        <f>IF(CF2=基础信息!$B$11,土地增值税!$G$20-土地增值税!$G$16,0)</f>
        <v>0</v>
      </c>
      <c r="CG27" s="152">
        <f>IF(CG2=基础信息!$B$11,土地增值税!$G$20-土地增值税!$G$16,0)</f>
        <v>0</v>
      </c>
      <c r="CH27" s="152">
        <f>IF(CH2=基础信息!$B$11,土地增值税!$G$20-土地增值税!$G$16,0)</f>
        <v>0</v>
      </c>
      <c r="CI27" s="141"/>
    </row>
    <row r="28" spans="1:87" outlineLevel="1"/>
    <row r="29" spans="1:87" s="7" customFormat="1" ht="13">
      <c r="A29" s="153" t="s">
        <v>335</v>
      </c>
      <c r="B29" s="153">
        <f ca="1">SUM(C29:CH29)</f>
        <v>17640.762430668929</v>
      </c>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f ca="1">AC8-AC9</f>
        <v>0</v>
      </c>
      <c r="AD29" s="153">
        <f t="shared" ref="AD29:BT29" ca="1" si="36">AD8-AD9</f>
        <v>0</v>
      </c>
      <c r="AE29" s="153">
        <f t="shared" ca="1" si="36"/>
        <v>-33863.869440000002</v>
      </c>
      <c r="AF29" s="153">
        <f t="shared" ca="1" si="36"/>
        <v>-5012.2351247208153</v>
      </c>
      <c r="AG29" s="153">
        <f t="shared" ca="1" si="36"/>
        <v>-785.27808312250829</v>
      </c>
      <c r="AH29" s="153">
        <f t="shared" ca="1" si="36"/>
        <v>-474.92176662250858</v>
      </c>
      <c r="AI29" s="153">
        <f t="shared" ca="1" si="36"/>
        <v>2386.9478784900593</v>
      </c>
      <c r="AJ29" s="153">
        <f t="shared" ca="1" si="36"/>
        <v>8845.9954965223951</v>
      </c>
      <c r="AK29" s="153">
        <f t="shared" ca="1" si="36"/>
        <v>2725.3658219508352</v>
      </c>
      <c r="AL29" s="153">
        <f t="shared" ca="1" si="36"/>
        <v>8205.3685683345375</v>
      </c>
      <c r="AM29" s="153">
        <f t="shared" ca="1" si="36"/>
        <v>1398.665602630082</v>
      </c>
      <c r="AN29" s="153">
        <f t="shared" ca="1" si="36"/>
        <v>2194.3215962645936</v>
      </c>
      <c r="AO29" s="153">
        <f t="shared" ca="1" si="36"/>
        <v>4803.6815827946903</v>
      </c>
      <c r="AP29" s="153">
        <f t="shared" ca="1" si="36"/>
        <v>1736.0531710525652</v>
      </c>
      <c r="AQ29" s="153">
        <f t="shared" ca="1" si="36"/>
        <v>6679.0862633455972</v>
      </c>
      <c r="AR29" s="153">
        <f t="shared" ca="1" si="36"/>
        <v>733.88799203410235</v>
      </c>
      <c r="AS29" s="153">
        <f t="shared" ca="1" si="36"/>
        <v>662.85549226042076</v>
      </c>
      <c r="AT29" s="153">
        <f t="shared" ca="1" si="36"/>
        <v>-0.30939292077346181</v>
      </c>
      <c r="AU29" s="153">
        <f t="shared" ca="1" si="36"/>
        <v>7132.2536241957268</v>
      </c>
      <c r="AV29" s="153">
        <f t="shared" ca="1" si="36"/>
        <v>1308.1644780463002</v>
      </c>
      <c r="AW29" s="153">
        <f t="shared" ca="1" si="36"/>
        <v>624.61329421111986</v>
      </c>
      <c r="AX29" s="153">
        <f t="shared" ca="1" si="36"/>
        <v>4478.23160409707</v>
      </c>
      <c r="AY29" s="153">
        <f t="shared" ca="1" si="36"/>
        <v>724.01703318919726</v>
      </c>
      <c r="AZ29" s="153">
        <f t="shared" ca="1" si="36"/>
        <v>419.5547922671567</v>
      </c>
      <c r="BA29" s="153">
        <f t="shared" ca="1" si="36"/>
        <v>869.46488720682692</v>
      </c>
      <c r="BB29" s="153">
        <f t="shared" ca="1" si="36"/>
        <v>-1782.0394982838229</v>
      </c>
      <c r="BC29" s="153">
        <f t="shared" ca="1" si="36"/>
        <v>-1213.5691897256268</v>
      </c>
      <c r="BD29" s="153">
        <f t="shared" ca="1" si="36"/>
        <v>-1079.5543066621119</v>
      </c>
      <c r="BE29" s="153">
        <f t="shared" ca="1" si="36"/>
        <v>-1070.2995316116535</v>
      </c>
      <c r="BF29" s="153">
        <f t="shared" ca="1" si="36"/>
        <v>-1070.2995316116535</v>
      </c>
      <c r="BG29" s="153">
        <f t="shared" ca="1" si="36"/>
        <v>-813.62362082065079</v>
      </c>
      <c r="BH29" s="153">
        <f t="shared" ca="1" si="36"/>
        <v>-665.54722001331425</v>
      </c>
      <c r="BI29" s="153">
        <f t="shared" ca="1" si="36"/>
        <v>-587.8945130993942</v>
      </c>
      <c r="BJ29" s="153">
        <f t="shared" ca="1" si="36"/>
        <v>163.2323753810017</v>
      </c>
      <c r="BK29" s="153">
        <f t="shared" ca="1" si="36"/>
        <v>-553.4687925032639</v>
      </c>
      <c r="BL29" s="153">
        <f t="shared" ca="1" si="36"/>
        <v>-228.35948715504747</v>
      </c>
      <c r="BM29" s="153">
        <f t="shared" ca="1" si="36"/>
        <v>-228.35948715504747</v>
      </c>
      <c r="BN29" s="153">
        <f t="shared" ca="1" si="36"/>
        <v>-228.35948715504747</v>
      </c>
      <c r="BO29" s="153">
        <f t="shared" ca="1" si="36"/>
        <v>12443.755643720982</v>
      </c>
      <c r="BP29" s="153">
        <f t="shared" ca="1" si="36"/>
        <v>-75.181024763494918</v>
      </c>
      <c r="BQ29" s="153">
        <f t="shared" ca="1" si="36"/>
        <v>0</v>
      </c>
      <c r="BR29" s="153">
        <f t="shared" ca="1" si="36"/>
        <v>0</v>
      </c>
      <c r="BS29" s="153">
        <f t="shared" ca="1" si="36"/>
        <v>0</v>
      </c>
      <c r="BT29" s="153">
        <f t="shared" ca="1" si="36"/>
        <v>0</v>
      </c>
      <c r="BU29" s="153">
        <f t="shared" ref="BU29:CD29" ca="1" si="37">BU8-BU9</f>
        <v>5428.8811500000011</v>
      </c>
      <c r="BV29" s="153">
        <f t="shared" ca="1" si="37"/>
        <v>-6590.4664193795916</v>
      </c>
      <c r="BW29" s="153">
        <f t="shared" ca="1" si="37"/>
        <v>0</v>
      </c>
      <c r="BX29" s="153">
        <f t="shared" ca="1" si="37"/>
        <v>0</v>
      </c>
      <c r="BY29" s="153">
        <f t="shared" ca="1" si="37"/>
        <v>0</v>
      </c>
      <c r="BZ29" s="153">
        <f t="shared" ca="1" si="37"/>
        <v>0</v>
      </c>
      <c r="CA29" s="153">
        <f t="shared" ca="1" si="37"/>
        <v>0</v>
      </c>
      <c r="CB29" s="153">
        <f t="shared" ca="1" si="37"/>
        <v>0</v>
      </c>
      <c r="CC29" s="153">
        <f t="shared" ca="1" si="37"/>
        <v>0</v>
      </c>
      <c r="CD29" s="153">
        <f t="shared" ca="1" si="37"/>
        <v>0</v>
      </c>
      <c r="CE29" s="153">
        <f t="shared" ref="CE29:CG29" ca="1" si="38">CE8-CE9</f>
        <v>0</v>
      </c>
      <c r="CF29" s="153">
        <f t="shared" ca="1" si="38"/>
        <v>0</v>
      </c>
      <c r="CG29" s="153">
        <f t="shared" ca="1" si="38"/>
        <v>0</v>
      </c>
      <c r="CH29" s="153">
        <f t="shared" ref="CH29" ca="1" si="39">CH8-CH9</f>
        <v>0</v>
      </c>
      <c r="CI29" s="141"/>
    </row>
    <row r="30" spans="1:87" s="7" customFormat="1" ht="13">
      <c r="A30" s="153" t="s">
        <v>336</v>
      </c>
      <c r="B30" s="154">
        <f ca="1">MIN(C30:CH30)</f>
        <v>-40136.304414465834</v>
      </c>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f t="shared" ref="AC30:AW30" ca="1" si="40">AC29+AB30</f>
        <v>0</v>
      </c>
      <c r="AD30" s="153">
        <f t="shared" ca="1" si="40"/>
        <v>0</v>
      </c>
      <c r="AE30" s="153">
        <f t="shared" ca="1" si="40"/>
        <v>-33863.869440000002</v>
      </c>
      <c r="AF30" s="153">
        <f t="shared" ca="1" si="40"/>
        <v>-38876.104564720816</v>
      </c>
      <c r="AG30" s="153">
        <f t="shared" ca="1" si="40"/>
        <v>-39661.382647843326</v>
      </c>
      <c r="AH30" s="153">
        <f t="shared" ca="1" si="40"/>
        <v>-40136.304414465834</v>
      </c>
      <c r="AI30" s="153">
        <f t="shared" ca="1" si="40"/>
        <v>-37749.356535975778</v>
      </c>
      <c r="AJ30" s="153">
        <f t="shared" ca="1" si="40"/>
        <v>-28903.361039453383</v>
      </c>
      <c r="AK30" s="153">
        <f t="shared" ca="1" si="40"/>
        <v>-26177.995217502546</v>
      </c>
      <c r="AL30" s="153">
        <f t="shared" ca="1" si="40"/>
        <v>-17972.626649168007</v>
      </c>
      <c r="AM30" s="153">
        <f t="shared" ca="1" si="40"/>
        <v>-16573.961046537926</v>
      </c>
      <c r="AN30" s="153">
        <f t="shared" ca="1" si="40"/>
        <v>-14379.639450273333</v>
      </c>
      <c r="AO30" s="153">
        <f t="shared" ca="1" si="40"/>
        <v>-9575.9578674786426</v>
      </c>
      <c r="AP30" s="153">
        <f t="shared" ca="1" si="40"/>
        <v>-7839.9046964260779</v>
      </c>
      <c r="AQ30" s="153">
        <f t="shared" ca="1" si="40"/>
        <v>-1160.8184330804806</v>
      </c>
      <c r="AR30" s="153">
        <f t="shared" ca="1" si="40"/>
        <v>-426.93044104637829</v>
      </c>
      <c r="AS30" s="153">
        <f t="shared" ca="1" si="40"/>
        <v>235.92505121404247</v>
      </c>
      <c r="AT30" s="153">
        <f t="shared" ca="1" si="40"/>
        <v>235.61565829326901</v>
      </c>
      <c r="AU30" s="153">
        <f t="shared" ca="1" si="40"/>
        <v>7367.8692824889959</v>
      </c>
      <c r="AV30" s="153">
        <f t="shared" ca="1" si="40"/>
        <v>8676.0337605352961</v>
      </c>
      <c r="AW30" s="153">
        <f t="shared" ca="1" si="40"/>
        <v>9300.647054746416</v>
      </c>
      <c r="AX30" s="153">
        <f t="shared" ref="AX30:BT30" ca="1" si="41">AX29+AW30</f>
        <v>13778.878658843485</v>
      </c>
      <c r="AY30" s="153">
        <f t="shared" ca="1" si="41"/>
        <v>14502.895692032682</v>
      </c>
      <c r="AZ30" s="153">
        <f t="shared" ca="1" si="41"/>
        <v>14922.450484299839</v>
      </c>
      <c r="BA30" s="153">
        <f t="shared" ca="1" si="41"/>
        <v>15791.915371506666</v>
      </c>
      <c r="BB30" s="153">
        <f t="shared" ca="1" si="41"/>
        <v>14009.875873222843</v>
      </c>
      <c r="BC30" s="153">
        <f t="shared" ca="1" si="41"/>
        <v>12796.306683497216</v>
      </c>
      <c r="BD30" s="153">
        <f t="shared" ca="1" si="41"/>
        <v>11716.752376835104</v>
      </c>
      <c r="BE30" s="153">
        <f t="shared" ca="1" si="41"/>
        <v>10646.45284522345</v>
      </c>
      <c r="BF30" s="153">
        <f t="shared" ca="1" si="41"/>
        <v>9576.153313611796</v>
      </c>
      <c r="BG30" s="153">
        <f t="shared" ca="1" si="41"/>
        <v>8762.5296927911459</v>
      </c>
      <c r="BH30" s="153">
        <f t="shared" ca="1" si="41"/>
        <v>8096.9824727778314</v>
      </c>
      <c r="BI30" s="153">
        <f t="shared" ca="1" si="41"/>
        <v>7509.0879596784371</v>
      </c>
      <c r="BJ30" s="153">
        <f t="shared" ca="1" si="41"/>
        <v>7672.3203350594385</v>
      </c>
      <c r="BK30" s="153">
        <f t="shared" ca="1" si="41"/>
        <v>7118.8515425561745</v>
      </c>
      <c r="BL30" s="153">
        <f t="shared" ca="1" si="41"/>
        <v>6890.4920554011269</v>
      </c>
      <c r="BM30" s="153">
        <f t="shared" ca="1" si="41"/>
        <v>6662.1325682460792</v>
      </c>
      <c r="BN30" s="153">
        <f t="shared" ca="1" si="41"/>
        <v>6433.7730810910316</v>
      </c>
      <c r="BO30" s="153">
        <f t="shared" ca="1" si="41"/>
        <v>18877.528724812015</v>
      </c>
      <c r="BP30" s="153">
        <f t="shared" ca="1" si="41"/>
        <v>18802.347700048518</v>
      </c>
      <c r="BQ30" s="153">
        <f t="shared" ca="1" si="41"/>
        <v>18802.347700048518</v>
      </c>
      <c r="BR30" s="153">
        <f t="shared" ca="1" si="41"/>
        <v>18802.347700048518</v>
      </c>
      <c r="BS30" s="153">
        <f t="shared" ca="1" si="41"/>
        <v>18802.347700048518</v>
      </c>
      <c r="BT30" s="153">
        <f t="shared" ca="1" si="41"/>
        <v>18802.347700048518</v>
      </c>
      <c r="BU30" s="153">
        <f t="shared" ref="BU30" ca="1" si="42">BU29+BT30</f>
        <v>24231.228850048519</v>
      </c>
      <c r="BV30" s="153">
        <f t="shared" ref="BV30" ca="1" si="43">BV29+BU30</f>
        <v>17640.762430668929</v>
      </c>
      <c r="BW30" s="153">
        <f t="shared" ref="BW30" ca="1" si="44">BW29+BV30</f>
        <v>17640.762430668929</v>
      </c>
      <c r="BX30" s="153">
        <f t="shared" ref="BX30" ca="1" si="45">BX29+BW30</f>
        <v>17640.762430668929</v>
      </c>
      <c r="BY30" s="153">
        <f t="shared" ref="BY30" ca="1" si="46">BY29+BX30</f>
        <v>17640.762430668929</v>
      </c>
      <c r="BZ30" s="153">
        <f t="shared" ref="BZ30" ca="1" si="47">BZ29+BY30</f>
        <v>17640.762430668929</v>
      </c>
      <c r="CA30" s="153">
        <f t="shared" ref="CA30" ca="1" si="48">CA29+BZ30</f>
        <v>17640.762430668929</v>
      </c>
      <c r="CB30" s="153">
        <f t="shared" ref="CB30" ca="1" si="49">CB29+CA30</f>
        <v>17640.762430668929</v>
      </c>
      <c r="CC30" s="153">
        <f t="shared" ref="CC30" ca="1" si="50">CC29+CB30</f>
        <v>17640.762430668929</v>
      </c>
      <c r="CD30" s="153">
        <f t="shared" ref="CD30" ca="1" si="51">CD29+CC30</f>
        <v>17640.762430668929</v>
      </c>
      <c r="CE30" s="153">
        <f t="shared" ref="CE30" ca="1" si="52">CE29+CD30</f>
        <v>17640.762430668929</v>
      </c>
      <c r="CF30" s="153">
        <f t="shared" ref="CF30" ca="1" si="53">CF29+CE30</f>
        <v>17640.762430668929</v>
      </c>
      <c r="CG30" s="153">
        <f t="shared" ref="CG30:CH30" ca="1" si="54">CG29+CF30</f>
        <v>17640.762430668929</v>
      </c>
      <c r="CH30" s="153">
        <f t="shared" ca="1" si="54"/>
        <v>17640.762430668929</v>
      </c>
      <c r="CI30" s="117"/>
    </row>
    <row r="31" spans="1:87" s="7" customFormat="1">
      <c r="A31" s="155" t="s">
        <v>337</v>
      </c>
      <c r="B31" s="2206">
        <f ca="1">SUM(AC31:CH31)</f>
        <v>2140.8711183671458</v>
      </c>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f ca="1">IF(AC30&lt;0,-AC30*8.2%/12,0)</f>
        <v>0</v>
      </c>
      <c r="AD31" s="153">
        <f t="shared" ref="AD31:CH31" ca="1" si="55">IF(AD30&lt;0,-AD30*8.2%/12,0)</f>
        <v>0</v>
      </c>
      <c r="AE31" s="153">
        <f t="shared" ca="1" si="55"/>
        <v>231.40310783999999</v>
      </c>
      <c r="AF31" s="153">
        <f t="shared" ca="1" si="55"/>
        <v>265.65338119225891</v>
      </c>
      <c r="AG31" s="153">
        <f t="shared" ca="1" si="55"/>
        <v>271.01944809359605</v>
      </c>
      <c r="AH31" s="153">
        <f t="shared" ca="1" si="55"/>
        <v>274.26474683218316</v>
      </c>
      <c r="AI31" s="153">
        <f t="shared" ca="1" si="55"/>
        <v>257.95393632916779</v>
      </c>
      <c r="AJ31" s="153">
        <f t="shared" ca="1" si="55"/>
        <v>197.50630043626475</v>
      </c>
      <c r="AK31" s="153">
        <f t="shared" ca="1" si="55"/>
        <v>178.88296731960074</v>
      </c>
      <c r="AL31" s="153">
        <f t="shared" ca="1" si="55"/>
        <v>122.8129487693147</v>
      </c>
      <c r="AM31" s="153">
        <f t="shared" ca="1" si="55"/>
        <v>113.25540048467582</v>
      </c>
      <c r="AN31" s="153">
        <f t="shared" ca="1" si="55"/>
        <v>98.260869576867762</v>
      </c>
      <c r="AO31" s="153">
        <f t="shared" ca="1" si="55"/>
        <v>65.435712094437392</v>
      </c>
      <c r="AP31" s="153">
        <f t="shared" ca="1" si="55"/>
        <v>53.572682092244861</v>
      </c>
      <c r="AQ31" s="153">
        <f t="shared" ca="1" si="55"/>
        <v>7.9322592927166165</v>
      </c>
      <c r="AR31" s="153">
        <f t="shared" ca="1" si="55"/>
        <v>2.9173580138169179</v>
      </c>
      <c r="AS31" s="153">
        <f t="shared" ca="1" si="55"/>
        <v>0</v>
      </c>
      <c r="AT31" s="153">
        <f t="shared" ca="1" si="55"/>
        <v>0</v>
      </c>
      <c r="AU31" s="153">
        <f t="shared" ca="1" si="55"/>
        <v>0</v>
      </c>
      <c r="AV31" s="153">
        <f t="shared" ca="1" si="55"/>
        <v>0</v>
      </c>
      <c r="AW31" s="153">
        <f t="shared" ca="1" si="55"/>
        <v>0</v>
      </c>
      <c r="AX31" s="153">
        <f t="shared" ca="1" si="55"/>
        <v>0</v>
      </c>
      <c r="AY31" s="153">
        <f t="shared" ca="1" si="55"/>
        <v>0</v>
      </c>
      <c r="AZ31" s="153">
        <f t="shared" ca="1" si="55"/>
        <v>0</v>
      </c>
      <c r="BA31" s="153">
        <f t="shared" ca="1" si="55"/>
        <v>0</v>
      </c>
      <c r="BB31" s="153">
        <f t="shared" ca="1" si="55"/>
        <v>0</v>
      </c>
      <c r="BC31" s="153">
        <f t="shared" ca="1" si="55"/>
        <v>0</v>
      </c>
      <c r="BD31" s="153">
        <f t="shared" ca="1" si="55"/>
        <v>0</v>
      </c>
      <c r="BE31" s="153">
        <f t="shared" ca="1" si="55"/>
        <v>0</v>
      </c>
      <c r="BF31" s="153">
        <f t="shared" ca="1" si="55"/>
        <v>0</v>
      </c>
      <c r="BG31" s="153">
        <f t="shared" ca="1" si="55"/>
        <v>0</v>
      </c>
      <c r="BH31" s="153">
        <f t="shared" ca="1" si="55"/>
        <v>0</v>
      </c>
      <c r="BI31" s="153">
        <f t="shared" ca="1" si="55"/>
        <v>0</v>
      </c>
      <c r="BJ31" s="153">
        <f t="shared" ca="1" si="55"/>
        <v>0</v>
      </c>
      <c r="BK31" s="153">
        <f t="shared" ca="1" si="55"/>
        <v>0</v>
      </c>
      <c r="BL31" s="153">
        <f t="shared" ca="1" si="55"/>
        <v>0</v>
      </c>
      <c r="BM31" s="153">
        <f t="shared" ca="1" si="55"/>
        <v>0</v>
      </c>
      <c r="BN31" s="153">
        <f t="shared" ca="1" si="55"/>
        <v>0</v>
      </c>
      <c r="BO31" s="153">
        <f t="shared" ca="1" si="55"/>
        <v>0</v>
      </c>
      <c r="BP31" s="153">
        <f t="shared" ca="1" si="55"/>
        <v>0</v>
      </c>
      <c r="BQ31" s="153">
        <f t="shared" ca="1" si="55"/>
        <v>0</v>
      </c>
      <c r="BR31" s="153">
        <f t="shared" ca="1" si="55"/>
        <v>0</v>
      </c>
      <c r="BS31" s="153">
        <f t="shared" ca="1" si="55"/>
        <v>0</v>
      </c>
      <c r="BT31" s="153">
        <f t="shared" ca="1" si="55"/>
        <v>0</v>
      </c>
      <c r="BU31" s="153">
        <f t="shared" ca="1" si="55"/>
        <v>0</v>
      </c>
      <c r="BV31" s="153">
        <f t="shared" ca="1" si="55"/>
        <v>0</v>
      </c>
      <c r="BW31" s="153">
        <f t="shared" ca="1" si="55"/>
        <v>0</v>
      </c>
      <c r="BX31" s="153">
        <f t="shared" ca="1" si="55"/>
        <v>0</v>
      </c>
      <c r="BY31" s="153">
        <f t="shared" ca="1" si="55"/>
        <v>0</v>
      </c>
      <c r="BZ31" s="153">
        <f t="shared" ca="1" si="55"/>
        <v>0</v>
      </c>
      <c r="CA31" s="153">
        <f t="shared" ca="1" si="55"/>
        <v>0</v>
      </c>
      <c r="CB31" s="153">
        <f t="shared" ca="1" si="55"/>
        <v>0</v>
      </c>
      <c r="CC31" s="153">
        <f t="shared" ca="1" si="55"/>
        <v>0</v>
      </c>
      <c r="CD31" s="153">
        <f t="shared" ca="1" si="55"/>
        <v>0</v>
      </c>
      <c r="CE31" s="153">
        <f t="shared" ca="1" si="55"/>
        <v>0</v>
      </c>
      <c r="CF31" s="153">
        <f t="shared" ca="1" si="55"/>
        <v>0</v>
      </c>
      <c r="CG31" s="153">
        <f t="shared" ca="1" si="55"/>
        <v>0</v>
      </c>
      <c r="CH31" s="153">
        <f t="shared" ca="1" si="55"/>
        <v>0</v>
      </c>
      <c r="CI31" s="141"/>
    </row>
    <row r="32" spans="1:87" s="156" customFormat="1" ht="16" customHeight="1">
      <c r="A32" s="157" t="s">
        <v>338</v>
      </c>
      <c r="B32" s="158">
        <f ca="1">IRR(C29:BT29,0.01)*12</f>
        <v>0.39614880749001724</v>
      </c>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CH32" s="117"/>
      <c r="CI32" s="117"/>
    </row>
    <row r="33" spans="1:87">
      <c r="A33" s="117" t="s">
        <v>339</v>
      </c>
      <c r="B33" s="7">
        <f ca="1">B29-B31-结算利润!B29</f>
        <v>-3.6714300222229213E-7</v>
      </c>
      <c r="F33" s="160"/>
      <c r="CH33" s="141"/>
      <c r="CI33" s="141"/>
    </row>
    <row r="34" spans="1:87">
      <c r="B34" s="1104"/>
      <c r="I34" s="161"/>
    </row>
    <row r="35" spans="1:87" s="162" customFormat="1" ht="12">
      <c r="A35" s="163"/>
      <c r="B35" s="163"/>
      <c r="C35" s="163"/>
      <c r="D35" s="163"/>
      <c r="E35" s="163"/>
      <c r="F35" s="163"/>
      <c r="G35" s="163"/>
      <c r="H35" s="163"/>
      <c r="I35" s="163"/>
      <c r="J35" s="163"/>
      <c r="K35" s="163"/>
      <c r="L35" s="163"/>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row>
    <row r="36" spans="1:87" s="162" customFormat="1" ht="12">
      <c r="A36" s="163"/>
      <c r="B36" s="163"/>
      <c r="C36" s="163"/>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c r="AR36" s="163"/>
      <c r="AS36" s="163"/>
    </row>
    <row r="37" spans="1:87" s="162" customFormat="1" ht="12">
      <c r="A37" s="163"/>
      <c r="B37" s="163"/>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c r="AR37" s="163"/>
      <c r="AS37" s="163"/>
    </row>
    <row r="38" spans="1:87">
      <c r="A38" s="143"/>
      <c r="B38" s="143"/>
      <c r="C38" s="143"/>
      <c r="D38" s="143"/>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43"/>
      <c r="AC38" s="143"/>
      <c r="AD38" s="143"/>
      <c r="AE38" s="143"/>
      <c r="AF38" s="143"/>
      <c r="AG38" s="143"/>
      <c r="AH38" s="143"/>
      <c r="AI38" s="143"/>
      <c r="AJ38" s="143"/>
      <c r="AK38" s="143"/>
      <c r="AL38" s="143"/>
      <c r="AM38" s="143"/>
      <c r="AN38" s="143"/>
      <c r="AO38" s="143"/>
      <c r="AP38" s="143"/>
      <c r="AQ38" s="143"/>
      <c r="AR38" s="143"/>
      <c r="AS38" s="143"/>
    </row>
    <row r="39" spans="1:87">
      <c r="E39" s="165"/>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row>
    <row r="40" spans="1:87">
      <c r="AA40" s="1041"/>
      <c r="AB40" s="1041"/>
      <c r="AC40" s="1041"/>
      <c r="AD40" s="1041"/>
      <c r="AE40" s="1041"/>
      <c r="AF40" s="1041"/>
      <c r="AG40" s="1041"/>
      <c r="AH40" s="1041"/>
      <c r="AI40" s="1041"/>
      <c r="AJ40" s="1041"/>
      <c r="AK40" s="1041"/>
      <c r="AL40" s="1041"/>
    </row>
    <row r="41" spans="1:87">
      <c r="AA41" s="1023"/>
      <c r="AB41" s="1023"/>
      <c r="AC41" s="1023"/>
      <c r="AD41" s="1023"/>
      <c r="AE41" s="1023"/>
      <c r="AF41" s="1023"/>
      <c r="AG41" s="1024"/>
      <c r="AH41" s="1023"/>
      <c r="AI41" s="279"/>
      <c r="AJ41" s="279"/>
      <c r="AK41" s="279"/>
      <c r="AL41" s="279"/>
    </row>
    <row r="43" spans="1:87">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5"/>
      <c r="AF43" s="165"/>
      <c r="AG43" s="165"/>
    </row>
  </sheetData>
  <mergeCells count="2">
    <mergeCell ref="A1:A2"/>
    <mergeCell ref="B1:B2"/>
  </mergeCells>
  <phoneticPr fontId="19" type="noConversion"/>
  <pageMargins left="0.75" right="0.75" top="1" bottom="1" header="0.5" footer="0.5"/>
  <pageSetup paperSize="9"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45"/>
  <sheetViews>
    <sheetView zoomScale="55" zoomScaleNormal="55" workbookViewId="0">
      <pane xSplit="28" ySplit="3" topLeftCell="AC4" activePane="bottomRight" state="frozen"/>
      <selection pane="topRight" activeCell="AC1" sqref="AC1"/>
      <selection pane="bottomLeft" activeCell="A4" sqref="A4"/>
      <selection pane="bottomRight" activeCell="B23" sqref="B23"/>
    </sheetView>
  </sheetViews>
  <sheetFormatPr defaultColWidth="9" defaultRowHeight="15.5"/>
  <cols>
    <col min="1" max="1" width="21" style="166" customWidth="1"/>
    <col min="2" max="2" width="11.6640625" style="4" customWidth="1"/>
    <col min="3" max="3" width="13.1640625" style="4" hidden="1" customWidth="1"/>
    <col min="4" max="4" width="12.08203125" style="4" hidden="1" customWidth="1"/>
    <col min="5" max="5" width="11.33203125" style="4" hidden="1" customWidth="1"/>
    <col min="6" max="6" width="10.33203125" style="4" hidden="1" customWidth="1"/>
    <col min="7" max="11" width="9.5" style="4" hidden="1" customWidth="1"/>
    <col min="12" max="14" width="9.08203125" style="4" hidden="1" customWidth="1"/>
    <col min="15" max="15" width="14.1640625" style="4" hidden="1" customWidth="1"/>
    <col min="16" max="18" width="9.08203125" style="4" hidden="1" customWidth="1"/>
    <col min="19" max="20" width="11.33203125" style="4" hidden="1" customWidth="1"/>
    <col min="21" max="28" width="12.1640625" style="4" hidden="1" customWidth="1"/>
    <col min="29" max="33" width="12.1640625" style="4" customWidth="1"/>
    <col min="34" max="34" width="9.08203125" style="4" customWidth="1"/>
    <col min="35" max="35" width="10.08203125" style="4" customWidth="1"/>
    <col min="36" max="256" width="9" style="4" customWidth="1"/>
  </cols>
  <sheetData>
    <row r="1" spans="1:86">
      <c r="A1" s="167" t="s">
        <v>340</v>
      </c>
      <c r="B1" s="168"/>
      <c r="C1" s="168"/>
    </row>
    <row r="2" spans="1:86" s="169" customFormat="1" ht="15.75" customHeight="1">
      <c r="A2" s="170"/>
      <c r="B2" s="171"/>
      <c r="C2" s="121" t="s">
        <v>237</v>
      </c>
      <c r="D2" s="121" t="s">
        <v>237</v>
      </c>
      <c r="E2" s="121" t="s">
        <v>238</v>
      </c>
      <c r="F2" s="121" t="s">
        <v>238</v>
      </c>
      <c r="G2" s="121" t="s">
        <v>238</v>
      </c>
      <c r="H2" s="121" t="s">
        <v>238</v>
      </c>
      <c r="I2" s="121" t="s">
        <v>239</v>
      </c>
      <c r="J2" s="121" t="s">
        <v>239</v>
      </c>
      <c r="K2" s="121" t="s">
        <v>239</v>
      </c>
      <c r="L2" s="121" t="s">
        <v>239</v>
      </c>
      <c r="M2" s="121" t="s">
        <v>240</v>
      </c>
      <c r="N2" s="121" t="s">
        <v>240</v>
      </c>
      <c r="O2" s="121" t="s">
        <v>240</v>
      </c>
      <c r="P2" s="121" t="s">
        <v>240</v>
      </c>
      <c r="Q2" s="121" t="s">
        <v>241</v>
      </c>
      <c r="R2" s="121" t="s">
        <v>241</v>
      </c>
      <c r="S2" s="121" t="s">
        <v>241</v>
      </c>
      <c r="T2" s="121" t="s">
        <v>241</v>
      </c>
      <c r="U2" s="121" t="s">
        <v>242</v>
      </c>
      <c r="V2" s="121" t="s">
        <v>242</v>
      </c>
      <c r="W2" s="121" t="s">
        <v>242</v>
      </c>
      <c r="X2" s="121" t="s">
        <v>242</v>
      </c>
      <c r="Y2" s="121" t="s">
        <v>243</v>
      </c>
      <c r="Z2" s="121" t="s">
        <v>243</v>
      </c>
      <c r="AA2" s="121" t="s">
        <v>243</v>
      </c>
      <c r="AB2" s="121" t="s">
        <v>243</v>
      </c>
      <c r="AC2" s="121" t="s">
        <v>244</v>
      </c>
      <c r="AD2" s="121" t="s">
        <v>244</v>
      </c>
      <c r="AE2" s="121" t="s">
        <v>244</v>
      </c>
      <c r="AF2" s="121" t="s">
        <v>244</v>
      </c>
      <c r="AG2" s="121" t="s">
        <v>244</v>
      </c>
      <c r="AH2" s="121" t="s">
        <v>244</v>
      </c>
      <c r="AI2" s="121" t="s">
        <v>244</v>
      </c>
      <c r="AJ2" s="121" t="s">
        <v>244</v>
      </c>
      <c r="AK2" s="121" t="s">
        <v>244</v>
      </c>
      <c r="AL2" s="121" t="s">
        <v>4220</v>
      </c>
      <c r="AM2" s="121" t="s">
        <v>4220</v>
      </c>
      <c r="AN2" s="121" t="s">
        <v>4220</v>
      </c>
      <c r="AO2" s="121" t="s">
        <v>4220</v>
      </c>
      <c r="AP2" s="121" t="s">
        <v>4220</v>
      </c>
      <c r="AQ2" s="121" t="s">
        <v>4220</v>
      </c>
      <c r="AR2" s="121" t="s">
        <v>4220</v>
      </c>
      <c r="AS2" s="121" t="s">
        <v>4220</v>
      </c>
      <c r="AT2" s="121" t="s">
        <v>4220</v>
      </c>
      <c r="AU2" s="121" t="s">
        <v>4220</v>
      </c>
      <c r="AV2" s="121" t="s">
        <v>4220</v>
      </c>
      <c r="AW2" s="121" t="s">
        <v>4220</v>
      </c>
      <c r="AX2" s="121" t="s">
        <v>4221</v>
      </c>
      <c r="AY2" s="121" t="s">
        <v>4221</v>
      </c>
      <c r="AZ2" s="121" t="s">
        <v>4221</v>
      </c>
      <c r="BA2" s="121" t="s">
        <v>4221</v>
      </c>
      <c r="BB2" s="121" t="s">
        <v>4221</v>
      </c>
      <c r="BC2" s="121" t="s">
        <v>4221</v>
      </c>
      <c r="BD2" s="121" t="s">
        <v>4221</v>
      </c>
      <c r="BE2" s="121" t="s">
        <v>4221</v>
      </c>
      <c r="BF2" s="121" t="s">
        <v>4221</v>
      </c>
      <c r="BG2" s="121" t="s">
        <v>4221</v>
      </c>
      <c r="BH2" s="121" t="s">
        <v>4221</v>
      </c>
      <c r="BI2" s="121" t="s">
        <v>4221</v>
      </c>
      <c r="BJ2" s="121" t="s">
        <v>4246</v>
      </c>
      <c r="BK2" s="121" t="s">
        <v>4246</v>
      </c>
      <c r="BL2" s="121" t="s">
        <v>4246</v>
      </c>
      <c r="BM2" s="121" t="s">
        <v>4246</v>
      </c>
      <c r="BN2" s="121" t="s">
        <v>4221</v>
      </c>
      <c r="BO2" s="121" t="s">
        <v>4221</v>
      </c>
      <c r="BP2" s="121" t="s">
        <v>4246</v>
      </c>
      <c r="BQ2" s="121" t="s">
        <v>4246</v>
      </c>
      <c r="BR2" s="121" t="s">
        <v>4246</v>
      </c>
      <c r="BS2" s="121" t="s">
        <v>4246</v>
      </c>
      <c r="BT2" s="121" t="s">
        <v>4259</v>
      </c>
      <c r="BU2" s="121" t="s">
        <v>4259</v>
      </c>
      <c r="BV2" s="121" t="s">
        <v>4341</v>
      </c>
      <c r="BW2" s="121" t="s">
        <v>4341</v>
      </c>
      <c r="BX2" s="121" t="s">
        <v>4341</v>
      </c>
      <c r="BY2" s="121" t="s">
        <v>4341</v>
      </c>
      <c r="BZ2" s="121" t="s">
        <v>4341</v>
      </c>
      <c r="CA2" s="121" t="s">
        <v>4341</v>
      </c>
      <c r="CB2" s="121" t="s">
        <v>4341</v>
      </c>
      <c r="CC2" s="121" t="s">
        <v>4341</v>
      </c>
      <c r="CD2" s="121" t="s">
        <v>4341</v>
      </c>
      <c r="CE2" s="121" t="s">
        <v>4341</v>
      </c>
      <c r="CF2" s="121" t="s">
        <v>4341</v>
      </c>
      <c r="CG2" s="121" t="s">
        <v>4341</v>
      </c>
      <c r="CH2" s="121" t="s">
        <v>4263</v>
      </c>
    </row>
    <row r="3" spans="1:86" s="169" customFormat="1" ht="14.5">
      <c r="A3" s="172" t="s">
        <v>226</v>
      </c>
      <c r="B3" s="173" t="s">
        <v>405</v>
      </c>
      <c r="C3" s="123" t="s">
        <v>173</v>
      </c>
      <c r="D3" s="123" t="s">
        <v>174</v>
      </c>
      <c r="E3" s="123" t="s">
        <v>175</v>
      </c>
      <c r="F3" s="123" t="s">
        <v>176</v>
      </c>
      <c r="G3" s="123" t="s">
        <v>177</v>
      </c>
      <c r="H3" s="123" t="s">
        <v>178</v>
      </c>
      <c r="I3" s="123" t="s">
        <v>179</v>
      </c>
      <c r="J3" s="123" t="s">
        <v>180</v>
      </c>
      <c r="K3" s="123" t="s">
        <v>181</v>
      </c>
      <c r="L3" s="123" t="s">
        <v>182</v>
      </c>
      <c r="M3" s="123" t="s">
        <v>183</v>
      </c>
      <c r="N3" s="123" t="s">
        <v>184</v>
      </c>
      <c r="O3" s="123" t="s">
        <v>185</v>
      </c>
      <c r="P3" s="123" t="s">
        <v>186</v>
      </c>
      <c r="Q3" s="123" t="s">
        <v>187</v>
      </c>
      <c r="R3" s="123" t="s">
        <v>188</v>
      </c>
      <c r="S3" s="123" t="s">
        <v>189</v>
      </c>
      <c r="T3" s="123" t="s">
        <v>190</v>
      </c>
      <c r="U3" s="123" t="s">
        <v>191</v>
      </c>
      <c r="V3" s="123" t="s">
        <v>192</v>
      </c>
      <c r="W3" s="123" t="s">
        <v>247</v>
      </c>
      <c r="X3" s="123" t="s">
        <v>248</v>
      </c>
      <c r="Y3" s="123" t="s">
        <v>249</v>
      </c>
      <c r="Z3" s="123" t="s">
        <v>250</v>
      </c>
      <c r="AA3" s="123" t="s">
        <v>251</v>
      </c>
      <c r="AB3" s="123" t="s">
        <v>252</v>
      </c>
      <c r="AC3" s="123" t="s">
        <v>4211</v>
      </c>
      <c r="AD3" s="123" t="s">
        <v>4212</v>
      </c>
      <c r="AE3" s="123" t="s">
        <v>4213</v>
      </c>
      <c r="AF3" s="123" t="s">
        <v>4214</v>
      </c>
      <c r="AG3" s="123" t="s">
        <v>4215</v>
      </c>
      <c r="AH3" s="123" t="s">
        <v>4216</v>
      </c>
      <c r="AI3" s="123" t="s">
        <v>4217</v>
      </c>
      <c r="AJ3" s="123" t="s">
        <v>4218</v>
      </c>
      <c r="AK3" s="123" t="s">
        <v>4219</v>
      </c>
      <c r="AL3" s="123" t="s">
        <v>4222</v>
      </c>
      <c r="AM3" s="123" t="s">
        <v>4223</v>
      </c>
      <c r="AN3" s="123" t="s">
        <v>4224</v>
      </c>
      <c r="AO3" s="123" t="s">
        <v>4225</v>
      </c>
      <c r="AP3" s="123" t="s">
        <v>4226</v>
      </c>
      <c r="AQ3" s="123" t="s">
        <v>4227</v>
      </c>
      <c r="AR3" s="123" t="s">
        <v>4228</v>
      </c>
      <c r="AS3" s="123" t="s">
        <v>4229</v>
      </c>
      <c r="AT3" s="123" t="s">
        <v>4230</v>
      </c>
      <c r="AU3" s="123" t="s">
        <v>4231</v>
      </c>
      <c r="AV3" s="123" t="s">
        <v>4232</v>
      </c>
      <c r="AW3" s="123" t="s">
        <v>4233</v>
      </c>
      <c r="AX3" s="123" t="s">
        <v>4234</v>
      </c>
      <c r="AY3" s="123" t="s">
        <v>4235</v>
      </c>
      <c r="AZ3" s="123" t="s">
        <v>4236</v>
      </c>
      <c r="BA3" s="123" t="s">
        <v>4237</v>
      </c>
      <c r="BB3" s="123" t="s">
        <v>4238</v>
      </c>
      <c r="BC3" s="123" t="s">
        <v>4239</v>
      </c>
      <c r="BD3" s="123" t="s">
        <v>4240</v>
      </c>
      <c r="BE3" s="123" t="s">
        <v>4241</v>
      </c>
      <c r="BF3" s="123" t="s">
        <v>4242</v>
      </c>
      <c r="BG3" s="123" t="s">
        <v>4243</v>
      </c>
      <c r="BH3" s="123" t="s">
        <v>4244</v>
      </c>
      <c r="BI3" s="123" t="s">
        <v>4245</v>
      </c>
      <c r="BJ3" s="123" t="s">
        <v>4247</v>
      </c>
      <c r="BK3" s="123" t="s">
        <v>4248</v>
      </c>
      <c r="BL3" s="123" t="s">
        <v>4249</v>
      </c>
      <c r="BM3" s="123" t="s">
        <v>4250</v>
      </c>
      <c r="BN3" s="123" t="s">
        <v>4251</v>
      </c>
      <c r="BO3" s="123" t="s">
        <v>4252</v>
      </c>
      <c r="BP3" s="123" t="s">
        <v>4253</v>
      </c>
      <c r="BQ3" s="123" t="s">
        <v>4254</v>
      </c>
      <c r="BR3" s="123" t="s">
        <v>4255</v>
      </c>
      <c r="BS3" s="123" t="s">
        <v>4256</v>
      </c>
      <c r="BT3" s="123" t="s">
        <v>4342</v>
      </c>
      <c r="BU3" s="123" t="s">
        <v>4258</v>
      </c>
      <c r="BV3" s="123" t="s">
        <v>4264</v>
      </c>
      <c r="BW3" s="123" t="s">
        <v>4265</v>
      </c>
      <c r="BX3" s="123" t="s">
        <v>4266</v>
      </c>
      <c r="BY3" s="123" t="s">
        <v>4267</v>
      </c>
      <c r="BZ3" s="123" t="s">
        <v>4268</v>
      </c>
      <c r="CA3" s="123" t="s">
        <v>4269</v>
      </c>
      <c r="CB3" s="123" t="s">
        <v>4270</v>
      </c>
      <c r="CC3" s="123" t="s">
        <v>4271</v>
      </c>
      <c r="CD3" s="123" t="s">
        <v>4272</v>
      </c>
      <c r="CE3" s="123" t="s">
        <v>4273</v>
      </c>
      <c r="CF3" s="123" t="s">
        <v>4274</v>
      </c>
      <c r="CG3" s="123" t="s">
        <v>4275</v>
      </c>
      <c r="CH3" s="123" t="s">
        <v>4276</v>
      </c>
    </row>
    <row r="4" spans="1:86" s="174" customFormat="1" ht="13">
      <c r="A4" s="175" t="s">
        <v>410</v>
      </c>
      <c r="B4" s="176">
        <f>SUM(C4:CH4)</f>
        <v>138788.36828999998</v>
      </c>
      <c r="C4" s="176">
        <f>现金流量!C4</f>
        <v>0</v>
      </c>
      <c r="D4" s="176">
        <f>现金流量!D4</f>
        <v>0</v>
      </c>
      <c r="E4" s="176">
        <f>现金流量!E4</f>
        <v>0</v>
      </c>
      <c r="F4" s="176">
        <f>现金流量!F4</f>
        <v>0</v>
      </c>
      <c r="G4" s="176">
        <f>现金流量!G4</f>
        <v>0</v>
      </c>
      <c r="H4" s="176">
        <f>现金流量!H4</f>
        <v>0</v>
      </c>
      <c r="I4" s="176">
        <f>现金流量!I4</f>
        <v>0</v>
      </c>
      <c r="J4" s="176">
        <f>现金流量!J4</f>
        <v>0</v>
      </c>
      <c r="K4" s="176">
        <f>现金流量!K4</f>
        <v>0</v>
      </c>
      <c r="L4" s="176">
        <f>现金流量!L4</f>
        <v>0</v>
      </c>
      <c r="M4" s="176">
        <f>现金流量!M4</f>
        <v>0</v>
      </c>
      <c r="N4" s="176">
        <f>现金流量!N4</f>
        <v>0</v>
      </c>
      <c r="O4" s="176">
        <f>现金流量!O4</f>
        <v>0</v>
      </c>
      <c r="P4" s="176">
        <f>现金流量!P4</f>
        <v>0</v>
      </c>
      <c r="Q4" s="176">
        <f>现金流量!Q4</f>
        <v>0</v>
      </c>
      <c r="R4" s="176">
        <f>现金流量!R4</f>
        <v>0</v>
      </c>
      <c r="S4" s="176">
        <f>现金流量!S4</f>
        <v>0</v>
      </c>
      <c r="T4" s="176">
        <f>现金流量!T4</f>
        <v>0</v>
      </c>
      <c r="U4" s="176">
        <f>现金流量!U4</f>
        <v>0</v>
      </c>
      <c r="V4" s="176">
        <f>现金流量!V4</f>
        <v>0</v>
      </c>
      <c r="W4" s="176">
        <f>现金流量!W4</f>
        <v>0</v>
      </c>
      <c r="X4" s="176">
        <f>现金流量!X4</f>
        <v>0</v>
      </c>
      <c r="Y4" s="176">
        <f>现金流量!Y4</f>
        <v>0</v>
      </c>
      <c r="Z4" s="176">
        <f>现金流量!Z4</f>
        <v>0</v>
      </c>
      <c r="AA4" s="176">
        <f>现金流量!AA4</f>
        <v>0</v>
      </c>
      <c r="AB4" s="176">
        <f>现金流量!AB4</f>
        <v>0</v>
      </c>
      <c r="AC4" s="176">
        <f>现金流量!AC8</f>
        <v>0</v>
      </c>
      <c r="AD4" s="176">
        <f>现金流量!AD8</f>
        <v>0</v>
      </c>
      <c r="AE4" s="176">
        <f>现金流量!AE8</f>
        <v>0</v>
      </c>
      <c r="AF4" s="176">
        <f>现金流量!AF8</f>
        <v>0</v>
      </c>
      <c r="AG4" s="176">
        <f>现金流量!AG8</f>
        <v>0</v>
      </c>
      <c r="AH4" s="176">
        <f>现金流量!AH8</f>
        <v>0</v>
      </c>
      <c r="AI4" s="176">
        <f>现金流量!AI8</f>
        <v>4191.3999999999996</v>
      </c>
      <c r="AJ4" s="176">
        <f>现金流量!AJ8</f>
        <v>11036.4</v>
      </c>
      <c r="AK4" s="176">
        <f>现金流量!AK8</f>
        <v>4594.625</v>
      </c>
      <c r="AL4" s="176">
        <f>现金流量!AL8</f>
        <v>8995.625</v>
      </c>
      <c r="AM4" s="176">
        <f>现金流量!AM8</f>
        <v>3391.2500000000009</v>
      </c>
      <c r="AN4" s="176">
        <f>现金流量!AN8</f>
        <v>4636.4549999999999</v>
      </c>
      <c r="AO4" s="176">
        <f>现金流量!AO8</f>
        <v>7776.9449999999997</v>
      </c>
      <c r="AP4" s="176">
        <f>现金流量!AP8</f>
        <v>5124.4799999999996</v>
      </c>
      <c r="AQ4" s="176">
        <f>现金流量!AQ8</f>
        <v>10874.98</v>
      </c>
      <c r="AR4" s="176">
        <f>现金流量!AR8</f>
        <v>5147.2299999999996</v>
      </c>
      <c r="AS4" s="176">
        <f>现金流量!AS8</f>
        <v>5461.98</v>
      </c>
      <c r="AT4" s="176">
        <f>现金流量!AT8</f>
        <v>5083.2299999999996</v>
      </c>
      <c r="AU4" s="176">
        <f>现金流量!AU8</f>
        <v>12509.625</v>
      </c>
      <c r="AV4" s="176">
        <f>现金流量!AV8</f>
        <v>6212.6850000000004</v>
      </c>
      <c r="AW4" s="176">
        <f>现金流量!AW8</f>
        <v>5424.1777499999989</v>
      </c>
      <c r="AX4" s="176">
        <f>现金流量!AX8</f>
        <v>5724.9807499999979</v>
      </c>
      <c r="AY4" s="176">
        <f>现金流量!AY8</f>
        <v>4455.9249999999993</v>
      </c>
      <c r="AZ4" s="176">
        <f>现金流量!AZ8</f>
        <v>3396.2454599999987</v>
      </c>
      <c r="BA4" s="176">
        <f>现金流量!BA8</f>
        <v>3288.728459999998</v>
      </c>
      <c r="BB4" s="176">
        <f>现金流量!BB8</f>
        <v>280.66499999999996</v>
      </c>
      <c r="BC4" s="176">
        <f>现金流量!BC8</f>
        <v>270.27</v>
      </c>
      <c r="BD4" s="176">
        <f>现金流量!BD8</f>
        <v>280.66499999999996</v>
      </c>
      <c r="BE4" s="176">
        <f>现金流量!BE8</f>
        <v>291.06</v>
      </c>
      <c r="BF4" s="176">
        <f>现金流量!BF8</f>
        <v>291.06</v>
      </c>
      <c r="BG4" s="176">
        <f>现金流量!BG8</f>
        <v>457.38000000000005</v>
      </c>
      <c r="BH4" s="176">
        <f>现金流量!BH8</f>
        <v>623.70000000000005</v>
      </c>
      <c r="BI4" s="176">
        <f>现金流量!BI8</f>
        <v>626.32993500000032</v>
      </c>
      <c r="BJ4" s="176">
        <f>现金流量!BJ8</f>
        <v>314.4799350000003</v>
      </c>
      <c r="BK4" s="176">
        <f>现金流量!BK8</f>
        <v>0</v>
      </c>
      <c r="BL4" s="176">
        <f>现金流量!BL8</f>
        <v>0</v>
      </c>
      <c r="BM4" s="176">
        <f>现金流量!BM8</f>
        <v>0</v>
      </c>
      <c r="BN4" s="176">
        <f>现金流量!BN8</f>
        <v>0</v>
      </c>
      <c r="BO4" s="176">
        <f>现金流量!BO8</f>
        <v>12596.909849999996</v>
      </c>
      <c r="BP4" s="176">
        <f>现金流量!BP8</f>
        <v>0</v>
      </c>
      <c r="BQ4" s="176">
        <f>现金流量!BQ8</f>
        <v>0</v>
      </c>
      <c r="BR4" s="176">
        <f>现金流量!BR8</f>
        <v>0</v>
      </c>
      <c r="BS4" s="176">
        <f>现金流量!BS8</f>
        <v>0</v>
      </c>
      <c r="BT4" s="176">
        <f>现金流量!BT8</f>
        <v>0</v>
      </c>
      <c r="BU4" s="176">
        <f>现金流量!BU8</f>
        <v>5428.8811500000011</v>
      </c>
      <c r="BV4" s="176">
        <f>现金流量!BV8</f>
        <v>0</v>
      </c>
      <c r="BW4" s="176">
        <f>现金流量!BW8</f>
        <v>0</v>
      </c>
      <c r="BX4" s="176">
        <f>现金流量!BX8</f>
        <v>0</v>
      </c>
      <c r="BY4" s="176">
        <f>现金流量!BY8</f>
        <v>0</v>
      </c>
      <c r="BZ4" s="176">
        <f>现金流量!BZ8</f>
        <v>0</v>
      </c>
      <c r="CA4" s="176">
        <f>现金流量!CA8</f>
        <v>0</v>
      </c>
      <c r="CB4" s="176">
        <f>现金流量!CB8</f>
        <v>0</v>
      </c>
      <c r="CC4" s="176">
        <f>现金流量!CC8</f>
        <v>0</v>
      </c>
      <c r="CD4" s="176">
        <f>现金流量!CD8</f>
        <v>0</v>
      </c>
      <c r="CE4" s="176">
        <f>现金流量!CE8</f>
        <v>0</v>
      </c>
      <c r="CF4" s="176">
        <f>现金流量!CF8</f>
        <v>0</v>
      </c>
      <c r="CG4" s="176">
        <f>现金流量!CG8</f>
        <v>0</v>
      </c>
      <c r="CH4" s="176">
        <f>现金流量!CH8</f>
        <v>0</v>
      </c>
    </row>
    <row r="5" spans="1:86" s="174" customFormat="1" ht="13">
      <c r="A5" s="175" t="s">
        <v>411</v>
      </c>
      <c r="B5" s="176">
        <f ca="1">SUM(C5:CH5)</f>
        <v>121147.60585933104</v>
      </c>
      <c r="C5" s="176">
        <f>现金流量!C9</f>
        <v>0</v>
      </c>
      <c r="D5" s="176">
        <f>现金流量!D9</f>
        <v>0</v>
      </c>
      <c r="E5" s="176">
        <f>现金流量!E9</f>
        <v>0</v>
      </c>
      <c r="F5" s="176">
        <f>现金流量!F9</f>
        <v>0</v>
      </c>
      <c r="G5" s="176">
        <f>现金流量!G9</f>
        <v>0</v>
      </c>
      <c r="H5" s="176">
        <f>现金流量!H9</f>
        <v>0</v>
      </c>
      <c r="I5" s="176">
        <f>现金流量!I9</f>
        <v>0</v>
      </c>
      <c r="J5" s="176">
        <f>现金流量!J9</f>
        <v>0</v>
      </c>
      <c r="K5" s="176">
        <f>现金流量!K9</f>
        <v>0</v>
      </c>
      <c r="L5" s="176">
        <f>现金流量!L9</f>
        <v>0</v>
      </c>
      <c r="M5" s="176">
        <f>现金流量!M9</f>
        <v>0</v>
      </c>
      <c r="N5" s="176">
        <f>现金流量!N9</f>
        <v>0</v>
      </c>
      <c r="O5" s="176">
        <f>现金流量!O9</f>
        <v>0</v>
      </c>
      <c r="P5" s="176">
        <f>现金流量!P9</f>
        <v>0</v>
      </c>
      <c r="Q5" s="176">
        <f>现金流量!Q9</f>
        <v>0</v>
      </c>
      <c r="R5" s="176">
        <f>现金流量!R9</f>
        <v>0</v>
      </c>
      <c r="S5" s="176">
        <f>现金流量!S9</f>
        <v>0</v>
      </c>
      <c r="T5" s="176">
        <f>现金流量!T9</f>
        <v>0</v>
      </c>
      <c r="U5" s="176">
        <f>现金流量!U9</f>
        <v>0</v>
      </c>
      <c r="V5" s="176">
        <f>现金流量!V9</f>
        <v>0</v>
      </c>
      <c r="W5" s="176">
        <f>现金流量!W9</f>
        <v>0</v>
      </c>
      <c r="X5" s="176">
        <f>现金流量!X9</f>
        <v>0</v>
      </c>
      <c r="Y5" s="176">
        <f>现金流量!Y9</f>
        <v>0</v>
      </c>
      <c r="Z5" s="176">
        <f>现金流量!Z9</f>
        <v>0</v>
      </c>
      <c r="AA5" s="176">
        <f>现金流量!AA9</f>
        <v>0</v>
      </c>
      <c r="AB5" s="176">
        <f>现金流量!AB9</f>
        <v>0</v>
      </c>
      <c r="AC5" s="176">
        <f ca="1">现金流量!AC9</f>
        <v>0</v>
      </c>
      <c r="AD5" s="176">
        <f ca="1">现金流量!AD9</f>
        <v>0</v>
      </c>
      <c r="AE5" s="176">
        <f ca="1">现金流量!AE9</f>
        <v>33863.869440000002</v>
      </c>
      <c r="AF5" s="176">
        <f ca="1">现金流量!AF9</f>
        <v>5012.2351247208153</v>
      </c>
      <c r="AG5" s="176">
        <f ca="1">现金流量!AG9</f>
        <v>785.27808312250829</v>
      </c>
      <c r="AH5" s="176">
        <f ca="1">现金流量!AH9</f>
        <v>474.92176662250858</v>
      </c>
      <c r="AI5" s="176">
        <f ca="1">现金流量!AI9</f>
        <v>1804.4521215099401</v>
      </c>
      <c r="AJ5" s="176">
        <f ca="1">现金流量!AJ9</f>
        <v>2190.4045034776036</v>
      </c>
      <c r="AK5" s="176">
        <f ca="1">现金流量!AK9</f>
        <v>1869.2591780491646</v>
      </c>
      <c r="AL5" s="176">
        <f ca="1">现金流量!AL9</f>
        <v>790.25643166546206</v>
      </c>
      <c r="AM5" s="176">
        <f ca="1">现金流量!AM9</f>
        <v>1992.5843973699189</v>
      </c>
      <c r="AN5" s="176">
        <f ca="1">现金流量!AN9</f>
        <v>2442.1334037354063</v>
      </c>
      <c r="AO5" s="176">
        <f ca="1">现金流量!AO9</f>
        <v>2973.2634172053099</v>
      </c>
      <c r="AP5" s="176">
        <f ca="1">现金流量!AP9</f>
        <v>3388.4268289474344</v>
      </c>
      <c r="AQ5" s="176">
        <f ca="1">现金流量!AQ9</f>
        <v>4195.8937366544023</v>
      </c>
      <c r="AR5" s="176">
        <f ca="1">现金流量!AR9</f>
        <v>4413.3420079658972</v>
      </c>
      <c r="AS5" s="176">
        <f ca="1">现金流量!AS9</f>
        <v>4799.1245077395788</v>
      </c>
      <c r="AT5" s="176">
        <f ca="1">现金流量!AT9</f>
        <v>5083.539392920773</v>
      </c>
      <c r="AU5" s="176">
        <f ca="1">现金流量!AU9</f>
        <v>5377.3713758042732</v>
      </c>
      <c r="AV5" s="176">
        <f ca="1">现金流量!AV9</f>
        <v>4904.5205219537002</v>
      </c>
      <c r="AW5" s="176">
        <f ca="1">现金流量!AW9</f>
        <v>4799.5644557888791</v>
      </c>
      <c r="AX5" s="176">
        <f ca="1">现金流量!AX9</f>
        <v>1246.7491459029279</v>
      </c>
      <c r="AY5" s="176">
        <f ca="1">现金流量!AY9</f>
        <v>3731.907966810802</v>
      </c>
      <c r="AZ5" s="176">
        <f ca="1">现金流量!AZ9</f>
        <v>2976.690667732842</v>
      </c>
      <c r="BA5" s="176">
        <f ca="1">现金流量!BA9</f>
        <v>2419.2635727931711</v>
      </c>
      <c r="BB5" s="176">
        <f ca="1">现金流量!BB9</f>
        <v>2062.7044982838229</v>
      </c>
      <c r="BC5" s="176">
        <f ca="1">现金流量!BC9</f>
        <v>1483.8391897256267</v>
      </c>
      <c r="BD5" s="176">
        <f ca="1">现金流量!BD9</f>
        <v>1360.2193066621119</v>
      </c>
      <c r="BE5" s="176">
        <f ca="1">现金流量!BE9</f>
        <v>1361.3595316116534</v>
      </c>
      <c r="BF5" s="176">
        <f ca="1">现金流量!BF9</f>
        <v>1361.3595316116534</v>
      </c>
      <c r="BG5" s="176">
        <f ca="1">现金流量!BG9</f>
        <v>1271.0036208206509</v>
      </c>
      <c r="BH5" s="176">
        <f ca="1">现金流量!BH9</f>
        <v>1289.2472200133143</v>
      </c>
      <c r="BI5" s="176">
        <f ca="1">现金流量!BI9</f>
        <v>1214.2244480993945</v>
      </c>
      <c r="BJ5" s="176">
        <f ca="1">现金流量!BJ9</f>
        <v>151.24755961899859</v>
      </c>
      <c r="BK5" s="176">
        <f ca="1">现金流量!BK9</f>
        <v>553.4687925032639</v>
      </c>
      <c r="BL5" s="176">
        <f ca="1">现金流量!BL9</f>
        <v>228.35948715504747</v>
      </c>
      <c r="BM5" s="176">
        <f ca="1">现金流量!BM9</f>
        <v>228.35948715504747</v>
      </c>
      <c r="BN5" s="176">
        <f ca="1">现金流量!BN9</f>
        <v>228.35948715504747</v>
      </c>
      <c r="BO5" s="176">
        <f ca="1">现金流量!BO9</f>
        <v>153.15420627901395</v>
      </c>
      <c r="BP5" s="176">
        <f ca="1">现金流量!BP9</f>
        <v>75.181024763494918</v>
      </c>
      <c r="BQ5" s="176">
        <f ca="1">现金流量!BQ9</f>
        <v>0</v>
      </c>
      <c r="BR5" s="176">
        <f ca="1">现金流量!BR9</f>
        <v>0</v>
      </c>
      <c r="BS5" s="176">
        <f ca="1">现金流量!BS9</f>
        <v>0</v>
      </c>
      <c r="BT5" s="176">
        <f ca="1">现金流量!BT9</f>
        <v>0</v>
      </c>
      <c r="BU5" s="176">
        <f ca="1">现金流量!BU9</f>
        <v>0</v>
      </c>
      <c r="BV5" s="176">
        <f ca="1">现金流量!BV9</f>
        <v>6590.4664193795916</v>
      </c>
      <c r="BW5" s="176">
        <f ca="1">现金流量!BW9</f>
        <v>0</v>
      </c>
      <c r="BX5" s="176">
        <f ca="1">现金流量!BX9</f>
        <v>0</v>
      </c>
      <c r="BY5" s="176">
        <f ca="1">现金流量!BY9</f>
        <v>0</v>
      </c>
      <c r="BZ5" s="176">
        <f ca="1">现金流量!BZ9</f>
        <v>0</v>
      </c>
      <c r="CA5" s="176">
        <f ca="1">现金流量!CA9</f>
        <v>0</v>
      </c>
      <c r="CB5" s="176">
        <f ca="1">现金流量!CB9</f>
        <v>0</v>
      </c>
      <c r="CC5" s="176">
        <f ca="1">现金流量!CC9</f>
        <v>0</v>
      </c>
      <c r="CD5" s="176">
        <f ca="1">现金流量!CD9</f>
        <v>0</v>
      </c>
      <c r="CE5" s="176">
        <f ca="1">现金流量!CE9</f>
        <v>0</v>
      </c>
      <c r="CF5" s="176">
        <f ca="1">现金流量!CF9</f>
        <v>0</v>
      </c>
      <c r="CG5" s="176">
        <f ca="1">现金流量!CG9</f>
        <v>0</v>
      </c>
      <c r="CH5" s="176">
        <f ca="1">现金流量!CH9</f>
        <v>0</v>
      </c>
    </row>
    <row r="6" spans="1:86" s="177" customFormat="1" ht="13">
      <c r="A6" s="178" t="s">
        <v>406</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c r="BV6" s="179"/>
      <c r="BW6" s="179"/>
      <c r="BX6" s="179"/>
      <c r="BY6" s="179"/>
      <c r="BZ6" s="179"/>
      <c r="CA6" s="179"/>
      <c r="CB6" s="179"/>
      <c r="CC6" s="179"/>
      <c r="CD6" s="179"/>
      <c r="CE6" s="179"/>
      <c r="CF6" s="179"/>
      <c r="CG6" s="179"/>
      <c r="CH6" s="179"/>
    </row>
    <row r="7" spans="1:86" s="177" customFormat="1" ht="13">
      <c r="A7" s="178" t="s">
        <v>407</v>
      </c>
      <c r="B7" s="176">
        <f t="shared" ref="B7:B11" si="0">SUM(C7:CH7)</f>
        <v>0</v>
      </c>
      <c r="C7" s="179"/>
      <c r="D7" s="179"/>
      <c r="E7" s="179"/>
      <c r="F7" s="179"/>
      <c r="G7" s="179"/>
      <c r="H7" s="179"/>
      <c r="I7" s="179"/>
      <c r="J7" s="179"/>
      <c r="K7" s="179"/>
      <c r="L7" s="179"/>
      <c r="M7" s="179"/>
      <c r="N7" s="179"/>
      <c r="O7" s="179"/>
      <c r="P7" s="179"/>
      <c r="Q7" s="179"/>
      <c r="R7" s="179"/>
      <c r="S7" s="179"/>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c r="BT7" s="179"/>
      <c r="BU7" s="179"/>
      <c r="BV7" s="179"/>
      <c r="BW7" s="179"/>
      <c r="BX7" s="179"/>
      <c r="BY7" s="179"/>
      <c r="BZ7" s="179"/>
      <c r="CA7" s="179"/>
      <c r="CB7" s="179"/>
      <c r="CC7" s="179"/>
      <c r="CD7" s="179"/>
      <c r="CE7" s="179"/>
      <c r="CF7" s="179"/>
      <c r="CG7" s="179"/>
      <c r="CH7" s="179"/>
    </row>
    <row r="8" spans="1:86" s="174" customFormat="1" ht="13">
      <c r="A8" s="175" t="s">
        <v>412</v>
      </c>
      <c r="B8" s="176">
        <f t="shared" ca="1" si="0"/>
        <v>17640.762430668929</v>
      </c>
      <c r="C8" s="176">
        <f>C4-C5+C6-C7</f>
        <v>0</v>
      </c>
      <c r="D8" s="176">
        <f t="shared" ref="D8:AR8" si="1">D4-D5+D6-D7</f>
        <v>0</v>
      </c>
      <c r="E8" s="176">
        <f t="shared" si="1"/>
        <v>0</v>
      </c>
      <c r="F8" s="176">
        <f t="shared" si="1"/>
        <v>0</v>
      </c>
      <c r="G8" s="176">
        <f t="shared" si="1"/>
        <v>0</v>
      </c>
      <c r="H8" s="176">
        <f t="shared" si="1"/>
        <v>0</v>
      </c>
      <c r="I8" s="176">
        <f t="shared" si="1"/>
        <v>0</v>
      </c>
      <c r="J8" s="176">
        <f t="shared" si="1"/>
        <v>0</v>
      </c>
      <c r="K8" s="176">
        <f t="shared" si="1"/>
        <v>0</v>
      </c>
      <c r="L8" s="176">
        <f t="shared" si="1"/>
        <v>0</v>
      </c>
      <c r="M8" s="176">
        <f t="shared" si="1"/>
        <v>0</v>
      </c>
      <c r="N8" s="176">
        <f t="shared" si="1"/>
        <v>0</v>
      </c>
      <c r="O8" s="176">
        <f t="shared" si="1"/>
        <v>0</v>
      </c>
      <c r="P8" s="176">
        <f t="shared" si="1"/>
        <v>0</v>
      </c>
      <c r="Q8" s="176">
        <f t="shared" si="1"/>
        <v>0</v>
      </c>
      <c r="R8" s="176">
        <f t="shared" si="1"/>
        <v>0</v>
      </c>
      <c r="S8" s="176">
        <f t="shared" si="1"/>
        <v>0</v>
      </c>
      <c r="T8" s="176">
        <f t="shared" si="1"/>
        <v>0</v>
      </c>
      <c r="U8" s="176">
        <f t="shared" si="1"/>
        <v>0</v>
      </c>
      <c r="V8" s="176">
        <f t="shared" si="1"/>
        <v>0</v>
      </c>
      <c r="W8" s="176">
        <f t="shared" si="1"/>
        <v>0</v>
      </c>
      <c r="X8" s="176">
        <f t="shared" si="1"/>
        <v>0</v>
      </c>
      <c r="Y8" s="176">
        <f t="shared" si="1"/>
        <v>0</v>
      </c>
      <c r="Z8" s="176">
        <f t="shared" si="1"/>
        <v>0</v>
      </c>
      <c r="AA8" s="176">
        <f t="shared" si="1"/>
        <v>0</v>
      </c>
      <c r="AB8" s="176">
        <f>AB4-AB5+AB6-AB7</f>
        <v>0</v>
      </c>
      <c r="AC8" s="176">
        <f t="shared" ca="1" si="1"/>
        <v>0</v>
      </c>
      <c r="AD8" s="176">
        <f t="shared" ca="1" si="1"/>
        <v>0</v>
      </c>
      <c r="AE8" s="176">
        <f ca="1">AE4-AE5+AE6-AE7</f>
        <v>-33863.869440000002</v>
      </c>
      <c r="AF8" s="176">
        <f t="shared" ca="1" si="1"/>
        <v>-5012.2351247208153</v>
      </c>
      <c r="AG8" s="176">
        <f t="shared" ca="1" si="1"/>
        <v>-785.27808312250829</v>
      </c>
      <c r="AH8" s="176">
        <f t="shared" ca="1" si="1"/>
        <v>-474.92176662250858</v>
      </c>
      <c r="AI8" s="176">
        <f t="shared" ca="1" si="1"/>
        <v>2386.9478784900593</v>
      </c>
      <c r="AJ8" s="176">
        <f t="shared" ca="1" si="1"/>
        <v>8845.9954965223951</v>
      </c>
      <c r="AK8" s="176">
        <f t="shared" ca="1" si="1"/>
        <v>2725.3658219508352</v>
      </c>
      <c r="AL8" s="176">
        <f t="shared" ca="1" si="1"/>
        <v>8205.3685683345375</v>
      </c>
      <c r="AM8" s="176">
        <f t="shared" ca="1" si="1"/>
        <v>1398.665602630082</v>
      </c>
      <c r="AN8" s="176">
        <f t="shared" ca="1" si="1"/>
        <v>2194.3215962645936</v>
      </c>
      <c r="AO8" s="176">
        <f t="shared" ca="1" si="1"/>
        <v>4803.6815827946903</v>
      </c>
      <c r="AP8" s="176">
        <f t="shared" ca="1" si="1"/>
        <v>1736.0531710525652</v>
      </c>
      <c r="AQ8" s="176">
        <f t="shared" ca="1" si="1"/>
        <v>6679.0862633455972</v>
      </c>
      <c r="AR8" s="176">
        <f t="shared" ca="1" si="1"/>
        <v>733.88799203410235</v>
      </c>
      <c r="AS8" s="176">
        <f t="shared" ref="AS8:BP8" ca="1" si="2">AS4-AS5+AS6-AS7</f>
        <v>662.85549226042076</v>
      </c>
      <c r="AT8" s="176">
        <f t="shared" ca="1" si="2"/>
        <v>-0.30939292077346181</v>
      </c>
      <c r="AU8" s="176">
        <f t="shared" ca="1" si="2"/>
        <v>7132.2536241957268</v>
      </c>
      <c r="AV8" s="176">
        <f t="shared" ca="1" si="2"/>
        <v>1308.1644780463002</v>
      </c>
      <c r="AW8" s="176">
        <f t="shared" ca="1" si="2"/>
        <v>624.61329421111986</v>
      </c>
      <c r="AX8" s="176">
        <f t="shared" ca="1" si="2"/>
        <v>4478.23160409707</v>
      </c>
      <c r="AY8" s="176">
        <f t="shared" ca="1" si="2"/>
        <v>724.01703318919726</v>
      </c>
      <c r="AZ8" s="176">
        <f t="shared" ca="1" si="2"/>
        <v>419.5547922671567</v>
      </c>
      <c r="BA8" s="176">
        <f t="shared" ca="1" si="2"/>
        <v>869.46488720682692</v>
      </c>
      <c r="BB8" s="176">
        <f t="shared" ca="1" si="2"/>
        <v>-1782.0394982838229</v>
      </c>
      <c r="BC8" s="176">
        <f t="shared" ca="1" si="2"/>
        <v>-1213.5691897256268</v>
      </c>
      <c r="BD8" s="176">
        <f t="shared" ca="1" si="2"/>
        <v>-1079.5543066621119</v>
      </c>
      <c r="BE8" s="176">
        <f t="shared" ca="1" si="2"/>
        <v>-1070.2995316116535</v>
      </c>
      <c r="BF8" s="176">
        <f t="shared" ca="1" si="2"/>
        <v>-1070.2995316116535</v>
      </c>
      <c r="BG8" s="176">
        <f t="shared" ca="1" si="2"/>
        <v>-813.62362082065079</v>
      </c>
      <c r="BH8" s="176">
        <f t="shared" ca="1" si="2"/>
        <v>-665.54722001331425</v>
      </c>
      <c r="BI8" s="176">
        <f t="shared" ca="1" si="2"/>
        <v>-587.8945130993942</v>
      </c>
      <c r="BJ8" s="176">
        <f t="shared" ca="1" si="2"/>
        <v>163.2323753810017</v>
      </c>
      <c r="BK8" s="176">
        <f t="shared" ca="1" si="2"/>
        <v>-553.4687925032639</v>
      </c>
      <c r="BL8" s="176">
        <f t="shared" ca="1" si="2"/>
        <v>-228.35948715504747</v>
      </c>
      <c r="BM8" s="176">
        <f t="shared" ca="1" si="2"/>
        <v>-228.35948715504747</v>
      </c>
      <c r="BN8" s="176">
        <f t="shared" ca="1" si="2"/>
        <v>-228.35948715504747</v>
      </c>
      <c r="BO8" s="176">
        <f t="shared" ca="1" si="2"/>
        <v>12443.755643720982</v>
      </c>
      <c r="BP8" s="176">
        <f t="shared" ca="1" si="2"/>
        <v>-75.181024763494918</v>
      </c>
      <c r="BQ8" s="176">
        <f ca="1">BQ4-BQ5+BQ6-BQ7</f>
        <v>0</v>
      </c>
      <c r="BR8" s="176">
        <f ca="1">BR4-BR5+BR6-BR7</f>
        <v>0</v>
      </c>
      <c r="BS8" s="176">
        <f ca="1">BS4-BS5+BS6-BS7</f>
        <v>0</v>
      </c>
      <c r="BT8" s="176">
        <f ca="1">BT4-BT5+BT6-BT7</f>
        <v>0</v>
      </c>
      <c r="BU8" s="176">
        <f t="shared" ref="BU8:CH8" ca="1" si="3">BU4-BU5+BU6-BU7</f>
        <v>5428.8811500000011</v>
      </c>
      <c r="BV8" s="176">
        <f t="shared" ca="1" si="3"/>
        <v>-6590.4664193795916</v>
      </c>
      <c r="BW8" s="176">
        <f t="shared" ca="1" si="3"/>
        <v>0</v>
      </c>
      <c r="BX8" s="176">
        <f t="shared" ca="1" si="3"/>
        <v>0</v>
      </c>
      <c r="BY8" s="176">
        <f t="shared" ca="1" si="3"/>
        <v>0</v>
      </c>
      <c r="BZ8" s="176">
        <f t="shared" ca="1" si="3"/>
        <v>0</v>
      </c>
      <c r="CA8" s="176">
        <f t="shared" ca="1" si="3"/>
        <v>0</v>
      </c>
      <c r="CB8" s="176">
        <f t="shared" ca="1" si="3"/>
        <v>0</v>
      </c>
      <c r="CC8" s="176">
        <f t="shared" ca="1" si="3"/>
        <v>0</v>
      </c>
      <c r="CD8" s="176">
        <f t="shared" ca="1" si="3"/>
        <v>0</v>
      </c>
      <c r="CE8" s="176">
        <f t="shared" ca="1" si="3"/>
        <v>0</v>
      </c>
      <c r="CF8" s="176">
        <f t="shared" ca="1" si="3"/>
        <v>0</v>
      </c>
      <c r="CG8" s="176">
        <f t="shared" ca="1" si="3"/>
        <v>0</v>
      </c>
      <c r="CH8" s="176">
        <f t="shared" ca="1" si="3"/>
        <v>0</v>
      </c>
    </row>
    <row r="9" spans="1:86" s="174" customFormat="1" ht="13">
      <c r="A9" s="175" t="s">
        <v>413</v>
      </c>
      <c r="B9" s="176">
        <f t="shared" ca="1" si="0"/>
        <v>255856.13704377884</v>
      </c>
      <c r="C9" s="176">
        <f>C8</f>
        <v>0</v>
      </c>
      <c r="D9" s="176">
        <f t="shared" ref="D9:AE9" si="4">D8+C9</f>
        <v>0</v>
      </c>
      <c r="E9" s="176">
        <f t="shared" si="4"/>
        <v>0</v>
      </c>
      <c r="F9" s="176">
        <f t="shared" si="4"/>
        <v>0</v>
      </c>
      <c r="G9" s="176">
        <f t="shared" si="4"/>
        <v>0</v>
      </c>
      <c r="H9" s="176">
        <f t="shared" si="4"/>
        <v>0</v>
      </c>
      <c r="I9" s="176">
        <f t="shared" si="4"/>
        <v>0</v>
      </c>
      <c r="J9" s="176">
        <f t="shared" si="4"/>
        <v>0</v>
      </c>
      <c r="K9" s="176">
        <f t="shared" si="4"/>
        <v>0</v>
      </c>
      <c r="L9" s="176">
        <f t="shared" si="4"/>
        <v>0</v>
      </c>
      <c r="M9" s="176">
        <f t="shared" si="4"/>
        <v>0</v>
      </c>
      <c r="N9" s="176">
        <f t="shared" si="4"/>
        <v>0</v>
      </c>
      <c r="O9" s="176">
        <f t="shared" si="4"/>
        <v>0</v>
      </c>
      <c r="P9" s="176">
        <f t="shared" si="4"/>
        <v>0</v>
      </c>
      <c r="Q9" s="176">
        <f t="shared" si="4"/>
        <v>0</v>
      </c>
      <c r="R9" s="176">
        <f t="shared" si="4"/>
        <v>0</v>
      </c>
      <c r="S9" s="176">
        <f t="shared" si="4"/>
        <v>0</v>
      </c>
      <c r="T9" s="176">
        <f t="shared" si="4"/>
        <v>0</v>
      </c>
      <c r="U9" s="176">
        <f t="shared" si="4"/>
        <v>0</v>
      </c>
      <c r="V9" s="176">
        <f t="shared" si="4"/>
        <v>0</v>
      </c>
      <c r="W9" s="176">
        <f t="shared" si="4"/>
        <v>0</v>
      </c>
      <c r="X9" s="176">
        <f t="shared" si="4"/>
        <v>0</v>
      </c>
      <c r="Y9" s="176">
        <f t="shared" si="4"/>
        <v>0</v>
      </c>
      <c r="Z9" s="176">
        <f>Z8+Y9</f>
        <v>0</v>
      </c>
      <c r="AA9" s="176">
        <f t="shared" si="4"/>
        <v>0</v>
      </c>
      <c r="AB9" s="176">
        <f t="shared" si="4"/>
        <v>0</v>
      </c>
      <c r="AC9" s="176">
        <f t="shared" ca="1" si="4"/>
        <v>0</v>
      </c>
      <c r="AD9" s="176">
        <f t="shared" ca="1" si="4"/>
        <v>0</v>
      </c>
      <c r="AE9" s="176">
        <f t="shared" ca="1" si="4"/>
        <v>-33863.869440000002</v>
      </c>
      <c r="AF9" s="176">
        <f t="shared" ref="AF9:AR9" ca="1" si="5">AF8+AE9</f>
        <v>-38876.104564720816</v>
      </c>
      <c r="AG9" s="176">
        <f t="shared" ca="1" si="5"/>
        <v>-39661.382647843326</v>
      </c>
      <c r="AH9" s="176">
        <f t="shared" ca="1" si="5"/>
        <v>-40136.304414465834</v>
      </c>
      <c r="AI9" s="176">
        <f t="shared" ca="1" si="5"/>
        <v>-37749.356535975778</v>
      </c>
      <c r="AJ9" s="176">
        <f t="shared" ca="1" si="5"/>
        <v>-28903.361039453383</v>
      </c>
      <c r="AK9" s="176">
        <f t="shared" ca="1" si="5"/>
        <v>-26177.995217502546</v>
      </c>
      <c r="AL9" s="176">
        <f t="shared" ca="1" si="5"/>
        <v>-17972.626649168007</v>
      </c>
      <c r="AM9" s="176">
        <f t="shared" ca="1" si="5"/>
        <v>-16573.961046537926</v>
      </c>
      <c r="AN9" s="176">
        <f t="shared" ca="1" si="5"/>
        <v>-14379.639450273333</v>
      </c>
      <c r="AO9" s="176">
        <f t="shared" ca="1" si="5"/>
        <v>-9575.9578674786426</v>
      </c>
      <c r="AP9" s="176">
        <f t="shared" ca="1" si="5"/>
        <v>-7839.9046964260779</v>
      </c>
      <c r="AQ9" s="176">
        <f t="shared" ca="1" si="5"/>
        <v>-1160.8184330804806</v>
      </c>
      <c r="AR9" s="176">
        <f t="shared" ca="1" si="5"/>
        <v>-426.93044104637829</v>
      </c>
      <c r="AS9" s="176">
        <f t="shared" ref="AS9:BT9" ca="1" si="6">AS8+AR9</f>
        <v>235.92505121404247</v>
      </c>
      <c r="AT9" s="176">
        <f t="shared" ca="1" si="6"/>
        <v>235.61565829326901</v>
      </c>
      <c r="AU9" s="176">
        <f t="shared" ca="1" si="6"/>
        <v>7367.8692824889959</v>
      </c>
      <c r="AV9" s="176">
        <f t="shared" ca="1" si="6"/>
        <v>8676.0337605352961</v>
      </c>
      <c r="AW9" s="176">
        <f t="shared" ca="1" si="6"/>
        <v>9300.647054746416</v>
      </c>
      <c r="AX9" s="176">
        <f t="shared" ca="1" si="6"/>
        <v>13778.878658843485</v>
      </c>
      <c r="AY9" s="176">
        <f t="shared" ca="1" si="6"/>
        <v>14502.895692032682</v>
      </c>
      <c r="AZ9" s="176">
        <f t="shared" ca="1" si="6"/>
        <v>14922.450484299839</v>
      </c>
      <c r="BA9" s="176">
        <f t="shared" ca="1" si="6"/>
        <v>15791.915371506666</v>
      </c>
      <c r="BB9" s="176">
        <f t="shared" ca="1" si="6"/>
        <v>14009.875873222843</v>
      </c>
      <c r="BC9" s="176">
        <f t="shared" ca="1" si="6"/>
        <v>12796.306683497216</v>
      </c>
      <c r="BD9" s="176">
        <f t="shared" ca="1" si="6"/>
        <v>11716.752376835104</v>
      </c>
      <c r="BE9" s="176">
        <f t="shared" ca="1" si="6"/>
        <v>10646.45284522345</v>
      </c>
      <c r="BF9" s="176">
        <f t="shared" ca="1" si="6"/>
        <v>9576.153313611796</v>
      </c>
      <c r="BG9" s="176">
        <f t="shared" ca="1" si="6"/>
        <v>8762.5296927911459</v>
      </c>
      <c r="BH9" s="176">
        <f t="shared" ca="1" si="6"/>
        <v>8096.9824727778314</v>
      </c>
      <c r="BI9" s="176">
        <f t="shared" ca="1" si="6"/>
        <v>7509.0879596784371</v>
      </c>
      <c r="BJ9" s="176">
        <f t="shared" ca="1" si="6"/>
        <v>7672.3203350594385</v>
      </c>
      <c r="BK9" s="176">
        <f t="shared" ca="1" si="6"/>
        <v>7118.8515425561745</v>
      </c>
      <c r="BL9" s="176">
        <f t="shared" ca="1" si="6"/>
        <v>6890.4920554011269</v>
      </c>
      <c r="BM9" s="176">
        <f t="shared" ca="1" si="6"/>
        <v>6662.1325682460792</v>
      </c>
      <c r="BN9" s="176">
        <f t="shared" ca="1" si="6"/>
        <v>6433.7730810910316</v>
      </c>
      <c r="BO9" s="176">
        <f t="shared" ca="1" si="6"/>
        <v>18877.528724812015</v>
      </c>
      <c r="BP9" s="176">
        <f t="shared" ca="1" si="6"/>
        <v>18802.347700048518</v>
      </c>
      <c r="BQ9" s="176">
        <f t="shared" ca="1" si="6"/>
        <v>18802.347700048518</v>
      </c>
      <c r="BR9" s="176">
        <f t="shared" ca="1" si="6"/>
        <v>18802.347700048518</v>
      </c>
      <c r="BS9" s="176">
        <f t="shared" ca="1" si="6"/>
        <v>18802.347700048518</v>
      </c>
      <c r="BT9" s="176">
        <f t="shared" ca="1" si="6"/>
        <v>18802.347700048518</v>
      </c>
      <c r="BU9" s="176">
        <f t="shared" ref="BU9" ca="1" si="7">BU8+BT9</f>
        <v>24231.228850048519</v>
      </c>
      <c r="BV9" s="176">
        <f t="shared" ref="BV9" ca="1" si="8">BV8+BU9</f>
        <v>17640.762430668929</v>
      </c>
      <c r="BW9" s="176">
        <f t="shared" ref="BW9" ca="1" si="9">BW8+BV9</f>
        <v>17640.762430668929</v>
      </c>
      <c r="BX9" s="176">
        <f t="shared" ref="BX9" ca="1" si="10">BX8+BW9</f>
        <v>17640.762430668929</v>
      </c>
      <c r="BY9" s="176">
        <f t="shared" ref="BY9" ca="1" si="11">BY8+BX9</f>
        <v>17640.762430668929</v>
      </c>
      <c r="BZ9" s="176">
        <f t="shared" ref="BZ9" ca="1" si="12">BZ8+BY9</f>
        <v>17640.762430668929</v>
      </c>
      <c r="CA9" s="176">
        <f t="shared" ref="CA9" ca="1" si="13">CA8+BZ9</f>
        <v>17640.762430668929</v>
      </c>
      <c r="CB9" s="176">
        <f t="shared" ref="CB9" ca="1" si="14">CB8+CA9</f>
        <v>17640.762430668929</v>
      </c>
      <c r="CC9" s="176">
        <f t="shared" ref="CC9" ca="1" si="15">CC8+CB9</f>
        <v>17640.762430668929</v>
      </c>
      <c r="CD9" s="176">
        <f t="shared" ref="CD9" ca="1" si="16">CD8+CC9</f>
        <v>17640.762430668929</v>
      </c>
      <c r="CE9" s="176">
        <f t="shared" ref="CE9" ca="1" si="17">CE8+CD9</f>
        <v>17640.762430668929</v>
      </c>
      <c r="CF9" s="176">
        <f t="shared" ref="CF9" ca="1" si="18">CF8+CE9</f>
        <v>17640.762430668929</v>
      </c>
      <c r="CG9" s="176">
        <f t="shared" ref="CG9" ca="1" si="19">CG8+CF9</f>
        <v>17640.762430668929</v>
      </c>
      <c r="CH9" s="176">
        <f t="shared" ref="CH9" ca="1" si="20">CH8+CG9</f>
        <v>17640.762430668929</v>
      </c>
    </row>
    <row r="10" spans="1:86" s="174" customFormat="1" ht="13">
      <c r="A10" s="175" t="s">
        <v>414</v>
      </c>
      <c r="B10" s="176">
        <f t="shared" ca="1" si="0"/>
        <v>15499.891312668922</v>
      </c>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f ca="1">创造利润!AB29</f>
        <v>0</v>
      </c>
      <c r="AF10" s="176">
        <f ca="1">创造利润!AC29</f>
        <v>0</v>
      </c>
      <c r="AG10" s="176">
        <f ca="1">创造利润!AD29</f>
        <v>0</v>
      </c>
      <c r="AH10" s="176">
        <f ca="1">创造利润!AE29</f>
        <v>0</v>
      </c>
      <c r="AI10" s="176">
        <f ca="1">创造利润!AF29</f>
        <v>1503.8627005160042</v>
      </c>
      <c r="AJ10" s="176">
        <f ca="1">创造利润!AG29</f>
        <v>415.07420923232519</v>
      </c>
      <c r="AK10" s="176">
        <f ca="1">创造利润!AH29</f>
        <v>904.9266370456113</v>
      </c>
      <c r="AL10" s="176">
        <f ca="1">创造利润!AI29</f>
        <v>413.81372709679874</v>
      </c>
      <c r="AM10" s="176">
        <f ca="1">创造利润!AJ29</f>
        <v>578.25758530437668</v>
      </c>
      <c r="AN10" s="176">
        <f ca="1">创造利润!AK29</f>
        <v>783.0343223324893</v>
      </c>
      <c r="AO10" s="176">
        <f ca="1">创造利润!AL29</f>
        <v>685.15223166836336</v>
      </c>
      <c r="AP10" s="176">
        <f ca="1">创造利润!AM29</f>
        <v>800.08643652944795</v>
      </c>
      <c r="AQ10" s="176">
        <f ca="1">创造利润!AN29</f>
        <v>803.77851776262241</v>
      </c>
      <c r="AR10" s="176">
        <f ca="1">创造利润!AO29</f>
        <v>882.70198414668278</v>
      </c>
      <c r="AS10" s="176">
        <f ca="1">创造利润!AP29</f>
        <v>831.65128865404654</v>
      </c>
      <c r="AT10" s="176">
        <f ca="1">创造利润!AQ29</f>
        <v>795.67210339741007</v>
      </c>
      <c r="AU10" s="176">
        <f ca="1">创造利润!AR29</f>
        <v>1064.890720211991</v>
      </c>
      <c r="AV10" s="176">
        <f ca="1">创造利润!AS29</f>
        <v>840.73003140371873</v>
      </c>
      <c r="AW10" s="176">
        <f ca="1">创造利润!AT29</f>
        <v>1023.4620690754458</v>
      </c>
      <c r="AX10" s="176">
        <f ca="1">创造利润!AU29</f>
        <v>812.18226491824544</v>
      </c>
      <c r="AY10" s="176">
        <f ca="1">创造利润!AV29</f>
        <v>395.72837929587075</v>
      </c>
      <c r="AZ10" s="176">
        <f ca="1">创造利润!AW29</f>
        <v>749.2412472356134</v>
      </c>
      <c r="BA10" s="176">
        <f ca="1">创造利润!AX29</f>
        <v>98.775896892785909</v>
      </c>
      <c r="BB10" s="176">
        <f ca="1">创造利润!AY29</f>
        <v>91.55095365024367</v>
      </c>
      <c r="BC10" s="176">
        <f ca="1">创造利润!AZ29</f>
        <v>91.55095365024367</v>
      </c>
      <c r="BD10" s="176">
        <f ca="1">创造利润!BA29</f>
        <v>98.775896892785909</v>
      </c>
      <c r="BE10" s="176">
        <f ca="1">创造利润!BB29</f>
        <v>98.775896892785909</v>
      </c>
      <c r="BF10" s="176">
        <f ca="1">创造利润!BC29</f>
        <v>98.775896892785909</v>
      </c>
      <c r="BG10" s="176">
        <f ca="1">创造利润!BD29</f>
        <v>212.00168027065624</v>
      </c>
      <c r="BH10" s="176">
        <f ca="1">创造利润!BE29</f>
        <v>212.00168027065624</v>
      </c>
      <c r="BI10" s="176">
        <f ca="1">创造利润!BF29</f>
        <v>213.43600142891432</v>
      </c>
      <c r="BJ10" s="176">
        <f ca="1">创造利润!BG29</f>
        <v>0</v>
      </c>
      <c r="BK10" s="176">
        <f ca="1">创造利润!BH29</f>
        <v>0</v>
      </c>
      <c r="BL10" s="176">
        <f ca="1">创造利润!BI29</f>
        <v>0</v>
      </c>
      <c r="BM10" s="176">
        <f ca="1">创造利润!BJ29</f>
        <v>0</v>
      </c>
      <c r="BN10" s="176">
        <f ca="1">创造利润!BK29</f>
        <v>0</v>
      </c>
      <c r="BO10" s="176">
        <f ca="1">创造利润!BL29</f>
        <v>0</v>
      </c>
      <c r="BP10" s="176">
        <f ca="1">创造利润!BM29</f>
        <v>0</v>
      </c>
      <c r="BQ10" s="176">
        <f ca="1">创造利润!BN29</f>
        <v>0</v>
      </c>
      <c r="BR10" s="176">
        <f ca="1">创造利润!BO29</f>
        <v>0</v>
      </c>
      <c r="BS10" s="176">
        <f ca="1">创造利润!BP29</f>
        <v>0</v>
      </c>
      <c r="BT10" s="176">
        <f>创造利润!BQ29</f>
        <v>0</v>
      </c>
      <c r="BU10" s="176">
        <f>创造利润!BR29</f>
        <v>0</v>
      </c>
      <c r="BV10" s="176">
        <f>创造利润!BS29</f>
        <v>0</v>
      </c>
      <c r="BW10" s="176">
        <f>创造利润!BT29</f>
        <v>0</v>
      </c>
      <c r="BX10" s="176">
        <f>创造利润!BU29</f>
        <v>0</v>
      </c>
      <c r="BY10" s="176">
        <f>创造利润!BV29</f>
        <v>0</v>
      </c>
      <c r="BZ10" s="176">
        <f>创造利润!BW29</f>
        <v>0</v>
      </c>
      <c r="CA10" s="176">
        <f>创造利润!BX29</f>
        <v>0</v>
      </c>
      <c r="CB10" s="176">
        <f>创造利润!BY29</f>
        <v>0</v>
      </c>
      <c r="CC10" s="176">
        <f>创造利润!BZ29</f>
        <v>0</v>
      </c>
      <c r="CD10" s="176">
        <f>创造利润!CA29</f>
        <v>0</v>
      </c>
      <c r="CE10" s="176">
        <f>创造利润!CB29</f>
        <v>0</v>
      </c>
      <c r="CF10" s="176">
        <f>创造利润!CC29</f>
        <v>0</v>
      </c>
      <c r="CG10" s="176">
        <f>创造利润!CD29</f>
        <v>0</v>
      </c>
      <c r="CH10" s="176">
        <f>创造利润!CE29</f>
        <v>0</v>
      </c>
    </row>
    <row r="11" spans="1:86" s="174" customFormat="1" ht="13">
      <c r="A11" s="175" t="s">
        <v>415</v>
      </c>
      <c r="B11" s="176">
        <f t="shared" ca="1" si="0"/>
        <v>15499.891312668926</v>
      </c>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f ca="1">结算利润!AA29</f>
        <v>0</v>
      </c>
      <c r="AF11" s="176">
        <f ca="1">结算利润!AB29</f>
        <v>0</v>
      </c>
      <c r="AG11" s="176">
        <f ca="1">结算利润!AC29</f>
        <v>0</v>
      </c>
      <c r="AH11" s="176">
        <f ca="1">结算利润!AD29</f>
        <v>0</v>
      </c>
      <c r="AI11" s="176">
        <f ca="1">结算利润!AE29</f>
        <v>-619.0340326453022</v>
      </c>
      <c r="AJ11" s="176">
        <f ca="1">结算利润!AF29</f>
        <v>-150.7136870329465</v>
      </c>
      <c r="AK11" s="176">
        <f ca="1">结算利润!AG29</f>
        <v>-314.5567953643997</v>
      </c>
      <c r="AL11" s="176">
        <f ca="1">结算利润!AH29</f>
        <v>-129.9015813800396</v>
      </c>
      <c r="AM11" s="176">
        <f ca="1">结算利润!AI29</f>
        <v>-188.31474036868161</v>
      </c>
      <c r="AN11" s="176">
        <f ca="1">结算利润!AJ29</f>
        <v>-206.97321861283643</v>
      </c>
      <c r="AO11" s="176">
        <f ca="1">结算利润!AK29</f>
        <v>-202.99864801208867</v>
      </c>
      <c r="AP11" s="176">
        <f ca="1">结算利润!AL29</f>
        <v>-244.15864878289338</v>
      </c>
      <c r="AQ11" s="176">
        <f ca="1">结算利润!AM29</f>
        <v>-206.03149017414799</v>
      </c>
      <c r="AR11" s="176">
        <f ca="1">结算利润!AN29</f>
        <v>-234.95180650521337</v>
      </c>
      <c r="AS11" s="176">
        <f ca="1">结算利润!AO29</f>
        <v>-214.68127980981708</v>
      </c>
      <c r="AT11" s="176">
        <f ca="1">结算利润!AP29</f>
        <v>-210.42601657223389</v>
      </c>
      <c r="AU11" s="176">
        <f ca="1">结算利润!AQ29</f>
        <v>-277.14204519004824</v>
      </c>
      <c r="AV11" s="176">
        <f ca="1">结算利润!AR29</f>
        <v>-217.87257250115948</v>
      </c>
      <c r="AW11" s="176">
        <f ca="1">结算利润!AS29</f>
        <v>-242.04777516441547</v>
      </c>
      <c r="AX11" s="176">
        <f ca="1">结算利润!AT29</f>
        <v>-220.61419992092306</v>
      </c>
      <c r="AY11" s="176">
        <f ca="1">结算利润!AU29</f>
        <v>-109.34200625817768</v>
      </c>
      <c r="AZ11" s="176">
        <f ca="1">结算利润!AV29</f>
        <v>-194.54744516750685</v>
      </c>
      <c r="BA11" s="176">
        <f ca="1">结算利润!AW29</f>
        <v>-9.0075412213160995</v>
      </c>
      <c r="BB11" s="176">
        <f ca="1">结算利润!AX29</f>
        <v>-8.3641454197935214</v>
      </c>
      <c r="BC11" s="176">
        <f ca="1">结算利润!AY29</f>
        <v>-8.3641454197935214</v>
      </c>
      <c r="BD11" s="176">
        <f ca="1">结算利润!AZ29</f>
        <v>-9.0075412213160995</v>
      </c>
      <c r="BE11" s="176">
        <f ca="1">结算利润!BA29</f>
        <v>-9.0075412213160995</v>
      </c>
      <c r="BF11" s="176">
        <f ca="1">结算利润!BB29</f>
        <v>-9.0075412213160995</v>
      </c>
      <c r="BG11" s="176">
        <f ca="1">结算利润!BC29</f>
        <v>-19.301874045677359</v>
      </c>
      <c r="BH11" s="176">
        <f ca="1">结算利润!BD29</f>
        <v>-19.301874045677359</v>
      </c>
      <c r="BI11" s="176">
        <f ca="1">结算利润!BE29</f>
        <v>-19.464653183462588</v>
      </c>
      <c r="BJ11" s="176">
        <f ca="1">结算利润!BF29</f>
        <v>0</v>
      </c>
      <c r="BK11" s="176">
        <f ca="1">结算利润!BG29</f>
        <v>0</v>
      </c>
      <c r="BL11" s="176">
        <f ca="1">结算利润!BH29</f>
        <v>0</v>
      </c>
      <c r="BM11" s="176">
        <f ca="1">结算利润!BI29</f>
        <v>0</v>
      </c>
      <c r="BN11" s="176">
        <f ca="1">结算利润!BJ29</f>
        <v>0</v>
      </c>
      <c r="BO11" s="176">
        <f ca="1">结算利润!BK29</f>
        <v>0</v>
      </c>
      <c r="BP11" s="176">
        <f ca="1">结算利润!BL29</f>
        <v>0</v>
      </c>
      <c r="BQ11" s="176">
        <f ca="1">结算利润!BM29</f>
        <v>0</v>
      </c>
      <c r="BR11" s="176">
        <f ca="1">结算利润!BN29</f>
        <v>0</v>
      </c>
      <c r="BS11" s="176">
        <f ca="1">结算利润!BO29</f>
        <v>0</v>
      </c>
      <c r="BT11" s="176">
        <f ca="1">结算利润!BP29</f>
        <v>19795.026159131427</v>
      </c>
      <c r="BU11" s="176">
        <f ca="1">结算利润!BQ29</f>
        <v>0</v>
      </c>
      <c r="BV11" s="176">
        <f ca="1">结算利润!BR29</f>
        <v>0</v>
      </c>
      <c r="BW11" s="176">
        <f ca="1">结算利润!BS29</f>
        <v>0</v>
      </c>
      <c r="BX11" s="176">
        <f ca="1">结算利润!BT29</f>
        <v>0</v>
      </c>
      <c r="BY11" s="176">
        <f>结算利润!BU29</f>
        <v>0</v>
      </c>
      <c r="BZ11" s="176">
        <f>结算利润!BV29</f>
        <v>0</v>
      </c>
      <c r="CA11" s="176">
        <f>结算利润!BW29</f>
        <v>0</v>
      </c>
      <c r="CB11" s="176">
        <f>结算利润!BX29</f>
        <v>0</v>
      </c>
      <c r="CC11" s="176">
        <f>结算利润!BY29</f>
        <v>0</v>
      </c>
      <c r="CD11" s="176">
        <f>结算利润!BZ29</f>
        <v>0</v>
      </c>
      <c r="CE11" s="176">
        <f>结算利润!CA29</f>
        <v>0</v>
      </c>
      <c r="CF11" s="176">
        <f>结算利润!CB29</f>
        <v>0</v>
      </c>
      <c r="CG11" s="176">
        <f>结算利润!CC29</f>
        <v>0</v>
      </c>
      <c r="CH11" s="176">
        <f>结算利润!CD29</f>
        <v>0</v>
      </c>
    </row>
    <row r="12" spans="1:86" s="174" customFormat="1" ht="13">
      <c r="A12" s="175" t="s">
        <v>416</v>
      </c>
      <c r="B12" s="176"/>
      <c r="C12" s="176"/>
      <c r="D12" s="176"/>
      <c r="E12" s="176"/>
      <c r="F12" s="176">
        <f>IF(SUM($C$10:F10)*60%+SUM($C$11:F11)*20%&gt;0,SUM($C$10:F10)*60%+SUM($C$11:F11)*20%,0)</f>
        <v>0</v>
      </c>
      <c r="G12" s="176">
        <f>IF(SUM($C$10:G10)*60%+SUM($C$11:G11)*20%&gt;0,SUM($C$10:G10)*60%+SUM($C$11:G11)*20%,0)</f>
        <v>0</v>
      </c>
      <c r="H12" s="176">
        <f>IF(SUM($C$10:H10)*60%+SUM($C$11:H11)*20%&gt;0,SUM($C$10:H10)*60%+SUM($C$11:H11)*20%,0)</f>
        <v>0</v>
      </c>
      <c r="I12" s="176">
        <f>IF(SUM($C$10:I10)*60%+SUM($C$11:I11)*20%&gt;0,SUM($C$10:I10)*60%+SUM($C$11:I11)*20%,0)</f>
        <v>0</v>
      </c>
      <c r="J12" s="176">
        <f>IF(SUM($C$10:J10)*60%+SUM($C$11:J11)*20%&gt;0,SUM($C$10:J10)*60%+SUM($C$11:J11)*20%,0)</f>
        <v>0</v>
      </c>
      <c r="K12" s="176">
        <f>IF(SUM($C$10:K10)*60%+SUM($C$11:K11)*20%&gt;0,SUM($C$10:K10)*60%+SUM($C$11:K11)*20%,0)</f>
        <v>0</v>
      </c>
      <c r="L12" s="176">
        <f>IF(SUM($C$10:L10)*60%+SUM($C$11:L11)*20%&gt;0,SUM($C$10:L10)*60%+SUM($C$11:L11)*20%,0)</f>
        <v>0</v>
      </c>
      <c r="M12" s="176">
        <f>IF(SUM($C$10:M10)*60%+SUM($C$11:M11)*20%&gt;0,SUM($C$10:M10)*60%+SUM($C$11:M11)*20%,0)</f>
        <v>0</v>
      </c>
      <c r="N12" s="176">
        <f>IF(SUM($C$10:N10)*60%+SUM($C$11:N11)*20%&gt;0,SUM($C$10:N10)*60%+SUM($C$11:N11)*20%,0)</f>
        <v>0</v>
      </c>
      <c r="O12" s="176">
        <f>IF(SUM($C$10:O10)*60%+SUM($C$11:O11)*20%&gt;0,SUM($C$10:O10)*60%+SUM($C$11:O11)*20%,0)</f>
        <v>0</v>
      </c>
      <c r="P12" s="176">
        <f>IF(SUM($C$10:P10)*60%+SUM($C$11:P11)*20%&gt;0,SUM($C$10:P10)*60%+SUM($C$11:P11)*20%,0)</f>
        <v>0</v>
      </c>
      <c r="Q12" s="176">
        <f>IF(SUM($C$10:Q10)*60%+SUM($C$11:Q11)*20%&gt;0,SUM($C$10:Q10)*60%+SUM($C$11:Q11)*20%,0)</f>
        <v>0</v>
      </c>
      <c r="R12" s="176">
        <f>IF(SUM($C$10:R10)*60%+SUM($C$11:R11)*20%&gt;0,SUM($C$10:R10)*60%+SUM($C$11:R11)*20%,0)</f>
        <v>0</v>
      </c>
      <c r="S12" s="176">
        <f>IF(SUM($C$10:S10)*60%+SUM($C$11:S11)*20%&gt;0,SUM($C$10:S10)*60%+SUM($C$11:S11)*20%,0)</f>
        <v>0</v>
      </c>
      <c r="T12" s="176">
        <f>IF(SUM($C$10:T10)*60%+SUM($C$11:T11)*20%&gt;0,SUM($C$10:T10)*60%+SUM($C$11:T11)*20%,0)</f>
        <v>0</v>
      </c>
      <c r="U12" s="176">
        <f>IF(SUM($C$10:U10)*60%+SUM($C$11:U11)*20%&gt;0,SUM($C$10:U10)*60%+SUM($C$11:U11)*20%,0)</f>
        <v>0</v>
      </c>
      <c r="V12" s="176">
        <f>IF(SUM($C$10:V10)*60%+SUM($C$11:V11)*20%&gt;0,SUM($C$10:V10)*60%+SUM($C$11:V11)*20%,0)</f>
        <v>0</v>
      </c>
      <c r="W12" s="176">
        <f>IF(SUM($C$10:W10)*60%+SUM($C$11:W11)*20%&gt;0,SUM($C$10:W10)*60%+SUM($C$11:W11)*20%,0)</f>
        <v>0</v>
      </c>
      <c r="X12" s="176">
        <f>IF(SUM($C$10:X10)*60%+SUM($C$11:X11)*20%&gt;0,SUM($C$10:X10)*60%+SUM($C$11:X11)*20%,0)</f>
        <v>0</v>
      </c>
      <c r="Y12" s="176">
        <f>IF(SUM($C$10:Y10)*60%+SUM($C$11:Y11)*20%&gt;0,SUM($C$10:Y10)*60%+SUM($C$11:Y11)*20%,0)</f>
        <v>0</v>
      </c>
      <c r="Z12" s="176">
        <f>IF(SUM($C$10:Z10)*60%+SUM($C$11:Z11)*20%&gt;0,SUM($C$10:Z10)*60%+SUM($C$11:Z11)*20%,0)</f>
        <v>0</v>
      </c>
      <c r="AA12" s="176">
        <f>IF(SUM($C$10:AA10)*60%+SUM($C$11:AA11)*20%&gt;0,SUM($C$10:AA10)*60%+SUM($C$11:AA11)*20%,0)</f>
        <v>0</v>
      </c>
      <c r="AB12" s="176">
        <f>IF(SUM($C$10:AB10)*60%+SUM($C$11:AB11)*20%&gt;0,SUM($C$10:AB10)*60%+SUM($C$11:AB11)*20%,0)</f>
        <v>0</v>
      </c>
      <c r="AC12" s="176">
        <f>IF(SUM($C$10:AC10)*60%+SUM($C$11:AC11)*20%&gt;0,SUM($C$10:AC10)*60%+SUM($C$11:AC11)*20%,0)</f>
        <v>0</v>
      </c>
      <c r="AD12" s="176">
        <f>IF(SUM($C$10:AD10)*60%+SUM($C$11:AD11)*20%&gt;0,SUM($C$10:AD10)*60%+SUM($C$11:AD11)*20%,0)</f>
        <v>0</v>
      </c>
      <c r="AE12" s="176">
        <f ca="1">IF(SUM($C$10:AE10)*60%+SUM($C$11:AE11)*20%&gt;0,SUM($C$10:AE10)*60%+SUM($C$11:AE11)*20%,0)</f>
        <v>0</v>
      </c>
      <c r="AF12" s="176">
        <f ca="1">IF(SUM($C$10:AF10)*60%+SUM($C$11:AF11)*20%&gt;0,SUM($C$10:AF10)*60%+SUM($C$11:AF11)*20%,0)</f>
        <v>0</v>
      </c>
      <c r="AG12" s="176">
        <f ca="1">IF(SUM($C$10:AG10)*60%+SUM($C$11:AG11)*20%&gt;0,SUM($C$10:AG10)*60%+SUM($C$11:AG11)*20%,0)</f>
        <v>0</v>
      </c>
      <c r="AH12" s="176">
        <f ca="1">IF(SUM($C$10:AH10)*60%+SUM($C$11:AH11)*20%&gt;0,SUM($C$10:AH10)*60%+SUM($C$11:AH11)*20%,0)</f>
        <v>0</v>
      </c>
      <c r="AI12" s="176">
        <f ca="1">IF(SUM($C$10:AI10)*60%+SUM($C$11:AI11)*20%&gt;0,SUM($C$10:AI10)*60%+SUM($C$11:AI11)*20%,0)</f>
        <v>778.51081378054209</v>
      </c>
      <c r="AJ12" s="176">
        <f ca="1">IF(SUM($C$10:AJ10)*60%+SUM($C$11:AJ11)*20%&gt;0,SUM($C$10:AJ10)*60%+SUM($C$11:AJ11)*20%,0)</f>
        <v>997.41260191334788</v>
      </c>
      <c r="AK12" s="176">
        <f ca="1">IF(SUM($C$10:AK10)*60%+SUM($C$11:AK11)*20%&gt;0,SUM($C$10:AK10)*60%+SUM($C$11:AK11)*20%,0)</f>
        <v>1477.4572250678348</v>
      </c>
      <c r="AL12" s="176">
        <f ca="1">IF(SUM($C$10:AL10)*60%+SUM($C$11:AL11)*20%&gt;0,SUM($C$10:AL10)*60%+SUM($C$11:AL11)*20%,0)</f>
        <v>1699.7651450499059</v>
      </c>
      <c r="AM12" s="176">
        <f ca="1">IF(SUM($C$10:AM10)*60%+SUM($C$11:AM11)*20%&gt;0,SUM($C$10:AM10)*60%+SUM($C$11:AM11)*20%,0)</f>
        <v>2009.0567481587957</v>
      </c>
      <c r="AN12" s="176">
        <f ca="1">IF(SUM($C$10:AN10)*60%+SUM($C$11:AN11)*20%&gt;0,SUM($C$10:AN10)*60%+SUM($C$11:AN11)*20%,0)</f>
        <v>2437.4826978357219</v>
      </c>
      <c r="AO12" s="176">
        <f ca="1">IF(SUM($C$10:AO10)*60%+SUM($C$11:AO11)*20%&gt;0,SUM($C$10:AO10)*60%+SUM($C$11:AO11)*20%,0)</f>
        <v>2807.9743072343222</v>
      </c>
      <c r="AP12" s="176">
        <f ca="1">IF(SUM($C$10:AP10)*60%+SUM($C$11:AP11)*20%&gt;0,SUM($C$10:AP10)*60%+SUM($C$11:AP11)*20%,0)</f>
        <v>3239.1944393954127</v>
      </c>
      <c r="AQ12" s="176">
        <f ca="1">IF(SUM($C$10:AQ10)*60%+SUM($C$11:AQ11)*20%&gt;0,SUM($C$10:AQ10)*60%+SUM($C$11:AQ11)*20%,0)</f>
        <v>3680.2552520181562</v>
      </c>
      <c r="AR12" s="176">
        <f ca="1">IF(SUM($C$10:AR10)*60%+SUM($C$11:AR11)*20%&gt;0,SUM($C$10:AR10)*60%+SUM($C$11:AR11)*20%,0)</f>
        <v>4162.8860812051225</v>
      </c>
      <c r="AS12" s="176">
        <f ca="1">IF(SUM($C$10:AS10)*60%+SUM($C$11:AS11)*20%&gt;0,SUM($C$10:AS10)*60%+SUM($C$11:AS11)*20%,0)</f>
        <v>4618.9405984355872</v>
      </c>
      <c r="AT12" s="176">
        <f ca="1">IF(SUM($C$10:AT10)*60%+SUM($C$11:AT11)*20%&gt;0,SUM($C$10:AT10)*60%+SUM($C$11:AT11)*20%,0)</f>
        <v>5054.2586571595866</v>
      </c>
      <c r="AU12" s="176">
        <f ca="1">IF(SUM($C$10:AU10)*60%+SUM($C$11:AU11)*20%&gt;0,SUM($C$10:AU10)*60%+SUM($C$11:AU11)*20%,0)</f>
        <v>5637.7646802487725</v>
      </c>
      <c r="AV12" s="176">
        <f ca="1">IF(SUM($C$10:AV10)*60%+SUM($C$11:AV11)*20%&gt;0,SUM($C$10:AV10)*60%+SUM($C$11:AV11)*20%,0)</f>
        <v>6098.6281845907715</v>
      </c>
      <c r="AW12" s="176">
        <f ca="1">IF(SUM($C$10:AW10)*60%+SUM($C$11:AW11)*20%&gt;0,SUM($C$10:AW10)*60%+SUM($C$11:AW11)*20%,0)</f>
        <v>6664.2958710031553</v>
      </c>
      <c r="AX12" s="176">
        <f ca="1">IF(SUM($C$10:AX10)*60%+SUM($C$11:AX11)*20%&gt;0,SUM($C$10:AX10)*60%+SUM($C$11:AX11)*20%,0)</f>
        <v>7107.4823899699177</v>
      </c>
      <c r="AY12" s="176">
        <f ca="1">IF(SUM($C$10:AY10)*60%+SUM($C$11:AY11)*20%&gt;0,SUM($C$10:AY10)*60%+SUM($C$11:AY11)*20%,0)</f>
        <v>7323.0510162958053</v>
      </c>
      <c r="AZ12" s="176">
        <f ca="1">IF(SUM($C$10:AZ10)*60%+SUM($C$11:AZ11)*20%&gt;0,SUM($C$10:AZ10)*60%+SUM($C$11:AZ11)*20%,0)</f>
        <v>7733.6862756036717</v>
      </c>
      <c r="BA12" s="176">
        <f ca="1">IF(SUM($C$10:BA10)*60%+SUM($C$11:BA11)*20%&gt;0,SUM($C$10:BA10)*60%+SUM($C$11:BA11)*20%,0)</f>
        <v>7791.1503054950808</v>
      </c>
      <c r="BB12" s="176">
        <f ca="1">IF(SUM($C$10:BB10)*60%+SUM($C$11:BB11)*20%&gt;0,SUM($C$10:BB10)*60%+SUM($C$11:BB11)*20%,0)</f>
        <v>7844.4080486012681</v>
      </c>
      <c r="BC12" s="176">
        <f ca="1">IF(SUM($C$10:BC10)*60%+SUM($C$11:BC11)*20%&gt;0,SUM($C$10:BC10)*60%+SUM($C$11:BC11)*20%,0)</f>
        <v>7897.6657917074544</v>
      </c>
      <c r="BD12" s="176">
        <f ca="1">IF(SUM($C$10:BD10)*60%+SUM($C$11:BD11)*20%&gt;0,SUM($C$10:BD10)*60%+SUM($C$11:BD11)*20%,0)</f>
        <v>7955.1298215988645</v>
      </c>
      <c r="BE12" s="176">
        <f ca="1">IF(SUM($C$10:BE10)*60%+SUM($C$11:BE11)*20%&gt;0,SUM($C$10:BE10)*60%+SUM($C$11:BE11)*20%,0)</f>
        <v>8012.5938514902718</v>
      </c>
      <c r="BF12" s="176">
        <f ca="1">IF(SUM($C$10:BF10)*60%+SUM($C$11:BF11)*20%&gt;0,SUM($C$10:BF10)*60%+SUM($C$11:BF11)*20%,0)</f>
        <v>8070.057881381681</v>
      </c>
      <c r="BG12" s="176">
        <f ca="1">IF(SUM($C$10:BG10)*60%+SUM($C$11:BG11)*20%&gt;0,SUM($C$10:BG10)*60%+SUM($C$11:BG11)*20%,0)</f>
        <v>8193.3985147349395</v>
      </c>
      <c r="BH12" s="176">
        <f ca="1">IF(SUM($C$10:BH10)*60%+SUM($C$11:BH11)*20%&gt;0,SUM($C$10:BH10)*60%+SUM($C$11:BH11)*20%,0)</f>
        <v>8316.7391480881961</v>
      </c>
      <c r="BI12" s="176">
        <f ca="1">IF(SUM($C$10:BI10)*60%+SUM($C$11:BI11)*20%&gt;0,SUM($C$10:BI10)*60%+SUM($C$11:BI11)*20%,0)</f>
        <v>8440.9078183088532</v>
      </c>
      <c r="BJ12" s="176">
        <f ca="1">IF(SUM($C$10:BJ10)*60%+SUM($C$11:BJ11)*20%&gt;0,SUM($C$10:BJ10)*60%+SUM($C$11:BJ11)*20%,0)</f>
        <v>8440.9078183088532</v>
      </c>
      <c r="BK12" s="176">
        <f ca="1">IF(SUM($C$10:BK10)*60%+SUM($C$11:BK11)*20%&gt;0,SUM($C$10:BK10)*60%+SUM($C$11:BK11)*20%,0)</f>
        <v>8440.9078183088532</v>
      </c>
      <c r="BL12" s="176">
        <f ca="1">IF(SUM($C$10:BL10)*60%+SUM($C$11:BL11)*20%&gt;0,SUM($C$10:BL10)*60%+SUM($C$11:BL11)*20%,0)</f>
        <v>8440.9078183088532</v>
      </c>
      <c r="BM12" s="176">
        <f ca="1">IF(SUM($C$10:BM10)*60%+SUM($C$11:BM11)*20%&gt;0,SUM($C$10:BM10)*60%+SUM($C$11:BM11)*20%,0)</f>
        <v>8440.9078183088532</v>
      </c>
      <c r="BN12" s="176">
        <f ca="1">IF(SUM($C$10:BN10)*60%+SUM($C$11:BN11)*20%&gt;0,SUM($C$10:BN10)*60%+SUM($C$11:BN11)*20%,0)</f>
        <v>8440.9078183088532</v>
      </c>
      <c r="BO12" s="176">
        <f ca="1">IF(SUM($C$10:BO10)*60%+SUM($C$11:BO11)*20%&gt;0,SUM($C$10:BO10)*60%+SUM($C$11:BO11)*20%,0)</f>
        <v>8440.9078183088532</v>
      </c>
      <c r="BP12" s="176">
        <f ca="1">IF(SUM($C$10:BP10)*60%+SUM($C$11:BP11)*20%&gt;0,SUM($C$10:BP10)*60%+SUM($C$11:BP11)*20%,0)</f>
        <v>8440.9078183088532</v>
      </c>
      <c r="BQ12" s="176">
        <f ca="1">IF(SUM($C$10:BQ10)*60%+SUM($C$11:BQ11)*20%&gt;0,SUM($C$10:BQ10)*60%+SUM($C$11:BQ11)*20%,0)</f>
        <v>8440.9078183088532</v>
      </c>
      <c r="BR12" s="176">
        <f ca="1">IF(SUM($C$10:BR10)*60%+SUM($C$11:BR11)*20%&gt;0,SUM($C$10:BR10)*60%+SUM($C$11:BR11)*20%,0)</f>
        <v>8440.9078183088532</v>
      </c>
      <c r="BS12" s="176">
        <f ca="1">IF(SUM($C$10:BS10)*60%+SUM($C$11:BS11)*20%&gt;0,SUM($C$10:BS10)*60%+SUM($C$11:BS11)*20%,0)</f>
        <v>8440.9078183088532</v>
      </c>
      <c r="BT12" s="176">
        <f ca="1">IF(SUM($C$10:BT10)*60%+SUM($C$11:BT11)*20%&gt;0,SUM($C$10:BT10)*60%+SUM($C$11:BT11)*20%,0)</f>
        <v>12399.913050135137</v>
      </c>
      <c r="BU12" s="176">
        <f ca="1">IF(SUM($C$10:BU10)*60%+SUM($C$11:BU11)*20%&gt;0,SUM($C$10:BU10)*60%+SUM($C$11:BU11)*20%,0)</f>
        <v>12399.913050135137</v>
      </c>
      <c r="BV12" s="176">
        <f ca="1">IF(SUM($C$10:BV10)*60%+SUM($C$11:BV11)*20%&gt;0,SUM($C$10:BV10)*60%+SUM($C$11:BV11)*20%,0)</f>
        <v>12399.913050135137</v>
      </c>
      <c r="BW12" s="176">
        <f ca="1">IF(SUM($C$10:BW10)*60%+SUM($C$11:BW11)*20%&gt;0,SUM($C$10:BW10)*60%+SUM($C$11:BW11)*20%,0)</f>
        <v>12399.913050135137</v>
      </c>
      <c r="BX12" s="176">
        <f ca="1">IF(SUM($C$10:BX10)*60%+SUM($C$11:BX11)*20%&gt;0,SUM($C$10:BX10)*60%+SUM($C$11:BX11)*20%,0)</f>
        <v>12399.913050135137</v>
      </c>
      <c r="BY12" s="176">
        <f ca="1">IF(SUM($C$10:BY10)*60%+SUM($C$11:BY11)*20%&gt;0,SUM($C$10:BY10)*60%+SUM($C$11:BY11)*20%,0)</f>
        <v>12399.913050135137</v>
      </c>
      <c r="BZ12" s="176">
        <f ca="1">IF(SUM($C$10:BZ10)*60%+SUM($C$11:BZ11)*20%&gt;0,SUM($C$10:BZ10)*60%+SUM($C$11:BZ11)*20%,0)</f>
        <v>12399.913050135137</v>
      </c>
      <c r="CA12" s="176">
        <f ca="1">IF(SUM($C$10:CA10)*60%+SUM($C$11:CA11)*20%&gt;0,SUM($C$10:CA10)*60%+SUM($C$11:CA11)*20%,0)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IF(SUM($C$10:CD10)*60%+SUM($C$11:CD11)*20%&gt;0,SUM($C$10:CD10)*60%+SUM($C$11:CD11)*20%,0)</f>
        <v>12399.913050135137</v>
      </c>
      <c r="CE12" s="176">
        <f ca="1">IF(SUM($C$10:CE10)*60%+SUM($C$11:CE11)*20%&gt;0,SUM($C$10:CE10)*60%+SUM($C$11:CE11)*20%,0)</f>
        <v>12399.913050135137</v>
      </c>
      <c r="CF12" s="176">
        <f ca="1">IF(SUM($C$10:CF10)*60%+SUM($C$11:CF11)*20%&gt;0,SUM($C$10:CF10)*60%+SUM($C$11:CF11)*20%,0)</f>
        <v>12399.913050135137</v>
      </c>
      <c r="CG12" s="176">
        <f ca="1">IF(SUM($C$10:CG10)*60%+SUM($C$11:CG11)*20%&gt;0,SUM($C$10:CG10)*60%+SUM($C$11:CG11)*20%,0)</f>
        <v>12399.913050135137</v>
      </c>
      <c r="CH12" s="176">
        <f ca="1">IF(SUM($C$10:CH10)*60%+SUM($C$11:CH11)*20%&gt;0,SUM($C$10:CH10)*60%+SUM($C$11:CH11)*20%,0)</f>
        <v>12399.913050135137</v>
      </c>
    </row>
    <row r="13" spans="1:86" s="174" customFormat="1" ht="13">
      <c r="A13" s="180" t="s">
        <v>422</v>
      </c>
      <c r="B13" s="176"/>
      <c r="C13" s="176"/>
      <c r="D13" s="176"/>
      <c r="E13" s="176"/>
      <c r="F13" s="176">
        <f>F12*80%</f>
        <v>0</v>
      </c>
      <c r="G13" s="176">
        <f t="shared" ref="G13:BR13" si="21">G12*80%</f>
        <v>0</v>
      </c>
      <c r="H13" s="176">
        <f t="shared" si="21"/>
        <v>0</v>
      </c>
      <c r="I13" s="176">
        <f t="shared" si="21"/>
        <v>0</v>
      </c>
      <c r="J13" s="176">
        <f t="shared" si="21"/>
        <v>0</v>
      </c>
      <c r="K13" s="176">
        <f t="shared" si="21"/>
        <v>0</v>
      </c>
      <c r="L13" s="176">
        <f t="shared" si="21"/>
        <v>0</v>
      </c>
      <c r="M13" s="176">
        <f t="shared" si="21"/>
        <v>0</v>
      </c>
      <c r="N13" s="176">
        <f t="shared" si="21"/>
        <v>0</v>
      </c>
      <c r="O13" s="176">
        <f t="shared" si="21"/>
        <v>0</v>
      </c>
      <c r="P13" s="176">
        <f t="shared" si="21"/>
        <v>0</v>
      </c>
      <c r="Q13" s="176">
        <f t="shared" si="21"/>
        <v>0</v>
      </c>
      <c r="R13" s="176">
        <f t="shared" si="21"/>
        <v>0</v>
      </c>
      <c r="S13" s="176">
        <f t="shared" si="21"/>
        <v>0</v>
      </c>
      <c r="T13" s="176">
        <f t="shared" si="21"/>
        <v>0</v>
      </c>
      <c r="U13" s="176">
        <f t="shared" si="21"/>
        <v>0</v>
      </c>
      <c r="V13" s="176">
        <f t="shared" si="21"/>
        <v>0</v>
      </c>
      <c r="W13" s="176">
        <f t="shared" si="21"/>
        <v>0</v>
      </c>
      <c r="X13" s="176">
        <f t="shared" si="21"/>
        <v>0</v>
      </c>
      <c r="Y13" s="176">
        <f t="shared" si="21"/>
        <v>0</v>
      </c>
      <c r="Z13" s="176">
        <f t="shared" si="21"/>
        <v>0</v>
      </c>
      <c r="AA13" s="176">
        <f t="shared" si="21"/>
        <v>0</v>
      </c>
      <c r="AB13" s="176">
        <f t="shared" si="21"/>
        <v>0</v>
      </c>
      <c r="AC13" s="176">
        <f t="shared" si="21"/>
        <v>0</v>
      </c>
      <c r="AD13" s="176">
        <f t="shared" si="21"/>
        <v>0</v>
      </c>
      <c r="AE13" s="176">
        <f t="shared" ca="1" si="21"/>
        <v>0</v>
      </c>
      <c r="AF13" s="176">
        <f t="shared" ca="1" si="21"/>
        <v>0</v>
      </c>
      <c r="AG13" s="176">
        <f t="shared" ca="1" si="21"/>
        <v>0</v>
      </c>
      <c r="AH13" s="176">
        <f t="shared" ca="1" si="21"/>
        <v>0</v>
      </c>
      <c r="AI13" s="176">
        <f t="shared" ca="1" si="21"/>
        <v>622.80865102443374</v>
      </c>
      <c r="AJ13" s="176">
        <f t="shared" ca="1" si="21"/>
        <v>797.93008153067831</v>
      </c>
      <c r="AK13" s="176">
        <f t="shared" ca="1" si="21"/>
        <v>1181.965780054268</v>
      </c>
      <c r="AL13" s="176">
        <f t="shared" ca="1" si="21"/>
        <v>1359.8121160399248</v>
      </c>
      <c r="AM13" s="176">
        <f t="shared" ca="1" si="21"/>
        <v>1607.2453985270367</v>
      </c>
      <c r="AN13" s="176">
        <f t="shared" ca="1" si="21"/>
        <v>1949.9861582685776</v>
      </c>
      <c r="AO13" s="176">
        <f t="shared" ca="1" si="21"/>
        <v>2246.3794457874578</v>
      </c>
      <c r="AP13" s="176">
        <f t="shared" ca="1" si="21"/>
        <v>2591.3555515163303</v>
      </c>
      <c r="AQ13" s="176">
        <f t="shared" ca="1" si="21"/>
        <v>2944.2042016145251</v>
      </c>
      <c r="AR13" s="176">
        <f t="shared" ca="1" si="21"/>
        <v>3330.3088649640981</v>
      </c>
      <c r="AS13" s="176">
        <f t="shared" ca="1" si="21"/>
        <v>3695.15247874847</v>
      </c>
      <c r="AT13" s="176">
        <f t="shared" ca="1" si="21"/>
        <v>4043.4069257276697</v>
      </c>
      <c r="AU13" s="176">
        <f t="shared" ca="1" si="21"/>
        <v>4510.2117441990185</v>
      </c>
      <c r="AV13" s="176">
        <f t="shared" ca="1" si="21"/>
        <v>4878.9025476726174</v>
      </c>
      <c r="AW13" s="176">
        <f t="shared" ca="1" si="21"/>
        <v>5331.4366968025242</v>
      </c>
      <c r="AX13" s="176">
        <f t="shared" ca="1" si="21"/>
        <v>5685.9859119759349</v>
      </c>
      <c r="AY13" s="176">
        <f t="shared" ca="1" si="21"/>
        <v>5858.4408130366446</v>
      </c>
      <c r="AZ13" s="176">
        <f t="shared" ca="1" si="21"/>
        <v>6186.9490204829381</v>
      </c>
      <c r="BA13" s="176">
        <f t="shared" ca="1" si="21"/>
        <v>6232.9202443960648</v>
      </c>
      <c r="BB13" s="176">
        <f t="shared" ca="1" si="21"/>
        <v>6275.5264388810147</v>
      </c>
      <c r="BC13" s="176">
        <f t="shared" ca="1" si="21"/>
        <v>6318.1326333659636</v>
      </c>
      <c r="BD13" s="176">
        <f t="shared" ca="1" si="21"/>
        <v>6364.1038572790922</v>
      </c>
      <c r="BE13" s="176">
        <f t="shared" ca="1" si="21"/>
        <v>6410.075081192218</v>
      </c>
      <c r="BF13" s="176">
        <f t="shared" ca="1" si="21"/>
        <v>6456.0463051053448</v>
      </c>
      <c r="BG13" s="176">
        <f t="shared" ca="1" si="21"/>
        <v>6554.7188117879523</v>
      </c>
      <c r="BH13" s="176">
        <f t="shared" ca="1" si="21"/>
        <v>6653.3913184705571</v>
      </c>
      <c r="BI13" s="176">
        <f t="shared" ca="1" si="21"/>
        <v>6752.7262546470829</v>
      </c>
      <c r="BJ13" s="176">
        <f t="shared" ca="1" si="21"/>
        <v>6752.7262546470829</v>
      </c>
      <c r="BK13" s="176">
        <f t="shared" ca="1" si="21"/>
        <v>6752.7262546470829</v>
      </c>
      <c r="BL13" s="176">
        <f t="shared" ca="1" si="21"/>
        <v>6752.7262546470829</v>
      </c>
      <c r="BM13" s="176">
        <f t="shared" ca="1" si="21"/>
        <v>6752.7262546470829</v>
      </c>
      <c r="BN13" s="176">
        <f t="shared" ca="1" si="21"/>
        <v>6752.7262546470829</v>
      </c>
      <c r="BO13" s="176">
        <f t="shared" ca="1" si="21"/>
        <v>6752.7262546470829</v>
      </c>
      <c r="BP13" s="176">
        <f t="shared" ca="1" si="21"/>
        <v>6752.7262546470829</v>
      </c>
      <c r="BQ13" s="176">
        <f t="shared" ca="1" si="21"/>
        <v>6752.7262546470829</v>
      </c>
      <c r="BR13" s="176">
        <f t="shared" ca="1" si="21"/>
        <v>6752.7262546470829</v>
      </c>
      <c r="BS13" s="176">
        <f t="shared" ref="BS13:CH13" ca="1" si="22">BS12*80%</f>
        <v>6752.7262546470829</v>
      </c>
      <c r="BT13" s="176">
        <f t="shared" ca="1" si="22"/>
        <v>9919.9304401081099</v>
      </c>
      <c r="BU13" s="176">
        <f t="shared" ca="1" si="22"/>
        <v>9919.9304401081099</v>
      </c>
      <c r="BV13" s="176">
        <f t="shared" ca="1" si="22"/>
        <v>9919.9304401081099</v>
      </c>
      <c r="BW13" s="176">
        <f t="shared" ca="1" si="22"/>
        <v>9919.9304401081099</v>
      </c>
      <c r="BX13" s="176">
        <f t="shared" ca="1" si="22"/>
        <v>9919.9304401081099</v>
      </c>
      <c r="BY13" s="176">
        <f t="shared" ca="1" si="22"/>
        <v>9919.9304401081099</v>
      </c>
      <c r="BZ13" s="176">
        <f t="shared" ca="1" si="22"/>
        <v>9919.9304401081099</v>
      </c>
      <c r="CA13" s="176">
        <f t="shared" ca="1" si="22"/>
        <v>9919.9304401081099</v>
      </c>
      <c r="CB13" s="176">
        <f t="shared" ca="1" si="22"/>
        <v>9919.9304401081099</v>
      </c>
      <c r="CC13" s="176">
        <f t="shared" ca="1" si="22"/>
        <v>9919.9304401081099</v>
      </c>
      <c r="CD13" s="176">
        <f t="shared" ca="1" si="22"/>
        <v>9919.9304401081099</v>
      </c>
      <c r="CE13" s="176">
        <f t="shared" ca="1" si="22"/>
        <v>9919.9304401081099</v>
      </c>
      <c r="CF13" s="176">
        <f t="shared" ca="1" si="22"/>
        <v>9919.9304401081099</v>
      </c>
      <c r="CG13" s="176">
        <f t="shared" ca="1" si="22"/>
        <v>9919.9304401081099</v>
      </c>
      <c r="CH13" s="176">
        <f t="shared" ca="1" si="22"/>
        <v>9919.9304401081099</v>
      </c>
    </row>
    <row r="14" spans="1:86" s="177" customFormat="1" ht="13">
      <c r="A14" s="178" t="s">
        <v>417</v>
      </c>
      <c r="B14" s="179"/>
      <c r="C14" s="179"/>
      <c r="D14" s="179"/>
      <c r="E14" s="179"/>
      <c r="F14" s="179"/>
      <c r="G14" s="179"/>
      <c r="H14" s="179"/>
      <c r="I14" s="179"/>
      <c r="J14" s="179"/>
      <c r="K14" s="179"/>
      <c r="L14" s="179"/>
      <c r="M14" s="179"/>
      <c r="N14" s="179"/>
      <c r="O14" s="179"/>
      <c r="P14" s="179"/>
      <c r="Q14" s="179"/>
      <c r="R14" s="179"/>
      <c r="S14" s="179"/>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c r="BT14" s="179"/>
      <c r="BU14" s="179"/>
      <c r="BV14" s="179"/>
      <c r="BW14" s="179"/>
      <c r="BX14" s="179"/>
      <c r="BY14" s="179"/>
      <c r="BZ14" s="179"/>
      <c r="CA14" s="179"/>
      <c r="CB14" s="179"/>
      <c r="CC14" s="179"/>
      <c r="CD14" s="179"/>
      <c r="CE14" s="179"/>
      <c r="CF14" s="179"/>
      <c r="CG14" s="179"/>
      <c r="CH14" s="179"/>
    </row>
    <row r="15" spans="1:86" s="177" customFormat="1" ht="13">
      <c r="A15" s="178" t="s">
        <v>884</v>
      </c>
      <c r="B15" s="179"/>
      <c r="C15" s="179"/>
      <c r="D15" s="179"/>
      <c r="E15" s="179"/>
      <c r="F15" s="179"/>
      <c r="G15" s="179"/>
      <c r="H15" s="179"/>
      <c r="I15" s="179"/>
      <c r="J15" s="179"/>
      <c r="K15" s="179"/>
      <c r="L15" s="179"/>
      <c r="M15" s="179"/>
      <c r="N15" s="179"/>
      <c r="O15" s="179"/>
      <c r="P15" s="179"/>
      <c r="Q15" s="179"/>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c r="BT15" s="179"/>
      <c r="BU15" s="179"/>
      <c r="BV15" s="179"/>
      <c r="BW15" s="179"/>
      <c r="BX15" s="179"/>
      <c r="BY15" s="179"/>
      <c r="BZ15" s="179"/>
      <c r="CA15" s="179"/>
      <c r="CB15" s="179"/>
      <c r="CC15" s="179"/>
      <c r="CD15" s="179"/>
      <c r="CE15" s="179"/>
      <c r="CF15" s="179"/>
      <c r="CG15" s="179"/>
      <c r="CH15" s="179"/>
    </row>
    <row r="16" spans="1:86" s="177" customFormat="1" ht="13">
      <c r="A16" s="178" t="s">
        <v>885</v>
      </c>
      <c r="B16" s="179"/>
      <c r="C16" s="179"/>
      <c r="D16" s="179"/>
      <c r="E16" s="179"/>
      <c r="F16" s="179"/>
      <c r="G16" s="179"/>
      <c r="H16" s="179"/>
      <c r="I16" s="179"/>
      <c r="J16" s="179"/>
      <c r="K16" s="179"/>
      <c r="L16" s="179"/>
      <c r="M16" s="179"/>
      <c r="N16" s="179"/>
      <c r="O16" s="179"/>
      <c r="P16" s="179"/>
      <c r="Q16" s="179"/>
      <c r="R16" s="179"/>
      <c r="S16" s="179"/>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c r="BT16" s="179"/>
      <c r="BU16" s="179"/>
      <c r="BV16" s="179"/>
      <c r="BW16" s="179"/>
      <c r="BX16" s="179"/>
      <c r="BY16" s="179"/>
      <c r="BZ16" s="179"/>
      <c r="CA16" s="179"/>
      <c r="CB16" s="179"/>
      <c r="CC16" s="179"/>
      <c r="CD16" s="179"/>
      <c r="CE16" s="179"/>
      <c r="CF16" s="179"/>
      <c r="CG16" s="179"/>
      <c r="CH16" s="179"/>
    </row>
    <row r="17" spans="1:86" s="174" customFormat="1" ht="12" customHeight="1">
      <c r="A17" s="175" t="s">
        <v>418</v>
      </c>
      <c r="B17" s="176"/>
      <c r="C17" s="176">
        <f>IF(SUM(D8:E8)+C14-E14&lt;0,-(SUM(D8:E8)+C14-E14),0)</f>
        <v>0</v>
      </c>
      <c r="D17" s="176">
        <f t="shared" ref="D17:U17" si="23">IF(SUM(E8:F8)+D14-F14&lt;0,-(SUM(E8:F8)+D14-F14),0)</f>
        <v>0</v>
      </c>
      <c r="E17" s="176">
        <f t="shared" si="23"/>
        <v>0</v>
      </c>
      <c r="F17" s="176">
        <f t="shared" si="23"/>
        <v>0</v>
      </c>
      <c r="G17" s="176">
        <f t="shared" si="23"/>
        <v>0</v>
      </c>
      <c r="H17" s="176">
        <f>IF(SUM(I8:J8)+H14-J14&lt;0,-(SUM(I8:J8)+H14-J14),0)</f>
        <v>0</v>
      </c>
      <c r="I17" s="176">
        <f>IF(SUM(J8:K8)+I14-K14&lt;0,-(SUM(J8:K8)+I14-K14),0)</f>
        <v>0</v>
      </c>
      <c r="J17" s="176">
        <f t="shared" si="23"/>
        <v>0</v>
      </c>
      <c r="K17" s="176">
        <f t="shared" si="23"/>
        <v>0</v>
      </c>
      <c r="L17" s="176">
        <f t="shared" si="23"/>
        <v>0</v>
      </c>
      <c r="M17" s="176">
        <f t="shared" si="23"/>
        <v>0</v>
      </c>
      <c r="N17" s="176">
        <f t="shared" si="23"/>
        <v>0</v>
      </c>
      <c r="O17" s="176">
        <f t="shared" si="23"/>
        <v>0</v>
      </c>
      <c r="P17" s="176">
        <f t="shared" si="23"/>
        <v>0</v>
      </c>
      <c r="Q17" s="176">
        <f t="shared" si="23"/>
        <v>0</v>
      </c>
      <c r="R17" s="176">
        <f t="shared" si="23"/>
        <v>0</v>
      </c>
      <c r="S17" s="176">
        <f t="shared" si="23"/>
        <v>0</v>
      </c>
      <c r="T17" s="176">
        <f t="shared" si="23"/>
        <v>0</v>
      </c>
      <c r="U17" s="176">
        <f t="shared" si="23"/>
        <v>0</v>
      </c>
      <c r="V17" s="176">
        <f t="shared" ref="V17:Z17" si="24">IF(SUM(W8:X8)+V14-X14&lt;0,-(SUM(W8:X8)+V14-X14),0)</f>
        <v>0</v>
      </c>
      <c r="W17" s="176">
        <f t="shared" si="24"/>
        <v>0</v>
      </c>
      <c r="X17" s="176">
        <f t="shared" si="24"/>
        <v>0</v>
      </c>
      <c r="Y17" s="176">
        <f t="shared" si="24"/>
        <v>0</v>
      </c>
      <c r="Z17" s="176">
        <f t="shared" si="24"/>
        <v>0</v>
      </c>
      <c r="AA17" s="176">
        <f ca="1">IF(SUM(AB8:AG8)+AA14-AH14&lt;0,-(SUM(AB8:AC8)+AA14-AC14),0)</f>
        <v>0</v>
      </c>
      <c r="AB17" s="176">
        <f t="shared" ref="AB17:BT17" ca="1" si="25">IF(SUM(AC8:AH8)+AB14-AI14&lt;0,-(SUM(AC8:AD8)+AB14-AD14),0)</f>
        <v>0</v>
      </c>
      <c r="AC17" s="176">
        <f t="shared" ca="1" si="25"/>
        <v>33863.869440000002</v>
      </c>
      <c r="AD17" s="176">
        <f t="shared" ca="1" si="25"/>
        <v>38876.104564720816</v>
      </c>
      <c r="AE17" s="176">
        <f t="shared" ca="1" si="25"/>
        <v>0</v>
      </c>
      <c r="AF17" s="176">
        <f t="shared" ca="1" si="25"/>
        <v>0</v>
      </c>
      <c r="AG17" s="176">
        <f t="shared" ca="1" si="25"/>
        <v>0</v>
      </c>
      <c r="AH17" s="176">
        <f t="shared" ca="1" si="25"/>
        <v>0</v>
      </c>
      <c r="AI17" s="176">
        <f t="shared" ca="1" si="25"/>
        <v>0</v>
      </c>
      <c r="AJ17" s="176">
        <f t="shared" ca="1" si="25"/>
        <v>0</v>
      </c>
      <c r="AK17" s="176">
        <f t="shared" ca="1" si="25"/>
        <v>0</v>
      </c>
      <c r="AL17" s="176">
        <f t="shared" ca="1" si="25"/>
        <v>0</v>
      </c>
      <c r="AM17" s="176">
        <f t="shared" ca="1" si="25"/>
        <v>0</v>
      </c>
      <c r="AN17" s="176">
        <f t="shared" ca="1" si="25"/>
        <v>0</v>
      </c>
      <c r="AO17" s="176">
        <f t="shared" ca="1" si="25"/>
        <v>0</v>
      </c>
      <c r="AP17" s="176">
        <f t="shared" ca="1" si="25"/>
        <v>0</v>
      </c>
      <c r="AQ17" s="176">
        <f t="shared" ca="1" si="25"/>
        <v>0</v>
      </c>
      <c r="AR17" s="176">
        <f t="shared" ca="1" si="25"/>
        <v>0</v>
      </c>
      <c r="AS17" s="176">
        <f t="shared" ca="1" si="25"/>
        <v>0</v>
      </c>
      <c r="AT17" s="176">
        <f t="shared" ca="1" si="25"/>
        <v>0</v>
      </c>
      <c r="AU17" s="176">
        <f t="shared" ca="1" si="25"/>
        <v>0</v>
      </c>
      <c r="AV17" s="176">
        <f t="shared" ca="1" si="25"/>
        <v>0</v>
      </c>
      <c r="AW17" s="176">
        <f t="shared" ca="1" si="25"/>
        <v>0</v>
      </c>
      <c r="AX17" s="176">
        <f t="shared" ca="1" si="25"/>
        <v>-1143.571825456354</v>
      </c>
      <c r="AY17" s="176">
        <f t="shared" ca="1" si="25"/>
        <v>-1289.0196794739836</v>
      </c>
      <c r="AZ17" s="176">
        <f t="shared" ca="1" si="25"/>
        <v>912.57461107699601</v>
      </c>
      <c r="BA17" s="176">
        <f t="shared" ca="1" si="25"/>
        <v>2995.6086880094499</v>
      </c>
      <c r="BB17" s="176">
        <f t="shared" ca="1" si="25"/>
        <v>2293.1234963877387</v>
      </c>
      <c r="BC17" s="176">
        <f t="shared" ca="1" si="25"/>
        <v>2149.8538382737652</v>
      </c>
      <c r="BD17" s="176">
        <f t="shared" ca="1" si="25"/>
        <v>2140.599063223307</v>
      </c>
      <c r="BE17" s="176">
        <f t="shared" ca="1" si="25"/>
        <v>1883.9231524323043</v>
      </c>
      <c r="BF17" s="176">
        <f t="shared" ca="1" si="25"/>
        <v>1479.170840833965</v>
      </c>
      <c r="BG17" s="176">
        <f t="shared" ca="1" si="25"/>
        <v>1253.4417331127083</v>
      </c>
      <c r="BH17" s="176">
        <f t="shared" ca="1" si="25"/>
        <v>424.6621377183925</v>
      </c>
      <c r="BI17" s="176">
        <f t="shared" ca="1" si="25"/>
        <v>0</v>
      </c>
      <c r="BJ17" s="176">
        <f t="shared" ca="1" si="25"/>
        <v>0</v>
      </c>
      <c r="BK17" s="176">
        <f t="shared" ca="1" si="25"/>
        <v>0</v>
      </c>
      <c r="BL17" s="176">
        <f t="shared" ca="1" si="25"/>
        <v>0</v>
      </c>
      <c r="BM17" s="176">
        <f t="shared" ca="1" si="25"/>
        <v>0</v>
      </c>
      <c r="BN17" s="176">
        <f t="shared" ca="1" si="25"/>
        <v>0</v>
      </c>
      <c r="BO17" s="176">
        <f t="shared" ca="1" si="25"/>
        <v>0</v>
      </c>
      <c r="BP17" s="176">
        <f t="shared" ca="1" si="25"/>
        <v>0</v>
      </c>
      <c r="BQ17" s="176">
        <f t="shared" ca="1" si="25"/>
        <v>0</v>
      </c>
      <c r="BR17" s="176">
        <f t="shared" ca="1" si="25"/>
        <v>0</v>
      </c>
      <c r="BS17" s="176">
        <f t="shared" ca="1" si="25"/>
        <v>-5428.8811500000011</v>
      </c>
      <c r="BT17" s="176">
        <f t="shared" ca="1" si="25"/>
        <v>1161.5852693795905</v>
      </c>
      <c r="BU17" s="176">
        <f t="shared" ref="BU17" ca="1" si="26">IF(SUM(BV8:CA8)+BU14-CB14&lt;0,-(SUM(BV8:BW8)+BU14-BW14),0)</f>
        <v>6590.4664193795916</v>
      </c>
      <c r="BV17" s="176">
        <f t="shared" ref="BV17" ca="1" si="27">IF(SUM(BW8:CB8)+BV14-CC14&lt;0,-(SUM(BW8:BX8)+BV14-BX14),0)</f>
        <v>0</v>
      </c>
      <c r="BW17" s="176">
        <f t="shared" ref="BW17" ca="1" si="28">IF(SUM(BX8:CC8)+BW14-CD14&lt;0,-(SUM(BX8:BY8)+BW14-BY14),0)</f>
        <v>0</v>
      </c>
      <c r="BX17" s="176">
        <f t="shared" ref="BX17" ca="1" si="29">IF(SUM(BY8:CD8)+BX14-CE14&lt;0,-(SUM(BY8:BZ8)+BX14-BZ14),0)</f>
        <v>0</v>
      </c>
      <c r="BY17" s="176">
        <f t="shared" ref="BY17" ca="1" si="30">IF(SUM(BZ8:CE8)+BY14-CF14&lt;0,-(SUM(BZ8:CA8)+BY14-CA14),0)</f>
        <v>0</v>
      </c>
      <c r="BZ17" s="176">
        <f t="shared" ref="BZ17" ca="1" si="31">IF(SUM(CA8:CF8)+BZ14-CG14&lt;0,-(SUM(CA8:CB8)+BZ14-CB14),0)</f>
        <v>0</v>
      </c>
      <c r="CA17" s="176">
        <f t="shared" ref="CA17" ca="1" si="32">IF(SUM(CB8:CG8)+CA14-CH14&lt;0,-(SUM(CB8:CC8)+CA14-CC14),0)</f>
        <v>0</v>
      </c>
      <c r="CB17" s="176">
        <f t="shared" ref="CB17" ca="1" si="33">IF(SUM(CC8:CH8)+CB14-CI14&lt;0,-(SUM(CC8:CD8)+CB14-CD14),0)</f>
        <v>0</v>
      </c>
      <c r="CC17" s="176">
        <f t="shared" ref="CC17" ca="1" si="34">IF(SUM(CD8:CI8)+CC14-CJ14&lt;0,-(SUM(CD8:CE8)+CC14-CE14),0)</f>
        <v>0</v>
      </c>
      <c r="CD17" s="176">
        <f t="shared" ref="CD17" ca="1" si="35">IF(SUM(CE8:CJ8)+CD14-CK14&lt;0,-(SUM(CE8:CF8)+CD14-CF14),0)</f>
        <v>0</v>
      </c>
      <c r="CE17" s="176">
        <f t="shared" ref="CE17" ca="1" si="36">IF(SUM(CF8:CK8)+CE14-CL14&lt;0,-(SUM(CF8:CG8)+CE14-CG14),0)</f>
        <v>0</v>
      </c>
      <c r="CF17" s="176">
        <f t="shared" ref="CF17" ca="1" si="37">IF(SUM(CG8:CL8)+CF14-CM14&lt;0,-(SUM(CG8:CH8)+CF14-CH14),0)</f>
        <v>0</v>
      </c>
      <c r="CG17" s="176">
        <f t="shared" ref="CG17" ca="1" si="38">IF(SUM(CH8:CM8)+CG14-CN14&lt;0,-(SUM(CH8:CI8)+CG14-CI14),0)</f>
        <v>0</v>
      </c>
      <c r="CH17" s="176">
        <f t="shared" ref="CH17" si="39">IF(SUM(CI8:CN8)+CH14-CO14&lt;0,-(SUM(CI8:CJ8)+CH14-CJ14),0)</f>
        <v>0</v>
      </c>
    </row>
    <row r="18" spans="1:86" s="174" customFormat="1" ht="13">
      <c r="A18" s="175" t="s">
        <v>419</v>
      </c>
      <c r="B18" s="176">
        <f ca="1">MAX(C18:CH18)</f>
        <v>50056.234854573944</v>
      </c>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f ca="1">IF(($B$21+AH9-AH17)&lt;$B$21,($B$21+AH9-AH17),MIN(($B$21+AH9-AH17),$B$21+AH13))</f>
        <v>0</v>
      </c>
      <c r="AI18" s="176">
        <f t="shared" ref="AI18:AR18" ca="1" si="40">IF(($B$21+AI9-AI17)&lt;$B$21,($B$21+AI9-AI17),MIN(($B$21+AI9-AI17),$B$21+AI13))</f>
        <v>2386.9478784900566</v>
      </c>
      <c r="AJ18" s="176">
        <f t="shared" ca="1" si="40"/>
        <v>11232.943375012452</v>
      </c>
      <c r="AK18" s="176">
        <f t="shared" ca="1" si="40"/>
        <v>13958.309196963288</v>
      </c>
      <c r="AL18" s="176">
        <f t="shared" ca="1" si="40"/>
        <v>22163.677765297827</v>
      </c>
      <c r="AM18" s="176">
        <f t="shared" ca="1" si="40"/>
        <v>23562.343367927908</v>
      </c>
      <c r="AN18" s="176">
        <f t="shared" ca="1" si="40"/>
        <v>25756.664964192503</v>
      </c>
      <c r="AO18" s="176">
        <f t="shared" ca="1" si="40"/>
        <v>30560.346546987192</v>
      </c>
      <c r="AP18" s="176">
        <f t="shared" ca="1" si="40"/>
        <v>32296.399718039756</v>
      </c>
      <c r="AQ18" s="176">
        <f t="shared" ca="1" si="40"/>
        <v>38975.485981385355</v>
      </c>
      <c r="AR18" s="176">
        <f t="shared" ca="1" si="40"/>
        <v>39709.373973419453</v>
      </c>
      <c r="AS18" s="176">
        <f t="shared" ref="AS18:BP18" ca="1" si="41">IF(($B$21+AS9-AS17)&lt;$B$21,($B$21+AS9-AS17),MIN(($B$21+AS9-AS17),$B$21+AS13))</f>
        <v>40372.229465679877</v>
      </c>
      <c r="AT18" s="176">
        <f t="shared" ca="1" si="41"/>
        <v>40371.920072759101</v>
      </c>
      <c r="AU18" s="176">
        <f t="shared" ca="1" si="41"/>
        <v>44646.516158664854</v>
      </c>
      <c r="AV18" s="176">
        <f t="shared" ca="1" si="41"/>
        <v>45015.206962138451</v>
      </c>
      <c r="AW18" s="176">
        <f t="shared" ca="1" si="41"/>
        <v>45467.741111268362</v>
      </c>
      <c r="AX18" s="176">
        <f t="shared" ca="1" si="41"/>
        <v>45822.290326441769</v>
      </c>
      <c r="AY18" s="176">
        <f t="shared" ca="1" si="41"/>
        <v>45994.745227502477</v>
      </c>
      <c r="AZ18" s="176">
        <f t="shared" ca="1" si="41"/>
        <v>46323.253434948769</v>
      </c>
      <c r="BA18" s="176">
        <f t="shared" ca="1" si="41"/>
        <v>46369.224658861902</v>
      </c>
      <c r="BB18" s="176">
        <f t="shared" ca="1" si="41"/>
        <v>46411.830853346852</v>
      </c>
      <c r="BC18" s="176">
        <f t="shared" ca="1" si="41"/>
        <v>46454.437047831801</v>
      </c>
      <c r="BD18" s="176">
        <f t="shared" ca="1" si="41"/>
        <v>46500.408271744927</v>
      </c>
      <c r="BE18" s="176">
        <f t="shared" ca="1" si="41"/>
        <v>46546.379495658053</v>
      </c>
      <c r="BF18" s="176">
        <f t="shared" ca="1" si="41"/>
        <v>46592.350719571179</v>
      </c>
      <c r="BG18" s="176">
        <f t="shared" ca="1" si="41"/>
        <v>46691.02322625379</v>
      </c>
      <c r="BH18" s="176">
        <f t="shared" ca="1" si="41"/>
        <v>46789.695732936394</v>
      </c>
      <c r="BI18" s="176">
        <f t="shared" ca="1" si="41"/>
        <v>46889.030669112915</v>
      </c>
      <c r="BJ18" s="176">
        <f t="shared" ca="1" si="41"/>
        <v>46889.030669112915</v>
      </c>
      <c r="BK18" s="176">
        <f t="shared" ca="1" si="41"/>
        <v>46889.030669112915</v>
      </c>
      <c r="BL18" s="176">
        <f t="shared" ca="1" si="41"/>
        <v>46889.030669112915</v>
      </c>
      <c r="BM18" s="176">
        <f t="shared" ca="1" si="41"/>
        <v>46798.436982711915</v>
      </c>
      <c r="BN18" s="176">
        <f t="shared" ca="1" si="41"/>
        <v>46570.077495556863</v>
      </c>
      <c r="BO18" s="176">
        <f t="shared" ca="1" si="41"/>
        <v>46889.030669112915</v>
      </c>
      <c r="BP18" s="176">
        <f t="shared" ca="1" si="41"/>
        <v>46889.030669112915</v>
      </c>
      <c r="BQ18" s="176">
        <f ca="1">IF(($B$21+BQ9-BQ17)&lt;$B$21,($B$21+BQ9-BQ17),MIN(($B$21+BQ9-BQ17),$B$21+BQ13))</f>
        <v>46889.030669112915</v>
      </c>
      <c r="BR18" s="176">
        <f ca="1">IF(($B$21+BR9-BR17)&lt;$B$21,($B$21+BR9-BR17),MIN(($B$21+BR9-BR17),$B$21+BR13))</f>
        <v>46889.030669112915</v>
      </c>
      <c r="BS18" s="176">
        <f ca="1">IF(($B$21+BS9-BS17)&lt;$B$21,($B$21+BS9-BS17),MIN(($B$21+BS9-BS17),$B$21+BS13))</f>
        <v>46889.030669112915</v>
      </c>
      <c r="BT18" s="176">
        <f ca="1">IF(($B$21+BT9-BT17)&lt;$B$21,($B$21+BT9-BT17),MIN(($B$21+BT9-BT17),$B$21+BT13))</f>
        <v>50056.234854573944</v>
      </c>
      <c r="BU18" s="176">
        <f t="shared" ref="BU18:CH18" ca="1" si="42">IF(($B$21+BU9-BU17)&lt;$B$21,($B$21+BU9-BU17),MIN(($B$21+BU9-BU17),$B$21+BU13))</f>
        <v>50056.234854573944</v>
      </c>
      <c r="BV18" s="176">
        <f t="shared" ca="1" si="42"/>
        <v>50056.234854573944</v>
      </c>
      <c r="BW18" s="176">
        <f t="shared" ca="1" si="42"/>
        <v>50056.234854573944</v>
      </c>
      <c r="BX18" s="176">
        <f t="shared" ca="1" si="42"/>
        <v>50056.234854573944</v>
      </c>
      <c r="BY18" s="176">
        <f t="shared" ca="1" si="42"/>
        <v>50056.234854573944</v>
      </c>
      <c r="BZ18" s="176">
        <f t="shared" ca="1" si="42"/>
        <v>50056.234854573944</v>
      </c>
      <c r="CA18" s="176">
        <f t="shared" ca="1" si="42"/>
        <v>50056.234854573944</v>
      </c>
      <c r="CB18" s="176">
        <f t="shared" ca="1" si="42"/>
        <v>50056.234854573944</v>
      </c>
      <c r="CC18" s="176">
        <f t="shared" ca="1" si="42"/>
        <v>50056.234854573944</v>
      </c>
      <c r="CD18" s="176">
        <f t="shared" ca="1" si="42"/>
        <v>50056.234854573944</v>
      </c>
      <c r="CE18" s="176">
        <f t="shared" ca="1" si="42"/>
        <v>50056.234854573944</v>
      </c>
      <c r="CF18" s="176">
        <f t="shared" ca="1" si="42"/>
        <v>50056.234854573944</v>
      </c>
      <c r="CG18" s="176">
        <f t="shared" ca="1" si="42"/>
        <v>50056.234854573944</v>
      </c>
      <c r="CH18" s="176">
        <f t="shared" ca="1" si="42"/>
        <v>50056.234854573944</v>
      </c>
    </row>
    <row r="19" spans="1:86" s="174" customFormat="1" ht="13">
      <c r="A19" s="175" t="s">
        <v>420</v>
      </c>
      <c r="B19" s="176">
        <f ca="1">MAX(C19:CH19)</f>
        <v>2479.9826100270284</v>
      </c>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6"/>
      <c r="BF19" s="176"/>
      <c r="BG19" s="176"/>
      <c r="BH19" s="176"/>
      <c r="BI19" s="176"/>
      <c r="BJ19" s="176"/>
      <c r="BK19" s="176"/>
      <c r="BL19" s="176"/>
      <c r="BM19" s="176"/>
      <c r="BN19" s="176"/>
      <c r="BO19" s="176"/>
      <c r="BP19" s="176"/>
      <c r="BQ19" s="176"/>
      <c r="BR19" s="176"/>
      <c r="BS19" s="176"/>
      <c r="BT19" s="176"/>
      <c r="BU19" s="176"/>
      <c r="BV19" s="176">
        <f ca="1">B11*20%*80%</f>
        <v>2479.9826100270284</v>
      </c>
      <c r="BW19" s="176"/>
      <c r="BX19" s="176"/>
      <c r="BY19" s="176"/>
      <c r="BZ19" s="176"/>
      <c r="CA19" s="176"/>
      <c r="CB19" s="176"/>
      <c r="CC19" s="176"/>
      <c r="CD19" s="176"/>
      <c r="CE19" s="176"/>
      <c r="CF19" s="176"/>
      <c r="CG19" s="176"/>
      <c r="CH19" s="176"/>
    </row>
    <row r="20" spans="1:86" s="174" customFormat="1" ht="13">
      <c r="A20" s="175" t="s">
        <v>421</v>
      </c>
      <c r="B20" s="176">
        <f ca="1">MAX(C20:CH20)</f>
        <v>52536.217464600973</v>
      </c>
      <c r="C20" s="176">
        <f>C18+SUM($C19:C19)</f>
        <v>0</v>
      </c>
      <c r="D20" s="176">
        <f>D18+SUM($C19:D19)</f>
        <v>0</v>
      </c>
      <c r="E20" s="176">
        <f>E18+SUM($C19:E19)</f>
        <v>0</v>
      </c>
      <c r="F20" s="176">
        <f>F18+SUM($C19:F19)</f>
        <v>0</v>
      </c>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f ca="1">AH18+SUM($C19:AH19)</f>
        <v>0</v>
      </c>
      <c r="AI20" s="176">
        <f ca="1">AI18+SUM($C19:AI19)</f>
        <v>2386.9478784900566</v>
      </c>
      <c r="AJ20" s="176">
        <f ca="1">AJ18+SUM($C19:AJ19)</f>
        <v>11232.943375012452</v>
      </c>
      <c r="AK20" s="176">
        <f ca="1">AK18+SUM($C19:AK19)</f>
        <v>13958.309196963288</v>
      </c>
      <c r="AL20" s="176">
        <f ca="1">AL18+SUM($C19:AL19)</f>
        <v>22163.677765297827</v>
      </c>
      <c r="AM20" s="176">
        <f ca="1">AM18+SUM($C19:AM19)</f>
        <v>23562.343367927908</v>
      </c>
      <c r="AN20" s="176">
        <f ca="1">AN18+SUM($C19:AN19)</f>
        <v>25756.664964192503</v>
      </c>
      <c r="AO20" s="176">
        <f ca="1">AO18+SUM($C19:AO19)</f>
        <v>30560.346546987192</v>
      </c>
      <c r="AP20" s="176">
        <f ca="1">AP18+SUM($C19:AP19)</f>
        <v>32296.399718039756</v>
      </c>
      <c r="AQ20" s="176">
        <f ca="1">AQ18+SUM($C19:AQ19)</f>
        <v>38975.485981385355</v>
      </c>
      <c r="AR20" s="176">
        <f ca="1">AR18+SUM($C19:AR19)</f>
        <v>39709.373973419453</v>
      </c>
      <c r="AS20" s="176">
        <f ca="1">AS18+SUM($C19:AS19)</f>
        <v>40372.229465679877</v>
      </c>
      <c r="AT20" s="176">
        <f ca="1">AT18+SUM($C19:AT19)</f>
        <v>40371.920072759101</v>
      </c>
      <c r="AU20" s="176">
        <f ca="1">AU18+SUM($C19:AU19)</f>
        <v>44646.516158664854</v>
      </c>
      <c r="AV20" s="176">
        <f ca="1">AV18+SUM($C19:AV19)</f>
        <v>45015.206962138451</v>
      </c>
      <c r="AW20" s="176">
        <f ca="1">AW18+SUM($C19:AW19)</f>
        <v>45467.741111268362</v>
      </c>
      <c r="AX20" s="176">
        <f ca="1">AX18+SUM($C19:AX19)</f>
        <v>45822.290326441769</v>
      </c>
      <c r="AY20" s="176">
        <f ca="1">AY18+SUM($C19:AY19)</f>
        <v>45994.745227502477</v>
      </c>
      <c r="AZ20" s="176">
        <f ca="1">AZ18+SUM($C19:AZ19)</f>
        <v>46323.253434948769</v>
      </c>
      <c r="BA20" s="176">
        <f ca="1">BA18+SUM($C19:BA19)</f>
        <v>46369.224658861902</v>
      </c>
      <c r="BB20" s="176">
        <f ca="1">BB18+SUM($C19:BB19)</f>
        <v>46411.830853346852</v>
      </c>
      <c r="BC20" s="176">
        <f ca="1">BC18+SUM($C19:BC19)</f>
        <v>46454.437047831801</v>
      </c>
      <c r="BD20" s="176">
        <f ca="1">BD18+SUM($C19:BD19)</f>
        <v>46500.408271744927</v>
      </c>
      <c r="BE20" s="176">
        <f ca="1">BE18+SUM($C19:BE19)</f>
        <v>46546.379495658053</v>
      </c>
      <c r="BF20" s="176">
        <f ca="1">BF18+SUM($C19:BF19)</f>
        <v>46592.350719571179</v>
      </c>
      <c r="BG20" s="176">
        <f ca="1">BG18+SUM($C19:BG19)</f>
        <v>46691.02322625379</v>
      </c>
      <c r="BH20" s="176">
        <f ca="1">BH18+SUM($C19:BH19)</f>
        <v>46789.695732936394</v>
      </c>
      <c r="BI20" s="176">
        <f ca="1">BI18+SUM($C19:BI19)</f>
        <v>46889.030669112915</v>
      </c>
      <c r="BJ20" s="176">
        <f ca="1">BJ18+SUM($C19:BJ19)</f>
        <v>46889.030669112915</v>
      </c>
      <c r="BK20" s="176">
        <f ca="1">BK18+SUM($C19:BK19)</f>
        <v>46889.030669112915</v>
      </c>
      <c r="BL20" s="176">
        <f ca="1">BL18+SUM($C19:BL19)</f>
        <v>46889.030669112915</v>
      </c>
      <c r="BM20" s="176">
        <f ca="1">BM18+SUM($C19:BM19)</f>
        <v>46798.436982711915</v>
      </c>
      <c r="BN20" s="176">
        <f ca="1">BN18+SUM($C19:BN19)</f>
        <v>46570.077495556863</v>
      </c>
      <c r="BO20" s="176">
        <f ca="1">BO18+SUM($C19:BO19)</f>
        <v>46889.030669112915</v>
      </c>
      <c r="BP20" s="176">
        <f ca="1">BP18+SUM($C19:BP19)</f>
        <v>46889.030669112915</v>
      </c>
      <c r="BQ20" s="176">
        <f ca="1">BQ18+SUM($C19:BQ19)</f>
        <v>46889.030669112915</v>
      </c>
      <c r="BR20" s="176">
        <f ca="1">BR18+SUM($C19:BR19)</f>
        <v>46889.030669112915</v>
      </c>
      <c r="BS20" s="176">
        <f ca="1">BS18+SUM($C19:BS19)</f>
        <v>46889.030669112915</v>
      </c>
      <c r="BT20" s="176">
        <f ca="1">BT18+SUM($C19:BT19)</f>
        <v>50056.234854573944</v>
      </c>
      <c r="BU20" s="176">
        <f ca="1">BU18+SUM($C19:BU19)</f>
        <v>50056.234854573944</v>
      </c>
      <c r="BV20" s="176">
        <f ca="1">BV18+SUM($C19:BV19)</f>
        <v>52536.217464600973</v>
      </c>
      <c r="BW20" s="176">
        <f ca="1">BW18+SUM($C19:BW19)</f>
        <v>52536.217464600973</v>
      </c>
      <c r="BX20" s="176">
        <f ca="1">BX18+SUM($C19:BX19)</f>
        <v>52536.217464600973</v>
      </c>
      <c r="BY20" s="176">
        <f ca="1">BY18+SUM($C19:BY19)</f>
        <v>52536.217464600973</v>
      </c>
      <c r="BZ20" s="176">
        <f ca="1">BZ18+SUM($C19:BZ19)</f>
        <v>52536.217464600973</v>
      </c>
      <c r="CA20" s="176">
        <f ca="1">CA18+SUM($C19:CA19)</f>
        <v>52536.217464600973</v>
      </c>
      <c r="CB20" s="176">
        <f ca="1">CB18+SUM($C19:CB19)</f>
        <v>52536.217464600973</v>
      </c>
      <c r="CC20" s="176">
        <f ca="1">CC18+SUM($C19:CC19)</f>
        <v>52536.217464600973</v>
      </c>
      <c r="CD20" s="176">
        <f ca="1">CD18+SUM($C19:CD19)</f>
        <v>52536.217464600973</v>
      </c>
      <c r="CE20" s="176">
        <f ca="1">CE18+SUM($C19:CE19)</f>
        <v>52536.217464600973</v>
      </c>
      <c r="CF20" s="176">
        <f ca="1">CF18+SUM($C19:CF19)</f>
        <v>52536.217464600973</v>
      </c>
      <c r="CG20" s="176">
        <f ca="1">CG18+SUM($C19:CG19)</f>
        <v>52536.217464600973</v>
      </c>
      <c r="CH20" s="176">
        <f ca="1">CH18+SUM($C19:CH19)</f>
        <v>52536.217464600973</v>
      </c>
    </row>
    <row r="21" spans="1:86" s="174" customFormat="1" ht="15.75" customHeight="1">
      <c r="A21" s="170" t="s">
        <v>396</v>
      </c>
      <c r="B21" s="176">
        <f ca="1">-(MIN($C$9:$CH$9))</f>
        <v>40136.304414465834</v>
      </c>
      <c r="C21" s="181">
        <f ca="1">B21+B11*80%-B20</f>
        <v>0</v>
      </c>
      <c r="D21" s="32"/>
    </row>
    <row r="22" spans="1:86" s="174" customFormat="1" ht="13">
      <c r="A22" s="170" t="s">
        <v>397</v>
      </c>
      <c r="B22" s="182">
        <v>0.1</v>
      </c>
      <c r="D22" s="32"/>
      <c r="E22" s="183"/>
      <c r="F22" s="184"/>
      <c r="G22" s="185"/>
    </row>
    <row r="23" spans="1:86" s="174" customFormat="1" ht="13.5">
      <c r="A23" s="170" t="s">
        <v>398</v>
      </c>
      <c r="B23" s="182">
        <f>B22*2</f>
        <v>0.2</v>
      </c>
      <c r="D23" s="32"/>
      <c r="E23" s="183"/>
      <c r="F23" s="181"/>
      <c r="G23" s="183"/>
    </row>
    <row r="24" spans="1:86" s="174" customFormat="1" ht="13.5">
      <c r="A24" s="186"/>
      <c r="B24" s="181"/>
      <c r="C24" s="181"/>
    </row>
    <row r="25" spans="1:86" s="169" customFormat="1" ht="15.75" customHeight="1">
      <c r="A25" s="2250" t="s">
        <v>395</v>
      </c>
      <c r="B25" s="171"/>
      <c r="C25" s="121" t="s">
        <v>237</v>
      </c>
      <c r="D25" s="121" t="s">
        <v>237</v>
      </c>
      <c r="E25" s="121" t="s">
        <v>238</v>
      </c>
      <c r="F25" s="121" t="s">
        <v>238</v>
      </c>
      <c r="G25" s="121" t="s">
        <v>238</v>
      </c>
      <c r="H25" s="121" t="s">
        <v>238</v>
      </c>
      <c r="I25" s="121" t="s">
        <v>239</v>
      </c>
      <c r="J25" s="121" t="s">
        <v>239</v>
      </c>
      <c r="K25" s="121" t="s">
        <v>239</v>
      </c>
      <c r="L25" s="121" t="s">
        <v>239</v>
      </c>
      <c r="M25" s="121" t="s">
        <v>240</v>
      </c>
      <c r="N25" s="121" t="s">
        <v>240</v>
      </c>
      <c r="O25" s="121" t="s">
        <v>240</v>
      </c>
      <c r="P25" s="121" t="s">
        <v>240</v>
      </c>
      <c r="Q25" s="121" t="s">
        <v>241</v>
      </c>
      <c r="R25" s="121" t="s">
        <v>241</v>
      </c>
      <c r="S25" s="121" t="s">
        <v>241</v>
      </c>
      <c r="T25" s="121" t="s">
        <v>241</v>
      </c>
      <c r="U25" s="121" t="s">
        <v>242</v>
      </c>
      <c r="V25" s="121" t="s">
        <v>242</v>
      </c>
      <c r="W25" s="121" t="s">
        <v>242</v>
      </c>
      <c r="X25" s="121" t="s">
        <v>242</v>
      </c>
      <c r="Y25" s="121" t="s">
        <v>243</v>
      </c>
      <c r="Z25" s="121" t="s">
        <v>243</v>
      </c>
      <c r="AA25" s="121" t="s">
        <v>243</v>
      </c>
      <c r="AB25" s="121" t="s">
        <v>243</v>
      </c>
      <c r="AC25" s="121" t="s">
        <v>244</v>
      </c>
      <c r="AD25" s="121" t="s">
        <v>244</v>
      </c>
      <c r="AE25" s="121" t="s">
        <v>244</v>
      </c>
      <c r="AF25" s="121" t="s">
        <v>244</v>
      </c>
      <c r="AG25" s="121" t="s">
        <v>244</v>
      </c>
      <c r="AH25" s="121" t="s">
        <v>244</v>
      </c>
      <c r="AI25" s="121" t="s">
        <v>244</v>
      </c>
      <c r="AJ25" s="121" t="s">
        <v>244</v>
      </c>
      <c r="AK25" s="121" t="s">
        <v>244</v>
      </c>
      <c r="AL25" s="121" t="s">
        <v>4220</v>
      </c>
      <c r="AM25" s="121" t="s">
        <v>4220</v>
      </c>
      <c r="AN25" s="121" t="s">
        <v>4220</v>
      </c>
      <c r="AO25" s="121" t="s">
        <v>4220</v>
      </c>
      <c r="AP25" s="121" t="s">
        <v>4220</v>
      </c>
      <c r="AQ25" s="121" t="s">
        <v>4220</v>
      </c>
      <c r="AR25" s="121" t="s">
        <v>4220</v>
      </c>
      <c r="AS25" s="121" t="s">
        <v>4220</v>
      </c>
      <c r="AT25" s="121" t="s">
        <v>4220</v>
      </c>
      <c r="AU25" s="121" t="s">
        <v>4220</v>
      </c>
      <c r="AV25" s="121" t="s">
        <v>4220</v>
      </c>
      <c r="AW25" s="121" t="s">
        <v>4220</v>
      </c>
      <c r="AX25" s="121" t="s">
        <v>4221</v>
      </c>
      <c r="AY25" s="121" t="s">
        <v>4221</v>
      </c>
      <c r="AZ25" s="121" t="s">
        <v>4221</v>
      </c>
      <c r="BA25" s="121" t="s">
        <v>4221</v>
      </c>
      <c r="BB25" s="121" t="s">
        <v>4221</v>
      </c>
      <c r="BC25" s="121" t="s">
        <v>4221</v>
      </c>
      <c r="BD25" s="121" t="s">
        <v>4221</v>
      </c>
      <c r="BE25" s="121" t="s">
        <v>4221</v>
      </c>
      <c r="BF25" s="121" t="s">
        <v>4221</v>
      </c>
      <c r="BG25" s="121" t="s">
        <v>4221</v>
      </c>
      <c r="BH25" s="121" t="s">
        <v>4221</v>
      </c>
      <c r="BI25" s="121" t="s">
        <v>4221</v>
      </c>
      <c r="BJ25" s="121" t="s">
        <v>4246</v>
      </c>
      <c r="BK25" s="121" t="s">
        <v>4246</v>
      </c>
      <c r="BL25" s="121" t="s">
        <v>4246</v>
      </c>
      <c r="BM25" s="121" t="s">
        <v>4246</v>
      </c>
      <c r="BN25" s="121" t="s">
        <v>4221</v>
      </c>
      <c r="BO25" s="121" t="s">
        <v>4221</v>
      </c>
      <c r="BP25" s="121" t="s">
        <v>4246</v>
      </c>
      <c r="BQ25" s="121" t="s">
        <v>4246</v>
      </c>
      <c r="BR25" s="121" t="s">
        <v>4246</v>
      </c>
      <c r="BS25" s="121" t="s">
        <v>4246</v>
      </c>
      <c r="BT25" s="121" t="s">
        <v>4259</v>
      </c>
      <c r="BU25" s="121" t="s">
        <v>4259</v>
      </c>
      <c r="BV25" s="121" t="s">
        <v>4341</v>
      </c>
      <c r="BW25" s="121" t="s">
        <v>4341</v>
      </c>
      <c r="BX25" s="121" t="s">
        <v>4341</v>
      </c>
      <c r="BY25" s="121" t="s">
        <v>4341</v>
      </c>
      <c r="BZ25" s="121" t="s">
        <v>4341</v>
      </c>
      <c r="CA25" s="121" t="s">
        <v>4341</v>
      </c>
      <c r="CB25" s="121" t="s">
        <v>4341</v>
      </c>
      <c r="CC25" s="121" t="s">
        <v>4341</v>
      </c>
      <c r="CD25" s="121" t="s">
        <v>4341</v>
      </c>
      <c r="CE25" s="121" t="s">
        <v>4341</v>
      </c>
      <c r="CF25" s="121" t="s">
        <v>4341</v>
      </c>
      <c r="CG25" s="121" t="s">
        <v>4341</v>
      </c>
      <c r="CH25" s="121" t="s">
        <v>4263</v>
      </c>
    </row>
    <row r="26" spans="1:86" s="169" customFormat="1" ht="14.5">
      <c r="A26" s="2251"/>
      <c r="B26" s="173" t="s">
        <v>405</v>
      </c>
      <c r="C26" s="123" t="s">
        <v>173</v>
      </c>
      <c r="D26" s="123" t="s">
        <v>174</v>
      </c>
      <c r="E26" s="123" t="s">
        <v>175</v>
      </c>
      <c r="F26" s="123" t="s">
        <v>176</v>
      </c>
      <c r="G26" s="123" t="s">
        <v>177</v>
      </c>
      <c r="H26" s="123" t="s">
        <v>178</v>
      </c>
      <c r="I26" s="123" t="s">
        <v>179</v>
      </c>
      <c r="J26" s="123" t="s">
        <v>180</v>
      </c>
      <c r="K26" s="123" t="s">
        <v>181</v>
      </c>
      <c r="L26" s="123" t="s">
        <v>182</v>
      </c>
      <c r="M26" s="123" t="s">
        <v>183</v>
      </c>
      <c r="N26" s="123" t="s">
        <v>184</v>
      </c>
      <c r="O26" s="123" t="s">
        <v>185</v>
      </c>
      <c r="P26" s="123" t="s">
        <v>186</v>
      </c>
      <c r="Q26" s="123" t="s">
        <v>187</v>
      </c>
      <c r="R26" s="123" t="s">
        <v>188</v>
      </c>
      <c r="S26" s="123" t="s">
        <v>189</v>
      </c>
      <c r="T26" s="123" t="s">
        <v>190</v>
      </c>
      <c r="U26" s="123" t="s">
        <v>191</v>
      </c>
      <c r="V26" s="123" t="s">
        <v>192</v>
      </c>
      <c r="W26" s="123" t="s">
        <v>247</v>
      </c>
      <c r="X26" s="123" t="s">
        <v>248</v>
      </c>
      <c r="Y26" s="123" t="s">
        <v>249</v>
      </c>
      <c r="Z26" s="123" t="s">
        <v>250</v>
      </c>
      <c r="AA26" s="123" t="s">
        <v>251</v>
      </c>
      <c r="AB26" s="123" t="s">
        <v>252</v>
      </c>
      <c r="AC26" s="123" t="s">
        <v>4211</v>
      </c>
      <c r="AD26" s="123" t="s">
        <v>4212</v>
      </c>
      <c r="AE26" s="123" t="s">
        <v>4213</v>
      </c>
      <c r="AF26" s="123" t="s">
        <v>4214</v>
      </c>
      <c r="AG26" s="123" t="s">
        <v>4215</v>
      </c>
      <c r="AH26" s="123" t="s">
        <v>4216</v>
      </c>
      <c r="AI26" s="123" t="s">
        <v>4217</v>
      </c>
      <c r="AJ26" s="123" t="s">
        <v>4218</v>
      </c>
      <c r="AK26" s="123" t="s">
        <v>4219</v>
      </c>
      <c r="AL26" s="123" t="s">
        <v>4222</v>
      </c>
      <c r="AM26" s="123" t="s">
        <v>4223</v>
      </c>
      <c r="AN26" s="123" t="s">
        <v>4224</v>
      </c>
      <c r="AO26" s="123" t="s">
        <v>4225</v>
      </c>
      <c r="AP26" s="123" t="s">
        <v>4226</v>
      </c>
      <c r="AQ26" s="123" t="s">
        <v>4227</v>
      </c>
      <c r="AR26" s="123" t="s">
        <v>4228</v>
      </c>
      <c r="AS26" s="123" t="s">
        <v>4229</v>
      </c>
      <c r="AT26" s="123" t="s">
        <v>4230</v>
      </c>
      <c r="AU26" s="123" t="s">
        <v>4231</v>
      </c>
      <c r="AV26" s="123" t="s">
        <v>4232</v>
      </c>
      <c r="AW26" s="123" t="s">
        <v>4233</v>
      </c>
      <c r="AX26" s="123" t="s">
        <v>4234</v>
      </c>
      <c r="AY26" s="123" t="s">
        <v>4235</v>
      </c>
      <c r="AZ26" s="123" t="s">
        <v>4236</v>
      </c>
      <c r="BA26" s="123" t="s">
        <v>4237</v>
      </c>
      <c r="BB26" s="123" t="s">
        <v>4238</v>
      </c>
      <c r="BC26" s="123" t="s">
        <v>4239</v>
      </c>
      <c r="BD26" s="123" t="s">
        <v>4240</v>
      </c>
      <c r="BE26" s="123" t="s">
        <v>4241</v>
      </c>
      <c r="BF26" s="123" t="s">
        <v>4242</v>
      </c>
      <c r="BG26" s="123" t="s">
        <v>4243</v>
      </c>
      <c r="BH26" s="123" t="s">
        <v>4244</v>
      </c>
      <c r="BI26" s="123" t="s">
        <v>4245</v>
      </c>
      <c r="BJ26" s="123" t="s">
        <v>4247</v>
      </c>
      <c r="BK26" s="123" t="s">
        <v>4248</v>
      </c>
      <c r="BL26" s="123" t="s">
        <v>4249</v>
      </c>
      <c r="BM26" s="123" t="s">
        <v>4250</v>
      </c>
      <c r="BN26" s="123" t="s">
        <v>4251</v>
      </c>
      <c r="BO26" s="123" t="s">
        <v>4252</v>
      </c>
      <c r="BP26" s="123" t="s">
        <v>4253</v>
      </c>
      <c r="BQ26" s="123" t="s">
        <v>4254</v>
      </c>
      <c r="BR26" s="123" t="s">
        <v>4255</v>
      </c>
      <c r="BS26" s="123" t="s">
        <v>4256</v>
      </c>
      <c r="BT26" s="123" t="s">
        <v>4342</v>
      </c>
      <c r="BU26" s="123" t="s">
        <v>4258</v>
      </c>
      <c r="BV26" s="123" t="s">
        <v>4264</v>
      </c>
      <c r="BW26" s="123" t="s">
        <v>4265</v>
      </c>
      <c r="BX26" s="123" t="s">
        <v>4266</v>
      </c>
      <c r="BY26" s="123" t="s">
        <v>4267</v>
      </c>
      <c r="BZ26" s="123" t="s">
        <v>4268</v>
      </c>
      <c r="CA26" s="123" t="s">
        <v>4269</v>
      </c>
      <c r="CB26" s="123" t="s">
        <v>4270</v>
      </c>
      <c r="CC26" s="123" t="s">
        <v>4271</v>
      </c>
      <c r="CD26" s="123" t="s">
        <v>4272</v>
      </c>
      <c r="CE26" s="123" t="s">
        <v>4273</v>
      </c>
      <c r="CF26" s="123" t="s">
        <v>4274</v>
      </c>
      <c r="CG26" s="123" t="s">
        <v>4275</v>
      </c>
      <c r="CH26" s="123" t="s">
        <v>4276</v>
      </c>
    </row>
    <row r="27" spans="1:86" s="174" customFormat="1" ht="13.5">
      <c r="A27" s="187" t="s">
        <v>341</v>
      </c>
      <c r="B27" s="176">
        <f t="shared" ref="B27:B30" ca="1" si="43">SUM(C27:CH27)</f>
        <v>4013.6304414465835</v>
      </c>
      <c r="C27" s="188"/>
      <c r="D27" s="189"/>
      <c r="E27" s="189"/>
      <c r="F27" s="189"/>
      <c r="G27" s="188"/>
      <c r="H27" s="189"/>
      <c r="I27" s="189"/>
      <c r="J27" s="188"/>
      <c r="K27" s="189"/>
      <c r="L27" s="189"/>
      <c r="M27" s="188"/>
      <c r="N27" s="188">
        <v>0</v>
      </c>
      <c r="O27" s="188"/>
      <c r="P27" s="189"/>
      <c r="Q27" s="189"/>
      <c r="R27" s="189"/>
      <c r="S27" s="189"/>
      <c r="T27" s="189"/>
      <c r="U27" s="189"/>
      <c r="V27" s="189"/>
      <c r="W27" s="189"/>
      <c r="X27" s="188"/>
      <c r="Y27" s="189"/>
      <c r="Z27" s="188"/>
      <c r="AA27" s="189"/>
      <c r="AB27" s="189"/>
      <c r="AC27" s="189"/>
      <c r="AD27" s="189"/>
      <c r="AE27" s="189">
        <f ca="1">B21*B22</f>
        <v>4013.6304414465835</v>
      </c>
      <c r="AF27" s="190"/>
      <c r="AG27" s="190"/>
      <c r="AH27" s="190"/>
      <c r="AI27" s="189"/>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row>
    <row r="28" spans="1:86" s="174" customFormat="1" ht="13.5">
      <c r="A28" s="187" t="s">
        <v>342</v>
      </c>
      <c r="B28" s="176">
        <f t="shared" si="43"/>
        <v>0</v>
      </c>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c r="AA28" s="189"/>
      <c r="AB28" s="189"/>
      <c r="AC28" s="189"/>
      <c r="AD28" s="189"/>
      <c r="AE28" s="189">
        <f>AD45</f>
        <v>0</v>
      </c>
      <c r="AF28" s="190"/>
      <c r="AG28" s="190"/>
      <c r="AH28" s="190"/>
      <c r="AI28" s="189"/>
      <c r="AJ28" s="190"/>
      <c r="AK28" s="190"/>
      <c r="AL28" s="190"/>
      <c r="AM28" s="190"/>
      <c r="AN28" s="190"/>
      <c r="AO28" s="190"/>
      <c r="AP28" s="190"/>
      <c r="AQ28" s="190"/>
      <c r="AR28" s="190"/>
      <c r="AS28" s="190"/>
      <c r="AT28" s="190"/>
      <c r="AU28" s="190"/>
      <c r="AV28" s="190"/>
      <c r="AW28" s="190"/>
      <c r="AX28" s="190"/>
      <c r="AY28" s="190"/>
      <c r="AZ28" s="190"/>
      <c r="BA28" s="190"/>
      <c r="BB28" s="190"/>
      <c r="BC28" s="190"/>
      <c r="BD28" s="190"/>
      <c r="BE28" s="190"/>
      <c r="BF28" s="190"/>
      <c r="BG28" s="190"/>
      <c r="BH28" s="190"/>
      <c r="BI28" s="190"/>
      <c r="BJ28" s="190"/>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row>
    <row r="29" spans="1:86" s="174" customFormat="1" ht="13.5">
      <c r="A29" s="187" t="s">
        <v>343</v>
      </c>
      <c r="B29" s="176">
        <f t="shared" si="43"/>
        <v>0</v>
      </c>
      <c r="C29" s="189"/>
      <c r="D29" s="189"/>
      <c r="E29" s="189"/>
      <c r="F29" s="189"/>
      <c r="G29" s="189"/>
      <c r="H29" s="189"/>
      <c r="I29" s="189"/>
      <c r="J29" s="189"/>
      <c r="K29" s="189"/>
      <c r="L29" s="189"/>
      <c r="M29" s="189"/>
      <c r="N29" s="189"/>
      <c r="O29" s="189"/>
      <c r="P29" s="189"/>
      <c r="Q29" s="189">
        <f>N27+N28</f>
        <v>0</v>
      </c>
      <c r="R29" s="189"/>
      <c r="S29" s="189"/>
      <c r="T29" s="189"/>
      <c r="U29" s="189"/>
      <c r="V29" s="189"/>
      <c r="W29" s="189"/>
      <c r="X29" s="189"/>
      <c r="Y29" s="189"/>
      <c r="Z29" s="189"/>
      <c r="AA29" s="189"/>
      <c r="AB29" s="189"/>
      <c r="AC29" s="189"/>
      <c r="AD29" s="189"/>
      <c r="AE29" s="190"/>
      <c r="AF29" s="190"/>
      <c r="AG29" s="190"/>
      <c r="AH29" s="190"/>
      <c r="AI29" s="189"/>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row>
    <row r="30" spans="1:86" s="174" customFormat="1" ht="13.5">
      <c r="A30" s="187" t="s">
        <v>344</v>
      </c>
      <c r="B30" s="176">
        <f t="shared" si="43"/>
        <v>0</v>
      </c>
      <c r="C30" s="189"/>
      <c r="D30" s="189"/>
      <c r="E30" s="189"/>
      <c r="F30" s="188"/>
      <c r="G30" s="189"/>
      <c r="H30" s="189"/>
      <c r="I30" s="189"/>
      <c r="J30" s="189"/>
      <c r="K30" s="189"/>
      <c r="L30" s="189"/>
      <c r="M30" s="189"/>
      <c r="N30" s="189"/>
      <c r="O30" s="189"/>
      <c r="P30" s="189"/>
      <c r="Q30" s="189">
        <f>Q29*0.06/2</f>
        <v>0</v>
      </c>
      <c r="R30" s="189"/>
      <c r="S30" s="189"/>
      <c r="T30" s="189"/>
      <c r="U30" s="189"/>
      <c r="V30" s="189"/>
      <c r="W30" s="189"/>
      <c r="X30" s="189"/>
      <c r="Y30" s="189"/>
      <c r="Z30" s="189"/>
      <c r="AA30" s="189"/>
      <c r="AB30" s="189"/>
      <c r="AC30" s="189"/>
      <c r="AD30" s="190"/>
      <c r="AE30" s="190"/>
      <c r="AF30" s="190"/>
      <c r="AG30" s="190"/>
      <c r="AH30" s="190"/>
      <c r="AI30" s="189"/>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row>
    <row r="31" spans="1:86" s="174" customFormat="1" ht="13">
      <c r="A31" s="180" t="s">
        <v>408</v>
      </c>
      <c r="B31" s="176">
        <f ca="1">SUM(C31:CH31)</f>
        <v>5253.6217464600977</v>
      </c>
      <c r="C31" s="176">
        <f>C20*$B$22</f>
        <v>0</v>
      </c>
      <c r="D31" s="176">
        <f>D20*$B$22-SUM($C$31:C31)</f>
        <v>0</v>
      </c>
      <c r="E31" s="176">
        <f>E20*$B$22-SUM($C$31:D31)</f>
        <v>0</v>
      </c>
      <c r="F31" s="176">
        <f>F20*$B$22-SUM($C$31:E31)</f>
        <v>0</v>
      </c>
      <c r="G31" s="191">
        <f>G20*$B$22-SUM($C$31:F31)</f>
        <v>0</v>
      </c>
      <c r="H31" s="191"/>
      <c r="I31" s="191"/>
      <c r="J31" s="191"/>
      <c r="K31" s="191"/>
      <c r="L31" s="191"/>
      <c r="M31" s="191"/>
      <c r="N31" s="191">
        <f>N20*$B$22-SUM($C$31:M31)</f>
        <v>0</v>
      </c>
      <c r="O31" s="191">
        <f>O20*$B$22-SUM($C$31:N31)</f>
        <v>0</v>
      </c>
      <c r="P31" s="176">
        <f>P20*$B$22-SUM($C$31:O31)</f>
        <v>0</v>
      </c>
      <c r="Q31" s="176">
        <f>Q20*$B$22-SUM($C$31:P31)</f>
        <v>0</v>
      </c>
      <c r="R31" s="176">
        <f>R20*$B$22-SUM($C$31:Q31)</f>
        <v>0</v>
      </c>
      <c r="S31" s="176">
        <f>S20*$B$22-SUM($C$31:R31)</f>
        <v>0</v>
      </c>
      <c r="T31" s="176">
        <f>T20*$B$22-SUM($C$31:S31)</f>
        <v>0</v>
      </c>
      <c r="U31" s="176">
        <f>U20*$B$22-SUM($C$31:T31)</f>
        <v>0</v>
      </c>
      <c r="V31" s="176">
        <f>V20*$B$22-SUM($C$31:U31)</f>
        <v>0</v>
      </c>
      <c r="W31" s="176">
        <f>W20*$B$22-SUM($C$31:V31)</f>
        <v>0</v>
      </c>
      <c r="X31" s="176">
        <f>X20*$B$22-SUM($C$31:W31)</f>
        <v>0</v>
      </c>
      <c r="Y31" s="191">
        <f>Y20*$B$22-SUM($C$31:X31)</f>
        <v>0</v>
      </c>
      <c r="Z31" s="176">
        <f>Z20*$B$22-SUM($C$31:Y31)</f>
        <v>0</v>
      </c>
      <c r="AA31" s="176">
        <f>AA20*$B$22-SUM($C$31:Z31)</f>
        <v>0</v>
      </c>
      <c r="AB31" s="176">
        <f>AB20*$B$22-SUM($C$31:AA31)</f>
        <v>0</v>
      </c>
      <c r="AC31" s="176">
        <f>AC20*$B$22-SUM($C$31:AB31)</f>
        <v>0</v>
      </c>
      <c r="AD31" s="176">
        <f>AD20*$B$22-SUM($C$31:AC31)</f>
        <v>0</v>
      </c>
      <c r="AE31" s="191">
        <f>AE20*$B$22-SUM($C$31:AD31)</f>
        <v>0</v>
      </c>
      <c r="AF31" s="176">
        <f>AF20*$B$22-SUM($C$31:AE31)</f>
        <v>0</v>
      </c>
      <c r="AG31" s="176">
        <f>AG20*$B$22-SUM($C$31:AF31)</f>
        <v>0</v>
      </c>
      <c r="AH31" s="176">
        <f ca="1">AH20*$B$22-SUM($C$31:AG31)</f>
        <v>0</v>
      </c>
      <c r="AI31" s="176">
        <f ca="1">AI20*$B$22-SUM($C$31:AH31)</f>
        <v>238.69478784900568</v>
      </c>
      <c r="AJ31" s="176">
        <f ca="1">AJ20*$B$22-SUM($C$31:AI31)</f>
        <v>884.5995496522396</v>
      </c>
      <c r="AK31" s="176">
        <f ca="1">AK20*$B$22-SUM($C$31:AJ31)</f>
        <v>272.53658219508361</v>
      </c>
      <c r="AL31" s="176">
        <f ca="1">AL20*$B$22-SUM($C$31:AK31)</f>
        <v>820.53685683345407</v>
      </c>
      <c r="AM31" s="176">
        <f ca="1">AM20*$B$22-SUM($C$31:AL31)</f>
        <v>139.86656026300807</v>
      </c>
      <c r="AN31" s="176">
        <f ca="1">AN20*$B$22-SUM($C$31:AM31)</f>
        <v>219.43215962645945</v>
      </c>
      <c r="AO31" s="176">
        <f ca="1">AO20*$B$22-SUM($C$31:AN31)</f>
        <v>480.36815827946884</v>
      </c>
      <c r="AP31" s="176">
        <f ca="1">AP20*$B$22-SUM($C$31:AO31)</f>
        <v>173.60531710525629</v>
      </c>
      <c r="AQ31" s="176">
        <f ca="1">AQ20*$B$22-SUM($C$31:AP31)</f>
        <v>667.90862633455981</v>
      </c>
      <c r="AR31" s="176">
        <f ca="1">AR20*$B$22-SUM($C$31:AQ31)</f>
        <v>73.388799203410144</v>
      </c>
      <c r="AS31" s="176">
        <f ca="1">AS20*$B$22-SUM($C$31:AR31)</f>
        <v>66.285549226042349</v>
      </c>
      <c r="AT31" s="176">
        <f ca="1">AT20*$B$22-SUM($C$31:AS31)</f>
        <v>-3.0939292077619029E-2</v>
      </c>
      <c r="AU31" s="176">
        <f ca="1">AU20*$B$22-SUM($C$31:AT31)</f>
        <v>427.45960859057504</v>
      </c>
      <c r="AV31" s="176">
        <f ca="1">AV20*$B$22-SUM($C$31:AU31)</f>
        <v>36.869080347360068</v>
      </c>
      <c r="AW31" s="176">
        <f ca="1">AW20*$B$22-SUM($C$31:AV31)</f>
        <v>45.253414912990593</v>
      </c>
      <c r="AX31" s="176">
        <f ca="1">AX20*$B$22-SUM($C$31:AW31)</f>
        <v>35.454921517341063</v>
      </c>
      <c r="AY31" s="176">
        <f ca="1">AY20*$B$22-SUM($C$31:AX31)</f>
        <v>17.245490106070974</v>
      </c>
      <c r="AZ31" s="176">
        <f ca="1">AZ20*$B$22-SUM($C$31:AY31)</f>
        <v>32.850820744629345</v>
      </c>
      <c r="BA31" s="176">
        <f ca="1">BA20*$B$22-SUM($C$31:AZ31)</f>
        <v>4.5971223913129506</v>
      </c>
      <c r="BB31" s="176">
        <f ca="1">BB20*$B$22-SUM($C$31:BA31)</f>
        <v>4.2606194484951629</v>
      </c>
      <c r="BC31" s="176">
        <f ca="1">BC20*$B$22-SUM($C$31:BB31)</f>
        <v>4.2606194484951629</v>
      </c>
      <c r="BD31" s="176">
        <f ca="1">BD20*$B$22-SUM($C$31:BC31)</f>
        <v>4.5971223913120411</v>
      </c>
      <c r="BE31" s="176">
        <f ca="1">BE20*$B$22-SUM($C$31:BD31)</f>
        <v>4.5971223913129506</v>
      </c>
      <c r="BF31" s="176">
        <f ca="1">BF20*$B$22-SUM($C$31:BE31)</f>
        <v>4.5971223913120411</v>
      </c>
      <c r="BG31" s="176">
        <f ca="1">BG20*$B$22-SUM($C$31:BF31)</f>
        <v>9.8672506682614767</v>
      </c>
      <c r="BH31" s="176">
        <f ca="1">BH20*$B$22-SUM($C$31:BG31)</f>
        <v>9.8672506682605672</v>
      </c>
      <c r="BI31" s="176">
        <f ca="1">BI20*$B$22-SUM($C$31:BH31)</f>
        <v>9.9334936176519477</v>
      </c>
      <c r="BJ31" s="176">
        <f ca="1">BJ20*$B$22-SUM($C$31:BI31)</f>
        <v>0</v>
      </c>
      <c r="BK31" s="176">
        <f ca="1">BK20*$B$22-SUM($C$31:BJ31)</f>
        <v>0</v>
      </c>
      <c r="BL31" s="176">
        <f ca="1">BL20*$B$22-SUM($C$31:BK31)</f>
        <v>0</v>
      </c>
      <c r="BM31" s="176">
        <f ca="1">BM20*$B$22-SUM($C$31:BL31)</f>
        <v>-9.0593686400998195</v>
      </c>
      <c r="BN31" s="176">
        <f ca="1">BN20*$B$22-SUM($C$31:BM31)</f>
        <v>-22.835948715505765</v>
      </c>
      <c r="BO31" s="176">
        <f ca="1">BO20*$B$22-SUM($C$31:BN31)</f>
        <v>31.895317355605584</v>
      </c>
      <c r="BP31" s="176">
        <f ca="1">BP20*$B$22-SUM($C$31:BO31)</f>
        <v>0</v>
      </c>
      <c r="BQ31" s="176">
        <f ca="1">BQ20*$B$22-SUM($C$31:BP31)</f>
        <v>0</v>
      </c>
      <c r="BR31" s="176">
        <f ca="1">BR20*$B$22-SUM($C$31:BQ31)</f>
        <v>0</v>
      </c>
      <c r="BS31" s="176">
        <f ca="1">BS20*$B$22-SUM($C$31:BR31)</f>
        <v>0</v>
      </c>
      <c r="BT31" s="176">
        <f ca="1">BT20*$B$22-SUM($C$31:BS31)</f>
        <v>316.72041854610325</v>
      </c>
      <c r="BU31" s="176">
        <f ca="1">BU20*$B$22-SUM($C$31:BT31)</f>
        <v>0</v>
      </c>
      <c r="BV31" s="176">
        <f ca="1">BV20*$B$22-SUM($C$31:BU31)</f>
        <v>247.99826100270275</v>
      </c>
      <c r="BW31" s="176">
        <f ca="1">BW20*$B$22-SUM($C$31:BV31)</f>
        <v>0</v>
      </c>
      <c r="BX31" s="176">
        <f ca="1">BX20*$B$22-SUM($C$31:BW31)</f>
        <v>0</v>
      </c>
      <c r="BY31" s="176">
        <f ca="1">BY20*$B$22-SUM($C$31:BX31)</f>
        <v>0</v>
      </c>
      <c r="BZ31" s="176">
        <f ca="1">BZ20*$B$22-SUM($C$31:BY31)</f>
        <v>0</v>
      </c>
      <c r="CA31" s="176">
        <f ca="1">CA20*$B$22-SUM($C$31:BZ31)</f>
        <v>0</v>
      </c>
      <c r="CB31" s="176">
        <f ca="1">CB20*$B$22-SUM($C$31:CA31)</f>
        <v>0</v>
      </c>
      <c r="CC31" s="176">
        <f ca="1">CC20*$B$22-SUM($C$31:CB31)</f>
        <v>0</v>
      </c>
      <c r="CD31" s="176">
        <f ca="1">CD20*$B$22-SUM($C$31:CC31)</f>
        <v>0</v>
      </c>
      <c r="CE31" s="176">
        <f ca="1">CE20*$B$22-SUM($C$31:CD31)</f>
        <v>0</v>
      </c>
      <c r="CF31" s="176">
        <f ca="1">CF20*$B$22-SUM($C$31:CE31)</f>
        <v>0</v>
      </c>
      <c r="CG31" s="176">
        <f ca="1">CG20*$B$22-SUM($C$31:CF31)</f>
        <v>0</v>
      </c>
      <c r="CH31" s="176">
        <f ca="1">CH20*$B$22-SUM($C$31:CG31)</f>
        <v>0</v>
      </c>
    </row>
    <row r="32" spans="1:86" s="174" customFormat="1" ht="13">
      <c r="A32" s="180" t="s">
        <v>409</v>
      </c>
      <c r="B32" s="176">
        <f>SUM(C32:CH32)</f>
        <v>0</v>
      </c>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6"/>
      <c r="CB32" s="176"/>
      <c r="CC32" s="176"/>
      <c r="CD32" s="176"/>
      <c r="CE32" s="176"/>
      <c r="CF32" s="176"/>
      <c r="CG32" s="176"/>
      <c r="CH32" s="176"/>
    </row>
    <row r="33" spans="1:86" s="32" customFormat="1" ht="13">
      <c r="A33" s="175" t="s">
        <v>345</v>
      </c>
      <c r="B33" s="176">
        <f ca="1">SUM(C33:CH33)</f>
        <v>1239.991305013514</v>
      </c>
      <c r="C33" s="176">
        <f>-C27-C28+C31</f>
        <v>0</v>
      </c>
      <c r="D33" s="176">
        <f t="shared" ref="D33:AR33" si="44">-D27-D28+D31</f>
        <v>0</v>
      </c>
      <c r="E33" s="176">
        <f t="shared" si="44"/>
        <v>0</v>
      </c>
      <c r="F33" s="176">
        <f t="shared" si="44"/>
        <v>0</v>
      </c>
      <c r="G33" s="176">
        <f t="shared" ref="G33:M33" si="45">-G27-G28+G31</f>
        <v>0</v>
      </c>
      <c r="H33" s="176">
        <f t="shared" si="45"/>
        <v>0</v>
      </c>
      <c r="I33" s="176">
        <f t="shared" si="45"/>
        <v>0</v>
      </c>
      <c r="J33" s="176">
        <f t="shared" si="45"/>
        <v>0</v>
      </c>
      <c r="K33" s="176">
        <f t="shared" si="45"/>
        <v>0</v>
      </c>
      <c r="L33" s="176">
        <f t="shared" si="45"/>
        <v>0</v>
      </c>
      <c r="M33" s="176">
        <f t="shared" si="45"/>
        <v>0</v>
      </c>
      <c r="N33" s="176">
        <f t="shared" si="44"/>
        <v>0</v>
      </c>
      <c r="O33" s="176">
        <f t="shared" si="44"/>
        <v>0</v>
      </c>
      <c r="P33" s="176">
        <f t="shared" si="44"/>
        <v>0</v>
      </c>
      <c r="Q33" s="176">
        <f t="shared" si="44"/>
        <v>0</v>
      </c>
      <c r="R33" s="176">
        <f t="shared" si="44"/>
        <v>0</v>
      </c>
      <c r="S33" s="176">
        <f t="shared" si="44"/>
        <v>0</v>
      </c>
      <c r="T33" s="176">
        <f t="shared" si="44"/>
        <v>0</v>
      </c>
      <c r="U33" s="176">
        <f t="shared" si="44"/>
        <v>0</v>
      </c>
      <c r="V33" s="176">
        <f t="shared" si="44"/>
        <v>0</v>
      </c>
      <c r="W33" s="176">
        <f t="shared" si="44"/>
        <v>0</v>
      </c>
      <c r="X33" s="176">
        <f t="shared" si="44"/>
        <v>0</v>
      </c>
      <c r="Y33" s="176">
        <f t="shared" ref="Y33:AE33" si="46">-Y27-Y28+Y31</f>
        <v>0</v>
      </c>
      <c r="Z33" s="176">
        <f t="shared" si="46"/>
        <v>0</v>
      </c>
      <c r="AA33" s="176">
        <f t="shared" si="46"/>
        <v>0</v>
      </c>
      <c r="AB33" s="176">
        <f t="shared" si="46"/>
        <v>0</v>
      </c>
      <c r="AC33" s="176">
        <f t="shared" si="46"/>
        <v>0</v>
      </c>
      <c r="AD33" s="176">
        <f t="shared" si="46"/>
        <v>0</v>
      </c>
      <c r="AE33" s="176">
        <f t="shared" ca="1" si="46"/>
        <v>-4013.6304414465835</v>
      </c>
      <c r="AF33" s="176">
        <f t="shared" si="44"/>
        <v>0</v>
      </c>
      <c r="AG33" s="176">
        <f t="shared" si="44"/>
        <v>0</v>
      </c>
      <c r="AH33" s="176">
        <f t="shared" ca="1" si="44"/>
        <v>0</v>
      </c>
      <c r="AI33" s="176">
        <f t="shared" ca="1" si="44"/>
        <v>238.69478784900568</v>
      </c>
      <c r="AJ33" s="176">
        <f t="shared" ca="1" si="44"/>
        <v>884.5995496522396</v>
      </c>
      <c r="AK33" s="176">
        <f ca="1">-AK27-AK28+AK31</f>
        <v>272.53658219508361</v>
      </c>
      <c r="AL33" s="176">
        <f t="shared" ca="1" si="44"/>
        <v>820.53685683345407</v>
      </c>
      <c r="AM33" s="176">
        <f t="shared" ca="1" si="44"/>
        <v>139.86656026300807</v>
      </c>
      <c r="AN33" s="176">
        <f t="shared" ca="1" si="44"/>
        <v>219.43215962645945</v>
      </c>
      <c r="AO33" s="176">
        <f t="shared" ca="1" si="44"/>
        <v>480.36815827946884</v>
      </c>
      <c r="AP33" s="176">
        <f t="shared" ca="1" si="44"/>
        <v>173.60531710525629</v>
      </c>
      <c r="AQ33" s="176">
        <f t="shared" ca="1" si="44"/>
        <v>667.90862633455981</v>
      </c>
      <c r="AR33" s="176">
        <f t="shared" ca="1" si="44"/>
        <v>73.388799203410144</v>
      </c>
      <c r="AS33" s="176">
        <f t="shared" ref="AS33:BP33" ca="1" si="47">-AS27-AS28+AS31</f>
        <v>66.285549226042349</v>
      </c>
      <c r="AT33" s="176">
        <f t="shared" ca="1" si="47"/>
        <v>-3.0939292077619029E-2</v>
      </c>
      <c r="AU33" s="176">
        <f t="shared" ca="1" si="47"/>
        <v>427.45960859057504</v>
      </c>
      <c r="AV33" s="176">
        <f t="shared" ca="1" si="47"/>
        <v>36.869080347360068</v>
      </c>
      <c r="AW33" s="176">
        <f t="shared" ca="1" si="47"/>
        <v>45.253414912990593</v>
      </c>
      <c r="AX33" s="176">
        <f t="shared" ca="1" si="47"/>
        <v>35.454921517341063</v>
      </c>
      <c r="AY33" s="176">
        <f t="shared" ca="1" si="47"/>
        <v>17.245490106070974</v>
      </c>
      <c r="AZ33" s="176">
        <f t="shared" ca="1" si="47"/>
        <v>32.850820744629345</v>
      </c>
      <c r="BA33" s="176">
        <f t="shared" ca="1" si="47"/>
        <v>4.5971223913129506</v>
      </c>
      <c r="BB33" s="176">
        <f t="shared" ca="1" si="47"/>
        <v>4.2606194484951629</v>
      </c>
      <c r="BC33" s="176">
        <f t="shared" ca="1" si="47"/>
        <v>4.2606194484951629</v>
      </c>
      <c r="BD33" s="176">
        <f t="shared" ca="1" si="47"/>
        <v>4.5971223913120411</v>
      </c>
      <c r="BE33" s="176">
        <f t="shared" ca="1" si="47"/>
        <v>4.5971223913129506</v>
      </c>
      <c r="BF33" s="176">
        <f t="shared" ca="1" si="47"/>
        <v>4.5971223913120411</v>
      </c>
      <c r="BG33" s="176">
        <f t="shared" ca="1" si="47"/>
        <v>9.8672506682614767</v>
      </c>
      <c r="BH33" s="176">
        <f t="shared" ca="1" si="47"/>
        <v>9.8672506682605672</v>
      </c>
      <c r="BI33" s="176">
        <f t="shared" ca="1" si="47"/>
        <v>9.9334936176519477</v>
      </c>
      <c r="BJ33" s="176">
        <f t="shared" ca="1" si="47"/>
        <v>0</v>
      </c>
      <c r="BK33" s="176">
        <f t="shared" ca="1" si="47"/>
        <v>0</v>
      </c>
      <c r="BL33" s="176">
        <f t="shared" ca="1" si="47"/>
        <v>0</v>
      </c>
      <c r="BM33" s="176">
        <f t="shared" ca="1" si="47"/>
        <v>-9.0593686400998195</v>
      </c>
      <c r="BN33" s="176">
        <f t="shared" ca="1" si="47"/>
        <v>-22.835948715505765</v>
      </c>
      <c r="BO33" s="176">
        <f t="shared" ca="1" si="47"/>
        <v>31.895317355605584</v>
      </c>
      <c r="BP33" s="176">
        <f t="shared" ca="1" si="47"/>
        <v>0</v>
      </c>
      <c r="BQ33" s="176">
        <f ca="1">-BQ27-BQ28+BQ31</f>
        <v>0</v>
      </c>
      <c r="BR33" s="176">
        <f ca="1">-BR27-BR28+BR31</f>
        <v>0</v>
      </c>
      <c r="BS33" s="176">
        <f ca="1">-BS27-BS28+BS31</f>
        <v>0</v>
      </c>
      <c r="BT33" s="176">
        <f ca="1">-BT27-BT28+BT31</f>
        <v>316.72041854610325</v>
      </c>
      <c r="BU33" s="176">
        <f t="shared" ref="BU33:CH33" ca="1" si="48">-BU27-BU28+BU31</f>
        <v>0</v>
      </c>
      <c r="BV33" s="176">
        <f t="shared" ca="1" si="48"/>
        <v>247.99826100270275</v>
      </c>
      <c r="BW33" s="176">
        <f t="shared" ca="1" si="48"/>
        <v>0</v>
      </c>
      <c r="BX33" s="176">
        <f t="shared" ca="1" si="48"/>
        <v>0</v>
      </c>
      <c r="BY33" s="176">
        <f t="shared" ca="1" si="48"/>
        <v>0</v>
      </c>
      <c r="BZ33" s="176">
        <f t="shared" ca="1" si="48"/>
        <v>0</v>
      </c>
      <c r="CA33" s="176">
        <f t="shared" ca="1" si="48"/>
        <v>0</v>
      </c>
      <c r="CB33" s="176">
        <f t="shared" ca="1" si="48"/>
        <v>0</v>
      </c>
      <c r="CC33" s="176">
        <f t="shared" ca="1" si="48"/>
        <v>0</v>
      </c>
      <c r="CD33" s="176">
        <f t="shared" ca="1" si="48"/>
        <v>0</v>
      </c>
      <c r="CE33" s="176">
        <f t="shared" ca="1" si="48"/>
        <v>0</v>
      </c>
      <c r="CF33" s="176">
        <f t="shared" ca="1" si="48"/>
        <v>0</v>
      </c>
      <c r="CG33" s="176">
        <f t="shared" ca="1" si="48"/>
        <v>0</v>
      </c>
      <c r="CH33" s="176">
        <f t="shared" ca="1" si="48"/>
        <v>0</v>
      </c>
    </row>
    <row r="34" spans="1:86" s="32" customFormat="1" ht="13">
      <c r="A34" s="175" t="s">
        <v>346</v>
      </c>
      <c r="B34" s="176"/>
      <c r="C34" s="176"/>
      <c r="D34" s="176"/>
      <c r="E34" s="176"/>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c r="CC34" s="176"/>
      <c r="CD34" s="176"/>
      <c r="CE34" s="176"/>
      <c r="CF34" s="176"/>
      <c r="CG34" s="176"/>
      <c r="CH34" s="176"/>
    </row>
    <row r="35" spans="1:86" s="174" customFormat="1" ht="13">
      <c r="A35" s="175" t="s">
        <v>423</v>
      </c>
      <c r="B35" s="1103">
        <f ca="1">POWER(1+IRR(C33:CH33),12)-1</f>
        <v>0.31765524819423607</v>
      </c>
    </row>
    <row r="36" spans="1:86" s="174" customFormat="1" ht="13">
      <c r="A36" s="175" t="s">
        <v>424</v>
      </c>
      <c r="B36" s="192"/>
    </row>
    <row r="37" spans="1:86" s="174" customFormat="1" ht="13">
      <c r="A37" s="175" t="s">
        <v>425</v>
      </c>
      <c r="B37" s="191">
        <f ca="1">B31/SUM(B27:B28)</f>
        <v>1.3089450618594072</v>
      </c>
    </row>
    <row r="38" spans="1:86" s="174" customFormat="1" ht="13">
      <c r="A38" s="175" t="s">
        <v>426</v>
      </c>
      <c r="B38" s="191">
        <f ca="1">(B32-B29-B30)/SUM(B27:B28)</f>
        <v>0</v>
      </c>
    </row>
    <row r="39" spans="1:86" s="174" customFormat="1" ht="13.5">
      <c r="A39" s="186"/>
      <c r="B39" s="181"/>
      <c r="C39" s="181"/>
      <c r="AD39" s="2227"/>
    </row>
    <row r="40" spans="1:86">
      <c r="AC40" s="1112" t="s">
        <v>3063</v>
      </c>
      <c r="AD40" s="1113">
        <f>AD27</f>
        <v>0</v>
      </c>
    </row>
    <row r="41" spans="1:86">
      <c r="AC41" s="1114" t="s">
        <v>3064</v>
      </c>
      <c r="AD41" s="1115">
        <v>0.08</v>
      </c>
    </row>
    <row r="42" spans="1:86">
      <c r="AC42" s="1112" t="s">
        <v>3065</v>
      </c>
      <c r="AD42" s="1116">
        <v>44711</v>
      </c>
    </row>
    <row r="43" spans="1:86">
      <c r="AC43" s="1112" t="s">
        <v>3066</v>
      </c>
      <c r="AD43" s="1116">
        <v>44742</v>
      </c>
    </row>
    <row r="44" spans="1:86">
      <c r="AC44" s="1112" t="s">
        <v>3067</v>
      </c>
      <c r="AD44" s="1114">
        <f>AD43-AD42</f>
        <v>31</v>
      </c>
    </row>
    <row r="45" spans="1:86">
      <c r="AC45" s="1112" t="s">
        <v>3068</v>
      </c>
      <c r="AD45" s="1117">
        <f>AD40*AD41/365*AD44</f>
        <v>0</v>
      </c>
    </row>
  </sheetData>
  <mergeCells count="1">
    <mergeCell ref="A25:A26"/>
  </mergeCells>
  <phoneticPr fontId="19"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B3D7"/>
  </sheetPr>
  <dimension ref="A1:IV155"/>
  <sheetViews>
    <sheetView zoomScale="70" zoomScaleNormal="70" workbookViewId="0">
      <pane xSplit="2" ySplit="2" topLeftCell="C3" activePane="bottomRight" state="frozen"/>
      <selection pane="topRight" activeCell="C1" sqref="C1"/>
      <selection pane="bottomLeft" activeCell="A3" sqref="A3"/>
      <selection pane="bottomRight" activeCell="C3" sqref="C3"/>
    </sheetView>
  </sheetViews>
  <sheetFormatPr defaultColWidth="9" defaultRowHeight="15.5"/>
  <cols>
    <col min="1" max="1" width="17.08203125" style="117" customWidth="1"/>
    <col min="2" max="2" width="9.08203125" style="118" customWidth="1"/>
    <col min="3" max="3" width="11.33203125" style="117" customWidth="1"/>
    <col min="4" max="4" width="8.6640625" style="117" hidden="1" customWidth="1"/>
    <col min="5" max="5" width="9.33203125" style="117" hidden="1" customWidth="1"/>
    <col min="6" max="6" width="8.6640625" style="117" hidden="1" customWidth="1"/>
    <col min="7" max="7" width="9.33203125" style="117" hidden="1" customWidth="1"/>
    <col min="8" max="8" width="8.6640625" style="117" hidden="1" customWidth="1"/>
    <col min="9" max="9" width="10.1640625" style="117" hidden="1" customWidth="1"/>
    <col min="10" max="11" width="8.6640625" style="117" hidden="1" customWidth="1"/>
    <col min="12" max="12" width="9" style="117" hidden="1" customWidth="1"/>
    <col min="13" max="13" width="8.6640625" style="117" hidden="1" customWidth="1"/>
    <col min="14" max="14" width="9.5" style="117" hidden="1" customWidth="1"/>
    <col min="15" max="15" width="8.6640625" style="117" hidden="1" customWidth="1"/>
    <col min="16" max="16" width="9.5" style="117" hidden="1" customWidth="1"/>
    <col min="17" max="18" width="9.08203125" style="117" hidden="1" customWidth="1"/>
    <col min="19" max="19" width="9.5" style="117" hidden="1" customWidth="1"/>
    <col min="20" max="20" width="9.33203125" style="117" hidden="1" customWidth="1"/>
    <col min="21" max="21" width="9.08203125" style="117" hidden="1" customWidth="1"/>
    <col min="22" max="22" width="9" style="117" hidden="1" customWidth="1"/>
    <col min="23" max="23" width="9.5" style="117" hidden="1" customWidth="1"/>
    <col min="24" max="24" width="9" style="117" hidden="1" customWidth="1"/>
    <col min="25" max="25" width="11.33203125" style="117" hidden="1" customWidth="1"/>
    <col min="26" max="32" width="9" style="117" hidden="1" customWidth="1"/>
    <col min="33" max="44" width="9" style="117" customWidth="1"/>
    <col min="45" max="46" width="9.33203125" style="117" customWidth="1"/>
    <col min="47" max="256" width="9" style="117" customWidth="1"/>
  </cols>
  <sheetData>
    <row r="1" spans="1:256">
      <c r="A1" s="119" t="s">
        <v>2943</v>
      </c>
      <c r="B1" s="120"/>
      <c r="C1" s="120"/>
      <c r="D1" s="121" t="s">
        <v>237</v>
      </c>
      <c r="E1" s="121" t="s">
        <v>237</v>
      </c>
      <c r="F1" s="121" t="s">
        <v>2944</v>
      </c>
      <c r="G1" s="121" t="s">
        <v>2944</v>
      </c>
      <c r="H1" s="121" t="s">
        <v>2945</v>
      </c>
      <c r="I1" s="121" t="s">
        <v>2945</v>
      </c>
      <c r="J1" s="121" t="s">
        <v>239</v>
      </c>
      <c r="K1" s="121" t="s">
        <v>239</v>
      </c>
      <c r="L1" s="121" t="s">
        <v>239</v>
      </c>
      <c r="M1" s="121" t="s">
        <v>239</v>
      </c>
      <c r="N1" s="121" t="s">
        <v>240</v>
      </c>
      <c r="O1" s="121" t="s">
        <v>240</v>
      </c>
      <c r="P1" s="121" t="s">
        <v>240</v>
      </c>
      <c r="Q1" s="121" t="s">
        <v>240</v>
      </c>
      <c r="R1" s="121" t="s">
        <v>241</v>
      </c>
      <c r="S1" s="121" t="s">
        <v>241</v>
      </c>
      <c r="T1" s="121" t="s">
        <v>241</v>
      </c>
      <c r="U1" s="121" t="s">
        <v>241</v>
      </c>
      <c r="V1" s="121" t="s">
        <v>242</v>
      </c>
      <c r="W1" s="121" t="s">
        <v>242</v>
      </c>
      <c r="X1" s="121" t="s">
        <v>244</v>
      </c>
      <c r="Y1" s="121" t="s">
        <v>244</v>
      </c>
      <c r="Z1" s="121" t="s">
        <v>244</v>
      </c>
      <c r="AA1" s="121" t="s">
        <v>244</v>
      </c>
      <c r="AB1" s="121" t="s">
        <v>244</v>
      </c>
      <c r="AC1" s="121" t="s">
        <v>244</v>
      </c>
      <c r="AD1" s="121" t="s">
        <v>244</v>
      </c>
      <c r="AE1" s="121" t="s">
        <v>244</v>
      </c>
      <c r="AF1" s="121" t="s">
        <v>244</v>
      </c>
      <c r="AG1" s="121" t="s">
        <v>244</v>
      </c>
      <c r="AH1" s="121" t="s">
        <v>244</v>
      </c>
      <c r="AI1" s="121" t="s">
        <v>244</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4220</v>
      </c>
      <c r="AV1" s="121" t="s">
        <v>4221</v>
      </c>
      <c r="AW1" s="121" t="s">
        <v>4221</v>
      </c>
      <c r="AX1" s="121" t="s">
        <v>4221</v>
      </c>
      <c r="AY1" s="121" t="s">
        <v>4221</v>
      </c>
      <c r="AZ1" s="121" t="s">
        <v>4221</v>
      </c>
      <c r="BA1" s="121" t="s">
        <v>4221</v>
      </c>
      <c r="BB1" s="121" t="s">
        <v>4221</v>
      </c>
      <c r="BC1" s="121" t="s">
        <v>4221</v>
      </c>
      <c r="BD1" s="121" t="s">
        <v>4221</v>
      </c>
      <c r="BE1" s="121" t="s">
        <v>4221</v>
      </c>
      <c r="BF1" s="121" t="s">
        <v>4221</v>
      </c>
      <c r="BG1" s="121" t="s">
        <v>4221</v>
      </c>
      <c r="BH1" s="121" t="s">
        <v>4246</v>
      </c>
      <c r="BI1" s="121" t="s">
        <v>4246</v>
      </c>
      <c r="BJ1" s="121" t="s">
        <v>4246</v>
      </c>
      <c r="BK1" s="121" t="s">
        <v>4246</v>
      </c>
      <c r="BL1" s="121" t="s">
        <v>4221</v>
      </c>
      <c r="BM1" s="121" t="s">
        <v>4221</v>
      </c>
      <c r="BN1" s="121" t="s">
        <v>4246</v>
      </c>
      <c r="BO1" s="121" t="s">
        <v>4246</v>
      </c>
      <c r="BP1" s="121" t="s">
        <v>4246</v>
      </c>
      <c r="BQ1" s="121" t="s">
        <v>4246</v>
      </c>
    </row>
    <row r="2" spans="1:256">
      <c r="A2" s="122"/>
      <c r="B2" s="120"/>
      <c r="C2" s="120" t="s">
        <v>2946</v>
      </c>
      <c r="D2" s="123" t="s">
        <v>2947</v>
      </c>
      <c r="E2" s="123" t="s">
        <v>2948</v>
      </c>
      <c r="F2" s="123" t="s">
        <v>821</v>
      </c>
      <c r="G2" s="123" t="s">
        <v>822</v>
      </c>
      <c r="H2" s="123" t="s">
        <v>2949</v>
      </c>
      <c r="I2" s="123" t="s">
        <v>2950</v>
      </c>
      <c r="J2" s="123" t="s">
        <v>2951</v>
      </c>
      <c r="K2" s="123" t="s">
        <v>2952</v>
      </c>
      <c r="L2" s="123" t="s">
        <v>2953</v>
      </c>
      <c r="M2" s="123" t="s">
        <v>2954</v>
      </c>
      <c r="N2" s="123" t="s">
        <v>2955</v>
      </c>
      <c r="O2" s="123" t="s">
        <v>2956</v>
      </c>
      <c r="P2" s="123" t="s">
        <v>2957</v>
      </c>
      <c r="Q2" s="123" t="s">
        <v>2958</v>
      </c>
      <c r="R2" s="123" t="s">
        <v>2959</v>
      </c>
      <c r="S2" s="123" t="s">
        <v>2960</v>
      </c>
      <c r="T2" s="123" t="s">
        <v>2961</v>
      </c>
      <c r="U2" s="123" t="s">
        <v>2962</v>
      </c>
      <c r="V2" s="123" t="s">
        <v>2963</v>
      </c>
      <c r="W2" s="123" t="s">
        <v>2964</v>
      </c>
      <c r="X2" s="123" t="s">
        <v>4208</v>
      </c>
      <c r="Y2" s="123" t="s">
        <v>4209</v>
      </c>
      <c r="Z2" s="123" t="s">
        <v>4210</v>
      </c>
      <c r="AA2" s="123" t="s">
        <v>4211</v>
      </c>
      <c r="AB2" s="123" t="s">
        <v>4212</v>
      </c>
      <c r="AC2" s="123" t="s">
        <v>4213</v>
      </c>
      <c r="AD2" s="123" t="s">
        <v>4214</v>
      </c>
      <c r="AE2" s="123" t="s">
        <v>4215</v>
      </c>
      <c r="AF2" s="123" t="s">
        <v>4216</v>
      </c>
      <c r="AG2" s="123" t="s">
        <v>4217</v>
      </c>
      <c r="AH2" s="123" t="s">
        <v>4218</v>
      </c>
      <c r="AI2" s="123" t="s">
        <v>4219</v>
      </c>
      <c r="AJ2" s="123" t="s">
        <v>4222</v>
      </c>
      <c r="AK2" s="123" t="s">
        <v>4223</v>
      </c>
      <c r="AL2" s="123" t="s">
        <v>4224</v>
      </c>
      <c r="AM2" s="123" t="s">
        <v>4225</v>
      </c>
      <c r="AN2" s="123" t="s">
        <v>4226</v>
      </c>
      <c r="AO2" s="123" t="s">
        <v>4227</v>
      </c>
      <c r="AP2" s="123" t="s">
        <v>4228</v>
      </c>
      <c r="AQ2" s="123" t="s">
        <v>4229</v>
      </c>
      <c r="AR2" s="123" t="s">
        <v>4230</v>
      </c>
      <c r="AS2" s="123" t="s">
        <v>4231</v>
      </c>
      <c r="AT2" s="123" t="s">
        <v>4232</v>
      </c>
      <c r="AU2" s="123" t="s">
        <v>4233</v>
      </c>
      <c r="AV2" s="123" t="s">
        <v>4234</v>
      </c>
      <c r="AW2" s="123" t="s">
        <v>4235</v>
      </c>
      <c r="AX2" s="123" t="s">
        <v>4236</v>
      </c>
      <c r="AY2" s="123" t="s">
        <v>4237</v>
      </c>
      <c r="AZ2" s="123" t="s">
        <v>4238</v>
      </c>
      <c r="BA2" s="123" t="s">
        <v>4239</v>
      </c>
      <c r="BB2" s="123" t="s">
        <v>4240</v>
      </c>
      <c r="BC2" s="123" t="s">
        <v>4241</v>
      </c>
      <c r="BD2" s="123" t="s">
        <v>4242</v>
      </c>
      <c r="BE2" s="123" t="s">
        <v>4243</v>
      </c>
      <c r="BF2" s="123" t="s">
        <v>4244</v>
      </c>
      <c r="BG2" s="123" t="s">
        <v>4245</v>
      </c>
      <c r="BH2" s="123" t="s">
        <v>4247</v>
      </c>
      <c r="BI2" s="123" t="s">
        <v>4248</v>
      </c>
      <c r="BJ2" s="123" t="s">
        <v>4249</v>
      </c>
      <c r="BK2" s="123" t="s">
        <v>4250</v>
      </c>
      <c r="BL2" s="123" t="s">
        <v>4251</v>
      </c>
      <c r="BM2" s="123" t="s">
        <v>4252</v>
      </c>
      <c r="BN2" s="123" t="s">
        <v>4253</v>
      </c>
      <c r="BO2" s="123" t="s">
        <v>4254</v>
      </c>
      <c r="BP2" s="123" t="s">
        <v>4255</v>
      </c>
      <c r="BQ2" s="123" t="s">
        <v>4256</v>
      </c>
    </row>
    <row r="3" spans="1:256">
      <c r="A3" s="124" t="s">
        <v>2965</v>
      </c>
      <c r="B3" s="124" t="s">
        <v>2966</v>
      </c>
      <c r="C3" s="124">
        <f>C6+C33+C45</f>
        <v>137382.56</v>
      </c>
      <c r="D3" s="124">
        <f t="shared" ref="D3:AS3" si="0">D6+D33+D45</f>
        <v>0</v>
      </c>
      <c r="E3" s="124">
        <f t="shared" si="0"/>
        <v>0</v>
      </c>
      <c r="F3" s="124">
        <f t="shared" si="0"/>
        <v>0</v>
      </c>
      <c r="G3" s="124">
        <f t="shared" si="0"/>
        <v>0</v>
      </c>
      <c r="H3" s="124">
        <f t="shared" si="0"/>
        <v>0</v>
      </c>
      <c r="I3" s="124">
        <f t="shared" si="0"/>
        <v>0</v>
      </c>
      <c r="J3" s="124">
        <f t="shared" si="0"/>
        <v>0</v>
      </c>
      <c r="K3" s="124">
        <f t="shared" si="0"/>
        <v>0</v>
      </c>
      <c r="L3" s="124">
        <f t="shared" si="0"/>
        <v>0</v>
      </c>
      <c r="M3" s="124">
        <f t="shared" si="0"/>
        <v>0</v>
      </c>
      <c r="N3" s="124">
        <f t="shared" si="0"/>
        <v>0</v>
      </c>
      <c r="O3" s="124">
        <f t="shared" si="0"/>
        <v>0</v>
      </c>
      <c r="P3" s="124">
        <f t="shared" si="0"/>
        <v>0</v>
      </c>
      <c r="Q3" s="124">
        <f t="shared" si="0"/>
        <v>0</v>
      </c>
      <c r="R3" s="124">
        <f t="shared" si="0"/>
        <v>0</v>
      </c>
      <c r="S3" s="124">
        <f t="shared" si="0"/>
        <v>0</v>
      </c>
      <c r="T3" s="124">
        <f t="shared" si="0"/>
        <v>0</v>
      </c>
      <c r="U3" s="124">
        <f t="shared" si="0"/>
        <v>0</v>
      </c>
      <c r="V3" s="124">
        <f t="shared" si="0"/>
        <v>0</v>
      </c>
      <c r="W3" s="124">
        <f t="shared" si="0"/>
        <v>0</v>
      </c>
      <c r="X3" s="124">
        <f t="shared" si="0"/>
        <v>0</v>
      </c>
      <c r="Y3" s="1034">
        <f t="shared" si="0"/>
        <v>0</v>
      </c>
      <c r="Z3" s="124">
        <f t="shared" si="0"/>
        <v>0</v>
      </c>
      <c r="AA3" s="124">
        <f t="shared" si="0"/>
        <v>0</v>
      </c>
      <c r="AB3" s="124">
        <f t="shared" si="0"/>
        <v>0</v>
      </c>
      <c r="AC3" s="124">
        <f t="shared" si="0"/>
        <v>0</v>
      </c>
      <c r="AD3" s="124">
        <f>AD6+AD33+AD45</f>
        <v>0</v>
      </c>
      <c r="AE3" s="124">
        <f t="shared" si="0"/>
        <v>0</v>
      </c>
      <c r="AF3" s="124">
        <f t="shared" si="0"/>
        <v>0</v>
      </c>
      <c r="AG3" s="124">
        <f t="shared" si="0"/>
        <v>16600</v>
      </c>
      <c r="AH3" s="124">
        <f t="shared" si="0"/>
        <v>4000</v>
      </c>
      <c r="AI3" s="124">
        <f t="shared" si="0"/>
        <v>8350</v>
      </c>
      <c r="AJ3" s="124">
        <f t="shared" si="0"/>
        <v>3500</v>
      </c>
      <c r="AK3" s="124">
        <f t="shared" si="0"/>
        <v>5000</v>
      </c>
      <c r="AL3" s="124">
        <f t="shared" si="0"/>
        <v>7900</v>
      </c>
      <c r="AM3" s="124">
        <f t="shared" si="0"/>
        <v>6200</v>
      </c>
      <c r="AN3" s="124">
        <f t="shared" si="0"/>
        <v>7200</v>
      </c>
      <c r="AO3" s="124">
        <f t="shared" si="0"/>
        <v>6000</v>
      </c>
      <c r="AP3" s="124">
        <f t="shared" si="0"/>
        <v>6850</v>
      </c>
      <c r="AQ3" s="124">
        <f t="shared" si="0"/>
        <v>6350</v>
      </c>
      <c r="AR3" s="124">
        <f t="shared" si="0"/>
        <v>6300</v>
      </c>
      <c r="AS3" s="124">
        <f t="shared" si="0"/>
        <v>7900</v>
      </c>
      <c r="AT3" s="124">
        <f t="shared" ref="AT3:BQ3" si="1">AT6+AT33+AT45</f>
        <v>6100</v>
      </c>
      <c r="AU3" s="124">
        <f t="shared" si="1"/>
        <v>7132.8799999999974</v>
      </c>
      <c r="AV3" s="124">
        <f t="shared" si="1"/>
        <v>6100</v>
      </c>
      <c r="AW3" s="124">
        <f t="shared" si="1"/>
        <v>2900</v>
      </c>
      <c r="AX3" s="124">
        <f t="shared" si="1"/>
        <v>5774.3799999999974</v>
      </c>
      <c r="AY3" s="124">
        <f t="shared" si="1"/>
        <v>1400</v>
      </c>
      <c r="AZ3" s="124">
        <f t="shared" si="1"/>
        <v>1300</v>
      </c>
      <c r="BA3" s="124">
        <f t="shared" si="1"/>
        <v>1300</v>
      </c>
      <c r="BB3" s="124">
        <f t="shared" si="1"/>
        <v>1400</v>
      </c>
      <c r="BC3" s="124">
        <f t="shared" si="1"/>
        <v>1400</v>
      </c>
      <c r="BD3" s="124">
        <f t="shared" si="1"/>
        <v>1400</v>
      </c>
      <c r="BE3" s="124">
        <f t="shared" si="1"/>
        <v>3000</v>
      </c>
      <c r="BF3" s="124">
        <f t="shared" si="1"/>
        <v>3000</v>
      </c>
      <c r="BG3" s="124">
        <f t="shared" si="1"/>
        <v>3025.3000000000029</v>
      </c>
      <c r="BH3" s="124">
        <f t="shared" si="1"/>
        <v>0</v>
      </c>
      <c r="BI3" s="124">
        <f t="shared" si="1"/>
        <v>0</v>
      </c>
      <c r="BJ3" s="124">
        <f t="shared" si="1"/>
        <v>0</v>
      </c>
      <c r="BK3" s="124">
        <f t="shared" si="1"/>
        <v>0</v>
      </c>
      <c r="BL3" s="124">
        <f t="shared" si="1"/>
        <v>0</v>
      </c>
      <c r="BM3" s="124">
        <f t="shared" si="1"/>
        <v>0</v>
      </c>
      <c r="BN3" s="124">
        <f t="shared" si="1"/>
        <v>0</v>
      </c>
      <c r="BO3" s="124">
        <f t="shared" si="1"/>
        <v>0</v>
      </c>
      <c r="BP3" s="124">
        <f t="shared" si="1"/>
        <v>0</v>
      </c>
      <c r="BQ3" s="124">
        <f t="shared" si="1"/>
        <v>0</v>
      </c>
    </row>
    <row r="4" spans="1:256">
      <c r="A4" s="124"/>
      <c r="B4" s="124" t="s">
        <v>2967</v>
      </c>
      <c r="C4" s="124">
        <f>IF(C3&gt;0,C5/C3*10000,0)</f>
        <v>10102.328002186012</v>
      </c>
      <c r="D4" s="124">
        <f t="shared" ref="D4:AS4" si="2">IF(D3&gt;0,D5/D3*10000,0)</f>
        <v>0</v>
      </c>
      <c r="E4" s="124">
        <f t="shared" si="2"/>
        <v>0</v>
      </c>
      <c r="F4" s="124">
        <f t="shared" si="2"/>
        <v>0</v>
      </c>
      <c r="G4" s="124">
        <f t="shared" si="2"/>
        <v>0</v>
      </c>
      <c r="H4" s="124">
        <f t="shared" si="2"/>
        <v>0</v>
      </c>
      <c r="I4" s="124">
        <f t="shared" si="2"/>
        <v>0</v>
      </c>
      <c r="J4" s="124">
        <f t="shared" si="2"/>
        <v>0</v>
      </c>
      <c r="K4" s="124">
        <f t="shared" si="2"/>
        <v>0</v>
      </c>
      <c r="L4" s="124">
        <f t="shared" si="2"/>
        <v>0</v>
      </c>
      <c r="M4" s="124">
        <f t="shared" si="2"/>
        <v>0</v>
      </c>
      <c r="N4" s="124">
        <f t="shared" si="2"/>
        <v>0</v>
      </c>
      <c r="O4" s="124">
        <f t="shared" si="2"/>
        <v>0</v>
      </c>
      <c r="P4" s="124">
        <f t="shared" si="2"/>
        <v>0</v>
      </c>
      <c r="Q4" s="124">
        <f t="shared" si="2"/>
        <v>0</v>
      </c>
      <c r="R4" s="124">
        <f t="shared" si="2"/>
        <v>0</v>
      </c>
      <c r="S4" s="124">
        <f t="shared" si="2"/>
        <v>0</v>
      </c>
      <c r="T4" s="124">
        <f t="shared" si="2"/>
        <v>0</v>
      </c>
      <c r="U4" s="124">
        <f t="shared" si="2"/>
        <v>0</v>
      </c>
      <c r="V4" s="124">
        <f t="shared" si="2"/>
        <v>0</v>
      </c>
      <c r="W4" s="124">
        <f t="shared" si="2"/>
        <v>0</v>
      </c>
      <c r="X4" s="124">
        <f t="shared" si="2"/>
        <v>0</v>
      </c>
      <c r="Y4" s="1034">
        <f t="shared" si="2"/>
        <v>0</v>
      </c>
      <c r="Z4" s="124">
        <f t="shared" si="2"/>
        <v>0</v>
      </c>
      <c r="AA4" s="124">
        <f t="shared" si="2"/>
        <v>0</v>
      </c>
      <c r="AB4" s="124">
        <f t="shared" si="2"/>
        <v>0</v>
      </c>
      <c r="AC4" s="124">
        <f t="shared" si="2"/>
        <v>0</v>
      </c>
      <c r="AD4" s="124">
        <f t="shared" si="2"/>
        <v>0</v>
      </c>
      <c r="AE4" s="124">
        <f t="shared" si="2"/>
        <v>0</v>
      </c>
      <c r="AF4" s="124">
        <f t="shared" si="2"/>
        <v>0</v>
      </c>
      <c r="AG4" s="124">
        <f t="shared" si="2"/>
        <v>12049.879518072288</v>
      </c>
      <c r="AH4" s="124">
        <f t="shared" si="2"/>
        <v>12175</v>
      </c>
      <c r="AI4" s="124">
        <f t="shared" si="2"/>
        <v>12172.754491017962</v>
      </c>
      <c r="AJ4" s="124">
        <f t="shared" si="2"/>
        <v>11992.857142857143</v>
      </c>
      <c r="AK4" s="124">
        <f t="shared" si="2"/>
        <v>12170</v>
      </c>
      <c r="AL4" s="124">
        <f t="shared" si="2"/>
        <v>8465.7088607594924</v>
      </c>
      <c r="AM4" s="124">
        <f t="shared" si="2"/>
        <v>10579.806451612903</v>
      </c>
      <c r="AN4" s="124">
        <f t="shared" si="2"/>
        <v>10957.611111111109</v>
      </c>
      <c r="AO4" s="124">
        <f t="shared" si="2"/>
        <v>11095.8</v>
      </c>
      <c r="AP4" s="124">
        <f t="shared" si="2"/>
        <v>11083.182481751823</v>
      </c>
      <c r="AQ4" s="124">
        <f t="shared" si="2"/>
        <v>10924.377952755904</v>
      </c>
      <c r="AR4" s="124">
        <f t="shared" si="2"/>
        <v>10792.825396825396</v>
      </c>
      <c r="AS4" s="124">
        <f t="shared" si="2"/>
        <v>11335.784810126583</v>
      </c>
      <c r="AT4" s="124">
        <f t="shared" ref="AT4:BQ4" si="3">IF(AT3&gt;0,AT5/AT3*10000,0)</f>
        <v>11541.147540983606</v>
      </c>
      <c r="AU4" s="124">
        <f t="shared" si="3"/>
        <v>10965.096146297146</v>
      </c>
      <c r="AV4" s="124">
        <f t="shared" si="3"/>
        <v>11686.377049180328</v>
      </c>
      <c r="AW4" s="124">
        <f t="shared" si="3"/>
        <v>12183.310344827585</v>
      </c>
      <c r="AX4" s="124">
        <f t="shared" si="3"/>
        <v>10886.704581271062</v>
      </c>
      <c r="AY4" s="124">
        <f t="shared" si="3"/>
        <v>2079</v>
      </c>
      <c r="AZ4" s="124">
        <f t="shared" si="3"/>
        <v>2078.9999999999995</v>
      </c>
      <c r="BA4" s="124">
        <f t="shared" si="3"/>
        <v>2078.9999999999995</v>
      </c>
      <c r="BB4" s="124">
        <f t="shared" si="3"/>
        <v>2079</v>
      </c>
      <c r="BC4" s="124">
        <f t="shared" si="3"/>
        <v>2079</v>
      </c>
      <c r="BD4" s="124">
        <f t="shared" si="3"/>
        <v>2079</v>
      </c>
      <c r="BE4" s="124">
        <f t="shared" si="3"/>
        <v>2079</v>
      </c>
      <c r="BF4" s="124">
        <f t="shared" si="3"/>
        <v>2079</v>
      </c>
      <c r="BG4" s="124">
        <f t="shared" si="3"/>
        <v>2079</v>
      </c>
      <c r="BH4" s="124">
        <f t="shared" si="3"/>
        <v>0</v>
      </c>
      <c r="BI4" s="124">
        <f t="shared" si="3"/>
        <v>0</v>
      </c>
      <c r="BJ4" s="124">
        <f t="shared" si="3"/>
        <v>0</v>
      </c>
      <c r="BK4" s="124">
        <f t="shared" si="3"/>
        <v>0</v>
      </c>
      <c r="BL4" s="124">
        <f t="shared" si="3"/>
        <v>0</v>
      </c>
      <c r="BM4" s="124">
        <f t="shared" si="3"/>
        <v>0</v>
      </c>
      <c r="BN4" s="124">
        <f t="shared" si="3"/>
        <v>0</v>
      </c>
      <c r="BO4" s="124">
        <f t="shared" si="3"/>
        <v>0</v>
      </c>
      <c r="BP4" s="124">
        <f t="shared" si="3"/>
        <v>0</v>
      </c>
      <c r="BQ4" s="124">
        <f t="shared" si="3"/>
        <v>0</v>
      </c>
    </row>
    <row r="5" spans="1:256">
      <c r="A5" s="124"/>
      <c r="B5" s="124" t="s">
        <v>2968</v>
      </c>
      <c r="C5" s="124">
        <f>C8+C35+C47</f>
        <v>138788.36828999998</v>
      </c>
      <c r="D5" s="124">
        <f t="shared" ref="D5:AS5" si="4">D8+D35+D47</f>
        <v>0</v>
      </c>
      <c r="E5" s="124">
        <f t="shared" si="4"/>
        <v>0</v>
      </c>
      <c r="F5" s="124">
        <f t="shared" si="4"/>
        <v>0</v>
      </c>
      <c r="G5" s="124">
        <f t="shared" si="4"/>
        <v>0</v>
      </c>
      <c r="H5" s="124">
        <f t="shared" si="4"/>
        <v>0</v>
      </c>
      <c r="I5" s="124">
        <f t="shared" si="4"/>
        <v>0</v>
      </c>
      <c r="J5" s="124">
        <f t="shared" si="4"/>
        <v>0</v>
      </c>
      <c r="K5" s="124">
        <f t="shared" si="4"/>
        <v>0</v>
      </c>
      <c r="L5" s="124">
        <f t="shared" si="4"/>
        <v>0</v>
      </c>
      <c r="M5" s="124">
        <f t="shared" si="4"/>
        <v>0</v>
      </c>
      <c r="N5" s="124">
        <f t="shared" si="4"/>
        <v>0</v>
      </c>
      <c r="O5" s="124">
        <f t="shared" si="4"/>
        <v>0</v>
      </c>
      <c r="P5" s="124">
        <f t="shared" si="4"/>
        <v>0</v>
      </c>
      <c r="Q5" s="124">
        <f t="shared" si="4"/>
        <v>0</v>
      </c>
      <c r="R5" s="124">
        <f t="shared" si="4"/>
        <v>0</v>
      </c>
      <c r="S5" s="124">
        <f t="shared" si="4"/>
        <v>0</v>
      </c>
      <c r="T5" s="124">
        <f t="shared" si="4"/>
        <v>0</v>
      </c>
      <c r="U5" s="124">
        <f t="shared" si="4"/>
        <v>0</v>
      </c>
      <c r="V5" s="124">
        <f t="shared" si="4"/>
        <v>0</v>
      </c>
      <c r="W5" s="124">
        <f t="shared" si="4"/>
        <v>0</v>
      </c>
      <c r="X5" s="124">
        <f t="shared" si="4"/>
        <v>0</v>
      </c>
      <c r="Y5" s="1034">
        <f t="shared" si="4"/>
        <v>0</v>
      </c>
      <c r="Z5" s="124">
        <f t="shared" si="4"/>
        <v>0</v>
      </c>
      <c r="AA5" s="124">
        <f t="shared" si="4"/>
        <v>0</v>
      </c>
      <c r="AB5" s="124">
        <f t="shared" si="4"/>
        <v>0</v>
      </c>
      <c r="AC5" s="124">
        <f t="shared" si="4"/>
        <v>0</v>
      </c>
      <c r="AD5" s="124">
        <f t="shared" si="4"/>
        <v>0</v>
      </c>
      <c r="AE5" s="124">
        <f t="shared" si="4"/>
        <v>0</v>
      </c>
      <c r="AF5" s="124">
        <f t="shared" si="4"/>
        <v>0</v>
      </c>
      <c r="AG5" s="124">
        <f t="shared" si="4"/>
        <v>20002.8</v>
      </c>
      <c r="AH5" s="124">
        <f t="shared" si="4"/>
        <v>4870</v>
      </c>
      <c r="AI5" s="124">
        <f t="shared" si="4"/>
        <v>10164.25</v>
      </c>
      <c r="AJ5" s="124">
        <f t="shared" si="4"/>
        <v>4197.5</v>
      </c>
      <c r="AK5" s="124">
        <f t="shared" si="4"/>
        <v>6085</v>
      </c>
      <c r="AL5" s="124">
        <f t="shared" si="4"/>
        <v>6687.91</v>
      </c>
      <c r="AM5" s="124">
        <f t="shared" si="4"/>
        <v>6559.48</v>
      </c>
      <c r="AN5" s="124">
        <f t="shared" si="4"/>
        <v>7889.48</v>
      </c>
      <c r="AO5" s="124">
        <f t="shared" si="4"/>
        <v>6657.48</v>
      </c>
      <c r="AP5" s="124">
        <f t="shared" si="4"/>
        <v>7591.98</v>
      </c>
      <c r="AQ5" s="124">
        <f t="shared" si="4"/>
        <v>6936.98</v>
      </c>
      <c r="AR5" s="124">
        <f t="shared" si="4"/>
        <v>6799.48</v>
      </c>
      <c r="AS5" s="124">
        <f t="shared" si="4"/>
        <v>8955.27</v>
      </c>
      <c r="AT5" s="124">
        <f t="shared" ref="AT5:BQ5" si="5">AT8+AT35+AT47</f>
        <v>7040.0999999999995</v>
      </c>
      <c r="AU5" s="124">
        <f t="shared" si="5"/>
        <v>7821.2714999999962</v>
      </c>
      <c r="AV5" s="124">
        <f t="shared" si="5"/>
        <v>7128.69</v>
      </c>
      <c r="AW5" s="124">
        <f t="shared" si="5"/>
        <v>3533.16</v>
      </c>
      <c r="AX5" s="124">
        <f t="shared" si="5"/>
        <v>6286.3969199999965</v>
      </c>
      <c r="AY5" s="124">
        <f t="shared" si="5"/>
        <v>291.06</v>
      </c>
      <c r="AZ5" s="124">
        <f t="shared" si="5"/>
        <v>270.27</v>
      </c>
      <c r="BA5" s="124">
        <f t="shared" si="5"/>
        <v>270.27</v>
      </c>
      <c r="BB5" s="124">
        <f t="shared" si="5"/>
        <v>291.06</v>
      </c>
      <c r="BC5" s="124">
        <f t="shared" si="5"/>
        <v>291.06</v>
      </c>
      <c r="BD5" s="124">
        <f t="shared" si="5"/>
        <v>291.06</v>
      </c>
      <c r="BE5" s="124">
        <f t="shared" si="5"/>
        <v>623.70000000000005</v>
      </c>
      <c r="BF5" s="124">
        <f t="shared" si="5"/>
        <v>623.70000000000005</v>
      </c>
      <c r="BG5" s="124">
        <f t="shared" si="5"/>
        <v>628.95987000000059</v>
      </c>
      <c r="BH5" s="124">
        <f t="shared" si="5"/>
        <v>0</v>
      </c>
      <c r="BI5" s="124">
        <f t="shared" si="5"/>
        <v>0</v>
      </c>
      <c r="BJ5" s="124">
        <f t="shared" si="5"/>
        <v>0</v>
      </c>
      <c r="BK5" s="124">
        <f t="shared" si="5"/>
        <v>0</v>
      </c>
      <c r="BL5" s="124">
        <f t="shared" si="5"/>
        <v>0</v>
      </c>
      <c r="BM5" s="124">
        <f t="shared" si="5"/>
        <v>0</v>
      </c>
      <c r="BN5" s="124">
        <f t="shared" si="5"/>
        <v>0</v>
      </c>
      <c r="BO5" s="124">
        <f t="shared" si="5"/>
        <v>0</v>
      </c>
      <c r="BP5" s="124">
        <f t="shared" si="5"/>
        <v>0</v>
      </c>
      <c r="BQ5" s="124">
        <f t="shared" si="5"/>
        <v>0</v>
      </c>
    </row>
    <row r="6" spans="1:256">
      <c r="A6" s="125" t="s">
        <v>151</v>
      </c>
      <c r="B6" s="120" t="s">
        <v>255</v>
      </c>
      <c r="C6" s="122">
        <f>SUMIF($B9:$B32,$B6,C9:C32)</f>
        <v>137382.56</v>
      </c>
      <c r="D6" s="122">
        <f t="shared" ref="D6:H6" si="6">SUMIF($B9:$B32,$B6,D9:D32)</f>
        <v>0</v>
      </c>
      <c r="E6" s="122">
        <f t="shared" si="6"/>
        <v>0</v>
      </c>
      <c r="F6" s="122">
        <f t="shared" si="6"/>
        <v>0</v>
      </c>
      <c r="G6" s="122">
        <f t="shared" si="6"/>
        <v>0</v>
      </c>
      <c r="H6" s="122">
        <f t="shared" si="6"/>
        <v>0</v>
      </c>
      <c r="I6" s="122">
        <f t="shared" ref="I6:AS6" si="7">SUMIF($B9:$B32,$B6,I9:I32)</f>
        <v>0</v>
      </c>
      <c r="J6" s="122">
        <f t="shared" si="7"/>
        <v>0</v>
      </c>
      <c r="K6" s="122">
        <f t="shared" si="7"/>
        <v>0</v>
      </c>
      <c r="L6" s="122">
        <f t="shared" si="7"/>
        <v>0</v>
      </c>
      <c r="M6" s="122">
        <f t="shared" si="7"/>
        <v>0</v>
      </c>
      <c r="N6" s="122">
        <f t="shared" si="7"/>
        <v>0</v>
      </c>
      <c r="O6" s="122">
        <f t="shared" si="7"/>
        <v>0</v>
      </c>
      <c r="P6" s="122">
        <f t="shared" si="7"/>
        <v>0</v>
      </c>
      <c r="Q6" s="122">
        <f t="shared" si="7"/>
        <v>0</v>
      </c>
      <c r="R6" s="122">
        <f t="shared" si="7"/>
        <v>0</v>
      </c>
      <c r="S6" s="122">
        <f t="shared" si="7"/>
        <v>0</v>
      </c>
      <c r="T6" s="122">
        <f t="shared" si="7"/>
        <v>0</v>
      </c>
      <c r="U6" s="122">
        <f t="shared" si="7"/>
        <v>0</v>
      </c>
      <c r="V6" s="122">
        <f t="shared" si="7"/>
        <v>0</v>
      </c>
      <c r="W6" s="122">
        <f>SUMIF($B9:$B32,$B6,W9:W32)</f>
        <v>0</v>
      </c>
      <c r="X6" s="122">
        <f>SUMIF($B9:$B32,$B6,X9:X32)</f>
        <v>0</v>
      </c>
      <c r="Y6" s="122">
        <f t="shared" si="7"/>
        <v>0</v>
      </c>
      <c r="Z6" s="122">
        <f t="shared" si="7"/>
        <v>0</v>
      </c>
      <c r="AA6" s="122">
        <f t="shared" si="7"/>
        <v>0</v>
      </c>
      <c r="AB6" s="122">
        <f t="shared" si="7"/>
        <v>0</v>
      </c>
      <c r="AC6" s="122">
        <f t="shared" si="7"/>
        <v>0</v>
      </c>
      <c r="AD6" s="122">
        <f t="shared" si="7"/>
        <v>0</v>
      </c>
      <c r="AE6" s="122">
        <f t="shared" si="7"/>
        <v>0</v>
      </c>
      <c r="AF6" s="122">
        <f t="shared" si="7"/>
        <v>0</v>
      </c>
      <c r="AG6" s="122">
        <f t="shared" si="7"/>
        <v>16600</v>
      </c>
      <c r="AH6" s="122">
        <f t="shared" si="7"/>
        <v>4000</v>
      </c>
      <c r="AI6" s="122">
        <f t="shared" si="7"/>
        <v>8350</v>
      </c>
      <c r="AJ6" s="122">
        <f t="shared" si="7"/>
        <v>3500</v>
      </c>
      <c r="AK6" s="122">
        <f t="shared" si="7"/>
        <v>5000</v>
      </c>
      <c r="AL6" s="122">
        <f t="shared" si="7"/>
        <v>7900</v>
      </c>
      <c r="AM6" s="122">
        <f t="shared" si="7"/>
        <v>6200</v>
      </c>
      <c r="AN6" s="122">
        <f t="shared" si="7"/>
        <v>7200</v>
      </c>
      <c r="AO6" s="122">
        <f t="shared" si="7"/>
        <v>6000</v>
      </c>
      <c r="AP6" s="122">
        <f t="shared" si="7"/>
        <v>6850</v>
      </c>
      <c r="AQ6" s="122">
        <f t="shared" si="7"/>
        <v>6350</v>
      </c>
      <c r="AR6" s="122">
        <f t="shared" si="7"/>
        <v>6300</v>
      </c>
      <c r="AS6" s="122">
        <f t="shared" si="7"/>
        <v>7900</v>
      </c>
      <c r="AT6" s="122">
        <f t="shared" ref="AT6:BQ6" si="8">SUMIF($B9:$B32,$B6,AT9:AT32)</f>
        <v>6100</v>
      </c>
      <c r="AU6" s="122">
        <f t="shared" si="8"/>
        <v>7132.8799999999974</v>
      </c>
      <c r="AV6" s="122">
        <f t="shared" si="8"/>
        <v>6100</v>
      </c>
      <c r="AW6" s="122">
        <f t="shared" si="8"/>
        <v>2900</v>
      </c>
      <c r="AX6" s="122">
        <f t="shared" si="8"/>
        <v>5774.3799999999974</v>
      </c>
      <c r="AY6" s="122">
        <f t="shared" si="8"/>
        <v>1400</v>
      </c>
      <c r="AZ6" s="122">
        <f t="shared" si="8"/>
        <v>1300</v>
      </c>
      <c r="BA6" s="122">
        <f t="shared" si="8"/>
        <v>1300</v>
      </c>
      <c r="BB6" s="122">
        <f t="shared" si="8"/>
        <v>1400</v>
      </c>
      <c r="BC6" s="122">
        <f t="shared" si="8"/>
        <v>1400</v>
      </c>
      <c r="BD6" s="122">
        <f t="shared" si="8"/>
        <v>1400</v>
      </c>
      <c r="BE6" s="122">
        <f t="shared" si="8"/>
        <v>3000</v>
      </c>
      <c r="BF6" s="122">
        <f t="shared" si="8"/>
        <v>3000</v>
      </c>
      <c r="BG6" s="122">
        <f t="shared" si="8"/>
        <v>3025.3000000000029</v>
      </c>
      <c r="BH6" s="122">
        <f t="shared" si="8"/>
        <v>0</v>
      </c>
      <c r="BI6" s="122">
        <f t="shared" si="8"/>
        <v>0</v>
      </c>
      <c r="BJ6" s="122">
        <f t="shared" si="8"/>
        <v>0</v>
      </c>
      <c r="BK6" s="122">
        <f t="shared" si="8"/>
        <v>0</v>
      </c>
      <c r="BL6" s="122">
        <f t="shared" si="8"/>
        <v>0</v>
      </c>
      <c r="BM6" s="122">
        <f t="shared" si="8"/>
        <v>0</v>
      </c>
      <c r="BN6" s="122">
        <f t="shared" si="8"/>
        <v>0</v>
      </c>
      <c r="BO6" s="122">
        <f t="shared" si="8"/>
        <v>0</v>
      </c>
      <c r="BP6" s="122">
        <f t="shared" si="8"/>
        <v>0</v>
      </c>
      <c r="BQ6" s="122">
        <f t="shared" si="8"/>
        <v>0</v>
      </c>
    </row>
    <row r="7" spans="1:256">
      <c r="A7" s="125"/>
      <c r="B7" s="120" t="s">
        <v>253</v>
      </c>
      <c r="C7" s="122">
        <f>IF(C6&gt;0,C8/C6*10000,0)</f>
        <v>10102.328002186012</v>
      </c>
      <c r="D7" s="122">
        <f t="shared" ref="D7:AS7" si="9">IF(D6&gt;0,D8/D6*10000,0)</f>
        <v>0</v>
      </c>
      <c r="E7" s="122">
        <f t="shared" si="9"/>
        <v>0</v>
      </c>
      <c r="F7" s="122">
        <f t="shared" si="9"/>
        <v>0</v>
      </c>
      <c r="G7" s="122">
        <f t="shared" si="9"/>
        <v>0</v>
      </c>
      <c r="H7" s="122">
        <f t="shared" si="9"/>
        <v>0</v>
      </c>
      <c r="I7" s="122">
        <f t="shared" si="9"/>
        <v>0</v>
      </c>
      <c r="J7" s="122">
        <f t="shared" si="9"/>
        <v>0</v>
      </c>
      <c r="K7" s="122">
        <f>IF(K6&gt;0,K8/K6*10000,0)</f>
        <v>0</v>
      </c>
      <c r="L7" s="122">
        <f t="shared" si="9"/>
        <v>0</v>
      </c>
      <c r="M7" s="122">
        <f t="shared" si="9"/>
        <v>0</v>
      </c>
      <c r="N7" s="122">
        <f t="shared" si="9"/>
        <v>0</v>
      </c>
      <c r="O7" s="122">
        <f t="shared" si="9"/>
        <v>0</v>
      </c>
      <c r="P7" s="122">
        <f t="shared" si="9"/>
        <v>0</v>
      </c>
      <c r="Q7" s="122">
        <f t="shared" si="9"/>
        <v>0</v>
      </c>
      <c r="R7" s="122">
        <f t="shared" si="9"/>
        <v>0</v>
      </c>
      <c r="S7" s="122">
        <f t="shared" si="9"/>
        <v>0</v>
      </c>
      <c r="T7" s="122">
        <f t="shared" si="9"/>
        <v>0</v>
      </c>
      <c r="U7" s="122">
        <f t="shared" si="9"/>
        <v>0</v>
      </c>
      <c r="V7" s="122">
        <f t="shared" si="9"/>
        <v>0</v>
      </c>
      <c r="W7" s="122">
        <f t="shared" si="9"/>
        <v>0</v>
      </c>
      <c r="X7" s="122">
        <f t="shared" si="9"/>
        <v>0</v>
      </c>
      <c r="Y7" s="122">
        <f t="shared" si="9"/>
        <v>0</v>
      </c>
      <c r="Z7" s="122">
        <f t="shared" si="9"/>
        <v>0</v>
      </c>
      <c r="AA7" s="122">
        <f t="shared" si="9"/>
        <v>0</v>
      </c>
      <c r="AB7" s="122">
        <f t="shared" si="9"/>
        <v>0</v>
      </c>
      <c r="AC7" s="122">
        <f t="shared" si="9"/>
        <v>0</v>
      </c>
      <c r="AD7" s="122">
        <f t="shared" si="9"/>
        <v>0</v>
      </c>
      <c r="AE7" s="122">
        <f t="shared" si="9"/>
        <v>0</v>
      </c>
      <c r="AF7" s="122">
        <f t="shared" si="9"/>
        <v>0</v>
      </c>
      <c r="AG7" s="122">
        <f t="shared" si="9"/>
        <v>12049.879518072288</v>
      </c>
      <c r="AH7" s="122">
        <f t="shared" si="9"/>
        <v>12175</v>
      </c>
      <c r="AI7" s="122">
        <f t="shared" si="9"/>
        <v>12172.754491017962</v>
      </c>
      <c r="AJ7" s="122">
        <f t="shared" si="9"/>
        <v>11992.857142857143</v>
      </c>
      <c r="AK7" s="122">
        <f t="shared" si="9"/>
        <v>12170</v>
      </c>
      <c r="AL7" s="122">
        <f t="shared" si="9"/>
        <v>8465.7088607594924</v>
      </c>
      <c r="AM7" s="122">
        <f t="shared" si="9"/>
        <v>10579.806451612903</v>
      </c>
      <c r="AN7" s="122">
        <f t="shared" si="9"/>
        <v>10957.611111111109</v>
      </c>
      <c r="AO7" s="122">
        <f t="shared" si="9"/>
        <v>11095.8</v>
      </c>
      <c r="AP7" s="122">
        <f t="shared" si="9"/>
        <v>11083.182481751823</v>
      </c>
      <c r="AQ7" s="122">
        <f t="shared" si="9"/>
        <v>10924.377952755904</v>
      </c>
      <c r="AR7" s="122">
        <f t="shared" si="9"/>
        <v>10792.825396825396</v>
      </c>
      <c r="AS7" s="122">
        <f t="shared" si="9"/>
        <v>11335.784810126583</v>
      </c>
      <c r="AT7" s="122">
        <f t="shared" ref="AT7:BQ7" si="10">IF(AT6&gt;0,AT8/AT6*10000,0)</f>
        <v>11541.147540983606</v>
      </c>
      <c r="AU7" s="122">
        <f t="shared" si="10"/>
        <v>10965.096146297146</v>
      </c>
      <c r="AV7" s="122">
        <f t="shared" si="10"/>
        <v>11686.377049180328</v>
      </c>
      <c r="AW7" s="122">
        <f t="shared" si="10"/>
        <v>12183.310344827585</v>
      </c>
      <c r="AX7" s="122">
        <f t="shared" si="10"/>
        <v>10886.704581271062</v>
      </c>
      <c r="AY7" s="122">
        <f t="shared" si="10"/>
        <v>2079</v>
      </c>
      <c r="AZ7" s="122">
        <f t="shared" si="10"/>
        <v>2078.9999999999995</v>
      </c>
      <c r="BA7" s="122">
        <f t="shared" si="10"/>
        <v>2078.9999999999995</v>
      </c>
      <c r="BB7" s="122">
        <f t="shared" si="10"/>
        <v>2079</v>
      </c>
      <c r="BC7" s="122">
        <f t="shared" si="10"/>
        <v>2079</v>
      </c>
      <c r="BD7" s="122">
        <f t="shared" si="10"/>
        <v>2079</v>
      </c>
      <c r="BE7" s="122">
        <f t="shared" si="10"/>
        <v>2079</v>
      </c>
      <c r="BF7" s="122">
        <f t="shared" si="10"/>
        <v>2079</v>
      </c>
      <c r="BG7" s="122">
        <f t="shared" si="10"/>
        <v>2079</v>
      </c>
      <c r="BH7" s="122">
        <f t="shared" si="10"/>
        <v>0</v>
      </c>
      <c r="BI7" s="122">
        <f t="shared" si="10"/>
        <v>0</v>
      </c>
      <c r="BJ7" s="122">
        <f t="shared" si="10"/>
        <v>0</v>
      </c>
      <c r="BK7" s="122">
        <f t="shared" si="10"/>
        <v>0</v>
      </c>
      <c r="BL7" s="122">
        <f t="shared" si="10"/>
        <v>0</v>
      </c>
      <c r="BM7" s="122">
        <f t="shared" si="10"/>
        <v>0</v>
      </c>
      <c r="BN7" s="122">
        <f t="shared" si="10"/>
        <v>0</v>
      </c>
      <c r="BO7" s="122">
        <f t="shared" si="10"/>
        <v>0</v>
      </c>
      <c r="BP7" s="122">
        <f t="shared" si="10"/>
        <v>0</v>
      </c>
      <c r="BQ7" s="122">
        <f t="shared" si="10"/>
        <v>0</v>
      </c>
    </row>
    <row r="8" spans="1:256">
      <c r="A8" s="125"/>
      <c r="B8" s="120" t="s">
        <v>254</v>
      </c>
      <c r="C8" s="122">
        <f>SUMIF($B9:$B32,$B8,C9:C32)</f>
        <v>138788.36828999998</v>
      </c>
      <c r="D8" s="122">
        <f t="shared" ref="D8:H8" si="11">SUMIF($B9:$B32,$B8,D9:D32)</f>
        <v>0</v>
      </c>
      <c r="E8" s="122">
        <f t="shared" si="11"/>
        <v>0</v>
      </c>
      <c r="F8" s="122">
        <f t="shared" si="11"/>
        <v>0</v>
      </c>
      <c r="G8" s="122">
        <f t="shared" si="11"/>
        <v>0</v>
      </c>
      <c r="H8" s="122">
        <f t="shared" si="11"/>
        <v>0</v>
      </c>
      <c r="I8" s="122">
        <f t="shared" ref="I8:AS8" si="12">SUMIF($B9:$B32,$B8,I9:I32)</f>
        <v>0</v>
      </c>
      <c r="J8" s="122">
        <f t="shared" si="12"/>
        <v>0</v>
      </c>
      <c r="K8" s="122">
        <f t="shared" si="12"/>
        <v>0</v>
      </c>
      <c r="L8" s="122">
        <f t="shared" si="12"/>
        <v>0</v>
      </c>
      <c r="M8" s="122">
        <f t="shared" si="12"/>
        <v>0</v>
      </c>
      <c r="N8" s="122">
        <f t="shared" si="12"/>
        <v>0</v>
      </c>
      <c r="O8" s="122">
        <f t="shared" si="12"/>
        <v>0</v>
      </c>
      <c r="P8" s="122">
        <f t="shared" si="12"/>
        <v>0</v>
      </c>
      <c r="Q8" s="122">
        <f t="shared" si="12"/>
        <v>0</v>
      </c>
      <c r="R8" s="122">
        <f t="shared" si="12"/>
        <v>0</v>
      </c>
      <c r="S8" s="122">
        <f t="shared" si="12"/>
        <v>0</v>
      </c>
      <c r="T8" s="122">
        <f t="shared" si="12"/>
        <v>0</v>
      </c>
      <c r="U8" s="122">
        <f t="shared" si="12"/>
        <v>0</v>
      </c>
      <c r="V8" s="122">
        <f t="shared" si="12"/>
        <v>0</v>
      </c>
      <c r="W8" s="122">
        <f t="shared" si="12"/>
        <v>0</v>
      </c>
      <c r="X8" s="122">
        <f t="shared" si="12"/>
        <v>0</v>
      </c>
      <c r="Y8" s="122">
        <f t="shared" si="12"/>
        <v>0</v>
      </c>
      <c r="Z8" s="122">
        <f t="shared" si="12"/>
        <v>0</v>
      </c>
      <c r="AA8" s="122">
        <f t="shared" si="12"/>
        <v>0</v>
      </c>
      <c r="AB8" s="122">
        <f t="shared" si="12"/>
        <v>0</v>
      </c>
      <c r="AC8" s="122">
        <f t="shared" si="12"/>
        <v>0</v>
      </c>
      <c r="AD8" s="122">
        <f t="shared" si="12"/>
        <v>0</v>
      </c>
      <c r="AE8" s="122">
        <f t="shared" si="12"/>
        <v>0</v>
      </c>
      <c r="AF8" s="122">
        <f t="shared" si="12"/>
        <v>0</v>
      </c>
      <c r="AG8" s="122">
        <f>SUMIF($B9:$B32,$B8,AG9:AG32)</f>
        <v>20002.8</v>
      </c>
      <c r="AH8" s="122">
        <f t="shared" si="12"/>
        <v>4870</v>
      </c>
      <c r="AI8" s="122">
        <f t="shared" si="12"/>
        <v>10164.25</v>
      </c>
      <c r="AJ8" s="122">
        <f t="shared" si="12"/>
        <v>4197.5</v>
      </c>
      <c r="AK8" s="122">
        <f t="shared" si="12"/>
        <v>6085</v>
      </c>
      <c r="AL8" s="122">
        <f t="shared" si="12"/>
        <v>6687.91</v>
      </c>
      <c r="AM8" s="122">
        <f t="shared" si="12"/>
        <v>6559.48</v>
      </c>
      <c r="AN8" s="122">
        <f t="shared" si="12"/>
        <v>7889.48</v>
      </c>
      <c r="AO8" s="122">
        <f t="shared" si="12"/>
        <v>6657.48</v>
      </c>
      <c r="AP8" s="122">
        <f t="shared" si="12"/>
        <v>7591.98</v>
      </c>
      <c r="AQ8" s="122">
        <f t="shared" si="12"/>
        <v>6936.98</v>
      </c>
      <c r="AR8" s="122">
        <f t="shared" si="12"/>
        <v>6799.48</v>
      </c>
      <c r="AS8" s="122">
        <f t="shared" si="12"/>
        <v>8955.27</v>
      </c>
      <c r="AT8" s="122">
        <f t="shared" ref="AT8:BQ8" si="13">SUMIF($B9:$B32,$B8,AT9:AT32)</f>
        <v>7040.0999999999995</v>
      </c>
      <c r="AU8" s="122">
        <f t="shared" si="13"/>
        <v>7821.2714999999962</v>
      </c>
      <c r="AV8" s="122">
        <f t="shared" si="13"/>
        <v>7128.69</v>
      </c>
      <c r="AW8" s="122">
        <f t="shared" si="13"/>
        <v>3533.16</v>
      </c>
      <c r="AX8" s="122">
        <f t="shared" si="13"/>
        <v>6286.3969199999965</v>
      </c>
      <c r="AY8" s="122">
        <f t="shared" si="13"/>
        <v>291.06</v>
      </c>
      <c r="AZ8" s="122">
        <f t="shared" si="13"/>
        <v>270.27</v>
      </c>
      <c r="BA8" s="122">
        <f t="shared" si="13"/>
        <v>270.27</v>
      </c>
      <c r="BB8" s="122">
        <f t="shared" si="13"/>
        <v>291.06</v>
      </c>
      <c r="BC8" s="122">
        <f t="shared" si="13"/>
        <v>291.06</v>
      </c>
      <c r="BD8" s="122">
        <f t="shared" si="13"/>
        <v>291.06</v>
      </c>
      <c r="BE8" s="122">
        <f t="shared" si="13"/>
        <v>623.70000000000005</v>
      </c>
      <c r="BF8" s="122">
        <f t="shared" si="13"/>
        <v>623.70000000000005</v>
      </c>
      <c r="BG8" s="122">
        <f t="shared" si="13"/>
        <v>628.95987000000059</v>
      </c>
      <c r="BH8" s="122">
        <f t="shared" si="13"/>
        <v>0</v>
      </c>
      <c r="BI8" s="122">
        <f t="shared" si="13"/>
        <v>0</v>
      </c>
      <c r="BJ8" s="122">
        <f t="shared" si="13"/>
        <v>0</v>
      </c>
      <c r="BK8" s="122">
        <f t="shared" si="13"/>
        <v>0</v>
      </c>
      <c r="BL8" s="122">
        <f t="shared" si="13"/>
        <v>0</v>
      </c>
      <c r="BM8" s="122">
        <f t="shared" si="13"/>
        <v>0</v>
      </c>
      <c r="BN8" s="122">
        <f t="shared" si="13"/>
        <v>0</v>
      </c>
      <c r="BO8" s="122">
        <f t="shared" si="13"/>
        <v>0</v>
      </c>
      <c r="BP8" s="122">
        <f t="shared" si="13"/>
        <v>0</v>
      </c>
      <c r="BQ8" s="122">
        <f t="shared" si="13"/>
        <v>0</v>
      </c>
    </row>
    <row r="9" spans="1:256" s="126" customFormat="1" ht="13">
      <c r="A9" s="127" t="str">
        <f>'1-成本过渡'!A18</f>
        <v>车位</v>
      </c>
      <c r="B9" s="128" t="s">
        <v>255</v>
      </c>
      <c r="C9" s="129">
        <f>SUM(H9:BQ9)</f>
        <v>24565.840000000004</v>
      </c>
      <c r="D9" s="2223"/>
      <c r="E9" s="2223"/>
      <c r="F9" s="2223"/>
      <c r="G9" s="2223"/>
      <c r="H9" s="2223"/>
      <c r="I9" s="2223"/>
      <c r="J9" s="2223"/>
      <c r="K9" s="2223"/>
      <c r="L9" s="2225"/>
      <c r="M9" s="2225"/>
      <c r="N9" s="2223"/>
      <c r="O9" s="2223"/>
      <c r="P9" s="2223"/>
      <c r="Q9" s="2223"/>
      <c r="R9" s="2223"/>
      <c r="S9" s="2223"/>
      <c r="T9" s="2223"/>
      <c r="U9" s="2223"/>
      <c r="V9" s="2223"/>
      <c r="W9" s="2223"/>
      <c r="X9" s="2223"/>
      <c r="Y9" s="2223"/>
      <c r="Z9" s="2223"/>
      <c r="AA9" s="2223"/>
      <c r="AB9" s="2223"/>
      <c r="AC9" s="2223"/>
      <c r="AD9" s="2223"/>
      <c r="AE9" s="2223"/>
      <c r="AF9" s="2223"/>
      <c r="AG9" s="2223"/>
      <c r="AH9" s="2223"/>
      <c r="AI9" s="2223"/>
      <c r="AJ9" s="2223"/>
      <c r="AK9" s="2223"/>
      <c r="AL9" s="2223">
        <v>2000</v>
      </c>
      <c r="AM9" s="2223">
        <v>900</v>
      </c>
      <c r="AN9" s="2223">
        <v>900</v>
      </c>
      <c r="AO9" s="2223">
        <v>900</v>
      </c>
      <c r="AP9" s="2223">
        <v>900</v>
      </c>
      <c r="AQ9" s="2223">
        <v>900</v>
      </c>
      <c r="AR9" s="2223">
        <v>900</v>
      </c>
      <c r="AS9" s="131">
        <v>1000</v>
      </c>
      <c r="AT9" s="2223">
        <v>700</v>
      </c>
      <c r="AU9" s="2223">
        <v>1000</v>
      </c>
      <c r="AV9" s="131">
        <v>1000</v>
      </c>
      <c r="AW9" s="131">
        <v>300</v>
      </c>
      <c r="AX9" s="131">
        <v>1000</v>
      </c>
      <c r="AY9" s="131">
        <v>1000</v>
      </c>
      <c r="AZ9" s="131">
        <v>1000</v>
      </c>
      <c r="BA9" s="131">
        <v>1000</v>
      </c>
      <c r="BB9" s="131">
        <v>1000</v>
      </c>
      <c r="BC9" s="131">
        <v>1000</v>
      </c>
      <c r="BD9" s="131">
        <v>1000</v>
      </c>
      <c r="BE9" s="131">
        <v>2000</v>
      </c>
      <c r="BF9" s="131">
        <v>2000</v>
      </c>
      <c r="BG9" s="131">
        <f>'全期规划指标 '!I44-SUM(销售计划!AL9:BF9)</f>
        <v>2165.8400000000038</v>
      </c>
      <c r="BH9" s="131"/>
      <c r="BI9" s="131"/>
      <c r="BJ9" s="131"/>
      <c r="BK9" s="131"/>
      <c r="BL9" s="131"/>
      <c r="BM9" s="131"/>
      <c r="BN9" s="131"/>
      <c r="BO9" s="131"/>
      <c r="BP9" s="131"/>
      <c r="BQ9" s="131"/>
    </row>
    <row r="10" spans="1:256" s="126" customFormat="1" ht="13">
      <c r="A10" s="127"/>
      <c r="B10" s="128" t="s">
        <v>253</v>
      </c>
      <c r="C10" s="129">
        <f>IF(C9&gt;0,C11/C9*10000,0)</f>
        <v>2079.0000000000005</v>
      </c>
      <c r="D10" s="2223"/>
      <c r="E10" s="2223"/>
      <c r="F10" s="2223"/>
      <c r="G10" s="2223"/>
      <c r="H10" s="2223"/>
      <c r="I10" s="2223"/>
      <c r="J10" s="2223"/>
      <c r="K10" s="2223"/>
      <c r="L10" s="2223"/>
      <c r="M10" s="2223"/>
      <c r="N10" s="2223"/>
      <c r="O10" s="2223"/>
      <c r="P10" s="2223"/>
      <c r="Q10" s="2223"/>
      <c r="R10" s="2223"/>
      <c r="S10" s="2223"/>
      <c r="T10" s="2223"/>
      <c r="U10" s="2223"/>
      <c r="V10" s="2223"/>
      <c r="W10" s="2223"/>
      <c r="X10" s="2223"/>
      <c r="Y10" s="2223"/>
      <c r="Z10" s="2223"/>
      <c r="AA10" s="2223"/>
      <c r="AB10" s="2223"/>
      <c r="AC10" s="2223"/>
      <c r="AD10" s="2223"/>
      <c r="AE10" s="2223"/>
      <c r="AF10" s="2223"/>
      <c r="AG10" s="2223"/>
      <c r="AH10" s="2223"/>
      <c r="AI10" s="2223"/>
      <c r="AJ10" s="2223"/>
      <c r="AK10" s="2223"/>
      <c r="AL10" s="2223">
        <v>2079</v>
      </c>
      <c r="AM10" s="2223">
        <v>2079</v>
      </c>
      <c r="AN10" s="2223">
        <v>2079</v>
      </c>
      <c r="AO10" s="2223">
        <v>2079</v>
      </c>
      <c r="AP10" s="2223">
        <v>2079</v>
      </c>
      <c r="AQ10" s="2223">
        <v>2079</v>
      </c>
      <c r="AR10" s="2223">
        <v>2079</v>
      </c>
      <c r="AS10" s="2223">
        <v>2079</v>
      </c>
      <c r="AT10" s="2223">
        <v>2079</v>
      </c>
      <c r="AU10" s="2223">
        <v>2079</v>
      </c>
      <c r="AV10" s="2223">
        <v>2079</v>
      </c>
      <c r="AW10" s="2223">
        <v>2079</v>
      </c>
      <c r="AX10" s="2223">
        <v>2079</v>
      </c>
      <c r="AY10" s="2223">
        <v>2079</v>
      </c>
      <c r="AZ10" s="2223">
        <v>2079</v>
      </c>
      <c r="BA10" s="2223">
        <v>2079</v>
      </c>
      <c r="BB10" s="2223">
        <v>2079</v>
      </c>
      <c r="BC10" s="2223">
        <v>2079</v>
      </c>
      <c r="BD10" s="2223">
        <v>2079</v>
      </c>
      <c r="BE10" s="2223">
        <v>2079</v>
      </c>
      <c r="BF10" s="2223">
        <v>2079</v>
      </c>
      <c r="BG10" s="2223">
        <v>2079</v>
      </c>
      <c r="BH10" s="2223"/>
      <c r="BI10" s="2223"/>
      <c r="BJ10" s="2223"/>
      <c r="BK10" s="2223"/>
      <c r="BL10" s="2223"/>
      <c r="BM10" s="2223"/>
      <c r="BN10" s="2223"/>
      <c r="BO10" s="2223"/>
      <c r="BP10" s="2223"/>
      <c r="BQ10" s="2223"/>
    </row>
    <row r="11" spans="1:256" s="2224" customFormat="1">
      <c r="A11" s="132"/>
      <c r="B11" s="133" t="s">
        <v>254</v>
      </c>
      <c r="C11" s="133">
        <f>SUM(D11:BQ11)</f>
        <v>5107.2381360000018</v>
      </c>
      <c r="D11" s="133"/>
      <c r="E11" s="133"/>
      <c r="F11" s="133"/>
      <c r="G11" s="133"/>
      <c r="H11" s="133"/>
      <c r="I11" s="133"/>
      <c r="J11" s="133"/>
      <c r="K11" s="134">
        <f t="shared" ref="K11:AS11" si="14">K9*K10/10000</f>
        <v>0</v>
      </c>
      <c r="L11" s="134">
        <f t="shared" si="14"/>
        <v>0</v>
      </c>
      <c r="M11" s="134">
        <f t="shared" si="14"/>
        <v>0</v>
      </c>
      <c r="N11" s="134">
        <f t="shared" si="14"/>
        <v>0</v>
      </c>
      <c r="O11" s="134">
        <f t="shared" si="14"/>
        <v>0</v>
      </c>
      <c r="P11" s="134">
        <f t="shared" si="14"/>
        <v>0</v>
      </c>
      <c r="Q11" s="134">
        <f t="shared" si="14"/>
        <v>0</v>
      </c>
      <c r="R11" s="134">
        <f t="shared" si="14"/>
        <v>0</v>
      </c>
      <c r="S11" s="134">
        <f t="shared" si="14"/>
        <v>0</v>
      </c>
      <c r="T11" s="134"/>
      <c r="U11" s="134">
        <f t="shared" si="14"/>
        <v>0</v>
      </c>
      <c r="V11" s="134">
        <f t="shared" si="14"/>
        <v>0</v>
      </c>
      <c r="W11" s="134">
        <f t="shared" si="14"/>
        <v>0</v>
      </c>
      <c r="X11" s="134">
        <f t="shared" si="14"/>
        <v>0</v>
      </c>
      <c r="Y11" s="134">
        <f t="shared" si="14"/>
        <v>0</v>
      </c>
      <c r="Z11" s="134">
        <f t="shared" si="14"/>
        <v>0</v>
      </c>
      <c r="AA11" s="134">
        <f>AA9*AA10/10000</f>
        <v>0</v>
      </c>
      <c r="AB11" s="134">
        <f t="shared" si="14"/>
        <v>0</v>
      </c>
      <c r="AC11" s="134">
        <f t="shared" si="14"/>
        <v>0</v>
      </c>
      <c r="AD11" s="134">
        <f t="shared" si="14"/>
        <v>0</v>
      </c>
      <c r="AE11" s="134">
        <f t="shared" si="14"/>
        <v>0</v>
      </c>
      <c r="AF11" s="134">
        <f t="shared" si="14"/>
        <v>0</v>
      </c>
      <c r="AG11" s="134">
        <f>AG9*AG10/10000</f>
        <v>0</v>
      </c>
      <c r="AH11" s="134">
        <f t="shared" si="14"/>
        <v>0</v>
      </c>
      <c r="AI11" s="134">
        <f t="shared" si="14"/>
        <v>0</v>
      </c>
      <c r="AJ11" s="134">
        <f t="shared" si="14"/>
        <v>0</v>
      </c>
      <c r="AK11" s="134">
        <f t="shared" si="14"/>
        <v>0</v>
      </c>
      <c r="AL11" s="134">
        <f t="shared" si="14"/>
        <v>415.8</v>
      </c>
      <c r="AM11" s="134">
        <f t="shared" si="14"/>
        <v>187.11</v>
      </c>
      <c r="AN11" s="134">
        <f t="shared" si="14"/>
        <v>187.11</v>
      </c>
      <c r="AO11" s="134">
        <f>AO9*AO10/10000</f>
        <v>187.11</v>
      </c>
      <c r="AP11" s="134">
        <f t="shared" si="14"/>
        <v>187.11</v>
      </c>
      <c r="AQ11" s="134">
        <f t="shared" si="14"/>
        <v>187.11</v>
      </c>
      <c r="AR11" s="134">
        <f t="shared" si="14"/>
        <v>187.11</v>
      </c>
      <c r="AS11" s="134">
        <f t="shared" si="14"/>
        <v>207.9</v>
      </c>
      <c r="AT11" s="134">
        <f t="shared" ref="AT11:BQ11" si="15">AT9*AT10/10000</f>
        <v>145.53</v>
      </c>
      <c r="AU11" s="134">
        <f t="shared" si="15"/>
        <v>207.9</v>
      </c>
      <c r="AV11" s="134">
        <f t="shared" si="15"/>
        <v>207.9</v>
      </c>
      <c r="AW11" s="134">
        <f t="shared" si="15"/>
        <v>62.37</v>
      </c>
      <c r="AX11" s="134">
        <f t="shared" si="15"/>
        <v>207.9</v>
      </c>
      <c r="AY11" s="134">
        <f t="shared" si="15"/>
        <v>207.9</v>
      </c>
      <c r="AZ11" s="134">
        <f t="shared" si="15"/>
        <v>207.9</v>
      </c>
      <c r="BA11" s="134">
        <f t="shared" si="15"/>
        <v>207.9</v>
      </c>
      <c r="BB11" s="134">
        <f t="shared" si="15"/>
        <v>207.9</v>
      </c>
      <c r="BC11" s="134">
        <f t="shared" si="15"/>
        <v>207.9</v>
      </c>
      <c r="BD11" s="134">
        <f t="shared" si="15"/>
        <v>207.9</v>
      </c>
      <c r="BE11" s="134">
        <f t="shared" si="15"/>
        <v>415.8</v>
      </c>
      <c r="BF11" s="134">
        <f t="shared" si="15"/>
        <v>415.8</v>
      </c>
      <c r="BG11" s="134">
        <f t="shared" si="15"/>
        <v>450.27813600000076</v>
      </c>
      <c r="BH11" s="134">
        <f t="shared" si="15"/>
        <v>0</v>
      </c>
      <c r="BI11" s="134">
        <f t="shared" si="15"/>
        <v>0</v>
      </c>
      <c r="BJ11" s="134">
        <f t="shared" si="15"/>
        <v>0</v>
      </c>
      <c r="BK11" s="134">
        <f t="shared" si="15"/>
        <v>0</v>
      </c>
      <c r="BL11" s="134">
        <f t="shared" si="15"/>
        <v>0</v>
      </c>
      <c r="BM11" s="134">
        <f t="shared" si="15"/>
        <v>0</v>
      </c>
      <c r="BN11" s="134">
        <f t="shared" si="15"/>
        <v>0</v>
      </c>
      <c r="BO11" s="134">
        <f t="shared" si="15"/>
        <v>0</v>
      </c>
      <c r="BP11" s="134">
        <f t="shared" si="15"/>
        <v>0</v>
      </c>
      <c r="BQ11" s="134">
        <f t="shared" si="15"/>
        <v>0</v>
      </c>
      <c r="BR11" s="117"/>
      <c r="BS11" s="117"/>
      <c r="BT11" s="117"/>
      <c r="BU11" s="117"/>
      <c r="BV11" s="117"/>
      <c r="BW11" s="117"/>
      <c r="BX11" s="117"/>
      <c r="BY11" s="117"/>
      <c r="BZ11" s="117"/>
      <c r="CA11" s="117"/>
      <c r="CB11" s="117"/>
      <c r="CC11" s="117"/>
      <c r="CD11" s="117"/>
      <c r="CE11" s="117"/>
      <c r="CF11" s="117"/>
      <c r="CG11" s="117"/>
      <c r="CH11" s="117"/>
      <c r="CI11" s="117"/>
      <c r="CJ11" s="117"/>
      <c r="CK11" s="117"/>
      <c r="CL11" s="117"/>
      <c r="CM11" s="117"/>
      <c r="CN11" s="117"/>
      <c r="CO11" s="117"/>
      <c r="CP11" s="117"/>
      <c r="CQ11" s="117"/>
      <c r="CR11" s="117"/>
      <c r="CS11" s="117"/>
      <c r="CT11" s="117"/>
      <c r="CU11" s="117"/>
      <c r="CV11" s="117"/>
      <c r="CW11" s="117"/>
      <c r="CX11" s="117"/>
      <c r="CY11" s="117"/>
      <c r="CZ11" s="117"/>
      <c r="DA11" s="117"/>
      <c r="DB11" s="117"/>
      <c r="DC11" s="117"/>
      <c r="DD11" s="117"/>
      <c r="DE11" s="117"/>
      <c r="DF11" s="117"/>
      <c r="DG11" s="117"/>
      <c r="DH11" s="117"/>
      <c r="DI11" s="117"/>
      <c r="DJ11" s="117"/>
      <c r="DK11" s="117"/>
      <c r="DL11" s="117"/>
      <c r="DM11" s="117"/>
      <c r="DN11" s="117"/>
      <c r="DO11" s="117"/>
      <c r="DP11" s="117"/>
      <c r="DQ11" s="117"/>
      <c r="DR11" s="117"/>
      <c r="DS11" s="117"/>
      <c r="DT11" s="117"/>
      <c r="DU11" s="117"/>
      <c r="DV11" s="117"/>
      <c r="DW11" s="117"/>
      <c r="DX11" s="117"/>
      <c r="DY11" s="117"/>
      <c r="DZ11" s="117"/>
      <c r="EA11" s="117"/>
      <c r="EB11" s="117"/>
      <c r="EC11" s="117"/>
      <c r="ED11" s="117"/>
      <c r="EE11" s="117"/>
      <c r="EF11" s="117"/>
      <c r="EG11" s="117"/>
      <c r="EH11" s="117"/>
      <c r="EI11" s="117"/>
      <c r="EJ11" s="117"/>
      <c r="EK11" s="117"/>
      <c r="EL11" s="117"/>
      <c r="EM11" s="117"/>
      <c r="EN11" s="117"/>
      <c r="EO11" s="117"/>
      <c r="EP11" s="117"/>
      <c r="EQ11" s="117"/>
      <c r="ER11" s="117"/>
      <c r="ES11" s="117"/>
      <c r="ET11" s="117"/>
      <c r="EU11" s="117"/>
      <c r="EV11" s="117"/>
      <c r="EW11" s="117"/>
      <c r="EX11" s="117"/>
      <c r="EY11" s="117"/>
      <c r="EZ11" s="117"/>
      <c r="FA11" s="117"/>
      <c r="FB11" s="117"/>
      <c r="FC11" s="117"/>
      <c r="FD11" s="117"/>
      <c r="FE11" s="117"/>
      <c r="FF11" s="117"/>
      <c r="FG11" s="117"/>
      <c r="FH11" s="117"/>
      <c r="FI11" s="117"/>
      <c r="FJ11" s="117"/>
      <c r="FK11" s="117"/>
      <c r="FL11" s="117"/>
      <c r="FM11" s="117"/>
      <c r="FN11" s="117"/>
      <c r="FO11" s="117"/>
      <c r="FP11" s="117"/>
      <c r="FQ11" s="117"/>
      <c r="FR11" s="117"/>
      <c r="FS11" s="117"/>
      <c r="FT11" s="117"/>
      <c r="FU11" s="117"/>
      <c r="FV11" s="117"/>
      <c r="FW11" s="117"/>
      <c r="FX11" s="117"/>
      <c r="FY11" s="117"/>
      <c r="FZ11" s="117"/>
      <c r="GA11" s="117"/>
      <c r="GB11" s="117"/>
      <c r="GC11" s="117"/>
      <c r="GD11" s="117"/>
      <c r="GE11" s="117"/>
      <c r="GF11" s="117"/>
      <c r="GG11" s="117"/>
      <c r="GH11" s="117"/>
      <c r="GI11" s="117"/>
      <c r="GJ11" s="117"/>
      <c r="GK11" s="117"/>
      <c r="GL11" s="117"/>
      <c r="GM11" s="117"/>
      <c r="GN11" s="117"/>
      <c r="GO11" s="117"/>
      <c r="GP11" s="117"/>
      <c r="GQ11" s="117"/>
      <c r="GR11" s="117"/>
      <c r="GS11" s="117"/>
      <c r="GT11" s="117"/>
      <c r="GU11" s="117"/>
      <c r="GV11" s="117"/>
      <c r="GW11" s="117"/>
      <c r="GX11" s="117"/>
      <c r="GY11" s="117"/>
      <c r="GZ11" s="117"/>
      <c r="HA11" s="117"/>
      <c r="HB11" s="117"/>
      <c r="HC11" s="117"/>
      <c r="HD11" s="117"/>
      <c r="HE11" s="117"/>
      <c r="HF11" s="117"/>
      <c r="HG11" s="117"/>
      <c r="HH11" s="117"/>
      <c r="HI11" s="117"/>
      <c r="HJ11" s="117"/>
      <c r="HK11" s="117"/>
      <c r="HL11" s="117"/>
      <c r="HM11" s="117"/>
      <c r="HN11" s="117"/>
      <c r="HO11" s="117"/>
      <c r="HP11" s="117"/>
      <c r="HQ11" s="117"/>
      <c r="HR11" s="117"/>
      <c r="HS11" s="117"/>
      <c r="HT11" s="117"/>
      <c r="HU11" s="117"/>
      <c r="HV11" s="117"/>
      <c r="HW11" s="117"/>
      <c r="HX11" s="117"/>
      <c r="HY11" s="117"/>
      <c r="HZ11" s="117"/>
      <c r="IA11" s="117"/>
      <c r="IB11" s="117"/>
      <c r="IC11" s="117"/>
      <c r="ID11" s="117"/>
      <c r="IE11" s="117"/>
      <c r="IF11" s="117"/>
      <c r="IG11" s="117"/>
      <c r="IH11" s="117"/>
      <c r="II11" s="117"/>
      <c r="IJ11" s="117"/>
      <c r="IK11" s="117"/>
      <c r="IL11" s="117"/>
      <c r="IM11" s="117"/>
      <c r="IN11" s="117"/>
      <c r="IO11" s="117"/>
      <c r="IP11" s="117"/>
      <c r="IQ11" s="117"/>
      <c r="IR11" s="117"/>
      <c r="IS11" s="117"/>
      <c r="IT11" s="117"/>
      <c r="IU11" s="117"/>
      <c r="IV11" s="117"/>
    </row>
    <row r="12" spans="1:256" s="126" customFormat="1" ht="13">
      <c r="A12" s="127" t="str">
        <f>'1-成本过渡'!A19</f>
        <v>高层（27F）</v>
      </c>
      <c r="B12" s="128" t="s">
        <v>255</v>
      </c>
      <c r="C12" s="129">
        <f>SUM(H12:BQ12)</f>
        <v>43173.95</v>
      </c>
      <c r="D12" s="2223"/>
      <c r="E12" s="2223"/>
      <c r="F12" s="2223"/>
      <c r="G12" s="2223"/>
      <c r="H12" s="2223"/>
      <c r="I12" s="2223"/>
      <c r="J12" s="2223"/>
      <c r="K12" s="2223"/>
      <c r="L12" s="2223"/>
      <c r="M12" s="2223"/>
      <c r="N12" s="2223"/>
      <c r="O12" s="2223"/>
      <c r="P12" s="2223"/>
      <c r="Q12" s="2223"/>
      <c r="R12" s="2223"/>
      <c r="S12" s="2223"/>
      <c r="T12" s="2223"/>
      <c r="U12" s="2223"/>
      <c r="V12" s="2223"/>
      <c r="W12" s="2223"/>
      <c r="X12" s="2223"/>
      <c r="Y12" s="2223"/>
      <c r="Z12" s="2223"/>
      <c r="AA12" s="2223"/>
      <c r="AB12" s="2223"/>
      <c r="AC12" s="2223"/>
      <c r="AD12" s="2223"/>
      <c r="AE12" s="2223"/>
      <c r="AF12" s="2223"/>
      <c r="AG12" s="2223">
        <v>7600</v>
      </c>
      <c r="AH12" s="2223">
        <v>2000</v>
      </c>
      <c r="AI12" s="2223">
        <v>4500</v>
      </c>
      <c r="AJ12" s="2223">
        <v>2500</v>
      </c>
      <c r="AK12" s="2223">
        <v>3000</v>
      </c>
      <c r="AL12" s="2223">
        <v>3000</v>
      </c>
      <c r="AM12" s="2223">
        <v>2000</v>
      </c>
      <c r="AN12" s="2223">
        <v>2000</v>
      </c>
      <c r="AO12" s="2223">
        <v>2000</v>
      </c>
      <c r="AP12" s="131">
        <v>2500</v>
      </c>
      <c r="AQ12" s="131">
        <v>2500</v>
      </c>
      <c r="AR12" s="131">
        <v>2500</v>
      </c>
      <c r="AS12" s="131">
        <v>2500</v>
      </c>
      <c r="AT12" s="131">
        <v>1500</v>
      </c>
      <c r="AU12" s="131">
        <f>'全期规划指标 '!$I$20-SUM(销售计划!AG12:AT12)</f>
        <v>3073.9499999999971</v>
      </c>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row>
    <row r="13" spans="1:256" s="126" customFormat="1" ht="13">
      <c r="A13" s="137"/>
      <c r="B13" s="128" t="s">
        <v>253</v>
      </c>
      <c r="C13" s="129">
        <f>IF(C12&gt;0,C14/C12*10000,0)</f>
        <v>11549.976548358445</v>
      </c>
      <c r="D13" s="129"/>
      <c r="E13" s="129"/>
      <c r="F13" s="129"/>
      <c r="G13" s="129"/>
      <c r="H13" s="129"/>
      <c r="I13" s="129"/>
      <c r="J13" s="129"/>
      <c r="K13" s="129"/>
      <c r="L13" s="129"/>
      <c r="M13" s="129"/>
      <c r="N13" s="129"/>
      <c r="O13" s="129"/>
      <c r="P13" s="129"/>
      <c r="Q13" s="129"/>
      <c r="R13" s="129"/>
      <c r="S13" s="129"/>
      <c r="T13" s="129"/>
      <c r="U13" s="129"/>
      <c r="V13" s="129"/>
      <c r="W13" s="129"/>
      <c r="X13" s="2223"/>
      <c r="Y13" s="2223"/>
      <c r="Z13" s="2223"/>
      <c r="AA13" s="2223"/>
      <c r="AB13" s="2223"/>
      <c r="AC13" s="2223"/>
      <c r="AD13" s="2223"/>
      <c r="AE13" s="2223"/>
      <c r="AF13" s="2232"/>
      <c r="AG13" s="2223">
        <v>11280</v>
      </c>
      <c r="AH13" s="2223">
        <v>11350</v>
      </c>
      <c r="AI13" s="2223">
        <v>11465</v>
      </c>
      <c r="AJ13" s="2223">
        <v>11550</v>
      </c>
      <c r="AK13" s="2223">
        <v>11550</v>
      </c>
      <c r="AL13" s="2223">
        <v>11550</v>
      </c>
      <c r="AM13" s="2223">
        <v>11600</v>
      </c>
      <c r="AN13" s="2223">
        <v>11600</v>
      </c>
      <c r="AO13" s="2223">
        <v>11620</v>
      </c>
      <c r="AP13" s="2223">
        <v>11700</v>
      </c>
      <c r="AQ13" s="2223">
        <v>11700</v>
      </c>
      <c r="AR13" s="2223">
        <v>11700</v>
      </c>
      <c r="AS13" s="2223">
        <v>11700</v>
      </c>
      <c r="AT13" s="2223">
        <v>11700</v>
      </c>
      <c r="AU13" s="2223">
        <v>11800</v>
      </c>
      <c r="AV13" s="2223"/>
      <c r="AW13" s="2223"/>
      <c r="AX13" s="2223"/>
      <c r="AY13" s="2223"/>
      <c r="AZ13" s="2223"/>
      <c r="BA13" s="2223"/>
      <c r="BB13" s="2223"/>
      <c r="BC13" s="2223"/>
      <c r="BD13" s="2223"/>
      <c r="BE13" s="2223"/>
      <c r="BF13" s="2223"/>
      <c r="BG13" s="2223"/>
      <c r="BH13" s="2223"/>
      <c r="BI13" s="2223"/>
      <c r="BJ13" s="2223"/>
      <c r="BK13" s="2223"/>
      <c r="BL13" s="2223"/>
      <c r="BM13" s="2223"/>
      <c r="BN13" s="2223"/>
      <c r="BO13" s="2223"/>
      <c r="BP13" s="2223"/>
      <c r="BQ13" s="2223"/>
    </row>
    <row r="14" spans="1:256" s="2224" customFormat="1">
      <c r="A14" s="132"/>
      <c r="B14" s="133" t="s">
        <v>254</v>
      </c>
      <c r="C14" s="133">
        <f>SUM(D14:BQ14)</f>
        <v>49865.811000000002</v>
      </c>
      <c r="D14" s="133"/>
      <c r="E14" s="133"/>
      <c r="F14" s="133"/>
      <c r="G14" s="133"/>
      <c r="H14" s="133"/>
      <c r="I14" s="133"/>
      <c r="J14" s="133">
        <f>J12*J13/10000</f>
        <v>0</v>
      </c>
      <c r="K14" s="134">
        <f t="shared" ref="K14:AS14" si="16">K12*K13/10000</f>
        <v>0</v>
      </c>
      <c r="L14" s="134">
        <f t="shared" si="16"/>
        <v>0</v>
      </c>
      <c r="M14" s="134">
        <f t="shared" si="16"/>
        <v>0</v>
      </c>
      <c r="N14" s="134">
        <f t="shared" si="16"/>
        <v>0</v>
      </c>
      <c r="O14" s="134">
        <f t="shared" si="16"/>
        <v>0</v>
      </c>
      <c r="P14" s="134">
        <f t="shared" si="16"/>
        <v>0</v>
      </c>
      <c r="Q14" s="134">
        <f t="shared" si="16"/>
        <v>0</v>
      </c>
      <c r="R14" s="134">
        <f t="shared" ref="R14:AA14" si="17">R12*R13/10000</f>
        <v>0</v>
      </c>
      <c r="S14" s="134">
        <f t="shared" si="17"/>
        <v>0</v>
      </c>
      <c r="T14" s="134">
        <f t="shared" si="17"/>
        <v>0</v>
      </c>
      <c r="U14" s="134">
        <f t="shared" si="17"/>
        <v>0</v>
      </c>
      <c r="V14" s="134">
        <f t="shared" si="17"/>
        <v>0</v>
      </c>
      <c r="W14" s="134">
        <f t="shared" si="17"/>
        <v>0</v>
      </c>
      <c r="X14" s="134">
        <f t="shared" si="17"/>
        <v>0</v>
      </c>
      <c r="Y14" s="134">
        <f t="shared" si="17"/>
        <v>0</v>
      </c>
      <c r="Z14" s="134">
        <f t="shared" si="17"/>
        <v>0</v>
      </c>
      <c r="AA14" s="134">
        <f t="shared" si="17"/>
        <v>0</v>
      </c>
      <c r="AB14" s="134">
        <f t="shared" si="16"/>
        <v>0</v>
      </c>
      <c r="AC14" s="134">
        <f t="shared" si="16"/>
        <v>0</v>
      </c>
      <c r="AD14" s="134">
        <f t="shared" si="16"/>
        <v>0</v>
      </c>
      <c r="AE14" s="134">
        <f t="shared" si="16"/>
        <v>0</v>
      </c>
      <c r="AF14" s="134">
        <f t="shared" si="16"/>
        <v>0</v>
      </c>
      <c r="AG14" s="134">
        <f t="shared" si="16"/>
        <v>8572.7999999999993</v>
      </c>
      <c r="AH14" s="134">
        <f t="shared" si="16"/>
        <v>2270</v>
      </c>
      <c r="AI14" s="134">
        <f>AI12*AI13/10000</f>
        <v>5159.25</v>
      </c>
      <c r="AJ14" s="134">
        <f t="shared" ref="AJ14" si="18">AJ12*AJ13/10000</f>
        <v>2887.5</v>
      </c>
      <c r="AK14" s="134">
        <f t="shared" si="16"/>
        <v>3465</v>
      </c>
      <c r="AL14" s="134">
        <f t="shared" si="16"/>
        <v>3465</v>
      </c>
      <c r="AM14" s="134">
        <f t="shared" si="16"/>
        <v>2320</v>
      </c>
      <c r="AN14" s="134">
        <f t="shared" si="16"/>
        <v>2320</v>
      </c>
      <c r="AO14" s="134">
        <f t="shared" si="16"/>
        <v>2324</v>
      </c>
      <c r="AP14" s="134">
        <f t="shared" si="16"/>
        <v>2925</v>
      </c>
      <c r="AQ14" s="134">
        <f t="shared" si="16"/>
        <v>2925</v>
      </c>
      <c r="AR14" s="134">
        <f t="shared" si="16"/>
        <v>2925</v>
      </c>
      <c r="AS14" s="134">
        <f t="shared" si="16"/>
        <v>2925</v>
      </c>
      <c r="AT14" s="134">
        <f t="shared" ref="AT14:BQ14" si="19">AT12*AT13/10000</f>
        <v>1755</v>
      </c>
      <c r="AU14" s="134">
        <f t="shared" si="19"/>
        <v>3627.2609999999963</v>
      </c>
      <c r="AV14" s="134">
        <f t="shared" si="19"/>
        <v>0</v>
      </c>
      <c r="AW14" s="134">
        <f t="shared" si="19"/>
        <v>0</v>
      </c>
      <c r="AX14" s="134">
        <f t="shared" si="19"/>
        <v>0</v>
      </c>
      <c r="AY14" s="134">
        <f t="shared" si="19"/>
        <v>0</v>
      </c>
      <c r="AZ14" s="134">
        <f t="shared" si="19"/>
        <v>0</v>
      </c>
      <c r="BA14" s="134">
        <f t="shared" si="19"/>
        <v>0</v>
      </c>
      <c r="BB14" s="134">
        <f t="shared" si="19"/>
        <v>0</v>
      </c>
      <c r="BC14" s="134">
        <f t="shared" si="19"/>
        <v>0</v>
      </c>
      <c r="BD14" s="134">
        <f t="shared" si="19"/>
        <v>0</v>
      </c>
      <c r="BE14" s="134">
        <f t="shared" si="19"/>
        <v>0</v>
      </c>
      <c r="BF14" s="134">
        <f t="shared" si="19"/>
        <v>0</v>
      </c>
      <c r="BG14" s="134">
        <f t="shared" si="19"/>
        <v>0</v>
      </c>
      <c r="BH14" s="134">
        <f t="shared" si="19"/>
        <v>0</v>
      </c>
      <c r="BI14" s="134">
        <f t="shared" si="19"/>
        <v>0</v>
      </c>
      <c r="BJ14" s="134">
        <f t="shared" si="19"/>
        <v>0</v>
      </c>
      <c r="BK14" s="134">
        <f t="shared" si="19"/>
        <v>0</v>
      </c>
      <c r="BL14" s="134">
        <f t="shared" si="19"/>
        <v>0</v>
      </c>
      <c r="BM14" s="134">
        <f t="shared" si="19"/>
        <v>0</v>
      </c>
      <c r="BN14" s="134">
        <f t="shared" si="19"/>
        <v>0</v>
      </c>
      <c r="BO14" s="134">
        <f t="shared" si="19"/>
        <v>0</v>
      </c>
      <c r="BP14" s="134">
        <f t="shared" si="19"/>
        <v>0</v>
      </c>
      <c r="BQ14" s="134">
        <f t="shared" si="19"/>
        <v>0</v>
      </c>
      <c r="BR14" s="117"/>
      <c r="BS14" s="117"/>
      <c r="BT14" s="117"/>
      <c r="BU14" s="117"/>
      <c r="BV14" s="117"/>
      <c r="BW14" s="117"/>
      <c r="BX14" s="117"/>
      <c r="BY14" s="117"/>
      <c r="BZ14" s="117"/>
      <c r="CA14" s="117"/>
      <c r="CB14" s="117"/>
      <c r="CC14" s="117"/>
      <c r="CD14" s="117"/>
      <c r="CE14" s="117"/>
      <c r="CF14" s="117"/>
      <c r="CG14" s="117"/>
      <c r="CH14" s="117"/>
      <c r="CI14" s="117"/>
      <c r="CJ14" s="117"/>
      <c r="CK14" s="117"/>
      <c r="CL14" s="117"/>
      <c r="CM14" s="117"/>
      <c r="CN14" s="117"/>
      <c r="CO14" s="117"/>
      <c r="CP14" s="117"/>
      <c r="CQ14" s="117"/>
      <c r="CR14" s="117"/>
      <c r="CS14" s="117"/>
      <c r="CT14" s="117"/>
      <c r="CU14" s="117"/>
      <c r="CV14" s="117"/>
      <c r="CW14" s="117"/>
      <c r="CX14" s="117"/>
      <c r="CY14" s="117"/>
      <c r="CZ14" s="117"/>
      <c r="DA14" s="117"/>
      <c r="DB14" s="117"/>
      <c r="DC14" s="117"/>
      <c r="DD14" s="117"/>
      <c r="DE14" s="117"/>
      <c r="DF14" s="117"/>
      <c r="DG14" s="117"/>
      <c r="DH14" s="117"/>
      <c r="DI14" s="117"/>
      <c r="DJ14" s="117"/>
      <c r="DK14" s="117"/>
      <c r="DL14" s="117"/>
      <c r="DM14" s="117"/>
      <c r="DN14" s="117"/>
      <c r="DO14" s="117"/>
      <c r="DP14" s="117"/>
      <c r="DQ14" s="117"/>
      <c r="DR14" s="117"/>
      <c r="DS14" s="117"/>
      <c r="DT14" s="117"/>
      <c r="DU14" s="117"/>
      <c r="DV14" s="117"/>
      <c r="DW14" s="117"/>
      <c r="DX14" s="117"/>
      <c r="DY14" s="117"/>
      <c r="DZ14" s="117"/>
      <c r="EA14" s="117"/>
      <c r="EB14" s="117"/>
      <c r="EC14" s="117"/>
      <c r="ED14" s="117"/>
      <c r="EE14" s="117"/>
      <c r="EF14" s="117"/>
      <c r="EG14" s="117"/>
      <c r="EH14" s="117"/>
      <c r="EI14" s="117"/>
      <c r="EJ14" s="117"/>
      <c r="EK14" s="117"/>
      <c r="EL14" s="117"/>
      <c r="EM14" s="117"/>
      <c r="EN14" s="117"/>
      <c r="EO14" s="117"/>
      <c r="EP14" s="117"/>
      <c r="EQ14" s="117"/>
      <c r="ER14" s="117"/>
      <c r="ES14" s="117"/>
      <c r="ET14" s="117"/>
      <c r="EU14" s="117"/>
      <c r="EV14" s="117"/>
      <c r="EW14" s="117"/>
      <c r="EX14" s="117"/>
      <c r="EY14" s="117"/>
      <c r="EZ14" s="117"/>
      <c r="FA14" s="117"/>
      <c r="FB14" s="117"/>
      <c r="FC14" s="117"/>
      <c r="FD14" s="117"/>
      <c r="FE14" s="117"/>
      <c r="FF14" s="117"/>
      <c r="FG14" s="117"/>
      <c r="FH14" s="117"/>
      <c r="FI14" s="117"/>
      <c r="FJ14" s="117"/>
      <c r="FK14" s="117"/>
      <c r="FL14" s="117"/>
      <c r="FM14" s="117"/>
      <c r="FN14" s="117"/>
      <c r="FO14" s="117"/>
      <c r="FP14" s="117"/>
      <c r="FQ14" s="117"/>
      <c r="FR14" s="117"/>
      <c r="FS14" s="117"/>
      <c r="FT14" s="117"/>
      <c r="FU14" s="117"/>
      <c r="FV14" s="117"/>
      <c r="FW14" s="117"/>
      <c r="FX14" s="117"/>
      <c r="FY14" s="117"/>
      <c r="FZ14" s="117"/>
      <c r="GA14" s="117"/>
      <c r="GB14" s="117"/>
      <c r="GC14" s="117"/>
      <c r="GD14" s="117"/>
      <c r="GE14" s="117"/>
      <c r="GF14" s="117"/>
      <c r="GG14" s="117"/>
      <c r="GH14" s="117"/>
      <c r="GI14" s="117"/>
      <c r="GJ14" s="117"/>
      <c r="GK14" s="117"/>
      <c r="GL14" s="117"/>
      <c r="GM14" s="117"/>
      <c r="GN14" s="117"/>
      <c r="GO14" s="117"/>
      <c r="GP14" s="117"/>
      <c r="GQ14" s="117"/>
      <c r="GR14" s="117"/>
      <c r="GS14" s="117"/>
      <c r="GT14" s="117"/>
      <c r="GU14" s="117"/>
      <c r="GV14" s="117"/>
      <c r="GW14" s="117"/>
      <c r="GX14" s="117"/>
      <c r="GY14" s="117"/>
      <c r="GZ14" s="117"/>
      <c r="HA14" s="117"/>
      <c r="HB14" s="117"/>
      <c r="HC14" s="117"/>
      <c r="HD14" s="117"/>
      <c r="HE14" s="117"/>
      <c r="HF14" s="117"/>
      <c r="HG14" s="117"/>
      <c r="HH14" s="117"/>
      <c r="HI14" s="117"/>
      <c r="HJ14" s="117"/>
      <c r="HK14" s="117"/>
      <c r="HL14" s="117"/>
      <c r="HM14" s="117"/>
      <c r="HN14" s="117"/>
      <c r="HO14" s="117"/>
      <c r="HP14" s="117"/>
      <c r="HQ14" s="117"/>
      <c r="HR14" s="117"/>
      <c r="HS14" s="117"/>
      <c r="HT14" s="117"/>
      <c r="HU14" s="117"/>
      <c r="HV14" s="117"/>
      <c r="HW14" s="117"/>
      <c r="HX14" s="117"/>
      <c r="HY14" s="117"/>
      <c r="HZ14" s="117"/>
      <c r="IA14" s="117"/>
      <c r="IB14" s="117"/>
      <c r="IC14" s="117"/>
      <c r="ID14" s="117"/>
      <c r="IE14" s="117"/>
      <c r="IF14" s="117"/>
      <c r="IG14" s="117"/>
      <c r="IH14" s="117"/>
      <c r="II14" s="117"/>
      <c r="IJ14" s="117"/>
      <c r="IK14" s="117"/>
      <c r="IL14" s="117"/>
      <c r="IM14" s="117"/>
      <c r="IN14" s="117"/>
      <c r="IO14" s="117"/>
      <c r="IP14" s="117"/>
      <c r="IQ14" s="117"/>
      <c r="IR14" s="117"/>
      <c r="IS14" s="117"/>
      <c r="IT14" s="117"/>
      <c r="IU14" s="117"/>
      <c r="IV14" s="117"/>
    </row>
    <row r="15" spans="1:256" s="126" customFormat="1" ht="13">
      <c r="A15" s="127" t="str">
        <f>'1-成本过渡'!A20</f>
        <v>人防车位</v>
      </c>
      <c r="B15" s="128" t="s">
        <v>255</v>
      </c>
      <c r="C15" s="129">
        <f>SUM(H15:BQ15)</f>
        <v>9409.4599999999991</v>
      </c>
      <c r="D15" s="2223"/>
      <c r="E15" s="2223"/>
      <c r="F15" s="2223"/>
      <c r="G15" s="2223"/>
      <c r="H15" s="2223"/>
      <c r="I15" s="2223"/>
      <c r="J15" s="2223"/>
      <c r="K15" s="2225"/>
      <c r="L15" s="2223"/>
      <c r="M15" s="2223"/>
      <c r="N15" s="2223"/>
      <c r="O15" s="2223"/>
      <c r="P15" s="2223"/>
      <c r="Q15" s="2223"/>
      <c r="R15" s="2223"/>
      <c r="S15" s="2223"/>
      <c r="T15" s="2223"/>
      <c r="U15" s="2223"/>
      <c r="V15" s="2223"/>
      <c r="W15" s="2223"/>
      <c r="X15" s="2223"/>
      <c r="Y15" s="2223"/>
      <c r="Z15" s="2223"/>
      <c r="AA15" s="2223"/>
      <c r="AB15" s="2223"/>
      <c r="AC15" s="2223"/>
      <c r="AD15" s="2223"/>
      <c r="AE15" s="2223"/>
      <c r="AF15" s="2223"/>
      <c r="AG15" s="2223"/>
      <c r="AH15" s="2223"/>
      <c r="AI15" s="2223"/>
      <c r="AJ15" s="2223"/>
      <c r="AK15" s="2223"/>
      <c r="AL15" s="2223">
        <v>900</v>
      </c>
      <c r="AM15" s="2223">
        <v>300</v>
      </c>
      <c r="AN15" s="2223">
        <v>300</v>
      </c>
      <c r="AO15" s="2223">
        <v>300</v>
      </c>
      <c r="AP15" s="2223">
        <v>300</v>
      </c>
      <c r="AQ15" s="2223">
        <v>300</v>
      </c>
      <c r="AR15" s="131">
        <v>300</v>
      </c>
      <c r="AS15" s="131">
        <v>300</v>
      </c>
      <c r="AT15" s="131">
        <v>300</v>
      </c>
      <c r="AU15" s="131">
        <v>400</v>
      </c>
      <c r="AV15" s="131">
        <v>100</v>
      </c>
      <c r="AW15" s="131">
        <v>100</v>
      </c>
      <c r="AX15" s="131">
        <v>450</v>
      </c>
      <c r="AY15" s="131">
        <v>400</v>
      </c>
      <c r="AZ15" s="131">
        <v>300</v>
      </c>
      <c r="BA15" s="131">
        <v>300</v>
      </c>
      <c r="BB15" s="131">
        <v>400</v>
      </c>
      <c r="BC15" s="131">
        <v>400</v>
      </c>
      <c r="BD15" s="131">
        <v>400</v>
      </c>
      <c r="BE15" s="131">
        <v>1000</v>
      </c>
      <c r="BF15" s="131">
        <v>1000</v>
      </c>
      <c r="BG15" s="131">
        <f>'全期规划指标 '!I41-SUM(销售计划!AL15:BF15)</f>
        <v>859.45999999999913</v>
      </c>
      <c r="BH15" s="131"/>
      <c r="BI15" s="131"/>
      <c r="BJ15" s="131"/>
      <c r="BK15" s="131"/>
      <c r="BL15" s="131"/>
      <c r="BM15" s="131"/>
      <c r="BN15" s="131"/>
      <c r="BO15" s="131"/>
      <c r="BP15" s="131"/>
      <c r="BQ15" s="131"/>
    </row>
    <row r="16" spans="1:256" s="126" customFormat="1" ht="13">
      <c r="A16" s="127"/>
      <c r="B16" s="128" t="s">
        <v>253</v>
      </c>
      <c r="C16" s="129">
        <f>IF(C15&gt;0,C17/C15*10000,0)</f>
        <v>2079.0000000000005</v>
      </c>
      <c r="D16" s="2223"/>
      <c r="E16" s="2223"/>
      <c r="F16" s="129"/>
      <c r="G16" s="129"/>
      <c r="H16" s="2223"/>
      <c r="I16" s="2223"/>
      <c r="J16" s="2223"/>
      <c r="K16" s="2225"/>
      <c r="L16" s="2223"/>
      <c r="M16" s="2223"/>
      <c r="N16" s="2223"/>
      <c r="O16" s="2223"/>
      <c r="P16" s="2223"/>
      <c r="Q16" s="2223"/>
      <c r="R16" s="2223"/>
      <c r="S16" s="2223"/>
      <c r="T16" s="2223"/>
      <c r="U16" s="2223"/>
      <c r="V16" s="2223"/>
      <c r="W16" s="2223"/>
      <c r="X16" s="2223"/>
      <c r="Y16" s="2223"/>
      <c r="Z16" s="2223"/>
      <c r="AA16" s="2223"/>
      <c r="AB16" s="2223"/>
      <c r="AC16" s="2223"/>
      <c r="AD16" s="2223"/>
      <c r="AE16" s="2223"/>
      <c r="AF16" s="2232"/>
      <c r="AG16" s="2223"/>
      <c r="AH16" s="2223"/>
      <c r="AI16" s="2223"/>
      <c r="AJ16" s="2223"/>
      <c r="AK16" s="2223"/>
      <c r="AL16" s="2223">
        <v>2079</v>
      </c>
      <c r="AM16" s="2223">
        <v>2079</v>
      </c>
      <c r="AN16" s="2223">
        <v>2079</v>
      </c>
      <c r="AO16" s="2223">
        <v>2079</v>
      </c>
      <c r="AP16" s="2223">
        <v>2079</v>
      </c>
      <c r="AQ16" s="2223">
        <v>2079</v>
      </c>
      <c r="AR16" s="2223">
        <v>2079</v>
      </c>
      <c r="AS16" s="2223">
        <v>2079</v>
      </c>
      <c r="AT16" s="2223">
        <v>2079</v>
      </c>
      <c r="AU16" s="2223">
        <v>2079</v>
      </c>
      <c r="AV16" s="2223">
        <v>2079</v>
      </c>
      <c r="AW16" s="2223">
        <v>2079</v>
      </c>
      <c r="AX16" s="2223">
        <v>2079</v>
      </c>
      <c r="AY16" s="2223">
        <v>2079</v>
      </c>
      <c r="AZ16" s="2223">
        <v>2079</v>
      </c>
      <c r="BA16" s="2223">
        <v>2079</v>
      </c>
      <c r="BB16" s="2223">
        <v>2079</v>
      </c>
      <c r="BC16" s="2223">
        <v>2079</v>
      </c>
      <c r="BD16" s="2223">
        <v>2079</v>
      </c>
      <c r="BE16" s="2223">
        <v>2079</v>
      </c>
      <c r="BF16" s="2223">
        <v>2079</v>
      </c>
      <c r="BG16" s="2223">
        <v>2079</v>
      </c>
      <c r="BH16" s="2223"/>
      <c r="BI16" s="2223"/>
      <c r="BJ16" s="2223"/>
      <c r="BK16" s="2223"/>
      <c r="BL16" s="2223"/>
      <c r="BM16" s="2223"/>
      <c r="BN16" s="2223"/>
      <c r="BO16" s="2223"/>
      <c r="BP16" s="2223"/>
      <c r="BQ16" s="2223"/>
    </row>
    <row r="17" spans="1:256" s="2224" customFormat="1">
      <c r="A17" s="132"/>
      <c r="B17" s="133" t="s">
        <v>254</v>
      </c>
      <c r="C17" s="133">
        <f>SUM(D17:BQ17)</f>
        <v>1956.2267340000001</v>
      </c>
      <c r="D17" s="133"/>
      <c r="E17" s="133"/>
      <c r="F17" s="133"/>
      <c r="G17" s="133"/>
      <c r="H17" s="133"/>
      <c r="I17" s="133"/>
      <c r="J17" s="133">
        <f>J15*J16/10000</f>
        <v>0</v>
      </c>
      <c r="K17" s="134">
        <f t="shared" ref="K17:AS17" si="20">K15*K16/10000</f>
        <v>0</v>
      </c>
      <c r="L17" s="134">
        <f t="shared" si="20"/>
        <v>0</v>
      </c>
      <c r="M17" s="134">
        <f t="shared" si="20"/>
        <v>0</v>
      </c>
      <c r="N17" s="134">
        <f t="shared" si="20"/>
        <v>0</v>
      </c>
      <c r="O17" s="134">
        <f t="shared" si="20"/>
        <v>0</v>
      </c>
      <c r="P17" s="134">
        <f t="shared" si="20"/>
        <v>0</v>
      </c>
      <c r="Q17" s="134">
        <f t="shared" si="20"/>
        <v>0</v>
      </c>
      <c r="R17" s="134">
        <f t="shared" ref="R17:AA17" si="21">R15*R16/10000</f>
        <v>0</v>
      </c>
      <c r="S17" s="134">
        <f t="shared" si="21"/>
        <v>0</v>
      </c>
      <c r="T17" s="134">
        <f t="shared" si="21"/>
        <v>0</v>
      </c>
      <c r="U17" s="134">
        <f t="shared" si="21"/>
        <v>0</v>
      </c>
      <c r="V17" s="134">
        <f t="shared" si="21"/>
        <v>0</v>
      </c>
      <c r="W17" s="134">
        <f t="shared" si="21"/>
        <v>0</v>
      </c>
      <c r="X17" s="134">
        <f t="shared" si="21"/>
        <v>0</v>
      </c>
      <c r="Y17" s="134">
        <f t="shared" si="21"/>
        <v>0</v>
      </c>
      <c r="Z17" s="134">
        <f t="shared" si="21"/>
        <v>0</v>
      </c>
      <c r="AA17" s="134">
        <f t="shared" si="21"/>
        <v>0</v>
      </c>
      <c r="AB17" s="134">
        <f t="shared" si="20"/>
        <v>0</v>
      </c>
      <c r="AC17" s="134">
        <f t="shared" si="20"/>
        <v>0</v>
      </c>
      <c r="AD17" s="134">
        <f>AD15*AD16/10000</f>
        <v>0</v>
      </c>
      <c r="AE17" s="134">
        <f>AE15*AE16/10000</f>
        <v>0</v>
      </c>
      <c r="AF17" s="134">
        <f>AF15*AF16/10000</f>
        <v>0</v>
      </c>
      <c r="AG17" s="134">
        <f>AG15*AG16/10000</f>
        <v>0</v>
      </c>
      <c r="AH17" s="134">
        <f t="shared" si="20"/>
        <v>0</v>
      </c>
      <c r="AI17" s="134">
        <f t="shared" si="20"/>
        <v>0</v>
      </c>
      <c r="AJ17" s="134">
        <f t="shared" si="20"/>
        <v>0</v>
      </c>
      <c r="AK17" s="134">
        <f t="shared" si="20"/>
        <v>0</v>
      </c>
      <c r="AL17" s="134">
        <f t="shared" si="20"/>
        <v>187.11</v>
      </c>
      <c r="AM17" s="134">
        <f t="shared" si="20"/>
        <v>62.37</v>
      </c>
      <c r="AN17" s="134">
        <f t="shared" si="20"/>
        <v>62.37</v>
      </c>
      <c r="AO17" s="134">
        <f t="shared" si="20"/>
        <v>62.37</v>
      </c>
      <c r="AP17" s="134">
        <f t="shared" si="20"/>
        <v>62.37</v>
      </c>
      <c r="AQ17" s="134">
        <f t="shared" si="20"/>
        <v>62.37</v>
      </c>
      <c r="AR17" s="134">
        <f t="shared" si="20"/>
        <v>62.37</v>
      </c>
      <c r="AS17" s="134">
        <f t="shared" si="20"/>
        <v>62.37</v>
      </c>
      <c r="AT17" s="134">
        <f t="shared" ref="AT17:BQ17" si="22">AT15*AT16/10000</f>
        <v>62.37</v>
      </c>
      <c r="AU17" s="134">
        <f t="shared" si="22"/>
        <v>83.16</v>
      </c>
      <c r="AV17" s="134">
        <f t="shared" si="22"/>
        <v>20.79</v>
      </c>
      <c r="AW17" s="134">
        <f t="shared" si="22"/>
        <v>20.79</v>
      </c>
      <c r="AX17" s="134">
        <f t="shared" si="22"/>
        <v>93.555000000000007</v>
      </c>
      <c r="AY17" s="134">
        <f t="shared" si="22"/>
        <v>83.16</v>
      </c>
      <c r="AZ17" s="134">
        <f t="shared" si="22"/>
        <v>62.37</v>
      </c>
      <c r="BA17" s="134">
        <f t="shared" si="22"/>
        <v>62.37</v>
      </c>
      <c r="BB17" s="134">
        <f t="shared" si="22"/>
        <v>83.16</v>
      </c>
      <c r="BC17" s="134">
        <f t="shared" si="22"/>
        <v>83.16</v>
      </c>
      <c r="BD17" s="134">
        <f t="shared" si="22"/>
        <v>83.16</v>
      </c>
      <c r="BE17" s="134">
        <f t="shared" si="22"/>
        <v>207.9</v>
      </c>
      <c r="BF17" s="134">
        <f t="shared" si="22"/>
        <v>207.9</v>
      </c>
      <c r="BG17" s="134">
        <f t="shared" si="22"/>
        <v>178.68173399999984</v>
      </c>
      <c r="BH17" s="134">
        <f t="shared" si="22"/>
        <v>0</v>
      </c>
      <c r="BI17" s="134">
        <f t="shared" si="22"/>
        <v>0</v>
      </c>
      <c r="BJ17" s="134">
        <f t="shared" si="22"/>
        <v>0</v>
      </c>
      <c r="BK17" s="134">
        <f t="shared" si="22"/>
        <v>0</v>
      </c>
      <c r="BL17" s="134">
        <f t="shared" si="22"/>
        <v>0</v>
      </c>
      <c r="BM17" s="134">
        <f t="shared" si="22"/>
        <v>0</v>
      </c>
      <c r="BN17" s="134">
        <f t="shared" si="22"/>
        <v>0</v>
      </c>
      <c r="BO17" s="134">
        <f t="shared" si="22"/>
        <v>0</v>
      </c>
      <c r="BP17" s="134">
        <f t="shared" si="22"/>
        <v>0</v>
      </c>
      <c r="BQ17" s="134">
        <f t="shared" si="22"/>
        <v>0</v>
      </c>
      <c r="BR17" s="117"/>
      <c r="BS17" s="117"/>
      <c r="BT17" s="117"/>
      <c r="BU17" s="117"/>
      <c r="BV17" s="117"/>
      <c r="BW17" s="117"/>
      <c r="BX17" s="117"/>
      <c r="BY17" s="117"/>
      <c r="BZ17" s="117"/>
      <c r="CA17" s="117"/>
      <c r="CB17" s="117"/>
      <c r="CC17" s="117"/>
      <c r="CD17" s="117"/>
      <c r="CE17" s="117"/>
      <c r="CF17" s="117"/>
      <c r="CG17" s="117"/>
      <c r="CH17" s="117"/>
      <c r="CI17" s="117"/>
      <c r="CJ17" s="117"/>
      <c r="CK17" s="117"/>
      <c r="CL17" s="117"/>
      <c r="CM17" s="117"/>
      <c r="CN17" s="117"/>
      <c r="CO17" s="117"/>
      <c r="CP17" s="117"/>
      <c r="CQ17" s="117"/>
      <c r="CR17" s="117"/>
      <c r="CS17" s="117"/>
      <c r="CT17" s="117"/>
      <c r="CU17" s="117"/>
      <c r="CV17" s="117"/>
      <c r="CW17" s="117"/>
      <c r="CX17" s="117"/>
      <c r="CY17" s="117"/>
      <c r="CZ17" s="117"/>
      <c r="DA17" s="117"/>
      <c r="DB17" s="117"/>
      <c r="DC17" s="117"/>
      <c r="DD17" s="117"/>
      <c r="DE17" s="117"/>
      <c r="DF17" s="117"/>
      <c r="DG17" s="117"/>
      <c r="DH17" s="117"/>
      <c r="DI17" s="117"/>
      <c r="DJ17" s="117"/>
      <c r="DK17" s="117"/>
      <c r="DL17" s="117"/>
      <c r="DM17" s="117"/>
      <c r="DN17" s="117"/>
      <c r="DO17" s="117"/>
      <c r="DP17" s="117"/>
      <c r="DQ17" s="117"/>
      <c r="DR17" s="117"/>
      <c r="DS17" s="117"/>
      <c r="DT17" s="117"/>
      <c r="DU17" s="117"/>
      <c r="DV17" s="117"/>
      <c r="DW17" s="117"/>
      <c r="DX17" s="117"/>
      <c r="DY17" s="117"/>
      <c r="DZ17" s="117"/>
      <c r="EA17" s="117"/>
      <c r="EB17" s="117"/>
      <c r="EC17" s="117"/>
      <c r="ED17" s="117"/>
      <c r="EE17" s="117"/>
      <c r="EF17" s="117"/>
      <c r="EG17" s="117"/>
      <c r="EH17" s="117"/>
      <c r="EI17" s="117"/>
      <c r="EJ17" s="117"/>
      <c r="EK17" s="117"/>
      <c r="EL17" s="117"/>
      <c r="EM17" s="117"/>
      <c r="EN17" s="117"/>
      <c r="EO17" s="117"/>
      <c r="EP17" s="117"/>
      <c r="EQ17" s="117"/>
      <c r="ER17" s="117"/>
      <c r="ES17" s="117"/>
      <c r="ET17" s="117"/>
      <c r="EU17" s="117"/>
      <c r="EV17" s="117"/>
      <c r="EW17" s="117"/>
      <c r="EX17" s="117"/>
      <c r="EY17" s="117"/>
      <c r="EZ17" s="117"/>
      <c r="FA17" s="117"/>
      <c r="FB17" s="117"/>
      <c r="FC17" s="117"/>
      <c r="FD17" s="117"/>
      <c r="FE17" s="117"/>
      <c r="FF17" s="117"/>
      <c r="FG17" s="117"/>
      <c r="FH17" s="117"/>
      <c r="FI17" s="117"/>
      <c r="FJ17" s="117"/>
      <c r="FK17" s="117"/>
      <c r="FL17" s="117"/>
      <c r="FM17" s="117"/>
      <c r="FN17" s="117"/>
      <c r="FO17" s="117"/>
      <c r="FP17" s="117"/>
      <c r="FQ17" s="117"/>
      <c r="FR17" s="117"/>
      <c r="FS17" s="117"/>
      <c r="FT17" s="117"/>
      <c r="FU17" s="117"/>
      <c r="FV17" s="117"/>
      <c r="FW17" s="117"/>
      <c r="FX17" s="117"/>
      <c r="FY17" s="117"/>
      <c r="FZ17" s="117"/>
      <c r="GA17" s="117"/>
      <c r="GB17" s="117"/>
      <c r="GC17" s="117"/>
      <c r="GD17" s="117"/>
      <c r="GE17" s="117"/>
      <c r="GF17" s="117"/>
      <c r="GG17" s="117"/>
      <c r="GH17" s="117"/>
      <c r="GI17" s="117"/>
      <c r="GJ17" s="117"/>
      <c r="GK17" s="117"/>
      <c r="GL17" s="117"/>
      <c r="GM17" s="117"/>
      <c r="GN17" s="117"/>
      <c r="GO17" s="117"/>
      <c r="GP17" s="117"/>
      <c r="GQ17" s="117"/>
      <c r="GR17" s="117"/>
      <c r="GS17" s="117"/>
      <c r="GT17" s="117"/>
      <c r="GU17" s="117"/>
      <c r="GV17" s="117"/>
      <c r="GW17" s="117"/>
      <c r="GX17" s="117"/>
      <c r="GY17" s="117"/>
      <c r="GZ17" s="117"/>
      <c r="HA17" s="117"/>
      <c r="HB17" s="117"/>
      <c r="HC17" s="117"/>
      <c r="HD17" s="117"/>
      <c r="HE17" s="117"/>
      <c r="HF17" s="117"/>
      <c r="HG17" s="117"/>
      <c r="HH17" s="117"/>
      <c r="HI17" s="117"/>
      <c r="HJ17" s="117"/>
      <c r="HK17" s="117"/>
      <c r="HL17" s="117"/>
      <c r="HM17" s="117"/>
      <c r="HN17" s="117"/>
      <c r="HO17" s="117"/>
      <c r="HP17" s="117"/>
      <c r="HQ17" s="117"/>
      <c r="HR17" s="117"/>
      <c r="HS17" s="117"/>
      <c r="HT17" s="117"/>
      <c r="HU17" s="117"/>
      <c r="HV17" s="117"/>
      <c r="HW17" s="117"/>
      <c r="HX17" s="117"/>
      <c r="HY17" s="117"/>
      <c r="HZ17" s="117"/>
      <c r="IA17" s="117"/>
      <c r="IB17" s="117"/>
      <c r="IC17" s="117"/>
      <c r="ID17" s="117"/>
      <c r="IE17" s="117"/>
      <c r="IF17" s="117"/>
      <c r="IG17" s="117"/>
      <c r="IH17" s="117"/>
      <c r="II17" s="117"/>
      <c r="IJ17" s="117"/>
      <c r="IK17" s="117"/>
      <c r="IL17" s="117"/>
      <c r="IM17" s="117"/>
      <c r="IN17" s="117"/>
      <c r="IO17" s="117"/>
      <c r="IP17" s="117"/>
      <c r="IQ17" s="117"/>
      <c r="IR17" s="117"/>
      <c r="IS17" s="117"/>
      <c r="IT17" s="117"/>
      <c r="IU17" s="117"/>
      <c r="IV17" s="117"/>
    </row>
    <row r="18" spans="1:256" s="2224" customFormat="1" ht="12.65" customHeight="1">
      <c r="A18" s="127" t="str">
        <f>'1-成本过渡'!A21</f>
        <v>人才公寓26F（可售、T7）</v>
      </c>
      <c r="B18" s="128" t="s">
        <v>255</v>
      </c>
      <c r="C18" s="129">
        <f>SUM(H18:BQ18)</f>
        <v>0</v>
      </c>
      <c r="D18" s="2223"/>
      <c r="E18" s="2223"/>
      <c r="F18" s="2223"/>
      <c r="G18" s="2223"/>
      <c r="H18" s="2223"/>
      <c r="I18" s="2223"/>
      <c r="J18" s="2223"/>
      <c r="K18" s="2225"/>
      <c r="L18" s="2223"/>
      <c r="M18" s="2223"/>
      <c r="N18" s="2223"/>
      <c r="O18" s="2223"/>
      <c r="P18" s="2223"/>
      <c r="Q18" s="2223"/>
      <c r="R18" s="2223"/>
      <c r="S18" s="2223"/>
      <c r="T18" s="2223"/>
      <c r="U18" s="2223"/>
      <c r="V18" s="2223"/>
      <c r="W18" s="2223"/>
      <c r="X18" s="2223"/>
      <c r="Y18" s="2223"/>
      <c r="Z18" s="2223"/>
      <c r="AA18" s="2223"/>
      <c r="AB18" s="2223"/>
      <c r="AC18" s="2223"/>
      <c r="AD18" s="2223"/>
      <c r="AE18" s="2223"/>
      <c r="AF18" s="2223"/>
      <c r="AG18" s="2223"/>
      <c r="AH18" s="2223"/>
      <c r="AI18" s="2223"/>
      <c r="AJ18" s="2223"/>
      <c r="AK18" s="2223"/>
      <c r="AL18" s="2223"/>
      <c r="AM18" s="2223"/>
      <c r="AN18" s="2223"/>
      <c r="AO18" s="2223"/>
      <c r="AP18" s="2223"/>
      <c r="AQ18" s="2223"/>
      <c r="AR18" s="2223"/>
      <c r="AS18" s="2223"/>
      <c r="AT18" s="2223"/>
      <c r="AU18" s="2223"/>
      <c r="AV18" s="2223"/>
      <c r="AW18" s="2223"/>
      <c r="AX18" s="2223"/>
      <c r="AY18" s="2223"/>
      <c r="AZ18" s="2223"/>
      <c r="BA18" s="2223"/>
      <c r="BB18" s="2223"/>
      <c r="BC18" s="2223"/>
      <c r="BD18" s="2223"/>
      <c r="BE18" s="2223"/>
      <c r="BF18" s="2223"/>
      <c r="BG18" s="2223"/>
      <c r="BH18" s="2223"/>
      <c r="BI18" s="2223"/>
      <c r="BJ18" s="2223"/>
      <c r="BK18" s="2223"/>
      <c r="BL18" s="2223"/>
      <c r="BM18" s="2223"/>
      <c r="BN18" s="2223"/>
      <c r="BO18" s="2223"/>
      <c r="BP18" s="2223"/>
      <c r="BQ18" s="2223"/>
      <c r="BR18" s="117"/>
      <c r="BS18" s="117"/>
      <c r="BT18" s="117"/>
      <c r="BU18" s="117"/>
      <c r="BV18" s="117"/>
      <c r="BW18" s="117"/>
      <c r="BX18" s="117"/>
      <c r="BY18" s="117"/>
      <c r="BZ18" s="117"/>
      <c r="CA18" s="117"/>
      <c r="CB18" s="117"/>
      <c r="CC18" s="117"/>
      <c r="CD18" s="117"/>
      <c r="CE18" s="117"/>
      <c r="CF18" s="117"/>
      <c r="CG18" s="117"/>
      <c r="CH18" s="117"/>
      <c r="CI18" s="117"/>
      <c r="CJ18" s="117"/>
      <c r="CK18" s="117"/>
      <c r="CL18" s="117"/>
      <c r="CM18" s="117"/>
      <c r="CN18" s="117"/>
      <c r="CO18" s="117"/>
      <c r="CP18" s="117"/>
      <c r="CQ18" s="117"/>
      <c r="CR18" s="117"/>
      <c r="CS18" s="117"/>
      <c r="CT18" s="117"/>
      <c r="CU18" s="117"/>
      <c r="CV18" s="117"/>
      <c r="CW18" s="117"/>
      <c r="CX18" s="117"/>
      <c r="CY18" s="117"/>
      <c r="CZ18" s="117"/>
      <c r="DA18" s="117"/>
      <c r="DB18" s="117"/>
      <c r="DC18" s="117"/>
      <c r="DD18" s="117"/>
      <c r="DE18" s="117"/>
      <c r="DF18" s="117"/>
      <c r="DG18" s="117"/>
      <c r="DH18" s="117"/>
      <c r="DI18" s="117"/>
      <c r="DJ18" s="117"/>
      <c r="DK18" s="117"/>
      <c r="DL18" s="117"/>
      <c r="DM18" s="117"/>
      <c r="DN18" s="117"/>
      <c r="DO18" s="117"/>
      <c r="DP18" s="117"/>
      <c r="DQ18" s="117"/>
      <c r="DR18" s="117"/>
      <c r="DS18" s="117"/>
      <c r="DT18" s="117"/>
      <c r="DU18" s="117"/>
      <c r="DV18" s="117"/>
      <c r="DW18" s="117"/>
      <c r="DX18" s="117"/>
      <c r="DY18" s="117"/>
      <c r="DZ18" s="117"/>
      <c r="EA18" s="117"/>
      <c r="EB18" s="117"/>
      <c r="EC18" s="117"/>
      <c r="ED18" s="117"/>
      <c r="EE18" s="117"/>
      <c r="EF18" s="117"/>
      <c r="EG18" s="117"/>
      <c r="EH18" s="117"/>
      <c r="EI18" s="117"/>
      <c r="EJ18" s="117"/>
      <c r="EK18" s="117"/>
      <c r="EL18" s="117"/>
      <c r="EM18" s="117"/>
      <c r="EN18" s="117"/>
      <c r="EO18" s="117"/>
      <c r="EP18" s="117"/>
      <c r="EQ18" s="117"/>
      <c r="ER18" s="117"/>
      <c r="ES18" s="117"/>
      <c r="ET18" s="117"/>
      <c r="EU18" s="117"/>
      <c r="EV18" s="117"/>
      <c r="EW18" s="117"/>
      <c r="EX18" s="117"/>
      <c r="EY18" s="117"/>
      <c r="EZ18" s="117"/>
      <c r="FA18" s="117"/>
      <c r="FB18" s="117"/>
      <c r="FC18" s="117"/>
      <c r="FD18" s="117"/>
      <c r="FE18" s="117"/>
      <c r="FF18" s="117"/>
      <c r="FG18" s="117"/>
      <c r="FH18" s="117"/>
      <c r="FI18" s="117"/>
      <c r="FJ18" s="117"/>
      <c r="FK18" s="117"/>
      <c r="FL18" s="117"/>
      <c r="FM18" s="117"/>
      <c r="FN18" s="117"/>
      <c r="FO18" s="117"/>
      <c r="FP18" s="117"/>
      <c r="FQ18" s="117"/>
      <c r="FR18" s="117"/>
      <c r="FS18" s="117"/>
      <c r="FT18" s="117"/>
      <c r="FU18" s="117"/>
      <c r="FV18" s="117"/>
      <c r="FW18" s="117"/>
      <c r="FX18" s="117"/>
      <c r="FY18" s="117"/>
      <c r="FZ18" s="117"/>
      <c r="GA18" s="117"/>
      <c r="GB18" s="117"/>
      <c r="GC18" s="117"/>
      <c r="GD18" s="117"/>
      <c r="GE18" s="117"/>
      <c r="GF18" s="117"/>
      <c r="GG18" s="117"/>
      <c r="GH18" s="117"/>
      <c r="GI18" s="117"/>
      <c r="GJ18" s="117"/>
      <c r="GK18" s="117"/>
      <c r="GL18" s="117"/>
      <c r="GM18" s="117"/>
      <c r="GN18" s="117"/>
      <c r="GO18" s="117"/>
      <c r="GP18" s="117"/>
      <c r="GQ18" s="117"/>
      <c r="GR18" s="117"/>
      <c r="GS18" s="117"/>
      <c r="GT18" s="117"/>
      <c r="GU18" s="117"/>
      <c r="GV18" s="117"/>
      <c r="GW18" s="117"/>
      <c r="GX18" s="117"/>
      <c r="GY18" s="117"/>
      <c r="GZ18" s="117"/>
      <c r="HA18" s="117"/>
      <c r="HB18" s="117"/>
      <c r="HC18" s="117"/>
      <c r="HD18" s="117"/>
      <c r="HE18" s="117"/>
      <c r="HF18" s="117"/>
      <c r="HG18" s="117"/>
      <c r="HH18" s="117"/>
      <c r="HI18" s="117"/>
      <c r="HJ18" s="117"/>
      <c r="HK18" s="117"/>
      <c r="HL18" s="117"/>
      <c r="HM18" s="117"/>
      <c r="HN18" s="117"/>
      <c r="HO18" s="117"/>
      <c r="HP18" s="117"/>
      <c r="HQ18" s="117"/>
      <c r="HR18" s="117"/>
      <c r="HS18" s="117"/>
      <c r="HT18" s="117"/>
      <c r="HU18" s="117"/>
      <c r="HV18" s="117"/>
      <c r="HW18" s="117"/>
      <c r="HX18" s="117"/>
      <c r="HY18" s="117"/>
      <c r="HZ18" s="117"/>
      <c r="IA18" s="117"/>
      <c r="IB18" s="117"/>
      <c r="IC18" s="117"/>
      <c r="ID18" s="117"/>
      <c r="IE18" s="117"/>
      <c r="IF18" s="117"/>
      <c r="IG18" s="117"/>
      <c r="IH18" s="117"/>
      <c r="II18" s="117"/>
      <c r="IJ18" s="117"/>
      <c r="IK18" s="117"/>
      <c r="IL18" s="117"/>
      <c r="IM18" s="117"/>
      <c r="IN18" s="117"/>
      <c r="IO18" s="117"/>
      <c r="IP18" s="117"/>
      <c r="IQ18" s="117"/>
      <c r="IR18" s="117"/>
      <c r="IS18" s="117"/>
      <c r="IT18" s="117"/>
      <c r="IU18" s="117"/>
      <c r="IV18" s="117"/>
    </row>
    <row r="19" spans="1:256" s="2224" customFormat="1" ht="13.25" customHeight="1">
      <c r="A19" s="127"/>
      <c r="B19" s="128" t="s">
        <v>253</v>
      </c>
      <c r="C19" s="129">
        <f>IF(C18&gt;0,C20/C18*10000,0)</f>
        <v>0</v>
      </c>
      <c r="D19" s="2223"/>
      <c r="E19" s="2223"/>
      <c r="F19" s="2223"/>
      <c r="G19" s="2223"/>
      <c r="H19" s="2223"/>
      <c r="I19" s="2223"/>
      <c r="J19" s="2223"/>
      <c r="K19" s="2225"/>
      <c r="L19" s="2223"/>
      <c r="M19" s="2223"/>
      <c r="N19" s="2226"/>
      <c r="O19" s="2223"/>
      <c r="P19" s="129"/>
      <c r="Q19" s="129"/>
      <c r="R19" s="129"/>
      <c r="S19" s="129"/>
      <c r="T19" s="129"/>
      <c r="U19" s="129"/>
      <c r="V19" s="129"/>
      <c r="W19" s="129"/>
      <c r="X19" s="129"/>
      <c r="Y19" s="2223"/>
      <c r="Z19" s="2223"/>
      <c r="AA19" s="2223"/>
      <c r="AB19" s="2223"/>
      <c r="AC19" s="2223"/>
      <c r="AD19" s="2223"/>
      <c r="AE19" s="2223"/>
      <c r="AF19" s="2223"/>
      <c r="AG19" s="2223"/>
      <c r="AH19" s="2223"/>
      <c r="AI19" s="2223"/>
      <c r="AJ19" s="2223"/>
      <c r="AK19" s="2223"/>
      <c r="AL19" s="2223"/>
      <c r="AM19" s="2223"/>
      <c r="AN19" s="2223"/>
      <c r="AO19" s="2223"/>
      <c r="AP19" s="2223"/>
      <c r="AQ19" s="2223"/>
      <c r="AR19" s="2223"/>
      <c r="AS19" s="2223"/>
      <c r="AT19" s="2223"/>
      <c r="AU19" s="2223"/>
      <c r="AV19" s="2223"/>
      <c r="AW19" s="2223"/>
      <c r="AX19" s="2223"/>
      <c r="AY19" s="2223"/>
      <c r="AZ19" s="2223"/>
      <c r="BA19" s="2223"/>
      <c r="BB19" s="2223"/>
      <c r="BC19" s="2223"/>
      <c r="BD19" s="2223"/>
      <c r="BE19" s="2223"/>
      <c r="BF19" s="2223"/>
      <c r="BG19" s="2223"/>
      <c r="BH19" s="2223"/>
      <c r="BI19" s="2223"/>
      <c r="BJ19" s="2223"/>
      <c r="BK19" s="2223"/>
      <c r="BL19" s="2223"/>
      <c r="BM19" s="2223"/>
      <c r="BN19" s="2223"/>
      <c r="BO19" s="2223"/>
      <c r="BP19" s="2223"/>
      <c r="BQ19" s="2223"/>
      <c r="BR19" s="117"/>
      <c r="BS19" s="117"/>
      <c r="BT19" s="117"/>
      <c r="BU19" s="117"/>
      <c r="BV19" s="117"/>
      <c r="BW19" s="117"/>
      <c r="BX19" s="117"/>
      <c r="BY19" s="117"/>
      <c r="BZ19" s="117"/>
      <c r="CA19" s="117"/>
      <c r="CB19" s="117"/>
      <c r="CC19" s="117"/>
      <c r="CD19" s="117"/>
      <c r="CE19" s="117"/>
      <c r="CF19" s="117"/>
      <c r="CG19" s="117"/>
      <c r="CH19" s="117"/>
      <c r="CI19" s="117"/>
      <c r="CJ19" s="117"/>
      <c r="CK19" s="117"/>
      <c r="CL19" s="117"/>
      <c r="CM19" s="117"/>
      <c r="CN19" s="117"/>
      <c r="CO19" s="117"/>
      <c r="CP19" s="117"/>
      <c r="CQ19" s="117"/>
      <c r="CR19" s="117"/>
      <c r="CS19" s="117"/>
      <c r="CT19" s="117"/>
      <c r="CU19" s="117"/>
      <c r="CV19" s="117"/>
      <c r="CW19" s="117"/>
      <c r="CX19" s="117"/>
      <c r="CY19" s="117"/>
      <c r="CZ19" s="117"/>
      <c r="DA19" s="117"/>
      <c r="DB19" s="117"/>
      <c r="DC19" s="117"/>
      <c r="DD19" s="117"/>
      <c r="DE19" s="117"/>
      <c r="DF19" s="117"/>
      <c r="DG19" s="117"/>
      <c r="DH19" s="117"/>
      <c r="DI19" s="117"/>
      <c r="DJ19" s="117"/>
      <c r="DK19" s="117"/>
      <c r="DL19" s="117"/>
      <c r="DM19" s="117"/>
      <c r="DN19" s="117"/>
      <c r="DO19" s="117"/>
      <c r="DP19" s="117"/>
      <c r="DQ19" s="117"/>
      <c r="DR19" s="117"/>
      <c r="DS19" s="117"/>
      <c r="DT19" s="117"/>
      <c r="DU19" s="117"/>
      <c r="DV19" s="117"/>
      <c r="DW19" s="117"/>
      <c r="DX19" s="117"/>
      <c r="DY19" s="117"/>
      <c r="DZ19" s="117"/>
      <c r="EA19" s="117"/>
      <c r="EB19" s="117"/>
      <c r="EC19" s="117"/>
      <c r="ED19" s="117"/>
      <c r="EE19" s="117"/>
      <c r="EF19" s="117"/>
      <c r="EG19" s="117"/>
      <c r="EH19" s="117"/>
      <c r="EI19" s="117"/>
      <c r="EJ19" s="117"/>
      <c r="EK19" s="117"/>
      <c r="EL19" s="117"/>
      <c r="EM19" s="117"/>
      <c r="EN19" s="117"/>
      <c r="EO19" s="117"/>
      <c r="EP19" s="117"/>
      <c r="EQ19" s="117"/>
      <c r="ER19" s="117"/>
      <c r="ES19" s="117"/>
      <c r="ET19" s="117"/>
      <c r="EU19" s="117"/>
      <c r="EV19" s="117"/>
      <c r="EW19" s="117"/>
      <c r="EX19" s="117"/>
      <c r="EY19" s="117"/>
      <c r="EZ19" s="117"/>
      <c r="FA19" s="117"/>
      <c r="FB19" s="117"/>
      <c r="FC19" s="117"/>
      <c r="FD19" s="117"/>
      <c r="FE19" s="117"/>
      <c r="FF19" s="117"/>
      <c r="FG19" s="117"/>
      <c r="FH19" s="117"/>
      <c r="FI19" s="117"/>
      <c r="FJ19" s="117"/>
      <c r="FK19" s="117"/>
      <c r="FL19" s="117"/>
      <c r="FM19" s="117"/>
      <c r="FN19" s="117"/>
      <c r="FO19" s="117"/>
      <c r="FP19" s="117"/>
      <c r="FQ19" s="117"/>
      <c r="FR19" s="117"/>
      <c r="FS19" s="117"/>
      <c r="FT19" s="117"/>
      <c r="FU19" s="117"/>
      <c r="FV19" s="117"/>
      <c r="FW19" s="117"/>
      <c r="FX19" s="117"/>
      <c r="FY19" s="117"/>
      <c r="FZ19" s="117"/>
      <c r="GA19" s="117"/>
      <c r="GB19" s="117"/>
      <c r="GC19" s="117"/>
      <c r="GD19" s="117"/>
      <c r="GE19" s="117"/>
      <c r="GF19" s="117"/>
      <c r="GG19" s="117"/>
      <c r="GH19" s="117"/>
      <c r="GI19" s="117"/>
      <c r="GJ19" s="117"/>
      <c r="GK19" s="117"/>
      <c r="GL19" s="117"/>
      <c r="GM19" s="117"/>
      <c r="GN19" s="117"/>
      <c r="GO19" s="117"/>
      <c r="GP19" s="117"/>
      <c r="GQ19" s="117"/>
      <c r="GR19" s="117"/>
      <c r="GS19" s="117"/>
      <c r="GT19" s="117"/>
      <c r="GU19" s="117"/>
      <c r="GV19" s="117"/>
      <c r="GW19" s="117"/>
      <c r="GX19" s="117"/>
      <c r="GY19" s="117"/>
      <c r="GZ19" s="117"/>
      <c r="HA19" s="117"/>
      <c r="HB19" s="117"/>
      <c r="HC19" s="117"/>
      <c r="HD19" s="117"/>
      <c r="HE19" s="117"/>
      <c r="HF19" s="117"/>
      <c r="HG19" s="117"/>
      <c r="HH19" s="117"/>
      <c r="HI19" s="117"/>
      <c r="HJ19" s="117"/>
      <c r="HK19" s="117"/>
      <c r="HL19" s="117"/>
      <c r="HM19" s="117"/>
      <c r="HN19" s="117"/>
      <c r="HO19" s="117"/>
      <c r="HP19" s="117"/>
      <c r="HQ19" s="117"/>
      <c r="HR19" s="117"/>
      <c r="HS19" s="117"/>
      <c r="HT19" s="117"/>
      <c r="HU19" s="117"/>
      <c r="HV19" s="117"/>
      <c r="HW19" s="117"/>
      <c r="HX19" s="117"/>
      <c r="HY19" s="117"/>
      <c r="HZ19" s="117"/>
      <c r="IA19" s="117"/>
      <c r="IB19" s="117"/>
      <c r="IC19" s="117"/>
      <c r="ID19" s="117"/>
      <c r="IE19" s="117"/>
      <c r="IF19" s="117"/>
      <c r="IG19" s="117"/>
      <c r="IH19" s="117"/>
      <c r="II19" s="117"/>
      <c r="IJ19" s="117"/>
      <c r="IK19" s="117"/>
      <c r="IL19" s="117"/>
      <c r="IM19" s="117"/>
      <c r="IN19" s="117"/>
      <c r="IO19" s="117"/>
      <c r="IP19" s="117"/>
      <c r="IQ19" s="117"/>
      <c r="IR19" s="117"/>
      <c r="IS19" s="117"/>
      <c r="IT19" s="117"/>
      <c r="IU19" s="117"/>
      <c r="IV19" s="117"/>
    </row>
    <row r="20" spans="1:256" s="2224" customFormat="1">
      <c r="A20" s="132"/>
      <c r="B20" s="133" t="s">
        <v>254</v>
      </c>
      <c r="C20" s="133">
        <f>SUM(D20:BQ20)</f>
        <v>0</v>
      </c>
      <c r="D20" s="133"/>
      <c r="E20" s="133"/>
      <c r="F20" s="133"/>
      <c r="G20" s="133"/>
      <c r="H20" s="133"/>
      <c r="I20" s="133"/>
      <c r="J20" s="133"/>
      <c r="K20" s="134">
        <f t="shared" ref="K20:AS20" si="23">K18*K19/10000</f>
        <v>0</v>
      </c>
      <c r="L20" s="134">
        <f t="shared" si="23"/>
        <v>0</v>
      </c>
      <c r="M20" s="134">
        <f t="shared" si="23"/>
        <v>0</v>
      </c>
      <c r="N20" s="134">
        <f t="shared" si="23"/>
        <v>0</v>
      </c>
      <c r="O20" s="134">
        <f t="shared" si="23"/>
        <v>0</v>
      </c>
      <c r="P20" s="134">
        <f t="shared" si="23"/>
        <v>0</v>
      </c>
      <c r="Q20" s="134">
        <f t="shared" si="23"/>
        <v>0</v>
      </c>
      <c r="R20" s="134">
        <f t="shared" ref="R20:AA20" si="24">R18*R19/10000</f>
        <v>0</v>
      </c>
      <c r="S20" s="134">
        <f t="shared" si="24"/>
        <v>0</v>
      </c>
      <c r="T20" s="134">
        <f t="shared" si="24"/>
        <v>0</v>
      </c>
      <c r="U20" s="134">
        <f t="shared" si="24"/>
        <v>0</v>
      </c>
      <c r="V20" s="134">
        <f t="shared" si="24"/>
        <v>0</v>
      </c>
      <c r="W20" s="134">
        <f t="shared" si="24"/>
        <v>0</v>
      </c>
      <c r="X20" s="134">
        <f t="shared" si="24"/>
        <v>0</v>
      </c>
      <c r="Y20" s="134">
        <f t="shared" si="24"/>
        <v>0</v>
      </c>
      <c r="Z20" s="134">
        <f t="shared" si="24"/>
        <v>0</v>
      </c>
      <c r="AA20" s="134">
        <f t="shared" si="24"/>
        <v>0</v>
      </c>
      <c r="AB20" s="134">
        <f t="shared" si="23"/>
        <v>0</v>
      </c>
      <c r="AC20" s="134">
        <f t="shared" si="23"/>
        <v>0</v>
      </c>
      <c r="AD20" s="134">
        <f t="shared" si="23"/>
        <v>0</v>
      </c>
      <c r="AE20" s="134">
        <f>AE18*AE19/10000</f>
        <v>0</v>
      </c>
      <c r="AF20" s="134">
        <f>AF18*AF19/10000</f>
        <v>0</v>
      </c>
      <c r="AG20" s="134">
        <f t="shared" si="23"/>
        <v>0</v>
      </c>
      <c r="AH20" s="134">
        <f t="shared" si="23"/>
        <v>0</v>
      </c>
      <c r="AI20" s="134">
        <f t="shared" si="23"/>
        <v>0</v>
      </c>
      <c r="AJ20" s="134">
        <f t="shared" si="23"/>
        <v>0</v>
      </c>
      <c r="AK20" s="134">
        <f t="shared" si="23"/>
        <v>0</v>
      </c>
      <c r="AL20" s="134">
        <f t="shared" si="23"/>
        <v>0</v>
      </c>
      <c r="AM20" s="134">
        <f t="shared" si="23"/>
        <v>0</v>
      </c>
      <c r="AN20" s="134">
        <f t="shared" si="23"/>
        <v>0</v>
      </c>
      <c r="AO20" s="134">
        <f t="shared" si="23"/>
        <v>0</v>
      </c>
      <c r="AP20" s="134">
        <f t="shared" si="23"/>
        <v>0</v>
      </c>
      <c r="AQ20" s="134">
        <f t="shared" si="23"/>
        <v>0</v>
      </c>
      <c r="AR20" s="134">
        <f t="shared" si="23"/>
        <v>0</v>
      </c>
      <c r="AS20" s="134">
        <f t="shared" si="23"/>
        <v>0</v>
      </c>
      <c r="AT20" s="134">
        <f t="shared" ref="AT20:BQ20" si="25">AT18*AT19/10000</f>
        <v>0</v>
      </c>
      <c r="AU20" s="134">
        <f t="shared" si="25"/>
        <v>0</v>
      </c>
      <c r="AV20" s="134">
        <f t="shared" si="25"/>
        <v>0</v>
      </c>
      <c r="AW20" s="134">
        <f t="shared" si="25"/>
        <v>0</v>
      </c>
      <c r="AX20" s="134">
        <f t="shared" si="25"/>
        <v>0</v>
      </c>
      <c r="AY20" s="134">
        <f t="shared" si="25"/>
        <v>0</v>
      </c>
      <c r="AZ20" s="134">
        <f t="shared" si="25"/>
        <v>0</v>
      </c>
      <c r="BA20" s="134">
        <f t="shared" si="25"/>
        <v>0</v>
      </c>
      <c r="BB20" s="134">
        <f t="shared" si="25"/>
        <v>0</v>
      </c>
      <c r="BC20" s="134">
        <f t="shared" si="25"/>
        <v>0</v>
      </c>
      <c r="BD20" s="134">
        <f t="shared" si="25"/>
        <v>0</v>
      </c>
      <c r="BE20" s="134">
        <f t="shared" si="25"/>
        <v>0</v>
      </c>
      <c r="BF20" s="134">
        <f t="shared" si="25"/>
        <v>0</v>
      </c>
      <c r="BG20" s="134">
        <f t="shared" si="25"/>
        <v>0</v>
      </c>
      <c r="BH20" s="134">
        <f t="shared" si="25"/>
        <v>0</v>
      </c>
      <c r="BI20" s="134">
        <f t="shared" si="25"/>
        <v>0</v>
      </c>
      <c r="BJ20" s="134">
        <f t="shared" si="25"/>
        <v>0</v>
      </c>
      <c r="BK20" s="134">
        <f t="shared" si="25"/>
        <v>0</v>
      </c>
      <c r="BL20" s="134">
        <f t="shared" si="25"/>
        <v>0</v>
      </c>
      <c r="BM20" s="134">
        <f t="shared" si="25"/>
        <v>0</v>
      </c>
      <c r="BN20" s="134">
        <f t="shared" si="25"/>
        <v>0</v>
      </c>
      <c r="BO20" s="134">
        <f t="shared" si="25"/>
        <v>0</v>
      </c>
      <c r="BP20" s="134">
        <f t="shared" si="25"/>
        <v>0</v>
      </c>
      <c r="BQ20" s="134">
        <f t="shared" si="25"/>
        <v>0</v>
      </c>
      <c r="BR20" s="117"/>
      <c r="BS20" s="117"/>
      <c r="BT20" s="117"/>
      <c r="BU20" s="117"/>
      <c r="BV20" s="117"/>
      <c r="BW20" s="117"/>
      <c r="BX20" s="117"/>
      <c r="BY20" s="117"/>
      <c r="BZ20" s="117"/>
      <c r="CA20" s="117"/>
      <c r="CB20" s="117"/>
      <c r="CC20" s="117"/>
      <c r="CD20" s="117"/>
      <c r="CE20" s="117"/>
      <c r="CF20" s="117"/>
      <c r="CG20" s="117"/>
      <c r="CH20" s="117"/>
      <c r="CI20" s="117"/>
      <c r="CJ20" s="117"/>
      <c r="CK20" s="117"/>
      <c r="CL20" s="117"/>
      <c r="CM20" s="117"/>
      <c r="CN20" s="117"/>
      <c r="CO20" s="117"/>
      <c r="CP20" s="117"/>
      <c r="CQ20" s="117"/>
      <c r="CR20" s="117"/>
      <c r="CS20" s="117"/>
      <c r="CT20" s="117"/>
      <c r="CU20" s="117"/>
      <c r="CV20" s="117"/>
      <c r="CW20" s="117"/>
      <c r="CX20" s="117"/>
      <c r="CY20" s="117"/>
      <c r="CZ20" s="117"/>
      <c r="DA20" s="117"/>
      <c r="DB20" s="117"/>
      <c r="DC20" s="117"/>
      <c r="DD20" s="117"/>
      <c r="DE20" s="117"/>
      <c r="DF20" s="117"/>
      <c r="DG20" s="117"/>
      <c r="DH20" s="117"/>
      <c r="DI20" s="117"/>
      <c r="DJ20" s="117"/>
      <c r="DK20" s="117"/>
      <c r="DL20" s="117"/>
      <c r="DM20" s="117"/>
      <c r="DN20" s="117"/>
      <c r="DO20" s="117"/>
      <c r="DP20" s="117"/>
      <c r="DQ20" s="117"/>
      <c r="DR20" s="117"/>
      <c r="DS20" s="117"/>
      <c r="DT20" s="117"/>
      <c r="DU20" s="117"/>
      <c r="DV20" s="117"/>
      <c r="DW20" s="117"/>
      <c r="DX20" s="117"/>
      <c r="DY20" s="117"/>
      <c r="DZ20" s="117"/>
      <c r="EA20" s="117"/>
      <c r="EB20" s="117"/>
      <c r="EC20" s="117"/>
      <c r="ED20" s="117"/>
      <c r="EE20" s="117"/>
      <c r="EF20" s="117"/>
      <c r="EG20" s="117"/>
      <c r="EH20" s="117"/>
      <c r="EI20" s="117"/>
      <c r="EJ20" s="117"/>
      <c r="EK20" s="117"/>
      <c r="EL20" s="117"/>
      <c r="EM20" s="117"/>
      <c r="EN20" s="117"/>
      <c r="EO20" s="117"/>
      <c r="EP20" s="117"/>
      <c r="EQ20" s="117"/>
      <c r="ER20" s="117"/>
      <c r="ES20" s="117"/>
      <c r="ET20" s="117"/>
      <c r="EU20" s="117"/>
      <c r="EV20" s="117"/>
      <c r="EW20" s="117"/>
      <c r="EX20" s="117"/>
      <c r="EY20" s="117"/>
      <c r="EZ20" s="117"/>
      <c r="FA20" s="117"/>
      <c r="FB20" s="117"/>
      <c r="FC20" s="117"/>
      <c r="FD20" s="117"/>
      <c r="FE20" s="117"/>
      <c r="FF20" s="117"/>
      <c r="FG20" s="117"/>
      <c r="FH20" s="117"/>
      <c r="FI20" s="117"/>
      <c r="FJ20" s="117"/>
      <c r="FK20" s="117"/>
      <c r="FL20" s="117"/>
      <c r="FM20" s="117"/>
      <c r="FN20" s="117"/>
      <c r="FO20" s="117"/>
      <c r="FP20" s="117"/>
      <c r="FQ20" s="117"/>
      <c r="FR20" s="117"/>
      <c r="FS20" s="117"/>
      <c r="FT20" s="117"/>
      <c r="FU20" s="117"/>
      <c r="FV20" s="117"/>
      <c r="FW20" s="117"/>
      <c r="FX20" s="117"/>
      <c r="FY20" s="117"/>
      <c r="FZ20" s="117"/>
      <c r="GA20" s="117"/>
      <c r="GB20" s="117"/>
      <c r="GC20" s="117"/>
      <c r="GD20" s="117"/>
      <c r="GE20" s="117"/>
      <c r="GF20" s="117"/>
      <c r="GG20" s="117"/>
      <c r="GH20" s="117"/>
      <c r="GI20" s="117"/>
      <c r="GJ20" s="117"/>
      <c r="GK20" s="117"/>
      <c r="GL20" s="117"/>
      <c r="GM20" s="117"/>
      <c r="GN20" s="117"/>
      <c r="GO20" s="117"/>
      <c r="GP20" s="117"/>
      <c r="GQ20" s="117"/>
      <c r="GR20" s="117"/>
      <c r="GS20" s="117"/>
      <c r="GT20" s="117"/>
      <c r="GU20" s="117"/>
      <c r="GV20" s="117"/>
      <c r="GW20" s="117"/>
      <c r="GX20" s="117"/>
      <c r="GY20" s="117"/>
      <c r="GZ20" s="117"/>
      <c r="HA20" s="117"/>
      <c r="HB20" s="117"/>
      <c r="HC20" s="117"/>
      <c r="HD20" s="117"/>
      <c r="HE20" s="117"/>
      <c r="HF20" s="117"/>
      <c r="HG20" s="117"/>
      <c r="HH20" s="117"/>
      <c r="HI20" s="117"/>
      <c r="HJ20" s="117"/>
      <c r="HK20" s="117"/>
      <c r="HL20" s="117"/>
      <c r="HM20" s="117"/>
      <c r="HN20" s="117"/>
      <c r="HO20" s="117"/>
      <c r="HP20" s="117"/>
      <c r="HQ20" s="117"/>
      <c r="HR20" s="117"/>
      <c r="HS20" s="117"/>
      <c r="HT20" s="117"/>
      <c r="HU20" s="117"/>
      <c r="HV20" s="117"/>
      <c r="HW20" s="117"/>
      <c r="HX20" s="117"/>
      <c r="HY20" s="117"/>
      <c r="HZ20" s="117"/>
      <c r="IA20" s="117"/>
      <c r="IB20" s="117"/>
      <c r="IC20" s="117"/>
      <c r="ID20" s="117"/>
      <c r="IE20" s="117"/>
      <c r="IF20" s="117"/>
      <c r="IG20" s="117"/>
      <c r="IH20" s="117"/>
      <c r="II20" s="117"/>
      <c r="IJ20" s="117"/>
      <c r="IK20" s="117"/>
      <c r="IL20" s="117"/>
      <c r="IM20" s="117"/>
      <c r="IN20" s="117"/>
      <c r="IO20" s="117"/>
      <c r="IP20" s="117"/>
      <c r="IQ20" s="117"/>
      <c r="IR20" s="117"/>
      <c r="IS20" s="117"/>
      <c r="IT20" s="117"/>
      <c r="IU20" s="117"/>
      <c r="IV20" s="117"/>
    </row>
    <row r="21" spans="1:256" s="126" customFormat="1" ht="13">
      <c r="A21" s="127" t="str">
        <f>'1-成本过渡'!A22</f>
        <v>小高层（8~11F）</v>
      </c>
      <c r="B21" s="128" t="s">
        <v>255</v>
      </c>
      <c r="C21" s="129">
        <f>SUM(H21:BQ21)</f>
        <v>59174.38</v>
      </c>
      <c r="D21" s="2223"/>
      <c r="E21" s="2223"/>
      <c r="F21" s="2223"/>
      <c r="G21" s="2223"/>
      <c r="H21" s="2223"/>
      <c r="I21" s="2223"/>
      <c r="J21" s="2223"/>
      <c r="K21" s="2225"/>
      <c r="L21" s="2225"/>
      <c r="M21" s="2225"/>
      <c r="N21" s="2225"/>
      <c r="O21" s="2225"/>
      <c r="P21" s="2225"/>
      <c r="Q21" s="2225"/>
      <c r="R21" s="2223"/>
      <c r="S21" s="2223"/>
      <c r="T21" s="2223"/>
      <c r="U21" s="2223"/>
      <c r="V21" s="2223"/>
      <c r="W21" s="2223"/>
      <c r="X21" s="2223"/>
      <c r="Y21" s="2223"/>
      <c r="Z21" s="2223"/>
      <c r="AA21" s="2223"/>
      <c r="AB21" s="2223"/>
      <c r="AC21" s="2223"/>
      <c r="AD21" s="2223"/>
      <c r="AE21" s="2223"/>
      <c r="AF21" s="2223"/>
      <c r="AG21" s="2223">
        <v>9000</v>
      </c>
      <c r="AH21" s="2223">
        <v>2000</v>
      </c>
      <c r="AI21" s="2223">
        <v>3850</v>
      </c>
      <c r="AJ21" s="2223">
        <v>1000</v>
      </c>
      <c r="AK21" s="2223">
        <v>2000</v>
      </c>
      <c r="AL21" s="2223">
        <v>2000</v>
      </c>
      <c r="AM21" s="2223">
        <v>3000</v>
      </c>
      <c r="AN21" s="2223">
        <v>4000</v>
      </c>
      <c r="AO21" s="2223">
        <v>2500</v>
      </c>
      <c r="AP21" s="131">
        <v>3000</v>
      </c>
      <c r="AQ21" s="131">
        <v>2500</v>
      </c>
      <c r="AR21" s="131">
        <v>2500</v>
      </c>
      <c r="AS21" s="131">
        <v>4000</v>
      </c>
      <c r="AT21" s="131">
        <v>3500</v>
      </c>
      <c r="AU21" s="131">
        <v>2500</v>
      </c>
      <c r="AV21" s="131">
        <v>5000</v>
      </c>
      <c r="AW21" s="131">
        <v>2500</v>
      </c>
      <c r="AX21" s="131">
        <f>'全期规划指标 '!$I$24-SUM(销售计划!AD21:AW21)</f>
        <v>4324.3799999999974</v>
      </c>
      <c r="AY21" s="131"/>
      <c r="AZ21" s="131"/>
      <c r="BA21" s="131"/>
      <c r="BB21" s="131"/>
      <c r="BC21" s="131"/>
      <c r="BD21" s="131"/>
      <c r="BE21" s="131"/>
      <c r="BF21" s="131"/>
      <c r="BG21" s="131"/>
      <c r="BH21" s="131"/>
      <c r="BI21" s="131"/>
      <c r="BJ21" s="131"/>
      <c r="BK21" s="131"/>
      <c r="BL21" s="131"/>
      <c r="BM21" s="131"/>
      <c r="BN21" s="131"/>
      <c r="BO21" s="131"/>
      <c r="BP21" s="131"/>
      <c r="BQ21" s="131"/>
    </row>
    <row r="22" spans="1:256" s="126" customFormat="1" ht="13">
      <c r="A22" s="127"/>
      <c r="B22" s="128" t="s">
        <v>253</v>
      </c>
      <c r="C22" s="129">
        <f>IF(C21&gt;0,C23/C21*10000,0)</f>
        <v>13350.362423738112</v>
      </c>
      <c r="D22" s="2223"/>
      <c r="E22" s="2223"/>
      <c r="F22" s="2223"/>
      <c r="G22" s="2223"/>
      <c r="H22" s="2223"/>
      <c r="I22" s="2223"/>
      <c r="J22" s="2223"/>
      <c r="K22" s="2225"/>
      <c r="L22" s="2225"/>
      <c r="M22" s="2225"/>
      <c r="N22" s="2225"/>
      <c r="O22" s="2225"/>
      <c r="P22" s="2225"/>
      <c r="Q22" s="2225"/>
      <c r="R22" s="2223"/>
      <c r="S22" s="2223"/>
      <c r="T22" s="2223"/>
      <c r="U22" s="2223"/>
      <c r="V22" s="2223"/>
      <c r="W22" s="2223"/>
      <c r="X22" s="2223"/>
      <c r="Y22" s="2223"/>
      <c r="Z22" s="2223"/>
      <c r="AA22" s="2223"/>
      <c r="AB22" s="2223"/>
      <c r="AC22" s="2223"/>
      <c r="AD22" s="2223"/>
      <c r="AE22" s="2223"/>
      <c r="AF22" s="2223"/>
      <c r="AG22" s="2223">
        <v>12700</v>
      </c>
      <c r="AH22" s="2223">
        <v>13000</v>
      </c>
      <c r="AI22" s="2223">
        <v>13000</v>
      </c>
      <c r="AJ22" s="2223">
        <v>13100</v>
      </c>
      <c r="AK22" s="2223">
        <v>13100</v>
      </c>
      <c r="AL22" s="2223">
        <v>13100</v>
      </c>
      <c r="AM22" s="2223">
        <v>13300</v>
      </c>
      <c r="AN22" s="2223">
        <v>13300</v>
      </c>
      <c r="AO22" s="2223">
        <v>13300</v>
      </c>
      <c r="AP22" s="2223">
        <v>13400</v>
      </c>
      <c r="AQ22" s="2223">
        <v>13400</v>
      </c>
      <c r="AR22" s="2223">
        <v>13400</v>
      </c>
      <c r="AS22" s="2223">
        <v>13700</v>
      </c>
      <c r="AT22" s="2223">
        <v>13700</v>
      </c>
      <c r="AU22" s="2223">
        <v>13800</v>
      </c>
      <c r="AV22" s="2223">
        <v>13800</v>
      </c>
      <c r="AW22" s="2223">
        <v>13800</v>
      </c>
      <c r="AX22" s="2223">
        <v>13840</v>
      </c>
      <c r="AY22" s="2223"/>
      <c r="AZ22" s="131"/>
      <c r="BA22" s="131"/>
      <c r="BB22" s="131"/>
      <c r="BC22" s="131"/>
      <c r="BD22" s="131"/>
      <c r="BE22" s="131"/>
      <c r="BF22" s="131"/>
      <c r="BG22" s="131"/>
      <c r="BH22" s="131"/>
      <c r="BI22" s="131"/>
      <c r="BJ22" s="131"/>
      <c r="BK22" s="131"/>
      <c r="BL22" s="131"/>
      <c r="BM22" s="131"/>
      <c r="BN22" s="131"/>
      <c r="BO22" s="131"/>
      <c r="BP22" s="131"/>
      <c r="BQ22" s="131"/>
    </row>
    <row r="23" spans="1:256" s="2224" customFormat="1">
      <c r="A23" s="132"/>
      <c r="B23" s="133" t="s">
        <v>254</v>
      </c>
      <c r="C23" s="133">
        <f>SUM(D23:BQ23)</f>
        <v>78999.941919999997</v>
      </c>
      <c r="D23" s="133"/>
      <c r="E23" s="133"/>
      <c r="F23" s="133"/>
      <c r="G23" s="133"/>
      <c r="H23" s="133"/>
      <c r="I23" s="133"/>
      <c r="J23" s="133"/>
      <c r="K23" s="134">
        <f t="shared" ref="K23:AS23" si="26">K21*K22/10000</f>
        <v>0</v>
      </c>
      <c r="L23" s="134">
        <f t="shared" si="26"/>
        <v>0</v>
      </c>
      <c r="M23" s="134">
        <f t="shared" si="26"/>
        <v>0</v>
      </c>
      <c r="N23" s="134">
        <f t="shared" si="26"/>
        <v>0</v>
      </c>
      <c r="O23" s="134">
        <f t="shared" si="26"/>
        <v>0</v>
      </c>
      <c r="P23" s="134">
        <f t="shared" si="26"/>
        <v>0</v>
      </c>
      <c r="Q23" s="134">
        <f t="shared" si="26"/>
        <v>0</v>
      </c>
      <c r="R23" s="134">
        <f t="shared" si="26"/>
        <v>0</v>
      </c>
      <c r="S23" s="134">
        <f t="shared" si="26"/>
        <v>0</v>
      </c>
      <c r="T23" s="134">
        <f t="shared" si="26"/>
        <v>0</v>
      </c>
      <c r="U23" s="134">
        <f t="shared" si="26"/>
        <v>0</v>
      </c>
      <c r="V23" s="134">
        <f t="shared" si="26"/>
        <v>0</v>
      </c>
      <c r="W23" s="134">
        <f t="shared" si="26"/>
        <v>0</v>
      </c>
      <c r="X23" s="134"/>
      <c r="Y23" s="134">
        <f>Y21*Y22/10000</f>
        <v>0</v>
      </c>
      <c r="Z23" s="134">
        <f>Z21*Z22/10000</f>
        <v>0</v>
      </c>
      <c r="AA23" s="134">
        <f>AA21*AA22/10000</f>
        <v>0</v>
      </c>
      <c r="AB23" s="134">
        <f t="shared" si="26"/>
        <v>0</v>
      </c>
      <c r="AC23" s="134">
        <f t="shared" si="26"/>
        <v>0</v>
      </c>
      <c r="AD23" s="134">
        <f t="shared" si="26"/>
        <v>0</v>
      </c>
      <c r="AE23" s="134">
        <f t="shared" si="26"/>
        <v>0</v>
      </c>
      <c r="AF23" s="134">
        <f>AF21*AF22/10000</f>
        <v>0</v>
      </c>
      <c r="AG23" s="134">
        <f t="shared" ref="AG23:AJ23" si="27">AG21*AG22/10000</f>
        <v>11430</v>
      </c>
      <c r="AH23" s="134">
        <f t="shared" si="27"/>
        <v>2600</v>
      </c>
      <c r="AI23" s="134">
        <f t="shared" si="27"/>
        <v>5005</v>
      </c>
      <c r="AJ23" s="134">
        <f t="shared" si="27"/>
        <v>1310</v>
      </c>
      <c r="AK23" s="134">
        <f t="shared" ref="AK23" si="28">AK21*AK22/10000</f>
        <v>2620</v>
      </c>
      <c r="AL23" s="134">
        <f>AL21*AL22/10000</f>
        <v>2620</v>
      </c>
      <c r="AM23" s="134">
        <f t="shared" ref="AM23:AP23" si="29">AM21*AM22/10000</f>
        <v>3990</v>
      </c>
      <c r="AN23" s="134">
        <f t="shared" si="29"/>
        <v>5320</v>
      </c>
      <c r="AO23" s="134">
        <f t="shared" si="29"/>
        <v>3325</v>
      </c>
      <c r="AP23" s="134">
        <f t="shared" si="29"/>
        <v>4020</v>
      </c>
      <c r="AQ23" s="134">
        <f t="shared" si="26"/>
        <v>3350</v>
      </c>
      <c r="AR23" s="134">
        <f t="shared" si="26"/>
        <v>3350</v>
      </c>
      <c r="AS23" s="134">
        <f t="shared" si="26"/>
        <v>5480</v>
      </c>
      <c r="AT23" s="134">
        <f t="shared" ref="AT23:BQ23" si="30">AT21*AT22/10000</f>
        <v>4795</v>
      </c>
      <c r="AU23" s="134">
        <f t="shared" si="30"/>
        <v>3450</v>
      </c>
      <c r="AV23" s="134">
        <f t="shared" si="30"/>
        <v>6900</v>
      </c>
      <c r="AW23" s="134">
        <f t="shared" si="30"/>
        <v>3450</v>
      </c>
      <c r="AX23" s="134">
        <f t="shared" si="30"/>
        <v>5984.9419199999966</v>
      </c>
      <c r="AY23" s="134">
        <f t="shared" si="30"/>
        <v>0</v>
      </c>
      <c r="AZ23" s="134"/>
      <c r="BA23" s="134"/>
      <c r="BB23" s="134">
        <f t="shared" si="30"/>
        <v>0</v>
      </c>
      <c r="BC23" s="134">
        <f t="shared" si="30"/>
        <v>0</v>
      </c>
      <c r="BD23" s="134">
        <f t="shared" si="30"/>
        <v>0</v>
      </c>
      <c r="BE23" s="134">
        <f t="shared" si="30"/>
        <v>0</v>
      </c>
      <c r="BF23" s="134">
        <f t="shared" si="30"/>
        <v>0</v>
      </c>
      <c r="BG23" s="134">
        <f t="shared" si="30"/>
        <v>0</v>
      </c>
      <c r="BH23" s="134">
        <f t="shared" si="30"/>
        <v>0</v>
      </c>
      <c r="BI23" s="134">
        <f t="shared" si="30"/>
        <v>0</v>
      </c>
      <c r="BJ23" s="134">
        <f t="shared" si="30"/>
        <v>0</v>
      </c>
      <c r="BK23" s="134">
        <f t="shared" si="30"/>
        <v>0</v>
      </c>
      <c r="BL23" s="134">
        <f t="shared" si="30"/>
        <v>0</v>
      </c>
      <c r="BM23" s="134">
        <f t="shared" si="30"/>
        <v>0</v>
      </c>
      <c r="BN23" s="134">
        <f t="shared" si="30"/>
        <v>0</v>
      </c>
      <c r="BO23" s="134">
        <f t="shared" si="30"/>
        <v>0</v>
      </c>
      <c r="BP23" s="134">
        <f t="shared" si="30"/>
        <v>0</v>
      </c>
      <c r="BQ23" s="134">
        <f t="shared" si="30"/>
        <v>0</v>
      </c>
      <c r="BR23" s="117"/>
      <c r="BS23" s="117"/>
      <c r="BT23" s="117"/>
      <c r="BU23" s="117"/>
      <c r="BV23" s="117"/>
      <c r="BW23" s="117"/>
      <c r="BX23" s="117"/>
      <c r="BY23" s="117"/>
      <c r="BZ23" s="117"/>
      <c r="CA23" s="117"/>
      <c r="CB23" s="117"/>
      <c r="CC23" s="117"/>
      <c r="CD23" s="117"/>
      <c r="CE23" s="117"/>
      <c r="CF23" s="117"/>
      <c r="CG23" s="117"/>
      <c r="CH23" s="117"/>
      <c r="CI23" s="117"/>
      <c r="CJ23" s="117"/>
      <c r="CK23" s="117"/>
      <c r="CL23" s="117"/>
      <c r="CM23" s="117"/>
      <c r="CN23" s="117"/>
      <c r="CO23" s="117"/>
      <c r="CP23" s="117"/>
      <c r="CQ23" s="117"/>
      <c r="CR23" s="117"/>
      <c r="CS23" s="117"/>
      <c r="CT23" s="117"/>
      <c r="CU23" s="117"/>
      <c r="CV23" s="117"/>
      <c r="CW23" s="117"/>
      <c r="CX23" s="117"/>
      <c r="CY23" s="117"/>
      <c r="CZ23" s="117"/>
      <c r="DA23" s="117"/>
      <c r="DB23" s="117"/>
      <c r="DC23" s="117"/>
      <c r="DD23" s="117"/>
      <c r="DE23" s="117"/>
      <c r="DF23" s="117"/>
      <c r="DG23" s="117"/>
      <c r="DH23" s="117"/>
      <c r="DI23" s="117"/>
      <c r="DJ23" s="117"/>
      <c r="DK23" s="117"/>
      <c r="DL23" s="117"/>
      <c r="DM23" s="117"/>
      <c r="DN23" s="117"/>
      <c r="DO23" s="117"/>
      <c r="DP23" s="117"/>
      <c r="DQ23" s="117"/>
      <c r="DR23" s="117"/>
      <c r="DS23" s="117"/>
      <c r="DT23" s="117"/>
      <c r="DU23" s="117"/>
      <c r="DV23" s="117"/>
      <c r="DW23" s="117"/>
      <c r="DX23" s="117"/>
      <c r="DY23" s="117"/>
      <c r="DZ23" s="117"/>
      <c r="EA23" s="117"/>
      <c r="EB23" s="117"/>
      <c r="EC23" s="117"/>
      <c r="ED23" s="117"/>
      <c r="EE23" s="117"/>
      <c r="EF23" s="117"/>
      <c r="EG23" s="117"/>
      <c r="EH23" s="117"/>
      <c r="EI23" s="117"/>
      <c r="EJ23" s="117"/>
      <c r="EK23" s="117"/>
      <c r="EL23" s="117"/>
      <c r="EM23" s="117"/>
      <c r="EN23" s="117"/>
      <c r="EO23" s="117"/>
      <c r="EP23" s="117"/>
      <c r="EQ23" s="117"/>
      <c r="ER23" s="117"/>
      <c r="ES23" s="117"/>
      <c r="ET23" s="117"/>
      <c r="EU23" s="117"/>
      <c r="EV23" s="117"/>
      <c r="EW23" s="117"/>
      <c r="EX23" s="117"/>
      <c r="EY23" s="117"/>
      <c r="EZ23" s="117"/>
      <c r="FA23" s="117"/>
      <c r="FB23" s="117"/>
      <c r="FC23" s="117"/>
      <c r="FD23" s="117"/>
      <c r="FE23" s="117"/>
      <c r="FF23" s="117"/>
      <c r="FG23" s="117"/>
      <c r="FH23" s="117"/>
      <c r="FI23" s="117"/>
      <c r="FJ23" s="117"/>
      <c r="FK23" s="117"/>
      <c r="FL23" s="117"/>
      <c r="FM23" s="117"/>
      <c r="FN23" s="117"/>
      <c r="FO23" s="117"/>
      <c r="FP23" s="117"/>
      <c r="FQ23" s="117"/>
      <c r="FR23" s="117"/>
      <c r="FS23" s="117"/>
      <c r="FT23" s="117"/>
      <c r="FU23" s="117"/>
      <c r="FV23" s="117"/>
      <c r="FW23" s="117"/>
      <c r="FX23" s="117"/>
      <c r="FY23" s="117"/>
      <c r="FZ23" s="117"/>
      <c r="GA23" s="117"/>
      <c r="GB23" s="117"/>
      <c r="GC23" s="117"/>
      <c r="GD23" s="117"/>
      <c r="GE23" s="117"/>
      <c r="GF23" s="117"/>
      <c r="GG23" s="117"/>
      <c r="GH23" s="117"/>
      <c r="GI23" s="117"/>
      <c r="GJ23" s="117"/>
      <c r="GK23" s="117"/>
      <c r="GL23" s="117"/>
      <c r="GM23" s="117"/>
      <c r="GN23" s="117"/>
      <c r="GO23" s="117"/>
      <c r="GP23" s="117"/>
      <c r="GQ23" s="117"/>
      <c r="GR23" s="117"/>
      <c r="GS23" s="117"/>
      <c r="GT23" s="117"/>
      <c r="GU23" s="117"/>
      <c r="GV23" s="117"/>
      <c r="GW23" s="117"/>
      <c r="GX23" s="117"/>
      <c r="GY23" s="117"/>
      <c r="GZ23" s="117"/>
      <c r="HA23" s="117"/>
      <c r="HB23" s="117"/>
      <c r="HC23" s="117"/>
      <c r="HD23" s="117"/>
      <c r="HE23" s="117"/>
      <c r="HF23" s="117"/>
      <c r="HG23" s="117"/>
      <c r="HH23" s="117"/>
      <c r="HI23" s="117"/>
      <c r="HJ23" s="117"/>
      <c r="HK23" s="117"/>
      <c r="HL23" s="117"/>
      <c r="HM23" s="117"/>
      <c r="HN23" s="117"/>
      <c r="HO23" s="117"/>
      <c r="HP23" s="117"/>
      <c r="HQ23" s="117"/>
      <c r="HR23" s="117"/>
      <c r="HS23" s="117"/>
      <c r="HT23" s="117"/>
      <c r="HU23" s="117"/>
      <c r="HV23" s="117"/>
      <c r="HW23" s="117"/>
      <c r="HX23" s="117"/>
      <c r="HY23" s="117"/>
      <c r="HZ23" s="117"/>
      <c r="IA23" s="117"/>
      <c r="IB23" s="117"/>
      <c r="IC23" s="117"/>
      <c r="ID23" s="117"/>
      <c r="IE23" s="117"/>
      <c r="IF23" s="117"/>
      <c r="IG23" s="117"/>
      <c r="IH23" s="117"/>
      <c r="II23" s="117"/>
      <c r="IJ23" s="117"/>
      <c r="IK23" s="117"/>
      <c r="IL23" s="117"/>
      <c r="IM23" s="117"/>
      <c r="IN23" s="117"/>
      <c r="IO23" s="117"/>
      <c r="IP23" s="117"/>
      <c r="IQ23" s="117"/>
      <c r="IR23" s="117"/>
      <c r="IS23" s="117"/>
      <c r="IT23" s="117"/>
      <c r="IU23" s="117"/>
      <c r="IV23" s="117"/>
    </row>
    <row r="24" spans="1:256" s="126" customFormat="1" ht="13">
      <c r="A24" s="127" t="str">
        <f>'1-成本过渡'!A23</f>
        <v>临街商业</v>
      </c>
      <c r="B24" s="128" t="s">
        <v>255</v>
      </c>
      <c r="C24" s="129">
        <f>SUM(H24:BQ24)</f>
        <v>1058.93</v>
      </c>
      <c r="D24" s="135"/>
      <c r="E24" s="135"/>
      <c r="F24" s="135"/>
      <c r="G24" s="135"/>
      <c r="H24" s="135"/>
      <c r="I24" s="135"/>
      <c r="J24" s="135"/>
      <c r="K24" s="136"/>
      <c r="L24" s="136"/>
      <c r="M24" s="136"/>
      <c r="N24" s="136"/>
      <c r="O24" s="136"/>
      <c r="P24" s="136"/>
      <c r="Q24" s="136"/>
      <c r="R24" s="2223"/>
      <c r="S24" s="2223"/>
      <c r="T24" s="2223"/>
      <c r="U24" s="2223"/>
      <c r="V24" s="2223"/>
      <c r="W24" s="2223"/>
      <c r="X24" s="2223"/>
      <c r="Y24" s="2223"/>
      <c r="Z24" s="2223"/>
      <c r="AA24" s="2223"/>
      <c r="AB24" s="2223"/>
      <c r="AC24" s="2223"/>
      <c r="AD24" s="2223"/>
      <c r="AE24" s="2223"/>
      <c r="AF24" s="2223"/>
      <c r="AG24" s="2223"/>
      <c r="AH24" s="2223"/>
      <c r="AI24" s="2223"/>
      <c r="AJ24" s="2223"/>
      <c r="AL24" s="2223"/>
      <c r="AM24" s="2223"/>
      <c r="AN24" s="2223"/>
      <c r="AO24" s="2223">
        <v>300</v>
      </c>
      <c r="AP24" s="137">
        <v>150</v>
      </c>
      <c r="AQ24" s="137">
        <v>150</v>
      </c>
      <c r="AR24" s="137">
        <v>100</v>
      </c>
      <c r="AS24" s="137">
        <v>100</v>
      </c>
      <c r="AT24" s="137">
        <v>100</v>
      </c>
      <c r="AU24" s="137">
        <f>'全期规划指标 '!I26-SUM(销售计划!AO24:AT24)</f>
        <v>158.93000000000006</v>
      </c>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row>
    <row r="25" spans="1:256" s="126" customFormat="1" ht="13">
      <c r="A25" s="138"/>
      <c r="B25" s="128" t="s">
        <v>253</v>
      </c>
      <c r="C25" s="129">
        <f>IF(C24&gt;0,C26/C24*10000,0)</f>
        <v>27000.373018046521</v>
      </c>
      <c r="D25" s="135"/>
      <c r="E25" s="135"/>
      <c r="F25" s="135"/>
      <c r="G25" s="135"/>
      <c r="H25" s="135"/>
      <c r="I25" s="135"/>
      <c r="J25" s="135"/>
      <c r="K25" s="136"/>
      <c r="L25" s="136"/>
      <c r="M25" s="136"/>
      <c r="N25" s="136"/>
      <c r="O25" s="136"/>
      <c r="P25" s="136"/>
      <c r="Q25" s="136"/>
      <c r="R25" s="136"/>
      <c r="S25" s="136"/>
      <c r="T25" s="136"/>
      <c r="U25" s="136"/>
      <c r="V25" s="136"/>
      <c r="W25" s="136"/>
      <c r="X25" s="136"/>
      <c r="Y25" s="2223"/>
      <c r="Z25" s="2223"/>
      <c r="AA25" s="2223"/>
      <c r="AB25" s="2223"/>
      <c r="AC25" s="2223"/>
      <c r="AD25" s="2223"/>
      <c r="AE25" s="2223"/>
      <c r="AF25" s="2223"/>
      <c r="AG25" s="2223"/>
      <c r="AH25" s="2223"/>
      <c r="AI25" s="2223"/>
      <c r="AJ25" s="2223"/>
      <c r="AK25" s="2223"/>
      <c r="AL25" s="2223"/>
      <c r="AM25" s="2223"/>
      <c r="AN25" s="2223"/>
      <c r="AO25" s="2223">
        <v>25300</v>
      </c>
      <c r="AP25" s="136">
        <v>26500</v>
      </c>
      <c r="AQ25" s="136">
        <v>27500</v>
      </c>
      <c r="AR25" s="136">
        <v>27500</v>
      </c>
      <c r="AS25" s="136">
        <v>28000</v>
      </c>
      <c r="AT25" s="136">
        <v>28220</v>
      </c>
      <c r="AU25" s="136">
        <v>28500</v>
      </c>
      <c r="AV25" s="137"/>
      <c r="AW25" s="137"/>
      <c r="AX25" s="137"/>
      <c r="AY25" s="136"/>
      <c r="AZ25" s="136"/>
      <c r="BA25" s="136"/>
      <c r="BB25" s="136"/>
      <c r="BC25" s="136"/>
      <c r="BD25" s="136"/>
      <c r="BE25" s="136"/>
      <c r="BF25" s="136"/>
      <c r="BG25" s="136"/>
      <c r="BH25" s="136"/>
      <c r="BI25" s="136"/>
      <c r="BJ25" s="136"/>
      <c r="BK25" s="136"/>
      <c r="BL25" s="136"/>
      <c r="BM25" s="136"/>
      <c r="BN25" s="136"/>
      <c r="BO25" s="136"/>
      <c r="BP25" s="136"/>
      <c r="BQ25" s="136"/>
    </row>
    <row r="26" spans="1:256" s="2224" customFormat="1">
      <c r="A26" s="132"/>
      <c r="B26" s="133" t="s">
        <v>254</v>
      </c>
      <c r="C26" s="133">
        <f>SUM(D26:BQ26)</f>
        <v>2859.1505000000002</v>
      </c>
      <c r="D26" s="133"/>
      <c r="E26" s="133"/>
      <c r="F26" s="133"/>
      <c r="G26" s="133"/>
      <c r="H26" s="133"/>
      <c r="I26" s="133"/>
      <c r="J26" s="133"/>
      <c r="K26" s="134">
        <f t="shared" ref="K26:AS26" si="31">K24*K25/10000</f>
        <v>0</v>
      </c>
      <c r="L26" s="134">
        <f t="shared" si="31"/>
        <v>0</v>
      </c>
      <c r="M26" s="134">
        <f t="shared" si="31"/>
        <v>0</v>
      </c>
      <c r="N26" s="134">
        <f t="shared" si="31"/>
        <v>0</v>
      </c>
      <c r="O26" s="134">
        <f t="shared" si="31"/>
        <v>0</v>
      </c>
      <c r="P26" s="134">
        <f t="shared" si="31"/>
        <v>0</v>
      </c>
      <c r="Q26" s="134">
        <f t="shared" si="31"/>
        <v>0</v>
      </c>
      <c r="R26" s="134">
        <f t="shared" ref="R26:X26" si="32">R24*R25/10000</f>
        <v>0</v>
      </c>
      <c r="S26" s="134">
        <f t="shared" si="32"/>
        <v>0</v>
      </c>
      <c r="T26" s="134">
        <f t="shared" si="32"/>
        <v>0</v>
      </c>
      <c r="U26" s="134">
        <f t="shared" si="32"/>
        <v>0</v>
      </c>
      <c r="V26" s="134"/>
      <c r="W26" s="134">
        <f t="shared" si="32"/>
        <v>0</v>
      </c>
      <c r="X26" s="134">
        <f t="shared" si="32"/>
        <v>0</v>
      </c>
      <c r="Y26" s="134">
        <f>Y24*Y25/10000</f>
        <v>0</v>
      </c>
      <c r="Z26" s="134">
        <f>Z24*Z25/10000</f>
        <v>0</v>
      </c>
      <c r="AA26" s="134">
        <f>AA24*AA25/10000</f>
        <v>0</v>
      </c>
      <c r="AB26" s="134">
        <f t="shared" si="31"/>
        <v>0</v>
      </c>
      <c r="AC26" s="134">
        <f>AC24*AC25/10000</f>
        <v>0</v>
      </c>
      <c r="AD26" s="134">
        <f>AD24*AD25/10000</f>
        <v>0</v>
      </c>
      <c r="AE26" s="134">
        <f>AE24*AE25/10000</f>
        <v>0</v>
      </c>
      <c r="AF26" s="134">
        <f t="shared" si="31"/>
        <v>0</v>
      </c>
      <c r="AG26" s="134">
        <f t="shared" si="31"/>
        <v>0</v>
      </c>
      <c r="AH26" s="134">
        <f t="shared" si="31"/>
        <v>0</v>
      </c>
      <c r="AI26" s="134">
        <f t="shared" si="31"/>
        <v>0</v>
      </c>
      <c r="AJ26" s="134">
        <f t="shared" si="31"/>
        <v>0</v>
      </c>
      <c r="AK26" s="134">
        <f>AM24*AK25/10000</f>
        <v>0</v>
      </c>
      <c r="AL26" s="134">
        <f t="shared" si="31"/>
        <v>0</v>
      </c>
      <c r="AM26" s="134">
        <f t="shared" si="31"/>
        <v>0</v>
      </c>
      <c r="AN26" s="134">
        <f t="shared" si="31"/>
        <v>0</v>
      </c>
      <c r="AO26" s="134">
        <f t="shared" si="31"/>
        <v>759</v>
      </c>
      <c r="AP26" s="134">
        <f t="shared" si="31"/>
        <v>397.5</v>
      </c>
      <c r="AQ26" s="134">
        <f t="shared" si="31"/>
        <v>412.5</v>
      </c>
      <c r="AR26" s="134">
        <f t="shared" si="31"/>
        <v>275</v>
      </c>
      <c r="AS26" s="134">
        <f t="shared" si="31"/>
        <v>280</v>
      </c>
      <c r="AT26" s="134">
        <f t="shared" ref="AT26:BQ26" si="33">AT24*AT25/10000</f>
        <v>282.2</v>
      </c>
      <c r="AU26" s="134">
        <f t="shared" si="33"/>
        <v>452.9505000000002</v>
      </c>
      <c r="AV26" s="134">
        <f t="shared" si="33"/>
        <v>0</v>
      </c>
      <c r="AW26" s="134">
        <f t="shared" si="33"/>
        <v>0</v>
      </c>
      <c r="AX26" s="134">
        <f t="shared" si="33"/>
        <v>0</v>
      </c>
      <c r="AY26" s="134">
        <f t="shared" si="33"/>
        <v>0</v>
      </c>
      <c r="AZ26" s="134">
        <f t="shared" si="33"/>
        <v>0</v>
      </c>
      <c r="BA26" s="134">
        <f t="shared" si="33"/>
        <v>0</v>
      </c>
      <c r="BB26" s="134">
        <f t="shared" si="33"/>
        <v>0</v>
      </c>
      <c r="BC26" s="134">
        <f t="shared" si="33"/>
        <v>0</v>
      </c>
      <c r="BD26" s="134">
        <f t="shared" si="33"/>
        <v>0</v>
      </c>
      <c r="BE26" s="134">
        <f t="shared" si="33"/>
        <v>0</v>
      </c>
      <c r="BF26" s="134">
        <f t="shared" si="33"/>
        <v>0</v>
      </c>
      <c r="BG26" s="134">
        <f t="shared" si="33"/>
        <v>0</v>
      </c>
      <c r="BH26" s="134">
        <f t="shared" si="33"/>
        <v>0</v>
      </c>
      <c r="BI26" s="134">
        <f t="shared" si="33"/>
        <v>0</v>
      </c>
      <c r="BJ26" s="134">
        <f t="shared" si="33"/>
        <v>0</v>
      </c>
      <c r="BK26" s="134">
        <f t="shared" si="33"/>
        <v>0</v>
      </c>
      <c r="BL26" s="134">
        <f t="shared" si="33"/>
        <v>0</v>
      </c>
      <c r="BM26" s="134">
        <f t="shared" si="33"/>
        <v>0</v>
      </c>
      <c r="BN26" s="134">
        <f t="shared" si="33"/>
        <v>0</v>
      </c>
      <c r="BO26" s="134">
        <f t="shared" si="33"/>
        <v>0</v>
      </c>
      <c r="BP26" s="134">
        <f t="shared" si="33"/>
        <v>0</v>
      </c>
      <c r="BQ26" s="134">
        <f t="shared" si="33"/>
        <v>0</v>
      </c>
      <c r="BR26" s="117"/>
      <c r="BS26" s="117"/>
      <c r="BT26" s="117"/>
      <c r="BU26" s="117"/>
      <c r="BV26" s="117"/>
      <c r="BW26" s="117"/>
      <c r="BX26" s="117"/>
      <c r="BY26" s="117"/>
      <c r="BZ26" s="117"/>
      <c r="CA26" s="117"/>
      <c r="CB26" s="117"/>
      <c r="CC26" s="117"/>
      <c r="CD26" s="117"/>
      <c r="CE26" s="117"/>
      <c r="CF26" s="117"/>
      <c r="CG26" s="117"/>
      <c r="CH26" s="117"/>
      <c r="CI26" s="117"/>
      <c r="CJ26" s="117"/>
      <c r="CK26" s="117"/>
      <c r="CL26" s="117"/>
      <c r="CM26" s="117"/>
      <c r="CN26" s="117"/>
      <c r="CO26" s="117"/>
      <c r="CP26" s="117"/>
      <c r="CQ26" s="117"/>
      <c r="CR26" s="117"/>
      <c r="CS26" s="117"/>
      <c r="CT26" s="117"/>
      <c r="CU26" s="117"/>
      <c r="CV26" s="117"/>
      <c r="CW26" s="117"/>
      <c r="CX26" s="117"/>
      <c r="CY26" s="117"/>
      <c r="CZ26" s="117"/>
      <c r="DA26" s="117"/>
      <c r="DB26" s="117"/>
      <c r="DC26" s="117"/>
      <c r="DD26" s="117"/>
      <c r="DE26" s="117"/>
      <c r="DF26" s="117"/>
      <c r="DG26" s="117"/>
      <c r="DH26" s="117"/>
      <c r="DI26" s="117"/>
      <c r="DJ26" s="117"/>
      <c r="DK26" s="117"/>
      <c r="DL26" s="117"/>
      <c r="DM26" s="117"/>
      <c r="DN26" s="117"/>
      <c r="DO26" s="117"/>
      <c r="DP26" s="117"/>
      <c r="DQ26" s="117"/>
      <c r="DR26" s="117"/>
      <c r="DS26" s="117"/>
      <c r="DT26" s="117"/>
      <c r="DU26" s="117"/>
      <c r="DV26" s="117"/>
      <c r="DW26" s="117"/>
      <c r="DX26" s="117"/>
      <c r="DY26" s="117"/>
      <c r="DZ26" s="117"/>
      <c r="EA26" s="117"/>
      <c r="EB26" s="117"/>
      <c r="EC26" s="117"/>
      <c r="ED26" s="117"/>
      <c r="EE26" s="117"/>
      <c r="EF26" s="117"/>
      <c r="EG26" s="117"/>
      <c r="EH26" s="117"/>
      <c r="EI26" s="117"/>
      <c r="EJ26" s="117"/>
      <c r="EK26" s="117"/>
      <c r="EL26" s="117"/>
      <c r="EM26" s="117"/>
      <c r="EN26" s="117"/>
      <c r="EO26" s="117"/>
      <c r="EP26" s="117"/>
      <c r="EQ26" s="117"/>
      <c r="ER26" s="117"/>
      <c r="ES26" s="117"/>
      <c r="ET26" s="117"/>
      <c r="EU26" s="117"/>
      <c r="EV26" s="117"/>
      <c r="EW26" s="117"/>
      <c r="EX26" s="117"/>
      <c r="EY26" s="117"/>
      <c r="EZ26" s="117"/>
      <c r="FA26" s="117"/>
      <c r="FB26" s="117"/>
      <c r="FC26" s="117"/>
      <c r="FD26" s="117"/>
      <c r="FE26" s="117"/>
      <c r="FF26" s="117"/>
      <c r="FG26" s="117"/>
      <c r="FH26" s="117"/>
      <c r="FI26" s="117"/>
      <c r="FJ26" s="117"/>
      <c r="FK26" s="117"/>
      <c r="FL26" s="117"/>
      <c r="FM26" s="117"/>
      <c r="FN26" s="117"/>
      <c r="FO26" s="117"/>
      <c r="FP26" s="117"/>
      <c r="FQ26" s="117"/>
      <c r="FR26" s="117"/>
      <c r="FS26" s="117"/>
      <c r="FT26" s="117"/>
      <c r="FU26" s="117"/>
      <c r="FV26" s="117"/>
      <c r="FW26" s="117"/>
      <c r="FX26" s="117"/>
      <c r="FY26" s="117"/>
      <c r="FZ26" s="117"/>
      <c r="GA26" s="117"/>
      <c r="GB26" s="117"/>
      <c r="GC26" s="117"/>
      <c r="GD26" s="117"/>
      <c r="GE26" s="117"/>
      <c r="GF26" s="117"/>
      <c r="GG26" s="117"/>
      <c r="GH26" s="117"/>
      <c r="GI26" s="117"/>
      <c r="GJ26" s="117"/>
      <c r="GK26" s="117"/>
      <c r="GL26" s="117"/>
      <c r="GM26" s="117"/>
      <c r="GN26" s="117"/>
      <c r="GO26" s="117"/>
      <c r="GP26" s="117"/>
      <c r="GQ26" s="117"/>
      <c r="GR26" s="117"/>
      <c r="GS26" s="117"/>
      <c r="GT26" s="117"/>
      <c r="GU26" s="117"/>
      <c r="GV26" s="117"/>
      <c r="GW26" s="117"/>
      <c r="GX26" s="117"/>
      <c r="GY26" s="117"/>
      <c r="GZ26" s="117"/>
      <c r="HA26" s="117"/>
      <c r="HB26" s="117"/>
      <c r="HC26" s="117"/>
      <c r="HD26" s="117"/>
      <c r="HE26" s="117"/>
      <c r="HF26" s="117"/>
      <c r="HG26" s="117"/>
      <c r="HH26" s="117"/>
      <c r="HI26" s="117"/>
      <c r="HJ26" s="117"/>
      <c r="HK26" s="117"/>
      <c r="HL26" s="117"/>
      <c r="HM26" s="117"/>
      <c r="HN26" s="117"/>
      <c r="HO26" s="117"/>
      <c r="HP26" s="117"/>
      <c r="HQ26" s="117"/>
      <c r="HR26" s="117"/>
      <c r="HS26" s="117"/>
      <c r="HT26" s="117"/>
      <c r="HU26" s="117"/>
      <c r="HV26" s="117"/>
      <c r="HW26" s="117"/>
      <c r="HX26" s="117"/>
      <c r="HY26" s="117"/>
      <c r="HZ26" s="117"/>
      <c r="IA26" s="117"/>
      <c r="IB26" s="117"/>
      <c r="IC26" s="117"/>
      <c r="ID26" s="117"/>
      <c r="IE26" s="117"/>
      <c r="IF26" s="117"/>
      <c r="IG26" s="117"/>
      <c r="IH26" s="117"/>
      <c r="II26" s="117"/>
      <c r="IJ26" s="117"/>
      <c r="IK26" s="117"/>
      <c r="IL26" s="117"/>
      <c r="IM26" s="117"/>
      <c r="IN26" s="117"/>
      <c r="IO26" s="117"/>
      <c r="IP26" s="117"/>
      <c r="IQ26" s="117"/>
      <c r="IR26" s="117"/>
      <c r="IS26" s="117"/>
      <c r="IT26" s="117"/>
      <c r="IU26" s="117"/>
      <c r="IV26" s="117"/>
    </row>
    <row r="27" spans="1:256" s="126" customFormat="1" ht="13">
      <c r="A27" s="127">
        <f>'1-成本过渡'!A24</f>
        <v>0</v>
      </c>
      <c r="B27" s="128" t="s">
        <v>255</v>
      </c>
      <c r="C27" s="129">
        <f>SUM(H27:BQ27)</f>
        <v>0</v>
      </c>
      <c r="D27" s="135"/>
      <c r="E27" s="135"/>
      <c r="F27" s="135"/>
      <c r="G27" s="135"/>
      <c r="H27" s="135"/>
      <c r="I27" s="135"/>
      <c r="J27" s="135"/>
      <c r="K27" s="136"/>
      <c r="L27" s="136"/>
      <c r="M27" s="136"/>
      <c r="N27" s="136"/>
      <c r="O27" s="136"/>
      <c r="P27" s="136"/>
      <c r="Q27" s="136"/>
      <c r="R27" s="2223"/>
      <c r="S27" s="2223"/>
      <c r="T27" s="2223"/>
      <c r="U27" s="2223"/>
      <c r="V27" s="2223"/>
      <c r="W27" s="2223"/>
      <c r="X27" s="2223"/>
      <c r="Y27" s="2223"/>
      <c r="Z27" s="2223"/>
      <c r="AA27" s="2223"/>
      <c r="AB27" s="2223"/>
      <c r="AC27" s="2223"/>
      <c r="AD27" s="2223"/>
      <c r="AE27" s="2223"/>
      <c r="AF27" s="2223"/>
      <c r="AG27" s="2223"/>
      <c r="AH27" s="2223"/>
      <c r="AI27" s="2223"/>
      <c r="AJ27" s="2223"/>
      <c r="AK27" s="2223"/>
      <c r="AL27" s="2223"/>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row>
    <row r="28" spans="1:256" s="126" customFormat="1" ht="13">
      <c r="A28" s="138"/>
      <c r="B28" s="128" t="s">
        <v>253</v>
      </c>
      <c r="C28" s="129">
        <f>IF(C27&gt;0,C29/C27*10000,0)</f>
        <v>0</v>
      </c>
      <c r="D28" s="135"/>
      <c r="E28" s="135"/>
      <c r="F28" s="135"/>
      <c r="G28" s="135"/>
      <c r="H28" s="135"/>
      <c r="I28" s="135"/>
      <c r="J28" s="135"/>
      <c r="K28" s="136"/>
      <c r="L28" s="136"/>
      <c r="M28" s="136"/>
      <c r="N28" s="136"/>
      <c r="O28" s="136"/>
      <c r="P28" s="136"/>
      <c r="Q28" s="136"/>
      <c r="R28" s="136"/>
      <c r="S28" s="136"/>
      <c r="T28" s="136"/>
      <c r="U28" s="136"/>
      <c r="V28" s="136"/>
      <c r="W28" s="136"/>
      <c r="X28" s="136"/>
      <c r="Y28" s="136"/>
      <c r="Z28" s="2223"/>
      <c r="AA28" s="2223"/>
      <c r="AB28" s="2223"/>
      <c r="AC28" s="2223"/>
      <c r="AD28" s="2223"/>
      <c r="AE28" s="2223"/>
      <c r="AF28" s="2223"/>
      <c r="AG28" s="2223"/>
      <c r="AH28" s="2223"/>
      <c r="AI28" s="2223"/>
      <c r="AJ28" s="2223"/>
      <c r="AK28" s="2223"/>
      <c r="AL28" s="2223"/>
      <c r="AM28" s="136">
        <v>0</v>
      </c>
      <c r="AN28" s="136">
        <v>0</v>
      </c>
      <c r="AO28" s="136">
        <v>0</v>
      </c>
      <c r="AP28" s="136">
        <v>0</v>
      </c>
      <c r="AQ28" s="136">
        <v>0</v>
      </c>
      <c r="AR28" s="136">
        <v>0</v>
      </c>
      <c r="AS28" s="136">
        <v>0</v>
      </c>
      <c r="AT28" s="136">
        <v>0</v>
      </c>
      <c r="AU28" s="136">
        <v>0</v>
      </c>
      <c r="AV28" s="136">
        <v>0</v>
      </c>
      <c r="AW28" s="136">
        <v>0</v>
      </c>
      <c r="AX28" s="136">
        <v>0</v>
      </c>
      <c r="AY28" s="136">
        <v>0</v>
      </c>
      <c r="AZ28" s="136">
        <v>0</v>
      </c>
      <c r="BA28" s="136">
        <v>0</v>
      </c>
      <c r="BB28" s="136">
        <v>0</v>
      </c>
      <c r="BC28" s="136">
        <v>0</v>
      </c>
      <c r="BD28" s="136">
        <v>0</v>
      </c>
      <c r="BE28" s="136">
        <v>0</v>
      </c>
      <c r="BF28" s="136">
        <v>0</v>
      </c>
      <c r="BG28" s="136">
        <v>0</v>
      </c>
      <c r="BH28" s="136">
        <v>0</v>
      </c>
      <c r="BI28" s="136">
        <v>0</v>
      </c>
      <c r="BJ28" s="136">
        <v>0</v>
      </c>
      <c r="BK28" s="136">
        <v>0</v>
      </c>
      <c r="BL28" s="136">
        <v>0</v>
      </c>
      <c r="BM28" s="136">
        <v>0</v>
      </c>
      <c r="BN28" s="136">
        <v>0</v>
      </c>
      <c r="BO28" s="136">
        <v>0</v>
      </c>
      <c r="BP28" s="136">
        <v>0</v>
      </c>
      <c r="BQ28" s="136">
        <v>0</v>
      </c>
    </row>
    <row r="29" spans="1:256" s="2224" customFormat="1">
      <c r="A29" s="132"/>
      <c r="B29" s="133" t="s">
        <v>254</v>
      </c>
      <c r="C29" s="133">
        <f>SUM(D29:BQ29)</f>
        <v>0</v>
      </c>
      <c r="D29" s="133"/>
      <c r="E29" s="133"/>
      <c r="F29" s="133"/>
      <c r="G29" s="133"/>
      <c r="H29" s="133"/>
      <c r="I29" s="133"/>
      <c r="J29" s="133"/>
      <c r="K29" s="134">
        <f t="shared" ref="K29:AS29" si="34">K27*K28/10000</f>
        <v>0</v>
      </c>
      <c r="L29" s="134">
        <f t="shared" si="34"/>
        <v>0</v>
      </c>
      <c r="M29" s="134">
        <f t="shared" si="34"/>
        <v>0</v>
      </c>
      <c r="N29" s="134">
        <f t="shared" si="34"/>
        <v>0</v>
      </c>
      <c r="O29" s="134">
        <f t="shared" si="34"/>
        <v>0</v>
      </c>
      <c r="P29" s="134">
        <f t="shared" si="34"/>
        <v>0</v>
      </c>
      <c r="Q29" s="134">
        <f t="shared" si="34"/>
        <v>0</v>
      </c>
      <c r="R29" s="134">
        <f t="shared" ref="R29:AA29" si="35">R27*R28/10000</f>
        <v>0</v>
      </c>
      <c r="S29" s="134">
        <f t="shared" si="35"/>
        <v>0</v>
      </c>
      <c r="T29" s="134">
        <f t="shared" si="35"/>
        <v>0</v>
      </c>
      <c r="U29" s="134">
        <f t="shared" si="35"/>
        <v>0</v>
      </c>
      <c r="V29" s="134">
        <f t="shared" si="35"/>
        <v>0</v>
      </c>
      <c r="W29" s="134">
        <f t="shared" si="35"/>
        <v>0</v>
      </c>
      <c r="X29" s="134">
        <f t="shared" si="35"/>
        <v>0</v>
      </c>
      <c r="Y29" s="134">
        <f t="shared" si="35"/>
        <v>0</v>
      </c>
      <c r="Z29" s="134">
        <f t="shared" si="35"/>
        <v>0</v>
      </c>
      <c r="AA29" s="134">
        <f t="shared" si="35"/>
        <v>0</v>
      </c>
      <c r="AB29" s="134">
        <f t="shared" si="34"/>
        <v>0</v>
      </c>
      <c r="AC29" s="134">
        <f t="shared" si="34"/>
        <v>0</v>
      </c>
      <c r="AD29" s="134">
        <f t="shared" si="34"/>
        <v>0</v>
      </c>
      <c r="AE29" s="134">
        <f t="shared" si="34"/>
        <v>0</v>
      </c>
      <c r="AF29" s="134">
        <f t="shared" si="34"/>
        <v>0</v>
      </c>
      <c r="AG29" s="134">
        <f t="shared" si="34"/>
        <v>0</v>
      </c>
      <c r="AH29" s="134">
        <f t="shared" si="34"/>
        <v>0</v>
      </c>
      <c r="AI29" s="134">
        <f t="shared" si="34"/>
        <v>0</v>
      </c>
      <c r="AJ29" s="134">
        <f t="shared" si="34"/>
        <v>0</v>
      </c>
      <c r="AK29" s="134">
        <f t="shared" si="34"/>
        <v>0</v>
      </c>
      <c r="AL29" s="134">
        <f t="shared" si="34"/>
        <v>0</v>
      </c>
      <c r="AM29" s="134">
        <f t="shared" si="34"/>
        <v>0</v>
      </c>
      <c r="AN29" s="134">
        <f t="shared" si="34"/>
        <v>0</v>
      </c>
      <c r="AO29" s="134">
        <f t="shared" si="34"/>
        <v>0</v>
      </c>
      <c r="AP29" s="134">
        <f t="shared" si="34"/>
        <v>0</v>
      </c>
      <c r="AQ29" s="134">
        <f t="shared" si="34"/>
        <v>0</v>
      </c>
      <c r="AR29" s="134">
        <f t="shared" si="34"/>
        <v>0</v>
      </c>
      <c r="AS29" s="134">
        <f t="shared" si="34"/>
        <v>0</v>
      </c>
      <c r="AT29" s="134">
        <f t="shared" ref="AT29:BQ29" si="36">AT27*AT28/10000</f>
        <v>0</v>
      </c>
      <c r="AU29" s="134">
        <f t="shared" si="36"/>
        <v>0</v>
      </c>
      <c r="AV29" s="134">
        <f t="shared" si="36"/>
        <v>0</v>
      </c>
      <c r="AW29" s="134">
        <f t="shared" si="36"/>
        <v>0</v>
      </c>
      <c r="AX29" s="134">
        <f t="shared" si="36"/>
        <v>0</v>
      </c>
      <c r="AY29" s="134">
        <f t="shared" si="36"/>
        <v>0</v>
      </c>
      <c r="AZ29" s="134">
        <f t="shared" si="36"/>
        <v>0</v>
      </c>
      <c r="BA29" s="134">
        <f t="shared" si="36"/>
        <v>0</v>
      </c>
      <c r="BB29" s="134">
        <f t="shared" si="36"/>
        <v>0</v>
      </c>
      <c r="BC29" s="134">
        <f t="shared" si="36"/>
        <v>0</v>
      </c>
      <c r="BD29" s="134">
        <f t="shared" si="36"/>
        <v>0</v>
      </c>
      <c r="BE29" s="134">
        <f t="shared" si="36"/>
        <v>0</v>
      </c>
      <c r="BF29" s="134">
        <f t="shared" si="36"/>
        <v>0</v>
      </c>
      <c r="BG29" s="134">
        <f t="shared" si="36"/>
        <v>0</v>
      </c>
      <c r="BH29" s="134">
        <f t="shared" si="36"/>
        <v>0</v>
      </c>
      <c r="BI29" s="134">
        <f t="shared" si="36"/>
        <v>0</v>
      </c>
      <c r="BJ29" s="134">
        <f t="shared" si="36"/>
        <v>0</v>
      </c>
      <c r="BK29" s="134">
        <f t="shared" si="36"/>
        <v>0</v>
      </c>
      <c r="BL29" s="134">
        <f t="shared" si="36"/>
        <v>0</v>
      </c>
      <c r="BM29" s="134">
        <f t="shared" si="36"/>
        <v>0</v>
      </c>
      <c r="BN29" s="134">
        <f t="shared" si="36"/>
        <v>0</v>
      </c>
      <c r="BO29" s="134">
        <f t="shared" si="36"/>
        <v>0</v>
      </c>
      <c r="BP29" s="134">
        <f t="shared" si="36"/>
        <v>0</v>
      </c>
      <c r="BQ29" s="134">
        <f t="shared" si="36"/>
        <v>0</v>
      </c>
      <c r="BR29" s="117"/>
      <c r="BS29" s="117"/>
      <c r="BT29" s="117"/>
      <c r="BU29" s="117"/>
      <c r="BV29" s="117"/>
      <c r="BW29" s="117"/>
      <c r="BX29" s="117"/>
      <c r="BY29" s="117"/>
      <c r="BZ29" s="117"/>
      <c r="CA29" s="117"/>
      <c r="CB29" s="117"/>
      <c r="CC29" s="117"/>
      <c r="CD29" s="117"/>
      <c r="CE29" s="117"/>
      <c r="CF29" s="117"/>
      <c r="CG29" s="117"/>
      <c r="CH29" s="117"/>
      <c r="CI29" s="117"/>
      <c r="CJ29" s="117"/>
      <c r="CK29" s="117"/>
      <c r="CL29" s="117"/>
      <c r="CM29" s="117"/>
      <c r="CN29" s="117"/>
      <c r="CO29" s="117"/>
      <c r="CP29" s="117"/>
      <c r="CQ29" s="117"/>
      <c r="CR29" s="117"/>
      <c r="CS29" s="117"/>
      <c r="CT29" s="117"/>
      <c r="CU29" s="117"/>
      <c r="CV29" s="117"/>
      <c r="CW29" s="117"/>
      <c r="CX29" s="117"/>
      <c r="CY29" s="117"/>
      <c r="CZ29" s="117"/>
      <c r="DA29" s="117"/>
      <c r="DB29" s="117"/>
      <c r="DC29" s="117"/>
      <c r="DD29" s="117"/>
      <c r="DE29" s="117"/>
      <c r="DF29" s="117"/>
      <c r="DG29" s="117"/>
      <c r="DH29" s="117"/>
      <c r="DI29" s="117"/>
      <c r="DJ29" s="117"/>
      <c r="DK29" s="117"/>
      <c r="DL29" s="117"/>
      <c r="DM29" s="117"/>
      <c r="DN29" s="117"/>
      <c r="DO29" s="117"/>
      <c r="DP29" s="117"/>
      <c r="DQ29" s="117"/>
      <c r="DR29" s="117"/>
      <c r="DS29" s="117"/>
      <c r="DT29" s="117"/>
      <c r="DU29" s="117"/>
      <c r="DV29" s="117"/>
      <c r="DW29" s="117"/>
      <c r="DX29" s="117"/>
      <c r="DY29" s="117"/>
      <c r="DZ29" s="117"/>
      <c r="EA29" s="117"/>
      <c r="EB29" s="117"/>
      <c r="EC29" s="117"/>
      <c r="ED29" s="117"/>
      <c r="EE29" s="117"/>
      <c r="EF29" s="117"/>
      <c r="EG29" s="117"/>
      <c r="EH29" s="117"/>
      <c r="EI29" s="117"/>
      <c r="EJ29" s="117"/>
      <c r="EK29" s="117"/>
      <c r="EL29" s="117"/>
      <c r="EM29" s="117"/>
      <c r="EN29" s="117"/>
      <c r="EO29" s="117"/>
      <c r="EP29" s="117"/>
      <c r="EQ29" s="117"/>
      <c r="ER29" s="117"/>
      <c r="ES29" s="117"/>
      <c r="ET29" s="117"/>
      <c r="EU29" s="117"/>
      <c r="EV29" s="117"/>
      <c r="EW29" s="117"/>
      <c r="EX29" s="117"/>
      <c r="EY29" s="117"/>
      <c r="EZ29" s="117"/>
      <c r="FA29" s="117"/>
      <c r="FB29" s="117"/>
      <c r="FC29" s="117"/>
      <c r="FD29" s="117"/>
      <c r="FE29" s="117"/>
      <c r="FF29" s="117"/>
      <c r="FG29" s="117"/>
      <c r="FH29" s="117"/>
      <c r="FI29" s="117"/>
      <c r="FJ29" s="117"/>
      <c r="FK29" s="117"/>
      <c r="FL29" s="117"/>
      <c r="FM29" s="117"/>
      <c r="FN29" s="117"/>
      <c r="FO29" s="117"/>
      <c r="FP29" s="117"/>
      <c r="FQ29" s="117"/>
      <c r="FR29" s="117"/>
      <c r="FS29" s="117"/>
      <c r="FT29" s="117"/>
      <c r="FU29" s="117"/>
      <c r="FV29" s="117"/>
      <c r="FW29" s="117"/>
      <c r="FX29" s="117"/>
      <c r="FY29" s="117"/>
      <c r="FZ29" s="117"/>
      <c r="GA29" s="117"/>
      <c r="GB29" s="117"/>
      <c r="GC29" s="117"/>
      <c r="GD29" s="117"/>
      <c r="GE29" s="117"/>
      <c r="GF29" s="117"/>
      <c r="GG29" s="117"/>
      <c r="GH29" s="117"/>
      <c r="GI29" s="117"/>
      <c r="GJ29" s="117"/>
      <c r="GK29" s="117"/>
      <c r="GL29" s="117"/>
      <c r="GM29" s="117"/>
      <c r="GN29" s="117"/>
      <c r="GO29" s="117"/>
      <c r="GP29" s="117"/>
      <c r="GQ29" s="117"/>
      <c r="GR29" s="117"/>
      <c r="GS29" s="117"/>
      <c r="GT29" s="117"/>
      <c r="GU29" s="117"/>
      <c r="GV29" s="117"/>
      <c r="GW29" s="117"/>
      <c r="GX29" s="117"/>
      <c r="GY29" s="117"/>
      <c r="GZ29" s="117"/>
      <c r="HA29" s="117"/>
      <c r="HB29" s="117"/>
      <c r="HC29" s="117"/>
      <c r="HD29" s="117"/>
      <c r="HE29" s="117"/>
      <c r="HF29" s="117"/>
      <c r="HG29" s="117"/>
      <c r="HH29" s="117"/>
      <c r="HI29" s="117"/>
      <c r="HJ29" s="117"/>
      <c r="HK29" s="117"/>
      <c r="HL29" s="117"/>
      <c r="HM29" s="117"/>
      <c r="HN29" s="117"/>
      <c r="HO29" s="117"/>
      <c r="HP29" s="117"/>
      <c r="HQ29" s="117"/>
      <c r="HR29" s="117"/>
      <c r="HS29" s="117"/>
      <c r="HT29" s="117"/>
      <c r="HU29" s="117"/>
      <c r="HV29" s="117"/>
      <c r="HW29" s="117"/>
      <c r="HX29" s="117"/>
      <c r="HY29" s="117"/>
      <c r="HZ29" s="117"/>
      <c r="IA29" s="117"/>
      <c r="IB29" s="117"/>
      <c r="IC29" s="117"/>
      <c r="ID29" s="117"/>
      <c r="IE29" s="117"/>
      <c r="IF29" s="117"/>
      <c r="IG29" s="117"/>
      <c r="IH29" s="117"/>
      <c r="II29" s="117"/>
      <c r="IJ29" s="117"/>
      <c r="IK29" s="117"/>
      <c r="IL29" s="117"/>
      <c r="IM29" s="117"/>
      <c r="IN29" s="117"/>
      <c r="IO29" s="117"/>
      <c r="IP29" s="117"/>
      <c r="IQ29" s="117"/>
      <c r="IR29" s="117"/>
      <c r="IS29" s="117"/>
      <c r="IT29" s="117"/>
      <c r="IU29" s="117"/>
      <c r="IV29" s="117"/>
    </row>
    <row r="30" spans="1:256" s="126" customFormat="1" ht="13">
      <c r="A30" s="138">
        <f>'1-成本过渡'!A25</f>
        <v>0</v>
      </c>
      <c r="B30" s="128" t="s">
        <v>255</v>
      </c>
      <c r="C30" s="129">
        <f>SUM(H30:BQ30)</f>
        <v>0</v>
      </c>
      <c r="D30" s="135"/>
      <c r="E30" s="135"/>
      <c r="F30" s="135"/>
      <c r="G30" s="135"/>
      <c r="H30" s="135"/>
      <c r="I30" s="135"/>
      <c r="J30" s="135"/>
      <c r="K30" s="137"/>
      <c r="L30" s="137"/>
      <c r="M30" s="137"/>
      <c r="N30" s="137"/>
      <c r="O30" s="137"/>
      <c r="P30" s="137"/>
      <c r="Q30" s="137"/>
      <c r="R30" s="2223"/>
      <c r="S30" s="2223"/>
      <c r="T30" s="2223"/>
      <c r="U30" s="2223"/>
      <c r="V30" s="2223"/>
      <c r="W30" s="2223"/>
      <c r="X30" s="2223"/>
      <c r="Y30" s="2223"/>
      <c r="Z30" s="2223"/>
      <c r="AA30" s="2223"/>
      <c r="AB30" s="2223"/>
      <c r="AC30" s="2223"/>
      <c r="AD30" s="2223"/>
      <c r="AE30" s="2223"/>
      <c r="AF30" s="2223"/>
      <c r="AG30" s="2223"/>
      <c r="AH30" s="2223"/>
      <c r="AI30" s="137"/>
      <c r="AJ30" s="137"/>
      <c r="AK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row>
    <row r="31" spans="1:256" s="126" customFormat="1" ht="13">
      <c r="A31" s="138"/>
      <c r="B31" s="128" t="s">
        <v>253</v>
      </c>
      <c r="C31" s="129">
        <f>IF(C30&gt;0,C32/C30*10000,0)</f>
        <v>0</v>
      </c>
      <c r="D31" s="135"/>
      <c r="E31" s="135"/>
      <c r="F31" s="135"/>
      <c r="G31" s="135"/>
      <c r="H31" s="135"/>
      <c r="I31" s="135"/>
      <c r="J31" s="135"/>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row>
    <row r="32" spans="1:256" s="2224" customFormat="1">
      <c r="A32" s="132"/>
      <c r="B32" s="133" t="s">
        <v>254</v>
      </c>
      <c r="C32" s="133">
        <f>SUM(D32:BQ32)</f>
        <v>0</v>
      </c>
      <c r="D32" s="133"/>
      <c r="E32" s="133"/>
      <c r="F32" s="133"/>
      <c r="G32" s="133"/>
      <c r="H32" s="133"/>
      <c r="I32" s="133"/>
      <c r="J32" s="133"/>
      <c r="K32" s="134">
        <f t="shared" ref="K32:P32" si="37">K30*K31/10000</f>
        <v>0</v>
      </c>
      <c r="L32" s="134">
        <f t="shared" si="37"/>
        <v>0</v>
      </c>
      <c r="M32" s="134">
        <f t="shared" si="37"/>
        <v>0</v>
      </c>
      <c r="N32" s="134">
        <f t="shared" si="37"/>
        <v>0</v>
      </c>
      <c r="O32" s="134">
        <f t="shared" si="37"/>
        <v>0</v>
      </c>
      <c r="P32" s="134">
        <f t="shared" si="37"/>
        <v>0</v>
      </c>
      <c r="Q32" s="134">
        <f>Q30*Q31/10000</f>
        <v>0</v>
      </c>
      <c r="R32" s="134">
        <f>R30*R31/10000</f>
        <v>0</v>
      </c>
      <c r="S32" s="134">
        <f t="shared" ref="S32:AA32" si="38">S30*S31/10000</f>
        <v>0</v>
      </c>
      <c r="T32" s="134">
        <f t="shared" si="38"/>
        <v>0</v>
      </c>
      <c r="U32" s="134">
        <f t="shared" si="38"/>
        <v>0</v>
      </c>
      <c r="V32" s="134">
        <f t="shared" si="38"/>
        <v>0</v>
      </c>
      <c r="W32" s="134">
        <f t="shared" si="38"/>
        <v>0</v>
      </c>
      <c r="X32" s="134">
        <f t="shared" si="38"/>
        <v>0</v>
      </c>
      <c r="Y32" s="134">
        <f t="shared" si="38"/>
        <v>0</v>
      </c>
      <c r="Z32" s="134">
        <f t="shared" si="38"/>
        <v>0</v>
      </c>
      <c r="AA32" s="134">
        <f t="shared" si="38"/>
        <v>0</v>
      </c>
      <c r="AB32" s="134">
        <f t="shared" ref="AB32:AH32" si="39">AB30*AB31/10000</f>
        <v>0</v>
      </c>
      <c r="AC32" s="134">
        <f t="shared" si="39"/>
        <v>0</v>
      </c>
      <c r="AD32" s="134">
        <f t="shared" si="39"/>
        <v>0</v>
      </c>
      <c r="AE32" s="134">
        <f t="shared" si="39"/>
        <v>0</v>
      </c>
      <c r="AF32" s="134">
        <f t="shared" si="39"/>
        <v>0</v>
      </c>
      <c r="AG32" s="134">
        <f t="shared" si="39"/>
        <v>0</v>
      </c>
      <c r="AH32" s="134">
        <f t="shared" si="39"/>
        <v>0</v>
      </c>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17"/>
      <c r="BS32" s="117"/>
      <c r="BT32" s="117"/>
      <c r="BU32" s="117"/>
      <c r="BV32" s="117"/>
      <c r="BW32" s="117"/>
      <c r="BX32" s="117"/>
      <c r="BY32" s="117"/>
      <c r="BZ32" s="117"/>
      <c r="CA32" s="117"/>
      <c r="CB32" s="117"/>
      <c r="CC32" s="117"/>
      <c r="CD32" s="117"/>
      <c r="CE32" s="117"/>
      <c r="CF32" s="117"/>
      <c r="CG32" s="117"/>
      <c r="CH32" s="117"/>
      <c r="CI32" s="117"/>
      <c r="CJ32" s="117"/>
      <c r="CK32" s="117"/>
      <c r="CL32" s="117"/>
      <c r="CM32" s="117"/>
      <c r="CN32" s="117"/>
      <c r="CO32" s="117"/>
      <c r="CP32" s="117"/>
      <c r="CQ32" s="117"/>
      <c r="CR32" s="117"/>
      <c r="CS32" s="117"/>
      <c r="CT32" s="117"/>
      <c r="CU32" s="117"/>
      <c r="CV32" s="117"/>
      <c r="CW32" s="117"/>
      <c r="CX32" s="117"/>
      <c r="CY32" s="117"/>
      <c r="CZ32" s="117"/>
      <c r="DA32" s="117"/>
      <c r="DB32" s="117"/>
      <c r="DC32" s="117"/>
      <c r="DD32" s="117"/>
      <c r="DE32" s="117"/>
      <c r="DF32" s="117"/>
      <c r="DG32" s="117"/>
      <c r="DH32" s="117"/>
      <c r="DI32" s="117"/>
      <c r="DJ32" s="117"/>
      <c r="DK32" s="117"/>
      <c r="DL32" s="117"/>
      <c r="DM32" s="117"/>
      <c r="DN32" s="117"/>
      <c r="DO32" s="117"/>
      <c r="DP32" s="117"/>
      <c r="DQ32" s="117"/>
      <c r="DR32" s="117"/>
      <c r="DS32" s="117"/>
      <c r="DT32" s="117"/>
      <c r="DU32" s="117"/>
      <c r="DV32" s="117"/>
      <c r="DW32" s="117"/>
      <c r="DX32" s="117"/>
      <c r="DY32" s="117"/>
      <c r="DZ32" s="117"/>
      <c r="EA32" s="117"/>
      <c r="EB32" s="117"/>
      <c r="EC32" s="117"/>
      <c r="ED32" s="117"/>
      <c r="EE32" s="117"/>
      <c r="EF32" s="117"/>
      <c r="EG32" s="117"/>
      <c r="EH32" s="117"/>
      <c r="EI32" s="117"/>
      <c r="EJ32" s="117"/>
      <c r="EK32" s="117"/>
      <c r="EL32" s="117"/>
      <c r="EM32" s="117"/>
      <c r="EN32" s="117"/>
      <c r="EO32" s="117"/>
      <c r="EP32" s="117"/>
      <c r="EQ32" s="117"/>
      <c r="ER32" s="117"/>
      <c r="ES32" s="117"/>
      <c r="ET32" s="117"/>
      <c r="EU32" s="117"/>
      <c r="EV32" s="117"/>
      <c r="EW32" s="117"/>
      <c r="EX32" s="117"/>
      <c r="EY32" s="117"/>
      <c r="EZ32" s="117"/>
      <c r="FA32" s="117"/>
      <c r="FB32" s="117"/>
      <c r="FC32" s="117"/>
      <c r="FD32" s="117"/>
      <c r="FE32" s="117"/>
      <c r="FF32" s="117"/>
      <c r="FG32" s="117"/>
      <c r="FH32" s="117"/>
      <c r="FI32" s="117"/>
      <c r="FJ32" s="117"/>
      <c r="FK32" s="117"/>
      <c r="FL32" s="117"/>
      <c r="FM32" s="117"/>
      <c r="FN32" s="117"/>
      <c r="FO32" s="117"/>
      <c r="FP32" s="117"/>
      <c r="FQ32" s="117"/>
      <c r="FR32" s="117"/>
      <c r="FS32" s="117"/>
      <c r="FT32" s="117"/>
      <c r="FU32" s="117"/>
      <c r="FV32" s="117"/>
      <c r="FW32" s="117"/>
      <c r="FX32" s="117"/>
      <c r="FY32" s="117"/>
      <c r="FZ32" s="117"/>
      <c r="GA32" s="117"/>
      <c r="GB32" s="117"/>
      <c r="GC32" s="117"/>
      <c r="GD32" s="117"/>
      <c r="GE32" s="117"/>
      <c r="GF32" s="117"/>
      <c r="GG32" s="117"/>
      <c r="GH32" s="117"/>
      <c r="GI32" s="117"/>
      <c r="GJ32" s="117"/>
      <c r="GK32" s="117"/>
      <c r="GL32" s="117"/>
      <c r="GM32" s="117"/>
      <c r="GN32" s="117"/>
      <c r="GO32" s="117"/>
      <c r="GP32" s="117"/>
      <c r="GQ32" s="117"/>
      <c r="GR32" s="117"/>
      <c r="GS32" s="117"/>
      <c r="GT32" s="117"/>
      <c r="GU32" s="117"/>
      <c r="GV32" s="117"/>
      <c r="GW32" s="117"/>
      <c r="GX32" s="117"/>
      <c r="GY32" s="117"/>
      <c r="GZ32" s="117"/>
      <c r="HA32" s="117"/>
      <c r="HB32" s="117"/>
      <c r="HC32" s="117"/>
      <c r="HD32" s="117"/>
      <c r="HE32" s="117"/>
      <c r="HF32" s="117"/>
      <c r="HG32" s="117"/>
      <c r="HH32" s="117"/>
      <c r="HI32" s="117"/>
      <c r="HJ32" s="117"/>
      <c r="HK32" s="117"/>
      <c r="HL32" s="117"/>
      <c r="HM32" s="117"/>
      <c r="HN32" s="117"/>
      <c r="HO32" s="117"/>
      <c r="HP32" s="117"/>
      <c r="HQ32" s="117"/>
      <c r="HR32" s="117"/>
      <c r="HS32" s="117"/>
      <c r="HT32" s="117"/>
      <c r="HU32" s="117"/>
      <c r="HV32" s="117"/>
      <c r="HW32" s="117"/>
      <c r="HX32" s="117"/>
      <c r="HY32" s="117"/>
      <c r="HZ32" s="117"/>
      <c r="IA32" s="117"/>
      <c r="IB32" s="117"/>
      <c r="IC32" s="117"/>
      <c r="ID32" s="117"/>
      <c r="IE32" s="117"/>
      <c r="IF32" s="117"/>
      <c r="IG32" s="117"/>
      <c r="IH32" s="117"/>
      <c r="II32" s="117"/>
      <c r="IJ32" s="117"/>
      <c r="IK32" s="117"/>
      <c r="IL32" s="117"/>
      <c r="IM32" s="117"/>
      <c r="IN32" s="117"/>
      <c r="IO32" s="117"/>
      <c r="IP32" s="117"/>
      <c r="IQ32" s="117"/>
      <c r="IR32" s="117"/>
      <c r="IS32" s="117"/>
      <c r="IT32" s="117"/>
      <c r="IU32" s="117"/>
      <c r="IV32" s="117"/>
    </row>
    <row r="33" spans="1:69">
      <c r="A33" s="125" t="s">
        <v>436</v>
      </c>
      <c r="B33" s="120" t="s">
        <v>255</v>
      </c>
      <c r="C33" s="122">
        <f t="shared" ref="C33:AS33" si="40">SUMIF($B36:$B44,$B33,C36:C44)</f>
        <v>0</v>
      </c>
      <c r="D33" s="122">
        <f t="shared" si="40"/>
        <v>0</v>
      </c>
      <c r="E33" s="122">
        <f t="shared" si="40"/>
        <v>0</v>
      </c>
      <c r="F33" s="122">
        <f t="shared" si="40"/>
        <v>0</v>
      </c>
      <c r="G33" s="122">
        <f t="shared" si="40"/>
        <v>0</v>
      </c>
      <c r="H33" s="122">
        <f t="shared" si="40"/>
        <v>0</v>
      </c>
      <c r="I33" s="122">
        <f t="shared" si="40"/>
        <v>0</v>
      </c>
      <c r="J33" s="122">
        <f t="shared" si="40"/>
        <v>0</v>
      </c>
      <c r="K33" s="122">
        <f t="shared" si="40"/>
        <v>0</v>
      </c>
      <c r="L33" s="122">
        <f t="shared" si="40"/>
        <v>0</v>
      </c>
      <c r="M33" s="122">
        <f t="shared" si="40"/>
        <v>0</v>
      </c>
      <c r="N33" s="122">
        <f t="shared" si="40"/>
        <v>0</v>
      </c>
      <c r="O33" s="122">
        <f t="shared" si="40"/>
        <v>0</v>
      </c>
      <c r="P33" s="122">
        <f t="shared" si="40"/>
        <v>0</v>
      </c>
      <c r="Q33" s="122">
        <f t="shared" si="40"/>
        <v>0</v>
      </c>
      <c r="R33" s="122">
        <f t="shared" si="40"/>
        <v>0</v>
      </c>
      <c r="S33" s="122">
        <f t="shared" si="40"/>
        <v>0</v>
      </c>
      <c r="T33" s="122">
        <f t="shared" si="40"/>
        <v>0</v>
      </c>
      <c r="U33" s="122">
        <f t="shared" si="40"/>
        <v>0</v>
      </c>
      <c r="V33" s="122">
        <f t="shared" si="40"/>
        <v>0</v>
      </c>
      <c r="W33" s="122">
        <f t="shared" si="40"/>
        <v>0</v>
      </c>
      <c r="X33" s="122">
        <f t="shared" si="40"/>
        <v>0</v>
      </c>
      <c r="Y33" s="122">
        <f t="shared" si="40"/>
        <v>0</v>
      </c>
      <c r="Z33" s="122">
        <f t="shared" si="40"/>
        <v>0</v>
      </c>
      <c r="AA33" s="122">
        <f t="shared" si="40"/>
        <v>0</v>
      </c>
      <c r="AB33" s="122">
        <f t="shared" si="40"/>
        <v>0</v>
      </c>
      <c r="AC33" s="122">
        <f t="shared" si="40"/>
        <v>0</v>
      </c>
      <c r="AD33" s="122">
        <f t="shared" si="40"/>
        <v>0</v>
      </c>
      <c r="AE33" s="122">
        <f t="shared" si="40"/>
        <v>0</v>
      </c>
      <c r="AF33" s="122">
        <f t="shared" si="40"/>
        <v>0</v>
      </c>
      <c r="AG33" s="122">
        <f t="shared" si="40"/>
        <v>0</v>
      </c>
      <c r="AH33" s="122">
        <f t="shared" si="40"/>
        <v>0</v>
      </c>
      <c r="AI33" s="122">
        <f t="shared" si="40"/>
        <v>0</v>
      </c>
      <c r="AJ33" s="122">
        <f t="shared" si="40"/>
        <v>0</v>
      </c>
      <c r="AK33" s="122">
        <f t="shared" si="40"/>
        <v>0</v>
      </c>
      <c r="AL33" s="122">
        <f t="shared" si="40"/>
        <v>0</v>
      </c>
      <c r="AM33" s="122">
        <f t="shared" si="40"/>
        <v>0</v>
      </c>
      <c r="AN33" s="122">
        <f t="shared" si="40"/>
        <v>0</v>
      </c>
      <c r="AO33" s="122">
        <f t="shared" si="40"/>
        <v>0</v>
      </c>
      <c r="AP33" s="122">
        <f t="shared" si="40"/>
        <v>0</v>
      </c>
      <c r="AQ33" s="122">
        <f t="shared" si="40"/>
        <v>0</v>
      </c>
      <c r="AR33" s="122">
        <f t="shared" si="40"/>
        <v>0</v>
      </c>
      <c r="AS33" s="122">
        <f t="shared" si="40"/>
        <v>0</v>
      </c>
      <c r="AT33" s="122">
        <f t="shared" ref="AT33:BQ33" si="41">SUMIF($B36:$B44,$B33,AT36:AT44)</f>
        <v>0</v>
      </c>
      <c r="AU33" s="122">
        <f t="shared" si="41"/>
        <v>0</v>
      </c>
      <c r="AV33" s="122">
        <f t="shared" si="41"/>
        <v>0</v>
      </c>
      <c r="AW33" s="122">
        <f t="shared" si="41"/>
        <v>0</v>
      </c>
      <c r="AX33" s="122">
        <f t="shared" si="41"/>
        <v>0</v>
      </c>
      <c r="AY33" s="122">
        <f t="shared" si="41"/>
        <v>0</v>
      </c>
      <c r="AZ33" s="122">
        <f t="shared" si="41"/>
        <v>0</v>
      </c>
      <c r="BA33" s="122">
        <f t="shared" si="41"/>
        <v>0</v>
      </c>
      <c r="BB33" s="122">
        <f t="shared" si="41"/>
        <v>0</v>
      </c>
      <c r="BC33" s="122">
        <f t="shared" si="41"/>
        <v>0</v>
      </c>
      <c r="BD33" s="122">
        <f t="shared" si="41"/>
        <v>0</v>
      </c>
      <c r="BE33" s="122">
        <f t="shared" si="41"/>
        <v>0</v>
      </c>
      <c r="BF33" s="122">
        <f t="shared" si="41"/>
        <v>0</v>
      </c>
      <c r="BG33" s="122">
        <f t="shared" si="41"/>
        <v>0</v>
      </c>
      <c r="BH33" s="122">
        <f t="shared" si="41"/>
        <v>0</v>
      </c>
      <c r="BI33" s="122">
        <f t="shared" si="41"/>
        <v>0</v>
      </c>
      <c r="BJ33" s="122">
        <f t="shared" si="41"/>
        <v>0</v>
      </c>
      <c r="BK33" s="122">
        <f t="shared" si="41"/>
        <v>0</v>
      </c>
      <c r="BL33" s="122">
        <f t="shared" si="41"/>
        <v>0</v>
      </c>
      <c r="BM33" s="122">
        <f t="shared" si="41"/>
        <v>0</v>
      </c>
      <c r="BN33" s="122">
        <f t="shared" si="41"/>
        <v>0</v>
      </c>
      <c r="BO33" s="122">
        <f t="shared" si="41"/>
        <v>0</v>
      </c>
      <c r="BP33" s="122">
        <f t="shared" si="41"/>
        <v>0</v>
      </c>
      <c r="BQ33" s="122">
        <f t="shared" si="41"/>
        <v>0</v>
      </c>
    </row>
    <row r="34" spans="1:69">
      <c r="A34" s="125"/>
      <c r="B34" s="120" t="s">
        <v>253</v>
      </c>
      <c r="C34" s="122">
        <f t="shared" ref="C34:AS34" si="42">IF(C33&gt;0,C35/C33*10000,0)</f>
        <v>0</v>
      </c>
      <c r="D34" s="122">
        <f t="shared" si="42"/>
        <v>0</v>
      </c>
      <c r="E34" s="122">
        <f t="shared" si="42"/>
        <v>0</v>
      </c>
      <c r="F34" s="122">
        <f t="shared" si="42"/>
        <v>0</v>
      </c>
      <c r="G34" s="122">
        <f t="shared" si="42"/>
        <v>0</v>
      </c>
      <c r="H34" s="122">
        <f t="shared" si="42"/>
        <v>0</v>
      </c>
      <c r="I34" s="122">
        <f t="shared" si="42"/>
        <v>0</v>
      </c>
      <c r="J34" s="122">
        <f t="shared" si="42"/>
        <v>0</v>
      </c>
      <c r="K34" s="122">
        <f t="shared" si="42"/>
        <v>0</v>
      </c>
      <c r="L34" s="122">
        <f t="shared" si="42"/>
        <v>0</v>
      </c>
      <c r="M34" s="122">
        <f t="shared" si="42"/>
        <v>0</v>
      </c>
      <c r="N34" s="122">
        <f t="shared" si="42"/>
        <v>0</v>
      </c>
      <c r="O34" s="122">
        <f t="shared" si="42"/>
        <v>0</v>
      </c>
      <c r="P34" s="122">
        <f t="shared" si="42"/>
        <v>0</v>
      </c>
      <c r="Q34" s="122">
        <f t="shared" si="42"/>
        <v>0</v>
      </c>
      <c r="R34" s="122">
        <f t="shared" si="42"/>
        <v>0</v>
      </c>
      <c r="S34" s="122">
        <f t="shared" si="42"/>
        <v>0</v>
      </c>
      <c r="T34" s="122">
        <f t="shared" si="42"/>
        <v>0</v>
      </c>
      <c r="U34" s="122">
        <f t="shared" si="42"/>
        <v>0</v>
      </c>
      <c r="V34" s="122">
        <f t="shared" si="42"/>
        <v>0</v>
      </c>
      <c r="W34" s="122">
        <f t="shared" si="42"/>
        <v>0</v>
      </c>
      <c r="X34" s="122">
        <f t="shared" si="42"/>
        <v>0</v>
      </c>
      <c r="Y34" s="122">
        <f t="shared" si="42"/>
        <v>0</v>
      </c>
      <c r="Z34" s="122">
        <f t="shared" si="42"/>
        <v>0</v>
      </c>
      <c r="AA34" s="122">
        <f t="shared" si="42"/>
        <v>0</v>
      </c>
      <c r="AB34" s="122">
        <f t="shared" si="42"/>
        <v>0</v>
      </c>
      <c r="AC34" s="122">
        <f t="shared" si="42"/>
        <v>0</v>
      </c>
      <c r="AD34" s="122">
        <f t="shared" si="42"/>
        <v>0</v>
      </c>
      <c r="AE34" s="122">
        <f t="shared" si="42"/>
        <v>0</v>
      </c>
      <c r="AF34" s="122">
        <f t="shared" si="42"/>
        <v>0</v>
      </c>
      <c r="AG34" s="122">
        <f t="shared" si="42"/>
        <v>0</v>
      </c>
      <c r="AH34" s="122">
        <f t="shared" si="42"/>
        <v>0</v>
      </c>
      <c r="AI34" s="122">
        <f t="shared" si="42"/>
        <v>0</v>
      </c>
      <c r="AJ34" s="122">
        <f t="shared" si="42"/>
        <v>0</v>
      </c>
      <c r="AK34" s="122">
        <f t="shared" si="42"/>
        <v>0</v>
      </c>
      <c r="AL34" s="122">
        <f t="shared" si="42"/>
        <v>0</v>
      </c>
      <c r="AM34" s="122">
        <f t="shared" si="42"/>
        <v>0</v>
      </c>
      <c r="AN34" s="122">
        <f t="shared" si="42"/>
        <v>0</v>
      </c>
      <c r="AO34" s="122">
        <f t="shared" si="42"/>
        <v>0</v>
      </c>
      <c r="AP34" s="122">
        <f t="shared" si="42"/>
        <v>0</v>
      </c>
      <c r="AQ34" s="122">
        <f t="shared" si="42"/>
        <v>0</v>
      </c>
      <c r="AR34" s="122">
        <f t="shared" si="42"/>
        <v>0</v>
      </c>
      <c r="AS34" s="122">
        <f t="shared" si="42"/>
        <v>0</v>
      </c>
      <c r="AT34" s="122">
        <f t="shared" ref="AT34:BQ34" si="43">IF(AT33&gt;0,AT35/AT33*10000,0)</f>
        <v>0</v>
      </c>
      <c r="AU34" s="122">
        <f t="shared" si="43"/>
        <v>0</v>
      </c>
      <c r="AV34" s="122">
        <f t="shared" si="43"/>
        <v>0</v>
      </c>
      <c r="AW34" s="122">
        <f t="shared" si="43"/>
        <v>0</v>
      </c>
      <c r="AX34" s="122">
        <f t="shared" si="43"/>
        <v>0</v>
      </c>
      <c r="AY34" s="122">
        <f t="shared" si="43"/>
        <v>0</v>
      </c>
      <c r="AZ34" s="122">
        <f t="shared" si="43"/>
        <v>0</v>
      </c>
      <c r="BA34" s="122">
        <f t="shared" si="43"/>
        <v>0</v>
      </c>
      <c r="BB34" s="122">
        <f t="shared" si="43"/>
        <v>0</v>
      </c>
      <c r="BC34" s="122">
        <f t="shared" si="43"/>
        <v>0</v>
      </c>
      <c r="BD34" s="122">
        <f t="shared" si="43"/>
        <v>0</v>
      </c>
      <c r="BE34" s="122">
        <f t="shared" si="43"/>
        <v>0</v>
      </c>
      <c r="BF34" s="122">
        <f t="shared" si="43"/>
        <v>0</v>
      </c>
      <c r="BG34" s="122">
        <f t="shared" si="43"/>
        <v>0</v>
      </c>
      <c r="BH34" s="122">
        <f t="shared" si="43"/>
        <v>0</v>
      </c>
      <c r="BI34" s="122">
        <f t="shared" si="43"/>
        <v>0</v>
      </c>
      <c r="BJ34" s="122">
        <f t="shared" si="43"/>
        <v>0</v>
      </c>
      <c r="BK34" s="122">
        <f t="shared" si="43"/>
        <v>0</v>
      </c>
      <c r="BL34" s="122">
        <f t="shared" si="43"/>
        <v>0</v>
      </c>
      <c r="BM34" s="122">
        <f t="shared" si="43"/>
        <v>0</v>
      </c>
      <c r="BN34" s="122">
        <f t="shared" si="43"/>
        <v>0</v>
      </c>
      <c r="BO34" s="122">
        <f t="shared" si="43"/>
        <v>0</v>
      </c>
      <c r="BP34" s="122">
        <f t="shared" si="43"/>
        <v>0</v>
      </c>
      <c r="BQ34" s="122">
        <f t="shared" si="43"/>
        <v>0</v>
      </c>
    </row>
    <row r="35" spans="1:69">
      <c r="A35" s="125"/>
      <c r="B35" s="120" t="s">
        <v>254</v>
      </c>
      <c r="C35" s="122">
        <f t="shared" ref="C35:AS35" si="44">SUMIF($B36:$B44,$B35,C36:C44)</f>
        <v>0</v>
      </c>
      <c r="D35" s="122">
        <f t="shared" si="44"/>
        <v>0</v>
      </c>
      <c r="E35" s="122">
        <f t="shared" si="44"/>
        <v>0</v>
      </c>
      <c r="F35" s="122">
        <f t="shared" si="44"/>
        <v>0</v>
      </c>
      <c r="G35" s="122">
        <f t="shared" si="44"/>
        <v>0</v>
      </c>
      <c r="H35" s="122">
        <f t="shared" si="44"/>
        <v>0</v>
      </c>
      <c r="I35" s="122">
        <f t="shared" si="44"/>
        <v>0</v>
      </c>
      <c r="J35" s="122">
        <f t="shared" si="44"/>
        <v>0</v>
      </c>
      <c r="K35" s="122">
        <f t="shared" si="44"/>
        <v>0</v>
      </c>
      <c r="L35" s="122">
        <f t="shared" si="44"/>
        <v>0</v>
      </c>
      <c r="M35" s="122">
        <f t="shared" si="44"/>
        <v>0</v>
      </c>
      <c r="N35" s="122">
        <f t="shared" si="44"/>
        <v>0</v>
      </c>
      <c r="O35" s="122">
        <f t="shared" si="44"/>
        <v>0</v>
      </c>
      <c r="P35" s="122">
        <f t="shared" si="44"/>
        <v>0</v>
      </c>
      <c r="Q35" s="122">
        <f t="shared" si="44"/>
        <v>0</v>
      </c>
      <c r="R35" s="122">
        <f t="shared" si="44"/>
        <v>0</v>
      </c>
      <c r="S35" s="122">
        <f t="shared" si="44"/>
        <v>0</v>
      </c>
      <c r="T35" s="122">
        <f t="shared" si="44"/>
        <v>0</v>
      </c>
      <c r="U35" s="122">
        <f t="shared" si="44"/>
        <v>0</v>
      </c>
      <c r="V35" s="122">
        <f t="shared" si="44"/>
        <v>0</v>
      </c>
      <c r="W35" s="122">
        <f t="shared" si="44"/>
        <v>0</v>
      </c>
      <c r="X35" s="122">
        <f t="shared" si="44"/>
        <v>0</v>
      </c>
      <c r="Y35" s="122">
        <f t="shared" si="44"/>
        <v>0</v>
      </c>
      <c r="Z35" s="122">
        <f t="shared" si="44"/>
        <v>0</v>
      </c>
      <c r="AA35" s="122">
        <f t="shared" si="44"/>
        <v>0</v>
      </c>
      <c r="AB35" s="122">
        <f t="shared" si="44"/>
        <v>0</v>
      </c>
      <c r="AC35" s="122">
        <f t="shared" si="44"/>
        <v>0</v>
      </c>
      <c r="AD35" s="122">
        <f t="shared" si="44"/>
        <v>0</v>
      </c>
      <c r="AE35" s="122">
        <f t="shared" si="44"/>
        <v>0</v>
      </c>
      <c r="AF35" s="122">
        <f t="shared" si="44"/>
        <v>0</v>
      </c>
      <c r="AG35" s="122">
        <f t="shared" si="44"/>
        <v>0</v>
      </c>
      <c r="AH35" s="122">
        <f t="shared" si="44"/>
        <v>0</v>
      </c>
      <c r="AI35" s="122">
        <f t="shared" si="44"/>
        <v>0</v>
      </c>
      <c r="AJ35" s="122">
        <f t="shared" si="44"/>
        <v>0</v>
      </c>
      <c r="AK35" s="122">
        <f t="shared" si="44"/>
        <v>0</v>
      </c>
      <c r="AL35" s="122">
        <f t="shared" si="44"/>
        <v>0</v>
      </c>
      <c r="AM35" s="122">
        <f t="shared" si="44"/>
        <v>0</v>
      </c>
      <c r="AN35" s="122">
        <f t="shared" si="44"/>
        <v>0</v>
      </c>
      <c r="AO35" s="122">
        <f t="shared" si="44"/>
        <v>0</v>
      </c>
      <c r="AP35" s="122">
        <f t="shared" si="44"/>
        <v>0</v>
      </c>
      <c r="AQ35" s="122">
        <f t="shared" si="44"/>
        <v>0</v>
      </c>
      <c r="AR35" s="122">
        <f t="shared" si="44"/>
        <v>0</v>
      </c>
      <c r="AS35" s="122">
        <f t="shared" si="44"/>
        <v>0</v>
      </c>
      <c r="AT35" s="122">
        <f t="shared" ref="AT35:BQ35" si="45">SUMIF($B36:$B44,$B35,AT36:AT44)</f>
        <v>0</v>
      </c>
      <c r="AU35" s="122">
        <f t="shared" si="45"/>
        <v>0</v>
      </c>
      <c r="AV35" s="122">
        <f t="shared" si="45"/>
        <v>0</v>
      </c>
      <c r="AW35" s="122">
        <f t="shared" si="45"/>
        <v>0</v>
      </c>
      <c r="AX35" s="122">
        <f t="shared" si="45"/>
        <v>0</v>
      </c>
      <c r="AY35" s="122">
        <f t="shared" si="45"/>
        <v>0</v>
      </c>
      <c r="AZ35" s="122">
        <f t="shared" si="45"/>
        <v>0</v>
      </c>
      <c r="BA35" s="122">
        <f t="shared" si="45"/>
        <v>0</v>
      </c>
      <c r="BB35" s="122">
        <f t="shared" si="45"/>
        <v>0</v>
      </c>
      <c r="BC35" s="122">
        <f t="shared" si="45"/>
        <v>0</v>
      </c>
      <c r="BD35" s="122">
        <f t="shared" si="45"/>
        <v>0</v>
      </c>
      <c r="BE35" s="122">
        <f t="shared" si="45"/>
        <v>0</v>
      </c>
      <c r="BF35" s="122">
        <f t="shared" si="45"/>
        <v>0</v>
      </c>
      <c r="BG35" s="122">
        <f t="shared" si="45"/>
        <v>0</v>
      </c>
      <c r="BH35" s="122">
        <f t="shared" si="45"/>
        <v>0</v>
      </c>
      <c r="BI35" s="122">
        <f t="shared" si="45"/>
        <v>0</v>
      </c>
      <c r="BJ35" s="122">
        <f t="shared" si="45"/>
        <v>0</v>
      </c>
      <c r="BK35" s="122">
        <f t="shared" si="45"/>
        <v>0</v>
      </c>
      <c r="BL35" s="122">
        <f t="shared" si="45"/>
        <v>0</v>
      </c>
      <c r="BM35" s="122">
        <f t="shared" si="45"/>
        <v>0</v>
      </c>
      <c r="BN35" s="122">
        <f t="shared" si="45"/>
        <v>0</v>
      </c>
      <c r="BO35" s="122">
        <f t="shared" si="45"/>
        <v>0</v>
      </c>
      <c r="BP35" s="122">
        <f t="shared" si="45"/>
        <v>0</v>
      </c>
      <c r="BQ35" s="122">
        <f t="shared" si="45"/>
        <v>0</v>
      </c>
    </row>
    <row r="36" spans="1:69" s="126" customFormat="1" ht="13">
      <c r="A36" s="127" t="s">
        <v>940</v>
      </c>
      <c r="B36" s="128" t="s">
        <v>255</v>
      </c>
      <c r="C36" s="129"/>
      <c r="D36" s="130"/>
      <c r="E36" s="130"/>
      <c r="F36" s="130"/>
      <c r="G36" s="130"/>
      <c r="H36" s="130"/>
      <c r="I36" s="130"/>
      <c r="J36" s="130"/>
      <c r="K36" s="130"/>
      <c r="L36" s="130"/>
      <c r="M36" s="130"/>
      <c r="N36" s="130"/>
      <c r="O36" s="130"/>
      <c r="P36" s="130"/>
      <c r="Q36" s="130"/>
      <c r="R36" s="130"/>
      <c r="S36" s="130"/>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row>
    <row r="37" spans="1:69" s="126" customFormat="1" ht="13">
      <c r="A37" s="127">
        <v>0</v>
      </c>
      <c r="B37" s="128" t="s">
        <v>253</v>
      </c>
      <c r="C37" s="129"/>
      <c r="D37" s="130"/>
      <c r="E37" s="130"/>
      <c r="F37" s="129"/>
      <c r="G37" s="129"/>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c r="BK37" s="130"/>
      <c r="BL37" s="130"/>
      <c r="BM37" s="130"/>
      <c r="BN37" s="130"/>
      <c r="BO37" s="130"/>
      <c r="BP37" s="130"/>
      <c r="BQ37" s="130"/>
    </row>
    <row r="38" spans="1:69">
      <c r="A38" s="132">
        <v>0</v>
      </c>
      <c r="B38" s="133" t="s">
        <v>254</v>
      </c>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row>
    <row r="39" spans="1:69" s="126" customFormat="1" ht="13">
      <c r="A39" s="127" t="s">
        <v>907</v>
      </c>
      <c r="B39" s="128" t="s">
        <v>255</v>
      </c>
      <c r="C39" s="129"/>
      <c r="D39" s="130"/>
      <c r="E39" s="130"/>
      <c r="F39" s="130"/>
      <c r="G39" s="130"/>
      <c r="H39" s="130"/>
      <c r="I39" s="130"/>
      <c r="J39" s="130"/>
      <c r="K39" s="130"/>
      <c r="L39" s="130"/>
      <c r="M39" s="130"/>
      <c r="N39" s="130"/>
      <c r="O39" s="130"/>
      <c r="P39" s="130"/>
      <c r="Q39" s="130"/>
      <c r="R39" s="130"/>
      <c r="S39" s="130"/>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row>
    <row r="40" spans="1:69" s="126" customFormat="1" ht="13">
      <c r="A40" s="127">
        <v>0</v>
      </c>
      <c r="B40" s="128" t="s">
        <v>253</v>
      </c>
      <c r="C40" s="129"/>
      <c r="D40" s="130"/>
      <c r="E40" s="130"/>
      <c r="F40" s="129"/>
      <c r="G40" s="129"/>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c r="BK40" s="130"/>
      <c r="BL40" s="130"/>
      <c r="BM40" s="130"/>
      <c r="BN40" s="130"/>
      <c r="BO40" s="130"/>
      <c r="BP40" s="130"/>
      <c r="BQ40" s="130"/>
    </row>
    <row r="41" spans="1:69">
      <c r="A41" s="132">
        <v>0</v>
      </c>
      <c r="B41" s="133" t="s">
        <v>254</v>
      </c>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c r="BK41" s="133"/>
      <c r="BL41" s="133"/>
      <c r="BM41" s="133"/>
      <c r="BN41" s="133"/>
      <c r="BO41" s="133"/>
      <c r="BP41" s="133"/>
      <c r="BQ41" s="133"/>
    </row>
    <row r="42" spans="1:69" s="126" customFormat="1" ht="13">
      <c r="A42" s="127" t="s">
        <v>2969</v>
      </c>
      <c r="B42" s="128" t="s">
        <v>255</v>
      </c>
      <c r="C42" s="129"/>
      <c r="D42" s="130"/>
      <c r="E42" s="130"/>
      <c r="F42" s="130"/>
      <c r="G42" s="130"/>
      <c r="H42" s="130"/>
      <c r="I42" s="130"/>
      <c r="J42" s="130"/>
      <c r="K42" s="130"/>
      <c r="L42" s="130"/>
      <c r="M42" s="130"/>
      <c r="N42" s="130"/>
      <c r="O42" s="130"/>
      <c r="P42" s="130"/>
      <c r="Q42" s="130"/>
      <c r="R42" s="130"/>
      <c r="S42" s="130"/>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row>
    <row r="43" spans="1:69" s="126" customFormat="1" ht="13">
      <c r="A43" s="127">
        <v>0</v>
      </c>
      <c r="B43" s="128" t="s">
        <v>253</v>
      </c>
      <c r="C43" s="129"/>
      <c r="D43" s="130"/>
      <c r="E43" s="130"/>
      <c r="F43" s="129"/>
      <c r="G43" s="129"/>
      <c r="H43" s="130"/>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row>
    <row r="44" spans="1:69">
      <c r="A44" s="132">
        <v>0</v>
      </c>
      <c r="B44" s="133" t="s">
        <v>254</v>
      </c>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row>
    <row r="45" spans="1:69">
      <c r="A45" s="125" t="s">
        <v>437</v>
      </c>
      <c r="B45" s="120" t="s">
        <v>255</v>
      </c>
      <c r="C45" s="122">
        <f t="shared" ref="C45:AS45" si="46">SUMIF($B48:$B56,$B45,C48:C56)</f>
        <v>0</v>
      </c>
      <c r="D45" s="122">
        <f t="shared" si="46"/>
        <v>0</v>
      </c>
      <c r="E45" s="122">
        <f t="shared" si="46"/>
        <v>0</v>
      </c>
      <c r="F45" s="122">
        <f t="shared" si="46"/>
        <v>0</v>
      </c>
      <c r="G45" s="122">
        <f t="shared" si="46"/>
        <v>0</v>
      </c>
      <c r="H45" s="122">
        <f t="shared" si="46"/>
        <v>0</v>
      </c>
      <c r="I45" s="122">
        <f t="shared" si="46"/>
        <v>0</v>
      </c>
      <c r="J45" s="122">
        <f t="shared" si="46"/>
        <v>0</v>
      </c>
      <c r="K45" s="122">
        <f t="shared" si="46"/>
        <v>0</v>
      </c>
      <c r="L45" s="122">
        <f t="shared" si="46"/>
        <v>0</v>
      </c>
      <c r="M45" s="122">
        <f t="shared" si="46"/>
        <v>0</v>
      </c>
      <c r="N45" s="122">
        <f t="shared" si="46"/>
        <v>0</v>
      </c>
      <c r="O45" s="122">
        <f t="shared" si="46"/>
        <v>0</v>
      </c>
      <c r="P45" s="122">
        <f t="shared" si="46"/>
        <v>0</v>
      </c>
      <c r="Q45" s="122">
        <f t="shared" si="46"/>
        <v>0</v>
      </c>
      <c r="R45" s="122">
        <f t="shared" si="46"/>
        <v>0</v>
      </c>
      <c r="S45" s="122">
        <f t="shared" si="46"/>
        <v>0</v>
      </c>
      <c r="T45" s="122">
        <f t="shared" si="46"/>
        <v>0</v>
      </c>
      <c r="U45" s="122">
        <f t="shared" si="46"/>
        <v>0</v>
      </c>
      <c r="V45" s="122">
        <f t="shared" si="46"/>
        <v>0</v>
      </c>
      <c r="W45" s="122">
        <f t="shared" si="46"/>
        <v>0</v>
      </c>
      <c r="X45" s="122">
        <f t="shared" si="46"/>
        <v>0</v>
      </c>
      <c r="Y45" s="122">
        <f t="shared" si="46"/>
        <v>0</v>
      </c>
      <c r="Z45" s="122">
        <f t="shared" si="46"/>
        <v>0</v>
      </c>
      <c r="AA45" s="122">
        <f t="shared" si="46"/>
        <v>0</v>
      </c>
      <c r="AB45" s="122">
        <f t="shared" si="46"/>
        <v>0</v>
      </c>
      <c r="AC45" s="122">
        <f t="shared" si="46"/>
        <v>0</v>
      </c>
      <c r="AD45" s="122">
        <f t="shared" si="46"/>
        <v>0</v>
      </c>
      <c r="AE45" s="122">
        <f t="shared" si="46"/>
        <v>0</v>
      </c>
      <c r="AF45" s="122">
        <f t="shared" si="46"/>
        <v>0</v>
      </c>
      <c r="AG45" s="122">
        <f t="shared" si="46"/>
        <v>0</v>
      </c>
      <c r="AH45" s="122">
        <f t="shared" si="46"/>
        <v>0</v>
      </c>
      <c r="AI45" s="122">
        <f t="shared" si="46"/>
        <v>0</v>
      </c>
      <c r="AJ45" s="122">
        <f t="shared" si="46"/>
        <v>0</v>
      </c>
      <c r="AK45" s="122">
        <f t="shared" si="46"/>
        <v>0</v>
      </c>
      <c r="AL45" s="122">
        <f t="shared" si="46"/>
        <v>0</v>
      </c>
      <c r="AM45" s="122">
        <f t="shared" si="46"/>
        <v>0</v>
      </c>
      <c r="AN45" s="122">
        <f t="shared" si="46"/>
        <v>0</v>
      </c>
      <c r="AO45" s="122">
        <f t="shared" si="46"/>
        <v>0</v>
      </c>
      <c r="AP45" s="122">
        <f t="shared" si="46"/>
        <v>0</v>
      </c>
      <c r="AQ45" s="122">
        <f t="shared" si="46"/>
        <v>0</v>
      </c>
      <c r="AR45" s="122">
        <f t="shared" si="46"/>
        <v>0</v>
      </c>
      <c r="AS45" s="122">
        <f t="shared" si="46"/>
        <v>0</v>
      </c>
      <c r="AT45" s="122">
        <f t="shared" ref="AT45:BQ45" si="47">SUMIF($B48:$B56,$B45,AT48:AT56)</f>
        <v>0</v>
      </c>
      <c r="AU45" s="122">
        <f t="shared" si="47"/>
        <v>0</v>
      </c>
      <c r="AV45" s="122">
        <f t="shared" si="47"/>
        <v>0</v>
      </c>
      <c r="AW45" s="122">
        <f t="shared" si="47"/>
        <v>0</v>
      </c>
      <c r="AX45" s="122">
        <f t="shared" si="47"/>
        <v>0</v>
      </c>
      <c r="AY45" s="122">
        <f t="shared" si="47"/>
        <v>0</v>
      </c>
      <c r="AZ45" s="122">
        <f t="shared" si="47"/>
        <v>0</v>
      </c>
      <c r="BA45" s="122">
        <f t="shared" si="47"/>
        <v>0</v>
      </c>
      <c r="BB45" s="122">
        <f t="shared" si="47"/>
        <v>0</v>
      </c>
      <c r="BC45" s="122">
        <f t="shared" si="47"/>
        <v>0</v>
      </c>
      <c r="BD45" s="122">
        <f t="shared" si="47"/>
        <v>0</v>
      </c>
      <c r="BE45" s="122">
        <f t="shared" si="47"/>
        <v>0</v>
      </c>
      <c r="BF45" s="122">
        <f t="shared" si="47"/>
        <v>0</v>
      </c>
      <c r="BG45" s="122">
        <f t="shared" si="47"/>
        <v>0</v>
      </c>
      <c r="BH45" s="122">
        <f t="shared" si="47"/>
        <v>0</v>
      </c>
      <c r="BI45" s="122">
        <f t="shared" si="47"/>
        <v>0</v>
      </c>
      <c r="BJ45" s="122">
        <f t="shared" si="47"/>
        <v>0</v>
      </c>
      <c r="BK45" s="122">
        <f t="shared" si="47"/>
        <v>0</v>
      </c>
      <c r="BL45" s="122">
        <f t="shared" si="47"/>
        <v>0</v>
      </c>
      <c r="BM45" s="122">
        <f t="shared" si="47"/>
        <v>0</v>
      </c>
      <c r="BN45" s="122">
        <f t="shared" si="47"/>
        <v>0</v>
      </c>
      <c r="BO45" s="122">
        <f t="shared" si="47"/>
        <v>0</v>
      </c>
      <c r="BP45" s="122">
        <f t="shared" si="47"/>
        <v>0</v>
      </c>
      <c r="BQ45" s="122">
        <f t="shared" si="47"/>
        <v>0</v>
      </c>
    </row>
    <row r="46" spans="1:69">
      <c r="A46" s="125"/>
      <c r="B46" s="120" t="s">
        <v>253</v>
      </c>
      <c r="C46" s="122">
        <f t="shared" ref="C46:AS46" si="48">IF(C45&gt;0,C47/C45*10000,0)</f>
        <v>0</v>
      </c>
      <c r="D46" s="122">
        <f t="shared" si="48"/>
        <v>0</v>
      </c>
      <c r="E46" s="122">
        <f t="shared" si="48"/>
        <v>0</v>
      </c>
      <c r="F46" s="122">
        <f t="shared" si="48"/>
        <v>0</v>
      </c>
      <c r="G46" s="122">
        <f t="shared" si="48"/>
        <v>0</v>
      </c>
      <c r="H46" s="122">
        <f t="shared" si="48"/>
        <v>0</v>
      </c>
      <c r="I46" s="122">
        <f t="shared" si="48"/>
        <v>0</v>
      </c>
      <c r="J46" s="122">
        <f t="shared" si="48"/>
        <v>0</v>
      </c>
      <c r="K46" s="122">
        <f t="shared" si="48"/>
        <v>0</v>
      </c>
      <c r="L46" s="122">
        <f t="shared" si="48"/>
        <v>0</v>
      </c>
      <c r="M46" s="122">
        <f t="shared" si="48"/>
        <v>0</v>
      </c>
      <c r="N46" s="122">
        <f t="shared" si="48"/>
        <v>0</v>
      </c>
      <c r="O46" s="122">
        <f t="shared" si="48"/>
        <v>0</v>
      </c>
      <c r="P46" s="122">
        <f t="shared" si="48"/>
        <v>0</v>
      </c>
      <c r="Q46" s="122">
        <f t="shared" si="48"/>
        <v>0</v>
      </c>
      <c r="R46" s="122">
        <f t="shared" si="48"/>
        <v>0</v>
      </c>
      <c r="S46" s="122">
        <f t="shared" si="48"/>
        <v>0</v>
      </c>
      <c r="T46" s="122">
        <f t="shared" si="48"/>
        <v>0</v>
      </c>
      <c r="U46" s="122">
        <f t="shared" si="48"/>
        <v>0</v>
      </c>
      <c r="V46" s="122">
        <f t="shared" si="48"/>
        <v>0</v>
      </c>
      <c r="W46" s="122">
        <f t="shared" si="48"/>
        <v>0</v>
      </c>
      <c r="X46" s="122">
        <f t="shared" si="48"/>
        <v>0</v>
      </c>
      <c r="Y46" s="122">
        <f t="shared" si="48"/>
        <v>0</v>
      </c>
      <c r="Z46" s="122">
        <f t="shared" si="48"/>
        <v>0</v>
      </c>
      <c r="AA46" s="122">
        <f t="shared" si="48"/>
        <v>0</v>
      </c>
      <c r="AB46" s="122">
        <f t="shared" si="48"/>
        <v>0</v>
      </c>
      <c r="AC46" s="122">
        <f t="shared" si="48"/>
        <v>0</v>
      </c>
      <c r="AD46" s="122">
        <f t="shared" si="48"/>
        <v>0</v>
      </c>
      <c r="AE46" s="122">
        <f t="shared" si="48"/>
        <v>0</v>
      </c>
      <c r="AF46" s="122">
        <f t="shared" si="48"/>
        <v>0</v>
      </c>
      <c r="AG46" s="122">
        <f t="shared" si="48"/>
        <v>0</v>
      </c>
      <c r="AH46" s="122">
        <f t="shared" si="48"/>
        <v>0</v>
      </c>
      <c r="AI46" s="122">
        <f t="shared" si="48"/>
        <v>0</v>
      </c>
      <c r="AJ46" s="122">
        <f t="shared" si="48"/>
        <v>0</v>
      </c>
      <c r="AK46" s="122">
        <f t="shared" si="48"/>
        <v>0</v>
      </c>
      <c r="AL46" s="122">
        <f t="shared" si="48"/>
        <v>0</v>
      </c>
      <c r="AM46" s="122">
        <f t="shared" si="48"/>
        <v>0</v>
      </c>
      <c r="AN46" s="122">
        <f t="shared" si="48"/>
        <v>0</v>
      </c>
      <c r="AO46" s="122">
        <f t="shared" si="48"/>
        <v>0</v>
      </c>
      <c r="AP46" s="122">
        <f t="shared" si="48"/>
        <v>0</v>
      </c>
      <c r="AQ46" s="122">
        <f t="shared" si="48"/>
        <v>0</v>
      </c>
      <c r="AR46" s="122">
        <f t="shared" si="48"/>
        <v>0</v>
      </c>
      <c r="AS46" s="122">
        <f t="shared" si="48"/>
        <v>0</v>
      </c>
      <c r="AT46" s="122">
        <f t="shared" ref="AT46:BQ46" si="49">IF(AT45&gt;0,AT47/AT45*10000,0)</f>
        <v>0</v>
      </c>
      <c r="AU46" s="122">
        <f t="shared" si="49"/>
        <v>0</v>
      </c>
      <c r="AV46" s="122">
        <f t="shared" si="49"/>
        <v>0</v>
      </c>
      <c r="AW46" s="122">
        <f t="shared" si="49"/>
        <v>0</v>
      </c>
      <c r="AX46" s="122">
        <f t="shared" si="49"/>
        <v>0</v>
      </c>
      <c r="AY46" s="122">
        <f t="shared" si="49"/>
        <v>0</v>
      </c>
      <c r="AZ46" s="122">
        <f t="shared" si="49"/>
        <v>0</v>
      </c>
      <c r="BA46" s="122">
        <f t="shared" si="49"/>
        <v>0</v>
      </c>
      <c r="BB46" s="122">
        <f t="shared" si="49"/>
        <v>0</v>
      </c>
      <c r="BC46" s="122">
        <f t="shared" si="49"/>
        <v>0</v>
      </c>
      <c r="BD46" s="122">
        <f t="shared" si="49"/>
        <v>0</v>
      </c>
      <c r="BE46" s="122">
        <f t="shared" si="49"/>
        <v>0</v>
      </c>
      <c r="BF46" s="122">
        <f t="shared" si="49"/>
        <v>0</v>
      </c>
      <c r="BG46" s="122">
        <f t="shared" si="49"/>
        <v>0</v>
      </c>
      <c r="BH46" s="122">
        <f t="shared" si="49"/>
        <v>0</v>
      </c>
      <c r="BI46" s="122">
        <f t="shared" si="49"/>
        <v>0</v>
      </c>
      <c r="BJ46" s="122">
        <f t="shared" si="49"/>
        <v>0</v>
      </c>
      <c r="BK46" s="122">
        <f t="shared" si="49"/>
        <v>0</v>
      </c>
      <c r="BL46" s="122">
        <f t="shared" si="49"/>
        <v>0</v>
      </c>
      <c r="BM46" s="122">
        <f t="shared" si="49"/>
        <v>0</v>
      </c>
      <c r="BN46" s="122">
        <f t="shared" si="49"/>
        <v>0</v>
      </c>
      <c r="BO46" s="122">
        <f t="shared" si="49"/>
        <v>0</v>
      </c>
      <c r="BP46" s="122">
        <f t="shared" si="49"/>
        <v>0</v>
      </c>
      <c r="BQ46" s="122">
        <f t="shared" si="49"/>
        <v>0</v>
      </c>
    </row>
    <row r="47" spans="1:69">
      <c r="A47" s="125"/>
      <c r="B47" s="120" t="s">
        <v>254</v>
      </c>
      <c r="C47" s="122">
        <f t="shared" ref="C47:AS47" si="50">SUMIF($B48:$B56,$B47,C48:C56)</f>
        <v>0</v>
      </c>
      <c r="D47" s="122">
        <f t="shared" si="50"/>
        <v>0</v>
      </c>
      <c r="E47" s="122">
        <f t="shared" si="50"/>
        <v>0</v>
      </c>
      <c r="F47" s="122">
        <f t="shared" si="50"/>
        <v>0</v>
      </c>
      <c r="G47" s="122">
        <f t="shared" si="50"/>
        <v>0</v>
      </c>
      <c r="H47" s="122">
        <f t="shared" si="50"/>
        <v>0</v>
      </c>
      <c r="I47" s="122">
        <f t="shared" si="50"/>
        <v>0</v>
      </c>
      <c r="J47" s="122">
        <f t="shared" si="50"/>
        <v>0</v>
      </c>
      <c r="K47" s="122">
        <f t="shared" si="50"/>
        <v>0</v>
      </c>
      <c r="L47" s="122">
        <f t="shared" si="50"/>
        <v>0</v>
      </c>
      <c r="M47" s="122">
        <f t="shared" si="50"/>
        <v>0</v>
      </c>
      <c r="N47" s="122">
        <f t="shared" si="50"/>
        <v>0</v>
      </c>
      <c r="O47" s="122">
        <f t="shared" si="50"/>
        <v>0</v>
      </c>
      <c r="P47" s="122">
        <f t="shared" si="50"/>
        <v>0</v>
      </c>
      <c r="Q47" s="122">
        <f t="shared" si="50"/>
        <v>0</v>
      </c>
      <c r="R47" s="122">
        <f t="shared" si="50"/>
        <v>0</v>
      </c>
      <c r="S47" s="122">
        <f t="shared" si="50"/>
        <v>0</v>
      </c>
      <c r="T47" s="122">
        <f t="shared" si="50"/>
        <v>0</v>
      </c>
      <c r="U47" s="122">
        <f t="shared" si="50"/>
        <v>0</v>
      </c>
      <c r="V47" s="122">
        <f t="shared" si="50"/>
        <v>0</v>
      </c>
      <c r="W47" s="122">
        <f t="shared" si="50"/>
        <v>0</v>
      </c>
      <c r="X47" s="122">
        <f t="shared" si="50"/>
        <v>0</v>
      </c>
      <c r="Y47" s="122">
        <f t="shared" si="50"/>
        <v>0</v>
      </c>
      <c r="Z47" s="122">
        <f t="shared" si="50"/>
        <v>0</v>
      </c>
      <c r="AA47" s="122">
        <f t="shared" si="50"/>
        <v>0</v>
      </c>
      <c r="AB47" s="122">
        <f t="shared" si="50"/>
        <v>0</v>
      </c>
      <c r="AC47" s="122">
        <f t="shared" si="50"/>
        <v>0</v>
      </c>
      <c r="AD47" s="122">
        <f t="shared" si="50"/>
        <v>0</v>
      </c>
      <c r="AE47" s="122">
        <f t="shared" si="50"/>
        <v>0</v>
      </c>
      <c r="AF47" s="122">
        <f t="shared" si="50"/>
        <v>0</v>
      </c>
      <c r="AG47" s="122">
        <f t="shared" si="50"/>
        <v>0</v>
      </c>
      <c r="AH47" s="122">
        <f t="shared" si="50"/>
        <v>0</v>
      </c>
      <c r="AI47" s="122">
        <f t="shared" si="50"/>
        <v>0</v>
      </c>
      <c r="AJ47" s="122">
        <f t="shared" si="50"/>
        <v>0</v>
      </c>
      <c r="AK47" s="122">
        <f t="shared" si="50"/>
        <v>0</v>
      </c>
      <c r="AL47" s="122">
        <f t="shared" si="50"/>
        <v>0</v>
      </c>
      <c r="AM47" s="122">
        <f t="shared" si="50"/>
        <v>0</v>
      </c>
      <c r="AN47" s="122">
        <f t="shared" si="50"/>
        <v>0</v>
      </c>
      <c r="AO47" s="122">
        <f t="shared" si="50"/>
        <v>0</v>
      </c>
      <c r="AP47" s="122">
        <f t="shared" si="50"/>
        <v>0</v>
      </c>
      <c r="AQ47" s="122">
        <f t="shared" si="50"/>
        <v>0</v>
      </c>
      <c r="AR47" s="122">
        <f t="shared" si="50"/>
        <v>0</v>
      </c>
      <c r="AS47" s="122">
        <f t="shared" si="50"/>
        <v>0</v>
      </c>
      <c r="AT47" s="122">
        <f t="shared" ref="AT47:BQ47" si="51">SUMIF($B48:$B56,$B47,AT48:AT56)</f>
        <v>0</v>
      </c>
      <c r="AU47" s="122">
        <f t="shared" si="51"/>
        <v>0</v>
      </c>
      <c r="AV47" s="122">
        <f t="shared" si="51"/>
        <v>0</v>
      </c>
      <c r="AW47" s="122">
        <f t="shared" si="51"/>
        <v>0</v>
      </c>
      <c r="AX47" s="122">
        <f t="shared" si="51"/>
        <v>0</v>
      </c>
      <c r="AY47" s="122">
        <f t="shared" si="51"/>
        <v>0</v>
      </c>
      <c r="AZ47" s="122">
        <f t="shared" si="51"/>
        <v>0</v>
      </c>
      <c r="BA47" s="122">
        <f t="shared" si="51"/>
        <v>0</v>
      </c>
      <c r="BB47" s="122">
        <f t="shared" si="51"/>
        <v>0</v>
      </c>
      <c r="BC47" s="122">
        <f t="shared" si="51"/>
        <v>0</v>
      </c>
      <c r="BD47" s="122">
        <f t="shared" si="51"/>
        <v>0</v>
      </c>
      <c r="BE47" s="122">
        <f t="shared" si="51"/>
        <v>0</v>
      </c>
      <c r="BF47" s="122">
        <f t="shared" si="51"/>
        <v>0</v>
      </c>
      <c r="BG47" s="122">
        <f t="shared" si="51"/>
        <v>0</v>
      </c>
      <c r="BH47" s="122">
        <f t="shared" si="51"/>
        <v>0</v>
      </c>
      <c r="BI47" s="122">
        <f t="shared" si="51"/>
        <v>0</v>
      </c>
      <c r="BJ47" s="122">
        <f t="shared" si="51"/>
        <v>0</v>
      </c>
      <c r="BK47" s="122">
        <f t="shared" si="51"/>
        <v>0</v>
      </c>
      <c r="BL47" s="122">
        <f t="shared" si="51"/>
        <v>0</v>
      </c>
      <c r="BM47" s="122">
        <f t="shared" si="51"/>
        <v>0</v>
      </c>
      <c r="BN47" s="122">
        <f t="shared" si="51"/>
        <v>0</v>
      </c>
      <c r="BO47" s="122">
        <f t="shared" si="51"/>
        <v>0</v>
      </c>
      <c r="BP47" s="122">
        <f t="shared" si="51"/>
        <v>0</v>
      </c>
      <c r="BQ47" s="122">
        <f t="shared" si="51"/>
        <v>0</v>
      </c>
    </row>
    <row r="48" spans="1:69" s="126" customFormat="1" ht="13">
      <c r="A48" s="127" t="s">
        <v>940</v>
      </c>
      <c r="B48" s="128" t="s">
        <v>255</v>
      </c>
      <c r="C48" s="129">
        <f>SUM(D48:AS48)</f>
        <v>0</v>
      </c>
      <c r="D48" s="130"/>
      <c r="E48" s="130"/>
      <c r="F48" s="130"/>
      <c r="G48" s="130"/>
      <c r="H48" s="130"/>
      <c r="I48" s="130"/>
      <c r="J48" s="130"/>
      <c r="K48" s="130"/>
      <c r="L48" s="130"/>
      <c r="M48" s="130"/>
      <c r="N48" s="130"/>
      <c r="O48" s="130"/>
      <c r="P48" s="130"/>
      <c r="Q48" s="130"/>
      <c r="R48" s="130"/>
      <c r="S48" s="130"/>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row>
    <row r="49" spans="1:69" s="126" customFormat="1" ht="13">
      <c r="A49" s="127">
        <v>0</v>
      </c>
      <c r="B49" s="128" t="s">
        <v>253</v>
      </c>
      <c r="C49" s="129">
        <f>IF(C48&gt;0,C50/C48*10000,0)</f>
        <v>0</v>
      </c>
      <c r="D49" s="130"/>
      <c r="E49" s="130"/>
      <c r="F49" s="129"/>
      <c r="G49" s="129"/>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row>
    <row r="50" spans="1:69">
      <c r="A50" s="132">
        <v>0</v>
      </c>
      <c r="B50" s="133" t="s">
        <v>254</v>
      </c>
      <c r="C50" s="133">
        <f>SUM(D50:AS50)</f>
        <v>0</v>
      </c>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row>
    <row r="51" spans="1:69" s="126" customFormat="1" ht="13">
      <c r="A51" s="127" t="s">
        <v>907</v>
      </c>
      <c r="B51" s="128" t="s">
        <v>255</v>
      </c>
      <c r="C51" s="129">
        <f>SUM(D51:AS51)</f>
        <v>0</v>
      </c>
      <c r="D51" s="130"/>
      <c r="E51" s="130"/>
      <c r="F51" s="130"/>
      <c r="G51" s="130"/>
      <c r="H51" s="130"/>
      <c r="I51" s="130"/>
      <c r="J51" s="130"/>
      <c r="K51" s="130"/>
      <c r="L51" s="130"/>
      <c r="M51" s="130"/>
      <c r="N51" s="130"/>
      <c r="O51" s="130"/>
      <c r="P51" s="130"/>
      <c r="Q51" s="130"/>
      <c r="R51" s="130"/>
      <c r="S51" s="130"/>
      <c r="T51" s="130"/>
      <c r="U51" s="130"/>
      <c r="V51" s="130"/>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row>
    <row r="52" spans="1:69" s="126" customFormat="1" ht="13">
      <c r="A52" s="127">
        <v>0</v>
      </c>
      <c r="B52" s="128" t="s">
        <v>253</v>
      </c>
      <c r="C52" s="129">
        <f>IF(C51&gt;0,C53/C51*10000,0)</f>
        <v>0</v>
      </c>
      <c r="D52" s="130"/>
      <c r="E52" s="130"/>
      <c r="F52" s="129"/>
      <c r="G52" s="129"/>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c r="BG52" s="130"/>
      <c r="BH52" s="130"/>
      <c r="BI52" s="130"/>
      <c r="BJ52" s="130"/>
      <c r="BK52" s="130"/>
      <c r="BL52" s="130"/>
      <c r="BM52" s="130"/>
      <c r="BN52" s="130"/>
      <c r="BO52" s="130"/>
      <c r="BP52" s="130"/>
      <c r="BQ52" s="130"/>
    </row>
    <row r="53" spans="1:69">
      <c r="A53" s="132">
        <v>0</v>
      </c>
      <c r="B53" s="133" t="s">
        <v>254</v>
      </c>
      <c r="C53" s="133">
        <f>SUM(D53:AS53)</f>
        <v>0</v>
      </c>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row>
    <row r="54" spans="1:69" s="126" customFormat="1" ht="13">
      <c r="A54" s="127" t="s">
        <v>2969</v>
      </c>
      <c r="B54" s="128" t="s">
        <v>255</v>
      </c>
      <c r="C54" s="129">
        <f>SUM(D54:AS54)</f>
        <v>0</v>
      </c>
      <c r="D54" s="130"/>
      <c r="E54" s="130"/>
      <c r="F54" s="130"/>
      <c r="G54" s="130"/>
      <c r="H54" s="130"/>
      <c r="I54" s="130"/>
      <c r="J54" s="130"/>
      <c r="K54" s="130"/>
      <c r="L54" s="130"/>
      <c r="M54" s="130"/>
      <c r="N54" s="130"/>
      <c r="O54" s="130"/>
      <c r="P54" s="130"/>
      <c r="Q54" s="130"/>
      <c r="R54" s="130"/>
      <c r="S54" s="130"/>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row>
    <row r="55" spans="1:69" s="126" customFormat="1" ht="13">
      <c r="A55" s="127">
        <v>0</v>
      </c>
      <c r="B55" s="128" t="s">
        <v>253</v>
      </c>
      <c r="C55" s="129">
        <f>IF(C54&gt;0,C56/C54*10000,0)</f>
        <v>0</v>
      </c>
      <c r="D55" s="130"/>
      <c r="E55" s="130"/>
      <c r="F55" s="129"/>
      <c r="G55" s="129"/>
      <c r="H55" s="130"/>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c r="BK55" s="130"/>
      <c r="BL55" s="130"/>
      <c r="BM55" s="130"/>
      <c r="BN55" s="130"/>
      <c r="BO55" s="130"/>
      <c r="BP55" s="130"/>
      <c r="BQ55" s="130"/>
    </row>
    <row r="56" spans="1:69">
      <c r="A56" s="132">
        <v>0</v>
      </c>
      <c r="B56" s="133" t="s">
        <v>254</v>
      </c>
      <c r="C56" s="133">
        <f>SUM(D56:AS56)</f>
        <v>0</v>
      </c>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row>
    <row r="58" spans="1:69">
      <c r="A58" s="119" t="s">
        <v>2970</v>
      </c>
      <c r="B58" s="120"/>
      <c r="C58" s="120"/>
      <c r="D58" s="121" t="s">
        <v>237</v>
      </c>
      <c r="E58" s="121" t="s">
        <v>237</v>
      </c>
      <c r="F58" s="121" t="s">
        <v>2945</v>
      </c>
      <c r="G58" s="121" t="s">
        <v>2945</v>
      </c>
      <c r="H58" s="121" t="s">
        <v>2945</v>
      </c>
      <c r="I58" s="121" t="s">
        <v>2945</v>
      </c>
      <c r="J58" s="121" t="s">
        <v>239</v>
      </c>
      <c r="K58" s="121" t="s">
        <v>239</v>
      </c>
      <c r="L58" s="121" t="s">
        <v>239</v>
      </c>
      <c r="M58" s="121" t="s">
        <v>239</v>
      </c>
      <c r="N58" s="121" t="s">
        <v>240</v>
      </c>
      <c r="O58" s="121" t="s">
        <v>240</v>
      </c>
      <c r="P58" s="121" t="s">
        <v>240</v>
      </c>
      <c r="Q58" s="121" t="s">
        <v>240</v>
      </c>
      <c r="R58" s="121" t="s">
        <v>241</v>
      </c>
      <c r="S58" s="121" t="s">
        <v>241</v>
      </c>
      <c r="T58" s="121" t="s">
        <v>241</v>
      </c>
      <c r="U58" s="121" t="s">
        <v>241</v>
      </c>
      <c r="V58" s="121" t="s">
        <v>242</v>
      </c>
      <c r="W58" s="121" t="s">
        <v>242</v>
      </c>
      <c r="X58" s="121" t="s">
        <v>244</v>
      </c>
      <c r="Y58" s="121" t="s">
        <v>244</v>
      </c>
      <c r="Z58" s="121" t="s">
        <v>244</v>
      </c>
      <c r="AA58" s="121" t="s">
        <v>244</v>
      </c>
      <c r="AB58" s="121" t="s">
        <v>244</v>
      </c>
      <c r="AC58" s="121" t="s">
        <v>244</v>
      </c>
      <c r="AD58" s="121" t="s">
        <v>244</v>
      </c>
      <c r="AE58" s="121" t="s">
        <v>244</v>
      </c>
      <c r="AF58" s="121" t="s">
        <v>244</v>
      </c>
      <c r="AG58" s="121" t="s">
        <v>244</v>
      </c>
      <c r="AH58" s="121" t="s">
        <v>244</v>
      </c>
      <c r="AI58" s="121" t="s">
        <v>244</v>
      </c>
      <c r="AJ58" s="121" t="s">
        <v>4220</v>
      </c>
      <c r="AK58" s="121" t="s">
        <v>4220</v>
      </c>
      <c r="AL58" s="121" t="s">
        <v>4220</v>
      </c>
      <c r="AM58" s="121" t="s">
        <v>4220</v>
      </c>
      <c r="AN58" s="121" t="s">
        <v>4220</v>
      </c>
      <c r="AO58" s="121" t="s">
        <v>4220</v>
      </c>
      <c r="AP58" s="121" t="s">
        <v>4220</v>
      </c>
      <c r="AQ58" s="121" t="s">
        <v>4220</v>
      </c>
      <c r="AR58" s="121" t="s">
        <v>4220</v>
      </c>
      <c r="AS58" s="121" t="s">
        <v>4220</v>
      </c>
      <c r="AT58" s="121" t="s">
        <v>4220</v>
      </c>
      <c r="AU58" s="121" t="s">
        <v>4220</v>
      </c>
      <c r="AV58" s="121" t="s">
        <v>4221</v>
      </c>
      <c r="AW58" s="121" t="s">
        <v>4221</v>
      </c>
      <c r="AX58" s="121" t="s">
        <v>4221</v>
      </c>
      <c r="AY58" s="121" t="s">
        <v>4221</v>
      </c>
      <c r="AZ58" s="121" t="s">
        <v>4221</v>
      </c>
      <c r="BA58" s="121" t="s">
        <v>4221</v>
      </c>
      <c r="BB58" s="121" t="s">
        <v>4221</v>
      </c>
      <c r="BC58" s="121" t="s">
        <v>4221</v>
      </c>
      <c r="BD58" s="121" t="s">
        <v>4221</v>
      </c>
      <c r="BE58" s="121" t="s">
        <v>4221</v>
      </c>
      <c r="BF58" s="121" t="s">
        <v>4221</v>
      </c>
      <c r="BG58" s="121" t="s">
        <v>4221</v>
      </c>
      <c r="BH58" s="121" t="s">
        <v>4246</v>
      </c>
      <c r="BI58" s="121" t="s">
        <v>4246</v>
      </c>
      <c r="BJ58" s="121" t="s">
        <v>4246</v>
      </c>
      <c r="BK58" s="121" t="s">
        <v>4246</v>
      </c>
      <c r="BL58" s="121" t="s">
        <v>4221</v>
      </c>
      <c r="BM58" s="121" t="s">
        <v>4221</v>
      </c>
      <c r="BN58" s="121" t="s">
        <v>4246</v>
      </c>
      <c r="BO58" s="121" t="s">
        <v>4246</v>
      </c>
      <c r="BP58" s="121" t="s">
        <v>4246</v>
      </c>
      <c r="BQ58" s="121" t="s">
        <v>4246</v>
      </c>
    </row>
    <row r="59" spans="1:69">
      <c r="A59" s="122"/>
      <c r="B59" s="120"/>
      <c r="C59" s="120" t="s">
        <v>257</v>
      </c>
      <c r="D59" s="123" t="s">
        <v>2947</v>
      </c>
      <c r="E59" s="123" t="s">
        <v>2948</v>
      </c>
      <c r="F59" s="123" t="s">
        <v>821</v>
      </c>
      <c r="G59" s="123" t="s">
        <v>822</v>
      </c>
      <c r="H59" s="123" t="s">
        <v>2949</v>
      </c>
      <c r="I59" s="123" t="s">
        <v>2950</v>
      </c>
      <c r="J59" s="123" t="s">
        <v>2951</v>
      </c>
      <c r="K59" s="123" t="s">
        <v>2952</v>
      </c>
      <c r="L59" s="123" t="s">
        <v>2953</v>
      </c>
      <c r="M59" s="123" t="s">
        <v>2954</v>
      </c>
      <c r="N59" s="123" t="s">
        <v>2955</v>
      </c>
      <c r="O59" s="123" t="s">
        <v>2956</v>
      </c>
      <c r="P59" s="123" t="s">
        <v>2957</v>
      </c>
      <c r="Q59" s="123" t="s">
        <v>2958</v>
      </c>
      <c r="R59" s="123" t="s">
        <v>2959</v>
      </c>
      <c r="S59" s="123" t="s">
        <v>2960</v>
      </c>
      <c r="T59" s="123" t="s">
        <v>2961</v>
      </c>
      <c r="U59" s="123" t="s">
        <v>2962</v>
      </c>
      <c r="V59" s="123" t="s">
        <v>2963</v>
      </c>
      <c r="W59" s="123" t="s">
        <v>2964</v>
      </c>
      <c r="X59" s="123" t="s">
        <v>4208</v>
      </c>
      <c r="Y59" s="123" t="s">
        <v>4209</v>
      </c>
      <c r="Z59" s="123" t="s">
        <v>4210</v>
      </c>
      <c r="AA59" s="123" t="s">
        <v>4211</v>
      </c>
      <c r="AB59" s="123" t="s">
        <v>4212</v>
      </c>
      <c r="AC59" s="123" t="s">
        <v>4213</v>
      </c>
      <c r="AD59" s="123" t="s">
        <v>4214</v>
      </c>
      <c r="AE59" s="123" t="s">
        <v>4215</v>
      </c>
      <c r="AF59" s="123" t="s">
        <v>4216</v>
      </c>
      <c r="AG59" s="123" t="s">
        <v>4217</v>
      </c>
      <c r="AH59" s="123" t="s">
        <v>4218</v>
      </c>
      <c r="AI59" s="123" t="s">
        <v>4219</v>
      </c>
      <c r="AJ59" s="123" t="s">
        <v>4222</v>
      </c>
      <c r="AK59" s="123" t="s">
        <v>4223</v>
      </c>
      <c r="AL59" s="123" t="s">
        <v>4224</v>
      </c>
      <c r="AM59" s="123" t="s">
        <v>4225</v>
      </c>
      <c r="AN59" s="123" t="s">
        <v>4226</v>
      </c>
      <c r="AO59" s="123" t="s">
        <v>4227</v>
      </c>
      <c r="AP59" s="123" t="s">
        <v>4228</v>
      </c>
      <c r="AQ59" s="123" t="s">
        <v>4229</v>
      </c>
      <c r="AR59" s="123" t="s">
        <v>4230</v>
      </c>
      <c r="AS59" s="123" t="s">
        <v>4231</v>
      </c>
      <c r="AT59" s="123" t="s">
        <v>4232</v>
      </c>
      <c r="AU59" s="123" t="s">
        <v>4233</v>
      </c>
      <c r="AV59" s="123" t="s">
        <v>4234</v>
      </c>
      <c r="AW59" s="123" t="s">
        <v>4235</v>
      </c>
      <c r="AX59" s="123" t="s">
        <v>4236</v>
      </c>
      <c r="AY59" s="123" t="s">
        <v>4237</v>
      </c>
      <c r="AZ59" s="123" t="s">
        <v>4238</v>
      </c>
      <c r="BA59" s="123" t="s">
        <v>4239</v>
      </c>
      <c r="BB59" s="123" t="s">
        <v>4240</v>
      </c>
      <c r="BC59" s="123" t="s">
        <v>4241</v>
      </c>
      <c r="BD59" s="123" t="s">
        <v>4242</v>
      </c>
      <c r="BE59" s="123" t="s">
        <v>4243</v>
      </c>
      <c r="BF59" s="123" t="s">
        <v>4244</v>
      </c>
      <c r="BG59" s="123" t="s">
        <v>4245</v>
      </c>
      <c r="BH59" s="123" t="s">
        <v>4247</v>
      </c>
      <c r="BI59" s="123" t="s">
        <v>4248</v>
      </c>
      <c r="BJ59" s="123" t="s">
        <v>4249</v>
      </c>
      <c r="BK59" s="123" t="s">
        <v>4250</v>
      </c>
      <c r="BL59" s="123" t="s">
        <v>4251</v>
      </c>
      <c r="BM59" s="123" t="s">
        <v>4252</v>
      </c>
      <c r="BN59" s="123" t="s">
        <v>4253</v>
      </c>
      <c r="BO59" s="123" t="s">
        <v>4254</v>
      </c>
      <c r="BP59" s="123" t="s">
        <v>4255</v>
      </c>
      <c r="BQ59" s="123" t="s">
        <v>4256</v>
      </c>
    </row>
    <row r="60" spans="1:69">
      <c r="A60" s="124" t="s">
        <v>2965</v>
      </c>
      <c r="B60" s="124" t="s">
        <v>2966</v>
      </c>
      <c r="C60" s="124">
        <f>C3</f>
        <v>137382.56</v>
      </c>
      <c r="D60" s="124">
        <f t="shared" ref="D60:AS60" si="52">D3</f>
        <v>0</v>
      </c>
      <c r="E60" s="124">
        <f t="shared" si="52"/>
        <v>0</v>
      </c>
      <c r="F60" s="124">
        <f t="shared" si="52"/>
        <v>0</v>
      </c>
      <c r="G60" s="124">
        <f t="shared" si="52"/>
        <v>0</v>
      </c>
      <c r="H60" s="124">
        <f t="shared" si="52"/>
        <v>0</v>
      </c>
      <c r="I60" s="124">
        <f t="shared" si="52"/>
        <v>0</v>
      </c>
      <c r="J60" s="124">
        <f t="shared" si="52"/>
        <v>0</v>
      </c>
      <c r="K60" s="124">
        <f t="shared" si="52"/>
        <v>0</v>
      </c>
      <c r="L60" s="124">
        <f t="shared" si="52"/>
        <v>0</v>
      </c>
      <c r="M60" s="124">
        <f t="shared" si="52"/>
        <v>0</v>
      </c>
      <c r="N60" s="124">
        <f t="shared" si="52"/>
        <v>0</v>
      </c>
      <c r="O60" s="124">
        <f t="shared" si="52"/>
        <v>0</v>
      </c>
      <c r="P60" s="124">
        <f t="shared" si="52"/>
        <v>0</v>
      </c>
      <c r="Q60" s="124">
        <f t="shared" si="52"/>
        <v>0</v>
      </c>
      <c r="R60" s="124">
        <f t="shared" si="52"/>
        <v>0</v>
      </c>
      <c r="S60" s="124">
        <f t="shared" si="52"/>
        <v>0</v>
      </c>
      <c r="T60" s="124">
        <f t="shared" si="52"/>
        <v>0</v>
      </c>
      <c r="U60" s="124">
        <f t="shared" si="52"/>
        <v>0</v>
      </c>
      <c r="V60" s="124">
        <f t="shared" si="52"/>
        <v>0</v>
      </c>
      <c r="W60" s="124">
        <f t="shared" si="52"/>
        <v>0</v>
      </c>
      <c r="X60" s="124">
        <f t="shared" si="52"/>
        <v>0</v>
      </c>
      <c r="Y60" s="124">
        <f t="shared" si="52"/>
        <v>0</v>
      </c>
      <c r="Z60" s="124">
        <f t="shared" si="52"/>
        <v>0</v>
      </c>
      <c r="AA60" s="124">
        <f t="shared" si="52"/>
        <v>0</v>
      </c>
      <c r="AB60" s="124">
        <f t="shared" si="52"/>
        <v>0</v>
      </c>
      <c r="AC60" s="124">
        <f t="shared" si="52"/>
        <v>0</v>
      </c>
      <c r="AD60" s="124">
        <f t="shared" ref="AD60:AR60" si="53">AD3</f>
        <v>0</v>
      </c>
      <c r="AE60" s="124">
        <f t="shared" si="53"/>
        <v>0</v>
      </c>
      <c r="AF60" s="124">
        <f t="shared" si="53"/>
        <v>0</v>
      </c>
      <c r="AG60" s="124">
        <f t="shared" si="53"/>
        <v>16600</v>
      </c>
      <c r="AH60" s="124">
        <f t="shared" si="53"/>
        <v>4000</v>
      </c>
      <c r="AI60" s="124">
        <f t="shared" si="53"/>
        <v>8350</v>
      </c>
      <c r="AJ60" s="124">
        <f t="shared" si="53"/>
        <v>3500</v>
      </c>
      <c r="AK60" s="124">
        <f t="shared" si="53"/>
        <v>5000</v>
      </c>
      <c r="AL60" s="124">
        <f t="shared" si="53"/>
        <v>7900</v>
      </c>
      <c r="AM60" s="124">
        <f t="shared" si="53"/>
        <v>6200</v>
      </c>
      <c r="AN60" s="124">
        <f t="shared" si="53"/>
        <v>7200</v>
      </c>
      <c r="AO60" s="124">
        <f t="shared" si="53"/>
        <v>6000</v>
      </c>
      <c r="AP60" s="124">
        <f t="shared" si="53"/>
        <v>6850</v>
      </c>
      <c r="AQ60" s="124">
        <f t="shared" si="53"/>
        <v>6350</v>
      </c>
      <c r="AR60" s="124">
        <f t="shared" si="53"/>
        <v>6300</v>
      </c>
      <c r="AS60" s="124">
        <f t="shared" si="52"/>
        <v>7900</v>
      </c>
      <c r="AT60" s="124">
        <f t="shared" ref="AT60:BQ60" si="54">AT3</f>
        <v>6100</v>
      </c>
      <c r="AU60" s="124">
        <f t="shared" si="54"/>
        <v>7132.8799999999974</v>
      </c>
      <c r="AV60" s="124">
        <f t="shared" si="54"/>
        <v>6100</v>
      </c>
      <c r="AW60" s="124">
        <f t="shared" si="54"/>
        <v>2900</v>
      </c>
      <c r="AX60" s="124">
        <f t="shared" si="54"/>
        <v>5774.3799999999974</v>
      </c>
      <c r="AY60" s="124">
        <f t="shared" si="54"/>
        <v>1400</v>
      </c>
      <c r="AZ60" s="124">
        <f t="shared" si="54"/>
        <v>1300</v>
      </c>
      <c r="BA60" s="124">
        <f t="shared" si="54"/>
        <v>1300</v>
      </c>
      <c r="BB60" s="124">
        <f t="shared" si="54"/>
        <v>1400</v>
      </c>
      <c r="BC60" s="124">
        <f t="shared" si="54"/>
        <v>1400</v>
      </c>
      <c r="BD60" s="124">
        <f t="shared" si="54"/>
        <v>1400</v>
      </c>
      <c r="BE60" s="124">
        <f t="shared" si="54"/>
        <v>3000</v>
      </c>
      <c r="BF60" s="124">
        <f t="shared" si="54"/>
        <v>3000</v>
      </c>
      <c r="BG60" s="124">
        <f t="shared" si="54"/>
        <v>3025.3000000000029</v>
      </c>
      <c r="BH60" s="124">
        <f t="shared" si="54"/>
        <v>0</v>
      </c>
      <c r="BI60" s="124">
        <f t="shared" si="54"/>
        <v>0</v>
      </c>
      <c r="BJ60" s="124">
        <f t="shared" si="54"/>
        <v>0</v>
      </c>
      <c r="BK60" s="124">
        <f t="shared" si="54"/>
        <v>0</v>
      </c>
      <c r="BL60" s="124">
        <f t="shared" si="54"/>
        <v>0</v>
      </c>
      <c r="BM60" s="124">
        <f t="shared" si="54"/>
        <v>0</v>
      </c>
      <c r="BN60" s="124">
        <f t="shared" si="54"/>
        <v>0</v>
      </c>
      <c r="BO60" s="124">
        <f t="shared" si="54"/>
        <v>0</v>
      </c>
      <c r="BP60" s="124">
        <f t="shared" si="54"/>
        <v>0</v>
      </c>
      <c r="BQ60" s="124">
        <f t="shared" si="54"/>
        <v>0</v>
      </c>
    </row>
    <row r="61" spans="1:69">
      <c r="A61" s="124"/>
      <c r="B61" s="124" t="s">
        <v>2967</v>
      </c>
      <c r="C61" s="124">
        <f>C4/1.1</f>
        <v>9183.9345474418278</v>
      </c>
      <c r="D61" s="124">
        <f t="shared" ref="D61:I62" si="55">D4/1.11</f>
        <v>0</v>
      </c>
      <c r="E61" s="124">
        <f t="shared" si="55"/>
        <v>0</v>
      </c>
      <c r="F61" s="124">
        <f t="shared" si="55"/>
        <v>0</v>
      </c>
      <c r="G61" s="124">
        <f t="shared" si="55"/>
        <v>0</v>
      </c>
      <c r="H61" s="124">
        <f t="shared" si="55"/>
        <v>0</v>
      </c>
      <c r="I61" s="124">
        <f t="shared" si="55"/>
        <v>0</v>
      </c>
      <c r="J61" s="124">
        <f>J4/1.1</f>
        <v>0</v>
      </c>
      <c r="K61" s="124">
        <f t="shared" ref="K61:AS61" si="56">K4/1.1</f>
        <v>0</v>
      </c>
      <c r="L61" s="124">
        <f t="shared" si="56"/>
        <v>0</v>
      </c>
      <c r="M61" s="124">
        <f t="shared" si="56"/>
        <v>0</v>
      </c>
      <c r="N61" s="124">
        <f t="shared" si="56"/>
        <v>0</v>
      </c>
      <c r="O61" s="124">
        <f t="shared" si="56"/>
        <v>0</v>
      </c>
      <c r="P61" s="124">
        <f t="shared" si="56"/>
        <v>0</v>
      </c>
      <c r="Q61" s="124">
        <f t="shared" si="56"/>
        <v>0</v>
      </c>
      <c r="R61" s="124">
        <f t="shared" si="56"/>
        <v>0</v>
      </c>
      <c r="S61" s="124">
        <f t="shared" si="56"/>
        <v>0</v>
      </c>
      <c r="T61" s="124">
        <f t="shared" si="56"/>
        <v>0</v>
      </c>
      <c r="U61" s="124">
        <f t="shared" si="56"/>
        <v>0</v>
      </c>
      <c r="V61" s="124">
        <f t="shared" si="56"/>
        <v>0</v>
      </c>
      <c r="W61" s="124">
        <f t="shared" si="56"/>
        <v>0</v>
      </c>
      <c r="X61" s="124">
        <f t="shared" si="56"/>
        <v>0</v>
      </c>
      <c r="Y61" s="124">
        <f t="shared" si="56"/>
        <v>0</v>
      </c>
      <c r="Z61" s="124">
        <f t="shared" si="56"/>
        <v>0</v>
      </c>
      <c r="AA61" s="124">
        <f>AA4/1.09</f>
        <v>0</v>
      </c>
      <c r="AB61" s="124">
        <f>AB4/1.09</f>
        <v>0</v>
      </c>
      <c r="AC61" s="124">
        <f>AC4/1.09</f>
        <v>0</v>
      </c>
      <c r="AD61" s="124">
        <f t="shared" ref="AD61:AR61" si="57">AD4/1.09</f>
        <v>0</v>
      </c>
      <c r="AE61" s="124">
        <f t="shared" si="57"/>
        <v>0</v>
      </c>
      <c r="AF61" s="124">
        <f t="shared" si="57"/>
        <v>0</v>
      </c>
      <c r="AG61" s="124">
        <f t="shared" si="57"/>
        <v>11054.935337680998</v>
      </c>
      <c r="AH61" s="124">
        <f t="shared" si="57"/>
        <v>11169.7247706422</v>
      </c>
      <c r="AI61" s="124">
        <f t="shared" si="57"/>
        <v>11167.66467065868</v>
      </c>
      <c r="AJ61" s="124">
        <f t="shared" si="57"/>
        <v>11002.62123197903</v>
      </c>
      <c r="AK61" s="124">
        <f t="shared" si="57"/>
        <v>11165.137614678899</v>
      </c>
      <c r="AL61" s="124">
        <f t="shared" si="57"/>
        <v>7766.7053768435708</v>
      </c>
      <c r="AM61" s="124">
        <f t="shared" si="57"/>
        <v>9706.2444510210116</v>
      </c>
      <c r="AN61" s="124">
        <f t="shared" si="57"/>
        <v>10052.854230377165</v>
      </c>
      <c r="AO61" s="124">
        <f t="shared" si="57"/>
        <v>10179.633027522934</v>
      </c>
      <c r="AP61" s="124">
        <f t="shared" si="57"/>
        <v>10168.057322708093</v>
      </c>
      <c r="AQ61" s="124">
        <f t="shared" si="57"/>
        <v>10022.36509427147</v>
      </c>
      <c r="AR61" s="124">
        <f t="shared" si="57"/>
        <v>9901.6746759866001</v>
      </c>
      <c r="AS61" s="124">
        <f t="shared" si="56"/>
        <v>10305.258918296893</v>
      </c>
      <c r="AT61" s="124">
        <f t="shared" ref="AT61:BQ61" si="58">AT4/1.1</f>
        <v>10491.952309985096</v>
      </c>
      <c r="AU61" s="124">
        <f t="shared" si="58"/>
        <v>9968.2692239064963</v>
      </c>
      <c r="AV61" s="124">
        <f t="shared" si="58"/>
        <v>10623.97913561848</v>
      </c>
      <c r="AW61" s="124">
        <f t="shared" si="58"/>
        <v>11075.736677115985</v>
      </c>
      <c r="AX61" s="124">
        <f t="shared" si="58"/>
        <v>9897.0041647918733</v>
      </c>
      <c r="AY61" s="124">
        <f t="shared" si="58"/>
        <v>1889.9999999999998</v>
      </c>
      <c r="AZ61" s="124">
        <f t="shared" si="58"/>
        <v>1889.9999999999995</v>
      </c>
      <c r="BA61" s="124">
        <f t="shared" si="58"/>
        <v>1889.9999999999995</v>
      </c>
      <c r="BB61" s="124">
        <f t="shared" si="58"/>
        <v>1889.9999999999998</v>
      </c>
      <c r="BC61" s="124">
        <f t="shared" si="58"/>
        <v>1889.9999999999998</v>
      </c>
      <c r="BD61" s="124">
        <f t="shared" si="58"/>
        <v>1889.9999999999998</v>
      </c>
      <c r="BE61" s="124">
        <f t="shared" si="58"/>
        <v>1889.9999999999998</v>
      </c>
      <c r="BF61" s="124">
        <f t="shared" si="58"/>
        <v>1889.9999999999998</v>
      </c>
      <c r="BG61" s="124">
        <f t="shared" si="58"/>
        <v>1889.9999999999998</v>
      </c>
      <c r="BH61" s="124">
        <f t="shared" si="58"/>
        <v>0</v>
      </c>
      <c r="BI61" s="124">
        <f t="shared" si="58"/>
        <v>0</v>
      </c>
      <c r="BJ61" s="124">
        <f t="shared" si="58"/>
        <v>0</v>
      </c>
      <c r="BK61" s="124">
        <f t="shared" si="58"/>
        <v>0</v>
      </c>
      <c r="BL61" s="124">
        <f t="shared" si="58"/>
        <v>0</v>
      </c>
      <c r="BM61" s="124">
        <f t="shared" si="58"/>
        <v>0</v>
      </c>
      <c r="BN61" s="124">
        <f t="shared" si="58"/>
        <v>0</v>
      </c>
      <c r="BO61" s="124">
        <f t="shared" si="58"/>
        <v>0</v>
      </c>
      <c r="BP61" s="124">
        <f t="shared" si="58"/>
        <v>0</v>
      </c>
      <c r="BQ61" s="124">
        <f t="shared" si="58"/>
        <v>0</v>
      </c>
    </row>
    <row r="62" spans="1:69">
      <c r="A62" s="124"/>
      <c r="B62" s="124" t="s">
        <v>2968</v>
      </c>
      <c r="C62" s="1088">
        <f>C5/1.09</f>
        <v>127328.7782477064</v>
      </c>
      <c r="D62" s="124">
        <f t="shared" si="55"/>
        <v>0</v>
      </c>
      <c r="E62" s="124">
        <f t="shared" si="55"/>
        <v>0</v>
      </c>
      <c r="F62" s="124">
        <f t="shared" si="55"/>
        <v>0</v>
      </c>
      <c r="G62" s="124">
        <f t="shared" si="55"/>
        <v>0</v>
      </c>
      <c r="H62" s="124">
        <f t="shared" si="55"/>
        <v>0</v>
      </c>
      <c r="I62" s="124">
        <f t="shared" si="55"/>
        <v>0</v>
      </c>
      <c r="J62" s="124">
        <f>J5/1.09</f>
        <v>0</v>
      </c>
      <c r="K62" s="124">
        <f t="shared" ref="K62:AS62" si="59">K5/1.09</f>
        <v>0</v>
      </c>
      <c r="L62" s="124">
        <f t="shared" si="59"/>
        <v>0</v>
      </c>
      <c r="M62" s="124">
        <f t="shared" si="59"/>
        <v>0</v>
      </c>
      <c r="N62" s="124">
        <f t="shared" si="59"/>
        <v>0</v>
      </c>
      <c r="O62" s="124">
        <f t="shared" si="59"/>
        <v>0</v>
      </c>
      <c r="P62" s="124">
        <f t="shared" si="59"/>
        <v>0</v>
      </c>
      <c r="Q62" s="124">
        <f t="shared" si="59"/>
        <v>0</v>
      </c>
      <c r="R62" s="124">
        <f t="shared" si="59"/>
        <v>0</v>
      </c>
      <c r="S62" s="124">
        <f t="shared" si="59"/>
        <v>0</v>
      </c>
      <c r="T62" s="124">
        <f t="shared" si="59"/>
        <v>0</v>
      </c>
      <c r="U62" s="124">
        <f t="shared" si="59"/>
        <v>0</v>
      </c>
      <c r="V62" s="124">
        <f t="shared" si="59"/>
        <v>0</v>
      </c>
      <c r="W62" s="124">
        <f t="shared" si="59"/>
        <v>0</v>
      </c>
      <c r="X62" s="124">
        <f t="shared" si="59"/>
        <v>0</v>
      </c>
      <c r="Y62" s="124">
        <f t="shared" si="59"/>
        <v>0</v>
      </c>
      <c r="Z62" s="124">
        <f t="shared" si="59"/>
        <v>0</v>
      </c>
      <c r="AA62" s="124">
        <f t="shared" si="59"/>
        <v>0</v>
      </c>
      <c r="AB62" s="124">
        <f t="shared" si="59"/>
        <v>0</v>
      </c>
      <c r="AC62" s="124">
        <f t="shared" si="59"/>
        <v>0</v>
      </c>
      <c r="AD62" s="124">
        <f t="shared" ref="AD62:AR62" si="60">AD5/1.09</f>
        <v>0</v>
      </c>
      <c r="AE62" s="124">
        <f t="shared" si="60"/>
        <v>0</v>
      </c>
      <c r="AF62" s="124">
        <f t="shared" si="60"/>
        <v>0</v>
      </c>
      <c r="AG62" s="124">
        <f t="shared" si="60"/>
        <v>18351.192660550456</v>
      </c>
      <c r="AH62" s="124">
        <f t="shared" si="60"/>
        <v>4467.8899082568805</v>
      </c>
      <c r="AI62" s="124">
        <f t="shared" si="60"/>
        <v>9325</v>
      </c>
      <c r="AJ62" s="124">
        <f t="shared" si="60"/>
        <v>3850.9174311926604</v>
      </c>
      <c r="AK62" s="124">
        <f t="shared" si="60"/>
        <v>5582.5688073394494</v>
      </c>
      <c r="AL62" s="124">
        <f t="shared" si="60"/>
        <v>6135.6972477064219</v>
      </c>
      <c r="AM62" s="124">
        <f t="shared" si="60"/>
        <v>6017.8715596330267</v>
      </c>
      <c r="AN62" s="124">
        <f t="shared" si="60"/>
        <v>7238.0550458715588</v>
      </c>
      <c r="AO62" s="124">
        <f t="shared" si="60"/>
        <v>6107.779816513761</v>
      </c>
      <c r="AP62" s="124">
        <f t="shared" si="60"/>
        <v>6965.119266055045</v>
      </c>
      <c r="AQ62" s="124">
        <f t="shared" si="60"/>
        <v>6364.2018348623842</v>
      </c>
      <c r="AR62" s="124">
        <f t="shared" si="60"/>
        <v>6238.0550458715588</v>
      </c>
      <c r="AS62" s="124">
        <f t="shared" si="59"/>
        <v>8215.8440366972482</v>
      </c>
      <c r="AT62" s="124">
        <f t="shared" ref="AT62:BQ62" si="61">AT5/1.09</f>
        <v>6458.8073394495405</v>
      </c>
      <c r="AU62" s="124">
        <f t="shared" si="61"/>
        <v>7175.4784403669682</v>
      </c>
      <c r="AV62" s="124">
        <f t="shared" si="61"/>
        <v>6540.0825688073382</v>
      </c>
      <c r="AW62" s="124">
        <f t="shared" si="61"/>
        <v>3241.4311926605501</v>
      </c>
      <c r="AX62" s="124">
        <f t="shared" si="61"/>
        <v>5767.3366238532071</v>
      </c>
      <c r="AY62" s="124">
        <f t="shared" si="61"/>
        <v>267.02752293577981</v>
      </c>
      <c r="AZ62" s="124">
        <f t="shared" si="61"/>
        <v>247.95412844036693</v>
      </c>
      <c r="BA62" s="124">
        <f t="shared" si="61"/>
        <v>247.95412844036693</v>
      </c>
      <c r="BB62" s="124">
        <f t="shared" si="61"/>
        <v>267.02752293577981</v>
      </c>
      <c r="BC62" s="124">
        <f t="shared" si="61"/>
        <v>267.02752293577981</v>
      </c>
      <c r="BD62" s="124">
        <f t="shared" si="61"/>
        <v>267.02752293577981</v>
      </c>
      <c r="BE62" s="124">
        <f t="shared" si="61"/>
        <v>572.20183486238534</v>
      </c>
      <c r="BF62" s="124">
        <f t="shared" si="61"/>
        <v>572.20183486238534</v>
      </c>
      <c r="BG62" s="124">
        <f t="shared" si="61"/>
        <v>577.02740366972523</v>
      </c>
      <c r="BH62" s="124">
        <f t="shared" si="61"/>
        <v>0</v>
      </c>
      <c r="BI62" s="124">
        <f t="shared" si="61"/>
        <v>0</v>
      </c>
      <c r="BJ62" s="124">
        <f t="shared" si="61"/>
        <v>0</v>
      </c>
      <c r="BK62" s="124">
        <f t="shared" si="61"/>
        <v>0</v>
      </c>
      <c r="BL62" s="124">
        <f t="shared" si="61"/>
        <v>0</v>
      </c>
      <c r="BM62" s="124">
        <f t="shared" si="61"/>
        <v>0</v>
      </c>
      <c r="BN62" s="124">
        <f t="shared" si="61"/>
        <v>0</v>
      </c>
      <c r="BO62" s="124">
        <f t="shared" si="61"/>
        <v>0</v>
      </c>
      <c r="BP62" s="124">
        <f t="shared" si="61"/>
        <v>0</v>
      </c>
      <c r="BQ62" s="124">
        <f t="shared" si="61"/>
        <v>0</v>
      </c>
    </row>
    <row r="63" spans="1:69">
      <c r="A63" s="125" t="s">
        <v>151</v>
      </c>
      <c r="B63" s="120" t="s">
        <v>255</v>
      </c>
      <c r="C63" s="122">
        <f t="shared" ref="C63:AS63" si="62">C6</f>
        <v>137382.56</v>
      </c>
      <c r="D63" s="122">
        <f t="shared" si="62"/>
        <v>0</v>
      </c>
      <c r="E63" s="122">
        <f t="shared" si="62"/>
        <v>0</v>
      </c>
      <c r="F63" s="122">
        <f t="shared" si="62"/>
        <v>0</v>
      </c>
      <c r="G63" s="122">
        <f t="shared" si="62"/>
        <v>0</v>
      </c>
      <c r="H63" s="122">
        <f t="shared" si="62"/>
        <v>0</v>
      </c>
      <c r="I63" s="122">
        <f t="shared" si="62"/>
        <v>0</v>
      </c>
      <c r="J63" s="122">
        <f t="shared" si="62"/>
        <v>0</v>
      </c>
      <c r="K63" s="122">
        <f t="shared" si="62"/>
        <v>0</v>
      </c>
      <c r="L63" s="122">
        <f t="shared" si="62"/>
        <v>0</v>
      </c>
      <c r="M63" s="122">
        <f t="shared" si="62"/>
        <v>0</v>
      </c>
      <c r="N63" s="122">
        <f t="shared" si="62"/>
        <v>0</v>
      </c>
      <c r="O63" s="122">
        <f t="shared" si="62"/>
        <v>0</v>
      </c>
      <c r="P63" s="122">
        <f t="shared" si="62"/>
        <v>0</v>
      </c>
      <c r="Q63" s="122">
        <f t="shared" si="62"/>
        <v>0</v>
      </c>
      <c r="R63" s="122">
        <f t="shared" si="62"/>
        <v>0</v>
      </c>
      <c r="S63" s="122">
        <f t="shared" si="62"/>
        <v>0</v>
      </c>
      <c r="T63" s="122">
        <f t="shared" si="62"/>
        <v>0</v>
      </c>
      <c r="U63" s="122">
        <f t="shared" si="62"/>
        <v>0</v>
      </c>
      <c r="V63" s="122">
        <f t="shared" si="62"/>
        <v>0</v>
      </c>
      <c r="W63" s="122">
        <f t="shared" si="62"/>
        <v>0</v>
      </c>
      <c r="X63" s="122">
        <f t="shared" si="62"/>
        <v>0</v>
      </c>
      <c r="Y63" s="122">
        <f t="shared" si="62"/>
        <v>0</v>
      </c>
      <c r="Z63" s="122">
        <f t="shared" si="62"/>
        <v>0</v>
      </c>
      <c r="AA63" s="122">
        <f t="shared" si="62"/>
        <v>0</v>
      </c>
      <c r="AB63" s="122">
        <f t="shared" si="62"/>
        <v>0</v>
      </c>
      <c r="AC63" s="122">
        <f t="shared" si="62"/>
        <v>0</v>
      </c>
      <c r="AD63" s="122">
        <f t="shared" ref="AD63:AR63" si="63">AD6</f>
        <v>0</v>
      </c>
      <c r="AE63" s="122">
        <f t="shared" si="63"/>
        <v>0</v>
      </c>
      <c r="AF63" s="122">
        <f t="shared" si="63"/>
        <v>0</v>
      </c>
      <c r="AG63" s="122">
        <f t="shared" si="63"/>
        <v>16600</v>
      </c>
      <c r="AH63" s="122">
        <f t="shared" si="63"/>
        <v>4000</v>
      </c>
      <c r="AI63" s="122">
        <f t="shared" si="63"/>
        <v>8350</v>
      </c>
      <c r="AJ63" s="122">
        <f t="shared" si="63"/>
        <v>3500</v>
      </c>
      <c r="AK63" s="122">
        <f t="shared" si="63"/>
        <v>5000</v>
      </c>
      <c r="AL63" s="122">
        <f t="shared" si="63"/>
        <v>7900</v>
      </c>
      <c r="AM63" s="122">
        <f t="shared" si="63"/>
        <v>6200</v>
      </c>
      <c r="AN63" s="122">
        <f t="shared" si="63"/>
        <v>7200</v>
      </c>
      <c r="AO63" s="122">
        <f t="shared" si="63"/>
        <v>6000</v>
      </c>
      <c r="AP63" s="122">
        <f t="shared" si="63"/>
        <v>6850</v>
      </c>
      <c r="AQ63" s="122">
        <f t="shared" si="63"/>
        <v>6350</v>
      </c>
      <c r="AR63" s="122">
        <f t="shared" si="63"/>
        <v>6300</v>
      </c>
      <c r="AS63" s="122">
        <f t="shared" si="62"/>
        <v>7900</v>
      </c>
      <c r="AT63" s="122">
        <f t="shared" ref="AT63:BQ63" si="64">AT6</f>
        <v>6100</v>
      </c>
      <c r="AU63" s="122">
        <f t="shared" si="64"/>
        <v>7132.8799999999974</v>
      </c>
      <c r="AV63" s="122">
        <f t="shared" si="64"/>
        <v>6100</v>
      </c>
      <c r="AW63" s="122">
        <f t="shared" si="64"/>
        <v>2900</v>
      </c>
      <c r="AX63" s="122">
        <f t="shared" si="64"/>
        <v>5774.3799999999974</v>
      </c>
      <c r="AY63" s="122">
        <f t="shared" si="64"/>
        <v>1400</v>
      </c>
      <c r="AZ63" s="122">
        <f t="shared" si="64"/>
        <v>1300</v>
      </c>
      <c r="BA63" s="122">
        <f t="shared" si="64"/>
        <v>1300</v>
      </c>
      <c r="BB63" s="122">
        <f t="shared" si="64"/>
        <v>1400</v>
      </c>
      <c r="BC63" s="122">
        <f t="shared" si="64"/>
        <v>1400</v>
      </c>
      <c r="BD63" s="122">
        <f t="shared" si="64"/>
        <v>1400</v>
      </c>
      <c r="BE63" s="122">
        <f t="shared" si="64"/>
        <v>3000</v>
      </c>
      <c r="BF63" s="122">
        <f t="shared" si="64"/>
        <v>3000</v>
      </c>
      <c r="BG63" s="122">
        <f t="shared" si="64"/>
        <v>3025.3000000000029</v>
      </c>
      <c r="BH63" s="122">
        <f t="shared" si="64"/>
        <v>0</v>
      </c>
      <c r="BI63" s="122">
        <f t="shared" si="64"/>
        <v>0</v>
      </c>
      <c r="BJ63" s="122">
        <f t="shared" si="64"/>
        <v>0</v>
      </c>
      <c r="BK63" s="122">
        <f t="shared" si="64"/>
        <v>0</v>
      </c>
      <c r="BL63" s="122">
        <f t="shared" si="64"/>
        <v>0</v>
      </c>
      <c r="BM63" s="122">
        <f t="shared" si="64"/>
        <v>0</v>
      </c>
      <c r="BN63" s="122">
        <f t="shared" si="64"/>
        <v>0</v>
      </c>
      <c r="BO63" s="122">
        <f t="shared" si="64"/>
        <v>0</v>
      </c>
      <c r="BP63" s="122">
        <f t="shared" si="64"/>
        <v>0</v>
      </c>
      <c r="BQ63" s="122">
        <f t="shared" si="64"/>
        <v>0</v>
      </c>
    </row>
    <row r="64" spans="1:69">
      <c r="A64" s="125"/>
      <c r="B64" s="120" t="s">
        <v>253</v>
      </c>
      <c r="C64" s="122">
        <f>C7/1.09</f>
        <v>9268.1908276935883</v>
      </c>
      <c r="D64" s="122">
        <f t="shared" ref="D64:I65" si="65">D7/1.11</f>
        <v>0</v>
      </c>
      <c r="E64" s="122">
        <f t="shared" si="65"/>
        <v>0</v>
      </c>
      <c r="F64" s="122">
        <f t="shared" si="65"/>
        <v>0</v>
      </c>
      <c r="G64" s="122">
        <f t="shared" si="65"/>
        <v>0</v>
      </c>
      <c r="H64" s="122">
        <f t="shared" si="65"/>
        <v>0</v>
      </c>
      <c r="I64" s="122">
        <f t="shared" si="65"/>
        <v>0</v>
      </c>
      <c r="J64" s="122">
        <f>J7/1.09</f>
        <v>0</v>
      </c>
      <c r="K64" s="122">
        <f t="shared" ref="K64:AS64" si="66">K7/1.09</f>
        <v>0</v>
      </c>
      <c r="L64" s="122">
        <f t="shared" si="66"/>
        <v>0</v>
      </c>
      <c r="M64" s="122">
        <f t="shared" si="66"/>
        <v>0</v>
      </c>
      <c r="N64" s="122">
        <f t="shared" si="66"/>
        <v>0</v>
      </c>
      <c r="O64" s="122">
        <f t="shared" si="66"/>
        <v>0</v>
      </c>
      <c r="P64" s="122">
        <f t="shared" si="66"/>
        <v>0</v>
      </c>
      <c r="Q64" s="122">
        <f t="shared" si="66"/>
        <v>0</v>
      </c>
      <c r="R64" s="122">
        <f t="shared" si="66"/>
        <v>0</v>
      </c>
      <c r="S64" s="122">
        <f t="shared" si="66"/>
        <v>0</v>
      </c>
      <c r="T64" s="122">
        <f t="shared" si="66"/>
        <v>0</v>
      </c>
      <c r="U64" s="122">
        <f t="shared" si="66"/>
        <v>0</v>
      </c>
      <c r="V64" s="122">
        <f t="shared" si="66"/>
        <v>0</v>
      </c>
      <c r="W64" s="122">
        <f t="shared" si="66"/>
        <v>0</v>
      </c>
      <c r="X64" s="122">
        <f t="shared" si="66"/>
        <v>0</v>
      </c>
      <c r="Y64" s="122">
        <f t="shared" si="66"/>
        <v>0</v>
      </c>
      <c r="Z64" s="122">
        <f t="shared" si="66"/>
        <v>0</v>
      </c>
      <c r="AA64" s="122">
        <f t="shared" si="66"/>
        <v>0</v>
      </c>
      <c r="AB64" s="122">
        <f t="shared" si="66"/>
        <v>0</v>
      </c>
      <c r="AC64" s="122">
        <f>AC7/1.09</f>
        <v>0</v>
      </c>
      <c r="AD64" s="122">
        <f t="shared" ref="AD64:AR64" si="67">AD7/1.09</f>
        <v>0</v>
      </c>
      <c r="AE64" s="122">
        <f t="shared" si="67"/>
        <v>0</v>
      </c>
      <c r="AF64" s="122">
        <f t="shared" si="67"/>
        <v>0</v>
      </c>
      <c r="AG64" s="122">
        <f t="shared" si="67"/>
        <v>11054.935337680998</v>
      </c>
      <c r="AH64" s="122">
        <f t="shared" si="67"/>
        <v>11169.7247706422</v>
      </c>
      <c r="AI64" s="122">
        <f t="shared" si="67"/>
        <v>11167.66467065868</v>
      </c>
      <c r="AJ64" s="122">
        <f t="shared" si="67"/>
        <v>11002.62123197903</v>
      </c>
      <c r="AK64" s="122">
        <f t="shared" si="67"/>
        <v>11165.137614678899</v>
      </c>
      <c r="AL64" s="122">
        <f t="shared" si="67"/>
        <v>7766.7053768435708</v>
      </c>
      <c r="AM64" s="122">
        <f t="shared" si="67"/>
        <v>9706.2444510210116</v>
      </c>
      <c r="AN64" s="122">
        <f t="shared" si="67"/>
        <v>10052.854230377165</v>
      </c>
      <c r="AO64" s="122">
        <f t="shared" si="67"/>
        <v>10179.633027522934</v>
      </c>
      <c r="AP64" s="122">
        <f t="shared" si="67"/>
        <v>10168.057322708093</v>
      </c>
      <c r="AQ64" s="122">
        <f t="shared" si="67"/>
        <v>10022.36509427147</v>
      </c>
      <c r="AR64" s="122">
        <f t="shared" si="67"/>
        <v>9901.6746759866001</v>
      </c>
      <c r="AS64" s="122">
        <f t="shared" si="66"/>
        <v>10399.802578097782</v>
      </c>
      <c r="AT64" s="122">
        <f t="shared" ref="AT64:BQ64" si="68">AT7/1.09</f>
        <v>10588.208753195968</v>
      </c>
      <c r="AU64" s="122">
        <f t="shared" si="68"/>
        <v>10059.721235134995</v>
      </c>
      <c r="AV64" s="122">
        <f t="shared" si="68"/>
        <v>10721.446834110391</v>
      </c>
      <c r="AW64" s="122">
        <f t="shared" si="68"/>
        <v>11177.348940208793</v>
      </c>
      <c r="AX64" s="122">
        <f t="shared" si="68"/>
        <v>9987.8023681385876</v>
      </c>
      <c r="AY64" s="122">
        <f t="shared" si="68"/>
        <v>1907.3394495412842</v>
      </c>
      <c r="AZ64" s="122">
        <f t="shared" si="68"/>
        <v>1907.3394495412838</v>
      </c>
      <c r="BA64" s="122">
        <f t="shared" si="68"/>
        <v>1907.3394495412838</v>
      </c>
      <c r="BB64" s="122">
        <f t="shared" si="68"/>
        <v>1907.3394495412842</v>
      </c>
      <c r="BC64" s="122">
        <f t="shared" si="68"/>
        <v>1907.3394495412842</v>
      </c>
      <c r="BD64" s="122">
        <f t="shared" si="68"/>
        <v>1907.3394495412842</v>
      </c>
      <c r="BE64" s="122">
        <f t="shared" si="68"/>
        <v>1907.3394495412842</v>
      </c>
      <c r="BF64" s="122">
        <f t="shared" si="68"/>
        <v>1907.3394495412842</v>
      </c>
      <c r="BG64" s="122">
        <f t="shared" si="68"/>
        <v>1907.3394495412842</v>
      </c>
      <c r="BH64" s="122">
        <f t="shared" si="68"/>
        <v>0</v>
      </c>
      <c r="BI64" s="122">
        <f t="shared" si="68"/>
        <v>0</v>
      </c>
      <c r="BJ64" s="122">
        <f t="shared" si="68"/>
        <v>0</v>
      </c>
      <c r="BK64" s="122">
        <f t="shared" si="68"/>
        <v>0</v>
      </c>
      <c r="BL64" s="122">
        <f t="shared" si="68"/>
        <v>0</v>
      </c>
      <c r="BM64" s="122">
        <f t="shared" si="68"/>
        <v>0</v>
      </c>
      <c r="BN64" s="122">
        <f t="shared" si="68"/>
        <v>0</v>
      </c>
      <c r="BO64" s="122">
        <f t="shared" si="68"/>
        <v>0</v>
      </c>
      <c r="BP64" s="122">
        <f t="shared" si="68"/>
        <v>0</v>
      </c>
      <c r="BQ64" s="122">
        <f t="shared" si="68"/>
        <v>0</v>
      </c>
    </row>
    <row r="65" spans="1:69">
      <c r="A65" s="125"/>
      <c r="B65" s="120" t="s">
        <v>254</v>
      </c>
      <c r="C65" s="122">
        <f>C8/1.09</f>
        <v>127328.7782477064</v>
      </c>
      <c r="D65" s="122">
        <f t="shared" si="65"/>
        <v>0</v>
      </c>
      <c r="E65" s="122">
        <f t="shared" si="65"/>
        <v>0</v>
      </c>
      <c r="F65" s="122">
        <f t="shared" si="65"/>
        <v>0</v>
      </c>
      <c r="G65" s="122">
        <f t="shared" si="65"/>
        <v>0</v>
      </c>
      <c r="H65" s="122">
        <f t="shared" si="65"/>
        <v>0</v>
      </c>
      <c r="I65" s="122">
        <f t="shared" si="65"/>
        <v>0</v>
      </c>
      <c r="J65" s="122">
        <f>J8/1.09</f>
        <v>0</v>
      </c>
      <c r="K65" s="122">
        <f t="shared" ref="K65:BQ65" si="69">K8/1.09</f>
        <v>0</v>
      </c>
      <c r="L65" s="122">
        <f t="shared" si="69"/>
        <v>0</v>
      </c>
      <c r="M65" s="122">
        <f t="shared" si="69"/>
        <v>0</v>
      </c>
      <c r="N65" s="122">
        <f t="shared" si="69"/>
        <v>0</v>
      </c>
      <c r="O65" s="122">
        <f t="shared" si="69"/>
        <v>0</v>
      </c>
      <c r="P65" s="122">
        <f t="shared" si="69"/>
        <v>0</v>
      </c>
      <c r="Q65" s="122">
        <f t="shared" si="69"/>
        <v>0</v>
      </c>
      <c r="R65" s="122">
        <f t="shared" si="69"/>
        <v>0</v>
      </c>
      <c r="S65" s="122">
        <f t="shared" si="69"/>
        <v>0</v>
      </c>
      <c r="T65" s="122">
        <f t="shared" si="69"/>
        <v>0</v>
      </c>
      <c r="U65" s="122">
        <f t="shared" si="69"/>
        <v>0</v>
      </c>
      <c r="V65" s="122">
        <f t="shared" si="69"/>
        <v>0</v>
      </c>
      <c r="W65" s="122">
        <f t="shared" si="69"/>
        <v>0</v>
      </c>
      <c r="X65" s="122">
        <f t="shared" si="69"/>
        <v>0</v>
      </c>
      <c r="Y65" s="122">
        <f t="shared" si="69"/>
        <v>0</v>
      </c>
      <c r="Z65" s="122">
        <f t="shared" si="69"/>
        <v>0</v>
      </c>
      <c r="AA65" s="122">
        <f t="shared" si="69"/>
        <v>0</v>
      </c>
      <c r="AB65" s="122">
        <f t="shared" si="69"/>
        <v>0</v>
      </c>
      <c r="AC65" s="122">
        <f t="shared" si="69"/>
        <v>0</v>
      </c>
      <c r="AD65" s="122">
        <f t="shared" si="69"/>
        <v>0</v>
      </c>
      <c r="AE65" s="122">
        <f t="shared" si="69"/>
        <v>0</v>
      </c>
      <c r="AF65" s="122">
        <f t="shared" si="69"/>
        <v>0</v>
      </c>
      <c r="AG65" s="122">
        <f t="shared" si="69"/>
        <v>18351.192660550456</v>
      </c>
      <c r="AH65" s="122">
        <f t="shared" si="69"/>
        <v>4467.8899082568805</v>
      </c>
      <c r="AI65" s="122">
        <f t="shared" si="69"/>
        <v>9325</v>
      </c>
      <c r="AJ65" s="122">
        <f t="shared" si="69"/>
        <v>3850.9174311926604</v>
      </c>
      <c r="AK65" s="122">
        <f t="shared" si="69"/>
        <v>5582.5688073394494</v>
      </c>
      <c r="AL65" s="122">
        <f t="shared" si="69"/>
        <v>6135.6972477064219</v>
      </c>
      <c r="AM65" s="122">
        <f t="shared" si="69"/>
        <v>6017.8715596330267</v>
      </c>
      <c r="AN65" s="122">
        <f t="shared" si="69"/>
        <v>7238.0550458715588</v>
      </c>
      <c r="AO65" s="122">
        <f t="shared" si="69"/>
        <v>6107.779816513761</v>
      </c>
      <c r="AP65" s="122">
        <f t="shared" si="69"/>
        <v>6965.119266055045</v>
      </c>
      <c r="AQ65" s="122">
        <f t="shared" si="69"/>
        <v>6364.2018348623842</v>
      </c>
      <c r="AR65" s="122">
        <f t="shared" si="69"/>
        <v>6238.0550458715588</v>
      </c>
      <c r="AS65" s="122">
        <f t="shared" si="69"/>
        <v>8215.8440366972482</v>
      </c>
      <c r="AT65" s="122">
        <f t="shared" si="69"/>
        <v>6458.8073394495405</v>
      </c>
      <c r="AU65" s="122">
        <f t="shared" si="69"/>
        <v>7175.4784403669682</v>
      </c>
      <c r="AV65" s="122">
        <f t="shared" si="69"/>
        <v>6540.0825688073382</v>
      </c>
      <c r="AW65" s="122">
        <f t="shared" si="69"/>
        <v>3241.4311926605501</v>
      </c>
      <c r="AX65" s="122">
        <f t="shared" si="69"/>
        <v>5767.3366238532071</v>
      </c>
      <c r="AY65" s="122">
        <f t="shared" si="69"/>
        <v>267.02752293577981</v>
      </c>
      <c r="AZ65" s="122">
        <f t="shared" si="69"/>
        <v>247.95412844036693</v>
      </c>
      <c r="BA65" s="122">
        <f t="shared" si="69"/>
        <v>247.95412844036693</v>
      </c>
      <c r="BB65" s="122">
        <f t="shared" si="69"/>
        <v>267.02752293577981</v>
      </c>
      <c r="BC65" s="122">
        <f t="shared" si="69"/>
        <v>267.02752293577981</v>
      </c>
      <c r="BD65" s="122">
        <f t="shared" si="69"/>
        <v>267.02752293577981</v>
      </c>
      <c r="BE65" s="122">
        <f t="shared" si="69"/>
        <v>572.20183486238534</v>
      </c>
      <c r="BF65" s="122">
        <f t="shared" si="69"/>
        <v>572.20183486238534</v>
      </c>
      <c r="BG65" s="122">
        <f t="shared" si="69"/>
        <v>577.02740366972523</v>
      </c>
      <c r="BH65" s="122">
        <f t="shared" si="69"/>
        <v>0</v>
      </c>
      <c r="BI65" s="122">
        <f t="shared" si="69"/>
        <v>0</v>
      </c>
      <c r="BJ65" s="122">
        <f t="shared" si="69"/>
        <v>0</v>
      </c>
      <c r="BK65" s="122">
        <f t="shared" si="69"/>
        <v>0</v>
      </c>
      <c r="BL65" s="122">
        <f t="shared" si="69"/>
        <v>0</v>
      </c>
      <c r="BM65" s="122">
        <f t="shared" si="69"/>
        <v>0</v>
      </c>
      <c r="BN65" s="122">
        <f t="shared" si="69"/>
        <v>0</v>
      </c>
      <c r="BO65" s="122">
        <f t="shared" si="69"/>
        <v>0</v>
      </c>
      <c r="BP65" s="122">
        <f t="shared" si="69"/>
        <v>0</v>
      </c>
      <c r="BQ65" s="122">
        <f t="shared" si="69"/>
        <v>0</v>
      </c>
    </row>
    <row r="66" spans="1:69" s="126" customFormat="1" ht="13">
      <c r="A66" s="127" t="s">
        <v>2971</v>
      </c>
      <c r="B66" s="128" t="s">
        <v>255</v>
      </c>
      <c r="C66" s="129">
        <f t="shared" ref="C66:AS66" si="70">C9</f>
        <v>24565.840000000004</v>
      </c>
      <c r="D66" s="130">
        <f t="shared" si="70"/>
        <v>0</v>
      </c>
      <c r="E66" s="130">
        <f t="shared" si="70"/>
        <v>0</v>
      </c>
      <c r="F66" s="130">
        <f t="shared" si="70"/>
        <v>0</v>
      </c>
      <c r="G66" s="130">
        <f t="shared" si="70"/>
        <v>0</v>
      </c>
      <c r="H66" s="130">
        <f t="shared" si="70"/>
        <v>0</v>
      </c>
      <c r="I66" s="130">
        <f t="shared" si="70"/>
        <v>0</v>
      </c>
      <c r="J66" s="130">
        <f t="shared" si="70"/>
        <v>0</v>
      </c>
      <c r="K66" s="130">
        <f t="shared" si="70"/>
        <v>0</v>
      </c>
      <c r="L66" s="130">
        <f t="shared" si="70"/>
        <v>0</v>
      </c>
      <c r="M66" s="130">
        <f t="shared" si="70"/>
        <v>0</v>
      </c>
      <c r="N66" s="130">
        <f t="shared" si="70"/>
        <v>0</v>
      </c>
      <c r="O66" s="130">
        <f t="shared" si="70"/>
        <v>0</v>
      </c>
      <c r="P66" s="130">
        <f t="shared" si="70"/>
        <v>0</v>
      </c>
      <c r="Q66" s="130">
        <f t="shared" si="70"/>
        <v>0</v>
      </c>
      <c r="R66" s="130">
        <f t="shared" si="70"/>
        <v>0</v>
      </c>
      <c r="S66" s="130">
        <f t="shared" si="70"/>
        <v>0</v>
      </c>
      <c r="T66" s="130">
        <f t="shared" si="70"/>
        <v>0</v>
      </c>
      <c r="U66" s="130">
        <f t="shared" si="70"/>
        <v>0</v>
      </c>
      <c r="V66" s="130">
        <f t="shared" si="70"/>
        <v>0</v>
      </c>
      <c r="W66" s="130">
        <f t="shared" si="70"/>
        <v>0</v>
      </c>
      <c r="X66" s="130">
        <f t="shared" si="70"/>
        <v>0</v>
      </c>
      <c r="Y66" s="130">
        <f t="shared" si="70"/>
        <v>0</v>
      </c>
      <c r="Z66" s="130">
        <f t="shared" si="70"/>
        <v>0</v>
      </c>
      <c r="AA66" s="130">
        <f t="shared" si="70"/>
        <v>0</v>
      </c>
      <c r="AB66" s="130">
        <f>AB9</f>
        <v>0</v>
      </c>
      <c r="AC66" s="130">
        <f t="shared" si="70"/>
        <v>0</v>
      </c>
      <c r="AD66" s="130">
        <f t="shared" ref="AD66:AR66" si="71">AD9</f>
        <v>0</v>
      </c>
      <c r="AE66" s="130">
        <f t="shared" si="71"/>
        <v>0</v>
      </c>
      <c r="AF66" s="130">
        <f t="shared" si="71"/>
        <v>0</v>
      </c>
      <c r="AG66" s="130">
        <f t="shared" si="71"/>
        <v>0</v>
      </c>
      <c r="AH66" s="130">
        <f t="shared" si="71"/>
        <v>0</v>
      </c>
      <c r="AI66" s="130">
        <f t="shared" si="71"/>
        <v>0</v>
      </c>
      <c r="AJ66" s="130">
        <f t="shared" si="71"/>
        <v>0</v>
      </c>
      <c r="AK66" s="130">
        <f t="shared" si="71"/>
        <v>0</v>
      </c>
      <c r="AL66" s="130">
        <f t="shared" si="71"/>
        <v>2000</v>
      </c>
      <c r="AM66" s="130">
        <f t="shared" si="71"/>
        <v>900</v>
      </c>
      <c r="AN66" s="130">
        <f t="shared" si="71"/>
        <v>900</v>
      </c>
      <c r="AO66" s="130">
        <f t="shared" si="71"/>
        <v>900</v>
      </c>
      <c r="AP66" s="130">
        <f t="shared" si="71"/>
        <v>900</v>
      </c>
      <c r="AQ66" s="130">
        <f t="shared" si="71"/>
        <v>900</v>
      </c>
      <c r="AR66" s="130">
        <f t="shared" si="71"/>
        <v>900</v>
      </c>
      <c r="AS66" s="138">
        <f t="shared" si="70"/>
        <v>1000</v>
      </c>
      <c r="AT66" s="138">
        <f t="shared" ref="AT66:BQ66" si="72">AT9</f>
        <v>700</v>
      </c>
      <c r="AU66" s="138">
        <f t="shared" si="72"/>
        <v>1000</v>
      </c>
      <c r="AV66" s="138">
        <f t="shared" si="72"/>
        <v>1000</v>
      </c>
      <c r="AW66" s="138">
        <f t="shared" si="72"/>
        <v>300</v>
      </c>
      <c r="AX66" s="138">
        <f t="shared" si="72"/>
        <v>1000</v>
      </c>
      <c r="AY66" s="138">
        <f t="shared" si="72"/>
        <v>1000</v>
      </c>
      <c r="AZ66" s="138">
        <f t="shared" si="72"/>
        <v>1000</v>
      </c>
      <c r="BA66" s="138">
        <f t="shared" si="72"/>
        <v>1000</v>
      </c>
      <c r="BB66" s="138">
        <f t="shared" si="72"/>
        <v>1000</v>
      </c>
      <c r="BC66" s="138">
        <f t="shared" si="72"/>
        <v>1000</v>
      </c>
      <c r="BD66" s="138">
        <f t="shared" si="72"/>
        <v>1000</v>
      </c>
      <c r="BE66" s="138">
        <f t="shared" si="72"/>
        <v>2000</v>
      </c>
      <c r="BF66" s="138">
        <f t="shared" si="72"/>
        <v>2000</v>
      </c>
      <c r="BG66" s="138">
        <f t="shared" si="72"/>
        <v>2165.8400000000038</v>
      </c>
      <c r="BH66" s="138">
        <f t="shared" si="72"/>
        <v>0</v>
      </c>
      <c r="BI66" s="138">
        <f t="shared" si="72"/>
        <v>0</v>
      </c>
      <c r="BJ66" s="138">
        <f t="shared" si="72"/>
        <v>0</v>
      </c>
      <c r="BK66" s="138">
        <f t="shared" si="72"/>
        <v>0</v>
      </c>
      <c r="BL66" s="138">
        <f t="shared" si="72"/>
        <v>0</v>
      </c>
      <c r="BM66" s="138">
        <f t="shared" si="72"/>
        <v>0</v>
      </c>
      <c r="BN66" s="138">
        <f t="shared" si="72"/>
        <v>0</v>
      </c>
      <c r="BO66" s="138">
        <f t="shared" si="72"/>
        <v>0</v>
      </c>
      <c r="BP66" s="138">
        <f t="shared" si="72"/>
        <v>0</v>
      </c>
      <c r="BQ66" s="138">
        <f t="shared" si="72"/>
        <v>0</v>
      </c>
    </row>
    <row r="67" spans="1:69" s="126" customFormat="1" ht="13">
      <c r="A67" s="127"/>
      <c r="B67" s="128" t="s">
        <v>2967</v>
      </c>
      <c r="C67" s="129">
        <f>C10/1.09</f>
        <v>1907.3394495412847</v>
      </c>
      <c r="D67" s="130">
        <f t="shared" ref="D67:I68" si="73">D10/1.11</f>
        <v>0</v>
      </c>
      <c r="E67" s="130">
        <f t="shared" si="73"/>
        <v>0</v>
      </c>
      <c r="F67" s="130">
        <f t="shared" si="73"/>
        <v>0</v>
      </c>
      <c r="G67" s="130">
        <f t="shared" si="73"/>
        <v>0</v>
      </c>
      <c r="H67" s="130">
        <f t="shared" si="73"/>
        <v>0</v>
      </c>
      <c r="I67" s="130">
        <f t="shared" si="73"/>
        <v>0</v>
      </c>
      <c r="J67" s="130">
        <f>J10/1.09</f>
        <v>0</v>
      </c>
      <c r="K67" s="130">
        <f t="shared" ref="K67:AS67" si="74">K10/1.09</f>
        <v>0</v>
      </c>
      <c r="L67" s="130">
        <f t="shared" si="74"/>
        <v>0</v>
      </c>
      <c r="M67" s="130">
        <f t="shared" si="74"/>
        <v>0</v>
      </c>
      <c r="N67" s="130">
        <f t="shared" si="74"/>
        <v>0</v>
      </c>
      <c r="O67" s="130">
        <f t="shared" si="74"/>
        <v>0</v>
      </c>
      <c r="P67" s="130">
        <f t="shared" si="74"/>
        <v>0</v>
      </c>
      <c r="Q67" s="130">
        <f t="shared" si="74"/>
        <v>0</v>
      </c>
      <c r="R67" s="130">
        <f t="shared" si="74"/>
        <v>0</v>
      </c>
      <c r="S67" s="130">
        <f t="shared" si="74"/>
        <v>0</v>
      </c>
      <c r="T67" s="130">
        <f t="shared" si="74"/>
        <v>0</v>
      </c>
      <c r="U67" s="130">
        <f t="shared" si="74"/>
        <v>0</v>
      </c>
      <c r="V67" s="130">
        <f t="shared" si="74"/>
        <v>0</v>
      </c>
      <c r="W67" s="130">
        <f t="shared" si="74"/>
        <v>0</v>
      </c>
      <c r="X67" s="130">
        <f t="shared" si="74"/>
        <v>0</v>
      </c>
      <c r="Y67" s="130">
        <f t="shared" si="74"/>
        <v>0</v>
      </c>
      <c r="Z67" s="130">
        <f t="shared" si="74"/>
        <v>0</v>
      </c>
      <c r="AA67" s="130">
        <f t="shared" si="74"/>
        <v>0</v>
      </c>
      <c r="AB67" s="130">
        <f>AB10/1.09</f>
        <v>0</v>
      </c>
      <c r="AC67" s="130">
        <f t="shared" si="74"/>
        <v>0</v>
      </c>
      <c r="AD67" s="130">
        <f t="shared" ref="AD67:AR67" si="75">AD10/1.09</f>
        <v>0</v>
      </c>
      <c r="AE67" s="130">
        <f t="shared" si="75"/>
        <v>0</v>
      </c>
      <c r="AF67" s="130">
        <f t="shared" si="75"/>
        <v>0</v>
      </c>
      <c r="AG67" s="130">
        <f t="shared" si="75"/>
        <v>0</v>
      </c>
      <c r="AH67" s="130">
        <f t="shared" si="75"/>
        <v>0</v>
      </c>
      <c r="AI67" s="130">
        <f t="shared" si="75"/>
        <v>0</v>
      </c>
      <c r="AJ67" s="130">
        <f t="shared" si="75"/>
        <v>0</v>
      </c>
      <c r="AK67" s="130">
        <f t="shared" si="75"/>
        <v>0</v>
      </c>
      <c r="AL67" s="130">
        <f t="shared" si="75"/>
        <v>1907.3394495412842</v>
      </c>
      <c r="AM67" s="130">
        <f t="shared" si="75"/>
        <v>1907.3394495412842</v>
      </c>
      <c r="AN67" s="130">
        <f t="shared" si="75"/>
        <v>1907.3394495412842</v>
      </c>
      <c r="AO67" s="130">
        <f t="shared" si="75"/>
        <v>1907.3394495412842</v>
      </c>
      <c r="AP67" s="130">
        <f t="shared" si="75"/>
        <v>1907.3394495412842</v>
      </c>
      <c r="AQ67" s="130">
        <f t="shared" si="75"/>
        <v>1907.3394495412842</v>
      </c>
      <c r="AR67" s="130">
        <f t="shared" si="75"/>
        <v>1907.3394495412842</v>
      </c>
      <c r="AS67" s="130">
        <f t="shared" si="74"/>
        <v>1907.3394495412842</v>
      </c>
      <c r="AT67" s="130">
        <f t="shared" ref="AT67:BQ67" si="76">AT10/1.09</f>
        <v>1907.3394495412842</v>
      </c>
      <c r="AU67" s="130">
        <f t="shared" si="76"/>
        <v>1907.3394495412842</v>
      </c>
      <c r="AV67" s="130">
        <f t="shared" si="76"/>
        <v>1907.3394495412842</v>
      </c>
      <c r="AW67" s="130">
        <f t="shared" si="76"/>
        <v>1907.3394495412842</v>
      </c>
      <c r="AX67" s="130">
        <f t="shared" si="76"/>
        <v>1907.3394495412842</v>
      </c>
      <c r="AY67" s="130">
        <f t="shared" si="76"/>
        <v>1907.3394495412842</v>
      </c>
      <c r="AZ67" s="130">
        <f t="shared" si="76"/>
        <v>1907.3394495412842</v>
      </c>
      <c r="BA67" s="130">
        <f t="shared" si="76"/>
        <v>1907.3394495412842</v>
      </c>
      <c r="BB67" s="130">
        <f t="shared" si="76"/>
        <v>1907.3394495412842</v>
      </c>
      <c r="BC67" s="130">
        <f t="shared" si="76"/>
        <v>1907.3394495412842</v>
      </c>
      <c r="BD67" s="130">
        <f t="shared" si="76"/>
        <v>1907.3394495412842</v>
      </c>
      <c r="BE67" s="130">
        <f t="shared" si="76"/>
        <v>1907.3394495412842</v>
      </c>
      <c r="BF67" s="130">
        <f t="shared" si="76"/>
        <v>1907.3394495412842</v>
      </c>
      <c r="BG67" s="130">
        <f t="shared" si="76"/>
        <v>1907.3394495412842</v>
      </c>
      <c r="BH67" s="130">
        <f t="shared" si="76"/>
        <v>0</v>
      </c>
      <c r="BI67" s="130">
        <f t="shared" si="76"/>
        <v>0</v>
      </c>
      <c r="BJ67" s="130">
        <f t="shared" si="76"/>
        <v>0</v>
      </c>
      <c r="BK67" s="130">
        <f t="shared" si="76"/>
        <v>0</v>
      </c>
      <c r="BL67" s="130">
        <f t="shared" si="76"/>
        <v>0</v>
      </c>
      <c r="BM67" s="130">
        <f t="shared" si="76"/>
        <v>0</v>
      </c>
      <c r="BN67" s="130">
        <f t="shared" si="76"/>
        <v>0</v>
      </c>
      <c r="BO67" s="130">
        <f t="shared" si="76"/>
        <v>0</v>
      </c>
      <c r="BP67" s="130">
        <f t="shared" si="76"/>
        <v>0</v>
      </c>
      <c r="BQ67" s="130">
        <f t="shared" si="76"/>
        <v>0</v>
      </c>
    </row>
    <row r="68" spans="1:69">
      <c r="A68" s="132"/>
      <c r="B68" s="133" t="s">
        <v>254</v>
      </c>
      <c r="C68" s="133">
        <f>C11/1.09</f>
        <v>4685.5395743119279</v>
      </c>
      <c r="D68" s="133">
        <f t="shared" si="73"/>
        <v>0</v>
      </c>
      <c r="E68" s="133">
        <f t="shared" si="73"/>
        <v>0</v>
      </c>
      <c r="F68" s="133">
        <f t="shared" si="73"/>
        <v>0</v>
      </c>
      <c r="G68" s="133">
        <f t="shared" si="73"/>
        <v>0</v>
      </c>
      <c r="H68" s="133">
        <f t="shared" si="73"/>
        <v>0</v>
      </c>
      <c r="I68" s="133">
        <f t="shared" si="73"/>
        <v>0</v>
      </c>
      <c r="J68" s="133">
        <f>J11/1.09</f>
        <v>0</v>
      </c>
      <c r="K68" s="133">
        <f t="shared" ref="K68:AS68" si="77">K11/1.09</f>
        <v>0</v>
      </c>
      <c r="L68" s="133">
        <f t="shared" si="77"/>
        <v>0</v>
      </c>
      <c r="M68" s="133">
        <f t="shared" si="77"/>
        <v>0</v>
      </c>
      <c r="N68" s="133">
        <f t="shared" si="77"/>
        <v>0</v>
      </c>
      <c r="O68" s="133">
        <f t="shared" si="77"/>
        <v>0</v>
      </c>
      <c r="P68" s="133">
        <f t="shared" si="77"/>
        <v>0</v>
      </c>
      <c r="Q68" s="133">
        <f t="shared" si="77"/>
        <v>0</v>
      </c>
      <c r="R68" s="133">
        <f t="shared" si="77"/>
        <v>0</v>
      </c>
      <c r="S68" s="133">
        <f t="shared" si="77"/>
        <v>0</v>
      </c>
      <c r="T68" s="133">
        <f t="shared" si="77"/>
        <v>0</v>
      </c>
      <c r="U68" s="133">
        <f t="shared" si="77"/>
        <v>0</v>
      </c>
      <c r="V68" s="133">
        <f t="shared" si="77"/>
        <v>0</v>
      </c>
      <c r="W68" s="133">
        <f t="shared" si="77"/>
        <v>0</v>
      </c>
      <c r="X68" s="133">
        <f t="shared" si="77"/>
        <v>0</v>
      </c>
      <c r="Y68" s="133">
        <f t="shared" si="77"/>
        <v>0</v>
      </c>
      <c r="Z68" s="133">
        <f t="shared" si="77"/>
        <v>0</v>
      </c>
      <c r="AA68" s="133">
        <f t="shared" si="77"/>
        <v>0</v>
      </c>
      <c r="AB68" s="133">
        <f>AB11/1.09</f>
        <v>0</v>
      </c>
      <c r="AC68" s="133">
        <f t="shared" si="77"/>
        <v>0</v>
      </c>
      <c r="AD68" s="133">
        <f t="shared" ref="AD68:AR68" si="78">AD11/1.09</f>
        <v>0</v>
      </c>
      <c r="AE68" s="133">
        <f t="shared" si="78"/>
        <v>0</v>
      </c>
      <c r="AF68" s="133">
        <f t="shared" si="78"/>
        <v>0</v>
      </c>
      <c r="AG68" s="133">
        <f t="shared" si="78"/>
        <v>0</v>
      </c>
      <c r="AH68" s="133">
        <f t="shared" si="78"/>
        <v>0</v>
      </c>
      <c r="AI68" s="133">
        <f t="shared" si="78"/>
        <v>0</v>
      </c>
      <c r="AJ68" s="133">
        <f t="shared" si="78"/>
        <v>0</v>
      </c>
      <c r="AK68" s="133">
        <f t="shared" si="78"/>
        <v>0</v>
      </c>
      <c r="AL68" s="133">
        <f t="shared" si="78"/>
        <v>381.46788990825684</v>
      </c>
      <c r="AM68" s="133">
        <f t="shared" si="78"/>
        <v>171.66055045871559</v>
      </c>
      <c r="AN68" s="133">
        <f t="shared" si="78"/>
        <v>171.66055045871559</v>
      </c>
      <c r="AO68" s="133">
        <f t="shared" si="78"/>
        <v>171.66055045871559</v>
      </c>
      <c r="AP68" s="133">
        <f t="shared" si="78"/>
        <v>171.66055045871559</v>
      </c>
      <c r="AQ68" s="133">
        <f t="shared" si="78"/>
        <v>171.66055045871559</v>
      </c>
      <c r="AR68" s="133">
        <f t="shared" si="78"/>
        <v>171.66055045871559</v>
      </c>
      <c r="AS68" s="133">
        <f t="shared" si="77"/>
        <v>190.73394495412842</v>
      </c>
      <c r="AT68" s="133">
        <f t="shared" ref="AT68:BQ68" si="79">AT11/1.09</f>
        <v>133.51376146788991</v>
      </c>
      <c r="AU68" s="133">
        <f t="shared" si="79"/>
        <v>190.73394495412842</v>
      </c>
      <c r="AV68" s="133">
        <f t="shared" si="79"/>
        <v>190.73394495412842</v>
      </c>
      <c r="AW68" s="133">
        <f t="shared" si="79"/>
        <v>57.220183486238525</v>
      </c>
      <c r="AX68" s="133">
        <f t="shared" si="79"/>
        <v>190.73394495412842</v>
      </c>
      <c r="AY68" s="133">
        <f t="shared" si="79"/>
        <v>190.73394495412842</v>
      </c>
      <c r="AZ68" s="133">
        <f t="shared" si="79"/>
        <v>190.73394495412842</v>
      </c>
      <c r="BA68" s="133">
        <f t="shared" si="79"/>
        <v>190.73394495412842</v>
      </c>
      <c r="BB68" s="133">
        <f t="shared" si="79"/>
        <v>190.73394495412842</v>
      </c>
      <c r="BC68" s="133">
        <f t="shared" si="79"/>
        <v>190.73394495412842</v>
      </c>
      <c r="BD68" s="133">
        <f t="shared" si="79"/>
        <v>190.73394495412842</v>
      </c>
      <c r="BE68" s="133">
        <f t="shared" si="79"/>
        <v>381.46788990825684</v>
      </c>
      <c r="BF68" s="133">
        <f t="shared" si="79"/>
        <v>381.46788990825684</v>
      </c>
      <c r="BG68" s="133">
        <f t="shared" si="79"/>
        <v>413.09920733945023</v>
      </c>
      <c r="BH68" s="133">
        <f t="shared" si="79"/>
        <v>0</v>
      </c>
      <c r="BI68" s="133">
        <f t="shared" si="79"/>
        <v>0</v>
      </c>
      <c r="BJ68" s="133">
        <f t="shared" si="79"/>
        <v>0</v>
      </c>
      <c r="BK68" s="133">
        <f t="shared" si="79"/>
        <v>0</v>
      </c>
      <c r="BL68" s="133">
        <f t="shared" si="79"/>
        <v>0</v>
      </c>
      <c r="BM68" s="133">
        <f t="shared" si="79"/>
        <v>0</v>
      </c>
      <c r="BN68" s="133">
        <f t="shared" si="79"/>
        <v>0</v>
      </c>
      <c r="BO68" s="133">
        <f t="shared" si="79"/>
        <v>0</v>
      </c>
      <c r="BP68" s="133">
        <f t="shared" si="79"/>
        <v>0</v>
      </c>
      <c r="BQ68" s="133">
        <f t="shared" si="79"/>
        <v>0</v>
      </c>
    </row>
    <row r="69" spans="1:69" s="126" customFormat="1" ht="13">
      <c r="A69" s="127" t="str">
        <f>A12</f>
        <v>高层（27F）</v>
      </c>
      <c r="B69" s="128" t="s">
        <v>255</v>
      </c>
      <c r="C69" s="129">
        <f t="shared" ref="C69:AS69" si="80">C12</f>
        <v>43173.95</v>
      </c>
      <c r="D69" s="130">
        <f t="shared" si="80"/>
        <v>0</v>
      </c>
      <c r="E69" s="130">
        <f t="shared" si="80"/>
        <v>0</v>
      </c>
      <c r="F69" s="130">
        <f t="shared" si="80"/>
        <v>0</v>
      </c>
      <c r="G69" s="130">
        <f t="shared" si="80"/>
        <v>0</v>
      </c>
      <c r="H69" s="130">
        <f t="shared" si="80"/>
        <v>0</v>
      </c>
      <c r="I69" s="130">
        <f t="shared" si="80"/>
        <v>0</v>
      </c>
      <c r="J69" s="130">
        <f t="shared" si="80"/>
        <v>0</v>
      </c>
      <c r="K69" s="130">
        <f t="shared" si="80"/>
        <v>0</v>
      </c>
      <c r="L69" s="130">
        <f t="shared" si="80"/>
        <v>0</v>
      </c>
      <c r="M69" s="130">
        <f t="shared" si="80"/>
        <v>0</v>
      </c>
      <c r="N69" s="130">
        <f t="shared" si="80"/>
        <v>0</v>
      </c>
      <c r="O69" s="130">
        <f t="shared" si="80"/>
        <v>0</v>
      </c>
      <c r="P69" s="130">
        <f t="shared" si="80"/>
        <v>0</v>
      </c>
      <c r="Q69" s="130">
        <f t="shared" si="80"/>
        <v>0</v>
      </c>
      <c r="R69" s="130">
        <f t="shared" si="80"/>
        <v>0</v>
      </c>
      <c r="S69" s="130">
        <f t="shared" si="80"/>
        <v>0</v>
      </c>
      <c r="T69" s="130">
        <f t="shared" si="80"/>
        <v>0</v>
      </c>
      <c r="U69" s="130">
        <f t="shared" si="80"/>
        <v>0</v>
      </c>
      <c r="V69" s="130">
        <f t="shared" si="80"/>
        <v>0</v>
      </c>
      <c r="W69" s="130">
        <f t="shared" si="80"/>
        <v>0</v>
      </c>
      <c r="X69" s="130">
        <f t="shared" si="80"/>
        <v>0</v>
      </c>
      <c r="Y69" s="130">
        <f t="shared" si="80"/>
        <v>0</v>
      </c>
      <c r="Z69" s="130">
        <f t="shared" si="80"/>
        <v>0</v>
      </c>
      <c r="AA69" s="130">
        <f>AA12</f>
        <v>0</v>
      </c>
      <c r="AB69" s="130">
        <f>AB12</f>
        <v>0</v>
      </c>
      <c r="AC69" s="130">
        <f>AC12</f>
        <v>0</v>
      </c>
      <c r="AD69" s="130">
        <f t="shared" ref="AD69:AR69" si="81">AD12</f>
        <v>0</v>
      </c>
      <c r="AE69" s="130">
        <f t="shared" si="81"/>
        <v>0</v>
      </c>
      <c r="AF69" s="130">
        <f t="shared" si="81"/>
        <v>0</v>
      </c>
      <c r="AG69" s="130">
        <f t="shared" si="81"/>
        <v>7600</v>
      </c>
      <c r="AH69" s="130">
        <f t="shared" si="81"/>
        <v>2000</v>
      </c>
      <c r="AI69" s="130">
        <f t="shared" si="81"/>
        <v>4500</v>
      </c>
      <c r="AJ69" s="130">
        <f t="shared" si="81"/>
        <v>2500</v>
      </c>
      <c r="AK69" s="130">
        <f t="shared" si="81"/>
        <v>3000</v>
      </c>
      <c r="AL69" s="130">
        <f t="shared" si="81"/>
        <v>3000</v>
      </c>
      <c r="AM69" s="130">
        <f t="shared" si="81"/>
        <v>2000</v>
      </c>
      <c r="AN69" s="130">
        <f t="shared" si="81"/>
        <v>2000</v>
      </c>
      <c r="AO69" s="130">
        <f t="shared" si="81"/>
        <v>2000</v>
      </c>
      <c r="AP69" s="130">
        <f t="shared" si="81"/>
        <v>2500</v>
      </c>
      <c r="AQ69" s="130">
        <f t="shared" si="81"/>
        <v>2500</v>
      </c>
      <c r="AR69" s="130">
        <f t="shared" si="81"/>
        <v>2500</v>
      </c>
      <c r="AS69" s="138">
        <f t="shared" si="80"/>
        <v>2500</v>
      </c>
      <c r="AT69" s="138">
        <f t="shared" ref="AT69:BQ69" si="82">AT12</f>
        <v>1500</v>
      </c>
      <c r="AU69" s="138">
        <f t="shared" si="82"/>
        <v>3073.9499999999971</v>
      </c>
      <c r="AV69" s="138">
        <f t="shared" si="82"/>
        <v>0</v>
      </c>
      <c r="AW69" s="138">
        <f t="shared" si="82"/>
        <v>0</v>
      </c>
      <c r="AX69" s="138">
        <f t="shared" si="82"/>
        <v>0</v>
      </c>
      <c r="AY69" s="138">
        <f t="shared" si="82"/>
        <v>0</v>
      </c>
      <c r="AZ69" s="138">
        <f t="shared" si="82"/>
        <v>0</v>
      </c>
      <c r="BA69" s="138">
        <f t="shared" si="82"/>
        <v>0</v>
      </c>
      <c r="BB69" s="138">
        <f t="shared" si="82"/>
        <v>0</v>
      </c>
      <c r="BC69" s="138">
        <f t="shared" si="82"/>
        <v>0</v>
      </c>
      <c r="BD69" s="138">
        <f t="shared" si="82"/>
        <v>0</v>
      </c>
      <c r="BE69" s="138">
        <f t="shared" si="82"/>
        <v>0</v>
      </c>
      <c r="BF69" s="138">
        <f t="shared" si="82"/>
        <v>0</v>
      </c>
      <c r="BG69" s="138">
        <f t="shared" si="82"/>
        <v>0</v>
      </c>
      <c r="BH69" s="138">
        <f t="shared" si="82"/>
        <v>0</v>
      </c>
      <c r="BI69" s="138">
        <f t="shared" si="82"/>
        <v>0</v>
      </c>
      <c r="BJ69" s="138">
        <f t="shared" si="82"/>
        <v>0</v>
      </c>
      <c r="BK69" s="138">
        <f t="shared" si="82"/>
        <v>0</v>
      </c>
      <c r="BL69" s="138">
        <f t="shared" si="82"/>
        <v>0</v>
      </c>
      <c r="BM69" s="138">
        <f t="shared" si="82"/>
        <v>0</v>
      </c>
      <c r="BN69" s="138">
        <f t="shared" si="82"/>
        <v>0</v>
      </c>
      <c r="BO69" s="138">
        <f t="shared" si="82"/>
        <v>0</v>
      </c>
      <c r="BP69" s="138">
        <f t="shared" si="82"/>
        <v>0</v>
      </c>
      <c r="BQ69" s="138">
        <f t="shared" si="82"/>
        <v>0</v>
      </c>
    </row>
    <row r="70" spans="1:69" s="126" customFormat="1" ht="13">
      <c r="A70" s="127"/>
      <c r="B70" s="128" t="s">
        <v>2967</v>
      </c>
      <c r="C70" s="129">
        <f>C13/1.09</f>
        <v>10596.308759961876</v>
      </c>
      <c r="D70" s="130">
        <f t="shared" ref="D70:I71" si="83">D13/1.11</f>
        <v>0</v>
      </c>
      <c r="E70" s="130">
        <f t="shared" si="83"/>
        <v>0</v>
      </c>
      <c r="F70" s="129">
        <f t="shared" si="83"/>
        <v>0</v>
      </c>
      <c r="G70" s="129">
        <f t="shared" si="83"/>
        <v>0</v>
      </c>
      <c r="H70" s="130">
        <f t="shared" si="83"/>
        <v>0</v>
      </c>
      <c r="I70" s="130">
        <f t="shared" si="83"/>
        <v>0</v>
      </c>
      <c r="J70" s="130">
        <f>J13/1.09</f>
        <v>0</v>
      </c>
      <c r="K70" s="130">
        <f t="shared" ref="K70:AS70" si="84">K13/1.09</f>
        <v>0</v>
      </c>
      <c r="L70" s="130">
        <f t="shared" si="84"/>
        <v>0</v>
      </c>
      <c r="M70" s="130">
        <f t="shared" si="84"/>
        <v>0</v>
      </c>
      <c r="N70" s="130">
        <f t="shared" si="84"/>
        <v>0</v>
      </c>
      <c r="O70" s="130">
        <f t="shared" si="84"/>
        <v>0</v>
      </c>
      <c r="P70" s="130">
        <f t="shared" si="84"/>
        <v>0</v>
      </c>
      <c r="Q70" s="130">
        <f t="shared" si="84"/>
        <v>0</v>
      </c>
      <c r="R70" s="130">
        <f t="shared" si="84"/>
        <v>0</v>
      </c>
      <c r="S70" s="130">
        <f t="shared" si="84"/>
        <v>0</v>
      </c>
      <c r="T70" s="130">
        <f t="shared" si="84"/>
        <v>0</v>
      </c>
      <c r="U70" s="130">
        <f t="shared" si="84"/>
        <v>0</v>
      </c>
      <c r="V70" s="130">
        <f t="shared" si="84"/>
        <v>0</v>
      </c>
      <c r="W70" s="130">
        <f t="shared" si="84"/>
        <v>0</v>
      </c>
      <c r="X70" s="130">
        <f t="shared" si="84"/>
        <v>0</v>
      </c>
      <c r="Y70" s="130">
        <f t="shared" si="84"/>
        <v>0</v>
      </c>
      <c r="Z70" s="130">
        <f t="shared" si="84"/>
        <v>0</v>
      </c>
      <c r="AA70" s="130">
        <f t="shared" ref="AA70:AC71" si="85">AA13/1.09</f>
        <v>0</v>
      </c>
      <c r="AB70" s="130">
        <f t="shared" si="85"/>
        <v>0</v>
      </c>
      <c r="AC70" s="130">
        <f t="shared" si="85"/>
        <v>0</v>
      </c>
      <c r="AD70" s="130">
        <f t="shared" ref="AD70:AR70" si="86">AD13/1.09</f>
        <v>0</v>
      </c>
      <c r="AE70" s="130">
        <f t="shared" si="86"/>
        <v>0</v>
      </c>
      <c r="AF70" s="130">
        <f t="shared" si="86"/>
        <v>0</v>
      </c>
      <c r="AG70" s="130">
        <f t="shared" si="86"/>
        <v>10348.623853211009</v>
      </c>
      <c r="AH70" s="130">
        <f t="shared" si="86"/>
        <v>10412.844036697246</v>
      </c>
      <c r="AI70" s="130">
        <f t="shared" si="86"/>
        <v>10518.34862385321</v>
      </c>
      <c r="AJ70" s="130">
        <f t="shared" si="86"/>
        <v>10596.330275229357</v>
      </c>
      <c r="AK70" s="130">
        <f t="shared" si="86"/>
        <v>10596.330275229357</v>
      </c>
      <c r="AL70" s="130">
        <f t="shared" si="86"/>
        <v>10596.330275229357</v>
      </c>
      <c r="AM70" s="130">
        <f t="shared" si="86"/>
        <v>10642.201834862384</v>
      </c>
      <c r="AN70" s="130">
        <f t="shared" si="86"/>
        <v>10642.201834862384</v>
      </c>
      <c r="AO70" s="130">
        <f t="shared" si="86"/>
        <v>10660.550458715596</v>
      </c>
      <c r="AP70" s="130">
        <f t="shared" si="86"/>
        <v>10733.944954128439</v>
      </c>
      <c r="AQ70" s="130">
        <f t="shared" si="86"/>
        <v>10733.944954128439</v>
      </c>
      <c r="AR70" s="130">
        <f t="shared" si="86"/>
        <v>10733.944954128439</v>
      </c>
      <c r="AS70" s="130">
        <f t="shared" si="84"/>
        <v>10733.944954128439</v>
      </c>
      <c r="AT70" s="130">
        <f t="shared" ref="AT70:BQ70" si="87">AT13/1.09</f>
        <v>10733.944954128439</v>
      </c>
      <c r="AU70" s="130">
        <f t="shared" si="87"/>
        <v>10825.688073394494</v>
      </c>
      <c r="AV70" s="130">
        <f t="shared" si="87"/>
        <v>0</v>
      </c>
      <c r="AW70" s="130">
        <f t="shared" si="87"/>
        <v>0</v>
      </c>
      <c r="AX70" s="130">
        <f t="shared" si="87"/>
        <v>0</v>
      </c>
      <c r="AY70" s="130">
        <f t="shared" si="87"/>
        <v>0</v>
      </c>
      <c r="AZ70" s="130">
        <f t="shared" si="87"/>
        <v>0</v>
      </c>
      <c r="BA70" s="130">
        <f t="shared" si="87"/>
        <v>0</v>
      </c>
      <c r="BB70" s="130">
        <f t="shared" si="87"/>
        <v>0</v>
      </c>
      <c r="BC70" s="130">
        <f t="shared" si="87"/>
        <v>0</v>
      </c>
      <c r="BD70" s="130">
        <f t="shared" si="87"/>
        <v>0</v>
      </c>
      <c r="BE70" s="130">
        <f t="shared" si="87"/>
        <v>0</v>
      </c>
      <c r="BF70" s="130">
        <f t="shared" si="87"/>
        <v>0</v>
      </c>
      <c r="BG70" s="130">
        <f t="shared" si="87"/>
        <v>0</v>
      </c>
      <c r="BH70" s="130">
        <f t="shared" si="87"/>
        <v>0</v>
      </c>
      <c r="BI70" s="130">
        <f t="shared" si="87"/>
        <v>0</v>
      </c>
      <c r="BJ70" s="130">
        <f t="shared" si="87"/>
        <v>0</v>
      </c>
      <c r="BK70" s="130">
        <f t="shared" si="87"/>
        <v>0</v>
      </c>
      <c r="BL70" s="130">
        <f t="shared" si="87"/>
        <v>0</v>
      </c>
      <c r="BM70" s="130">
        <f t="shared" si="87"/>
        <v>0</v>
      </c>
      <c r="BN70" s="130">
        <f t="shared" si="87"/>
        <v>0</v>
      </c>
      <c r="BO70" s="130">
        <f t="shared" si="87"/>
        <v>0</v>
      </c>
      <c r="BP70" s="130">
        <f t="shared" si="87"/>
        <v>0</v>
      </c>
      <c r="BQ70" s="130">
        <f t="shared" si="87"/>
        <v>0</v>
      </c>
    </row>
    <row r="71" spans="1:69">
      <c r="A71" s="132"/>
      <c r="B71" s="133" t="s">
        <v>254</v>
      </c>
      <c r="C71" s="133">
        <f>C14/1.09</f>
        <v>45748.450458715597</v>
      </c>
      <c r="D71" s="133">
        <f t="shared" si="83"/>
        <v>0</v>
      </c>
      <c r="E71" s="133">
        <f t="shared" si="83"/>
        <v>0</v>
      </c>
      <c r="F71" s="133">
        <f t="shared" si="83"/>
        <v>0</v>
      </c>
      <c r="G71" s="133">
        <f t="shared" si="83"/>
        <v>0</v>
      </c>
      <c r="H71" s="133">
        <f t="shared" si="83"/>
        <v>0</v>
      </c>
      <c r="I71" s="133">
        <f t="shared" si="83"/>
        <v>0</v>
      </c>
      <c r="J71" s="133">
        <f>J14/1.09</f>
        <v>0</v>
      </c>
      <c r="K71" s="133">
        <f t="shared" ref="K71:AS71" si="88">K14/1.09</f>
        <v>0</v>
      </c>
      <c r="L71" s="133">
        <f t="shared" si="88"/>
        <v>0</v>
      </c>
      <c r="M71" s="133">
        <f t="shared" si="88"/>
        <v>0</v>
      </c>
      <c r="N71" s="133">
        <f t="shared" si="88"/>
        <v>0</v>
      </c>
      <c r="O71" s="133">
        <f t="shared" si="88"/>
        <v>0</v>
      </c>
      <c r="P71" s="133">
        <f t="shared" si="88"/>
        <v>0</v>
      </c>
      <c r="Q71" s="133">
        <f t="shared" si="88"/>
        <v>0</v>
      </c>
      <c r="R71" s="133">
        <f t="shared" si="88"/>
        <v>0</v>
      </c>
      <c r="S71" s="133">
        <f t="shared" si="88"/>
        <v>0</v>
      </c>
      <c r="T71" s="133">
        <f t="shared" si="88"/>
        <v>0</v>
      </c>
      <c r="U71" s="133">
        <f t="shared" si="88"/>
        <v>0</v>
      </c>
      <c r="V71" s="133">
        <f t="shared" si="88"/>
        <v>0</v>
      </c>
      <c r="W71" s="133">
        <f t="shared" si="88"/>
        <v>0</v>
      </c>
      <c r="X71" s="133">
        <f t="shared" si="88"/>
        <v>0</v>
      </c>
      <c r="Y71" s="133">
        <f t="shared" si="88"/>
        <v>0</v>
      </c>
      <c r="Z71" s="133">
        <f t="shared" si="88"/>
        <v>0</v>
      </c>
      <c r="AA71" s="133">
        <f t="shared" si="85"/>
        <v>0</v>
      </c>
      <c r="AB71" s="133">
        <f t="shared" si="85"/>
        <v>0</v>
      </c>
      <c r="AC71" s="133">
        <f t="shared" si="85"/>
        <v>0</v>
      </c>
      <c r="AD71" s="133">
        <f t="shared" ref="AD71:AR71" si="89">AD14/1.09</f>
        <v>0</v>
      </c>
      <c r="AE71" s="133">
        <f t="shared" si="89"/>
        <v>0</v>
      </c>
      <c r="AF71" s="133">
        <f t="shared" si="89"/>
        <v>0</v>
      </c>
      <c r="AG71" s="133">
        <f t="shared" si="89"/>
        <v>7864.9541284403658</v>
      </c>
      <c r="AH71" s="133">
        <f t="shared" si="89"/>
        <v>2082.5688073394494</v>
      </c>
      <c r="AI71" s="133">
        <f t="shared" si="89"/>
        <v>4733.2568807339449</v>
      </c>
      <c r="AJ71" s="133">
        <f t="shared" si="89"/>
        <v>2649.0825688073392</v>
      </c>
      <c r="AK71" s="133">
        <f t="shared" si="89"/>
        <v>3178.899082568807</v>
      </c>
      <c r="AL71" s="133">
        <f t="shared" si="89"/>
        <v>3178.899082568807</v>
      </c>
      <c r="AM71" s="133">
        <f t="shared" si="89"/>
        <v>2128.440366972477</v>
      </c>
      <c r="AN71" s="133">
        <f t="shared" si="89"/>
        <v>2128.440366972477</v>
      </c>
      <c r="AO71" s="133">
        <f t="shared" si="89"/>
        <v>2132.110091743119</v>
      </c>
      <c r="AP71" s="133">
        <f t="shared" si="89"/>
        <v>2683.4862385321098</v>
      </c>
      <c r="AQ71" s="133">
        <f t="shared" si="89"/>
        <v>2683.4862385321098</v>
      </c>
      <c r="AR71" s="133">
        <f t="shared" si="89"/>
        <v>2683.4862385321098</v>
      </c>
      <c r="AS71" s="133">
        <f t="shared" si="88"/>
        <v>2683.4862385321098</v>
      </c>
      <c r="AT71" s="133">
        <f t="shared" ref="AT71:BQ71" si="90">AT14/1.09</f>
        <v>1610.0917431192659</v>
      </c>
      <c r="AU71" s="133">
        <f t="shared" si="90"/>
        <v>3327.7623853210971</v>
      </c>
      <c r="AV71" s="133">
        <f t="shared" si="90"/>
        <v>0</v>
      </c>
      <c r="AW71" s="133">
        <f t="shared" si="90"/>
        <v>0</v>
      </c>
      <c r="AX71" s="133">
        <f t="shared" si="90"/>
        <v>0</v>
      </c>
      <c r="AY71" s="133">
        <f t="shared" si="90"/>
        <v>0</v>
      </c>
      <c r="AZ71" s="133">
        <f t="shared" si="90"/>
        <v>0</v>
      </c>
      <c r="BA71" s="133">
        <f t="shared" si="90"/>
        <v>0</v>
      </c>
      <c r="BB71" s="133">
        <f t="shared" si="90"/>
        <v>0</v>
      </c>
      <c r="BC71" s="133">
        <f t="shared" si="90"/>
        <v>0</v>
      </c>
      <c r="BD71" s="133">
        <f t="shared" si="90"/>
        <v>0</v>
      </c>
      <c r="BE71" s="133">
        <f t="shared" si="90"/>
        <v>0</v>
      </c>
      <c r="BF71" s="133">
        <f t="shared" si="90"/>
        <v>0</v>
      </c>
      <c r="BG71" s="133">
        <f t="shared" si="90"/>
        <v>0</v>
      </c>
      <c r="BH71" s="133">
        <f t="shared" si="90"/>
        <v>0</v>
      </c>
      <c r="BI71" s="133">
        <f t="shared" si="90"/>
        <v>0</v>
      </c>
      <c r="BJ71" s="133">
        <f t="shared" si="90"/>
        <v>0</v>
      </c>
      <c r="BK71" s="133">
        <f t="shared" si="90"/>
        <v>0</v>
      </c>
      <c r="BL71" s="133">
        <f t="shared" si="90"/>
        <v>0</v>
      </c>
      <c r="BM71" s="133">
        <f t="shared" si="90"/>
        <v>0</v>
      </c>
      <c r="BN71" s="133">
        <f t="shared" si="90"/>
        <v>0</v>
      </c>
      <c r="BO71" s="133">
        <f t="shared" si="90"/>
        <v>0</v>
      </c>
      <c r="BP71" s="133">
        <f t="shared" si="90"/>
        <v>0</v>
      </c>
      <c r="BQ71" s="133">
        <f t="shared" si="90"/>
        <v>0</v>
      </c>
    </row>
    <row r="72" spans="1:69" s="126" customFormat="1" ht="13">
      <c r="A72" s="127" t="str">
        <f>A15</f>
        <v>人防车位</v>
      </c>
      <c r="B72" s="128" t="s">
        <v>255</v>
      </c>
      <c r="C72" s="129">
        <f t="shared" ref="C72:AS72" si="91">C15</f>
        <v>9409.4599999999991</v>
      </c>
      <c r="D72" s="130">
        <f t="shared" si="91"/>
        <v>0</v>
      </c>
      <c r="E72" s="130">
        <f t="shared" si="91"/>
        <v>0</v>
      </c>
      <c r="F72" s="130">
        <f t="shared" si="91"/>
        <v>0</v>
      </c>
      <c r="G72" s="130">
        <f t="shared" si="91"/>
        <v>0</v>
      </c>
      <c r="H72" s="130">
        <f t="shared" si="91"/>
        <v>0</v>
      </c>
      <c r="I72" s="130">
        <f t="shared" si="91"/>
        <v>0</v>
      </c>
      <c r="J72" s="130">
        <f t="shared" si="91"/>
        <v>0</v>
      </c>
      <c r="K72" s="130">
        <f t="shared" si="91"/>
        <v>0</v>
      </c>
      <c r="L72" s="130">
        <f t="shared" si="91"/>
        <v>0</v>
      </c>
      <c r="M72" s="130">
        <f t="shared" si="91"/>
        <v>0</v>
      </c>
      <c r="N72" s="130">
        <f t="shared" si="91"/>
        <v>0</v>
      </c>
      <c r="O72" s="130">
        <f t="shared" si="91"/>
        <v>0</v>
      </c>
      <c r="P72" s="130">
        <f t="shared" si="91"/>
        <v>0</v>
      </c>
      <c r="Q72" s="130">
        <f t="shared" si="91"/>
        <v>0</v>
      </c>
      <c r="R72" s="130">
        <f t="shared" si="91"/>
        <v>0</v>
      </c>
      <c r="S72" s="130">
        <f t="shared" si="91"/>
        <v>0</v>
      </c>
      <c r="T72" s="130">
        <f t="shared" si="91"/>
        <v>0</v>
      </c>
      <c r="U72" s="130">
        <f t="shared" si="91"/>
        <v>0</v>
      </c>
      <c r="V72" s="130">
        <f t="shared" si="91"/>
        <v>0</v>
      </c>
      <c r="W72" s="130">
        <f t="shared" si="91"/>
        <v>0</v>
      </c>
      <c r="X72" s="130">
        <f t="shared" si="91"/>
        <v>0</v>
      </c>
      <c r="Y72" s="130">
        <f t="shared" si="91"/>
        <v>0</v>
      </c>
      <c r="Z72" s="130">
        <f t="shared" si="91"/>
        <v>0</v>
      </c>
      <c r="AA72" s="130">
        <f t="shared" si="91"/>
        <v>0</v>
      </c>
      <c r="AB72" s="130">
        <f t="shared" si="91"/>
        <v>0</v>
      </c>
      <c r="AC72" s="130">
        <f t="shared" si="91"/>
        <v>0</v>
      </c>
      <c r="AD72" s="130">
        <f t="shared" ref="AD72:AR72" si="92">AD15</f>
        <v>0</v>
      </c>
      <c r="AE72" s="130">
        <f t="shared" si="92"/>
        <v>0</v>
      </c>
      <c r="AF72" s="130">
        <f t="shared" si="92"/>
        <v>0</v>
      </c>
      <c r="AG72" s="130">
        <f t="shared" si="92"/>
        <v>0</v>
      </c>
      <c r="AH72" s="130">
        <f t="shared" si="92"/>
        <v>0</v>
      </c>
      <c r="AI72" s="130">
        <f t="shared" si="92"/>
        <v>0</v>
      </c>
      <c r="AJ72" s="130">
        <f t="shared" si="92"/>
        <v>0</v>
      </c>
      <c r="AK72" s="130">
        <f t="shared" si="92"/>
        <v>0</v>
      </c>
      <c r="AL72" s="130">
        <f t="shared" si="92"/>
        <v>900</v>
      </c>
      <c r="AM72" s="130">
        <f t="shared" si="92"/>
        <v>300</v>
      </c>
      <c r="AN72" s="130">
        <f t="shared" si="92"/>
        <v>300</v>
      </c>
      <c r="AO72" s="130">
        <f t="shared" si="92"/>
        <v>300</v>
      </c>
      <c r="AP72" s="130">
        <f t="shared" si="92"/>
        <v>300</v>
      </c>
      <c r="AQ72" s="130">
        <f t="shared" si="92"/>
        <v>300</v>
      </c>
      <c r="AR72" s="130">
        <f t="shared" si="92"/>
        <v>300</v>
      </c>
      <c r="AS72" s="138">
        <f t="shared" si="91"/>
        <v>300</v>
      </c>
      <c r="AT72" s="138">
        <f t="shared" ref="AT72:BQ72" si="93">AT15</f>
        <v>300</v>
      </c>
      <c r="AU72" s="138">
        <f t="shared" si="93"/>
        <v>400</v>
      </c>
      <c r="AV72" s="138">
        <f t="shared" si="93"/>
        <v>100</v>
      </c>
      <c r="AW72" s="138">
        <f t="shared" si="93"/>
        <v>100</v>
      </c>
      <c r="AX72" s="138">
        <f t="shared" si="93"/>
        <v>450</v>
      </c>
      <c r="AY72" s="138">
        <f t="shared" si="93"/>
        <v>400</v>
      </c>
      <c r="AZ72" s="138">
        <f t="shared" si="93"/>
        <v>300</v>
      </c>
      <c r="BA72" s="138">
        <f t="shared" si="93"/>
        <v>300</v>
      </c>
      <c r="BB72" s="138">
        <f t="shared" si="93"/>
        <v>400</v>
      </c>
      <c r="BC72" s="138">
        <f t="shared" si="93"/>
        <v>400</v>
      </c>
      <c r="BD72" s="138">
        <f t="shared" si="93"/>
        <v>400</v>
      </c>
      <c r="BE72" s="138">
        <f t="shared" si="93"/>
        <v>1000</v>
      </c>
      <c r="BF72" s="138">
        <f t="shared" si="93"/>
        <v>1000</v>
      </c>
      <c r="BG72" s="138">
        <f t="shared" si="93"/>
        <v>859.45999999999913</v>
      </c>
      <c r="BH72" s="138">
        <f t="shared" si="93"/>
        <v>0</v>
      </c>
      <c r="BI72" s="138">
        <f t="shared" si="93"/>
        <v>0</v>
      </c>
      <c r="BJ72" s="138">
        <f t="shared" si="93"/>
        <v>0</v>
      </c>
      <c r="BK72" s="138">
        <f t="shared" si="93"/>
        <v>0</v>
      </c>
      <c r="BL72" s="138">
        <f t="shared" si="93"/>
        <v>0</v>
      </c>
      <c r="BM72" s="138">
        <f t="shared" si="93"/>
        <v>0</v>
      </c>
      <c r="BN72" s="138">
        <f t="shared" si="93"/>
        <v>0</v>
      </c>
      <c r="BO72" s="138">
        <f t="shared" si="93"/>
        <v>0</v>
      </c>
      <c r="BP72" s="138">
        <f t="shared" si="93"/>
        <v>0</v>
      </c>
      <c r="BQ72" s="138">
        <f t="shared" si="93"/>
        <v>0</v>
      </c>
    </row>
    <row r="73" spans="1:69" s="126" customFormat="1" ht="13">
      <c r="A73" s="127"/>
      <c r="B73" s="128" t="s">
        <v>2967</v>
      </c>
      <c r="C73" s="129">
        <f>C16/1.09</f>
        <v>1907.3394495412847</v>
      </c>
      <c r="D73" s="130">
        <f t="shared" ref="D73:M73" si="94">D16/1.11</f>
        <v>0</v>
      </c>
      <c r="E73" s="130">
        <f t="shared" si="94"/>
        <v>0</v>
      </c>
      <c r="F73" s="129">
        <f t="shared" si="94"/>
        <v>0</v>
      </c>
      <c r="G73" s="129">
        <f t="shared" si="94"/>
        <v>0</v>
      </c>
      <c r="H73" s="130">
        <f t="shared" si="94"/>
        <v>0</v>
      </c>
      <c r="I73" s="130">
        <f t="shared" si="94"/>
        <v>0</v>
      </c>
      <c r="J73" s="130">
        <f t="shared" si="94"/>
        <v>0</v>
      </c>
      <c r="K73" s="130">
        <f t="shared" si="94"/>
        <v>0</v>
      </c>
      <c r="L73" s="130">
        <f t="shared" si="94"/>
        <v>0</v>
      </c>
      <c r="M73" s="130">
        <f t="shared" si="94"/>
        <v>0</v>
      </c>
      <c r="N73" s="130">
        <f>N16/1.09</f>
        <v>0</v>
      </c>
      <c r="O73" s="130">
        <f t="shared" ref="O73:AC73" si="95">O16/1.09</f>
        <v>0</v>
      </c>
      <c r="P73" s="130">
        <f t="shared" si="95"/>
        <v>0</v>
      </c>
      <c r="Q73" s="130">
        <f t="shared" si="95"/>
        <v>0</v>
      </c>
      <c r="R73" s="130">
        <f t="shared" si="95"/>
        <v>0</v>
      </c>
      <c r="S73" s="130">
        <f t="shared" si="95"/>
        <v>0</v>
      </c>
      <c r="T73" s="130">
        <f t="shared" si="95"/>
        <v>0</v>
      </c>
      <c r="U73" s="130">
        <f t="shared" si="95"/>
        <v>0</v>
      </c>
      <c r="V73" s="130">
        <f t="shared" si="95"/>
        <v>0</v>
      </c>
      <c r="W73" s="130">
        <f t="shared" si="95"/>
        <v>0</v>
      </c>
      <c r="X73" s="130">
        <f t="shared" si="95"/>
        <v>0</v>
      </c>
      <c r="Y73" s="130">
        <f t="shared" si="95"/>
        <v>0</v>
      </c>
      <c r="Z73" s="130">
        <f t="shared" si="95"/>
        <v>0</v>
      </c>
      <c r="AA73" s="130">
        <f t="shared" si="95"/>
        <v>0</v>
      </c>
      <c r="AB73" s="130">
        <f t="shared" si="95"/>
        <v>0</v>
      </c>
      <c r="AC73" s="130">
        <f t="shared" si="95"/>
        <v>0</v>
      </c>
      <c r="AD73" s="130">
        <f t="shared" ref="AD73:AR73" si="96">AD16/1.09</f>
        <v>0</v>
      </c>
      <c r="AE73" s="130">
        <f t="shared" si="96"/>
        <v>0</v>
      </c>
      <c r="AF73" s="130">
        <f t="shared" si="96"/>
        <v>0</v>
      </c>
      <c r="AG73" s="130">
        <f t="shared" si="96"/>
        <v>0</v>
      </c>
      <c r="AH73" s="130">
        <f t="shared" si="96"/>
        <v>0</v>
      </c>
      <c r="AI73" s="130">
        <f t="shared" si="96"/>
        <v>0</v>
      </c>
      <c r="AJ73" s="130">
        <f t="shared" si="96"/>
        <v>0</v>
      </c>
      <c r="AK73" s="130">
        <f t="shared" si="96"/>
        <v>0</v>
      </c>
      <c r="AL73" s="130">
        <f t="shared" si="96"/>
        <v>1907.3394495412842</v>
      </c>
      <c r="AM73" s="130">
        <f t="shared" si="96"/>
        <v>1907.3394495412842</v>
      </c>
      <c r="AN73" s="130">
        <f t="shared" si="96"/>
        <v>1907.3394495412842</v>
      </c>
      <c r="AO73" s="130">
        <f t="shared" si="96"/>
        <v>1907.3394495412842</v>
      </c>
      <c r="AP73" s="130">
        <f t="shared" si="96"/>
        <v>1907.3394495412842</v>
      </c>
      <c r="AQ73" s="130">
        <f t="shared" si="96"/>
        <v>1907.3394495412842</v>
      </c>
      <c r="AR73" s="130">
        <f t="shared" si="96"/>
        <v>1907.3394495412842</v>
      </c>
      <c r="AS73" s="130">
        <f t="shared" ref="AS73:BQ73" si="97">AS16/1.11</f>
        <v>1872.9729729729729</v>
      </c>
      <c r="AT73" s="130">
        <f t="shared" si="97"/>
        <v>1872.9729729729729</v>
      </c>
      <c r="AU73" s="130">
        <f t="shared" si="97"/>
        <v>1872.9729729729729</v>
      </c>
      <c r="AV73" s="130">
        <f t="shared" si="97"/>
        <v>1872.9729729729729</v>
      </c>
      <c r="AW73" s="130">
        <f t="shared" si="97"/>
        <v>1872.9729729729729</v>
      </c>
      <c r="AX73" s="130">
        <f t="shared" si="97"/>
        <v>1872.9729729729729</v>
      </c>
      <c r="AY73" s="130">
        <f t="shared" si="97"/>
        <v>1872.9729729729729</v>
      </c>
      <c r="AZ73" s="130">
        <f t="shared" si="97"/>
        <v>1872.9729729729729</v>
      </c>
      <c r="BA73" s="130">
        <f t="shared" si="97"/>
        <v>1872.9729729729729</v>
      </c>
      <c r="BB73" s="130">
        <f t="shared" si="97"/>
        <v>1872.9729729729729</v>
      </c>
      <c r="BC73" s="130">
        <f t="shared" si="97"/>
        <v>1872.9729729729729</v>
      </c>
      <c r="BD73" s="130">
        <f t="shared" si="97"/>
        <v>1872.9729729729729</v>
      </c>
      <c r="BE73" s="130">
        <f t="shared" si="97"/>
        <v>1872.9729729729729</v>
      </c>
      <c r="BF73" s="130">
        <f t="shared" si="97"/>
        <v>1872.9729729729729</v>
      </c>
      <c r="BG73" s="130">
        <f t="shared" si="97"/>
        <v>1872.9729729729729</v>
      </c>
      <c r="BH73" s="130">
        <f t="shared" si="97"/>
        <v>0</v>
      </c>
      <c r="BI73" s="130">
        <f t="shared" si="97"/>
        <v>0</v>
      </c>
      <c r="BJ73" s="130">
        <f t="shared" si="97"/>
        <v>0</v>
      </c>
      <c r="BK73" s="130">
        <f t="shared" si="97"/>
        <v>0</v>
      </c>
      <c r="BL73" s="130">
        <f t="shared" si="97"/>
        <v>0</v>
      </c>
      <c r="BM73" s="130">
        <f t="shared" si="97"/>
        <v>0</v>
      </c>
      <c r="BN73" s="130">
        <f t="shared" si="97"/>
        <v>0</v>
      </c>
      <c r="BO73" s="130">
        <f t="shared" si="97"/>
        <v>0</v>
      </c>
      <c r="BP73" s="130">
        <f t="shared" si="97"/>
        <v>0</v>
      </c>
      <c r="BQ73" s="130">
        <f t="shared" si="97"/>
        <v>0</v>
      </c>
    </row>
    <row r="74" spans="1:69">
      <c r="A74" s="132"/>
      <c r="B74" s="133" t="s">
        <v>254</v>
      </c>
      <c r="C74" s="133">
        <f>C17/1.09</f>
        <v>1794.7034256880734</v>
      </c>
      <c r="D74" s="133">
        <f t="shared" ref="D74:M74" si="98">D17/1.11</f>
        <v>0</v>
      </c>
      <c r="E74" s="133">
        <f t="shared" si="98"/>
        <v>0</v>
      </c>
      <c r="F74" s="133">
        <f t="shared" si="98"/>
        <v>0</v>
      </c>
      <c r="G74" s="133">
        <f t="shared" si="98"/>
        <v>0</v>
      </c>
      <c r="H74" s="133">
        <f t="shared" si="98"/>
        <v>0</v>
      </c>
      <c r="I74" s="133">
        <f t="shared" si="98"/>
        <v>0</v>
      </c>
      <c r="J74" s="133">
        <f t="shared" si="98"/>
        <v>0</v>
      </c>
      <c r="K74" s="133">
        <f t="shared" si="98"/>
        <v>0</v>
      </c>
      <c r="L74" s="133">
        <f t="shared" si="98"/>
        <v>0</v>
      </c>
      <c r="M74" s="133">
        <f t="shared" si="98"/>
        <v>0</v>
      </c>
      <c r="N74" s="133">
        <f>N17/1.09</f>
        <v>0</v>
      </c>
      <c r="O74" s="133">
        <f t="shared" ref="O74:AC74" si="99">O17/1.09</f>
        <v>0</v>
      </c>
      <c r="P74" s="133">
        <f t="shared" si="99"/>
        <v>0</v>
      </c>
      <c r="Q74" s="133">
        <f t="shared" si="99"/>
        <v>0</v>
      </c>
      <c r="R74" s="133">
        <f t="shared" si="99"/>
        <v>0</v>
      </c>
      <c r="S74" s="133">
        <f t="shared" si="99"/>
        <v>0</v>
      </c>
      <c r="T74" s="133">
        <f t="shared" si="99"/>
        <v>0</v>
      </c>
      <c r="U74" s="133">
        <f t="shared" si="99"/>
        <v>0</v>
      </c>
      <c r="V74" s="133">
        <f t="shared" si="99"/>
        <v>0</v>
      </c>
      <c r="W74" s="133">
        <f t="shared" si="99"/>
        <v>0</v>
      </c>
      <c r="X74" s="133">
        <f t="shared" si="99"/>
        <v>0</v>
      </c>
      <c r="Y74" s="133">
        <f t="shared" si="99"/>
        <v>0</v>
      </c>
      <c r="Z74" s="133">
        <f t="shared" si="99"/>
        <v>0</v>
      </c>
      <c r="AA74" s="133">
        <f t="shared" si="99"/>
        <v>0</v>
      </c>
      <c r="AB74" s="133">
        <f t="shared" si="99"/>
        <v>0</v>
      </c>
      <c r="AC74" s="133">
        <f t="shared" si="99"/>
        <v>0</v>
      </c>
      <c r="AD74" s="133">
        <f t="shared" ref="AD74:BQ74" si="100">AD17/1.09</f>
        <v>0</v>
      </c>
      <c r="AE74" s="133">
        <f t="shared" si="100"/>
        <v>0</v>
      </c>
      <c r="AF74" s="133">
        <f t="shared" si="100"/>
        <v>0</v>
      </c>
      <c r="AG74" s="133">
        <f t="shared" si="100"/>
        <v>0</v>
      </c>
      <c r="AH74" s="133">
        <f t="shared" si="100"/>
        <v>0</v>
      </c>
      <c r="AI74" s="133">
        <f t="shared" si="100"/>
        <v>0</v>
      </c>
      <c r="AJ74" s="133">
        <f t="shared" si="100"/>
        <v>0</v>
      </c>
      <c r="AK74" s="133">
        <f t="shared" si="100"/>
        <v>0</v>
      </c>
      <c r="AL74" s="133">
        <f t="shared" si="100"/>
        <v>171.66055045871559</v>
      </c>
      <c r="AM74" s="133">
        <f t="shared" si="100"/>
        <v>57.220183486238525</v>
      </c>
      <c r="AN74" s="133">
        <f t="shared" si="100"/>
        <v>57.220183486238525</v>
      </c>
      <c r="AO74" s="133">
        <f t="shared" si="100"/>
        <v>57.220183486238525</v>
      </c>
      <c r="AP74" s="133">
        <f t="shared" si="100"/>
        <v>57.220183486238525</v>
      </c>
      <c r="AQ74" s="133">
        <f t="shared" si="100"/>
        <v>57.220183486238525</v>
      </c>
      <c r="AR74" s="133">
        <f t="shared" si="100"/>
        <v>57.220183486238525</v>
      </c>
      <c r="AS74" s="133">
        <f t="shared" si="100"/>
        <v>57.220183486238525</v>
      </c>
      <c r="AT74" s="133">
        <f t="shared" si="100"/>
        <v>57.220183486238525</v>
      </c>
      <c r="AU74" s="133">
        <f t="shared" si="100"/>
        <v>76.293577981651367</v>
      </c>
      <c r="AV74" s="133">
        <f t="shared" si="100"/>
        <v>19.073394495412842</v>
      </c>
      <c r="AW74" s="133">
        <f t="shared" si="100"/>
        <v>19.073394495412842</v>
      </c>
      <c r="AX74" s="133">
        <f t="shared" si="100"/>
        <v>85.830275229357795</v>
      </c>
      <c r="AY74" s="133">
        <f t="shared" si="100"/>
        <v>76.293577981651367</v>
      </c>
      <c r="AZ74" s="133">
        <f t="shared" si="100"/>
        <v>57.220183486238525</v>
      </c>
      <c r="BA74" s="133">
        <f t="shared" si="100"/>
        <v>57.220183486238525</v>
      </c>
      <c r="BB74" s="133">
        <f t="shared" si="100"/>
        <v>76.293577981651367</v>
      </c>
      <c r="BC74" s="133">
        <f t="shared" si="100"/>
        <v>76.293577981651367</v>
      </c>
      <c r="BD74" s="133">
        <f t="shared" si="100"/>
        <v>76.293577981651367</v>
      </c>
      <c r="BE74" s="133">
        <f t="shared" si="100"/>
        <v>190.73394495412842</v>
      </c>
      <c r="BF74" s="133">
        <f t="shared" si="100"/>
        <v>190.73394495412842</v>
      </c>
      <c r="BG74" s="133">
        <f t="shared" si="100"/>
        <v>163.92819633027506</v>
      </c>
      <c r="BH74" s="133">
        <f t="shared" si="100"/>
        <v>0</v>
      </c>
      <c r="BI74" s="133">
        <f t="shared" si="100"/>
        <v>0</v>
      </c>
      <c r="BJ74" s="133">
        <f t="shared" si="100"/>
        <v>0</v>
      </c>
      <c r="BK74" s="133">
        <f t="shared" si="100"/>
        <v>0</v>
      </c>
      <c r="BL74" s="133">
        <f t="shared" si="100"/>
        <v>0</v>
      </c>
      <c r="BM74" s="133">
        <f t="shared" si="100"/>
        <v>0</v>
      </c>
      <c r="BN74" s="133">
        <f t="shared" si="100"/>
        <v>0</v>
      </c>
      <c r="BO74" s="133">
        <f t="shared" si="100"/>
        <v>0</v>
      </c>
      <c r="BP74" s="133">
        <f t="shared" si="100"/>
        <v>0</v>
      </c>
      <c r="BQ74" s="133">
        <f t="shared" si="100"/>
        <v>0</v>
      </c>
    </row>
    <row r="75" spans="1:69">
      <c r="A75" s="127" t="str">
        <f>A18</f>
        <v>人才公寓26F（可售、T7）</v>
      </c>
      <c r="B75" s="128" t="s">
        <v>255</v>
      </c>
      <c r="C75" s="129">
        <f t="shared" ref="C75:AS75" si="101">C18</f>
        <v>0</v>
      </c>
      <c r="D75" s="130">
        <f t="shared" si="101"/>
        <v>0</v>
      </c>
      <c r="E75" s="130">
        <f t="shared" si="101"/>
        <v>0</v>
      </c>
      <c r="F75" s="130">
        <f t="shared" si="101"/>
        <v>0</v>
      </c>
      <c r="G75" s="130">
        <f t="shared" si="101"/>
        <v>0</v>
      </c>
      <c r="H75" s="130">
        <f t="shared" si="101"/>
        <v>0</v>
      </c>
      <c r="I75" s="130">
        <f t="shared" si="101"/>
        <v>0</v>
      </c>
      <c r="J75" s="130">
        <f t="shared" si="101"/>
        <v>0</v>
      </c>
      <c r="K75" s="130">
        <f t="shared" si="101"/>
        <v>0</v>
      </c>
      <c r="L75" s="130">
        <f t="shared" si="101"/>
        <v>0</v>
      </c>
      <c r="M75" s="130">
        <f t="shared" si="101"/>
        <v>0</v>
      </c>
      <c r="N75" s="130">
        <f t="shared" si="101"/>
        <v>0</v>
      </c>
      <c r="O75" s="130">
        <f t="shared" si="101"/>
        <v>0</v>
      </c>
      <c r="P75" s="130">
        <f t="shared" si="101"/>
        <v>0</v>
      </c>
      <c r="Q75" s="130">
        <f t="shared" si="101"/>
        <v>0</v>
      </c>
      <c r="R75" s="130">
        <f t="shared" si="101"/>
        <v>0</v>
      </c>
      <c r="S75" s="130">
        <f t="shared" si="101"/>
        <v>0</v>
      </c>
      <c r="T75" s="130">
        <f t="shared" si="101"/>
        <v>0</v>
      </c>
      <c r="U75" s="130">
        <f t="shared" si="101"/>
        <v>0</v>
      </c>
      <c r="V75" s="130">
        <f t="shared" si="101"/>
        <v>0</v>
      </c>
      <c r="W75" s="130">
        <f t="shared" si="101"/>
        <v>0</v>
      </c>
      <c r="X75" s="130">
        <f t="shared" si="101"/>
        <v>0</v>
      </c>
      <c r="Y75" s="130">
        <f t="shared" si="101"/>
        <v>0</v>
      </c>
      <c r="Z75" s="130">
        <f t="shared" si="101"/>
        <v>0</v>
      </c>
      <c r="AA75" s="130">
        <f>AA18</f>
        <v>0</v>
      </c>
      <c r="AB75" s="130">
        <f>AB18</f>
        <v>0</v>
      </c>
      <c r="AC75" s="130">
        <f>AC18</f>
        <v>0</v>
      </c>
      <c r="AD75" s="130">
        <f t="shared" ref="AD75:AR75" si="102">AD18</f>
        <v>0</v>
      </c>
      <c r="AE75" s="130">
        <f>AE18</f>
        <v>0</v>
      </c>
      <c r="AF75" s="130">
        <f>AF18</f>
        <v>0</v>
      </c>
      <c r="AG75" s="130">
        <f t="shared" si="102"/>
        <v>0</v>
      </c>
      <c r="AH75" s="130">
        <f t="shared" si="102"/>
        <v>0</v>
      </c>
      <c r="AI75" s="130">
        <f t="shared" si="102"/>
        <v>0</v>
      </c>
      <c r="AJ75" s="130">
        <f t="shared" si="102"/>
        <v>0</v>
      </c>
      <c r="AK75" s="130">
        <f t="shared" si="102"/>
        <v>0</v>
      </c>
      <c r="AL75" s="130">
        <f t="shared" si="102"/>
        <v>0</v>
      </c>
      <c r="AM75" s="130">
        <f t="shared" si="102"/>
        <v>0</v>
      </c>
      <c r="AN75" s="130">
        <f t="shared" si="102"/>
        <v>0</v>
      </c>
      <c r="AO75" s="130">
        <f t="shared" si="102"/>
        <v>0</v>
      </c>
      <c r="AP75" s="130">
        <f t="shared" si="102"/>
        <v>0</v>
      </c>
      <c r="AQ75" s="130">
        <f t="shared" si="102"/>
        <v>0</v>
      </c>
      <c r="AR75" s="130">
        <f t="shared" si="102"/>
        <v>0</v>
      </c>
      <c r="AS75" s="138">
        <f t="shared" si="101"/>
        <v>0</v>
      </c>
      <c r="AT75" s="138">
        <f t="shared" ref="AT75:BQ75" si="103">AT18</f>
        <v>0</v>
      </c>
      <c r="AU75" s="138">
        <f t="shared" si="103"/>
        <v>0</v>
      </c>
      <c r="AV75" s="138">
        <f t="shared" si="103"/>
        <v>0</v>
      </c>
      <c r="AW75" s="138">
        <f t="shared" si="103"/>
        <v>0</v>
      </c>
      <c r="AX75" s="138">
        <f t="shared" si="103"/>
        <v>0</v>
      </c>
      <c r="AY75" s="138">
        <f t="shared" si="103"/>
        <v>0</v>
      </c>
      <c r="AZ75" s="138">
        <f t="shared" si="103"/>
        <v>0</v>
      </c>
      <c r="BA75" s="138">
        <f t="shared" si="103"/>
        <v>0</v>
      </c>
      <c r="BB75" s="138">
        <f t="shared" si="103"/>
        <v>0</v>
      </c>
      <c r="BC75" s="138">
        <f t="shared" si="103"/>
        <v>0</v>
      </c>
      <c r="BD75" s="138">
        <f t="shared" si="103"/>
        <v>0</v>
      </c>
      <c r="BE75" s="138">
        <f t="shared" si="103"/>
        <v>0</v>
      </c>
      <c r="BF75" s="138">
        <f t="shared" si="103"/>
        <v>0</v>
      </c>
      <c r="BG75" s="138">
        <f t="shared" si="103"/>
        <v>0</v>
      </c>
      <c r="BH75" s="138">
        <f t="shared" si="103"/>
        <v>0</v>
      </c>
      <c r="BI75" s="138">
        <f t="shared" si="103"/>
        <v>0</v>
      </c>
      <c r="BJ75" s="138">
        <f t="shared" si="103"/>
        <v>0</v>
      </c>
      <c r="BK75" s="138">
        <f t="shared" si="103"/>
        <v>0</v>
      </c>
      <c r="BL75" s="138">
        <f t="shared" si="103"/>
        <v>0</v>
      </c>
      <c r="BM75" s="138">
        <f t="shared" si="103"/>
        <v>0</v>
      </c>
      <c r="BN75" s="138">
        <f t="shared" si="103"/>
        <v>0</v>
      </c>
      <c r="BO75" s="138">
        <f t="shared" si="103"/>
        <v>0</v>
      </c>
      <c r="BP75" s="138">
        <f t="shared" si="103"/>
        <v>0</v>
      </c>
      <c r="BQ75" s="138">
        <f t="shared" si="103"/>
        <v>0</v>
      </c>
    </row>
    <row r="76" spans="1:69">
      <c r="A76" s="127"/>
      <c r="B76" s="128" t="s">
        <v>2967</v>
      </c>
      <c r="C76" s="129">
        <f>C19/1.09</f>
        <v>0</v>
      </c>
      <c r="D76" s="130">
        <f>D19/1.09</f>
        <v>0</v>
      </c>
      <c r="E76" s="130">
        <f t="shared" ref="E76:T76" si="104">E19/1.09</f>
        <v>0</v>
      </c>
      <c r="F76" s="130">
        <f t="shared" si="104"/>
        <v>0</v>
      </c>
      <c r="G76" s="130">
        <f t="shared" si="104"/>
        <v>0</v>
      </c>
      <c r="H76" s="130">
        <f t="shared" si="104"/>
        <v>0</v>
      </c>
      <c r="I76" s="130">
        <f t="shared" si="104"/>
        <v>0</v>
      </c>
      <c r="J76" s="130">
        <f t="shared" si="104"/>
        <v>0</v>
      </c>
      <c r="K76" s="130">
        <f t="shared" si="104"/>
        <v>0</v>
      </c>
      <c r="L76" s="130">
        <f t="shared" si="104"/>
        <v>0</v>
      </c>
      <c r="M76" s="130">
        <f t="shared" si="104"/>
        <v>0</v>
      </c>
      <c r="N76" s="130">
        <f t="shared" si="104"/>
        <v>0</v>
      </c>
      <c r="O76" s="130">
        <f t="shared" si="104"/>
        <v>0</v>
      </c>
      <c r="P76" s="130">
        <f t="shared" si="104"/>
        <v>0</v>
      </c>
      <c r="Q76" s="130">
        <f t="shared" si="104"/>
        <v>0</v>
      </c>
      <c r="R76" s="130">
        <f t="shared" si="104"/>
        <v>0</v>
      </c>
      <c r="S76" s="130">
        <f t="shared" si="104"/>
        <v>0</v>
      </c>
      <c r="T76" s="130">
        <f t="shared" si="104"/>
        <v>0</v>
      </c>
      <c r="U76" s="130">
        <f t="shared" ref="U76:AC76" si="105">U19/1.09</f>
        <v>0</v>
      </c>
      <c r="V76" s="130">
        <f t="shared" si="105"/>
        <v>0</v>
      </c>
      <c r="W76" s="130">
        <f t="shared" si="105"/>
        <v>0</v>
      </c>
      <c r="X76" s="130">
        <f t="shared" si="105"/>
        <v>0</v>
      </c>
      <c r="Y76" s="130">
        <f t="shared" si="105"/>
        <v>0</v>
      </c>
      <c r="Z76" s="130">
        <f t="shared" si="105"/>
        <v>0</v>
      </c>
      <c r="AA76" s="130">
        <f t="shared" si="105"/>
        <v>0</v>
      </c>
      <c r="AB76" s="130">
        <f t="shared" si="105"/>
        <v>0</v>
      </c>
      <c r="AC76" s="130">
        <f t="shared" si="105"/>
        <v>0</v>
      </c>
      <c r="AD76" s="130">
        <f t="shared" ref="AD76:AR76" si="106">AD19/1.09</f>
        <v>0</v>
      </c>
      <c r="AE76" s="130">
        <f>AE19/1.09</f>
        <v>0</v>
      </c>
      <c r="AF76" s="130">
        <f>AF19/1.09</f>
        <v>0</v>
      </c>
      <c r="AG76" s="130">
        <f t="shared" si="106"/>
        <v>0</v>
      </c>
      <c r="AH76" s="130">
        <f t="shared" si="106"/>
        <v>0</v>
      </c>
      <c r="AI76" s="130">
        <f t="shared" si="106"/>
        <v>0</v>
      </c>
      <c r="AJ76" s="130">
        <f t="shared" si="106"/>
        <v>0</v>
      </c>
      <c r="AK76" s="130">
        <f t="shared" si="106"/>
        <v>0</v>
      </c>
      <c r="AL76" s="130">
        <f t="shared" si="106"/>
        <v>0</v>
      </c>
      <c r="AM76" s="130">
        <f t="shared" si="106"/>
        <v>0</v>
      </c>
      <c r="AN76" s="130">
        <f t="shared" si="106"/>
        <v>0</v>
      </c>
      <c r="AO76" s="130">
        <f t="shared" si="106"/>
        <v>0</v>
      </c>
      <c r="AP76" s="130">
        <f t="shared" si="106"/>
        <v>0</v>
      </c>
      <c r="AQ76" s="130">
        <f t="shared" si="106"/>
        <v>0</v>
      </c>
      <c r="AR76" s="130">
        <f t="shared" si="106"/>
        <v>0</v>
      </c>
      <c r="AS76" s="130">
        <f>AS19/1.09</f>
        <v>0</v>
      </c>
      <c r="AT76" s="130">
        <f t="shared" ref="AT76:BQ76" si="107">AT19/1.09</f>
        <v>0</v>
      </c>
      <c r="AU76" s="130">
        <f t="shared" si="107"/>
        <v>0</v>
      </c>
      <c r="AV76" s="130">
        <f t="shared" si="107"/>
        <v>0</v>
      </c>
      <c r="AW76" s="130">
        <f t="shared" si="107"/>
        <v>0</v>
      </c>
      <c r="AX76" s="130">
        <f t="shared" si="107"/>
        <v>0</v>
      </c>
      <c r="AY76" s="130">
        <f t="shared" si="107"/>
        <v>0</v>
      </c>
      <c r="AZ76" s="130">
        <f t="shared" si="107"/>
        <v>0</v>
      </c>
      <c r="BA76" s="130">
        <f t="shared" si="107"/>
        <v>0</v>
      </c>
      <c r="BB76" s="130">
        <f t="shared" si="107"/>
        <v>0</v>
      </c>
      <c r="BC76" s="130">
        <f t="shared" si="107"/>
        <v>0</v>
      </c>
      <c r="BD76" s="130">
        <f t="shared" si="107"/>
        <v>0</v>
      </c>
      <c r="BE76" s="130">
        <f t="shared" si="107"/>
        <v>0</v>
      </c>
      <c r="BF76" s="130">
        <f t="shared" si="107"/>
        <v>0</v>
      </c>
      <c r="BG76" s="130">
        <f t="shared" si="107"/>
        <v>0</v>
      </c>
      <c r="BH76" s="130">
        <f t="shared" si="107"/>
        <v>0</v>
      </c>
      <c r="BI76" s="130">
        <f t="shared" si="107"/>
        <v>0</v>
      </c>
      <c r="BJ76" s="130">
        <f t="shared" si="107"/>
        <v>0</v>
      </c>
      <c r="BK76" s="130">
        <f t="shared" si="107"/>
        <v>0</v>
      </c>
      <c r="BL76" s="130">
        <f t="shared" si="107"/>
        <v>0</v>
      </c>
      <c r="BM76" s="130">
        <f t="shared" si="107"/>
        <v>0</v>
      </c>
      <c r="BN76" s="130">
        <f t="shared" si="107"/>
        <v>0</v>
      </c>
      <c r="BO76" s="130">
        <f t="shared" si="107"/>
        <v>0</v>
      </c>
      <c r="BP76" s="130">
        <f t="shared" si="107"/>
        <v>0</v>
      </c>
      <c r="BQ76" s="130">
        <f t="shared" si="107"/>
        <v>0</v>
      </c>
    </row>
    <row r="77" spans="1:69">
      <c r="A77" s="132"/>
      <c r="B77" s="133" t="s">
        <v>254</v>
      </c>
      <c r="C77" s="133">
        <f>C20/1.09</f>
        <v>0</v>
      </c>
      <c r="D77" s="133">
        <f>D20/1.09</f>
        <v>0</v>
      </c>
      <c r="E77" s="133">
        <f t="shared" ref="E77:AS77" si="108">E20/1.09</f>
        <v>0</v>
      </c>
      <c r="F77" s="133">
        <f t="shared" si="108"/>
        <v>0</v>
      </c>
      <c r="G77" s="133">
        <f t="shared" si="108"/>
        <v>0</v>
      </c>
      <c r="H77" s="133">
        <f t="shared" si="108"/>
        <v>0</v>
      </c>
      <c r="I77" s="133">
        <f t="shared" si="108"/>
        <v>0</v>
      </c>
      <c r="J77" s="133">
        <f t="shared" si="108"/>
        <v>0</v>
      </c>
      <c r="K77" s="133">
        <f t="shared" si="108"/>
        <v>0</v>
      </c>
      <c r="L77" s="133">
        <f t="shared" si="108"/>
        <v>0</v>
      </c>
      <c r="M77" s="133">
        <f t="shared" si="108"/>
        <v>0</v>
      </c>
      <c r="N77" s="133">
        <f t="shared" si="108"/>
        <v>0</v>
      </c>
      <c r="O77" s="133">
        <f t="shared" si="108"/>
        <v>0</v>
      </c>
      <c r="P77" s="133">
        <f t="shared" si="108"/>
        <v>0</v>
      </c>
      <c r="Q77" s="133">
        <f t="shared" si="108"/>
        <v>0</v>
      </c>
      <c r="R77" s="133">
        <f t="shared" si="108"/>
        <v>0</v>
      </c>
      <c r="S77" s="133">
        <f t="shared" si="108"/>
        <v>0</v>
      </c>
      <c r="T77" s="133">
        <f t="shared" si="108"/>
        <v>0</v>
      </c>
      <c r="U77" s="133">
        <f t="shared" si="108"/>
        <v>0</v>
      </c>
      <c r="V77" s="133">
        <f t="shared" si="108"/>
        <v>0</v>
      </c>
      <c r="W77" s="133">
        <f t="shared" si="108"/>
        <v>0</v>
      </c>
      <c r="X77" s="133">
        <f t="shared" si="108"/>
        <v>0</v>
      </c>
      <c r="Y77" s="133">
        <f t="shared" si="108"/>
        <v>0</v>
      </c>
      <c r="Z77" s="133">
        <f t="shared" si="108"/>
        <v>0</v>
      </c>
      <c r="AA77" s="133">
        <f>AA20/1.09</f>
        <v>0</v>
      </c>
      <c r="AB77" s="133">
        <f>AB20/1.09</f>
        <v>0</v>
      </c>
      <c r="AC77" s="133">
        <f>AC20/1.09</f>
        <v>0</v>
      </c>
      <c r="AD77" s="133">
        <f t="shared" ref="AD77:AR77" si="109">AD20/1.09</f>
        <v>0</v>
      </c>
      <c r="AE77" s="133">
        <f t="shared" si="109"/>
        <v>0</v>
      </c>
      <c r="AF77" s="133">
        <f t="shared" si="109"/>
        <v>0</v>
      </c>
      <c r="AG77" s="133">
        <f t="shared" si="109"/>
        <v>0</v>
      </c>
      <c r="AH77" s="133">
        <f t="shared" si="109"/>
        <v>0</v>
      </c>
      <c r="AI77" s="133">
        <f t="shared" si="109"/>
        <v>0</v>
      </c>
      <c r="AJ77" s="133">
        <f t="shared" si="109"/>
        <v>0</v>
      </c>
      <c r="AK77" s="133">
        <f t="shared" si="109"/>
        <v>0</v>
      </c>
      <c r="AL77" s="133">
        <f t="shared" si="109"/>
        <v>0</v>
      </c>
      <c r="AM77" s="133">
        <f t="shared" si="109"/>
        <v>0</v>
      </c>
      <c r="AN77" s="133">
        <f t="shared" si="109"/>
        <v>0</v>
      </c>
      <c r="AO77" s="133">
        <f t="shared" si="109"/>
        <v>0</v>
      </c>
      <c r="AP77" s="133">
        <f t="shared" si="109"/>
        <v>0</v>
      </c>
      <c r="AQ77" s="133">
        <f t="shared" si="109"/>
        <v>0</v>
      </c>
      <c r="AR77" s="133">
        <f t="shared" si="109"/>
        <v>0</v>
      </c>
      <c r="AS77" s="133">
        <f t="shared" si="108"/>
        <v>0</v>
      </c>
      <c r="AT77" s="133">
        <f t="shared" ref="AT77:BQ77" si="110">AT20/1.09</f>
        <v>0</v>
      </c>
      <c r="AU77" s="133">
        <f t="shared" si="110"/>
        <v>0</v>
      </c>
      <c r="AV77" s="133">
        <f t="shared" si="110"/>
        <v>0</v>
      </c>
      <c r="AW77" s="133">
        <f t="shared" si="110"/>
        <v>0</v>
      </c>
      <c r="AX77" s="133">
        <f t="shared" si="110"/>
        <v>0</v>
      </c>
      <c r="AY77" s="133">
        <f t="shared" si="110"/>
        <v>0</v>
      </c>
      <c r="AZ77" s="133">
        <f t="shared" si="110"/>
        <v>0</v>
      </c>
      <c r="BA77" s="133">
        <f t="shared" si="110"/>
        <v>0</v>
      </c>
      <c r="BB77" s="133">
        <f t="shared" si="110"/>
        <v>0</v>
      </c>
      <c r="BC77" s="133">
        <f t="shared" si="110"/>
        <v>0</v>
      </c>
      <c r="BD77" s="133">
        <f t="shared" si="110"/>
        <v>0</v>
      </c>
      <c r="BE77" s="133">
        <f t="shared" si="110"/>
        <v>0</v>
      </c>
      <c r="BF77" s="133">
        <f t="shared" si="110"/>
        <v>0</v>
      </c>
      <c r="BG77" s="133">
        <f t="shared" si="110"/>
        <v>0</v>
      </c>
      <c r="BH77" s="133">
        <f t="shared" si="110"/>
        <v>0</v>
      </c>
      <c r="BI77" s="133">
        <f t="shared" si="110"/>
        <v>0</v>
      </c>
      <c r="BJ77" s="133">
        <f t="shared" si="110"/>
        <v>0</v>
      </c>
      <c r="BK77" s="133">
        <f t="shared" si="110"/>
        <v>0</v>
      </c>
      <c r="BL77" s="133">
        <f t="shared" si="110"/>
        <v>0</v>
      </c>
      <c r="BM77" s="133">
        <f t="shared" si="110"/>
        <v>0</v>
      </c>
      <c r="BN77" s="133">
        <f t="shared" si="110"/>
        <v>0</v>
      </c>
      <c r="BO77" s="133">
        <f t="shared" si="110"/>
        <v>0</v>
      </c>
      <c r="BP77" s="133">
        <f t="shared" si="110"/>
        <v>0</v>
      </c>
      <c r="BQ77" s="133">
        <f t="shared" si="110"/>
        <v>0</v>
      </c>
    </row>
    <row r="78" spans="1:69" s="126" customFormat="1" ht="13">
      <c r="A78" s="127" t="str">
        <f>A21</f>
        <v>小高层（8~11F）</v>
      </c>
      <c r="B78" s="128" t="s">
        <v>255</v>
      </c>
      <c r="C78" s="129">
        <f t="shared" ref="C78:AS78" si="111">C21</f>
        <v>59174.38</v>
      </c>
      <c r="D78" s="130">
        <f t="shared" si="111"/>
        <v>0</v>
      </c>
      <c r="E78" s="130">
        <f t="shared" si="111"/>
        <v>0</v>
      </c>
      <c r="F78" s="130">
        <f t="shared" si="111"/>
        <v>0</v>
      </c>
      <c r="G78" s="130">
        <f t="shared" si="111"/>
        <v>0</v>
      </c>
      <c r="H78" s="130">
        <f t="shared" si="111"/>
        <v>0</v>
      </c>
      <c r="I78" s="130">
        <f t="shared" si="111"/>
        <v>0</v>
      </c>
      <c r="J78" s="130">
        <f t="shared" si="111"/>
        <v>0</v>
      </c>
      <c r="K78" s="130">
        <f t="shared" si="111"/>
        <v>0</v>
      </c>
      <c r="L78" s="130">
        <f t="shared" si="111"/>
        <v>0</v>
      </c>
      <c r="M78" s="130">
        <f t="shared" si="111"/>
        <v>0</v>
      </c>
      <c r="N78" s="130">
        <f t="shared" si="111"/>
        <v>0</v>
      </c>
      <c r="O78" s="130">
        <f t="shared" si="111"/>
        <v>0</v>
      </c>
      <c r="P78" s="130">
        <f t="shared" si="111"/>
        <v>0</v>
      </c>
      <c r="Q78" s="130">
        <f t="shared" si="111"/>
        <v>0</v>
      </c>
      <c r="R78" s="130">
        <f t="shared" si="111"/>
        <v>0</v>
      </c>
      <c r="S78" s="130">
        <f t="shared" si="111"/>
        <v>0</v>
      </c>
      <c r="T78" s="138">
        <f t="shared" si="111"/>
        <v>0</v>
      </c>
      <c r="U78" s="130">
        <f t="shared" si="111"/>
        <v>0</v>
      </c>
      <c r="V78" s="130">
        <f t="shared" si="111"/>
        <v>0</v>
      </c>
      <c r="W78" s="130">
        <f t="shared" si="111"/>
        <v>0</v>
      </c>
      <c r="X78" s="130">
        <f t="shared" si="111"/>
        <v>0</v>
      </c>
      <c r="Y78" s="130">
        <f t="shared" si="111"/>
        <v>0</v>
      </c>
      <c r="Z78" s="130">
        <f t="shared" si="111"/>
        <v>0</v>
      </c>
      <c r="AA78" s="130">
        <f t="shared" si="111"/>
        <v>0</v>
      </c>
      <c r="AB78" s="130">
        <f t="shared" si="111"/>
        <v>0</v>
      </c>
      <c r="AC78" s="130">
        <f t="shared" si="111"/>
        <v>0</v>
      </c>
      <c r="AD78" s="130">
        <f t="shared" ref="AD78:AR78" si="112">AD21</f>
        <v>0</v>
      </c>
      <c r="AE78" s="130">
        <f t="shared" si="112"/>
        <v>0</v>
      </c>
      <c r="AF78" s="130">
        <f t="shared" si="112"/>
        <v>0</v>
      </c>
      <c r="AG78" s="130">
        <f t="shared" si="112"/>
        <v>9000</v>
      </c>
      <c r="AH78" s="130">
        <f t="shared" si="112"/>
        <v>2000</v>
      </c>
      <c r="AI78" s="130">
        <f t="shared" si="112"/>
        <v>3850</v>
      </c>
      <c r="AJ78" s="130">
        <f t="shared" si="112"/>
        <v>1000</v>
      </c>
      <c r="AK78" s="130">
        <f t="shared" si="112"/>
        <v>2000</v>
      </c>
      <c r="AL78" s="130">
        <f t="shared" si="112"/>
        <v>2000</v>
      </c>
      <c r="AM78" s="130">
        <f t="shared" si="112"/>
        <v>3000</v>
      </c>
      <c r="AN78" s="130">
        <f t="shared" si="112"/>
        <v>4000</v>
      </c>
      <c r="AO78" s="130">
        <f t="shared" si="112"/>
        <v>2500</v>
      </c>
      <c r="AP78" s="130">
        <f t="shared" si="112"/>
        <v>3000</v>
      </c>
      <c r="AQ78" s="130">
        <f t="shared" si="112"/>
        <v>2500</v>
      </c>
      <c r="AR78" s="130">
        <f t="shared" si="112"/>
        <v>2500</v>
      </c>
      <c r="AS78" s="138">
        <f t="shared" si="111"/>
        <v>4000</v>
      </c>
      <c r="AT78" s="138">
        <f t="shared" ref="AT78:BQ78" si="113">AT21</f>
        <v>3500</v>
      </c>
      <c r="AU78" s="138">
        <f t="shared" si="113"/>
        <v>2500</v>
      </c>
      <c r="AV78" s="138">
        <f t="shared" si="113"/>
        <v>5000</v>
      </c>
      <c r="AW78" s="138">
        <f t="shared" si="113"/>
        <v>2500</v>
      </c>
      <c r="AX78" s="138">
        <f t="shared" si="113"/>
        <v>4324.3799999999974</v>
      </c>
      <c r="AY78" s="138">
        <f t="shared" si="113"/>
        <v>0</v>
      </c>
      <c r="AZ78" s="138">
        <f t="shared" si="113"/>
        <v>0</v>
      </c>
      <c r="BA78" s="138">
        <f t="shared" si="113"/>
        <v>0</v>
      </c>
      <c r="BB78" s="138">
        <f t="shared" si="113"/>
        <v>0</v>
      </c>
      <c r="BC78" s="138">
        <f t="shared" si="113"/>
        <v>0</v>
      </c>
      <c r="BD78" s="138">
        <f t="shared" si="113"/>
        <v>0</v>
      </c>
      <c r="BE78" s="138">
        <f t="shared" si="113"/>
        <v>0</v>
      </c>
      <c r="BF78" s="138">
        <f t="shared" si="113"/>
        <v>0</v>
      </c>
      <c r="BG78" s="138">
        <f t="shared" si="113"/>
        <v>0</v>
      </c>
      <c r="BH78" s="138">
        <f t="shared" si="113"/>
        <v>0</v>
      </c>
      <c r="BI78" s="138">
        <f t="shared" si="113"/>
        <v>0</v>
      </c>
      <c r="BJ78" s="138">
        <f t="shared" si="113"/>
        <v>0</v>
      </c>
      <c r="BK78" s="138">
        <f t="shared" si="113"/>
        <v>0</v>
      </c>
      <c r="BL78" s="138">
        <f t="shared" si="113"/>
        <v>0</v>
      </c>
      <c r="BM78" s="138">
        <f t="shared" si="113"/>
        <v>0</v>
      </c>
      <c r="BN78" s="138">
        <f t="shared" si="113"/>
        <v>0</v>
      </c>
      <c r="BO78" s="138">
        <f t="shared" si="113"/>
        <v>0</v>
      </c>
      <c r="BP78" s="138">
        <f t="shared" si="113"/>
        <v>0</v>
      </c>
      <c r="BQ78" s="138">
        <f t="shared" si="113"/>
        <v>0</v>
      </c>
    </row>
    <row r="79" spans="1:69" s="126" customFormat="1" ht="13">
      <c r="A79" s="127"/>
      <c r="B79" s="128" t="s">
        <v>2967</v>
      </c>
      <c r="C79" s="129">
        <f>C22/1.09</f>
        <v>12248.038920860652</v>
      </c>
      <c r="D79" s="130">
        <f t="shared" ref="D79:Q80" si="114">D22/1.11</f>
        <v>0</v>
      </c>
      <c r="E79" s="130">
        <f t="shared" si="114"/>
        <v>0</v>
      </c>
      <c r="F79" s="130">
        <f t="shared" si="114"/>
        <v>0</v>
      </c>
      <c r="G79" s="130">
        <f t="shared" si="114"/>
        <v>0</v>
      </c>
      <c r="H79" s="130">
        <f t="shared" si="114"/>
        <v>0</v>
      </c>
      <c r="I79" s="130">
        <f t="shared" si="114"/>
        <v>0</v>
      </c>
      <c r="J79" s="130">
        <f t="shared" si="114"/>
        <v>0</v>
      </c>
      <c r="K79" s="130">
        <f t="shared" si="114"/>
        <v>0</v>
      </c>
      <c r="L79" s="130">
        <f t="shared" ref="L79:AB79" si="115">L22/1.11</f>
        <v>0</v>
      </c>
      <c r="M79" s="130">
        <f t="shared" si="115"/>
        <v>0</v>
      </c>
      <c r="N79" s="130">
        <f t="shared" si="115"/>
        <v>0</v>
      </c>
      <c r="O79" s="130">
        <f t="shared" si="115"/>
        <v>0</v>
      </c>
      <c r="P79" s="130">
        <f t="shared" si="115"/>
        <v>0</v>
      </c>
      <c r="Q79" s="130">
        <f t="shared" si="115"/>
        <v>0</v>
      </c>
      <c r="R79" s="130">
        <f t="shared" si="115"/>
        <v>0</v>
      </c>
      <c r="S79" s="130">
        <f t="shared" si="115"/>
        <v>0</v>
      </c>
      <c r="T79" s="130">
        <f t="shared" si="115"/>
        <v>0</v>
      </c>
      <c r="U79" s="130">
        <f t="shared" si="115"/>
        <v>0</v>
      </c>
      <c r="V79" s="130">
        <f t="shared" si="115"/>
        <v>0</v>
      </c>
      <c r="W79" s="130">
        <f t="shared" si="115"/>
        <v>0</v>
      </c>
      <c r="X79" s="130">
        <f t="shared" si="115"/>
        <v>0</v>
      </c>
      <c r="Y79" s="130">
        <f t="shared" si="115"/>
        <v>0</v>
      </c>
      <c r="Z79" s="130">
        <f t="shared" si="115"/>
        <v>0</v>
      </c>
      <c r="AA79" s="130">
        <f t="shared" si="115"/>
        <v>0</v>
      </c>
      <c r="AB79" s="130">
        <f t="shared" si="115"/>
        <v>0</v>
      </c>
      <c r="AC79" s="130">
        <f>AC22/1.09</f>
        <v>0</v>
      </c>
      <c r="AD79" s="130">
        <f t="shared" ref="AD79:AR79" si="116">AD22/1.09</f>
        <v>0</v>
      </c>
      <c r="AE79" s="130">
        <f t="shared" si="116"/>
        <v>0</v>
      </c>
      <c r="AF79" s="130">
        <f t="shared" si="116"/>
        <v>0</v>
      </c>
      <c r="AG79" s="130">
        <f t="shared" si="116"/>
        <v>11651.376146788991</v>
      </c>
      <c r="AH79" s="130">
        <f t="shared" si="116"/>
        <v>11926.605504587154</v>
      </c>
      <c r="AI79" s="130">
        <f t="shared" si="116"/>
        <v>11926.605504587154</v>
      </c>
      <c r="AJ79" s="130">
        <f t="shared" si="116"/>
        <v>12018.34862385321</v>
      </c>
      <c r="AK79" s="130">
        <f t="shared" si="116"/>
        <v>12018.34862385321</v>
      </c>
      <c r="AL79" s="130">
        <f t="shared" si="116"/>
        <v>12018.34862385321</v>
      </c>
      <c r="AM79" s="130">
        <f t="shared" si="116"/>
        <v>12201.83486238532</v>
      </c>
      <c r="AN79" s="130">
        <f t="shared" si="116"/>
        <v>12201.83486238532</v>
      </c>
      <c r="AO79" s="130">
        <f t="shared" si="116"/>
        <v>12201.83486238532</v>
      </c>
      <c r="AP79" s="130">
        <f t="shared" si="116"/>
        <v>12293.577981651375</v>
      </c>
      <c r="AQ79" s="130">
        <f t="shared" si="116"/>
        <v>12293.577981651375</v>
      </c>
      <c r="AR79" s="130">
        <f t="shared" si="116"/>
        <v>12293.577981651375</v>
      </c>
      <c r="AS79" s="130">
        <f>AS22/1.11</f>
        <v>12342.342342342341</v>
      </c>
      <c r="AT79" s="130">
        <f t="shared" ref="AT79:BQ79" si="117">AT22/1.11</f>
        <v>12342.342342342341</v>
      </c>
      <c r="AU79" s="130">
        <f t="shared" si="117"/>
        <v>12432.432432432432</v>
      </c>
      <c r="AV79" s="130">
        <f t="shared" si="117"/>
        <v>12432.432432432432</v>
      </c>
      <c r="AW79" s="130">
        <f t="shared" si="117"/>
        <v>12432.432432432432</v>
      </c>
      <c r="AX79" s="130">
        <f t="shared" si="117"/>
        <v>12468.468468468467</v>
      </c>
      <c r="AY79" s="130">
        <f t="shared" si="117"/>
        <v>0</v>
      </c>
      <c r="AZ79" s="130">
        <f t="shared" si="117"/>
        <v>0</v>
      </c>
      <c r="BA79" s="130">
        <f t="shared" si="117"/>
        <v>0</v>
      </c>
      <c r="BB79" s="130">
        <f t="shared" si="117"/>
        <v>0</v>
      </c>
      <c r="BC79" s="130">
        <f t="shared" si="117"/>
        <v>0</v>
      </c>
      <c r="BD79" s="130">
        <f t="shared" si="117"/>
        <v>0</v>
      </c>
      <c r="BE79" s="130">
        <f t="shared" si="117"/>
        <v>0</v>
      </c>
      <c r="BF79" s="130">
        <f t="shared" si="117"/>
        <v>0</v>
      </c>
      <c r="BG79" s="130">
        <f t="shared" si="117"/>
        <v>0</v>
      </c>
      <c r="BH79" s="130">
        <f t="shared" si="117"/>
        <v>0</v>
      </c>
      <c r="BI79" s="130">
        <f t="shared" si="117"/>
        <v>0</v>
      </c>
      <c r="BJ79" s="130">
        <f t="shared" si="117"/>
        <v>0</v>
      </c>
      <c r="BK79" s="130">
        <f t="shared" si="117"/>
        <v>0</v>
      </c>
      <c r="BL79" s="130">
        <f t="shared" si="117"/>
        <v>0</v>
      </c>
      <c r="BM79" s="130">
        <f t="shared" si="117"/>
        <v>0</v>
      </c>
      <c r="BN79" s="130">
        <f t="shared" si="117"/>
        <v>0</v>
      </c>
      <c r="BO79" s="130">
        <f t="shared" si="117"/>
        <v>0</v>
      </c>
      <c r="BP79" s="130">
        <f t="shared" si="117"/>
        <v>0</v>
      </c>
      <c r="BQ79" s="130">
        <f t="shared" si="117"/>
        <v>0</v>
      </c>
    </row>
    <row r="80" spans="1:69">
      <c r="A80" s="132"/>
      <c r="B80" s="133" t="s">
        <v>254</v>
      </c>
      <c r="C80" s="133">
        <f>C23/1.09</f>
        <v>72477.010935779806</v>
      </c>
      <c r="D80" s="133">
        <f t="shared" si="114"/>
        <v>0</v>
      </c>
      <c r="E80" s="133">
        <f t="shared" si="114"/>
        <v>0</v>
      </c>
      <c r="F80" s="133">
        <f t="shared" si="114"/>
        <v>0</v>
      </c>
      <c r="G80" s="133">
        <f t="shared" si="114"/>
        <v>0</v>
      </c>
      <c r="H80" s="133">
        <f t="shared" si="114"/>
        <v>0</v>
      </c>
      <c r="I80" s="133">
        <f t="shared" si="114"/>
        <v>0</v>
      </c>
      <c r="J80" s="133">
        <f t="shared" si="114"/>
        <v>0</v>
      </c>
      <c r="K80" s="133">
        <f t="shared" si="114"/>
        <v>0</v>
      </c>
      <c r="L80" s="133">
        <f t="shared" si="114"/>
        <v>0</v>
      </c>
      <c r="M80" s="133">
        <f t="shared" si="114"/>
        <v>0</v>
      </c>
      <c r="N80" s="133">
        <f t="shared" si="114"/>
        <v>0</v>
      </c>
      <c r="O80" s="133">
        <f t="shared" si="114"/>
        <v>0</v>
      </c>
      <c r="P80" s="133">
        <f t="shared" si="114"/>
        <v>0</v>
      </c>
      <c r="Q80" s="133">
        <f t="shared" si="114"/>
        <v>0</v>
      </c>
      <c r="R80" s="133">
        <f t="shared" ref="R80:AB80" si="118">R23/1.11</f>
        <v>0</v>
      </c>
      <c r="S80" s="133">
        <f t="shared" si="118"/>
        <v>0</v>
      </c>
      <c r="T80" s="133">
        <f t="shared" si="118"/>
        <v>0</v>
      </c>
      <c r="U80" s="133">
        <f t="shared" si="118"/>
        <v>0</v>
      </c>
      <c r="V80" s="133">
        <f t="shared" si="118"/>
        <v>0</v>
      </c>
      <c r="W80" s="133">
        <f t="shared" si="118"/>
        <v>0</v>
      </c>
      <c r="X80" s="133">
        <f t="shared" si="118"/>
        <v>0</v>
      </c>
      <c r="Y80" s="133">
        <f t="shared" si="118"/>
        <v>0</v>
      </c>
      <c r="Z80" s="133">
        <f t="shared" si="118"/>
        <v>0</v>
      </c>
      <c r="AA80" s="133">
        <f t="shared" si="118"/>
        <v>0</v>
      </c>
      <c r="AB80" s="133">
        <f t="shared" si="118"/>
        <v>0</v>
      </c>
      <c r="AC80" s="133">
        <f>AC23/1.09</f>
        <v>0</v>
      </c>
      <c r="AD80" s="133">
        <f t="shared" ref="AD80:BQ80" si="119">AD23/1.09</f>
        <v>0</v>
      </c>
      <c r="AE80" s="133">
        <f t="shared" si="119"/>
        <v>0</v>
      </c>
      <c r="AF80" s="133">
        <f t="shared" si="119"/>
        <v>0</v>
      </c>
      <c r="AG80" s="133">
        <f t="shared" si="119"/>
        <v>10486.23853211009</v>
      </c>
      <c r="AH80" s="133">
        <f t="shared" si="119"/>
        <v>2385.3211009174311</v>
      </c>
      <c r="AI80" s="133">
        <f t="shared" si="119"/>
        <v>4591.7431192660551</v>
      </c>
      <c r="AJ80" s="133">
        <f t="shared" si="119"/>
        <v>1201.834862385321</v>
      </c>
      <c r="AK80" s="133">
        <f t="shared" si="119"/>
        <v>2403.669724770642</v>
      </c>
      <c r="AL80" s="133">
        <f t="shared" si="119"/>
        <v>2403.669724770642</v>
      </c>
      <c r="AM80" s="133">
        <f t="shared" si="119"/>
        <v>3660.5504587155961</v>
      </c>
      <c r="AN80" s="133">
        <f t="shared" si="119"/>
        <v>4880.7339449541278</v>
      </c>
      <c r="AO80" s="133">
        <f t="shared" si="119"/>
        <v>3050.45871559633</v>
      </c>
      <c r="AP80" s="133">
        <f t="shared" si="119"/>
        <v>3688.0733944954127</v>
      </c>
      <c r="AQ80" s="133">
        <f t="shared" si="119"/>
        <v>3073.3944954128438</v>
      </c>
      <c r="AR80" s="133">
        <f t="shared" si="119"/>
        <v>3073.3944954128438</v>
      </c>
      <c r="AS80" s="133">
        <f t="shared" si="119"/>
        <v>5027.5229357798162</v>
      </c>
      <c r="AT80" s="133">
        <f t="shared" si="119"/>
        <v>4399.0825688073392</v>
      </c>
      <c r="AU80" s="133">
        <f t="shared" si="119"/>
        <v>3165.1376146788989</v>
      </c>
      <c r="AV80" s="133">
        <f t="shared" si="119"/>
        <v>6330.2752293577978</v>
      </c>
      <c r="AW80" s="133">
        <f t="shared" si="119"/>
        <v>3165.1376146788989</v>
      </c>
      <c r="AX80" s="133">
        <f t="shared" si="119"/>
        <v>5490.7724036697209</v>
      </c>
      <c r="AY80" s="133">
        <f t="shared" si="119"/>
        <v>0</v>
      </c>
      <c r="AZ80" s="133">
        <f t="shared" si="119"/>
        <v>0</v>
      </c>
      <c r="BA80" s="133">
        <f t="shared" si="119"/>
        <v>0</v>
      </c>
      <c r="BB80" s="133">
        <f t="shared" si="119"/>
        <v>0</v>
      </c>
      <c r="BC80" s="133">
        <f t="shared" si="119"/>
        <v>0</v>
      </c>
      <c r="BD80" s="133">
        <f t="shared" si="119"/>
        <v>0</v>
      </c>
      <c r="BE80" s="133">
        <f t="shared" si="119"/>
        <v>0</v>
      </c>
      <c r="BF80" s="133">
        <f t="shared" si="119"/>
        <v>0</v>
      </c>
      <c r="BG80" s="133">
        <f t="shared" si="119"/>
        <v>0</v>
      </c>
      <c r="BH80" s="133">
        <f t="shared" si="119"/>
        <v>0</v>
      </c>
      <c r="BI80" s="133">
        <f t="shared" si="119"/>
        <v>0</v>
      </c>
      <c r="BJ80" s="133">
        <f t="shared" si="119"/>
        <v>0</v>
      </c>
      <c r="BK80" s="133">
        <f t="shared" si="119"/>
        <v>0</v>
      </c>
      <c r="BL80" s="133">
        <f t="shared" si="119"/>
        <v>0</v>
      </c>
      <c r="BM80" s="133">
        <f t="shared" si="119"/>
        <v>0</v>
      </c>
      <c r="BN80" s="133">
        <f t="shared" si="119"/>
        <v>0</v>
      </c>
      <c r="BO80" s="133">
        <f t="shared" si="119"/>
        <v>0</v>
      </c>
      <c r="BP80" s="133">
        <f t="shared" si="119"/>
        <v>0</v>
      </c>
      <c r="BQ80" s="133">
        <f t="shared" si="119"/>
        <v>0</v>
      </c>
    </row>
    <row r="81" spans="1:69" s="126" customFormat="1" ht="13">
      <c r="A81" s="127" t="str">
        <f>A24</f>
        <v>临街商业</v>
      </c>
      <c r="B81" s="128" t="s">
        <v>255</v>
      </c>
      <c r="C81" s="129">
        <f>C24</f>
        <v>1058.93</v>
      </c>
      <c r="D81" s="135"/>
      <c r="E81" s="135"/>
      <c r="F81" s="135"/>
      <c r="G81" s="135"/>
      <c r="H81" s="130">
        <f t="shared" ref="H81:Z81" si="120">H24</f>
        <v>0</v>
      </c>
      <c r="I81" s="130">
        <f t="shared" si="120"/>
        <v>0</v>
      </c>
      <c r="J81" s="130">
        <f t="shared" si="120"/>
        <v>0</v>
      </c>
      <c r="K81" s="130">
        <f t="shared" si="120"/>
        <v>0</v>
      </c>
      <c r="L81" s="130">
        <f t="shared" si="120"/>
        <v>0</v>
      </c>
      <c r="M81" s="130">
        <f t="shared" si="120"/>
        <v>0</v>
      </c>
      <c r="N81" s="130">
        <f t="shared" si="120"/>
        <v>0</v>
      </c>
      <c r="O81" s="130">
        <f t="shared" si="120"/>
        <v>0</v>
      </c>
      <c r="P81" s="130">
        <f t="shared" si="120"/>
        <v>0</v>
      </c>
      <c r="Q81" s="130">
        <f t="shared" si="120"/>
        <v>0</v>
      </c>
      <c r="R81" s="130">
        <f t="shared" si="120"/>
        <v>0</v>
      </c>
      <c r="S81" s="130">
        <f t="shared" si="120"/>
        <v>0</v>
      </c>
      <c r="T81" s="130">
        <f t="shared" si="120"/>
        <v>0</v>
      </c>
      <c r="U81" s="130">
        <f t="shared" si="120"/>
        <v>0</v>
      </c>
      <c r="V81" s="130">
        <f t="shared" si="120"/>
        <v>0</v>
      </c>
      <c r="W81" s="130">
        <f t="shared" si="120"/>
        <v>0</v>
      </c>
      <c r="X81" s="130">
        <f t="shared" si="120"/>
        <v>0</v>
      </c>
      <c r="Y81" s="130">
        <f t="shared" si="120"/>
        <v>0</v>
      </c>
      <c r="Z81" s="130">
        <f t="shared" si="120"/>
        <v>0</v>
      </c>
      <c r="AA81" s="130">
        <f>AA24</f>
        <v>0</v>
      </c>
      <c r="AB81" s="130">
        <f>AB24</f>
        <v>0</v>
      </c>
      <c r="AC81" s="130">
        <f>AC24</f>
        <v>0</v>
      </c>
      <c r="AD81" s="130">
        <f t="shared" ref="AD81:AR81" si="121">AD24</f>
        <v>0</v>
      </c>
      <c r="AE81" s="130">
        <f t="shared" si="121"/>
        <v>0</v>
      </c>
      <c r="AF81" s="130">
        <f t="shared" si="121"/>
        <v>0</v>
      </c>
      <c r="AG81" s="130">
        <f t="shared" si="121"/>
        <v>0</v>
      </c>
      <c r="AH81" s="130">
        <f t="shared" si="121"/>
        <v>0</v>
      </c>
      <c r="AI81" s="130">
        <f t="shared" si="121"/>
        <v>0</v>
      </c>
      <c r="AJ81" s="130">
        <f t="shared" si="121"/>
        <v>0</v>
      </c>
      <c r="AK81" s="130">
        <f t="shared" si="121"/>
        <v>0</v>
      </c>
      <c r="AL81" s="130">
        <f t="shared" si="121"/>
        <v>0</v>
      </c>
      <c r="AM81" s="130">
        <f t="shared" si="121"/>
        <v>0</v>
      </c>
      <c r="AN81" s="130">
        <f t="shared" si="121"/>
        <v>0</v>
      </c>
      <c r="AO81" s="130">
        <f t="shared" si="121"/>
        <v>300</v>
      </c>
      <c r="AP81" s="130">
        <f t="shared" si="121"/>
        <v>150</v>
      </c>
      <c r="AQ81" s="130">
        <f t="shared" si="121"/>
        <v>150</v>
      </c>
      <c r="AR81" s="130">
        <f t="shared" si="121"/>
        <v>100</v>
      </c>
      <c r="AS81" s="130">
        <f>AS24</f>
        <v>100</v>
      </c>
      <c r="AT81" s="130">
        <f t="shared" ref="AT81:BQ81" si="122">AT24</f>
        <v>100</v>
      </c>
      <c r="AU81" s="130">
        <f t="shared" si="122"/>
        <v>158.93000000000006</v>
      </c>
      <c r="AV81" s="130">
        <f t="shared" si="122"/>
        <v>0</v>
      </c>
      <c r="AW81" s="130">
        <f t="shared" si="122"/>
        <v>0</v>
      </c>
      <c r="AX81" s="130">
        <f t="shared" si="122"/>
        <v>0</v>
      </c>
      <c r="AY81" s="130">
        <f t="shared" si="122"/>
        <v>0</v>
      </c>
      <c r="AZ81" s="130">
        <f t="shared" si="122"/>
        <v>0</v>
      </c>
      <c r="BA81" s="130">
        <f t="shared" si="122"/>
        <v>0</v>
      </c>
      <c r="BB81" s="130">
        <f t="shared" si="122"/>
        <v>0</v>
      </c>
      <c r="BC81" s="130">
        <f t="shared" si="122"/>
        <v>0</v>
      </c>
      <c r="BD81" s="130">
        <f t="shared" si="122"/>
        <v>0</v>
      </c>
      <c r="BE81" s="130">
        <f t="shared" si="122"/>
        <v>0</v>
      </c>
      <c r="BF81" s="130">
        <f t="shared" si="122"/>
        <v>0</v>
      </c>
      <c r="BG81" s="130">
        <f t="shared" si="122"/>
        <v>0</v>
      </c>
      <c r="BH81" s="130">
        <f t="shared" si="122"/>
        <v>0</v>
      </c>
      <c r="BI81" s="130">
        <f t="shared" si="122"/>
        <v>0</v>
      </c>
      <c r="BJ81" s="130">
        <f t="shared" si="122"/>
        <v>0</v>
      </c>
      <c r="BK81" s="130">
        <f t="shared" si="122"/>
        <v>0</v>
      </c>
      <c r="BL81" s="130">
        <f t="shared" si="122"/>
        <v>0</v>
      </c>
      <c r="BM81" s="130">
        <f t="shared" si="122"/>
        <v>0</v>
      </c>
      <c r="BN81" s="130">
        <f t="shared" si="122"/>
        <v>0</v>
      </c>
      <c r="BO81" s="130">
        <f t="shared" si="122"/>
        <v>0</v>
      </c>
      <c r="BP81" s="130">
        <f t="shared" si="122"/>
        <v>0</v>
      </c>
      <c r="BQ81" s="130">
        <f t="shared" si="122"/>
        <v>0</v>
      </c>
    </row>
    <row r="82" spans="1:69" s="126" customFormat="1" ht="13">
      <c r="A82" s="138"/>
      <c r="B82" s="128" t="s">
        <v>253</v>
      </c>
      <c r="C82" s="129">
        <f>C25/1.09</f>
        <v>24770.984420226163</v>
      </c>
      <c r="D82" s="135"/>
      <c r="E82" s="135"/>
      <c r="F82" s="135"/>
      <c r="G82" s="135"/>
      <c r="H82" s="130">
        <f t="shared" ref="H82:S83" si="123">H25/1.11</f>
        <v>0</v>
      </c>
      <c r="I82" s="130">
        <f t="shared" si="123"/>
        <v>0</v>
      </c>
      <c r="J82" s="130">
        <f t="shared" si="123"/>
        <v>0</v>
      </c>
      <c r="K82" s="130">
        <f t="shared" si="123"/>
        <v>0</v>
      </c>
      <c r="L82" s="130">
        <f t="shared" si="123"/>
        <v>0</v>
      </c>
      <c r="M82" s="130">
        <f t="shared" si="123"/>
        <v>0</v>
      </c>
      <c r="N82" s="130">
        <f t="shared" si="123"/>
        <v>0</v>
      </c>
      <c r="O82" s="130">
        <f t="shared" si="123"/>
        <v>0</v>
      </c>
      <c r="P82" s="130">
        <f t="shared" si="123"/>
        <v>0</v>
      </c>
      <c r="Q82" s="130">
        <f t="shared" si="123"/>
        <v>0</v>
      </c>
      <c r="R82" s="130">
        <f t="shared" si="123"/>
        <v>0</v>
      </c>
      <c r="S82" s="130">
        <f t="shared" si="123"/>
        <v>0</v>
      </c>
      <c r="T82" s="130">
        <f>T25/1.09</f>
        <v>0</v>
      </c>
      <c r="U82" s="130">
        <f t="shared" ref="U82:Z82" si="124">U25/1.09</f>
        <v>0</v>
      </c>
      <c r="V82" s="130">
        <f t="shared" si="124"/>
        <v>0</v>
      </c>
      <c r="W82" s="130">
        <f t="shared" si="124"/>
        <v>0</v>
      </c>
      <c r="X82" s="130">
        <f t="shared" si="124"/>
        <v>0</v>
      </c>
      <c r="Y82" s="130">
        <f t="shared" si="124"/>
        <v>0</v>
      </c>
      <c r="Z82" s="130">
        <f t="shared" si="124"/>
        <v>0</v>
      </c>
      <c r="AA82" s="130">
        <f t="shared" ref="AA82:AC83" si="125">AA25/1.09</f>
        <v>0</v>
      </c>
      <c r="AB82" s="130">
        <f t="shared" si="125"/>
        <v>0</v>
      </c>
      <c r="AC82" s="130">
        <f t="shared" si="125"/>
        <v>0</v>
      </c>
      <c r="AD82" s="130">
        <f t="shared" ref="AD82:AR82" si="126">AD25/1.09</f>
        <v>0</v>
      </c>
      <c r="AE82" s="130">
        <f t="shared" si="126"/>
        <v>0</v>
      </c>
      <c r="AF82" s="130">
        <f t="shared" si="126"/>
        <v>0</v>
      </c>
      <c r="AG82" s="130">
        <f t="shared" si="126"/>
        <v>0</v>
      </c>
      <c r="AH82" s="130">
        <f t="shared" si="126"/>
        <v>0</v>
      </c>
      <c r="AI82" s="130">
        <f t="shared" si="126"/>
        <v>0</v>
      </c>
      <c r="AJ82" s="130">
        <f t="shared" si="126"/>
        <v>0</v>
      </c>
      <c r="AK82" s="130">
        <f t="shared" si="126"/>
        <v>0</v>
      </c>
      <c r="AL82" s="130">
        <f t="shared" si="126"/>
        <v>0</v>
      </c>
      <c r="AM82" s="130">
        <f t="shared" si="126"/>
        <v>0</v>
      </c>
      <c r="AN82" s="130">
        <f t="shared" si="126"/>
        <v>0</v>
      </c>
      <c r="AO82" s="130">
        <f t="shared" si="126"/>
        <v>23211.009174311926</v>
      </c>
      <c r="AP82" s="130">
        <f t="shared" si="126"/>
        <v>24311.926605504585</v>
      </c>
      <c r="AQ82" s="130">
        <f t="shared" si="126"/>
        <v>25229.357798165136</v>
      </c>
      <c r="AR82" s="130">
        <f t="shared" si="126"/>
        <v>25229.357798165136</v>
      </c>
      <c r="AS82" s="130">
        <f>AS25/1.09</f>
        <v>25688.073394495412</v>
      </c>
      <c r="AT82" s="130">
        <f t="shared" ref="AT82:BQ82" si="127">AT25/1.09</f>
        <v>25889.908256880732</v>
      </c>
      <c r="AU82" s="130">
        <f t="shared" si="127"/>
        <v>26146.788990825688</v>
      </c>
      <c r="AV82" s="130">
        <f t="shared" si="127"/>
        <v>0</v>
      </c>
      <c r="AW82" s="130">
        <f t="shared" si="127"/>
        <v>0</v>
      </c>
      <c r="AX82" s="130">
        <f t="shared" si="127"/>
        <v>0</v>
      </c>
      <c r="AY82" s="130">
        <f t="shared" si="127"/>
        <v>0</v>
      </c>
      <c r="AZ82" s="130">
        <f t="shared" si="127"/>
        <v>0</v>
      </c>
      <c r="BA82" s="130">
        <f t="shared" si="127"/>
        <v>0</v>
      </c>
      <c r="BB82" s="130">
        <f t="shared" si="127"/>
        <v>0</v>
      </c>
      <c r="BC82" s="130">
        <f t="shared" si="127"/>
        <v>0</v>
      </c>
      <c r="BD82" s="130">
        <f t="shared" si="127"/>
        <v>0</v>
      </c>
      <c r="BE82" s="130">
        <f t="shared" si="127"/>
        <v>0</v>
      </c>
      <c r="BF82" s="130">
        <f t="shared" si="127"/>
        <v>0</v>
      </c>
      <c r="BG82" s="130">
        <f t="shared" si="127"/>
        <v>0</v>
      </c>
      <c r="BH82" s="130">
        <f t="shared" si="127"/>
        <v>0</v>
      </c>
      <c r="BI82" s="130">
        <f t="shared" si="127"/>
        <v>0</v>
      </c>
      <c r="BJ82" s="130">
        <f t="shared" si="127"/>
        <v>0</v>
      </c>
      <c r="BK82" s="130">
        <f t="shared" si="127"/>
        <v>0</v>
      </c>
      <c r="BL82" s="130">
        <f t="shared" si="127"/>
        <v>0</v>
      </c>
      <c r="BM82" s="130">
        <f t="shared" si="127"/>
        <v>0</v>
      </c>
      <c r="BN82" s="130">
        <f t="shared" si="127"/>
        <v>0</v>
      </c>
      <c r="BO82" s="130">
        <f t="shared" si="127"/>
        <v>0</v>
      </c>
      <c r="BP82" s="130">
        <f t="shared" si="127"/>
        <v>0</v>
      </c>
      <c r="BQ82" s="130">
        <f t="shared" si="127"/>
        <v>0</v>
      </c>
    </row>
    <row r="83" spans="1:69">
      <c r="A83" s="132"/>
      <c r="B83" s="133" t="s">
        <v>254</v>
      </c>
      <c r="C83" s="133">
        <f>C26/1.09</f>
        <v>2623.073853211009</v>
      </c>
      <c r="D83" s="133"/>
      <c r="E83" s="133"/>
      <c r="F83" s="133"/>
      <c r="G83" s="133"/>
      <c r="H83" s="133"/>
      <c r="I83" s="133"/>
      <c r="J83" s="133"/>
      <c r="K83" s="133">
        <f t="shared" si="123"/>
        <v>0</v>
      </c>
      <c r="L83" s="133">
        <f t="shared" si="123"/>
        <v>0</v>
      </c>
      <c r="M83" s="133">
        <f t="shared" si="123"/>
        <v>0</v>
      </c>
      <c r="N83" s="133">
        <f t="shared" si="123"/>
        <v>0</v>
      </c>
      <c r="O83" s="133">
        <f t="shared" si="123"/>
        <v>0</v>
      </c>
      <c r="P83" s="133">
        <f t="shared" si="123"/>
        <v>0</v>
      </c>
      <c r="Q83" s="133">
        <f t="shared" si="123"/>
        <v>0</v>
      </c>
      <c r="R83" s="133">
        <f t="shared" si="123"/>
        <v>0</v>
      </c>
      <c r="S83" s="133">
        <f t="shared" si="123"/>
        <v>0</v>
      </c>
      <c r="T83" s="133">
        <f>T26/1.09</f>
        <v>0</v>
      </c>
      <c r="U83" s="133">
        <f t="shared" ref="U83:Z83" si="128">U26/1.09</f>
        <v>0</v>
      </c>
      <c r="V83" s="133">
        <f t="shared" si="128"/>
        <v>0</v>
      </c>
      <c r="W83" s="133">
        <f t="shared" si="128"/>
        <v>0</v>
      </c>
      <c r="X83" s="133">
        <f t="shared" si="128"/>
        <v>0</v>
      </c>
      <c r="Y83" s="133">
        <f t="shared" si="128"/>
        <v>0</v>
      </c>
      <c r="Z83" s="133">
        <f t="shared" si="128"/>
        <v>0</v>
      </c>
      <c r="AA83" s="133">
        <f t="shared" si="125"/>
        <v>0</v>
      </c>
      <c r="AB83" s="133">
        <f t="shared" si="125"/>
        <v>0</v>
      </c>
      <c r="AC83" s="133">
        <f t="shared" si="125"/>
        <v>0</v>
      </c>
      <c r="AD83" s="133">
        <f t="shared" ref="AD83:BQ83" si="129">AD26/1.09</f>
        <v>0</v>
      </c>
      <c r="AE83" s="133">
        <f t="shared" si="129"/>
        <v>0</v>
      </c>
      <c r="AF83" s="133">
        <f t="shared" si="129"/>
        <v>0</v>
      </c>
      <c r="AG83" s="133">
        <f t="shared" si="129"/>
        <v>0</v>
      </c>
      <c r="AH83" s="133">
        <f t="shared" si="129"/>
        <v>0</v>
      </c>
      <c r="AI83" s="133">
        <f t="shared" si="129"/>
        <v>0</v>
      </c>
      <c r="AJ83" s="133">
        <f t="shared" si="129"/>
        <v>0</v>
      </c>
      <c r="AK83" s="133">
        <f t="shared" si="129"/>
        <v>0</v>
      </c>
      <c r="AL83" s="133">
        <f t="shared" si="129"/>
        <v>0</v>
      </c>
      <c r="AM83" s="133">
        <f t="shared" si="129"/>
        <v>0</v>
      </c>
      <c r="AN83" s="133">
        <f t="shared" si="129"/>
        <v>0</v>
      </c>
      <c r="AO83" s="133">
        <f t="shared" si="129"/>
        <v>696.33027522935777</v>
      </c>
      <c r="AP83" s="133">
        <f t="shared" si="129"/>
        <v>364.67889908256876</v>
      </c>
      <c r="AQ83" s="133">
        <f t="shared" si="129"/>
        <v>378.44036697247702</v>
      </c>
      <c r="AR83" s="133">
        <f t="shared" si="129"/>
        <v>252.29357798165137</v>
      </c>
      <c r="AS83" s="133">
        <f t="shared" si="129"/>
        <v>256.8807339449541</v>
      </c>
      <c r="AT83" s="133">
        <f t="shared" si="129"/>
        <v>258.89908256880733</v>
      </c>
      <c r="AU83" s="133">
        <f t="shared" si="129"/>
        <v>415.55091743119283</v>
      </c>
      <c r="AV83" s="133">
        <f t="shared" si="129"/>
        <v>0</v>
      </c>
      <c r="AW83" s="133">
        <f t="shared" si="129"/>
        <v>0</v>
      </c>
      <c r="AX83" s="133">
        <f t="shared" si="129"/>
        <v>0</v>
      </c>
      <c r="AY83" s="133">
        <f t="shared" si="129"/>
        <v>0</v>
      </c>
      <c r="AZ83" s="133">
        <f t="shared" si="129"/>
        <v>0</v>
      </c>
      <c r="BA83" s="133">
        <f t="shared" si="129"/>
        <v>0</v>
      </c>
      <c r="BB83" s="133">
        <f t="shared" si="129"/>
        <v>0</v>
      </c>
      <c r="BC83" s="133">
        <f t="shared" si="129"/>
        <v>0</v>
      </c>
      <c r="BD83" s="133">
        <f t="shared" si="129"/>
        <v>0</v>
      </c>
      <c r="BE83" s="133">
        <f t="shared" si="129"/>
        <v>0</v>
      </c>
      <c r="BF83" s="133">
        <f t="shared" si="129"/>
        <v>0</v>
      </c>
      <c r="BG83" s="133">
        <f t="shared" si="129"/>
        <v>0</v>
      </c>
      <c r="BH83" s="133">
        <f t="shared" si="129"/>
        <v>0</v>
      </c>
      <c r="BI83" s="133">
        <f t="shared" si="129"/>
        <v>0</v>
      </c>
      <c r="BJ83" s="133">
        <f t="shared" si="129"/>
        <v>0</v>
      </c>
      <c r="BK83" s="133">
        <f t="shared" si="129"/>
        <v>0</v>
      </c>
      <c r="BL83" s="133">
        <f t="shared" si="129"/>
        <v>0</v>
      </c>
      <c r="BM83" s="133">
        <f t="shared" si="129"/>
        <v>0</v>
      </c>
      <c r="BN83" s="133">
        <f t="shared" si="129"/>
        <v>0</v>
      </c>
      <c r="BO83" s="133">
        <f t="shared" si="129"/>
        <v>0</v>
      </c>
      <c r="BP83" s="133">
        <f t="shared" si="129"/>
        <v>0</v>
      </c>
      <c r="BQ83" s="133">
        <f t="shared" si="129"/>
        <v>0</v>
      </c>
    </row>
    <row r="84" spans="1:69" s="126" customFormat="1" ht="13">
      <c r="A84" s="127">
        <f>A27</f>
        <v>0</v>
      </c>
      <c r="B84" s="128" t="s">
        <v>255</v>
      </c>
      <c r="C84" s="129">
        <f>C27</f>
        <v>0</v>
      </c>
      <c r="D84" s="129">
        <f t="shared" ref="D84:M84" si="130">D24</f>
        <v>0</v>
      </c>
      <c r="E84" s="129">
        <f t="shared" si="130"/>
        <v>0</v>
      </c>
      <c r="F84" s="129">
        <f t="shared" si="130"/>
        <v>0</v>
      </c>
      <c r="G84" s="129">
        <f t="shared" si="130"/>
        <v>0</v>
      </c>
      <c r="H84" s="129">
        <f t="shared" si="130"/>
        <v>0</v>
      </c>
      <c r="I84" s="129">
        <f t="shared" si="130"/>
        <v>0</v>
      </c>
      <c r="J84" s="129">
        <f t="shared" si="130"/>
        <v>0</v>
      </c>
      <c r="K84" s="129">
        <f t="shared" si="130"/>
        <v>0</v>
      </c>
      <c r="L84" s="129">
        <f t="shared" si="130"/>
        <v>0</v>
      </c>
      <c r="M84" s="129">
        <f t="shared" si="130"/>
        <v>0</v>
      </c>
      <c r="N84" s="129">
        <f>N27</f>
        <v>0</v>
      </c>
      <c r="O84" s="129">
        <f t="shared" ref="O84:AS84" si="131">O27</f>
        <v>0</v>
      </c>
      <c r="P84" s="129">
        <f t="shared" si="131"/>
        <v>0</v>
      </c>
      <c r="Q84" s="129">
        <f t="shared" si="131"/>
        <v>0</v>
      </c>
      <c r="R84" s="129">
        <f t="shared" si="131"/>
        <v>0</v>
      </c>
      <c r="S84" s="129">
        <f t="shared" si="131"/>
        <v>0</v>
      </c>
      <c r="T84" s="129">
        <f t="shared" si="131"/>
        <v>0</v>
      </c>
      <c r="U84" s="129">
        <f t="shared" si="131"/>
        <v>0</v>
      </c>
      <c r="V84" s="129">
        <f t="shared" si="131"/>
        <v>0</v>
      </c>
      <c r="W84" s="129">
        <f t="shared" si="131"/>
        <v>0</v>
      </c>
      <c r="X84" s="129">
        <f t="shared" si="131"/>
        <v>0</v>
      </c>
      <c r="Y84" s="129">
        <f t="shared" si="131"/>
        <v>0</v>
      </c>
      <c r="Z84" s="129">
        <f t="shared" si="131"/>
        <v>0</v>
      </c>
      <c r="AA84" s="129">
        <f t="shared" si="131"/>
        <v>0</v>
      </c>
      <c r="AB84" s="129">
        <f t="shared" si="131"/>
        <v>0</v>
      </c>
      <c r="AC84" s="129">
        <f t="shared" si="131"/>
        <v>0</v>
      </c>
      <c r="AD84" s="129">
        <f t="shared" ref="AD84:AR84" si="132">AD27</f>
        <v>0</v>
      </c>
      <c r="AE84" s="129">
        <f t="shared" si="132"/>
        <v>0</v>
      </c>
      <c r="AF84" s="129">
        <f t="shared" si="132"/>
        <v>0</v>
      </c>
      <c r="AG84" s="129">
        <f t="shared" si="132"/>
        <v>0</v>
      </c>
      <c r="AH84" s="129">
        <f t="shared" si="132"/>
        <v>0</v>
      </c>
      <c r="AI84" s="129">
        <f t="shared" si="132"/>
        <v>0</v>
      </c>
      <c r="AJ84" s="129">
        <f t="shared" si="132"/>
        <v>0</v>
      </c>
      <c r="AK84" s="129">
        <f t="shared" si="132"/>
        <v>0</v>
      </c>
      <c r="AL84" s="129">
        <f t="shared" si="132"/>
        <v>0</v>
      </c>
      <c r="AM84" s="129">
        <f t="shared" si="132"/>
        <v>0</v>
      </c>
      <c r="AN84" s="129">
        <f t="shared" si="132"/>
        <v>0</v>
      </c>
      <c r="AO84" s="129">
        <f t="shared" si="132"/>
        <v>0</v>
      </c>
      <c r="AP84" s="129">
        <f t="shared" si="132"/>
        <v>0</v>
      </c>
      <c r="AQ84" s="129">
        <f t="shared" si="132"/>
        <v>0</v>
      </c>
      <c r="AR84" s="129">
        <f t="shared" si="132"/>
        <v>0</v>
      </c>
      <c r="AS84" s="129">
        <f t="shared" si="131"/>
        <v>0</v>
      </c>
      <c r="AT84" s="129">
        <f t="shared" ref="AT84:BQ84" si="133">AT27</f>
        <v>0</v>
      </c>
      <c r="AU84" s="129">
        <f t="shared" si="133"/>
        <v>0</v>
      </c>
      <c r="AV84" s="129">
        <f t="shared" si="133"/>
        <v>0</v>
      </c>
      <c r="AW84" s="129">
        <f t="shared" si="133"/>
        <v>0</v>
      </c>
      <c r="AX84" s="129">
        <f t="shared" si="133"/>
        <v>0</v>
      </c>
      <c r="AY84" s="129">
        <f t="shared" si="133"/>
        <v>0</v>
      </c>
      <c r="AZ84" s="129">
        <f t="shared" si="133"/>
        <v>0</v>
      </c>
      <c r="BA84" s="129">
        <f t="shared" si="133"/>
        <v>0</v>
      </c>
      <c r="BB84" s="129">
        <f t="shared" si="133"/>
        <v>0</v>
      </c>
      <c r="BC84" s="129">
        <f t="shared" si="133"/>
        <v>0</v>
      </c>
      <c r="BD84" s="129">
        <f t="shared" si="133"/>
        <v>0</v>
      </c>
      <c r="BE84" s="129">
        <f t="shared" si="133"/>
        <v>0</v>
      </c>
      <c r="BF84" s="129">
        <f t="shared" si="133"/>
        <v>0</v>
      </c>
      <c r="BG84" s="129">
        <f t="shared" si="133"/>
        <v>0</v>
      </c>
      <c r="BH84" s="129">
        <f t="shared" si="133"/>
        <v>0</v>
      </c>
      <c r="BI84" s="129">
        <f t="shared" si="133"/>
        <v>0</v>
      </c>
      <c r="BJ84" s="129">
        <f t="shared" si="133"/>
        <v>0</v>
      </c>
      <c r="BK84" s="129">
        <f t="shared" si="133"/>
        <v>0</v>
      </c>
      <c r="BL84" s="129">
        <f t="shared" si="133"/>
        <v>0</v>
      </c>
      <c r="BM84" s="129">
        <f t="shared" si="133"/>
        <v>0</v>
      </c>
      <c r="BN84" s="129">
        <f t="shared" si="133"/>
        <v>0</v>
      </c>
      <c r="BO84" s="129">
        <f t="shared" si="133"/>
        <v>0</v>
      </c>
      <c r="BP84" s="129">
        <f t="shared" si="133"/>
        <v>0</v>
      </c>
      <c r="BQ84" s="129">
        <f t="shared" si="133"/>
        <v>0</v>
      </c>
    </row>
    <row r="85" spans="1:69" s="126" customFormat="1" ht="13">
      <c r="A85" s="138"/>
      <c r="B85" s="128" t="s">
        <v>253</v>
      </c>
      <c r="C85" s="129">
        <f>C28/1.09</f>
        <v>0</v>
      </c>
      <c r="D85" s="129">
        <f t="shared" ref="D85:AS85" si="134">D28/1.09</f>
        <v>0</v>
      </c>
      <c r="E85" s="129">
        <f t="shared" si="134"/>
        <v>0</v>
      </c>
      <c r="F85" s="129">
        <f t="shared" si="134"/>
        <v>0</v>
      </c>
      <c r="G85" s="129">
        <f t="shared" si="134"/>
        <v>0</v>
      </c>
      <c r="H85" s="129">
        <f t="shared" si="134"/>
        <v>0</v>
      </c>
      <c r="I85" s="129">
        <f t="shared" si="134"/>
        <v>0</v>
      </c>
      <c r="J85" s="129">
        <f t="shared" si="134"/>
        <v>0</v>
      </c>
      <c r="K85" s="129">
        <f t="shared" si="134"/>
        <v>0</v>
      </c>
      <c r="L85" s="129">
        <f t="shared" si="134"/>
        <v>0</v>
      </c>
      <c r="M85" s="129">
        <f t="shared" si="134"/>
        <v>0</v>
      </c>
      <c r="N85" s="129">
        <f t="shared" si="134"/>
        <v>0</v>
      </c>
      <c r="O85" s="129">
        <f t="shared" si="134"/>
        <v>0</v>
      </c>
      <c r="P85" s="129">
        <f t="shared" si="134"/>
        <v>0</v>
      </c>
      <c r="Q85" s="129">
        <f t="shared" si="134"/>
        <v>0</v>
      </c>
      <c r="R85" s="129">
        <f t="shared" si="134"/>
        <v>0</v>
      </c>
      <c r="S85" s="129">
        <f t="shared" si="134"/>
        <v>0</v>
      </c>
      <c r="T85" s="129">
        <f t="shared" si="134"/>
        <v>0</v>
      </c>
      <c r="U85" s="129">
        <f t="shared" si="134"/>
        <v>0</v>
      </c>
      <c r="V85" s="129">
        <f t="shared" si="134"/>
        <v>0</v>
      </c>
      <c r="W85" s="129">
        <f t="shared" si="134"/>
        <v>0</v>
      </c>
      <c r="X85" s="129">
        <f t="shared" si="134"/>
        <v>0</v>
      </c>
      <c r="Y85" s="129">
        <f t="shared" si="134"/>
        <v>0</v>
      </c>
      <c r="Z85" s="129">
        <f t="shared" si="134"/>
        <v>0</v>
      </c>
      <c r="AA85" s="129">
        <f t="shared" si="134"/>
        <v>0</v>
      </c>
      <c r="AB85" s="129">
        <f t="shared" si="134"/>
        <v>0</v>
      </c>
      <c r="AC85" s="129">
        <f t="shared" si="134"/>
        <v>0</v>
      </c>
      <c r="AD85" s="129">
        <f t="shared" ref="AD85:AR85" si="135">AD28/1.09</f>
        <v>0</v>
      </c>
      <c r="AE85" s="129">
        <f t="shared" si="135"/>
        <v>0</v>
      </c>
      <c r="AF85" s="129">
        <f t="shared" si="135"/>
        <v>0</v>
      </c>
      <c r="AG85" s="129">
        <f t="shared" si="135"/>
        <v>0</v>
      </c>
      <c r="AH85" s="129">
        <f t="shared" si="135"/>
        <v>0</v>
      </c>
      <c r="AI85" s="129">
        <f t="shared" si="135"/>
        <v>0</v>
      </c>
      <c r="AJ85" s="129">
        <f t="shared" si="135"/>
        <v>0</v>
      </c>
      <c r="AK85" s="129">
        <f t="shared" si="135"/>
        <v>0</v>
      </c>
      <c r="AL85" s="129">
        <f t="shared" si="135"/>
        <v>0</v>
      </c>
      <c r="AM85" s="129">
        <f t="shared" si="135"/>
        <v>0</v>
      </c>
      <c r="AN85" s="129">
        <f t="shared" si="135"/>
        <v>0</v>
      </c>
      <c r="AO85" s="129">
        <f t="shared" si="135"/>
        <v>0</v>
      </c>
      <c r="AP85" s="129">
        <f t="shared" si="135"/>
        <v>0</v>
      </c>
      <c r="AQ85" s="129">
        <f t="shared" si="135"/>
        <v>0</v>
      </c>
      <c r="AR85" s="129">
        <f t="shared" si="135"/>
        <v>0</v>
      </c>
      <c r="AS85" s="129">
        <f t="shared" si="134"/>
        <v>0</v>
      </c>
      <c r="AT85" s="129">
        <f t="shared" ref="AT85:BQ85" si="136">AT28/1.09</f>
        <v>0</v>
      </c>
      <c r="AU85" s="129">
        <f t="shared" si="136"/>
        <v>0</v>
      </c>
      <c r="AV85" s="129">
        <f t="shared" si="136"/>
        <v>0</v>
      </c>
      <c r="AW85" s="129">
        <f t="shared" si="136"/>
        <v>0</v>
      </c>
      <c r="AX85" s="129">
        <f t="shared" si="136"/>
        <v>0</v>
      </c>
      <c r="AY85" s="129">
        <f t="shared" si="136"/>
        <v>0</v>
      </c>
      <c r="AZ85" s="129">
        <f t="shared" si="136"/>
        <v>0</v>
      </c>
      <c r="BA85" s="129">
        <f t="shared" si="136"/>
        <v>0</v>
      </c>
      <c r="BB85" s="129">
        <f t="shared" si="136"/>
        <v>0</v>
      </c>
      <c r="BC85" s="129">
        <f t="shared" si="136"/>
        <v>0</v>
      </c>
      <c r="BD85" s="129">
        <f t="shared" si="136"/>
        <v>0</v>
      </c>
      <c r="BE85" s="129">
        <f t="shared" si="136"/>
        <v>0</v>
      </c>
      <c r="BF85" s="129">
        <f t="shared" si="136"/>
        <v>0</v>
      </c>
      <c r="BG85" s="129">
        <f t="shared" si="136"/>
        <v>0</v>
      </c>
      <c r="BH85" s="129">
        <f t="shared" si="136"/>
        <v>0</v>
      </c>
      <c r="BI85" s="129">
        <f t="shared" si="136"/>
        <v>0</v>
      </c>
      <c r="BJ85" s="129">
        <f t="shared" si="136"/>
        <v>0</v>
      </c>
      <c r="BK85" s="129">
        <f t="shared" si="136"/>
        <v>0</v>
      </c>
      <c r="BL85" s="129">
        <f t="shared" si="136"/>
        <v>0</v>
      </c>
      <c r="BM85" s="129">
        <f t="shared" si="136"/>
        <v>0</v>
      </c>
      <c r="BN85" s="129">
        <f t="shared" si="136"/>
        <v>0</v>
      </c>
      <c r="BO85" s="129">
        <f t="shared" si="136"/>
        <v>0</v>
      </c>
      <c r="BP85" s="129">
        <f t="shared" si="136"/>
        <v>0</v>
      </c>
      <c r="BQ85" s="129">
        <f t="shared" si="136"/>
        <v>0</v>
      </c>
    </row>
    <row r="86" spans="1:69">
      <c r="A86" s="132"/>
      <c r="B86" s="133" t="s">
        <v>254</v>
      </c>
      <c r="C86" s="133">
        <f>C29/1.09</f>
        <v>0</v>
      </c>
      <c r="D86" s="133">
        <f t="shared" ref="D86:M86" si="137">D26/1.09</f>
        <v>0</v>
      </c>
      <c r="E86" s="133">
        <f t="shared" si="137"/>
        <v>0</v>
      </c>
      <c r="F86" s="133">
        <f t="shared" si="137"/>
        <v>0</v>
      </c>
      <c r="G86" s="133">
        <f t="shared" si="137"/>
        <v>0</v>
      </c>
      <c r="H86" s="133">
        <f t="shared" si="137"/>
        <v>0</v>
      </c>
      <c r="I86" s="133">
        <f t="shared" si="137"/>
        <v>0</v>
      </c>
      <c r="J86" s="133">
        <f t="shared" si="137"/>
        <v>0</v>
      </c>
      <c r="K86" s="133">
        <f t="shared" si="137"/>
        <v>0</v>
      </c>
      <c r="L86" s="133">
        <f t="shared" si="137"/>
        <v>0</v>
      </c>
      <c r="M86" s="133">
        <f t="shared" si="137"/>
        <v>0</v>
      </c>
      <c r="N86" s="133">
        <f>N29/1.09</f>
        <v>0</v>
      </c>
      <c r="O86" s="133">
        <f t="shared" ref="O86:AS86" si="138">O29/1.09</f>
        <v>0</v>
      </c>
      <c r="P86" s="133">
        <f t="shared" si="138"/>
        <v>0</v>
      </c>
      <c r="Q86" s="133">
        <f t="shared" si="138"/>
        <v>0</v>
      </c>
      <c r="R86" s="133">
        <f t="shared" si="138"/>
        <v>0</v>
      </c>
      <c r="S86" s="133">
        <f t="shared" si="138"/>
        <v>0</v>
      </c>
      <c r="T86" s="133">
        <f t="shared" si="138"/>
        <v>0</v>
      </c>
      <c r="U86" s="133">
        <f t="shared" si="138"/>
        <v>0</v>
      </c>
      <c r="V86" s="133">
        <f t="shared" si="138"/>
        <v>0</v>
      </c>
      <c r="W86" s="133">
        <f t="shared" si="138"/>
        <v>0</v>
      </c>
      <c r="X86" s="133">
        <f t="shared" si="138"/>
        <v>0</v>
      </c>
      <c r="Y86" s="133">
        <f t="shared" si="138"/>
        <v>0</v>
      </c>
      <c r="Z86" s="133">
        <f t="shared" si="138"/>
        <v>0</v>
      </c>
      <c r="AA86" s="133">
        <f t="shared" si="138"/>
        <v>0</v>
      </c>
      <c r="AB86" s="133">
        <f t="shared" si="138"/>
        <v>0</v>
      </c>
      <c r="AC86" s="133">
        <f t="shared" si="138"/>
        <v>0</v>
      </c>
      <c r="AD86" s="133">
        <f t="shared" ref="AD86:AR86" si="139">AD29/1.09</f>
        <v>0</v>
      </c>
      <c r="AE86" s="133">
        <f t="shared" si="139"/>
        <v>0</v>
      </c>
      <c r="AF86" s="133">
        <f t="shared" si="139"/>
        <v>0</v>
      </c>
      <c r="AG86" s="133">
        <f t="shared" si="139"/>
        <v>0</v>
      </c>
      <c r="AH86" s="133">
        <f t="shared" si="139"/>
        <v>0</v>
      </c>
      <c r="AI86" s="133">
        <f t="shared" si="139"/>
        <v>0</v>
      </c>
      <c r="AJ86" s="133">
        <f t="shared" si="139"/>
        <v>0</v>
      </c>
      <c r="AK86" s="133">
        <f t="shared" si="139"/>
        <v>0</v>
      </c>
      <c r="AL86" s="133">
        <f t="shared" si="139"/>
        <v>0</v>
      </c>
      <c r="AM86" s="133">
        <f t="shared" si="139"/>
        <v>0</v>
      </c>
      <c r="AN86" s="133">
        <f t="shared" si="139"/>
        <v>0</v>
      </c>
      <c r="AO86" s="133">
        <f t="shared" si="139"/>
        <v>0</v>
      </c>
      <c r="AP86" s="133">
        <f t="shared" si="139"/>
        <v>0</v>
      </c>
      <c r="AQ86" s="133">
        <f t="shared" si="139"/>
        <v>0</v>
      </c>
      <c r="AR86" s="133">
        <f t="shared" si="139"/>
        <v>0</v>
      </c>
      <c r="AS86" s="133">
        <f t="shared" si="138"/>
        <v>0</v>
      </c>
      <c r="AT86" s="133">
        <f t="shared" ref="AT86:BQ86" si="140">AT29/1.09</f>
        <v>0</v>
      </c>
      <c r="AU86" s="133">
        <f t="shared" si="140"/>
        <v>0</v>
      </c>
      <c r="AV86" s="133">
        <f t="shared" si="140"/>
        <v>0</v>
      </c>
      <c r="AW86" s="133">
        <f t="shared" si="140"/>
        <v>0</v>
      </c>
      <c r="AX86" s="133">
        <f t="shared" si="140"/>
        <v>0</v>
      </c>
      <c r="AY86" s="133">
        <f t="shared" si="140"/>
        <v>0</v>
      </c>
      <c r="AZ86" s="133">
        <f t="shared" si="140"/>
        <v>0</v>
      </c>
      <c r="BA86" s="133">
        <f t="shared" si="140"/>
        <v>0</v>
      </c>
      <c r="BB86" s="133">
        <f t="shared" si="140"/>
        <v>0</v>
      </c>
      <c r="BC86" s="133">
        <f t="shared" si="140"/>
        <v>0</v>
      </c>
      <c r="BD86" s="133">
        <f t="shared" si="140"/>
        <v>0</v>
      </c>
      <c r="BE86" s="133">
        <f t="shared" si="140"/>
        <v>0</v>
      </c>
      <c r="BF86" s="133">
        <f t="shared" si="140"/>
        <v>0</v>
      </c>
      <c r="BG86" s="133">
        <f t="shared" si="140"/>
        <v>0</v>
      </c>
      <c r="BH86" s="133">
        <f t="shared" si="140"/>
        <v>0</v>
      </c>
      <c r="BI86" s="133">
        <f t="shared" si="140"/>
        <v>0</v>
      </c>
      <c r="BJ86" s="133">
        <f t="shared" si="140"/>
        <v>0</v>
      </c>
      <c r="BK86" s="133">
        <f t="shared" si="140"/>
        <v>0</v>
      </c>
      <c r="BL86" s="133">
        <f t="shared" si="140"/>
        <v>0</v>
      </c>
      <c r="BM86" s="133">
        <f t="shared" si="140"/>
        <v>0</v>
      </c>
      <c r="BN86" s="133">
        <f t="shared" si="140"/>
        <v>0</v>
      </c>
      <c r="BO86" s="133">
        <f t="shared" si="140"/>
        <v>0</v>
      </c>
      <c r="BP86" s="133">
        <f t="shared" si="140"/>
        <v>0</v>
      </c>
      <c r="BQ86" s="133">
        <f t="shared" si="140"/>
        <v>0</v>
      </c>
    </row>
    <row r="87" spans="1:69" s="126" customFormat="1" ht="13">
      <c r="A87" s="138">
        <f>A30</f>
        <v>0</v>
      </c>
      <c r="B87" s="128" t="s">
        <v>255</v>
      </c>
      <c r="C87" s="129">
        <f>C30</f>
        <v>0</v>
      </c>
      <c r="D87" s="135"/>
      <c r="E87" s="135"/>
      <c r="F87" s="135"/>
      <c r="G87" s="135"/>
      <c r="H87" s="130">
        <f t="shared" ref="H87:AS87" si="141">H30</f>
        <v>0</v>
      </c>
      <c r="I87" s="130">
        <f t="shared" si="141"/>
        <v>0</v>
      </c>
      <c r="J87" s="130">
        <f t="shared" si="141"/>
        <v>0</v>
      </c>
      <c r="K87" s="130">
        <f t="shared" si="141"/>
        <v>0</v>
      </c>
      <c r="L87" s="130">
        <f t="shared" si="141"/>
        <v>0</v>
      </c>
      <c r="M87" s="130">
        <f t="shared" si="141"/>
        <v>0</v>
      </c>
      <c r="N87" s="130">
        <f t="shared" si="141"/>
        <v>0</v>
      </c>
      <c r="O87" s="130">
        <f t="shared" si="141"/>
        <v>0</v>
      </c>
      <c r="P87" s="130">
        <f t="shared" si="141"/>
        <v>0</v>
      </c>
      <c r="Q87" s="130">
        <f t="shared" si="141"/>
        <v>0</v>
      </c>
      <c r="R87" s="130">
        <f t="shared" si="141"/>
        <v>0</v>
      </c>
      <c r="S87" s="130">
        <f t="shared" si="141"/>
        <v>0</v>
      </c>
      <c r="T87" s="130">
        <f t="shared" si="141"/>
        <v>0</v>
      </c>
      <c r="U87" s="130">
        <f t="shared" si="141"/>
        <v>0</v>
      </c>
      <c r="V87" s="130">
        <f t="shared" si="141"/>
        <v>0</v>
      </c>
      <c r="W87" s="130">
        <f t="shared" si="141"/>
        <v>0</v>
      </c>
      <c r="X87" s="130">
        <f t="shared" si="141"/>
        <v>0</v>
      </c>
      <c r="Y87" s="130">
        <f t="shared" si="141"/>
        <v>0</v>
      </c>
      <c r="Z87" s="130">
        <f t="shared" si="141"/>
        <v>0</v>
      </c>
      <c r="AA87" s="130">
        <f t="shared" si="141"/>
        <v>0</v>
      </c>
      <c r="AB87" s="130">
        <f>AB30</f>
        <v>0</v>
      </c>
      <c r="AC87" s="130">
        <f>AC30</f>
        <v>0</v>
      </c>
      <c r="AD87" s="130">
        <f t="shared" ref="AD87:AR87" si="142">AD30</f>
        <v>0</v>
      </c>
      <c r="AE87" s="130">
        <f t="shared" si="142"/>
        <v>0</v>
      </c>
      <c r="AF87" s="130">
        <f t="shared" si="142"/>
        <v>0</v>
      </c>
      <c r="AG87" s="130">
        <f t="shared" si="142"/>
        <v>0</v>
      </c>
      <c r="AH87" s="130">
        <f t="shared" si="142"/>
        <v>0</v>
      </c>
      <c r="AI87" s="130">
        <f t="shared" si="142"/>
        <v>0</v>
      </c>
      <c r="AJ87" s="130">
        <f t="shared" si="142"/>
        <v>0</v>
      </c>
      <c r="AK87" s="130">
        <f t="shared" si="142"/>
        <v>0</v>
      </c>
      <c r="AL87" s="130">
        <f>A13</f>
        <v>0</v>
      </c>
      <c r="AM87" s="130">
        <f t="shared" si="142"/>
        <v>0</v>
      </c>
      <c r="AN87" s="130">
        <f t="shared" si="142"/>
        <v>0</v>
      </c>
      <c r="AO87" s="130">
        <f t="shared" si="142"/>
        <v>0</v>
      </c>
      <c r="AP87" s="130">
        <f t="shared" si="142"/>
        <v>0</v>
      </c>
      <c r="AQ87" s="130">
        <f t="shared" si="142"/>
        <v>0</v>
      </c>
      <c r="AR87" s="130">
        <f t="shared" si="142"/>
        <v>0</v>
      </c>
      <c r="AS87" s="130">
        <f t="shared" si="141"/>
        <v>0</v>
      </c>
      <c r="AT87" s="130">
        <f t="shared" ref="AT87:BQ87" si="143">AT30</f>
        <v>0</v>
      </c>
      <c r="AU87" s="130">
        <f t="shared" si="143"/>
        <v>0</v>
      </c>
      <c r="AV87" s="130">
        <f t="shared" si="143"/>
        <v>0</v>
      </c>
      <c r="AW87" s="130">
        <f t="shared" si="143"/>
        <v>0</v>
      </c>
      <c r="AX87" s="130">
        <f t="shared" si="143"/>
        <v>0</v>
      </c>
      <c r="AY87" s="130">
        <f t="shared" si="143"/>
        <v>0</v>
      </c>
      <c r="AZ87" s="130">
        <f t="shared" si="143"/>
        <v>0</v>
      </c>
      <c r="BA87" s="130">
        <f t="shared" si="143"/>
        <v>0</v>
      </c>
      <c r="BB87" s="130">
        <f t="shared" si="143"/>
        <v>0</v>
      </c>
      <c r="BC87" s="130">
        <f t="shared" si="143"/>
        <v>0</v>
      </c>
      <c r="BD87" s="130">
        <f t="shared" si="143"/>
        <v>0</v>
      </c>
      <c r="BE87" s="130">
        <f t="shared" si="143"/>
        <v>0</v>
      </c>
      <c r="BF87" s="130">
        <f t="shared" si="143"/>
        <v>0</v>
      </c>
      <c r="BG87" s="130">
        <f t="shared" si="143"/>
        <v>0</v>
      </c>
      <c r="BH87" s="130">
        <f t="shared" si="143"/>
        <v>0</v>
      </c>
      <c r="BI87" s="130">
        <f t="shared" si="143"/>
        <v>0</v>
      </c>
      <c r="BJ87" s="130">
        <f t="shared" si="143"/>
        <v>0</v>
      </c>
      <c r="BK87" s="130">
        <f t="shared" si="143"/>
        <v>0</v>
      </c>
      <c r="BL87" s="130">
        <f t="shared" si="143"/>
        <v>0</v>
      </c>
      <c r="BM87" s="130">
        <f t="shared" si="143"/>
        <v>0</v>
      </c>
      <c r="BN87" s="130">
        <f t="shared" si="143"/>
        <v>0</v>
      </c>
      <c r="BO87" s="130">
        <f t="shared" si="143"/>
        <v>0</v>
      </c>
      <c r="BP87" s="130">
        <f t="shared" si="143"/>
        <v>0</v>
      </c>
      <c r="BQ87" s="130">
        <f t="shared" si="143"/>
        <v>0</v>
      </c>
    </row>
    <row r="88" spans="1:69" s="126" customFormat="1" ht="13">
      <c r="A88" s="138"/>
      <c r="B88" s="128" t="s">
        <v>253</v>
      </c>
      <c r="C88" s="129">
        <f>C31/1.09</f>
        <v>0</v>
      </c>
      <c r="D88" s="135"/>
      <c r="E88" s="135"/>
      <c r="F88" s="135"/>
      <c r="G88" s="135"/>
      <c r="H88" s="130">
        <f t="shared" ref="H88:M88" si="144">H31/1.11</f>
        <v>0</v>
      </c>
      <c r="I88" s="130">
        <f t="shared" si="144"/>
        <v>0</v>
      </c>
      <c r="J88" s="130">
        <f t="shared" si="144"/>
        <v>0</v>
      </c>
      <c r="K88" s="130">
        <f t="shared" si="144"/>
        <v>0</v>
      </c>
      <c r="L88" s="130">
        <f t="shared" si="144"/>
        <v>0</v>
      </c>
      <c r="M88" s="130">
        <f t="shared" si="144"/>
        <v>0</v>
      </c>
      <c r="N88" s="130">
        <f>N31/1.09</f>
        <v>0</v>
      </c>
      <c r="O88" s="130">
        <f t="shared" ref="O88:AA88" si="145">O31/1.09</f>
        <v>0</v>
      </c>
      <c r="P88" s="130">
        <f t="shared" si="145"/>
        <v>0</v>
      </c>
      <c r="Q88" s="130">
        <f t="shared" si="145"/>
        <v>0</v>
      </c>
      <c r="R88" s="130">
        <f t="shared" si="145"/>
        <v>0</v>
      </c>
      <c r="S88" s="130">
        <f t="shared" si="145"/>
        <v>0</v>
      </c>
      <c r="T88" s="130">
        <f t="shared" si="145"/>
        <v>0</v>
      </c>
      <c r="U88" s="130">
        <f t="shared" si="145"/>
        <v>0</v>
      </c>
      <c r="V88" s="130">
        <f t="shared" si="145"/>
        <v>0</v>
      </c>
      <c r="W88" s="130">
        <f t="shared" si="145"/>
        <v>0</v>
      </c>
      <c r="X88" s="130">
        <f t="shared" si="145"/>
        <v>0</v>
      </c>
      <c r="Y88" s="130">
        <f t="shared" si="145"/>
        <v>0</v>
      </c>
      <c r="Z88" s="130">
        <f t="shared" si="145"/>
        <v>0</v>
      </c>
      <c r="AA88" s="130">
        <f t="shared" si="145"/>
        <v>0</v>
      </c>
      <c r="AB88" s="130">
        <f>AB31/1.09</f>
        <v>0</v>
      </c>
      <c r="AC88" s="130">
        <f>AC31/1.09</f>
        <v>0</v>
      </c>
      <c r="AD88" s="130">
        <f t="shared" ref="AD88:AR88" si="146">AD31/1.09</f>
        <v>0</v>
      </c>
      <c r="AE88" s="130">
        <f t="shared" si="146"/>
        <v>0</v>
      </c>
      <c r="AF88" s="130">
        <f t="shared" si="146"/>
        <v>0</v>
      </c>
      <c r="AG88" s="130">
        <f t="shared" si="146"/>
        <v>0</v>
      </c>
      <c r="AH88" s="130">
        <f t="shared" si="146"/>
        <v>0</v>
      </c>
      <c r="AI88" s="130">
        <f t="shared" si="146"/>
        <v>0</v>
      </c>
      <c r="AJ88" s="130">
        <f t="shared" si="146"/>
        <v>0</v>
      </c>
      <c r="AK88" s="130">
        <f t="shared" si="146"/>
        <v>0</v>
      </c>
      <c r="AL88" s="130">
        <f t="shared" si="146"/>
        <v>0</v>
      </c>
      <c r="AM88" s="130">
        <f t="shared" si="146"/>
        <v>0</v>
      </c>
      <c r="AN88" s="130">
        <f t="shared" si="146"/>
        <v>0</v>
      </c>
      <c r="AO88" s="130">
        <f t="shared" si="146"/>
        <v>0</v>
      </c>
      <c r="AP88" s="130">
        <f t="shared" si="146"/>
        <v>0</v>
      </c>
      <c r="AQ88" s="130">
        <f t="shared" si="146"/>
        <v>0</v>
      </c>
      <c r="AR88" s="130">
        <f t="shared" si="146"/>
        <v>0</v>
      </c>
      <c r="AS88" s="130">
        <f t="shared" ref="AS88:BQ88" si="147">AS31/1.11</f>
        <v>0</v>
      </c>
      <c r="AT88" s="130">
        <f t="shared" si="147"/>
        <v>0</v>
      </c>
      <c r="AU88" s="130">
        <f t="shared" si="147"/>
        <v>0</v>
      </c>
      <c r="AV88" s="130">
        <f t="shared" si="147"/>
        <v>0</v>
      </c>
      <c r="AW88" s="130">
        <f t="shared" si="147"/>
        <v>0</v>
      </c>
      <c r="AX88" s="130">
        <f t="shared" si="147"/>
        <v>0</v>
      </c>
      <c r="AY88" s="130">
        <f t="shared" si="147"/>
        <v>0</v>
      </c>
      <c r="AZ88" s="130">
        <f t="shared" si="147"/>
        <v>0</v>
      </c>
      <c r="BA88" s="130">
        <f t="shared" si="147"/>
        <v>0</v>
      </c>
      <c r="BB88" s="130">
        <f t="shared" si="147"/>
        <v>0</v>
      </c>
      <c r="BC88" s="130">
        <f t="shared" si="147"/>
        <v>0</v>
      </c>
      <c r="BD88" s="130">
        <f t="shared" si="147"/>
        <v>0</v>
      </c>
      <c r="BE88" s="130">
        <f t="shared" si="147"/>
        <v>0</v>
      </c>
      <c r="BF88" s="130">
        <f t="shared" si="147"/>
        <v>0</v>
      </c>
      <c r="BG88" s="130">
        <f t="shared" si="147"/>
        <v>0</v>
      </c>
      <c r="BH88" s="130">
        <f t="shared" si="147"/>
        <v>0</v>
      </c>
      <c r="BI88" s="130">
        <f t="shared" si="147"/>
        <v>0</v>
      </c>
      <c r="BJ88" s="130">
        <f t="shared" si="147"/>
        <v>0</v>
      </c>
      <c r="BK88" s="130">
        <f t="shared" si="147"/>
        <v>0</v>
      </c>
      <c r="BL88" s="130">
        <f t="shared" si="147"/>
        <v>0</v>
      </c>
      <c r="BM88" s="130">
        <f t="shared" si="147"/>
        <v>0</v>
      </c>
      <c r="BN88" s="130">
        <f t="shared" si="147"/>
        <v>0</v>
      </c>
      <c r="BO88" s="130">
        <f t="shared" si="147"/>
        <v>0</v>
      </c>
      <c r="BP88" s="130">
        <f t="shared" si="147"/>
        <v>0</v>
      </c>
      <c r="BQ88" s="130">
        <f t="shared" si="147"/>
        <v>0</v>
      </c>
    </row>
    <row r="89" spans="1:69">
      <c r="A89" s="132"/>
      <c r="B89" s="133" t="s">
        <v>254</v>
      </c>
      <c r="C89" s="133">
        <f>C32/1.09</f>
        <v>0</v>
      </c>
      <c r="D89" s="133"/>
      <c r="E89" s="133"/>
      <c r="F89" s="133"/>
      <c r="G89" s="133"/>
      <c r="H89" s="133"/>
      <c r="I89" s="133"/>
      <c r="J89" s="133"/>
      <c r="K89" s="133">
        <f>K32/1.11</f>
        <v>0</v>
      </c>
      <c r="L89" s="133">
        <f>L32/1.11</f>
        <v>0</v>
      </c>
      <c r="M89" s="133">
        <f>M32/1.11</f>
        <v>0</v>
      </c>
      <c r="N89" s="133">
        <f>N32/1.09</f>
        <v>0</v>
      </c>
      <c r="O89" s="133">
        <f t="shared" ref="O89:AA89" si="148">O32/1.09</f>
        <v>0</v>
      </c>
      <c r="P89" s="133">
        <f t="shared" si="148"/>
        <v>0</v>
      </c>
      <c r="Q89" s="133">
        <f t="shared" si="148"/>
        <v>0</v>
      </c>
      <c r="R89" s="133">
        <f t="shared" si="148"/>
        <v>0</v>
      </c>
      <c r="S89" s="133">
        <f t="shared" si="148"/>
        <v>0</v>
      </c>
      <c r="T89" s="133">
        <f t="shared" si="148"/>
        <v>0</v>
      </c>
      <c r="U89" s="133">
        <f t="shared" si="148"/>
        <v>0</v>
      </c>
      <c r="V89" s="133">
        <f t="shared" si="148"/>
        <v>0</v>
      </c>
      <c r="W89" s="133">
        <f t="shared" si="148"/>
        <v>0</v>
      </c>
      <c r="X89" s="133">
        <f t="shared" si="148"/>
        <v>0</v>
      </c>
      <c r="Y89" s="133">
        <f t="shared" si="148"/>
        <v>0</v>
      </c>
      <c r="Z89" s="133">
        <f t="shared" si="148"/>
        <v>0</v>
      </c>
      <c r="AA89" s="133">
        <f t="shared" si="148"/>
        <v>0</v>
      </c>
      <c r="AB89" s="133">
        <f>AB32/1.09</f>
        <v>0</v>
      </c>
      <c r="AC89" s="133">
        <f>AC32/1.09</f>
        <v>0</v>
      </c>
      <c r="AD89" s="133">
        <f t="shared" ref="AD89:AR89" si="149">AD32/1.09</f>
        <v>0</v>
      </c>
      <c r="AE89" s="133">
        <f t="shared" si="149"/>
        <v>0</v>
      </c>
      <c r="AF89" s="133">
        <f t="shared" si="149"/>
        <v>0</v>
      </c>
      <c r="AG89" s="133">
        <f t="shared" si="149"/>
        <v>0</v>
      </c>
      <c r="AH89" s="133">
        <f t="shared" si="149"/>
        <v>0</v>
      </c>
      <c r="AI89" s="133">
        <f t="shared" si="149"/>
        <v>0</v>
      </c>
      <c r="AJ89" s="133">
        <f t="shared" si="149"/>
        <v>0</v>
      </c>
      <c r="AK89" s="133">
        <f t="shared" si="149"/>
        <v>0</v>
      </c>
      <c r="AL89" s="133">
        <f t="shared" si="149"/>
        <v>0</v>
      </c>
      <c r="AM89" s="133">
        <f t="shared" si="149"/>
        <v>0</v>
      </c>
      <c r="AN89" s="133">
        <f t="shared" si="149"/>
        <v>0</v>
      </c>
      <c r="AO89" s="133">
        <f t="shared" si="149"/>
        <v>0</v>
      </c>
      <c r="AP89" s="133">
        <f t="shared" si="149"/>
        <v>0</v>
      </c>
      <c r="AQ89" s="133">
        <f t="shared" si="149"/>
        <v>0</v>
      </c>
      <c r="AR89" s="133">
        <f t="shared" si="149"/>
        <v>0</v>
      </c>
      <c r="AS89" s="133">
        <f>AS32/1.09</f>
        <v>0</v>
      </c>
      <c r="AT89" s="133">
        <f t="shared" ref="AT89:BQ89" si="150">AT32/1.09</f>
        <v>0</v>
      </c>
      <c r="AU89" s="133">
        <f t="shared" si="150"/>
        <v>0</v>
      </c>
      <c r="AV89" s="133">
        <f t="shared" si="150"/>
        <v>0</v>
      </c>
      <c r="AW89" s="133">
        <f t="shared" si="150"/>
        <v>0</v>
      </c>
      <c r="AX89" s="133">
        <f t="shared" si="150"/>
        <v>0</v>
      </c>
      <c r="AY89" s="133">
        <f t="shared" si="150"/>
        <v>0</v>
      </c>
      <c r="AZ89" s="133">
        <f t="shared" si="150"/>
        <v>0</v>
      </c>
      <c r="BA89" s="133">
        <f t="shared" si="150"/>
        <v>0</v>
      </c>
      <c r="BB89" s="133">
        <f t="shared" si="150"/>
        <v>0</v>
      </c>
      <c r="BC89" s="133">
        <f t="shared" si="150"/>
        <v>0</v>
      </c>
      <c r="BD89" s="133">
        <f t="shared" si="150"/>
        <v>0</v>
      </c>
      <c r="BE89" s="133">
        <f t="shared" si="150"/>
        <v>0</v>
      </c>
      <c r="BF89" s="133">
        <f t="shared" si="150"/>
        <v>0</v>
      </c>
      <c r="BG89" s="133">
        <f t="shared" si="150"/>
        <v>0</v>
      </c>
      <c r="BH89" s="133">
        <f t="shared" si="150"/>
        <v>0</v>
      </c>
      <c r="BI89" s="133">
        <f t="shared" si="150"/>
        <v>0</v>
      </c>
      <c r="BJ89" s="133">
        <f t="shared" si="150"/>
        <v>0</v>
      </c>
      <c r="BK89" s="133">
        <f t="shared" si="150"/>
        <v>0</v>
      </c>
      <c r="BL89" s="133">
        <f t="shared" si="150"/>
        <v>0</v>
      </c>
      <c r="BM89" s="133">
        <f t="shared" si="150"/>
        <v>0</v>
      </c>
      <c r="BN89" s="133">
        <f t="shared" si="150"/>
        <v>0</v>
      </c>
      <c r="BO89" s="133">
        <f t="shared" si="150"/>
        <v>0</v>
      </c>
      <c r="BP89" s="133">
        <f t="shared" si="150"/>
        <v>0</v>
      </c>
      <c r="BQ89" s="133">
        <f t="shared" si="150"/>
        <v>0</v>
      </c>
    </row>
    <row r="90" spans="1:69">
      <c r="A90" s="125" t="s">
        <v>436</v>
      </c>
      <c r="B90" s="120" t="s">
        <v>255</v>
      </c>
      <c r="C90" s="122">
        <f t="shared" ref="C90:AS90" si="151">C33</f>
        <v>0</v>
      </c>
      <c r="D90" s="122">
        <f t="shared" si="151"/>
        <v>0</v>
      </c>
      <c r="E90" s="122">
        <f t="shared" si="151"/>
        <v>0</v>
      </c>
      <c r="F90" s="122">
        <f t="shared" si="151"/>
        <v>0</v>
      </c>
      <c r="G90" s="122">
        <f t="shared" si="151"/>
        <v>0</v>
      </c>
      <c r="H90" s="122">
        <f t="shared" si="151"/>
        <v>0</v>
      </c>
      <c r="I90" s="122">
        <f t="shared" si="151"/>
        <v>0</v>
      </c>
      <c r="J90" s="122">
        <f t="shared" si="151"/>
        <v>0</v>
      </c>
      <c r="K90" s="122">
        <f t="shared" si="151"/>
        <v>0</v>
      </c>
      <c r="L90" s="122">
        <f t="shared" si="151"/>
        <v>0</v>
      </c>
      <c r="M90" s="122">
        <f t="shared" si="151"/>
        <v>0</v>
      </c>
      <c r="N90" s="122">
        <f t="shared" si="151"/>
        <v>0</v>
      </c>
      <c r="O90" s="122">
        <f t="shared" si="151"/>
        <v>0</v>
      </c>
      <c r="P90" s="122">
        <f t="shared" si="151"/>
        <v>0</v>
      </c>
      <c r="Q90" s="122">
        <f t="shared" si="151"/>
        <v>0</v>
      </c>
      <c r="R90" s="122">
        <f t="shared" si="151"/>
        <v>0</v>
      </c>
      <c r="S90" s="122">
        <f t="shared" si="151"/>
        <v>0</v>
      </c>
      <c r="T90" s="122">
        <f t="shared" si="151"/>
        <v>0</v>
      </c>
      <c r="U90" s="122">
        <f t="shared" si="151"/>
        <v>0</v>
      </c>
      <c r="V90" s="122">
        <f t="shared" si="151"/>
        <v>0</v>
      </c>
      <c r="W90" s="122">
        <f t="shared" si="151"/>
        <v>0</v>
      </c>
      <c r="X90" s="122">
        <f t="shared" si="151"/>
        <v>0</v>
      </c>
      <c r="Y90" s="122">
        <f t="shared" si="151"/>
        <v>0</v>
      </c>
      <c r="Z90" s="122">
        <f t="shared" si="151"/>
        <v>0</v>
      </c>
      <c r="AA90" s="122">
        <f t="shared" si="151"/>
        <v>0</v>
      </c>
      <c r="AB90" s="122">
        <f t="shared" si="151"/>
        <v>0</v>
      </c>
      <c r="AC90" s="122">
        <f t="shared" si="151"/>
        <v>0</v>
      </c>
      <c r="AD90" s="122">
        <f t="shared" si="151"/>
        <v>0</v>
      </c>
      <c r="AE90" s="122">
        <f t="shared" si="151"/>
        <v>0</v>
      </c>
      <c r="AF90" s="122">
        <f t="shared" si="151"/>
        <v>0</v>
      </c>
      <c r="AG90" s="122">
        <f t="shared" si="151"/>
        <v>0</v>
      </c>
      <c r="AH90" s="122">
        <f t="shared" si="151"/>
        <v>0</v>
      </c>
      <c r="AI90" s="122">
        <f t="shared" si="151"/>
        <v>0</v>
      </c>
      <c r="AJ90" s="122">
        <f t="shared" si="151"/>
        <v>0</v>
      </c>
      <c r="AK90" s="122">
        <f t="shared" si="151"/>
        <v>0</v>
      </c>
      <c r="AL90" s="122">
        <f t="shared" si="151"/>
        <v>0</v>
      </c>
      <c r="AM90" s="122">
        <f t="shared" si="151"/>
        <v>0</v>
      </c>
      <c r="AN90" s="122">
        <f t="shared" si="151"/>
        <v>0</v>
      </c>
      <c r="AO90" s="122">
        <f t="shared" si="151"/>
        <v>0</v>
      </c>
      <c r="AP90" s="122">
        <f t="shared" si="151"/>
        <v>0</v>
      </c>
      <c r="AQ90" s="122">
        <f t="shared" si="151"/>
        <v>0</v>
      </c>
      <c r="AR90" s="122">
        <f t="shared" si="151"/>
        <v>0</v>
      </c>
      <c r="AS90" s="122">
        <f t="shared" si="151"/>
        <v>0</v>
      </c>
      <c r="AT90" s="122">
        <f t="shared" ref="AT90:BQ90" si="152">AT33</f>
        <v>0</v>
      </c>
      <c r="AU90" s="122">
        <f t="shared" si="152"/>
        <v>0</v>
      </c>
      <c r="AV90" s="122">
        <f t="shared" si="152"/>
        <v>0</v>
      </c>
      <c r="AW90" s="122">
        <f t="shared" si="152"/>
        <v>0</v>
      </c>
      <c r="AX90" s="122">
        <f t="shared" si="152"/>
        <v>0</v>
      </c>
      <c r="AY90" s="122">
        <f t="shared" si="152"/>
        <v>0</v>
      </c>
      <c r="AZ90" s="122">
        <f t="shared" si="152"/>
        <v>0</v>
      </c>
      <c r="BA90" s="122">
        <f t="shared" si="152"/>
        <v>0</v>
      </c>
      <c r="BB90" s="122">
        <f t="shared" si="152"/>
        <v>0</v>
      </c>
      <c r="BC90" s="122">
        <f t="shared" si="152"/>
        <v>0</v>
      </c>
      <c r="BD90" s="122">
        <f t="shared" si="152"/>
        <v>0</v>
      </c>
      <c r="BE90" s="122">
        <f t="shared" si="152"/>
        <v>0</v>
      </c>
      <c r="BF90" s="122">
        <f t="shared" si="152"/>
        <v>0</v>
      </c>
      <c r="BG90" s="122">
        <f t="shared" si="152"/>
        <v>0</v>
      </c>
      <c r="BH90" s="122">
        <f t="shared" si="152"/>
        <v>0</v>
      </c>
      <c r="BI90" s="122">
        <f t="shared" si="152"/>
        <v>0</v>
      </c>
      <c r="BJ90" s="122">
        <f t="shared" si="152"/>
        <v>0</v>
      </c>
      <c r="BK90" s="122">
        <f t="shared" si="152"/>
        <v>0</v>
      </c>
      <c r="BL90" s="122">
        <f t="shared" si="152"/>
        <v>0</v>
      </c>
      <c r="BM90" s="122">
        <f t="shared" si="152"/>
        <v>0</v>
      </c>
      <c r="BN90" s="122">
        <f t="shared" si="152"/>
        <v>0</v>
      </c>
      <c r="BO90" s="122">
        <f t="shared" si="152"/>
        <v>0</v>
      </c>
      <c r="BP90" s="122">
        <f t="shared" si="152"/>
        <v>0</v>
      </c>
      <c r="BQ90" s="122">
        <f t="shared" si="152"/>
        <v>0</v>
      </c>
    </row>
    <row r="91" spans="1:69">
      <c r="A91" s="125"/>
      <c r="B91" s="120" t="s">
        <v>253</v>
      </c>
      <c r="C91" s="122">
        <f t="shared" ref="C91:AS92" si="153">C34/1.11</f>
        <v>0</v>
      </c>
      <c r="D91" s="122">
        <f t="shared" si="153"/>
        <v>0</v>
      </c>
      <c r="E91" s="122">
        <f t="shared" si="153"/>
        <v>0</v>
      </c>
      <c r="F91" s="122">
        <f t="shared" si="153"/>
        <v>0</v>
      </c>
      <c r="G91" s="122">
        <f t="shared" si="153"/>
        <v>0</v>
      </c>
      <c r="H91" s="122">
        <f t="shared" si="153"/>
        <v>0</v>
      </c>
      <c r="I91" s="122">
        <f t="shared" si="153"/>
        <v>0</v>
      </c>
      <c r="J91" s="122">
        <f t="shared" si="153"/>
        <v>0</v>
      </c>
      <c r="K91" s="122">
        <f t="shared" si="153"/>
        <v>0</v>
      </c>
      <c r="L91" s="122">
        <f t="shared" si="153"/>
        <v>0</v>
      </c>
      <c r="M91" s="122">
        <f t="shared" si="153"/>
        <v>0</v>
      </c>
      <c r="N91" s="122">
        <f t="shared" si="153"/>
        <v>0</v>
      </c>
      <c r="O91" s="122">
        <f t="shared" si="153"/>
        <v>0</v>
      </c>
      <c r="P91" s="122">
        <f t="shared" si="153"/>
        <v>0</v>
      </c>
      <c r="Q91" s="122">
        <f t="shared" si="153"/>
        <v>0</v>
      </c>
      <c r="R91" s="122">
        <f t="shared" si="153"/>
        <v>0</v>
      </c>
      <c r="S91" s="122">
        <f t="shared" si="153"/>
        <v>0</v>
      </c>
      <c r="T91" s="122">
        <f t="shared" si="153"/>
        <v>0</v>
      </c>
      <c r="U91" s="122">
        <f t="shared" si="153"/>
        <v>0</v>
      </c>
      <c r="V91" s="122">
        <f t="shared" si="153"/>
        <v>0</v>
      </c>
      <c r="W91" s="122">
        <f t="shared" si="153"/>
        <v>0</v>
      </c>
      <c r="X91" s="122">
        <f t="shared" si="153"/>
        <v>0</v>
      </c>
      <c r="Y91" s="122">
        <f t="shared" si="153"/>
        <v>0</v>
      </c>
      <c r="Z91" s="122">
        <f t="shared" si="153"/>
        <v>0</v>
      </c>
      <c r="AA91" s="122">
        <f t="shared" si="153"/>
        <v>0</v>
      </c>
      <c r="AB91" s="122">
        <f t="shared" si="153"/>
        <v>0</v>
      </c>
      <c r="AC91" s="122">
        <f t="shared" si="153"/>
        <v>0</v>
      </c>
      <c r="AD91" s="122">
        <f t="shared" si="153"/>
        <v>0</v>
      </c>
      <c r="AE91" s="122">
        <f t="shared" si="153"/>
        <v>0</v>
      </c>
      <c r="AF91" s="122">
        <f t="shared" si="153"/>
        <v>0</v>
      </c>
      <c r="AG91" s="122">
        <f t="shared" si="153"/>
        <v>0</v>
      </c>
      <c r="AH91" s="122">
        <f t="shared" si="153"/>
        <v>0</v>
      </c>
      <c r="AI91" s="122">
        <f t="shared" si="153"/>
        <v>0</v>
      </c>
      <c r="AJ91" s="122">
        <f t="shared" si="153"/>
        <v>0</v>
      </c>
      <c r="AK91" s="122">
        <f t="shared" si="153"/>
        <v>0</v>
      </c>
      <c r="AL91" s="122">
        <f t="shared" si="153"/>
        <v>0</v>
      </c>
      <c r="AM91" s="122">
        <f t="shared" si="153"/>
        <v>0</v>
      </c>
      <c r="AN91" s="122">
        <f t="shared" si="153"/>
        <v>0</v>
      </c>
      <c r="AO91" s="122">
        <f t="shared" si="153"/>
        <v>0</v>
      </c>
      <c r="AP91" s="122">
        <f t="shared" si="153"/>
        <v>0</v>
      </c>
      <c r="AQ91" s="122">
        <f t="shared" si="153"/>
        <v>0</v>
      </c>
      <c r="AR91" s="122">
        <f t="shared" si="153"/>
        <v>0</v>
      </c>
      <c r="AS91" s="122">
        <f t="shared" si="153"/>
        <v>0</v>
      </c>
      <c r="AT91" s="122">
        <f t="shared" ref="AT91:BQ91" si="154">AT34/1.11</f>
        <v>0</v>
      </c>
      <c r="AU91" s="122">
        <f t="shared" si="154"/>
        <v>0</v>
      </c>
      <c r="AV91" s="122">
        <f t="shared" si="154"/>
        <v>0</v>
      </c>
      <c r="AW91" s="122">
        <f t="shared" si="154"/>
        <v>0</v>
      </c>
      <c r="AX91" s="122">
        <f t="shared" si="154"/>
        <v>0</v>
      </c>
      <c r="AY91" s="122">
        <f t="shared" si="154"/>
        <v>0</v>
      </c>
      <c r="AZ91" s="122">
        <f t="shared" si="154"/>
        <v>0</v>
      </c>
      <c r="BA91" s="122">
        <f t="shared" si="154"/>
        <v>0</v>
      </c>
      <c r="BB91" s="122">
        <f t="shared" si="154"/>
        <v>0</v>
      </c>
      <c r="BC91" s="122">
        <f t="shared" si="154"/>
        <v>0</v>
      </c>
      <c r="BD91" s="122">
        <f t="shared" si="154"/>
        <v>0</v>
      </c>
      <c r="BE91" s="122">
        <f t="shared" si="154"/>
        <v>0</v>
      </c>
      <c r="BF91" s="122">
        <f t="shared" si="154"/>
        <v>0</v>
      </c>
      <c r="BG91" s="122">
        <f t="shared" si="154"/>
        <v>0</v>
      </c>
      <c r="BH91" s="122">
        <f t="shared" si="154"/>
        <v>0</v>
      </c>
      <c r="BI91" s="122">
        <f t="shared" si="154"/>
        <v>0</v>
      </c>
      <c r="BJ91" s="122">
        <f t="shared" si="154"/>
        <v>0</v>
      </c>
      <c r="BK91" s="122">
        <f t="shared" si="154"/>
        <v>0</v>
      </c>
      <c r="BL91" s="122">
        <f t="shared" si="154"/>
        <v>0</v>
      </c>
      <c r="BM91" s="122">
        <f t="shared" si="154"/>
        <v>0</v>
      </c>
      <c r="BN91" s="122">
        <f t="shared" si="154"/>
        <v>0</v>
      </c>
      <c r="BO91" s="122">
        <f t="shared" si="154"/>
        <v>0</v>
      </c>
      <c r="BP91" s="122">
        <f t="shared" si="154"/>
        <v>0</v>
      </c>
      <c r="BQ91" s="122">
        <f t="shared" si="154"/>
        <v>0</v>
      </c>
    </row>
    <row r="92" spans="1:69">
      <c r="A92" s="125"/>
      <c r="B92" s="120" t="s">
        <v>254</v>
      </c>
      <c r="C92" s="122">
        <f t="shared" si="153"/>
        <v>0</v>
      </c>
      <c r="D92" s="122">
        <f t="shared" si="153"/>
        <v>0</v>
      </c>
      <c r="E92" s="122">
        <f t="shared" si="153"/>
        <v>0</v>
      </c>
      <c r="F92" s="122">
        <f t="shared" si="153"/>
        <v>0</v>
      </c>
      <c r="G92" s="122">
        <f t="shared" si="153"/>
        <v>0</v>
      </c>
      <c r="H92" s="122">
        <f t="shared" si="153"/>
        <v>0</v>
      </c>
      <c r="I92" s="122">
        <f t="shared" si="153"/>
        <v>0</v>
      </c>
      <c r="J92" s="122">
        <f t="shared" si="153"/>
        <v>0</v>
      </c>
      <c r="K92" s="122">
        <f t="shared" si="153"/>
        <v>0</v>
      </c>
      <c r="L92" s="122">
        <f t="shared" si="153"/>
        <v>0</v>
      </c>
      <c r="M92" s="122">
        <f t="shared" si="153"/>
        <v>0</v>
      </c>
      <c r="N92" s="122">
        <f t="shared" si="153"/>
        <v>0</v>
      </c>
      <c r="O92" s="122">
        <f t="shared" si="153"/>
        <v>0</v>
      </c>
      <c r="P92" s="122">
        <f t="shared" si="153"/>
        <v>0</v>
      </c>
      <c r="Q92" s="122">
        <f t="shared" si="153"/>
        <v>0</v>
      </c>
      <c r="R92" s="122">
        <f t="shared" si="153"/>
        <v>0</v>
      </c>
      <c r="S92" s="122">
        <f t="shared" si="153"/>
        <v>0</v>
      </c>
      <c r="T92" s="122">
        <f t="shared" si="153"/>
        <v>0</v>
      </c>
      <c r="U92" s="122">
        <f t="shared" si="153"/>
        <v>0</v>
      </c>
      <c r="V92" s="122">
        <f t="shared" si="153"/>
        <v>0</v>
      </c>
      <c r="W92" s="122">
        <f t="shared" si="153"/>
        <v>0</v>
      </c>
      <c r="X92" s="122">
        <f t="shared" si="153"/>
        <v>0</v>
      </c>
      <c r="Y92" s="122">
        <f t="shared" si="153"/>
        <v>0</v>
      </c>
      <c r="Z92" s="122">
        <f t="shared" si="153"/>
        <v>0</v>
      </c>
      <c r="AA92" s="122">
        <f t="shared" si="153"/>
        <v>0</v>
      </c>
      <c r="AB92" s="122">
        <f t="shared" si="153"/>
        <v>0</v>
      </c>
      <c r="AC92" s="122">
        <f t="shared" si="153"/>
        <v>0</v>
      </c>
      <c r="AD92" s="122">
        <f t="shared" si="153"/>
        <v>0</v>
      </c>
      <c r="AE92" s="122">
        <f t="shared" si="153"/>
        <v>0</v>
      </c>
      <c r="AF92" s="122">
        <f t="shared" si="153"/>
        <v>0</v>
      </c>
      <c r="AG92" s="122">
        <f t="shared" si="153"/>
        <v>0</v>
      </c>
      <c r="AH92" s="122">
        <f t="shared" si="153"/>
        <v>0</v>
      </c>
      <c r="AI92" s="122">
        <f t="shared" si="153"/>
        <v>0</v>
      </c>
      <c r="AJ92" s="122">
        <f t="shared" si="153"/>
        <v>0</v>
      </c>
      <c r="AK92" s="122">
        <f t="shared" si="153"/>
        <v>0</v>
      </c>
      <c r="AL92" s="122">
        <f t="shared" si="153"/>
        <v>0</v>
      </c>
      <c r="AM92" s="122">
        <f t="shared" si="153"/>
        <v>0</v>
      </c>
      <c r="AN92" s="122">
        <f t="shared" si="153"/>
        <v>0</v>
      </c>
      <c r="AO92" s="122">
        <f t="shared" si="153"/>
        <v>0</v>
      </c>
      <c r="AP92" s="122">
        <f t="shared" si="153"/>
        <v>0</v>
      </c>
      <c r="AQ92" s="122">
        <f t="shared" si="153"/>
        <v>0</v>
      </c>
      <c r="AR92" s="122">
        <f t="shared" si="153"/>
        <v>0</v>
      </c>
      <c r="AS92" s="122">
        <f t="shared" si="153"/>
        <v>0</v>
      </c>
      <c r="AT92" s="122">
        <f t="shared" ref="AT92:BQ92" si="155">AT35/1.11</f>
        <v>0</v>
      </c>
      <c r="AU92" s="122">
        <f t="shared" si="155"/>
        <v>0</v>
      </c>
      <c r="AV92" s="122">
        <f t="shared" si="155"/>
        <v>0</v>
      </c>
      <c r="AW92" s="122">
        <f t="shared" si="155"/>
        <v>0</v>
      </c>
      <c r="AX92" s="122">
        <f t="shared" si="155"/>
        <v>0</v>
      </c>
      <c r="AY92" s="122">
        <f t="shared" si="155"/>
        <v>0</v>
      </c>
      <c r="AZ92" s="122">
        <f t="shared" si="155"/>
        <v>0</v>
      </c>
      <c r="BA92" s="122">
        <f t="shared" si="155"/>
        <v>0</v>
      </c>
      <c r="BB92" s="122">
        <f t="shared" si="155"/>
        <v>0</v>
      </c>
      <c r="BC92" s="122">
        <f t="shared" si="155"/>
        <v>0</v>
      </c>
      <c r="BD92" s="122">
        <f t="shared" si="155"/>
        <v>0</v>
      </c>
      <c r="BE92" s="122">
        <f t="shared" si="155"/>
        <v>0</v>
      </c>
      <c r="BF92" s="122">
        <f t="shared" si="155"/>
        <v>0</v>
      </c>
      <c r="BG92" s="122">
        <f t="shared" si="155"/>
        <v>0</v>
      </c>
      <c r="BH92" s="122">
        <f t="shared" si="155"/>
        <v>0</v>
      </c>
      <c r="BI92" s="122">
        <f t="shared" si="155"/>
        <v>0</v>
      </c>
      <c r="BJ92" s="122">
        <f t="shared" si="155"/>
        <v>0</v>
      </c>
      <c r="BK92" s="122">
        <f t="shared" si="155"/>
        <v>0</v>
      </c>
      <c r="BL92" s="122">
        <f t="shared" si="155"/>
        <v>0</v>
      </c>
      <c r="BM92" s="122">
        <f t="shared" si="155"/>
        <v>0</v>
      </c>
      <c r="BN92" s="122">
        <f t="shared" si="155"/>
        <v>0</v>
      </c>
      <c r="BO92" s="122">
        <f t="shared" si="155"/>
        <v>0</v>
      </c>
      <c r="BP92" s="122">
        <f t="shared" si="155"/>
        <v>0</v>
      </c>
      <c r="BQ92" s="122">
        <f t="shared" si="155"/>
        <v>0</v>
      </c>
    </row>
    <row r="93" spans="1:69" s="126" customFormat="1" ht="13">
      <c r="A93" s="127" t="str">
        <f t="shared" ref="A93:A98" si="156">A66</f>
        <v>地库</v>
      </c>
      <c r="B93" s="128" t="s">
        <v>255</v>
      </c>
      <c r="C93" s="129">
        <f t="shared" ref="C93:AS93" si="157">C36</f>
        <v>0</v>
      </c>
      <c r="D93" s="130">
        <f t="shared" si="157"/>
        <v>0</v>
      </c>
      <c r="E93" s="130">
        <f t="shared" si="157"/>
        <v>0</v>
      </c>
      <c r="F93" s="130">
        <f t="shared" si="157"/>
        <v>0</v>
      </c>
      <c r="G93" s="130">
        <f t="shared" si="157"/>
        <v>0</v>
      </c>
      <c r="H93" s="130">
        <f t="shared" si="157"/>
        <v>0</v>
      </c>
      <c r="I93" s="130">
        <f t="shared" si="157"/>
        <v>0</v>
      </c>
      <c r="J93" s="130">
        <f t="shared" si="157"/>
        <v>0</v>
      </c>
      <c r="K93" s="130">
        <f t="shared" si="157"/>
        <v>0</v>
      </c>
      <c r="L93" s="130">
        <f t="shared" si="157"/>
        <v>0</v>
      </c>
      <c r="M93" s="130">
        <f t="shared" si="157"/>
        <v>0</v>
      </c>
      <c r="N93" s="130">
        <f t="shared" si="157"/>
        <v>0</v>
      </c>
      <c r="O93" s="130">
        <f t="shared" si="157"/>
        <v>0</v>
      </c>
      <c r="P93" s="130">
        <f t="shared" si="157"/>
        <v>0</v>
      </c>
      <c r="Q93" s="130">
        <f t="shared" si="157"/>
        <v>0</v>
      </c>
      <c r="R93" s="130">
        <f t="shared" si="157"/>
        <v>0</v>
      </c>
      <c r="S93" s="130">
        <f t="shared" si="157"/>
        <v>0</v>
      </c>
      <c r="T93" s="138">
        <f t="shared" si="157"/>
        <v>0</v>
      </c>
      <c r="U93" s="138">
        <f t="shared" si="157"/>
        <v>0</v>
      </c>
      <c r="V93" s="138">
        <f t="shared" si="157"/>
        <v>0</v>
      </c>
      <c r="W93" s="138">
        <f t="shared" si="157"/>
        <v>0</v>
      </c>
      <c r="X93" s="138">
        <f t="shared" si="157"/>
        <v>0</v>
      </c>
      <c r="Y93" s="138">
        <f t="shared" si="157"/>
        <v>0</v>
      </c>
      <c r="Z93" s="138">
        <f t="shared" si="157"/>
        <v>0</v>
      </c>
      <c r="AA93" s="138">
        <f t="shared" si="157"/>
        <v>0</v>
      </c>
      <c r="AB93" s="138">
        <f t="shared" si="157"/>
        <v>0</v>
      </c>
      <c r="AC93" s="138">
        <f t="shared" si="157"/>
        <v>0</v>
      </c>
      <c r="AD93" s="138">
        <f t="shared" si="157"/>
        <v>0</v>
      </c>
      <c r="AE93" s="138">
        <f t="shared" si="157"/>
        <v>0</v>
      </c>
      <c r="AF93" s="138">
        <f t="shared" si="157"/>
        <v>0</v>
      </c>
      <c r="AG93" s="138">
        <f t="shared" si="157"/>
        <v>0</v>
      </c>
      <c r="AH93" s="138">
        <f t="shared" si="157"/>
        <v>0</v>
      </c>
      <c r="AI93" s="138">
        <f t="shared" si="157"/>
        <v>0</v>
      </c>
      <c r="AJ93" s="138">
        <f t="shared" si="157"/>
        <v>0</v>
      </c>
      <c r="AK93" s="138">
        <f t="shared" si="157"/>
        <v>0</v>
      </c>
      <c r="AL93" s="138">
        <f t="shared" si="157"/>
        <v>0</v>
      </c>
      <c r="AM93" s="138">
        <f t="shared" si="157"/>
        <v>0</v>
      </c>
      <c r="AN93" s="138">
        <f t="shared" si="157"/>
        <v>0</v>
      </c>
      <c r="AO93" s="138">
        <f t="shared" si="157"/>
        <v>0</v>
      </c>
      <c r="AP93" s="138">
        <f t="shared" si="157"/>
        <v>0</v>
      </c>
      <c r="AQ93" s="138">
        <f t="shared" si="157"/>
        <v>0</v>
      </c>
      <c r="AR93" s="138">
        <f t="shared" si="157"/>
        <v>0</v>
      </c>
      <c r="AS93" s="138">
        <f t="shared" si="157"/>
        <v>0</v>
      </c>
      <c r="AT93" s="138">
        <f t="shared" ref="AT93:BQ93" si="158">AT36</f>
        <v>0</v>
      </c>
      <c r="AU93" s="138">
        <f t="shared" si="158"/>
        <v>0</v>
      </c>
      <c r="AV93" s="138">
        <f t="shared" si="158"/>
        <v>0</v>
      </c>
      <c r="AW93" s="138">
        <f t="shared" si="158"/>
        <v>0</v>
      </c>
      <c r="AX93" s="138">
        <f t="shared" si="158"/>
        <v>0</v>
      </c>
      <c r="AY93" s="138">
        <f t="shared" si="158"/>
        <v>0</v>
      </c>
      <c r="AZ93" s="138">
        <f t="shared" si="158"/>
        <v>0</v>
      </c>
      <c r="BA93" s="138">
        <f t="shared" si="158"/>
        <v>0</v>
      </c>
      <c r="BB93" s="138">
        <f t="shared" si="158"/>
        <v>0</v>
      </c>
      <c r="BC93" s="138">
        <f t="shared" si="158"/>
        <v>0</v>
      </c>
      <c r="BD93" s="138">
        <f t="shared" si="158"/>
        <v>0</v>
      </c>
      <c r="BE93" s="138">
        <f t="shared" si="158"/>
        <v>0</v>
      </c>
      <c r="BF93" s="138">
        <f t="shared" si="158"/>
        <v>0</v>
      </c>
      <c r="BG93" s="138">
        <f t="shared" si="158"/>
        <v>0</v>
      </c>
      <c r="BH93" s="138">
        <f t="shared" si="158"/>
        <v>0</v>
      </c>
      <c r="BI93" s="138">
        <f t="shared" si="158"/>
        <v>0</v>
      </c>
      <c r="BJ93" s="138">
        <f t="shared" si="158"/>
        <v>0</v>
      </c>
      <c r="BK93" s="138">
        <f t="shared" si="158"/>
        <v>0</v>
      </c>
      <c r="BL93" s="138">
        <f t="shared" si="158"/>
        <v>0</v>
      </c>
      <c r="BM93" s="138">
        <f t="shared" si="158"/>
        <v>0</v>
      </c>
      <c r="BN93" s="138">
        <f t="shared" si="158"/>
        <v>0</v>
      </c>
      <c r="BO93" s="138">
        <f t="shared" si="158"/>
        <v>0</v>
      </c>
      <c r="BP93" s="138">
        <f t="shared" si="158"/>
        <v>0</v>
      </c>
      <c r="BQ93" s="138">
        <f t="shared" si="158"/>
        <v>0</v>
      </c>
    </row>
    <row r="94" spans="1:69" s="126" customFormat="1" ht="13">
      <c r="A94" s="127">
        <f t="shared" si="156"/>
        <v>0</v>
      </c>
      <c r="B94" s="128" t="s">
        <v>2967</v>
      </c>
      <c r="C94" s="129">
        <f t="shared" ref="C94:AS95" si="159">C37/1.11</f>
        <v>0</v>
      </c>
      <c r="D94" s="130">
        <f t="shared" si="159"/>
        <v>0</v>
      </c>
      <c r="E94" s="130">
        <f t="shared" si="159"/>
        <v>0</v>
      </c>
      <c r="F94" s="129">
        <f t="shared" si="159"/>
        <v>0</v>
      </c>
      <c r="G94" s="129">
        <f t="shared" si="159"/>
        <v>0</v>
      </c>
      <c r="H94" s="130">
        <f t="shared" si="159"/>
        <v>0</v>
      </c>
      <c r="I94" s="130">
        <f t="shared" si="159"/>
        <v>0</v>
      </c>
      <c r="J94" s="130">
        <f t="shared" si="159"/>
        <v>0</v>
      </c>
      <c r="K94" s="130">
        <f t="shared" si="159"/>
        <v>0</v>
      </c>
      <c r="L94" s="130">
        <f t="shared" si="159"/>
        <v>0</v>
      </c>
      <c r="M94" s="130">
        <f t="shared" si="159"/>
        <v>0</v>
      </c>
      <c r="N94" s="130">
        <f t="shared" si="159"/>
        <v>0</v>
      </c>
      <c r="O94" s="130">
        <f t="shared" si="159"/>
        <v>0</v>
      </c>
      <c r="P94" s="130">
        <f t="shared" si="159"/>
        <v>0</v>
      </c>
      <c r="Q94" s="130">
        <f t="shared" si="159"/>
        <v>0</v>
      </c>
      <c r="R94" s="130">
        <f t="shared" si="159"/>
        <v>0</v>
      </c>
      <c r="S94" s="130">
        <f t="shared" si="159"/>
        <v>0</v>
      </c>
      <c r="T94" s="130">
        <f t="shared" si="159"/>
        <v>0</v>
      </c>
      <c r="U94" s="130">
        <f t="shared" si="159"/>
        <v>0</v>
      </c>
      <c r="V94" s="130">
        <f t="shared" si="159"/>
        <v>0</v>
      </c>
      <c r="W94" s="130">
        <f t="shared" si="159"/>
        <v>0</v>
      </c>
      <c r="X94" s="130">
        <f t="shared" si="159"/>
        <v>0</v>
      </c>
      <c r="Y94" s="130">
        <f t="shared" si="159"/>
        <v>0</v>
      </c>
      <c r="Z94" s="130">
        <f t="shared" si="159"/>
        <v>0</v>
      </c>
      <c r="AA94" s="130">
        <f t="shared" si="159"/>
        <v>0</v>
      </c>
      <c r="AB94" s="130">
        <f t="shared" si="159"/>
        <v>0</v>
      </c>
      <c r="AC94" s="130">
        <f t="shared" si="159"/>
        <v>0</v>
      </c>
      <c r="AD94" s="130">
        <f t="shared" si="159"/>
        <v>0</v>
      </c>
      <c r="AE94" s="130">
        <f t="shared" si="159"/>
        <v>0</v>
      </c>
      <c r="AF94" s="130">
        <f t="shared" si="159"/>
        <v>0</v>
      </c>
      <c r="AG94" s="130">
        <f t="shared" si="159"/>
        <v>0</v>
      </c>
      <c r="AH94" s="130">
        <f t="shared" si="159"/>
        <v>0</v>
      </c>
      <c r="AI94" s="130">
        <f t="shared" si="159"/>
        <v>0</v>
      </c>
      <c r="AJ94" s="130">
        <f t="shared" si="159"/>
        <v>0</v>
      </c>
      <c r="AK94" s="130">
        <f t="shared" si="159"/>
        <v>0</v>
      </c>
      <c r="AL94" s="130">
        <f t="shared" si="159"/>
        <v>0</v>
      </c>
      <c r="AM94" s="130">
        <f t="shared" si="159"/>
        <v>0</v>
      </c>
      <c r="AN94" s="130">
        <f t="shared" si="159"/>
        <v>0</v>
      </c>
      <c r="AO94" s="130">
        <f t="shared" si="159"/>
        <v>0</v>
      </c>
      <c r="AP94" s="130">
        <f t="shared" si="159"/>
        <v>0</v>
      </c>
      <c r="AQ94" s="130">
        <f t="shared" si="159"/>
        <v>0</v>
      </c>
      <c r="AR94" s="130">
        <f t="shared" si="159"/>
        <v>0</v>
      </c>
      <c r="AS94" s="130">
        <f t="shared" si="159"/>
        <v>0</v>
      </c>
      <c r="AT94" s="130">
        <f t="shared" ref="AT94:BQ94" si="160">AT37/1.11</f>
        <v>0</v>
      </c>
      <c r="AU94" s="130">
        <f t="shared" si="160"/>
        <v>0</v>
      </c>
      <c r="AV94" s="130">
        <f t="shared" si="160"/>
        <v>0</v>
      </c>
      <c r="AW94" s="130">
        <f t="shared" si="160"/>
        <v>0</v>
      </c>
      <c r="AX94" s="130">
        <f t="shared" si="160"/>
        <v>0</v>
      </c>
      <c r="AY94" s="130">
        <f t="shared" si="160"/>
        <v>0</v>
      </c>
      <c r="AZ94" s="130">
        <f t="shared" si="160"/>
        <v>0</v>
      </c>
      <c r="BA94" s="130">
        <f t="shared" si="160"/>
        <v>0</v>
      </c>
      <c r="BB94" s="130">
        <f t="shared" si="160"/>
        <v>0</v>
      </c>
      <c r="BC94" s="130">
        <f t="shared" si="160"/>
        <v>0</v>
      </c>
      <c r="BD94" s="130">
        <f t="shared" si="160"/>
        <v>0</v>
      </c>
      <c r="BE94" s="130">
        <f t="shared" si="160"/>
        <v>0</v>
      </c>
      <c r="BF94" s="130">
        <f t="shared" si="160"/>
        <v>0</v>
      </c>
      <c r="BG94" s="130">
        <f t="shared" si="160"/>
        <v>0</v>
      </c>
      <c r="BH94" s="130">
        <f t="shared" si="160"/>
        <v>0</v>
      </c>
      <c r="BI94" s="130">
        <f t="shared" si="160"/>
        <v>0</v>
      </c>
      <c r="BJ94" s="130">
        <f t="shared" si="160"/>
        <v>0</v>
      </c>
      <c r="BK94" s="130">
        <f t="shared" si="160"/>
        <v>0</v>
      </c>
      <c r="BL94" s="130">
        <f t="shared" si="160"/>
        <v>0</v>
      </c>
      <c r="BM94" s="130">
        <f t="shared" si="160"/>
        <v>0</v>
      </c>
      <c r="BN94" s="130">
        <f t="shared" si="160"/>
        <v>0</v>
      </c>
      <c r="BO94" s="130">
        <f t="shared" si="160"/>
        <v>0</v>
      </c>
      <c r="BP94" s="130">
        <f t="shared" si="160"/>
        <v>0</v>
      </c>
      <c r="BQ94" s="130">
        <f t="shared" si="160"/>
        <v>0</v>
      </c>
    </row>
    <row r="95" spans="1:69">
      <c r="A95" s="132">
        <f t="shared" si="156"/>
        <v>0</v>
      </c>
      <c r="B95" s="133" t="s">
        <v>254</v>
      </c>
      <c r="C95" s="133">
        <f t="shared" si="159"/>
        <v>0</v>
      </c>
      <c r="D95" s="133">
        <f t="shared" si="159"/>
        <v>0</v>
      </c>
      <c r="E95" s="133">
        <f t="shared" si="159"/>
        <v>0</v>
      </c>
      <c r="F95" s="133">
        <f t="shared" si="159"/>
        <v>0</v>
      </c>
      <c r="G95" s="133">
        <f t="shared" si="159"/>
        <v>0</v>
      </c>
      <c r="H95" s="133">
        <f t="shared" si="159"/>
        <v>0</v>
      </c>
      <c r="I95" s="133">
        <f t="shared" si="159"/>
        <v>0</v>
      </c>
      <c r="J95" s="133">
        <f t="shared" si="159"/>
        <v>0</v>
      </c>
      <c r="K95" s="133">
        <f t="shared" si="159"/>
        <v>0</v>
      </c>
      <c r="L95" s="133">
        <f t="shared" si="159"/>
        <v>0</v>
      </c>
      <c r="M95" s="133">
        <f t="shared" si="159"/>
        <v>0</v>
      </c>
      <c r="N95" s="133">
        <f t="shared" si="159"/>
        <v>0</v>
      </c>
      <c r="O95" s="133">
        <f t="shared" si="159"/>
        <v>0</v>
      </c>
      <c r="P95" s="133">
        <f t="shared" si="159"/>
        <v>0</v>
      </c>
      <c r="Q95" s="133">
        <f t="shared" si="159"/>
        <v>0</v>
      </c>
      <c r="R95" s="133">
        <f t="shared" si="159"/>
        <v>0</v>
      </c>
      <c r="S95" s="133">
        <f t="shared" si="159"/>
        <v>0</v>
      </c>
      <c r="T95" s="133">
        <f t="shared" si="159"/>
        <v>0</v>
      </c>
      <c r="U95" s="133">
        <f t="shared" si="159"/>
        <v>0</v>
      </c>
      <c r="V95" s="133">
        <f t="shared" si="159"/>
        <v>0</v>
      </c>
      <c r="W95" s="133">
        <f t="shared" si="159"/>
        <v>0</v>
      </c>
      <c r="X95" s="133">
        <f t="shared" si="159"/>
        <v>0</v>
      </c>
      <c r="Y95" s="133">
        <f t="shared" si="159"/>
        <v>0</v>
      </c>
      <c r="Z95" s="133">
        <f t="shared" si="159"/>
        <v>0</v>
      </c>
      <c r="AA95" s="133">
        <f t="shared" si="159"/>
        <v>0</v>
      </c>
      <c r="AB95" s="133">
        <f t="shared" si="159"/>
        <v>0</v>
      </c>
      <c r="AC95" s="133">
        <f t="shared" si="159"/>
        <v>0</v>
      </c>
      <c r="AD95" s="133">
        <f t="shared" si="159"/>
        <v>0</v>
      </c>
      <c r="AE95" s="133">
        <f t="shared" si="159"/>
        <v>0</v>
      </c>
      <c r="AF95" s="133">
        <f t="shared" si="159"/>
        <v>0</v>
      </c>
      <c r="AG95" s="133">
        <f t="shared" si="159"/>
        <v>0</v>
      </c>
      <c r="AH95" s="133">
        <f t="shared" si="159"/>
        <v>0</v>
      </c>
      <c r="AI95" s="133">
        <f t="shared" si="159"/>
        <v>0</v>
      </c>
      <c r="AJ95" s="133">
        <f t="shared" si="159"/>
        <v>0</v>
      </c>
      <c r="AK95" s="133">
        <f t="shared" si="159"/>
        <v>0</v>
      </c>
      <c r="AL95" s="133">
        <f t="shared" si="159"/>
        <v>0</v>
      </c>
      <c r="AM95" s="133">
        <f t="shared" si="159"/>
        <v>0</v>
      </c>
      <c r="AN95" s="133">
        <f t="shared" si="159"/>
        <v>0</v>
      </c>
      <c r="AO95" s="133">
        <f t="shared" si="159"/>
        <v>0</v>
      </c>
      <c r="AP95" s="133">
        <f t="shared" si="159"/>
        <v>0</v>
      </c>
      <c r="AQ95" s="133">
        <f t="shared" si="159"/>
        <v>0</v>
      </c>
      <c r="AR95" s="133">
        <f t="shared" si="159"/>
        <v>0</v>
      </c>
      <c r="AS95" s="133">
        <f t="shared" si="159"/>
        <v>0</v>
      </c>
      <c r="AT95" s="133">
        <f t="shared" ref="AT95:BQ95" si="161">AT38/1.11</f>
        <v>0</v>
      </c>
      <c r="AU95" s="133">
        <f t="shared" si="161"/>
        <v>0</v>
      </c>
      <c r="AV95" s="133">
        <f t="shared" si="161"/>
        <v>0</v>
      </c>
      <c r="AW95" s="133">
        <f t="shared" si="161"/>
        <v>0</v>
      </c>
      <c r="AX95" s="133">
        <f t="shared" si="161"/>
        <v>0</v>
      </c>
      <c r="AY95" s="133">
        <f t="shared" si="161"/>
        <v>0</v>
      </c>
      <c r="AZ95" s="133">
        <f t="shared" si="161"/>
        <v>0</v>
      </c>
      <c r="BA95" s="133">
        <f t="shared" si="161"/>
        <v>0</v>
      </c>
      <c r="BB95" s="133">
        <f t="shared" si="161"/>
        <v>0</v>
      </c>
      <c r="BC95" s="133">
        <f t="shared" si="161"/>
        <v>0</v>
      </c>
      <c r="BD95" s="133">
        <f t="shared" si="161"/>
        <v>0</v>
      </c>
      <c r="BE95" s="133">
        <f t="shared" si="161"/>
        <v>0</v>
      </c>
      <c r="BF95" s="133">
        <f t="shared" si="161"/>
        <v>0</v>
      </c>
      <c r="BG95" s="133">
        <f t="shared" si="161"/>
        <v>0</v>
      </c>
      <c r="BH95" s="133">
        <f t="shared" si="161"/>
        <v>0</v>
      </c>
      <c r="BI95" s="133">
        <f t="shared" si="161"/>
        <v>0</v>
      </c>
      <c r="BJ95" s="133">
        <f t="shared" si="161"/>
        <v>0</v>
      </c>
      <c r="BK95" s="133">
        <f t="shared" si="161"/>
        <v>0</v>
      </c>
      <c r="BL95" s="133">
        <f t="shared" si="161"/>
        <v>0</v>
      </c>
      <c r="BM95" s="133">
        <f t="shared" si="161"/>
        <v>0</v>
      </c>
      <c r="BN95" s="133">
        <f t="shared" si="161"/>
        <v>0</v>
      </c>
      <c r="BO95" s="133">
        <f t="shared" si="161"/>
        <v>0</v>
      </c>
      <c r="BP95" s="133">
        <f t="shared" si="161"/>
        <v>0</v>
      </c>
      <c r="BQ95" s="133">
        <f t="shared" si="161"/>
        <v>0</v>
      </c>
    </row>
    <row r="96" spans="1:69" s="126" customFormat="1" ht="13">
      <c r="A96" s="127" t="str">
        <f t="shared" si="156"/>
        <v>高层（27F）</v>
      </c>
      <c r="B96" s="128" t="s">
        <v>255</v>
      </c>
      <c r="C96" s="129">
        <f t="shared" ref="C96:AS96" si="162">C39</f>
        <v>0</v>
      </c>
      <c r="D96" s="130">
        <f t="shared" si="162"/>
        <v>0</v>
      </c>
      <c r="E96" s="130">
        <f t="shared" si="162"/>
        <v>0</v>
      </c>
      <c r="F96" s="130">
        <f t="shared" si="162"/>
        <v>0</v>
      </c>
      <c r="G96" s="130">
        <f t="shared" si="162"/>
        <v>0</v>
      </c>
      <c r="H96" s="130">
        <f t="shared" si="162"/>
        <v>0</v>
      </c>
      <c r="I96" s="130">
        <f t="shared" si="162"/>
        <v>0</v>
      </c>
      <c r="J96" s="130">
        <f t="shared" si="162"/>
        <v>0</v>
      </c>
      <c r="K96" s="130">
        <f t="shared" si="162"/>
        <v>0</v>
      </c>
      <c r="L96" s="130">
        <f t="shared" si="162"/>
        <v>0</v>
      </c>
      <c r="M96" s="130">
        <f t="shared" si="162"/>
        <v>0</v>
      </c>
      <c r="N96" s="130">
        <f t="shared" si="162"/>
        <v>0</v>
      </c>
      <c r="O96" s="130">
        <f t="shared" si="162"/>
        <v>0</v>
      </c>
      <c r="P96" s="130">
        <f t="shared" si="162"/>
        <v>0</v>
      </c>
      <c r="Q96" s="130">
        <f t="shared" si="162"/>
        <v>0</v>
      </c>
      <c r="R96" s="130">
        <f t="shared" si="162"/>
        <v>0</v>
      </c>
      <c r="S96" s="130">
        <f t="shared" si="162"/>
        <v>0</v>
      </c>
      <c r="T96" s="138">
        <f t="shared" si="162"/>
        <v>0</v>
      </c>
      <c r="U96" s="138">
        <f t="shared" si="162"/>
        <v>0</v>
      </c>
      <c r="V96" s="138">
        <f t="shared" si="162"/>
        <v>0</v>
      </c>
      <c r="W96" s="138">
        <f t="shared" si="162"/>
        <v>0</v>
      </c>
      <c r="X96" s="138">
        <f t="shared" si="162"/>
        <v>0</v>
      </c>
      <c r="Y96" s="138">
        <f t="shared" si="162"/>
        <v>0</v>
      </c>
      <c r="Z96" s="138">
        <f t="shared" si="162"/>
        <v>0</v>
      </c>
      <c r="AA96" s="138">
        <f t="shared" si="162"/>
        <v>0</v>
      </c>
      <c r="AB96" s="138">
        <f t="shared" si="162"/>
        <v>0</v>
      </c>
      <c r="AC96" s="138">
        <f t="shared" si="162"/>
        <v>0</v>
      </c>
      <c r="AD96" s="138">
        <f t="shared" si="162"/>
        <v>0</v>
      </c>
      <c r="AE96" s="138">
        <f t="shared" si="162"/>
        <v>0</v>
      </c>
      <c r="AF96" s="138">
        <f t="shared" si="162"/>
        <v>0</v>
      </c>
      <c r="AG96" s="138">
        <f t="shared" si="162"/>
        <v>0</v>
      </c>
      <c r="AH96" s="138">
        <f t="shared" si="162"/>
        <v>0</v>
      </c>
      <c r="AI96" s="138">
        <f t="shared" si="162"/>
        <v>0</v>
      </c>
      <c r="AJ96" s="138">
        <f t="shared" si="162"/>
        <v>0</v>
      </c>
      <c r="AK96" s="138">
        <f t="shared" si="162"/>
        <v>0</v>
      </c>
      <c r="AL96" s="138">
        <f t="shared" si="162"/>
        <v>0</v>
      </c>
      <c r="AM96" s="138">
        <f t="shared" si="162"/>
        <v>0</v>
      </c>
      <c r="AN96" s="138">
        <f t="shared" si="162"/>
        <v>0</v>
      </c>
      <c r="AO96" s="138">
        <f t="shared" si="162"/>
        <v>0</v>
      </c>
      <c r="AP96" s="138">
        <f t="shared" si="162"/>
        <v>0</v>
      </c>
      <c r="AQ96" s="138">
        <f t="shared" si="162"/>
        <v>0</v>
      </c>
      <c r="AR96" s="138">
        <f t="shared" si="162"/>
        <v>0</v>
      </c>
      <c r="AS96" s="138">
        <f t="shared" si="162"/>
        <v>0</v>
      </c>
      <c r="AT96" s="138">
        <f t="shared" ref="AT96:BQ96" si="163">AT39</f>
        <v>0</v>
      </c>
      <c r="AU96" s="138">
        <f t="shared" si="163"/>
        <v>0</v>
      </c>
      <c r="AV96" s="138">
        <f t="shared" si="163"/>
        <v>0</v>
      </c>
      <c r="AW96" s="138">
        <f t="shared" si="163"/>
        <v>0</v>
      </c>
      <c r="AX96" s="138">
        <f t="shared" si="163"/>
        <v>0</v>
      </c>
      <c r="AY96" s="138">
        <f t="shared" si="163"/>
        <v>0</v>
      </c>
      <c r="AZ96" s="138">
        <f t="shared" si="163"/>
        <v>0</v>
      </c>
      <c r="BA96" s="138">
        <f t="shared" si="163"/>
        <v>0</v>
      </c>
      <c r="BB96" s="138">
        <f t="shared" si="163"/>
        <v>0</v>
      </c>
      <c r="BC96" s="138">
        <f t="shared" si="163"/>
        <v>0</v>
      </c>
      <c r="BD96" s="138">
        <f t="shared" si="163"/>
        <v>0</v>
      </c>
      <c r="BE96" s="138">
        <f t="shared" si="163"/>
        <v>0</v>
      </c>
      <c r="BF96" s="138">
        <f t="shared" si="163"/>
        <v>0</v>
      </c>
      <c r="BG96" s="138">
        <f t="shared" si="163"/>
        <v>0</v>
      </c>
      <c r="BH96" s="138">
        <f t="shared" si="163"/>
        <v>0</v>
      </c>
      <c r="BI96" s="138">
        <f t="shared" si="163"/>
        <v>0</v>
      </c>
      <c r="BJ96" s="138">
        <f t="shared" si="163"/>
        <v>0</v>
      </c>
      <c r="BK96" s="138">
        <f t="shared" si="163"/>
        <v>0</v>
      </c>
      <c r="BL96" s="138">
        <f t="shared" si="163"/>
        <v>0</v>
      </c>
      <c r="BM96" s="138">
        <f t="shared" si="163"/>
        <v>0</v>
      </c>
      <c r="BN96" s="138">
        <f t="shared" si="163"/>
        <v>0</v>
      </c>
      <c r="BO96" s="138">
        <f t="shared" si="163"/>
        <v>0</v>
      </c>
      <c r="BP96" s="138">
        <f t="shared" si="163"/>
        <v>0</v>
      </c>
      <c r="BQ96" s="138">
        <f t="shared" si="163"/>
        <v>0</v>
      </c>
    </row>
    <row r="97" spans="1:69" s="126" customFormat="1" ht="13">
      <c r="A97" s="127">
        <f t="shared" si="156"/>
        <v>0</v>
      </c>
      <c r="B97" s="128" t="s">
        <v>2967</v>
      </c>
      <c r="C97" s="129">
        <f t="shared" ref="C97:AS98" si="164">C40/1.11</f>
        <v>0</v>
      </c>
      <c r="D97" s="130">
        <f t="shared" si="164"/>
        <v>0</v>
      </c>
      <c r="E97" s="130">
        <f t="shared" si="164"/>
        <v>0</v>
      </c>
      <c r="F97" s="129">
        <f t="shared" si="164"/>
        <v>0</v>
      </c>
      <c r="G97" s="129">
        <f t="shared" si="164"/>
        <v>0</v>
      </c>
      <c r="H97" s="130">
        <f t="shared" si="164"/>
        <v>0</v>
      </c>
      <c r="I97" s="130">
        <f t="shared" si="164"/>
        <v>0</v>
      </c>
      <c r="J97" s="130">
        <f t="shared" si="164"/>
        <v>0</v>
      </c>
      <c r="K97" s="130">
        <f t="shared" si="164"/>
        <v>0</v>
      </c>
      <c r="L97" s="130">
        <f t="shared" si="164"/>
        <v>0</v>
      </c>
      <c r="M97" s="130">
        <f t="shared" si="164"/>
        <v>0</v>
      </c>
      <c r="N97" s="130">
        <f t="shared" si="164"/>
        <v>0</v>
      </c>
      <c r="O97" s="130">
        <f t="shared" si="164"/>
        <v>0</v>
      </c>
      <c r="P97" s="130">
        <f t="shared" si="164"/>
        <v>0</v>
      </c>
      <c r="Q97" s="130">
        <f t="shared" si="164"/>
        <v>0</v>
      </c>
      <c r="R97" s="130">
        <f t="shared" si="164"/>
        <v>0</v>
      </c>
      <c r="S97" s="130">
        <f t="shared" si="164"/>
        <v>0</v>
      </c>
      <c r="T97" s="130">
        <f t="shared" si="164"/>
        <v>0</v>
      </c>
      <c r="U97" s="130">
        <f t="shared" si="164"/>
        <v>0</v>
      </c>
      <c r="V97" s="130">
        <f t="shared" si="164"/>
        <v>0</v>
      </c>
      <c r="W97" s="130">
        <f t="shared" si="164"/>
        <v>0</v>
      </c>
      <c r="X97" s="130">
        <f t="shared" si="164"/>
        <v>0</v>
      </c>
      <c r="Y97" s="130">
        <f t="shared" si="164"/>
        <v>0</v>
      </c>
      <c r="Z97" s="130">
        <f t="shared" si="164"/>
        <v>0</v>
      </c>
      <c r="AA97" s="130">
        <f t="shared" si="164"/>
        <v>0</v>
      </c>
      <c r="AB97" s="130">
        <f t="shared" si="164"/>
        <v>0</v>
      </c>
      <c r="AC97" s="130">
        <f t="shared" si="164"/>
        <v>0</v>
      </c>
      <c r="AD97" s="130">
        <f t="shared" si="164"/>
        <v>0</v>
      </c>
      <c r="AE97" s="130">
        <f t="shared" si="164"/>
        <v>0</v>
      </c>
      <c r="AF97" s="130">
        <f t="shared" si="164"/>
        <v>0</v>
      </c>
      <c r="AG97" s="130">
        <f t="shared" si="164"/>
        <v>0</v>
      </c>
      <c r="AH97" s="130">
        <f t="shared" si="164"/>
        <v>0</v>
      </c>
      <c r="AI97" s="130">
        <f t="shared" si="164"/>
        <v>0</v>
      </c>
      <c r="AJ97" s="130">
        <f t="shared" si="164"/>
        <v>0</v>
      </c>
      <c r="AK97" s="130">
        <f t="shared" si="164"/>
        <v>0</v>
      </c>
      <c r="AL97" s="130">
        <f t="shared" si="164"/>
        <v>0</v>
      </c>
      <c r="AM97" s="130">
        <f t="shared" si="164"/>
        <v>0</v>
      </c>
      <c r="AN97" s="130">
        <f t="shared" si="164"/>
        <v>0</v>
      </c>
      <c r="AO97" s="130">
        <f t="shared" si="164"/>
        <v>0</v>
      </c>
      <c r="AP97" s="130">
        <f t="shared" si="164"/>
        <v>0</v>
      </c>
      <c r="AQ97" s="130">
        <f t="shared" si="164"/>
        <v>0</v>
      </c>
      <c r="AR97" s="130">
        <f t="shared" si="164"/>
        <v>0</v>
      </c>
      <c r="AS97" s="130">
        <f t="shared" si="164"/>
        <v>0</v>
      </c>
      <c r="AT97" s="130">
        <f t="shared" ref="AT97:BQ97" si="165">AT40/1.11</f>
        <v>0</v>
      </c>
      <c r="AU97" s="130">
        <f t="shared" si="165"/>
        <v>0</v>
      </c>
      <c r="AV97" s="130">
        <f t="shared" si="165"/>
        <v>0</v>
      </c>
      <c r="AW97" s="130">
        <f t="shared" si="165"/>
        <v>0</v>
      </c>
      <c r="AX97" s="130">
        <f t="shared" si="165"/>
        <v>0</v>
      </c>
      <c r="AY97" s="130">
        <f t="shared" si="165"/>
        <v>0</v>
      </c>
      <c r="AZ97" s="130">
        <f t="shared" si="165"/>
        <v>0</v>
      </c>
      <c r="BA97" s="130">
        <f t="shared" si="165"/>
        <v>0</v>
      </c>
      <c r="BB97" s="130">
        <f t="shared" si="165"/>
        <v>0</v>
      </c>
      <c r="BC97" s="130">
        <f t="shared" si="165"/>
        <v>0</v>
      </c>
      <c r="BD97" s="130">
        <f t="shared" si="165"/>
        <v>0</v>
      </c>
      <c r="BE97" s="130">
        <f t="shared" si="165"/>
        <v>0</v>
      </c>
      <c r="BF97" s="130">
        <f t="shared" si="165"/>
        <v>0</v>
      </c>
      <c r="BG97" s="130">
        <f t="shared" si="165"/>
        <v>0</v>
      </c>
      <c r="BH97" s="130">
        <f t="shared" si="165"/>
        <v>0</v>
      </c>
      <c r="BI97" s="130">
        <f t="shared" si="165"/>
        <v>0</v>
      </c>
      <c r="BJ97" s="130">
        <f t="shared" si="165"/>
        <v>0</v>
      </c>
      <c r="BK97" s="130">
        <f t="shared" si="165"/>
        <v>0</v>
      </c>
      <c r="BL97" s="130">
        <f t="shared" si="165"/>
        <v>0</v>
      </c>
      <c r="BM97" s="130">
        <f t="shared" si="165"/>
        <v>0</v>
      </c>
      <c r="BN97" s="130">
        <f t="shared" si="165"/>
        <v>0</v>
      </c>
      <c r="BO97" s="130">
        <f t="shared" si="165"/>
        <v>0</v>
      </c>
      <c r="BP97" s="130">
        <f t="shared" si="165"/>
        <v>0</v>
      </c>
      <c r="BQ97" s="130">
        <f t="shared" si="165"/>
        <v>0</v>
      </c>
    </row>
    <row r="98" spans="1:69">
      <c r="A98" s="132">
        <f t="shared" si="156"/>
        <v>0</v>
      </c>
      <c r="B98" s="133" t="s">
        <v>254</v>
      </c>
      <c r="C98" s="133">
        <f t="shared" si="164"/>
        <v>0</v>
      </c>
      <c r="D98" s="133">
        <f t="shared" si="164"/>
        <v>0</v>
      </c>
      <c r="E98" s="133">
        <f t="shared" si="164"/>
        <v>0</v>
      </c>
      <c r="F98" s="133">
        <f t="shared" si="164"/>
        <v>0</v>
      </c>
      <c r="G98" s="133">
        <f t="shared" si="164"/>
        <v>0</v>
      </c>
      <c r="H98" s="133">
        <f t="shared" si="164"/>
        <v>0</v>
      </c>
      <c r="I98" s="133">
        <f t="shared" si="164"/>
        <v>0</v>
      </c>
      <c r="J98" s="133">
        <f t="shared" si="164"/>
        <v>0</v>
      </c>
      <c r="K98" s="133">
        <f t="shared" si="164"/>
        <v>0</v>
      </c>
      <c r="L98" s="133">
        <f t="shared" si="164"/>
        <v>0</v>
      </c>
      <c r="M98" s="133">
        <f t="shared" si="164"/>
        <v>0</v>
      </c>
      <c r="N98" s="133">
        <f t="shared" si="164"/>
        <v>0</v>
      </c>
      <c r="O98" s="133">
        <f t="shared" si="164"/>
        <v>0</v>
      </c>
      <c r="P98" s="133">
        <f t="shared" si="164"/>
        <v>0</v>
      </c>
      <c r="Q98" s="133">
        <f t="shared" si="164"/>
        <v>0</v>
      </c>
      <c r="R98" s="133">
        <f t="shared" si="164"/>
        <v>0</v>
      </c>
      <c r="S98" s="133">
        <f t="shared" si="164"/>
        <v>0</v>
      </c>
      <c r="T98" s="133">
        <f t="shared" si="164"/>
        <v>0</v>
      </c>
      <c r="U98" s="133">
        <f t="shared" si="164"/>
        <v>0</v>
      </c>
      <c r="V98" s="133">
        <f t="shared" si="164"/>
        <v>0</v>
      </c>
      <c r="W98" s="133">
        <f t="shared" si="164"/>
        <v>0</v>
      </c>
      <c r="X98" s="133">
        <f t="shared" si="164"/>
        <v>0</v>
      </c>
      <c r="Y98" s="133">
        <f t="shared" si="164"/>
        <v>0</v>
      </c>
      <c r="Z98" s="133">
        <f t="shared" si="164"/>
        <v>0</v>
      </c>
      <c r="AA98" s="133">
        <f t="shared" si="164"/>
        <v>0</v>
      </c>
      <c r="AB98" s="133">
        <f t="shared" si="164"/>
        <v>0</v>
      </c>
      <c r="AC98" s="133">
        <f t="shared" si="164"/>
        <v>0</v>
      </c>
      <c r="AD98" s="133">
        <f t="shared" si="164"/>
        <v>0</v>
      </c>
      <c r="AE98" s="133">
        <f t="shared" si="164"/>
        <v>0</v>
      </c>
      <c r="AF98" s="133">
        <f t="shared" si="164"/>
        <v>0</v>
      </c>
      <c r="AG98" s="133">
        <f t="shared" si="164"/>
        <v>0</v>
      </c>
      <c r="AH98" s="133">
        <f t="shared" si="164"/>
        <v>0</v>
      </c>
      <c r="AI98" s="133">
        <f t="shared" si="164"/>
        <v>0</v>
      </c>
      <c r="AJ98" s="133">
        <f t="shared" si="164"/>
        <v>0</v>
      </c>
      <c r="AK98" s="133">
        <f t="shared" si="164"/>
        <v>0</v>
      </c>
      <c r="AL98" s="133">
        <f t="shared" si="164"/>
        <v>0</v>
      </c>
      <c r="AM98" s="133">
        <f t="shared" si="164"/>
        <v>0</v>
      </c>
      <c r="AN98" s="133">
        <f t="shared" si="164"/>
        <v>0</v>
      </c>
      <c r="AO98" s="133">
        <f t="shared" si="164"/>
        <v>0</v>
      </c>
      <c r="AP98" s="133">
        <f t="shared" si="164"/>
        <v>0</v>
      </c>
      <c r="AQ98" s="133">
        <f t="shared" si="164"/>
        <v>0</v>
      </c>
      <c r="AR98" s="133">
        <f t="shared" si="164"/>
        <v>0</v>
      </c>
      <c r="AS98" s="133">
        <f t="shared" si="164"/>
        <v>0</v>
      </c>
      <c r="AT98" s="133">
        <f t="shared" ref="AT98:BQ98" si="166">AT41/1.11</f>
        <v>0</v>
      </c>
      <c r="AU98" s="133">
        <f t="shared" si="166"/>
        <v>0</v>
      </c>
      <c r="AV98" s="133">
        <f t="shared" si="166"/>
        <v>0</v>
      </c>
      <c r="AW98" s="133">
        <f t="shared" si="166"/>
        <v>0</v>
      </c>
      <c r="AX98" s="133">
        <f t="shared" si="166"/>
        <v>0</v>
      </c>
      <c r="AY98" s="133">
        <f t="shared" si="166"/>
        <v>0</v>
      </c>
      <c r="AZ98" s="133">
        <f t="shared" si="166"/>
        <v>0</v>
      </c>
      <c r="BA98" s="133">
        <f t="shared" si="166"/>
        <v>0</v>
      </c>
      <c r="BB98" s="133">
        <f t="shared" si="166"/>
        <v>0</v>
      </c>
      <c r="BC98" s="133">
        <f t="shared" si="166"/>
        <v>0</v>
      </c>
      <c r="BD98" s="133">
        <f t="shared" si="166"/>
        <v>0</v>
      </c>
      <c r="BE98" s="133">
        <f t="shared" si="166"/>
        <v>0</v>
      </c>
      <c r="BF98" s="133">
        <f t="shared" si="166"/>
        <v>0</v>
      </c>
      <c r="BG98" s="133">
        <f t="shared" si="166"/>
        <v>0</v>
      </c>
      <c r="BH98" s="133">
        <f t="shared" si="166"/>
        <v>0</v>
      </c>
      <c r="BI98" s="133">
        <f t="shared" si="166"/>
        <v>0</v>
      </c>
      <c r="BJ98" s="133">
        <f t="shared" si="166"/>
        <v>0</v>
      </c>
      <c r="BK98" s="133">
        <f t="shared" si="166"/>
        <v>0</v>
      </c>
      <c r="BL98" s="133">
        <f t="shared" si="166"/>
        <v>0</v>
      </c>
      <c r="BM98" s="133">
        <f t="shared" si="166"/>
        <v>0</v>
      </c>
      <c r="BN98" s="133">
        <f t="shared" si="166"/>
        <v>0</v>
      </c>
      <c r="BO98" s="133">
        <f t="shared" si="166"/>
        <v>0</v>
      </c>
      <c r="BP98" s="133">
        <f t="shared" si="166"/>
        <v>0</v>
      </c>
      <c r="BQ98" s="133">
        <f t="shared" si="166"/>
        <v>0</v>
      </c>
    </row>
    <row r="99" spans="1:69" s="126" customFormat="1" ht="13">
      <c r="A99" s="127" t="str">
        <f>A78</f>
        <v>小高层（8~11F）</v>
      </c>
      <c r="B99" s="128" t="s">
        <v>255</v>
      </c>
      <c r="C99" s="129">
        <f t="shared" ref="C99:AS99" si="167">C42</f>
        <v>0</v>
      </c>
      <c r="D99" s="130">
        <f t="shared" si="167"/>
        <v>0</v>
      </c>
      <c r="E99" s="130">
        <f t="shared" si="167"/>
        <v>0</v>
      </c>
      <c r="F99" s="130">
        <f t="shared" si="167"/>
        <v>0</v>
      </c>
      <c r="G99" s="130">
        <f t="shared" si="167"/>
        <v>0</v>
      </c>
      <c r="H99" s="130">
        <f t="shared" si="167"/>
        <v>0</v>
      </c>
      <c r="I99" s="130">
        <f t="shared" si="167"/>
        <v>0</v>
      </c>
      <c r="J99" s="130">
        <f t="shared" si="167"/>
        <v>0</v>
      </c>
      <c r="K99" s="130">
        <f t="shared" si="167"/>
        <v>0</v>
      </c>
      <c r="L99" s="130">
        <f t="shared" si="167"/>
        <v>0</v>
      </c>
      <c r="M99" s="130">
        <f t="shared" si="167"/>
        <v>0</v>
      </c>
      <c r="N99" s="130">
        <f t="shared" si="167"/>
        <v>0</v>
      </c>
      <c r="O99" s="130">
        <f t="shared" si="167"/>
        <v>0</v>
      </c>
      <c r="P99" s="130">
        <f t="shared" si="167"/>
        <v>0</v>
      </c>
      <c r="Q99" s="130">
        <f t="shared" si="167"/>
        <v>0</v>
      </c>
      <c r="R99" s="130">
        <f t="shared" si="167"/>
        <v>0</v>
      </c>
      <c r="S99" s="130">
        <f t="shared" si="167"/>
        <v>0</v>
      </c>
      <c r="T99" s="138">
        <f t="shared" si="167"/>
        <v>0</v>
      </c>
      <c r="U99" s="138">
        <f t="shared" si="167"/>
        <v>0</v>
      </c>
      <c r="V99" s="138">
        <f t="shared" si="167"/>
        <v>0</v>
      </c>
      <c r="W99" s="138">
        <f t="shared" si="167"/>
        <v>0</v>
      </c>
      <c r="X99" s="138">
        <f t="shared" si="167"/>
        <v>0</v>
      </c>
      <c r="Y99" s="138">
        <f t="shared" si="167"/>
        <v>0</v>
      </c>
      <c r="Z99" s="138">
        <f t="shared" si="167"/>
        <v>0</v>
      </c>
      <c r="AA99" s="138">
        <f t="shared" si="167"/>
        <v>0</v>
      </c>
      <c r="AB99" s="138">
        <f t="shared" si="167"/>
        <v>0</v>
      </c>
      <c r="AC99" s="138">
        <f t="shared" si="167"/>
        <v>0</v>
      </c>
      <c r="AD99" s="138">
        <f t="shared" si="167"/>
        <v>0</v>
      </c>
      <c r="AE99" s="138">
        <f t="shared" si="167"/>
        <v>0</v>
      </c>
      <c r="AF99" s="138">
        <f t="shared" si="167"/>
        <v>0</v>
      </c>
      <c r="AG99" s="138">
        <f t="shared" si="167"/>
        <v>0</v>
      </c>
      <c r="AH99" s="138">
        <f t="shared" si="167"/>
        <v>0</v>
      </c>
      <c r="AI99" s="138">
        <f t="shared" si="167"/>
        <v>0</v>
      </c>
      <c r="AJ99" s="138">
        <f t="shared" si="167"/>
        <v>0</v>
      </c>
      <c r="AK99" s="138">
        <f t="shared" si="167"/>
        <v>0</v>
      </c>
      <c r="AL99" s="138">
        <f t="shared" si="167"/>
        <v>0</v>
      </c>
      <c r="AM99" s="138">
        <f t="shared" si="167"/>
        <v>0</v>
      </c>
      <c r="AN99" s="138">
        <f t="shared" si="167"/>
        <v>0</v>
      </c>
      <c r="AO99" s="138">
        <f t="shared" si="167"/>
        <v>0</v>
      </c>
      <c r="AP99" s="138">
        <f t="shared" si="167"/>
        <v>0</v>
      </c>
      <c r="AQ99" s="138">
        <f t="shared" si="167"/>
        <v>0</v>
      </c>
      <c r="AR99" s="138">
        <f t="shared" si="167"/>
        <v>0</v>
      </c>
      <c r="AS99" s="138">
        <f t="shared" si="167"/>
        <v>0</v>
      </c>
      <c r="AT99" s="138">
        <f t="shared" ref="AT99:BQ99" si="168">AT42</f>
        <v>0</v>
      </c>
      <c r="AU99" s="138">
        <f t="shared" si="168"/>
        <v>0</v>
      </c>
      <c r="AV99" s="138">
        <f t="shared" si="168"/>
        <v>0</v>
      </c>
      <c r="AW99" s="138">
        <f t="shared" si="168"/>
        <v>0</v>
      </c>
      <c r="AX99" s="138">
        <f t="shared" si="168"/>
        <v>0</v>
      </c>
      <c r="AY99" s="138">
        <f t="shared" si="168"/>
        <v>0</v>
      </c>
      <c r="AZ99" s="138">
        <f t="shared" si="168"/>
        <v>0</v>
      </c>
      <c r="BA99" s="138">
        <f t="shared" si="168"/>
        <v>0</v>
      </c>
      <c r="BB99" s="138">
        <f t="shared" si="168"/>
        <v>0</v>
      </c>
      <c r="BC99" s="138">
        <f t="shared" si="168"/>
        <v>0</v>
      </c>
      <c r="BD99" s="138">
        <f t="shared" si="168"/>
        <v>0</v>
      </c>
      <c r="BE99" s="138">
        <f t="shared" si="168"/>
        <v>0</v>
      </c>
      <c r="BF99" s="138">
        <f t="shared" si="168"/>
        <v>0</v>
      </c>
      <c r="BG99" s="138">
        <f t="shared" si="168"/>
        <v>0</v>
      </c>
      <c r="BH99" s="138">
        <f t="shared" si="168"/>
        <v>0</v>
      </c>
      <c r="BI99" s="138">
        <f t="shared" si="168"/>
        <v>0</v>
      </c>
      <c r="BJ99" s="138">
        <f t="shared" si="168"/>
        <v>0</v>
      </c>
      <c r="BK99" s="138">
        <f t="shared" si="168"/>
        <v>0</v>
      </c>
      <c r="BL99" s="138">
        <f t="shared" si="168"/>
        <v>0</v>
      </c>
      <c r="BM99" s="138">
        <f t="shared" si="168"/>
        <v>0</v>
      </c>
      <c r="BN99" s="138">
        <f t="shared" si="168"/>
        <v>0</v>
      </c>
      <c r="BO99" s="138">
        <f t="shared" si="168"/>
        <v>0</v>
      </c>
      <c r="BP99" s="138">
        <f t="shared" si="168"/>
        <v>0</v>
      </c>
      <c r="BQ99" s="138">
        <f t="shared" si="168"/>
        <v>0</v>
      </c>
    </row>
    <row r="100" spans="1:69" s="126" customFormat="1" ht="13">
      <c r="A100" s="127">
        <f>A68</f>
        <v>0</v>
      </c>
      <c r="B100" s="128" t="s">
        <v>2967</v>
      </c>
      <c r="C100" s="129">
        <f t="shared" ref="C100:AS101" si="169">C43/1.11</f>
        <v>0</v>
      </c>
      <c r="D100" s="130">
        <f t="shared" si="169"/>
        <v>0</v>
      </c>
      <c r="E100" s="130">
        <f t="shared" si="169"/>
        <v>0</v>
      </c>
      <c r="F100" s="129">
        <f t="shared" si="169"/>
        <v>0</v>
      </c>
      <c r="G100" s="129">
        <f t="shared" si="169"/>
        <v>0</v>
      </c>
      <c r="H100" s="130">
        <f t="shared" si="169"/>
        <v>0</v>
      </c>
      <c r="I100" s="130">
        <f t="shared" si="169"/>
        <v>0</v>
      </c>
      <c r="J100" s="130">
        <f t="shared" si="169"/>
        <v>0</v>
      </c>
      <c r="K100" s="130">
        <f t="shared" si="169"/>
        <v>0</v>
      </c>
      <c r="L100" s="130">
        <f t="shared" si="169"/>
        <v>0</v>
      </c>
      <c r="M100" s="130">
        <f t="shared" si="169"/>
        <v>0</v>
      </c>
      <c r="N100" s="130">
        <f t="shared" si="169"/>
        <v>0</v>
      </c>
      <c r="O100" s="130">
        <f t="shared" si="169"/>
        <v>0</v>
      </c>
      <c r="P100" s="130">
        <f t="shared" si="169"/>
        <v>0</v>
      </c>
      <c r="Q100" s="130">
        <f t="shared" si="169"/>
        <v>0</v>
      </c>
      <c r="R100" s="130">
        <f t="shared" si="169"/>
        <v>0</v>
      </c>
      <c r="S100" s="130">
        <f t="shared" si="169"/>
        <v>0</v>
      </c>
      <c r="T100" s="130">
        <f t="shared" si="169"/>
        <v>0</v>
      </c>
      <c r="U100" s="130">
        <f t="shared" si="169"/>
        <v>0</v>
      </c>
      <c r="V100" s="130">
        <f t="shared" si="169"/>
        <v>0</v>
      </c>
      <c r="W100" s="130">
        <f t="shared" si="169"/>
        <v>0</v>
      </c>
      <c r="X100" s="130">
        <f t="shared" si="169"/>
        <v>0</v>
      </c>
      <c r="Y100" s="130">
        <f t="shared" si="169"/>
        <v>0</v>
      </c>
      <c r="Z100" s="130">
        <f t="shared" si="169"/>
        <v>0</v>
      </c>
      <c r="AA100" s="130">
        <f t="shared" si="169"/>
        <v>0</v>
      </c>
      <c r="AB100" s="130">
        <f t="shared" si="169"/>
        <v>0</v>
      </c>
      <c r="AC100" s="130">
        <f t="shared" si="169"/>
        <v>0</v>
      </c>
      <c r="AD100" s="130">
        <f t="shared" si="169"/>
        <v>0</v>
      </c>
      <c r="AE100" s="130">
        <f t="shared" si="169"/>
        <v>0</v>
      </c>
      <c r="AF100" s="130">
        <f t="shared" si="169"/>
        <v>0</v>
      </c>
      <c r="AG100" s="130">
        <f t="shared" si="169"/>
        <v>0</v>
      </c>
      <c r="AH100" s="130">
        <f t="shared" si="169"/>
        <v>0</v>
      </c>
      <c r="AI100" s="130">
        <f t="shared" si="169"/>
        <v>0</v>
      </c>
      <c r="AJ100" s="130">
        <f t="shared" si="169"/>
        <v>0</v>
      </c>
      <c r="AK100" s="130">
        <f t="shared" si="169"/>
        <v>0</v>
      </c>
      <c r="AL100" s="130">
        <f t="shared" si="169"/>
        <v>0</v>
      </c>
      <c r="AM100" s="130">
        <f t="shared" si="169"/>
        <v>0</v>
      </c>
      <c r="AN100" s="130">
        <f t="shared" si="169"/>
        <v>0</v>
      </c>
      <c r="AO100" s="130">
        <f t="shared" si="169"/>
        <v>0</v>
      </c>
      <c r="AP100" s="130">
        <f t="shared" si="169"/>
        <v>0</v>
      </c>
      <c r="AQ100" s="130">
        <f t="shared" si="169"/>
        <v>0</v>
      </c>
      <c r="AR100" s="130">
        <f t="shared" si="169"/>
        <v>0</v>
      </c>
      <c r="AS100" s="130">
        <f t="shared" si="169"/>
        <v>0</v>
      </c>
      <c r="AT100" s="130">
        <f t="shared" ref="AT100:BQ100" si="170">AT43/1.11</f>
        <v>0</v>
      </c>
      <c r="AU100" s="130">
        <f t="shared" si="170"/>
        <v>0</v>
      </c>
      <c r="AV100" s="130">
        <f t="shared" si="170"/>
        <v>0</v>
      </c>
      <c r="AW100" s="130">
        <f t="shared" si="170"/>
        <v>0</v>
      </c>
      <c r="AX100" s="130">
        <f t="shared" si="170"/>
        <v>0</v>
      </c>
      <c r="AY100" s="130">
        <f t="shared" si="170"/>
        <v>0</v>
      </c>
      <c r="AZ100" s="130">
        <f t="shared" si="170"/>
        <v>0</v>
      </c>
      <c r="BA100" s="130">
        <f t="shared" si="170"/>
        <v>0</v>
      </c>
      <c r="BB100" s="130">
        <f t="shared" si="170"/>
        <v>0</v>
      </c>
      <c r="BC100" s="130">
        <f t="shared" si="170"/>
        <v>0</v>
      </c>
      <c r="BD100" s="130">
        <f t="shared" si="170"/>
        <v>0</v>
      </c>
      <c r="BE100" s="130">
        <f t="shared" si="170"/>
        <v>0</v>
      </c>
      <c r="BF100" s="130">
        <f t="shared" si="170"/>
        <v>0</v>
      </c>
      <c r="BG100" s="130">
        <f t="shared" si="170"/>
        <v>0</v>
      </c>
      <c r="BH100" s="130">
        <f t="shared" si="170"/>
        <v>0</v>
      </c>
      <c r="BI100" s="130">
        <f t="shared" si="170"/>
        <v>0</v>
      </c>
      <c r="BJ100" s="130">
        <f t="shared" si="170"/>
        <v>0</v>
      </c>
      <c r="BK100" s="130">
        <f t="shared" si="170"/>
        <v>0</v>
      </c>
      <c r="BL100" s="130">
        <f t="shared" si="170"/>
        <v>0</v>
      </c>
      <c r="BM100" s="130">
        <f t="shared" si="170"/>
        <v>0</v>
      </c>
      <c r="BN100" s="130">
        <f t="shared" si="170"/>
        <v>0</v>
      </c>
      <c r="BO100" s="130">
        <f t="shared" si="170"/>
        <v>0</v>
      </c>
      <c r="BP100" s="130">
        <f t="shared" si="170"/>
        <v>0</v>
      </c>
      <c r="BQ100" s="130">
        <f t="shared" si="170"/>
        <v>0</v>
      </c>
    </row>
    <row r="101" spans="1:69">
      <c r="A101" s="132">
        <f>A80</f>
        <v>0</v>
      </c>
      <c r="B101" s="133" t="s">
        <v>254</v>
      </c>
      <c r="C101" s="133">
        <f t="shared" si="169"/>
        <v>0</v>
      </c>
      <c r="D101" s="133">
        <f t="shared" si="169"/>
        <v>0</v>
      </c>
      <c r="E101" s="133">
        <f t="shared" si="169"/>
        <v>0</v>
      </c>
      <c r="F101" s="133">
        <f t="shared" si="169"/>
        <v>0</v>
      </c>
      <c r="G101" s="133">
        <f t="shared" si="169"/>
        <v>0</v>
      </c>
      <c r="H101" s="133">
        <f t="shared" si="169"/>
        <v>0</v>
      </c>
      <c r="I101" s="133">
        <f t="shared" si="169"/>
        <v>0</v>
      </c>
      <c r="J101" s="133">
        <f t="shared" si="169"/>
        <v>0</v>
      </c>
      <c r="K101" s="133">
        <f t="shared" si="169"/>
        <v>0</v>
      </c>
      <c r="L101" s="133">
        <f t="shared" si="169"/>
        <v>0</v>
      </c>
      <c r="M101" s="133">
        <f t="shared" si="169"/>
        <v>0</v>
      </c>
      <c r="N101" s="133">
        <f t="shared" si="169"/>
        <v>0</v>
      </c>
      <c r="O101" s="133">
        <f t="shared" si="169"/>
        <v>0</v>
      </c>
      <c r="P101" s="133">
        <f t="shared" si="169"/>
        <v>0</v>
      </c>
      <c r="Q101" s="133">
        <f t="shared" si="169"/>
        <v>0</v>
      </c>
      <c r="R101" s="133">
        <f t="shared" si="169"/>
        <v>0</v>
      </c>
      <c r="S101" s="133">
        <f t="shared" si="169"/>
        <v>0</v>
      </c>
      <c r="T101" s="133">
        <f t="shared" si="169"/>
        <v>0</v>
      </c>
      <c r="U101" s="133">
        <f t="shared" si="169"/>
        <v>0</v>
      </c>
      <c r="V101" s="133">
        <f t="shared" si="169"/>
        <v>0</v>
      </c>
      <c r="W101" s="133">
        <f t="shared" si="169"/>
        <v>0</v>
      </c>
      <c r="X101" s="133">
        <f t="shared" si="169"/>
        <v>0</v>
      </c>
      <c r="Y101" s="133">
        <f t="shared" si="169"/>
        <v>0</v>
      </c>
      <c r="Z101" s="133">
        <f t="shared" si="169"/>
        <v>0</v>
      </c>
      <c r="AA101" s="133">
        <f t="shared" si="169"/>
        <v>0</v>
      </c>
      <c r="AB101" s="133">
        <f t="shared" si="169"/>
        <v>0</v>
      </c>
      <c r="AC101" s="133">
        <f t="shared" si="169"/>
        <v>0</v>
      </c>
      <c r="AD101" s="133">
        <f t="shared" si="169"/>
        <v>0</v>
      </c>
      <c r="AE101" s="133">
        <f t="shared" si="169"/>
        <v>0</v>
      </c>
      <c r="AF101" s="133">
        <f t="shared" si="169"/>
        <v>0</v>
      </c>
      <c r="AG101" s="133">
        <f t="shared" si="169"/>
        <v>0</v>
      </c>
      <c r="AH101" s="133">
        <f t="shared" si="169"/>
        <v>0</v>
      </c>
      <c r="AI101" s="133">
        <f t="shared" si="169"/>
        <v>0</v>
      </c>
      <c r="AJ101" s="133">
        <f t="shared" si="169"/>
        <v>0</v>
      </c>
      <c r="AK101" s="133">
        <f t="shared" si="169"/>
        <v>0</v>
      </c>
      <c r="AL101" s="133">
        <f t="shared" si="169"/>
        <v>0</v>
      </c>
      <c r="AM101" s="133">
        <f t="shared" si="169"/>
        <v>0</v>
      </c>
      <c r="AN101" s="133">
        <f t="shared" si="169"/>
        <v>0</v>
      </c>
      <c r="AO101" s="133">
        <f t="shared" si="169"/>
        <v>0</v>
      </c>
      <c r="AP101" s="133">
        <f t="shared" si="169"/>
        <v>0</v>
      </c>
      <c r="AQ101" s="133">
        <f t="shared" si="169"/>
        <v>0</v>
      </c>
      <c r="AR101" s="133">
        <f t="shared" si="169"/>
        <v>0</v>
      </c>
      <c r="AS101" s="133">
        <f t="shared" si="169"/>
        <v>0</v>
      </c>
      <c r="AT101" s="133">
        <f t="shared" ref="AT101:BQ101" si="171">AT44/1.11</f>
        <v>0</v>
      </c>
      <c r="AU101" s="133">
        <f t="shared" si="171"/>
        <v>0</v>
      </c>
      <c r="AV101" s="133">
        <f t="shared" si="171"/>
        <v>0</v>
      </c>
      <c r="AW101" s="133">
        <f t="shared" si="171"/>
        <v>0</v>
      </c>
      <c r="AX101" s="133">
        <f t="shared" si="171"/>
        <v>0</v>
      </c>
      <c r="AY101" s="133">
        <f t="shared" si="171"/>
        <v>0</v>
      </c>
      <c r="AZ101" s="133">
        <f t="shared" si="171"/>
        <v>0</v>
      </c>
      <c r="BA101" s="133">
        <f t="shared" si="171"/>
        <v>0</v>
      </c>
      <c r="BB101" s="133">
        <f t="shared" si="171"/>
        <v>0</v>
      </c>
      <c r="BC101" s="133">
        <f t="shared" si="171"/>
        <v>0</v>
      </c>
      <c r="BD101" s="133">
        <f t="shared" si="171"/>
        <v>0</v>
      </c>
      <c r="BE101" s="133">
        <f t="shared" si="171"/>
        <v>0</v>
      </c>
      <c r="BF101" s="133">
        <f t="shared" si="171"/>
        <v>0</v>
      </c>
      <c r="BG101" s="133">
        <f t="shared" si="171"/>
        <v>0</v>
      </c>
      <c r="BH101" s="133">
        <f t="shared" si="171"/>
        <v>0</v>
      </c>
      <c r="BI101" s="133">
        <f t="shared" si="171"/>
        <v>0</v>
      </c>
      <c r="BJ101" s="133">
        <f t="shared" si="171"/>
        <v>0</v>
      </c>
      <c r="BK101" s="133">
        <f t="shared" si="171"/>
        <v>0</v>
      </c>
      <c r="BL101" s="133">
        <f t="shared" si="171"/>
        <v>0</v>
      </c>
      <c r="BM101" s="133">
        <f t="shared" si="171"/>
        <v>0</v>
      </c>
      <c r="BN101" s="133">
        <f t="shared" si="171"/>
        <v>0</v>
      </c>
      <c r="BO101" s="133">
        <f t="shared" si="171"/>
        <v>0</v>
      </c>
      <c r="BP101" s="133">
        <f t="shared" si="171"/>
        <v>0</v>
      </c>
      <c r="BQ101" s="133">
        <f t="shared" si="171"/>
        <v>0</v>
      </c>
    </row>
    <row r="102" spans="1:69">
      <c r="A102" s="125" t="s">
        <v>437</v>
      </c>
      <c r="B102" s="120" t="s">
        <v>255</v>
      </c>
      <c r="C102" s="122">
        <f t="shared" ref="C102:AS102" si="172">C45</f>
        <v>0</v>
      </c>
      <c r="D102" s="122">
        <f t="shared" si="172"/>
        <v>0</v>
      </c>
      <c r="E102" s="122">
        <f t="shared" si="172"/>
        <v>0</v>
      </c>
      <c r="F102" s="122">
        <f t="shared" si="172"/>
        <v>0</v>
      </c>
      <c r="G102" s="122">
        <f t="shared" si="172"/>
        <v>0</v>
      </c>
      <c r="H102" s="122">
        <f t="shared" si="172"/>
        <v>0</v>
      </c>
      <c r="I102" s="122">
        <f t="shared" si="172"/>
        <v>0</v>
      </c>
      <c r="J102" s="122">
        <f t="shared" si="172"/>
        <v>0</v>
      </c>
      <c r="K102" s="122">
        <f t="shared" si="172"/>
        <v>0</v>
      </c>
      <c r="L102" s="122">
        <f t="shared" si="172"/>
        <v>0</v>
      </c>
      <c r="M102" s="122">
        <f t="shared" si="172"/>
        <v>0</v>
      </c>
      <c r="N102" s="122">
        <f t="shared" si="172"/>
        <v>0</v>
      </c>
      <c r="O102" s="122">
        <f t="shared" si="172"/>
        <v>0</v>
      </c>
      <c r="P102" s="122">
        <f t="shared" si="172"/>
        <v>0</v>
      </c>
      <c r="Q102" s="122">
        <f t="shared" si="172"/>
        <v>0</v>
      </c>
      <c r="R102" s="122">
        <f t="shared" si="172"/>
        <v>0</v>
      </c>
      <c r="S102" s="122">
        <f t="shared" si="172"/>
        <v>0</v>
      </c>
      <c r="T102" s="122">
        <f t="shared" si="172"/>
        <v>0</v>
      </c>
      <c r="U102" s="122">
        <f t="shared" si="172"/>
        <v>0</v>
      </c>
      <c r="V102" s="122">
        <f t="shared" si="172"/>
        <v>0</v>
      </c>
      <c r="W102" s="122">
        <f t="shared" si="172"/>
        <v>0</v>
      </c>
      <c r="X102" s="122">
        <f t="shared" si="172"/>
        <v>0</v>
      </c>
      <c r="Y102" s="122">
        <f t="shared" si="172"/>
        <v>0</v>
      </c>
      <c r="Z102" s="122">
        <f t="shared" si="172"/>
        <v>0</v>
      </c>
      <c r="AA102" s="122">
        <f t="shared" si="172"/>
        <v>0</v>
      </c>
      <c r="AB102" s="122">
        <f t="shared" si="172"/>
        <v>0</v>
      </c>
      <c r="AC102" s="122">
        <f t="shared" si="172"/>
        <v>0</v>
      </c>
      <c r="AD102" s="122">
        <f t="shared" si="172"/>
        <v>0</v>
      </c>
      <c r="AE102" s="122">
        <f t="shared" si="172"/>
        <v>0</v>
      </c>
      <c r="AF102" s="122">
        <f t="shared" si="172"/>
        <v>0</v>
      </c>
      <c r="AG102" s="122">
        <f t="shared" si="172"/>
        <v>0</v>
      </c>
      <c r="AH102" s="122">
        <f t="shared" si="172"/>
        <v>0</v>
      </c>
      <c r="AI102" s="122">
        <f t="shared" si="172"/>
        <v>0</v>
      </c>
      <c r="AJ102" s="122">
        <f t="shared" si="172"/>
        <v>0</v>
      </c>
      <c r="AK102" s="122">
        <f t="shared" si="172"/>
        <v>0</v>
      </c>
      <c r="AL102" s="122">
        <f t="shared" si="172"/>
        <v>0</v>
      </c>
      <c r="AM102" s="122">
        <f t="shared" si="172"/>
        <v>0</v>
      </c>
      <c r="AN102" s="122">
        <f t="shared" si="172"/>
        <v>0</v>
      </c>
      <c r="AO102" s="122">
        <f t="shared" si="172"/>
        <v>0</v>
      </c>
      <c r="AP102" s="122">
        <f t="shared" si="172"/>
        <v>0</v>
      </c>
      <c r="AQ102" s="122">
        <f t="shared" si="172"/>
        <v>0</v>
      </c>
      <c r="AR102" s="122">
        <f t="shared" si="172"/>
        <v>0</v>
      </c>
      <c r="AS102" s="122">
        <f t="shared" si="172"/>
        <v>0</v>
      </c>
      <c r="AT102" s="122">
        <f t="shared" ref="AT102:BQ102" si="173">AT45</f>
        <v>0</v>
      </c>
      <c r="AU102" s="122">
        <f t="shared" si="173"/>
        <v>0</v>
      </c>
      <c r="AV102" s="122">
        <f t="shared" si="173"/>
        <v>0</v>
      </c>
      <c r="AW102" s="122">
        <f t="shared" si="173"/>
        <v>0</v>
      </c>
      <c r="AX102" s="122">
        <f t="shared" si="173"/>
        <v>0</v>
      </c>
      <c r="AY102" s="122">
        <f t="shared" si="173"/>
        <v>0</v>
      </c>
      <c r="AZ102" s="122">
        <f t="shared" si="173"/>
        <v>0</v>
      </c>
      <c r="BA102" s="122">
        <f t="shared" si="173"/>
        <v>0</v>
      </c>
      <c r="BB102" s="122">
        <f t="shared" si="173"/>
        <v>0</v>
      </c>
      <c r="BC102" s="122">
        <f t="shared" si="173"/>
        <v>0</v>
      </c>
      <c r="BD102" s="122">
        <f t="shared" si="173"/>
        <v>0</v>
      </c>
      <c r="BE102" s="122">
        <f t="shared" si="173"/>
        <v>0</v>
      </c>
      <c r="BF102" s="122">
        <f t="shared" si="173"/>
        <v>0</v>
      </c>
      <c r="BG102" s="122">
        <f t="shared" si="173"/>
        <v>0</v>
      </c>
      <c r="BH102" s="122">
        <f t="shared" si="173"/>
        <v>0</v>
      </c>
      <c r="BI102" s="122">
        <f t="shared" si="173"/>
        <v>0</v>
      </c>
      <c r="BJ102" s="122">
        <f t="shared" si="173"/>
        <v>0</v>
      </c>
      <c r="BK102" s="122">
        <f t="shared" si="173"/>
        <v>0</v>
      </c>
      <c r="BL102" s="122">
        <f t="shared" si="173"/>
        <v>0</v>
      </c>
      <c r="BM102" s="122">
        <f t="shared" si="173"/>
        <v>0</v>
      </c>
      <c r="BN102" s="122">
        <f t="shared" si="173"/>
        <v>0</v>
      </c>
      <c r="BO102" s="122">
        <f t="shared" si="173"/>
        <v>0</v>
      </c>
      <c r="BP102" s="122">
        <f t="shared" si="173"/>
        <v>0</v>
      </c>
      <c r="BQ102" s="122">
        <f t="shared" si="173"/>
        <v>0</v>
      </c>
    </row>
    <row r="103" spans="1:69">
      <c r="A103" s="125"/>
      <c r="B103" s="120" t="s">
        <v>253</v>
      </c>
      <c r="C103" s="122">
        <f t="shared" ref="C103:AS104" si="174">C46/1.11</f>
        <v>0</v>
      </c>
      <c r="D103" s="122">
        <f t="shared" si="174"/>
        <v>0</v>
      </c>
      <c r="E103" s="122">
        <f t="shared" si="174"/>
        <v>0</v>
      </c>
      <c r="F103" s="122">
        <f t="shared" si="174"/>
        <v>0</v>
      </c>
      <c r="G103" s="122">
        <f t="shared" si="174"/>
        <v>0</v>
      </c>
      <c r="H103" s="122">
        <f t="shared" si="174"/>
        <v>0</v>
      </c>
      <c r="I103" s="122">
        <f t="shared" si="174"/>
        <v>0</v>
      </c>
      <c r="J103" s="122">
        <f t="shared" si="174"/>
        <v>0</v>
      </c>
      <c r="K103" s="122">
        <f t="shared" si="174"/>
        <v>0</v>
      </c>
      <c r="L103" s="122">
        <f t="shared" si="174"/>
        <v>0</v>
      </c>
      <c r="M103" s="122">
        <f t="shared" si="174"/>
        <v>0</v>
      </c>
      <c r="N103" s="122">
        <f t="shared" si="174"/>
        <v>0</v>
      </c>
      <c r="O103" s="122">
        <f t="shared" si="174"/>
        <v>0</v>
      </c>
      <c r="P103" s="122">
        <f t="shared" si="174"/>
        <v>0</v>
      </c>
      <c r="Q103" s="122">
        <f t="shared" si="174"/>
        <v>0</v>
      </c>
      <c r="R103" s="122">
        <f t="shared" si="174"/>
        <v>0</v>
      </c>
      <c r="S103" s="122">
        <f t="shared" si="174"/>
        <v>0</v>
      </c>
      <c r="T103" s="122">
        <f t="shared" si="174"/>
        <v>0</v>
      </c>
      <c r="U103" s="122">
        <f t="shared" si="174"/>
        <v>0</v>
      </c>
      <c r="V103" s="122">
        <f t="shared" si="174"/>
        <v>0</v>
      </c>
      <c r="W103" s="122">
        <f t="shared" si="174"/>
        <v>0</v>
      </c>
      <c r="X103" s="122">
        <f t="shared" si="174"/>
        <v>0</v>
      </c>
      <c r="Y103" s="122">
        <f t="shared" si="174"/>
        <v>0</v>
      </c>
      <c r="Z103" s="122">
        <f t="shared" si="174"/>
        <v>0</v>
      </c>
      <c r="AA103" s="122">
        <f t="shared" si="174"/>
        <v>0</v>
      </c>
      <c r="AB103" s="122">
        <f t="shared" si="174"/>
        <v>0</v>
      </c>
      <c r="AC103" s="122">
        <f t="shared" si="174"/>
        <v>0</v>
      </c>
      <c r="AD103" s="122">
        <f t="shared" si="174"/>
        <v>0</v>
      </c>
      <c r="AE103" s="122">
        <f t="shared" si="174"/>
        <v>0</v>
      </c>
      <c r="AF103" s="122">
        <f t="shared" si="174"/>
        <v>0</v>
      </c>
      <c r="AG103" s="122">
        <f t="shared" si="174"/>
        <v>0</v>
      </c>
      <c r="AH103" s="122">
        <f t="shared" si="174"/>
        <v>0</v>
      </c>
      <c r="AI103" s="122">
        <f t="shared" si="174"/>
        <v>0</v>
      </c>
      <c r="AJ103" s="122">
        <f t="shared" si="174"/>
        <v>0</v>
      </c>
      <c r="AK103" s="122">
        <f t="shared" si="174"/>
        <v>0</v>
      </c>
      <c r="AL103" s="122">
        <f t="shared" si="174"/>
        <v>0</v>
      </c>
      <c r="AM103" s="122">
        <f t="shared" si="174"/>
        <v>0</v>
      </c>
      <c r="AN103" s="122">
        <f t="shared" si="174"/>
        <v>0</v>
      </c>
      <c r="AO103" s="122">
        <f t="shared" si="174"/>
        <v>0</v>
      </c>
      <c r="AP103" s="122">
        <f t="shared" si="174"/>
        <v>0</v>
      </c>
      <c r="AQ103" s="122">
        <f t="shared" si="174"/>
        <v>0</v>
      </c>
      <c r="AR103" s="122">
        <f t="shared" si="174"/>
        <v>0</v>
      </c>
      <c r="AS103" s="122">
        <f t="shared" si="174"/>
        <v>0</v>
      </c>
      <c r="AT103" s="122">
        <f t="shared" ref="AT103:BQ103" si="175">AT46/1.11</f>
        <v>0</v>
      </c>
      <c r="AU103" s="122">
        <f t="shared" si="175"/>
        <v>0</v>
      </c>
      <c r="AV103" s="122">
        <f t="shared" si="175"/>
        <v>0</v>
      </c>
      <c r="AW103" s="122">
        <f t="shared" si="175"/>
        <v>0</v>
      </c>
      <c r="AX103" s="122">
        <f t="shared" si="175"/>
        <v>0</v>
      </c>
      <c r="AY103" s="122">
        <f t="shared" si="175"/>
        <v>0</v>
      </c>
      <c r="AZ103" s="122">
        <f t="shared" si="175"/>
        <v>0</v>
      </c>
      <c r="BA103" s="122">
        <f t="shared" si="175"/>
        <v>0</v>
      </c>
      <c r="BB103" s="122">
        <f t="shared" si="175"/>
        <v>0</v>
      </c>
      <c r="BC103" s="122">
        <f t="shared" si="175"/>
        <v>0</v>
      </c>
      <c r="BD103" s="122">
        <f t="shared" si="175"/>
        <v>0</v>
      </c>
      <c r="BE103" s="122">
        <f t="shared" si="175"/>
        <v>0</v>
      </c>
      <c r="BF103" s="122">
        <f t="shared" si="175"/>
        <v>0</v>
      </c>
      <c r="BG103" s="122">
        <f t="shared" si="175"/>
        <v>0</v>
      </c>
      <c r="BH103" s="122">
        <f t="shared" si="175"/>
        <v>0</v>
      </c>
      <c r="BI103" s="122">
        <f t="shared" si="175"/>
        <v>0</v>
      </c>
      <c r="BJ103" s="122">
        <f t="shared" si="175"/>
        <v>0</v>
      </c>
      <c r="BK103" s="122">
        <f t="shared" si="175"/>
        <v>0</v>
      </c>
      <c r="BL103" s="122">
        <f t="shared" si="175"/>
        <v>0</v>
      </c>
      <c r="BM103" s="122">
        <f t="shared" si="175"/>
        <v>0</v>
      </c>
      <c r="BN103" s="122">
        <f t="shared" si="175"/>
        <v>0</v>
      </c>
      <c r="BO103" s="122">
        <f t="shared" si="175"/>
        <v>0</v>
      </c>
      <c r="BP103" s="122">
        <f t="shared" si="175"/>
        <v>0</v>
      </c>
      <c r="BQ103" s="122">
        <f t="shared" si="175"/>
        <v>0</v>
      </c>
    </row>
    <row r="104" spans="1:69">
      <c r="A104" s="125"/>
      <c r="B104" s="120" t="s">
        <v>254</v>
      </c>
      <c r="C104" s="122">
        <f t="shared" si="174"/>
        <v>0</v>
      </c>
      <c r="D104" s="122">
        <f t="shared" si="174"/>
        <v>0</v>
      </c>
      <c r="E104" s="122">
        <f t="shared" si="174"/>
        <v>0</v>
      </c>
      <c r="F104" s="122">
        <f t="shared" si="174"/>
        <v>0</v>
      </c>
      <c r="G104" s="122">
        <f t="shared" si="174"/>
        <v>0</v>
      </c>
      <c r="H104" s="122">
        <f t="shared" si="174"/>
        <v>0</v>
      </c>
      <c r="I104" s="122">
        <f t="shared" si="174"/>
        <v>0</v>
      </c>
      <c r="J104" s="122">
        <f t="shared" si="174"/>
        <v>0</v>
      </c>
      <c r="K104" s="122">
        <f t="shared" si="174"/>
        <v>0</v>
      </c>
      <c r="L104" s="122">
        <f t="shared" si="174"/>
        <v>0</v>
      </c>
      <c r="M104" s="122">
        <f t="shared" si="174"/>
        <v>0</v>
      </c>
      <c r="N104" s="122">
        <f t="shared" si="174"/>
        <v>0</v>
      </c>
      <c r="O104" s="122">
        <f t="shared" si="174"/>
        <v>0</v>
      </c>
      <c r="P104" s="122">
        <f t="shared" si="174"/>
        <v>0</v>
      </c>
      <c r="Q104" s="122">
        <f t="shared" si="174"/>
        <v>0</v>
      </c>
      <c r="R104" s="122">
        <f t="shared" si="174"/>
        <v>0</v>
      </c>
      <c r="S104" s="122">
        <f t="shared" si="174"/>
        <v>0</v>
      </c>
      <c r="T104" s="122">
        <f t="shared" si="174"/>
        <v>0</v>
      </c>
      <c r="U104" s="122">
        <f t="shared" si="174"/>
        <v>0</v>
      </c>
      <c r="V104" s="122">
        <f t="shared" si="174"/>
        <v>0</v>
      </c>
      <c r="W104" s="122">
        <f t="shared" si="174"/>
        <v>0</v>
      </c>
      <c r="X104" s="122">
        <f t="shared" si="174"/>
        <v>0</v>
      </c>
      <c r="Y104" s="122">
        <f t="shared" si="174"/>
        <v>0</v>
      </c>
      <c r="Z104" s="122">
        <f t="shared" si="174"/>
        <v>0</v>
      </c>
      <c r="AA104" s="122">
        <f t="shared" si="174"/>
        <v>0</v>
      </c>
      <c r="AB104" s="122">
        <f t="shared" si="174"/>
        <v>0</v>
      </c>
      <c r="AC104" s="122">
        <f t="shared" si="174"/>
        <v>0</v>
      </c>
      <c r="AD104" s="122">
        <f t="shared" si="174"/>
        <v>0</v>
      </c>
      <c r="AE104" s="122">
        <f t="shared" si="174"/>
        <v>0</v>
      </c>
      <c r="AF104" s="122">
        <f t="shared" si="174"/>
        <v>0</v>
      </c>
      <c r="AG104" s="122">
        <f t="shared" si="174"/>
        <v>0</v>
      </c>
      <c r="AH104" s="122">
        <f t="shared" si="174"/>
        <v>0</v>
      </c>
      <c r="AI104" s="122">
        <f t="shared" si="174"/>
        <v>0</v>
      </c>
      <c r="AJ104" s="122">
        <f t="shared" si="174"/>
        <v>0</v>
      </c>
      <c r="AK104" s="122">
        <f t="shared" si="174"/>
        <v>0</v>
      </c>
      <c r="AL104" s="122">
        <f t="shared" si="174"/>
        <v>0</v>
      </c>
      <c r="AM104" s="122">
        <f t="shared" si="174"/>
        <v>0</v>
      </c>
      <c r="AN104" s="122">
        <f t="shared" si="174"/>
        <v>0</v>
      </c>
      <c r="AO104" s="122">
        <f t="shared" si="174"/>
        <v>0</v>
      </c>
      <c r="AP104" s="122">
        <f t="shared" si="174"/>
        <v>0</v>
      </c>
      <c r="AQ104" s="122">
        <f t="shared" si="174"/>
        <v>0</v>
      </c>
      <c r="AR104" s="122">
        <f t="shared" si="174"/>
        <v>0</v>
      </c>
      <c r="AS104" s="122">
        <f t="shared" si="174"/>
        <v>0</v>
      </c>
      <c r="AT104" s="122">
        <f t="shared" ref="AT104:BQ104" si="176">AT47/1.11</f>
        <v>0</v>
      </c>
      <c r="AU104" s="122">
        <f t="shared" si="176"/>
        <v>0</v>
      </c>
      <c r="AV104" s="122">
        <f t="shared" si="176"/>
        <v>0</v>
      </c>
      <c r="AW104" s="122">
        <f t="shared" si="176"/>
        <v>0</v>
      </c>
      <c r="AX104" s="122">
        <f t="shared" si="176"/>
        <v>0</v>
      </c>
      <c r="AY104" s="122">
        <f t="shared" si="176"/>
        <v>0</v>
      </c>
      <c r="AZ104" s="122">
        <f t="shared" si="176"/>
        <v>0</v>
      </c>
      <c r="BA104" s="122">
        <f t="shared" si="176"/>
        <v>0</v>
      </c>
      <c r="BB104" s="122">
        <f t="shared" si="176"/>
        <v>0</v>
      </c>
      <c r="BC104" s="122">
        <f t="shared" si="176"/>
        <v>0</v>
      </c>
      <c r="BD104" s="122">
        <f t="shared" si="176"/>
        <v>0</v>
      </c>
      <c r="BE104" s="122">
        <f t="shared" si="176"/>
        <v>0</v>
      </c>
      <c r="BF104" s="122">
        <f t="shared" si="176"/>
        <v>0</v>
      </c>
      <c r="BG104" s="122">
        <f t="shared" si="176"/>
        <v>0</v>
      </c>
      <c r="BH104" s="122">
        <f t="shared" si="176"/>
        <v>0</v>
      </c>
      <c r="BI104" s="122">
        <f t="shared" si="176"/>
        <v>0</v>
      </c>
      <c r="BJ104" s="122">
        <f t="shared" si="176"/>
        <v>0</v>
      </c>
      <c r="BK104" s="122">
        <f t="shared" si="176"/>
        <v>0</v>
      </c>
      <c r="BL104" s="122">
        <f t="shared" si="176"/>
        <v>0</v>
      </c>
      <c r="BM104" s="122">
        <f t="shared" si="176"/>
        <v>0</v>
      </c>
      <c r="BN104" s="122">
        <f t="shared" si="176"/>
        <v>0</v>
      </c>
      <c r="BO104" s="122">
        <f t="shared" si="176"/>
        <v>0</v>
      </c>
      <c r="BP104" s="122">
        <f t="shared" si="176"/>
        <v>0</v>
      </c>
      <c r="BQ104" s="122">
        <f t="shared" si="176"/>
        <v>0</v>
      </c>
    </row>
    <row r="105" spans="1:69" s="126" customFormat="1" ht="13">
      <c r="A105" s="127" t="str">
        <f t="shared" ref="A105:A113" si="177">A93</f>
        <v>地库</v>
      </c>
      <c r="B105" s="128" t="s">
        <v>255</v>
      </c>
      <c r="C105" s="129">
        <f t="shared" ref="C105:AS105" si="178">C48</f>
        <v>0</v>
      </c>
      <c r="D105" s="130">
        <f t="shared" si="178"/>
        <v>0</v>
      </c>
      <c r="E105" s="130">
        <f t="shared" si="178"/>
        <v>0</v>
      </c>
      <c r="F105" s="130">
        <f t="shared" si="178"/>
        <v>0</v>
      </c>
      <c r="G105" s="130">
        <f t="shared" si="178"/>
        <v>0</v>
      </c>
      <c r="H105" s="130">
        <f t="shared" si="178"/>
        <v>0</v>
      </c>
      <c r="I105" s="130">
        <f t="shared" si="178"/>
        <v>0</v>
      </c>
      <c r="J105" s="130">
        <f t="shared" si="178"/>
        <v>0</v>
      </c>
      <c r="K105" s="130">
        <f t="shared" si="178"/>
        <v>0</v>
      </c>
      <c r="L105" s="130">
        <f t="shared" si="178"/>
        <v>0</v>
      </c>
      <c r="M105" s="130">
        <f t="shared" si="178"/>
        <v>0</v>
      </c>
      <c r="N105" s="130">
        <f t="shared" si="178"/>
        <v>0</v>
      </c>
      <c r="O105" s="130">
        <f t="shared" si="178"/>
        <v>0</v>
      </c>
      <c r="P105" s="130">
        <f t="shared" si="178"/>
        <v>0</v>
      </c>
      <c r="Q105" s="130">
        <f t="shared" si="178"/>
        <v>0</v>
      </c>
      <c r="R105" s="130">
        <f t="shared" si="178"/>
        <v>0</v>
      </c>
      <c r="S105" s="130">
        <f t="shared" si="178"/>
        <v>0</v>
      </c>
      <c r="T105" s="138">
        <f t="shared" si="178"/>
        <v>0</v>
      </c>
      <c r="U105" s="138">
        <f t="shared" si="178"/>
        <v>0</v>
      </c>
      <c r="V105" s="138">
        <f t="shared" si="178"/>
        <v>0</v>
      </c>
      <c r="W105" s="138">
        <f t="shared" si="178"/>
        <v>0</v>
      </c>
      <c r="X105" s="138">
        <f t="shared" si="178"/>
        <v>0</v>
      </c>
      <c r="Y105" s="138">
        <f t="shared" si="178"/>
        <v>0</v>
      </c>
      <c r="Z105" s="138">
        <f t="shared" si="178"/>
        <v>0</v>
      </c>
      <c r="AA105" s="138">
        <f t="shared" si="178"/>
        <v>0</v>
      </c>
      <c r="AB105" s="138">
        <f t="shared" si="178"/>
        <v>0</v>
      </c>
      <c r="AC105" s="138">
        <f t="shared" si="178"/>
        <v>0</v>
      </c>
      <c r="AD105" s="138">
        <f t="shared" si="178"/>
        <v>0</v>
      </c>
      <c r="AE105" s="138">
        <f t="shared" si="178"/>
        <v>0</v>
      </c>
      <c r="AF105" s="138">
        <f t="shared" si="178"/>
        <v>0</v>
      </c>
      <c r="AG105" s="138">
        <f t="shared" si="178"/>
        <v>0</v>
      </c>
      <c r="AH105" s="138">
        <f t="shared" si="178"/>
        <v>0</v>
      </c>
      <c r="AI105" s="138">
        <f t="shared" si="178"/>
        <v>0</v>
      </c>
      <c r="AJ105" s="138">
        <f t="shared" si="178"/>
        <v>0</v>
      </c>
      <c r="AK105" s="138">
        <f t="shared" si="178"/>
        <v>0</v>
      </c>
      <c r="AL105" s="138">
        <f t="shared" si="178"/>
        <v>0</v>
      </c>
      <c r="AM105" s="138">
        <f t="shared" si="178"/>
        <v>0</v>
      </c>
      <c r="AN105" s="138">
        <f t="shared" si="178"/>
        <v>0</v>
      </c>
      <c r="AO105" s="138">
        <f t="shared" si="178"/>
        <v>0</v>
      </c>
      <c r="AP105" s="138">
        <f t="shared" si="178"/>
        <v>0</v>
      </c>
      <c r="AQ105" s="138">
        <f t="shared" si="178"/>
        <v>0</v>
      </c>
      <c r="AR105" s="138">
        <f t="shared" si="178"/>
        <v>0</v>
      </c>
      <c r="AS105" s="138">
        <f t="shared" si="178"/>
        <v>0</v>
      </c>
      <c r="AT105" s="138">
        <f t="shared" ref="AT105:BQ105" si="179">AT48</f>
        <v>0</v>
      </c>
      <c r="AU105" s="138">
        <f t="shared" si="179"/>
        <v>0</v>
      </c>
      <c r="AV105" s="138">
        <f t="shared" si="179"/>
        <v>0</v>
      </c>
      <c r="AW105" s="138">
        <f t="shared" si="179"/>
        <v>0</v>
      </c>
      <c r="AX105" s="138">
        <f t="shared" si="179"/>
        <v>0</v>
      </c>
      <c r="AY105" s="138">
        <f t="shared" si="179"/>
        <v>0</v>
      </c>
      <c r="AZ105" s="138">
        <f t="shared" si="179"/>
        <v>0</v>
      </c>
      <c r="BA105" s="138">
        <f t="shared" si="179"/>
        <v>0</v>
      </c>
      <c r="BB105" s="138">
        <f t="shared" si="179"/>
        <v>0</v>
      </c>
      <c r="BC105" s="138">
        <f t="shared" si="179"/>
        <v>0</v>
      </c>
      <c r="BD105" s="138">
        <f t="shared" si="179"/>
        <v>0</v>
      </c>
      <c r="BE105" s="138">
        <f t="shared" si="179"/>
        <v>0</v>
      </c>
      <c r="BF105" s="138">
        <f t="shared" si="179"/>
        <v>0</v>
      </c>
      <c r="BG105" s="138">
        <f t="shared" si="179"/>
        <v>0</v>
      </c>
      <c r="BH105" s="138">
        <f t="shared" si="179"/>
        <v>0</v>
      </c>
      <c r="BI105" s="138">
        <f t="shared" si="179"/>
        <v>0</v>
      </c>
      <c r="BJ105" s="138">
        <f t="shared" si="179"/>
        <v>0</v>
      </c>
      <c r="BK105" s="138">
        <f t="shared" si="179"/>
        <v>0</v>
      </c>
      <c r="BL105" s="138">
        <f t="shared" si="179"/>
        <v>0</v>
      </c>
      <c r="BM105" s="138">
        <f t="shared" si="179"/>
        <v>0</v>
      </c>
      <c r="BN105" s="138">
        <f t="shared" si="179"/>
        <v>0</v>
      </c>
      <c r="BO105" s="138">
        <f t="shared" si="179"/>
        <v>0</v>
      </c>
      <c r="BP105" s="138">
        <f t="shared" si="179"/>
        <v>0</v>
      </c>
      <c r="BQ105" s="138">
        <f t="shared" si="179"/>
        <v>0</v>
      </c>
    </row>
    <row r="106" spans="1:69" s="126" customFormat="1" ht="13">
      <c r="A106" s="127">
        <f t="shared" si="177"/>
        <v>0</v>
      </c>
      <c r="B106" s="128" t="s">
        <v>432</v>
      </c>
      <c r="C106" s="129">
        <f t="shared" ref="C106:AS107" si="180">C49/1.11</f>
        <v>0</v>
      </c>
      <c r="D106" s="130">
        <f t="shared" si="180"/>
        <v>0</v>
      </c>
      <c r="E106" s="130">
        <f t="shared" si="180"/>
        <v>0</v>
      </c>
      <c r="F106" s="129">
        <f t="shared" si="180"/>
        <v>0</v>
      </c>
      <c r="G106" s="129">
        <f t="shared" si="180"/>
        <v>0</v>
      </c>
      <c r="H106" s="130">
        <f t="shared" si="180"/>
        <v>0</v>
      </c>
      <c r="I106" s="130">
        <f t="shared" si="180"/>
        <v>0</v>
      </c>
      <c r="J106" s="130">
        <f t="shared" si="180"/>
        <v>0</v>
      </c>
      <c r="K106" s="130">
        <f t="shared" si="180"/>
        <v>0</v>
      </c>
      <c r="L106" s="130">
        <f t="shared" si="180"/>
        <v>0</v>
      </c>
      <c r="M106" s="130">
        <f t="shared" si="180"/>
        <v>0</v>
      </c>
      <c r="N106" s="130">
        <f t="shared" si="180"/>
        <v>0</v>
      </c>
      <c r="O106" s="130">
        <f t="shared" si="180"/>
        <v>0</v>
      </c>
      <c r="P106" s="130">
        <f t="shared" si="180"/>
        <v>0</v>
      </c>
      <c r="Q106" s="130">
        <f t="shared" si="180"/>
        <v>0</v>
      </c>
      <c r="R106" s="130">
        <f t="shared" si="180"/>
        <v>0</v>
      </c>
      <c r="S106" s="130">
        <f t="shared" si="180"/>
        <v>0</v>
      </c>
      <c r="T106" s="130">
        <f t="shared" si="180"/>
        <v>0</v>
      </c>
      <c r="U106" s="130">
        <f t="shared" si="180"/>
        <v>0</v>
      </c>
      <c r="V106" s="130">
        <f t="shared" si="180"/>
        <v>0</v>
      </c>
      <c r="W106" s="130">
        <f t="shared" si="180"/>
        <v>0</v>
      </c>
      <c r="X106" s="130">
        <f t="shared" si="180"/>
        <v>0</v>
      </c>
      <c r="Y106" s="130">
        <f t="shared" si="180"/>
        <v>0</v>
      </c>
      <c r="Z106" s="130">
        <f t="shared" si="180"/>
        <v>0</v>
      </c>
      <c r="AA106" s="130">
        <f t="shared" si="180"/>
        <v>0</v>
      </c>
      <c r="AB106" s="130">
        <f t="shared" si="180"/>
        <v>0</v>
      </c>
      <c r="AC106" s="130">
        <f t="shared" si="180"/>
        <v>0</v>
      </c>
      <c r="AD106" s="130">
        <f t="shared" si="180"/>
        <v>0</v>
      </c>
      <c r="AE106" s="130">
        <f t="shared" si="180"/>
        <v>0</v>
      </c>
      <c r="AF106" s="130">
        <f t="shared" si="180"/>
        <v>0</v>
      </c>
      <c r="AG106" s="130">
        <f t="shared" si="180"/>
        <v>0</v>
      </c>
      <c r="AH106" s="130">
        <f t="shared" si="180"/>
        <v>0</v>
      </c>
      <c r="AI106" s="130">
        <f t="shared" si="180"/>
        <v>0</v>
      </c>
      <c r="AJ106" s="130">
        <f t="shared" si="180"/>
        <v>0</v>
      </c>
      <c r="AK106" s="130">
        <f t="shared" si="180"/>
        <v>0</v>
      </c>
      <c r="AL106" s="130">
        <f t="shared" si="180"/>
        <v>0</v>
      </c>
      <c r="AM106" s="130">
        <f t="shared" si="180"/>
        <v>0</v>
      </c>
      <c r="AN106" s="130">
        <f t="shared" si="180"/>
        <v>0</v>
      </c>
      <c r="AO106" s="130">
        <f t="shared" si="180"/>
        <v>0</v>
      </c>
      <c r="AP106" s="130">
        <f t="shared" si="180"/>
        <v>0</v>
      </c>
      <c r="AQ106" s="130">
        <f t="shared" si="180"/>
        <v>0</v>
      </c>
      <c r="AR106" s="130">
        <f t="shared" si="180"/>
        <v>0</v>
      </c>
      <c r="AS106" s="130">
        <f t="shared" si="180"/>
        <v>0</v>
      </c>
      <c r="AT106" s="130">
        <f t="shared" ref="AT106:BQ106" si="181">AT49/1.11</f>
        <v>0</v>
      </c>
      <c r="AU106" s="130">
        <f t="shared" si="181"/>
        <v>0</v>
      </c>
      <c r="AV106" s="130">
        <f t="shared" si="181"/>
        <v>0</v>
      </c>
      <c r="AW106" s="130">
        <f t="shared" si="181"/>
        <v>0</v>
      </c>
      <c r="AX106" s="130">
        <f t="shared" si="181"/>
        <v>0</v>
      </c>
      <c r="AY106" s="130">
        <f t="shared" si="181"/>
        <v>0</v>
      </c>
      <c r="AZ106" s="130">
        <f t="shared" si="181"/>
        <v>0</v>
      </c>
      <c r="BA106" s="130">
        <f t="shared" si="181"/>
        <v>0</v>
      </c>
      <c r="BB106" s="130">
        <f t="shared" si="181"/>
        <v>0</v>
      </c>
      <c r="BC106" s="130">
        <f t="shared" si="181"/>
        <v>0</v>
      </c>
      <c r="BD106" s="130">
        <f t="shared" si="181"/>
        <v>0</v>
      </c>
      <c r="BE106" s="130">
        <f t="shared" si="181"/>
        <v>0</v>
      </c>
      <c r="BF106" s="130">
        <f t="shared" si="181"/>
        <v>0</v>
      </c>
      <c r="BG106" s="130">
        <f t="shared" si="181"/>
        <v>0</v>
      </c>
      <c r="BH106" s="130">
        <f t="shared" si="181"/>
        <v>0</v>
      </c>
      <c r="BI106" s="130">
        <f t="shared" si="181"/>
        <v>0</v>
      </c>
      <c r="BJ106" s="130">
        <f t="shared" si="181"/>
        <v>0</v>
      </c>
      <c r="BK106" s="130">
        <f t="shared" si="181"/>
        <v>0</v>
      </c>
      <c r="BL106" s="130">
        <f t="shared" si="181"/>
        <v>0</v>
      </c>
      <c r="BM106" s="130">
        <f t="shared" si="181"/>
        <v>0</v>
      </c>
      <c r="BN106" s="130">
        <f t="shared" si="181"/>
        <v>0</v>
      </c>
      <c r="BO106" s="130">
        <f t="shared" si="181"/>
        <v>0</v>
      </c>
      <c r="BP106" s="130">
        <f t="shared" si="181"/>
        <v>0</v>
      </c>
      <c r="BQ106" s="130">
        <f t="shared" si="181"/>
        <v>0</v>
      </c>
    </row>
    <row r="107" spans="1:69">
      <c r="A107" s="132">
        <f t="shared" si="177"/>
        <v>0</v>
      </c>
      <c r="B107" s="133" t="s">
        <v>254</v>
      </c>
      <c r="C107" s="133">
        <f t="shared" si="180"/>
        <v>0</v>
      </c>
      <c r="D107" s="133">
        <f t="shared" si="180"/>
        <v>0</v>
      </c>
      <c r="E107" s="133">
        <f t="shared" si="180"/>
        <v>0</v>
      </c>
      <c r="F107" s="133">
        <f t="shared" si="180"/>
        <v>0</v>
      </c>
      <c r="G107" s="133">
        <f t="shared" si="180"/>
        <v>0</v>
      </c>
      <c r="H107" s="133">
        <f t="shared" si="180"/>
        <v>0</v>
      </c>
      <c r="I107" s="133">
        <f t="shared" si="180"/>
        <v>0</v>
      </c>
      <c r="J107" s="133">
        <f t="shared" si="180"/>
        <v>0</v>
      </c>
      <c r="K107" s="133">
        <f t="shared" si="180"/>
        <v>0</v>
      </c>
      <c r="L107" s="133">
        <f t="shared" si="180"/>
        <v>0</v>
      </c>
      <c r="M107" s="133">
        <f t="shared" si="180"/>
        <v>0</v>
      </c>
      <c r="N107" s="133">
        <f t="shared" si="180"/>
        <v>0</v>
      </c>
      <c r="O107" s="133">
        <f t="shared" si="180"/>
        <v>0</v>
      </c>
      <c r="P107" s="133">
        <f t="shared" si="180"/>
        <v>0</v>
      </c>
      <c r="Q107" s="133">
        <f t="shared" si="180"/>
        <v>0</v>
      </c>
      <c r="R107" s="133">
        <f t="shared" si="180"/>
        <v>0</v>
      </c>
      <c r="S107" s="133">
        <f t="shared" si="180"/>
        <v>0</v>
      </c>
      <c r="T107" s="133">
        <f t="shared" si="180"/>
        <v>0</v>
      </c>
      <c r="U107" s="133">
        <f t="shared" si="180"/>
        <v>0</v>
      </c>
      <c r="V107" s="133">
        <f t="shared" si="180"/>
        <v>0</v>
      </c>
      <c r="W107" s="133">
        <f t="shared" si="180"/>
        <v>0</v>
      </c>
      <c r="X107" s="133">
        <f t="shared" si="180"/>
        <v>0</v>
      </c>
      <c r="Y107" s="133">
        <f t="shared" si="180"/>
        <v>0</v>
      </c>
      <c r="Z107" s="133">
        <f t="shared" si="180"/>
        <v>0</v>
      </c>
      <c r="AA107" s="133">
        <f t="shared" si="180"/>
        <v>0</v>
      </c>
      <c r="AB107" s="133">
        <f t="shared" si="180"/>
        <v>0</v>
      </c>
      <c r="AC107" s="133">
        <f t="shared" si="180"/>
        <v>0</v>
      </c>
      <c r="AD107" s="133">
        <f t="shared" si="180"/>
        <v>0</v>
      </c>
      <c r="AE107" s="133">
        <f t="shared" si="180"/>
        <v>0</v>
      </c>
      <c r="AF107" s="133">
        <f t="shared" si="180"/>
        <v>0</v>
      </c>
      <c r="AG107" s="133">
        <f t="shared" si="180"/>
        <v>0</v>
      </c>
      <c r="AH107" s="133">
        <f t="shared" si="180"/>
        <v>0</v>
      </c>
      <c r="AI107" s="133">
        <f t="shared" si="180"/>
        <v>0</v>
      </c>
      <c r="AJ107" s="133">
        <f t="shared" si="180"/>
        <v>0</v>
      </c>
      <c r="AK107" s="133">
        <f t="shared" si="180"/>
        <v>0</v>
      </c>
      <c r="AL107" s="133">
        <f t="shared" si="180"/>
        <v>0</v>
      </c>
      <c r="AM107" s="133">
        <f t="shared" si="180"/>
        <v>0</v>
      </c>
      <c r="AN107" s="133">
        <f t="shared" si="180"/>
        <v>0</v>
      </c>
      <c r="AO107" s="133">
        <f t="shared" si="180"/>
        <v>0</v>
      </c>
      <c r="AP107" s="133">
        <f t="shared" si="180"/>
        <v>0</v>
      </c>
      <c r="AQ107" s="133">
        <f t="shared" si="180"/>
        <v>0</v>
      </c>
      <c r="AR107" s="133">
        <f t="shared" si="180"/>
        <v>0</v>
      </c>
      <c r="AS107" s="133">
        <f t="shared" si="180"/>
        <v>0</v>
      </c>
      <c r="AT107" s="133">
        <f t="shared" ref="AT107:BQ107" si="182">AT50/1.11</f>
        <v>0</v>
      </c>
      <c r="AU107" s="133">
        <f t="shared" si="182"/>
        <v>0</v>
      </c>
      <c r="AV107" s="133">
        <f t="shared" si="182"/>
        <v>0</v>
      </c>
      <c r="AW107" s="133">
        <f t="shared" si="182"/>
        <v>0</v>
      </c>
      <c r="AX107" s="133">
        <f t="shared" si="182"/>
        <v>0</v>
      </c>
      <c r="AY107" s="133">
        <f t="shared" si="182"/>
        <v>0</v>
      </c>
      <c r="AZ107" s="133">
        <f t="shared" si="182"/>
        <v>0</v>
      </c>
      <c r="BA107" s="133">
        <f t="shared" si="182"/>
        <v>0</v>
      </c>
      <c r="BB107" s="133">
        <f t="shared" si="182"/>
        <v>0</v>
      </c>
      <c r="BC107" s="133">
        <f t="shared" si="182"/>
        <v>0</v>
      </c>
      <c r="BD107" s="133">
        <f t="shared" si="182"/>
        <v>0</v>
      </c>
      <c r="BE107" s="133">
        <f t="shared" si="182"/>
        <v>0</v>
      </c>
      <c r="BF107" s="133">
        <f t="shared" si="182"/>
        <v>0</v>
      </c>
      <c r="BG107" s="133">
        <f t="shared" si="182"/>
        <v>0</v>
      </c>
      <c r="BH107" s="133">
        <f t="shared" si="182"/>
        <v>0</v>
      </c>
      <c r="BI107" s="133">
        <f t="shared" si="182"/>
        <v>0</v>
      </c>
      <c r="BJ107" s="133">
        <f t="shared" si="182"/>
        <v>0</v>
      </c>
      <c r="BK107" s="133">
        <f t="shared" si="182"/>
        <v>0</v>
      </c>
      <c r="BL107" s="133">
        <f t="shared" si="182"/>
        <v>0</v>
      </c>
      <c r="BM107" s="133">
        <f t="shared" si="182"/>
        <v>0</v>
      </c>
      <c r="BN107" s="133">
        <f t="shared" si="182"/>
        <v>0</v>
      </c>
      <c r="BO107" s="133">
        <f t="shared" si="182"/>
        <v>0</v>
      </c>
      <c r="BP107" s="133">
        <f t="shared" si="182"/>
        <v>0</v>
      </c>
      <c r="BQ107" s="133">
        <f t="shared" si="182"/>
        <v>0</v>
      </c>
    </row>
    <row r="108" spans="1:69" s="126" customFormat="1" ht="13">
      <c r="A108" s="127" t="str">
        <f t="shared" si="177"/>
        <v>高层（27F）</v>
      </c>
      <c r="B108" s="128" t="s">
        <v>255</v>
      </c>
      <c r="C108" s="129">
        <f t="shared" ref="C108:AS108" si="183">C51</f>
        <v>0</v>
      </c>
      <c r="D108" s="130">
        <f t="shared" si="183"/>
        <v>0</v>
      </c>
      <c r="E108" s="130">
        <f t="shared" si="183"/>
        <v>0</v>
      </c>
      <c r="F108" s="130">
        <f t="shared" si="183"/>
        <v>0</v>
      </c>
      <c r="G108" s="130">
        <f t="shared" si="183"/>
        <v>0</v>
      </c>
      <c r="H108" s="130">
        <f t="shared" si="183"/>
        <v>0</v>
      </c>
      <c r="I108" s="130">
        <f t="shared" si="183"/>
        <v>0</v>
      </c>
      <c r="J108" s="130">
        <f t="shared" si="183"/>
        <v>0</v>
      </c>
      <c r="K108" s="130">
        <f t="shared" si="183"/>
        <v>0</v>
      </c>
      <c r="L108" s="130">
        <f t="shared" si="183"/>
        <v>0</v>
      </c>
      <c r="M108" s="130">
        <f t="shared" si="183"/>
        <v>0</v>
      </c>
      <c r="N108" s="130">
        <f t="shared" si="183"/>
        <v>0</v>
      </c>
      <c r="O108" s="130">
        <f t="shared" si="183"/>
        <v>0</v>
      </c>
      <c r="P108" s="130">
        <f t="shared" si="183"/>
        <v>0</v>
      </c>
      <c r="Q108" s="130">
        <f t="shared" si="183"/>
        <v>0</v>
      </c>
      <c r="R108" s="130">
        <f t="shared" si="183"/>
        <v>0</v>
      </c>
      <c r="S108" s="130">
        <f t="shared" si="183"/>
        <v>0</v>
      </c>
      <c r="T108" s="130">
        <f t="shared" si="183"/>
        <v>0</v>
      </c>
      <c r="U108" s="130">
        <f t="shared" si="183"/>
        <v>0</v>
      </c>
      <c r="V108" s="130">
        <f t="shared" si="183"/>
        <v>0</v>
      </c>
      <c r="W108" s="138">
        <f t="shared" si="183"/>
        <v>0</v>
      </c>
      <c r="X108" s="138">
        <f t="shared" si="183"/>
        <v>0</v>
      </c>
      <c r="Y108" s="138">
        <f t="shared" si="183"/>
        <v>0</v>
      </c>
      <c r="Z108" s="138">
        <f t="shared" si="183"/>
        <v>0</v>
      </c>
      <c r="AA108" s="138">
        <f t="shared" si="183"/>
        <v>0</v>
      </c>
      <c r="AB108" s="138">
        <f t="shared" si="183"/>
        <v>0</v>
      </c>
      <c r="AC108" s="138">
        <f t="shared" si="183"/>
        <v>0</v>
      </c>
      <c r="AD108" s="138">
        <f t="shared" si="183"/>
        <v>0</v>
      </c>
      <c r="AE108" s="138">
        <f t="shared" si="183"/>
        <v>0</v>
      </c>
      <c r="AF108" s="138">
        <f t="shared" si="183"/>
        <v>0</v>
      </c>
      <c r="AG108" s="138">
        <f t="shared" si="183"/>
        <v>0</v>
      </c>
      <c r="AH108" s="138">
        <f t="shared" si="183"/>
        <v>0</v>
      </c>
      <c r="AI108" s="138">
        <f t="shared" si="183"/>
        <v>0</v>
      </c>
      <c r="AJ108" s="138">
        <f t="shared" si="183"/>
        <v>0</v>
      </c>
      <c r="AK108" s="138">
        <f t="shared" si="183"/>
        <v>0</v>
      </c>
      <c r="AL108" s="138">
        <f t="shared" si="183"/>
        <v>0</v>
      </c>
      <c r="AM108" s="138">
        <f t="shared" si="183"/>
        <v>0</v>
      </c>
      <c r="AN108" s="138">
        <f t="shared" si="183"/>
        <v>0</v>
      </c>
      <c r="AO108" s="138">
        <f t="shared" si="183"/>
        <v>0</v>
      </c>
      <c r="AP108" s="138">
        <f t="shared" si="183"/>
        <v>0</v>
      </c>
      <c r="AQ108" s="138">
        <f t="shared" si="183"/>
        <v>0</v>
      </c>
      <c r="AR108" s="138">
        <f t="shared" si="183"/>
        <v>0</v>
      </c>
      <c r="AS108" s="138">
        <f t="shared" si="183"/>
        <v>0</v>
      </c>
      <c r="AT108" s="138">
        <f t="shared" ref="AT108:BQ108" si="184">AT51</f>
        <v>0</v>
      </c>
      <c r="AU108" s="138">
        <f t="shared" si="184"/>
        <v>0</v>
      </c>
      <c r="AV108" s="138">
        <f t="shared" si="184"/>
        <v>0</v>
      </c>
      <c r="AW108" s="138">
        <f t="shared" si="184"/>
        <v>0</v>
      </c>
      <c r="AX108" s="138">
        <f t="shared" si="184"/>
        <v>0</v>
      </c>
      <c r="AY108" s="138">
        <f t="shared" si="184"/>
        <v>0</v>
      </c>
      <c r="AZ108" s="138">
        <f t="shared" si="184"/>
        <v>0</v>
      </c>
      <c r="BA108" s="138">
        <f t="shared" si="184"/>
        <v>0</v>
      </c>
      <c r="BB108" s="138">
        <f t="shared" si="184"/>
        <v>0</v>
      </c>
      <c r="BC108" s="138">
        <f t="shared" si="184"/>
        <v>0</v>
      </c>
      <c r="BD108" s="138">
        <f t="shared" si="184"/>
        <v>0</v>
      </c>
      <c r="BE108" s="138">
        <f t="shared" si="184"/>
        <v>0</v>
      </c>
      <c r="BF108" s="138">
        <f t="shared" si="184"/>
        <v>0</v>
      </c>
      <c r="BG108" s="138">
        <f t="shared" si="184"/>
        <v>0</v>
      </c>
      <c r="BH108" s="138">
        <f t="shared" si="184"/>
        <v>0</v>
      </c>
      <c r="BI108" s="138">
        <f t="shared" si="184"/>
        <v>0</v>
      </c>
      <c r="BJ108" s="138">
        <f t="shared" si="184"/>
        <v>0</v>
      </c>
      <c r="BK108" s="138">
        <f t="shared" si="184"/>
        <v>0</v>
      </c>
      <c r="BL108" s="138">
        <f t="shared" si="184"/>
        <v>0</v>
      </c>
      <c r="BM108" s="138">
        <f t="shared" si="184"/>
        <v>0</v>
      </c>
      <c r="BN108" s="138">
        <f t="shared" si="184"/>
        <v>0</v>
      </c>
      <c r="BO108" s="138">
        <f t="shared" si="184"/>
        <v>0</v>
      </c>
      <c r="BP108" s="138">
        <f t="shared" si="184"/>
        <v>0</v>
      </c>
      <c r="BQ108" s="138">
        <f t="shared" si="184"/>
        <v>0</v>
      </c>
    </row>
    <row r="109" spans="1:69" s="126" customFormat="1" ht="13">
      <c r="A109" s="127">
        <f t="shared" si="177"/>
        <v>0</v>
      </c>
      <c r="B109" s="128" t="s">
        <v>2967</v>
      </c>
      <c r="C109" s="129">
        <f t="shared" ref="C109:AS110" si="185">C52/1.11</f>
        <v>0</v>
      </c>
      <c r="D109" s="130">
        <f t="shared" si="185"/>
        <v>0</v>
      </c>
      <c r="E109" s="130">
        <f t="shared" si="185"/>
        <v>0</v>
      </c>
      <c r="F109" s="129">
        <f t="shared" si="185"/>
        <v>0</v>
      </c>
      <c r="G109" s="129">
        <f t="shared" si="185"/>
        <v>0</v>
      </c>
      <c r="H109" s="130">
        <f t="shared" si="185"/>
        <v>0</v>
      </c>
      <c r="I109" s="130">
        <f t="shared" si="185"/>
        <v>0</v>
      </c>
      <c r="J109" s="130">
        <f t="shared" si="185"/>
        <v>0</v>
      </c>
      <c r="K109" s="130">
        <f t="shared" si="185"/>
        <v>0</v>
      </c>
      <c r="L109" s="130">
        <f t="shared" si="185"/>
        <v>0</v>
      </c>
      <c r="M109" s="130">
        <f t="shared" si="185"/>
        <v>0</v>
      </c>
      <c r="N109" s="130">
        <f t="shared" si="185"/>
        <v>0</v>
      </c>
      <c r="O109" s="130">
        <f t="shared" si="185"/>
        <v>0</v>
      </c>
      <c r="P109" s="130">
        <f t="shared" si="185"/>
        <v>0</v>
      </c>
      <c r="Q109" s="130">
        <f t="shared" si="185"/>
        <v>0</v>
      </c>
      <c r="R109" s="130">
        <f t="shared" si="185"/>
        <v>0</v>
      </c>
      <c r="S109" s="130">
        <f t="shared" si="185"/>
        <v>0</v>
      </c>
      <c r="T109" s="130">
        <f t="shared" si="185"/>
        <v>0</v>
      </c>
      <c r="U109" s="130">
        <f t="shared" si="185"/>
        <v>0</v>
      </c>
      <c r="V109" s="130">
        <f t="shared" si="185"/>
        <v>0</v>
      </c>
      <c r="W109" s="130">
        <f t="shared" si="185"/>
        <v>0</v>
      </c>
      <c r="X109" s="130">
        <f t="shared" si="185"/>
        <v>0</v>
      </c>
      <c r="Y109" s="130">
        <f t="shared" si="185"/>
        <v>0</v>
      </c>
      <c r="Z109" s="130">
        <f t="shared" si="185"/>
        <v>0</v>
      </c>
      <c r="AA109" s="130">
        <f t="shared" si="185"/>
        <v>0</v>
      </c>
      <c r="AB109" s="130">
        <f t="shared" si="185"/>
        <v>0</v>
      </c>
      <c r="AC109" s="130">
        <f t="shared" si="185"/>
        <v>0</v>
      </c>
      <c r="AD109" s="130">
        <f t="shared" si="185"/>
        <v>0</v>
      </c>
      <c r="AE109" s="130">
        <f t="shared" si="185"/>
        <v>0</v>
      </c>
      <c r="AF109" s="130">
        <f t="shared" si="185"/>
        <v>0</v>
      </c>
      <c r="AG109" s="130">
        <f t="shared" si="185"/>
        <v>0</v>
      </c>
      <c r="AH109" s="130">
        <f t="shared" si="185"/>
        <v>0</v>
      </c>
      <c r="AI109" s="130">
        <f t="shared" si="185"/>
        <v>0</v>
      </c>
      <c r="AJ109" s="130">
        <f t="shared" si="185"/>
        <v>0</v>
      </c>
      <c r="AK109" s="130">
        <f t="shared" si="185"/>
        <v>0</v>
      </c>
      <c r="AL109" s="130">
        <f t="shared" si="185"/>
        <v>0</v>
      </c>
      <c r="AM109" s="130">
        <f t="shared" si="185"/>
        <v>0</v>
      </c>
      <c r="AN109" s="130">
        <f t="shared" si="185"/>
        <v>0</v>
      </c>
      <c r="AO109" s="130">
        <f t="shared" si="185"/>
        <v>0</v>
      </c>
      <c r="AP109" s="130">
        <f t="shared" si="185"/>
        <v>0</v>
      </c>
      <c r="AQ109" s="130">
        <f t="shared" si="185"/>
        <v>0</v>
      </c>
      <c r="AR109" s="130">
        <f t="shared" si="185"/>
        <v>0</v>
      </c>
      <c r="AS109" s="130">
        <f t="shared" si="185"/>
        <v>0</v>
      </c>
      <c r="AT109" s="130">
        <f t="shared" ref="AT109:BQ109" si="186">AT52/1.11</f>
        <v>0</v>
      </c>
      <c r="AU109" s="130">
        <f t="shared" si="186"/>
        <v>0</v>
      </c>
      <c r="AV109" s="130">
        <f t="shared" si="186"/>
        <v>0</v>
      </c>
      <c r="AW109" s="130">
        <f t="shared" si="186"/>
        <v>0</v>
      </c>
      <c r="AX109" s="130">
        <f t="shared" si="186"/>
        <v>0</v>
      </c>
      <c r="AY109" s="130">
        <f t="shared" si="186"/>
        <v>0</v>
      </c>
      <c r="AZ109" s="130">
        <f t="shared" si="186"/>
        <v>0</v>
      </c>
      <c r="BA109" s="130">
        <f t="shared" si="186"/>
        <v>0</v>
      </c>
      <c r="BB109" s="130">
        <f t="shared" si="186"/>
        <v>0</v>
      </c>
      <c r="BC109" s="130">
        <f t="shared" si="186"/>
        <v>0</v>
      </c>
      <c r="BD109" s="130">
        <f t="shared" si="186"/>
        <v>0</v>
      </c>
      <c r="BE109" s="130">
        <f t="shared" si="186"/>
        <v>0</v>
      </c>
      <c r="BF109" s="130">
        <f t="shared" si="186"/>
        <v>0</v>
      </c>
      <c r="BG109" s="130">
        <f t="shared" si="186"/>
        <v>0</v>
      </c>
      <c r="BH109" s="130">
        <f t="shared" si="186"/>
        <v>0</v>
      </c>
      <c r="BI109" s="130">
        <f t="shared" si="186"/>
        <v>0</v>
      </c>
      <c r="BJ109" s="130">
        <f t="shared" si="186"/>
        <v>0</v>
      </c>
      <c r="BK109" s="130">
        <f t="shared" si="186"/>
        <v>0</v>
      </c>
      <c r="BL109" s="130">
        <f t="shared" si="186"/>
        <v>0</v>
      </c>
      <c r="BM109" s="130">
        <f t="shared" si="186"/>
        <v>0</v>
      </c>
      <c r="BN109" s="130">
        <f t="shared" si="186"/>
        <v>0</v>
      </c>
      <c r="BO109" s="130">
        <f t="shared" si="186"/>
        <v>0</v>
      </c>
      <c r="BP109" s="130">
        <f t="shared" si="186"/>
        <v>0</v>
      </c>
      <c r="BQ109" s="130">
        <f t="shared" si="186"/>
        <v>0</v>
      </c>
    </row>
    <row r="110" spans="1:69">
      <c r="A110" s="132">
        <f t="shared" si="177"/>
        <v>0</v>
      </c>
      <c r="B110" s="133" t="s">
        <v>254</v>
      </c>
      <c r="C110" s="133">
        <f t="shared" si="185"/>
        <v>0</v>
      </c>
      <c r="D110" s="133">
        <f t="shared" si="185"/>
        <v>0</v>
      </c>
      <c r="E110" s="133">
        <f t="shared" si="185"/>
        <v>0</v>
      </c>
      <c r="F110" s="133">
        <f t="shared" si="185"/>
        <v>0</v>
      </c>
      <c r="G110" s="133">
        <f t="shared" si="185"/>
        <v>0</v>
      </c>
      <c r="H110" s="133">
        <f t="shared" si="185"/>
        <v>0</v>
      </c>
      <c r="I110" s="133">
        <f t="shared" si="185"/>
        <v>0</v>
      </c>
      <c r="J110" s="133">
        <f t="shared" si="185"/>
        <v>0</v>
      </c>
      <c r="K110" s="133">
        <f t="shared" si="185"/>
        <v>0</v>
      </c>
      <c r="L110" s="133">
        <f t="shared" si="185"/>
        <v>0</v>
      </c>
      <c r="M110" s="133">
        <f t="shared" si="185"/>
        <v>0</v>
      </c>
      <c r="N110" s="133">
        <f t="shared" si="185"/>
        <v>0</v>
      </c>
      <c r="O110" s="133">
        <f t="shared" si="185"/>
        <v>0</v>
      </c>
      <c r="P110" s="133">
        <f t="shared" si="185"/>
        <v>0</v>
      </c>
      <c r="Q110" s="133">
        <f t="shared" si="185"/>
        <v>0</v>
      </c>
      <c r="R110" s="133">
        <f t="shared" si="185"/>
        <v>0</v>
      </c>
      <c r="S110" s="133">
        <f t="shared" si="185"/>
        <v>0</v>
      </c>
      <c r="T110" s="133">
        <f t="shared" si="185"/>
        <v>0</v>
      </c>
      <c r="U110" s="133">
        <f t="shared" si="185"/>
        <v>0</v>
      </c>
      <c r="V110" s="133">
        <f t="shared" si="185"/>
        <v>0</v>
      </c>
      <c r="W110" s="133">
        <f t="shared" si="185"/>
        <v>0</v>
      </c>
      <c r="X110" s="133">
        <f t="shared" si="185"/>
        <v>0</v>
      </c>
      <c r="Y110" s="133">
        <f t="shared" si="185"/>
        <v>0</v>
      </c>
      <c r="Z110" s="133">
        <f t="shared" si="185"/>
        <v>0</v>
      </c>
      <c r="AA110" s="133">
        <f t="shared" si="185"/>
        <v>0</v>
      </c>
      <c r="AB110" s="133">
        <f t="shared" si="185"/>
        <v>0</v>
      </c>
      <c r="AC110" s="133">
        <f t="shared" si="185"/>
        <v>0</v>
      </c>
      <c r="AD110" s="133">
        <f t="shared" si="185"/>
        <v>0</v>
      </c>
      <c r="AE110" s="133">
        <f t="shared" si="185"/>
        <v>0</v>
      </c>
      <c r="AF110" s="133">
        <f t="shared" si="185"/>
        <v>0</v>
      </c>
      <c r="AG110" s="133">
        <f t="shared" si="185"/>
        <v>0</v>
      </c>
      <c r="AH110" s="133">
        <f t="shared" si="185"/>
        <v>0</v>
      </c>
      <c r="AI110" s="133">
        <f t="shared" si="185"/>
        <v>0</v>
      </c>
      <c r="AJ110" s="133">
        <f t="shared" si="185"/>
        <v>0</v>
      </c>
      <c r="AK110" s="133">
        <f t="shared" si="185"/>
        <v>0</v>
      </c>
      <c r="AL110" s="133">
        <f t="shared" si="185"/>
        <v>0</v>
      </c>
      <c r="AM110" s="133">
        <f t="shared" si="185"/>
        <v>0</v>
      </c>
      <c r="AN110" s="133">
        <f t="shared" si="185"/>
        <v>0</v>
      </c>
      <c r="AO110" s="133">
        <f t="shared" si="185"/>
        <v>0</v>
      </c>
      <c r="AP110" s="133">
        <f t="shared" si="185"/>
        <v>0</v>
      </c>
      <c r="AQ110" s="133">
        <f t="shared" si="185"/>
        <v>0</v>
      </c>
      <c r="AR110" s="133">
        <f t="shared" si="185"/>
        <v>0</v>
      </c>
      <c r="AS110" s="133">
        <f t="shared" si="185"/>
        <v>0</v>
      </c>
      <c r="AT110" s="133">
        <f t="shared" ref="AT110:BQ110" si="187">AT53/1.11</f>
        <v>0</v>
      </c>
      <c r="AU110" s="133">
        <f t="shared" si="187"/>
        <v>0</v>
      </c>
      <c r="AV110" s="133">
        <f t="shared" si="187"/>
        <v>0</v>
      </c>
      <c r="AW110" s="133">
        <f t="shared" si="187"/>
        <v>0</v>
      </c>
      <c r="AX110" s="133">
        <f t="shared" si="187"/>
        <v>0</v>
      </c>
      <c r="AY110" s="133">
        <f t="shared" si="187"/>
        <v>0</v>
      </c>
      <c r="AZ110" s="133">
        <f t="shared" si="187"/>
        <v>0</v>
      </c>
      <c r="BA110" s="133">
        <f t="shared" si="187"/>
        <v>0</v>
      </c>
      <c r="BB110" s="133">
        <f t="shared" si="187"/>
        <v>0</v>
      </c>
      <c r="BC110" s="133">
        <f t="shared" si="187"/>
        <v>0</v>
      </c>
      <c r="BD110" s="133">
        <f t="shared" si="187"/>
        <v>0</v>
      </c>
      <c r="BE110" s="133">
        <f t="shared" si="187"/>
        <v>0</v>
      </c>
      <c r="BF110" s="133">
        <f t="shared" si="187"/>
        <v>0</v>
      </c>
      <c r="BG110" s="133">
        <f t="shared" si="187"/>
        <v>0</v>
      </c>
      <c r="BH110" s="133">
        <f t="shared" si="187"/>
        <v>0</v>
      </c>
      <c r="BI110" s="133">
        <f t="shared" si="187"/>
        <v>0</v>
      </c>
      <c r="BJ110" s="133">
        <f t="shared" si="187"/>
        <v>0</v>
      </c>
      <c r="BK110" s="133">
        <f t="shared" si="187"/>
        <v>0</v>
      </c>
      <c r="BL110" s="133">
        <f t="shared" si="187"/>
        <v>0</v>
      </c>
      <c r="BM110" s="133">
        <f t="shared" si="187"/>
        <v>0</v>
      </c>
      <c r="BN110" s="133">
        <f t="shared" si="187"/>
        <v>0</v>
      </c>
      <c r="BO110" s="133">
        <f t="shared" si="187"/>
        <v>0</v>
      </c>
      <c r="BP110" s="133">
        <f t="shared" si="187"/>
        <v>0</v>
      </c>
      <c r="BQ110" s="133">
        <f t="shared" si="187"/>
        <v>0</v>
      </c>
    </row>
    <row r="111" spans="1:69" s="126" customFormat="1" ht="13">
      <c r="A111" s="127" t="str">
        <f t="shared" si="177"/>
        <v>小高层（8~11F）</v>
      </c>
      <c r="B111" s="128" t="s">
        <v>255</v>
      </c>
      <c r="C111" s="129">
        <f t="shared" ref="C111:AS111" si="188">C54</f>
        <v>0</v>
      </c>
      <c r="D111" s="130">
        <f t="shared" si="188"/>
        <v>0</v>
      </c>
      <c r="E111" s="130">
        <f t="shared" si="188"/>
        <v>0</v>
      </c>
      <c r="F111" s="130">
        <f t="shared" si="188"/>
        <v>0</v>
      </c>
      <c r="G111" s="130">
        <f t="shared" si="188"/>
        <v>0</v>
      </c>
      <c r="H111" s="130">
        <f t="shared" si="188"/>
        <v>0</v>
      </c>
      <c r="I111" s="130">
        <f t="shared" si="188"/>
        <v>0</v>
      </c>
      <c r="J111" s="130">
        <f t="shared" si="188"/>
        <v>0</v>
      </c>
      <c r="K111" s="130">
        <f t="shared" si="188"/>
        <v>0</v>
      </c>
      <c r="L111" s="130">
        <f t="shared" si="188"/>
        <v>0</v>
      </c>
      <c r="M111" s="130">
        <f t="shared" si="188"/>
        <v>0</v>
      </c>
      <c r="N111" s="130">
        <f t="shared" si="188"/>
        <v>0</v>
      </c>
      <c r="O111" s="130">
        <f t="shared" si="188"/>
        <v>0</v>
      </c>
      <c r="P111" s="130">
        <f t="shared" si="188"/>
        <v>0</v>
      </c>
      <c r="Q111" s="130">
        <f t="shared" si="188"/>
        <v>0</v>
      </c>
      <c r="R111" s="130">
        <f t="shared" si="188"/>
        <v>0</v>
      </c>
      <c r="S111" s="130">
        <f t="shared" si="188"/>
        <v>0</v>
      </c>
      <c r="T111" s="138">
        <f t="shared" si="188"/>
        <v>0</v>
      </c>
      <c r="U111" s="138">
        <f t="shared" si="188"/>
        <v>0</v>
      </c>
      <c r="V111" s="138">
        <f t="shared" si="188"/>
        <v>0</v>
      </c>
      <c r="W111" s="138">
        <f t="shared" si="188"/>
        <v>0</v>
      </c>
      <c r="X111" s="138">
        <f t="shared" si="188"/>
        <v>0</v>
      </c>
      <c r="Y111" s="138">
        <f t="shared" si="188"/>
        <v>0</v>
      </c>
      <c r="Z111" s="138">
        <f t="shared" si="188"/>
        <v>0</v>
      </c>
      <c r="AA111" s="138">
        <f t="shared" si="188"/>
        <v>0</v>
      </c>
      <c r="AB111" s="138">
        <f t="shared" si="188"/>
        <v>0</v>
      </c>
      <c r="AC111" s="138">
        <f t="shared" si="188"/>
        <v>0</v>
      </c>
      <c r="AD111" s="138">
        <f t="shared" si="188"/>
        <v>0</v>
      </c>
      <c r="AE111" s="138">
        <f t="shared" si="188"/>
        <v>0</v>
      </c>
      <c r="AF111" s="138">
        <f t="shared" si="188"/>
        <v>0</v>
      </c>
      <c r="AG111" s="138">
        <f t="shared" si="188"/>
        <v>0</v>
      </c>
      <c r="AH111" s="138">
        <f t="shared" si="188"/>
        <v>0</v>
      </c>
      <c r="AI111" s="138">
        <f t="shared" si="188"/>
        <v>0</v>
      </c>
      <c r="AJ111" s="138">
        <f t="shared" si="188"/>
        <v>0</v>
      </c>
      <c r="AK111" s="138">
        <f t="shared" si="188"/>
        <v>0</v>
      </c>
      <c r="AL111" s="138">
        <f t="shared" si="188"/>
        <v>0</v>
      </c>
      <c r="AM111" s="138">
        <f t="shared" si="188"/>
        <v>0</v>
      </c>
      <c r="AN111" s="138">
        <f t="shared" si="188"/>
        <v>0</v>
      </c>
      <c r="AO111" s="138">
        <f t="shared" si="188"/>
        <v>0</v>
      </c>
      <c r="AP111" s="138">
        <f t="shared" si="188"/>
        <v>0</v>
      </c>
      <c r="AQ111" s="138">
        <f t="shared" si="188"/>
        <v>0</v>
      </c>
      <c r="AR111" s="138">
        <f t="shared" si="188"/>
        <v>0</v>
      </c>
      <c r="AS111" s="138">
        <f t="shared" si="188"/>
        <v>0</v>
      </c>
      <c r="AT111" s="138">
        <f t="shared" ref="AT111:BQ111" si="189">AT54</f>
        <v>0</v>
      </c>
      <c r="AU111" s="138">
        <f t="shared" si="189"/>
        <v>0</v>
      </c>
      <c r="AV111" s="138">
        <f t="shared" si="189"/>
        <v>0</v>
      </c>
      <c r="AW111" s="138">
        <f t="shared" si="189"/>
        <v>0</v>
      </c>
      <c r="AX111" s="138">
        <f t="shared" si="189"/>
        <v>0</v>
      </c>
      <c r="AY111" s="138">
        <f t="shared" si="189"/>
        <v>0</v>
      </c>
      <c r="AZ111" s="138">
        <f t="shared" si="189"/>
        <v>0</v>
      </c>
      <c r="BA111" s="138">
        <f t="shared" si="189"/>
        <v>0</v>
      </c>
      <c r="BB111" s="138">
        <f t="shared" si="189"/>
        <v>0</v>
      </c>
      <c r="BC111" s="138">
        <f t="shared" si="189"/>
        <v>0</v>
      </c>
      <c r="BD111" s="138">
        <f t="shared" si="189"/>
        <v>0</v>
      </c>
      <c r="BE111" s="138">
        <f t="shared" si="189"/>
        <v>0</v>
      </c>
      <c r="BF111" s="138">
        <f t="shared" si="189"/>
        <v>0</v>
      </c>
      <c r="BG111" s="138">
        <f t="shared" si="189"/>
        <v>0</v>
      </c>
      <c r="BH111" s="138">
        <f t="shared" si="189"/>
        <v>0</v>
      </c>
      <c r="BI111" s="138">
        <f t="shared" si="189"/>
        <v>0</v>
      </c>
      <c r="BJ111" s="138">
        <f t="shared" si="189"/>
        <v>0</v>
      </c>
      <c r="BK111" s="138">
        <f t="shared" si="189"/>
        <v>0</v>
      </c>
      <c r="BL111" s="138">
        <f t="shared" si="189"/>
        <v>0</v>
      </c>
      <c r="BM111" s="138">
        <f t="shared" si="189"/>
        <v>0</v>
      </c>
      <c r="BN111" s="138">
        <f t="shared" si="189"/>
        <v>0</v>
      </c>
      <c r="BO111" s="138">
        <f t="shared" si="189"/>
        <v>0</v>
      </c>
      <c r="BP111" s="138">
        <f t="shared" si="189"/>
        <v>0</v>
      </c>
      <c r="BQ111" s="138">
        <f t="shared" si="189"/>
        <v>0</v>
      </c>
    </row>
    <row r="112" spans="1:69" s="126" customFormat="1" ht="13">
      <c r="A112" s="127">
        <f t="shared" si="177"/>
        <v>0</v>
      </c>
      <c r="B112" s="128" t="s">
        <v>2967</v>
      </c>
      <c r="C112" s="129">
        <f t="shared" ref="C112:AS113" si="190">C55/1.11</f>
        <v>0</v>
      </c>
      <c r="D112" s="130">
        <f t="shared" si="190"/>
        <v>0</v>
      </c>
      <c r="E112" s="130">
        <f t="shared" si="190"/>
        <v>0</v>
      </c>
      <c r="F112" s="129">
        <f t="shared" si="190"/>
        <v>0</v>
      </c>
      <c r="G112" s="129">
        <f t="shared" si="190"/>
        <v>0</v>
      </c>
      <c r="H112" s="130">
        <f t="shared" si="190"/>
        <v>0</v>
      </c>
      <c r="I112" s="130">
        <f t="shared" si="190"/>
        <v>0</v>
      </c>
      <c r="J112" s="130">
        <f t="shared" si="190"/>
        <v>0</v>
      </c>
      <c r="K112" s="130">
        <f t="shared" si="190"/>
        <v>0</v>
      </c>
      <c r="L112" s="130">
        <f t="shared" si="190"/>
        <v>0</v>
      </c>
      <c r="M112" s="130">
        <f t="shared" si="190"/>
        <v>0</v>
      </c>
      <c r="N112" s="130">
        <f t="shared" si="190"/>
        <v>0</v>
      </c>
      <c r="O112" s="130">
        <f t="shared" si="190"/>
        <v>0</v>
      </c>
      <c r="P112" s="130">
        <f t="shared" si="190"/>
        <v>0</v>
      </c>
      <c r="Q112" s="130">
        <f t="shared" si="190"/>
        <v>0</v>
      </c>
      <c r="R112" s="130">
        <f t="shared" si="190"/>
        <v>0</v>
      </c>
      <c r="S112" s="130">
        <f t="shared" si="190"/>
        <v>0</v>
      </c>
      <c r="T112" s="130">
        <f t="shared" si="190"/>
        <v>0</v>
      </c>
      <c r="U112" s="130">
        <f t="shared" si="190"/>
        <v>0</v>
      </c>
      <c r="V112" s="130">
        <f t="shared" si="190"/>
        <v>0</v>
      </c>
      <c r="W112" s="130">
        <f t="shared" si="190"/>
        <v>0</v>
      </c>
      <c r="X112" s="130">
        <f t="shared" si="190"/>
        <v>0</v>
      </c>
      <c r="Y112" s="130">
        <f t="shared" si="190"/>
        <v>0</v>
      </c>
      <c r="Z112" s="130">
        <f t="shared" si="190"/>
        <v>0</v>
      </c>
      <c r="AA112" s="130">
        <f t="shared" si="190"/>
        <v>0</v>
      </c>
      <c r="AB112" s="130">
        <f t="shared" si="190"/>
        <v>0</v>
      </c>
      <c r="AC112" s="130">
        <f t="shared" si="190"/>
        <v>0</v>
      </c>
      <c r="AD112" s="130">
        <f t="shared" si="190"/>
        <v>0</v>
      </c>
      <c r="AE112" s="130">
        <f t="shared" si="190"/>
        <v>0</v>
      </c>
      <c r="AF112" s="130">
        <f t="shared" si="190"/>
        <v>0</v>
      </c>
      <c r="AG112" s="130">
        <f t="shared" si="190"/>
        <v>0</v>
      </c>
      <c r="AH112" s="130">
        <f t="shared" si="190"/>
        <v>0</v>
      </c>
      <c r="AI112" s="130">
        <f t="shared" si="190"/>
        <v>0</v>
      </c>
      <c r="AJ112" s="130">
        <f t="shared" si="190"/>
        <v>0</v>
      </c>
      <c r="AK112" s="130">
        <f t="shared" si="190"/>
        <v>0</v>
      </c>
      <c r="AL112" s="130">
        <f t="shared" si="190"/>
        <v>0</v>
      </c>
      <c r="AM112" s="130">
        <f t="shared" si="190"/>
        <v>0</v>
      </c>
      <c r="AN112" s="130">
        <f t="shared" si="190"/>
        <v>0</v>
      </c>
      <c r="AO112" s="130">
        <f t="shared" si="190"/>
        <v>0</v>
      </c>
      <c r="AP112" s="130">
        <f t="shared" si="190"/>
        <v>0</v>
      </c>
      <c r="AQ112" s="130">
        <f t="shared" si="190"/>
        <v>0</v>
      </c>
      <c r="AR112" s="130">
        <f t="shared" si="190"/>
        <v>0</v>
      </c>
      <c r="AS112" s="130">
        <f t="shared" si="190"/>
        <v>0</v>
      </c>
      <c r="AT112" s="130">
        <f t="shared" ref="AT112:BQ112" si="191">AT55/1.11</f>
        <v>0</v>
      </c>
      <c r="AU112" s="130">
        <f t="shared" si="191"/>
        <v>0</v>
      </c>
      <c r="AV112" s="130">
        <f t="shared" si="191"/>
        <v>0</v>
      </c>
      <c r="AW112" s="130">
        <f t="shared" si="191"/>
        <v>0</v>
      </c>
      <c r="AX112" s="130">
        <f t="shared" si="191"/>
        <v>0</v>
      </c>
      <c r="AY112" s="130">
        <f t="shared" si="191"/>
        <v>0</v>
      </c>
      <c r="AZ112" s="130">
        <f t="shared" si="191"/>
        <v>0</v>
      </c>
      <c r="BA112" s="130">
        <f t="shared" si="191"/>
        <v>0</v>
      </c>
      <c r="BB112" s="130">
        <f t="shared" si="191"/>
        <v>0</v>
      </c>
      <c r="BC112" s="130">
        <f t="shared" si="191"/>
        <v>0</v>
      </c>
      <c r="BD112" s="130">
        <f t="shared" si="191"/>
        <v>0</v>
      </c>
      <c r="BE112" s="130">
        <f t="shared" si="191"/>
        <v>0</v>
      </c>
      <c r="BF112" s="130">
        <f t="shared" si="191"/>
        <v>0</v>
      </c>
      <c r="BG112" s="130">
        <f t="shared" si="191"/>
        <v>0</v>
      </c>
      <c r="BH112" s="130">
        <f t="shared" si="191"/>
        <v>0</v>
      </c>
      <c r="BI112" s="130">
        <f t="shared" si="191"/>
        <v>0</v>
      </c>
      <c r="BJ112" s="130">
        <f t="shared" si="191"/>
        <v>0</v>
      </c>
      <c r="BK112" s="130">
        <f t="shared" si="191"/>
        <v>0</v>
      </c>
      <c r="BL112" s="130">
        <f t="shared" si="191"/>
        <v>0</v>
      </c>
      <c r="BM112" s="130">
        <f t="shared" si="191"/>
        <v>0</v>
      </c>
      <c r="BN112" s="130">
        <f t="shared" si="191"/>
        <v>0</v>
      </c>
      <c r="BO112" s="130">
        <f t="shared" si="191"/>
        <v>0</v>
      </c>
      <c r="BP112" s="130">
        <f t="shared" si="191"/>
        <v>0</v>
      </c>
      <c r="BQ112" s="130">
        <f t="shared" si="191"/>
        <v>0</v>
      </c>
    </row>
    <row r="113" spans="1:69">
      <c r="A113" s="132">
        <f t="shared" si="177"/>
        <v>0</v>
      </c>
      <c r="B113" s="133" t="s">
        <v>254</v>
      </c>
      <c r="C113" s="133">
        <f t="shared" si="190"/>
        <v>0</v>
      </c>
      <c r="D113" s="133">
        <f t="shared" si="190"/>
        <v>0</v>
      </c>
      <c r="E113" s="133">
        <f t="shared" si="190"/>
        <v>0</v>
      </c>
      <c r="F113" s="133">
        <f t="shared" si="190"/>
        <v>0</v>
      </c>
      <c r="G113" s="133">
        <f t="shared" si="190"/>
        <v>0</v>
      </c>
      <c r="H113" s="133">
        <f t="shared" si="190"/>
        <v>0</v>
      </c>
      <c r="I113" s="133">
        <f t="shared" si="190"/>
        <v>0</v>
      </c>
      <c r="J113" s="133">
        <f t="shared" si="190"/>
        <v>0</v>
      </c>
      <c r="K113" s="133">
        <f t="shared" si="190"/>
        <v>0</v>
      </c>
      <c r="L113" s="133">
        <f t="shared" si="190"/>
        <v>0</v>
      </c>
      <c r="M113" s="133">
        <f t="shared" si="190"/>
        <v>0</v>
      </c>
      <c r="N113" s="133">
        <f t="shared" si="190"/>
        <v>0</v>
      </c>
      <c r="O113" s="133">
        <f t="shared" si="190"/>
        <v>0</v>
      </c>
      <c r="P113" s="133">
        <f t="shared" si="190"/>
        <v>0</v>
      </c>
      <c r="Q113" s="133">
        <f t="shared" si="190"/>
        <v>0</v>
      </c>
      <c r="R113" s="133">
        <f t="shared" si="190"/>
        <v>0</v>
      </c>
      <c r="S113" s="133">
        <f t="shared" si="190"/>
        <v>0</v>
      </c>
      <c r="T113" s="133">
        <f t="shared" si="190"/>
        <v>0</v>
      </c>
      <c r="U113" s="133">
        <f t="shared" si="190"/>
        <v>0</v>
      </c>
      <c r="V113" s="133">
        <f t="shared" si="190"/>
        <v>0</v>
      </c>
      <c r="W113" s="133">
        <f t="shared" si="190"/>
        <v>0</v>
      </c>
      <c r="X113" s="133">
        <f t="shared" si="190"/>
        <v>0</v>
      </c>
      <c r="Y113" s="133">
        <f t="shared" si="190"/>
        <v>0</v>
      </c>
      <c r="Z113" s="133">
        <f t="shared" si="190"/>
        <v>0</v>
      </c>
      <c r="AA113" s="133">
        <f t="shared" si="190"/>
        <v>0</v>
      </c>
      <c r="AB113" s="133">
        <f t="shared" si="190"/>
        <v>0</v>
      </c>
      <c r="AC113" s="133">
        <f t="shared" si="190"/>
        <v>0</v>
      </c>
      <c r="AD113" s="133">
        <f t="shared" si="190"/>
        <v>0</v>
      </c>
      <c r="AE113" s="133">
        <f t="shared" si="190"/>
        <v>0</v>
      </c>
      <c r="AF113" s="133">
        <f t="shared" si="190"/>
        <v>0</v>
      </c>
      <c r="AG113" s="133">
        <f t="shared" si="190"/>
        <v>0</v>
      </c>
      <c r="AH113" s="133">
        <f t="shared" si="190"/>
        <v>0</v>
      </c>
      <c r="AI113" s="133">
        <f t="shared" si="190"/>
        <v>0</v>
      </c>
      <c r="AJ113" s="133">
        <f t="shared" si="190"/>
        <v>0</v>
      </c>
      <c r="AK113" s="133">
        <f t="shared" si="190"/>
        <v>0</v>
      </c>
      <c r="AL113" s="133">
        <f t="shared" si="190"/>
        <v>0</v>
      </c>
      <c r="AM113" s="133">
        <f t="shared" si="190"/>
        <v>0</v>
      </c>
      <c r="AN113" s="133">
        <f t="shared" si="190"/>
        <v>0</v>
      </c>
      <c r="AO113" s="133">
        <f t="shared" si="190"/>
        <v>0</v>
      </c>
      <c r="AP113" s="133">
        <f t="shared" si="190"/>
        <v>0</v>
      </c>
      <c r="AQ113" s="133">
        <f t="shared" si="190"/>
        <v>0</v>
      </c>
      <c r="AR113" s="133">
        <f t="shared" si="190"/>
        <v>0</v>
      </c>
      <c r="AS113" s="133">
        <f t="shared" si="190"/>
        <v>0</v>
      </c>
      <c r="AT113" s="133">
        <f t="shared" ref="AT113:BQ113" si="192">AT56/1.11</f>
        <v>0</v>
      </c>
      <c r="AU113" s="133">
        <f t="shared" si="192"/>
        <v>0</v>
      </c>
      <c r="AV113" s="133">
        <f t="shared" si="192"/>
        <v>0</v>
      </c>
      <c r="AW113" s="133">
        <f t="shared" si="192"/>
        <v>0</v>
      </c>
      <c r="AX113" s="133">
        <f t="shared" si="192"/>
        <v>0</v>
      </c>
      <c r="AY113" s="133">
        <f t="shared" si="192"/>
        <v>0</v>
      </c>
      <c r="AZ113" s="133">
        <f t="shared" si="192"/>
        <v>0</v>
      </c>
      <c r="BA113" s="133">
        <f t="shared" si="192"/>
        <v>0</v>
      </c>
      <c r="BB113" s="133">
        <f t="shared" si="192"/>
        <v>0</v>
      </c>
      <c r="BC113" s="133">
        <f t="shared" si="192"/>
        <v>0</v>
      </c>
      <c r="BD113" s="133">
        <f t="shared" si="192"/>
        <v>0</v>
      </c>
      <c r="BE113" s="133">
        <f t="shared" si="192"/>
        <v>0</v>
      </c>
      <c r="BF113" s="133">
        <f t="shared" si="192"/>
        <v>0</v>
      </c>
      <c r="BG113" s="133">
        <f t="shared" si="192"/>
        <v>0</v>
      </c>
      <c r="BH113" s="133">
        <f t="shared" si="192"/>
        <v>0</v>
      </c>
      <c r="BI113" s="133">
        <f t="shared" si="192"/>
        <v>0</v>
      </c>
      <c r="BJ113" s="133">
        <f t="shared" si="192"/>
        <v>0</v>
      </c>
      <c r="BK113" s="133">
        <f t="shared" si="192"/>
        <v>0</v>
      </c>
      <c r="BL113" s="133">
        <f t="shared" si="192"/>
        <v>0</v>
      </c>
      <c r="BM113" s="133">
        <f t="shared" si="192"/>
        <v>0</v>
      </c>
      <c r="BN113" s="133">
        <f t="shared" si="192"/>
        <v>0</v>
      </c>
      <c r="BO113" s="133">
        <f t="shared" si="192"/>
        <v>0</v>
      </c>
      <c r="BP113" s="133">
        <f t="shared" si="192"/>
        <v>0</v>
      </c>
      <c r="BQ113" s="133">
        <f t="shared" si="192"/>
        <v>0</v>
      </c>
    </row>
    <row r="120" spans="1:69">
      <c r="C120" s="139"/>
    </row>
    <row r="121" spans="1:69">
      <c r="P121" s="140"/>
    </row>
    <row r="129" spans="2:2">
      <c r="B129" s="117"/>
    </row>
    <row r="130" spans="2:2">
      <c r="B130" s="117"/>
    </row>
    <row r="131" spans="2:2">
      <c r="B131" s="117"/>
    </row>
    <row r="132" spans="2:2">
      <c r="B132" s="117"/>
    </row>
    <row r="133" spans="2:2">
      <c r="B133" s="117"/>
    </row>
    <row r="134" spans="2:2">
      <c r="B134" s="117"/>
    </row>
    <row r="135" spans="2:2">
      <c r="B135" s="117"/>
    </row>
    <row r="136" spans="2:2">
      <c r="B136" s="117"/>
    </row>
    <row r="137" spans="2:2">
      <c r="B137" s="117"/>
    </row>
    <row r="138" spans="2:2">
      <c r="B138" s="117"/>
    </row>
    <row r="139" spans="2:2">
      <c r="B139" s="117"/>
    </row>
    <row r="140" spans="2:2">
      <c r="B140" s="117"/>
    </row>
    <row r="141" spans="2:2">
      <c r="B141" s="117"/>
    </row>
    <row r="142" spans="2:2">
      <c r="B142" s="117"/>
    </row>
    <row r="143" spans="2:2">
      <c r="B143" s="117"/>
    </row>
    <row r="144" spans="2:2">
      <c r="B144" s="117"/>
    </row>
    <row r="145" spans="2:2">
      <c r="B145" s="117"/>
    </row>
    <row r="146" spans="2:2">
      <c r="B146" s="117"/>
    </row>
    <row r="147" spans="2:2">
      <c r="B147" s="117"/>
    </row>
    <row r="148" spans="2:2">
      <c r="B148" s="117"/>
    </row>
    <row r="149" spans="2:2">
      <c r="B149" s="117"/>
    </row>
    <row r="150" spans="2:2">
      <c r="B150" s="117"/>
    </row>
    <row r="151" spans="2:2">
      <c r="B151" s="117"/>
    </row>
    <row r="152" spans="2:2">
      <c r="B152" s="117"/>
    </row>
    <row r="153" spans="2:2">
      <c r="B153" s="117"/>
    </row>
    <row r="154" spans="2:2">
      <c r="B154" s="117"/>
    </row>
    <row r="155" spans="2:2">
      <c r="B155" s="117"/>
    </row>
  </sheetData>
  <phoneticPr fontId="19"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7"/>
  <sheetViews>
    <sheetView zoomScale="90" zoomScaleNormal="90" workbookViewId="0">
      <pane xSplit="1" ySplit="1" topLeftCell="B2" activePane="bottomRight" state="frozen"/>
      <selection activeCell="E21" sqref="E21"/>
      <selection pane="topRight" activeCell="E21" sqref="E21"/>
      <selection pane="bottomLeft" activeCell="E21" sqref="E21"/>
      <selection pane="bottomRight" activeCell="I6" sqref="I6"/>
    </sheetView>
  </sheetViews>
  <sheetFormatPr defaultColWidth="9" defaultRowHeight="15.5"/>
  <cols>
    <col min="1" max="1" width="22.08203125" style="193" customWidth="1"/>
    <col min="2" max="9" width="11.08203125" style="193" customWidth="1"/>
    <col min="10" max="10" width="12.33203125" style="193" customWidth="1"/>
    <col min="11" max="11" width="14.08203125" style="193" customWidth="1"/>
    <col min="12" max="12" width="16.1640625" style="194" customWidth="1"/>
    <col min="13" max="256" width="11.08203125" style="193" customWidth="1"/>
  </cols>
  <sheetData>
    <row r="1" spans="1:14" s="195" customFormat="1" ht="15" customHeight="1">
      <c r="A1" s="196" t="s">
        <v>360</v>
      </c>
      <c r="B1" s="196" t="s">
        <v>361</v>
      </c>
      <c r="C1" s="196" t="s">
        <v>362</v>
      </c>
      <c r="D1" s="196" t="s">
        <v>363</v>
      </c>
      <c r="E1" s="196" t="s">
        <v>364</v>
      </c>
      <c r="F1" s="196" t="s">
        <v>365</v>
      </c>
      <c r="G1" s="196" t="s">
        <v>366</v>
      </c>
      <c r="H1" s="196" t="s">
        <v>367</v>
      </c>
      <c r="I1" s="196" t="s">
        <v>402</v>
      </c>
      <c r="J1" s="196" t="s">
        <v>401</v>
      </c>
      <c r="K1" s="196" t="s">
        <v>368</v>
      </c>
      <c r="L1" s="197" t="s">
        <v>369</v>
      </c>
    </row>
    <row r="2" spans="1:14" s="195" customFormat="1" ht="15" customHeight="1">
      <c r="A2" s="198" t="s">
        <v>20</v>
      </c>
      <c r="B2" s="176">
        <f>'全期规划指标 '!I51-'全期规划指标 '!I50</f>
        <v>103407.26</v>
      </c>
      <c r="C2" s="176">
        <f>'成本汇总（分摊）'!AI6+'成本汇总（分摊）'!AO6+'成本汇总（分摊）'!AR6+'成本汇总（分摊）'!AU6</f>
        <v>103407.25999999998</v>
      </c>
      <c r="D2" s="176"/>
      <c r="E2" s="176"/>
      <c r="F2" s="176"/>
      <c r="G2" s="176"/>
      <c r="H2" s="176"/>
      <c r="I2" s="176"/>
      <c r="J2" s="176"/>
      <c r="K2" s="176">
        <f>MAX(B2:J2)*COUNT(B2:J2)-SUM(B2:J2)</f>
        <v>0</v>
      </c>
      <c r="L2" s="199" t="s">
        <v>370</v>
      </c>
    </row>
    <row r="3" spans="1:14" s="195" customFormat="1" ht="15" customHeight="1">
      <c r="A3" s="198" t="s">
        <v>20</v>
      </c>
      <c r="B3" s="176">
        <f>'全期规划指标 '!I51</f>
        <v>137382.56</v>
      </c>
      <c r="C3" s="176">
        <f>'成本汇总（分摊）'!BL6</f>
        <v>137382.56</v>
      </c>
      <c r="D3" s="176">
        <f>销售计划!C60</f>
        <v>137382.56</v>
      </c>
      <c r="E3" s="176">
        <f>结算计划!C3</f>
        <v>137382.56</v>
      </c>
      <c r="F3" s="176">
        <f>创造利润!B3</f>
        <v>137382.56</v>
      </c>
      <c r="G3" s="176">
        <f>结算利润!B3</f>
        <v>137382.56</v>
      </c>
      <c r="H3" s="176"/>
      <c r="I3" s="176">
        <f>经济指标!L39</f>
        <v>137382.56</v>
      </c>
      <c r="J3" s="191"/>
      <c r="K3" s="176">
        <f t="shared" ref="K3:K10" si="0">MAX(B3:J3)*COUNT(B3:J3)-SUM(B3:J3)</f>
        <v>0</v>
      </c>
      <c r="L3" s="199" t="s">
        <v>819</v>
      </c>
    </row>
    <row r="4" spans="1:14" s="195" customFormat="1" ht="15" customHeight="1">
      <c r="A4" s="198" t="s">
        <v>844</v>
      </c>
      <c r="B4" s="176"/>
      <c r="C4" s="176"/>
      <c r="D4" s="176">
        <f>销售计划!C62</f>
        <v>127328.7782477064</v>
      </c>
      <c r="E4" s="176">
        <f>结算计划!C5</f>
        <v>127328.7782477064</v>
      </c>
      <c r="F4" s="176">
        <f>创造利润!B7</f>
        <v>127328.77824770639</v>
      </c>
      <c r="G4" s="176">
        <f>结算计划!C5</f>
        <v>127328.7782477064</v>
      </c>
      <c r="H4" s="176">
        <f>现金流量!B4/1.09</f>
        <v>127328.7782477064</v>
      </c>
      <c r="I4" s="176">
        <f>经济指标!L41</f>
        <v>127328.77824770642</v>
      </c>
      <c r="J4" s="176">
        <f>基础信息!K40</f>
        <v>127328.77824770642</v>
      </c>
      <c r="K4" s="176">
        <f t="shared" si="0"/>
        <v>0</v>
      </c>
      <c r="L4" s="199"/>
      <c r="M4" s="200"/>
      <c r="N4" s="200"/>
    </row>
    <row r="5" spans="1:14" s="195" customFormat="1" ht="15" customHeight="1">
      <c r="A5" s="198" t="s">
        <v>138</v>
      </c>
      <c r="B5" s="176"/>
      <c r="C5" s="176">
        <f ca="1">'成本汇总（分摊）'!BK49</f>
        <v>98069.831476000007</v>
      </c>
      <c r="D5" s="176"/>
      <c r="E5" s="176"/>
      <c r="F5" s="176">
        <f ca="1">创造利润!B11</f>
        <v>98069.831475999992</v>
      </c>
      <c r="G5" s="176">
        <f ca="1">结算利润!B11</f>
        <v>98069.831475999992</v>
      </c>
      <c r="H5" s="176">
        <f ca="1">现金流量!B9-现金流量!B17-现金流量!B20-现金流量!B24+现金流量!B31-'成本汇总（分摊）'!BL49</f>
        <v>98069.831476367122</v>
      </c>
      <c r="I5" s="176"/>
      <c r="J5" s="176"/>
      <c r="K5" s="176">
        <f t="shared" ca="1" si="0"/>
        <v>1.1014053598046303E-6</v>
      </c>
      <c r="L5" s="199"/>
    </row>
    <row r="6" spans="1:14" s="195" customFormat="1" ht="15" customHeight="1">
      <c r="A6" s="198" t="s">
        <v>371</v>
      </c>
      <c r="B6" s="176"/>
      <c r="C6" s="176"/>
      <c r="D6" s="176"/>
      <c r="E6" s="176"/>
      <c r="F6" s="176">
        <f ca="1">创造利润!B29</f>
        <v>15499.891312668922</v>
      </c>
      <c r="G6" s="176">
        <f ca="1">结算利润!B29</f>
        <v>15499.891312668926</v>
      </c>
      <c r="H6" s="176">
        <f ca="1">现金流量!B29-现金流量!B31</f>
        <v>15499.891312301783</v>
      </c>
      <c r="I6" s="176">
        <f ca="1">SUM(经济指标!S31,经济指标!S36,经济指标!L52)/3</f>
        <v>15499.891312668924</v>
      </c>
      <c r="J6" s="176"/>
      <c r="K6" s="176">
        <f t="shared" ca="1" si="0"/>
        <v>3.6715209716930985E-7</v>
      </c>
      <c r="L6" s="199"/>
    </row>
    <row r="7" spans="1:14" s="195" customFormat="1" ht="15" customHeight="1">
      <c r="A7" s="198" t="s">
        <v>53</v>
      </c>
      <c r="B7" s="176"/>
      <c r="C7" s="176"/>
      <c r="D7" s="176"/>
      <c r="E7" s="176"/>
      <c r="F7" s="176">
        <f>创造利润!B24</f>
        <v>5726.84646195</v>
      </c>
      <c r="G7" s="176">
        <f>结算利润!B24</f>
        <v>5726.84646195</v>
      </c>
      <c r="H7" s="176">
        <f>现金流量!B17</f>
        <v>5726.8464619499982</v>
      </c>
      <c r="I7" s="176"/>
      <c r="J7" s="176"/>
      <c r="K7" s="176">
        <f t="shared" si="0"/>
        <v>0</v>
      </c>
      <c r="L7" s="199"/>
    </row>
    <row r="8" spans="1:14" s="195" customFormat="1" ht="15" customHeight="1">
      <c r="A8" s="198" t="s">
        <v>829</v>
      </c>
      <c r="B8" s="176"/>
      <c r="C8" s="176"/>
      <c r="D8" s="176"/>
      <c r="E8" s="176"/>
      <c r="F8" s="176">
        <f ca="1">+创造利润!B15</f>
        <v>2865.578559531175</v>
      </c>
      <c r="G8" s="176">
        <f ca="1">结算利润!B15</f>
        <v>2865.5785595311736</v>
      </c>
      <c r="H8" s="176">
        <f ca="1">现金流量!B25+现金流量!B21+现金流量!B22+现金流量!B27-基础信息!B31+基础信息!B32</f>
        <v>2865.5785595311736</v>
      </c>
      <c r="I8" s="176"/>
      <c r="J8" s="176"/>
      <c r="K8" s="176">
        <f t="shared" ca="1" si="0"/>
        <v>0</v>
      </c>
      <c r="L8" s="199"/>
    </row>
    <row r="9" spans="1:14" s="195" customFormat="1" ht="15" customHeight="1">
      <c r="A9" s="198" t="s">
        <v>299</v>
      </c>
      <c r="B9" s="176"/>
      <c r="C9" s="176"/>
      <c r="D9" s="176"/>
      <c r="E9" s="176"/>
      <c r="F9" s="176">
        <f ca="1">创造利润!B28+创造利润!B23</f>
        <v>5166.6304375563068</v>
      </c>
      <c r="G9" s="176">
        <f ca="1">结算利润!B28+结算利润!B23</f>
        <v>5166.6304375563086</v>
      </c>
      <c r="H9" s="176">
        <f ca="1">现金流量!B23+现金流量!B26</f>
        <v>5166.6304375563086</v>
      </c>
      <c r="I9" s="176"/>
      <c r="J9" s="176"/>
      <c r="K9" s="176">
        <f t="shared" ca="1" si="0"/>
        <v>0</v>
      </c>
      <c r="L9" s="199"/>
    </row>
    <row r="10" spans="1:14" s="195" customFormat="1" ht="15" customHeight="1">
      <c r="A10" s="198" t="s">
        <v>843</v>
      </c>
      <c r="B10" s="176"/>
      <c r="C10" s="176"/>
      <c r="D10" s="176"/>
      <c r="E10" s="176"/>
      <c r="F10" s="176"/>
      <c r="G10" s="176"/>
      <c r="H10" s="176">
        <f ca="1">现金流量!B3*0.09-现金流量!B16</f>
        <v>3155.5095529264236</v>
      </c>
      <c r="I10" s="176"/>
      <c r="J10" s="176">
        <f ca="1">基础信息!B31-基础信息!B32</f>
        <v>3155.5095529264199</v>
      </c>
      <c r="K10" s="176">
        <f t="shared" ca="1" si="0"/>
        <v>0</v>
      </c>
      <c r="L10" s="199"/>
    </row>
    <row r="11" spans="1:14" s="195" customFormat="1" ht="13">
      <c r="A11" s="2252" t="s">
        <v>372</v>
      </c>
      <c r="B11" s="2252"/>
      <c r="C11" s="2252"/>
      <c r="D11" s="2252"/>
      <c r="E11" s="2252"/>
      <c r="F11" s="2252"/>
      <c r="G11" s="2252"/>
      <c r="H11" s="2252"/>
      <c r="I11" s="201"/>
      <c r="J11" s="201"/>
      <c r="K11" s="202">
        <f ca="1">SUM(K2:K10)</f>
        <v>1.4685574569739401E-6</v>
      </c>
      <c r="L11" s="199"/>
    </row>
    <row r="12" spans="1:14" s="195" customFormat="1" ht="13">
      <c r="L12" s="203"/>
    </row>
    <row r="13" spans="1:14" s="195" customFormat="1" ht="13.5">
      <c r="A13" s="193"/>
      <c r="H13" s="204"/>
      <c r="L13" s="203"/>
    </row>
    <row r="14" spans="1:14" s="195" customFormat="1" ht="13">
      <c r="D14" s="205"/>
      <c r="H14" s="205"/>
      <c r="L14" s="203"/>
    </row>
    <row r="15" spans="1:14" s="195" customFormat="1" ht="13">
      <c r="L15" s="203"/>
    </row>
    <row r="16" spans="1:14">
      <c r="D16" s="2205"/>
    </row>
    <row r="17" spans="9:10">
      <c r="I17" s="206"/>
      <c r="J17" s="206"/>
    </row>
  </sheetData>
  <mergeCells count="1">
    <mergeCell ref="A11:H11"/>
  </mergeCells>
  <phoneticPr fontId="19" type="noConversion"/>
  <pageMargins left="0.75" right="0.75" top="1" bottom="1" header="0.5" footer="0.5"/>
  <pageSetup paperSize="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02"/>
  <sheetViews>
    <sheetView zoomScale="70" zoomScaleNormal="70" workbookViewId="0">
      <pane xSplit="2" ySplit="1" topLeftCell="C2" activePane="bottomRight" state="frozen"/>
      <selection activeCell="E21" sqref="E21"/>
      <selection pane="topRight" activeCell="E21" sqref="E21"/>
      <selection pane="bottomLeft" activeCell="E21" sqref="E21"/>
      <selection pane="bottomRight" activeCell="G13" sqref="G13"/>
    </sheetView>
  </sheetViews>
  <sheetFormatPr defaultColWidth="9" defaultRowHeight="15.5"/>
  <cols>
    <col min="1" max="1" width="19.83203125" style="207" customWidth="1"/>
    <col min="2" max="2" width="20.83203125" style="207" customWidth="1"/>
    <col min="3" max="3" width="18.6640625" style="207" customWidth="1"/>
    <col min="4" max="5" width="16.6640625" style="207" customWidth="1"/>
    <col min="6" max="6" width="14.58203125" style="207" customWidth="1"/>
    <col min="7" max="7" width="15" style="207" customWidth="1"/>
    <col min="8" max="8" width="19.1640625" style="207" customWidth="1"/>
    <col min="9" max="9" width="15.6640625" style="207" customWidth="1"/>
    <col min="10" max="12" width="14.33203125" style="207" customWidth="1"/>
    <col min="13" max="13" width="20.6640625" style="207" customWidth="1"/>
    <col min="14" max="247" width="9" style="207" customWidth="1"/>
    <col min="248" max="248" width="14.5" style="207" customWidth="1"/>
    <col min="249" max="249" width="17" style="207" customWidth="1"/>
    <col min="250" max="250" width="12.6640625" style="207" customWidth="1"/>
    <col min="251" max="254" width="9" style="207" customWidth="1"/>
  </cols>
  <sheetData>
    <row r="1" spans="1:12">
      <c r="A1" s="208" t="s">
        <v>37</v>
      </c>
      <c r="B1" s="208" t="s">
        <v>305</v>
      </c>
      <c r="C1" s="208" t="s">
        <v>306</v>
      </c>
      <c r="D1" s="208" t="s">
        <v>2974</v>
      </c>
      <c r="E1" s="208" t="s">
        <v>2975</v>
      </c>
      <c r="F1" s="208" t="s">
        <v>2976</v>
      </c>
      <c r="G1" s="208" t="s">
        <v>307</v>
      </c>
    </row>
    <row r="2" spans="1:12">
      <c r="A2" s="208"/>
      <c r="B2" s="208" t="s">
        <v>2973</v>
      </c>
      <c r="C2" s="208"/>
      <c r="D2" s="208">
        <f>'全期规划指标 '!I25</f>
        <v>102348.32999999999</v>
      </c>
      <c r="E2" s="208"/>
      <c r="F2" s="208">
        <f>'全期规划指标 '!I31+'全期规划指标 '!I44</f>
        <v>25624.770000000004</v>
      </c>
      <c r="G2" s="208">
        <f>SUM(D2:F2)</f>
        <v>127973.09999999999</v>
      </c>
    </row>
    <row r="3" spans="1:12">
      <c r="A3" s="178" t="s">
        <v>308</v>
      </c>
      <c r="B3" s="209" t="s">
        <v>309</v>
      </c>
      <c r="C3" s="210">
        <f>D3+E3+F3</f>
        <v>36452.035361000002</v>
      </c>
      <c r="D3" s="210">
        <f>G3/G2*D2</f>
        <v>29153.040320968212</v>
      </c>
      <c r="E3" s="210"/>
      <c r="F3" s="210">
        <f>G3/G2*F2</f>
        <v>7298.9950400317903</v>
      </c>
      <c r="G3" s="210">
        <f>'成本汇总（分摊）'!BK8</f>
        <v>36452.035361000002</v>
      </c>
      <c r="H3" s="211"/>
    </row>
    <row r="4" spans="1:12">
      <c r="A4" s="178"/>
      <c r="B4" s="209" t="s">
        <v>4172</v>
      </c>
      <c r="C4" s="210"/>
      <c r="D4" s="210">
        <f>'成本汇总（分摊）'!BK21</f>
        <v>6599.162726999999</v>
      </c>
      <c r="E4" s="210"/>
      <c r="F4" s="210"/>
      <c r="G4" s="210">
        <f t="shared" ref="G4:G12" si="0">SUM(D4:F4)</f>
        <v>6599.162726999999</v>
      </c>
      <c r="H4" s="211"/>
      <c r="J4" s="1109"/>
    </row>
    <row r="5" spans="1:12">
      <c r="A5" s="178" t="s">
        <v>310</v>
      </c>
      <c r="B5" s="209" t="s">
        <v>4173</v>
      </c>
      <c r="C5" s="210">
        <f ca="1">F5+D5+E5</f>
        <v>51531.574146818835</v>
      </c>
      <c r="D5" s="210">
        <f ca="1">G5/G2*D2</f>
        <v>41213.118664766909</v>
      </c>
      <c r="E5" s="210"/>
      <c r="F5" s="210">
        <f ca="1">G5/G2*F2</f>
        <v>10318.455482051924</v>
      </c>
      <c r="G5" s="210">
        <f ca="1">'成本汇总（分摊）'!BK49-'成本汇总（分摊）'!BK44-'成本汇总（分摊）'!BK37-'成本汇总（分摊）'!BK21-'成本汇总（分摊）'!BK8-'成本汇总（分摊）'!AM49</f>
        <v>51531.574146818835</v>
      </c>
      <c r="H5" s="211"/>
      <c r="J5" s="1109"/>
    </row>
    <row r="6" spans="1:12" ht="16">
      <c r="A6" s="212" t="s">
        <v>312</v>
      </c>
      <c r="B6" s="213" t="s">
        <v>46</v>
      </c>
      <c r="C6" s="210">
        <f ca="1">G6</f>
        <v>94582.77223481884</v>
      </c>
      <c r="D6" s="210">
        <f ca="1">D3+D4+D5</f>
        <v>76965.321712735124</v>
      </c>
      <c r="E6" s="1026"/>
      <c r="F6" s="210">
        <f ca="1">F3+F4+F5</f>
        <v>17617.450522083716</v>
      </c>
      <c r="G6" s="210">
        <f t="shared" ca="1" si="0"/>
        <v>94582.77223481884</v>
      </c>
      <c r="H6" s="211"/>
      <c r="J6" s="2184"/>
    </row>
    <row r="7" spans="1:12">
      <c r="A7" s="214" t="s">
        <v>313</v>
      </c>
      <c r="B7" s="213" t="s">
        <v>314</v>
      </c>
      <c r="C7" s="210">
        <f ca="1">C6*0.1</f>
        <v>9458.277223481884</v>
      </c>
      <c r="D7" s="210">
        <f ca="1">D6*0.1</f>
        <v>7696.5321712735131</v>
      </c>
      <c r="E7" s="210"/>
      <c r="F7" s="210">
        <f ca="1">F6*0.1</f>
        <v>1761.7450522083718</v>
      </c>
      <c r="G7" s="210">
        <f t="shared" ca="1" si="0"/>
        <v>9458.277223481884</v>
      </c>
      <c r="H7" s="211"/>
      <c r="J7" s="1109"/>
    </row>
    <row r="8" spans="1:12">
      <c r="A8" s="214" t="s">
        <v>315</v>
      </c>
      <c r="B8" s="213" t="s">
        <v>839</v>
      </c>
      <c r="C8" s="210">
        <f ca="1">C11*基础信息!B26</f>
        <v>311.10325393057349</v>
      </c>
      <c r="D8" s="210">
        <f ca="1">D11*基础信息!B33*0.1</f>
        <v>292.99077393463011</v>
      </c>
      <c r="E8" s="210"/>
      <c r="F8" s="210">
        <f ca="1">F11*基础信息!B33*0.1</f>
        <v>18.112479995943385</v>
      </c>
      <c r="G8" s="210">
        <f t="shared" ca="1" si="0"/>
        <v>311.10325393057349</v>
      </c>
      <c r="H8" s="211"/>
      <c r="J8" s="1109"/>
    </row>
    <row r="9" spans="1:12">
      <c r="A9" s="214" t="s">
        <v>316</v>
      </c>
      <c r="B9" s="213" t="s">
        <v>317</v>
      </c>
      <c r="C9" s="210">
        <f ca="1">C6*0.2</f>
        <v>18916.554446963768</v>
      </c>
      <c r="D9" s="210">
        <f ca="1">D6*0.2</f>
        <v>15393.064342547026</v>
      </c>
      <c r="E9" s="210">
        <f>E6*0.2</f>
        <v>0</v>
      </c>
      <c r="F9" s="210">
        <f ca="1">F6*0.2</f>
        <v>3523.4901044167436</v>
      </c>
      <c r="G9" s="210">
        <f t="shared" ca="1" si="0"/>
        <v>18916.554446963768</v>
      </c>
      <c r="H9" s="211"/>
      <c r="J9" s="1109"/>
    </row>
    <row r="10" spans="1:12">
      <c r="A10" s="214" t="s">
        <v>318</v>
      </c>
      <c r="B10" s="213" t="s">
        <v>319</v>
      </c>
      <c r="C10" s="210">
        <f ca="1">SUM(C6:C9)</f>
        <v>123268.70715919507</v>
      </c>
      <c r="D10" s="210">
        <f ca="1">SUM(D6:D9)</f>
        <v>100347.9090004903</v>
      </c>
      <c r="E10" s="210">
        <f>SUM(E6:E9)</f>
        <v>0</v>
      </c>
      <c r="F10" s="210">
        <f ca="1">SUM(F6:F9)</f>
        <v>22920.798158704776</v>
      </c>
      <c r="G10" s="210">
        <f t="shared" ca="1" si="0"/>
        <v>123268.70715919507</v>
      </c>
      <c r="H10" s="211"/>
      <c r="J10" s="1109"/>
    </row>
    <row r="11" spans="1:12">
      <c r="A11" s="214" t="s">
        <v>838</v>
      </c>
      <c r="B11" s="215"/>
      <c r="C11" s="210">
        <f>SUM(D11:F11)</f>
        <v>125534.07482201835</v>
      </c>
      <c r="D11" s="2183">
        <f>经济指标!D41+经济指标!F41+经济指标!G41</f>
        <v>118225.4613944954</v>
      </c>
      <c r="E11" s="210"/>
      <c r="F11" s="210">
        <f>经济指标!C41+经济指标!H41</f>
        <v>7308.6134275229369</v>
      </c>
      <c r="G11" s="210">
        <f>SUM(D11:F11)</f>
        <v>125534.07482201835</v>
      </c>
      <c r="H11" s="1030"/>
      <c r="J11" s="1109"/>
    </row>
    <row r="12" spans="1:12">
      <c r="A12" s="214" t="s">
        <v>54</v>
      </c>
      <c r="B12" s="215"/>
      <c r="C12" s="210">
        <f ca="1">C11-C10</f>
        <v>2265.3676628232788</v>
      </c>
      <c r="D12" s="210">
        <f ca="1">D11-D10</f>
        <v>17877.552394005106</v>
      </c>
      <c r="E12" s="210">
        <f>E11-E10</f>
        <v>0</v>
      </c>
      <c r="F12" s="210">
        <f ca="1">F11-F10</f>
        <v>-15612.184731181838</v>
      </c>
      <c r="G12" s="210">
        <f t="shared" ca="1" si="0"/>
        <v>2265.3676628232679</v>
      </c>
      <c r="H12" s="211"/>
      <c r="J12" s="1109"/>
    </row>
    <row r="13" spans="1:12">
      <c r="A13" s="178" t="s">
        <v>320</v>
      </c>
      <c r="B13" s="216"/>
      <c r="C13" s="217">
        <f ca="1">C12/C10</f>
        <v>1.8377475638628019E-2</v>
      </c>
      <c r="D13" s="217">
        <f ca="1">IF(D10=0,0,D12/D10)</f>
        <v>0.17815570421021684</v>
      </c>
      <c r="E13" s="217">
        <f>IF(E10=0,0,E12/E10)</f>
        <v>0</v>
      </c>
      <c r="F13" s="217">
        <f ca="1">IF(F10=0,0,F12/F10)</f>
        <v>-0.681136172618522</v>
      </c>
      <c r="G13" s="217">
        <f ca="1">IF(G11&gt;0,G12/G10,0)</f>
        <v>1.8377475638627933E-2</v>
      </c>
      <c r="H13" s="211"/>
    </row>
    <row r="14" spans="1:12">
      <c r="A14" s="178" t="s">
        <v>321</v>
      </c>
      <c r="B14" s="209" t="s">
        <v>322</v>
      </c>
      <c r="C14" s="210">
        <f ca="1">G14</f>
        <v>0</v>
      </c>
      <c r="D14" s="210">
        <f ca="1">IF(D13&lt;20%,0,IF(D13&lt;50%,D12*0.3,IF(D13&lt;100%,D12*0.4-D10*0.05,IF(D13&lt;200%,D12*0.5-D10*0.15,D12*0.6-D10*0.35))))</f>
        <v>0</v>
      </c>
      <c r="E14" s="210">
        <f>IF(E13&lt;0,0,IF(E13&lt;50%,E12*0.3,IF(E13&lt;100%,E12*0.4-E10*0.05,IF(E13&lt;200%,E12*0.5-E10*0.15,E12*0.6-E10*0.35))))</f>
        <v>0</v>
      </c>
      <c r="F14" s="210">
        <f ca="1">IF(F13&lt;0,0,IF(F13&lt;50%,F12*0.3,IF(F13&lt;100%,F12*0.4-F10*0.05,IF(F13&lt;200%,F12*0.5-F10*0.15,F12*0.6-F10*0.35))))</f>
        <v>0</v>
      </c>
      <c r="G14" s="210">
        <f ca="1">SUM(D14:F14)</f>
        <v>0</v>
      </c>
      <c r="H14" s="211"/>
    </row>
    <row r="15" spans="1:12">
      <c r="A15" s="218" t="s">
        <v>435</v>
      </c>
      <c r="B15" s="219"/>
      <c r="C15" s="220">
        <f>C16/C11</f>
        <v>2.0313429703082211E-2</v>
      </c>
      <c r="D15" s="220">
        <f>D16/D11</f>
        <v>0.02</v>
      </c>
      <c r="E15" s="220"/>
      <c r="F15" s="220">
        <f>F16/F11</f>
        <v>2.5383525642496661E-2</v>
      </c>
      <c r="G15" s="220">
        <f>基础信息!L40</f>
        <v>2.002711122600806E-2</v>
      </c>
      <c r="H15" s="221"/>
      <c r="J15" s="1025"/>
      <c r="L15" s="1025"/>
    </row>
    <row r="16" spans="1:12">
      <c r="A16" s="178" t="s">
        <v>323</v>
      </c>
      <c r="B16" s="216"/>
      <c r="C16" s="210">
        <f>SUM(D16:F16)</f>
        <v>2550.0276042385321</v>
      </c>
      <c r="D16" s="210">
        <f>基础信息!C42+基础信息!E42+基础信息!F42</f>
        <v>2364.5092278899083</v>
      </c>
      <c r="E16" s="210"/>
      <c r="F16" s="210">
        <f>基础信息!B42+基础信息!G42</f>
        <v>185.51837634862389</v>
      </c>
      <c r="G16" s="210">
        <f>SUM(D16:F16)</f>
        <v>2550.0276042385321</v>
      </c>
      <c r="H16" s="211"/>
      <c r="I16" s="1025"/>
    </row>
    <row r="17" spans="1:8">
      <c r="A17" s="178" t="s">
        <v>324</v>
      </c>
      <c r="B17" s="216"/>
      <c r="C17" s="210">
        <f ca="1">IF(C16&gt;C14,0,C14-C16)</f>
        <v>0</v>
      </c>
      <c r="D17" s="210">
        <f ca="1">D14-D16</f>
        <v>-2364.5092278899083</v>
      </c>
      <c r="E17" s="210">
        <f>E14-E16</f>
        <v>0</v>
      </c>
      <c r="F17" s="210">
        <f ca="1">F14-F16</f>
        <v>-185.51837634862389</v>
      </c>
      <c r="G17" s="210">
        <f ca="1">SUM(D17:F17)</f>
        <v>-2550.0276042385321</v>
      </c>
      <c r="H17" s="211"/>
    </row>
    <row r="18" spans="1:8">
      <c r="A18" s="178" t="s">
        <v>388</v>
      </c>
      <c r="B18" s="216"/>
      <c r="C18" s="217">
        <f ca="1">IF(C11=0,0,C14/C11)</f>
        <v>0</v>
      </c>
      <c r="D18" s="1083">
        <f ca="1">IF(D11=0,0,D14/D11)</f>
        <v>0</v>
      </c>
      <c r="E18" s="217">
        <f>IF(E11=0,0,E14/E11)</f>
        <v>0</v>
      </c>
      <c r="F18" s="1083">
        <f ca="1">IF(F11=0,0,F14/F11)</f>
        <v>0</v>
      </c>
      <c r="G18" s="217">
        <f ca="1">IF(G11=0,0,G14/G11)</f>
        <v>0</v>
      </c>
      <c r="H18" s="211"/>
    </row>
    <row r="19" spans="1:8">
      <c r="A19" s="178" t="s">
        <v>390</v>
      </c>
      <c r="B19" s="216"/>
      <c r="C19" s="217">
        <f ca="1">MAX(C18:C18)</f>
        <v>0</v>
      </c>
      <c r="D19" s="1083">
        <f ca="1">MAX(D15,D18)</f>
        <v>0.02</v>
      </c>
      <c r="E19" s="217">
        <f>MAX(E15,E18)</f>
        <v>0</v>
      </c>
      <c r="F19" s="1083">
        <f ca="1">MAX(F15,F18)</f>
        <v>2.5383525642496661E-2</v>
      </c>
      <c r="G19" s="217">
        <f ca="1">G20/(G11+经济指标!E41)</f>
        <v>2.002711122600806E-2</v>
      </c>
      <c r="H19" s="211"/>
    </row>
    <row r="20" spans="1:8">
      <c r="A20" s="178" t="s">
        <v>389</v>
      </c>
      <c r="B20" s="216"/>
      <c r="C20" s="210">
        <f ca="1">MAX(C14,C16)</f>
        <v>2550.0276042385321</v>
      </c>
      <c r="D20" s="210">
        <f ca="1">MAX(D14,D16)</f>
        <v>2364.5092278899083</v>
      </c>
      <c r="E20" s="210">
        <f>MAX(E14,E16)</f>
        <v>0</v>
      </c>
      <c r="F20" s="210">
        <f ca="1">MAX(F14,F16)</f>
        <v>185.51837634862389</v>
      </c>
      <c r="G20" s="210">
        <f ca="1">SUM(D20:F20)</f>
        <v>2550.0276042385321</v>
      </c>
      <c r="H20" s="1030"/>
    </row>
    <row r="21" spans="1:8">
      <c r="H21" s="1025"/>
    </row>
    <row r="22" spans="1:8" hidden="1">
      <c r="A22" s="207" t="s">
        <v>917</v>
      </c>
    </row>
    <row r="23" spans="1:8" hidden="1">
      <c r="A23" s="223" t="s">
        <v>919</v>
      </c>
      <c r="B23" s="223">
        <f>经济指标!H15</f>
        <v>5000</v>
      </c>
      <c r="G23" s="222"/>
    </row>
    <row r="24" spans="1:8" hidden="1">
      <c r="A24" s="208" t="s">
        <v>37</v>
      </c>
      <c r="B24" s="208" t="s">
        <v>305</v>
      </c>
      <c r="C24" s="208" t="s">
        <v>306</v>
      </c>
      <c r="D24" s="208" t="s">
        <v>920</v>
      </c>
      <c r="E24" s="208" t="s">
        <v>921</v>
      </c>
      <c r="F24" s="208" t="s">
        <v>922</v>
      </c>
      <c r="G24" s="208" t="s">
        <v>923</v>
      </c>
    </row>
    <row r="25" spans="1:8" hidden="1">
      <c r="A25" s="178" t="s">
        <v>308</v>
      </c>
      <c r="B25" s="209" t="s">
        <v>309</v>
      </c>
      <c r="C25" s="224">
        <f>$C$3-B23</f>
        <v>31452.035361000002</v>
      </c>
      <c r="D25" s="224">
        <f>SUMPRODUCT(基础信息!$B$3:$H$3,'2-成本过渡'!B5:H5)/10000-B23*基础信息!$C$3/(基础信息!$K$6-基础信息!$B$6)</f>
        <v>-1913.4552927970251</v>
      </c>
      <c r="E25" s="224">
        <f>SUMPRODUCT(基础信息!$B$4:$H$4,'2-成本过渡'!B5:H5)/10000-B23*基础信息!$C$4/(基础信息!$K$6-基础信息!$B$6)</f>
        <v>0</v>
      </c>
      <c r="F25" s="224">
        <f>SUMPRODUCT(基础信息!$B$5:$H$5,'2-成本过渡'!B5:H5)/10000-B23*(基础信息!$C$5+基础信息!$H$5)/(基础信息!$K$6-基础信息!$B$6)</f>
        <v>0</v>
      </c>
      <c r="G25" s="224">
        <f>SUM(D25:F25)</f>
        <v>-1913.4552927970251</v>
      </c>
    </row>
    <row r="26" spans="1:8" hidden="1">
      <c r="A26" s="178" t="s">
        <v>310</v>
      </c>
      <c r="B26" s="209" t="s">
        <v>311</v>
      </c>
      <c r="C26" s="210">
        <f ca="1">C5</f>
        <v>51531.574146818835</v>
      </c>
      <c r="D26" s="210">
        <f ca="1">D5</f>
        <v>41213.118664766909</v>
      </c>
      <c r="E26" s="210">
        <f>E5</f>
        <v>0</v>
      </c>
      <c r="F26" s="210">
        <f ca="1">F5</f>
        <v>10318.455482051924</v>
      </c>
      <c r="G26" s="210">
        <f t="shared" ref="G26:G33" ca="1" si="1">SUM(D26:F26)</f>
        <v>51531.574146818835</v>
      </c>
    </row>
    <row r="27" spans="1:8" hidden="1">
      <c r="A27" s="179" t="s">
        <v>312</v>
      </c>
      <c r="B27" s="209" t="s">
        <v>46</v>
      </c>
      <c r="C27" s="210">
        <f ca="1">SUM(C25:C26)</f>
        <v>82983.609507818837</v>
      </c>
      <c r="D27" s="210">
        <f ca="1">SUM(D25:D26)</f>
        <v>39299.663371969888</v>
      </c>
      <c r="E27" s="210">
        <f>SUM(E25:E26)</f>
        <v>0</v>
      </c>
      <c r="F27" s="210">
        <f ca="1">SUM(F25:F26)</f>
        <v>10318.455482051924</v>
      </c>
      <c r="G27" s="210">
        <f t="shared" ca="1" si="1"/>
        <v>49618.118854021814</v>
      </c>
    </row>
    <row r="28" spans="1:8" hidden="1">
      <c r="A28" s="214" t="s">
        <v>313</v>
      </c>
      <c r="B28" s="213" t="s">
        <v>314</v>
      </c>
      <c r="C28" s="210">
        <f ca="1">C7</f>
        <v>9458.277223481884</v>
      </c>
      <c r="D28" s="210">
        <f ca="1">D7</f>
        <v>7696.5321712735131</v>
      </c>
      <c r="E28" s="210">
        <f>E7</f>
        <v>0</v>
      </c>
      <c r="F28" s="210">
        <f ca="1">F7</f>
        <v>1761.7450522083718</v>
      </c>
      <c r="G28" s="210">
        <f t="shared" ca="1" si="1"/>
        <v>9458.277223481884</v>
      </c>
    </row>
    <row r="29" spans="1:8" hidden="1">
      <c r="A29" s="214" t="s">
        <v>315</v>
      </c>
      <c r="B29" s="213" t="s">
        <v>839</v>
      </c>
      <c r="C29" s="210">
        <f t="shared" ref="C29:F30" ca="1" si="2">C8</f>
        <v>311.10325393057349</v>
      </c>
      <c r="D29" s="210">
        <f t="shared" ca="1" si="2"/>
        <v>292.99077393463011</v>
      </c>
      <c r="E29" s="210">
        <f t="shared" si="2"/>
        <v>0</v>
      </c>
      <c r="F29" s="210">
        <f t="shared" ca="1" si="2"/>
        <v>18.112479995943385</v>
      </c>
      <c r="G29" s="210">
        <f t="shared" ca="1" si="1"/>
        <v>311.10325393057349</v>
      </c>
    </row>
    <row r="30" spans="1:8" hidden="1">
      <c r="A30" s="214" t="s">
        <v>316</v>
      </c>
      <c r="B30" s="213" t="s">
        <v>317</v>
      </c>
      <c r="C30" s="210">
        <f t="shared" ca="1" si="2"/>
        <v>18916.554446963768</v>
      </c>
      <c r="D30" s="210">
        <f t="shared" ca="1" si="2"/>
        <v>15393.064342547026</v>
      </c>
      <c r="E30" s="210">
        <f t="shared" si="2"/>
        <v>0</v>
      </c>
      <c r="F30" s="210">
        <f t="shared" ca="1" si="2"/>
        <v>3523.4901044167436</v>
      </c>
      <c r="G30" s="210">
        <f t="shared" ca="1" si="1"/>
        <v>18916.554446963768</v>
      </c>
    </row>
    <row r="31" spans="1:8" hidden="1">
      <c r="A31" s="214" t="s">
        <v>318</v>
      </c>
      <c r="B31" s="213" t="s">
        <v>319</v>
      </c>
      <c r="C31" s="210">
        <f ca="1">SUM(C27:C30)</f>
        <v>111669.54443219506</v>
      </c>
      <c r="D31" s="210">
        <f ca="1">SUM(D27:D30)</f>
        <v>62682.250659725061</v>
      </c>
      <c r="E31" s="210">
        <f>SUM(E27:E30)</f>
        <v>0</v>
      </c>
      <c r="F31" s="210">
        <f ca="1">SUM(F27:F30)</f>
        <v>15621.803118672984</v>
      </c>
      <c r="G31" s="210">
        <f t="shared" ca="1" si="1"/>
        <v>78304.05377839804</v>
      </c>
    </row>
    <row r="32" spans="1:8" hidden="1">
      <c r="A32" s="214" t="s">
        <v>838</v>
      </c>
      <c r="B32" s="215"/>
      <c r="C32" s="210">
        <f>C11</f>
        <v>125534.07482201835</v>
      </c>
      <c r="D32" s="210">
        <f>D11</f>
        <v>118225.4613944954</v>
      </c>
      <c r="E32" s="210">
        <f>E11</f>
        <v>0</v>
      </c>
      <c r="F32" s="210">
        <f>F11</f>
        <v>7308.6134275229369</v>
      </c>
      <c r="G32" s="210">
        <f t="shared" si="1"/>
        <v>125534.07482201835</v>
      </c>
    </row>
    <row r="33" spans="1:7" hidden="1">
      <c r="A33" s="214" t="s">
        <v>54</v>
      </c>
      <c r="B33" s="215"/>
      <c r="C33" s="210">
        <f ca="1">C32-C31</f>
        <v>13864.530389823281</v>
      </c>
      <c r="D33" s="210">
        <f ca="1">D32-D31</f>
        <v>55543.210734770342</v>
      </c>
      <c r="E33" s="210">
        <f>E32-E31</f>
        <v>0</v>
      </c>
      <c r="F33" s="210">
        <f ca="1">F32-F31</f>
        <v>-8313.189691150048</v>
      </c>
      <c r="G33" s="210">
        <f t="shared" ca="1" si="1"/>
        <v>47230.021043620291</v>
      </c>
    </row>
    <row r="34" spans="1:7" hidden="1">
      <c r="A34" s="178" t="s">
        <v>320</v>
      </c>
      <c r="B34" s="216"/>
      <c r="C34" s="217">
        <f ca="1">C33/C31</f>
        <v>0.12415677399169228</v>
      </c>
      <c r="D34" s="217">
        <f ca="1">IF(D31=0,0,D33/D31)</f>
        <v>0.88610747301162662</v>
      </c>
      <c r="E34" s="217">
        <f>IF(E31=0,0,E33/E31)</f>
        <v>0</v>
      </c>
      <c r="F34" s="217">
        <f ca="1">IF(F31=0,0,F33/F31)</f>
        <v>-0.53215301895676581</v>
      </c>
      <c r="G34" s="217">
        <f ca="1">IF(G32&gt;0,G33/G31,0)</f>
        <v>0.60316188964216522</v>
      </c>
    </row>
    <row r="35" spans="1:7" hidden="1">
      <c r="A35" s="178" t="s">
        <v>321</v>
      </c>
      <c r="B35" s="209" t="s">
        <v>322</v>
      </c>
      <c r="C35" s="210">
        <f ca="1">IF(C34&lt;0,0,IF(C34&lt;50%,C33*0.3,IF(C34&lt;100%,C33*0.4-C31*0.05,IF(C34&lt;200%,C33*0.5-C31*0.15,C33*0.6-C31*0.35))))</f>
        <v>4159.3591169469846</v>
      </c>
      <c r="D35" s="210">
        <f ca="1">IF(D34&lt;0,0,IF(D34&lt;50%,D33*0.3,IF(D34&lt;100%,D33*0.4-D31*0.05,IF(D34&lt;200%,D33*0.5-D31*0.15,D33*0.6-D31*0.35))))</f>
        <v>19083.171760921883</v>
      </c>
      <c r="E35" s="210">
        <f>IF(E34&lt;0,0,IF(E34&lt;50%,E33*0.3,IF(E34&lt;100%,E33*0.4-E31*0.05,IF(E34&lt;200%,E33*0.5-E31*0.15,E33*0.6-E31*0.35))))</f>
        <v>0</v>
      </c>
      <c r="F35" s="210">
        <f ca="1">IF(F34&lt;0,0,IF(F34&lt;50%,F33*0.3,IF(F34&lt;100%,F33*0.4-F31*0.05,IF(F34&lt;200%,F33*0.5-F31*0.15,F33*0.6-F31*0.35))))</f>
        <v>0</v>
      </c>
      <c r="G35" s="210">
        <f ca="1">SUM(D35:F35)</f>
        <v>19083.171760921883</v>
      </c>
    </row>
    <row r="36" spans="1:7" hidden="1">
      <c r="A36" s="218" t="s">
        <v>435</v>
      </c>
      <c r="B36" s="219"/>
      <c r="C36" s="220">
        <f>C37/C32</f>
        <v>2.0313429703082211E-2</v>
      </c>
      <c r="D36" s="220">
        <f>D15</f>
        <v>0.02</v>
      </c>
      <c r="E36" s="220">
        <f>E15</f>
        <v>0</v>
      </c>
      <c r="F36" s="220">
        <f>F15</f>
        <v>2.5383525642496661E-2</v>
      </c>
      <c r="G36" s="220">
        <f>G15</f>
        <v>2.002711122600806E-2</v>
      </c>
    </row>
    <row r="37" spans="1:7" hidden="1">
      <c r="A37" s="178" t="s">
        <v>323</v>
      </c>
      <c r="B37" s="216"/>
      <c r="C37" s="210">
        <f>SUM(D37:F37)</f>
        <v>2550.0276042385321</v>
      </c>
      <c r="D37" s="210">
        <f>D32*D36</f>
        <v>2364.5092278899083</v>
      </c>
      <c r="E37" s="210">
        <f>E32*E36</f>
        <v>0</v>
      </c>
      <c r="F37" s="210">
        <f>F32*F36</f>
        <v>185.51837634862389</v>
      </c>
      <c r="G37" s="210">
        <f>SUM(D37:F37)</f>
        <v>2550.0276042385321</v>
      </c>
    </row>
    <row r="38" spans="1:7" hidden="1">
      <c r="A38" s="178" t="s">
        <v>324</v>
      </c>
      <c r="B38" s="216"/>
      <c r="C38" s="210">
        <f ca="1">IF(C37&gt;C35,0,C35-C37)</f>
        <v>1609.3315127084525</v>
      </c>
      <c r="D38" s="210">
        <f ca="1">D35-D37</f>
        <v>16718.662533031973</v>
      </c>
      <c r="E38" s="210">
        <f>E35-E37</f>
        <v>0</v>
      </c>
      <c r="F38" s="210">
        <f ca="1">F35-F37</f>
        <v>-185.51837634862389</v>
      </c>
      <c r="G38" s="210">
        <f ca="1">SUM(D38:F38)</f>
        <v>16533.144156683349</v>
      </c>
    </row>
    <row r="39" spans="1:7" hidden="1">
      <c r="A39" s="178" t="s">
        <v>388</v>
      </c>
      <c r="B39" s="216"/>
      <c r="C39" s="217">
        <f ca="1">IF(C32=0,0,C35/C32)</f>
        <v>3.3133307612647052E-2</v>
      </c>
      <c r="D39" s="217">
        <f ca="1">IF(D32=0,0,D35/D32)</f>
        <v>0.16141338368090646</v>
      </c>
      <c r="E39" s="217">
        <f>IF(E32=0,0,E35/E32)</f>
        <v>0</v>
      </c>
      <c r="F39" s="217">
        <f ca="1">IF(F32=0,0,F35/F32)</f>
        <v>0</v>
      </c>
      <c r="G39" s="217">
        <f ca="1">IF(G32=0,0,G35/G32)</f>
        <v>0.15201587129214056</v>
      </c>
    </row>
    <row r="40" spans="1:7" hidden="1">
      <c r="A40" s="178" t="s">
        <v>390</v>
      </c>
      <c r="B40" s="216"/>
      <c r="C40" s="217">
        <f ca="1">MAX(C39:C39)</f>
        <v>3.3133307612647052E-2</v>
      </c>
      <c r="D40" s="217">
        <f ca="1">MAX(D36,D39)</f>
        <v>0.16141338368090646</v>
      </c>
      <c r="E40" s="217">
        <f>MAX(E36,E39)</f>
        <v>0</v>
      </c>
      <c r="F40" s="217">
        <f ca="1">MAX(F36,F39)</f>
        <v>2.5383525642496661E-2</v>
      </c>
      <c r="G40" s="217">
        <f ca="1">G41/G32</f>
        <v>0.15349370411650837</v>
      </c>
    </row>
    <row r="41" spans="1:7" hidden="1">
      <c r="A41" s="178" t="s">
        <v>389</v>
      </c>
      <c r="B41" s="216"/>
      <c r="C41" s="210">
        <f ca="1">MAX(C35,C37)</f>
        <v>4159.3591169469846</v>
      </c>
      <c r="D41" s="210">
        <f ca="1">MAX(D35,D37)</f>
        <v>19083.171760921883</v>
      </c>
      <c r="E41" s="210">
        <f>MAX(E35,E37)</f>
        <v>0</v>
      </c>
      <c r="F41" s="210">
        <f ca="1">MAX(F35,F37)</f>
        <v>185.51837634862389</v>
      </c>
      <c r="G41" s="210">
        <f ca="1">SUM(D41:F41)</f>
        <v>19268.690137270507</v>
      </c>
    </row>
    <row r="42" spans="1:7" hidden="1"/>
    <row r="43" spans="1:7" hidden="1"/>
    <row r="44" spans="1:7" hidden="1">
      <c r="A44" s="223" t="s">
        <v>924</v>
      </c>
      <c r="B44" s="223">
        <f>经济指标!I15</f>
        <v>10000</v>
      </c>
      <c r="G44" s="222"/>
    </row>
    <row r="45" spans="1:7" hidden="1">
      <c r="A45" s="208" t="s">
        <v>37</v>
      </c>
      <c r="B45" s="208" t="s">
        <v>305</v>
      </c>
      <c r="C45" s="208" t="s">
        <v>306</v>
      </c>
      <c r="D45" s="208" t="s">
        <v>920</v>
      </c>
      <c r="E45" s="208" t="s">
        <v>921</v>
      </c>
      <c r="F45" s="208" t="s">
        <v>922</v>
      </c>
      <c r="G45" s="208" t="s">
        <v>923</v>
      </c>
    </row>
    <row r="46" spans="1:7" hidden="1">
      <c r="A46" s="178" t="s">
        <v>308</v>
      </c>
      <c r="B46" s="209" t="s">
        <v>309</v>
      </c>
      <c r="C46" s="224">
        <f>$C$3-B44</f>
        <v>26452.035361000002</v>
      </c>
      <c r="D46" s="224">
        <f>SUMPRODUCT(基础信息!$B$3:$H$3,'2-成本过渡'!B5:H5)/10000-B44*基础信息!$C$3/(基础信息!$K$6-基础信息!$B$6)</f>
        <v>-3826.9105855940502</v>
      </c>
      <c r="E46" s="224">
        <f>SUMPRODUCT(基础信息!$B$4:$H$4,'2-成本过渡'!B5:H5)/10000-B44*基础信息!$C$4/(基础信息!$K$6-基础信息!$B$6)</f>
        <v>0</v>
      </c>
      <c r="F46" s="224">
        <f>SUMPRODUCT(基础信息!$B$5:$H$5,'2-成本过渡'!B5:H5)/10000-B44*(基础信息!$C$5+基础信息!$H$5)/(基础信息!$K$6-基础信息!$B$6)</f>
        <v>0</v>
      </c>
      <c r="G46" s="224">
        <f>SUM(D46:F46)</f>
        <v>-3826.9105855940502</v>
      </c>
    </row>
    <row r="47" spans="1:7" hidden="1">
      <c r="A47" s="178" t="s">
        <v>310</v>
      </c>
      <c r="B47" s="209" t="s">
        <v>311</v>
      </c>
      <c r="C47" s="210">
        <f ca="1">C26</f>
        <v>51531.574146818835</v>
      </c>
      <c r="D47" s="210">
        <f ca="1">D26</f>
        <v>41213.118664766909</v>
      </c>
      <c r="E47" s="210">
        <f>E26</f>
        <v>0</v>
      </c>
      <c r="F47" s="210">
        <f ca="1">F26</f>
        <v>10318.455482051924</v>
      </c>
      <c r="G47" s="210">
        <f t="shared" ref="G47:G54" ca="1" si="3">SUM(D47:F47)</f>
        <v>51531.574146818835</v>
      </c>
    </row>
    <row r="48" spans="1:7" hidden="1">
      <c r="A48" s="179" t="s">
        <v>312</v>
      </c>
      <c r="B48" s="213" t="s">
        <v>46</v>
      </c>
      <c r="C48" s="210">
        <f ca="1">SUM(C46:C47)</f>
        <v>77983.609507818837</v>
      </c>
      <c r="D48" s="210">
        <f ca="1">SUM(D46:D47)</f>
        <v>37386.208079172859</v>
      </c>
      <c r="E48" s="210">
        <f>SUM(E46:E47)</f>
        <v>0</v>
      </c>
      <c r="F48" s="210">
        <f ca="1">SUM(F46:F47)</f>
        <v>10318.455482051924</v>
      </c>
      <c r="G48" s="210">
        <f t="shared" ca="1" si="3"/>
        <v>47704.663561224785</v>
      </c>
    </row>
    <row r="49" spans="1:7" hidden="1">
      <c r="A49" s="178" t="s">
        <v>313</v>
      </c>
      <c r="B49" s="213" t="s">
        <v>314</v>
      </c>
      <c r="C49" s="210">
        <f t="shared" ref="C49:F51" ca="1" si="4">C28</f>
        <v>9458.277223481884</v>
      </c>
      <c r="D49" s="210">
        <f t="shared" ca="1" si="4"/>
        <v>7696.5321712735131</v>
      </c>
      <c r="E49" s="210">
        <f t="shared" si="4"/>
        <v>0</v>
      </c>
      <c r="F49" s="210">
        <f t="shared" ca="1" si="4"/>
        <v>1761.7450522083718</v>
      </c>
      <c r="G49" s="210">
        <f t="shared" ca="1" si="3"/>
        <v>9458.277223481884</v>
      </c>
    </row>
    <row r="50" spans="1:7" hidden="1">
      <c r="A50" s="178" t="s">
        <v>315</v>
      </c>
      <c r="B50" s="213" t="s">
        <v>839</v>
      </c>
      <c r="C50" s="210">
        <f t="shared" ca="1" si="4"/>
        <v>311.10325393057349</v>
      </c>
      <c r="D50" s="210">
        <f t="shared" ca="1" si="4"/>
        <v>292.99077393463011</v>
      </c>
      <c r="E50" s="210">
        <f t="shared" si="4"/>
        <v>0</v>
      </c>
      <c r="F50" s="210">
        <f t="shared" ca="1" si="4"/>
        <v>18.112479995943385</v>
      </c>
      <c r="G50" s="210">
        <f t="shared" ca="1" si="3"/>
        <v>311.10325393057349</v>
      </c>
    </row>
    <row r="51" spans="1:7" hidden="1">
      <c r="A51" s="178" t="s">
        <v>316</v>
      </c>
      <c r="B51" s="213" t="s">
        <v>317</v>
      </c>
      <c r="C51" s="210">
        <f t="shared" ca="1" si="4"/>
        <v>18916.554446963768</v>
      </c>
      <c r="D51" s="210">
        <f t="shared" ca="1" si="4"/>
        <v>15393.064342547026</v>
      </c>
      <c r="E51" s="210">
        <f t="shared" si="4"/>
        <v>0</v>
      </c>
      <c r="F51" s="210">
        <f t="shared" ca="1" si="4"/>
        <v>3523.4901044167436</v>
      </c>
      <c r="G51" s="210">
        <f t="shared" ca="1" si="3"/>
        <v>18916.554446963768</v>
      </c>
    </row>
    <row r="52" spans="1:7" hidden="1">
      <c r="A52" s="178" t="s">
        <v>318</v>
      </c>
      <c r="B52" s="213" t="s">
        <v>319</v>
      </c>
      <c r="C52" s="210">
        <f ca="1">SUM(C48:C51)</f>
        <v>106669.54443219506</v>
      </c>
      <c r="D52" s="210">
        <f ca="1">SUM(D48:D51)</f>
        <v>60768.795366928025</v>
      </c>
      <c r="E52" s="210">
        <f>SUM(E48:E51)</f>
        <v>0</v>
      </c>
      <c r="F52" s="210">
        <f ca="1">SUM(F48:F51)</f>
        <v>15621.803118672984</v>
      </c>
      <c r="G52" s="210">
        <f t="shared" ca="1" si="3"/>
        <v>76390.598485601004</v>
      </c>
    </row>
    <row r="53" spans="1:7" hidden="1">
      <c r="A53" s="214" t="s">
        <v>838</v>
      </c>
      <c r="B53" s="215"/>
      <c r="C53" s="210">
        <f>C32</f>
        <v>125534.07482201835</v>
      </c>
      <c r="D53" s="210">
        <f>D32</f>
        <v>118225.4613944954</v>
      </c>
      <c r="E53" s="210">
        <f>E32</f>
        <v>0</v>
      </c>
      <c r="F53" s="210">
        <f>F32</f>
        <v>7308.6134275229369</v>
      </c>
      <c r="G53" s="210">
        <f t="shared" si="3"/>
        <v>125534.07482201835</v>
      </c>
    </row>
    <row r="54" spans="1:7" hidden="1">
      <c r="A54" s="214" t="s">
        <v>54</v>
      </c>
      <c r="B54" s="216"/>
      <c r="C54" s="210">
        <f ca="1">C53-C52</f>
        <v>18864.530389823281</v>
      </c>
      <c r="D54" s="210">
        <f ca="1">D53-D52</f>
        <v>57456.666027567378</v>
      </c>
      <c r="E54" s="210">
        <f>E53-E52</f>
        <v>0</v>
      </c>
      <c r="F54" s="210">
        <f ca="1">F53-F52</f>
        <v>-8313.189691150048</v>
      </c>
      <c r="G54" s="210">
        <f t="shared" ca="1" si="3"/>
        <v>49143.476336417327</v>
      </c>
    </row>
    <row r="55" spans="1:7" hidden="1">
      <c r="A55" s="178" t="s">
        <v>320</v>
      </c>
      <c r="B55" s="216"/>
      <c r="C55" s="217">
        <f ca="1">C54/C52</f>
        <v>0.17685020115385042</v>
      </c>
      <c r="D55" s="217">
        <f ca="1">IF(D52=0,0,D54/D52)</f>
        <v>0.94549621529665551</v>
      </c>
      <c r="E55" s="217">
        <f>IF(E52=0,0,E54/E52)</f>
        <v>0</v>
      </c>
      <c r="F55" s="217">
        <f ca="1">IF(F52=0,0,F54/F52)</f>
        <v>-0.53215301895676581</v>
      </c>
      <c r="G55" s="217">
        <f ca="1">IF(G53&gt;0,G54/G52,0)</f>
        <v>0.64331838355318638</v>
      </c>
    </row>
    <row r="56" spans="1:7" hidden="1">
      <c r="A56" s="178" t="s">
        <v>321</v>
      </c>
      <c r="B56" s="209" t="s">
        <v>322</v>
      </c>
      <c r="C56" s="210">
        <f ca="1">IF(C55&lt;0,0,IF(C55&lt;50%,C54*0.3,IF(C55&lt;100%,C54*0.4-C52*0.05,IF(C55&lt;200%,C54*0.5-C52*0.15,C54*0.6-C52*0.35))))</f>
        <v>5659.3591169469846</v>
      </c>
      <c r="D56" s="210">
        <f ca="1">IF(D55&lt;0,0,IF(D55&lt;50%,D54*0.3,IF(D55&lt;100%,D54*0.4-D52*0.05,IF(D55&lt;200%,D54*0.5-D52*0.15,D54*0.6-D52*0.35))))</f>
        <v>19944.226642680551</v>
      </c>
      <c r="E56" s="210">
        <f>IF(E55&lt;0,0,IF(E55&lt;50%,E54*0.3,IF(E55&lt;100%,E54*0.4-E52*0.05,IF(E55&lt;200%,E54*0.5-E52*0.15,E54*0.6-E52*0.35))))</f>
        <v>0</v>
      </c>
      <c r="F56" s="210">
        <f ca="1">IF(F55&lt;0,0,IF(F55&lt;50%,F54*0.3,IF(F55&lt;100%,F54*0.4-F52*0.05,IF(F55&lt;200%,F54*0.5-F52*0.15,F54*0.6-F52*0.35))))</f>
        <v>0</v>
      </c>
      <c r="G56" s="210">
        <f ca="1">SUM(D56:F56)</f>
        <v>19944.226642680551</v>
      </c>
    </row>
    <row r="57" spans="1:7" hidden="1">
      <c r="A57" s="218" t="s">
        <v>435</v>
      </c>
      <c r="B57" s="219"/>
      <c r="C57" s="220">
        <f>C58/C53</f>
        <v>2.0313429703082211E-2</v>
      </c>
      <c r="D57" s="220">
        <f>D36</f>
        <v>0.02</v>
      </c>
      <c r="E57" s="220">
        <f>E36</f>
        <v>0</v>
      </c>
      <c r="F57" s="220">
        <f>F36</f>
        <v>2.5383525642496661E-2</v>
      </c>
      <c r="G57" s="220">
        <f>G36</f>
        <v>2.002711122600806E-2</v>
      </c>
    </row>
    <row r="58" spans="1:7" hidden="1">
      <c r="A58" s="178" t="s">
        <v>323</v>
      </c>
      <c r="B58" s="216"/>
      <c r="C58" s="210">
        <f>SUM(D58:F58)</f>
        <v>2550.0276042385321</v>
      </c>
      <c r="D58" s="210">
        <f>D53*D57</f>
        <v>2364.5092278899083</v>
      </c>
      <c r="E58" s="210">
        <f>E53*E57</f>
        <v>0</v>
      </c>
      <c r="F58" s="210">
        <f>F53*F57</f>
        <v>185.51837634862389</v>
      </c>
      <c r="G58" s="210">
        <f>SUM(D58:F58)</f>
        <v>2550.0276042385321</v>
      </c>
    </row>
    <row r="59" spans="1:7" hidden="1">
      <c r="A59" s="178" t="s">
        <v>324</v>
      </c>
      <c r="B59" s="216"/>
      <c r="C59" s="210">
        <f ca="1">IF(C58&gt;C56,0,C56-C58)</f>
        <v>3109.3315127084525</v>
      </c>
      <c r="D59" s="210">
        <f ca="1">D56-D58</f>
        <v>17579.717414790641</v>
      </c>
      <c r="E59" s="210">
        <f>E56-E58</f>
        <v>0</v>
      </c>
      <c r="F59" s="210">
        <f ca="1">F56-F58</f>
        <v>-185.51837634862389</v>
      </c>
      <c r="G59" s="210">
        <f ca="1">SUM(D59:F59)</f>
        <v>17394.199038442017</v>
      </c>
    </row>
    <row r="60" spans="1:7" hidden="1">
      <c r="A60" s="178" t="s">
        <v>388</v>
      </c>
      <c r="B60" s="216"/>
      <c r="C60" s="217">
        <f ca="1">IF(C53=0,0,C56/C53)</f>
        <v>4.508225455893787E-2</v>
      </c>
      <c r="D60" s="217">
        <f ca="1">IF(D53=0,0,D56/D53)</f>
        <v>0.16869654309176718</v>
      </c>
      <c r="E60" s="217">
        <f>IF(E53=0,0,E56/E53)</f>
        <v>0</v>
      </c>
      <c r="F60" s="217">
        <f ca="1">IF(F53=0,0,F56/F53)</f>
        <v>0</v>
      </c>
      <c r="G60" s="217">
        <f ca="1">IF(G53=0,0,G56/G53)</f>
        <v>0.15887500402545993</v>
      </c>
    </row>
    <row r="61" spans="1:7" hidden="1">
      <c r="A61" s="178" t="s">
        <v>390</v>
      </c>
      <c r="B61" s="216"/>
      <c r="C61" s="217">
        <f ca="1">MAX(C60:C60)</f>
        <v>4.508225455893787E-2</v>
      </c>
      <c r="D61" s="217">
        <f ca="1">MAX(D57,D60)</f>
        <v>0.16869654309176718</v>
      </c>
      <c r="E61" s="217">
        <f>MAX(E57,E60)</f>
        <v>0</v>
      </c>
      <c r="F61" s="217">
        <f ca="1">MAX(F57,F60)</f>
        <v>2.5383525642496661E-2</v>
      </c>
      <c r="G61" s="217">
        <f ca="1">G62/G53</f>
        <v>0.16035283684982773</v>
      </c>
    </row>
    <row r="62" spans="1:7" hidden="1">
      <c r="A62" s="178" t="s">
        <v>389</v>
      </c>
      <c r="B62" s="216"/>
      <c r="C62" s="210">
        <f ca="1">MAX(C56,C58)</f>
        <v>5659.3591169469846</v>
      </c>
      <c r="D62" s="210">
        <f ca="1">MAX(D56,D58)</f>
        <v>19944.226642680551</v>
      </c>
      <c r="E62" s="210">
        <f>MAX(E56,E58)</f>
        <v>0</v>
      </c>
      <c r="F62" s="210">
        <f ca="1">MAX(F56,F58)</f>
        <v>185.51837634862389</v>
      </c>
      <c r="G62" s="210">
        <f ca="1">SUM(D62:F62)</f>
        <v>20129.745019029175</v>
      </c>
    </row>
    <row r="63" spans="1:7" hidden="1"/>
    <row r="64" spans="1:7" hidden="1"/>
    <row r="65" spans="1:7" hidden="1">
      <c r="A65" s="223" t="s">
        <v>925</v>
      </c>
      <c r="B65" s="223">
        <f>经济指标!J15</f>
        <v>15000</v>
      </c>
      <c r="G65" s="222"/>
    </row>
    <row r="66" spans="1:7" hidden="1">
      <c r="A66" s="208" t="s">
        <v>37</v>
      </c>
      <c r="B66" s="208" t="s">
        <v>305</v>
      </c>
      <c r="C66" s="208" t="s">
        <v>306</v>
      </c>
      <c r="D66" s="208" t="s">
        <v>920</v>
      </c>
      <c r="E66" s="208" t="s">
        <v>921</v>
      </c>
      <c r="F66" s="208" t="s">
        <v>922</v>
      </c>
      <c r="G66" s="208" t="s">
        <v>923</v>
      </c>
    </row>
    <row r="67" spans="1:7" hidden="1">
      <c r="A67" s="178" t="s">
        <v>308</v>
      </c>
      <c r="B67" s="209" t="s">
        <v>309</v>
      </c>
      <c r="C67" s="224">
        <f>$C$3-B65</f>
        <v>21452.035361000002</v>
      </c>
      <c r="D67" s="224">
        <f>SUMPRODUCT(基础信息!$B$3:$H$3,'2-成本过渡'!B5:H5)/10000-B65*基础信息!$C$3/(基础信息!$K$6-基础信息!$B$6)</f>
        <v>-5740.3658783910751</v>
      </c>
      <c r="E67" s="224">
        <f>SUMPRODUCT(基础信息!$B$4:$H$4,'2-成本过渡'!B5:H5)/10000-B65*基础信息!$C$4/(基础信息!$K$6-基础信息!$B$6)</f>
        <v>0</v>
      </c>
      <c r="F67" s="224">
        <f>SUMPRODUCT(基础信息!$B$5:$H$5,'2-成本过渡'!B5:H5)/10000-B65*(基础信息!$C$5+基础信息!$H$5)/(基础信息!$K$6-基础信息!$B$6)</f>
        <v>0</v>
      </c>
      <c r="G67" s="224">
        <f>SUM(D67:F67)</f>
        <v>-5740.3658783910751</v>
      </c>
    </row>
    <row r="68" spans="1:7" hidden="1">
      <c r="A68" s="178" t="s">
        <v>310</v>
      </c>
      <c r="B68" s="209" t="s">
        <v>311</v>
      </c>
      <c r="C68" s="210">
        <f ca="1">C47</f>
        <v>51531.574146818835</v>
      </c>
      <c r="D68" s="210">
        <f ca="1">D47</f>
        <v>41213.118664766909</v>
      </c>
      <c r="E68" s="210">
        <f>E47</f>
        <v>0</v>
      </c>
      <c r="F68" s="210">
        <f ca="1">F47</f>
        <v>10318.455482051924</v>
      </c>
      <c r="G68" s="210">
        <f t="shared" ref="G68:G75" ca="1" si="5">SUM(D68:F68)</f>
        <v>51531.574146818835</v>
      </c>
    </row>
    <row r="69" spans="1:7" hidden="1">
      <c r="A69" s="212" t="s">
        <v>312</v>
      </c>
      <c r="B69" s="213" t="s">
        <v>46</v>
      </c>
      <c r="C69" s="210">
        <f ca="1">SUM(C67:C68)</f>
        <v>72983.609507818837</v>
      </c>
      <c r="D69" s="210">
        <f ca="1">SUM(D67:D68)</f>
        <v>35472.752786375837</v>
      </c>
      <c r="E69" s="210">
        <f>SUM(E67:E68)</f>
        <v>0</v>
      </c>
      <c r="F69" s="210">
        <f ca="1">SUM(F67:F68)</f>
        <v>10318.455482051924</v>
      </c>
      <c r="G69" s="210">
        <f t="shared" ca="1" si="5"/>
        <v>45791.208268427763</v>
      </c>
    </row>
    <row r="70" spans="1:7" hidden="1">
      <c r="A70" s="214" t="s">
        <v>313</v>
      </c>
      <c r="B70" s="213" t="s">
        <v>314</v>
      </c>
      <c r="C70" s="210">
        <f t="shared" ref="C70:F72" ca="1" si="6">C49</f>
        <v>9458.277223481884</v>
      </c>
      <c r="D70" s="210">
        <f t="shared" ca="1" si="6"/>
        <v>7696.5321712735131</v>
      </c>
      <c r="E70" s="210">
        <f t="shared" si="6"/>
        <v>0</v>
      </c>
      <c r="F70" s="210">
        <f t="shared" ca="1" si="6"/>
        <v>1761.7450522083718</v>
      </c>
      <c r="G70" s="210">
        <f t="shared" ca="1" si="5"/>
        <v>9458.277223481884</v>
      </c>
    </row>
    <row r="71" spans="1:7" hidden="1">
      <c r="A71" s="214" t="s">
        <v>315</v>
      </c>
      <c r="B71" s="213" t="s">
        <v>839</v>
      </c>
      <c r="C71" s="210">
        <f t="shared" ca="1" si="6"/>
        <v>311.10325393057349</v>
      </c>
      <c r="D71" s="210">
        <f t="shared" ca="1" si="6"/>
        <v>292.99077393463011</v>
      </c>
      <c r="E71" s="210">
        <f t="shared" si="6"/>
        <v>0</v>
      </c>
      <c r="F71" s="210">
        <f t="shared" ca="1" si="6"/>
        <v>18.112479995943385</v>
      </c>
      <c r="G71" s="210">
        <f t="shared" ca="1" si="5"/>
        <v>311.10325393057349</v>
      </c>
    </row>
    <row r="72" spans="1:7" hidden="1">
      <c r="A72" s="214" t="s">
        <v>316</v>
      </c>
      <c r="B72" s="213" t="s">
        <v>317</v>
      </c>
      <c r="C72" s="210">
        <f t="shared" ca="1" si="6"/>
        <v>18916.554446963768</v>
      </c>
      <c r="D72" s="210">
        <f t="shared" ca="1" si="6"/>
        <v>15393.064342547026</v>
      </c>
      <c r="E72" s="210">
        <f t="shared" si="6"/>
        <v>0</v>
      </c>
      <c r="F72" s="210">
        <f t="shared" ca="1" si="6"/>
        <v>3523.4901044167436</v>
      </c>
      <c r="G72" s="210">
        <f t="shared" ca="1" si="5"/>
        <v>18916.554446963768</v>
      </c>
    </row>
    <row r="73" spans="1:7" hidden="1">
      <c r="A73" s="214" t="s">
        <v>318</v>
      </c>
      <c r="B73" s="213" t="s">
        <v>319</v>
      </c>
      <c r="C73" s="210">
        <f ca="1">SUM(C69:C72)</f>
        <v>101669.54443219506</v>
      </c>
      <c r="D73" s="210">
        <f ca="1">SUM(D69:D72)</f>
        <v>58855.340074131003</v>
      </c>
      <c r="E73" s="210">
        <f>SUM(E69:E72)</f>
        <v>0</v>
      </c>
      <c r="F73" s="210">
        <f ca="1">SUM(F69:F72)</f>
        <v>15621.803118672984</v>
      </c>
      <c r="G73" s="210">
        <f t="shared" ca="1" si="5"/>
        <v>74477.143192803982</v>
      </c>
    </row>
    <row r="74" spans="1:7" hidden="1">
      <c r="A74" s="214" t="s">
        <v>838</v>
      </c>
      <c r="B74" s="215"/>
      <c r="C74" s="210">
        <f>C53</f>
        <v>125534.07482201835</v>
      </c>
      <c r="D74" s="210">
        <f>D53</f>
        <v>118225.4613944954</v>
      </c>
      <c r="E74" s="210">
        <f>E53</f>
        <v>0</v>
      </c>
      <c r="F74" s="210">
        <f>F53</f>
        <v>7308.6134275229369</v>
      </c>
      <c r="G74" s="210">
        <f t="shared" si="5"/>
        <v>125534.07482201835</v>
      </c>
    </row>
    <row r="75" spans="1:7" hidden="1">
      <c r="A75" s="214" t="s">
        <v>54</v>
      </c>
      <c r="B75" s="215"/>
      <c r="C75" s="210">
        <f ca="1">C74-C73</f>
        <v>23864.530389823281</v>
      </c>
      <c r="D75" s="210">
        <f ca="1">D74-D73</f>
        <v>59370.1213203644</v>
      </c>
      <c r="E75" s="210">
        <f>E74-E73</f>
        <v>0</v>
      </c>
      <c r="F75" s="210">
        <f ca="1">F74-F73</f>
        <v>-8313.189691150048</v>
      </c>
      <c r="G75" s="210">
        <f t="shared" ca="1" si="5"/>
        <v>51056.931629214349</v>
      </c>
    </row>
    <row r="76" spans="1:7" hidden="1">
      <c r="A76" s="178" t="s">
        <v>320</v>
      </c>
      <c r="B76" s="216"/>
      <c r="C76" s="217">
        <f ca="1">C75/C73</f>
        <v>0.23472644166059869</v>
      </c>
      <c r="D76" s="217">
        <f ca="1">IF(D73=0,0,D75/D73)</f>
        <v>1.0087465512149791</v>
      </c>
      <c r="E76" s="217">
        <f>IF(E73=0,0,E75/E73)</f>
        <v>0</v>
      </c>
      <c r="F76" s="217">
        <f ca="1">IF(F73=0,0,F75/F73)</f>
        <v>-0.53215301895676581</v>
      </c>
      <c r="G76" s="217">
        <f ca="1">IF(G74&gt;0,G75/G73,0)</f>
        <v>0.68553826637844906</v>
      </c>
    </row>
    <row r="77" spans="1:7" hidden="1">
      <c r="A77" s="178" t="s">
        <v>321</v>
      </c>
      <c r="B77" s="209" t="s">
        <v>322</v>
      </c>
      <c r="C77" s="210">
        <f ca="1">IF(C76&lt;0,0,IF(C76&lt;50%,C75*0.3,IF(C76&lt;100%,C75*0.4-C73*0.05,IF(C76&lt;200%,C75*0.5-C73*0.15,C75*0.6-C73*0.35))))</f>
        <v>7159.3591169469846</v>
      </c>
      <c r="D77" s="210">
        <f ca="1">IF(D76&lt;0,0,IF(D76&lt;50%,D75*0.3,IF(D76&lt;100%,D75*0.4-D73*0.05,IF(D76&lt;200%,D75*0.5-D73*0.15,D75*0.6-D73*0.35))))</f>
        <v>20856.759649062551</v>
      </c>
      <c r="E77" s="210">
        <f>IF(E76&lt;0,0,IF(E76&lt;50%,E75*0.3,IF(E76&lt;100%,E75*0.4-E73*0.05,IF(E76&lt;200%,E75*0.5-E73*0.15,E75*0.6-E73*0.35))))</f>
        <v>0</v>
      </c>
      <c r="F77" s="210">
        <f ca="1">IF(F76&lt;0,0,IF(F76&lt;50%,F75*0.3,IF(F76&lt;100%,F75*0.4-F73*0.05,IF(F76&lt;200%,F75*0.5-F73*0.15,F75*0.6-F73*0.35))))</f>
        <v>0</v>
      </c>
      <c r="G77" s="210">
        <f ca="1">SUM(D77:F77)</f>
        <v>20856.759649062551</v>
      </c>
    </row>
    <row r="78" spans="1:7" hidden="1">
      <c r="A78" s="218" t="s">
        <v>435</v>
      </c>
      <c r="B78" s="219"/>
      <c r="C78" s="220">
        <f>C79/C74</f>
        <v>2.0313429703082211E-2</v>
      </c>
      <c r="D78" s="220">
        <f>D57</f>
        <v>0.02</v>
      </c>
      <c r="E78" s="220">
        <f>E57</f>
        <v>0</v>
      </c>
      <c r="F78" s="220">
        <f>F57</f>
        <v>2.5383525642496661E-2</v>
      </c>
      <c r="G78" s="220">
        <f>G57</f>
        <v>2.002711122600806E-2</v>
      </c>
    </row>
    <row r="79" spans="1:7" hidden="1">
      <c r="A79" s="178" t="s">
        <v>323</v>
      </c>
      <c r="B79" s="216"/>
      <c r="C79" s="210">
        <f>SUM(D79:F79)</f>
        <v>2550.0276042385321</v>
      </c>
      <c r="D79" s="210">
        <f>D74*D78</f>
        <v>2364.5092278899083</v>
      </c>
      <c r="E79" s="210">
        <f>E74*E78</f>
        <v>0</v>
      </c>
      <c r="F79" s="210">
        <f>F74*F78</f>
        <v>185.51837634862389</v>
      </c>
      <c r="G79" s="210">
        <f>SUM(D79:F79)</f>
        <v>2550.0276042385321</v>
      </c>
    </row>
    <row r="80" spans="1:7" hidden="1">
      <c r="A80" s="178" t="s">
        <v>324</v>
      </c>
      <c r="B80" s="216"/>
      <c r="C80" s="210">
        <f ca="1">IF(C79&gt;C77,0,C77-C79)</f>
        <v>4609.3315127084525</v>
      </c>
      <c r="D80" s="210">
        <f ca="1">D77-D79</f>
        <v>18492.250421172641</v>
      </c>
      <c r="E80" s="210">
        <f>E77-E79</f>
        <v>0</v>
      </c>
      <c r="F80" s="210">
        <f ca="1">F77-F79</f>
        <v>-185.51837634862389</v>
      </c>
      <c r="G80" s="210">
        <f ca="1">SUM(D80:F80)</f>
        <v>18306.732044824017</v>
      </c>
    </row>
    <row r="81" spans="1:13" hidden="1">
      <c r="A81" s="178" t="s">
        <v>388</v>
      </c>
      <c r="B81" s="216"/>
      <c r="C81" s="217">
        <f ca="1">IF(C74=0,0,C77/C74)</f>
        <v>5.7031201505228696E-2</v>
      </c>
      <c r="D81" s="217">
        <f ca="1">IF(D74=0,0,D77/D74)</f>
        <v>0.17641512583712907</v>
      </c>
      <c r="E81" s="217">
        <f>IF(E74=0,0,E77/E74)</f>
        <v>0</v>
      </c>
      <c r="F81" s="217">
        <f ca="1">IF(F74=0,0,F77/F74)</f>
        <v>0</v>
      </c>
      <c r="G81" s="217">
        <f ca="1">IF(G74=0,0,G77/G74)</f>
        <v>0.16614420967879176</v>
      </c>
    </row>
    <row r="82" spans="1:13" hidden="1">
      <c r="A82" s="178" t="s">
        <v>390</v>
      </c>
      <c r="B82" s="216"/>
      <c r="C82" s="217">
        <f ca="1">MAX(C81:C81)</f>
        <v>5.7031201505228696E-2</v>
      </c>
      <c r="D82" s="217">
        <f ca="1">MAX(D78,D81)</f>
        <v>0.17641512583712907</v>
      </c>
      <c r="E82" s="217">
        <f>MAX(E78,E81)</f>
        <v>0</v>
      </c>
      <c r="F82" s="217">
        <f ca="1">MAX(F78,F81)</f>
        <v>2.5383525642496661E-2</v>
      </c>
      <c r="G82" s="217">
        <f ca="1">G83/G74</f>
        <v>0.1676220425031596</v>
      </c>
    </row>
    <row r="83" spans="1:13" hidden="1">
      <c r="A83" s="178" t="s">
        <v>389</v>
      </c>
      <c r="B83" s="216"/>
      <c r="C83" s="210">
        <f ca="1">MAX(C77,C79)</f>
        <v>7159.3591169469846</v>
      </c>
      <c r="D83" s="210">
        <f ca="1">MAX(D77,D79)</f>
        <v>20856.759649062551</v>
      </c>
      <c r="E83" s="210">
        <f>MAX(E77,E79)</f>
        <v>0</v>
      </c>
      <c r="F83" s="210">
        <f ca="1">MAX(F77,F79)</f>
        <v>185.51837634862389</v>
      </c>
      <c r="G83" s="210">
        <f ca="1">SUM(D83:F83)</f>
        <v>21042.278025411175</v>
      </c>
    </row>
    <row r="84" spans="1:13" hidden="1"/>
    <row r="85" spans="1:13" ht="16">
      <c r="G85" s="2182"/>
      <c r="H85" s="2184"/>
    </row>
    <row r="86" spans="1:13">
      <c r="J86" s="1109"/>
      <c r="K86" s="1109"/>
      <c r="L86" s="1109"/>
      <c r="M86" s="1109"/>
    </row>
    <row r="87" spans="1:13">
      <c r="J87" s="1025"/>
      <c r="K87" s="1025"/>
      <c r="L87" s="1025"/>
      <c r="M87" s="1025"/>
    </row>
    <row r="88" spans="1:13">
      <c r="J88" s="222"/>
      <c r="K88" s="222"/>
      <c r="L88" s="222"/>
      <c r="M88" s="222"/>
    </row>
    <row r="89" spans="1:13">
      <c r="J89" s="1109"/>
      <c r="K89" s="1109"/>
      <c r="L89" s="1109"/>
      <c r="M89" s="1109"/>
    </row>
    <row r="90" spans="1:13">
      <c r="J90" s="1109"/>
      <c r="K90" s="1109"/>
      <c r="L90" s="1109"/>
      <c r="M90" s="1109"/>
    </row>
    <row r="91" spans="1:13">
      <c r="J91" s="1109"/>
      <c r="K91" s="1109"/>
      <c r="L91" s="1109"/>
      <c r="M91" s="1109"/>
    </row>
    <row r="92" spans="1:13">
      <c r="J92" s="1109"/>
      <c r="K92" s="1109"/>
      <c r="L92" s="1109"/>
      <c r="M92" s="1109"/>
    </row>
    <row r="93" spans="1:13">
      <c r="J93" s="1109"/>
      <c r="K93" s="1109"/>
      <c r="L93" s="1109"/>
      <c r="M93" s="1109"/>
    </row>
    <row r="94" spans="1:13">
      <c r="J94" s="1109"/>
      <c r="K94" s="1109"/>
      <c r="L94" s="1109"/>
      <c r="M94" s="1109"/>
    </row>
    <row r="95" spans="1:13">
      <c r="J95" s="1109"/>
      <c r="K95" s="1109"/>
      <c r="L95" s="1109"/>
      <c r="M95" s="1109"/>
    </row>
    <row r="96" spans="1:13">
      <c r="J96" s="1109"/>
      <c r="K96" s="1109"/>
      <c r="L96" s="1109"/>
      <c r="M96" s="1109"/>
    </row>
    <row r="97" spans="10:13">
      <c r="J97" s="1109"/>
      <c r="K97" s="1109"/>
      <c r="L97" s="1109"/>
      <c r="M97" s="1109"/>
    </row>
    <row r="98" spans="10:13">
      <c r="J98" s="1109"/>
      <c r="K98" s="1109"/>
      <c r="L98" s="1109"/>
      <c r="M98" s="1109"/>
    </row>
    <row r="99" spans="10:13">
      <c r="J99" s="1109"/>
      <c r="K99" s="1109"/>
      <c r="L99" s="1109"/>
      <c r="M99" s="1109"/>
    </row>
    <row r="100" spans="10:13">
      <c r="J100" s="1109"/>
      <c r="K100" s="1109"/>
      <c r="L100" s="1109"/>
      <c r="M100" s="1109"/>
    </row>
    <row r="101" spans="10:13">
      <c r="J101" s="1109"/>
      <c r="K101" s="1109"/>
      <c r="L101" s="1109"/>
      <c r="M101" s="1109"/>
    </row>
    <row r="102" spans="10:13">
      <c r="J102" s="1110"/>
      <c r="K102" s="1110"/>
      <c r="L102" s="1110"/>
      <c r="M102" s="1110"/>
    </row>
  </sheetData>
  <phoneticPr fontId="19" type="noConversion"/>
  <pageMargins left="0.75" right="0.75" top="1" bottom="1" header="0.5" footer="0.5"/>
  <pageSetup paperSize="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9"/>
  <sheetViews>
    <sheetView zoomScale="55" zoomScaleNormal="55" workbookViewId="0">
      <pane xSplit="2" ySplit="2" topLeftCell="W18" activePane="bottomRight" state="frozen"/>
      <selection activeCell="E21" sqref="E21"/>
      <selection pane="topRight" activeCell="E21" sqref="E21"/>
      <selection pane="bottomLeft" activeCell="E21" sqref="E21"/>
      <selection pane="bottomRight" activeCell="B33" sqref="B33"/>
    </sheetView>
  </sheetViews>
  <sheetFormatPr defaultColWidth="9" defaultRowHeight="15.5" outlineLevelRow="1"/>
  <cols>
    <col min="1" max="1" width="20" style="166" customWidth="1"/>
    <col min="2" max="2" width="9.1640625" style="225" customWidth="1"/>
    <col min="3" max="4" width="10.83203125" style="225" hidden="1"/>
    <col min="5" max="5" width="10.08203125" style="225" hidden="1"/>
    <col min="6" max="6" width="10.1640625" style="225" hidden="1"/>
    <col min="7" max="8" width="10.08203125" style="225" hidden="1"/>
    <col min="9" max="10" width="10.08203125" style="225" hidden="1" customWidth="1"/>
    <col min="11" max="16" width="10.83203125" style="225" hidden="1" customWidth="1"/>
    <col min="17" max="17" width="10.08203125" style="225" hidden="1" customWidth="1"/>
    <col min="18" max="18" width="10.1640625" style="225" hidden="1" customWidth="1"/>
    <col min="19" max="22" width="10.08203125" style="225" hidden="1" customWidth="1"/>
    <col min="23" max="28" width="10.83203125" style="225" customWidth="1"/>
    <col min="29" max="29" width="10.08203125" style="225" customWidth="1"/>
    <col min="30" max="30" width="10.1640625" style="225" customWidth="1"/>
    <col min="31" max="44" width="10.08203125" style="225" customWidth="1"/>
    <col min="45" max="256" width="9" style="32" customWidth="1"/>
  </cols>
  <sheetData>
    <row r="1" spans="1:68" s="226" customFormat="1" ht="13">
      <c r="A1" s="2253" t="s">
        <v>52</v>
      </c>
      <c r="B1" s="2255" t="s">
        <v>24</v>
      </c>
      <c r="C1" s="121" t="s">
        <v>237</v>
      </c>
      <c r="D1" s="121" t="s">
        <v>237</v>
      </c>
      <c r="E1" s="121" t="s">
        <v>238</v>
      </c>
      <c r="F1" s="121" t="s">
        <v>238</v>
      </c>
      <c r="G1" s="121" t="s">
        <v>238</v>
      </c>
      <c r="H1" s="121" t="s">
        <v>238</v>
      </c>
      <c r="I1" s="121" t="s">
        <v>239</v>
      </c>
      <c r="J1" s="121" t="s">
        <v>239</v>
      </c>
      <c r="K1" s="121" t="s">
        <v>239</v>
      </c>
      <c r="L1" s="121" t="s">
        <v>239</v>
      </c>
      <c r="M1" s="121" t="s">
        <v>240</v>
      </c>
      <c r="N1" s="121" t="s">
        <v>240</v>
      </c>
      <c r="O1" s="121" t="s">
        <v>240</v>
      </c>
      <c r="P1" s="121" t="s">
        <v>240</v>
      </c>
      <c r="Q1" s="121" t="s">
        <v>241</v>
      </c>
      <c r="R1" s="121" t="s">
        <v>241</v>
      </c>
      <c r="S1" s="121" t="s">
        <v>241</v>
      </c>
      <c r="T1" s="121" t="s">
        <v>241</v>
      </c>
      <c r="U1" s="121" t="s">
        <v>242</v>
      </c>
      <c r="V1" s="121" t="s">
        <v>242</v>
      </c>
      <c r="W1" s="121" t="s">
        <v>244</v>
      </c>
      <c r="X1" s="121" t="s">
        <v>244</v>
      </c>
      <c r="Y1" s="121" t="s">
        <v>244</v>
      </c>
      <c r="Z1" s="121" t="s">
        <v>244</v>
      </c>
      <c r="AA1" s="121" t="s">
        <v>244</v>
      </c>
      <c r="AB1" s="121" t="s">
        <v>244</v>
      </c>
      <c r="AC1" s="121" t="s">
        <v>244</v>
      </c>
      <c r="AD1" s="121" t="s">
        <v>244</v>
      </c>
      <c r="AE1" s="121" t="s">
        <v>244</v>
      </c>
      <c r="AF1" s="121" t="s">
        <v>244</v>
      </c>
      <c r="AG1" s="121" t="s">
        <v>244</v>
      </c>
      <c r="AH1" s="121" t="s">
        <v>244</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4221</v>
      </c>
      <c r="AV1" s="121" t="s">
        <v>4221</v>
      </c>
      <c r="AW1" s="121" t="s">
        <v>4221</v>
      </c>
      <c r="AX1" s="121" t="s">
        <v>4221</v>
      </c>
      <c r="AY1" s="121" t="s">
        <v>4221</v>
      </c>
      <c r="AZ1" s="121" t="s">
        <v>4221</v>
      </c>
      <c r="BA1" s="121" t="s">
        <v>4221</v>
      </c>
      <c r="BB1" s="121" t="s">
        <v>4221</v>
      </c>
      <c r="BC1" s="121" t="s">
        <v>4221</v>
      </c>
      <c r="BD1" s="121" t="s">
        <v>4221</v>
      </c>
      <c r="BE1" s="121" t="s">
        <v>4221</v>
      </c>
      <c r="BF1" s="121" t="s">
        <v>4221</v>
      </c>
      <c r="BG1" s="121" t="s">
        <v>4246</v>
      </c>
      <c r="BH1" s="121" t="s">
        <v>4246</v>
      </c>
      <c r="BI1" s="121" t="s">
        <v>4246</v>
      </c>
      <c r="BJ1" s="121" t="s">
        <v>4246</v>
      </c>
      <c r="BK1" s="121" t="s">
        <v>4221</v>
      </c>
      <c r="BL1" s="121" t="s">
        <v>4221</v>
      </c>
      <c r="BM1" s="121" t="s">
        <v>4246</v>
      </c>
      <c r="BN1" s="121" t="s">
        <v>4246</v>
      </c>
      <c r="BO1" s="121" t="s">
        <v>4246</v>
      </c>
      <c r="BP1" s="121" t="s">
        <v>4246</v>
      </c>
    </row>
    <row r="2" spans="1:68" s="227" customFormat="1" ht="14.5">
      <c r="A2" s="2254"/>
      <c r="B2" s="2256"/>
      <c r="C2" s="123" t="s">
        <v>173</v>
      </c>
      <c r="D2" s="123" t="s">
        <v>174</v>
      </c>
      <c r="E2" s="123" t="s">
        <v>175</v>
      </c>
      <c r="F2" s="123" t="s">
        <v>176</v>
      </c>
      <c r="G2" s="123" t="s">
        <v>177</v>
      </c>
      <c r="H2" s="123" t="s">
        <v>178</v>
      </c>
      <c r="I2" s="123" t="s">
        <v>179</v>
      </c>
      <c r="J2" s="123" t="s">
        <v>180</v>
      </c>
      <c r="K2" s="123" t="s">
        <v>181</v>
      </c>
      <c r="L2" s="123" t="s">
        <v>182</v>
      </c>
      <c r="M2" s="123" t="s">
        <v>183</v>
      </c>
      <c r="N2" s="123" t="s">
        <v>184</v>
      </c>
      <c r="O2" s="123" t="s">
        <v>185</v>
      </c>
      <c r="P2" s="123" t="s">
        <v>186</v>
      </c>
      <c r="Q2" s="123" t="s">
        <v>187</v>
      </c>
      <c r="R2" s="123" t="s">
        <v>188</v>
      </c>
      <c r="S2" s="123" t="s">
        <v>189</v>
      </c>
      <c r="T2" s="123" t="s">
        <v>190</v>
      </c>
      <c r="U2" s="123" t="s">
        <v>191</v>
      </c>
      <c r="V2" s="123" t="s">
        <v>192</v>
      </c>
      <c r="W2" s="123" t="s">
        <v>4208</v>
      </c>
      <c r="X2" s="123" t="s">
        <v>4209</v>
      </c>
      <c r="Y2" s="123" t="s">
        <v>4210</v>
      </c>
      <c r="Z2" s="123" t="s">
        <v>4211</v>
      </c>
      <c r="AA2" s="123" t="s">
        <v>4212</v>
      </c>
      <c r="AB2" s="123" t="s">
        <v>4213</v>
      </c>
      <c r="AC2" s="123" t="s">
        <v>4214</v>
      </c>
      <c r="AD2" s="123" t="s">
        <v>4215</v>
      </c>
      <c r="AE2" s="123" t="s">
        <v>4216</v>
      </c>
      <c r="AF2" s="123" t="s">
        <v>4217</v>
      </c>
      <c r="AG2" s="123" t="s">
        <v>4218</v>
      </c>
      <c r="AH2" s="123" t="s">
        <v>4219</v>
      </c>
      <c r="AI2" s="123" t="s">
        <v>4222</v>
      </c>
      <c r="AJ2" s="123" t="s">
        <v>4223</v>
      </c>
      <c r="AK2" s="123" t="s">
        <v>4224</v>
      </c>
      <c r="AL2" s="123" t="s">
        <v>4225</v>
      </c>
      <c r="AM2" s="123" t="s">
        <v>4226</v>
      </c>
      <c r="AN2" s="123" t="s">
        <v>4227</v>
      </c>
      <c r="AO2" s="123" t="s">
        <v>4228</v>
      </c>
      <c r="AP2" s="123" t="s">
        <v>4229</v>
      </c>
      <c r="AQ2" s="123" t="s">
        <v>4230</v>
      </c>
      <c r="AR2" s="123" t="s">
        <v>4231</v>
      </c>
      <c r="AS2" s="123" t="s">
        <v>4232</v>
      </c>
      <c r="AT2" s="123" t="s">
        <v>4233</v>
      </c>
      <c r="AU2" s="123" t="s">
        <v>4234</v>
      </c>
      <c r="AV2" s="123" t="s">
        <v>4235</v>
      </c>
      <c r="AW2" s="123" t="s">
        <v>4236</v>
      </c>
      <c r="AX2" s="123" t="s">
        <v>4237</v>
      </c>
      <c r="AY2" s="123" t="s">
        <v>4238</v>
      </c>
      <c r="AZ2" s="123" t="s">
        <v>4239</v>
      </c>
      <c r="BA2" s="123" t="s">
        <v>4240</v>
      </c>
      <c r="BB2" s="123" t="s">
        <v>4241</v>
      </c>
      <c r="BC2" s="123" t="s">
        <v>4242</v>
      </c>
      <c r="BD2" s="123" t="s">
        <v>4243</v>
      </c>
      <c r="BE2" s="123" t="s">
        <v>4244</v>
      </c>
      <c r="BF2" s="123" t="s">
        <v>4245</v>
      </c>
      <c r="BG2" s="123" t="s">
        <v>4247</v>
      </c>
      <c r="BH2" s="123" t="s">
        <v>4248</v>
      </c>
      <c r="BI2" s="123" t="s">
        <v>4249</v>
      </c>
      <c r="BJ2" s="123" t="s">
        <v>4250</v>
      </c>
      <c r="BK2" s="123" t="s">
        <v>4251</v>
      </c>
      <c r="BL2" s="123" t="s">
        <v>4252</v>
      </c>
      <c r="BM2" s="123" t="s">
        <v>4253</v>
      </c>
      <c r="BN2" s="123" t="s">
        <v>4254</v>
      </c>
      <c r="BO2" s="123" t="s">
        <v>4255</v>
      </c>
      <c r="BP2" s="123" t="s">
        <v>4256</v>
      </c>
    </row>
    <row r="3" spans="1:68">
      <c r="A3" s="228" t="s">
        <v>255</v>
      </c>
      <c r="B3" s="229">
        <f t="shared" ref="B3:AR3" si="0">SUM(B4:B6)</f>
        <v>137382.56</v>
      </c>
      <c r="C3" s="229">
        <f t="shared" si="0"/>
        <v>0</v>
      </c>
      <c r="D3" s="229">
        <f t="shared" si="0"/>
        <v>0</v>
      </c>
      <c r="E3" s="229">
        <f t="shared" si="0"/>
        <v>0</v>
      </c>
      <c r="F3" s="229">
        <f t="shared" si="0"/>
        <v>0</v>
      </c>
      <c r="G3" s="229">
        <f t="shared" si="0"/>
        <v>0</v>
      </c>
      <c r="H3" s="229">
        <f t="shared" si="0"/>
        <v>0</v>
      </c>
      <c r="I3" s="229">
        <f t="shared" si="0"/>
        <v>0</v>
      </c>
      <c r="J3" s="229">
        <f t="shared" si="0"/>
        <v>0</v>
      </c>
      <c r="K3" s="229">
        <f t="shared" si="0"/>
        <v>0</v>
      </c>
      <c r="L3" s="229">
        <f t="shared" si="0"/>
        <v>0</v>
      </c>
      <c r="M3" s="229">
        <f t="shared" si="0"/>
        <v>0</v>
      </c>
      <c r="N3" s="229">
        <f t="shared" si="0"/>
        <v>0</v>
      </c>
      <c r="O3" s="229">
        <f t="shared" si="0"/>
        <v>0</v>
      </c>
      <c r="P3" s="229">
        <f t="shared" si="0"/>
        <v>0</v>
      </c>
      <c r="Q3" s="229">
        <f t="shared" si="0"/>
        <v>0</v>
      </c>
      <c r="R3" s="229">
        <f t="shared" si="0"/>
        <v>0</v>
      </c>
      <c r="S3" s="229">
        <f t="shared" si="0"/>
        <v>0</v>
      </c>
      <c r="T3" s="229">
        <f t="shared" si="0"/>
        <v>0</v>
      </c>
      <c r="U3" s="229">
        <f t="shared" si="0"/>
        <v>0</v>
      </c>
      <c r="V3" s="229">
        <f t="shared" si="0"/>
        <v>0</v>
      </c>
      <c r="W3" s="229">
        <f t="shared" ref="W3:AN3" si="1">SUM(W4:W6)</f>
        <v>0</v>
      </c>
      <c r="X3" s="229">
        <f t="shared" si="1"/>
        <v>0</v>
      </c>
      <c r="Y3" s="229">
        <f t="shared" si="1"/>
        <v>0</v>
      </c>
      <c r="Z3" s="229">
        <f t="shared" si="1"/>
        <v>0</v>
      </c>
      <c r="AA3" s="229">
        <f t="shared" si="1"/>
        <v>0</v>
      </c>
      <c r="AB3" s="229">
        <f t="shared" si="1"/>
        <v>0</v>
      </c>
      <c r="AC3" s="229">
        <f t="shared" si="1"/>
        <v>0</v>
      </c>
      <c r="AD3" s="229">
        <f t="shared" si="1"/>
        <v>0</v>
      </c>
      <c r="AE3" s="229">
        <f t="shared" si="1"/>
        <v>0</v>
      </c>
      <c r="AF3" s="229">
        <f t="shared" si="1"/>
        <v>16600</v>
      </c>
      <c r="AG3" s="229">
        <f t="shared" si="1"/>
        <v>4000</v>
      </c>
      <c r="AH3" s="229">
        <f t="shared" si="1"/>
        <v>8350</v>
      </c>
      <c r="AI3" s="229">
        <f t="shared" si="1"/>
        <v>3500</v>
      </c>
      <c r="AJ3" s="229">
        <f t="shared" si="1"/>
        <v>5000</v>
      </c>
      <c r="AK3" s="229">
        <f t="shared" si="1"/>
        <v>7900</v>
      </c>
      <c r="AL3" s="229">
        <f t="shared" si="1"/>
        <v>6200</v>
      </c>
      <c r="AM3" s="229">
        <f t="shared" si="1"/>
        <v>7200</v>
      </c>
      <c r="AN3" s="229">
        <f t="shared" si="1"/>
        <v>6000</v>
      </c>
      <c r="AO3" s="229">
        <f t="shared" si="0"/>
        <v>6850</v>
      </c>
      <c r="AP3" s="229">
        <f t="shared" si="0"/>
        <v>6350</v>
      </c>
      <c r="AQ3" s="229">
        <f t="shared" si="0"/>
        <v>6300</v>
      </c>
      <c r="AR3" s="229">
        <f t="shared" si="0"/>
        <v>7900</v>
      </c>
      <c r="AS3" s="229">
        <f t="shared" ref="AS3:BP3" si="2">SUM(AS4:AS6)</f>
        <v>6100</v>
      </c>
      <c r="AT3" s="229">
        <f t="shared" si="2"/>
        <v>7132.8799999999974</v>
      </c>
      <c r="AU3" s="229">
        <f t="shared" si="2"/>
        <v>6100</v>
      </c>
      <c r="AV3" s="229">
        <f t="shared" si="2"/>
        <v>2900</v>
      </c>
      <c r="AW3" s="229">
        <f t="shared" si="2"/>
        <v>5774.3799999999974</v>
      </c>
      <c r="AX3" s="229">
        <f t="shared" si="2"/>
        <v>1400</v>
      </c>
      <c r="AY3" s="229">
        <f t="shared" si="2"/>
        <v>1300</v>
      </c>
      <c r="AZ3" s="229">
        <f t="shared" si="2"/>
        <v>1300</v>
      </c>
      <c r="BA3" s="229">
        <f t="shared" si="2"/>
        <v>1400</v>
      </c>
      <c r="BB3" s="229">
        <f t="shared" si="2"/>
        <v>1400</v>
      </c>
      <c r="BC3" s="229">
        <f t="shared" si="2"/>
        <v>1400</v>
      </c>
      <c r="BD3" s="229">
        <f t="shared" si="2"/>
        <v>3000</v>
      </c>
      <c r="BE3" s="229">
        <f t="shared" si="2"/>
        <v>3000</v>
      </c>
      <c r="BF3" s="229">
        <f t="shared" si="2"/>
        <v>3025.3000000000029</v>
      </c>
      <c r="BG3" s="229">
        <f t="shared" si="2"/>
        <v>0</v>
      </c>
      <c r="BH3" s="229">
        <f t="shared" si="2"/>
        <v>0</v>
      </c>
      <c r="BI3" s="229">
        <f t="shared" si="2"/>
        <v>0</v>
      </c>
      <c r="BJ3" s="229">
        <f t="shared" si="2"/>
        <v>0</v>
      </c>
      <c r="BK3" s="229">
        <f t="shared" si="2"/>
        <v>0</v>
      </c>
      <c r="BL3" s="229">
        <f t="shared" si="2"/>
        <v>0</v>
      </c>
      <c r="BM3" s="229">
        <f t="shared" si="2"/>
        <v>0</v>
      </c>
      <c r="BN3" s="229">
        <f t="shared" si="2"/>
        <v>0</v>
      </c>
      <c r="BO3" s="229">
        <f t="shared" si="2"/>
        <v>0</v>
      </c>
      <c r="BP3" s="229">
        <f t="shared" si="2"/>
        <v>0</v>
      </c>
    </row>
    <row r="4" spans="1:68" outlineLevel="1">
      <c r="A4" s="230" t="str">
        <f>基础信息!A13</f>
        <v>一期</v>
      </c>
      <c r="B4" s="231">
        <f>SUM(C4:BP4)</f>
        <v>137382.56</v>
      </c>
      <c r="C4" s="232">
        <f>销售计划!D84</f>
        <v>0</v>
      </c>
      <c r="D4" s="232">
        <f>销售计划!E84</f>
        <v>0</v>
      </c>
      <c r="E4" s="232">
        <f>销售计划!F84</f>
        <v>0</v>
      </c>
      <c r="F4" s="232">
        <f>销售计划!G84</f>
        <v>0</v>
      </c>
      <c r="G4" s="232">
        <f>销售计划!H84</f>
        <v>0</v>
      </c>
      <c r="H4" s="232">
        <f>销售计划!I63</f>
        <v>0</v>
      </c>
      <c r="I4" s="232">
        <f>销售计划!J63</f>
        <v>0</v>
      </c>
      <c r="J4" s="232">
        <f>销售计划!K63</f>
        <v>0</v>
      </c>
      <c r="K4" s="232">
        <f>销售计划!L63</f>
        <v>0</v>
      </c>
      <c r="L4" s="232">
        <f>销售计划!M63</f>
        <v>0</v>
      </c>
      <c r="M4" s="232">
        <f>销售计划!N63</f>
        <v>0</v>
      </c>
      <c r="N4" s="232">
        <f>销售计划!O63</f>
        <v>0</v>
      </c>
      <c r="O4" s="232">
        <f>销售计划!P63</f>
        <v>0</v>
      </c>
      <c r="P4" s="232">
        <f>销售计划!Q63</f>
        <v>0</v>
      </c>
      <c r="Q4" s="232">
        <f>销售计划!R63</f>
        <v>0</v>
      </c>
      <c r="R4" s="232">
        <f>销售计划!S63</f>
        <v>0</v>
      </c>
      <c r="S4" s="232">
        <f>销售计划!T63</f>
        <v>0</v>
      </c>
      <c r="T4" s="232">
        <f>销售计划!U63</f>
        <v>0</v>
      </c>
      <c r="U4" s="232">
        <f>销售计划!V63</f>
        <v>0</v>
      </c>
      <c r="V4" s="232">
        <f>销售计划!W63</f>
        <v>0</v>
      </c>
      <c r="W4" s="232">
        <f>销售计划!X63</f>
        <v>0</v>
      </c>
      <c r="X4" s="232">
        <f>销售计划!Y63</f>
        <v>0</v>
      </c>
      <c r="Y4" s="232">
        <f>销售计划!Z63</f>
        <v>0</v>
      </c>
      <c r="Z4" s="232">
        <f>销售计划!AA63</f>
        <v>0</v>
      </c>
      <c r="AA4" s="232">
        <f>销售计划!AB63</f>
        <v>0</v>
      </c>
      <c r="AB4" s="232">
        <f>销售计划!AC63</f>
        <v>0</v>
      </c>
      <c r="AC4" s="232">
        <f>销售计划!AD63</f>
        <v>0</v>
      </c>
      <c r="AD4" s="232">
        <f>销售计划!AE63</f>
        <v>0</v>
      </c>
      <c r="AE4" s="232">
        <f>销售计划!AF63</f>
        <v>0</v>
      </c>
      <c r="AF4" s="232">
        <f>销售计划!AG63</f>
        <v>16600</v>
      </c>
      <c r="AG4" s="232">
        <f>销售计划!AH63</f>
        <v>4000</v>
      </c>
      <c r="AH4" s="232">
        <f>销售计划!AI63</f>
        <v>8350</v>
      </c>
      <c r="AI4" s="232">
        <f>销售计划!AJ63</f>
        <v>3500</v>
      </c>
      <c r="AJ4" s="232">
        <f>销售计划!AK63</f>
        <v>5000</v>
      </c>
      <c r="AK4" s="232">
        <f>销售计划!AL63</f>
        <v>7900</v>
      </c>
      <c r="AL4" s="232">
        <f>销售计划!AM63</f>
        <v>6200</v>
      </c>
      <c r="AM4" s="232">
        <f>销售计划!AN63</f>
        <v>7200</v>
      </c>
      <c r="AN4" s="232">
        <f>销售计划!AO63</f>
        <v>6000</v>
      </c>
      <c r="AO4" s="232">
        <f>销售计划!AP63</f>
        <v>6850</v>
      </c>
      <c r="AP4" s="232">
        <f>销售计划!AQ63</f>
        <v>6350</v>
      </c>
      <c r="AQ4" s="232">
        <f>销售计划!AR63</f>
        <v>6300</v>
      </c>
      <c r="AR4" s="232">
        <f>销售计划!AS63</f>
        <v>7900</v>
      </c>
      <c r="AS4" s="232">
        <f>销售计划!AT63</f>
        <v>6100</v>
      </c>
      <c r="AT4" s="232">
        <f>销售计划!AU63</f>
        <v>7132.8799999999974</v>
      </c>
      <c r="AU4" s="232">
        <f>销售计划!AV63</f>
        <v>6100</v>
      </c>
      <c r="AV4" s="232">
        <f>销售计划!AW63</f>
        <v>2900</v>
      </c>
      <c r="AW4" s="232">
        <f>销售计划!AX63</f>
        <v>5774.3799999999974</v>
      </c>
      <c r="AX4" s="232">
        <f>销售计划!AY63</f>
        <v>1400</v>
      </c>
      <c r="AY4" s="232">
        <f>销售计划!AZ63</f>
        <v>1300</v>
      </c>
      <c r="AZ4" s="232">
        <f>销售计划!BA63</f>
        <v>1300</v>
      </c>
      <c r="BA4" s="232">
        <f>销售计划!BB63</f>
        <v>1400</v>
      </c>
      <c r="BB4" s="232">
        <f>销售计划!BC63</f>
        <v>1400</v>
      </c>
      <c r="BC4" s="232">
        <f>销售计划!BD63</f>
        <v>1400</v>
      </c>
      <c r="BD4" s="232">
        <f>销售计划!BE63</f>
        <v>3000</v>
      </c>
      <c r="BE4" s="232">
        <f>销售计划!BF63</f>
        <v>3000</v>
      </c>
      <c r="BF4" s="232">
        <f>销售计划!BG63</f>
        <v>3025.3000000000029</v>
      </c>
      <c r="BG4" s="232">
        <f>销售计划!BH63</f>
        <v>0</v>
      </c>
      <c r="BH4" s="232">
        <f>销售计划!BI63</f>
        <v>0</v>
      </c>
      <c r="BI4" s="232">
        <f>销售计划!BJ63</f>
        <v>0</v>
      </c>
      <c r="BJ4" s="232">
        <f>销售计划!BK63</f>
        <v>0</v>
      </c>
      <c r="BK4" s="232">
        <f>销售计划!BL63</f>
        <v>0</v>
      </c>
      <c r="BL4" s="232">
        <f>销售计划!BM63</f>
        <v>0</v>
      </c>
      <c r="BM4" s="232">
        <f>销售计划!BN63</f>
        <v>0</v>
      </c>
      <c r="BN4" s="232">
        <f>销售计划!BO63</f>
        <v>0</v>
      </c>
      <c r="BO4" s="232">
        <f>销售计划!BP63</f>
        <v>0</v>
      </c>
      <c r="BP4" s="232">
        <f>销售计划!BQ63</f>
        <v>0</v>
      </c>
    </row>
    <row r="5" spans="1:68" outlineLevel="1">
      <c r="A5" s="230" t="str">
        <f>基础信息!A14</f>
        <v>二期</v>
      </c>
      <c r="B5" s="231">
        <f>SUM(C5:BP5)</f>
        <v>0</v>
      </c>
      <c r="C5" s="232">
        <f>销售计划!D108</f>
        <v>0</v>
      </c>
      <c r="D5" s="232">
        <f>销售计划!E108</f>
        <v>0</v>
      </c>
      <c r="E5" s="232">
        <f>销售计划!F108</f>
        <v>0</v>
      </c>
      <c r="F5" s="232">
        <f>销售计划!G108</f>
        <v>0</v>
      </c>
      <c r="G5" s="232">
        <f>销售计划!H108</f>
        <v>0</v>
      </c>
      <c r="H5" s="232">
        <f>销售计划!I108</f>
        <v>0</v>
      </c>
      <c r="I5" s="232">
        <f>销售计划!J108</f>
        <v>0</v>
      </c>
      <c r="J5" s="232">
        <f>销售计划!K108</f>
        <v>0</v>
      </c>
      <c r="K5" s="232">
        <f>销售计划!L108</f>
        <v>0</v>
      </c>
      <c r="L5" s="232">
        <f>销售计划!M108</f>
        <v>0</v>
      </c>
      <c r="M5" s="232">
        <f>销售计划!N108</f>
        <v>0</v>
      </c>
      <c r="N5" s="232">
        <f>销售计划!O108</f>
        <v>0</v>
      </c>
      <c r="O5" s="232">
        <f>销售计划!P108</f>
        <v>0</v>
      </c>
      <c r="P5" s="232">
        <f>销售计划!Q108</f>
        <v>0</v>
      </c>
      <c r="Q5" s="232">
        <f>销售计划!R108</f>
        <v>0</v>
      </c>
      <c r="R5" s="232">
        <f>销售计划!S108</f>
        <v>0</v>
      </c>
      <c r="S5" s="232">
        <f>销售计划!T108</f>
        <v>0</v>
      </c>
      <c r="T5" s="232">
        <f>销售计划!U108</f>
        <v>0</v>
      </c>
      <c r="U5" s="232">
        <f>销售计划!V108</f>
        <v>0</v>
      </c>
      <c r="V5" s="232">
        <f>销售计划!W108</f>
        <v>0</v>
      </c>
      <c r="W5" s="232">
        <f>销售计划!X108</f>
        <v>0</v>
      </c>
      <c r="X5" s="232">
        <f>销售计划!Y108</f>
        <v>0</v>
      </c>
      <c r="Y5" s="232">
        <f>销售计划!Z108</f>
        <v>0</v>
      </c>
      <c r="Z5" s="232">
        <f>销售计划!AA108</f>
        <v>0</v>
      </c>
      <c r="AA5" s="232">
        <f>销售计划!AB108</f>
        <v>0</v>
      </c>
      <c r="AB5" s="232">
        <f>销售计划!AC108</f>
        <v>0</v>
      </c>
      <c r="AC5" s="232">
        <f>销售计划!AD108</f>
        <v>0</v>
      </c>
      <c r="AD5" s="232">
        <f>销售计划!AE108</f>
        <v>0</v>
      </c>
      <c r="AE5" s="232">
        <f>销售计划!AF108</f>
        <v>0</v>
      </c>
      <c r="AF5" s="232">
        <f>销售计划!AG108</f>
        <v>0</v>
      </c>
      <c r="AG5" s="232">
        <f>销售计划!AH108</f>
        <v>0</v>
      </c>
      <c r="AH5" s="232">
        <f>销售计划!AI108</f>
        <v>0</v>
      </c>
      <c r="AI5" s="232">
        <f>销售计划!AJ108</f>
        <v>0</v>
      </c>
      <c r="AJ5" s="232">
        <f>销售计划!AK108</f>
        <v>0</v>
      </c>
      <c r="AK5" s="232">
        <f>销售计划!AL108</f>
        <v>0</v>
      </c>
      <c r="AL5" s="232">
        <f>销售计划!AM108</f>
        <v>0</v>
      </c>
      <c r="AM5" s="232">
        <f>销售计划!AN108</f>
        <v>0</v>
      </c>
      <c r="AN5" s="232">
        <f>销售计划!AO108</f>
        <v>0</v>
      </c>
      <c r="AO5" s="232">
        <f>销售计划!AP108</f>
        <v>0</v>
      </c>
      <c r="AP5" s="232">
        <f>销售计划!AQ108</f>
        <v>0</v>
      </c>
      <c r="AQ5" s="232">
        <f>销售计划!AR108</f>
        <v>0</v>
      </c>
      <c r="AR5" s="232">
        <f>销售计划!AS108</f>
        <v>0</v>
      </c>
      <c r="AS5" s="232">
        <f>销售计划!AT108</f>
        <v>0</v>
      </c>
      <c r="AT5" s="232">
        <f>销售计划!AU108</f>
        <v>0</v>
      </c>
      <c r="AU5" s="232">
        <f>销售计划!AV108</f>
        <v>0</v>
      </c>
      <c r="AV5" s="232">
        <f>销售计划!AW108</f>
        <v>0</v>
      </c>
      <c r="AW5" s="232">
        <f>销售计划!AX108</f>
        <v>0</v>
      </c>
      <c r="AX5" s="232">
        <f>销售计划!AY108</f>
        <v>0</v>
      </c>
      <c r="AY5" s="232">
        <f>销售计划!AZ108</f>
        <v>0</v>
      </c>
      <c r="AZ5" s="232">
        <f>销售计划!BA108</f>
        <v>0</v>
      </c>
      <c r="BA5" s="232">
        <f>销售计划!BB108</f>
        <v>0</v>
      </c>
      <c r="BB5" s="232">
        <f>销售计划!BC108</f>
        <v>0</v>
      </c>
      <c r="BC5" s="232">
        <f>销售计划!BD108</f>
        <v>0</v>
      </c>
      <c r="BD5" s="232">
        <f>销售计划!BE108</f>
        <v>0</v>
      </c>
      <c r="BE5" s="232">
        <f>销售计划!BF108</f>
        <v>0</v>
      </c>
      <c r="BF5" s="232">
        <f>销售计划!BG108</f>
        <v>0</v>
      </c>
      <c r="BG5" s="232">
        <f>销售计划!BH108</f>
        <v>0</v>
      </c>
      <c r="BH5" s="232">
        <f>销售计划!BI108</f>
        <v>0</v>
      </c>
      <c r="BI5" s="232">
        <f>销售计划!BJ108</f>
        <v>0</v>
      </c>
      <c r="BJ5" s="232">
        <f>销售计划!BK108</f>
        <v>0</v>
      </c>
      <c r="BK5" s="232">
        <f>销售计划!BL108</f>
        <v>0</v>
      </c>
      <c r="BL5" s="232">
        <f>销售计划!BM108</f>
        <v>0</v>
      </c>
      <c r="BM5" s="232">
        <f>销售计划!BN108</f>
        <v>0</v>
      </c>
      <c r="BN5" s="232">
        <f>销售计划!BO108</f>
        <v>0</v>
      </c>
      <c r="BO5" s="232">
        <f>销售计划!BP108</f>
        <v>0</v>
      </c>
      <c r="BP5" s="232">
        <f>销售计划!BQ108</f>
        <v>0</v>
      </c>
    </row>
    <row r="6" spans="1:68" outlineLevel="1">
      <c r="A6" s="230" t="str">
        <f>基础信息!A15</f>
        <v>三期</v>
      </c>
      <c r="B6" s="231">
        <f>SUM(C6:BP6)</f>
        <v>0</v>
      </c>
      <c r="C6" s="232">
        <f>销售计划!D132</f>
        <v>0</v>
      </c>
      <c r="D6" s="232">
        <f>销售计划!E132</f>
        <v>0</v>
      </c>
      <c r="E6" s="232">
        <f>销售计划!F132</f>
        <v>0</v>
      </c>
      <c r="F6" s="232">
        <f>销售计划!G132</f>
        <v>0</v>
      </c>
      <c r="G6" s="232">
        <f>销售计划!H132</f>
        <v>0</v>
      </c>
      <c r="H6" s="232">
        <f>销售计划!I132</f>
        <v>0</v>
      </c>
      <c r="I6" s="232">
        <f>销售计划!J132</f>
        <v>0</v>
      </c>
      <c r="J6" s="232">
        <f>销售计划!K132</f>
        <v>0</v>
      </c>
      <c r="K6" s="232">
        <f>销售计划!L132</f>
        <v>0</v>
      </c>
      <c r="L6" s="232">
        <f>销售计划!M132</f>
        <v>0</v>
      </c>
      <c r="M6" s="232">
        <f>销售计划!N132</f>
        <v>0</v>
      </c>
      <c r="N6" s="232">
        <f>销售计划!O132</f>
        <v>0</v>
      </c>
      <c r="O6" s="232">
        <f>销售计划!P132</f>
        <v>0</v>
      </c>
      <c r="P6" s="232">
        <f>销售计划!Q132</f>
        <v>0</v>
      </c>
      <c r="Q6" s="232">
        <f>销售计划!R132</f>
        <v>0</v>
      </c>
      <c r="R6" s="232">
        <f>销售计划!S132</f>
        <v>0</v>
      </c>
      <c r="S6" s="232">
        <f>销售计划!T132</f>
        <v>0</v>
      </c>
      <c r="T6" s="232">
        <f>销售计划!U132</f>
        <v>0</v>
      </c>
      <c r="U6" s="232">
        <f>销售计划!V132</f>
        <v>0</v>
      </c>
      <c r="V6" s="232">
        <f>销售计划!W132</f>
        <v>0</v>
      </c>
      <c r="W6" s="232">
        <f>销售计划!X132</f>
        <v>0</v>
      </c>
      <c r="X6" s="232">
        <f>销售计划!Y132</f>
        <v>0</v>
      </c>
      <c r="Y6" s="232">
        <f>销售计划!Z132</f>
        <v>0</v>
      </c>
      <c r="Z6" s="232">
        <f>销售计划!AA132</f>
        <v>0</v>
      </c>
      <c r="AA6" s="232">
        <f>销售计划!AB132</f>
        <v>0</v>
      </c>
      <c r="AB6" s="232">
        <f>销售计划!AC132</f>
        <v>0</v>
      </c>
      <c r="AC6" s="232">
        <f>销售计划!AD132</f>
        <v>0</v>
      </c>
      <c r="AD6" s="232">
        <f>销售计划!AE132</f>
        <v>0</v>
      </c>
      <c r="AE6" s="232">
        <f>销售计划!AF132</f>
        <v>0</v>
      </c>
      <c r="AF6" s="232">
        <f>销售计划!AG132</f>
        <v>0</v>
      </c>
      <c r="AG6" s="232">
        <f>销售计划!AH132</f>
        <v>0</v>
      </c>
      <c r="AH6" s="232">
        <f>销售计划!AI132</f>
        <v>0</v>
      </c>
      <c r="AI6" s="232">
        <f>销售计划!AJ132</f>
        <v>0</v>
      </c>
      <c r="AJ6" s="232">
        <f>销售计划!AK132</f>
        <v>0</v>
      </c>
      <c r="AK6" s="232">
        <f>销售计划!AL132</f>
        <v>0</v>
      </c>
      <c r="AL6" s="232">
        <f>销售计划!AM132</f>
        <v>0</v>
      </c>
      <c r="AM6" s="232">
        <f>销售计划!AN132</f>
        <v>0</v>
      </c>
      <c r="AN6" s="232">
        <f>销售计划!AO132</f>
        <v>0</v>
      </c>
      <c r="AO6" s="232">
        <f>销售计划!AP132</f>
        <v>0</v>
      </c>
      <c r="AP6" s="232">
        <f>销售计划!AQ132</f>
        <v>0</v>
      </c>
      <c r="AQ6" s="232">
        <f>销售计划!AR132</f>
        <v>0</v>
      </c>
      <c r="AR6" s="232">
        <f>销售计划!AS132</f>
        <v>0</v>
      </c>
      <c r="AS6" s="232">
        <f>销售计划!AT132</f>
        <v>0</v>
      </c>
      <c r="AT6" s="232">
        <f>销售计划!AU132</f>
        <v>0</v>
      </c>
      <c r="AU6" s="232">
        <f>销售计划!AV132</f>
        <v>0</v>
      </c>
      <c r="AV6" s="232">
        <f>销售计划!AW132</f>
        <v>0</v>
      </c>
      <c r="AW6" s="232">
        <f>销售计划!AX132</f>
        <v>0</v>
      </c>
      <c r="AX6" s="232">
        <f>销售计划!AY132</f>
        <v>0</v>
      </c>
      <c r="AY6" s="232">
        <f>销售计划!AZ132</f>
        <v>0</v>
      </c>
      <c r="AZ6" s="232">
        <f>销售计划!BA132</f>
        <v>0</v>
      </c>
      <c r="BA6" s="232">
        <f>销售计划!BB132</f>
        <v>0</v>
      </c>
      <c r="BB6" s="232">
        <f>销售计划!BC132</f>
        <v>0</v>
      </c>
      <c r="BC6" s="232">
        <f>销售计划!BD132</f>
        <v>0</v>
      </c>
      <c r="BD6" s="232">
        <f>销售计划!BE132</f>
        <v>0</v>
      </c>
      <c r="BE6" s="232">
        <f>销售计划!BF132</f>
        <v>0</v>
      </c>
      <c r="BF6" s="232">
        <f>销售计划!BG132</f>
        <v>0</v>
      </c>
      <c r="BG6" s="232">
        <f>销售计划!BH132</f>
        <v>0</v>
      </c>
      <c r="BH6" s="232">
        <f>销售计划!BI132</f>
        <v>0</v>
      </c>
      <c r="BI6" s="232">
        <f>销售计划!BJ132</f>
        <v>0</v>
      </c>
      <c r="BJ6" s="232">
        <f>销售计划!BK132</f>
        <v>0</v>
      </c>
      <c r="BK6" s="232">
        <f>销售计划!BL132</f>
        <v>0</v>
      </c>
      <c r="BL6" s="232">
        <f>销售计划!BM132</f>
        <v>0</v>
      </c>
      <c r="BM6" s="232">
        <f>销售计划!BN132</f>
        <v>0</v>
      </c>
      <c r="BN6" s="232">
        <f>销售计划!BO132</f>
        <v>0</v>
      </c>
      <c r="BO6" s="232">
        <f>销售计划!BP132</f>
        <v>0</v>
      </c>
      <c r="BP6" s="232">
        <f>销售计划!BQ132</f>
        <v>0</v>
      </c>
    </row>
    <row r="7" spans="1:68">
      <c r="A7" s="233" t="s">
        <v>937</v>
      </c>
      <c r="B7" s="1087">
        <f t="shared" ref="B7:AR7" si="3">SUM(B8:B10)</f>
        <v>127328.77824770639</v>
      </c>
      <c r="C7" s="234">
        <f t="shared" si="3"/>
        <v>0</v>
      </c>
      <c r="D7" s="234">
        <f t="shared" si="3"/>
        <v>0</v>
      </c>
      <c r="E7" s="234">
        <f t="shared" si="3"/>
        <v>0</v>
      </c>
      <c r="F7" s="234">
        <f t="shared" si="3"/>
        <v>0</v>
      </c>
      <c r="G7" s="234">
        <f t="shared" si="3"/>
        <v>0</v>
      </c>
      <c r="H7" s="234">
        <f t="shared" si="3"/>
        <v>0</v>
      </c>
      <c r="I7" s="234">
        <f t="shared" si="3"/>
        <v>0</v>
      </c>
      <c r="J7" s="234">
        <f t="shared" si="3"/>
        <v>0</v>
      </c>
      <c r="K7" s="234">
        <f t="shared" si="3"/>
        <v>0</v>
      </c>
      <c r="L7" s="234">
        <f t="shared" si="3"/>
        <v>0</v>
      </c>
      <c r="M7" s="234">
        <f t="shared" si="3"/>
        <v>0</v>
      </c>
      <c r="N7" s="234">
        <f t="shared" si="3"/>
        <v>0</v>
      </c>
      <c r="O7" s="234">
        <f t="shared" si="3"/>
        <v>0</v>
      </c>
      <c r="P7" s="234">
        <f t="shared" si="3"/>
        <v>0</v>
      </c>
      <c r="Q7" s="234">
        <f t="shared" si="3"/>
        <v>0</v>
      </c>
      <c r="R7" s="234">
        <f t="shared" si="3"/>
        <v>0</v>
      </c>
      <c r="S7" s="234">
        <f t="shared" si="3"/>
        <v>0</v>
      </c>
      <c r="T7" s="234">
        <f t="shared" si="3"/>
        <v>0</v>
      </c>
      <c r="U7" s="234">
        <f t="shared" si="3"/>
        <v>0</v>
      </c>
      <c r="V7" s="234">
        <f t="shared" si="3"/>
        <v>0</v>
      </c>
      <c r="W7" s="234">
        <f t="shared" ref="W7:AN7" si="4">SUM(W8:W10)</f>
        <v>0</v>
      </c>
      <c r="X7" s="234">
        <f t="shared" si="4"/>
        <v>0</v>
      </c>
      <c r="Y7" s="234">
        <f t="shared" si="4"/>
        <v>0</v>
      </c>
      <c r="Z7" s="234">
        <f t="shared" si="4"/>
        <v>0</v>
      </c>
      <c r="AA7" s="234">
        <f t="shared" si="4"/>
        <v>0</v>
      </c>
      <c r="AB7" s="234">
        <f t="shared" si="4"/>
        <v>0</v>
      </c>
      <c r="AC7" s="234">
        <f t="shared" si="4"/>
        <v>0</v>
      </c>
      <c r="AD7" s="234">
        <f t="shared" si="4"/>
        <v>0</v>
      </c>
      <c r="AE7" s="234">
        <f t="shared" si="4"/>
        <v>0</v>
      </c>
      <c r="AF7" s="234">
        <f t="shared" si="4"/>
        <v>18351.192660550456</v>
      </c>
      <c r="AG7" s="234">
        <f t="shared" si="4"/>
        <v>4467.8899082568805</v>
      </c>
      <c r="AH7" s="234">
        <f t="shared" si="4"/>
        <v>9325</v>
      </c>
      <c r="AI7" s="234">
        <f t="shared" si="4"/>
        <v>3850.9174311926604</v>
      </c>
      <c r="AJ7" s="234">
        <f t="shared" si="4"/>
        <v>5582.5688073394494</v>
      </c>
      <c r="AK7" s="234">
        <f t="shared" si="4"/>
        <v>6135.6972477064219</v>
      </c>
      <c r="AL7" s="234">
        <f t="shared" si="4"/>
        <v>6017.8715596330267</v>
      </c>
      <c r="AM7" s="234">
        <f t="shared" si="4"/>
        <v>7238.0550458715588</v>
      </c>
      <c r="AN7" s="234">
        <f t="shared" si="4"/>
        <v>6107.779816513761</v>
      </c>
      <c r="AO7" s="234">
        <f t="shared" si="3"/>
        <v>6965.119266055045</v>
      </c>
      <c r="AP7" s="234">
        <f t="shared" si="3"/>
        <v>6364.2018348623842</v>
      </c>
      <c r="AQ7" s="234">
        <f t="shared" si="3"/>
        <v>6238.0550458715588</v>
      </c>
      <c r="AR7" s="234">
        <f t="shared" si="3"/>
        <v>8215.8440366972482</v>
      </c>
      <c r="AS7" s="234">
        <f t="shared" ref="AS7:BP7" si="5">SUM(AS8:AS10)</f>
        <v>6458.8073394495405</v>
      </c>
      <c r="AT7" s="234">
        <f t="shared" si="5"/>
        <v>7175.4784403669682</v>
      </c>
      <c r="AU7" s="234">
        <f t="shared" si="5"/>
        <v>6540.0825688073382</v>
      </c>
      <c r="AV7" s="234">
        <f t="shared" si="5"/>
        <v>3241.4311926605501</v>
      </c>
      <c r="AW7" s="234">
        <f t="shared" si="5"/>
        <v>5767.3366238532071</v>
      </c>
      <c r="AX7" s="234">
        <f t="shared" si="5"/>
        <v>267.02752293577981</v>
      </c>
      <c r="AY7" s="234">
        <f t="shared" si="5"/>
        <v>247.95412844036693</v>
      </c>
      <c r="AZ7" s="234">
        <f t="shared" si="5"/>
        <v>247.95412844036693</v>
      </c>
      <c r="BA7" s="234">
        <f t="shared" si="5"/>
        <v>267.02752293577981</v>
      </c>
      <c r="BB7" s="234">
        <f t="shared" si="5"/>
        <v>267.02752293577981</v>
      </c>
      <c r="BC7" s="234">
        <f t="shared" si="5"/>
        <v>267.02752293577981</v>
      </c>
      <c r="BD7" s="234">
        <f t="shared" si="5"/>
        <v>572.20183486238534</v>
      </c>
      <c r="BE7" s="234">
        <f t="shared" si="5"/>
        <v>572.20183486238534</v>
      </c>
      <c r="BF7" s="234">
        <f t="shared" si="5"/>
        <v>577.02740366972523</v>
      </c>
      <c r="BG7" s="234">
        <f t="shared" si="5"/>
        <v>0</v>
      </c>
      <c r="BH7" s="234">
        <f t="shared" si="5"/>
        <v>0</v>
      </c>
      <c r="BI7" s="234">
        <f t="shared" si="5"/>
        <v>0</v>
      </c>
      <c r="BJ7" s="234">
        <f t="shared" si="5"/>
        <v>0</v>
      </c>
      <c r="BK7" s="234">
        <f t="shared" si="5"/>
        <v>0</v>
      </c>
      <c r="BL7" s="234">
        <f t="shared" si="5"/>
        <v>0</v>
      </c>
      <c r="BM7" s="234">
        <f t="shared" si="5"/>
        <v>0</v>
      </c>
      <c r="BN7" s="234">
        <f t="shared" si="5"/>
        <v>0</v>
      </c>
      <c r="BO7" s="234">
        <f t="shared" si="5"/>
        <v>0</v>
      </c>
      <c r="BP7" s="234">
        <f t="shared" si="5"/>
        <v>0</v>
      </c>
    </row>
    <row r="8" spans="1:68" outlineLevel="1">
      <c r="A8" s="230" t="str">
        <f>A4</f>
        <v>一期</v>
      </c>
      <c r="B8" s="231">
        <f>SUM(C8:BP8)</f>
        <v>127328.77824770639</v>
      </c>
      <c r="C8" s="232">
        <f>销售计划!D86</f>
        <v>0</v>
      </c>
      <c r="D8" s="232">
        <f>销售计划!E86</f>
        <v>0</v>
      </c>
      <c r="E8" s="232">
        <f>销售计划!F86</f>
        <v>0</v>
      </c>
      <c r="F8" s="232">
        <f>销售计划!G86</f>
        <v>0</v>
      </c>
      <c r="G8" s="232">
        <f>销售计划!H86</f>
        <v>0</v>
      </c>
      <c r="H8" s="232">
        <f>销售计划!I86</f>
        <v>0</v>
      </c>
      <c r="I8" s="232">
        <f>销售计划!J86</f>
        <v>0</v>
      </c>
      <c r="J8" s="232">
        <f>销售计划!K86</f>
        <v>0</v>
      </c>
      <c r="K8" s="232">
        <f>销售计划!L65</f>
        <v>0</v>
      </c>
      <c r="L8" s="232">
        <f>销售计划!M65</f>
        <v>0</v>
      </c>
      <c r="M8" s="232">
        <f>销售计划!N65</f>
        <v>0</v>
      </c>
      <c r="N8" s="232">
        <f>销售计划!O65</f>
        <v>0</v>
      </c>
      <c r="O8" s="232">
        <f>销售计划!P65</f>
        <v>0</v>
      </c>
      <c r="P8" s="232">
        <f>销售计划!Q65</f>
        <v>0</v>
      </c>
      <c r="Q8" s="232">
        <f>销售计划!R65</f>
        <v>0</v>
      </c>
      <c r="R8" s="232">
        <f>销售计划!S65</f>
        <v>0</v>
      </c>
      <c r="S8" s="232">
        <f>销售计划!T65</f>
        <v>0</v>
      </c>
      <c r="T8" s="232">
        <f>销售计划!U65</f>
        <v>0</v>
      </c>
      <c r="U8" s="232">
        <f>销售计划!V65</f>
        <v>0</v>
      </c>
      <c r="V8" s="232">
        <f>销售计划!W65</f>
        <v>0</v>
      </c>
      <c r="W8" s="232">
        <f>销售计划!X65</f>
        <v>0</v>
      </c>
      <c r="X8" s="232">
        <f>销售计划!Y65</f>
        <v>0</v>
      </c>
      <c r="Y8" s="232">
        <f>销售计划!Z65</f>
        <v>0</v>
      </c>
      <c r="Z8" s="232">
        <f>销售计划!AA65</f>
        <v>0</v>
      </c>
      <c r="AA8" s="232">
        <f>销售计划!AB65</f>
        <v>0</v>
      </c>
      <c r="AB8" s="232">
        <f>销售计划!AC65</f>
        <v>0</v>
      </c>
      <c r="AC8" s="232">
        <f>销售计划!AD65</f>
        <v>0</v>
      </c>
      <c r="AD8" s="232">
        <f>销售计划!AE65</f>
        <v>0</v>
      </c>
      <c r="AE8" s="232">
        <f>销售计划!AF65</f>
        <v>0</v>
      </c>
      <c r="AF8" s="232">
        <f>销售计划!AG65</f>
        <v>18351.192660550456</v>
      </c>
      <c r="AG8" s="232">
        <f>销售计划!AH65</f>
        <v>4467.8899082568805</v>
      </c>
      <c r="AH8" s="232">
        <f>销售计划!AI65</f>
        <v>9325</v>
      </c>
      <c r="AI8" s="232">
        <f>销售计划!AJ65</f>
        <v>3850.9174311926604</v>
      </c>
      <c r="AJ8" s="232">
        <f>销售计划!AK65</f>
        <v>5582.5688073394494</v>
      </c>
      <c r="AK8" s="232">
        <f>销售计划!AL65</f>
        <v>6135.6972477064219</v>
      </c>
      <c r="AL8" s="232">
        <f>销售计划!AM65</f>
        <v>6017.8715596330267</v>
      </c>
      <c r="AM8" s="232">
        <f>销售计划!AN65</f>
        <v>7238.0550458715588</v>
      </c>
      <c r="AN8" s="232">
        <f>销售计划!AO65</f>
        <v>6107.779816513761</v>
      </c>
      <c r="AO8" s="232">
        <f>销售计划!AP65</f>
        <v>6965.119266055045</v>
      </c>
      <c r="AP8" s="232">
        <f>销售计划!AQ65</f>
        <v>6364.2018348623842</v>
      </c>
      <c r="AQ8" s="232">
        <f>销售计划!AR65</f>
        <v>6238.0550458715588</v>
      </c>
      <c r="AR8" s="232">
        <f>销售计划!AS65</f>
        <v>8215.8440366972482</v>
      </c>
      <c r="AS8" s="232">
        <f>销售计划!AT65</f>
        <v>6458.8073394495405</v>
      </c>
      <c r="AT8" s="232">
        <f>销售计划!AU65</f>
        <v>7175.4784403669682</v>
      </c>
      <c r="AU8" s="232">
        <f>销售计划!AV65</f>
        <v>6540.0825688073382</v>
      </c>
      <c r="AV8" s="232">
        <f>销售计划!AW65</f>
        <v>3241.4311926605501</v>
      </c>
      <c r="AW8" s="232">
        <f>销售计划!AX65</f>
        <v>5767.3366238532071</v>
      </c>
      <c r="AX8" s="232">
        <f>销售计划!AY65</f>
        <v>267.02752293577981</v>
      </c>
      <c r="AY8" s="232">
        <f>销售计划!AZ65</f>
        <v>247.95412844036693</v>
      </c>
      <c r="AZ8" s="232">
        <f>销售计划!BA65</f>
        <v>247.95412844036693</v>
      </c>
      <c r="BA8" s="232">
        <f>销售计划!BB65</f>
        <v>267.02752293577981</v>
      </c>
      <c r="BB8" s="232">
        <f>销售计划!BC65</f>
        <v>267.02752293577981</v>
      </c>
      <c r="BC8" s="232">
        <f>销售计划!BD65</f>
        <v>267.02752293577981</v>
      </c>
      <c r="BD8" s="232">
        <f>销售计划!BE65</f>
        <v>572.20183486238534</v>
      </c>
      <c r="BE8" s="232">
        <f>销售计划!BF65</f>
        <v>572.20183486238534</v>
      </c>
      <c r="BF8" s="232">
        <f>销售计划!BG65</f>
        <v>577.02740366972523</v>
      </c>
      <c r="BG8" s="232">
        <f>销售计划!BH65</f>
        <v>0</v>
      </c>
      <c r="BH8" s="232">
        <f>销售计划!BI65</f>
        <v>0</v>
      </c>
      <c r="BI8" s="232">
        <f>销售计划!BJ65</f>
        <v>0</v>
      </c>
      <c r="BJ8" s="232">
        <f>销售计划!BK65</f>
        <v>0</v>
      </c>
      <c r="BK8" s="232">
        <f>销售计划!BL65</f>
        <v>0</v>
      </c>
      <c r="BL8" s="232">
        <f>销售计划!BM65</f>
        <v>0</v>
      </c>
      <c r="BM8" s="232">
        <f>销售计划!BN65</f>
        <v>0</v>
      </c>
      <c r="BN8" s="232">
        <f>销售计划!BO65</f>
        <v>0</v>
      </c>
      <c r="BO8" s="232">
        <f>销售计划!BP65</f>
        <v>0</v>
      </c>
      <c r="BP8" s="232">
        <f>销售计划!BQ65</f>
        <v>0</v>
      </c>
    </row>
    <row r="9" spans="1:68" outlineLevel="1">
      <c r="A9" s="230" t="str">
        <f>A5</f>
        <v>二期</v>
      </c>
      <c r="B9" s="231">
        <f>SUM(C9:BP9)</f>
        <v>0</v>
      </c>
      <c r="C9" s="232">
        <f>销售计划!D110</f>
        <v>0</v>
      </c>
      <c r="D9" s="232">
        <f>销售计划!E110</f>
        <v>0</v>
      </c>
      <c r="E9" s="232">
        <f>销售计划!F110</f>
        <v>0</v>
      </c>
      <c r="F9" s="232">
        <f>销售计划!G110</f>
        <v>0</v>
      </c>
      <c r="G9" s="232">
        <f>销售计划!H110</f>
        <v>0</v>
      </c>
      <c r="H9" s="232">
        <f>销售计划!I110</f>
        <v>0</v>
      </c>
      <c r="I9" s="232">
        <f>销售计划!J110</f>
        <v>0</v>
      </c>
      <c r="J9" s="232">
        <f>销售计划!K110</f>
        <v>0</v>
      </c>
      <c r="K9" s="232">
        <f>销售计划!L110</f>
        <v>0</v>
      </c>
      <c r="L9" s="232">
        <f>销售计划!M110</f>
        <v>0</v>
      </c>
      <c r="M9" s="232">
        <f>销售计划!N110</f>
        <v>0</v>
      </c>
      <c r="N9" s="232">
        <f>销售计划!O110</f>
        <v>0</v>
      </c>
      <c r="O9" s="232">
        <f>销售计划!P110</f>
        <v>0</v>
      </c>
      <c r="P9" s="232">
        <f>销售计划!Q110</f>
        <v>0</v>
      </c>
      <c r="Q9" s="232">
        <f>销售计划!R110</f>
        <v>0</v>
      </c>
      <c r="R9" s="232">
        <f>销售计划!S110</f>
        <v>0</v>
      </c>
      <c r="S9" s="232">
        <f>销售计划!T110</f>
        <v>0</v>
      </c>
      <c r="T9" s="232">
        <f>销售计划!U110</f>
        <v>0</v>
      </c>
      <c r="U9" s="232">
        <f>销售计划!V110</f>
        <v>0</v>
      </c>
      <c r="V9" s="232">
        <f>销售计划!W110</f>
        <v>0</v>
      </c>
      <c r="W9" s="232">
        <f>销售计划!X110</f>
        <v>0</v>
      </c>
      <c r="X9" s="232">
        <f>销售计划!Y110</f>
        <v>0</v>
      </c>
      <c r="Y9" s="232">
        <f>销售计划!Z110</f>
        <v>0</v>
      </c>
      <c r="Z9" s="232">
        <f>销售计划!AA110</f>
        <v>0</v>
      </c>
      <c r="AA9" s="232">
        <f>销售计划!AB110</f>
        <v>0</v>
      </c>
      <c r="AB9" s="232">
        <f>销售计划!AC110</f>
        <v>0</v>
      </c>
      <c r="AC9" s="232">
        <f>销售计划!AD110</f>
        <v>0</v>
      </c>
      <c r="AD9" s="232">
        <f>销售计划!AE110</f>
        <v>0</v>
      </c>
      <c r="AE9" s="232">
        <f>销售计划!AF110</f>
        <v>0</v>
      </c>
      <c r="AF9" s="232">
        <f>销售计划!AG110</f>
        <v>0</v>
      </c>
      <c r="AG9" s="232">
        <f>销售计划!AH110</f>
        <v>0</v>
      </c>
      <c r="AH9" s="232">
        <f>销售计划!AI110</f>
        <v>0</v>
      </c>
      <c r="AI9" s="232">
        <f>销售计划!AJ110</f>
        <v>0</v>
      </c>
      <c r="AJ9" s="232">
        <f>销售计划!AK110</f>
        <v>0</v>
      </c>
      <c r="AK9" s="232">
        <f>销售计划!AL110</f>
        <v>0</v>
      </c>
      <c r="AL9" s="232">
        <f>销售计划!AM110</f>
        <v>0</v>
      </c>
      <c r="AM9" s="232">
        <f>销售计划!AN110</f>
        <v>0</v>
      </c>
      <c r="AN9" s="232">
        <f>销售计划!AO110</f>
        <v>0</v>
      </c>
      <c r="AO9" s="232">
        <f>销售计划!AP110</f>
        <v>0</v>
      </c>
      <c r="AP9" s="232">
        <f>销售计划!AQ110</f>
        <v>0</v>
      </c>
      <c r="AQ9" s="232">
        <f>销售计划!AR110</f>
        <v>0</v>
      </c>
      <c r="AR9" s="232">
        <f>销售计划!AS110</f>
        <v>0</v>
      </c>
      <c r="AS9" s="232">
        <f>销售计划!AT110</f>
        <v>0</v>
      </c>
      <c r="AT9" s="232">
        <f>销售计划!AU110</f>
        <v>0</v>
      </c>
      <c r="AU9" s="232">
        <f>销售计划!AV110</f>
        <v>0</v>
      </c>
      <c r="AV9" s="232">
        <f>销售计划!AW110</f>
        <v>0</v>
      </c>
      <c r="AW9" s="232">
        <f>销售计划!AX110</f>
        <v>0</v>
      </c>
      <c r="AX9" s="232">
        <f>销售计划!AY110</f>
        <v>0</v>
      </c>
      <c r="AY9" s="232">
        <f>销售计划!AZ110</f>
        <v>0</v>
      </c>
      <c r="AZ9" s="232">
        <f>销售计划!BA110</f>
        <v>0</v>
      </c>
      <c r="BA9" s="232">
        <f>销售计划!BB110</f>
        <v>0</v>
      </c>
      <c r="BB9" s="232">
        <f>销售计划!BC110</f>
        <v>0</v>
      </c>
      <c r="BC9" s="232">
        <f>销售计划!BD110</f>
        <v>0</v>
      </c>
      <c r="BD9" s="232">
        <f>销售计划!BE110</f>
        <v>0</v>
      </c>
      <c r="BE9" s="232">
        <f>销售计划!BF110</f>
        <v>0</v>
      </c>
      <c r="BF9" s="232">
        <f>销售计划!BG110</f>
        <v>0</v>
      </c>
      <c r="BG9" s="232">
        <f>销售计划!BH110</f>
        <v>0</v>
      </c>
      <c r="BH9" s="232">
        <f>销售计划!BI110</f>
        <v>0</v>
      </c>
      <c r="BI9" s="232">
        <f>销售计划!BJ110</f>
        <v>0</v>
      </c>
      <c r="BJ9" s="232">
        <f>销售计划!BK110</f>
        <v>0</v>
      </c>
      <c r="BK9" s="232">
        <f>销售计划!BL110</f>
        <v>0</v>
      </c>
      <c r="BL9" s="232">
        <f>销售计划!BM110</f>
        <v>0</v>
      </c>
      <c r="BM9" s="232">
        <f>销售计划!BN110</f>
        <v>0</v>
      </c>
      <c r="BN9" s="232">
        <f>销售计划!BO110</f>
        <v>0</v>
      </c>
      <c r="BO9" s="232">
        <f>销售计划!BP110</f>
        <v>0</v>
      </c>
      <c r="BP9" s="232">
        <f>销售计划!BQ110</f>
        <v>0</v>
      </c>
    </row>
    <row r="10" spans="1:68" outlineLevel="1">
      <c r="A10" s="230" t="str">
        <f>A6</f>
        <v>三期</v>
      </c>
      <c r="B10" s="231">
        <f>SUM(C10:BP10)</f>
        <v>0</v>
      </c>
      <c r="C10" s="232">
        <f>销售计划!D134</f>
        <v>0</v>
      </c>
      <c r="D10" s="232">
        <f>销售计划!E134</f>
        <v>0</v>
      </c>
      <c r="E10" s="232">
        <f>销售计划!F134</f>
        <v>0</v>
      </c>
      <c r="F10" s="232">
        <f>销售计划!G134</f>
        <v>0</v>
      </c>
      <c r="G10" s="232">
        <f>销售计划!H134</f>
        <v>0</v>
      </c>
      <c r="H10" s="232">
        <f>销售计划!I134</f>
        <v>0</v>
      </c>
      <c r="I10" s="232">
        <f>销售计划!J134</f>
        <v>0</v>
      </c>
      <c r="J10" s="232">
        <f>销售计划!K134</f>
        <v>0</v>
      </c>
      <c r="K10" s="232">
        <f>销售计划!L134</f>
        <v>0</v>
      </c>
      <c r="L10" s="232">
        <f>销售计划!M134</f>
        <v>0</v>
      </c>
      <c r="M10" s="232">
        <f>销售计划!N134</f>
        <v>0</v>
      </c>
      <c r="N10" s="232">
        <f>销售计划!O134</f>
        <v>0</v>
      </c>
      <c r="O10" s="232">
        <f>销售计划!P134</f>
        <v>0</v>
      </c>
      <c r="P10" s="232">
        <f>销售计划!Q134</f>
        <v>0</v>
      </c>
      <c r="Q10" s="232">
        <f>销售计划!R134</f>
        <v>0</v>
      </c>
      <c r="R10" s="232">
        <f>销售计划!S134</f>
        <v>0</v>
      </c>
      <c r="S10" s="232">
        <f>销售计划!T134</f>
        <v>0</v>
      </c>
      <c r="T10" s="232">
        <f>销售计划!U134</f>
        <v>0</v>
      </c>
      <c r="U10" s="232">
        <f>销售计划!V134</f>
        <v>0</v>
      </c>
      <c r="V10" s="232">
        <f>销售计划!W134</f>
        <v>0</v>
      </c>
      <c r="W10" s="232">
        <f>销售计划!X134</f>
        <v>0</v>
      </c>
      <c r="X10" s="232">
        <f>销售计划!Y134</f>
        <v>0</v>
      </c>
      <c r="Y10" s="232">
        <f>销售计划!Z134</f>
        <v>0</v>
      </c>
      <c r="Z10" s="232">
        <f>销售计划!AA134</f>
        <v>0</v>
      </c>
      <c r="AA10" s="232">
        <f>销售计划!AB134</f>
        <v>0</v>
      </c>
      <c r="AB10" s="232">
        <f>销售计划!AC134</f>
        <v>0</v>
      </c>
      <c r="AC10" s="232">
        <f>销售计划!AD134</f>
        <v>0</v>
      </c>
      <c r="AD10" s="232">
        <f>销售计划!AE134</f>
        <v>0</v>
      </c>
      <c r="AE10" s="232">
        <f>销售计划!AF134</f>
        <v>0</v>
      </c>
      <c r="AF10" s="232">
        <f>销售计划!AG134</f>
        <v>0</v>
      </c>
      <c r="AG10" s="232">
        <f>销售计划!AH134</f>
        <v>0</v>
      </c>
      <c r="AH10" s="232">
        <f>销售计划!AI134</f>
        <v>0</v>
      </c>
      <c r="AI10" s="232">
        <f>销售计划!AJ134</f>
        <v>0</v>
      </c>
      <c r="AJ10" s="232">
        <f>销售计划!AK134</f>
        <v>0</v>
      </c>
      <c r="AK10" s="232">
        <f>销售计划!AL134</f>
        <v>0</v>
      </c>
      <c r="AL10" s="232">
        <f>销售计划!AM134</f>
        <v>0</v>
      </c>
      <c r="AM10" s="232">
        <f>销售计划!AN134</f>
        <v>0</v>
      </c>
      <c r="AN10" s="232">
        <f>销售计划!AO134</f>
        <v>0</v>
      </c>
      <c r="AO10" s="232">
        <f>销售计划!AP134</f>
        <v>0</v>
      </c>
      <c r="AP10" s="232">
        <f>销售计划!AQ134</f>
        <v>0</v>
      </c>
      <c r="AQ10" s="232">
        <f>销售计划!AR134</f>
        <v>0</v>
      </c>
      <c r="AR10" s="232">
        <f>销售计划!AS134</f>
        <v>0</v>
      </c>
      <c r="AS10" s="232">
        <f>销售计划!AT134</f>
        <v>0</v>
      </c>
      <c r="AT10" s="232">
        <f>销售计划!AU134</f>
        <v>0</v>
      </c>
      <c r="AU10" s="232">
        <f>销售计划!AV134</f>
        <v>0</v>
      </c>
      <c r="AV10" s="232">
        <f>销售计划!AW134</f>
        <v>0</v>
      </c>
      <c r="AW10" s="232">
        <f>销售计划!AX134</f>
        <v>0</v>
      </c>
      <c r="AX10" s="232">
        <f>销售计划!AY134</f>
        <v>0</v>
      </c>
      <c r="AY10" s="232">
        <f>销售计划!AZ134</f>
        <v>0</v>
      </c>
      <c r="AZ10" s="232">
        <f>销售计划!BA134</f>
        <v>0</v>
      </c>
      <c r="BA10" s="232">
        <f>销售计划!BB134</f>
        <v>0</v>
      </c>
      <c r="BB10" s="232">
        <f>销售计划!BC134</f>
        <v>0</v>
      </c>
      <c r="BC10" s="232">
        <f>销售计划!BD134</f>
        <v>0</v>
      </c>
      <c r="BD10" s="232">
        <f>销售计划!BE134</f>
        <v>0</v>
      </c>
      <c r="BE10" s="232">
        <f>销售计划!BF134</f>
        <v>0</v>
      </c>
      <c r="BF10" s="232">
        <f>销售计划!BG134</f>
        <v>0</v>
      </c>
      <c r="BG10" s="232">
        <f>销售计划!BH134</f>
        <v>0</v>
      </c>
      <c r="BH10" s="232">
        <f>销售计划!BI134</f>
        <v>0</v>
      </c>
      <c r="BI10" s="232">
        <f>销售计划!BJ134</f>
        <v>0</v>
      </c>
      <c r="BJ10" s="232">
        <f>销售计划!BK134</f>
        <v>0</v>
      </c>
      <c r="BK10" s="232">
        <f>销售计划!BL134</f>
        <v>0</v>
      </c>
      <c r="BL10" s="232">
        <f>销售计划!BM134</f>
        <v>0</v>
      </c>
      <c r="BM10" s="232">
        <f>销售计划!BN134</f>
        <v>0</v>
      </c>
      <c r="BN10" s="232">
        <f>销售计划!BO134</f>
        <v>0</v>
      </c>
      <c r="BO10" s="232">
        <f>销售计划!BP134</f>
        <v>0</v>
      </c>
      <c r="BP10" s="232">
        <f>销售计划!BQ134</f>
        <v>0</v>
      </c>
    </row>
    <row r="11" spans="1:68">
      <c r="A11" s="233" t="s">
        <v>842</v>
      </c>
      <c r="B11" s="234">
        <f t="shared" ref="B11:AR11" ca="1" si="6">SUM(B12:B14)</f>
        <v>98069.831475999992</v>
      </c>
      <c r="C11" s="234">
        <f t="shared" si="6"/>
        <v>0</v>
      </c>
      <c r="D11" s="234">
        <f t="shared" si="6"/>
        <v>0</v>
      </c>
      <c r="E11" s="234">
        <f t="shared" si="6"/>
        <v>0</v>
      </c>
      <c r="F11" s="234">
        <f t="shared" si="6"/>
        <v>0</v>
      </c>
      <c r="G11" s="234">
        <f t="shared" si="6"/>
        <v>0</v>
      </c>
      <c r="H11" s="234">
        <f t="shared" ca="1" si="6"/>
        <v>0</v>
      </c>
      <c r="I11" s="234">
        <f t="shared" ca="1" si="6"/>
        <v>0</v>
      </c>
      <c r="J11" s="234">
        <f t="shared" ca="1" si="6"/>
        <v>0</v>
      </c>
      <c r="K11" s="234">
        <f t="shared" ca="1" si="6"/>
        <v>0</v>
      </c>
      <c r="L11" s="234">
        <f t="shared" ca="1" si="6"/>
        <v>0</v>
      </c>
      <c r="M11" s="234">
        <f t="shared" ca="1" si="6"/>
        <v>0</v>
      </c>
      <c r="N11" s="234">
        <f t="shared" ca="1" si="6"/>
        <v>0</v>
      </c>
      <c r="O11" s="234">
        <f t="shared" ca="1" si="6"/>
        <v>0</v>
      </c>
      <c r="P11" s="234">
        <f t="shared" ca="1" si="6"/>
        <v>0</v>
      </c>
      <c r="Q11" s="234">
        <f t="shared" ca="1" si="6"/>
        <v>0</v>
      </c>
      <c r="R11" s="234">
        <f t="shared" ca="1" si="6"/>
        <v>0</v>
      </c>
      <c r="S11" s="234">
        <f t="shared" ca="1" si="6"/>
        <v>0</v>
      </c>
      <c r="T11" s="234">
        <f t="shared" ca="1" si="6"/>
        <v>0</v>
      </c>
      <c r="U11" s="234">
        <f t="shared" ca="1" si="6"/>
        <v>0</v>
      </c>
      <c r="V11" s="234">
        <f t="shared" ca="1" si="6"/>
        <v>0</v>
      </c>
      <c r="W11" s="234">
        <f t="shared" ref="W11:AN11" ca="1" si="7">SUM(W12:W14)</f>
        <v>0</v>
      </c>
      <c r="X11" s="234">
        <f t="shared" ca="1" si="7"/>
        <v>0</v>
      </c>
      <c r="Y11" s="234">
        <f t="shared" ca="1" si="7"/>
        <v>0</v>
      </c>
      <c r="Z11" s="234">
        <f t="shared" ca="1" si="7"/>
        <v>0</v>
      </c>
      <c r="AA11" s="234">
        <f t="shared" ca="1" si="7"/>
        <v>0</v>
      </c>
      <c r="AB11" s="234">
        <f t="shared" ca="1" si="7"/>
        <v>0</v>
      </c>
      <c r="AC11" s="234">
        <f t="shared" ca="1" si="7"/>
        <v>0</v>
      </c>
      <c r="AD11" s="234">
        <f t="shared" ca="1" si="7"/>
        <v>0</v>
      </c>
      <c r="AE11" s="234">
        <f t="shared" ca="1" si="7"/>
        <v>0</v>
      </c>
      <c r="AF11" s="234">
        <f t="shared" ca="1" si="7"/>
        <v>15107.663692319686</v>
      </c>
      <c r="AG11" s="234">
        <f t="shared" ca="1" si="7"/>
        <v>3612.954626037571</v>
      </c>
      <c r="AH11" s="234">
        <f t="shared" ca="1" si="7"/>
        <v>7489.15971308811</v>
      </c>
      <c r="AI11" s="234">
        <f t="shared" ca="1" si="7"/>
        <v>3039.2974467859831</v>
      </c>
      <c r="AJ11" s="234">
        <f t="shared" ca="1" si="7"/>
        <v>4434.8347152157021</v>
      </c>
      <c r="AK11" s="234">
        <f t="shared" ca="1" si="7"/>
        <v>4677.6011867693187</v>
      </c>
      <c r="AL11" s="234">
        <f t="shared" ca="1" si="7"/>
        <v>4698.2360885834405</v>
      </c>
      <c r="AM11" s="234">
        <f t="shared" ca="1" si="7"/>
        <v>5682.8333124240944</v>
      </c>
      <c r="AN11" s="234">
        <f t="shared" ca="1" si="7"/>
        <v>4623.9087577797409</v>
      </c>
      <c r="AO11" s="234">
        <f t="shared" ca="1" si="6"/>
        <v>5318.1617737308206</v>
      </c>
      <c r="AP11" s="234">
        <f t="shared" ca="1" si="6"/>
        <v>4825.8631618104937</v>
      </c>
      <c r="AQ11" s="234">
        <f t="shared" ca="1" si="6"/>
        <v>4756.2012816243887</v>
      </c>
      <c r="AR11" s="234">
        <f t="shared" ca="1" si="6"/>
        <v>6241.5665808942313</v>
      </c>
      <c r="AS11" s="234">
        <f t="shared" ref="AS11:BP11" ca="1" si="8">SUM(AS12:AS14)</f>
        <v>4901.979489269188</v>
      </c>
      <c r="AT11" s="234">
        <f t="shared" ca="1" si="8"/>
        <v>5326.645336679534</v>
      </c>
      <c r="AU11" s="234">
        <f t="shared" ca="1" si="8"/>
        <v>5015.8337766670375</v>
      </c>
      <c r="AV11" s="234">
        <f t="shared" ca="1" si="8"/>
        <v>2495.0544725033728</v>
      </c>
      <c r="AW11" s="234">
        <f t="shared" ca="1" si="8"/>
        <v>4379.1557786088515</v>
      </c>
      <c r="AX11" s="234">
        <f t="shared" ca="1" si="8"/>
        <v>117.30672458923063</v>
      </c>
      <c r="AY11" s="234">
        <f t="shared" ca="1" si="8"/>
        <v>109.15370221407653</v>
      </c>
      <c r="AZ11" s="234">
        <f t="shared" ca="1" si="8"/>
        <v>109.15370221407653</v>
      </c>
      <c r="BA11" s="234">
        <f t="shared" ca="1" si="8"/>
        <v>117.30672458923063</v>
      </c>
      <c r="BB11" s="234">
        <f t="shared" ca="1" si="8"/>
        <v>117.30672458923063</v>
      </c>
      <c r="BC11" s="234">
        <f t="shared" ca="1" si="8"/>
        <v>117.30672458923063</v>
      </c>
      <c r="BD11" s="234">
        <f t="shared" ca="1" si="8"/>
        <v>250.91949392876941</v>
      </c>
      <c r="BE11" s="234">
        <f t="shared" ca="1" si="8"/>
        <v>250.91949392876941</v>
      </c>
      <c r="BF11" s="234">
        <f t="shared" ca="1" si="8"/>
        <v>253.5069945658239</v>
      </c>
      <c r="BG11" s="234">
        <f t="shared" ca="1" si="8"/>
        <v>0</v>
      </c>
      <c r="BH11" s="234">
        <f t="shared" ca="1" si="8"/>
        <v>0</v>
      </c>
      <c r="BI11" s="234">
        <f t="shared" ca="1" si="8"/>
        <v>0</v>
      </c>
      <c r="BJ11" s="234">
        <f t="shared" ca="1" si="8"/>
        <v>0</v>
      </c>
      <c r="BK11" s="234">
        <f t="shared" ca="1" si="8"/>
        <v>0</v>
      </c>
      <c r="BL11" s="234">
        <f t="shared" ca="1" si="8"/>
        <v>0</v>
      </c>
      <c r="BM11" s="234">
        <f t="shared" ca="1" si="8"/>
        <v>0</v>
      </c>
      <c r="BN11" s="234">
        <f t="shared" ca="1" si="8"/>
        <v>0</v>
      </c>
      <c r="BO11" s="234">
        <f t="shared" ca="1" si="8"/>
        <v>0</v>
      </c>
      <c r="BP11" s="234">
        <f t="shared" ca="1" si="8"/>
        <v>0</v>
      </c>
    </row>
    <row r="12" spans="1:68" outlineLevel="1">
      <c r="A12" s="230" t="str">
        <f>A8</f>
        <v>一期</v>
      </c>
      <c r="B12" s="231">
        <f ca="1">SUM(C12:BP12)</f>
        <v>98069.831475999992</v>
      </c>
      <c r="C12" s="235"/>
      <c r="D12" s="235"/>
      <c r="E12" s="235"/>
      <c r="F12" s="235"/>
      <c r="G12" s="235"/>
      <c r="H12" s="235">
        <f ca="1">SUMPRODUCT(H$38:H$45,'1-成本过渡'!$B$18:$B$25)/10000</f>
        <v>0</v>
      </c>
      <c r="I12" s="235">
        <f ca="1">SUMPRODUCT(I$38:I$45,'1-成本过渡'!$B$18:$B$25)/10000</f>
        <v>0</v>
      </c>
      <c r="J12" s="235">
        <f ca="1">SUMPRODUCT(J$38:J$45,'1-成本过渡'!$B$18:$B$25)/10000</f>
        <v>0</v>
      </c>
      <c r="K12" s="235">
        <f ca="1">SUMPRODUCT(K$38:K$45,'1-成本过渡'!$B$18:$B$25)/10000</f>
        <v>0</v>
      </c>
      <c r="L12" s="235">
        <f ca="1">SUMPRODUCT(L$38:L$45,'1-成本过渡'!$B$18:$B$25)/10000</f>
        <v>0</v>
      </c>
      <c r="M12" s="235">
        <f ca="1">SUMPRODUCT(M$38:M$45,'1-成本过渡'!$B$18:$B$25)/10000</f>
        <v>0</v>
      </c>
      <c r="N12" s="235">
        <f ca="1">SUMPRODUCT(N$38:N$45,'1-成本过渡'!$B$18:$B$25)/10000</f>
        <v>0</v>
      </c>
      <c r="O12" s="235">
        <f ca="1">SUMPRODUCT(O$38:O$45,'1-成本过渡'!$B$18:$B$25)/10000</f>
        <v>0</v>
      </c>
      <c r="P12" s="235">
        <f ca="1">SUMPRODUCT(P$38:P$45,'1-成本过渡'!$B$18:$B$25)/10000</f>
        <v>0</v>
      </c>
      <c r="Q12" s="235">
        <f ca="1">SUMPRODUCT(Q$38:Q$45,'1-成本过渡'!$B$18:$B$25)/10000</f>
        <v>0</v>
      </c>
      <c r="R12" s="235">
        <f ca="1">SUMPRODUCT(R$38:R$45,'1-成本过渡'!$B$18:$B$25)/10000</f>
        <v>0</v>
      </c>
      <c r="S12" s="235">
        <f ca="1">SUMPRODUCT(S$38:S$45,'1-成本过渡'!$B$18:$B$25)/10000</f>
        <v>0</v>
      </c>
      <c r="T12" s="235">
        <f ca="1">SUMPRODUCT(T$38:T$45,'1-成本过渡'!$B$18:$B$25)/10000</f>
        <v>0</v>
      </c>
      <c r="U12" s="235">
        <f ca="1">SUMPRODUCT(U$38:U$45,'1-成本过渡'!$B$18:$B$25)/10000</f>
        <v>0</v>
      </c>
      <c r="V12" s="235">
        <f ca="1">SUMPRODUCT(V$38:V$45,'1-成本过渡'!$B$18:$B$25)/10000</f>
        <v>0</v>
      </c>
      <c r="W12" s="235">
        <f ca="1">SUMPRODUCT(W$38:W$45,'1-成本过渡'!$B$18:$B$25)/10000</f>
        <v>0</v>
      </c>
      <c r="X12" s="235">
        <f ca="1">SUMPRODUCT(X$38:X$45,'1-成本过渡'!$B$18:$B$25)/10000</f>
        <v>0</v>
      </c>
      <c r="Y12" s="235">
        <f ca="1">SUMPRODUCT(Y$38:Y$45,'1-成本过渡'!$B$18:$B$25)/10000</f>
        <v>0</v>
      </c>
      <c r="Z12" s="235">
        <f ca="1">SUMPRODUCT(Z$38:Z$45,'1-成本过渡'!$B$18:$B$25)/10000</f>
        <v>0</v>
      </c>
      <c r="AA12" s="235">
        <f ca="1">SUMPRODUCT(AA$38:AA$45,'1-成本过渡'!$B$18:$B$25)/10000</f>
        <v>0</v>
      </c>
      <c r="AB12" s="238">
        <f ca="1">SUMPRODUCT(AB$38:AB$45,'1-成本过渡'!$B$18:$B$25)/10000</f>
        <v>0</v>
      </c>
      <c r="AC12" s="238">
        <f ca="1">SUMPRODUCT(AC$38:AC$45,'1-成本过渡'!$B$18:$B$25)/10000</f>
        <v>0</v>
      </c>
      <c r="AD12" s="238">
        <f ca="1">SUMPRODUCT(AD$38:AD$45,'1-成本过渡'!$B$18:$B$25)/10000</f>
        <v>0</v>
      </c>
      <c r="AE12" s="238">
        <f ca="1">SUMPRODUCT(AE$38:AE$45,'1-成本过渡'!$B$18:$B$25)/10000</f>
        <v>0</v>
      </c>
      <c r="AF12" s="238">
        <f ca="1">SUMPRODUCT(AF$38:AF$45,'1-成本过渡'!$B$18:$B$25)/10000</f>
        <v>15107.663692319686</v>
      </c>
      <c r="AG12" s="238">
        <f ca="1">SUMPRODUCT(AG$38:AG$45,'1-成本过渡'!$B$18:$B$25)/10000</f>
        <v>3612.954626037571</v>
      </c>
      <c r="AH12" s="238">
        <f ca="1">SUMPRODUCT(AH$38:AH$45,'1-成本过渡'!$B$18:$B$25)/10000</f>
        <v>7489.15971308811</v>
      </c>
      <c r="AI12" s="238">
        <f ca="1">SUMPRODUCT(AI$38:AI$45,'1-成本过渡'!$B$18:$B$25)/10000</f>
        <v>3039.2974467859831</v>
      </c>
      <c r="AJ12" s="238">
        <f ca="1">SUMPRODUCT(AJ$38:AJ$45,'1-成本过渡'!$B$18:$B$25)/10000</f>
        <v>4434.8347152157021</v>
      </c>
      <c r="AK12" s="238">
        <f ca="1">SUMPRODUCT(AK$38:AK$45,'1-成本过渡'!$B$18:$B$25)/10000</f>
        <v>4677.6011867693187</v>
      </c>
      <c r="AL12" s="238">
        <f ca="1">SUMPRODUCT(AL$38:AL$45,'1-成本过渡'!$B$18:$B$25)/10000</f>
        <v>4698.2360885834405</v>
      </c>
      <c r="AM12" s="238">
        <f ca="1">SUMPRODUCT(AM$38:AM$45,'1-成本过渡'!$B$18:$B$25)/10000</f>
        <v>5682.8333124240944</v>
      </c>
      <c r="AN12" s="238">
        <f ca="1">SUMPRODUCT(AN$38:AN$45,'1-成本过渡'!$B$18:$B$25)/10000</f>
        <v>4623.9087577797409</v>
      </c>
      <c r="AO12" s="238">
        <f ca="1">SUMPRODUCT(AO$38:AO$45,'1-成本过渡'!$B$18:$B$25)/10000</f>
        <v>5318.1617737308206</v>
      </c>
      <c r="AP12" s="238">
        <f ca="1">SUMPRODUCT(AP$38:AP$45,'1-成本过渡'!$B$18:$B$25)/10000</f>
        <v>4825.8631618104937</v>
      </c>
      <c r="AQ12" s="238">
        <f ca="1">SUMPRODUCT(AQ$38:AQ$45,'1-成本过渡'!$B$18:$B$25)/10000</f>
        <v>4756.2012816243887</v>
      </c>
      <c r="AR12" s="238">
        <f ca="1">SUMPRODUCT(AR$38:AR$45,'1-成本过渡'!$B$18:$B$25)/10000</f>
        <v>6241.5665808942313</v>
      </c>
      <c r="AS12" s="238">
        <f ca="1">SUMPRODUCT(AS$38:AS$45,'1-成本过渡'!$B$18:$B$25)/10000</f>
        <v>4901.979489269188</v>
      </c>
      <c r="AT12" s="238">
        <f ca="1">SUMPRODUCT(AT$38:AT$45,'1-成本过渡'!$B$18:$B$25)/10000</f>
        <v>5326.645336679534</v>
      </c>
      <c r="AU12" s="238">
        <f ca="1">SUMPRODUCT(AU$38:AU$45,'1-成本过渡'!$B$18:$B$25)/10000</f>
        <v>5015.8337766670375</v>
      </c>
      <c r="AV12" s="238">
        <f ca="1">SUMPRODUCT(AV$38:AV$45,'1-成本过渡'!$B$18:$B$25)/10000</f>
        <v>2495.0544725033728</v>
      </c>
      <c r="AW12" s="238">
        <f ca="1">SUMPRODUCT(AW$38:AW$45,'1-成本过渡'!$B$18:$B$25)/10000</f>
        <v>4379.1557786088515</v>
      </c>
      <c r="AX12" s="238">
        <f ca="1">SUMPRODUCT(AX$38:AX$45,'1-成本过渡'!$B$18:$B$25)/10000</f>
        <v>117.30672458923063</v>
      </c>
      <c r="AY12" s="238">
        <f ca="1">SUMPRODUCT(AY$38:AY$45,'1-成本过渡'!$B$18:$B$25)/10000</f>
        <v>109.15370221407653</v>
      </c>
      <c r="AZ12" s="238">
        <f ca="1">SUMPRODUCT(AZ$38:AZ$45,'1-成本过渡'!$B$18:$B$25)/10000</f>
        <v>109.15370221407653</v>
      </c>
      <c r="BA12" s="238">
        <f ca="1">SUMPRODUCT(BA$38:BA$45,'1-成本过渡'!$B$18:$B$25)/10000</f>
        <v>117.30672458923063</v>
      </c>
      <c r="BB12" s="238">
        <f ca="1">SUMPRODUCT(BB$38:BB$45,'1-成本过渡'!$B$18:$B$25)/10000</f>
        <v>117.30672458923063</v>
      </c>
      <c r="BC12" s="238">
        <f ca="1">SUMPRODUCT(BC$38:BC$45,'1-成本过渡'!$B$18:$B$25)/10000</f>
        <v>117.30672458923063</v>
      </c>
      <c r="BD12" s="238">
        <f ca="1">SUMPRODUCT(BD$38:BD$45,'1-成本过渡'!$B$18:$B$25)/10000</f>
        <v>250.91949392876941</v>
      </c>
      <c r="BE12" s="238">
        <f ca="1">SUMPRODUCT(BE$38:BE$45,'1-成本过渡'!$B$18:$B$25)/10000</f>
        <v>250.91949392876941</v>
      </c>
      <c r="BF12" s="238">
        <f ca="1">SUMPRODUCT(BF$38:BF$45,'1-成本过渡'!$B$18:$B$25)/10000</f>
        <v>253.5069945658239</v>
      </c>
      <c r="BG12" s="238">
        <f ca="1">SUMPRODUCT(BG$38:BG$45,'1-成本过渡'!$B$18:$B$25)/10000</f>
        <v>0</v>
      </c>
      <c r="BH12" s="235">
        <f ca="1">SUMPRODUCT(BH$38:BH$45,'1-成本过渡'!$B$18:$B$25)/10000</f>
        <v>0</v>
      </c>
      <c r="BI12" s="235">
        <f ca="1">SUMPRODUCT(BI$38:BI$45,'1-成本过渡'!$B$18:$B$25)/10000</f>
        <v>0</v>
      </c>
      <c r="BJ12" s="235">
        <f ca="1">SUMPRODUCT(BJ$38:BJ$45,'1-成本过渡'!$B$18:$B$25)/10000</f>
        <v>0</v>
      </c>
      <c r="BK12" s="235">
        <f ca="1">SUMPRODUCT(BK$38:BK$45,'1-成本过渡'!$B$18:$B$25)/10000</f>
        <v>0</v>
      </c>
      <c r="BL12" s="235">
        <f ca="1">SUMPRODUCT(BL$38:BL$45,'1-成本过渡'!$B$18:$B$25)/10000</f>
        <v>0</v>
      </c>
      <c r="BM12" s="235">
        <f ca="1">SUMPRODUCT(BM$38:BM$45,'1-成本过渡'!$B$18:$B$25)/10000</f>
        <v>0</v>
      </c>
      <c r="BN12" s="235">
        <f ca="1">SUMPRODUCT(BN$38:BN$45,'1-成本过渡'!$B$18:$B$25)/10000</f>
        <v>0</v>
      </c>
      <c r="BO12" s="235">
        <f ca="1">SUMPRODUCT(BO$38:BO$45,'1-成本过渡'!$B$18:$B$25)/10000</f>
        <v>0</v>
      </c>
      <c r="BP12" s="235">
        <f ca="1">SUMPRODUCT(BP$38:BP$45,'1-成本过渡'!$B$18:$B$25)/10000</f>
        <v>0</v>
      </c>
    </row>
    <row r="13" spans="1:68" outlineLevel="1">
      <c r="A13" s="236" t="str">
        <f>A9</f>
        <v>二期</v>
      </c>
      <c r="B13" s="231">
        <f>SUM(C13:BP13)</f>
        <v>0</v>
      </c>
      <c r="C13" s="237">
        <f>SUMPRODUCT(C$38:C$44,'2-成本过渡'!$B$18:$B$24)/10000</f>
        <v>0</v>
      </c>
      <c r="D13" s="237">
        <f>SUMPRODUCT(D$38:D$44,'2-成本过渡'!$B$18:$B$24)/10000</f>
        <v>0</v>
      </c>
      <c r="E13" s="237">
        <f>SUMPRODUCT(E$38:E$44,'2-成本过渡'!$B$18:$B$24)/10000</f>
        <v>0</v>
      </c>
      <c r="F13" s="237">
        <f>SUMPRODUCT(F$38:F$44,'2-成本过渡'!$B$18:$B$24)/10000</f>
        <v>0</v>
      </c>
      <c r="G13" s="237">
        <f>SUMPRODUCT(G$38:G$44,'2-成本过渡'!$B$18:$B$24)/10000</f>
        <v>0</v>
      </c>
      <c r="H13" s="237">
        <f>SUMPRODUCT(H$38:H$44,'2-成本过渡'!$B$18:$B$24)/10000</f>
        <v>0</v>
      </c>
      <c r="I13" s="237">
        <f>SUMPRODUCT(I$46:I$52,'2-成本过渡'!$B$18:$B$24)/10000</f>
        <v>0</v>
      </c>
      <c r="J13" s="237">
        <f>SUMPRODUCT(J$46:J$52,'2-成本过渡'!$B$18:$B$24)/10000</f>
        <v>0</v>
      </c>
      <c r="K13" s="237">
        <f>SUMPRODUCT(K$46:K$52,'2-成本过渡'!$B$18:$B$24)/10000</f>
        <v>0</v>
      </c>
      <c r="L13" s="237">
        <f>SUMPRODUCT(L$46:L$52,'2-成本过渡'!$B$18:$B$24)/10000</f>
        <v>0</v>
      </c>
      <c r="M13" s="237">
        <f>SUMPRODUCT(M$46:M$52,'2-成本过渡'!$B$18:$B$24)/10000</f>
        <v>0</v>
      </c>
      <c r="N13" s="237">
        <f>SUMPRODUCT(N$46:N$52,'2-成本过渡'!$B$18:$B$24)/10000</f>
        <v>0</v>
      </c>
      <c r="O13" s="237">
        <f>SUMPRODUCT(O$46:O$52,'2-成本过渡'!$B$18:$B$24)/10000</f>
        <v>0</v>
      </c>
      <c r="P13" s="237">
        <f>SUMPRODUCT(P$46:P$52,'2-成本过渡'!$B$18:$B$24)/10000</f>
        <v>0</v>
      </c>
      <c r="Q13" s="237">
        <f>SUMPRODUCT(Q$46:Q$52,'2-成本过渡'!$B$18:$B$24)/10000</f>
        <v>0</v>
      </c>
      <c r="R13" s="237">
        <f>SUMPRODUCT(R$46:R$52,'2-成本过渡'!$B$18:$B$24)/10000</f>
        <v>0</v>
      </c>
      <c r="S13" s="237">
        <f>SUMPRODUCT(S$46:S$52,'2-成本过渡'!$B$18:$B$24)/10000</f>
        <v>0</v>
      </c>
      <c r="T13" s="237">
        <f>SUMPRODUCT(T$46:T$52,'2-成本过渡'!$B$18:$B$24)/10000</f>
        <v>0</v>
      </c>
      <c r="U13" s="237">
        <f>SUMPRODUCT(U$46:U$52,'2-成本过渡'!$B$18:$B$24)/10000</f>
        <v>0</v>
      </c>
      <c r="V13" s="237">
        <f>SUMPRODUCT(V$46:V$52,'2-成本过渡'!$B$18:$B$24)/10000</f>
        <v>0</v>
      </c>
      <c r="W13" s="237">
        <f>SUMPRODUCT(W$46:W$52,'2-成本过渡'!$B$18:$B$24)/10000</f>
        <v>0</v>
      </c>
      <c r="X13" s="237">
        <f>SUMPRODUCT(X$46:X$52,'2-成本过渡'!$B$18:$B$24)/10000</f>
        <v>0</v>
      </c>
      <c r="Y13" s="237">
        <f>SUMPRODUCT(Y$46:Y$52,'2-成本过渡'!$B$18:$B$24)/10000</f>
        <v>0</v>
      </c>
      <c r="Z13" s="237">
        <f>SUMPRODUCT(Z$46:Z$52,'2-成本过渡'!$B$18:$B$24)/10000</f>
        <v>0</v>
      </c>
      <c r="AA13" s="237">
        <f>SUMPRODUCT(AA$46:AA$52,'2-成本过渡'!$B$18:$B$24)/10000</f>
        <v>0</v>
      </c>
      <c r="AB13" s="237">
        <f>SUMPRODUCT(AB$46:AB$52,'2-成本过渡'!$B$18:$B$24)/10000</f>
        <v>0</v>
      </c>
      <c r="AC13" s="237">
        <f>SUMPRODUCT(AC$46:AC$52,'2-成本过渡'!$B$18:$B$24)/10000</f>
        <v>0</v>
      </c>
      <c r="AD13" s="237">
        <f>SUMPRODUCT(AD$46:AD$52,'2-成本过渡'!$B$18:$B$24)/10000</f>
        <v>0</v>
      </c>
      <c r="AE13" s="237">
        <f>SUMPRODUCT(AE$46:AE$52,'2-成本过渡'!$B$18:$B$24)/10000</f>
        <v>0</v>
      </c>
      <c r="AF13" s="237">
        <f>SUMPRODUCT(AF$46:AF$52,'2-成本过渡'!$B$18:$B$24)/10000</f>
        <v>0</v>
      </c>
      <c r="AG13" s="237">
        <f>SUMPRODUCT(AG$46:AG$52,'2-成本过渡'!$B$18:$B$24)/10000</f>
        <v>0</v>
      </c>
      <c r="AH13" s="237">
        <f>SUMPRODUCT(AH$46:AH$52,'2-成本过渡'!$B$18:$B$24)/10000</f>
        <v>0</v>
      </c>
      <c r="AI13" s="237">
        <f>SUMPRODUCT(AI$46:AI$52,'2-成本过渡'!$B$18:$B$24)/10000</f>
        <v>0</v>
      </c>
      <c r="AJ13" s="237">
        <f>SUMPRODUCT(AJ$46:AJ$52,'2-成本过渡'!$B$18:$B$24)/10000</f>
        <v>0</v>
      </c>
      <c r="AK13" s="237">
        <f>SUMPRODUCT(AK$46:AK$52,'2-成本过渡'!$B$18:$B$24)/10000</f>
        <v>0</v>
      </c>
      <c r="AL13" s="237">
        <f>SUMPRODUCT(AL$46:AL$52,'2-成本过渡'!$B$18:$B$24)/10000</f>
        <v>0</v>
      </c>
      <c r="AM13" s="237">
        <f>SUMPRODUCT(AM$46:AM$52,'2-成本过渡'!$B$18:$B$24)/10000</f>
        <v>0</v>
      </c>
      <c r="AN13" s="237">
        <f>SUMPRODUCT(AN$46:AN$52,'2-成本过渡'!$B$18:$B$24)/10000</f>
        <v>0</v>
      </c>
      <c r="AO13" s="237">
        <f>SUMPRODUCT(AO$46:AO$52,'2-成本过渡'!$B$18:$B$24)/10000</f>
        <v>0</v>
      </c>
      <c r="AP13" s="237">
        <f>SUMPRODUCT(AP$46:AP$52,'2-成本过渡'!$B$18:$B$24)/10000</f>
        <v>0</v>
      </c>
      <c r="AQ13" s="237">
        <f>SUMPRODUCT(AQ$46:AQ$52,'2-成本过渡'!$B$18:$B$24)/10000</f>
        <v>0</v>
      </c>
      <c r="AR13" s="237">
        <f>SUMPRODUCT(AR$46:AR$52,'2-成本过渡'!$B$18:$B$24)/10000</f>
        <v>0</v>
      </c>
      <c r="AS13" s="237">
        <f>SUMPRODUCT(AS$46:AS$52,'2-成本过渡'!$B$18:$B$24)/10000</f>
        <v>0</v>
      </c>
      <c r="AT13" s="237">
        <f>SUMPRODUCT(AT$46:AT$52,'2-成本过渡'!$B$18:$B$24)/10000</f>
        <v>0</v>
      </c>
      <c r="AU13" s="237">
        <f>SUMPRODUCT(AU$46:AU$52,'2-成本过渡'!$B$18:$B$24)/10000</f>
        <v>0</v>
      </c>
      <c r="AV13" s="237">
        <f>SUMPRODUCT(AV$46:AV$52,'2-成本过渡'!$B$18:$B$24)/10000</f>
        <v>0</v>
      </c>
      <c r="AW13" s="237">
        <f>SUMPRODUCT(AW$46:AW$52,'2-成本过渡'!$B$18:$B$24)/10000</f>
        <v>0</v>
      </c>
      <c r="AX13" s="237">
        <f>SUMPRODUCT(AX$46:AX$52,'2-成本过渡'!$B$18:$B$24)/10000</f>
        <v>0</v>
      </c>
      <c r="AY13" s="237">
        <f>SUMPRODUCT(AY$46:AY$52,'2-成本过渡'!$B$18:$B$24)/10000</f>
        <v>0</v>
      </c>
      <c r="AZ13" s="237">
        <f>SUMPRODUCT(AZ$46:AZ$52,'2-成本过渡'!$B$18:$B$24)/10000</f>
        <v>0</v>
      </c>
      <c r="BA13" s="237">
        <f>SUMPRODUCT(BA$46:BA$52,'2-成本过渡'!$B$18:$B$24)/10000</f>
        <v>0</v>
      </c>
      <c r="BB13" s="237">
        <f>SUMPRODUCT(BB$46:BB$52,'2-成本过渡'!$B$18:$B$24)/10000</f>
        <v>0</v>
      </c>
      <c r="BC13" s="237">
        <f>SUMPRODUCT(BC$46:BC$52,'2-成本过渡'!$B$18:$B$24)/10000</f>
        <v>0</v>
      </c>
      <c r="BD13" s="237">
        <f>SUMPRODUCT(BD$46:BD$52,'2-成本过渡'!$B$18:$B$24)/10000</f>
        <v>0</v>
      </c>
      <c r="BE13" s="237">
        <f>SUMPRODUCT(BE$46:BE$52,'2-成本过渡'!$B$18:$B$24)/10000</f>
        <v>0</v>
      </c>
      <c r="BF13" s="237">
        <f>SUMPRODUCT(BF$46:BF$52,'2-成本过渡'!$B$18:$B$24)/10000</f>
        <v>0</v>
      </c>
      <c r="BG13" s="237">
        <f>SUMPRODUCT(BG$46:BG$52,'2-成本过渡'!$B$18:$B$24)/10000</f>
        <v>0</v>
      </c>
      <c r="BH13" s="237">
        <f>SUMPRODUCT(BH$46:BH$52,'2-成本过渡'!$B$18:$B$24)/10000</f>
        <v>0</v>
      </c>
      <c r="BI13" s="237">
        <f>SUMPRODUCT(BI$46:BI$52,'2-成本过渡'!$B$18:$B$24)/10000</f>
        <v>0</v>
      </c>
      <c r="BJ13" s="237">
        <f>SUMPRODUCT(BJ$46:BJ$52,'2-成本过渡'!$B$18:$B$24)/10000</f>
        <v>0</v>
      </c>
      <c r="BK13" s="237">
        <f>SUMPRODUCT(BK$46:BK$52,'2-成本过渡'!$B$18:$B$24)/10000</f>
        <v>0</v>
      </c>
      <c r="BL13" s="237">
        <f>SUMPRODUCT(BL$46:BL$52,'2-成本过渡'!$B$18:$B$24)/10000</f>
        <v>0</v>
      </c>
      <c r="BM13" s="237">
        <f>SUMPRODUCT(BM$46:BM$52,'2-成本过渡'!$B$18:$B$24)/10000</f>
        <v>0</v>
      </c>
      <c r="BN13" s="237">
        <f>SUMPRODUCT(BN$46:BN$52,'2-成本过渡'!$B$18:$B$24)/10000</f>
        <v>0</v>
      </c>
      <c r="BO13" s="237">
        <f>SUMPRODUCT(BO$46:BO$52,'2-成本过渡'!$B$18:$B$24)/10000</f>
        <v>0</v>
      </c>
      <c r="BP13" s="237">
        <f>SUMPRODUCT(BP$46:BP$52,'2-成本过渡'!$B$18:$B$24)/10000</f>
        <v>0</v>
      </c>
    </row>
    <row r="14" spans="1:68" outlineLevel="1">
      <c r="A14" s="230" t="str">
        <f>A10</f>
        <v>三期</v>
      </c>
      <c r="B14" s="231">
        <f>SUM(C14:BP14)</f>
        <v>0</v>
      </c>
      <c r="C14" s="238">
        <f>SUMPRODUCT(C$53:C$59,'3-成本过渡'!$B$18:$B$24)/10000</f>
        <v>0</v>
      </c>
      <c r="D14" s="238">
        <f>SUMPRODUCT(D$53:D$59,'3-成本过渡'!$B$18:$B$24)/10000</f>
        <v>0</v>
      </c>
      <c r="E14" s="238">
        <f>SUMPRODUCT(E$53:E$59,'3-成本过渡'!$B$18:$B$24)/10000</f>
        <v>0</v>
      </c>
      <c r="F14" s="238">
        <f>SUMPRODUCT(F$53:F$59,'3-成本过渡'!$B$18:$B$24)/10000</f>
        <v>0</v>
      </c>
      <c r="G14" s="238">
        <f>SUMPRODUCT(G$53:G$59,'3-成本过渡'!$B$18:$B$24)/10000</f>
        <v>0</v>
      </c>
      <c r="H14" s="238">
        <f>SUMPRODUCT(H$53:H$59,'3-成本过渡'!$B$18:$B$24)/10000</f>
        <v>0</v>
      </c>
      <c r="I14" s="238">
        <f>SUMPRODUCT(I$53:I$59,'3-成本过渡'!$B$18:$B$24)/10000</f>
        <v>0</v>
      </c>
      <c r="J14" s="238">
        <f>SUMPRODUCT(J$53:J$59,'3-成本过渡'!$B$18:$B$24)/10000</f>
        <v>0</v>
      </c>
      <c r="K14" s="238">
        <f>SUMPRODUCT(K$53:K$59,'3-成本过渡'!$B$18:$B$24)/10000</f>
        <v>0</v>
      </c>
      <c r="L14" s="238">
        <f>SUMPRODUCT(L$53:L$59,'3-成本过渡'!$B$18:$B$24)/10000</f>
        <v>0</v>
      </c>
      <c r="M14" s="238">
        <f>SUMPRODUCT(M$53:M$59,'3-成本过渡'!$B$18:$B$24)/10000</f>
        <v>0</v>
      </c>
      <c r="N14" s="238">
        <f>SUMPRODUCT(N$53:N$59,'3-成本过渡'!$B$18:$B$24)/10000</f>
        <v>0</v>
      </c>
      <c r="O14" s="238">
        <f>SUMPRODUCT(O$53:O$59,'3-成本过渡'!$B$18:$B$24)/10000</f>
        <v>0</v>
      </c>
      <c r="P14" s="238">
        <f>SUMPRODUCT(P$53:P$59,'3-成本过渡'!$B$18:$B$24)/10000</f>
        <v>0</v>
      </c>
      <c r="Q14" s="238">
        <f>SUMPRODUCT(Q$53:Q$59,'3-成本过渡'!$B$18:$B$24)/10000</f>
        <v>0</v>
      </c>
      <c r="R14" s="238">
        <f>SUMPRODUCT(R$53:R$59,'3-成本过渡'!$B$18:$B$24)/10000</f>
        <v>0</v>
      </c>
      <c r="S14" s="238">
        <f>SUMPRODUCT(S$53:S$59,'3-成本过渡'!$B$18:$B$24)/10000</f>
        <v>0</v>
      </c>
      <c r="T14" s="238">
        <f>SUMPRODUCT(T$53:T$59,'3-成本过渡'!$B$18:$B$24)/10000</f>
        <v>0</v>
      </c>
      <c r="U14" s="238">
        <f>SUMPRODUCT(U$53:U$59,'3-成本过渡'!$B$18:$B$24)/10000</f>
        <v>0</v>
      </c>
      <c r="V14" s="238">
        <f>SUMPRODUCT(V$53:V$59,'3-成本过渡'!$B$18:$B$24)/10000</f>
        <v>0</v>
      </c>
      <c r="W14" s="238">
        <f>SUMPRODUCT(W$53:W$59,'3-成本过渡'!$B$18:$B$24)/10000</f>
        <v>0</v>
      </c>
      <c r="X14" s="238">
        <f>SUMPRODUCT(X$53:X$59,'3-成本过渡'!$B$18:$B$24)/10000</f>
        <v>0</v>
      </c>
      <c r="Y14" s="238">
        <f>SUMPRODUCT(Y$53:Y$59,'3-成本过渡'!$B$18:$B$24)/10000</f>
        <v>0</v>
      </c>
      <c r="Z14" s="238">
        <f>SUMPRODUCT(Z$53:Z$59,'3-成本过渡'!$B$18:$B$24)/10000</f>
        <v>0</v>
      </c>
      <c r="AA14" s="238">
        <f>SUMPRODUCT(AA$53:AA$59,'3-成本过渡'!$B$18:$B$24)/10000</f>
        <v>0</v>
      </c>
      <c r="AB14" s="238">
        <f>SUMPRODUCT(AB$53:AB$59,'3-成本过渡'!$B$18:$B$24)/10000</f>
        <v>0</v>
      </c>
      <c r="AC14" s="238">
        <f>SUMPRODUCT(AC$53:AC$59,'3-成本过渡'!$B$18:$B$24)/10000</f>
        <v>0</v>
      </c>
      <c r="AD14" s="238">
        <f>SUMPRODUCT(AD$53:AD$59,'3-成本过渡'!$B$18:$B$24)/10000</f>
        <v>0</v>
      </c>
      <c r="AE14" s="238">
        <f>SUMPRODUCT(AE$53:AE$59,'3-成本过渡'!$B$18:$B$24)/10000</f>
        <v>0</v>
      </c>
      <c r="AF14" s="238">
        <f>SUMPRODUCT(AF$53:AF$59,'3-成本过渡'!$B$18:$B$24)/10000</f>
        <v>0</v>
      </c>
      <c r="AG14" s="238">
        <f>SUMPRODUCT(AG$53:AG$59,'3-成本过渡'!$B$18:$B$24)/10000</f>
        <v>0</v>
      </c>
      <c r="AH14" s="238">
        <f>SUMPRODUCT(AH$53:AH$59,'3-成本过渡'!$B$18:$B$24)/10000</f>
        <v>0</v>
      </c>
      <c r="AI14" s="238">
        <f>SUMPRODUCT(AI$53:AI$59,'3-成本过渡'!$B$18:$B$24)/10000</f>
        <v>0</v>
      </c>
      <c r="AJ14" s="238">
        <f>SUMPRODUCT(AJ$53:AJ$59,'3-成本过渡'!$B$18:$B$24)/10000</f>
        <v>0</v>
      </c>
      <c r="AK14" s="238">
        <f>SUMPRODUCT(AK$53:AK$59,'3-成本过渡'!$B$18:$B$24)/10000</f>
        <v>0</v>
      </c>
      <c r="AL14" s="238">
        <f>SUMPRODUCT(AL$53:AL$59,'3-成本过渡'!$B$18:$B$24)/10000</f>
        <v>0</v>
      </c>
      <c r="AM14" s="238">
        <f>SUMPRODUCT(AM$53:AM$59,'3-成本过渡'!$B$18:$B$24)/10000</f>
        <v>0</v>
      </c>
      <c r="AN14" s="238">
        <f>SUMPRODUCT(AN$53:AN$59,'3-成本过渡'!$B$18:$B$24)/10000</f>
        <v>0</v>
      </c>
      <c r="AO14" s="238">
        <f>SUMPRODUCT(AO$53:AO$59,'3-成本过渡'!$B$18:$B$24)/10000</f>
        <v>0</v>
      </c>
      <c r="AP14" s="238">
        <f>SUMPRODUCT(AP$53:AP$59,'3-成本过渡'!$B$18:$B$24)/10000</f>
        <v>0</v>
      </c>
      <c r="AQ14" s="238">
        <f>SUMPRODUCT(AQ$53:AQ$59,'3-成本过渡'!$B$18:$B$24)/10000</f>
        <v>0</v>
      </c>
      <c r="AR14" s="238">
        <f>SUMPRODUCT(AR$53:AR$59,'3-成本过渡'!$B$18:$B$24)/10000</f>
        <v>0</v>
      </c>
      <c r="AS14" s="238">
        <f>SUMPRODUCT(AS$53:AS$59,'3-成本过渡'!$B$18:$B$24)/10000</f>
        <v>0</v>
      </c>
      <c r="AT14" s="238">
        <f>SUMPRODUCT(AT$53:AT$59,'3-成本过渡'!$B$18:$B$24)/10000</f>
        <v>0</v>
      </c>
      <c r="AU14" s="238">
        <f>SUMPRODUCT(AU$53:AU$59,'3-成本过渡'!$B$18:$B$24)/10000</f>
        <v>0</v>
      </c>
      <c r="AV14" s="238">
        <f>SUMPRODUCT(AV$53:AV$59,'3-成本过渡'!$B$18:$B$24)/10000</f>
        <v>0</v>
      </c>
      <c r="AW14" s="238">
        <f>SUMPRODUCT(AW$53:AW$59,'3-成本过渡'!$B$18:$B$24)/10000</f>
        <v>0</v>
      </c>
      <c r="AX14" s="238">
        <f>SUMPRODUCT(AX$53:AX$59,'3-成本过渡'!$B$18:$B$24)/10000</f>
        <v>0</v>
      </c>
      <c r="AY14" s="238">
        <f>SUMPRODUCT(AY$53:AY$59,'3-成本过渡'!$B$18:$B$24)/10000</f>
        <v>0</v>
      </c>
      <c r="AZ14" s="238">
        <f>SUMPRODUCT(AZ$53:AZ$59,'3-成本过渡'!$B$18:$B$24)/10000</f>
        <v>0</v>
      </c>
      <c r="BA14" s="238">
        <f>SUMPRODUCT(BA$53:BA$59,'3-成本过渡'!$B$18:$B$24)/10000</f>
        <v>0</v>
      </c>
      <c r="BB14" s="238">
        <f>SUMPRODUCT(BB$53:BB$59,'3-成本过渡'!$B$18:$B$24)/10000</f>
        <v>0</v>
      </c>
      <c r="BC14" s="238">
        <f>SUMPRODUCT(BC$53:BC$59,'3-成本过渡'!$B$18:$B$24)/10000</f>
        <v>0</v>
      </c>
      <c r="BD14" s="238">
        <f>SUMPRODUCT(BD$53:BD$59,'3-成本过渡'!$B$18:$B$24)/10000</f>
        <v>0</v>
      </c>
      <c r="BE14" s="238">
        <f>SUMPRODUCT(BE$53:BE$59,'3-成本过渡'!$B$18:$B$24)/10000</f>
        <v>0</v>
      </c>
      <c r="BF14" s="238">
        <f>SUMPRODUCT(BF$53:BF$59,'3-成本过渡'!$B$18:$B$24)/10000</f>
        <v>0</v>
      </c>
      <c r="BG14" s="238">
        <f>SUMPRODUCT(BG$53:BG$59,'3-成本过渡'!$B$18:$B$24)/10000</f>
        <v>0</v>
      </c>
      <c r="BH14" s="238">
        <f>SUMPRODUCT(BH$53:BH$59,'3-成本过渡'!$B$18:$B$24)/10000</f>
        <v>0</v>
      </c>
      <c r="BI14" s="238">
        <f>SUMPRODUCT(BI$53:BI$59,'3-成本过渡'!$B$18:$B$24)/10000</f>
        <v>0</v>
      </c>
      <c r="BJ14" s="238">
        <f>SUMPRODUCT(BJ$53:BJ$59,'3-成本过渡'!$B$18:$B$24)/10000</f>
        <v>0</v>
      </c>
      <c r="BK14" s="238">
        <f>SUMPRODUCT(BK$53:BK$59,'3-成本过渡'!$B$18:$B$24)/10000</f>
        <v>0</v>
      </c>
      <c r="BL14" s="238">
        <f>SUMPRODUCT(BL$53:BL$59,'3-成本过渡'!$B$18:$B$24)/10000</f>
        <v>0</v>
      </c>
      <c r="BM14" s="238">
        <f>SUMPRODUCT(BM$53:BM$59,'3-成本过渡'!$B$18:$B$24)/10000</f>
        <v>0</v>
      </c>
      <c r="BN14" s="238">
        <f>SUMPRODUCT(BN$53:BN$59,'3-成本过渡'!$B$18:$B$24)/10000</f>
        <v>0</v>
      </c>
      <c r="BO14" s="238">
        <f>SUMPRODUCT(BO$53:BO$59,'3-成本过渡'!$B$18:$B$24)/10000</f>
        <v>0</v>
      </c>
      <c r="BP14" s="238">
        <f>SUMPRODUCT(BP$53:BP$59,'3-成本过渡'!$B$18:$B$24)/10000</f>
        <v>0</v>
      </c>
    </row>
    <row r="15" spans="1:68">
      <c r="A15" s="233" t="s">
        <v>830</v>
      </c>
      <c r="B15" s="234">
        <f t="shared" ref="B15:AR15" ca="1" si="9">SUM(B16:B18)</f>
        <v>2865.578559531175</v>
      </c>
      <c r="C15" s="234">
        <f t="shared" ca="1" si="9"/>
        <v>0</v>
      </c>
      <c r="D15" s="234">
        <f t="shared" ca="1" si="9"/>
        <v>0</v>
      </c>
      <c r="E15" s="234">
        <f t="shared" ca="1" si="9"/>
        <v>0</v>
      </c>
      <c r="F15" s="234">
        <f t="shared" ca="1" si="9"/>
        <v>0</v>
      </c>
      <c r="G15" s="234">
        <f t="shared" ca="1" si="9"/>
        <v>0</v>
      </c>
      <c r="H15" s="234">
        <f t="shared" ca="1" si="9"/>
        <v>0</v>
      </c>
      <c r="I15" s="234">
        <f t="shared" ca="1" si="9"/>
        <v>0</v>
      </c>
      <c r="J15" s="234">
        <f t="shared" ca="1" si="9"/>
        <v>0</v>
      </c>
      <c r="K15" s="234">
        <f t="shared" ca="1" si="9"/>
        <v>0</v>
      </c>
      <c r="L15" s="234">
        <f t="shared" ca="1" si="9"/>
        <v>0</v>
      </c>
      <c r="M15" s="234">
        <f t="shared" ca="1" si="9"/>
        <v>0</v>
      </c>
      <c r="N15" s="234">
        <f t="shared" ca="1" si="9"/>
        <v>0</v>
      </c>
      <c r="O15" s="234">
        <f t="shared" ca="1" si="9"/>
        <v>0</v>
      </c>
      <c r="P15" s="234">
        <f t="shared" ca="1" si="9"/>
        <v>0</v>
      </c>
      <c r="Q15" s="234">
        <f t="shared" ca="1" si="9"/>
        <v>0</v>
      </c>
      <c r="R15" s="234">
        <f t="shared" ca="1" si="9"/>
        <v>0</v>
      </c>
      <c r="S15" s="234">
        <f t="shared" ca="1" si="9"/>
        <v>0</v>
      </c>
      <c r="T15" s="234">
        <f t="shared" ca="1" si="9"/>
        <v>0</v>
      </c>
      <c r="U15" s="234">
        <f t="shared" ca="1" si="9"/>
        <v>0</v>
      </c>
      <c r="V15" s="234">
        <f t="shared" ca="1" si="9"/>
        <v>0</v>
      </c>
      <c r="W15" s="234">
        <f t="shared" ref="W15:AN15" ca="1" si="10">SUM(W16:W18)</f>
        <v>0</v>
      </c>
      <c r="X15" s="234">
        <f t="shared" ca="1" si="10"/>
        <v>0</v>
      </c>
      <c r="Y15" s="234">
        <f t="shared" ca="1" si="10"/>
        <v>0</v>
      </c>
      <c r="Z15" s="234">
        <f t="shared" ca="1" si="10"/>
        <v>0</v>
      </c>
      <c r="AA15" s="234">
        <f t="shared" ca="1" si="10"/>
        <v>0</v>
      </c>
      <c r="AB15" s="234">
        <f t="shared" ca="1" si="10"/>
        <v>0</v>
      </c>
      <c r="AC15" s="234">
        <f t="shared" ca="1" si="10"/>
        <v>0</v>
      </c>
      <c r="AD15" s="234">
        <f t="shared" ca="1" si="10"/>
        <v>0</v>
      </c>
      <c r="AE15" s="234">
        <f t="shared" ca="1" si="10"/>
        <v>0</v>
      </c>
      <c r="AF15" s="234">
        <f t="shared" ca="1" si="10"/>
        <v>412.9999906823615</v>
      </c>
      <c r="AG15" s="234">
        <f t="shared" ca="1" si="10"/>
        <v>100.55142053228052</v>
      </c>
      <c r="AH15" s="234">
        <f t="shared" ca="1" si="10"/>
        <v>209.86237703187521</v>
      </c>
      <c r="AI15" s="234">
        <f t="shared" ca="1" si="10"/>
        <v>86.666239770892702</v>
      </c>
      <c r="AJ15" s="234">
        <f t="shared" ca="1" si="10"/>
        <v>125.63765789300349</v>
      </c>
      <c r="AK15" s="234">
        <f t="shared" ca="1" si="10"/>
        <v>138.08600634333558</v>
      </c>
      <c r="AL15" s="234">
        <f t="shared" ca="1" si="10"/>
        <v>135.43429814231692</v>
      </c>
      <c r="AM15" s="234">
        <f t="shared" ca="1" si="10"/>
        <v>162.89495303100955</v>
      </c>
      <c r="AN15" s="234">
        <f t="shared" ca="1" si="10"/>
        <v>137.45771481832585</v>
      </c>
      <c r="AO15" s="234">
        <f t="shared" ca="1" si="9"/>
        <v>156.75243812169671</v>
      </c>
      <c r="AP15" s="234">
        <f t="shared" ca="1" si="9"/>
        <v>143.22858176673907</v>
      </c>
      <c r="AQ15" s="234">
        <f t="shared" ca="1" si="9"/>
        <v>140.38960428764491</v>
      </c>
      <c r="AR15" s="234">
        <f t="shared" ca="1" si="9"/>
        <v>184.90043526696425</v>
      </c>
      <c r="AS15" s="234">
        <f t="shared" ref="AS15:BP15" ca="1" si="11">SUM(AS16:AS18)</f>
        <v>145.35771164051499</v>
      </c>
      <c r="AT15" s="234">
        <f t="shared" ca="1" si="11"/>
        <v>161.48664470095278</v>
      </c>
      <c r="AU15" s="234">
        <f t="shared" ca="1" si="11"/>
        <v>147.18683902140918</v>
      </c>
      <c r="AV15" s="234">
        <f t="shared" ca="1" si="11"/>
        <v>72.949539418446037</v>
      </c>
      <c r="AW15" s="234">
        <f t="shared" ca="1" si="11"/>
        <v>129.79592204019562</v>
      </c>
      <c r="AX15" s="234">
        <f t="shared" ca="1" si="11"/>
        <v>6.0095475277465233</v>
      </c>
      <c r="AY15" s="234">
        <f t="shared" ca="1" si="11"/>
        <v>5.5802941329074853</v>
      </c>
      <c r="AZ15" s="234">
        <f t="shared" ca="1" si="11"/>
        <v>5.5802941329074853</v>
      </c>
      <c r="BA15" s="234">
        <f t="shared" ca="1" si="11"/>
        <v>6.0095475277465233</v>
      </c>
      <c r="BB15" s="234">
        <f t="shared" ca="1" si="11"/>
        <v>6.0095475277465233</v>
      </c>
      <c r="BC15" s="234">
        <f t="shared" ca="1" si="11"/>
        <v>6.0095475277465233</v>
      </c>
      <c r="BD15" s="234">
        <f t="shared" ca="1" si="11"/>
        <v>12.877601845171123</v>
      </c>
      <c r="BE15" s="234">
        <f t="shared" ca="1" si="11"/>
        <v>12.877601845171123</v>
      </c>
      <c r="BF15" s="234">
        <f t="shared" ca="1" si="11"/>
        <v>12.986202954065408</v>
      </c>
      <c r="BG15" s="234">
        <f t="shared" ca="1" si="11"/>
        <v>0</v>
      </c>
      <c r="BH15" s="234">
        <f t="shared" ca="1" si="11"/>
        <v>0</v>
      </c>
      <c r="BI15" s="234">
        <f t="shared" ca="1" si="11"/>
        <v>0</v>
      </c>
      <c r="BJ15" s="234">
        <f t="shared" ca="1" si="11"/>
        <v>0</v>
      </c>
      <c r="BK15" s="234">
        <f t="shared" ca="1" si="11"/>
        <v>0</v>
      </c>
      <c r="BL15" s="234">
        <f t="shared" ca="1" si="11"/>
        <v>0</v>
      </c>
      <c r="BM15" s="234">
        <f t="shared" ca="1" si="11"/>
        <v>0</v>
      </c>
      <c r="BN15" s="234">
        <f t="shared" ca="1" si="11"/>
        <v>0</v>
      </c>
      <c r="BO15" s="234">
        <f t="shared" ca="1" si="11"/>
        <v>0</v>
      </c>
      <c r="BP15" s="234">
        <f t="shared" ca="1" si="11"/>
        <v>0</v>
      </c>
    </row>
    <row r="16" spans="1:68" outlineLevel="1">
      <c r="A16" s="230" t="str">
        <f>A8</f>
        <v>一期</v>
      </c>
      <c r="B16" s="1120">
        <f ca="1">SUM(C16:BP16)</f>
        <v>2865.578559531175</v>
      </c>
      <c r="C16" s="232">
        <f ca="1">C8*(基础信息!$B$26+土地增值税!$G$18)</f>
        <v>0</v>
      </c>
      <c r="D16" s="232">
        <f ca="1">G8*(基础信息!$B$26+土地增值税!$G$18)</f>
        <v>0</v>
      </c>
      <c r="E16" s="232">
        <f ca="1">E8*(基础信息!$B$26+土地增值税!$G$18)</f>
        <v>0</v>
      </c>
      <c r="F16" s="232">
        <f ca="1">F8*(基础信息!$B$26+土地增值税!$G$18)</f>
        <v>0</v>
      </c>
      <c r="G16" s="232">
        <f ca="1">G8*(基础信息!$B$26+土地增值税!$G$18)</f>
        <v>0</v>
      </c>
      <c r="H16" s="232">
        <f ca="1">H8*(基础信息!$B$26+土地增值税!$G$18)</f>
        <v>0</v>
      </c>
      <c r="I16" s="232">
        <f ca="1">I8*(基础信息!$B$26+土地增值税!$G$18)</f>
        <v>0</v>
      </c>
      <c r="J16" s="232">
        <f ca="1">J8*(基础信息!$B$26+土地增值税!$G$18)</f>
        <v>0</v>
      </c>
      <c r="K16" s="232">
        <f ca="1">K8*(基础信息!$B$26+土地增值税!$G$18)</f>
        <v>0</v>
      </c>
      <c r="L16" s="232">
        <f ca="1">L8*(基础信息!$B$26+土地增值税!$G$19)</f>
        <v>0</v>
      </c>
      <c r="M16" s="232">
        <f ca="1">M8*(基础信息!$B$26+土地增值税!$G$19)</f>
        <v>0</v>
      </c>
      <c r="N16" s="232">
        <f ca="1">N8*(基础信息!$B$26+土地增值税!$G$19)</f>
        <v>0</v>
      </c>
      <c r="O16" s="232">
        <f ca="1">O8*(基础信息!$B$26+土地增值税!$G$19)</f>
        <v>0</v>
      </c>
      <c r="P16" s="232">
        <f ca="1">P8*(基础信息!$B$26+土地增值税!$G$19)</f>
        <v>0</v>
      </c>
      <c r="Q16" s="232">
        <f ca="1">Q8*(基础信息!$B$26+土地增值税!$G$19)</f>
        <v>0</v>
      </c>
      <c r="R16" s="232">
        <f ca="1">R8*(基础信息!$B$26+土地增值税!$G$19)</f>
        <v>0</v>
      </c>
      <c r="S16" s="232">
        <f ca="1">S8*(基础信息!$B$26+土地增值税!$G$19)</f>
        <v>0</v>
      </c>
      <c r="T16" s="232">
        <f ca="1">T8*(基础信息!$B$26+土地增值税!$G$19)</f>
        <v>0</v>
      </c>
      <c r="U16" s="232">
        <f ca="1">U8*(基础信息!$B$26+土地增值税!$G$19)</f>
        <v>0</v>
      </c>
      <c r="V16" s="232">
        <f ca="1">V8*(基础信息!$B$26+土地增值税!$G$19)</f>
        <v>0</v>
      </c>
      <c r="W16" s="232">
        <f ca="1">W8*(基础信息!$B$26+土地增值税!$G$19)</f>
        <v>0</v>
      </c>
      <c r="X16" s="232">
        <f ca="1">X8*(基础信息!$B$26+土地增值税!$G$19)</f>
        <v>0</v>
      </c>
      <c r="Y16" s="232">
        <f ca="1">Y8*(基础信息!$B$26+土地增值税!$G$19)</f>
        <v>0</v>
      </c>
      <c r="Z16" s="232">
        <f ca="1">Z8*(基础信息!$B$26+土地增值税!$G$19)</f>
        <v>0</v>
      </c>
      <c r="AA16" s="232">
        <f ca="1">AA8*(基础信息!$B$26+土地增值税!$G$19)</f>
        <v>0</v>
      </c>
      <c r="AB16" s="232">
        <f ca="1">AB8*(基础信息!$B$26+土地增值税!$G$19)</f>
        <v>0</v>
      </c>
      <c r="AC16" s="232">
        <f ca="1">AC8*(基础信息!$B$26+土地增值税!$G$19)</f>
        <v>0</v>
      </c>
      <c r="AD16" s="232">
        <f ca="1">AD8*(基础信息!$B$26+土地增值税!$G$19)</f>
        <v>0</v>
      </c>
      <c r="AE16" s="232">
        <f ca="1">AE8*(基础信息!$B$26+土地增值税!$G$19)</f>
        <v>0</v>
      </c>
      <c r="AF16" s="232">
        <f ca="1">AF8*(基础信息!$B$26+土地增值税!$G$19)</f>
        <v>412.9999906823615</v>
      </c>
      <c r="AG16" s="232">
        <f ca="1">AG8*(基础信息!$B$26+土地增值税!$G$19)</f>
        <v>100.55142053228052</v>
      </c>
      <c r="AH16" s="232">
        <f ca="1">AH8*(基础信息!$B$26+土地增值税!$G$19)</f>
        <v>209.86237703187521</v>
      </c>
      <c r="AI16" s="232">
        <f ca="1">AI8*(基础信息!$B$26+土地增值税!$G$19)</f>
        <v>86.666239770892702</v>
      </c>
      <c r="AJ16" s="232">
        <f ca="1">AJ8*(基础信息!$B$26+土地增值税!$G$19)</f>
        <v>125.63765789300349</v>
      </c>
      <c r="AK16" s="232">
        <f ca="1">AK8*(基础信息!$B$26+土地增值税!$G$19)</f>
        <v>138.08600634333558</v>
      </c>
      <c r="AL16" s="232">
        <f ca="1">AL8*(基础信息!$B$26+土地增值税!$G$19)</f>
        <v>135.43429814231692</v>
      </c>
      <c r="AM16" s="232">
        <f ca="1">AM8*(基础信息!$B$26+土地增值税!$G$19)</f>
        <v>162.89495303100955</v>
      </c>
      <c r="AN16" s="232">
        <f ca="1">AN8*(基础信息!$B$26+土地增值税!$G$19)</f>
        <v>137.45771481832585</v>
      </c>
      <c r="AO16" s="232">
        <f ca="1">AO8*(基础信息!$B$26+土地增值税!$G$19)</f>
        <v>156.75243812169671</v>
      </c>
      <c r="AP16" s="232">
        <f ca="1">AP8*(基础信息!$B$26+土地增值税!$G$19)</f>
        <v>143.22858176673907</v>
      </c>
      <c r="AQ16" s="232">
        <f ca="1">AQ8*(基础信息!$B$26+土地增值税!$G$19)</f>
        <v>140.38960428764491</v>
      </c>
      <c r="AR16" s="232">
        <f ca="1">AR8*(基础信息!$B$26+土地增值税!$G$19)</f>
        <v>184.90043526696425</v>
      </c>
      <c r="AS16" s="232">
        <f ca="1">AS8*(基础信息!$B$26+土地增值税!$G$19)</f>
        <v>145.35771164051499</v>
      </c>
      <c r="AT16" s="232">
        <f ca="1">AT8*(基础信息!$B$26+土地增值税!$G$19)</f>
        <v>161.48664470095278</v>
      </c>
      <c r="AU16" s="232">
        <f ca="1">AU8*(基础信息!$B$26+土地增值税!$G$19)</f>
        <v>147.18683902140918</v>
      </c>
      <c r="AV16" s="232">
        <f ca="1">AV8*(基础信息!$B$26+土地增值税!$G$19)</f>
        <v>72.949539418446037</v>
      </c>
      <c r="AW16" s="232">
        <f ca="1">AW8*(基础信息!$B$26+土地增值税!$G$19)</f>
        <v>129.79592204019562</v>
      </c>
      <c r="AX16" s="232">
        <f ca="1">AX8*(基础信息!$B$26+土地增值税!$G$19)</f>
        <v>6.0095475277465233</v>
      </c>
      <c r="AY16" s="232">
        <f ca="1">AY8*(基础信息!$B$26+土地增值税!$G$19)</f>
        <v>5.5802941329074853</v>
      </c>
      <c r="AZ16" s="232">
        <f ca="1">AZ8*(基础信息!$B$26+土地增值税!$G$19)</f>
        <v>5.5802941329074853</v>
      </c>
      <c r="BA16" s="232">
        <f ca="1">BA8*(基础信息!$B$26+土地增值税!$G$19)</f>
        <v>6.0095475277465233</v>
      </c>
      <c r="BB16" s="232">
        <f ca="1">BB8*(基础信息!$B$26+土地增值税!$G$19)</f>
        <v>6.0095475277465233</v>
      </c>
      <c r="BC16" s="232">
        <f ca="1">BC8*(基础信息!$B$26+土地增值税!$G$19)</f>
        <v>6.0095475277465233</v>
      </c>
      <c r="BD16" s="232">
        <f ca="1">BD8*(基础信息!$B$26+土地增值税!$G$19)</f>
        <v>12.877601845171123</v>
      </c>
      <c r="BE16" s="232">
        <f ca="1">BE8*(基础信息!$B$26+土地增值税!$G$19)</f>
        <v>12.877601845171123</v>
      </c>
      <c r="BF16" s="232">
        <f ca="1">BF8*(基础信息!$B$26+土地增值税!$G$19)</f>
        <v>12.986202954065408</v>
      </c>
      <c r="BG16" s="232">
        <f ca="1">BG8*(基础信息!$B$26+土地增值税!$G$19)</f>
        <v>0</v>
      </c>
      <c r="BH16" s="232">
        <f ca="1">BH8*(基础信息!$B$26+土地增值税!$G$19)</f>
        <v>0</v>
      </c>
      <c r="BI16" s="232">
        <f ca="1">BI8*(基础信息!$B$26+土地增值税!$G$19)</f>
        <v>0</v>
      </c>
      <c r="BJ16" s="232">
        <f ca="1">BJ8*(基础信息!$B$26+土地增值税!$G$19)</f>
        <v>0</v>
      </c>
      <c r="BK16" s="232">
        <f ca="1">BK8*(基础信息!$B$26+土地增值税!$G$19)</f>
        <v>0</v>
      </c>
      <c r="BL16" s="232">
        <f ca="1">BL8*(基础信息!$B$26+土地增值税!$G$19)</f>
        <v>0</v>
      </c>
      <c r="BM16" s="232">
        <f ca="1">BM8*(基础信息!$B$26+土地增值税!$G$19)</f>
        <v>0</v>
      </c>
      <c r="BN16" s="232">
        <f ca="1">BN8*(基础信息!$B$26+土地增值税!$G$19)</f>
        <v>0</v>
      </c>
      <c r="BO16" s="232">
        <f ca="1">BO8*(基础信息!$B$26+土地增值税!$G$19)</f>
        <v>0</v>
      </c>
      <c r="BP16" s="232">
        <f ca="1">BP8*(基础信息!$B$26+土地增值税!$G$19)</f>
        <v>0</v>
      </c>
    </row>
    <row r="17" spans="1:68" outlineLevel="1">
      <c r="A17" s="230" t="str">
        <f>A9</f>
        <v>二期</v>
      </c>
      <c r="B17" s="231">
        <f ca="1">SUM(C17:BP17)</f>
        <v>0</v>
      </c>
      <c r="C17" s="232">
        <f ca="1">C9*(基础信息!$B$26+土地增值税!$E$19)</f>
        <v>0</v>
      </c>
      <c r="D17" s="232">
        <f ca="1">G9*(基础信息!$B$26+土地增值税!$E$19)</f>
        <v>0</v>
      </c>
      <c r="E17" s="232">
        <f ca="1">E9*(基础信息!$B$26+土地增值税!$E$19)</f>
        <v>0</v>
      </c>
      <c r="F17" s="232">
        <f ca="1">F9*(基础信息!$B$26+土地增值税!$E$19)</f>
        <v>0</v>
      </c>
      <c r="G17" s="232">
        <f ca="1">G9*(基础信息!$B$26+土地增值税!$E$19)</f>
        <v>0</v>
      </c>
      <c r="H17" s="232">
        <f ca="1">H9*(基础信息!$B$26+土地增值税!$E$19)</f>
        <v>0</v>
      </c>
      <c r="I17" s="232">
        <f ca="1">I9*(基础信息!$B$26+土地增值税!$E$19)</f>
        <v>0</v>
      </c>
      <c r="J17" s="232">
        <f ca="1">J9*(基础信息!$B$26+土地增值税!$E$19)</f>
        <v>0</v>
      </c>
      <c r="K17" s="232">
        <f ca="1">K9*(基础信息!$B$26+土地增值税!$E$19)</f>
        <v>0</v>
      </c>
      <c r="L17" s="232">
        <f ca="1">L9*(基础信息!$B$26+土地增值税!$E$19)</f>
        <v>0</v>
      </c>
      <c r="M17" s="232">
        <f ca="1">M9*(基础信息!$B$26+土地增值税!$E$19)</f>
        <v>0</v>
      </c>
      <c r="N17" s="232">
        <f ca="1">N9*(基础信息!$B$26+土地增值税!$E$19)</f>
        <v>0</v>
      </c>
      <c r="O17" s="232">
        <f ca="1">O9*(基础信息!$B$26+土地增值税!$E$19)</f>
        <v>0</v>
      </c>
      <c r="P17" s="232">
        <f ca="1">P9*(基础信息!$B$26+土地增值税!$E$19)</f>
        <v>0</v>
      </c>
      <c r="Q17" s="232">
        <f ca="1">Q9*(基础信息!$B$26+土地增值税!$E$19)</f>
        <v>0</v>
      </c>
      <c r="R17" s="232">
        <f ca="1">R9*(基础信息!$B$26+土地增值税!$E$19)</f>
        <v>0</v>
      </c>
      <c r="S17" s="232">
        <f ca="1">S9*(基础信息!$B$26+土地增值税!$E$19)</f>
        <v>0</v>
      </c>
      <c r="T17" s="232">
        <f ca="1">T9*(基础信息!$B$26+土地增值税!$E$19)</f>
        <v>0</v>
      </c>
      <c r="U17" s="232">
        <f ca="1">U9*(基础信息!$B$26+土地增值税!$E$19)</f>
        <v>0</v>
      </c>
      <c r="V17" s="232">
        <f ca="1">V9*(基础信息!$B$26+土地增值税!$E$19)</f>
        <v>0</v>
      </c>
      <c r="W17" s="232">
        <f ca="1">W9*(基础信息!$B$26+土地增值税!$E$19)</f>
        <v>0</v>
      </c>
      <c r="X17" s="232">
        <f ca="1">X9*(基础信息!$B$26+土地增值税!$E$19)</f>
        <v>0</v>
      </c>
      <c r="Y17" s="232">
        <f ca="1">Y9*(基础信息!$B$26+土地增值税!$E$19)</f>
        <v>0</v>
      </c>
      <c r="Z17" s="232">
        <f ca="1">Z9*(基础信息!$B$26+土地增值税!$E$19)</f>
        <v>0</v>
      </c>
      <c r="AA17" s="232">
        <f ca="1">AA9*(基础信息!$B$26+土地增值税!$E$19)</f>
        <v>0</v>
      </c>
      <c r="AB17" s="232">
        <f ca="1">AB9*(基础信息!$B$26+土地增值税!$E$19)</f>
        <v>0</v>
      </c>
      <c r="AC17" s="232">
        <f ca="1">AC9*(基础信息!$B$26+土地增值税!$E$19)</f>
        <v>0</v>
      </c>
      <c r="AD17" s="232">
        <f ca="1">AD9*(基础信息!$B$26+土地增值税!$E$19)</f>
        <v>0</v>
      </c>
      <c r="AE17" s="232">
        <f ca="1">AE9*(基础信息!$B$26+土地增值税!$E$19)</f>
        <v>0</v>
      </c>
      <c r="AF17" s="232">
        <f ca="1">AF9*(基础信息!$B$26+土地增值税!$E$19)</f>
        <v>0</v>
      </c>
      <c r="AG17" s="232">
        <f ca="1">AG9*(基础信息!$B$26+土地增值税!$E$19)</f>
        <v>0</v>
      </c>
      <c r="AH17" s="232">
        <f ca="1">AH9*(基础信息!$B$26+土地增值税!$E$19)</f>
        <v>0</v>
      </c>
      <c r="AI17" s="232">
        <f ca="1">AI9*(基础信息!$B$26+土地增值税!$E$19)</f>
        <v>0</v>
      </c>
      <c r="AJ17" s="232">
        <f ca="1">AJ9*(基础信息!$B$26+土地增值税!$E$19)</f>
        <v>0</v>
      </c>
      <c r="AK17" s="232">
        <f ca="1">AK9*(基础信息!$B$26+土地增值税!$E$19)</f>
        <v>0</v>
      </c>
      <c r="AL17" s="232">
        <f ca="1">AL9*(基础信息!$B$26+土地增值税!$E$19)</f>
        <v>0</v>
      </c>
      <c r="AM17" s="232">
        <f ca="1">AM9*(基础信息!$B$26+土地增值税!$E$19)</f>
        <v>0</v>
      </c>
      <c r="AN17" s="232">
        <f ca="1">AN9*(基础信息!$B$26+土地增值税!$E$19)</f>
        <v>0</v>
      </c>
      <c r="AO17" s="232">
        <f ca="1">AO9*(基础信息!$B$26+土地增值税!$E$19)</f>
        <v>0</v>
      </c>
      <c r="AP17" s="232">
        <f ca="1">AP9*(基础信息!$B$26+土地增值税!$E$19)</f>
        <v>0</v>
      </c>
      <c r="AQ17" s="232">
        <f ca="1">AQ9*(基础信息!$B$26+土地增值税!$E$19)</f>
        <v>0</v>
      </c>
      <c r="AR17" s="232">
        <f ca="1">AR9*(基础信息!$B$26+土地增值税!$E$19)</f>
        <v>0</v>
      </c>
      <c r="AS17" s="232">
        <f ca="1">AS9*(基础信息!$B$26+土地增值税!$E$19)</f>
        <v>0</v>
      </c>
      <c r="AT17" s="232">
        <f ca="1">AT9*(基础信息!$B$26+土地增值税!$E$19)</f>
        <v>0</v>
      </c>
      <c r="AU17" s="232">
        <f ca="1">AU9*(基础信息!$B$26+土地增值税!$E$19)</f>
        <v>0</v>
      </c>
      <c r="AV17" s="232">
        <f ca="1">AV9*(基础信息!$B$26+土地增值税!$E$19)</f>
        <v>0</v>
      </c>
      <c r="AW17" s="232">
        <f ca="1">AW9*(基础信息!$B$26+土地增值税!$E$19)</f>
        <v>0</v>
      </c>
      <c r="AX17" s="232">
        <f ca="1">AX9*(基础信息!$B$26+土地增值税!$E$19)</f>
        <v>0</v>
      </c>
      <c r="AY17" s="232">
        <f ca="1">AY9*(基础信息!$B$26+土地增值税!$E$19)</f>
        <v>0</v>
      </c>
      <c r="AZ17" s="232">
        <f ca="1">AZ9*(基础信息!$B$26+土地增值税!$E$19)</f>
        <v>0</v>
      </c>
      <c r="BA17" s="232">
        <f ca="1">BA9*(基础信息!$B$26+土地增值税!$E$19)</f>
        <v>0</v>
      </c>
      <c r="BB17" s="232">
        <f ca="1">BB9*(基础信息!$B$26+土地增值税!$E$19)</f>
        <v>0</v>
      </c>
      <c r="BC17" s="232">
        <f ca="1">BC9*(基础信息!$B$26+土地增值税!$E$19)</f>
        <v>0</v>
      </c>
      <c r="BD17" s="232">
        <f ca="1">BD9*(基础信息!$B$26+土地增值税!$E$19)</f>
        <v>0</v>
      </c>
      <c r="BE17" s="232">
        <f ca="1">BE9*(基础信息!$B$26+土地增值税!$E$19)</f>
        <v>0</v>
      </c>
      <c r="BF17" s="232">
        <f ca="1">BF9*(基础信息!$B$26+土地增值税!$E$19)</f>
        <v>0</v>
      </c>
      <c r="BG17" s="232">
        <f ca="1">BG9*(基础信息!$B$26+土地增值税!$E$19)</f>
        <v>0</v>
      </c>
      <c r="BH17" s="232">
        <f ca="1">BH9*(基础信息!$B$26+土地增值税!$E$19)</f>
        <v>0</v>
      </c>
      <c r="BI17" s="232">
        <f ca="1">BI9*(基础信息!$B$26+土地增值税!$E$19)</f>
        <v>0</v>
      </c>
      <c r="BJ17" s="232">
        <f ca="1">BJ9*(基础信息!$B$26+土地增值税!$E$19)</f>
        <v>0</v>
      </c>
      <c r="BK17" s="232">
        <f ca="1">BK9*(基础信息!$B$26+土地增值税!$E$19)</f>
        <v>0</v>
      </c>
      <c r="BL17" s="232">
        <f ca="1">BL9*(基础信息!$B$26+土地增值税!$E$19)</f>
        <v>0</v>
      </c>
      <c r="BM17" s="232">
        <f ca="1">BM9*(基础信息!$B$26+土地增值税!$E$19)</f>
        <v>0</v>
      </c>
      <c r="BN17" s="232">
        <f ca="1">BN9*(基础信息!$B$26+土地增值税!$E$19)</f>
        <v>0</v>
      </c>
      <c r="BO17" s="232">
        <f ca="1">BO9*(基础信息!$B$26+土地增值税!$E$19)</f>
        <v>0</v>
      </c>
      <c r="BP17" s="232">
        <f ca="1">BP9*(基础信息!$B$26+土地增值税!$E$19)</f>
        <v>0</v>
      </c>
    </row>
    <row r="18" spans="1:68" outlineLevel="1">
      <c r="A18" s="230" t="str">
        <f>A10</f>
        <v>三期</v>
      </c>
      <c r="B18" s="231">
        <f ca="1">SUM(C18:BP18)</f>
        <v>0</v>
      </c>
      <c r="C18" s="232">
        <f ca="1">C10*(基础信息!$B$26+土地增值税!$F$19)</f>
        <v>0</v>
      </c>
      <c r="D18" s="232">
        <f ca="1">G10*(基础信息!$B$26+土地增值税!$F$19)</f>
        <v>0</v>
      </c>
      <c r="E18" s="232">
        <f ca="1">E10*(基础信息!$B$26+土地增值税!$F$19)</f>
        <v>0</v>
      </c>
      <c r="F18" s="232">
        <f ca="1">F10*(基础信息!$B$26+土地增值税!$F$19)</f>
        <v>0</v>
      </c>
      <c r="G18" s="232">
        <f ca="1">G10*(基础信息!$B$26+土地增值税!$F$19)</f>
        <v>0</v>
      </c>
      <c r="H18" s="232">
        <f ca="1">H10*(基础信息!$B$26+土地增值税!$F$19)</f>
        <v>0</v>
      </c>
      <c r="I18" s="232">
        <f ca="1">I10*(基础信息!$B$26+土地增值税!$F$19)</f>
        <v>0</v>
      </c>
      <c r="J18" s="232">
        <f ca="1">J10*(基础信息!$B$26+土地增值税!$F$19)</f>
        <v>0</v>
      </c>
      <c r="K18" s="232">
        <f ca="1">K10*(基础信息!$B$26+土地增值税!$F$19)</f>
        <v>0</v>
      </c>
      <c r="L18" s="232">
        <f ca="1">L10*(基础信息!$B$26+土地增值税!$F$19)</f>
        <v>0</v>
      </c>
      <c r="M18" s="232">
        <f ca="1">M10*(基础信息!$B$26+土地增值税!$F$19)</f>
        <v>0</v>
      </c>
      <c r="N18" s="232">
        <f ca="1">N10*(基础信息!$B$26+土地增值税!$F$19)</f>
        <v>0</v>
      </c>
      <c r="O18" s="232">
        <f ca="1">O10*(基础信息!$B$26+土地增值税!$F$19)</f>
        <v>0</v>
      </c>
      <c r="P18" s="232">
        <f ca="1">P10*(基础信息!$B$26+土地增值税!$F$19)</f>
        <v>0</v>
      </c>
      <c r="Q18" s="232">
        <f ca="1">Q10*(基础信息!$B$26+土地增值税!$F$19)</f>
        <v>0</v>
      </c>
      <c r="R18" s="232">
        <f ca="1">R10*(基础信息!$B$26+土地增值税!$F$19)</f>
        <v>0</v>
      </c>
      <c r="S18" s="232">
        <f ca="1">S10*(基础信息!$B$26+土地增值税!$F$19)</f>
        <v>0</v>
      </c>
      <c r="T18" s="232">
        <f ca="1">T10*(基础信息!$B$26+土地增值税!$F$19)</f>
        <v>0</v>
      </c>
      <c r="U18" s="232">
        <f ca="1">U10*(基础信息!$B$26+土地增值税!$F$19)</f>
        <v>0</v>
      </c>
      <c r="V18" s="232">
        <f ca="1">V10*(基础信息!$B$26+土地增值税!$F$19)</f>
        <v>0</v>
      </c>
      <c r="W18" s="232">
        <f ca="1">W10*(基础信息!$B$26+土地增值税!$F$19)</f>
        <v>0</v>
      </c>
      <c r="X18" s="232">
        <f ca="1">X10*(基础信息!$B$26+土地增值税!$F$19)</f>
        <v>0</v>
      </c>
      <c r="Y18" s="232">
        <f ca="1">Y10*(基础信息!$B$26+土地增值税!$F$19)</f>
        <v>0</v>
      </c>
      <c r="Z18" s="232">
        <f ca="1">Z10*(基础信息!$B$26+土地增值税!$F$19)</f>
        <v>0</v>
      </c>
      <c r="AA18" s="232">
        <f ca="1">AA10*(基础信息!$B$26+土地增值税!$F$19)</f>
        <v>0</v>
      </c>
      <c r="AB18" s="232">
        <f ca="1">AB10*(基础信息!$B$26+土地增值税!$F$19)</f>
        <v>0</v>
      </c>
      <c r="AC18" s="232">
        <f ca="1">AC10*(基础信息!$B$26+土地增值税!$F$19)</f>
        <v>0</v>
      </c>
      <c r="AD18" s="232">
        <f ca="1">AD10*(基础信息!$B$26+土地增值税!$F$19)</f>
        <v>0</v>
      </c>
      <c r="AE18" s="232">
        <f ca="1">AE10*(基础信息!$B$26+土地增值税!$F$19)</f>
        <v>0</v>
      </c>
      <c r="AF18" s="232">
        <f ca="1">AF10*(基础信息!$B$26+土地增值税!$F$19)</f>
        <v>0</v>
      </c>
      <c r="AG18" s="232">
        <f ca="1">AG10*(基础信息!$B$26+土地增值税!$F$19)</f>
        <v>0</v>
      </c>
      <c r="AH18" s="232">
        <f ca="1">AH10*(基础信息!$B$26+土地增值税!$F$19)</f>
        <v>0</v>
      </c>
      <c r="AI18" s="232">
        <f ca="1">AI10*(基础信息!$B$26+土地增值税!$F$19)</f>
        <v>0</v>
      </c>
      <c r="AJ18" s="232">
        <f ca="1">AJ10*(基础信息!$B$26+土地增值税!$F$19)</f>
        <v>0</v>
      </c>
      <c r="AK18" s="232">
        <f ca="1">AK10*(基础信息!$B$26+土地增值税!$F$19)</f>
        <v>0</v>
      </c>
      <c r="AL18" s="232">
        <f ca="1">AL10*(基础信息!$B$26+土地增值税!$F$19)</f>
        <v>0</v>
      </c>
      <c r="AM18" s="232">
        <f ca="1">AM10*(基础信息!$B$26+土地增值税!$F$19)</f>
        <v>0</v>
      </c>
      <c r="AN18" s="232">
        <f ca="1">AN10*(基础信息!$B$26+土地增值税!$F$19)</f>
        <v>0</v>
      </c>
      <c r="AO18" s="232">
        <f ca="1">AO10*(基础信息!$B$26+土地增值税!$F$19)</f>
        <v>0</v>
      </c>
      <c r="AP18" s="232">
        <f ca="1">AP10*(基础信息!$B$26+土地增值税!$F$19)</f>
        <v>0</v>
      </c>
      <c r="AQ18" s="232">
        <f ca="1">AQ10*(基础信息!$B$26+土地增值税!$F$19)</f>
        <v>0</v>
      </c>
      <c r="AR18" s="232">
        <f ca="1">AR10*(基础信息!$B$26+土地增值税!$F$19)</f>
        <v>0</v>
      </c>
      <c r="AS18" s="232">
        <f ca="1">AS10*(基础信息!$B$26+土地增值税!$F$19)</f>
        <v>0</v>
      </c>
      <c r="AT18" s="232">
        <f ca="1">AT10*(基础信息!$B$26+土地增值税!$F$19)</f>
        <v>0</v>
      </c>
      <c r="AU18" s="232">
        <f ca="1">AU10*(基础信息!$B$26+土地增值税!$F$19)</f>
        <v>0</v>
      </c>
      <c r="AV18" s="232">
        <f ca="1">AV10*(基础信息!$B$26+土地增值税!$F$19)</f>
        <v>0</v>
      </c>
      <c r="AW18" s="232">
        <f ca="1">AW10*(基础信息!$B$26+土地增值税!$F$19)</f>
        <v>0</v>
      </c>
      <c r="AX18" s="232">
        <f ca="1">AX10*(基础信息!$B$26+土地增值税!$F$19)</f>
        <v>0</v>
      </c>
      <c r="AY18" s="232">
        <f ca="1">AY10*(基础信息!$B$26+土地增值税!$F$19)</f>
        <v>0</v>
      </c>
      <c r="AZ18" s="232">
        <f ca="1">AZ10*(基础信息!$B$26+土地增值税!$F$19)</f>
        <v>0</v>
      </c>
      <c r="BA18" s="232">
        <f ca="1">BA10*(基础信息!$B$26+土地增值税!$F$19)</f>
        <v>0</v>
      </c>
      <c r="BB18" s="232">
        <f ca="1">BB10*(基础信息!$B$26+土地增值税!$F$19)</f>
        <v>0</v>
      </c>
      <c r="BC18" s="232">
        <f ca="1">BC10*(基础信息!$B$26+土地增值税!$F$19)</f>
        <v>0</v>
      </c>
      <c r="BD18" s="232">
        <f ca="1">BD10*(基础信息!$B$26+土地增值税!$F$19)</f>
        <v>0</v>
      </c>
      <c r="BE18" s="232">
        <f ca="1">BE10*(基础信息!$B$26+土地增值税!$F$19)</f>
        <v>0</v>
      </c>
      <c r="BF18" s="232">
        <f ca="1">BF10*(基础信息!$B$26+土地增值税!$F$19)</f>
        <v>0</v>
      </c>
      <c r="BG18" s="232">
        <f ca="1">BG10*(基础信息!$B$26+土地增值税!$F$19)</f>
        <v>0</v>
      </c>
      <c r="BH18" s="232">
        <f ca="1">BH10*(基础信息!$B$26+土地增值税!$F$19)</f>
        <v>0</v>
      </c>
      <c r="BI18" s="232">
        <f ca="1">BI10*(基础信息!$B$26+土地增值税!$F$19)</f>
        <v>0</v>
      </c>
      <c r="BJ18" s="232">
        <f ca="1">BJ10*(基础信息!$B$26+土地增值税!$F$19)</f>
        <v>0</v>
      </c>
      <c r="BK18" s="232">
        <f ca="1">BK10*(基础信息!$B$26+土地增值税!$F$19)</f>
        <v>0</v>
      </c>
      <c r="BL18" s="232">
        <f ca="1">BL10*(基础信息!$B$26+土地增值税!$F$19)</f>
        <v>0</v>
      </c>
      <c r="BM18" s="232">
        <f ca="1">BM10*(基础信息!$B$26+土地增值税!$F$19)</f>
        <v>0</v>
      </c>
      <c r="BN18" s="232">
        <f ca="1">BN10*(基础信息!$B$26+土地增值税!$F$19)</f>
        <v>0</v>
      </c>
      <c r="BO18" s="232">
        <f ca="1">BO10*(基础信息!$B$26+土地增值税!$F$19)</f>
        <v>0</v>
      </c>
      <c r="BP18" s="232">
        <f ca="1">BP10*(基础信息!$B$26+土地增值税!$F$19)</f>
        <v>0</v>
      </c>
    </row>
    <row r="19" spans="1:68">
      <c r="A19" s="233" t="s">
        <v>259</v>
      </c>
      <c r="B19" s="234">
        <f t="shared" ref="B19" ca="1" si="12">SUM(B20:B22)</f>
        <v>26393.368212175228</v>
      </c>
      <c r="C19" s="239">
        <f t="shared" ref="C19:AR19" ca="1" si="13">SUM(C20:C22)</f>
        <v>0</v>
      </c>
      <c r="D19" s="239">
        <f t="shared" ca="1" si="13"/>
        <v>0</v>
      </c>
      <c r="E19" s="239">
        <f t="shared" ca="1" si="13"/>
        <v>0</v>
      </c>
      <c r="F19" s="239">
        <f t="shared" ca="1" si="13"/>
        <v>0</v>
      </c>
      <c r="G19" s="239">
        <f t="shared" ca="1" si="13"/>
        <v>0</v>
      </c>
      <c r="H19" s="239">
        <f t="shared" ca="1" si="13"/>
        <v>0</v>
      </c>
      <c r="I19" s="239">
        <f t="shared" ca="1" si="13"/>
        <v>0</v>
      </c>
      <c r="J19" s="239">
        <f ca="1">SUM(J20:J22)</f>
        <v>0</v>
      </c>
      <c r="K19" s="239">
        <f t="shared" ca="1" si="13"/>
        <v>0</v>
      </c>
      <c r="L19" s="239">
        <f t="shared" ca="1" si="13"/>
        <v>0</v>
      </c>
      <c r="M19" s="239">
        <f t="shared" ca="1" si="13"/>
        <v>0</v>
      </c>
      <c r="N19" s="239">
        <f t="shared" ca="1" si="13"/>
        <v>0</v>
      </c>
      <c r="O19" s="239">
        <f t="shared" ca="1" si="13"/>
        <v>0</v>
      </c>
      <c r="P19" s="239">
        <f t="shared" ca="1" si="13"/>
        <v>0</v>
      </c>
      <c r="Q19" s="239">
        <f t="shared" ca="1" si="13"/>
        <v>0</v>
      </c>
      <c r="R19" s="239">
        <f t="shared" ca="1" si="13"/>
        <v>0</v>
      </c>
      <c r="S19" s="239">
        <f t="shared" ca="1" si="13"/>
        <v>0</v>
      </c>
      <c r="T19" s="239">
        <f t="shared" ca="1" si="13"/>
        <v>0</v>
      </c>
      <c r="U19" s="239">
        <f t="shared" ca="1" si="13"/>
        <v>0</v>
      </c>
      <c r="V19" s="239">
        <f t="shared" ca="1" si="13"/>
        <v>0</v>
      </c>
      <c r="W19" s="239">
        <f t="shared" ref="W19:AN19" ca="1" si="14">SUM(W20:W22)</f>
        <v>0</v>
      </c>
      <c r="X19" s="239">
        <f t="shared" ca="1" si="14"/>
        <v>0</v>
      </c>
      <c r="Y19" s="239">
        <f t="shared" ca="1" si="14"/>
        <v>0</v>
      </c>
      <c r="Z19" s="239">
        <f t="shared" ca="1" si="14"/>
        <v>0</v>
      </c>
      <c r="AA19" s="239">
        <f t="shared" ca="1" si="14"/>
        <v>0</v>
      </c>
      <c r="AB19" s="239">
        <f t="shared" ca="1" si="14"/>
        <v>0</v>
      </c>
      <c r="AC19" s="239">
        <f t="shared" ca="1" si="14"/>
        <v>0</v>
      </c>
      <c r="AD19" s="239">
        <f t="shared" ca="1" si="14"/>
        <v>0</v>
      </c>
      <c r="AE19" s="239">
        <f t="shared" ca="1" si="14"/>
        <v>0</v>
      </c>
      <c r="AF19" s="239">
        <f t="shared" ca="1" si="14"/>
        <v>2830.5289775484089</v>
      </c>
      <c r="AG19" s="239">
        <f t="shared" ca="1" si="14"/>
        <v>754.38386168702891</v>
      </c>
      <c r="AH19" s="239">
        <f t="shared" ca="1" si="14"/>
        <v>1625.9779098800145</v>
      </c>
      <c r="AI19" s="239">
        <f t="shared" ca="1" si="14"/>
        <v>724.95374463578446</v>
      </c>
      <c r="AJ19" s="239">
        <f t="shared" ca="1" si="14"/>
        <v>1022.0964342307443</v>
      </c>
      <c r="AK19" s="239">
        <f t="shared" ca="1" si="14"/>
        <v>1320.0100545937676</v>
      </c>
      <c r="AL19" s="239">
        <f t="shared" ca="1" si="14"/>
        <v>1184.2011729072692</v>
      </c>
      <c r="AM19" s="239">
        <f t="shared" ca="1" si="14"/>
        <v>1392.3267804164552</v>
      </c>
      <c r="AN19" s="239">
        <f t="shared" ca="1" si="14"/>
        <v>1346.413343915694</v>
      </c>
      <c r="AO19" s="239">
        <f t="shared" ca="1" si="13"/>
        <v>1490.2050542025281</v>
      </c>
      <c r="AP19" s="239">
        <f t="shared" ca="1" si="13"/>
        <v>1395.1100912851516</v>
      </c>
      <c r="AQ19" s="239">
        <f t="shared" ca="1" si="13"/>
        <v>1341.4641599595252</v>
      </c>
      <c r="AR19" s="239">
        <f t="shared" ca="1" si="13"/>
        <v>1789.3770205360524</v>
      </c>
      <c r="AS19" s="239">
        <f t="shared" ref="AS19:BP19" ca="1" si="15">SUM(AS20:AS22)</f>
        <v>1411.4701385398375</v>
      </c>
      <c r="AT19" s="239">
        <f t="shared" ca="1" si="15"/>
        <v>1687.3464589864816</v>
      </c>
      <c r="AU19" s="239">
        <f t="shared" ca="1" si="15"/>
        <v>1377.0619531188913</v>
      </c>
      <c r="AV19" s="239">
        <f t="shared" ca="1" si="15"/>
        <v>673.42718073873129</v>
      </c>
      <c r="AW19" s="239">
        <f t="shared" ca="1" si="15"/>
        <v>1258.3849232041603</v>
      </c>
      <c r="AX19" s="239">
        <f t="shared" ca="1" si="15"/>
        <v>143.71125081880268</v>
      </c>
      <c r="AY19" s="239">
        <f t="shared" ca="1" si="15"/>
        <v>133.22013209338292</v>
      </c>
      <c r="AZ19" s="239">
        <f t="shared" ca="1" si="15"/>
        <v>133.22013209338292</v>
      </c>
      <c r="BA19" s="239">
        <f t="shared" ca="1" si="15"/>
        <v>143.71125081880268</v>
      </c>
      <c r="BB19" s="239">
        <f t="shared" ca="1" si="15"/>
        <v>143.71125081880268</v>
      </c>
      <c r="BC19" s="239">
        <f t="shared" ca="1" si="15"/>
        <v>143.71125081880268</v>
      </c>
      <c r="BD19" s="239">
        <f t="shared" ca="1" si="15"/>
        <v>308.40473908844479</v>
      </c>
      <c r="BE19" s="239">
        <f t="shared" ca="1" si="15"/>
        <v>308.40473908844479</v>
      </c>
      <c r="BF19" s="239">
        <f t="shared" ca="1" si="15"/>
        <v>310.53420614983588</v>
      </c>
      <c r="BG19" s="239">
        <f t="shared" ca="1" si="15"/>
        <v>0</v>
      </c>
      <c r="BH19" s="239">
        <f t="shared" ca="1" si="15"/>
        <v>0</v>
      </c>
      <c r="BI19" s="239">
        <f t="shared" ca="1" si="15"/>
        <v>0</v>
      </c>
      <c r="BJ19" s="239">
        <f t="shared" ca="1" si="15"/>
        <v>0</v>
      </c>
      <c r="BK19" s="239">
        <f t="shared" ca="1" si="15"/>
        <v>0</v>
      </c>
      <c r="BL19" s="239">
        <f t="shared" ca="1" si="15"/>
        <v>0</v>
      </c>
      <c r="BM19" s="239">
        <f t="shared" ca="1" si="15"/>
        <v>0</v>
      </c>
      <c r="BN19" s="239">
        <f t="shared" ca="1" si="15"/>
        <v>0</v>
      </c>
      <c r="BO19" s="239">
        <f t="shared" ca="1" si="15"/>
        <v>0</v>
      </c>
      <c r="BP19" s="239">
        <f t="shared" ca="1" si="15"/>
        <v>0</v>
      </c>
    </row>
    <row r="20" spans="1:68" outlineLevel="1">
      <c r="A20" s="230" t="str">
        <f>A12</f>
        <v>一期</v>
      </c>
      <c r="B20" s="231">
        <f ca="1">SUM(C20:BP20)</f>
        <v>26393.368212175228</v>
      </c>
      <c r="C20" s="240">
        <f t="shared" ref="C20:AR20" ca="1" si="16">C8-C16-C12</f>
        <v>0</v>
      </c>
      <c r="D20" s="240">
        <f t="shared" ca="1" si="16"/>
        <v>0</v>
      </c>
      <c r="E20" s="240">
        <f t="shared" ca="1" si="16"/>
        <v>0</v>
      </c>
      <c r="F20" s="240">
        <f t="shared" ca="1" si="16"/>
        <v>0</v>
      </c>
      <c r="G20" s="240">
        <f ca="1">G8-G16-G12</f>
        <v>0</v>
      </c>
      <c r="H20" s="240">
        <f t="shared" ca="1" si="16"/>
        <v>0</v>
      </c>
      <c r="I20" s="240">
        <f t="shared" ca="1" si="16"/>
        <v>0</v>
      </c>
      <c r="J20" s="240">
        <f ca="1">J8-J16-J12</f>
        <v>0</v>
      </c>
      <c r="K20" s="240">
        <f t="shared" ca="1" si="16"/>
        <v>0</v>
      </c>
      <c r="L20" s="240">
        <f t="shared" ca="1" si="16"/>
        <v>0</v>
      </c>
      <c r="M20" s="240">
        <f t="shared" ca="1" si="16"/>
        <v>0</v>
      </c>
      <c r="N20" s="240">
        <f t="shared" ca="1" si="16"/>
        <v>0</v>
      </c>
      <c r="O20" s="240">
        <f t="shared" ca="1" si="16"/>
        <v>0</v>
      </c>
      <c r="P20" s="240">
        <f t="shared" ca="1" si="16"/>
        <v>0</v>
      </c>
      <c r="Q20" s="240">
        <f t="shared" ca="1" si="16"/>
        <v>0</v>
      </c>
      <c r="R20" s="240">
        <f t="shared" ca="1" si="16"/>
        <v>0</v>
      </c>
      <c r="S20" s="240">
        <f t="shared" ca="1" si="16"/>
        <v>0</v>
      </c>
      <c r="T20" s="240">
        <f t="shared" ca="1" si="16"/>
        <v>0</v>
      </c>
      <c r="U20" s="240">
        <f t="shared" ca="1" si="16"/>
        <v>0</v>
      </c>
      <c r="V20" s="240">
        <f t="shared" ca="1" si="16"/>
        <v>0</v>
      </c>
      <c r="W20" s="240">
        <f t="shared" ref="W20:AN20" ca="1" si="17">W8-W16-W12</f>
        <v>0</v>
      </c>
      <c r="X20" s="240">
        <f t="shared" ca="1" si="17"/>
        <v>0</v>
      </c>
      <c r="Y20" s="240">
        <f t="shared" ca="1" si="17"/>
        <v>0</v>
      </c>
      <c r="Z20" s="240">
        <f t="shared" ca="1" si="17"/>
        <v>0</v>
      </c>
      <c r="AA20" s="240">
        <f t="shared" ca="1" si="17"/>
        <v>0</v>
      </c>
      <c r="AB20" s="240">
        <f t="shared" ca="1" si="17"/>
        <v>0</v>
      </c>
      <c r="AC20" s="240">
        <f t="shared" ca="1" si="17"/>
        <v>0</v>
      </c>
      <c r="AD20" s="240">
        <f t="shared" ca="1" si="17"/>
        <v>0</v>
      </c>
      <c r="AE20" s="240">
        <f t="shared" ca="1" si="17"/>
        <v>0</v>
      </c>
      <c r="AF20" s="240">
        <f t="shared" ca="1" si="17"/>
        <v>2830.5289775484089</v>
      </c>
      <c r="AG20" s="240">
        <f t="shared" ca="1" si="17"/>
        <v>754.38386168702891</v>
      </c>
      <c r="AH20" s="240">
        <f t="shared" ca="1" si="17"/>
        <v>1625.9779098800145</v>
      </c>
      <c r="AI20" s="240">
        <f t="shared" ca="1" si="17"/>
        <v>724.95374463578446</v>
      </c>
      <c r="AJ20" s="240">
        <f t="shared" ca="1" si="17"/>
        <v>1022.0964342307443</v>
      </c>
      <c r="AK20" s="240">
        <f t="shared" ca="1" si="17"/>
        <v>1320.0100545937676</v>
      </c>
      <c r="AL20" s="240">
        <f t="shared" ca="1" si="17"/>
        <v>1184.2011729072692</v>
      </c>
      <c r="AM20" s="240">
        <f t="shared" ca="1" si="17"/>
        <v>1392.3267804164552</v>
      </c>
      <c r="AN20" s="240">
        <f t="shared" ca="1" si="17"/>
        <v>1346.413343915694</v>
      </c>
      <c r="AO20" s="240">
        <f t="shared" ca="1" si="16"/>
        <v>1490.2050542025281</v>
      </c>
      <c r="AP20" s="240">
        <f t="shared" ca="1" si="16"/>
        <v>1395.1100912851516</v>
      </c>
      <c r="AQ20" s="240">
        <f t="shared" ca="1" si="16"/>
        <v>1341.4641599595252</v>
      </c>
      <c r="AR20" s="240">
        <f t="shared" ca="1" si="16"/>
        <v>1789.3770205360524</v>
      </c>
      <c r="AS20" s="240">
        <f t="shared" ref="AS20:BP20" ca="1" si="18">AS8-AS16-AS12</f>
        <v>1411.4701385398375</v>
      </c>
      <c r="AT20" s="240">
        <f t="shared" ca="1" si="18"/>
        <v>1687.3464589864816</v>
      </c>
      <c r="AU20" s="240">
        <f t="shared" ca="1" si="18"/>
        <v>1377.0619531188913</v>
      </c>
      <c r="AV20" s="240">
        <f t="shared" ca="1" si="18"/>
        <v>673.42718073873129</v>
      </c>
      <c r="AW20" s="240">
        <f t="shared" ca="1" si="18"/>
        <v>1258.3849232041603</v>
      </c>
      <c r="AX20" s="240">
        <f t="shared" ca="1" si="18"/>
        <v>143.71125081880268</v>
      </c>
      <c r="AY20" s="240">
        <f t="shared" ca="1" si="18"/>
        <v>133.22013209338292</v>
      </c>
      <c r="AZ20" s="240">
        <f t="shared" ca="1" si="18"/>
        <v>133.22013209338292</v>
      </c>
      <c r="BA20" s="240">
        <f t="shared" ca="1" si="18"/>
        <v>143.71125081880268</v>
      </c>
      <c r="BB20" s="240">
        <f t="shared" ca="1" si="18"/>
        <v>143.71125081880268</v>
      </c>
      <c r="BC20" s="240">
        <f t="shared" ca="1" si="18"/>
        <v>143.71125081880268</v>
      </c>
      <c r="BD20" s="240">
        <f t="shared" ca="1" si="18"/>
        <v>308.40473908844479</v>
      </c>
      <c r="BE20" s="240">
        <f t="shared" ca="1" si="18"/>
        <v>308.40473908844479</v>
      </c>
      <c r="BF20" s="240">
        <f t="shared" ca="1" si="18"/>
        <v>310.53420614983588</v>
      </c>
      <c r="BG20" s="240">
        <f t="shared" ca="1" si="18"/>
        <v>0</v>
      </c>
      <c r="BH20" s="240">
        <f t="shared" ca="1" si="18"/>
        <v>0</v>
      </c>
      <c r="BI20" s="240">
        <f t="shared" ca="1" si="18"/>
        <v>0</v>
      </c>
      <c r="BJ20" s="240">
        <f t="shared" ca="1" si="18"/>
        <v>0</v>
      </c>
      <c r="BK20" s="240">
        <f t="shared" ca="1" si="18"/>
        <v>0</v>
      </c>
      <c r="BL20" s="240">
        <f t="shared" ca="1" si="18"/>
        <v>0</v>
      </c>
      <c r="BM20" s="240">
        <f t="shared" ca="1" si="18"/>
        <v>0</v>
      </c>
      <c r="BN20" s="240">
        <f t="shared" ca="1" si="18"/>
        <v>0</v>
      </c>
      <c r="BO20" s="240">
        <f t="shared" ca="1" si="18"/>
        <v>0</v>
      </c>
      <c r="BP20" s="240">
        <f t="shared" ca="1" si="18"/>
        <v>0</v>
      </c>
    </row>
    <row r="21" spans="1:68" outlineLevel="1">
      <c r="A21" s="230" t="str">
        <f>A13</f>
        <v>二期</v>
      </c>
      <c r="B21" s="231">
        <f ca="1">SUM(C21:BP21)</f>
        <v>0</v>
      </c>
      <c r="C21" s="240">
        <f t="shared" ref="C21:AR21" ca="1" si="19">C9-C17-C13</f>
        <v>0</v>
      </c>
      <c r="D21" s="240">
        <f t="shared" ca="1" si="19"/>
        <v>0</v>
      </c>
      <c r="E21" s="240">
        <f t="shared" ca="1" si="19"/>
        <v>0</v>
      </c>
      <c r="F21" s="240">
        <f t="shared" ca="1" si="19"/>
        <v>0</v>
      </c>
      <c r="G21" s="240">
        <f t="shared" ca="1" si="19"/>
        <v>0</v>
      </c>
      <c r="H21" s="240">
        <f t="shared" ca="1" si="19"/>
        <v>0</v>
      </c>
      <c r="I21" s="240">
        <f t="shared" ca="1" si="19"/>
        <v>0</v>
      </c>
      <c r="J21" s="240">
        <f t="shared" ca="1" si="19"/>
        <v>0</v>
      </c>
      <c r="K21" s="240">
        <f t="shared" ca="1" si="19"/>
        <v>0</v>
      </c>
      <c r="L21" s="240">
        <f t="shared" ca="1" si="19"/>
        <v>0</v>
      </c>
      <c r="M21" s="240">
        <f t="shared" ca="1" si="19"/>
        <v>0</v>
      </c>
      <c r="N21" s="240">
        <f t="shared" ca="1" si="19"/>
        <v>0</v>
      </c>
      <c r="O21" s="240">
        <f t="shared" ca="1" si="19"/>
        <v>0</v>
      </c>
      <c r="P21" s="240">
        <f t="shared" ca="1" si="19"/>
        <v>0</v>
      </c>
      <c r="Q21" s="240">
        <f t="shared" ca="1" si="19"/>
        <v>0</v>
      </c>
      <c r="R21" s="240">
        <f t="shared" ca="1" si="19"/>
        <v>0</v>
      </c>
      <c r="S21" s="240">
        <f t="shared" ca="1" si="19"/>
        <v>0</v>
      </c>
      <c r="T21" s="240">
        <f t="shared" ca="1" si="19"/>
        <v>0</v>
      </c>
      <c r="U21" s="240">
        <f t="shared" ca="1" si="19"/>
        <v>0</v>
      </c>
      <c r="V21" s="240">
        <f t="shared" ca="1" si="19"/>
        <v>0</v>
      </c>
      <c r="W21" s="240">
        <f t="shared" ref="W21:AN21" ca="1" si="20">W9-W17-W13</f>
        <v>0</v>
      </c>
      <c r="X21" s="240">
        <f t="shared" ca="1" si="20"/>
        <v>0</v>
      </c>
      <c r="Y21" s="240">
        <f t="shared" ca="1" si="20"/>
        <v>0</v>
      </c>
      <c r="Z21" s="240">
        <f t="shared" ca="1" si="20"/>
        <v>0</v>
      </c>
      <c r="AA21" s="240">
        <f t="shared" ca="1" si="20"/>
        <v>0</v>
      </c>
      <c r="AB21" s="240">
        <f t="shared" ca="1" si="20"/>
        <v>0</v>
      </c>
      <c r="AC21" s="240">
        <f t="shared" ca="1" si="20"/>
        <v>0</v>
      </c>
      <c r="AD21" s="240">
        <f t="shared" ca="1" si="20"/>
        <v>0</v>
      </c>
      <c r="AE21" s="240">
        <f t="shared" ca="1" si="20"/>
        <v>0</v>
      </c>
      <c r="AF21" s="240">
        <f t="shared" ca="1" si="20"/>
        <v>0</v>
      </c>
      <c r="AG21" s="240">
        <f t="shared" ca="1" si="20"/>
        <v>0</v>
      </c>
      <c r="AH21" s="240">
        <f t="shared" ca="1" si="20"/>
        <v>0</v>
      </c>
      <c r="AI21" s="240">
        <f t="shared" ca="1" si="20"/>
        <v>0</v>
      </c>
      <c r="AJ21" s="240">
        <f t="shared" ca="1" si="20"/>
        <v>0</v>
      </c>
      <c r="AK21" s="240">
        <f t="shared" ca="1" si="20"/>
        <v>0</v>
      </c>
      <c r="AL21" s="240">
        <f t="shared" ca="1" si="20"/>
        <v>0</v>
      </c>
      <c r="AM21" s="240">
        <f t="shared" ca="1" si="20"/>
        <v>0</v>
      </c>
      <c r="AN21" s="240">
        <f t="shared" ca="1" si="20"/>
        <v>0</v>
      </c>
      <c r="AO21" s="240">
        <f t="shared" ca="1" si="19"/>
        <v>0</v>
      </c>
      <c r="AP21" s="240">
        <f t="shared" ca="1" si="19"/>
        <v>0</v>
      </c>
      <c r="AQ21" s="240">
        <f t="shared" ca="1" si="19"/>
        <v>0</v>
      </c>
      <c r="AR21" s="240">
        <f t="shared" ca="1" si="19"/>
        <v>0</v>
      </c>
      <c r="AS21" s="240">
        <f t="shared" ref="AS21:BP21" ca="1" si="21">AS9-AS17-AS13</f>
        <v>0</v>
      </c>
      <c r="AT21" s="240">
        <f t="shared" ca="1" si="21"/>
        <v>0</v>
      </c>
      <c r="AU21" s="240">
        <f t="shared" ca="1" si="21"/>
        <v>0</v>
      </c>
      <c r="AV21" s="240">
        <f t="shared" ca="1" si="21"/>
        <v>0</v>
      </c>
      <c r="AW21" s="240">
        <f t="shared" ca="1" si="21"/>
        <v>0</v>
      </c>
      <c r="AX21" s="240">
        <f t="shared" ca="1" si="21"/>
        <v>0</v>
      </c>
      <c r="AY21" s="240">
        <f t="shared" ca="1" si="21"/>
        <v>0</v>
      </c>
      <c r="AZ21" s="240">
        <f t="shared" ca="1" si="21"/>
        <v>0</v>
      </c>
      <c r="BA21" s="240">
        <f t="shared" ca="1" si="21"/>
        <v>0</v>
      </c>
      <c r="BB21" s="240">
        <f t="shared" ca="1" si="21"/>
        <v>0</v>
      </c>
      <c r="BC21" s="240">
        <f t="shared" ca="1" si="21"/>
        <v>0</v>
      </c>
      <c r="BD21" s="240">
        <f t="shared" ca="1" si="21"/>
        <v>0</v>
      </c>
      <c r="BE21" s="240">
        <f t="shared" ca="1" si="21"/>
        <v>0</v>
      </c>
      <c r="BF21" s="240">
        <f t="shared" ca="1" si="21"/>
        <v>0</v>
      </c>
      <c r="BG21" s="240">
        <f t="shared" ca="1" si="21"/>
        <v>0</v>
      </c>
      <c r="BH21" s="240">
        <f t="shared" ca="1" si="21"/>
        <v>0</v>
      </c>
      <c r="BI21" s="240">
        <f t="shared" ca="1" si="21"/>
        <v>0</v>
      </c>
      <c r="BJ21" s="240">
        <f t="shared" ca="1" si="21"/>
        <v>0</v>
      </c>
      <c r="BK21" s="240">
        <f t="shared" ca="1" si="21"/>
        <v>0</v>
      </c>
      <c r="BL21" s="240">
        <f t="shared" ca="1" si="21"/>
        <v>0</v>
      </c>
      <c r="BM21" s="240">
        <f t="shared" ca="1" si="21"/>
        <v>0</v>
      </c>
      <c r="BN21" s="240">
        <f t="shared" ca="1" si="21"/>
        <v>0</v>
      </c>
      <c r="BO21" s="240">
        <f t="shared" ca="1" si="21"/>
        <v>0</v>
      </c>
      <c r="BP21" s="240">
        <f t="shared" ca="1" si="21"/>
        <v>0</v>
      </c>
    </row>
    <row r="22" spans="1:68" outlineLevel="1">
      <c r="A22" s="230" t="str">
        <f>A14</f>
        <v>三期</v>
      </c>
      <c r="B22" s="231">
        <f ca="1">SUM(C22:BP22)</f>
        <v>0</v>
      </c>
      <c r="C22" s="240">
        <f t="shared" ref="C22:AR22" ca="1" si="22">C10-C18-C14</f>
        <v>0</v>
      </c>
      <c r="D22" s="240">
        <f t="shared" ca="1" si="22"/>
        <v>0</v>
      </c>
      <c r="E22" s="240">
        <f t="shared" ca="1" si="22"/>
        <v>0</v>
      </c>
      <c r="F22" s="240">
        <f t="shared" ca="1" si="22"/>
        <v>0</v>
      </c>
      <c r="G22" s="240">
        <f t="shared" ca="1" si="22"/>
        <v>0</v>
      </c>
      <c r="H22" s="240">
        <f t="shared" ca="1" si="22"/>
        <v>0</v>
      </c>
      <c r="I22" s="240">
        <f t="shared" ca="1" si="22"/>
        <v>0</v>
      </c>
      <c r="J22" s="240">
        <f t="shared" ca="1" si="22"/>
        <v>0</v>
      </c>
      <c r="K22" s="240">
        <f t="shared" ca="1" si="22"/>
        <v>0</v>
      </c>
      <c r="L22" s="240">
        <f t="shared" ca="1" si="22"/>
        <v>0</v>
      </c>
      <c r="M22" s="240">
        <f t="shared" ca="1" si="22"/>
        <v>0</v>
      </c>
      <c r="N22" s="240">
        <f t="shared" ca="1" si="22"/>
        <v>0</v>
      </c>
      <c r="O22" s="240">
        <f t="shared" ca="1" si="22"/>
        <v>0</v>
      </c>
      <c r="P22" s="240">
        <f t="shared" ca="1" si="22"/>
        <v>0</v>
      </c>
      <c r="Q22" s="240">
        <f t="shared" ca="1" si="22"/>
        <v>0</v>
      </c>
      <c r="R22" s="240">
        <f t="shared" ca="1" si="22"/>
        <v>0</v>
      </c>
      <c r="S22" s="240">
        <f t="shared" ca="1" si="22"/>
        <v>0</v>
      </c>
      <c r="T22" s="240">
        <f t="shared" ca="1" si="22"/>
        <v>0</v>
      </c>
      <c r="U22" s="240">
        <f t="shared" ca="1" si="22"/>
        <v>0</v>
      </c>
      <c r="V22" s="240">
        <f t="shared" ca="1" si="22"/>
        <v>0</v>
      </c>
      <c r="W22" s="240">
        <f t="shared" ref="W22:AN22" ca="1" si="23">W10-W18-W14</f>
        <v>0</v>
      </c>
      <c r="X22" s="240">
        <f t="shared" ca="1" si="23"/>
        <v>0</v>
      </c>
      <c r="Y22" s="240">
        <f t="shared" ca="1" si="23"/>
        <v>0</v>
      </c>
      <c r="Z22" s="240">
        <f t="shared" ca="1" si="23"/>
        <v>0</v>
      </c>
      <c r="AA22" s="240">
        <f t="shared" ca="1" si="23"/>
        <v>0</v>
      </c>
      <c r="AB22" s="240">
        <f t="shared" ca="1" si="23"/>
        <v>0</v>
      </c>
      <c r="AC22" s="240">
        <f t="shared" ca="1" si="23"/>
        <v>0</v>
      </c>
      <c r="AD22" s="240">
        <f t="shared" ca="1" si="23"/>
        <v>0</v>
      </c>
      <c r="AE22" s="240">
        <f t="shared" ca="1" si="23"/>
        <v>0</v>
      </c>
      <c r="AF22" s="240">
        <f t="shared" ca="1" si="23"/>
        <v>0</v>
      </c>
      <c r="AG22" s="240">
        <f t="shared" ca="1" si="23"/>
        <v>0</v>
      </c>
      <c r="AH22" s="240">
        <f t="shared" ca="1" si="23"/>
        <v>0</v>
      </c>
      <c r="AI22" s="240">
        <f t="shared" ca="1" si="23"/>
        <v>0</v>
      </c>
      <c r="AJ22" s="240">
        <f t="shared" ca="1" si="23"/>
        <v>0</v>
      </c>
      <c r="AK22" s="240">
        <f t="shared" ca="1" si="23"/>
        <v>0</v>
      </c>
      <c r="AL22" s="240">
        <f t="shared" ca="1" si="23"/>
        <v>0</v>
      </c>
      <c r="AM22" s="240">
        <f t="shared" ca="1" si="23"/>
        <v>0</v>
      </c>
      <c r="AN22" s="240">
        <f t="shared" ca="1" si="23"/>
        <v>0</v>
      </c>
      <c r="AO22" s="240">
        <f t="shared" ca="1" si="22"/>
        <v>0</v>
      </c>
      <c r="AP22" s="240">
        <f t="shared" ca="1" si="22"/>
        <v>0</v>
      </c>
      <c r="AQ22" s="240">
        <f t="shared" ca="1" si="22"/>
        <v>0</v>
      </c>
      <c r="AR22" s="240">
        <f t="shared" ca="1" si="22"/>
        <v>0</v>
      </c>
      <c r="AS22" s="240">
        <f t="shared" ref="AS22:BP22" ca="1" si="24">AS10-AS18-AS14</f>
        <v>0</v>
      </c>
      <c r="AT22" s="240">
        <f t="shared" ca="1" si="24"/>
        <v>0</v>
      </c>
      <c r="AU22" s="240">
        <f t="shared" ca="1" si="24"/>
        <v>0</v>
      </c>
      <c r="AV22" s="240">
        <f t="shared" ca="1" si="24"/>
        <v>0</v>
      </c>
      <c r="AW22" s="240">
        <f t="shared" ca="1" si="24"/>
        <v>0</v>
      </c>
      <c r="AX22" s="240">
        <f t="shared" ca="1" si="24"/>
        <v>0</v>
      </c>
      <c r="AY22" s="240">
        <f t="shared" ca="1" si="24"/>
        <v>0</v>
      </c>
      <c r="AZ22" s="240">
        <f t="shared" ca="1" si="24"/>
        <v>0</v>
      </c>
      <c r="BA22" s="240">
        <f t="shared" ca="1" si="24"/>
        <v>0</v>
      </c>
      <c r="BB22" s="240">
        <f t="shared" ca="1" si="24"/>
        <v>0</v>
      </c>
      <c r="BC22" s="240">
        <f t="shared" ca="1" si="24"/>
        <v>0</v>
      </c>
      <c r="BD22" s="240">
        <f t="shared" ca="1" si="24"/>
        <v>0</v>
      </c>
      <c r="BE22" s="240">
        <f t="shared" ca="1" si="24"/>
        <v>0</v>
      </c>
      <c r="BF22" s="240">
        <f t="shared" ca="1" si="24"/>
        <v>0</v>
      </c>
      <c r="BG22" s="240">
        <f t="shared" ca="1" si="24"/>
        <v>0</v>
      </c>
      <c r="BH22" s="240">
        <f t="shared" ca="1" si="24"/>
        <v>0</v>
      </c>
      <c r="BI22" s="240">
        <f t="shared" ca="1" si="24"/>
        <v>0</v>
      </c>
      <c r="BJ22" s="240">
        <f t="shared" ca="1" si="24"/>
        <v>0</v>
      </c>
      <c r="BK22" s="240">
        <f t="shared" ca="1" si="24"/>
        <v>0</v>
      </c>
      <c r="BL22" s="240">
        <f t="shared" ca="1" si="24"/>
        <v>0</v>
      </c>
      <c r="BM22" s="240">
        <f t="shared" ca="1" si="24"/>
        <v>0</v>
      </c>
      <c r="BN22" s="240">
        <f t="shared" ca="1" si="24"/>
        <v>0</v>
      </c>
      <c r="BO22" s="240">
        <f t="shared" ca="1" si="24"/>
        <v>0</v>
      </c>
      <c r="BP22" s="240">
        <f t="shared" ca="1" si="24"/>
        <v>0</v>
      </c>
    </row>
    <row r="23" spans="1:68">
      <c r="A23" s="233" t="s">
        <v>958</v>
      </c>
      <c r="B23" s="239">
        <f>(地价分摊表!I16)*0.25/0.75</f>
        <v>0</v>
      </c>
      <c r="C23" s="239">
        <f>$B$23*C7/$B$7</f>
        <v>0</v>
      </c>
      <c r="D23" s="239">
        <f t="shared" ref="D23:AR23" si="25">$B$23*D7/$B$7</f>
        <v>0</v>
      </c>
      <c r="E23" s="239">
        <f t="shared" si="25"/>
        <v>0</v>
      </c>
      <c r="F23" s="239">
        <f t="shared" si="25"/>
        <v>0</v>
      </c>
      <c r="G23" s="239">
        <f t="shared" si="25"/>
        <v>0</v>
      </c>
      <c r="H23" s="239">
        <f t="shared" si="25"/>
        <v>0</v>
      </c>
      <c r="I23" s="239">
        <f t="shared" si="25"/>
        <v>0</v>
      </c>
      <c r="J23" s="239">
        <f t="shared" si="25"/>
        <v>0</v>
      </c>
      <c r="K23" s="239">
        <f t="shared" si="25"/>
        <v>0</v>
      </c>
      <c r="L23" s="239">
        <f t="shared" si="25"/>
        <v>0</v>
      </c>
      <c r="M23" s="239">
        <f t="shared" si="25"/>
        <v>0</v>
      </c>
      <c r="N23" s="239">
        <f t="shared" si="25"/>
        <v>0</v>
      </c>
      <c r="O23" s="239">
        <f t="shared" si="25"/>
        <v>0</v>
      </c>
      <c r="P23" s="239">
        <f t="shared" si="25"/>
        <v>0</v>
      </c>
      <c r="Q23" s="239">
        <f t="shared" si="25"/>
        <v>0</v>
      </c>
      <c r="R23" s="239">
        <f t="shared" si="25"/>
        <v>0</v>
      </c>
      <c r="S23" s="239">
        <f t="shared" si="25"/>
        <v>0</v>
      </c>
      <c r="T23" s="239">
        <f t="shared" si="25"/>
        <v>0</v>
      </c>
      <c r="U23" s="239">
        <f t="shared" si="25"/>
        <v>0</v>
      </c>
      <c r="V23" s="239">
        <f t="shared" si="25"/>
        <v>0</v>
      </c>
      <c r="W23" s="239">
        <f t="shared" si="25"/>
        <v>0</v>
      </c>
      <c r="X23" s="239">
        <f t="shared" si="25"/>
        <v>0</v>
      </c>
      <c r="Y23" s="239">
        <f t="shared" si="25"/>
        <v>0</v>
      </c>
      <c r="Z23" s="239">
        <f t="shared" si="25"/>
        <v>0</v>
      </c>
      <c r="AA23" s="239">
        <f t="shared" si="25"/>
        <v>0</v>
      </c>
      <c r="AB23" s="239">
        <f t="shared" si="25"/>
        <v>0</v>
      </c>
      <c r="AC23" s="239">
        <f t="shared" si="25"/>
        <v>0</v>
      </c>
      <c r="AD23" s="239">
        <f t="shared" si="25"/>
        <v>0</v>
      </c>
      <c r="AE23" s="239">
        <f t="shared" si="25"/>
        <v>0</v>
      </c>
      <c r="AF23" s="239">
        <f t="shared" si="25"/>
        <v>0</v>
      </c>
      <c r="AG23" s="239">
        <f t="shared" si="25"/>
        <v>0</v>
      </c>
      <c r="AH23" s="239">
        <f t="shared" si="25"/>
        <v>0</v>
      </c>
      <c r="AI23" s="239">
        <f t="shared" si="25"/>
        <v>0</v>
      </c>
      <c r="AJ23" s="239">
        <f t="shared" si="25"/>
        <v>0</v>
      </c>
      <c r="AK23" s="239">
        <f t="shared" si="25"/>
        <v>0</v>
      </c>
      <c r="AL23" s="239">
        <f t="shared" si="25"/>
        <v>0</v>
      </c>
      <c r="AM23" s="239">
        <f t="shared" si="25"/>
        <v>0</v>
      </c>
      <c r="AN23" s="239">
        <f t="shared" si="25"/>
        <v>0</v>
      </c>
      <c r="AO23" s="239">
        <f t="shared" si="25"/>
        <v>0</v>
      </c>
      <c r="AP23" s="239">
        <f t="shared" si="25"/>
        <v>0</v>
      </c>
      <c r="AQ23" s="239">
        <f t="shared" si="25"/>
        <v>0</v>
      </c>
      <c r="AR23" s="239">
        <f t="shared" si="25"/>
        <v>0</v>
      </c>
      <c r="AS23" s="239">
        <f t="shared" ref="AS23:BP23" si="26">$B$23*AS7/$B$7</f>
        <v>0</v>
      </c>
      <c r="AT23" s="239">
        <f t="shared" si="26"/>
        <v>0</v>
      </c>
      <c r="AU23" s="239">
        <f t="shared" si="26"/>
        <v>0</v>
      </c>
      <c r="AV23" s="239">
        <f t="shared" si="26"/>
        <v>0</v>
      </c>
      <c r="AW23" s="239">
        <f t="shared" si="26"/>
        <v>0</v>
      </c>
      <c r="AX23" s="239">
        <f t="shared" si="26"/>
        <v>0</v>
      </c>
      <c r="AY23" s="239">
        <f t="shared" si="26"/>
        <v>0</v>
      </c>
      <c r="AZ23" s="239">
        <f t="shared" si="26"/>
        <v>0</v>
      </c>
      <c r="BA23" s="239">
        <f t="shared" si="26"/>
        <v>0</v>
      </c>
      <c r="BB23" s="239">
        <f t="shared" si="26"/>
        <v>0</v>
      </c>
      <c r="BC23" s="239">
        <f t="shared" si="26"/>
        <v>0</v>
      </c>
      <c r="BD23" s="239">
        <f t="shared" si="26"/>
        <v>0</v>
      </c>
      <c r="BE23" s="239">
        <f t="shared" si="26"/>
        <v>0</v>
      </c>
      <c r="BF23" s="239">
        <f t="shared" si="26"/>
        <v>0</v>
      </c>
      <c r="BG23" s="239">
        <f t="shared" si="26"/>
        <v>0</v>
      </c>
      <c r="BH23" s="239">
        <f t="shared" si="26"/>
        <v>0</v>
      </c>
      <c r="BI23" s="239">
        <f t="shared" si="26"/>
        <v>0</v>
      </c>
      <c r="BJ23" s="239">
        <f t="shared" si="26"/>
        <v>0</v>
      </c>
      <c r="BK23" s="239">
        <f t="shared" si="26"/>
        <v>0</v>
      </c>
      <c r="BL23" s="239">
        <f t="shared" si="26"/>
        <v>0</v>
      </c>
      <c r="BM23" s="239">
        <f t="shared" si="26"/>
        <v>0</v>
      </c>
      <c r="BN23" s="239">
        <f t="shared" si="26"/>
        <v>0</v>
      </c>
      <c r="BO23" s="239">
        <f t="shared" si="26"/>
        <v>0</v>
      </c>
      <c r="BP23" s="239">
        <f t="shared" si="26"/>
        <v>0</v>
      </c>
    </row>
    <row r="24" spans="1:68">
      <c r="A24" s="233" t="s">
        <v>260</v>
      </c>
      <c r="B24" s="239">
        <f>SUM(B25:B26)</f>
        <v>5726.84646195</v>
      </c>
      <c r="C24" s="239">
        <f t="shared" ref="C24:AR24" si="27">SUM(C25:C26)</f>
        <v>0</v>
      </c>
      <c r="D24" s="239">
        <f t="shared" si="27"/>
        <v>0</v>
      </c>
      <c r="E24" s="239">
        <f t="shared" si="27"/>
        <v>0</v>
      </c>
      <c r="F24" s="239">
        <f t="shared" si="27"/>
        <v>0</v>
      </c>
      <c r="G24" s="239">
        <f t="shared" si="27"/>
        <v>0</v>
      </c>
      <c r="H24" s="239">
        <f t="shared" si="27"/>
        <v>0</v>
      </c>
      <c r="I24" s="239">
        <f t="shared" si="27"/>
        <v>0</v>
      </c>
      <c r="J24" s="239">
        <f t="shared" si="27"/>
        <v>0</v>
      </c>
      <c r="K24" s="239">
        <f t="shared" si="27"/>
        <v>0</v>
      </c>
      <c r="L24" s="239">
        <f t="shared" si="27"/>
        <v>0</v>
      </c>
      <c r="M24" s="239">
        <f t="shared" si="27"/>
        <v>0</v>
      </c>
      <c r="N24" s="239">
        <f t="shared" si="27"/>
        <v>0</v>
      </c>
      <c r="O24" s="239">
        <f t="shared" si="27"/>
        <v>0</v>
      </c>
      <c r="P24" s="239">
        <f t="shared" si="27"/>
        <v>0</v>
      </c>
      <c r="Q24" s="239">
        <f t="shared" si="27"/>
        <v>0</v>
      </c>
      <c r="R24" s="239">
        <f t="shared" si="27"/>
        <v>0</v>
      </c>
      <c r="S24" s="239">
        <f t="shared" si="27"/>
        <v>0</v>
      </c>
      <c r="T24" s="239">
        <f t="shared" si="27"/>
        <v>0</v>
      </c>
      <c r="U24" s="239">
        <f t="shared" si="27"/>
        <v>0</v>
      </c>
      <c r="V24" s="239">
        <f t="shared" si="27"/>
        <v>0</v>
      </c>
      <c r="W24" s="239">
        <f t="shared" si="27"/>
        <v>0</v>
      </c>
      <c r="X24" s="239">
        <f t="shared" si="27"/>
        <v>0</v>
      </c>
      <c r="Y24" s="239">
        <f t="shared" si="27"/>
        <v>0</v>
      </c>
      <c r="Z24" s="239">
        <f t="shared" si="27"/>
        <v>0</v>
      </c>
      <c r="AA24" s="239">
        <f t="shared" si="27"/>
        <v>0</v>
      </c>
      <c r="AB24" s="239">
        <f t="shared" si="27"/>
        <v>0</v>
      </c>
      <c r="AC24" s="239">
        <f t="shared" si="27"/>
        <v>0</v>
      </c>
      <c r="AD24" s="239">
        <f t="shared" si="27"/>
        <v>0</v>
      </c>
      <c r="AE24" s="239">
        <f t="shared" si="27"/>
        <v>0</v>
      </c>
      <c r="AF24" s="239">
        <f t="shared" si="27"/>
        <v>825.37871019373631</v>
      </c>
      <c r="AG24" s="239">
        <f t="shared" si="27"/>
        <v>200.95158271059532</v>
      </c>
      <c r="AH24" s="239">
        <f t="shared" si="27"/>
        <v>419.40906048586623</v>
      </c>
      <c r="AI24" s="239">
        <f t="shared" si="27"/>
        <v>173.20210850671947</v>
      </c>
      <c r="AJ24" s="239">
        <f t="shared" si="27"/>
        <v>251.08632049157546</v>
      </c>
      <c r="AK24" s="239">
        <f t="shared" si="27"/>
        <v>275.96429148378189</v>
      </c>
      <c r="AL24" s="239">
        <f t="shared" si="27"/>
        <v>270.6648640161182</v>
      </c>
      <c r="AM24" s="239">
        <f t="shared" si="27"/>
        <v>325.54486504385784</v>
      </c>
      <c r="AN24" s="239">
        <f t="shared" si="27"/>
        <v>274.70865356553065</v>
      </c>
      <c r="AO24" s="239">
        <f t="shared" si="27"/>
        <v>313.26907534028447</v>
      </c>
      <c r="AP24" s="239">
        <f t="shared" si="27"/>
        <v>286.24170641308945</v>
      </c>
      <c r="AQ24" s="239">
        <f t="shared" si="27"/>
        <v>280.56802209631184</v>
      </c>
      <c r="AR24" s="239">
        <f t="shared" si="27"/>
        <v>369.52272692006431</v>
      </c>
      <c r="AS24" s="239">
        <f t="shared" ref="AS24:BP24" si="28">SUM(AS25:AS26)</f>
        <v>290.49676333487929</v>
      </c>
      <c r="AT24" s="239">
        <f t="shared" si="28"/>
        <v>322.73036688588729</v>
      </c>
      <c r="AU24" s="239">
        <f t="shared" si="28"/>
        <v>294.15226656123076</v>
      </c>
      <c r="AV24" s="239">
        <f t="shared" si="28"/>
        <v>145.78934167757023</v>
      </c>
      <c r="AW24" s="239">
        <f t="shared" si="28"/>
        <v>259.39659355667578</v>
      </c>
      <c r="AX24" s="239">
        <f t="shared" si="28"/>
        <v>12.0100549617548</v>
      </c>
      <c r="AY24" s="239">
        <f t="shared" si="28"/>
        <v>11.152193893058028</v>
      </c>
      <c r="AZ24" s="239">
        <f t="shared" si="28"/>
        <v>11.152193893058028</v>
      </c>
      <c r="BA24" s="239">
        <f t="shared" si="28"/>
        <v>12.0100549617548</v>
      </c>
      <c r="BB24" s="239">
        <f t="shared" si="28"/>
        <v>12.0100549617548</v>
      </c>
      <c r="BC24" s="239">
        <f t="shared" si="28"/>
        <v>12.0100549617548</v>
      </c>
      <c r="BD24" s="239">
        <f t="shared" si="28"/>
        <v>25.735832060903142</v>
      </c>
      <c r="BE24" s="239">
        <f t="shared" si="28"/>
        <v>25.735832060903142</v>
      </c>
      <c r="BF24" s="239">
        <f t="shared" si="28"/>
        <v>25.952870911283448</v>
      </c>
      <c r="BG24" s="239">
        <f t="shared" si="28"/>
        <v>0</v>
      </c>
      <c r="BH24" s="239">
        <f t="shared" si="28"/>
        <v>0</v>
      </c>
      <c r="BI24" s="239">
        <f t="shared" si="28"/>
        <v>0</v>
      </c>
      <c r="BJ24" s="239">
        <f t="shared" si="28"/>
        <v>0</v>
      </c>
      <c r="BK24" s="239">
        <f t="shared" si="28"/>
        <v>0</v>
      </c>
      <c r="BL24" s="239">
        <f t="shared" si="28"/>
        <v>0</v>
      </c>
      <c r="BM24" s="239">
        <f t="shared" si="28"/>
        <v>0</v>
      </c>
      <c r="BN24" s="239">
        <f t="shared" si="28"/>
        <v>0</v>
      </c>
      <c r="BO24" s="239">
        <f t="shared" si="28"/>
        <v>0</v>
      </c>
      <c r="BP24" s="239">
        <f t="shared" si="28"/>
        <v>0</v>
      </c>
    </row>
    <row r="25" spans="1:68" outlineLevel="1">
      <c r="A25" s="230" t="s">
        <v>261</v>
      </c>
      <c r="B25" s="231">
        <f>SUM(C25:BP25)</f>
        <v>2257.1372546999992</v>
      </c>
      <c r="C25" s="240">
        <f>C7*基础信息!$B20</f>
        <v>0</v>
      </c>
      <c r="D25" s="240">
        <f>D7*基础信息!$B20</f>
        <v>0</v>
      </c>
      <c r="E25" s="240">
        <f>E7*基础信息!$B20</f>
        <v>0</v>
      </c>
      <c r="F25" s="240">
        <f>F7*基础信息!$B20</f>
        <v>0</v>
      </c>
      <c r="G25" s="240">
        <f>G7*基础信息!$B20</f>
        <v>0</v>
      </c>
      <c r="H25" s="235">
        <f>H7*基础信息!$B20</f>
        <v>0</v>
      </c>
      <c r="I25" s="240">
        <f>I7*基础信息!$B20</f>
        <v>0</v>
      </c>
      <c r="J25" s="240">
        <f>J7*基础信息!$B20</f>
        <v>0</v>
      </c>
      <c r="K25" s="240">
        <f>K7*基础信息!$B20</f>
        <v>0</v>
      </c>
      <c r="L25" s="240">
        <f>L7*基础信息!$B20</f>
        <v>0</v>
      </c>
      <c r="M25" s="240">
        <f>M7*1.09*基础信息!$B20</f>
        <v>0</v>
      </c>
      <c r="N25" s="240">
        <f>N7*1.09*基础信息!$B20</f>
        <v>0</v>
      </c>
      <c r="O25" s="240">
        <f>O7*1.09*基础信息!$B20</f>
        <v>0</v>
      </c>
      <c r="P25" s="240">
        <f>P7*1.09*基础信息!$B20</f>
        <v>0</v>
      </c>
      <c r="Q25" s="240">
        <f>Q7*1.09*基础信息!$B20</f>
        <v>0</v>
      </c>
      <c r="R25" s="240">
        <f>R7*1.09*基础信息!$B20</f>
        <v>0</v>
      </c>
      <c r="S25" s="240">
        <f>S7*1.09*基础信息!$B20</f>
        <v>0</v>
      </c>
      <c r="T25" s="240">
        <f>T7*1.09*基础信息!$B20</f>
        <v>0</v>
      </c>
      <c r="U25" s="240">
        <f>U7*1.09*基础信息!$B20</f>
        <v>0</v>
      </c>
      <c r="V25" s="240">
        <f>V7*1.09*基础信息!$B20</f>
        <v>0</v>
      </c>
      <c r="W25" s="240">
        <f>W7*1.09*基础信息!$B20</f>
        <v>0</v>
      </c>
      <c r="X25" s="240">
        <f>X7*1.09*基础信息!$B20</f>
        <v>0</v>
      </c>
      <c r="Y25" s="240">
        <f>Y7*1.09*基础信息!$B20</f>
        <v>0</v>
      </c>
      <c r="Z25" s="240">
        <f>Z7*1.09*基础信息!$B20</f>
        <v>0</v>
      </c>
      <c r="AA25" s="240">
        <f>AA7*1.09*基础信息!$B20</f>
        <v>0</v>
      </c>
      <c r="AB25" s="240">
        <f>AB7*1.09*基础信息!$B20</f>
        <v>0</v>
      </c>
      <c r="AC25" s="240">
        <f>AC7*1.09*基础信息!$B20</f>
        <v>0</v>
      </c>
      <c r="AD25" s="240">
        <f>AD7*1.09*基础信息!$B20</f>
        <v>0</v>
      </c>
      <c r="AE25" s="240">
        <f>AE7*1.09*基础信息!$B20</f>
        <v>0</v>
      </c>
      <c r="AF25" s="240">
        <f>AF7*1.09*基础信息!$B20</f>
        <v>325.30871019373632</v>
      </c>
      <c r="AG25" s="240">
        <f>AG7*1.09*基础信息!$B20</f>
        <v>79.201582710595318</v>
      </c>
      <c r="AH25" s="240">
        <f>AH7*1.09*基础信息!$B20</f>
        <v>165.30281048586622</v>
      </c>
      <c r="AI25" s="240">
        <f>AI7*1.09*基础信息!$B20</f>
        <v>68.264608506719483</v>
      </c>
      <c r="AJ25" s="240">
        <f>AJ7*1.09*基础信息!$B20</f>
        <v>98.961320491575464</v>
      </c>
      <c r="AK25" s="240">
        <f>AK7*1.09*基础信息!$B20</f>
        <v>108.76654148378185</v>
      </c>
      <c r="AL25" s="240">
        <f>AL7*1.09*基础信息!$B20</f>
        <v>106.67786401611822</v>
      </c>
      <c r="AM25" s="240">
        <f>AM7*1.09*基础信息!$B20</f>
        <v>128.30786504385782</v>
      </c>
      <c r="AN25" s="240">
        <f>AN7*1.09*基础信息!$B20</f>
        <v>108.27165356553061</v>
      </c>
      <c r="AO25" s="240">
        <f>AO7*1.09*基础信息!$B20</f>
        <v>123.46957534028448</v>
      </c>
      <c r="AP25" s="240">
        <f>AP7*1.09*基础信息!$B20</f>
        <v>112.81720641308942</v>
      </c>
      <c r="AQ25" s="240">
        <f>AQ7*1.09*基础信息!$B20</f>
        <v>110.58102209631183</v>
      </c>
      <c r="AR25" s="240">
        <f>AR7*1.09*基础信息!$B20</f>
        <v>145.64097692006428</v>
      </c>
      <c r="AS25" s="240">
        <f>AS7*1.09*基础信息!$B20</f>
        <v>114.49426333487928</v>
      </c>
      <c r="AT25" s="240">
        <f>AT7*1.09*基础信息!$B20</f>
        <v>127.1985793858874</v>
      </c>
      <c r="AU25" s="240">
        <f>AU7*1.09*基础信息!$B20</f>
        <v>115.93501656123074</v>
      </c>
      <c r="AV25" s="240">
        <f>AV7*1.09*基础信息!$B20</f>
        <v>57.460341677570213</v>
      </c>
      <c r="AW25" s="240">
        <f>AW7*1.09*基础信息!$B20</f>
        <v>102.23667055667585</v>
      </c>
      <c r="AX25" s="240">
        <f>AX7*1.09*基础信息!$B20</f>
        <v>4.7335549617547992</v>
      </c>
      <c r="AY25" s="240">
        <f>AY7*1.09*基础信息!$B20</f>
        <v>4.3954438930580277</v>
      </c>
      <c r="AZ25" s="240">
        <f>AZ7*1.09*基础信息!$B20</f>
        <v>4.3954438930580277</v>
      </c>
      <c r="BA25" s="240">
        <f>BA7*1.09*基础信息!$B20</f>
        <v>4.7335549617547992</v>
      </c>
      <c r="BB25" s="240">
        <f>BB7*1.09*基础信息!$B20</f>
        <v>4.7335549617547992</v>
      </c>
      <c r="BC25" s="240">
        <f>BC7*1.09*基础信息!$B20</f>
        <v>4.7335549617547992</v>
      </c>
      <c r="BD25" s="240">
        <f>BD7*1.09*基础信息!$B20</f>
        <v>10.143332060903143</v>
      </c>
      <c r="BE25" s="240">
        <f>BE7*1.09*基础信息!$B20</f>
        <v>10.143332060903143</v>
      </c>
      <c r="BF25" s="240">
        <f>BF7*1.09*基础信息!$B20</f>
        <v>10.228874161283434</v>
      </c>
      <c r="BG25" s="240">
        <f>BG7*1.09*基础信息!$B20</f>
        <v>0</v>
      </c>
      <c r="BH25" s="240">
        <f>BH7*1.09*基础信息!$B20</f>
        <v>0</v>
      </c>
      <c r="BI25" s="240">
        <f>BI7*1.09*基础信息!$B20</f>
        <v>0</v>
      </c>
      <c r="BJ25" s="240">
        <f>BJ7*1.09*基础信息!$B20</f>
        <v>0</v>
      </c>
      <c r="BK25" s="240">
        <f>BK7*1.09*基础信息!$B20</f>
        <v>0</v>
      </c>
      <c r="BL25" s="240">
        <f>BL7*1.09*基础信息!$B20</f>
        <v>0</v>
      </c>
      <c r="BM25" s="240">
        <f>BM7*1.09*基础信息!$B20</f>
        <v>0</v>
      </c>
      <c r="BN25" s="240">
        <f>BN7*1.09*基础信息!$B20</f>
        <v>0</v>
      </c>
      <c r="BO25" s="240">
        <f>BO7*1.09*基础信息!$B20</f>
        <v>0</v>
      </c>
      <c r="BP25" s="240">
        <f>BP7*1.09*基础信息!$B20</f>
        <v>0</v>
      </c>
    </row>
    <row r="26" spans="1:68" outlineLevel="1">
      <c r="A26" s="230" t="s">
        <v>262</v>
      </c>
      <c r="B26" s="231">
        <f>SUM(C26:BP26)</f>
        <v>3469.7092072500009</v>
      </c>
      <c r="C26" s="240">
        <f>C7*基础信息!$B21</f>
        <v>0</v>
      </c>
      <c r="D26" s="240">
        <f>D7*基础信息!$B21</f>
        <v>0</v>
      </c>
      <c r="E26" s="240">
        <f>E7*基础信息!$B21</f>
        <v>0</v>
      </c>
      <c r="F26" s="240">
        <f>F7*基础信息!$B21</f>
        <v>0</v>
      </c>
      <c r="G26" s="240">
        <f>G7*基础信息!$B21</f>
        <v>0</v>
      </c>
      <c r="H26" s="240">
        <f>H7*基础信息!$B21</f>
        <v>0</v>
      </c>
      <c r="I26" s="240">
        <f>I7*基础信息!$B21</f>
        <v>0</v>
      </c>
      <c r="J26" s="240">
        <f>J7*基础信息!$B21</f>
        <v>0</v>
      </c>
      <c r="K26" s="240">
        <f>K7*基础信息!$B21</f>
        <v>0</v>
      </c>
      <c r="L26" s="240">
        <f>L7*基础信息!$B21</f>
        <v>0</v>
      </c>
      <c r="M26" s="240">
        <f>M7*1.09*基础信息!$B21</f>
        <v>0</v>
      </c>
      <c r="N26" s="240">
        <f>N7*1.09*基础信息!$B21</f>
        <v>0</v>
      </c>
      <c r="O26" s="240">
        <f>O7*1.09*基础信息!$B21</f>
        <v>0</v>
      </c>
      <c r="P26" s="240">
        <f>P7*1.09*基础信息!$B21</f>
        <v>0</v>
      </c>
      <c r="Q26" s="240">
        <f>Q7*1.09*基础信息!$B21</f>
        <v>0</v>
      </c>
      <c r="R26" s="240">
        <f>R7*1.09*基础信息!$B21</f>
        <v>0</v>
      </c>
      <c r="S26" s="240">
        <f>S7*1.09*基础信息!$B21</f>
        <v>0</v>
      </c>
      <c r="T26" s="240">
        <f>T7*1.09*基础信息!$B21</f>
        <v>0</v>
      </c>
      <c r="U26" s="240">
        <f>U7*1.09*基础信息!$B21</f>
        <v>0</v>
      </c>
      <c r="V26" s="240">
        <f>V7*1.09*基础信息!$B21</f>
        <v>0</v>
      </c>
      <c r="W26" s="240">
        <f>W7*1.09*基础信息!$B21</f>
        <v>0</v>
      </c>
      <c r="X26" s="240">
        <f>X7*1.09*基础信息!$B21</f>
        <v>0</v>
      </c>
      <c r="Y26" s="240">
        <f>Y7*1.09*基础信息!$B21</f>
        <v>0</v>
      </c>
      <c r="Z26" s="240">
        <f>Z7*1.09*基础信息!$B21</f>
        <v>0</v>
      </c>
      <c r="AA26" s="240">
        <f>AA7*1.09*基础信息!$B21</f>
        <v>0</v>
      </c>
      <c r="AB26" s="240">
        <f>AB7*1.09*基础信息!$B21</f>
        <v>0</v>
      </c>
      <c r="AC26" s="240">
        <f>AC7*1.09*基础信息!$B21</f>
        <v>0</v>
      </c>
      <c r="AD26" s="240">
        <f>AD7*1.09*基础信息!$B21</f>
        <v>0</v>
      </c>
      <c r="AE26" s="240">
        <f>AE7*1.09*基础信息!$B21</f>
        <v>0</v>
      </c>
      <c r="AF26" s="240">
        <f>AF7*1.09*基础信息!$B21</f>
        <v>500.07</v>
      </c>
      <c r="AG26" s="240">
        <f>AG7*1.09*基础信息!$B21</f>
        <v>121.75</v>
      </c>
      <c r="AH26" s="240">
        <f>AH7*1.09*基础信息!$B21</f>
        <v>254.10625000000002</v>
      </c>
      <c r="AI26" s="240">
        <f>AI7*1.09*基础信息!$B21</f>
        <v>104.9375</v>
      </c>
      <c r="AJ26" s="240">
        <f>AJ7*1.09*基础信息!$B21</f>
        <v>152.125</v>
      </c>
      <c r="AK26" s="240">
        <f>AK7*1.09*基础信息!$B21</f>
        <v>167.19775000000004</v>
      </c>
      <c r="AL26" s="240">
        <f>AL7*1.09*基础信息!$B21</f>
        <v>163.98699999999999</v>
      </c>
      <c r="AM26" s="240">
        <f>AM7*1.09*基础信息!$B21</f>
        <v>197.23699999999999</v>
      </c>
      <c r="AN26" s="240">
        <f>AN7*1.09*基础信息!$B21</f>
        <v>166.43700000000001</v>
      </c>
      <c r="AO26" s="240">
        <f>AO7*1.09*基础信息!$B21</f>
        <v>189.79949999999999</v>
      </c>
      <c r="AP26" s="240">
        <f>AP7*1.09*基础信息!$B21</f>
        <v>173.42449999999999</v>
      </c>
      <c r="AQ26" s="240">
        <f>AQ7*1.09*基础信息!$B21</f>
        <v>169.98699999999999</v>
      </c>
      <c r="AR26" s="240">
        <f>AR7*1.09*基础信息!$B21</f>
        <v>223.88175000000001</v>
      </c>
      <c r="AS26" s="240">
        <f>AS7*1.09*基础信息!$B21</f>
        <v>176.0025</v>
      </c>
      <c r="AT26" s="240">
        <f>AT7*1.09*基础信息!$B21</f>
        <v>195.53178749999992</v>
      </c>
      <c r="AU26" s="240">
        <f>AU7*1.09*基础信息!$B21</f>
        <v>178.21725000000001</v>
      </c>
      <c r="AV26" s="240">
        <f>AV7*1.09*基础信息!$B21</f>
        <v>88.329000000000008</v>
      </c>
      <c r="AW26" s="240">
        <f>AW7*1.09*基础信息!$B21</f>
        <v>157.15992299999994</v>
      </c>
      <c r="AX26" s="240">
        <f>AX7*1.09*基础信息!$B21</f>
        <v>7.2765000000000004</v>
      </c>
      <c r="AY26" s="240">
        <f>AY7*1.09*基础信息!$B21</f>
        <v>6.7567500000000003</v>
      </c>
      <c r="AZ26" s="240">
        <f>AZ7*1.09*基础信息!$B21</f>
        <v>6.7567500000000003</v>
      </c>
      <c r="BA26" s="240">
        <f>BA7*1.09*基础信息!$B21</f>
        <v>7.2765000000000004</v>
      </c>
      <c r="BB26" s="240">
        <f>BB7*1.09*基础信息!$B21</f>
        <v>7.2765000000000004</v>
      </c>
      <c r="BC26" s="240">
        <f>BC7*1.09*基础信息!$B21</f>
        <v>7.2765000000000004</v>
      </c>
      <c r="BD26" s="240">
        <f>BD7*1.09*基础信息!$B21</f>
        <v>15.592500000000001</v>
      </c>
      <c r="BE26" s="240">
        <f>BE7*1.09*基础信息!$B21</f>
        <v>15.592500000000001</v>
      </c>
      <c r="BF26" s="240">
        <f>BF7*1.09*基础信息!$B21</f>
        <v>15.723996750000016</v>
      </c>
      <c r="BG26" s="240">
        <f>BG7*1.09*基础信息!$B21</f>
        <v>0</v>
      </c>
      <c r="BH26" s="240">
        <f>BH7*1.09*基础信息!$B21</f>
        <v>0</v>
      </c>
      <c r="BI26" s="240">
        <f>BI7*1.09*基础信息!$B21</f>
        <v>0</v>
      </c>
      <c r="BJ26" s="240">
        <f>BJ7*1.09*基础信息!$B21</f>
        <v>0</v>
      </c>
      <c r="BK26" s="240">
        <f>BK7*1.09*基础信息!$B21</f>
        <v>0</v>
      </c>
      <c r="BL26" s="240">
        <f>BL7*1.09*基础信息!$B21</f>
        <v>0</v>
      </c>
      <c r="BM26" s="240">
        <f>BM7*1.09*基础信息!$B21</f>
        <v>0</v>
      </c>
      <c r="BN26" s="240">
        <f>BN7*1.09*基础信息!$B21</f>
        <v>0</v>
      </c>
      <c r="BO26" s="240">
        <f>BO7*1.09*基础信息!$B21</f>
        <v>0</v>
      </c>
      <c r="BP26" s="240">
        <f>BP7*1.09*基础信息!$B21</f>
        <v>0</v>
      </c>
    </row>
    <row r="27" spans="1:68">
      <c r="A27" s="233" t="s">
        <v>263</v>
      </c>
      <c r="B27" s="231">
        <f ca="1">SUM(C27:BP27)</f>
        <v>20666.521750225227</v>
      </c>
      <c r="C27" s="239">
        <f ca="1">C19-C24-C23</f>
        <v>0</v>
      </c>
      <c r="D27" s="239">
        <f t="shared" ref="D27:AR27" ca="1" si="29">D19-D24-D23</f>
        <v>0</v>
      </c>
      <c r="E27" s="239">
        <f t="shared" ca="1" si="29"/>
        <v>0</v>
      </c>
      <c r="F27" s="239">
        <f t="shared" ca="1" si="29"/>
        <v>0</v>
      </c>
      <c r="G27" s="239">
        <f t="shared" ca="1" si="29"/>
        <v>0</v>
      </c>
      <c r="H27" s="239">
        <f t="shared" ca="1" si="29"/>
        <v>0</v>
      </c>
      <c r="I27" s="239">
        <f t="shared" ca="1" si="29"/>
        <v>0</v>
      </c>
      <c r="J27" s="239">
        <f t="shared" ca="1" si="29"/>
        <v>0</v>
      </c>
      <c r="K27" s="239">
        <f t="shared" ca="1" si="29"/>
        <v>0</v>
      </c>
      <c r="L27" s="239">
        <f t="shared" ca="1" si="29"/>
        <v>0</v>
      </c>
      <c r="M27" s="239">
        <f t="shared" ca="1" si="29"/>
        <v>0</v>
      </c>
      <c r="N27" s="239">
        <f t="shared" ca="1" si="29"/>
        <v>0</v>
      </c>
      <c r="O27" s="239">
        <f t="shared" ca="1" si="29"/>
        <v>0</v>
      </c>
      <c r="P27" s="239">
        <f t="shared" ca="1" si="29"/>
        <v>0</v>
      </c>
      <c r="Q27" s="239">
        <f t="shared" ca="1" si="29"/>
        <v>0</v>
      </c>
      <c r="R27" s="239">
        <f ca="1">R19-R24-R23</f>
        <v>0</v>
      </c>
      <c r="S27" s="239">
        <f ca="1">S19-S24-S23</f>
        <v>0</v>
      </c>
      <c r="T27" s="239">
        <f ca="1">T19-T24-T23</f>
        <v>0</v>
      </c>
      <c r="U27" s="239">
        <f ca="1">U19-U24-U23</f>
        <v>0</v>
      </c>
      <c r="V27" s="239">
        <f t="shared" ca="1" si="29"/>
        <v>0</v>
      </c>
      <c r="W27" s="239">
        <f t="shared" ca="1" si="29"/>
        <v>0</v>
      </c>
      <c r="X27" s="239">
        <f t="shared" ca="1" si="29"/>
        <v>0</v>
      </c>
      <c r="Y27" s="239">
        <f t="shared" ca="1" si="29"/>
        <v>0</v>
      </c>
      <c r="Z27" s="239">
        <f t="shared" ref="Z27:AL27" ca="1" si="30">Z19-Z24-Z23</f>
        <v>0</v>
      </c>
      <c r="AA27" s="239">
        <f t="shared" ca="1" si="30"/>
        <v>0</v>
      </c>
      <c r="AB27" s="239">
        <f t="shared" ca="1" si="30"/>
        <v>0</v>
      </c>
      <c r="AC27" s="239">
        <f t="shared" ca="1" si="30"/>
        <v>0</v>
      </c>
      <c r="AD27" s="239">
        <f t="shared" ca="1" si="30"/>
        <v>0</v>
      </c>
      <c r="AE27" s="239">
        <f t="shared" ca="1" si="30"/>
        <v>0</v>
      </c>
      <c r="AF27" s="239">
        <f t="shared" ca="1" si="30"/>
        <v>2005.1502673546725</v>
      </c>
      <c r="AG27" s="239">
        <f t="shared" ca="1" si="30"/>
        <v>553.43227897643362</v>
      </c>
      <c r="AH27" s="239">
        <f t="shared" ca="1" si="30"/>
        <v>1206.5688493941484</v>
      </c>
      <c r="AI27" s="239">
        <f t="shared" ca="1" si="30"/>
        <v>551.75163612906499</v>
      </c>
      <c r="AJ27" s="239">
        <f t="shared" ca="1" si="30"/>
        <v>771.0101137391689</v>
      </c>
      <c r="AK27" s="239">
        <f t="shared" ca="1" si="30"/>
        <v>1044.0457631099857</v>
      </c>
      <c r="AL27" s="239">
        <f t="shared" ca="1" si="30"/>
        <v>913.53630889115107</v>
      </c>
      <c r="AM27" s="239">
        <f t="shared" ca="1" si="29"/>
        <v>1066.7819153725973</v>
      </c>
      <c r="AN27" s="239">
        <f t="shared" ca="1" si="29"/>
        <v>1071.7046903501632</v>
      </c>
      <c r="AO27" s="239">
        <f t="shared" ca="1" si="29"/>
        <v>1176.9359788622437</v>
      </c>
      <c r="AP27" s="239">
        <f t="shared" ca="1" si="29"/>
        <v>1108.8683848720621</v>
      </c>
      <c r="AQ27" s="239">
        <f t="shared" ca="1" si="29"/>
        <v>1060.8961378632134</v>
      </c>
      <c r="AR27" s="239">
        <f t="shared" ca="1" si="29"/>
        <v>1419.8542936159881</v>
      </c>
      <c r="AS27" s="239">
        <f t="shared" ref="AS27:BP27" ca="1" si="31">AS19-AS24-AS23</f>
        <v>1120.9733752049583</v>
      </c>
      <c r="AT27" s="239">
        <f t="shared" ca="1" si="31"/>
        <v>1364.6160921005944</v>
      </c>
      <c r="AU27" s="239">
        <f t="shared" ca="1" si="31"/>
        <v>1082.9096865576605</v>
      </c>
      <c r="AV27" s="239">
        <f t="shared" ca="1" si="31"/>
        <v>527.637839061161</v>
      </c>
      <c r="AW27" s="239">
        <f t="shared" ca="1" si="31"/>
        <v>998.98832964748453</v>
      </c>
      <c r="AX27" s="239">
        <f t="shared" ca="1" si="31"/>
        <v>131.70119585704788</v>
      </c>
      <c r="AY27" s="239">
        <f t="shared" ca="1" si="31"/>
        <v>122.06793820032489</v>
      </c>
      <c r="AZ27" s="239">
        <f t="shared" ca="1" si="31"/>
        <v>122.06793820032489</v>
      </c>
      <c r="BA27" s="239">
        <f t="shared" ca="1" si="31"/>
        <v>131.70119585704788</v>
      </c>
      <c r="BB27" s="239">
        <f t="shared" ca="1" si="31"/>
        <v>131.70119585704788</v>
      </c>
      <c r="BC27" s="239">
        <f t="shared" ca="1" si="31"/>
        <v>131.70119585704788</v>
      </c>
      <c r="BD27" s="239">
        <f t="shared" ca="1" si="31"/>
        <v>282.66890702754165</v>
      </c>
      <c r="BE27" s="239">
        <f t="shared" ca="1" si="31"/>
        <v>282.66890702754165</v>
      </c>
      <c r="BF27" s="239">
        <f t="shared" ca="1" si="31"/>
        <v>284.58133523855241</v>
      </c>
      <c r="BG27" s="239">
        <f t="shared" ca="1" si="31"/>
        <v>0</v>
      </c>
      <c r="BH27" s="239">
        <f t="shared" ca="1" si="31"/>
        <v>0</v>
      </c>
      <c r="BI27" s="239">
        <f t="shared" ca="1" si="31"/>
        <v>0</v>
      </c>
      <c r="BJ27" s="239">
        <f t="shared" ca="1" si="31"/>
        <v>0</v>
      </c>
      <c r="BK27" s="239">
        <f t="shared" ca="1" si="31"/>
        <v>0</v>
      </c>
      <c r="BL27" s="239">
        <f t="shared" ca="1" si="31"/>
        <v>0</v>
      </c>
      <c r="BM27" s="239">
        <f t="shared" ca="1" si="31"/>
        <v>0</v>
      </c>
      <c r="BN27" s="239">
        <f t="shared" ca="1" si="31"/>
        <v>0</v>
      </c>
      <c r="BO27" s="239">
        <f t="shared" ca="1" si="31"/>
        <v>0</v>
      </c>
      <c r="BP27" s="239">
        <f t="shared" ca="1" si="31"/>
        <v>0</v>
      </c>
    </row>
    <row r="28" spans="1:68">
      <c r="A28" s="233" t="s">
        <v>264</v>
      </c>
      <c r="B28" s="231">
        <f ca="1">SUM(C28:BP28)</f>
        <v>5166.6304375563068</v>
      </c>
      <c r="C28" s="241">
        <f ca="1">C27*基础信息!$B$28</f>
        <v>0</v>
      </c>
      <c r="D28" s="241">
        <f ca="1">D27*基础信息!$B$28</f>
        <v>0</v>
      </c>
      <c r="E28" s="241">
        <f ca="1">E27*基础信息!$B$28</f>
        <v>0</v>
      </c>
      <c r="F28" s="241">
        <f ca="1">F27*基础信息!$B$28</f>
        <v>0</v>
      </c>
      <c r="G28" s="241">
        <f ca="1">G27*基础信息!$B$28</f>
        <v>0</v>
      </c>
      <c r="H28" s="242">
        <f ca="1">H27*基础信息!$B$28</f>
        <v>0</v>
      </c>
      <c r="I28" s="241">
        <f ca="1">I27*基础信息!$B$28</f>
        <v>0</v>
      </c>
      <c r="J28" s="241">
        <f ca="1">J27*基础信息!$B$28</f>
        <v>0</v>
      </c>
      <c r="K28" s="241">
        <f ca="1">K27*基础信息!$B$28</f>
        <v>0</v>
      </c>
      <c r="L28" s="241">
        <f ca="1">L27*基础信息!$B$28</f>
        <v>0</v>
      </c>
      <c r="M28" s="241">
        <f ca="1">M27*基础信息!$B$28</f>
        <v>0</v>
      </c>
      <c r="N28" s="241">
        <f ca="1">N27*基础信息!$B$28</f>
        <v>0</v>
      </c>
      <c r="O28" s="241">
        <f ca="1">O27*基础信息!$B$28</f>
        <v>0</v>
      </c>
      <c r="P28" s="241">
        <f ca="1">P27*基础信息!$B$28</f>
        <v>0</v>
      </c>
      <c r="Q28" s="241">
        <f ca="1">Q27*基础信息!$B$28</f>
        <v>0</v>
      </c>
      <c r="R28" s="241">
        <f ca="1">R27*基础信息!$B$28</f>
        <v>0</v>
      </c>
      <c r="S28" s="241">
        <f ca="1">S27*基础信息!$B$28</f>
        <v>0</v>
      </c>
      <c r="T28" s="241">
        <f ca="1">T27*基础信息!$B$28</f>
        <v>0</v>
      </c>
      <c r="U28" s="241">
        <f ca="1">U27*基础信息!$B$28</f>
        <v>0</v>
      </c>
      <c r="V28" s="241">
        <f ca="1">V27*基础信息!$B$28</f>
        <v>0</v>
      </c>
      <c r="W28" s="241">
        <f ca="1">W27*基础信息!$B$28</f>
        <v>0</v>
      </c>
      <c r="X28" s="241">
        <f ca="1">X27*基础信息!$B$28</f>
        <v>0</v>
      </c>
      <c r="Y28" s="241">
        <f ca="1">Y27*基础信息!$B$28</f>
        <v>0</v>
      </c>
      <c r="Z28" s="241">
        <f ca="1">Z27*基础信息!$B$28</f>
        <v>0</v>
      </c>
      <c r="AA28" s="241">
        <f ca="1">AA27*基础信息!$B$28</f>
        <v>0</v>
      </c>
      <c r="AB28" s="241">
        <f ca="1">AB27*基础信息!$B$28</f>
        <v>0</v>
      </c>
      <c r="AC28" s="241">
        <f ca="1">AC27*基础信息!$B$28</f>
        <v>0</v>
      </c>
      <c r="AD28" s="241">
        <f ca="1">AD27*基础信息!$B$28</f>
        <v>0</v>
      </c>
      <c r="AE28" s="241">
        <f ca="1">AE27*基础信息!$B$28</f>
        <v>0</v>
      </c>
      <c r="AF28" s="241">
        <f ca="1">AF27*基础信息!$B$28</f>
        <v>501.28756683866811</v>
      </c>
      <c r="AG28" s="241">
        <f ca="1">AG27*基础信息!$B$28</f>
        <v>138.35806974410841</v>
      </c>
      <c r="AH28" s="241">
        <f ca="1">AH27*基础信息!$B$28</f>
        <v>301.6422123485371</v>
      </c>
      <c r="AI28" s="241">
        <f ca="1">AI27*基础信息!$B$28</f>
        <v>137.93790903226625</v>
      </c>
      <c r="AJ28" s="241">
        <f ca="1">AJ27*基础信息!$B$28</f>
        <v>192.75252843479223</v>
      </c>
      <c r="AK28" s="241">
        <f ca="1">AK27*基础信息!$B$28</f>
        <v>261.01144077749643</v>
      </c>
      <c r="AL28" s="241">
        <f ca="1">AL27*基础信息!$B$28</f>
        <v>228.38407722278777</v>
      </c>
      <c r="AM28" s="241">
        <f ca="1">AM27*基础信息!$B$28</f>
        <v>266.69547884314932</v>
      </c>
      <c r="AN28" s="241">
        <f ca="1">AN27*基础信息!$B$28</f>
        <v>267.9261725875408</v>
      </c>
      <c r="AO28" s="241">
        <f ca="1">AO27*基础信息!$B$28</f>
        <v>294.23399471556093</v>
      </c>
      <c r="AP28" s="241">
        <f ca="1">AP27*基础信息!$B$28</f>
        <v>277.21709621801551</v>
      </c>
      <c r="AQ28" s="241">
        <f ca="1">AQ27*基础信息!$B$28</f>
        <v>265.22403446580336</v>
      </c>
      <c r="AR28" s="241">
        <f ca="1">AR27*基础信息!$B$28</f>
        <v>354.96357340399703</v>
      </c>
      <c r="AS28" s="241">
        <f ca="1">AS27*基础信息!$B$28</f>
        <v>280.24334380123958</v>
      </c>
      <c r="AT28" s="241">
        <f ca="1">AT27*基础信息!$B$28</f>
        <v>341.1540230251486</v>
      </c>
      <c r="AU28" s="241">
        <f ca="1">AU27*基础信息!$B$28</f>
        <v>270.72742163941513</v>
      </c>
      <c r="AV28" s="241">
        <f ca="1">AV27*基础信息!$B$28</f>
        <v>131.90945976529025</v>
      </c>
      <c r="AW28" s="241">
        <f ca="1">AW27*基础信息!$B$28</f>
        <v>249.74708241187113</v>
      </c>
      <c r="AX28" s="241">
        <f ca="1">AX27*基础信息!$B$28</f>
        <v>32.92529896426197</v>
      </c>
      <c r="AY28" s="241">
        <f ca="1">AY27*基础信息!$B$28</f>
        <v>30.516984550081222</v>
      </c>
      <c r="AZ28" s="241">
        <f ca="1">AZ27*基础信息!$B$28</f>
        <v>30.516984550081222</v>
      </c>
      <c r="BA28" s="241">
        <f ca="1">BA27*基础信息!$B$28</f>
        <v>32.92529896426197</v>
      </c>
      <c r="BB28" s="241">
        <f ca="1">BB27*基础信息!$B$28</f>
        <v>32.92529896426197</v>
      </c>
      <c r="BC28" s="241">
        <f ca="1">BC27*基础信息!$B$28</f>
        <v>32.92529896426197</v>
      </c>
      <c r="BD28" s="241">
        <f ca="1">BD27*基础信息!$B$28</f>
        <v>70.667226756885412</v>
      </c>
      <c r="BE28" s="241">
        <f ca="1">BE27*基础信息!$B$28</f>
        <v>70.667226756885412</v>
      </c>
      <c r="BF28" s="241">
        <f ca="1">BF27*基础信息!$B$28</f>
        <v>71.145333809638103</v>
      </c>
      <c r="BG28" s="241">
        <f ca="1">BG27*基础信息!$B$28</f>
        <v>0</v>
      </c>
      <c r="BH28" s="241">
        <f ca="1">BH27*基础信息!$B$28</f>
        <v>0</v>
      </c>
      <c r="BI28" s="241">
        <f ca="1">BI27*基础信息!$B$28</f>
        <v>0</v>
      </c>
      <c r="BJ28" s="241">
        <f ca="1">BJ27*基础信息!$B$28</f>
        <v>0</v>
      </c>
      <c r="BK28" s="241">
        <f ca="1">BK27*基础信息!$B$28</f>
        <v>0</v>
      </c>
      <c r="BL28" s="241">
        <f ca="1">BL27*基础信息!$B$28</f>
        <v>0</v>
      </c>
      <c r="BM28" s="241">
        <f ca="1">BM27*基础信息!$B$28</f>
        <v>0</v>
      </c>
      <c r="BN28" s="241">
        <f ca="1">BN27*基础信息!$B$28</f>
        <v>0</v>
      </c>
      <c r="BO28" s="241">
        <f ca="1">BO27*基础信息!$B$28</f>
        <v>0</v>
      </c>
      <c r="BP28" s="241">
        <f ca="1">BP27*基础信息!$B$28</f>
        <v>0</v>
      </c>
    </row>
    <row r="29" spans="1:68">
      <c r="A29" s="233" t="s">
        <v>265</v>
      </c>
      <c r="B29" s="231">
        <f ca="1">SUM(C29:BP29)</f>
        <v>15499.891312668922</v>
      </c>
      <c r="C29" s="239">
        <f t="shared" ref="C29:AR29" ca="1" si="32">C27-C28</f>
        <v>0</v>
      </c>
      <c r="D29" s="239">
        <f t="shared" ca="1" si="32"/>
        <v>0</v>
      </c>
      <c r="E29" s="239">
        <f t="shared" ca="1" si="32"/>
        <v>0</v>
      </c>
      <c r="F29" s="239">
        <f t="shared" ca="1" si="32"/>
        <v>0</v>
      </c>
      <c r="G29" s="239">
        <f t="shared" ca="1" si="32"/>
        <v>0</v>
      </c>
      <c r="H29" s="239">
        <f t="shared" ca="1" si="32"/>
        <v>0</v>
      </c>
      <c r="I29" s="239">
        <f t="shared" ca="1" si="32"/>
        <v>0</v>
      </c>
      <c r="J29" s="239">
        <f ca="1">J27-J28</f>
        <v>0</v>
      </c>
      <c r="K29" s="239">
        <f t="shared" ca="1" si="32"/>
        <v>0</v>
      </c>
      <c r="L29" s="239">
        <f t="shared" ca="1" si="32"/>
        <v>0</v>
      </c>
      <c r="M29" s="239">
        <f t="shared" ca="1" si="32"/>
        <v>0</v>
      </c>
      <c r="N29" s="239">
        <f t="shared" ca="1" si="32"/>
        <v>0</v>
      </c>
      <c r="O29" s="239">
        <f t="shared" ca="1" si="32"/>
        <v>0</v>
      </c>
      <c r="P29" s="239">
        <f t="shared" ca="1" si="32"/>
        <v>0</v>
      </c>
      <c r="Q29" s="239">
        <f t="shared" ca="1" si="32"/>
        <v>0</v>
      </c>
      <c r="R29" s="239">
        <f t="shared" ca="1" si="32"/>
        <v>0</v>
      </c>
      <c r="S29" s="239">
        <f t="shared" ca="1" si="32"/>
        <v>0</v>
      </c>
      <c r="T29" s="239">
        <f t="shared" ca="1" si="32"/>
        <v>0</v>
      </c>
      <c r="U29" s="239">
        <f t="shared" ca="1" si="32"/>
        <v>0</v>
      </c>
      <c r="V29" s="239">
        <f t="shared" ca="1" si="32"/>
        <v>0</v>
      </c>
      <c r="W29" s="239">
        <f t="shared" ca="1" si="32"/>
        <v>0</v>
      </c>
      <c r="X29" s="239">
        <f t="shared" ca="1" si="32"/>
        <v>0</v>
      </c>
      <c r="Y29" s="239">
        <f t="shared" ca="1" si="32"/>
        <v>0</v>
      </c>
      <c r="Z29" s="239">
        <f ca="1">Z27-Z28</f>
        <v>0</v>
      </c>
      <c r="AA29" s="239">
        <f ca="1">AA27-AA28</f>
        <v>0</v>
      </c>
      <c r="AB29" s="239">
        <f t="shared" ref="AB29:AQ29" ca="1" si="33">AB27-AB28</f>
        <v>0</v>
      </c>
      <c r="AC29" s="239">
        <f ca="1">AC27-AC28</f>
        <v>0</v>
      </c>
      <c r="AD29" s="239">
        <f t="shared" ca="1" si="33"/>
        <v>0</v>
      </c>
      <c r="AE29" s="239">
        <f ca="1">AE27-AE28</f>
        <v>0</v>
      </c>
      <c r="AF29" s="239">
        <f t="shared" ca="1" si="33"/>
        <v>1503.8627005160042</v>
      </c>
      <c r="AG29" s="239">
        <f t="shared" ca="1" si="33"/>
        <v>415.07420923232519</v>
      </c>
      <c r="AH29" s="239">
        <f t="shared" ca="1" si="33"/>
        <v>904.9266370456113</v>
      </c>
      <c r="AI29" s="239">
        <f t="shared" ca="1" si="33"/>
        <v>413.81372709679874</v>
      </c>
      <c r="AJ29" s="239">
        <f t="shared" ca="1" si="33"/>
        <v>578.25758530437668</v>
      </c>
      <c r="AK29" s="239">
        <f t="shared" ca="1" si="33"/>
        <v>783.0343223324893</v>
      </c>
      <c r="AL29" s="239">
        <f t="shared" ca="1" si="33"/>
        <v>685.15223166836336</v>
      </c>
      <c r="AM29" s="239">
        <f t="shared" ca="1" si="33"/>
        <v>800.08643652944795</v>
      </c>
      <c r="AN29" s="239">
        <f t="shared" ca="1" si="33"/>
        <v>803.77851776262241</v>
      </c>
      <c r="AO29" s="239">
        <f t="shared" ca="1" si="33"/>
        <v>882.70198414668278</v>
      </c>
      <c r="AP29" s="239">
        <f t="shared" ca="1" si="33"/>
        <v>831.65128865404654</v>
      </c>
      <c r="AQ29" s="239">
        <f t="shared" ca="1" si="33"/>
        <v>795.67210339741007</v>
      </c>
      <c r="AR29" s="239">
        <f t="shared" ca="1" si="32"/>
        <v>1064.890720211991</v>
      </c>
      <c r="AS29" s="239">
        <f t="shared" ref="AS29:BP29" ca="1" si="34">AS27-AS28</f>
        <v>840.73003140371873</v>
      </c>
      <c r="AT29" s="239">
        <f t="shared" ca="1" si="34"/>
        <v>1023.4620690754458</v>
      </c>
      <c r="AU29" s="239">
        <f t="shared" ca="1" si="34"/>
        <v>812.18226491824544</v>
      </c>
      <c r="AV29" s="239">
        <f t="shared" ca="1" si="34"/>
        <v>395.72837929587075</v>
      </c>
      <c r="AW29" s="239">
        <f t="shared" ca="1" si="34"/>
        <v>749.2412472356134</v>
      </c>
      <c r="AX29" s="239">
        <f t="shared" ca="1" si="34"/>
        <v>98.775896892785909</v>
      </c>
      <c r="AY29" s="239">
        <f t="shared" ca="1" si="34"/>
        <v>91.55095365024367</v>
      </c>
      <c r="AZ29" s="239">
        <f t="shared" ca="1" si="34"/>
        <v>91.55095365024367</v>
      </c>
      <c r="BA29" s="239">
        <f t="shared" ca="1" si="34"/>
        <v>98.775896892785909</v>
      </c>
      <c r="BB29" s="239">
        <f t="shared" ca="1" si="34"/>
        <v>98.775896892785909</v>
      </c>
      <c r="BC29" s="239">
        <f t="shared" ca="1" si="34"/>
        <v>98.775896892785909</v>
      </c>
      <c r="BD29" s="239">
        <f t="shared" ca="1" si="34"/>
        <v>212.00168027065624</v>
      </c>
      <c r="BE29" s="239">
        <f t="shared" ca="1" si="34"/>
        <v>212.00168027065624</v>
      </c>
      <c r="BF29" s="239">
        <f t="shared" ca="1" si="34"/>
        <v>213.43600142891432</v>
      </c>
      <c r="BG29" s="239">
        <f t="shared" ca="1" si="34"/>
        <v>0</v>
      </c>
      <c r="BH29" s="239">
        <f t="shared" ca="1" si="34"/>
        <v>0</v>
      </c>
      <c r="BI29" s="239">
        <f t="shared" ca="1" si="34"/>
        <v>0</v>
      </c>
      <c r="BJ29" s="239">
        <f t="shared" ca="1" si="34"/>
        <v>0</v>
      </c>
      <c r="BK29" s="239">
        <f t="shared" ca="1" si="34"/>
        <v>0</v>
      </c>
      <c r="BL29" s="239">
        <f t="shared" ca="1" si="34"/>
        <v>0</v>
      </c>
      <c r="BM29" s="239">
        <f t="shared" ca="1" si="34"/>
        <v>0</v>
      </c>
      <c r="BN29" s="239">
        <f t="shared" ca="1" si="34"/>
        <v>0</v>
      </c>
      <c r="BO29" s="239">
        <f t="shared" ca="1" si="34"/>
        <v>0</v>
      </c>
      <c r="BP29" s="239">
        <f t="shared" ca="1" si="34"/>
        <v>0</v>
      </c>
    </row>
    <row r="30" spans="1:68" s="243" customFormat="1" ht="13.5">
      <c r="A30" s="244"/>
      <c r="B30" s="245"/>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row>
    <row r="31" spans="1:68">
      <c r="A31" s="233" t="s">
        <v>266</v>
      </c>
      <c r="B31" s="247">
        <f ca="1">(B19-B23)/B3*10000</f>
        <v>1921.1585671554838</v>
      </c>
      <c r="C31" s="32"/>
      <c r="D31" s="32"/>
      <c r="E31" s="32"/>
      <c r="F31" s="32"/>
      <c r="G31" s="32"/>
      <c r="H31" s="32"/>
      <c r="I31" s="32"/>
      <c r="J31" s="32"/>
      <c r="K31" s="32"/>
      <c r="L31" s="32"/>
      <c r="M31" s="32"/>
      <c r="N31" s="32"/>
      <c r="O31" s="32"/>
      <c r="P31" s="32"/>
      <c r="Q31" s="32"/>
      <c r="R31" s="32"/>
      <c r="S31" s="32"/>
      <c r="T31" s="32"/>
      <c r="U31" s="32"/>
      <c r="V31" s="32"/>
      <c r="W31" s="32"/>
      <c r="X31" s="32"/>
      <c r="Y31" s="32"/>
      <c r="Z31" s="32"/>
      <c r="AB31" s="32"/>
      <c r="AC31" s="32"/>
      <c r="AD31" s="32"/>
      <c r="AE31" s="32"/>
      <c r="AF31" s="32"/>
      <c r="AG31" s="32"/>
      <c r="AH31" s="32"/>
      <c r="AI31" s="32"/>
      <c r="AJ31" s="32"/>
      <c r="AK31" s="32"/>
      <c r="AL31" s="32"/>
      <c r="AM31" s="32"/>
      <c r="AN31" s="32"/>
      <c r="AO31" s="32"/>
      <c r="AP31" s="32"/>
      <c r="AQ31" s="32"/>
      <c r="AR31" s="32"/>
    </row>
    <row r="32" spans="1:68">
      <c r="A32" s="233" t="s">
        <v>267</v>
      </c>
      <c r="B32" s="241">
        <f ca="1">B29/B3*10000</f>
        <v>1128.2284529178173</v>
      </c>
      <c r="C32" s="32"/>
      <c r="D32" s="32"/>
      <c r="E32" s="32"/>
      <c r="F32" s="32"/>
      <c r="G32" s="32"/>
      <c r="H32" s="32"/>
      <c r="I32" s="32"/>
      <c r="J32" s="32"/>
      <c r="K32" s="32"/>
      <c r="L32" s="32"/>
      <c r="M32" s="32"/>
      <c r="N32" s="32"/>
      <c r="O32" s="32"/>
      <c r="P32" s="32"/>
      <c r="Q32" s="32"/>
      <c r="R32" s="32"/>
      <c r="S32" s="32"/>
      <c r="T32" s="32"/>
      <c r="U32" s="32"/>
      <c r="V32" s="32"/>
      <c r="W32" s="32"/>
      <c r="X32" s="32"/>
      <c r="Y32" s="32"/>
      <c r="Z32" s="32"/>
      <c r="AA32" s="1041"/>
      <c r="AB32" s="1041"/>
      <c r="AC32" s="1041"/>
      <c r="AD32" s="1041"/>
      <c r="AE32" s="1041"/>
      <c r="AF32" s="1041"/>
      <c r="AG32" s="1041"/>
      <c r="AH32" s="1041"/>
      <c r="AI32" s="1041"/>
      <c r="AJ32" s="1041"/>
      <c r="AK32" s="1041"/>
      <c r="AL32" s="1041"/>
      <c r="AM32" s="32"/>
      <c r="AN32" s="32"/>
      <c r="AO32" s="32"/>
      <c r="AP32" s="32"/>
      <c r="AQ32" s="32"/>
      <c r="AR32" s="32"/>
    </row>
    <row r="33" spans="1:72">
      <c r="A33" s="233" t="s">
        <v>268</v>
      </c>
      <c r="B33" s="248">
        <f ca="1">(B19-B23)/B7</f>
        <v>0.20728517602540225</v>
      </c>
      <c r="C33" s="32"/>
      <c r="D33" s="32"/>
      <c r="E33" s="32"/>
      <c r="F33" s="32"/>
      <c r="G33" s="32"/>
      <c r="H33" s="32"/>
      <c r="I33" s="32"/>
      <c r="J33" s="32"/>
      <c r="K33" s="32"/>
      <c r="L33" s="32"/>
      <c r="M33" s="32"/>
      <c r="N33" s="32"/>
      <c r="O33" s="32"/>
      <c r="P33" s="32"/>
      <c r="Q33" s="32"/>
      <c r="R33" s="32"/>
      <c r="S33" s="32"/>
      <c r="T33" s="32"/>
      <c r="U33" s="32"/>
      <c r="V33" s="32"/>
      <c r="W33" s="32"/>
      <c r="X33" s="32"/>
      <c r="Y33" s="32"/>
      <c r="Z33" s="32"/>
      <c r="AN33" s="32"/>
      <c r="AO33" s="32"/>
      <c r="AP33" s="32"/>
      <c r="AQ33" s="32"/>
      <c r="AR33" s="32"/>
    </row>
    <row r="34" spans="1:72">
      <c r="A34" s="233" t="s">
        <v>269</v>
      </c>
      <c r="B34" s="248">
        <f ca="1">B29/B7</f>
        <v>0.12173124980839221</v>
      </c>
      <c r="C34" s="32"/>
      <c r="D34" s="32"/>
      <c r="E34" s="32"/>
      <c r="F34" s="32"/>
      <c r="G34" s="32"/>
      <c r="H34" s="32"/>
      <c r="I34" s="32"/>
      <c r="J34" s="32"/>
      <c r="K34" s="32"/>
      <c r="L34" s="32"/>
      <c r="M34" s="32"/>
      <c r="N34" s="32"/>
      <c r="O34" s="32"/>
      <c r="P34" s="32"/>
      <c r="Q34" s="32"/>
      <c r="R34" s="32"/>
      <c r="S34" s="32"/>
      <c r="T34" s="32"/>
      <c r="U34" s="32"/>
      <c r="V34" s="32"/>
      <c r="W34" s="32"/>
      <c r="X34" s="32"/>
      <c r="Y34" s="32"/>
      <c r="Z34" s="32"/>
      <c r="AA34" s="117"/>
      <c r="AB34" s="117"/>
      <c r="AC34" s="117"/>
      <c r="AD34" s="117"/>
      <c r="AE34" s="117"/>
      <c r="AF34" s="117"/>
      <c r="AG34" s="117"/>
      <c r="AH34" s="117"/>
      <c r="AI34" s="117"/>
      <c r="AJ34" s="117"/>
      <c r="AK34" s="117"/>
      <c r="AL34" s="117"/>
      <c r="AM34" s="32"/>
      <c r="AN34" s="32"/>
      <c r="AO34" s="32"/>
      <c r="AP34" s="32"/>
      <c r="AQ34" s="32"/>
      <c r="AR34" s="32"/>
    </row>
    <row r="36" spans="1:72">
      <c r="A36" s="2253" t="s">
        <v>270</v>
      </c>
      <c r="B36" s="2257" t="s">
        <v>271</v>
      </c>
      <c r="C36" s="121" t="s">
        <v>236</v>
      </c>
      <c r="D36" s="121" t="s">
        <v>236</v>
      </c>
      <c r="E36" s="121" t="s">
        <v>237</v>
      </c>
      <c r="F36" s="121" t="s">
        <v>237</v>
      </c>
      <c r="G36" s="121" t="s">
        <v>237</v>
      </c>
      <c r="H36" s="121" t="s">
        <v>237</v>
      </c>
      <c r="I36" s="121" t="s">
        <v>272</v>
      </c>
      <c r="J36" s="121" t="s">
        <v>272</v>
      </c>
      <c r="K36" s="121" t="s">
        <v>272</v>
      </c>
      <c r="L36" s="121" t="s">
        <v>272</v>
      </c>
      <c r="M36" s="121" t="s">
        <v>239</v>
      </c>
      <c r="N36" s="121" t="s">
        <v>239</v>
      </c>
      <c r="O36" s="121" t="s">
        <v>239</v>
      </c>
      <c r="P36" s="121" t="s">
        <v>239</v>
      </c>
      <c r="Q36" s="121" t="s">
        <v>240</v>
      </c>
      <c r="R36" s="121" t="s">
        <v>240</v>
      </c>
      <c r="S36" s="121" t="s">
        <v>240</v>
      </c>
      <c r="T36" s="121" t="s">
        <v>240</v>
      </c>
      <c r="U36" s="121" t="s">
        <v>241</v>
      </c>
      <c r="V36" s="121" t="s">
        <v>241</v>
      </c>
      <c r="W36" s="121" t="s">
        <v>244</v>
      </c>
      <c r="X36" s="121" t="s">
        <v>244</v>
      </c>
      <c r="Y36" s="121" t="s">
        <v>244</v>
      </c>
      <c r="Z36" s="121" t="s">
        <v>244</v>
      </c>
      <c r="AA36" s="121" t="s">
        <v>244</v>
      </c>
      <c r="AB36" s="121" t="s">
        <v>244</v>
      </c>
      <c r="AC36" s="121" t="s">
        <v>244</v>
      </c>
      <c r="AD36" s="121" t="s">
        <v>244</v>
      </c>
      <c r="AE36" s="121" t="s">
        <v>244</v>
      </c>
      <c r="AF36" s="121" t="s">
        <v>244</v>
      </c>
      <c r="AG36" s="121" t="s">
        <v>244</v>
      </c>
      <c r="AH36" s="121" t="s">
        <v>244</v>
      </c>
      <c r="AI36" s="121" t="s">
        <v>4220</v>
      </c>
      <c r="AJ36" s="121" t="s">
        <v>4220</v>
      </c>
      <c r="AK36" s="121" t="s">
        <v>4220</v>
      </c>
      <c r="AL36" s="121" t="s">
        <v>4220</v>
      </c>
      <c r="AM36" s="121" t="s">
        <v>4220</v>
      </c>
      <c r="AN36" s="121" t="s">
        <v>4220</v>
      </c>
      <c r="AO36" s="121" t="s">
        <v>4220</v>
      </c>
      <c r="AP36" s="121" t="s">
        <v>4220</v>
      </c>
      <c r="AQ36" s="121" t="s">
        <v>4220</v>
      </c>
      <c r="AR36" s="121" t="s">
        <v>4220</v>
      </c>
      <c r="AS36" s="121" t="s">
        <v>4220</v>
      </c>
      <c r="AT36" s="121" t="s">
        <v>4220</v>
      </c>
      <c r="AU36" s="121" t="s">
        <v>4221</v>
      </c>
      <c r="AV36" s="121" t="s">
        <v>4221</v>
      </c>
      <c r="AW36" s="121" t="s">
        <v>4221</v>
      </c>
      <c r="AX36" s="121" t="s">
        <v>4221</v>
      </c>
      <c r="AY36" s="121" t="s">
        <v>4221</v>
      </c>
      <c r="AZ36" s="121" t="s">
        <v>4221</v>
      </c>
      <c r="BA36" s="121" t="s">
        <v>4221</v>
      </c>
      <c r="BB36" s="121" t="s">
        <v>4221</v>
      </c>
      <c r="BC36" s="121" t="s">
        <v>4221</v>
      </c>
      <c r="BD36" s="121" t="s">
        <v>4221</v>
      </c>
      <c r="BE36" s="121" t="s">
        <v>4221</v>
      </c>
      <c r="BF36" s="121" t="s">
        <v>4221</v>
      </c>
      <c r="BG36" s="121" t="s">
        <v>4246</v>
      </c>
      <c r="BH36" s="121" t="s">
        <v>4246</v>
      </c>
      <c r="BI36" s="121" t="s">
        <v>4246</v>
      </c>
      <c r="BJ36" s="121" t="s">
        <v>4246</v>
      </c>
      <c r="BK36" s="121" t="s">
        <v>4221</v>
      </c>
      <c r="BL36" s="121" t="s">
        <v>4221</v>
      </c>
      <c r="BM36" s="121" t="s">
        <v>4246</v>
      </c>
      <c r="BN36" s="121" t="s">
        <v>4246</v>
      </c>
      <c r="BO36" s="121" t="s">
        <v>4246</v>
      </c>
      <c r="BP36" s="121" t="s">
        <v>4246</v>
      </c>
      <c r="BQ36" s="121" t="s">
        <v>4259</v>
      </c>
      <c r="BR36" s="121" t="s">
        <v>4259</v>
      </c>
      <c r="BS36" s="225"/>
      <c r="BT36" s="225"/>
    </row>
    <row r="37" spans="1:72">
      <c r="A37" s="2254"/>
      <c r="B37" s="2258"/>
      <c r="C37" s="123" t="s">
        <v>273</v>
      </c>
      <c r="D37" s="123" t="s">
        <v>274</v>
      </c>
      <c r="E37" s="123" t="s">
        <v>275</v>
      </c>
      <c r="F37" s="123" t="s">
        <v>276</v>
      </c>
      <c r="G37" s="123" t="s">
        <v>277</v>
      </c>
      <c r="H37" s="123" t="s">
        <v>278</v>
      </c>
      <c r="I37" s="123" t="s">
        <v>279</v>
      </c>
      <c r="J37" s="123" t="s">
        <v>280</v>
      </c>
      <c r="K37" s="123" t="s">
        <v>281</v>
      </c>
      <c r="L37" s="123" t="s">
        <v>282</v>
      </c>
      <c r="M37" s="123" t="s">
        <v>283</v>
      </c>
      <c r="N37" s="123" t="s">
        <v>284</v>
      </c>
      <c r="O37" s="123" t="s">
        <v>285</v>
      </c>
      <c r="P37" s="123" t="s">
        <v>286</v>
      </c>
      <c r="Q37" s="123" t="s">
        <v>287</v>
      </c>
      <c r="R37" s="123" t="s">
        <v>288</v>
      </c>
      <c r="S37" s="123" t="s">
        <v>289</v>
      </c>
      <c r="T37" s="123" t="s">
        <v>290</v>
      </c>
      <c r="U37" s="123" t="s">
        <v>291</v>
      </c>
      <c r="V37" s="123" t="s">
        <v>292</v>
      </c>
      <c r="W37" s="123" t="s">
        <v>4208</v>
      </c>
      <c r="X37" s="123" t="s">
        <v>4209</v>
      </c>
      <c r="Y37" s="123" t="s">
        <v>4210</v>
      </c>
      <c r="Z37" s="123" t="s">
        <v>4211</v>
      </c>
      <c r="AA37" s="123" t="s">
        <v>4212</v>
      </c>
      <c r="AB37" s="123" t="s">
        <v>4213</v>
      </c>
      <c r="AC37" s="123" t="s">
        <v>4214</v>
      </c>
      <c r="AD37" s="123" t="s">
        <v>4215</v>
      </c>
      <c r="AE37" s="123" t="s">
        <v>4216</v>
      </c>
      <c r="AF37" s="123" t="s">
        <v>4217</v>
      </c>
      <c r="AG37" s="123" t="s">
        <v>4218</v>
      </c>
      <c r="AH37" s="123" t="s">
        <v>4219</v>
      </c>
      <c r="AI37" s="123" t="s">
        <v>4222</v>
      </c>
      <c r="AJ37" s="123" t="s">
        <v>4223</v>
      </c>
      <c r="AK37" s="123" t="s">
        <v>4224</v>
      </c>
      <c r="AL37" s="123" t="s">
        <v>4225</v>
      </c>
      <c r="AM37" s="123" t="s">
        <v>4226</v>
      </c>
      <c r="AN37" s="123" t="s">
        <v>4227</v>
      </c>
      <c r="AO37" s="123" t="s">
        <v>4228</v>
      </c>
      <c r="AP37" s="123" t="s">
        <v>4229</v>
      </c>
      <c r="AQ37" s="123" t="s">
        <v>4230</v>
      </c>
      <c r="AR37" s="123" t="s">
        <v>4231</v>
      </c>
      <c r="AS37" s="123" t="s">
        <v>4232</v>
      </c>
      <c r="AT37" s="123" t="s">
        <v>4233</v>
      </c>
      <c r="AU37" s="123" t="s">
        <v>4234</v>
      </c>
      <c r="AV37" s="123" t="s">
        <v>4235</v>
      </c>
      <c r="AW37" s="123" t="s">
        <v>4236</v>
      </c>
      <c r="AX37" s="123" t="s">
        <v>4237</v>
      </c>
      <c r="AY37" s="123" t="s">
        <v>4238</v>
      </c>
      <c r="AZ37" s="123" t="s">
        <v>4239</v>
      </c>
      <c r="BA37" s="123" t="s">
        <v>4240</v>
      </c>
      <c r="BB37" s="123" t="s">
        <v>4241</v>
      </c>
      <c r="BC37" s="123" t="s">
        <v>4242</v>
      </c>
      <c r="BD37" s="123" t="s">
        <v>4243</v>
      </c>
      <c r="BE37" s="123" t="s">
        <v>4244</v>
      </c>
      <c r="BF37" s="123" t="s">
        <v>4245</v>
      </c>
      <c r="BG37" s="123" t="s">
        <v>4247</v>
      </c>
      <c r="BH37" s="123" t="s">
        <v>4248</v>
      </c>
      <c r="BI37" s="123" t="s">
        <v>4249</v>
      </c>
      <c r="BJ37" s="123" t="s">
        <v>4250</v>
      </c>
      <c r="BK37" s="123" t="s">
        <v>4251</v>
      </c>
      <c r="BL37" s="123" t="s">
        <v>4252</v>
      </c>
      <c r="BM37" s="123" t="s">
        <v>4253</v>
      </c>
      <c r="BN37" s="123" t="s">
        <v>4254</v>
      </c>
      <c r="BO37" s="123" t="s">
        <v>4255</v>
      </c>
      <c r="BP37" s="123" t="s">
        <v>4256</v>
      </c>
      <c r="BQ37" s="123" t="s">
        <v>4257</v>
      </c>
      <c r="BR37" s="123" t="s">
        <v>4258</v>
      </c>
      <c r="BS37" s="225"/>
      <c r="BT37" s="225"/>
    </row>
    <row r="38" spans="1:72">
      <c r="A38" s="166" t="str">
        <f>基础信息!A3</f>
        <v>一期</v>
      </c>
      <c r="B38" s="225" t="str">
        <f>销售计划!A9</f>
        <v>车位</v>
      </c>
      <c r="C38" s="225">
        <f>销售计划!D9</f>
        <v>0</v>
      </c>
      <c r="D38" s="225">
        <f>销售计划!E9</f>
        <v>0</v>
      </c>
      <c r="E38" s="225">
        <f>销售计划!F9</f>
        <v>0</v>
      </c>
      <c r="F38" s="225">
        <f>销售计划!G9</f>
        <v>0</v>
      </c>
      <c r="G38" s="225">
        <f>销售计划!H9</f>
        <v>0</v>
      </c>
      <c r="H38" s="225">
        <f>销售计划!I9</f>
        <v>0</v>
      </c>
      <c r="I38" s="225">
        <f>销售计划!J9</f>
        <v>0</v>
      </c>
      <c r="J38" s="225">
        <f>销售计划!K9</f>
        <v>0</v>
      </c>
      <c r="K38" s="225">
        <f>销售计划!L9</f>
        <v>0</v>
      </c>
      <c r="L38" s="225">
        <f>销售计划!M9</f>
        <v>0</v>
      </c>
      <c r="M38" s="225">
        <f>销售计划!N9</f>
        <v>0</v>
      </c>
      <c r="N38" s="225">
        <f>销售计划!O9</f>
        <v>0</v>
      </c>
      <c r="O38" s="225">
        <f>销售计划!P9</f>
        <v>0</v>
      </c>
      <c r="P38" s="225">
        <f>销售计划!Q9</f>
        <v>0</v>
      </c>
      <c r="Q38" s="225">
        <f>销售计划!R9</f>
        <v>0</v>
      </c>
      <c r="R38" s="225">
        <f>销售计划!S9</f>
        <v>0</v>
      </c>
      <c r="S38" s="225">
        <f>销售计划!T9</f>
        <v>0</v>
      </c>
      <c r="T38" s="225">
        <f>销售计划!U9</f>
        <v>0</v>
      </c>
      <c r="U38" s="225">
        <f>销售计划!V9</f>
        <v>0</v>
      </c>
      <c r="V38" s="225">
        <f>销售计划!W9</f>
        <v>0</v>
      </c>
      <c r="W38" s="225">
        <f>销售计划!X9</f>
        <v>0</v>
      </c>
      <c r="X38" s="225">
        <f>销售计划!Y9</f>
        <v>0</v>
      </c>
      <c r="Y38" s="225">
        <f>销售计划!Z9</f>
        <v>0</v>
      </c>
      <c r="Z38" s="225">
        <f>销售计划!AA9</f>
        <v>0</v>
      </c>
      <c r="AA38" s="225">
        <f>销售计划!AB9</f>
        <v>0</v>
      </c>
      <c r="AB38" s="225">
        <f>销售计划!AC9</f>
        <v>0</v>
      </c>
      <c r="AC38" s="225">
        <f>销售计划!AD9</f>
        <v>0</v>
      </c>
      <c r="AD38" s="225">
        <f>销售计划!AE9</f>
        <v>0</v>
      </c>
      <c r="AE38" s="225">
        <f>销售计划!AF9</f>
        <v>0</v>
      </c>
      <c r="AF38" s="225">
        <f>销售计划!AG9</f>
        <v>0</v>
      </c>
      <c r="AG38" s="225">
        <f>销售计划!AH9</f>
        <v>0</v>
      </c>
      <c r="AH38" s="225">
        <f>销售计划!AI9</f>
        <v>0</v>
      </c>
      <c r="AI38" s="225">
        <f>销售计划!AJ9</f>
        <v>0</v>
      </c>
      <c r="AJ38" s="225">
        <f>销售计划!AK9</f>
        <v>0</v>
      </c>
      <c r="AK38" s="225">
        <f>销售计划!AL9</f>
        <v>2000</v>
      </c>
      <c r="AL38" s="225">
        <f>销售计划!AM9</f>
        <v>900</v>
      </c>
      <c r="AM38" s="225">
        <f>销售计划!AN9</f>
        <v>900</v>
      </c>
      <c r="AN38" s="225">
        <f>销售计划!AO9</f>
        <v>900</v>
      </c>
      <c r="AO38" s="225">
        <f>销售计划!AP9</f>
        <v>900</v>
      </c>
      <c r="AP38" s="225">
        <f>销售计划!AQ9</f>
        <v>900</v>
      </c>
      <c r="AQ38" s="225">
        <f>销售计划!AR9</f>
        <v>900</v>
      </c>
      <c r="AR38" s="225">
        <f>销售计划!AS9</f>
        <v>1000</v>
      </c>
      <c r="AS38" s="225">
        <f>销售计划!AT9</f>
        <v>700</v>
      </c>
      <c r="AT38" s="225">
        <f>销售计划!AU9</f>
        <v>1000</v>
      </c>
      <c r="AU38" s="225">
        <f>销售计划!AV9</f>
        <v>1000</v>
      </c>
      <c r="AV38" s="225">
        <f>销售计划!AW9</f>
        <v>300</v>
      </c>
      <c r="AW38" s="225">
        <f>销售计划!AX9</f>
        <v>1000</v>
      </c>
      <c r="AX38" s="225">
        <f>销售计划!AY9</f>
        <v>1000</v>
      </c>
      <c r="AY38" s="225">
        <f>销售计划!AZ9</f>
        <v>1000</v>
      </c>
      <c r="AZ38" s="225">
        <f>销售计划!BA9</f>
        <v>1000</v>
      </c>
      <c r="BA38" s="225">
        <f>销售计划!BB9</f>
        <v>1000</v>
      </c>
      <c r="BB38" s="225">
        <f>销售计划!BC9</f>
        <v>1000</v>
      </c>
      <c r="BC38" s="225">
        <f>销售计划!BD9</f>
        <v>1000</v>
      </c>
      <c r="BD38" s="225">
        <f>销售计划!BE9</f>
        <v>2000</v>
      </c>
      <c r="BE38" s="225">
        <f>销售计划!BF9</f>
        <v>2000</v>
      </c>
      <c r="BF38" s="225">
        <f>销售计划!BG9</f>
        <v>2165.8400000000038</v>
      </c>
      <c r="BG38" s="225">
        <f>销售计划!BH9</f>
        <v>0</v>
      </c>
      <c r="BH38" s="225">
        <f>销售计划!BI9</f>
        <v>0</v>
      </c>
      <c r="BI38" s="225">
        <f>销售计划!BJ9</f>
        <v>0</v>
      </c>
      <c r="BJ38" s="225">
        <f>销售计划!BK9</f>
        <v>0</v>
      </c>
      <c r="BK38" s="225">
        <f>销售计划!BL9</f>
        <v>0</v>
      </c>
      <c r="BL38" s="225">
        <f>销售计划!BM9</f>
        <v>0</v>
      </c>
      <c r="BM38" s="225">
        <f>销售计划!BN9</f>
        <v>0</v>
      </c>
      <c r="BN38" s="225">
        <f>销售计划!BO9</f>
        <v>0</v>
      </c>
      <c r="BO38" s="225">
        <f>销售计划!BP9</f>
        <v>0</v>
      </c>
      <c r="BP38" s="225">
        <f>销售计划!BQ9</f>
        <v>0</v>
      </c>
      <c r="BS38" s="225"/>
      <c r="BT38" s="225"/>
    </row>
    <row r="39" spans="1:72">
      <c r="A39" s="166" t="str">
        <f t="shared" ref="A39:A45" si="35">A38</f>
        <v>一期</v>
      </c>
      <c r="B39" s="225" t="str">
        <f>销售计划!A12</f>
        <v>高层（27F）</v>
      </c>
      <c r="C39" s="225">
        <f>销售计划!D12</f>
        <v>0</v>
      </c>
      <c r="D39" s="225">
        <f>销售计划!E12</f>
        <v>0</v>
      </c>
      <c r="E39" s="225">
        <f>销售计划!F12</f>
        <v>0</v>
      </c>
      <c r="F39" s="225">
        <f>销售计划!G12</f>
        <v>0</v>
      </c>
      <c r="G39" s="225">
        <f>销售计划!H12</f>
        <v>0</v>
      </c>
      <c r="H39" s="225">
        <f>销售计划!I12</f>
        <v>0</v>
      </c>
      <c r="I39" s="225">
        <f>销售计划!J12</f>
        <v>0</v>
      </c>
      <c r="J39" s="225">
        <f>销售计划!K12</f>
        <v>0</v>
      </c>
      <c r="K39" s="225">
        <f>销售计划!L12</f>
        <v>0</v>
      </c>
      <c r="L39" s="225">
        <f>销售计划!M12</f>
        <v>0</v>
      </c>
      <c r="M39" s="225">
        <f>销售计划!N12</f>
        <v>0</v>
      </c>
      <c r="N39" s="225">
        <f>销售计划!O12</f>
        <v>0</v>
      </c>
      <c r="O39" s="225">
        <f>销售计划!P12</f>
        <v>0</v>
      </c>
      <c r="P39" s="225">
        <f>销售计划!Q12</f>
        <v>0</v>
      </c>
      <c r="Q39" s="225">
        <f>销售计划!R12</f>
        <v>0</v>
      </c>
      <c r="R39" s="225">
        <f>销售计划!S12</f>
        <v>0</v>
      </c>
      <c r="S39" s="225">
        <f>销售计划!T12</f>
        <v>0</v>
      </c>
      <c r="T39" s="225">
        <f>销售计划!U12</f>
        <v>0</v>
      </c>
      <c r="U39" s="225">
        <f>销售计划!V12</f>
        <v>0</v>
      </c>
      <c r="V39" s="225">
        <f>销售计划!W12</f>
        <v>0</v>
      </c>
      <c r="W39" s="225">
        <f>销售计划!X12</f>
        <v>0</v>
      </c>
      <c r="X39" s="225">
        <f>销售计划!Y12</f>
        <v>0</v>
      </c>
      <c r="Y39" s="225">
        <f>销售计划!Z12</f>
        <v>0</v>
      </c>
      <c r="Z39" s="225">
        <f>销售计划!AA12</f>
        <v>0</v>
      </c>
      <c r="AA39" s="225">
        <f>销售计划!AB12</f>
        <v>0</v>
      </c>
      <c r="AB39" s="225">
        <f>销售计划!AC12</f>
        <v>0</v>
      </c>
      <c r="AC39" s="225">
        <f>销售计划!AD12</f>
        <v>0</v>
      </c>
      <c r="AD39" s="225">
        <f>销售计划!AE12</f>
        <v>0</v>
      </c>
      <c r="AE39" s="225">
        <f>销售计划!AF12</f>
        <v>0</v>
      </c>
      <c r="AF39" s="225">
        <f>销售计划!AG12</f>
        <v>7600</v>
      </c>
      <c r="AG39" s="225">
        <f>销售计划!AH12</f>
        <v>2000</v>
      </c>
      <c r="AH39" s="225">
        <f>销售计划!AI12</f>
        <v>4500</v>
      </c>
      <c r="AI39" s="225">
        <f>销售计划!AJ12</f>
        <v>2500</v>
      </c>
      <c r="AJ39" s="225">
        <f>销售计划!AK12</f>
        <v>3000</v>
      </c>
      <c r="AK39" s="225">
        <f>销售计划!AL12</f>
        <v>3000</v>
      </c>
      <c r="AL39" s="225">
        <f>销售计划!AM12</f>
        <v>2000</v>
      </c>
      <c r="AM39" s="225">
        <f>销售计划!AN12</f>
        <v>2000</v>
      </c>
      <c r="AN39" s="225">
        <f>销售计划!AO12</f>
        <v>2000</v>
      </c>
      <c r="AO39" s="225">
        <f>销售计划!AP12</f>
        <v>2500</v>
      </c>
      <c r="AP39" s="225">
        <f>销售计划!AQ12</f>
        <v>2500</v>
      </c>
      <c r="AQ39" s="225">
        <f>销售计划!AR12</f>
        <v>2500</v>
      </c>
      <c r="AR39" s="225">
        <f>销售计划!AS12</f>
        <v>2500</v>
      </c>
      <c r="AS39" s="225">
        <f>销售计划!AT12</f>
        <v>1500</v>
      </c>
      <c r="AT39" s="225">
        <f>销售计划!AU12</f>
        <v>3073.9499999999971</v>
      </c>
      <c r="AU39" s="225">
        <f>销售计划!AV12</f>
        <v>0</v>
      </c>
      <c r="AV39" s="225">
        <f>销售计划!AW12</f>
        <v>0</v>
      </c>
      <c r="AW39" s="225">
        <f>销售计划!AX12</f>
        <v>0</v>
      </c>
      <c r="AX39" s="225">
        <f>销售计划!AY12</f>
        <v>0</v>
      </c>
      <c r="AY39" s="225">
        <f>销售计划!AZ12</f>
        <v>0</v>
      </c>
      <c r="AZ39" s="225">
        <f>销售计划!BA12</f>
        <v>0</v>
      </c>
      <c r="BA39" s="225">
        <f>销售计划!BB12</f>
        <v>0</v>
      </c>
      <c r="BB39" s="225">
        <f>销售计划!BC12</f>
        <v>0</v>
      </c>
      <c r="BC39" s="225">
        <f>销售计划!BD12</f>
        <v>0</v>
      </c>
      <c r="BD39" s="225">
        <f>销售计划!BE12</f>
        <v>0</v>
      </c>
      <c r="BE39" s="225">
        <f>销售计划!BF12</f>
        <v>0</v>
      </c>
      <c r="BF39" s="225">
        <f>销售计划!BG12</f>
        <v>0</v>
      </c>
      <c r="BG39" s="225">
        <f>销售计划!BH12</f>
        <v>0</v>
      </c>
      <c r="BH39" s="225">
        <f>销售计划!BI12</f>
        <v>0</v>
      </c>
      <c r="BI39" s="225">
        <f>销售计划!BJ12</f>
        <v>0</v>
      </c>
      <c r="BJ39" s="225">
        <f>销售计划!BK12</f>
        <v>0</v>
      </c>
      <c r="BK39" s="225">
        <f>销售计划!BL12</f>
        <v>0</v>
      </c>
      <c r="BL39" s="225">
        <f>销售计划!BM12</f>
        <v>0</v>
      </c>
      <c r="BM39" s="225">
        <f>销售计划!BN12</f>
        <v>0</v>
      </c>
      <c r="BN39" s="225">
        <f>销售计划!BO12</f>
        <v>0</v>
      </c>
      <c r="BO39" s="225">
        <f>销售计划!BP12</f>
        <v>0</v>
      </c>
      <c r="BP39" s="225">
        <f>销售计划!BQ12</f>
        <v>0</v>
      </c>
      <c r="BS39" s="225"/>
      <c r="BT39" s="225"/>
    </row>
    <row r="40" spans="1:72">
      <c r="A40" s="166" t="str">
        <f t="shared" si="35"/>
        <v>一期</v>
      </c>
      <c r="B40" s="225" t="str">
        <f>销售计划!A15</f>
        <v>人防车位</v>
      </c>
      <c r="C40" s="225">
        <f>销售计划!D15</f>
        <v>0</v>
      </c>
      <c r="D40" s="225">
        <f>销售计划!E15</f>
        <v>0</v>
      </c>
      <c r="E40" s="225">
        <f>销售计划!F15</f>
        <v>0</v>
      </c>
      <c r="F40" s="225">
        <f>销售计划!G15</f>
        <v>0</v>
      </c>
      <c r="G40" s="225">
        <f>销售计划!H15</f>
        <v>0</v>
      </c>
      <c r="H40" s="225">
        <f>销售计划!I15</f>
        <v>0</v>
      </c>
      <c r="I40" s="225">
        <f>销售计划!J15</f>
        <v>0</v>
      </c>
      <c r="J40" s="225">
        <f>销售计划!K15</f>
        <v>0</v>
      </c>
      <c r="K40" s="225">
        <f>销售计划!L15</f>
        <v>0</v>
      </c>
      <c r="L40" s="225">
        <f>销售计划!M15</f>
        <v>0</v>
      </c>
      <c r="M40" s="225">
        <f>销售计划!N15</f>
        <v>0</v>
      </c>
      <c r="N40" s="225">
        <f>销售计划!O15</f>
        <v>0</v>
      </c>
      <c r="O40" s="225">
        <f>销售计划!P15</f>
        <v>0</v>
      </c>
      <c r="P40" s="225">
        <f>销售计划!Q15</f>
        <v>0</v>
      </c>
      <c r="Q40" s="225">
        <f>销售计划!R15</f>
        <v>0</v>
      </c>
      <c r="R40" s="225">
        <f>销售计划!S15</f>
        <v>0</v>
      </c>
      <c r="S40" s="225">
        <f>销售计划!T15</f>
        <v>0</v>
      </c>
      <c r="T40" s="225">
        <f>销售计划!U15</f>
        <v>0</v>
      </c>
      <c r="U40" s="225">
        <f>销售计划!V15</f>
        <v>0</v>
      </c>
      <c r="V40" s="225">
        <f>销售计划!W15</f>
        <v>0</v>
      </c>
      <c r="W40" s="225">
        <f>销售计划!X15</f>
        <v>0</v>
      </c>
      <c r="X40" s="225">
        <f>销售计划!Y15</f>
        <v>0</v>
      </c>
      <c r="Y40" s="225">
        <f>销售计划!Z15</f>
        <v>0</v>
      </c>
      <c r="Z40" s="225">
        <f>销售计划!AA15</f>
        <v>0</v>
      </c>
      <c r="AA40" s="225">
        <f>销售计划!AB15</f>
        <v>0</v>
      </c>
      <c r="AB40" s="225">
        <f>销售计划!AC15</f>
        <v>0</v>
      </c>
      <c r="AC40" s="225">
        <f>销售计划!AD15</f>
        <v>0</v>
      </c>
      <c r="AD40" s="225">
        <f>销售计划!AE15</f>
        <v>0</v>
      </c>
      <c r="AE40" s="225">
        <f>销售计划!AF15</f>
        <v>0</v>
      </c>
      <c r="AF40" s="225">
        <f>销售计划!AG15</f>
        <v>0</v>
      </c>
      <c r="AG40" s="225">
        <f>销售计划!AH15</f>
        <v>0</v>
      </c>
      <c r="AH40" s="225">
        <f>销售计划!AI15</f>
        <v>0</v>
      </c>
      <c r="AI40" s="225">
        <f>销售计划!AJ15</f>
        <v>0</v>
      </c>
      <c r="AJ40" s="225">
        <f>销售计划!AK15</f>
        <v>0</v>
      </c>
      <c r="AK40" s="225">
        <f>销售计划!AL15</f>
        <v>900</v>
      </c>
      <c r="AL40" s="225">
        <f>销售计划!AM15</f>
        <v>300</v>
      </c>
      <c r="AM40" s="225">
        <f>销售计划!AN15</f>
        <v>300</v>
      </c>
      <c r="AN40" s="225">
        <f>销售计划!AO15</f>
        <v>300</v>
      </c>
      <c r="AO40" s="225">
        <f>销售计划!AP15</f>
        <v>300</v>
      </c>
      <c r="AP40" s="225">
        <f>销售计划!AQ15</f>
        <v>300</v>
      </c>
      <c r="AQ40" s="225">
        <f>销售计划!AR15</f>
        <v>300</v>
      </c>
      <c r="AR40" s="225">
        <f>销售计划!AS15</f>
        <v>300</v>
      </c>
      <c r="AS40" s="225">
        <f>销售计划!AT15</f>
        <v>300</v>
      </c>
      <c r="AT40" s="225">
        <f>销售计划!AU15</f>
        <v>400</v>
      </c>
      <c r="AU40" s="225">
        <f>销售计划!AV15</f>
        <v>100</v>
      </c>
      <c r="AV40" s="225">
        <f>销售计划!AW15</f>
        <v>100</v>
      </c>
      <c r="AW40" s="225">
        <f>销售计划!AX15</f>
        <v>450</v>
      </c>
      <c r="AX40" s="225">
        <f>销售计划!AY15</f>
        <v>400</v>
      </c>
      <c r="AY40" s="225">
        <f>销售计划!AZ15</f>
        <v>300</v>
      </c>
      <c r="AZ40" s="225">
        <f>销售计划!BA15</f>
        <v>300</v>
      </c>
      <c r="BA40" s="225">
        <f>销售计划!BB15</f>
        <v>400</v>
      </c>
      <c r="BB40" s="225">
        <f>销售计划!BC15</f>
        <v>400</v>
      </c>
      <c r="BC40" s="225">
        <f>销售计划!BD15</f>
        <v>400</v>
      </c>
      <c r="BD40" s="225">
        <f>销售计划!BE15</f>
        <v>1000</v>
      </c>
      <c r="BE40" s="225">
        <f>销售计划!BF15</f>
        <v>1000</v>
      </c>
      <c r="BF40" s="225">
        <f>销售计划!BG15</f>
        <v>859.45999999999913</v>
      </c>
      <c r="BG40" s="225">
        <f>销售计划!BH15</f>
        <v>0</v>
      </c>
      <c r="BH40" s="225">
        <f>销售计划!BI15</f>
        <v>0</v>
      </c>
      <c r="BI40" s="225">
        <f>销售计划!BJ15</f>
        <v>0</v>
      </c>
      <c r="BJ40" s="225">
        <f>销售计划!BK15</f>
        <v>0</v>
      </c>
      <c r="BK40" s="225">
        <f>销售计划!BL15</f>
        <v>0</v>
      </c>
      <c r="BL40" s="225">
        <f>销售计划!BM15</f>
        <v>0</v>
      </c>
      <c r="BM40" s="225">
        <f>销售计划!BN15</f>
        <v>0</v>
      </c>
      <c r="BN40" s="225">
        <f>销售计划!BO15</f>
        <v>0</v>
      </c>
      <c r="BO40" s="225">
        <f>销售计划!BP15</f>
        <v>0</v>
      </c>
      <c r="BP40" s="225">
        <f>销售计划!BQ15</f>
        <v>0</v>
      </c>
    </row>
    <row r="41" spans="1:72">
      <c r="A41" s="166" t="str">
        <f t="shared" si="35"/>
        <v>一期</v>
      </c>
      <c r="B41" s="225" t="str">
        <f>销售计划!A18</f>
        <v>人才公寓26F（可售、T7）</v>
      </c>
      <c r="C41" s="225">
        <f>销售计划!D18</f>
        <v>0</v>
      </c>
      <c r="D41" s="225">
        <f>销售计划!E18</f>
        <v>0</v>
      </c>
      <c r="E41" s="225">
        <f>销售计划!F18</f>
        <v>0</v>
      </c>
      <c r="F41" s="225">
        <f>销售计划!G18</f>
        <v>0</v>
      </c>
      <c r="G41" s="225">
        <f>销售计划!H18</f>
        <v>0</v>
      </c>
      <c r="H41" s="225">
        <f>销售计划!I18</f>
        <v>0</v>
      </c>
      <c r="I41" s="225">
        <f>销售计划!J18</f>
        <v>0</v>
      </c>
      <c r="J41" s="225">
        <f>销售计划!K18</f>
        <v>0</v>
      </c>
      <c r="K41" s="225">
        <f>销售计划!L18</f>
        <v>0</v>
      </c>
      <c r="L41" s="225">
        <f>销售计划!M18</f>
        <v>0</v>
      </c>
      <c r="M41" s="225">
        <f>销售计划!N18</f>
        <v>0</v>
      </c>
      <c r="N41" s="225">
        <f>销售计划!O18</f>
        <v>0</v>
      </c>
      <c r="O41" s="225">
        <f>销售计划!P18</f>
        <v>0</v>
      </c>
      <c r="P41" s="225">
        <f>销售计划!Q18</f>
        <v>0</v>
      </c>
      <c r="Q41" s="225">
        <f>销售计划!R18</f>
        <v>0</v>
      </c>
      <c r="R41" s="225">
        <f>销售计划!S18</f>
        <v>0</v>
      </c>
      <c r="S41" s="225">
        <f>销售计划!T18</f>
        <v>0</v>
      </c>
      <c r="T41" s="225">
        <f>销售计划!U18</f>
        <v>0</v>
      </c>
      <c r="U41" s="225">
        <f>销售计划!V18</f>
        <v>0</v>
      </c>
      <c r="V41" s="225">
        <f>销售计划!W18</f>
        <v>0</v>
      </c>
      <c r="W41" s="225">
        <f>销售计划!X18</f>
        <v>0</v>
      </c>
      <c r="X41" s="225">
        <f>销售计划!Y18</f>
        <v>0</v>
      </c>
      <c r="Y41" s="225">
        <f>销售计划!Z18</f>
        <v>0</v>
      </c>
      <c r="Z41" s="225">
        <f>销售计划!AA18</f>
        <v>0</v>
      </c>
      <c r="AA41" s="225">
        <f>销售计划!AB18</f>
        <v>0</v>
      </c>
      <c r="AB41" s="225">
        <f>销售计划!AC18</f>
        <v>0</v>
      </c>
      <c r="AC41" s="225">
        <f>销售计划!AD18</f>
        <v>0</v>
      </c>
      <c r="AD41" s="225">
        <f>销售计划!AE18</f>
        <v>0</v>
      </c>
      <c r="AE41" s="225">
        <f>销售计划!AF18</f>
        <v>0</v>
      </c>
      <c r="AF41" s="225">
        <f>销售计划!AG18</f>
        <v>0</v>
      </c>
      <c r="AG41" s="225">
        <f>销售计划!AH18</f>
        <v>0</v>
      </c>
      <c r="AH41" s="225">
        <f>销售计划!AI18</f>
        <v>0</v>
      </c>
      <c r="AI41" s="225">
        <f>销售计划!AJ18</f>
        <v>0</v>
      </c>
      <c r="AJ41" s="225">
        <f>销售计划!AK18</f>
        <v>0</v>
      </c>
      <c r="AK41" s="225">
        <f>销售计划!AL18</f>
        <v>0</v>
      </c>
      <c r="AL41" s="225">
        <f>销售计划!AM18</f>
        <v>0</v>
      </c>
      <c r="AM41" s="225">
        <f>销售计划!AN18</f>
        <v>0</v>
      </c>
      <c r="AN41" s="225">
        <f>销售计划!AO18</f>
        <v>0</v>
      </c>
      <c r="AO41" s="225">
        <f>销售计划!AP18</f>
        <v>0</v>
      </c>
      <c r="AP41" s="225">
        <f>销售计划!AQ18</f>
        <v>0</v>
      </c>
      <c r="AQ41" s="225">
        <f>销售计划!AR18</f>
        <v>0</v>
      </c>
      <c r="AR41" s="225">
        <f>销售计划!AS18</f>
        <v>0</v>
      </c>
      <c r="AS41" s="225">
        <f>销售计划!AT18</f>
        <v>0</v>
      </c>
      <c r="AT41" s="225">
        <f>销售计划!AU18</f>
        <v>0</v>
      </c>
      <c r="AU41" s="225">
        <f>销售计划!AV18</f>
        <v>0</v>
      </c>
      <c r="AV41" s="225">
        <f>销售计划!AW18</f>
        <v>0</v>
      </c>
      <c r="AW41" s="225">
        <f>销售计划!AX18</f>
        <v>0</v>
      </c>
      <c r="AX41" s="225">
        <f>销售计划!AY18</f>
        <v>0</v>
      </c>
      <c r="AY41" s="225">
        <f>销售计划!AZ18</f>
        <v>0</v>
      </c>
      <c r="AZ41" s="225">
        <f>销售计划!BA18</f>
        <v>0</v>
      </c>
      <c r="BA41" s="225">
        <f>销售计划!BB18</f>
        <v>0</v>
      </c>
      <c r="BB41" s="225">
        <f>销售计划!BC18</f>
        <v>0</v>
      </c>
      <c r="BC41" s="225">
        <f>销售计划!BD18</f>
        <v>0</v>
      </c>
      <c r="BD41" s="225">
        <f>销售计划!BE18</f>
        <v>0</v>
      </c>
      <c r="BE41" s="225">
        <f>销售计划!BF18</f>
        <v>0</v>
      </c>
      <c r="BF41" s="225">
        <f>销售计划!BG18</f>
        <v>0</v>
      </c>
      <c r="BG41" s="225">
        <f>销售计划!BH18</f>
        <v>0</v>
      </c>
      <c r="BH41" s="225">
        <f>销售计划!BI18</f>
        <v>0</v>
      </c>
      <c r="BI41" s="225">
        <f>销售计划!BJ18</f>
        <v>0</v>
      </c>
      <c r="BJ41" s="225">
        <f>销售计划!BK18</f>
        <v>0</v>
      </c>
      <c r="BK41" s="225">
        <f>销售计划!BL18</f>
        <v>0</v>
      </c>
      <c r="BL41" s="225">
        <f>销售计划!BM18</f>
        <v>0</v>
      </c>
      <c r="BM41" s="225">
        <f>销售计划!BN18</f>
        <v>0</v>
      </c>
      <c r="BN41" s="225">
        <f>销售计划!BO18</f>
        <v>0</v>
      </c>
      <c r="BO41" s="225">
        <f>销售计划!BP18</f>
        <v>0</v>
      </c>
      <c r="BP41" s="225">
        <f>销售计划!BQ18</f>
        <v>0</v>
      </c>
    </row>
    <row r="42" spans="1:72">
      <c r="A42" s="166" t="str">
        <f t="shared" si="35"/>
        <v>一期</v>
      </c>
      <c r="B42" s="225" t="str">
        <f>销售计划!A21</f>
        <v>小高层（8~11F）</v>
      </c>
      <c r="C42" s="225">
        <f>销售计划!D21</f>
        <v>0</v>
      </c>
      <c r="D42" s="225">
        <f>销售计划!E21</f>
        <v>0</v>
      </c>
      <c r="E42" s="225">
        <f>销售计划!F21</f>
        <v>0</v>
      </c>
      <c r="F42" s="225">
        <f>销售计划!G21</f>
        <v>0</v>
      </c>
      <c r="G42" s="225">
        <f>销售计划!H21</f>
        <v>0</v>
      </c>
      <c r="H42" s="225">
        <f>销售计划!I21</f>
        <v>0</v>
      </c>
      <c r="I42" s="225">
        <f>销售计划!J21</f>
        <v>0</v>
      </c>
      <c r="J42" s="225">
        <f>销售计划!K21</f>
        <v>0</v>
      </c>
      <c r="K42" s="225">
        <f>销售计划!L21</f>
        <v>0</v>
      </c>
      <c r="L42" s="225">
        <f>销售计划!M21</f>
        <v>0</v>
      </c>
      <c r="M42" s="225">
        <f>销售计划!N21</f>
        <v>0</v>
      </c>
      <c r="N42" s="225">
        <f>销售计划!O21</f>
        <v>0</v>
      </c>
      <c r="O42" s="225">
        <f>销售计划!P21</f>
        <v>0</v>
      </c>
      <c r="P42" s="225">
        <f>销售计划!Q21</f>
        <v>0</v>
      </c>
      <c r="Q42" s="225">
        <f>销售计划!R21</f>
        <v>0</v>
      </c>
      <c r="R42" s="225">
        <f>销售计划!S21</f>
        <v>0</v>
      </c>
      <c r="S42" s="225">
        <f>销售计划!T21</f>
        <v>0</v>
      </c>
      <c r="T42" s="225">
        <f>销售计划!U21</f>
        <v>0</v>
      </c>
      <c r="U42" s="225">
        <f>销售计划!V21</f>
        <v>0</v>
      </c>
      <c r="V42" s="225">
        <f>销售计划!W21</f>
        <v>0</v>
      </c>
      <c r="W42" s="225">
        <f>销售计划!X21</f>
        <v>0</v>
      </c>
      <c r="X42" s="225">
        <f>销售计划!Y21</f>
        <v>0</v>
      </c>
      <c r="Y42" s="225">
        <f>销售计划!Z21</f>
        <v>0</v>
      </c>
      <c r="Z42" s="225">
        <f>销售计划!AA21</f>
        <v>0</v>
      </c>
      <c r="AA42" s="225">
        <f>销售计划!AB21</f>
        <v>0</v>
      </c>
      <c r="AB42" s="225">
        <f>销售计划!AC21</f>
        <v>0</v>
      </c>
      <c r="AC42" s="225">
        <f>销售计划!AD21</f>
        <v>0</v>
      </c>
      <c r="AD42" s="225">
        <f>销售计划!AE21</f>
        <v>0</v>
      </c>
      <c r="AE42" s="225">
        <f>销售计划!AF21</f>
        <v>0</v>
      </c>
      <c r="AF42" s="225">
        <f>销售计划!AG21</f>
        <v>9000</v>
      </c>
      <c r="AG42" s="225">
        <f>销售计划!AH21</f>
        <v>2000</v>
      </c>
      <c r="AH42" s="225">
        <f>销售计划!AI21</f>
        <v>3850</v>
      </c>
      <c r="AI42" s="225">
        <f>销售计划!AJ21</f>
        <v>1000</v>
      </c>
      <c r="AJ42" s="225">
        <f>销售计划!AK21</f>
        <v>2000</v>
      </c>
      <c r="AK42" s="225">
        <f>销售计划!AL21</f>
        <v>2000</v>
      </c>
      <c r="AL42" s="225">
        <f>销售计划!AM21</f>
        <v>3000</v>
      </c>
      <c r="AM42" s="225">
        <f>销售计划!AN21</f>
        <v>4000</v>
      </c>
      <c r="AN42" s="225">
        <f>销售计划!AO21</f>
        <v>2500</v>
      </c>
      <c r="AO42" s="225">
        <f>销售计划!AP21</f>
        <v>3000</v>
      </c>
      <c r="AP42" s="225">
        <f>销售计划!AQ21</f>
        <v>2500</v>
      </c>
      <c r="AQ42" s="225">
        <f>销售计划!AR21</f>
        <v>2500</v>
      </c>
      <c r="AR42" s="225">
        <f>销售计划!AS21</f>
        <v>4000</v>
      </c>
      <c r="AS42" s="225">
        <f>销售计划!AT21</f>
        <v>3500</v>
      </c>
      <c r="AT42" s="225">
        <f>销售计划!AU21</f>
        <v>2500</v>
      </c>
      <c r="AU42" s="225">
        <f>销售计划!AV21</f>
        <v>5000</v>
      </c>
      <c r="AV42" s="225">
        <f>销售计划!AW21</f>
        <v>2500</v>
      </c>
      <c r="AW42" s="225">
        <f>销售计划!AX21</f>
        <v>4324.3799999999974</v>
      </c>
      <c r="AX42" s="225">
        <f>销售计划!AY21</f>
        <v>0</v>
      </c>
      <c r="AY42" s="225">
        <f>销售计划!AZ21</f>
        <v>0</v>
      </c>
      <c r="AZ42" s="225">
        <f>销售计划!BA21</f>
        <v>0</v>
      </c>
      <c r="BA42" s="225">
        <f>销售计划!BB21</f>
        <v>0</v>
      </c>
      <c r="BB42" s="225">
        <f>销售计划!BC21</f>
        <v>0</v>
      </c>
      <c r="BC42" s="225">
        <f>销售计划!BD21</f>
        <v>0</v>
      </c>
      <c r="BD42" s="225">
        <f>销售计划!BE21</f>
        <v>0</v>
      </c>
      <c r="BE42" s="225">
        <f>销售计划!BF21</f>
        <v>0</v>
      </c>
      <c r="BF42" s="225">
        <f>销售计划!BG21</f>
        <v>0</v>
      </c>
      <c r="BG42" s="225">
        <f>销售计划!BH21</f>
        <v>0</v>
      </c>
      <c r="BH42" s="225">
        <f>销售计划!BI21</f>
        <v>0</v>
      </c>
      <c r="BI42" s="225">
        <f>销售计划!BJ21</f>
        <v>0</v>
      </c>
      <c r="BJ42" s="225">
        <f>销售计划!BK21</f>
        <v>0</v>
      </c>
      <c r="BK42" s="225">
        <f>销售计划!BL21</f>
        <v>0</v>
      </c>
      <c r="BL42" s="225">
        <f>销售计划!BM21</f>
        <v>0</v>
      </c>
      <c r="BM42" s="225">
        <f>销售计划!BN21</f>
        <v>0</v>
      </c>
      <c r="BN42" s="225">
        <f>销售计划!BO21</f>
        <v>0</v>
      </c>
      <c r="BO42" s="225">
        <f>销售计划!BP21</f>
        <v>0</v>
      </c>
      <c r="BP42" s="225">
        <f>销售计划!BQ21</f>
        <v>0</v>
      </c>
    </row>
    <row r="43" spans="1:72">
      <c r="A43" s="166" t="str">
        <f t="shared" si="35"/>
        <v>一期</v>
      </c>
      <c r="B43" s="225" t="str">
        <f>销售计划!A24</f>
        <v>临街商业</v>
      </c>
      <c r="C43" s="225">
        <f>销售计划!D24</f>
        <v>0</v>
      </c>
      <c r="D43" s="225">
        <f>销售计划!E100</f>
        <v>0</v>
      </c>
      <c r="E43" s="225">
        <f>销售计划!F100</f>
        <v>0</v>
      </c>
      <c r="F43" s="225">
        <f>销售计划!G24</f>
        <v>0</v>
      </c>
      <c r="G43" s="225">
        <f>销售计划!H24</f>
        <v>0</v>
      </c>
      <c r="H43" s="225">
        <f>销售计划!I24</f>
        <v>0</v>
      </c>
      <c r="I43" s="225">
        <f>销售计划!J24</f>
        <v>0</v>
      </c>
      <c r="J43" s="225">
        <f>销售计划!K24</f>
        <v>0</v>
      </c>
      <c r="K43" s="225">
        <f>销售计划!L24</f>
        <v>0</v>
      </c>
      <c r="L43" s="225">
        <f>销售计划!M24</f>
        <v>0</v>
      </c>
      <c r="M43" s="225">
        <f>销售计划!N24</f>
        <v>0</v>
      </c>
      <c r="N43" s="225">
        <f>销售计划!O24</f>
        <v>0</v>
      </c>
      <c r="O43" s="225">
        <f>销售计划!P24</f>
        <v>0</v>
      </c>
      <c r="P43" s="225">
        <f>销售计划!Q24</f>
        <v>0</v>
      </c>
      <c r="Q43" s="225">
        <f>销售计划!R24</f>
        <v>0</v>
      </c>
      <c r="R43" s="225">
        <f>销售计划!S24</f>
        <v>0</v>
      </c>
      <c r="S43" s="225">
        <f>销售计划!T24</f>
        <v>0</v>
      </c>
      <c r="T43" s="225">
        <f>销售计划!U24</f>
        <v>0</v>
      </c>
      <c r="U43" s="225">
        <f>销售计划!V24</f>
        <v>0</v>
      </c>
      <c r="V43" s="225">
        <f>销售计划!W24</f>
        <v>0</v>
      </c>
      <c r="W43" s="225">
        <f>销售计划!X24</f>
        <v>0</v>
      </c>
      <c r="X43" s="225">
        <f>销售计划!Y24</f>
        <v>0</v>
      </c>
      <c r="Y43" s="225">
        <f>销售计划!Z24</f>
        <v>0</v>
      </c>
      <c r="Z43" s="225">
        <f>销售计划!AA24</f>
        <v>0</v>
      </c>
      <c r="AA43" s="225">
        <f>销售计划!AB24</f>
        <v>0</v>
      </c>
      <c r="AB43" s="225">
        <f>销售计划!AC24</f>
        <v>0</v>
      </c>
      <c r="AC43" s="225">
        <f>销售计划!AD24</f>
        <v>0</v>
      </c>
      <c r="AD43" s="225">
        <f>销售计划!AE24</f>
        <v>0</v>
      </c>
      <c r="AE43" s="225">
        <f>销售计划!AF24</f>
        <v>0</v>
      </c>
      <c r="AF43" s="225">
        <f>销售计划!AG24</f>
        <v>0</v>
      </c>
      <c r="AG43" s="225">
        <f>销售计划!AH24</f>
        <v>0</v>
      </c>
      <c r="AH43" s="225">
        <f>销售计划!AI24</f>
        <v>0</v>
      </c>
      <c r="AI43" s="225">
        <f>销售计划!AJ24</f>
        <v>0</v>
      </c>
      <c r="AJ43" s="225">
        <f>销售计划!AK24</f>
        <v>0</v>
      </c>
      <c r="AK43" s="225">
        <f>销售计划!AL24</f>
        <v>0</v>
      </c>
      <c r="AL43" s="225">
        <f>销售计划!AM24</f>
        <v>0</v>
      </c>
      <c r="AM43" s="225">
        <f>销售计划!AN24</f>
        <v>0</v>
      </c>
      <c r="AN43" s="225">
        <f>销售计划!AO24</f>
        <v>300</v>
      </c>
      <c r="AO43" s="225">
        <f>销售计划!AP24</f>
        <v>150</v>
      </c>
      <c r="AP43" s="225">
        <f>销售计划!AQ24</f>
        <v>150</v>
      </c>
      <c r="AQ43" s="225">
        <f>销售计划!AR24</f>
        <v>100</v>
      </c>
      <c r="AR43" s="225">
        <f>销售计划!AS24</f>
        <v>100</v>
      </c>
      <c r="AS43" s="225">
        <f>销售计划!AT24</f>
        <v>100</v>
      </c>
      <c r="AT43" s="225">
        <f>销售计划!AU24</f>
        <v>158.93000000000006</v>
      </c>
      <c r="AU43" s="225">
        <f>销售计划!AV24</f>
        <v>0</v>
      </c>
      <c r="AV43" s="225">
        <f>销售计划!AW24</f>
        <v>0</v>
      </c>
      <c r="AW43" s="225">
        <f>销售计划!AX24</f>
        <v>0</v>
      </c>
      <c r="AX43" s="225">
        <f>销售计划!AY24</f>
        <v>0</v>
      </c>
      <c r="AY43" s="225">
        <f>销售计划!AZ24</f>
        <v>0</v>
      </c>
      <c r="AZ43" s="225">
        <f>销售计划!BA24</f>
        <v>0</v>
      </c>
      <c r="BA43" s="225">
        <f>销售计划!BB24</f>
        <v>0</v>
      </c>
      <c r="BB43" s="225">
        <f>销售计划!BC24</f>
        <v>0</v>
      </c>
      <c r="BC43" s="225">
        <f>销售计划!BD24</f>
        <v>0</v>
      </c>
      <c r="BD43" s="225">
        <f>销售计划!BE24</f>
        <v>0</v>
      </c>
      <c r="BE43" s="225">
        <f>销售计划!BF24</f>
        <v>0</v>
      </c>
      <c r="BF43" s="225">
        <f>销售计划!BG24</f>
        <v>0</v>
      </c>
      <c r="BG43" s="225">
        <f>销售计划!BH24</f>
        <v>0</v>
      </c>
      <c r="BH43" s="225">
        <f>销售计划!BI24</f>
        <v>0</v>
      </c>
      <c r="BI43" s="225">
        <f>销售计划!BJ24</f>
        <v>0</v>
      </c>
      <c r="BJ43" s="225">
        <f>销售计划!BK24</f>
        <v>0</v>
      </c>
      <c r="BK43" s="225">
        <f>销售计划!BL24</f>
        <v>0</v>
      </c>
      <c r="BL43" s="225">
        <f>销售计划!BM24</f>
        <v>0</v>
      </c>
      <c r="BM43" s="225">
        <f>销售计划!BN24</f>
        <v>0</v>
      </c>
      <c r="BN43" s="225">
        <f>销售计划!BO24</f>
        <v>0</v>
      </c>
      <c r="BO43" s="225">
        <f>销售计划!BP24</f>
        <v>0</v>
      </c>
      <c r="BP43" s="225">
        <f>销售计划!BQ24</f>
        <v>0</v>
      </c>
    </row>
    <row r="44" spans="1:72">
      <c r="A44" s="166" t="str">
        <f t="shared" si="35"/>
        <v>一期</v>
      </c>
      <c r="B44" s="225">
        <f>销售计划!A27</f>
        <v>0</v>
      </c>
      <c r="C44" s="225">
        <f>销售计划!D27</f>
        <v>0</v>
      </c>
      <c r="D44" s="225">
        <f>销售计划!E27</f>
        <v>0</v>
      </c>
      <c r="E44" s="225">
        <f>销售计划!F27</f>
        <v>0</v>
      </c>
      <c r="F44" s="225">
        <f>销售计划!G27</f>
        <v>0</v>
      </c>
      <c r="G44" s="225">
        <f>销售计划!H27</f>
        <v>0</v>
      </c>
      <c r="H44" s="225">
        <f>销售计划!I27</f>
        <v>0</v>
      </c>
      <c r="I44" s="225">
        <f>销售计划!J27</f>
        <v>0</v>
      </c>
      <c r="J44" s="225">
        <f>销售计划!K27</f>
        <v>0</v>
      </c>
      <c r="K44" s="225">
        <f>销售计划!L27</f>
        <v>0</v>
      </c>
      <c r="L44" s="225">
        <f>销售计划!M27</f>
        <v>0</v>
      </c>
      <c r="M44" s="225">
        <f>销售计划!N27</f>
        <v>0</v>
      </c>
      <c r="N44" s="225">
        <f>销售计划!O27</f>
        <v>0</v>
      </c>
      <c r="O44" s="225">
        <f>销售计划!P27</f>
        <v>0</v>
      </c>
      <c r="P44" s="225">
        <f>销售计划!Q27</f>
        <v>0</v>
      </c>
      <c r="Q44" s="225">
        <f>销售计划!R27</f>
        <v>0</v>
      </c>
      <c r="R44" s="225">
        <f>销售计划!S27</f>
        <v>0</v>
      </c>
      <c r="S44" s="225">
        <f>销售计划!T27</f>
        <v>0</v>
      </c>
      <c r="T44" s="225">
        <f>销售计划!U27</f>
        <v>0</v>
      </c>
      <c r="U44" s="225">
        <f>销售计划!V27</f>
        <v>0</v>
      </c>
      <c r="V44" s="225">
        <f>销售计划!W27</f>
        <v>0</v>
      </c>
      <c r="W44" s="225">
        <f>销售计划!X27</f>
        <v>0</v>
      </c>
      <c r="X44" s="225">
        <f>销售计划!Y27</f>
        <v>0</v>
      </c>
      <c r="Y44" s="225">
        <f>销售计划!Z27</f>
        <v>0</v>
      </c>
      <c r="Z44" s="225">
        <f>销售计划!AA27</f>
        <v>0</v>
      </c>
      <c r="AA44" s="225">
        <f>销售计划!AB27</f>
        <v>0</v>
      </c>
      <c r="AB44" s="225">
        <f>销售计划!AC27</f>
        <v>0</v>
      </c>
      <c r="AC44" s="225">
        <f>销售计划!AD27</f>
        <v>0</v>
      </c>
      <c r="AD44" s="225">
        <f>销售计划!AE27</f>
        <v>0</v>
      </c>
      <c r="AE44" s="225">
        <f>销售计划!AF27</f>
        <v>0</v>
      </c>
      <c r="AF44" s="225">
        <f>销售计划!AG27</f>
        <v>0</v>
      </c>
      <c r="AG44" s="225">
        <f>销售计划!AH27</f>
        <v>0</v>
      </c>
      <c r="AH44" s="225">
        <f>销售计划!AI27</f>
        <v>0</v>
      </c>
      <c r="AI44" s="225">
        <f>销售计划!AJ27</f>
        <v>0</v>
      </c>
      <c r="AJ44" s="225">
        <f>销售计划!AK27</f>
        <v>0</v>
      </c>
      <c r="AK44" s="225">
        <f>销售计划!AL27</f>
        <v>0</v>
      </c>
      <c r="AL44" s="225">
        <f>销售计划!AM27</f>
        <v>0</v>
      </c>
      <c r="AM44" s="225">
        <f>销售计划!AN27</f>
        <v>0</v>
      </c>
      <c r="AN44" s="225">
        <f>销售计划!AO27</f>
        <v>0</v>
      </c>
      <c r="AO44" s="225">
        <f>销售计划!AP27</f>
        <v>0</v>
      </c>
      <c r="AP44" s="225">
        <f>销售计划!AQ27</f>
        <v>0</v>
      </c>
      <c r="AQ44" s="225">
        <f>销售计划!AR27</f>
        <v>0</v>
      </c>
      <c r="AR44" s="225">
        <f>销售计划!AS27</f>
        <v>0</v>
      </c>
      <c r="AS44" s="225">
        <f>销售计划!AT27</f>
        <v>0</v>
      </c>
      <c r="AT44" s="225">
        <f>销售计划!AU27</f>
        <v>0</v>
      </c>
      <c r="AU44" s="225">
        <f>销售计划!AV27</f>
        <v>0</v>
      </c>
      <c r="AV44" s="225">
        <f>销售计划!AW27</f>
        <v>0</v>
      </c>
      <c r="AW44" s="225">
        <f>销售计划!AX27</f>
        <v>0</v>
      </c>
      <c r="AX44" s="225">
        <f>销售计划!AY27</f>
        <v>0</v>
      </c>
      <c r="AY44" s="225">
        <f>销售计划!AZ27</f>
        <v>0</v>
      </c>
      <c r="AZ44" s="225">
        <f>销售计划!BA27</f>
        <v>0</v>
      </c>
      <c r="BA44" s="225">
        <f>销售计划!BB27</f>
        <v>0</v>
      </c>
      <c r="BB44" s="225">
        <f>销售计划!BC27</f>
        <v>0</v>
      </c>
      <c r="BC44" s="225">
        <f>销售计划!BD27</f>
        <v>0</v>
      </c>
      <c r="BD44" s="225">
        <f>销售计划!BE27</f>
        <v>0</v>
      </c>
      <c r="BE44" s="225">
        <f>销售计划!BF27</f>
        <v>0</v>
      </c>
      <c r="BF44" s="225">
        <f>销售计划!BG27</f>
        <v>0</v>
      </c>
      <c r="BG44" s="225">
        <f>销售计划!BH27</f>
        <v>0</v>
      </c>
      <c r="BH44" s="225">
        <f>销售计划!BI27</f>
        <v>0</v>
      </c>
      <c r="BI44" s="225">
        <f>销售计划!BJ27</f>
        <v>0</v>
      </c>
      <c r="BJ44" s="225">
        <f>销售计划!BK27</f>
        <v>0</v>
      </c>
      <c r="BK44" s="225">
        <f>销售计划!BL27</f>
        <v>0</v>
      </c>
      <c r="BL44" s="225">
        <f>销售计划!BM27</f>
        <v>0</v>
      </c>
      <c r="BM44" s="225">
        <f>销售计划!BN27</f>
        <v>0</v>
      </c>
      <c r="BN44" s="225">
        <f>销售计划!BO27</f>
        <v>0</v>
      </c>
      <c r="BO44" s="225">
        <f>销售计划!BP27</f>
        <v>0</v>
      </c>
      <c r="BP44" s="225">
        <f>销售计划!BQ27</f>
        <v>0</v>
      </c>
    </row>
    <row r="45" spans="1:72">
      <c r="A45" s="166" t="str">
        <f t="shared" si="35"/>
        <v>一期</v>
      </c>
      <c r="B45" s="225">
        <f>销售计划!A30</f>
        <v>0</v>
      </c>
      <c r="C45" s="225">
        <f>销售计划!D30</f>
        <v>0</v>
      </c>
      <c r="D45" s="225">
        <f>销售计划!E30</f>
        <v>0</v>
      </c>
      <c r="E45" s="225">
        <f>销售计划!F30</f>
        <v>0</v>
      </c>
      <c r="F45" s="225">
        <f>销售计划!G30</f>
        <v>0</v>
      </c>
      <c r="G45" s="225">
        <f>销售计划!H30</f>
        <v>0</v>
      </c>
      <c r="H45" s="225">
        <f>销售计划!I30</f>
        <v>0</v>
      </c>
      <c r="I45" s="225">
        <f>销售计划!J30</f>
        <v>0</v>
      </c>
      <c r="J45" s="225">
        <f>销售计划!K30</f>
        <v>0</v>
      </c>
      <c r="K45" s="225">
        <f>销售计划!L30</f>
        <v>0</v>
      </c>
      <c r="L45" s="225">
        <f>销售计划!M30</f>
        <v>0</v>
      </c>
      <c r="M45" s="225">
        <f>销售计划!N30</f>
        <v>0</v>
      </c>
      <c r="N45" s="225">
        <f>销售计划!O30</f>
        <v>0</v>
      </c>
      <c r="O45" s="225">
        <f>销售计划!P30</f>
        <v>0</v>
      </c>
      <c r="P45" s="225">
        <f>销售计划!Q30</f>
        <v>0</v>
      </c>
      <c r="Q45" s="225">
        <f>销售计划!R30</f>
        <v>0</v>
      </c>
      <c r="R45" s="225">
        <f>销售计划!S30</f>
        <v>0</v>
      </c>
      <c r="S45" s="225">
        <f>销售计划!T30</f>
        <v>0</v>
      </c>
      <c r="T45" s="225">
        <f>销售计划!U30</f>
        <v>0</v>
      </c>
      <c r="U45" s="225">
        <f>销售计划!V30</f>
        <v>0</v>
      </c>
      <c r="V45" s="225">
        <f>销售计划!W30</f>
        <v>0</v>
      </c>
      <c r="W45" s="225">
        <f>销售计划!X30</f>
        <v>0</v>
      </c>
      <c r="X45" s="225">
        <f>销售计划!Y30</f>
        <v>0</v>
      </c>
      <c r="Y45" s="225">
        <f>销售计划!Z30</f>
        <v>0</v>
      </c>
      <c r="Z45" s="225">
        <f>销售计划!AA30</f>
        <v>0</v>
      </c>
      <c r="AA45" s="225">
        <f>销售计划!AB30</f>
        <v>0</v>
      </c>
      <c r="AB45" s="225">
        <f>销售计划!AC30</f>
        <v>0</v>
      </c>
      <c r="AC45" s="225">
        <f>销售计划!AD30</f>
        <v>0</v>
      </c>
      <c r="AD45" s="225">
        <f>销售计划!AE30</f>
        <v>0</v>
      </c>
      <c r="AE45" s="225">
        <f>销售计划!AF30</f>
        <v>0</v>
      </c>
      <c r="AF45" s="225">
        <f>销售计划!AG30</f>
        <v>0</v>
      </c>
      <c r="AG45" s="225">
        <f>销售计划!AH30</f>
        <v>0</v>
      </c>
      <c r="AH45" s="225">
        <f>销售计划!AI30</f>
        <v>0</v>
      </c>
      <c r="AI45" s="225">
        <f>销售计划!AJ30</f>
        <v>0</v>
      </c>
      <c r="AJ45" s="225">
        <f>销售计划!AK30</f>
        <v>0</v>
      </c>
      <c r="AK45" s="225">
        <f>销售计划!A13</f>
        <v>0</v>
      </c>
      <c r="AL45" s="225">
        <f>销售计划!AM30</f>
        <v>0</v>
      </c>
      <c r="AM45" s="225">
        <f>销售计划!AN30</f>
        <v>0</v>
      </c>
      <c r="AN45" s="225">
        <f>销售计划!AO30</f>
        <v>0</v>
      </c>
      <c r="AO45" s="225">
        <f>销售计划!AP30</f>
        <v>0</v>
      </c>
      <c r="AP45" s="225">
        <f>销售计划!AQ30</f>
        <v>0</v>
      </c>
      <c r="AQ45" s="225">
        <f>销售计划!AR30</f>
        <v>0</v>
      </c>
      <c r="AR45" s="225">
        <f>销售计划!AS30</f>
        <v>0</v>
      </c>
      <c r="AS45" s="225">
        <f>销售计划!AT30</f>
        <v>0</v>
      </c>
      <c r="AT45" s="225">
        <f>销售计划!AU30</f>
        <v>0</v>
      </c>
      <c r="AU45" s="225">
        <f>销售计划!AV30</f>
        <v>0</v>
      </c>
      <c r="AV45" s="225">
        <f>销售计划!AW30</f>
        <v>0</v>
      </c>
      <c r="AW45" s="225">
        <f>销售计划!AX30</f>
        <v>0</v>
      </c>
      <c r="AX45" s="225">
        <f>销售计划!AY30</f>
        <v>0</v>
      </c>
      <c r="AY45" s="225">
        <f>销售计划!AZ30</f>
        <v>0</v>
      </c>
      <c r="AZ45" s="225">
        <f>销售计划!BA30</f>
        <v>0</v>
      </c>
      <c r="BA45" s="225">
        <f>销售计划!BB30</f>
        <v>0</v>
      </c>
      <c r="BB45" s="225">
        <f>销售计划!BC30</f>
        <v>0</v>
      </c>
      <c r="BC45" s="225">
        <f>销售计划!BD30</f>
        <v>0</v>
      </c>
      <c r="BD45" s="225">
        <f>销售计划!BE30</f>
        <v>0</v>
      </c>
      <c r="BE45" s="225">
        <f>销售计划!BF30</f>
        <v>0</v>
      </c>
      <c r="BF45" s="225">
        <f>销售计划!BG30</f>
        <v>0</v>
      </c>
      <c r="BG45" s="225">
        <f>销售计划!BH30</f>
        <v>0</v>
      </c>
      <c r="BH45" s="225">
        <f>销售计划!BI30</f>
        <v>0</v>
      </c>
      <c r="BI45" s="225">
        <f>销售计划!BJ30</f>
        <v>0</v>
      </c>
      <c r="BJ45" s="225">
        <f>销售计划!BK30</f>
        <v>0</v>
      </c>
      <c r="BK45" s="225">
        <f>销售计划!BL30</f>
        <v>0</v>
      </c>
      <c r="BL45" s="225">
        <f>销售计划!BM30</f>
        <v>0</v>
      </c>
      <c r="BM45" s="225">
        <f>销售计划!BN30</f>
        <v>0</v>
      </c>
      <c r="BN45" s="225">
        <f>销售计划!BO30</f>
        <v>0</v>
      </c>
      <c r="BO45" s="225">
        <f>销售计划!BP30</f>
        <v>0</v>
      </c>
      <c r="BP45" s="225">
        <f>销售计划!BQ30</f>
        <v>0</v>
      </c>
    </row>
    <row r="46" spans="1:72">
      <c r="A46" s="166" t="str">
        <f>基础信息!A4</f>
        <v>二期</v>
      </c>
      <c r="B46" s="225" t="str">
        <f>销售计划!A33</f>
        <v>二期</v>
      </c>
      <c r="C46" s="225">
        <f>销售计划!D33</f>
        <v>0</v>
      </c>
      <c r="D46" s="225">
        <f>销售计划!E33</f>
        <v>0</v>
      </c>
      <c r="E46" s="225">
        <f>销售计划!F33</f>
        <v>0</v>
      </c>
      <c r="F46" s="225">
        <f>销售计划!G33</f>
        <v>0</v>
      </c>
      <c r="G46" s="225">
        <f>销售计划!H33</f>
        <v>0</v>
      </c>
      <c r="H46" s="225">
        <f>销售计划!I33</f>
        <v>0</v>
      </c>
      <c r="I46" s="225">
        <f>销售计划!J33</f>
        <v>0</v>
      </c>
      <c r="J46" s="225">
        <f>销售计划!K33</f>
        <v>0</v>
      </c>
      <c r="K46" s="225">
        <f>销售计划!L33</f>
        <v>0</v>
      </c>
      <c r="L46" s="225">
        <f>销售计划!M33</f>
        <v>0</v>
      </c>
      <c r="M46" s="225">
        <f>销售计划!N33</f>
        <v>0</v>
      </c>
      <c r="N46" s="225">
        <f>销售计划!O33</f>
        <v>0</v>
      </c>
      <c r="O46" s="225">
        <f>销售计划!P33</f>
        <v>0</v>
      </c>
      <c r="P46" s="225">
        <f>销售计划!Q33</f>
        <v>0</v>
      </c>
      <c r="Q46" s="225">
        <f>销售计划!R33</f>
        <v>0</v>
      </c>
      <c r="R46" s="225">
        <f>销售计划!S33</f>
        <v>0</v>
      </c>
      <c r="S46" s="225">
        <f>销售计划!T33</f>
        <v>0</v>
      </c>
      <c r="T46" s="225">
        <f>销售计划!U33</f>
        <v>0</v>
      </c>
      <c r="U46" s="225">
        <f>销售计划!V33</f>
        <v>0</v>
      </c>
      <c r="V46" s="225">
        <f>销售计划!W33</f>
        <v>0</v>
      </c>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row>
    <row r="47" spans="1:72">
      <c r="A47" s="166" t="str">
        <f t="shared" ref="A47:A52" si="36">A46</f>
        <v>二期</v>
      </c>
      <c r="B47" s="225" t="str">
        <f>销售计划!A36</f>
        <v>普通地下室</v>
      </c>
      <c r="C47" s="225">
        <f>销售计划!D36</f>
        <v>0</v>
      </c>
      <c r="D47" s="225">
        <f>销售计划!E36</f>
        <v>0</v>
      </c>
      <c r="E47" s="225">
        <f>销售计划!F36</f>
        <v>0</v>
      </c>
      <c r="F47" s="225">
        <f>销售计划!G36</f>
        <v>0</v>
      </c>
      <c r="G47" s="225">
        <f>销售计划!H36</f>
        <v>0</v>
      </c>
      <c r="H47" s="225">
        <f>销售计划!I36</f>
        <v>0</v>
      </c>
      <c r="I47" s="225">
        <f>销售计划!J36</f>
        <v>0</v>
      </c>
      <c r="J47" s="225">
        <f>销售计划!K36</f>
        <v>0</v>
      </c>
      <c r="K47" s="225">
        <f>销售计划!L36</f>
        <v>0</v>
      </c>
      <c r="L47" s="225">
        <f>销售计划!M36</f>
        <v>0</v>
      </c>
      <c r="M47" s="225">
        <f>销售计划!N36</f>
        <v>0</v>
      </c>
      <c r="N47" s="225">
        <f>销售计划!O36</f>
        <v>0</v>
      </c>
      <c r="O47" s="225">
        <f>销售计划!P36</f>
        <v>0</v>
      </c>
      <c r="P47" s="225">
        <f>销售计划!Q36</f>
        <v>0</v>
      </c>
      <c r="Q47" s="225">
        <f>销售计划!R36</f>
        <v>0</v>
      </c>
      <c r="R47" s="225">
        <f>销售计划!S36</f>
        <v>0</v>
      </c>
      <c r="S47" s="225">
        <f>销售计划!T36</f>
        <v>0</v>
      </c>
      <c r="T47" s="225">
        <f>销售计划!U36</f>
        <v>0</v>
      </c>
      <c r="U47" s="225">
        <f>销售计划!V36</f>
        <v>0</v>
      </c>
      <c r="V47" s="225">
        <f>销售计划!W36</f>
        <v>0</v>
      </c>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row>
    <row r="48" spans="1:72">
      <c r="A48" s="166" t="str">
        <f t="shared" si="36"/>
        <v>二期</v>
      </c>
      <c r="B48" s="225" t="str">
        <f>销售计划!A39</f>
        <v>高层住宅</v>
      </c>
      <c r="C48" s="225">
        <f>销售计划!D39</f>
        <v>0</v>
      </c>
      <c r="D48" s="225">
        <f>销售计划!E39</f>
        <v>0</v>
      </c>
      <c r="E48" s="225">
        <f>销售计划!F39</f>
        <v>0</v>
      </c>
      <c r="F48" s="225">
        <f>销售计划!G39</f>
        <v>0</v>
      </c>
      <c r="G48" s="225">
        <f>销售计划!H39</f>
        <v>0</v>
      </c>
      <c r="H48" s="225">
        <f>销售计划!I39</f>
        <v>0</v>
      </c>
      <c r="I48" s="225">
        <f>销售计划!J39</f>
        <v>0</v>
      </c>
      <c r="J48" s="225">
        <f>销售计划!K39</f>
        <v>0</v>
      </c>
      <c r="K48" s="225">
        <f>销售计划!L39</f>
        <v>0</v>
      </c>
      <c r="L48" s="225">
        <f>销售计划!M39</f>
        <v>0</v>
      </c>
      <c r="M48" s="225">
        <f>销售计划!N39</f>
        <v>0</v>
      </c>
      <c r="N48" s="225">
        <f>销售计划!O39</f>
        <v>0</v>
      </c>
      <c r="O48" s="225">
        <f>销售计划!P39</f>
        <v>0</v>
      </c>
      <c r="P48" s="225">
        <f>销售计划!Q39</f>
        <v>0</v>
      </c>
      <c r="Q48" s="225">
        <f>销售计划!R39</f>
        <v>0</v>
      </c>
      <c r="R48" s="225">
        <f>销售计划!S39</f>
        <v>0</v>
      </c>
      <c r="S48" s="225">
        <f>销售计划!T39</f>
        <v>0</v>
      </c>
      <c r="T48" s="225">
        <f>销售计划!U39</f>
        <v>0</v>
      </c>
      <c r="U48" s="225">
        <f>销售计划!V39</f>
        <v>0</v>
      </c>
      <c r="V48" s="225">
        <f>销售计划!W39</f>
        <v>0</v>
      </c>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row>
    <row r="49" spans="1:68">
      <c r="A49" s="166" t="str">
        <f t="shared" si="36"/>
        <v>二期</v>
      </c>
      <c r="B49" s="225" t="str">
        <f>销售计划!A42</f>
        <v>街区式商业</v>
      </c>
      <c r="C49" s="225">
        <f>销售计划!D42</f>
        <v>0</v>
      </c>
      <c r="D49" s="225">
        <f>销售计划!E42</f>
        <v>0</v>
      </c>
      <c r="E49" s="225">
        <f>销售计划!F42</f>
        <v>0</v>
      </c>
      <c r="F49" s="225">
        <f>销售计划!G42</f>
        <v>0</v>
      </c>
      <c r="G49" s="225">
        <f>销售计划!H42</f>
        <v>0</v>
      </c>
      <c r="H49" s="225">
        <f>销售计划!I42</f>
        <v>0</v>
      </c>
      <c r="I49" s="225">
        <f>销售计划!J42</f>
        <v>0</v>
      </c>
      <c r="J49" s="225">
        <f>销售计划!K42</f>
        <v>0</v>
      </c>
      <c r="K49" s="225">
        <f>销售计划!L42</f>
        <v>0</v>
      </c>
      <c r="L49" s="225">
        <f>销售计划!M42</f>
        <v>0</v>
      </c>
      <c r="M49" s="225">
        <f>销售计划!N42</f>
        <v>0</v>
      </c>
      <c r="N49" s="225">
        <f>销售计划!O42</f>
        <v>0</v>
      </c>
      <c r="O49" s="225">
        <f>销售计划!P42</f>
        <v>0</v>
      </c>
      <c r="P49" s="225">
        <f>销售计划!Q42</f>
        <v>0</v>
      </c>
      <c r="Q49" s="225">
        <f>销售计划!R42</f>
        <v>0</v>
      </c>
      <c r="R49" s="225">
        <f>销售计划!S42</f>
        <v>0</v>
      </c>
      <c r="S49" s="225">
        <f>销售计划!T42</f>
        <v>0</v>
      </c>
      <c r="T49" s="225">
        <f>销售计划!U42</f>
        <v>0</v>
      </c>
      <c r="U49" s="225">
        <f>销售计划!V42</f>
        <v>0</v>
      </c>
      <c r="V49" s="225">
        <f>销售计划!W42</f>
        <v>0</v>
      </c>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row>
    <row r="50" spans="1:68">
      <c r="A50" s="166" t="str">
        <f t="shared" si="36"/>
        <v>二期</v>
      </c>
      <c r="B50" s="225" t="str">
        <f>销售计划!A45</f>
        <v>三期</v>
      </c>
      <c r="C50" s="225">
        <f>销售计划!D45</f>
        <v>0</v>
      </c>
      <c r="D50" s="225">
        <f>销售计划!E45</f>
        <v>0</v>
      </c>
      <c r="E50" s="225">
        <f>销售计划!F45</f>
        <v>0</v>
      </c>
      <c r="F50" s="225">
        <f>销售计划!G45</f>
        <v>0</v>
      </c>
      <c r="G50" s="225">
        <f>销售计划!H45</f>
        <v>0</v>
      </c>
      <c r="H50" s="225">
        <f>销售计划!I45</f>
        <v>0</v>
      </c>
      <c r="I50" s="225">
        <f>销售计划!J45</f>
        <v>0</v>
      </c>
      <c r="J50" s="225">
        <f>销售计划!K45</f>
        <v>0</v>
      </c>
      <c r="K50" s="225">
        <f>销售计划!L45</f>
        <v>0</v>
      </c>
      <c r="L50" s="225">
        <f>销售计划!M45</f>
        <v>0</v>
      </c>
      <c r="M50" s="225">
        <f>销售计划!N45</f>
        <v>0</v>
      </c>
      <c r="N50" s="225">
        <f>销售计划!O45</f>
        <v>0</v>
      </c>
      <c r="O50" s="225">
        <f>销售计划!P45</f>
        <v>0</v>
      </c>
      <c r="P50" s="225">
        <f>销售计划!Q45</f>
        <v>0</v>
      </c>
      <c r="Q50" s="225">
        <f>销售计划!R45</f>
        <v>0</v>
      </c>
      <c r="R50" s="225">
        <f>销售计划!S45</f>
        <v>0</v>
      </c>
      <c r="S50" s="225">
        <f>销售计划!T45</f>
        <v>0</v>
      </c>
      <c r="T50" s="225">
        <f>销售计划!U45</f>
        <v>0</v>
      </c>
      <c r="U50" s="225">
        <f>销售计划!V45</f>
        <v>0</v>
      </c>
      <c r="V50" s="225">
        <f>销售计划!W45</f>
        <v>0</v>
      </c>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row>
    <row r="51" spans="1:68">
      <c r="A51" s="166" t="str">
        <f t="shared" si="36"/>
        <v>二期</v>
      </c>
      <c r="B51" s="225" t="str">
        <f>销售计划!A48</f>
        <v>普通地下室</v>
      </c>
      <c r="C51" s="225">
        <f>销售计划!D48</f>
        <v>0</v>
      </c>
      <c r="D51" s="225">
        <f>销售计划!E48</f>
        <v>0</v>
      </c>
      <c r="E51" s="225">
        <f>销售计划!F48</f>
        <v>0</v>
      </c>
      <c r="F51" s="225">
        <f>销售计划!G48</f>
        <v>0</v>
      </c>
      <c r="G51" s="225">
        <f>销售计划!H48</f>
        <v>0</v>
      </c>
      <c r="H51" s="225">
        <f>销售计划!I48</f>
        <v>0</v>
      </c>
      <c r="I51" s="225">
        <f>销售计划!J48</f>
        <v>0</v>
      </c>
      <c r="J51" s="225">
        <f>销售计划!K48</f>
        <v>0</v>
      </c>
      <c r="K51" s="225">
        <f>销售计划!L48</f>
        <v>0</v>
      </c>
      <c r="L51" s="225">
        <f>销售计划!M48</f>
        <v>0</v>
      </c>
      <c r="M51" s="225">
        <f>销售计划!N48</f>
        <v>0</v>
      </c>
      <c r="N51" s="225">
        <f>销售计划!O48</f>
        <v>0</v>
      </c>
      <c r="O51" s="225">
        <f>销售计划!P48</f>
        <v>0</v>
      </c>
      <c r="P51" s="225">
        <f>销售计划!Q48</f>
        <v>0</v>
      </c>
      <c r="Q51" s="225">
        <f>销售计划!R48</f>
        <v>0</v>
      </c>
      <c r="R51" s="225">
        <f>销售计划!S48</f>
        <v>0</v>
      </c>
      <c r="S51" s="225">
        <f>销售计划!T48</f>
        <v>0</v>
      </c>
      <c r="T51" s="225">
        <f>销售计划!U48</f>
        <v>0</v>
      </c>
      <c r="U51" s="225">
        <f>销售计划!V48</f>
        <v>0</v>
      </c>
      <c r="V51" s="225">
        <f>销售计划!W48</f>
        <v>0</v>
      </c>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row>
    <row r="52" spans="1:68">
      <c r="A52" s="166" t="str">
        <f t="shared" si="36"/>
        <v>二期</v>
      </c>
      <c r="B52" s="225" t="str">
        <f>销售计划!A51</f>
        <v>高层住宅</v>
      </c>
      <c r="C52" s="225">
        <f>销售计划!D51</f>
        <v>0</v>
      </c>
      <c r="D52" s="225">
        <f>销售计划!E51</f>
        <v>0</v>
      </c>
      <c r="E52" s="225">
        <f>销售计划!F51</f>
        <v>0</v>
      </c>
      <c r="F52" s="225">
        <f>销售计划!G51</f>
        <v>0</v>
      </c>
      <c r="G52" s="225">
        <f>销售计划!H51</f>
        <v>0</v>
      </c>
      <c r="H52" s="225">
        <f>销售计划!I51</f>
        <v>0</v>
      </c>
      <c r="I52" s="225">
        <f>销售计划!J51</f>
        <v>0</v>
      </c>
      <c r="J52" s="225">
        <f>销售计划!K51</f>
        <v>0</v>
      </c>
      <c r="K52" s="225">
        <f>销售计划!L51</f>
        <v>0</v>
      </c>
      <c r="L52" s="225">
        <f>销售计划!M51</f>
        <v>0</v>
      </c>
      <c r="M52" s="225">
        <f>销售计划!N51</f>
        <v>0</v>
      </c>
      <c r="N52" s="225">
        <f>销售计划!O51</f>
        <v>0</v>
      </c>
      <c r="O52" s="225">
        <f>销售计划!P51</f>
        <v>0</v>
      </c>
      <c r="P52" s="225">
        <f>销售计划!Q51</f>
        <v>0</v>
      </c>
      <c r="Q52" s="225">
        <f>销售计划!R51</f>
        <v>0</v>
      </c>
      <c r="R52" s="225">
        <f>销售计划!S51</f>
        <v>0</v>
      </c>
      <c r="S52" s="225">
        <f>销售计划!T51</f>
        <v>0</v>
      </c>
      <c r="T52" s="225">
        <f>销售计划!U51</f>
        <v>0</v>
      </c>
      <c r="U52" s="225">
        <f>销售计划!V51</f>
        <v>0</v>
      </c>
      <c r="V52" s="225">
        <f>销售计划!W51</f>
        <v>0</v>
      </c>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row>
    <row r="53" spans="1:68">
      <c r="A53" s="166" t="str">
        <f>基础信息!A5</f>
        <v>三期</v>
      </c>
      <c r="B53" s="225">
        <f>销售计划!A57</f>
        <v>0</v>
      </c>
      <c r="C53" s="225">
        <f>销售计划!D57</f>
        <v>0</v>
      </c>
      <c r="D53" s="225">
        <f>销售计划!E57</f>
        <v>0</v>
      </c>
      <c r="E53" s="225">
        <f>销售计划!F57</f>
        <v>0</v>
      </c>
      <c r="F53" s="225">
        <f>销售计划!G57</f>
        <v>0</v>
      </c>
      <c r="G53" s="225">
        <f>销售计划!H57</f>
        <v>0</v>
      </c>
      <c r="H53" s="225">
        <f>销售计划!I57</f>
        <v>0</v>
      </c>
      <c r="I53" s="225">
        <f>销售计划!J57</f>
        <v>0</v>
      </c>
      <c r="J53" s="225">
        <f>销售计划!K57</f>
        <v>0</v>
      </c>
      <c r="K53" s="225">
        <f>销售计划!L57</f>
        <v>0</v>
      </c>
      <c r="L53" s="225">
        <f>销售计划!M57</f>
        <v>0</v>
      </c>
      <c r="M53" s="225">
        <f>销售计划!N57</f>
        <v>0</v>
      </c>
      <c r="N53" s="225">
        <f>销售计划!O57</f>
        <v>0</v>
      </c>
      <c r="O53" s="225">
        <f>销售计划!P57</f>
        <v>0</v>
      </c>
      <c r="P53" s="225">
        <f>销售计划!Q57</f>
        <v>0</v>
      </c>
      <c r="Q53" s="225">
        <f>销售计划!R57</f>
        <v>0</v>
      </c>
      <c r="R53" s="225">
        <f>销售计划!S57</f>
        <v>0</v>
      </c>
      <c r="S53" s="225">
        <f>销售计划!T57</f>
        <v>0</v>
      </c>
      <c r="T53" s="225">
        <f>销售计划!U57</f>
        <v>0</v>
      </c>
      <c r="U53" s="225">
        <f>销售计划!V57</f>
        <v>0</v>
      </c>
      <c r="V53" s="225">
        <f>销售计划!W57</f>
        <v>0</v>
      </c>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row>
    <row r="54" spans="1:68">
      <c r="A54" s="166" t="str">
        <f t="shared" ref="A54:A59" si="37">A53</f>
        <v>三期</v>
      </c>
      <c r="B54" s="225" t="str">
        <f>销售计划!A60</f>
        <v>销售合计</v>
      </c>
      <c r="C54" s="225">
        <f>销售计划!D60</f>
        <v>0</v>
      </c>
      <c r="D54" s="225">
        <f>销售计划!E60</f>
        <v>0</v>
      </c>
      <c r="E54" s="225">
        <f>销售计划!F60</f>
        <v>0</v>
      </c>
      <c r="F54" s="225">
        <f>销售计划!G60</f>
        <v>0</v>
      </c>
      <c r="G54" s="225">
        <f>销售计划!H60</f>
        <v>0</v>
      </c>
      <c r="H54" s="225">
        <f>销售计划!I60</f>
        <v>0</v>
      </c>
      <c r="I54" s="225">
        <f>销售计划!J60</f>
        <v>0</v>
      </c>
      <c r="J54" s="225">
        <f>销售计划!K60</f>
        <v>0</v>
      </c>
      <c r="K54" s="225">
        <f>销售计划!L60</f>
        <v>0</v>
      </c>
      <c r="L54" s="225">
        <f>销售计划!M60</f>
        <v>0</v>
      </c>
      <c r="M54" s="225">
        <f>销售计划!N60</f>
        <v>0</v>
      </c>
      <c r="N54" s="225">
        <f>销售计划!O60</f>
        <v>0</v>
      </c>
      <c r="O54" s="225">
        <f>销售计划!P60</f>
        <v>0</v>
      </c>
      <c r="P54" s="225">
        <f>销售计划!Q60</f>
        <v>0</v>
      </c>
      <c r="Q54" s="225">
        <f>销售计划!R60</f>
        <v>0</v>
      </c>
      <c r="R54" s="225">
        <f>销售计划!S60</f>
        <v>0</v>
      </c>
      <c r="S54" s="225">
        <f>销售计划!T60</f>
        <v>0</v>
      </c>
      <c r="T54" s="225">
        <f>销售计划!U60</f>
        <v>0</v>
      </c>
      <c r="U54" s="225">
        <f>销售计划!V60</f>
        <v>0</v>
      </c>
      <c r="V54" s="225">
        <f>销售计划!W60</f>
        <v>0</v>
      </c>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row>
    <row r="55" spans="1:68">
      <c r="A55" s="166" t="str">
        <f t="shared" si="37"/>
        <v>三期</v>
      </c>
      <c r="B55" s="225" t="str">
        <f>销售计划!A63</f>
        <v>一期</v>
      </c>
      <c r="C55" s="225">
        <f>销售计划!D63</f>
        <v>0</v>
      </c>
      <c r="D55" s="225">
        <f>销售计划!E63</f>
        <v>0</v>
      </c>
      <c r="E55" s="225">
        <f>销售计划!F63</f>
        <v>0</v>
      </c>
      <c r="F55" s="225">
        <f>销售计划!G63</f>
        <v>0</v>
      </c>
      <c r="G55" s="225">
        <f>销售计划!H63</f>
        <v>0</v>
      </c>
      <c r="H55" s="225">
        <f>销售计划!I63</f>
        <v>0</v>
      </c>
      <c r="I55" s="225">
        <f>销售计划!J63</f>
        <v>0</v>
      </c>
      <c r="J55" s="225">
        <f>销售计划!K63</f>
        <v>0</v>
      </c>
      <c r="K55" s="225">
        <f>销售计划!L63</f>
        <v>0</v>
      </c>
      <c r="L55" s="225">
        <f>销售计划!M63</f>
        <v>0</v>
      </c>
      <c r="M55" s="225">
        <f>销售计划!N63</f>
        <v>0</v>
      </c>
      <c r="N55" s="225">
        <f>销售计划!O63</f>
        <v>0</v>
      </c>
      <c r="O55" s="225">
        <f>销售计划!P63</f>
        <v>0</v>
      </c>
      <c r="P55" s="225">
        <f>销售计划!Q63</f>
        <v>0</v>
      </c>
      <c r="Q55" s="225">
        <f>销售计划!R63</f>
        <v>0</v>
      </c>
      <c r="R55" s="225">
        <f>销售计划!S63</f>
        <v>0</v>
      </c>
      <c r="S55" s="225">
        <f>销售计划!T63</f>
        <v>0</v>
      </c>
      <c r="T55" s="225">
        <f>销售计划!U63</f>
        <v>0</v>
      </c>
      <c r="U55" s="225">
        <f>销售计划!V63</f>
        <v>0</v>
      </c>
      <c r="V55" s="225">
        <f>销售计划!W63</f>
        <v>0</v>
      </c>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row>
    <row r="56" spans="1:68">
      <c r="A56" s="166" t="str">
        <f t="shared" si="37"/>
        <v>三期</v>
      </c>
      <c r="B56" s="225" t="str">
        <f>销售计划!A66</f>
        <v>地库</v>
      </c>
      <c r="C56" s="225">
        <f>销售计划!D66</f>
        <v>0</v>
      </c>
      <c r="D56" s="225">
        <f>销售计划!E66</f>
        <v>0</v>
      </c>
      <c r="E56" s="225">
        <f>销售计划!F66</f>
        <v>0</v>
      </c>
      <c r="F56" s="225">
        <f>销售计划!G66</f>
        <v>0</v>
      </c>
      <c r="G56" s="225">
        <f>销售计划!H66</f>
        <v>0</v>
      </c>
      <c r="H56" s="225">
        <f>销售计划!I66</f>
        <v>0</v>
      </c>
      <c r="I56" s="225">
        <f>销售计划!J66</f>
        <v>0</v>
      </c>
      <c r="J56" s="225">
        <f>销售计划!K66</f>
        <v>0</v>
      </c>
      <c r="K56" s="225">
        <f>销售计划!L66</f>
        <v>0</v>
      </c>
      <c r="L56" s="225">
        <f>销售计划!M66</f>
        <v>0</v>
      </c>
      <c r="M56" s="225">
        <f>销售计划!N66</f>
        <v>0</v>
      </c>
      <c r="N56" s="225">
        <f>销售计划!O66</f>
        <v>0</v>
      </c>
      <c r="O56" s="225">
        <f>销售计划!P66</f>
        <v>0</v>
      </c>
      <c r="P56" s="225">
        <f>销售计划!Q66</f>
        <v>0</v>
      </c>
      <c r="Q56" s="225">
        <f>销售计划!R66</f>
        <v>0</v>
      </c>
      <c r="R56" s="225">
        <f>销售计划!S66</f>
        <v>0</v>
      </c>
      <c r="S56" s="225">
        <f>销售计划!T66</f>
        <v>0</v>
      </c>
      <c r="T56" s="225">
        <f>销售计划!U66</f>
        <v>0</v>
      </c>
      <c r="U56" s="225">
        <f>销售计划!V66</f>
        <v>0</v>
      </c>
      <c r="V56" s="225">
        <f>销售计划!W66</f>
        <v>0</v>
      </c>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row>
    <row r="57" spans="1:68">
      <c r="A57" s="166" t="str">
        <f t="shared" si="37"/>
        <v>三期</v>
      </c>
      <c r="B57" s="225" t="str">
        <f>销售计划!A69</f>
        <v>高层（27F）</v>
      </c>
      <c r="C57" s="225">
        <f>销售计划!D69</f>
        <v>0</v>
      </c>
      <c r="D57" s="225">
        <f>销售计划!E69</f>
        <v>0</v>
      </c>
      <c r="E57" s="225">
        <f>销售计划!F69</f>
        <v>0</v>
      </c>
      <c r="F57" s="225">
        <f>销售计划!G69</f>
        <v>0</v>
      </c>
      <c r="G57" s="225">
        <f>销售计划!H69</f>
        <v>0</v>
      </c>
      <c r="H57" s="225">
        <f>销售计划!I69</f>
        <v>0</v>
      </c>
      <c r="I57" s="225">
        <f>销售计划!J69</f>
        <v>0</v>
      </c>
      <c r="J57" s="225">
        <f>销售计划!K69</f>
        <v>0</v>
      </c>
      <c r="K57" s="225">
        <f>销售计划!L69</f>
        <v>0</v>
      </c>
      <c r="L57" s="225">
        <f>销售计划!M69</f>
        <v>0</v>
      </c>
      <c r="M57" s="225">
        <f>销售计划!N69</f>
        <v>0</v>
      </c>
      <c r="N57" s="225">
        <f>销售计划!O69</f>
        <v>0</v>
      </c>
      <c r="O57" s="225">
        <f>销售计划!P69</f>
        <v>0</v>
      </c>
      <c r="P57" s="225">
        <f>销售计划!Q69</f>
        <v>0</v>
      </c>
      <c r="Q57" s="225">
        <f>销售计划!R69</f>
        <v>0</v>
      </c>
      <c r="R57" s="225">
        <f>销售计划!S69</f>
        <v>0</v>
      </c>
      <c r="S57" s="225">
        <f>销售计划!T69</f>
        <v>0</v>
      </c>
      <c r="T57" s="225">
        <f>销售计划!U69</f>
        <v>0</v>
      </c>
      <c r="U57" s="225">
        <f>销售计划!V69</f>
        <v>0</v>
      </c>
      <c r="V57" s="225">
        <f>销售计划!W69</f>
        <v>0</v>
      </c>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row>
    <row r="58" spans="1:68">
      <c r="A58" s="166" t="str">
        <f t="shared" si="37"/>
        <v>三期</v>
      </c>
      <c r="B58" s="225" t="str">
        <f>销售计划!A72</f>
        <v>人防车位</v>
      </c>
      <c r="C58" s="225">
        <f>销售计划!D72</f>
        <v>0</v>
      </c>
      <c r="D58" s="225">
        <f>销售计划!E72</f>
        <v>0</v>
      </c>
      <c r="E58" s="225">
        <f>销售计划!F72</f>
        <v>0</v>
      </c>
      <c r="F58" s="225">
        <f>销售计划!G72</f>
        <v>0</v>
      </c>
      <c r="G58" s="225">
        <f>销售计划!H72</f>
        <v>0</v>
      </c>
      <c r="H58" s="225">
        <f>销售计划!I72</f>
        <v>0</v>
      </c>
      <c r="I58" s="225">
        <f>销售计划!J72</f>
        <v>0</v>
      </c>
      <c r="J58" s="225">
        <f>销售计划!K72</f>
        <v>0</v>
      </c>
      <c r="K58" s="225">
        <f>销售计划!L72</f>
        <v>0</v>
      </c>
      <c r="L58" s="225">
        <f>销售计划!M72</f>
        <v>0</v>
      </c>
      <c r="M58" s="225">
        <f>销售计划!N72</f>
        <v>0</v>
      </c>
      <c r="N58" s="225">
        <f>销售计划!O72</f>
        <v>0</v>
      </c>
      <c r="O58" s="225">
        <f>销售计划!P72</f>
        <v>0</v>
      </c>
      <c r="P58" s="225">
        <f>销售计划!Q72</f>
        <v>0</v>
      </c>
      <c r="Q58" s="225">
        <f>销售计划!R72</f>
        <v>0</v>
      </c>
      <c r="R58" s="225">
        <f>销售计划!S72</f>
        <v>0</v>
      </c>
      <c r="S58" s="225">
        <f>销售计划!T72</f>
        <v>0</v>
      </c>
      <c r="T58" s="225">
        <f>销售计划!U72</f>
        <v>0</v>
      </c>
      <c r="U58" s="225">
        <f>销售计划!V72</f>
        <v>0</v>
      </c>
      <c r="V58" s="225">
        <f>销售计划!W72</f>
        <v>0</v>
      </c>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row>
    <row r="59" spans="1:68">
      <c r="A59" s="166" t="str">
        <f t="shared" si="37"/>
        <v>三期</v>
      </c>
      <c r="B59" s="225" t="str">
        <f>销售计划!A75</f>
        <v>人才公寓26F（可售、T7）</v>
      </c>
      <c r="C59" s="225">
        <f>销售计划!D75</f>
        <v>0</v>
      </c>
      <c r="D59" s="225">
        <f>销售计划!E75</f>
        <v>0</v>
      </c>
      <c r="E59" s="225">
        <f>销售计划!F75</f>
        <v>0</v>
      </c>
      <c r="F59" s="225">
        <f>销售计划!G75</f>
        <v>0</v>
      </c>
      <c r="G59" s="225">
        <f>销售计划!H75</f>
        <v>0</v>
      </c>
      <c r="H59" s="225">
        <f>销售计划!I75</f>
        <v>0</v>
      </c>
      <c r="I59" s="225">
        <f>销售计划!J75</f>
        <v>0</v>
      </c>
      <c r="J59" s="225">
        <f>销售计划!K75</f>
        <v>0</v>
      </c>
      <c r="K59" s="225">
        <f>销售计划!L75</f>
        <v>0</v>
      </c>
      <c r="L59" s="225">
        <f>销售计划!M75</f>
        <v>0</v>
      </c>
      <c r="M59" s="225">
        <f>销售计划!N75</f>
        <v>0</v>
      </c>
      <c r="N59" s="225">
        <f>销售计划!O75</f>
        <v>0</v>
      </c>
      <c r="O59" s="225">
        <f>销售计划!P75</f>
        <v>0</v>
      </c>
      <c r="P59" s="225">
        <f>销售计划!Q75</f>
        <v>0</v>
      </c>
      <c r="Q59" s="225">
        <f>销售计划!R75</f>
        <v>0</v>
      </c>
      <c r="R59" s="225">
        <f>销售计划!S75</f>
        <v>0</v>
      </c>
      <c r="S59" s="225">
        <f>销售计划!T75</f>
        <v>0</v>
      </c>
      <c r="T59" s="225">
        <f>销售计划!U75</f>
        <v>0</v>
      </c>
      <c r="U59" s="225">
        <f>销售计划!V75</f>
        <v>0</v>
      </c>
      <c r="V59" s="225">
        <f>销售计划!W75</f>
        <v>0</v>
      </c>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row>
  </sheetData>
  <mergeCells count="4">
    <mergeCell ref="A1:A2"/>
    <mergeCell ref="B1:B2"/>
    <mergeCell ref="A36:A37"/>
    <mergeCell ref="B36:B37"/>
  </mergeCells>
  <phoneticPr fontId="19"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0"/>
  <sheetViews>
    <sheetView zoomScale="55" zoomScaleNormal="55" workbookViewId="0">
      <pane xSplit="3" ySplit="5" topLeftCell="Z6" activePane="bottomRight" state="frozen"/>
      <selection activeCell="E21" sqref="E21"/>
      <selection pane="topRight" activeCell="E21" sqref="E21"/>
      <selection pane="bottomLeft" activeCell="E21" sqref="E21"/>
      <selection pane="bottomRight" activeCell="C29" sqref="C29:C30"/>
    </sheetView>
  </sheetViews>
  <sheetFormatPr defaultColWidth="9" defaultRowHeight="15.5" outlineLevelRow="1"/>
  <cols>
    <col min="1" max="1" width="14.58203125" style="117" customWidth="1"/>
    <col min="2" max="2" width="17.83203125" style="118" customWidth="1"/>
    <col min="3" max="3" width="11.1640625" style="118" customWidth="1"/>
    <col min="4" max="24" width="9" style="118" hidden="1" customWidth="1"/>
    <col min="25" max="25" width="11.33203125" style="118" hidden="1" customWidth="1"/>
    <col min="26" max="45" width="9" style="118" customWidth="1"/>
    <col min="46" max="256" width="9" style="117" customWidth="1"/>
  </cols>
  <sheetData>
    <row r="1" spans="1:73">
      <c r="A1" s="122"/>
      <c r="B1" s="120"/>
      <c r="C1" s="120"/>
      <c r="D1" s="121" t="s">
        <v>237</v>
      </c>
      <c r="E1" s="121" t="s">
        <v>244</v>
      </c>
      <c r="F1" s="121" t="s">
        <v>244</v>
      </c>
      <c r="G1" s="121" t="s">
        <v>244</v>
      </c>
      <c r="H1" s="121" t="s">
        <v>244</v>
      </c>
      <c r="I1" s="121" t="s">
        <v>244</v>
      </c>
      <c r="J1" s="121" t="s">
        <v>244</v>
      </c>
      <c r="K1" s="121" t="s">
        <v>4278</v>
      </c>
      <c r="L1" s="121" t="s">
        <v>4278</v>
      </c>
      <c r="M1" s="121" t="s">
        <v>4278</v>
      </c>
      <c r="N1" s="121" t="s">
        <v>4278</v>
      </c>
      <c r="O1" s="121" t="s">
        <v>4278</v>
      </c>
      <c r="P1" s="121" t="s">
        <v>4278</v>
      </c>
      <c r="Q1" s="121" t="s">
        <v>4278</v>
      </c>
      <c r="R1" s="121" t="s">
        <v>4278</v>
      </c>
      <c r="S1" s="121" t="s">
        <v>4278</v>
      </c>
      <c r="T1" s="121" t="s">
        <v>4278</v>
      </c>
      <c r="U1" s="121" t="s">
        <v>4277</v>
      </c>
      <c r="V1" s="121" t="s">
        <v>4277</v>
      </c>
      <c r="W1" s="121" t="s">
        <v>244</v>
      </c>
      <c r="X1" s="121" t="s">
        <v>244</v>
      </c>
      <c r="Y1" s="121" t="s">
        <v>244</v>
      </c>
      <c r="Z1" s="121" t="s">
        <v>244</v>
      </c>
      <c r="AA1" s="121" t="s">
        <v>244</v>
      </c>
      <c r="AB1" s="121" t="s">
        <v>244</v>
      </c>
      <c r="AC1" s="121" t="s">
        <v>244</v>
      </c>
      <c r="AD1" s="121" t="s">
        <v>244</v>
      </c>
      <c r="AE1" s="121" t="s">
        <v>244</v>
      </c>
      <c r="AF1" s="121" t="s">
        <v>244</v>
      </c>
      <c r="AG1" s="121" t="s">
        <v>244</v>
      </c>
      <c r="AH1" s="121" t="s">
        <v>244</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4220</v>
      </c>
      <c r="AU1" s="121" t="s">
        <v>246</v>
      </c>
      <c r="AV1" s="121" t="s">
        <v>246</v>
      </c>
      <c r="AW1" s="121" t="s">
        <v>246</v>
      </c>
      <c r="AX1" s="121" t="s">
        <v>246</v>
      </c>
      <c r="AY1" s="121" t="s">
        <v>246</v>
      </c>
      <c r="AZ1" s="121" t="s">
        <v>246</v>
      </c>
      <c r="BA1" s="121" t="s">
        <v>246</v>
      </c>
      <c r="BB1" s="121" t="s">
        <v>246</v>
      </c>
      <c r="BC1" s="121" t="s">
        <v>246</v>
      </c>
      <c r="BD1" s="121" t="s">
        <v>246</v>
      </c>
      <c r="BE1" s="121" t="s">
        <v>246</v>
      </c>
      <c r="BF1" s="121" t="s">
        <v>246</v>
      </c>
      <c r="BG1" s="121" t="s">
        <v>256</v>
      </c>
      <c r="BH1" s="121" t="s">
        <v>256</v>
      </c>
      <c r="BI1" s="121" t="s">
        <v>256</v>
      </c>
      <c r="BJ1" s="121" t="s">
        <v>256</v>
      </c>
      <c r="BK1" s="121" t="s">
        <v>256</v>
      </c>
      <c r="BL1" s="121" t="s">
        <v>256</v>
      </c>
      <c r="BM1" s="121" t="s">
        <v>256</v>
      </c>
      <c r="BN1" s="121" t="s">
        <v>256</v>
      </c>
      <c r="BO1" s="121" t="s">
        <v>256</v>
      </c>
      <c r="BP1" s="121" t="s">
        <v>256</v>
      </c>
      <c r="BQ1" s="121" t="s">
        <v>256</v>
      </c>
      <c r="BR1" s="121" t="s">
        <v>256</v>
      </c>
      <c r="BS1" s="121" t="s">
        <v>4346</v>
      </c>
      <c r="BT1" s="121" t="s">
        <v>4346</v>
      </c>
      <c r="BU1" s="121" t="s">
        <v>4346</v>
      </c>
    </row>
    <row r="2" spans="1:73">
      <c r="A2" s="122"/>
      <c r="B2" s="120"/>
      <c r="C2" s="120" t="s">
        <v>257</v>
      </c>
      <c r="D2" s="123" t="s">
        <v>174</v>
      </c>
      <c r="E2" s="123" t="s">
        <v>4208</v>
      </c>
      <c r="F2" s="123" t="s">
        <v>4209</v>
      </c>
      <c r="G2" s="123" t="s">
        <v>4210</v>
      </c>
      <c r="H2" s="123" t="s">
        <v>4211</v>
      </c>
      <c r="I2" s="123" t="s">
        <v>4212</v>
      </c>
      <c r="J2" s="123" t="s">
        <v>4213</v>
      </c>
      <c r="K2" s="123" t="s">
        <v>4280</v>
      </c>
      <c r="L2" s="123" t="s">
        <v>4281</v>
      </c>
      <c r="M2" s="123" t="s">
        <v>4282</v>
      </c>
      <c r="N2" s="123" t="s">
        <v>4283</v>
      </c>
      <c r="O2" s="123" t="s">
        <v>4284</v>
      </c>
      <c r="P2" s="123" t="s">
        <v>4285</v>
      </c>
      <c r="Q2" s="123" t="s">
        <v>4286</v>
      </c>
      <c r="R2" s="123" t="s">
        <v>4287</v>
      </c>
      <c r="S2" s="123" t="s">
        <v>4288</v>
      </c>
      <c r="T2" s="123" t="s">
        <v>4289</v>
      </c>
      <c r="U2" s="123" t="s">
        <v>4290</v>
      </c>
      <c r="V2" s="123" t="s">
        <v>4279</v>
      </c>
      <c r="W2" s="123" t="s">
        <v>4208</v>
      </c>
      <c r="X2" s="123" t="s">
        <v>4209</v>
      </c>
      <c r="Y2" s="123" t="s">
        <v>4210</v>
      </c>
      <c r="Z2" s="123" t="s">
        <v>4211</v>
      </c>
      <c r="AA2" s="123" t="s">
        <v>4212</v>
      </c>
      <c r="AB2" s="123" t="s">
        <v>4213</v>
      </c>
      <c r="AC2" s="123" t="s">
        <v>4214</v>
      </c>
      <c r="AD2" s="123" t="s">
        <v>4215</v>
      </c>
      <c r="AE2" s="123" t="s">
        <v>4216</v>
      </c>
      <c r="AF2" s="123" t="s">
        <v>4217</v>
      </c>
      <c r="AG2" s="123" t="s">
        <v>4218</v>
      </c>
      <c r="AH2" s="123" t="s">
        <v>4219</v>
      </c>
      <c r="AI2" s="123" t="s">
        <v>4222</v>
      </c>
      <c r="AJ2" s="123" t="s">
        <v>4223</v>
      </c>
      <c r="AK2" s="123" t="s">
        <v>4224</v>
      </c>
      <c r="AL2" s="123" t="s">
        <v>4225</v>
      </c>
      <c r="AM2" s="123" t="s">
        <v>4226</v>
      </c>
      <c r="AN2" s="123" t="s">
        <v>4227</v>
      </c>
      <c r="AO2" s="123" t="s">
        <v>4228</v>
      </c>
      <c r="AP2" s="123" t="s">
        <v>4229</v>
      </c>
      <c r="AQ2" s="123" t="s">
        <v>4230</v>
      </c>
      <c r="AR2" s="123" t="s">
        <v>4231</v>
      </c>
      <c r="AS2" s="123" t="s">
        <v>4232</v>
      </c>
      <c r="AT2" s="123" t="s">
        <v>4233</v>
      </c>
      <c r="AU2" s="123" t="s">
        <v>4261</v>
      </c>
      <c r="AV2" s="123" t="s">
        <v>4235</v>
      </c>
      <c r="AW2" s="123" t="s">
        <v>4236</v>
      </c>
      <c r="AX2" s="123" t="s">
        <v>4237</v>
      </c>
      <c r="AY2" s="123" t="s">
        <v>4238</v>
      </c>
      <c r="AZ2" s="123" t="s">
        <v>4239</v>
      </c>
      <c r="BA2" s="123" t="s">
        <v>4240</v>
      </c>
      <c r="BB2" s="123" t="s">
        <v>4241</v>
      </c>
      <c r="BC2" s="123" t="s">
        <v>4242</v>
      </c>
      <c r="BD2" s="123" t="s">
        <v>4260</v>
      </c>
      <c r="BE2" s="123" t="s">
        <v>4244</v>
      </c>
      <c r="BF2" s="123" t="s">
        <v>4245</v>
      </c>
      <c r="BG2" s="123" t="s">
        <v>4262</v>
      </c>
      <c r="BH2" s="123" t="s">
        <v>4248</v>
      </c>
      <c r="BI2" s="123" t="s">
        <v>4249</v>
      </c>
      <c r="BJ2" s="123" t="s">
        <v>4250</v>
      </c>
      <c r="BK2" s="123" t="s">
        <v>4251</v>
      </c>
      <c r="BL2" s="123" t="s">
        <v>4252</v>
      </c>
      <c r="BM2" s="123" t="s">
        <v>4253</v>
      </c>
      <c r="BN2" s="123" t="s">
        <v>4254</v>
      </c>
      <c r="BO2" s="123" t="s">
        <v>4255</v>
      </c>
      <c r="BP2" s="123" t="s">
        <v>4256</v>
      </c>
      <c r="BQ2" s="123" t="s">
        <v>4257</v>
      </c>
      <c r="BR2" s="123" t="s">
        <v>4258</v>
      </c>
      <c r="BS2" s="123" t="s">
        <v>4347</v>
      </c>
      <c r="BT2" s="123" t="s">
        <v>4348</v>
      </c>
      <c r="BU2" s="123" t="s">
        <v>4349</v>
      </c>
    </row>
    <row r="3" spans="1:73">
      <c r="A3" s="124" t="s">
        <v>433</v>
      </c>
      <c r="B3" s="249" t="s">
        <v>434</v>
      </c>
      <c r="C3" s="249">
        <f t="shared" ref="C3:AS3" si="0">C6+C33+C57</f>
        <v>137382.56</v>
      </c>
      <c r="D3" s="249">
        <f t="shared" si="0"/>
        <v>0</v>
      </c>
      <c r="E3" s="249">
        <f t="shared" si="0"/>
        <v>0</v>
      </c>
      <c r="F3" s="249">
        <f t="shared" si="0"/>
        <v>0</v>
      </c>
      <c r="G3" s="249">
        <f t="shared" si="0"/>
        <v>0</v>
      </c>
      <c r="H3" s="249">
        <f t="shared" si="0"/>
        <v>0</v>
      </c>
      <c r="I3" s="249">
        <f t="shared" si="0"/>
        <v>0</v>
      </c>
      <c r="J3" s="249">
        <f t="shared" si="0"/>
        <v>0</v>
      </c>
      <c r="K3" s="249">
        <f t="shared" si="0"/>
        <v>0</v>
      </c>
      <c r="L3" s="249">
        <f t="shared" si="0"/>
        <v>0</v>
      </c>
      <c r="M3" s="249">
        <f t="shared" si="0"/>
        <v>0</v>
      </c>
      <c r="N3" s="249">
        <f t="shared" si="0"/>
        <v>0</v>
      </c>
      <c r="O3" s="249">
        <f t="shared" si="0"/>
        <v>0</v>
      </c>
      <c r="P3" s="249">
        <f t="shared" si="0"/>
        <v>0</v>
      </c>
      <c r="Q3" s="249">
        <f t="shared" si="0"/>
        <v>0</v>
      </c>
      <c r="R3" s="249">
        <f t="shared" si="0"/>
        <v>0</v>
      </c>
      <c r="S3" s="249">
        <f t="shared" si="0"/>
        <v>0</v>
      </c>
      <c r="T3" s="249">
        <f t="shared" si="0"/>
        <v>0</v>
      </c>
      <c r="U3" s="249">
        <f t="shared" si="0"/>
        <v>0</v>
      </c>
      <c r="V3" s="249">
        <f t="shared" si="0"/>
        <v>0</v>
      </c>
      <c r="W3" s="249">
        <f t="shared" si="0"/>
        <v>0</v>
      </c>
      <c r="X3" s="249">
        <f t="shared" si="0"/>
        <v>0</v>
      </c>
      <c r="Y3" s="249">
        <f t="shared" si="0"/>
        <v>0</v>
      </c>
      <c r="Z3" s="249">
        <f t="shared" si="0"/>
        <v>0</v>
      </c>
      <c r="AA3" s="249">
        <f t="shared" si="0"/>
        <v>0</v>
      </c>
      <c r="AB3" s="249">
        <f t="shared" si="0"/>
        <v>0</v>
      </c>
      <c r="AC3" s="249">
        <f t="shared" si="0"/>
        <v>0</v>
      </c>
      <c r="AD3" s="249">
        <f t="shared" si="0"/>
        <v>0</v>
      </c>
      <c r="AE3" s="249">
        <f t="shared" si="0"/>
        <v>0</v>
      </c>
      <c r="AF3" s="249">
        <f t="shared" si="0"/>
        <v>0</v>
      </c>
      <c r="AG3" s="249">
        <f t="shared" si="0"/>
        <v>0</v>
      </c>
      <c r="AH3" s="249">
        <f t="shared" si="0"/>
        <v>0</v>
      </c>
      <c r="AI3" s="249">
        <f t="shared" si="0"/>
        <v>0</v>
      </c>
      <c r="AJ3" s="249">
        <f t="shared" si="0"/>
        <v>0</v>
      </c>
      <c r="AK3" s="249">
        <f t="shared" si="0"/>
        <v>0</v>
      </c>
      <c r="AL3" s="249">
        <f t="shared" si="0"/>
        <v>0</v>
      </c>
      <c r="AM3" s="249">
        <f t="shared" si="0"/>
        <v>0</v>
      </c>
      <c r="AN3" s="249">
        <f t="shared" si="0"/>
        <v>0</v>
      </c>
      <c r="AO3" s="249">
        <f t="shared" si="0"/>
        <v>0</v>
      </c>
      <c r="AP3" s="249">
        <f>AP6+AP33+AP57</f>
        <v>0</v>
      </c>
      <c r="AQ3" s="249">
        <f t="shared" si="0"/>
        <v>0</v>
      </c>
      <c r="AR3" s="249">
        <f t="shared" si="0"/>
        <v>0</v>
      </c>
      <c r="AS3" s="249">
        <f t="shared" si="0"/>
        <v>0</v>
      </c>
      <c r="AT3" s="249">
        <f t="shared" ref="AT3:BP3" si="1">AT6+AT33+AT57</f>
        <v>0</v>
      </c>
      <c r="AU3" s="249">
        <f t="shared" si="1"/>
        <v>0</v>
      </c>
      <c r="AV3" s="249">
        <f t="shared" si="1"/>
        <v>0</v>
      </c>
      <c r="AW3" s="249">
        <f t="shared" si="1"/>
        <v>0</v>
      </c>
      <c r="AX3" s="249">
        <f t="shared" si="1"/>
        <v>0</v>
      </c>
      <c r="AY3" s="249">
        <f t="shared" si="1"/>
        <v>0</v>
      </c>
      <c r="AZ3" s="249">
        <f t="shared" si="1"/>
        <v>0</v>
      </c>
      <c r="BA3" s="249">
        <f t="shared" si="1"/>
        <v>0</v>
      </c>
      <c r="BB3" s="249">
        <f t="shared" si="1"/>
        <v>0</v>
      </c>
      <c r="BC3" s="249">
        <f t="shared" si="1"/>
        <v>0</v>
      </c>
      <c r="BD3" s="249">
        <f t="shared" si="1"/>
        <v>0</v>
      </c>
      <c r="BE3" s="249">
        <f t="shared" si="1"/>
        <v>0</v>
      </c>
      <c r="BF3" s="249">
        <f t="shared" si="1"/>
        <v>0</v>
      </c>
      <c r="BG3" s="249">
        <f t="shared" si="1"/>
        <v>0</v>
      </c>
      <c r="BH3" s="249">
        <f t="shared" si="1"/>
        <v>0</v>
      </c>
      <c r="BI3" s="249">
        <f t="shared" si="1"/>
        <v>0</v>
      </c>
      <c r="BJ3" s="249">
        <f t="shared" si="1"/>
        <v>0</v>
      </c>
      <c r="BK3" s="249">
        <f t="shared" si="1"/>
        <v>0</v>
      </c>
      <c r="BL3" s="249">
        <f t="shared" si="1"/>
        <v>0</v>
      </c>
      <c r="BM3" s="249">
        <f t="shared" si="1"/>
        <v>0</v>
      </c>
      <c r="BN3" s="249">
        <f t="shared" si="1"/>
        <v>0</v>
      </c>
      <c r="BO3" s="249">
        <f t="shared" si="1"/>
        <v>0</v>
      </c>
      <c r="BP3" s="249">
        <f t="shared" si="1"/>
        <v>0</v>
      </c>
      <c r="BQ3" s="249">
        <f t="shared" ref="BQ3:BU3" si="2">BQ6+BQ33+BQ57</f>
        <v>137382.56</v>
      </c>
      <c r="BR3" s="249">
        <f t="shared" si="2"/>
        <v>0</v>
      </c>
      <c r="BS3" s="249">
        <f t="shared" si="2"/>
        <v>0</v>
      </c>
      <c r="BT3" s="249">
        <f t="shared" si="2"/>
        <v>0</v>
      </c>
      <c r="BU3" s="249">
        <f t="shared" si="2"/>
        <v>0</v>
      </c>
    </row>
    <row r="4" spans="1:73">
      <c r="A4" s="124"/>
      <c r="B4" s="249" t="s">
        <v>935</v>
      </c>
      <c r="C4" s="249">
        <f>IF(C3&gt;0,C5/C3*10000,0)</f>
        <v>9268.1908276935883</v>
      </c>
      <c r="D4" s="249">
        <f t="shared" ref="D4:AS4" si="3">IF(D3&gt;0,D5/D3*10000,0)</f>
        <v>0</v>
      </c>
      <c r="E4" s="249">
        <f t="shared" si="3"/>
        <v>0</v>
      </c>
      <c r="F4" s="249">
        <f t="shared" si="3"/>
        <v>0</v>
      </c>
      <c r="G4" s="249">
        <f t="shared" si="3"/>
        <v>0</v>
      </c>
      <c r="H4" s="249">
        <f t="shared" si="3"/>
        <v>0</v>
      </c>
      <c r="I4" s="249">
        <f t="shared" si="3"/>
        <v>0</v>
      </c>
      <c r="J4" s="249">
        <f t="shared" si="3"/>
        <v>0</v>
      </c>
      <c r="K4" s="249">
        <f t="shared" si="3"/>
        <v>0</v>
      </c>
      <c r="L4" s="249">
        <f t="shared" si="3"/>
        <v>0</v>
      </c>
      <c r="M4" s="249">
        <f t="shared" si="3"/>
        <v>0</v>
      </c>
      <c r="N4" s="249">
        <f t="shared" si="3"/>
        <v>0</v>
      </c>
      <c r="O4" s="249">
        <f>IF(O3&gt;0,O5/O3*10000,0)</f>
        <v>0</v>
      </c>
      <c r="P4" s="249">
        <f t="shared" si="3"/>
        <v>0</v>
      </c>
      <c r="Q4" s="249">
        <f t="shared" si="3"/>
        <v>0</v>
      </c>
      <c r="R4" s="249">
        <f t="shared" si="3"/>
        <v>0</v>
      </c>
      <c r="S4" s="249">
        <f t="shared" si="3"/>
        <v>0</v>
      </c>
      <c r="T4" s="249">
        <f t="shared" si="3"/>
        <v>0</v>
      </c>
      <c r="U4" s="249">
        <f t="shared" si="3"/>
        <v>0</v>
      </c>
      <c r="V4" s="249">
        <f t="shared" si="3"/>
        <v>0</v>
      </c>
      <c r="W4" s="249">
        <f t="shared" si="3"/>
        <v>0</v>
      </c>
      <c r="X4" s="249">
        <f t="shared" si="3"/>
        <v>0</v>
      </c>
      <c r="Y4" s="249">
        <f t="shared" si="3"/>
        <v>0</v>
      </c>
      <c r="Z4" s="249">
        <f t="shared" si="3"/>
        <v>0</v>
      </c>
      <c r="AA4" s="249">
        <f t="shared" si="3"/>
        <v>0</v>
      </c>
      <c r="AB4" s="249">
        <f t="shared" si="3"/>
        <v>0</v>
      </c>
      <c r="AC4" s="249">
        <f t="shared" si="3"/>
        <v>0</v>
      </c>
      <c r="AD4" s="249">
        <f t="shared" si="3"/>
        <v>0</v>
      </c>
      <c r="AE4" s="249">
        <f t="shared" si="3"/>
        <v>0</v>
      </c>
      <c r="AF4" s="249">
        <f t="shared" si="3"/>
        <v>0</v>
      </c>
      <c r="AG4" s="249">
        <f t="shared" si="3"/>
        <v>0</v>
      </c>
      <c r="AH4" s="249">
        <f t="shared" si="3"/>
        <v>0</v>
      </c>
      <c r="AI4" s="249">
        <f t="shared" si="3"/>
        <v>0</v>
      </c>
      <c r="AJ4" s="249">
        <f t="shared" si="3"/>
        <v>0</v>
      </c>
      <c r="AK4" s="249">
        <f t="shared" si="3"/>
        <v>0</v>
      </c>
      <c r="AL4" s="249">
        <f t="shared" si="3"/>
        <v>0</v>
      </c>
      <c r="AM4" s="249">
        <f t="shared" si="3"/>
        <v>0</v>
      </c>
      <c r="AN4" s="249">
        <f t="shared" si="3"/>
        <v>0</v>
      </c>
      <c r="AO4" s="249">
        <f t="shared" si="3"/>
        <v>0</v>
      </c>
      <c r="AP4" s="249">
        <f>IF(AP3&gt;0,AP5/AP3*10000,0)</f>
        <v>0</v>
      </c>
      <c r="AQ4" s="249">
        <f t="shared" si="3"/>
        <v>0</v>
      </c>
      <c r="AR4" s="249">
        <f t="shared" si="3"/>
        <v>0</v>
      </c>
      <c r="AS4" s="249">
        <f t="shared" si="3"/>
        <v>0</v>
      </c>
      <c r="AT4" s="249">
        <f t="shared" ref="AT4:BP4" si="4">IF(AT3&gt;0,AT5/AT3*10000,0)</f>
        <v>0</v>
      </c>
      <c r="AU4" s="249">
        <f t="shared" si="4"/>
        <v>0</v>
      </c>
      <c r="AV4" s="249">
        <f t="shared" si="4"/>
        <v>0</v>
      </c>
      <c r="AW4" s="249">
        <f t="shared" si="4"/>
        <v>0</v>
      </c>
      <c r="AX4" s="249">
        <f t="shared" si="4"/>
        <v>0</v>
      </c>
      <c r="AY4" s="249">
        <f t="shared" si="4"/>
        <v>0</v>
      </c>
      <c r="AZ4" s="249">
        <f t="shared" si="4"/>
        <v>0</v>
      </c>
      <c r="BA4" s="249">
        <f t="shared" si="4"/>
        <v>0</v>
      </c>
      <c r="BB4" s="249">
        <f t="shared" si="4"/>
        <v>0</v>
      </c>
      <c r="BC4" s="249">
        <f t="shared" si="4"/>
        <v>0</v>
      </c>
      <c r="BD4" s="249">
        <f t="shared" si="4"/>
        <v>0</v>
      </c>
      <c r="BE4" s="249">
        <f t="shared" si="4"/>
        <v>0</v>
      </c>
      <c r="BF4" s="249">
        <f t="shared" si="4"/>
        <v>0</v>
      </c>
      <c r="BG4" s="249">
        <f t="shared" si="4"/>
        <v>0</v>
      </c>
      <c r="BH4" s="249">
        <f t="shared" si="4"/>
        <v>0</v>
      </c>
      <c r="BI4" s="249">
        <f t="shared" si="4"/>
        <v>0</v>
      </c>
      <c r="BJ4" s="249">
        <f t="shared" si="4"/>
        <v>0</v>
      </c>
      <c r="BK4" s="249">
        <f t="shared" si="4"/>
        <v>0</v>
      </c>
      <c r="BL4" s="249">
        <f t="shared" si="4"/>
        <v>0</v>
      </c>
      <c r="BM4" s="249">
        <f t="shared" si="4"/>
        <v>0</v>
      </c>
      <c r="BN4" s="249">
        <f t="shared" si="4"/>
        <v>0</v>
      </c>
      <c r="BO4" s="249">
        <f t="shared" si="4"/>
        <v>0</v>
      </c>
      <c r="BP4" s="249">
        <f t="shared" si="4"/>
        <v>0</v>
      </c>
      <c r="BQ4" s="249">
        <f t="shared" ref="BQ4:BU4" si="5">IF(BQ3&gt;0,BQ5/BQ3*10000,0)</f>
        <v>9268.1908276935883</v>
      </c>
      <c r="BR4" s="249">
        <f t="shared" si="5"/>
        <v>0</v>
      </c>
      <c r="BS4" s="249">
        <f t="shared" si="5"/>
        <v>0</v>
      </c>
      <c r="BT4" s="249">
        <f t="shared" si="5"/>
        <v>0</v>
      </c>
      <c r="BU4" s="249">
        <f t="shared" si="5"/>
        <v>0</v>
      </c>
    </row>
    <row r="5" spans="1:73">
      <c r="A5" s="124"/>
      <c r="B5" s="249" t="s">
        <v>936</v>
      </c>
      <c r="C5" s="249">
        <f t="shared" ref="C5:AS5" si="6">C8+C35+C59</f>
        <v>127328.7782477064</v>
      </c>
      <c r="D5" s="249">
        <f t="shared" si="6"/>
        <v>0</v>
      </c>
      <c r="E5" s="249">
        <f t="shared" si="6"/>
        <v>0</v>
      </c>
      <c r="F5" s="249">
        <f t="shared" si="6"/>
        <v>0</v>
      </c>
      <c r="G5" s="249">
        <f t="shared" si="6"/>
        <v>0</v>
      </c>
      <c r="H5" s="249">
        <f t="shared" si="6"/>
        <v>0</v>
      </c>
      <c r="I5" s="249">
        <f t="shared" si="6"/>
        <v>0</v>
      </c>
      <c r="J5" s="249">
        <f t="shared" si="6"/>
        <v>0</v>
      </c>
      <c r="K5" s="249">
        <f t="shared" si="6"/>
        <v>0</v>
      </c>
      <c r="L5" s="249">
        <f t="shared" si="6"/>
        <v>0</v>
      </c>
      <c r="M5" s="249">
        <f t="shared" si="6"/>
        <v>0</v>
      </c>
      <c r="N5" s="249">
        <f t="shared" si="6"/>
        <v>0</v>
      </c>
      <c r="O5" s="249">
        <f t="shared" si="6"/>
        <v>0</v>
      </c>
      <c r="P5" s="249">
        <f t="shared" si="6"/>
        <v>0</v>
      </c>
      <c r="Q5" s="249">
        <f t="shared" si="6"/>
        <v>0</v>
      </c>
      <c r="R5" s="249">
        <f t="shared" si="6"/>
        <v>0</v>
      </c>
      <c r="S5" s="249">
        <f t="shared" si="6"/>
        <v>0</v>
      </c>
      <c r="T5" s="249">
        <f t="shared" si="6"/>
        <v>0</v>
      </c>
      <c r="U5" s="249">
        <f t="shared" si="6"/>
        <v>0</v>
      </c>
      <c r="V5" s="249">
        <f t="shared" si="6"/>
        <v>0</v>
      </c>
      <c r="W5" s="249">
        <f>W8+W35+W59</f>
        <v>0</v>
      </c>
      <c r="X5" s="249">
        <f t="shared" si="6"/>
        <v>0</v>
      </c>
      <c r="Y5" s="249">
        <f t="shared" si="6"/>
        <v>0</v>
      </c>
      <c r="Z5" s="249">
        <f t="shared" si="6"/>
        <v>0</v>
      </c>
      <c r="AA5" s="249">
        <f t="shared" si="6"/>
        <v>0</v>
      </c>
      <c r="AB5" s="249">
        <f t="shared" si="6"/>
        <v>0</v>
      </c>
      <c r="AC5" s="249">
        <f t="shared" si="6"/>
        <v>0</v>
      </c>
      <c r="AD5" s="249">
        <f t="shared" si="6"/>
        <v>0</v>
      </c>
      <c r="AE5" s="249">
        <f t="shared" si="6"/>
        <v>0</v>
      </c>
      <c r="AF5" s="249">
        <f t="shared" si="6"/>
        <v>0</v>
      </c>
      <c r="AG5" s="249">
        <f t="shared" si="6"/>
        <v>0</v>
      </c>
      <c r="AH5" s="249">
        <f t="shared" si="6"/>
        <v>0</v>
      </c>
      <c r="AI5" s="249">
        <f t="shared" si="6"/>
        <v>0</v>
      </c>
      <c r="AJ5" s="249">
        <f t="shared" si="6"/>
        <v>0</v>
      </c>
      <c r="AK5" s="249">
        <f t="shared" si="6"/>
        <v>0</v>
      </c>
      <c r="AL5" s="249">
        <f t="shared" si="6"/>
        <v>0</v>
      </c>
      <c r="AM5" s="249">
        <f t="shared" si="6"/>
        <v>0</v>
      </c>
      <c r="AN5" s="249">
        <f t="shared" si="6"/>
        <v>0</v>
      </c>
      <c r="AO5" s="249">
        <f t="shared" si="6"/>
        <v>0</v>
      </c>
      <c r="AP5" s="249">
        <f>AP8+AP35+AP59</f>
        <v>0</v>
      </c>
      <c r="AQ5" s="249">
        <f t="shared" si="6"/>
        <v>0</v>
      </c>
      <c r="AR5" s="249">
        <f t="shared" si="6"/>
        <v>0</v>
      </c>
      <c r="AS5" s="249">
        <f t="shared" si="6"/>
        <v>0</v>
      </c>
      <c r="AT5" s="249">
        <f t="shared" ref="AT5:BP5" si="7">AT8+AT35+AT59</f>
        <v>0</v>
      </c>
      <c r="AU5" s="249">
        <f t="shared" si="7"/>
        <v>0</v>
      </c>
      <c r="AV5" s="249">
        <f t="shared" si="7"/>
        <v>0</v>
      </c>
      <c r="AW5" s="249">
        <f t="shared" si="7"/>
        <v>0</v>
      </c>
      <c r="AX5" s="249">
        <f t="shared" si="7"/>
        <v>0</v>
      </c>
      <c r="AY5" s="249">
        <f t="shared" si="7"/>
        <v>0</v>
      </c>
      <c r="AZ5" s="249">
        <f t="shared" si="7"/>
        <v>0</v>
      </c>
      <c r="BA5" s="249">
        <f t="shared" si="7"/>
        <v>0</v>
      </c>
      <c r="BB5" s="249">
        <f t="shared" si="7"/>
        <v>0</v>
      </c>
      <c r="BC5" s="249">
        <f t="shared" si="7"/>
        <v>0</v>
      </c>
      <c r="BD5" s="249">
        <f t="shared" si="7"/>
        <v>0</v>
      </c>
      <c r="BE5" s="249">
        <f t="shared" si="7"/>
        <v>0</v>
      </c>
      <c r="BF5" s="249">
        <f t="shared" si="7"/>
        <v>0</v>
      </c>
      <c r="BG5" s="249">
        <f t="shared" si="7"/>
        <v>0</v>
      </c>
      <c r="BH5" s="249">
        <f t="shared" si="7"/>
        <v>0</v>
      </c>
      <c r="BI5" s="249">
        <f t="shared" si="7"/>
        <v>0</v>
      </c>
      <c r="BJ5" s="249">
        <f t="shared" si="7"/>
        <v>0</v>
      </c>
      <c r="BK5" s="249">
        <f t="shared" si="7"/>
        <v>0</v>
      </c>
      <c r="BL5" s="249">
        <f t="shared" si="7"/>
        <v>0</v>
      </c>
      <c r="BM5" s="249">
        <f t="shared" si="7"/>
        <v>0</v>
      </c>
      <c r="BN5" s="249">
        <f t="shared" si="7"/>
        <v>0</v>
      </c>
      <c r="BO5" s="249">
        <f t="shared" si="7"/>
        <v>0</v>
      </c>
      <c r="BP5" s="249">
        <f t="shared" si="7"/>
        <v>0</v>
      </c>
      <c r="BQ5" s="249">
        <f t="shared" ref="BQ5:BU5" si="8">BQ8+BQ35+BQ59</f>
        <v>127328.7782477064</v>
      </c>
      <c r="BR5" s="249">
        <f t="shared" si="8"/>
        <v>0</v>
      </c>
      <c r="BS5" s="249">
        <f t="shared" si="8"/>
        <v>0</v>
      </c>
      <c r="BT5" s="249">
        <f t="shared" si="8"/>
        <v>0</v>
      </c>
      <c r="BU5" s="249">
        <f t="shared" si="8"/>
        <v>0</v>
      </c>
    </row>
    <row r="6" spans="1:73">
      <c r="A6" s="125" t="str">
        <f>基础信息!A3</f>
        <v>一期</v>
      </c>
      <c r="B6" s="120" t="s">
        <v>258</v>
      </c>
      <c r="C6" s="120">
        <f t="shared" ref="C6:AL6" si="9">SUMIF($B9:$B32,$B6,C9:C32)</f>
        <v>137382.56</v>
      </c>
      <c r="D6" s="120">
        <f t="shared" si="9"/>
        <v>0</v>
      </c>
      <c r="E6" s="120">
        <f t="shared" si="9"/>
        <v>0</v>
      </c>
      <c r="F6" s="120">
        <f t="shared" si="9"/>
        <v>0</v>
      </c>
      <c r="G6" s="120">
        <f t="shared" si="9"/>
        <v>0</v>
      </c>
      <c r="H6" s="120">
        <f t="shared" si="9"/>
        <v>0</v>
      </c>
      <c r="I6" s="120">
        <f t="shared" si="9"/>
        <v>0</v>
      </c>
      <c r="J6" s="120">
        <f t="shared" si="9"/>
        <v>0</v>
      </c>
      <c r="K6" s="120">
        <f t="shared" si="9"/>
        <v>0</v>
      </c>
      <c r="L6" s="120">
        <f t="shared" si="9"/>
        <v>0</v>
      </c>
      <c r="M6" s="120">
        <f t="shared" si="9"/>
        <v>0</v>
      </c>
      <c r="N6" s="120">
        <f t="shared" si="9"/>
        <v>0</v>
      </c>
      <c r="O6" s="120">
        <f t="shared" si="9"/>
        <v>0</v>
      </c>
      <c r="P6" s="120">
        <f t="shared" si="9"/>
        <v>0</v>
      </c>
      <c r="Q6" s="120">
        <f t="shared" si="9"/>
        <v>0</v>
      </c>
      <c r="R6" s="120">
        <f t="shared" si="9"/>
        <v>0</v>
      </c>
      <c r="S6" s="120">
        <f t="shared" si="9"/>
        <v>0</v>
      </c>
      <c r="T6" s="120">
        <f t="shared" si="9"/>
        <v>0</v>
      </c>
      <c r="U6" s="120">
        <f t="shared" si="9"/>
        <v>0</v>
      </c>
      <c r="V6" s="120">
        <f t="shared" si="9"/>
        <v>0</v>
      </c>
      <c r="W6" s="120">
        <f t="shared" si="9"/>
        <v>0</v>
      </c>
      <c r="X6" s="120">
        <f t="shared" si="9"/>
        <v>0</v>
      </c>
      <c r="Y6" s="120">
        <f>SUMIF($B9:$B32,$B6,Y9:Y32)</f>
        <v>0</v>
      </c>
      <c r="Z6" s="120">
        <f t="shared" si="9"/>
        <v>0</v>
      </c>
      <c r="AA6" s="120">
        <f t="shared" si="9"/>
        <v>0</v>
      </c>
      <c r="AB6" s="120">
        <f t="shared" si="9"/>
        <v>0</v>
      </c>
      <c r="AC6" s="120">
        <f t="shared" si="9"/>
        <v>0</v>
      </c>
      <c r="AD6" s="120">
        <f t="shared" si="9"/>
        <v>0</v>
      </c>
      <c r="AE6" s="120">
        <f t="shared" si="9"/>
        <v>0</v>
      </c>
      <c r="AF6" s="120">
        <f t="shared" si="9"/>
        <v>0</v>
      </c>
      <c r="AG6" s="120">
        <f t="shared" si="9"/>
        <v>0</v>
      </c>
      <c r="AH6" s="120">
        <f t="shared" si="9"/>
        <v>0</v>
      </c>
      <c r="AI6" s="120">
        <f t="shared" si="9"/>
        <v>0</v>
      </c>
      <c r="AJ6" s="120">
        <f t="shared" si="9"/>
        <v>0</v>
      </c>
      <c r="AK6" s="120">
        <f t="shared" si="9"/>
        <v>0</v>
      </c>
      <c r="AL6" s="120">
        <f t="shared" si="9"/>
        <v>0</v>
      </c>
      <c r="AM6" s="120">
        <f t="shared" ref="AM6:AS6" si="10">SUMIF($B9:$B32,$B6,AM9:AM32)</f>
        <v>0</v>
      </c>
      <c r="AN6" s="120">
        <f t="shared" si="10"/>
        <v>0</v>
      </c>
      <c r="AO6" s="120">
        <f t="shared" si="10"/>
        <v>0</v>
      </c>
      <c r="AP6" s="120">
        <f t="shared" si="10"/>
        <v>0</v>
      </c>
      <c r="AQ6" s="120">
        <f t="shared" si="10"/>
        <v>0</v>
      </c>
      <c r="AR6" s="120">
        <f t="shared" si="10"/>
        <v>0</v>
      </c>
      <c r="AS6" s="120">
        <f t="shared" si="10"/>
        <v>0</v>
      </c>
      <c r="AT6" s="120">
        <f t="shared" ref="AT6:BP6" si="11">SUMIF($B9:$B32,$B6,AT9:AT32)</f>
        <v>0</v>
      </c>
      <c r="AU6" s="120">
        <f t="shared" si="11"/>
        <v>0</v>
      </c>
      <c r="AV6" s="120">
        <f t="shared" si="11"/>
        <v>0</v>
      </c>
      <c r="AW6" s="120">
        <f t="shared" si="11"/>
        <v>0</v>
      </c>
      <c r="AX6" s="120">
        <f t="shared" si="11"/>
        <v>0</v>
      </c>
      <c r="AY6" s="120">
        <f t="shared" si="11"/>
        <v>0</v>
      </c>
      <c r="AZ6" s="120">
        <f t="shared" si="11"/>
        <v>0</v>
      </c>
      <c r="BA6" s="120">
        <f t="shared" si="11"/>
        <v>0</v>
      </c>
      <c r="BB6" s="120">
        <f t="shared" si="11"/>
        <v>0</v>
      </c>
      <c r="BC6" s="120">
        <f t="shared" si="11"/>
        <v>0</v>
      </c>
      <c r="BD6" s="120">
        <f t="shared" si="11"/>
        <v>0</v>
      </c>
      <c r="BE6" s="120">
        <f t="shared" si="11"/>
        <v>0</v>
      </c>
      <c r="BF6" s="120">
        <f t="shared" si="11"/>
        <v>0</v>
      </c>
      <c r="BG6" s="120">
        <f t="shared" si="11"/>
        <v>0</v>
      </c>
      <c r="BH6" s="120">
        <f t="shared" si="11"/>
        <v>0</v>
      </c>
      <c r="BI6" s="120">
        <f t="shared" si="11"/>
        <v>0</v>
      </c>
      <c r="BJ6" s="120">
        <f t="shared" si="11"/>
        <v>0</v>
      </c>
      <c r="BK6" s="120">
        <f t="shared" si="11"/>
        <v>0</v>
      </c>
      <c r="BL6" s="120">
        <f t="shared" si="11"/>
        <v>0</v>
      </c>
      <c r="BM6" s="120">
        <f t="shared" si="11"/>
        <v>0</v>
      </c>
      <c r="BN6" s="120">
        <f t="shared" si="11"/>
        <v>0</v>
      </c>
      <c r="BO6" s="120">
        <f t="shared" si="11"/>
        <v>0</v>
      </c>
      <c r="BP6" s="120">
        <f t="shared" si="11"/>
        <v>0</v>
      </c>
      <c r="BQ6" s="120">
        <f t="shared" ref="BQ6:BU6" si="12">SUMIF($B9:$B32,$B6,BQ9:BQ32)</f>
        <v>137382.56</v>
      </c>
      <c r="BR6" s="120">
        <f t="shared" si="12"/>
        <v>0</v>
      </c>
      <c r="BS6" s="120">
        <f t="shared" si="12"/>
        <v>0</v>
      </c>
      <c r="BT6" s="120">
        <f t="shared" si="12"/>
        <v>0</v>
      </c>
      <c r="BU6" s="120">
        <f t="shared" si="12"/>
        <v>0</v>
      </c>
    </row>
    <row r="7" spans="1:73">
      <c r="A7" s="125"/>
      <c r="B7" s="120" t="s">
        <v>840</v>
      </c>
      <c r="C7" s="120">
        <f>IF(C6&gt;0,C8/C6*10000,0)</f>
        <v>9268.1908276935883</v>
      </c>
      <c r="D7" s="120">
        <f t="shared" ref="D7:AS7" si="13">IF(D6&gt;0,D8/D6*10000,0)</f>
        <v>0</v>
      </c>
      <c r="E7" s="120">
        <f t="shared" si="13"/>
        <v>0</v>
      </c>
      <c r="F7" s="120">
        <f t="shared" si="13"/>
        <v>0</v>
      </c>
      <c r="G7" s="120">
        <f t="shared" si="13"/>
        <v>0</v>
      </c>
      <c r="H7" s="120">
        <f t="shared" si="13"/>
        <v>0</v>
      </c>
      <c r="I7" s="120">
        <f t="shared" si="13"/>
        <v>0</v>
      </c>
      <c r="J7" s="120">
        <f t="shared" si="13"/>
        <v>0</v>
      </c>
      <c r="K7" s="120">
        <f t="shared" si="13"/>
        <v>0</v>
      </c>
      <c r="L7" s="120">
        <f t="shared" si="13"/>
        <v>0</v>
      </c>
      <c r="M7" s="120">
        <f t="shared" si="13"/>
        <v>0</v>
      </c>
      <c r="N7" s="120">
        <f t="shared" si="13"/>
        <v>0</v>
      </c>
      <c r="O7" s="120">
        <f t="shared" si="13"/>
        <v>0</v>
      </c>
      <c r="P7" s="120">
        <f t="shared" si="13"/>
        <v>0</v>
      </c>
      <c r="Q7" s="120">
        <f t="shared" si="13"/>
        <v>0</v>
      </c>
      <c r="R7" s="120">
        <f t="shared" si="13"/>
        <v>0</v>
      </c>
      <c r="S7" s="120">
        <f t="shared" si="13"/>
        <v>0</v>
      </c>
      <c r="T7" s="120">
        <f t="shared" si="13"/>
        <v>0</v>
      </c>
      <c r="U7" s="120">
        <f t="shared" si="13"/>
        <v>0</v>
      </c>
      <c r="V7" s="120">
        <f t="shared" si="13"/>
        <v>0</v>
      </c>
      <c r="W7" s="120">
        <f t="shared" si="13"/>
        <v>0</v>
      </c>
      <c r="X7" s="120">
        <f t="shared" si="13"/>
        <v>0</v>
      </c>
      <c r="Y7" s="120">
        <f t="shared" si="13"/>
        <v>0</v>
      </c>
      <c r="Z7" s="120">
        <f t="shared" si="13"/>
        <v>0</v>
      </c>
      <c r="AA7" s="120">
        <f t="shared" si="13"/>
        <v>0</v>
      </c>
      <c r="AB7" s="120">
        <f t="shared" si="13"/>
        <v>0</v>
      </c>
      <c r="AC7" s="120">
        <f t="shared" si="13"/>
        <v>0</v>
      </c>
      <c r="AD7" s="120">
        <f t="shared" si="13"/>
        <v>0</v>
      </c>
      <c r="AE7" s="120">
        <f t="shared" si="13"/>
        <v>0</v>
      </c>
      <c r="AF7" s="120">
        <f t="shared" si="13"/>
        <v>0</v>
      </c>
      <c r="AG7" s="120">
        <f t="shared" si="13"/>
        <v>0</v>
      </c>
      <c r="AH7" s="120">
        <f t="shared" si="13"/>
        <v>0</v>
      </c>
      <c r="AI7" s="120">
        <f t="shared" si="13"/>
        <v>0</v>
      </c>
      <c r="AJ7" s="120">
        <f t="shared" si="13"/>
        <v>0</v>
      </c>
      <c r="AK7" s="120">
        <f t="shared" si="13"/>
        <v>0</v>
      </c>
      <c r="AL7" s="120">
        <f t="shared" si="13"/>
        <v>0</v>
      </c>
      <c r="AM7" s="120">
        <f t="shared" si="13"/>
        <v>0</v>
      </c>
      <c r="AN7" s="120">
        <f t="shared" si="13"/>
        <v>0</v>
      </c>
      <c r="AO7" s="120">
        <f t="shared" si="13"/>
        <v>0</v>
      </c>
      <c r="AP7" s="120">
        <f t="shared" si="13"/>
        <v>0</v>
      </c>
      <c r="AQ7" s="120">
        <f t="shared" si="13"/>
        <v>0</v>
      </c>
      <c r="AR7" s="120">
        <f t="shared" si="13"/>
        <v>0</v>
      </c>
      <c r="AS7" s="120">
        <f t="shared" si="13"/>
        <v>0</v>
      </c>
      <c r="AT7" s="120">
        <f t="shared" ref="AT7:BP7" si="14">IF(AT6&gt;0,AT8/AT6*10000,0)</f>
        <v>0</v>
      </c>
      <c r="AU7" s="120">
        <f t="shared" si="14"/>
        <v>0</v>
      </c>
      <c r="AV7" s="120">
        <f t="shared" si="14"/>
        <v>0</v>
      </c>
      <c r="AW7" s="120">
        <f t="shared" si="14"/>
        <v>0</v>
      </c>
      <c r="AX7" s="120">
        <f t="shared" si="14"/>
        <v>0</v>
      </c>
      <c r="AY7" s="120">
        <f t="shared" si="14"/>
        <v>0</v>
      </c>
      <c r="AZ7" s="120">
        <f t="shared" si="14"/>
        <v>0</v>
      </c>
      <c r="BA7" s="120">
        <f t="shared" si="14"/>
        <v>0</v>
      </c>
      <c r="BB7" s="120">
        <f t="shared" si="14"/>
        <v>0</v>
      </c>
      <c r="BC7" s="120">
        <f t="shared" si="14"/>
        <v>0</v>
      </c>
      <c r="BD7" s="120">
        <f t="shared" si="14"/>
        <v>0</v>
      </c>
      <c r="BE7" s="120">
        <f t="shared" si="14"/>
        <v>0</v>
      </c>
      <c r="BF7" s="120">
        <f t="shared" si="14"/>
        <v>0</v>
      </c>
      <c r="BG7" s="120">
        <f t="shared" si="14"/>
        <v>0</v>
      </c>
      <c r="BH7" s="120">
        <f t="shared" si="14"/>
        <v>0</v>
      </c>
      <c r="BI7" s="120">
        <f t="shared" si="14"/>
        <v>0</v>
      </c>
      <c r="BJ7" s="120">
        <f t="shared" si="14"/>
        <v>0</v>
      </c>
      <c r="BK7" s="120">
        <f t="shared" si="14"/>
        <v>0</v>
      </c>
      <c r="BL7" s="120">
        <f t="shared" si="14"/>
        <v>0</v>
      </c>
      <c r="BM7" s="120">
        <f t="shared" si="14"/>
        <v>0</v>
      </c>
      <c r="BN7" s="120">
        <f t="shared" si="14"/>
        <v>0</v>
      </c>
      <c r="BO7" s="120">
        <f t="shared" si="14"/>
        <v>0</v>
      </c>
      <c r="BP7" s="120">
        <f t="shared" si="14"/>
        <v>0</v>
      </c>
      <c r="BQ7" s="120">
        <f t="shared" ref="BQ7:BU7" si="15">IF(BQ6&gt;0,BQ8/BQ6*10000,0)</f>
        <v>9268.1908276935883</v>
      </c>
      <c r="BR7" s="120">
        <f t="shared" si="15"/>
        <v>0</v>
      </c>
      <c r="BS7" s="120">
        <f t="shared" si="15"/>
        <v>0</v>
      </c>
      <c r="BT7" s="120">
        <f t="shared" si="15"/>
        <v>0</v>
      </c>
      <c r="BU7" s="120">
        <f t="shared" si="15"/>
        <v>0</v>
      </c>
    </row>
    <row r="8" spans="1:73">
      <c r="A8" s="125"/>
      <c r="B8" s="120" t="s">
        <v>841</v>
      </c>
      <c r="C8" s="120">
        <f t="shared" ref="C8:AS8" si="16">SUMIF($B9:$B32,$B8,C9:C32)</f>
        <v>127328.7782477064</v>
      </c>
      <c r="D8" s="120">
        <f t="shared" si="16"/>
        <v>0</v>
      </c>
      <c r="E8" s="120">
        <f t="shared" si="16"/>
        <v>0</v>
      </c>
      <c r="F8" s="120">
        <f t="shared" si="16"/>
        <v>0</v>
      </c>
      <c r="G8" s="120">
        <f t="shared" si="16"/>
        <v>0</v>
      </c>
      <c r="H8" s="120">
        <f t="shared" si="16"/>
        <v>0</v>
      </c>
      <c r="I8" s="120">
        <f t="shared" si="16"/>
        <v>0</v>
      </c>
      <c r="J8" s="120">
        <f t="shared" si="16"/>
        <v>0</v>
      </c>
      <c r="K8" s="120">
        <f t="shared" si="16"/>
        <v>0</v>
      </c>
      <c r="L8" s="120">
        <f t="shared" si="16"/>
        <v>0</v>
      </c>
      <c r="M8" s="120">
        <f t="shared" si="16"/>
        <v>0</v>
      </c>
      <c r="N8" s="120">
        <f t="shared" si="16"/>
        <v>0</v>
      </c>
      <c r="O8" s="120">
        <f t="shared" si="16"/>
        <v>0</v>
      </c>
      <c r="P8" s="120">
        <f t="shared" si="16"/>
        <v>0</v>
      </c>
      <c r="Q8" s="120">
        <f t="shared" si="16"/>
        <v>0</v>
      </c>
      <c r="R8" s="120">
        <f t="shared" si="16"/>
        <v>0</v>
      </c>
      <c r="S8" s="120">
        <f t="shared" si="16"/>
        <v>0</v>
      </c>
      <c r="T8" s="120">
        <f t="shared" si="16"/>
        <v>0</v>
      </c>
      <c r="U8" s="120">
        <f t="shared" si="16"/>
        <v>0</v>
      </c>
      <c r="V8" s="120">
        <f t="shared" si="16"/>
        <v>0</v>
      </c>
      <c r="W8" s="120">
        <f t="shared" si="16"/>
        <v>0</v>
      </c>
      <c r="X8" s="120">
        <f t="shared" si="16"/>
        <v>0</v>
      </c>
      <c r="Y8" s="120">
        <f t="shared" si="16"/>
        <v>0</v>
      </c>
      <c r="Z8" s="120">
        <f t="shared" si="16"/>
        <v>0</v>
      </c>
      <c r="AA8" s="120">
        <f t="shared" si="16"/>
        <v>0</v>
      </c>
      <c r="AB8" s="120">
        <f t="shared" si="16"/>
        <v>0</v>
      </c>
      <c r="AC8" s="120">
        <f t="shared" si="16"/>
        <v>0</v>
      </c>
      <c r="AD8" s="120">
        <f t="shared" si="16"/>
        <v>0</v>
      </c>
      <c r="AE8" s="120">
        <f t="shared" si="16"/>
        <v>0</v>
      </c>
      <c r="AF8" s="120">
        <f t="shared" si="16"/>
        <v>0</v>
      </c>
      <c r="AG8" s="120">
        <f t="shared" si="16"/>
        <v>0</v>
      </c>
      <c r="AH8" s="120">
        <f t="shared" si="16"/>
        <v>0</v>
      </c>
      <c r="AI8" s="120">
        <f t="shared" si="16"/>
        <v>0</v>
      </c>
      <c r="AJ8" s="120">
        <f t="shared" si="16"/>
        <v>0</v>
      </c>
      <c r="AK8" s="120">
        <f t="shared" si="16"/>
        <v>0</v>
      </c>
      <c r="AL8" s="120">
        <f t="shared" si="16"/>
        <v>0</v>
      </c>
      <c r="AM8" s="120">
        <f t="shared" si="16"/>
        <v>0</v>
      </c>
      <c r="AN8" s="120">
        <f t="shared" si="16"/>
        <v>0</v>
      </c>
      <c r="AO8" s="120">
        <f t="shared" si="16"/>
        <v>0</v>
      </c>
      <c r="AP8" s="120">
        <f t="shared" si="16"/>
        <v>0</v>
      </c>
      <c r="AQ8" s="120">
        <f t="shared" si="16"/>
        <v>0</v>
      </c>
      <c r="AR8" s="120">
        <f t="shared" si="16"/>
        <v>0</v>
      </c>
      <c r="AS8" s="120">
        <f t="shared" si="16"/>
        <v>0</v>
      </c>
      <c r="AT8" s="120">
        <f t="shared" ref="AT8:BP8" si="17">SUMIF($B9:$B32,$B8,AT9:AT32)</f>
        <v>0</v>
      </c>
      <c r="AU8" s="120">
        <f t="shared" si="17"/>
        <v>0</v>
      </c>
      <c r="AV8" s="120">
        <f t="shared" si="17"/>
        <v>0</v>
      </c>
      <c r="AW8" s="120">
        <f t="shared" si="17"/>
        <v>0</v>
      </c>
      <c r="AX8" s="120">
        <f t="shared" si="17"/>
        <v>0</v>
      </c>
      <c r="AY8" s="120">
        <f t="shared" si="17"/>
        <v>0</v>
      </c>
      <c r="AZ8" s="120">
        <f t="shared" si="17"/>
        <v>0</v>
      </c>
      <c r="BA8" s="120">
        <f t="shared" si="17"/>
        <v>0</v>
      </c>
      <c r="BB8" s="120">
        <f t="shared" si="17"/>
        <v>0</v>
      </c>
      <c r="BC8" s="120">
        <f t="shared" si="17"/>
        <v>0</v>
      </c>
      <c r="BD8" s="120">
        <f t="shared" si="17"/>
        <v>0</v>
      </c>
      <c r="BE8" s="120">
        <f t="shared" si="17"/>
        <v>0</v>
      </c>
      <c r="BF8" s="120">
        <f t="shared" si="17"/>
        <v>0</v>
      </c>
      <c r="BG8" s="120">
        <f t="shared" si="17"/>
        <v>0</v>
      </c>
      <c r="BH8" s="120">
        <f t="shared" si="17"/>
        <v>0</v>
      </c>
      <c r="BI8" s="120">
        <f t="shared" si="17"/>
        <v>0</v>
      </c>
      <c r="BJ8" s="120">
        <f t="shared" si="17"/>
        <v>0</v>
      </c>
      <c r="BK8" s="120">
        <f t="shared" si="17"/>
        <v>0</v>
      </c>
      <c r="BL8" s="120">
        <f t="shared" si="17"/>
        <v>0</v>
      </c>
      <c r="BM8" s="120">
        <f t="shared" si="17"/>
        <v>0</v>
      </c>
      <c r="BN8" s="120">
        <f t="shared" si="17"/>
        <v>0</v>
      </c>
      <c r="BO8" s="120">
        <f t="shared" si="17"/>
        <v>0</v>
      </c>
      <c r="BP8" s="120">
        <f t="shared" si="17"/>
        <v>0</v>
      </c>
      <c r="BQ8" s="120">
        <f t="shared" ref="BQ8:BU8" si="18">SUMIF($B9:$B32,$B8,BQ9:BQ32)</f>
        <v>127328.7782477064</v>
      </c>
      <c r="BR8" s="120">
        <f t="shared" si="18"/>
        <v>0</v>
      </c>
      <c r="BS8" s="120">
        <f t="shared" si="18"/>
        <v>0</v>
      </c>
      <c r="BT8" s="120">
        <f t="shared" si="18"/>
        <v>0</v>
      </c>
      <c r="BU8" s="120">
        <f t="shared" si="18"/>
        <v>0</v>
      </c>
    </row>
    <row r="9" spans="1:73" s="126" customFormat="1" ht="13" outlineLevel="1">
      <c r="A9" s="127" t="str">
        <f>销售计划!A9</f>
        <v>车位</v>
      </c>
      <c r="B9" s="128" t="s">
        <v>258</v>
      </c>
      <c r="C9" s="128">
        <f>SUM(D9:BU9)</f>
        <v>24565.840000000004</v>
      </c>
      <c r="D9" s="250">
        <f>IF(D$2&lt;基础信息!$E$13,0,IF(D$2=基础信息!$E$13,SUM(销售计划!$D87:E87),销售计划!E87))</f>
        <v>0</v>
      </c>
      <c r="E9" s="250">
        <f>IF(E$2&lt;基础信息!$E$13,0,IF(E$2=基础信息!$E$13,SUM(销售计划!$D87:F87),销售计划!F87))</f>
        <v>0</v>
      </c>
      <c r="F9" s="250">
        <f>IF(F$2&lt;基础信息!$E$13,0,IF(F$2=基础信息!$E$13,SUM(销售计划!$D87:G87),销售计划!G87))</f>
        <v>0</v>
      </c>
      <c r="G9" s="250">
        <f>IF(G$2&lt;基础信息!$E$13,0,IF(G$2=基础信息!$E$13,SUM(销售计划!$D87:H87),销售计划!H87))</f>
        <v>0</v>
      </c>
      <c r="H9" s="250">
        <f>IF(H$2&lt;基础信息!$E$13,0,IF(H$2=基础信息!$E$13,SUM(销售计划!$D87:I87),销售计划!I87))</f>
        <v>0</v>
      </c>
      <c r="I9" s="250">
        <f>IF(I$2&lt;基础信息!$E$13,0,IF(I$2=基础信息!$E$13,SUM(销售计划!$D87:J87),销售计划!J87))</f>
        <v>0</v>
      </c>
      <c r="J9" s="250">
        <f>IF(J$2&lt;基础信息!$E$13,0,IF(J$2=基础信息!$E$13,SUM(销售计划!$D87:K87),销售计划!K87))</f>
        <v>0</v>
      </c>
      <c r="K9" s="250">
        <f>IF(K$2&lt;基础信息!$E$13,0,IF(K$2=基础信息!$E$13,SUM(销售计划!$D87:L87),销售计划!L87))</f>
        <v>0</v>
      </c>
      <c r="L9" s="250">
        <f>IF(L$2&lt;基础信息!$E$13,0,IF(L$2=基础信息!$E$13,SUM(销售计划!$D87:M87),销售计划!M87))</f>
        <v>0</v>
      </c>
      <c r="M9" s="250">
        <f>IF(M$2&lt;基础信息!$E$13,0,IF(M$2=基础信息!$E$13,SUM(销售计划!$D87:N87),销售计划!N87))</f>
        <v>0</v>
      </c>
      <c r="N9" s="250">
        <f>IF(N$2&lt;基础信息!$E$13,0,IF(N$2=基础信息!$E$13,SUM(销售计划!$D66:O66),销售计划!O66))</f>
        <v>0</v>
      </c>
      <c r="O9" s="250">
        <f>IF(O$2&lt;基础信息!$E$13,0,IF(O$2=基础信息!$E$13,SUM(销售计划!$D66:P66),销售计划!P66))</f>
        <v>0</v>
      </c>
      <c r="P9" s="250">
        <f>IF(P$2&lt;基础信息!$E$13,0,IF(P$2=基础信息!$E$13,SUM(销售计划!$D66:Q66),销售计划!Q66))</f>
        <v>0</v>
      </c>
      <c r="Q9" s="250">
        <f>IF(Q$2&lt;基础信息!$E$13,0,IF(Q$2=基础信息!$E$13,SUM(销售计划!$D66:R66),销售计划!R66))</f>
        <v>0</v>
      </c>
      <c r="R9" s="250">
        <f>IF(R$2&lt;基础信息!$E$13,0,IF(R$2=基础信息!$E$13,SUM(销售计划!$D66:S66),销售计划!S66))</f>
        <v>0</v>
      </c>
      <c r="S9" s="250">
        <f>IF(S$2&lt;基础信息!$E$13,0,IF(S$2=基础信息!$E$13,SUM(销售计划!$D66:T66),销售计划!T66))</f>
        <v>0</v>
      </c>
      <c r="T9" s="250">
        <f>IF(T$2&lt;基础信息!$E$13,0,IF(T$2=基础信息!$E$13,SUM(销售计划!$D66:U66),销售计划!U66))</f>
        <v>0</v>
      </c>
      <c r="U9" s="250">
        <f>IF(U$2&lt;基础信息!$E$13,0,IF(U$2=基础信息!$E$13,SUM(销售计划!$D66:V66),销售计划!V66))</f>
        <v>0</v>
      </c>
      <c r="V9" s="250">
        <f>IF(V$2&lt;基础信息!$E$13,0,IF(V$2=基础信息!$E$13,SUM(销售计划!$D66:W66),销售计划!W66))</f>
        <v>0</v>
      </c>
      <c r="W9" s="250">
        <f>IF(W$2&lt;基础信息!$E$13,0,IF(W$2=基础信息!$E$13,SUM(销售计划!$D66:X66),销售计划!X66))</f>
        <v>0</v>
      </c>
      <c r="X9" s="250">
        <f>IF(X$2&lt;基础信息!$E$13,0,IF(X$2=基础信息!$E$13,SUM(销售计划!$D66:Y66),销售计划!Y66))</f>
        <v>0</v>
      </c>
      <c r="Y9" s="250">
        <f>IF(Y$2&lt;基础信息!$E$13,0,IF(Y$2=基础信息!$E$13,SUM(销售计划!$D66:Z66),销售计划!Z66))</f>
        <v>0</v>
      </c>
      <c r="Z9" s="250">
        <f>IF(Z$2&lt;基础信息!$E$13,0,IF(Z$2=基础信息!$E$13,SUM(销售计划!$D66:AA66),销售计划!AA66))</f>
        <v>0</v>
      </c>
      <c r="AA9" s="250">
        <f>IF(AA$2&lt;基础信息!$E$13,0,IF(AA$2=基础信息!$E$13,SUM(销售计划!$D66:AB66),销售计划!AB66))</f>
        <v>0</v>
      </c>
      <c r="AB9" s="250">
        <f>IF(AB$2&lt;基础信息!$E$13,0,IF(AB$2=基础信息!$E$13,SUM(销售计划!$D66:AC66),销售计划!AC66))</f>
        <v>0</v>
      </c>
      <c r="AC9" s="250">
        <f>IF(AC$2&lt;基础信息!$E$13,0,IF(AC$2=基础信息!$E$13,SUM(销售计划!$D66:AD66),销售计划!AD66))</f>
        <v>0</v>
      </c>
      <c r="AD9" s="250">
        <f>IF(AD$2&lt;基础信息!$E$13,0,IF(AD$2=基础信息!$E$13,SUM(销售计划!$D66:AE66),销售计划!AE66))</f>
        <v>0</v>
      </c>
      <c r="AE9" s="250">
        <f>IF(AE$2&lt;基础信息!$E$13,0,IF(AE$2=基础信息!$E$13,SUM(销售计划!$D66:AF66),销售计划!AF66))</f>
        <v>0</v>
      </c>
      <c r="AF9" s="250">
        <f>IF(AF$2&lt;基础信息!$E$13,0,IF(AF$2=基础信息!$E$13,SUM(销售计划!$D66:AG66),销售计划!AG66))</f>
        <v>0</v>
      </c>
      <c r="AG9" s="250">
        <f>IF(AG$2&lt;基础信息!$E$13,0,IF(AG$2=基础信息!$E$13,SUM(销售计划!$D66:AH66),销售计划!AH66))</f>
        <v>0</v>
      </c>
      <c r="AH9" s="250">
        <f>IF(AH$2&lt;基础信息!$E$13,0,IF(AH$2=基础信息!$E$13,SUM(销售计划!$D66:AI66),销售计划!AI66))</f>
        <v>0</v>
      </c>
      <c r="AI9" s="250">
        <f>IF(AI$2&lt;基础信息!$E$13,0,IF(AI$2=基础信息!$E$13,SUM(销售计划!$D66:AJ66),销售计划!AJ66))</f>
        <v>0</v>
      </c>
      <c r="AJ9" s="250">
        <f>IF(AJ$2&lt;基础信息!$E$13,0,IF(AJ$2=基础信息!$E$13,SUM(销售计划!$D66:AK66),销售计划!AK66))</f>
        <v>0</v>
      </c>
      <c r="AK9" s="250">
        <f>IF(AK$2&lt;基础信息!$E$13,0,IF(AK$2=基础信息!$E$13,SUM(销售计划!$D66:AL66),销售计划!AL66))</f>
        <v>0</v>
      </c>
      <c r="AL9" s="250">
        <f>IF(AL$2&lt;基础信息!$E$13,0,IF(AL$2=基础信息!$E$13,SUM(销售计划!$D66:AM66),销售计划!AM66))</f>
        <v>0</v>
      </c>
      <c r="AM9" s="250">
        <f>IF(AM$2&lt;基础信息!$E$13,0,IF(AM$2=基础信息!$E$13,SUM(销售计划!$D66:AN66),销售计划!AN66))</f>
        <v>0</v>
      </c>
      <c r="AN9" s="250">
        <f>IF(AN$2&lt;基础信息!$E$13,0,IF(AN$2=基础信息!$E$13,SUM(销售计划!$D66:AO66),销售计划!AO66))</f>
        <v>0</v>
      </c>
      <c r="AO9" s="250">
        <f>IF(AO$2&lt;基础信息!$E$13,0,IF(AO$2=基础信息!$E$13,SUM(销售计划!$D66:AP66),销售计划!AP66))</f>
        <v>0</v>
      </c>
      <c r="AP9" s="250">
        <f>IF(AP$2&lt;基础信息!$E$13,0,IF(AP$2=基础信息!$E$13,SUM(销售计划!$D66:AQ66),销售计划!AQ66))</f>
        <v>0</v>
      </c>
      <c r="AQ9" s="250">
        <f>IF(AQ$2&lt;基础信息!$E$13,0,IF(AQ$2=基础信息!$E$13,SUM(销售计划!$D66:AR66),销售计划!AR66))</f>
        <v>0</v>
      </c>
      <c r="AR9" s="250">
        <f>IF(AR$2&lt;基础信息!$E$13,0,IF(AR$2=基础信息!$E$13,SUM(销售计划!$D66:AS66),销售计划!AS66))</f>
        <v>0</v>
      </c>
      <c r="AS9" s="250">
        <f>IF(AS$2&lt;基础信息!$E$13,0,IF(AS$2=基础信息!$E$13,SUM(销售计划!$D66:AT66),销售计划!AT66))</f>
        <v>0</v>
      </c>
      <c r="AT9" s="250">
        <f>IF(AT$2&lt;基础信息!$E$13,0,IF(AT$2=基础信息!$E$13,SUM(销售计划!$D66:AU66),销售计划!AU66))</f>
        <v>0</v>
      </c>
      <c r="AU9" s="250">
        <f>IF(AU$2&lt;基础信息!$E$13,0,IF(AU$2=基础信息!$E$13,SUM(销售计划!$D66:AV66),销售计划!AV66))</f>
        <v>0</v>
      </c>
      <c r="AV9" s="250">
        <f>IF(AV$2&lt;基础信息!$E$13,0,IF(AV$2=基础信息!$E$13,SUM(销售计划!$D66:AW66),销售计划!AW66))</f>
        <v>0</v>
      </c>
      <c r="AW9" s="250">
        <f>IF(AW$2&lt;基础信息!$E$13,0,IF(AW$2=基础信息!$E$13,SUM(销售计划!$D66:AX66),销售计划!AX66))</f>
        <v>0</v>
      </c>
      <c r="AX9" s="250">
        <f>IF(AX$2&lt;基础信息!$E$13,0,IF(AX$2=基础信息!$E$13,SUM(销售计划!$D66:AY66),销售计划!AY66))</f>
        <v>0</v>
      </c>
      <c r="AY9" s="250">
        <f>IF(AY$2&lt;基础信息!$E$13,0,IF(AY$2=基础信息!$E$13,SUM(销售计划!$D66:AZ66),销售计划!AZ66))</f>
        <v>0</v>
      </c>
      <c r="AZ9" s="250">
        <f>IF(AZ$2&lt;基础信息!$E$13,0,IF(AZ$2=基础信息!$E$13,SUM(销售计划!$D66:BA66),销售计划!BA66))</f>
        <v>0</v>
      </c>
      <c r="BA9" s="250">
        <f>IF(BA$2&lt;基础信息!$E$13,0,IF(BA$2=基础信息!$E$13,SUM(销售计划!$D66:BB66),销售计划!BB66))</f>
        <v>0</v>
      </c>
      <c r="BB9" s="250">
        <f>IF(BB$2&lt;基础信息!$E$13,0,IF(BB$2=基础信息!$E$13,SUM(销售计划!$D66:BC66),销售计划!BC66))</f>
        <v>0</v>
      </c>
      <c r="BC9" s="250">
        <f>IF(BC$2&lt;基础信息!$E$13,0,IF(BC$2=基础信息!$E$13,SUM(销售计划!$D66:BD66),销售计划!BD66))</f>
        <v>0</v>
      </c>
      <c r="BD9" s="250">
        <f>IF(BD$2&lt;基础信息!$E$13,0,IF(BD$2=基础信息!$E$13,SUM(销售计划!$D66:BE66),销售计划!BE66))</f>
        <v>0</v>
      </c>
      <c r="BE9" s="250">
        <f>IF(BE$2&lt;基础信息!$E$13,0,IF(BE$2=基础信息!$E$13,SUM(销售计划!$D66:BF66),销售计划!BF66))</f>
        <v>0</v>
      </c>
      <c r="BF9" s="250">
        <f>IF(BF$2&lt;基础信息!$E$13,0,IF(BF$2=基础信息!$E$13,SUM(销售计划!$D66:BG66),销售计划!BG66))</f>
        <v>0</v>
      </c>
      <c r="BG9" s="250">
        <f>IF(BG$2&lt;基础信息!$E$13,0,IF(BG$2=基础信息!$E$13,SUM(销售计划!$D66:BH66),销售计划!BH66))</f>
        <v>0</v>
      </c>
      <c r="BH9" s="250">
        <f>IF(BH$2&lt;基础信息!$E$13,0,IF(BH$2=基础信息!$E$13,SUM(销售计划!$D66:BI66),销售计划!BI66))</f>
        <v>0</v>
      </c>
      <c r="BI9" s="250">
        <f>IF(BI$2&lt;基础信息!$E$13,0,IF(BI$2=基础信息!$E$13,SUM(销售计划!$D66:BJ66),销售计划!BJ66))</f>
        <v>0</v>
      </c>
      <c r="BJ9" s="250">
        <f>IF(BJ$2&lt;基础信息!$E$13,0,IF(BJ$2=基础信息!$E$13,SUM(销售计划!$D66:BK66),销售计划!BK66))</f>
        <v>0</v>
      </c>
      <c r="BK9" s="250">
        <f>IF(BK$2&lt;基础信息!$E$13,0,IF(BK$2=基础信息!$E$13,SUM(销售计划!$D66:BL66),销售计划!BL66))</f>
        <v>0</v>
      </c>
      <c r="BL9" s="250">
        <f>IF(BL$2&lt;基础信息!$E$13,0,IF(BL$2=基础信息!$E$13,SUM(销售计划!$D66:BM66),销售计划!BM66))</f>
        <v>0</v>
      </c>
      <c r="BM9" s="250">
        <f>IF(BM$2&lt;基础信息!$E$13,0,IF(BM$2=基础信息!$E$13,SUM(销售计划!$D66:BN66),销售计划!BN66))</f>
        <v>0</v>
      </c>
      <c r="BN9" s="250">
        <f>IF(BN$2&lt;基础信息!$E$13,0,IF(BN$2=基础信息!$E$13,SUM(销售计划!$D66:BO66),销售计划!BO66))</f>
        <v>0</v>
      </c>
      <c r="BO9" s="250">
        <f>IF(BO$2&lt;基础信息!$E$13,0,IF(BO$2=基础信息!$E$13,SUM(销售计划!$D66:BP66),销售计划!BP66))</f>
        <v>0</v>
      </c>
      <c r="BP9" s="250">
        <f>IF(BP$2&lt;基础信息!$E$13,0,IF(BP$2=基础信息!$E$13,SUM(销售计划!$D66:BQ66),销售计划!BQ66))</f>
        <v>0</v>
      </c>
      <c r="BQ9" s="250">
        <f>IF(BQ$2&lt;基础信息!$E$13,0,IF(BQ$2=基础信息!$E$13,SUM(销售计划!$D66:BR66),销售计划!BR66))</f>
        <v>24565.840000000004</v>
      </c>
      <c r="BR9" s="250">
        <f>IF(BR$2&lt;基础信息!$E$13,0,IF(BR$2=基础信息!$E$13,SUM(销售计划!$D66:BS66),销售计划!BS66))</f>
        <v>0</v>
      </c>
      <c r="BS9" s="250">
        <f>IF(BS$2&lt;基础信息!$E$13,0,IF(BS$2=基础信息!$E$13,SUM(销售计划!$D66:BT66),销售计划!BT66))</f>
        <v>0</v>
      </c>
      <c r="BT9" s="250">
        <f>IF(BT$2&lt;基础信息!$E$13,0,IF(BT$2=基础信息!$E$13,SUM(销售计划!$D66:BU66),销售计划!BU66))</f>
        <v>0</v>
      </c>
      <c r="BU9" s="250">
        <f>IF(BU$2&lt;基础信息!$E$13,0,IF(BU$2=基础信息!$E$13,SUM(销售计划!$D66:BV66),销售计划!BV66))</f>
        <v>0</v>
      </c>
    </row>
    <row r="10" spans="1:73" s="126" customFormat="1" ht="13" outlineLevel="1">
      <c r="A10" s="127">
        <f>销售计划!A88</f>
        <v>0</v>
      </c>
      <c r="B10" s="128" t="s">
        <v>932</v>
      </c>
      <c r="C10" s="128">
        <f>IF(C9&gt;0,C11/C9*10000,0)</f>
        <v>1907.3394495412836</v>
      </c>
      <c r="D10" s="250">
        <f t="shared" ref="D10:AS10" si="19">IF(D9&gt;0,D11/D9*10000,0)</f>
        <v>0</v>
      </c>
      <c r="E10" s="250">
        <f t="shared" si="19"/>
        <v>0</v>
      </c>
      <c r="F10" s="250">
        <f t="shared" si="19"/>
        <v>0</v>
      </c>
      <c r="G10" s="250">
        <f t="shared" si="19"/>
        <v>0</v>
      </c>
      <c r="H10" s="250">
        <f t="shared" si="19"/>
        <v>0</v>
      </c>
      <c r="I10" s="250">
        <f t="shared" si="19"/>
        <v>0</v>
      </c>
      <c r="J10" s="250">
        <f t="shared" si="19"/>
        <v>0</v>
      </c>
      <c r="K10" s="250">
        <f t="shared" si="19"/>
        <v>0</v>
      </c>
      <c r="L10" s="250">
        <f t="shared" si="19"/>
        <v>0</v>
      </c>
      <c r="M10" s="250">
        <f t="shared" si="19"/>
        <v>0</v>
      </c>
      <c r="N10" s="250">
        <f t="shared" si="19"/>
        <v>0</v>
      </c>
      <c r="O10" s="250">
        <f t="shared" si="19"/>
        <v>0</v>
      </c>
      <c r="P10" s="250">
        <f t="shared" si="19"/>
        <v>0</v>
      </c>
      <c r="Q10" s="250">
        <f t="shared" si="19"/>
        <v>0</v>
      </c>
      <c r="R10" s="250">
        <f t="shared" si="19"/>
        <v>0</v>
      </c>
      <c r="S10" s="250">
        <f t="shared" si="19"/>
        <v>0</v>
      </c>
      <c r="T10" s="250">
        <f t="shared" si="19"/>
        <v>0</v>
      </c>
      <c r="U10" s="250">
        <f t="shared" si="19"/>
        <v>0</v>
      </c>
      <c r="V10" s="250">
        <f t="shared" si="19"/>
        <v>0</v>
      </c>
      <c r="W10" s="250">
        <f t="shared" si="19"/>
        <v>0</v>
      </c>
      <c r="X10" s="250">
        <f t="shared" si="19"/>
        <v>0</v>
      </c>
      <c r="Y10" s="250">
        <f t="shared" si="19"/>
        <v>0</v>
      </c>
      <c r="Z10" s="250">
        <f t="shared" si="19"/>
        <v>0</v>
      </c>
      <c r="AA10" s="250">
        <f t="shared" si="19"/>
        <v>0</v>
      </c>
      <c r="AB10" s="250">
        <f t="shared" si="19"/>
        <v>0</v>
      </c>
      <c r="AC10" s="250">
        <f t="shared" si="19"/>
        <v>0</v>
      </c>
      <c r="AD10" s="250">
        <f t="shared" si="19"/>
        <v>0</v>
      </c>
      <c r="AE10" s="250">
        <f t="shared" si="19"/>
        <v>0</v>
      </c>
      <c r="AF10" s="250">
        <f t="shared" si="19"/>
        <v>0</v>
      </c>
      <c r="AG10" s="250">
        <f t="shared" si="19"/>
        <v>0</v>
      </c>
      <c r="AH10" s="250">
        <f t="shared" si="19"/>
        <v>0</v>
      </c>
      <c r="AI10" s="250">
        <f t="shared" si="19"/>
        <v>0</v>
      </c>
      <c r="AJ10" s="250">
        <f t="shared" si="19"/>
        <v>0</v>
      </c>
      <c r="AK10" s="250">
        <f t="shared" si="19"/>
        <v>0</v>
      </c>
      <c r="AL10" s="250">
        <f>IF(AL9&gt;0,AL11/AL9*10000,0)</f>
        <v>0</v>
      </c>
      <c r="AM10" s="250">
        <f t="shared" si="19"/>
        <v>0</v>
      </c>
      <c r="AN10" s="250">
        <f t="shared" si="19"/>
        <v>0</v>
      </c>
      <c r="AO10" s="250">
        <f t="shared" si="19"/>
        <v>0</v>
      </c>
      <c r="AP10" s="250">
        <f t="shared" si="19"/>
        <v>0</v>
      </c>
      <c r="AQ10" s="250">
        <f t="shared" si="19"/>
        <v>0</v>
      </c>
      <c r="AR10" s="250">
        <f t="shared" si="19"/>
        <v>0</v>
      </c>
      <c r="AS10" s="250">
        <f t="shared" si="19"/>
        <v>0</v>
      </c>
      <c r="AT10" s="250">
        <f t="shared" ref="AT10:BP10" si="20">IF(AT9&gt;0,AT11/AT9*10000,0)</f>
        <v>0</v>
      </c>
      <c r="AU10" s="250">
        <f t="shared" si="20"/>
        <v>0</v>
      </c>
      <c r="AV10" s="250">
        <f t="shared" si="20"/>
        <v>0</v>
      </c>
      <c r="AW10" s="250">
        <f t="shared" si="20"/>
        <v>0</v>
      </c>
      <c r="AX10" s="250">
        <f t="shared" si="20"/>
        <v>0</v>
      </c>
      <c r="AY10" s="250">
        <f t="shared" si="20"/>
        <v>0</v>
      </c>
      <c r="AZ10" s="250">
        <f t="shared" si="20"/>
        <v>0</v>
      </c>
      <c r="BA10" s="250">
        <f t="shared" si="20"/>
        <v>0</v>
      </c>
      <c r="BB10" s="250">
        <f t="shared" si="20"/>
        <v>0</v>
      </c>
      <c r="BC10" s="250">
        <f t="shared" si="20"/>
        <v>0</v>
      </c>
      <c r="BD10" s="250">
        <f t="shared" si="20"/>
        <v>0</v>
      </c>
      <c r="BE10" s="250">
        <f t="shared" si="20"/>
        <v>0</v>
      </c>
      <c r="BF10" s="250">
        <f t="shared" si="20"/>
        <v>0</v>
      </c>
      <c r="BG10" s="250">
        <f t="shared" si="20"/>
        <v>0</v>
      </c>
      <c r="BH10" s="250">
        <f t="shared" si="20"/>
        <v>0</v>
      </c>
      <c r="BI10" s="250">
        <f t="shared" si="20"/>
        <v>0</v>
      </c>
      <c r="BJ10" s="250">
        <f t="shared" si="20"/>
        <v>0</v>
      </c>
      <c r="BK10" s="250">
        <f t="shared" si="20"/>
        <v>0</v>
      </c>
      <c r="BL10" s="250">
        <f t="shared" si="20"/>
        <v>0</v>
      </c>
      <c r="BM10" s="250">
        <f t="shared" si="20"/>
        <v>0</v>
      </c>
      <c r="BN10" s="250">
        <f t="shared" si="20"/>
        <v>0</v>
      </c>
      <c r="BO10" s="250">
        <f t="shared" si="20"/>
        <v>0</v>
      </c>
      <c r="BP10" s="250">
        <f t="shared" si="20"/>
        <v>0</v>
      </c>
      <c r="BQ10" s="250">
        <f t="shared" ref="BQ10:BU10" si="21">IF(BQ9&gt;0,BQ11/BQ9*10000,0)</f>
        <v>1907.3394495412836</v>
      </c>
      <c r="BR10" s="250">
        <f t="shared" si="21"/>
        <v>0</v>
      </c>
      <c r="BS10" s="250">
        <f t="shared" si="21"/>
        <v>0</v>
      </c>
      <c r="BT10" s="250">
        <f t="shared" si="21"/>
        <v>0</v>
      </c>
      <c r="BU10" s="250">
        <f t="shared" si="21"/>
        <v>0</v>
      </c>
    </row>
    <row r="11" spans="1:73" outlineLevel="1">
      <c r="A11" s="132">
        <f>销售计划!A89</f>
        <v>0</v>
      </c>
      <c r="B11" s="133" t="s">
        <v>841</v>
      </c>
      <c r="C11" s="133">
        <f>SUM(D11:BU11)</f>
        <v>4685.5395743119252</v>
      </c>
      <c r="D11" s="133">
        <f>IF(D$2&lt;基础信息!$E$13,0,IF(D$2=基础信息!$E$13,SUM(销售计划!$D89:E89),销售计划!E89))</f>
        <v>0</v>
      </c>
      <c r="E11" s="133">
        <f>IF(E$2&lt;基础信息!$E$13,0,IF(E$2=基础信息!$E$13,SUM(销售计划!$D89:F89),销售计划!F89))</f>
        <v>0</v>
      </c>
      <c r="F11" s="133">
        <f>IF(F$2&lt;基础信息!$E$13,0,IF(F$2=基础信息!$E$13,SUM(销售计划!$D89:G89),销售计划!G89))</f>
        <v>0</v>
      </c>
      <c r="G11" s="133">
        <f>IF(G$2&lt;基础信息!$E$13,0,IF(G$2=基础信息!$E$13,SUM(销售计划!$D89:H89),销售计划!H89))</f>
        <v>0</v>
      </c>
      <c r="H11" s="133">
        <f>IF(H$2&lt;基础信息!$E$13,0,IF(H$2=基础信息!$E$13,SUM(销售计划!$D89:I89),销售计划!I89))</f>
        <v>0</v>
      </c>
      <c r="I11" s="133">
        <f>IF(I$2&lt;基础信息!$E$13,0,IF(I$2=基础信息!$E$13,SUM(销售计划!$D89:J89),销售计划!J89))</f>
        <v>0</v>
      </c>
      <c r="J11" s="133">
        <f>IF(J$2&lt;基础信息!$E$13,0,IF(J$2=基础信息!$E$13,SUM(销售计划!$D89:K89),销售计划!K89))</f>
        <v>0</v>
      </c>
      <c r="K11" s="133">
        <f>IF(K$2&lt;基础信息!$E$13,0,IF(K$2=基础信息!$E$13,SUM(销售计划!$D89:L89),销售计划!L89))</f>
        <v>0</v>
      </c>
      <c r="L11" s="133">
        <f>IF(L$2&lt;基础信息!$E$13,0,IF(L$2=基础信息!$E$13,SUM(销售计划!$D89:M89),销售计划!M89))</f>
        <v>0</v>
      </c>
      <c r="M11" s="133">
        <f>IF(M$2&lt;基础信息!$E$13,0,IF(M$2=基础信息!$E$13,SUM(销售计划!$D89:N89),销售计划!N89))</f>
        <v>0</v>
      </c>
      <c r="N11" s="133">
        <f>IF(N$2&lt;基础信息!$E$13,0,IF(N$2=基础信息!$E$13,SUM(销售计划!$D89:O89),销售计划!O89))</f>
        <v>0</v>
      </c>
      <c r="O11" s="133">
        <f>IF(O$2&lt;基础信息!$E$13,0,IF(O$2=基础信息!$E$13,SUM(销售计划!$D68:P68),销售计划!P68))</f>
        <v>0</v>
      </c>
      <c r="P11" s="133">
        <f>IF(P$2&lt;基础信息!$E$13,0,IF(P$2=基础信息!$E$13,SUM(销售计划!$D68:Q68),销售计划!Q68))</f>
        <v>0</v>
      </c>
      <c r="Q11" s="133">
        <f>IF(Q$2&lt;基础信息!$E$13,0,IF(Q$2=基础信息!$E$13,SUM(销售计划!$D68:R68),销售计划!R68))</f>
        <v>0</v>
      </c>
      <c r="R11" s="133">
        <f>IF(R$2&lt;基础信息!$E$13,0,IF(R$2=基础信息!$E$13,SUM(销售计划!$D68:S68),销售计划!S68))</f>
        <v>0</v>
      </c>
      <c r="S11" s="133">
        <f>IF(S$2&lt;基础信息!$E$13,0,IF(S$2=基础信息!$E$13,SUM(销售计划!$D68:T68),销售计划!T68))</f>
        <v>0</v>
      </c>
      <c r="T11" s="133">
        <f>IF(T$2&lt;基础信息!$E$13,0,IF(T$2=基础信息!$E$13,SUM(销售计划!$D68:U68),销售计划!U68))</f>
        <v>0</v>
      </c>
      <c r="U11" s="133">
        <f>IF(U$2&lt;基础信息!$E$13,0,IF(U$2=基础信息!$E$13,SUM(销售计划!$D68:V68),销售计划!V68))</f>
        <v>0</v>
      </c>
      <c r="V11" s="133">
        <f>IF(V$2&lt;基础信息!$E$13,0,IF(V$2=基础信息!$E$13,SUM(销售计划!$D68:W68),销售计划!W68))</f>
        <v>0</v>
      </c>
      <c r="W11" s="133">
        <f>IF(W$2&lt;基础信息!$E$13,0,IF(W$2=基础信息!$E$13,SUM(销售计划!$D68:X68),销售计划!X68))</f>
        <v>0</v>
      </c>
      <c r="X11" s="133">
        <f>IF(X$2&lt;基础信息!$E$13,0,IF(X$2=基础信息!$E$13,SUM(销售计划!$D68:Y68),销售计划!Y68))</f>
        <v>0</v>
      </c>
      <c r="Y11" s="133">
        <f>IF(Y$2&lt;基础信息!$E$13,0,IF(Y$2=基础信息!$E$13,SUM(销售计划!$D68:Z68),销售计划!Z68))</f>
        <v>0</v>
      </c>
      <c r="Z11" s="133">
        <f>IF(Z$2&lt;基础信息!$E$13,0,IF(Z$2=基础信息!$E$13,SUM(销售计划!$D68:AA68),销售计划!AA68))</f>
        <v>0</v>
      </c>
      <c r="AA11" s="133">
        <f>IF(AA$2&lt;基础信息!$E$13,0,IF(AA$2=基础信息!$E$13,SUM(销售计划!$D68:AB68),销售计划!AB68))</f>
        <v>0</v>
      </c>
      <c r="AB11" s="133">
        <f>IF(AB$2&lt;基础信息!$E$13,0,IF(AB$2=基础信息!$E$13,SUM(销售计划!$D68:AC68),销售计划!AC68))</f>
        <v>0</v>
      </c>
      <c r="AC11" s="133">
        <f>IF(AC$2&lt;基础信息!$E$13,0,IF(AC$2=基础信息!$E$13,SUM(销售计划!$D68:AD68),销售计划!AD68))</f>
        <v>0</v>
      </c>
      <c r="AD11" s="133">
        <f>IF(AD$2&lt;基础信息!$E$13,0,IF(AD$2=基础信息!$E$13,SUM(销售计划!$D68:AE68),销售计划!AE68))</f>
        <v>0</v>
      </c>
      <c r="AE11" s="133">
        <f>IF(AE$2&lt;基础信息!$E$13,0,IF(AE$2=基础信息!$E$13,SUM(销售计划!$D68:AF68),销售计划!AF68))</f>
        <v>0</v>
      </c>
      <c r="AF11" s="133">
        <f>IF(AF$2&lt;基础信息!$E$13,0,IF(AF$2=基础信息!$E$13,SUM(销售计划!$D68:AG68),销售计划!AG68))</f>
        <v>0</v>
      </c>
      <c r="AG11" s="133">
        <f>IF(AG$2&lt;基础信息!$E$13,0,IF(AG$2=基础信息!$E$13,SUM(销售计划!$D68:AH68),销售计划!AH68))</f>
        <v>0</v>
      </c>
      <c r="AH11" s="133">
        <f>IF(AH$2&lt;基础信息!$E$13,0,IF(AH$2=基础信息!$E$13,SUM(销售计划!$D68:AI68),销售计划!AI68))</f>
        <v>0</v>
      </c>
      <c r="AI11" s="133">
        <f>IF(AI$2&lt;基础信息!$E$13,0,IF(AI$2=基础信息!$E$13,SUM(销售计划!$D68:AJ68),销售计划!AJ68))</f>
        <v>0</v>
      </c>
      <c r="AJ11" s="133">
        <f>IF(AJ$2&lt;基础信息!$E$13,0,IF(AJ$2=基础信息!$E$13,SUM(销售计划!$D68:AK68),销售计划!AK68))</f>
        <v>0</v>
      </c>
      <c r="AK11" s="133">
        <f>IF(AK$2&lt;基础信息!$E$13,0,IF(AK$2=基础信息!$E$13,SUM(销售计划!$D68:AL68),销售计划!AL68))</f>
        <v>0</v>
      </c>
      <c r="AL11" s="133">
        <f>IF(AL$2&lt;基础信息!$E$13,0,IF(AL$2=基础信息!$E$13,SUM(销售计划!$D68:AM68),销售计划!AM68))</f>
        <v>0</v>
      </c>
      <c r="AM11" s="133">
        <f>IF(AM$2&lt;基础信息!$E$13,0,IF(AM$2=基础信息!$E$13,SUM(销售计划!$D68:AN68),销售计划!AN68))</f>
        <v>0</v>
      </c>
      <c r="AN11" s="133">
        <f>IF(AN$2&lt;基础信息!$E$13,0,IF(AN$2=基础信息!$E$13,SUM(销售计划!$D68:AO68),销售计划!AO68))</f>
        <v>0</v>
      </c>
      <c r="AO11" s="133">
        <f>IF(AO$2&lt;基础信息!$E$13,0,IF(AO$2=基础信息!$E$13,SUM(销售计划!$D68:AP68),销售计划!AP68))</f>
        <v>0</v>
      </c>
      <c r="AP11" s="133">
        <f>IF(AP$2&lt;基础信息!$E$13,0,IF(AP$2=基础信息!$E$13,SUM(销售计划!$D68:AQ68),销售计划!AQ68))</f>
        <v>0</v>
      </c>
      <c r="AQ11" s="133">
        <f>IF(AQ$2&lt;基础信息!$E$13,0,IF(AQ$2=基础信息!$E$13,SUM(销售计划!$D68:AR68),销售计划!AR68))</f>
        <v>0</v>
      </c>
      <c r="AR11" s="133">
        <f>IF(AR$2&lt;基础信息!$E$13,0,IF(AR$2=基础信息!$E$13,SUM(销售计划!$D68:AS68),销售计划!AS68))</f>
        <v>0</v>
      </c>
      <c r="AS11" s="133">
        <f>IF(AS$2&lt;基础信息!$E$13,0,IF(AS$2=基础信息!$E$13,SUM(销售计划!$D68:AT68),销售计划!AT68))</f>
        <v>0</v>
      </c>
      <c r="AT11" s="133">
        <f>IF(AT$2&lt;基础信息!$E$13,0,IF(AT$2=基础信息!$E$13,SUM(销售计划!$D68:AU68),销售计划!AU68))</f>
        <v>0</v>
      </c>
      <c r="AU11" s="133">
        <f>IF(AU$2&lt;基础信息!$E$13,0,IF(AU$2=基础信息!$E$13,SUM(销售计划!$D68:AV68),销售计划!AV68))</f>
        <v>0</v>
      </c>
      <c r="AV11" s="133">
        <f>IF(AV$2&lt;基础信息!$E$13,0,IF(AV$2=基础信息!$E$13,SUM(销售计划!$D68:AW68),销售计划!AW68))</f>
        <v>0</v>
      </c>
      <c r="AW11" s="133">
        <f>IF(AW$2&lt;基础信息!$E$13,0,IF(AW$2=基础信息!$E$13,SUM(销售计划!$D68:AX68),销售计划!AX68))</f>
        <v>0</v>
      </c>
      <c r="AX11" s="133">
        <f>IF(AX$2&lt;基础信息!$E$13,0,IF(AX$2=基础信息!$E$13,SUM(销售计划!$D68:AY68),销售计划!AY68))</f>
        <v>0</v>
      </c>
      <c r="AY11" s="133">
        <f>IF(AY$2&lt;基础信息!$E$13,0,IF(AY$2=基础信息!$E$13,SUM(销售计划!$D68:AZ68),销售计划!AZ68))</f>
        <v>0</v>
      </c>
      <c r="AZ11" s="133">
        <f>IF(AZ$2&lt;基础信息!$E$13,0,IF(AZ$2=基础信息!$E$13,SUM(销售计划!$D68:BA68),销售计划!BA68))</f>
        <v>0</v>
      </c>
      <c r="BA11" s="133">
        <f>IF(BA$2&lt;基础信息!$E$13,0,IF(BA$2=基础信息!$E$13,SUM(销售计划!$D68:BB68),销售计划!BB68))</f>
        <v>0</v>
      </c>
      <c r="BB11" s="133">
        <f>IF(BB$2&lt;基础信息!$E$13,0,IF(BB$2=基础信息!$E$13,SUM(销售计划!$D68:BC68),销售计划!BC68))</f>
        <v>0</v>
      </c>
      <c r="BC11" s="133">
        <f>IF(BC$2&lt;基础信息!$E$13,0,IF(BC$2=基础信息!$E$13,SUM(销售计划!$D68:BD68),销售计划!BD68))</f>
        <v>0</v>
      </c>
      <c r="BD11" s="133">
        <f>IF(BD$2&lt;基础信息!$E$13,0,IF(BD$2=基础信息!$E$13,SUM(销售计划!$D68:BE68),销售计划!BE68))</f>
        <v>0</v>
      </c>
      <c r="BE11" s="133">
        <f>IF(BE$2&lt;基础信息!$E$13,0,IF(BE$2=基础信息!$E$13,SUM(销售计划!$D68:BF68),销售计划!BF68))</f>
        <v>0</v>
      </c>
      <c r="BF11" s="133">
        <f>IF(BF$2&lt;基础信息!$E$13,0,IF(BF$2=基础信息!$E$13,SUM(销售计划!$D68:BG68),销售计划!BG68))</f>
        <v>0</v>
      </c>
      <c r="BG11" s="133">
        <f>IF(BG$2&lt;基础信息!$E$13,0,IF(BG$2=基础信息!$E$13,SUM(销售计划!$D68:BH68),销售计划!BH68))</f>
        <v>0</v>
      </c>
      <c r="BH11" s="133">
        <f>IF(BH$2&lt;基础信息!$E$13,0,IF(BH$2=基础信息!$E$13,SUM(销售计划!$D68:BI68),销售计划!BI68))</f>
        <v>0</v>
      </c>
      <c r="BI11" s="133">
        <f>IF(BI$2&lt;基础信息!$E$13,0,IF(BI$2=基础信息!$E$13,SUM(销售计划!$D68:BJ68),销售计划!BJ68))</f>
        <v>0</v>
      </c>
      <c r="BJ11" s="133">
        <f>IF(BJ$2&lt;基础信息!$E$13,0,IF(BJ$2=基础信息!$E$13,SUM(销售计划!$D68:BK68),销售计划!BK68))</f>
        <v>0</v>
      </c>
      <c r="BK11" s="133">
        <f>IF(BK$2&lt;基础信息!$E$13,0,IF(BK$2=基础信息!$E$13,SUM(销售计划!$D68:BL68),销售计划!BL68))</f>
        <v>0</v>
      </c>
      <c r="BL11" s="133">
        <f>IF(BL$2&lt;基础信息!$E$13,0,IF(BL$2=基础信息!$E$13,SUM(销售计划!$D68:BM68),销售计划!BM68))</f>
        <v>0</v>
      </c>
      <c r="BM11" s="133">
        <f>IF(BM$2&lt;基础信息!$E$13,0,IF(BM$2=基础信息!$E$13,SUM(销售计划!$D68:BN68),销售计划!BN68))</f>
        <v>0</v>
      </c>
      <c r="BN11" s="133">
        <f>IF(BN$2&lt;基础信息!$E$13,0,IF(BN$2=基础信息!$E$13,SUM(销售计划!$D68:BO68),销售计划!BO68))</f>
        <v>0</v>
      </c>
      <c r="BO11" s="133">
        <f>IF(BO$2&lt;基础信息!$E$13,0,IF(BO$2=基础信息!$E$13,SUM(销售计划!$D68:BP68),销售计划!BP68))</f>
        <v>0</v>
      </c>
      <c r="BP11" s="133">
        <f>IF(BP$2&lt;基础信息!$E$13,0,IF(BP$2=基础信息!$E$13,SUM(销售计划!$D68:BQ68),销售计划!BQ68))</f>
        <v>0</v>
      </c>
      <c r="BQ11" s="133">
        <f>IF(BQ$2&lt;基础信息!$E$13,0,IF(BQ$2=基础信息!$E$13,SUM(销售计划!$D68:BR68),销售计划!BR68))</f>
        <v>4685.5395743119252</v>
      </c>
      <c r="BR11" s="133">
        <f>IF(BR$2&lt;基础信息!$E$13,0,IF(BR$2=基础信息!$E$13,SUM(销售计划!$D68:BS68),销售计划!BS68))</f>
        <v>0</v>
      </c>
      <c r="BS11" s="133">
        <f>IF(BS$2&lt;基础信息!$E$13,0,IF(BS$2=基础信息!$E$13,SUM(销售计划!$D68:BT68),销售计划!BT68))</f>
        <v>0</v>
      </c>
      <c r="BT11" s="133">
        <f>IF(BT$2&lt;基础信息!$E$13,0,IF(BT$2=基础信息!$E$13,SUM(销售计划!$D68:BU68),销售计划!BU68))</f>
        <v>0</v>
      </c>
      <c r="BU11" s="133">
        <f>IF(BU$2&lt;基础信息!$E$13,0,IF(BU$2=基础信息!$E$13,SUM(销售计划!$D68:BV68),销售计划!BV68))</f>
        <v>0</v>
      </c>
    </row>
    <row r="12" spans="1:73" s="126" customFormat="1" ht="13" outlineLevel="1">
      <c r="A12" s="127" t="str">
        <f>销售计划!A12</f>
        <v>高层（27F）</v>
      </c>
      <c r="B12" s="128" t="s">
        <v>258</v>
      </c>
      <c r="C12" s="128">
        <f>SUM(D12:BU12)</f>
        <v>43173.95</v>
      </c>
      <c r="D12" s="250">
        <f>IF(D$2&lt;基础信息!$E$13,0,IF(D$2=基础信息!$E$13,SUM(销售计划!$D90:E90),销售计划!E90))</f>
        <v>0</v>
      </c>
      <c r="E12" s="250">
        <f>IF(E$2&lt;基础信息!$E$13,0,IF(E$2=基础信息!$E$13,SUM(销售计划!$D90:F90),销售计划!F90))</f>
        <v>0</v>
      </c>
      <c r="F12" s="250">
        <f>IF(F$2&lt;基础信息!$E$13,0,IF(F$2=基础信息!$E$13,SUM(销售计划!$D90:G90),销售计划!G90))</f>
        <v>0</v>
      </c>
      <c r="G12" s="250">
        <f>IF(G$2&lt;基础信息!$E$13,0,IF(G$2=基础信息!$E$13,SUM(销售计划!$D90:H90),销售计划!H90))</f>
        <v>0</v>
      </c>
      <c r="H12" s="250">
        <f>IF(H$2&lt;基础信息!$E$13,0,IF(H$2=基础信息!$E$13,SUM(销售计划!$D90:I90),销售计划!I90))</f>
        <v>0</v>
      </c>
      <c r="I12" s="250">
        <f>IF(I$2&lt;基础信息!$E$13,0,IF(I$2=基础信息!$E$13,SUM(销售计划!$D90:J90),销售计划!J90))</f>
        <v>0</v>
      </c>
      <c r="J12" s="250">
        <f>IF(J$2&lt;基础信息!$E$13,0,IF(J$2=基础信息!$E$13,SUM(销售计划!$D90:K90),销售计划!K90))</f>
        <v>0</v>
      </c>
      <c r="K12" s="250">
        <f>IF(K$2&lt;基础信息!$E$13,0,IF(K$2=基础信息!$E$13,SUM(销售计划!$D90:L90),销售计划!L90))</f>
        <v>0</v>
      </c>
      <c r="L12" s="250">
        <f>IF(L$2&lt;基础信息!$E$13,0,IF(L$2=基础信息!$E$13,SUM(销售计划!$D90:M90),销售计划!M90))</f>
        <v>0</v>
      </c>
      <c r="M12" s="250">
        <f>IF(M$2&lt;基础信息!$E$13,0,IF(M$2=基础信息!$E$13,SUM(销售计划!$D90:N90),销售计划!N90))</f>
        <v>0</v>
      </c>
      <c r="N12" s="250">
        <f>IF(N$2&lt;基础信息!$E$13,0,IF(N$2=基础信息!$E$13,SUM(销售计划!$D69:O69),销售计划!O69))</f>
        <v>0</v>
      </c>
      <c r="O12" s="250">
        <f>IF(O$2&lt;基础信息!$E$13,0,IF(O$2=基础信息!$E$13,SUM(销售计划!$D69:P69),销售计划!P69))</f>
        <v>0</v>
      </c>
      <c r="P12" s="250">
        <f>IF(P$2&lt;基础信息!$E$13,0,IF(P$2=基础信息!$E$13,SUM(销售计划!$D69:Q69),销售计划!Q69))</f>
        <v>0</v>
      </c>
      <c r="Q12" s="250">
        <f>IF(Q$2&lt;基础信息!$E$13,0,IF(Q$2=基础信息!$E$13,SUM(销售计划!$D69:R69),销售计划!R69))</f>
        <v>0</v>
      </c>
      <c r="R12" s="250">
        <f>IF(R$2&lt;基础信息!$E$13,0,IF(R$2=基础信息!$E$13,SUM(销售计划!$D69:S69),销售计划!S69))</f>
        <v>0</v>
      </c>
      <c r="S12" s="250">
        <f>IF(S$2&lt;基础信息!$E$13,0,IF(S$2=基础信息!$E$13,SUM(销售计划!$D69:T69),销售计划!T69))</f>
        <v>0</v>
      </c>
      <c r="T12" s="250">
        <f>IF(T$2&lt;基础信息!$E$13,0,IF(T$2=基础信息!$E$13,SUM(销售计划!$D69:U69),销售计划!U69))</f>
        <v>0</v>
      </c>
      <c r="U12" s="250">
        <f>IF(U$2&lt;基础信息!$E$13,0,IF(U$2=基础信息!$E$13,SUM(销售计划!$D69:V69),销售计划!V69))</f>
        <v>0</v>
      </c>
      <c r="V12" s="250">
        <f>IF(V$2&lt;基础信息!$E$13,0,IF(V$2=基础信息!$E$13,SUM(销售计划!$D69:W69),销售计划!W69))</f>
        <v>0</v>
      </c>
      <c r="W12" s="250">
        <f>IF(W$2&lt;基础信息!$E$13,0,IF(W$2=基础信息!$E$13,SUM(销售计划!$D69:X69),销售计划!X69))</f>
        <v>0</v>
      </c>
      <c r="X12" s="250">
        <f>IF(X$2&lt;基础信息!$E$13,0,IF(X$2=基础信息!$E$13,SUM(销售计划!$D69:Y69),销售计划!Y69))</f>
        <v>0</v>
      </c>
      <c r="Y12" s="250">
        <f>IF(Y$2&lt;基础信息!$E$13,0,IF(Y$2=基础信息!$E$13,SUM(销售计划!$D69:Z69),销售计划!Z69))</f>
        <v>0</v>
      </c>
      <c r="Z12" s="250">
        <f>IF(Z$2&lt;基础信息!$E$13,0,IF(Z$2=基础信息!$E$13,SUM(销售计划!$D69:AA69),销售计划!AA69))</f>
        <v>0</v>
      </c>
      <c r="AA12" s="250">
        <f>IF(AA$2&lt;基础信息!$E$13,0,IF(AA$2=基础信息!$E$13,SUM(销售计划!$D69:AB69),销售计划!AB69))</f>
        <v>0</v>
      </c>
      <c r="AB12" s="250">
        <f>IF(AB$2&lt;基础信息!$E$13,0,IF(AB$2=基础信息!$E$13,SUM(销售计划!$D69:AC69),销售计划!AC69))</f>
        <v>0</v>
      </c>
      <c r="AC12" s="250">
        <f>IF(AC$2&lt;基础信息!$E$13,0,IF(AC$2=基础信息!$E$13,SUM(销售计划!$D69:AD69),销售计划!AD69))</f>
        <v>0</v>
      </c>
      <c r="AD12" s="250">
        <f>IF(AD$2&lt;基础信息!$E$13,0,IF(AD$2=基础信息!$E$13,SUM(销售计划!$D69:AE69),销售计划!AE69))</f>
        <v>0</v>
      </c>
      <c r="AE12" s="250">
        <f>IF(AE$2&lt;基础信息!$E$13,0,IF(AE$2=基础信息!$E$13,SUM(销售计划!$D69:AF69),销售计划!AF69))</f>
        <v>0</v>
      </c>
      <c r="AF12" s="250">
        <f>IF(AF$2&lt;基础信息!$E$13,0,IF(AF$2=基础信息!$E$13,SUM(销售计划!$D69:AG69),销售计划!AG69))</f>
        <v>0</v>
      </c>
      <c r="AG12" s="250">
        <f>IF(AG$2&lt;基础信息!$E$13,0,IF(AG$2=基础信息!$E$13,SUM(销售计划!$D69:AH69),销售计划!AH69))</f>
        <v>0</v>
      </c>
      <c r="AH12" s="250">
        <f>IF(AH$2&lt;基础信息!$E$13,0,IF(AH$2=基础信息!$E$13,SUM(销售计划!$D69:AI69),销售计划!AI69))</f>
        <v>0</v>
      </c>
      <c r="AI12" s="250">
        <f>IF(AI$2&lt;基础信息!$E$13,0,IF(AI$2=基础信息!$E$13,SUM(销售计划!$D69:AJ69),销售计划!AJ69))</f>
        <v>0</v>
      </c>
      <c r="AJ12" s="250">
        <f>IF(AJ$2&lt;基础信息!$E$13,0,IF(AJ$2=基础信息!$E$13,SUM(销售计划!$D69:AK69),销售计划!AK69))</f>
        <v>0</v>
      </c>
      <c r="AK12" s="250">
        <f>IF(AK$2&lt;基础信息!$E$13,0,IF(AK$2=基础信息!$E$13,SUM(销售计划!$D69:AL69),销售计划!AL69))</f>
        <v>0</v>
      </c>
      <c r="AL12" s="250">
        <f>IF(AL$2&lt;基础信息!$E$13,0,IF(AL$2=基础信息!$E$13,SUM(销售计划!$D69:AM69),销售计划!AM69))</f>
        <v>0</v>
      </c>
      <c r="AM12" s="250">
        <f>IF(AM$2&lt;基础信息!$E$13,0,IF(AM$2=基础信息!$E$13,SUM(销售计划!$D69:AN69),销售计划!AN69))</f>
        <v>0</v>
      </c>
      <c r="AN12" s="250">
        <f>IF(AN$2&lt;基础信息!$E$13,0,IF(AN$2=基础信息!$E$13,SUM(销售计划!$D69:AO69),销售计划!AO69))</f>
        <v>0</v>
      </c>
      <c r="AO12" s="250">
        <f>IF(AO$2&lt;基础信息!$E$13,0,IF(AO$2=基础信息!$E$13,SUM(销售计划!$D69:AP69),销售计划!AP69))</f>
        <v>0</v>
      </c>
      <c r="AP12" s="250">
        <f>IF(AP$2&lt;基础信息!$E$13,0,IF(AP$2=基础信息!$E$13,SUM(销售计划!$D69:AQ69),销售计划!AQ69))</f>
        <v>0</v>
      </c>
      <c r="AQ12" s="250">
        <f>IF(AQ$2&lt;基础信息!$E$13,0,IF(AQ$2=基础信息!$E$13,SUM(销售计划!$D69:AR69),销售计划!AR69))</f>
        <v>0</v>
      </c>
      <c r="AR12" s="250">
        <f>IF(AR$2&lt;基础信息!$E$13,0,IF(AR$2=基础信息!$E$13,SUM(销售计划!$D69:AS69),销售计划!AS69))</f>
        <v>0</v>
      </c>
      <c r="AS12" s="250">
        <f>IF(AS$2&lt;基础信息!$E$13,0,IF(AS$2=基础信息!$E$13,SUM(销售计划!$D69:AT69),销售计划!AT69))</f>
        <v>0</v>
      </c>
      <c r="AT12" s="250">
        <f>IF(AT$2&lt;基础信息!$E$13,0,IF(AT$2=基础信息!$E$13,SUM(销售计划!$D69:AU69),销售计划!AU69))</f>
        <v>0</v>
      </c>
      <c r="AU12" s="250">
        <f>IF(AU$2&lt;基础信息!$E$13,0,IF(AU$2=基础信息!$E$13,SUM(销售计划!$D69:AV69),销售计划!AV69))</f>
        <v>0</v>
      </c>
      <c r="AV12" s="250">
        <f>IF(AV$2&lt;基础信息!$E$13,0,IF(AV$2=基础信息!$E$13,SUM(销售计划!$D69:AW69),销售计划!AW69))</f>
        <v>0</v>
      </c>
      <c r="AW12" s="250">
        <f>IF(AW$2&lt;基础信息!$E$13,0,IF(AW$2=基础信息!$E$13,SUM(销售计划!$D69:AX69),销售计划!AX69))</f>
        <v>0</v>
      </c>
      <c r="AX12" s="250">
        <f>IF(AX$2&lt;基础信息!$E$13,0,IF(AX$2=基础信息!$E$13,SUM(销售计划!$D69:AY69),销售计划!AY69))</f>
        <v>0</v>
      </c>
      <c r="AY12" s="250">
        <f>IF(AY$2&lt;基础信息!$E$13,0,IF(AY$2=基础信息!$E$13,SUM(销售计划!$D69:AZ69),销售计划!AZ69))</f>
        <v>0</v>
      </c>
      <c r="AZ12" s="250">
        <f>IF(AZ$2&lt;基础信息!$E$13,0,IF(AZ$2=基础信息!$E$13,SUM(销售计划!$D69:BA69),销售计划!BA69))</f>
        <v>0</v>
      </c>
      <c r="BA12" s="250">
        <f>IF(BA$2&lt;基础信息!$E$13,0,IF(BA$2=基础信息!$E$13,SUM(销售计划!$D69:BB69),销售计划!BB69))</f>
        <v>0</v>
      </c>
      <c r="BB12" s="250">
        <f>IF(BB$2&lt;基础信息!$E$13,0,IF(BB$2=基础信息!$E$13,SUM(销售计划!$D69:BC69),销售计划!BC69))</f>
        <v>0</v>
      </c>
      <c r="BC12" s="250">
        <f>IF(BC$2&lt;基础信息!$E$13,0,IF(BC$2=基础信息!$E$13,SUM(销售计划!$D69:BD69),销售计划!BD69))</f>
        <v>0</v>
      </c>
      <c r="BD12" s="250">
        <f>IF(BD$2&lt;基础信息!$E$13,0,IF(BD$2=基础信息!$E$13,SUM(销售计划!$D69:BE69),销售计划!BE69))</f>
        <v>0</v>
      </c>
      <c r="BE12" s="250">
        <f>IF(BE$2&lt;基础信息!$E$13,0,IF(BE$2=基础信息!$E$13,SUM(销售计划!$D69:BF69),销售计划!BF69))</f>
        <v>0</v>
      </c>
      <c r="BF12" s="250">
        <f>IF(BF$2&lt;基础信息!$E$13,0,IF(BF$2=基础信息!$E$13,SUM(销售计划!$D69:BG69),销售计划!BG69))</f>
        <v>0</v>
      </c>
      <c r="BG12" s="250">
        <f>IF(BG$2&lt;基础信息!$E$13,0,IF(BG$2=基础信息!$E$13,SUM(销售计划!$D69:BH69),销售计划!BH69))</f>
        <v>0</v>
      </c>
      <c r="BH12" s="250">
        <f>IF(BH$2&lt;基础信息!$E$13,0,IF(BH$2=基础信息!$E$13,SUM(销售计划!$D69:BI69),销售计划!BI69))</f>
        <v>0</v>
      </c>
      <c r="BI12" s="250">
        <f>IF(BI$2&lt;基础信息!$E$13,0,IF(BI$2=基础信息!$E$13,SUM(销售计划!$D69:BJ69),销售计划!BJ69))</f>
        <v>0</v>
      </c>
      <c r="BJ12" s="250">
        <f>IF(BJ$2&lt;基础信息!$E$13,0,IF(BJ$2=基础信息!$E$13,SUM(销售计划!$D69:BK69),销售计划!BK69))</f>
        <v>0</v>
      </c>
      <c r="BK12" s="250">
        <f>IF(BK$2&lt;基础信息!$E$13,0,IF(BK$2=基础信息!$E$13,SUM(销售计划!$D69:BL69),销售计划!BL69))</f>
        <v>0</v>
      </c>
      <c r="BL12" s="250">
        <f>IF(BL$2&lt;基础信息!$E$13,0,IF(BL$2=基础信息!$E$13,SUM(销售计划!$D69:BM69),销售计划!BM69))</f>
        <v>0</v>
      </c>
      <c r="BM12" s="250">
        <f>IF(BM$2&lt;基础信息!$E$13,0,IF(BM$2=基础信息!$E$13,SUM(销售计划!$D69:BN69),销售计划!BN69))</f>
        <v>0</v>
      </c>
      <c r="BN12" s="250">
        <f>IF(BN$2&lt;基础信息!$E$13,0,IF(BN$2=基础信息!$E$13,SUM(销售计划!$D69:BO69),销售计划!BO69))</f>
        <v>0</v>
      </c>
      <c r="BO12" s="250">
        <f>IF(BO$2&lt;基础信息!$E$13,0,IF(BO$2=基础信息!$E$13,SUM(销售计划!$D69:BP69),销售计划!BP69))</f>
        <v>0</v>
      </c>
      <c r="BP12" s="250">
        <f>IF(BP$2&lt;基础信息!$E$13,0,IF(BP$2=基础信息!$E$13,SUM(销售计划!$D69:BQ69),销售计划!BQ69))</f>
        <v>0</v>
      </c>
      <c r="BQ12" s="250">
        <f>IF(BQ$2&lt;基础信息!$E$13,0,IF(BQ$2=基础信息!$E$13,SUM(销售计划!$D69:BR69),销售计划!BR69))</f>
        <v>43173.95</v>
      </c>
      <c r="BR12" s="250">
        <f>IF(BR$2&lt;基础信息!$E$13,0,IF(BR$2=基础信息!$E$13,SUM(销售计划!$D69:BS69),销售计划!BS69))</f>
        <v>0</v>
      </c>
      <c r="BS12" s="250">
        <f>IF(BS$2&lt;基础信息!$E$13,0,IF(BS$2=基础信息!$E$13,SUM(销售计划!$D69:BT69),销售计划!BT69))</f>
        <v>0</v>
      </c>
      <c r="BT12" s="250">
        <f>IF(BT$2&lt;基础信息!$E$13,0,IF(BT$2=基础信息!$E$13,SUM(销售计划!$D69:BU69),销售计划!BU69))</f>
        <v>0</v>
      </c>
      <c r="BU12" s="250">
        <f>IF(BU$2&lt;基础信息!$E$13,0,IF(BU$2=基础信息!$E$13,SUM(销售计划!$D69:BV69),销售计划!BV69))</f>
        <v>0</v>
      </c>
    </row>
    <row r="13" spans="1:73" s="126" customFormat="1" ht="13" outlineLevel="1">
      <c r="A13" s="127">
        <f>销售计划!A91</f>
        <v>0</v>
      </c>
      <c r="B13" s="128" t="s">
        <v>840</v>
      </c>
      <c r="C13" s="128">
        <f t="shared" ref="C13:AS13" si="22">IF(C12&gt;0,C14/C12*10000,0)</f>
        <v>10596.308759961874</v>
      </c>
      <c r="D13" s="250">
        <f t="shared" si="22"/>
        <v>0</v>
      </c>
      <c r="E13" s="250">
        <f t="shared" si="22"/>
        <v>0</v>
      </c>
      <c r="F13" s="128">
        <f t="shared" si="22"/>
        <v>0</v>
      </c>
      <c r="G13" s="128">
        <f t="shared" si="22"/>
        <v>0</v>
      </c>
      <c r="H13" s="250">
        <f t="shared" si="22"/>
        <v>0</v>
      </c>
      <c r="I13" s="250">
        <f t="shared" si="22"/>
        <v>0</v>
      </c>
      <c r="J13" s="250">
        <f t="shared" si="22"/>
        <v>0</v>
      </c>
      <c r="K13" s="250">
        <f t="shared" si="22"/>
        <v>0</v>
      </c>
      <c r="L13" s="250">
        <f t="shared" si="22"/>
        <v>0</v>
      </c>
      <c r="M13" s="250">
        <f t="shared" si="22"/>
        <v>0</v>
      </c>
      <c r="N13" s="250">
        <f t="shared" si="22"/>
        <v>0</v>
      </c>
      <c r="O13" s="250">
        <f t="shared" si="22"/>
        <v>0</v>
      </c>
      <c r="P13" s="250">
        <f t="shared" si="22"/>
        <v>0</v>
      </c>
      <c r="Q13" s="250">
        <f t="shared" si="22"/>
        <v>0</v>
      </c>
      <c r="R13" s="250">
        <f t="shared" si="22"/>
        <v>0</v>
      </c>
      <c r="S13" s="250">
        <f t="shared" si="22"/>
        <v>0</v>
      </c>
      <c r="T13" s="250">
        <f t="shared" si="22"/>
        <v>0</v>
      </c>
      <c r="U13" s="250">
        <f t="shared" si="22"/>
        <v>0</v>
      </c>
      <c r="V13" s="250">
        <f t="shared" si="22"/>
        <v>0</v>
      </c>
      <c r="W13" s="250">
        <f t="shared" si="22"/>
        <v>0</v>
      </c>
      <c r="X13" s="250">
        <f t="shared" si="22"/>
        <v>0</v>
      </c>
      <c r="Y13" s="250">
        <f>IF(Y12&gt;0,Y14/Y12*10000,0)</f>
        <v>0</v>
      </c>
      <c r="Z13" s="250">
        <f t="shared" si="22"/>
        <v>0</v>
      </c>
      <c r="AA13" s="250">
        <f t="shared" si="22"/>
        <v>0</v>
      </c>
      <c r="AB13" s="250">
        <f t="shared" si="22"/>
        <v>0</v>
      </c>
      <c r="AC13" s="250">
        <f t="shared" si="22"/>
        <v>0</v>
      </c>
      <c r="AD13" s="250">
        <f t="shared" si="22"/>
        <v>0</v>
      </c>
      <c r="AE13" s="250">
        <f t="shared" si="22"/>
        <v>0</v>
      </c>
      <c r="AF13" s="250">
        <f t="shared" si="22"/>
        <v>0</v>
      </c>
      <c r="AG13" s="250">
        <f t="shared" si="22"/>
        <v>0</v>
      </c>
      <c r="AH13" s="250">
        <f t="shared" si="22"/>
        <v>0</v>
      </c>
      <c r="AI13" s="250">
        <f t="shared" si="22"/>
        <v>0</v>
      </c>
      <c r="AJ13" s="250">
        <f t="shared" si="22"/>
        <v>0</v>
      </c>
      <c r="AK13" s="250">
        <f t="shared" si="22"/>
        <v>0</v>
      </c>
      <c r="AL13" s="250">
        <f t="shared" si="22"/>
        <v>0</v>
      </c>
      <c r="AM13" s="250">
        <f t="shared" si="22"/>
        <v>0</v>
      </c>
      <c r="AN13" s="250">
        <f t="shared" si="22"/>
        <v>0</v>
      </c>
      <c r="AO13" s="250">
        <f t="shared" si="22"/>
        <v>0</v>
      </c>
      <c r="AP13" s="250">
        <f t="shared" si="22"/>
        <v>0</v>
      </c>
      <c r="AQ13" s="250">
        <f t="shared" si="22"/>
        <v>0</v>
      </c>
      <c r="AR13" s="250">
        <f t="shared" si="22"/>
        <v>0</v>
      </c>
      <c r="AS13" s="250">
        <f t="shared" si="22"/>
        <v>0</v>
      </c>
      <c r="AT13" s="250">
        <f t="shared" ref="AT13:BP13" si="23">IF(AT12&gt;0,AT14/AT12*10000,0)</f>
        <v>0</v>
      </c>
      <c r="AU13" s="250">
        <f t="shared" si="23"/>
        <v>0</v>
      </c>
      <c r="AV13" s="250">
        <f t="shared" si="23"/>
        <v>0</v>
      </c>
      <c r="AW13" s="250">
        <f t="shared" si="23"/>
        <v>0</v>
      </c>
      <c r="AX13" s="250">
        <f t="shared" si="23"/>
        <v>0</v>
      </c>
      <c r="AY13" s="250">
        <f t="shared" si="23"/>
        <v>0</v>
      </c>
      <c r="AZ13" s="250">
        <f t="shared" si="23"/>
        <v>0</v>
      </c>
      <c r="BA13" s="250">
        <f t="shared" si="23"/>
        <v>0</v>
      </c>
      <c r="BB13" s="250">
        <f t="shared" si="23"/>
        <v>0</v>
      </c>
      <c r="BC13" s="250">
        <f t="shared" si="23"/>
        <v>0</v>
      </c>
      <c r="BD13" s="250">
        <f t="shared" si="23"/>
        <v>0</v>
      </c>
      <c r="BE13" s="250">
        <f t="shared" si="23"/>
        <v>0</v>
      </c>
      <c r="BF13" s="250">
        <f t="shared" si="23"/>
        <v>0</v>
      </c>
      <c r="BG13" s="250">
        <f t="shared" si="23"/>
        <v>0</v>
      </c>
      <c r="BH13" s="250">
        <f t="shared" si="23"/>
        <v>0</v>
      </c>
      <c r="BI13" s="250">
        <f t="shared" si="23"/>
        <v>0</v>
      </c>
      <c r="BJ13" s="250">
        <f t="shared" si="23"/>
        <v>0</v>
      </c>
      <c r="BK13" s="250">
        <f t="shared" si="23"/>
        <v>0</v>
      </c>
      <c r="BL13" s="250">
        <f t="shared" si="23"/>
        <v>0</v>
      </c>
      <c r="BM13" s="250">
        <f t="shared" si="23"/>
        <v>0</v>
      </c>
      <c r="BN13" s="250">
        <f t="shared" si="23"/>
        <v>0</v>
      </c>
      <c r="BO13" s="250">
        <f t="shared" si="23"/>
        <v>0</v>
      </c>
      <c r="BP13" s="250">
        <f t="shared" si="23"/>
        <v>0</v>
      </c>
      <c r="BQ13" s="250">
        <f t="shared" ref="BQ13:BU13" si="24">IF(BQ12&gt;0,BQ14/BQ12*10000,0)</f>
        <v>10596.308759961874</v>
      </c>
      <c r="BR13" s="250">
        <f t="shared" si="24"/>
        <v>0</v>
      </c>
      <c r="BS13" s="250">
        <f t="shared" si="24"/>
        <v>0</v>
      </c>
      <c r="BT13" s="250">
        <f t="shared" si="24"/>
        <v>0</v>
      </c>
      <c r="BU13" s="250">
        <f t="shared" si="24"/>
        <v>0</v>
      </c>
    </row>
    <row r="14" spans="1:73" outlineLevel="1">
      <c r="A14" s="132">
        <f>销售计划!A92</f>
        <v>0</v>
      </c>
      <c r="B14" s="133" t="s">
        <v>841</v>
      </c>
      <c r="C14" s="133">
        <f t="shared" ref="C14:C15" si="25">SUM(D14:BU14)</f>
        <v>45748.45045871559</v>
      </c>
      <c r="D14" s="133">
        <f>IF(D$2&lt;基础信息!$E$13,0,IF(D$2=基础信息!$E$13,SUM(销售计划!$D92:E92),销售计划!E92))</f>
        <v>0</v>
      </c>
      <c r="E14" s="133">
        <f>IF(E$2&lt;基础信息!$E$13,0,IF(E$2=基础信息!$E$13,SUM(销售计划!$D92:F92),销售计划!F92))</f>
        <v>0</v>
      </c>
      <c r="F14" s="133">
        <f>IF(F$2&lt;基础信息!$E$13,0,IF(F$2=基础信息!$E$13,SUM(销售计划!$D92:G92),销售计划!G92))</f>
        <v>0</v>
      </c>
      <c r="G14" s="133">
        <f>IF(G$2&lt;基础信息!$E$13,0,IF(G$2=基础信息!$E$13,SUM(销售计划!$D92:H92),销售计划!H92))</f>
        <v>0</v>
      </c>
      <c r="H14" s="133">
        <f>IF(H$2&lt;基础信息!$E$13,0,IF(H$2=基础信息!$E$13,SUM(销售计划!$D92:I92),销售计划!I92))</f>
        <v>0</v>
      </c>
      <c r="I14" s="133">
        <f>IF(I$2&lt;基础信息!$E$13,0,IF(I$2=基础信息!$E$13,SUM(销售计划!$D92:J92),销售计划!J92))</f>
        <v>0</v>
      </c>
      <c r="J14" s="133">
        <f>IF(J$2&lt;基础信息!$E$13,0,IF(J$2=基础信息!$E$13,SUM(销售计划!$D92:K92),销售计划!K92))</f>
        <v>0</v>
      </c>
      <c r="K14" s="133">
        <f>IF(K$2&lt;基础信息!$E$13,0,IF(K$2=基础信息!$E$13,SUM(销售计划!$D92:L92),销售计划!L92))</f>
        <v>0</v>
      </c>
      <c r="L14" s="133">
        <f>IF(L$2&lt;基础信息!$E$13,0,IF(L$2=基础信息!$E$13,SUM(销售计划!$D92:M92),销售计划!M92))</f>
        <v>0</v>
      </c>
      <c r="M14" s="133">
        <f>IF(M$2&lt;基础信息!$E$13,0,IF(M$2=基础信息!$E$13,SUM(销售计划!$D92:N92),销售计划!N92))</f>
        <v>0</v>
      </c>
      <c r="N14" s="133">
        <f>IF(N$2&lt;基础信息!$E$13,0,IF(N$2=基础信息!$E$13,SUM(销售计划!$D92:O92),销售计划!O92))</f>
        <v>0</v>
      </c>
      <c r="O14" s="133">
        <f>IF(O$2&lt;基础信息!$E$13,0,IF(O$2=基础信息!$E$13,SUM(销售计划!$D71:P71),销售计划!P71))</f>
        <v>0</v>
      </c>
      <c r="P14" s="133">
        <f>IF(P$2&lt;基础信息!$E$13,0,IF(P$2=基础信息!$E$13,SUM(销售计划!$D71:Q71),销售计划!Q71))</f>
        <v>0</v>
      </c>
      <c r="Q14" s="133">
        <f>IF(Q$2&lt;基础信息!$E$13,0,IF(Q$2=基础信息!$E$13,SUM(销售计划!$D71:R71),销售计划!R71))</f>
        <v>0</v>
      </c>
      <c r="R14" s="133">
        <f>IF(R$2&lt;基础信息!$E$13,0,IF(R$2=基础信息!$E$13,SUM(销售计划!$D71:S71),销售计划!S71))</f>
        <v>0</v>
      </c>
      <c r="S14" s="133">
        <f>IF(S$2&lt;基础信息!$E$13,0,IF(S$2=基础信息!$E$13,SUM(销售计划!$D71:T71),销售计划!T71))</f>
        <v>0</v>
      </c>
      <c r="T14" s="133">
        <f>IF(T$2&lt;基础信息!$E$13,0,IF(T$2=基础信息!$E$13,SUM(销售计划!$D71:U71),销售计划!U71))</f>
        <v>0</v>
      </c>
      <c r="U14" s="133">
        <f>IF(U$2&lt;基础信息!$E$13,0,IF(U$2=基础信息!$E$13,SUM(销售计划!$D71:V71),销售计划!V71))</f>
        <v>0</v>
      </c>
      <c r="V14" s="133">
        <f>IF(V$2&lt;基础信息!$E$13,0,IF(V$2=基础信息!$E$13,SUM(销售计划!$D71:W71),销售计划!W71))</f>
        <v>0</v>
      </c>
      <c r="W14" s="133">
        <f>IF(W$2&lt;基础信息!$E$13,0,IF(W$2=基础信息!$E$13,SUM(销售计划!$D71:X71),销售计划!X71))</f>
        <v>0</v>
      </c>
      <c r="X14" s="133">
        <f>IF(X$2&lt;基础信息!$E$13,0,IF(X$2=基础信息!$E$13,SUM(销售计划!$D71:Y71),销售计划!Y71))</f>
        <v>0</v>
      </c>
      <c r="Y14" s="133">
        <f>IF(Y$2&lt;基础信息!$E$13,0,IF(Y$2=基础信息!$E$13,SUM(销售计划!$D71:Z71),销售计划!Z71))</f>
        <v>0</v>
      </c>
      <c r="Z14" s="133">
        <f>IF(Z$2&lt;基础信息!$E$13,0,IF(Z$2=基础信息!$E$13,SUM(销售计划!$D71:AA71),销售计划!AA71))</f>
        <v>0</v>
      </c>
      <c r="AA14" s="133">
        <f>IF(AA$2&lt;基础信息!$E$13,0,IF(AA$2=基础信息!$E$13,SUM(销售计划!$D71:AB71),销售计划!AB71))</f>
        <v>0</v>
      </c>
      <c r="AB14" s="133">
        <f>IF(AB$2&lt;基础信息!$E$13,0,IF(AB$2=基础信息!$E$13,SUM(销售计划!$D71:AC71),销售计划!AC71))</f>
        <v>0</v>
      </c>
      <c r="AC14" s="133">
        <f>IF(AC$2&lt;基础信息!$E$13,0,IF(AC$2=基础信息!$E$13,SUM(销售计划!$D71:AD71),销售计划!AD71))</f>
        <v>0</v>
      </c>
      <c r="AD14" s="133">
        <f>IF(AD$2&lt;基础信息!$E$13,0,IF(AD$2=基础信息!$E$13,SUM(销售计划!$D71:AE71),销售计划!AE71))</f>
        <v>0</v>
      </c>
      <c r="AE14" s="133">
        <f>IF(AE$2&lt;基础信息!$E$13,0,IF(AE$2=基础信息!$E$13,SUM(销售计划!$D71:AF71),销售计划!AF71))</f>
        <v>0</v>
      </c>
      <c r="AF14" s="133">
        <f>IF(AF$2&lt;基础信息!$E$13,0,IF(AF$2=基础信息!$E$13,SUM(销售计划!$D71:AG71),销售计划!AG71))</f>
        <v>0</v>
      </c>
      <c r="AG14" s="133">
        <f>IF(AG$2&lt;基础信息!$E$13,0,IF(AG$2=基础信息!$E$13,SUM(销售计划!$D71:AH71),销售计划!AH71))</f>
        <v>0</v>
      </c>
      <c r="AH14" s="133">
        <f>IF(AH$2&lt;基础信息!$E$13,0,IF(AH$2=基础信息!$E$13,SUM(销售计划!$D71:AI71),销售计划!AI71))</f>
        <v>0</v>
      </c>
      <c r="AI14" s="133">
        <f>IF(AI$2&lt;基础信息!$E$13,0,IF(AI$2=基础信息!$E$13,SUM(销售计划!$D71:AJ71),销售计划!AJ71))</f>
        <v>0</v>
      </c>
      <c r="AJ14" s="133">
        <f>IF(AJ$2&lt;基础信息!$E$13,0,IF(AJ$2=基础信息!$E$13,SUM(销售计划!$D71:AK71),销售计划!AK71))</f>
        <v>0</v>
      </c>
      <c r="AK14" s="133">
        <f>IF(AK$2&lt;基础信息!$E$13,0,IF(AK$2=基础信息!$E$13,SUM(销售计划!$D71:AL71),销售计划!AL71))</f>
        <v>0</v>
      </c>
      <c r="AL14" s="133">
        <f>IF(AL$2&lt;基础信息!$E$13,0,IF(AL$2=基础信息!$E$13,SUM(销售计划!$D71:AM71),销售计划!AM71))</f>
        <v>0</v>
      </c>
      <c r="AM14" s="133">
        <f>IF(AM$2&lt;基础信息!$E$13,0,IF(AM$2=基础信息!$E$13,SUM(销售计划!$D71:AN71),销售计划!AN71))</f>
        <v>0</v>
      </c>
      <c r="AN14" s="133">
        <f>IF(AN$2&lt;基础信息!$E$13,0,IF(AN$2=基础信息!$E$13,SUM(销售计划!$D71:AO71),销售计划!AO71))</f>
        <v>0</v>
      </c>
      <c r="AO14" s="133">
        <f>IF(AO$2&lt;基础信息!$E$13,0,IF(AO$2=基础信息!$E$13,SUM(销售计划!$D71:AP71),销售计划!AP71))</f>
        <v>0</v>
      </c>
      <c r="AP14" s="133">
        <f>IF(AP$2&lt;基础信息!$E$13,0,IF(AP$2=基础信息!$E$13,SUM(销售计划!$D71:AQ71),销售计划!AQ71))</f>
        <v>0</v>
      </c>
      <c r="AQ14" s="133">
        <f>IF(AQ$2&lt;基础信息!$E$13,0,IF(AQ$2=基础信息!$E$13,SUM(销售计划!$D71:AR71),销售计划!AR71))</f>
        <v>0</v>
      </c>
      <c r="AR14" s="133">
        <f>IF(AR$2&lt;基础信息!$E$13,0,IF(AR$2=基础信息!$E$13,SUM(销售计划!$D71:AS71),销售计划!AS71))</f>
        <v>0</v>
      </c>
      <c r="AS14" s="133">
        <f>IF(AS$2&lt;基础信息!$E$13,0,IF(AS$2=基础信息!$E$13,SUM(销售计划!$D71:AT71),销售计划!AT71))</f>
        <v>0</v>
      </c>
      <c r="AT14" s="133">
        <f>IF(AT$2&lt;基础信息!$E$13,0,IF(AT$2=基础信息!$E$13,SUM(销售计划!$D71:AU71),销售计划!AU71))</f>
        <v>0</v>
      </c>
      <c r="AU14" s="133">
        <f>IF(AU$2&lt;基础信息!$E$13,0,IF(AU$2=基础信息!$E$13,SUM(销售计划!$D71:AV71),销售计划!AV71))</f>
        <v>0</v>
      </c>
      <c r="AV14" s="133">
        <f>IF(AV$2&lt;基础信息!$E$13,0,IF(AV$2=基础信息!$E$13,SUM(销售计划!$D71:AW71),销售计划!AW71))</f>
        <v>0</v>
      </c>
      <c r="AW14" s="133">
        <f>IF(AW$2&lt;基础信息!$E$13,0,IF(AW$2=基础信息!$E$13,SUM(销售计划!$D71:AX71),销售计划!AX71))</f>
        <v>0</v>
      </c>
      <c r="AX14" s="133">
        <f>IF(AX$2&lt;基础信息!$E$13,0,IF(AX$2=基础信息!$E$13,SUM(销售计划!$D71:AY71),销售计划!AY71))</f>
        <v>0</v>
      </c>
      <c r="AY14" s="133">
        <f>IF(AY$2&lt;基础信息!$E$13,0,IF(AY$2=基础信息!$E$13,SUM(销售计划!$D71:AZ71),销售计划!AZ71))</f>
        <v>0</v>
      </c>
      <c r="AZ14" s="133">
        <f>IF(AZ$2&lt;基础信息!$E$13,0,IF(AZ$2=基础信息!$E$13,SUM(销售计划!$D71:BA71),销售计划!BA71))</f>
        <v>0</v>
      </c>
      <c r="BA14" s="133">
        <f>IF(BA$2&lt;基础信息!$E$13,0,IF(BA$2=基础信息!$E$13,SUM(销售计划!$D71:BB71),销售计划!BB71))</f>
        <v>0</v>
      </c>
      <c r="BB14" s="133">
        <f>IF(BB$2&lt;基础信息!$E$13,0,IF(BB$2=基础信息!$E$13,SUM(销售计划!$D71:BC71),销售计划!BC71))</f>
        <v>0</v>
      </c>
      <c r="BC14" s="133">
        <f>IF(BC$2&lt;基础信息!$E$13,0,IF(BC$2=基础信息!$E$13,SUM(销售计划!$D71:BD71),销售计划!BD71))</f>
        <v>0</v>
      </c>
      <c r="BD14" s="133">
        <f>IF(BD$2&lt;基础信息!$E$13,0,IF(BD$2=基础信息!$E$13,SUM(销售计划!$D71:BE71),销售计划!BE71))</f>
        <v>0</v>
      </c>
      <c r="BE14" s="133">
        <f>IF(BE$2&lt;基础信息!$E$13,0,IF(BE$2=基础信息!$E$13,SUM(销售计划!$D71:BF71),销售计划!BF71))</f>
        <v>0</v>
      </c>
      <c r="BF14" s="133">
        <f>IF(BF$2&lt;基础信息!$E$13,0,IF(BF$2=基础信息!$E$13,SUM(销售计划!$D71:BG71),销售计划!BG71))</f>
        <v>0</v>
      </c>
      <c r="BG14" s="133">
        <f>IF(BG$2&lt;基础信息!$E$13,0,IF(BG$2=基础信息!$E$13,SUM(销售计划!$D71:BH71),销售计划!BH71))</f>
        <v>0</v>
      </c>
      <c r="BH14" s="133">
        <f>IF(BH$2&lt;基础信息!$E$13,0,IF(BH$2=基础信息!$E$13,SUM(销售计划!$D71:BI71),销售计划!BI71))</f>
        <v>0</v>
      </c>
      <c r="BI14" s="133">
        <f>IF(BI$2&lt;基础信息!$E$13,0,IF(BI$2=基础信息!$E$13,SUM(销售计划!$D71:BJ71),销售计划!BJ71))</f>
        <v>0</v>
      </c>
      <c r="BJ14" s="133">
        <f>IF(BJ$2&lt;基础信息!$E$13,0,IF(BJ$2=基础信息!$E$13,SUM(销售计划!$D71:BK71),销售计划!BK71))</f>
        <v>0</v>
      </c>
      <c r="BK14" s="133">
        <f>IF(BK$2&lt;基础信息!$E$13,0,IF(BK$2=基础信息!$E$13,SUM(销售计划!$D71:BL71),销售计划!BL71))</f>
        <v>0</v>
      </c>
      <c r="BL14" s="133">
        <f>IF(BL$2&lt;基础信息!$E$13,0,IF(BL$2=基础信息!$E$13,SUM(销售计划!$D71:BM71),销售计划!BM71))</f>
        <v>0</v>
      </c>
      <c r="BM14" s="133">
        <f>IF(BM$2&lt;基础信息!$E$13,0,IF(BM$2=基础信息!$E$13,SUM(销售计划!$D71:BN71),销售计划!BN71))</f>
        <v>0</v>
      </c>
      <c r="BN14" s="133">
        <f>IF(BN$2&lt;基础信息!$E$13,0,IF(BN$2=基础信息!$E$13,SUM(销售计划!$D71:BO71),销售计划!BO71))</f>
        <v>0</v>
      </c>
      <c r="BO14" s="133">
        <f>IF(BO$2&lt;基础信息!$E$13,0,IF(BO$2=基础信息!$E$13,SUM(销售计划!$D71:BP71),销售计划!BP71))</f>
        <v>0</v>
      </c>
      <c r="BP14" s="133">
        <f>IF(BP$2&lt;基础信息!$E$13,0,IF(BP$2=基础信息!$E$13,SUM(销售计划!$D71:BQ71),销售计划!BQ71))</f>
        <v>0</v>
      </c>
      <c r="BQ14" s="133">
        <f>IF(BQ$2&lt;基础信息!$E$13,0,IF(BQ$2=基础信息!$E$13,SUM(销售计划!$D71:BR71),销售计划!BR71))</f>
        <v>45748.45045871559</v>
      </c>
      <c r="BR14" s="133">
        <f>IF(BR$2&lt;基础信息!$E$13,0,IF(BR$2=基础信息!$E$13,SUM(销售计划!$D71:BS71),销售计划!BS71))</f>
        <v>0</v>
      </c>
      <c r="BS14" s="133">
        <f>IF(BS$2&lt;基础信息!$E$13,0,IF(BS$2=基础信息!$E$13,SUM(销售计划!$D71:BT71),销售计划!BT71))</f>
        <v>0</v>
      </c>
      <c r="BT14" s="133">
        <f>IF(BT$2&lt;基础信息!$E$13,0,IF(BT$2=基础信息!$E$13,SUM(销售计划!$D71:BU71),销售计划!BU71))</f>
        <v>0</v>
      </c>
      <c r="BU14" s="133">
        <f>IF(BU$2&lt;基础信息!$E$13,0,IF(BU$2=基础信息!$E$13,SUM(销售计划!$D71:BV71),销售计划!BV71))</f>
        <v>0</v>
      </c>
    </row>
    <row r="15" spans="1:73" s="126" customFormat="1" ht="13" outlineLevel="1">
      <c r="A15" s="127" t="str">
        <f>销售计划!A15</f>
        <v>人防车位</v>
      </c>
      <c r="B15" s="128" t="s">
        <v>258</v>
      </c>
      <c r="C15" s="128">
        <f t="shared" si="25"/>
        <v>9409.4599999999991</v>
      </c>
      <c r="D15" s="250">
        <f>IF(D$2&lt;基础信息!$E$13,0,IF(D$2=基础信息!$E$13,SUM(销售计划!$D93:E93),销售计划!E93))</f>
        <v>0</v>
      </c>
      <c r="E15" s="250">
        <f>IF(E$2&lt;基础信息!$E$13,0,IF(E$2=基础信息!$E$13,SUM(销售计划!$D93:F93),销售计划!F93))</f>
        <v>0</v>
      </c>
      <c r="F15" s="250">
        <f>IF(F$2&lt;基础信息!$E$13,0,IF(F$2=基础信息!$E$13,SUM(销售计划!$D93:G93),销售计划!G93))</f>
        <v>0</v>
      </c>
      <c r="G15" s="250">
        <f>IF(G$2&lt;基础信息!$E$13,0,IF(G$2=基础信息!$E$13,SUM(销售计划!$D93:H93),销售计划!H93))</f>
        <v>0</v>
      </c>
      <c r="H15" s="250">
        <f>IF(H$2&lt;基础信息!$E$13,0,IF(H$2=基础信息!$E$13,SUM(销售计划!$D93:I93),销售计划!I93))</f>
        <v>0</v>
      </c>
      <c r="I15" s="250">
        <f>IF(I$2&lt;基础信息!$E$13,0,IF(I$2=基础信息!$E$13,SUM(销售计划!$D93:J93),销售计划!J93))</f>
        <v>0</v>
      </c>
      <c r="J15" s="250">
        <f>IF(J$2&lt;基础信息!$E$13,0,IF(J$2=基础信息!$E$13,SUM(销售计划!$D93:K93),销售计划!K93))</f>
        <v>0</v>
      </c>
      <c r="K15" s="250">
        <f>IF(K$2&lt;基础信息!$E$13,0,IF(K$2=基础信息!$E$13,SUM(销售计划!$D93:L93),销售计划!L93))</f>
        <v>0</v>
      </c>
      <c r="L15" s="250">
        <f>IF(L$2&lt;基础信息!$E$13,0,IF(L$2=基础信息!$E$13,SUM(销售计划!$D93:M93),销售计划!M93))</f>
        <v>0</v>
      </c>
      <c r="M15" s="250">
        <f>IF(M$2&lt;基础信息!$E$13,0,IF(M$2=基础信息!$E$13,SUM(销售计划!$D93:N93),销售计划!N93))</f>
        <v>0</v>
      </c>
      <c r="N15" s="250">
        <f>IF(N$2&lt;基础信息!$E$13,0,IF(N$2=基础信息!$E$13,SUM(销售计划!$D72:O72),销售计划!O72))</f>
        <v>0</v>
      </c>
      <c r="O15" s="250">
        <f>IF(O$2&lt;基础信息!$E$13,0,IF(O$2=基础信息!$E$13,SUM(销售计划!$D72:P72),销售计划!P72))</f>
        <v>0</v>
      </c>
      <c r="P15" s="250">
        <f>IF(P$2&lt;基础信息!$E$13,0,IF(P$2=基础信息!$E$13,SUM(销售计划!$D72:Q72),销售计划!Q72))</f>
        <v>0</v>
      </c>
      <c r="Q15" s="250">
        <f>IF(Q$2&lt;基础信息!$E$13,0,IF(Q$2=基础信息!$E$13,SUM(销售计划!$D72:R72),销售计划!R72))</f>
        <v>0</v>
      </c>
      <c r="R15" s="250">
        <f>IF(R$2&lt;基础信息!$E$13,0,IF(R$2=基础信息!$E$13,SUM(销售计划!$D72:S72),销售计划!S72))</f>
        <v>0</v>
      </c>
      <c r="S15" s="250">
        <f>IF(S$2&lt;基础信息!$E$13,0,IF(S$2=基础信息!$E$13,SUM(销售计划!$D72:T72),销售计划!T72))</f>
        <v>0</v>
      </c>
      <c r="T15" s="250">
        <f>IF(T$2&lt;基础信息!$E$13,0,IF(T$2=基础信息!$E$13,SUM(销售计划!$D72:U72),销售计划!U72))</f>
        <v>0</v>
      </c>
      <c r="U15" s="250">
        <f>IF(U$2&lt;基础信息!$E$13,0,IF(U$2=基础信息!$E$13,SUM(销售计划!$D72:V72),销售计划!V72))</f>
        <v>0</v>
      </c>
      <c r="V15" s="250">
        <f>IF(V$2&lt;基础信息!$E$13,0,IF(V$2=基础信息!$E$13,SUM(销售计划!$D72:W72),销售计划!W72))</f>
        <v>0</v>
      </c>
      <c r="W15" s="250">
        <f>IF(W$2&lt;基础信息!$E$13,0,IF(W$2=基础信息!$E$13,SUM(销售计划!$D72:X72),销售计划!X72))</f>
        <v>0</v>
      </c>
      <c r="X15" s="250">
        <f>IF(X$2&lt;基础信息!$E$13,0,IF(X$2=基础信息!$E$13,SUM(销售计划!$D72:Y72),销售计划!Y72))</f>
        <v>0</v>
      </c>
      <c r="Y15" s="250">
        <f>IF(Y$2&lt;基础信息!$E$13,0,IF(Y$2=基础信息!$E$13,SUM(销售计划!$D72:Z72),销售计划!Z72))</f>
        <v>0</v>
      </c>
      <c r="Z15" s="250">
        <f>IF(Z$2&lt;基础信息!$E$13,0,IF(Z$2=基础信息!$E$13,SUM(销售计划!$D72:AA72),销售计划!AA72))</f>
        <v>0</v>
      </c>
      <c r="AA15" s="250">
        <f>IF(AA$2&lt;基础信息!$E$13,0,IF(AA$2=基础信息!$E$13,SUM(销售计划!$D72:AB72),销售计划!AB72))</f>
        <v>0</v>
      </c>
      <c r="AB15" s="250">
        <f>IF(AB$2&lt;基础信息!$E$13,0,IF(AB$2=基础信息!$E$13,SUM(销售计划!$D72:AC72),销售计划!AC72))</f>
        <v>0</v>
      </c>
      <c r="AC15" s="250">
        <f>IF(AC$2&lt;基础信息!$E$13,0,IF(AC$2=基础信息!$E$13,SUM(销售计划!$D72:AD72),销售计划!AD72))</f>
        <v>0</v>
      </c>
      <c r="AD15" s="250">
        <f>IF(AD$2&lt;基础信息!$E$13,0,IF(AD$2=基础信息!$E$13,SUM(销售计划!$D72:AE72),销售计划!AE72))</f>
        <v>0</v>
      </c>
      <c r="AE15" s="250">
        <f>IF(AE$2&lt;基础信息!$E$13,0,IF(AE$2=基础信息!$E$13,SUM(销售计划!$D72:AF72),销售计划!AF72))</f>
        <v>0</v>
      </c>
      <c r="AF15" s="250">
        <f>IF(AF$2&lt;基础信息!$E$13,0,IF(AF$2=基础信息!$E$13,SUM(销售计划!$D72:AG72),销售计划!AG72))</f>
        <v>0</v>
      </c>
      <c r="AG15" s="250">
        <f>IF(AG$2&lt;基础信息!$E$13,0,IF(AG$2=基础信息!$E$13,SUM(销售计划!$D72:AH72),销售计划!AH72))</f>
        <v>0</v>
      </c>
      <c r="AH15" s="250">
        <f>IF(AH$2&lt;基础信息!$E$13,0,IF(AH$2=基础信息!$E$13,SUM(销售计划!$D72:AI72),销售计划!AI72))</f>
        <v>0</v>
      </c>
      <c r="AI15" s="250">
        <f>IF(AI$2&lt;基础信息!$E$13,0,IF(AI$2=基础信息!$E$13,SUM(销售计划!$D72:AJ72),销售计划!AJ72))</f>
        <v>0</v>
      </c>
      <c r="AJ15" s="250">
        <f>IF(AJ$2&lt;基础信息!$E$13,0,IF(AJ$2=基础信息!$E$13,SUM(销售计划!$D72:AK72),销售计划!AK72))</f>
        <v>0</v>
      </c>
      <c r="AK15" s="250">
        <f>IF(AK$2&lt;基础信息!$E$13,0,IF(AK$2=基础信息!$E$13,SUM(销售计划!$D72:AL72),销售计划!AL72))</f>
        <v>0</v>
      </c>
      <c r="AL15" s="250">
        <f>IF(AL$2&lt;基础信息!$E$13,0,IF(AL$2=基础信息!$E$13,SUM(销售计划!$D72:AM72),销售计划!AM72))</f>
        <v>0</v>
      </c>
      <c r="AM15" s="250">
        <f>IF(AM$2&lt;基础信息!$E$13,0,IF(AM$2=基础信息!$E$13,SUM(销售计划!$D72:AN72),销售计划!AN72))</f>
        <v>0</v>
      </c>
      <c r="AN15" s="250">
        <f>IF(AN$2&lt;基础信息!$E$13,0,IF(AN$2=基础信息!$E$13,SUM(销售计划!$D72:AO72),销售计划!AO72))</f>
        <v>0</v>
      </c>
      <c r="AO15" s="250">
        <f>IF(AO$2&lt;基础信息!$E$13,0,IF(AO$2=基础信息!$E$13,SUM(销售计划!$D72:AP72),销售计划!AP72))</f>
        <v>0</v>
      </c>
      <c r="AP15" s="250">
        <f>IF(AP$2&lt;基础信息!$E$13,0,IF(AP$2=基础信息!$E$13,SUM(销售计划!$D72:AQ72),销售计划!AQ72))</f>
        <v>0</v>
      </c>
      <c r="AQ15" s="250">
        <f>IF(AQ$2&lt;基础信息!$E$13,0,IF(AQ$2=基础信息!$E$13,SUM(销售计划!$D72:AR72),销售计划!AR72))</f>
        <v>0</v>
      </c>
      <c r="AR15" s="250">
        <f>IF(AR$2&lt;基础信息!$E$13,0,IF(AR$2=基础信息!$E$13,SUM(销售计划!$D72:AS72),销售计划!AS72))</f>
        <v>0</v>
      </c>
      <c r="AS15" s="250">
        <f>IF(AS$2&lt;基础信息!$E$13,0,IF(AS$2=基础信息!$E$13,SUM(销售计划!$D72:AT72),销售计划!AT72))</f>
        <v>0</v>
      </c>
      <c r="AT15" s="250">
        <f>IF(AT$2&lt;基础信息!$E$13,0,IF(AT$2=基础信息!$E$13,SUM(销售计划!$D72:AU72),销售计划!AU72))</f>
        <v>0</v>
      </c>
      <c r="AU15" s="250">
        <f>IF(AU$2&lt;基础信息!$E$13,0,IF(AU$2=基础信息!$E$13,SUM(销售计划!$D72:AV72),销售计划!AV72))</f>
        <v>0</v>
      </c>
      <c r="AV15" s="250">
        <f>IF(AV$2&lt;基础信息!$E$13,0,IF(AV$2=基础信息!$E$13,SUM(销售计划!$D72:AW72),销售计划!AW72))</f>
        <v>0</v>
      </c>
      <c r="AW15" s="250">
        <f>IF(AW$2&lt;基础信息!$E$13,0,IF(AW$2=基础信息!$E$13,SUM(销售计划!$D72:AX72),销售计划!AX72))</f>
        <v>0</v>
      </c>
      <c r="AX15" s="250">
        <f>IF(AX$2&lt;基础信息!$E$13,0,IF(AX$2=基础信息!$E$13,SUM(销售计划!$D72:AY72),销售计划!AY72))</f>
        <v>0</v>
      </c>
      <c r="AY15" s="250">
        <f>IF(AY$2&lt;基础信息!$E$13,0,IF(AY$2=基础信息!$E$13,SUM(销售计划!$D72:AZ72),销售计划!AZ72))</f>
        <v>0</v>
      </c>
      <c r="AZ15" s="250">
        <f>IF(AZ$2&lt;基础信息!$E$13,0,IF(AZ$2=基础信息!$E$13,SUM(销售计划!$D72:BA72),销售计划!BA72))</f>
        <v>0</v>
      </c>
      <c r="BA15" s="250">
        <f>IF(BA$2&lt;基础信息!$E$13,0,IF(BA$2=基础信息!$E$13,SUM(销售计划!$D72:BB72),销售计划!BB72))</f>
        <v>0</v>
      </c>
      <c r="BB15" s="250">
        <f>IF(BB$2&lt;基础信息!$E$13,0,IF(BB$2=基础信息!$E$13,SUM(销售计划!$D72:BC72),销售计划!BC72))</f>
        <v>0</v>
      </c>
      <c r="BC15" s="250">
        <f>IF(BC$2&lt;基础信息!$E$13,0,IF(BC$2=基础信息!$E$13,SUM(销售计划!$D72:BD72),销售计划!BD72))</f>
        <v>0</v>
      </c>
      <c r="BD15" s="250">
        <f>IF(BD$2&lt;基础信息!$E$13,0,IF(BD$2=基础信息!$E$13,SUM(销售计划!$D72:BE72),销售计划!BE72))</f>
        <v>0</v>
      </c>
      <c r="BE15" s="250">
        <f>IF(BE$2&lt;基础信息!$E$13,0,IF(BE$2=基础信息!$E$13,SUM(销售计划!$D72:BF72),销售计划!BF72))</f>
        <v>0</v>
      </c>
      <c r="BF15" s="250">
        <f>IF(BF$2&lt;基础信息!$E$13,0,IF(BF$2=基础信息!$E$13,SUM(销售计划!$D72:BG72),销售计划!BG72))</f>
        <v>0</v>
      </c>
      <c r="BG15" s="250">
        <f>IF(BG$2&lt;基础信息!$E$13,0,IF(BG$2=基础信息!$E$13,SUM(销售计划!$D72:BH72),销售计划!BH72))</f>
        <v>0</v>
      </c>
      <c r="BH15" s="250">
        <f>IF(BH$2&lt;基础信息!$E$13,0,IF(BH$2=基础信息!$E$13,SUM(销售计划!$D72:BI72),销售计划!BI72))</f>
        <v>0</v>
      </c>
      <c r="BI15" s="250">
        <f>IF(BI$2&lt;基础信息!$E$13,0,IF(BI$2=基础信息!$E$13,SUM(销售计划!$D72:BJ72),销售计划!BJ72))</f>
        <v>0</v>
      </c>
      <c r="BJ15" s="250">
        <f>IF(BJ$2&lt;基础信息!$E$13,0,IF(BJ$2=基础信息!$E$13,SUM(销售计划!$D72:BK72),销售计划!BK72))</f>
        <v>0</v>
      </c>
      <c r="BK15" s="250">
        <f>IF(BK$2&lt;基础信息!$E$13,0,IF(BK$2=基础信息!$E$13,SUM(销售计划!$D72:BL72),销售计划!BL72))</f>
        <v>0</v>
      </c>
      <c r="BL15" s="250">
        <f>IF(BL$2&lt;基础信息!$E$13,0,IF(BL$2=基础信息!$E$13,SUM(销售计划!$D72:BM72),销售计划!BM72))</f>
        <v>0</v>
      </c>
      <c r="BM15" s="250">
        <f>IF(BM$2&lt;基础信息!$E$13,0,IF(BM$2=基础信息!$E$13,SUM(销售计划!$D72:BN72),销售计划!BN72))</f>
        <v>0</v>
      </c>
      <c r="BN15" s="250">
        <f>IF(BN$2&lt;基础信息!$E$13,0,IF(BN$2=基础信息!$E$13,SUM(销售计划!$D72:BO72),销售计划!BO72))</f>
        <v>0</v>
      </c>
      <c r="BO15" s="250">
        <f>IF(BO$2&lt;基础信息!$E$13,0,IF(BO$2=基础信息!$E$13,SUM(销售计划!$D72:BP72),销售计划!BP72))</f>
        <v>0</v>
      </c>
      <c r="BP15" s="250">
        <f>IF(BP$2&lt;基础信息!$E$13,0,IF(BP$2=基础信息!$E$13,SUM(销售计划!$D72:BQ72),销售计划!BQ72))</f>
        <v>0</v>
      </c>
      <c r="BQ15" s="250">
        <f>IF(BQ$2&lt;基础信息!$E$13,0,IF(BQ$2=基础信息!$E$13,SUM(销售计划!$D72:BR72),销售计划!BR72))</f>
        <v>9409.4599999999991</v>
      </c>
      <c r="BR15" s="250">
        <f>IF(BR$2&lt;基础信息!$E$13,0,IF(BR$2=基础信息!$E$13,SUM(销售计划!$D72:BS72),销售计划!BS72))</f>
        <v>0</v>
      </c>
      <c r="BS15" s="250">
        <f>IF(BS$2&lt;基础信息!$E$13,0,IF(BS$2=基础信息!$E$13,SUM(销售计划!$D72:BT72),销售计划!BT72))</f>
        <v>0</v>
      </c>
      <c r="BT15" s="250">
        <f>IF(BT$2&lt;基础信息!$E$13,0,IF(BT$2=基础信息!$E$13,SUM(销售计划!$D72:BU72),销售计划!BU72))</f>
        <v>0</v>
      </c>
      <c r="BU15" s="250">
        <f>IF(BU$2&lt;基础信息!$E$13,0,IF(BU$2=基础信息!$E$13,SUM(销售计划!$D72:BV72),销售计划!BV72))</f>
        <v>0</v>
      </c>
    </row>
    <row r="16" spans="1:73" s="126" customFormat="1" ht="13" outlineLevel="1">
      <c r="A16" s="127">
        <f>销售计划!A94</f>
        <v>0</v>
      </c>
      <c r="B16" s="128" t="s">
        <v>840</v>
      </c>
      <c r="C16" s="128">
        <f t="shared" ref="C16:AS16" si="26">IF(C15&gt;0,C17/C15*10000,0)</f>
        <v>1907.3394495412842</v>
      </c>
      <c r="D16" s="250">
        <f t="shared" si="26"/>
        <v>0</v>
      </c>
      <c r="E16" s="250">
        <f t="shared" si="26"/>
        <v>0</v>
      </c>
      <c r="F16" s="128">
        <f t="shared" si="26"/>
        <v>0</v>
      </c>
      <c r="G16" s="128">
        <f t="shared" si="26"/>
        <v>0</v>
      </c>
      <c r="H16" s="250">
        <f t="shared" si="26"/>
        <v>0</v>
      </c>
      <c r="I16" s="250">
        <f t="shared" si="26"/>
        <v>0</v>
      </c>
      <c r="J16" s="250">
        <f t="shared" si="26"/>
        <v>0</v>
      </c>
      <c r="K16" s="250">
        <f t="shared" si="26"/>
        <v>0</v>
      </c>
      <c r="L16" s="250">
        <f t="shared" si="26"/>
        <v>0</v>
      </c>
      <c r="M16" s="250">
        <f t="shared" si="26"/>
        <v>0</v>
      </c>
      <c r="N16" s="250">
        <f t="shared" si="26"/>
        <v>0</v>
      </c>
      <c r="O16" s="250">
        <f t="shared" si="26"/>
        <v>0</v>
      </c>
      <c r="P16" s="250">
        <f t="shared" si="26"/>
        <v>0</v>
      </c>
      <c r="Q16" s="250">
        <f t="shared" si="26"/>
        <v>0</v>
      </c>
      <c r="R16" s="250">
        <f t="shared" si="26"/>
        <v>0</v>
      </c>
      <c r="S16" s="250">
        <f t="shared" si="26"/>
        <v>0</v>
      </c>
      <c r="T16" s="250">
        <f t="shared" si="26"/>
        <v>0</v>
      </c>
      <c r="U16" s="250">
        <f t="shared" si="26"/>
        <v>0</v>
      </c>
      <c r="V16" s="250">
        <f t="shared" si="26"/>
        <v>0</v>
      </c>
      <c r="W16" s="250">
        <f t="shared" si="26"/>
        <v>0</v>
      </c>
      <c r="X16" s="250">
        <f t="shared" si="26"/>
        <v>0</v>
      </c>
      <c r="Y16" s="250">
        <f t="shared" si="26"/>
        <v>0</v>
      </c>
      <c r="Z16" s="250">
        <f t="shared" si="26"/>
        <v>0</v>
      </c>
      <c r="AA16" s="250">
        <f t="shared" si="26"/>
        <v>0</v>
      </c>
      <c r="AB16" s="250">
        <f t="shared" si="26"/>
        <v>0</v>
      </c>
      <c r="AC16" s="250">
        <f t="shared" si="26"/>
        <v>0</v>
      </c>
      <c r="AD16" s="250">
        <f t="shared" si="26"/>
        <v>0</v>
      </c>
      <c r="AE16" s="250">
        <f t="shared" si="26"/>
        <v>0</v>
      </c>
      <c r="AF16" s="250">
        <f t="shared" si="26"/>
        <v>0</v>
      </c>
      <c r="AG16" s="250">
        <f t="shared" si="26"/>
        <v>0</v>
      </c>
      <c r="AH16" s="250">
        <f t="shared" si="26"/>
        <v>0</v>
      </c>
      <c r="AI16" s="250">
        <f t="shared" si="26"/>
        <v>0</v>
      </c>
      <c r="AJ16" s="250">
        <f t="shared" si="26"/>
        <v>0</v>
      </c>
      <c r="AK16" s="250">
        <f t="shared" si="26"/>
        <v>0</v>
      </c>
      <c r="AL16" s="250">
        <f t="shared" si="26"/>
        <v>0</v>
      </c>
      <c r="AM16" s="250">
        <f t="shared" si="26"/>
        <v>0</v>
      </c>
      <c r="AN16" s="250">
        <f t="shared" si="26"/>
        <v>0</v>
      </c>
      <c r="AO16" s="250">
        <f t="shared" si="26"/>
        <v>0</v>
      </c>
      <c r="AP16" s="250">
        <f t="shared" si="26"/>
        <v>0</v>
      </c>
      <c r="AQ16" s="250">
        <f t="shared" si="26"/>
        <v>0</v>
      </c>
      <c r="AR16" s="250">
        <f t="shared" si="26"/>
        <v>0</v>
      </c>
      <c r="AS16" s="250">
        <f t="shared" si="26"/>
        <v>0</v>
      </c>
      <c r="AT16" s="250">
        <f t="shared" ref="AT16:BP16" si="27">IF(AT15&gt;0,AT17/AT15*10000,0)</f>
        <v>0</v>
      </c>
      <c r="AU16" s="250">
        <f t="shared" si="27"/>
        <v>0</v>
      </c>
      <c r="AV16" s="250">
        <f t="shared" si="27"/>
        <v>0</v>
      </c>
      <c r="AW16" s="250">
        <f t="shared" si="27"/>
        <v>0</v>
      </c>
      <c r="AX16" s="250">
        <f t="shared" si="27"/>
        <v>0</v>
      </c>
      <c r="AY16" s="250">
        <f t="shared" si="27"/>
        <v>0</v>
      </c>
      <c r="AZ16" s="250">
        <f t="shared" si="27"/>
        <v>0</v>
      </c>
      <c r="BA16" s="250">
        <f t="shared" si="27"/>
        <v>0</v>
      </c>
      <c r="BB16" s="250">
        <f t="shared" si="27"/>
        <v>0</v>
      </c>
      <c r="BC16" s="250">
        <f t="shared" si="27"/>
        <v>0</v>
      </c>
      <c r="BD16" s="250">
        <f t="shared" si="27"/>
        <v>0</v>
      </c>
      <c r="BE16" s="250">
        <f t="shared" si="27"/>
        <v>0</v>
      </c>
      <c r="BF16" s="250">
        <f t="shared" si="27"/>
        <v>0</v>
      </c>
      <c r="BG16" s="250">
        <f t="shared" si="27"/>
        <v>0</v>
      </c>
      <c r="BH16" s="250">
        <f t="shared" si="27"/>
        <v>0</v>
      </c>
      <c r="BI16" s="250">
        <f t="shared" si="27"/>
        <v>0</v>
      </c>
      <c r="BJ16" s="250">
        <f t="shared" si="27"/>
        <v>0</v>
      </c>
      <c r="BK16" s="250">
        <f t="shared" si="27"/>
        <v>0</v>
      </c>
      <c r="BL16" s="250">
        <f t="shared" si="27"/>
        <v>0</v>
      </c>
      <c r="BM16" s="250">
        <f t="shared" si="27"/>
        <v>0</v>
      </c>
      <c r="BN16" s="250">
        <f t="shared" si="27"/>
        <v>0</v>
      </c>
      <c r="BO16" s="250">
        <f t="shared" si="27"/>
        <v>0</v>
      </c>
      <c r="BP16" s="250">
        <f t="shared" si="27"/>
        <v>0</v>
      </c>
      <c r="BQ16" s="250">
        <f t="shared" ref="BQ16:BU16" si="28">IF(BQ15&gt;0,BQ17/BQ15*10000,0)</f>
        <v>1907.3394495412842</v>
      </c>
      <c r="BR16" s="250">
        <f t="shared" si="28"/>
        <v>0</v>
      </c>
      <c r="BS16" s="250">
        <f t="shared" si="28"/>
        <v>0</v>
      </c>
      <c r="BT16" s="250">
        <f t="shared" si="28"/>
        <v>0</v>
      </c>
      <c r="BU16" s="250">
        <f t="shared" si="28"/>
        <v>0</v>
      </c>
    </row>
    <row r="17" spans="1:73" outlineLevel="1">
      <c r="A17" s="132">
        <f>销售计划!A95</f>
        <v>0</v>
      </c>
      <c r="B17" s="133" t="s">
        <v>841</v>
      </c>
      <c r="C17" s="133">
        <f t="shared" ref="C17:C18" si="29">SUM(D17:BU17)</f>
        <v>1794.7034256880731</v>
      </c>
      <c r="D17" s="133">
        <f>IF(D$2&lt;基础信息!$E$13,0,IF(D$2=基础信息!$E$13,SUM(销售计划!$D95:E95),销售计划!E95))</f>
        <v>0</v>
      </c>
      <c r="E17" s="133">
        <f>IF(E$2&lt;基础信息!$E$13,0,IF(E$2=基础信息!$E$13,SUM(销售计划!$D95:F95),销售计划!F95))</f>
        <v>0</v>
      </c>
      <c r="F17" s="133">
        <f>IF(F$2&lt;基础信息!$E$13,0,IF(F$2=基础信息!$E$13,SUM(销售计划!$D95:G95),销售计划!G95))</f>
        <v>0</v>
      </c>
      <c r="G17" s="133">
        <f>IF(G$2&lt;基础信息!$E$13,0,IF(G$2=基础信息!$E$13,SUM(销售计划!$D95:H95),销售计划!H95))</f>
        <v>0</v>
      </c>
      <c r="H17" s="133">
        <f>IF(H$2&lt;基础信息!$E$13,0,IF(H$2=基础信息!$E$13,SUM(销售计划!$D95:I95),销售计划!I95))</f>
        <v>0</v>
      </c>
      <c r="I17" s="133">
        <f>IF(I$2&lt;基础信息!$E$13,0,IF(I$2=基础信息!$E$13,SUM(销售计划!$D95:J95),销售计划!J95))</f>
        <v>0</v>
      </c>
      <c r="J17" s="133">
        <f>IF(J$2&lt;基础信息!$E$13,0,IF(J$2=基础信息!$E$13,SUM(销售计划!$D95:K95),销售计划!K95))</f>
        <v>0</v>
      </c>
      <c r="K17" s="133">
        <f>IF(K$2&lt;基础信息!$E$13,0,IF(K$2=基础信息!$E$13,SUM(销售计划!$D95:L95),销售计划!L95))</f>
        <v>0</v>
      </c>
      <c r="L17" s="133">
        <f>IF(L$2&lt;基础信息!$E$13,0,IF(L$2=基础信息!$E$13,SUM(销售计划!$D95:M95),销售计划!M95))</f>
        <v>0</v>
      </c>
      <c r="M17" s="133">
        <f>IF(M$2&lt;基础信息!$E$13,0,IF(M$2=基础信息!$E$13,SUM(销售计划!$D95:N95),销售计划!N95))</f>
        <v>0</v>
      </c>
      <c r="N17" s="133">
        <f>IF(N$2&lt;基础信息!$E$13,0,IF(N$2=基础信息!$E$13,SUM(销售计划!$D95:O95),销售计划!O95))</f>
        <v>0</v>
      </c>
      <c r="O17" s="133">
        <f>IF(O$2&lt;基础信息!$E$13,0,IF(O$2=基础信息!$E$13,SUM(销售计划!$D74:P74),销售计划!P74))</f>
        <v>0</v>
      </c>
      <c r="P17" s="133">
        <f>IF(P$2&lt;基础信息!$E$13,0,IF(P$2=基础信息!$E$13,SUM(销售计划!$D74:Q74),销售计划!Q74))</f>
        <v>0</v>
      </c>
      <c r="Q17" s="133">
        <f>IF(Q$2&lt;基础信息!$E$13,0,IF(Q$2=基础信息!$E$13,SUM(销售计划!$D74:R74),销售计划!R74))</f>
        <v>0</v>
      </c>
      <c r="R17" s="133">
        <f>IF(R$2&lt;基础信息!$E$13,0,IF(R$2=基础信息!$E$13,SUM(销售计划!$D74:S74),销售计划!S74))</f>
        <v>0</v>
      </c>
      <c r="S17" s="133">
        <f>IF(S$2&lt;基础信息!$E$13,0,IF(S$2=基础信息!$E$13,SUM(销售计划!$D74:T74),销售计划!T74))</f>
        <v>0</v>
      </c>
      <c r="T17" s="133">
        <f>IF(T$2&lt;基础信息!$E$13,0,IF(T$2=基础信息!$E$13,SUM(销售计划!$D74:U74),销售计划!U74))</f>
        <v>0</v>
      </c>
      <c r="U17" s="133">
        <f>IF(U$2&lt;基础信息!$E$13,0,IF(U$2=基础信息!$E$13,SUM(销售计划!$D74:V74),销售计划!V74))</f>
        <v>0</v>
      </c>
      <c r="V17" s="133">
        <f>IF(V$2&lt;基础信息!$E$13,0,IF(V$2=基础信息!$E$13,SUM(销售计划!$D74:W74),销售计划!W74))</f>
        <v>0</v>
      </c>
      <c r="W17" s="133">
        <f>IF(W$2&lt;基础信息!$E$13,0,IF(W$2=基础信息!$E$13,SUM(销售计划!$D74:X74),销售计划!X74))</f>
        <v>0</v>
      </c>
      <c r="X17" s="133">
        <f>IF(X$2&lt;基础信息!$E$13,0,IF(X$2=基础信息!$E$13,SUM(销售计划!$D74:Y74),销售计划!Y74))</f>
        <v>0</v>
      </c>
      <c r="Y17" s="133">
        <f>IF(Y$2&lt;基础信息!$E$13,0,IF(Y$2=基础信息!$E$13,SUM(销售计划!$D74:Z74),销售计划!Z74))</f>
        <v>0</v>
      </c>
      <c r="Z17" s="133">
        <f>IF(Z$2&lt;基础信息!$E$13,0,IF(Z$2=基础信息!$E$13,SUM(销售计划!$D74:AA74),销售计划!AA74))</f>
        <v>0</v>
      </c>
      <c r="AA17" s="133">
        <f>IF(AA$2&lt;基础信息!$E$13,0,IF(AA$2=基础信息!$E$13,SUM(销售计划!$D74:AB74),销售计划!AB74))</f>
        <v>0</v>
      </c>
      <c r="AB17" s="133">
        <f>IF(AB$2&lt;基础信息!$E$13,0,IF(AB$2=基础信息!$E$13,SUM(销售计划!$D74:AC74),销售计划!AC74))</f>
        <v>0</v>
      </c>
      <c r="AC17" s="133">
        <f>IF(AC$2&lt;基础信息!$E$13,0,IF(AC$2=基础信息!$E$13,SUM(销售计划!$D74:AD74),销售计划!AD74))</f>
        <v>0</v>
      </c>
      <c r="AD17" s="133">
        <f>IF(AD$2&lt;基础信息!$E$13,0,IF(AD$2=基础信息!$E$13,SUM(销售计划!$D74:AE74),销售计划!AE74))</f>
        <v>0</v>
      </c>
      <c r="AE17" s="133">
        <f>IF(AE$2&lt;基础信息!$E$13,0,IF(AE$2=基础信息!$E$13,SUM(销售计划!$D74:AF74),销售计划!AF74))</f>
        <v>0</v>
      </c>
      <c r="AF17" s="133">
        <f>IF(AF$2&lt;基础信息!$E$13,0,IF(AF$2=基础信息!$E$13,SUM(销售计划!$D74:AG74),销售计划!AG74))</f>
        <v>0</v>
      </c>
      <c r="AG17" s="133">
        <f>IF(AG$2&lt;基础信息!$E$13,0,IF(AG$2=基础信息!$E$13,SUM(销售计划!$D74:AH74),销售计划!AH74))</f>
        <v>0</v>
      </c>
      <c r="AH17" s="133">
        <f>IF(AH$2&lt;基础信息!$E$13,0,IF(AH$2=基础信息!$E$13,SUM(销售计划!$D74:AI74),销售计划!AI74))</f>
        <v>0</v>
      </c>
      <c r="AI17" s="133">
        <f>IF(AI$2&lt;基础信息!$E$13,0,IF(AI$2=基础信息!$E$13,SUM(销售计划!$D74:AJ74),销售计划!AJ74))</f>
        <v>0</v>
      </c>
      <c r="AJ17" s="133">
        <f>IF(AJ$2&lt;基础信息!$E$13,0,IF(AJ$2=基础信息!$E$13,SUM(销售计划!$D74:AK74),销售计划!AK74))</f>
        <v>0</v>
      </c>
      <c r="AK17" s="133">
        <f>IF(AK$2&lt;基础信息!$E$13,0,IF(AK$2=基础信息!$E$13,SUM(销售计划!$D74:AL74),销售计划!AL74))</f>
        <v>0</v>
      </c>
      <c r="AL17" s="133">
        <f>IF(AL$2&lt;基础信息!$E$13,0,IF(AL$2=基础信息!$E$13,SUM(销售计划!$D74:AM74),销售计划!AM74))</f>
        <v>0</v>
      </c>
      <c r="AM17" s="133">
        <f>IF(AM$2&lt;基础信息!$E$13,0,IF(AM$2=基础信息!$E$13,SUM(销售计划!$D74:AN74),销售计划!AN74))</f>
        <v>0</v>
      </c>
      <c r="AN17" s="133">
        <f>IF(AN$2&lt;基础信息!$E$13,0,IF(AN$2=基础信息!$E$13,SUM(销售计划!$D74:AO74),销售计划!AO74))</f>
        <v>0</v>
      </c>
      <c r="AO17" s="133">
        <f>IF(AO$2&lt;基础信息!$E$13,0,IF(AO$2=基础信息!$E$13,SUM(销售计划!$D74:AP74),销售计划!AP74))</f>
        <v>0</v>
      </c>
      <c r="AP17" s="133">
        <f>IF(AP$2&lt;基础信息!$E$13,0,IF(AP$2=基础信息!$E$13,SUM(销售计划!$D74:AQ74),销售计划!AQ74))</f>
        <v>0</v>
      </c>
      <c r="AQ17" s="133">
        <f>IF(AQ$2&lt;基础信息!$E$13,0,IF(AQ$2=基础信息!$E$13,SUM(销售计划!$D74:AR74),销售计划!AR74))</f>
        <v>0</v>
      </c>
      <c r="AR17" s="133">
        <f>IF(AR$2&lt;基础信息!$E$13,0,IF(AR$2=基础信息!$E$13,SUM(销售计划!$D74:AS74),销售计划!AS74))</f>
        <v>0</v>
      </c>
      <c r="AS17" s="133">
        <f>IF(AS$2&lt;基础信息!$E$13,0,IF(AS$2=基础信息!$E$13,SUM(销售计划!$D74:AT74),销售计划!AT74))</f>
        <v>0</v>
      </c>
      <c r="AT17" s="133">
        <f>IF(AT$2&lt;基础信息!$E$13,0,IF(AT$2=基础信息!$E$13,SUM(销售计划!$D74:AU74),销售计划!AU74))</f>
        <v>0</v>
      </c>
      <c r="AU17" s="133">
        <f>IF(AU$2&lt;基础信息!$E$13,0,IF(AU$2=基础信息!$E$13,SUM(销售计划!$D74:AV74),销售计划!AV74))</f>
        <v>0</v>
      </c>
      <c r="AV17" s="133">
        <f>IF(AV$2&lt;基础信息!$E$13,0,IF(AV$2=基础信息!$E$13,SUM(销售计划!$D74:AW74),销售计划!AW74))</f>
        <v>0</v>
      </c>
      <c r="AW17" s="133">
        <f>IF(AW$2&lt;基础信息!$E$13,0,IF(AW$2=基础信息!$E$13,SUM(销售计划!$D74:AX74),销售计划!AX74))</f>
        <v>0</v>
      </c>
      <c r="AX17" s="133">
        <f>IF(AX$2&lt;基础信息!$E$13,0,IF(AX$2=基础信息!$E$13,SUM(销售计划!$D74:AY74),销售计划!AY74))</f>
        <v>0</v>
      </c>
      <c r="AY17" s="133">
        <f>IF(AY$2&lt;基础信息!$E$13,0,IF(AY$2=基础信息!$E$13,SUM(销售计划!$D74:AZ74),销售计划!AZ74))</f>
        <v>0</v>
      </c>
      <c r="AZ17" s="133">
        <f>IF(AZ$2&lt;基础信息!$E$13,0,IF(AZ$2=基础信息!$E$13,SUM(销售计划!$D74:BA74),销售计划!BA74))</f>
        <v>0</v>
      </c>
      <c r="BA17" s="133">
        <f>IF(BA$2&lt;基础信息!$E$13,0,IF(BA$2=基础信息!$E$13,SUM(销售计划!$D74:BB74),销售计划!BB74))</f>
        <v>0</v>
      </c>
      <c r="BB17" s="133">
        <f>IF(BB$2&lt;基础信息!$E$13,0,IF(BB$2=基础信息!$E$13,SUM(销售计划!$D74:BC74),销售计划!BC74))</f>
        <v>0</v>
      </c>
      <c r="BC17" s="133">
        <f>IF(BC$2&lt;基础信息!$E$13,0,IF(BC$2=基础信息!$E$13,SUM(销售计划!$D74:BD74),销售计划!BD74))</f>
        <v>0</v>
      </c>
      <c r="BD17" s="133">
        <f>IF(BD$2&lt;基础信息!$E$13,0,IF(BD$2=基础信息!$E$13,SUM(销售计划!$D74:BE74),销售计划!BE74))</f>
        <v>0</v>
      </c>
      <c r="BE17" s="133">
        <f>IF(BE$2&lt;基础信息!$E$13,0,IF(BE$2=基础信息!$E$13,SUM(销售计划!$D74:BF74),销售计划!BF74))</f>
        <v>0</v>
      </c>
      <c r="BF17" s="133">
        <f>IF(BF$2&lt;基础信息!$E$13,0,IF(BF$2=基础信息!$E$13,SUM(销售计划!$D74:BG74),销售计划!BG74))</f>
        <v>0</v>
      </c>
      <c r="BG17" s="133">
        <f>IF(BG$2&lt;基础信息!$E$13,0,IF(BG$2=基础信息!$E$13,SUM(销售计划!$D74:BH74),销售计划!BH74))</f>
        <v>0</v>
      </c>
      <c r="BH17" s="133">
        <f>IF(BH$2&lt;基础信息!$E$13,0,IF(BH$2=基础信息!$E$13,SUM(销售计划!$D74:BI74),销售计划!BI74))</f>
        <v>0</v>
      </c>
      <c r="BI17" s="133">
        <f>IF(BI$2&lt;基础信息!$E$13,0,IF(BI$2=基础信息!$E$13,SUM(销售计划!$D74:BJ74),销售计划!BJ74))</f>
        <v>0</v>
      </c>
      <c r="BJ17" s="133">
        <f>IF(BJ$2&lt;基础信息!$E$13,0,IF(BJ$2=基础信息!$E$13,SUM(销售计划!$D74:BK74),销售计划!BK74))</f>
        <v>0</v>
      </c>
      <c r="BK17" s="133">
        <f>IF(BK$2&lt;基础信息!$E$13,0,IF(BK$2=基础信息!$E$13,SUM(销售计划!$D74:BL74),销售计划!BL74))</f>
        <v>0</v>
      </c>
      <c r="BL17" s="133">
        <f>IF(BL$2&lt;基础信息!$E$13,0,IF(BL$2=基础信息!$E$13,SUM(销售计划!$D74:BM74),销售计划!BM74))</f>
        <v>0</v>
      </c>
      <c r="BM17" s="133">
        <f>IF(BM$2&lt;基础信息!$E$13,0,IF(BM$2=基础信息!$E$13,SUM(销售计划!$D74:BN74),销售计划!BN74))</f>
        <v>0</v>
      </c>
      <c r="BN17" s="133">
        <f>IF(BN$2&lt;基础信息!$E$13,0,IF(BN$2=基础信息!$E$13,SUM(销售计划!$D74:BO74),销售计划!BO74))</f>
        <v>0</v>
      </c>
      <c r="BO17" s="133">
        <f>IF(BO$2&lt;基础信息!$E$13,0,IF(BO$2=基础信息!$E$13,SUM(销售计划!$D74:BP74),销售计划!BP74))</f>
        <v>0</v>
      </c>
      <c r="BP17" s="133">
        <f>IF(BP$2&lt;基础信息!$E$13,0,IF(BP$2=基础信息!$E$13,SUM(销售计划!$D74:BQ74),销售计划!BQ74))</f>
        <v>0</v>
      </c>
      <c r="BQ17" s="133">
        <f>IF(BQ$2&lt;基础信息!$E$13,0,IF(BQ$2=基础信息!$E$13,SUM(销售计划!$D74:BR74),销售计划!BR74))</f>
        <v>1794.7034256880731</v>
      </c>
      <c r="BR17" s="133">
        <f>IF(BR$2&lt;基础信息!$E$13,0,IF(BR$2=基础信息!$E$13,SUM(销售计划!$D74:BS74),销售计划!BS74))</f>
        <v>0</v>
      </c>
      <c r="BS17" s="133">
        <f>IF(BS$2&lt;基础信息!$E$13,0,IF(BS$2=基础信息!$E$13,SUM(销售计划!$D74:BT74),销售计划!BT74))</f>
        <v>0</v>
      </c>
      <c r="BT17" s="133">
        <f>IF(BT$2&lt;基础信息!$E$13,0,IF(BT$2=基础信息!$E$13,SUM(销售计划!$D74:BU74),销售计划!BU74))</f>
        <v>0</v>
      </c>
      <c r="BU17" s="133">
        <f>IF(BU$2&lt;基础信息!$E$13,0,IF(BU$2=基础信息!$E$13,SUM(销售计划!$D74:BV74),销售计划!BV74))</f>
        <v>0</v>
      </c>
    </row>
    <row r="18" spans="1:73" s="126" customFormat="1" ht="13" outlineLevel="1">
      <c r="A18" s="127" t="str">
        <f>销售计划!A18</f>
        <v>人才公寓26F（可售、T7）</v>
      </c>
      <c r="B18" s="128" t="s">
        <v>258</v>
      </c>
      <c r="C18" s="128">
        <f t="shared" si="29"/>
        <v>0</v>
      </c>
      <c r="D18" s="250">
        <f>IF(D$2&lt;基础信息!$E$13,0,IF(D$2=基础信息!$E$13,SUM(销售计划!$D96:E96),销售计划!E96))</f>
        <v>0</v>
      </c>
      <c r="E18" s="250">
        <f>IF(E$2&lt;基础信息!$E$13,0,IF(E$2=基础信息!$E$13,SUM(销售计划!$D96:F96),销售计划!F96))</f>
        <v>0</v>
      </c>
      <c r="F18" s="250">
        <f>IF(F$2&lt;基础信息!$E$13,0,IF(F$2=基础信息!$E$13,SUM(销售计划!$D96:G96),销售计划!G96))</f>
        <v>0</v>
      </c>
      <c r="G18" s="250">
        <f>IF(G$2&lt;基础信息!$E$13,0,IF(G$2=基础信息!$E$13,SUM(销售计划!$D96:H96),销售计划!H96))</f>
        <v>0</v>
      </c>
      <c r="H18" s="250">
        <f>IF(H$2&lt;基础信息!$E$13,0,IF(H$2=基础信息!$E$13,SUM(销售计划!$D96:I96),销售计划!I96))</f>
        <v>0</v>
      </c>
      <c r="I18" s="250">
        <f>IF(I$2&lt;基础信息!$E$13,0,IF(I$2=基础信息!$E$13,SUM(销售计划!$D96:J96),销售计划!J96))</f>
        <v>0</v>
      </c>
      <c r="J18" s="250">
        <f>IF(J$2&lt;基础信息!$E$13,0,IF(J$2=基础信息!$E$13,SUM(销售计划!$D96:K96),销售计划!K96))</f>
        <v>0</v>
      </c>
      <c r="K18" s="250">
        <f>IF(K$2&lt;基础信息!$E$13,0,IF(K$2=基础信息!$E$13,SUM(销售计划!$D96:L96),销售计划!L96))</f>
        <v>0</v>
      </c>
      <c r="L18" s="250">
        <f>IF(L$2&lt;基础信息!$E$13,0,IF(L$2=基础信息!$E$13,SUM(销售计划!$D96:M96),销售计划!M96))</f>
        <v>0</v>
      </c>
      <c r="M18" s="250">
        <f>IF(M$2&lt;基础信息!$E$13,0,IF(M$2=基础信息!$E$13,SUM(销售计划!$D96:N96),销售计划!N96))</f>
        <v>0</v>
      </c>
      <c r="N18" s="250">
        <f>IF(N$2&lt;基础信息!$E$13,0,IF(N$2=基础信息!$E$13,SUM(销售计划!$D75:O75),销售计划!O75))</f>
        <v>0</v>
      </c>
      <c r="O18" s="250">
        <f>IF(O$2&lt;基础信息!$E$13,0,IF(O$2=基础信息!$E$13,SUM(销售计划!$D75:P75),销售计划!P75))</f>
        <v>0</v>
      </c>
      <c r="P18" s="250">
        <f>IF(P$2&lt;基础信息!$E$13,0,IF(P$2=基础信息!$E$13,SUM(销售计划!$D75:Q75),销售计划!Q75))</f>
        <v>0</v>
      </c>
      <c r="Q18" s="250">
        <f>IF(Q$2&lt;基础信息!$E$13,0,IF(Q$2=基础信息!$E$13,SUM(销售计划!$D75:R75),销售计划!R75))</f>
        <v>0</v>
      </c>
      <c r="R18" s="250">
        <f>IF(R$2&lt;基础信息!$E$13,0,IF(R$2=基础信息!$E$13,SUM(销售计划!$D75:S75),销售计划!S75))</f>
        <v>0</v>
      </c>
      <c r="S18" s="250">
        <f>IF(S$2&lt;基础信息!$E$13,0,IF(S$2=基础信息!$E$13,SUM(销售计划!$D75:T75),销售计划!T75))</f>
        <v>0</v>
      </c>
      <c r="T18" s="250">
        <f>IF(T$2&lt;基础信息!$E$13,0,IF(T$2=基础信息!$E$13,SUM(销售计划!$D75:U75),销售计划!U75))</f>
        <v>0</v>
      </c>
      <c r="U18" s="250">
        <f>IF(U$2&lt;基础信息!$E$13,0,IF(U$2=基础信息!$E$13,SUM(销售计划!$D75:V75),销售计划!V75))</f>
        <v>0</v>
      </c>
      <c r="V18" s="250">
        <f>IF(V$2&lt;基础信息!$E$13,0,IF(V$2=基础信息!$E$13,SUM(销售计划!$D75:W75),销售计划!W75))</f>
        <v>0</v>
      </c>
      <c r="W18" s="250">
        <f>IF(W$2&lt;基础信息!$E$13,0,IF(W$2=基础信息!$E$13,SUM(销售计划!$D75:X75),销售计划!X75))</f>
        <v>0</v>
      </c>
      <c r="X18" s="250">
        <f>IF(X$2&lt;基础信息!$E$13,0,IF(X$2=基础信息!$E$13,SUM(销售计划!$D75:Y75),销售计划!Y75))</f>
        <v>0</v>
      </c>
      <c r="Y18" s="250">
        <f>IF(Y$2&lt;基础信息!$E$13,0,IF(Y$2=基础信息!$E$13,SUM(销售计划!$D75:Z75),销售计划!Z75))</f>
        <v>0</v>
      </c>
      <c r="Z18" s="250">
        <f>IF(Z$2&lt;基础信息!$E$13,0,IF(Z$2=基础信息!$E$13,SUM(销售计划!$D75:AA75),销售计划!AA75))</f>
        <v>0</v>
      </c>
      <c r="AA18" s="250">
        <f>IF(AA$2&lt;基础信息!$E$13,0,IF(AA$2=基础信息!$E$13,SUM(销售计划!$D75:AB75),销售计划!AB75))</f>
        <v>0</v>
      </c>
      <c r="AB18" s="250">
        <f>IF(AB$2&lt;基础信息!$E$13,0,IF(AB$2=基础信息!$E$13,SUM(销售计划!$D75:AC75),销售计划!AC75))</f>
        <v>0</v>
      </c>
      <c r="AC18" s="250">
        <f>IF(AC$2&lt;基础信息!$E$13,0,IF(AC$2=基础信息!$E$13,SUM(销售计划!$D75:AD75),销售计划!AD75))</f>
        <v>0</v>
      </c>
      <c r="AD18" s="250">
        <f>IF(AD$2&lt;基础信息!$E$13,0,IF(AD$2=基础信息!$E$13,SUM(销售计划!$D75:AE75),销售计划!AE75))</f>
        <v>0</v>
      </c>
      <c r="AE18" s="250">
        <f>IF(AE$2&lt;基础信息!$E$13,0,IF(AE$2=基础信息!$E$13,SUM(销售计划!$D75:AF75),销售计划!AF75))</f>
        <v>0</v>
      </c>
      <c r="AF18" s="250">
        <f>IF(AF$2&lt;基础信息!$E$13,0,IF(AF$2=基础信息!$E$13,SUM(销售计划!$D75:AG75),销售计划!AG75))</f>
        <v>0</v>
      </c>
      <c r="AG18" s="250">
        <f>IF(AG$2&lt;基础信息!$E$13,0,IF(AG$2=基础信息!$E$13,SUM(销售计划!$D75:AH75),销售计划!AH75))</f>
        <v>0</v>
      </c>
      <c r="AH18" s="250">
        <f>IF(AH$2&lt;基础信息!$E$13,0,IF(AH$2=基础信息!$E$13,SUM(销售计划!$D75:AI75),销售计划!AI75))</f>
        <v>0</v>
      </c>
      <c r="AI18" s="250">
        <f>IF(AI$2&lt;基础信息!$E$13,0,IF(AI$2=基础信息!$E$13,SUM(销售计划!$D75:AJ75),销售计划!AJ75))</f>
        <v>0</v>
      </c>
      <c r="AJ18" s="250">
        <f>IF(AJ$2&lt;基础信息!$E$13,0,IF(AJ$2=基础信息!$E$13,SUM(销售计划!$D75:AK75),销售计划!AK75))</f>
        <v>0</v>
      </c>
      <c r="AK18" s="250">
        <f>IF(AK$2&lt;基础信息!$E$13,0,IF(AK$2=基础信息!$E$13,SUM(销售计划!$D75:AL75),销售计划!AL75))</f>
        <v>0</v>
      </c>
      <c r="AL18" s="250">
        <f>IF(AL$2&lt;基础信息!$E$13,0,IF(AL$2=基础信息!$E$13,SUM(销售计划!$D75:AM75),销售计划!AM75))</f>
        <v>0</v>
      </c>
      <c r="AM18" s="250">
        <f>IF(AM$2&lt;基础信息!$E$13,0,IF(AM$2=基础信息!$E$13,SUM(销售计划!$D75:AN75),销售计划!AN75))</f>
        <v>0</v>
      </c>
      <c r="AN18" s="250">
        <f>IF(AN$2&lt;基础信息!$E$13,0,IF(AN$2=基础信息!$E$13,SUM(销售计划!$D75:AO75),销售计划!AO75))</f>
        <v>0</v>
      </c>
      <c r="AO18" s="250">
        <f>IF(AO$2&lt;基础信息!$E$13,0,IF(AO$2=基础信息!$E$13,SUM(销售计划!$D75:AP75),销售计划!AP75))</f>
        <v>0</v>
      </c>
      <c r="AP18" s="250">
        <f>IF(AP$2&lt;基础信息!$E$13,0,IF(AP$2=基础信息!$E$13,SUM(销售计划!$D75:AQ75),销售计划!AQ75))</f>
        <v>0</v>
      </c>
      <c r="AQ18" s="250">
        <f>IF(AQ$2&lt;基础信息!$E$13,0,IF(AQ$2=基础信息!$E$13,SUM(销售计划!$D75:AR75),销售计划!AR75))</f>
        <v>0</v>
      </c>
      <c r="AR18" s="250">
        <f>IF(AR$2&lt;基础信息!$E$13,0,IF(AR$2=基础信息!$E$13,SUM(销售计划!$D75:AS75),销售计划!AS75))</f>
        <v>0</v>
      </c>
      <c r="AS18" s="250">
        <f>IF(AS$2&lt;基础信息!$E$13,0,IF(AS$2=基础信息!$E$13,SUM(销售计划!$D75:AT75),销售计划!AT75))</f>
        <v>0</v>
      </c>
      <c r="AT18" s="250">
        <f>IF(AT$2&lt;基础信息!$E$13,0,IF(AT$2=基础信息!$E$13,SUM(销售计划!$D75:AU75),销售计划!AU75))</f>
        <v>0</v>
      </c>
      <c r="AU18" s="250">
        <f>IF(AU$2&lt;基础信息!$E$13,0,IF(AU$2=基础信息!$E$13,SUM(销售计划!$D75:AV75),销售计划!AV75))</f>
        <v>0</v>
      </c>
      <c r="AV18" s="250">
        <f>IF(AV$2&lt;基础信息!$E$13,0,IF(AV$2=基础信息!$E$13,SUM(销售计划!$D75:AW75),销售计划!AW75))</f>
        <v>0</v>
      </c>
      <c r="AW18" s="250">
        <f>IF(AW$2&lt;基础信息!$E$13,0,IF(AW$2=基础信息!$E$13,SUM(销售计划!$D75:AX75),销售计划!AX75))</f>
        <v>0</v>
      </c>
      <c r="AX18" s="250">
        <f>IF(AX$2&lt;基础信息!$E$13,0,IF(AX$2=基础信息!$E$13,SUM(销售计划!$D75:AY75),销售计划!AY75))</f>
        <v>0</v>
      </c>
      <c r="AY18" s="250">
        <f>IF(AY$2&lt;基础信息!$E$13,0,IF(AY$2=基础信息!$E$13,SUM(销售计划!$D75:AZ75),销售计划!AZ75))</f>
        <v>0</v>
      </c>
      <c r="AZ18" s="250">
        <f>IF(AZ$2&lt;基础信息!$E$13,0,IF(AZ$2=基础信息!$E$13,SUM(销售计划!$D75:BA75),销售计划!BA75))</f>
        <v>0</v>
      </c>
      <c r="BA18" s="250">
        <f>IF(BA$2&lt;基础信息!$E$13,0,IF(BA$2=基础信息!$E$13,SUM(销售计划!$D75:BB75),销售计划!BB75))</f>
        <v>0</v>
      </c>
      <c r="BB18" s="250">
        <f>IF(BB$2&lt;基础信息!$E$13,0,IF(BB$2=基础信息!$E$13,SUM(销售计划!$D75:BC75),销售计划!BC75))</f>
        <v>0</v>
      </c>
      <c r="BC18" s="250">
        <f>IF(BC$2&lt;基础信息!$E$13,0,IF(BC$2=基础信息!$E$13,SUM(销售计划!$D75:BD75),销售计划!BD75))</f>
        <v>0</v>
      </c>
      <c r="BD18" s="250">
        <f>IF(BD$2&lt;基础信息!$E$13,0,IF(BD$2=基础信息!$E$13,SUM(销售计划!$D75:BE75),销售计划!BE75))</f>
        <v>0</v>
      </c>
      <c r="BE18" s="250">
        <f>IF(BE$2&lt;基础信息!$E$13,0,IF(BE$2=基础信息!$E$13,SUM(销售计划!$D75:BF75),销售计划!BF75))</f>
        <v>0</v>
      </c>
      <c r="BF18" s="250">
        <f>IF(BF$2&lt;基础信息!$E$13,0,IF(BF$2=基础信息!$E$13,SUM(销售计划!$D75:BG75),销售计划!BG75))</f>
        <v>0</v>
      </c>
      <c r="BG18" s="250">
        <f>IF(BG$2&lt;基础信息!$E$13,0,IF(BG$2=基础信息!$E$13,SUM(销售计划!$D75:BH75),销售计划!BH75))</f>
        <v>0</v>
      </c>
      <c r="BH18" s="250">
        <f>IF(BH$2&lt;基础信息!$E$13,0,IF(BH$2=基础信息!$E$13,SUM(销售计划!$D75:BI75),销售计划!BI75))</f>
        <v>0</v>
      </c>
      <c r="BI18" s="250">
        <f>IF(BI$2&lt;基础信息!$E$13,0,IF(BI$2=基础信息!$E$13,SUM(销售计划!$D75:BJ75),销售计划!BJ75))</f>
        <v>0</v>
      </c>
      <c r="BJ18" s="250">
        <f>IF(BJ$2&lt;基础信息!$E$13,0,IF(BJ$2=基础信息!$E$13,SUM(销售计划!$D75:BK75),销售计划!BK75))</f>
        <v>0</v>
      </c>
      <c r="BK18" s="250">
        <f>IF(BK$2&lt;基础信息!$E$13,0,IF(BK$2=基础信息!$E$13,SUM(销售计划!$D75:BL75),销售计划!BL75))</f>
        <v>0</v>
      </c>
      <c r="BL18" s="250">
        <f>IF(BL$2&lt;基础信息!$E$13,0,IF(BL$2=基础信息!$E$13,SUM(销售计划!$D75:BM75),销售计划!BM75))</f>
        <v>0</v>
      </c>
      <c r="BM18" s="250">
        <f>IF(BM$2&lt;基础信息!$E$13,0,IF(BM$2=基础信息!$E$13,SUM(销售计划!$D75:BN75),销售计划!BN75))</f>
        <v>0</v>
      </c>
      <c r="BN18" s="250">
        <f>IF(BN$2&lt;基础信息!$E$13,0,IF(BN$2=基础信息!$E$13,SUM(销售计划!$D75:BO75),销售计划!BO75))</f>
        <v>0</v>
      </c>
      <c r="BO18" s="250">
        <f>IF(BO$2&lt;基础信息!$E$13,0,IF(BO$2=基础信息!$E$13,SUM(销售计划!$D75:BP75),销售计划!BP75))</f>
        <v>0</v>
      </c>
      <c r="BP18" s="250">
        <f>IF(BP$2&lt;基础信息!$E$13,0,IF(BP$2=基础信息!$E$13,SUM(销售计划!$D75:BQ75),销售计划!BQ75))</f>
        <v>0</v>
      </c>
      <c r="BQ18" s="250">
        <f>IF(BQ$2&lt;基础信息!$E$13,0,IF(BQ$2=基础信息!$E$13,SUM(销售计划!$D75:BR75),销售计划!BR75))</f>
        <v>0</v>
      </c>
      <c r="BR18" s="250">
        <f>IF(BR$2&lt;基础信息!$E$13,0,IF(BR$2=基础信息!$E$13,SUM(销售计划!$D75:BS75),销售计划!BS75))</f>
        <v>0</v>
      </c>
      <c r="BS18" s="250">
        <f>IF(BS$2&lt;基础信息!$E$13,0,IF(BS$2=基础信息!$E$13,SUM(销售计划!$D75:BT75),销售计划!BT75))</f>
        <v>0</v>
      </c>
      <c r="BT18" s="250">
        <f>IF(BT$2&lt;基础信息!$E$13,0,IF(BT$2=基础信息!$E$13,SUM(销售计划!$D75:BU75),销售计划!BU75))</f>
        <v>0</v>
      </c>
      <c r="BU18" s="250">
        <f>IF(BU$2&lt;基础信息!$E$13,0,IF(BU$2=基础信息!$E$13,SUM(销售计划!$D75:BV75),销售计划!BV75))</f>
        <v>0</v>
      </c>
    </row>
    <row r="19" spans="1:73" s="126" customFormat="1" ht="13" outlineLevel="1">
      <c r="A19" s="127">
        <f>销售计划!A97</f>
        <v>0</v>
      </c>
      <c r="B19" s="128" t="s">
        <v>840</v>
      </c>
      <c r="C19" s="128">
        <f t="shared" ref="C19:AS19" si="30">IF(C18&gt;0,C20/C18*10000,0)</f>
        <v>0</v>
      </c>
      <c r="D19" s="250">
        <f t="shared" si="30"/>
        <v>0</v>
      </c>
      <c r="E19" s="250">
        <f t="shared" si="30"/>
        <v>0</v>
      </c>
      <c r="F19" s="128">
        <f t="shared" si="30"/>
        <v>0</v>
      </c>
      <c r="G19" s="128">
        <f t="shared" si="30"/>
        <v>0</v>
      </c>
      <c r="H19" s="250">
        <f t="shared" si="30"/>
        <v>0</v>
      </c>
      <c r="I19" s="250">
        <f t="shared" si="30"/>
        <v>0</v>
      </c>
      <c r="J19" s="250">
        <f t="shared" si="30"/>
        <v>0</v>
      </c>
      <c r="K19" s="250">
        <f t="shared" si="30"/>
        <v>0</v>
      </c>
      <c r="L19" s="250">
        <f t="shared" si="30"/>
        <v>0</v>
      </c>
      <c r="M19" s="250">
        <f t="shared" si="30"/>
        <v>0</v>
      </c>
      <c r="N19" s="250">
        <f t="shared" si="30"/>
        <v>0</v>
      </c>
      <c r="O19" s="250">
        <f t="shared" si="30"/>
        <v>0</v>
      </c>
      <c r="P19" s="250">
        <f t="shared" si="30"/>
        <v>0</v>
      </c>
      <c r="Q19" s="250">
        <f t="shared" si="30"/>
        <v>0</v>
      </c>
      <c r="R19" s="250">
        <f t="shared" si="30"/>
        <v>0</v>
      </c>
      <c r="S19" s="250">
        <f t="shared" si="30"/>
        <v>0</v>
      </c>
      <c r="T19" s="250">
        <f t="shared" si="30"/>
        <v>0</v>
      </c>
      <c r="U19" s="250">
        <f t="shared" si="30"/>
        <v>0</v>
      </c>
      <c r="V19" s="250">
        <f t="shared" si="30"/>
        <v>0</v>
      </c>
      <c r="W19" s="250">
        <f t="shared" si="30"/>
        <v>0</v>
      </c>
      <c r="X19" s="250">
        <f t="shared" si="30"/>
        <v>0</v>
      </c>
      <c r="Y19" s="250">
        <f t="shared" si="30"/>
        <v>0</v>
      </c>
      <c r="Z19" s="250">
        <f t="shared" si="30"/>
        <v>0</v>
      </c>
      <c r="AA19" s="250">
        <f t="shared" si="30"/>
        <v>0</v>
      </c>
      <c r="AB19" s="250">
        <f t="shared" si="30"/>
        <v>0</v>
      </c>
      <c r="AC19" s="250">
        <f t="shared" si="30"/>
        <v>0</v>
      </c>
      <c r="AD19" s="250">
        <f t="shared" si="30"/>
        <v>0</v>
      </c>
      <c r="AE19" s="250">
        <f t="shared" si="30"/>
        <v>0</v>
      </c>
      <c r="AF19" s="250">
        <f t="shared" si="30"/>
        <v>0</v>
      </c>
      <c r="AG19" s="250">
        <f t="shared" si="30"/>
        <v>0</v>
      </c>
      <c r="AH19" s="250">
        <f t="shared" si="30"/>
        <v>0</v>
      </c>
      <c r="AI19" s="250">
        <f t="shared" si="30"/>
        <v>0</v>
      </c>
      <c r="AJ19" s="250">
        <f t="shared" si="30"/>
        <v>0</v>
      </c>
      <c r="AK19" s="250">
        <f t="shared" si="30"/>
        <v>0</v>
      </c>
      <c r="AL19" s="250">
        <f t="shared" si="30"/>
        <v>0</v>
      </c>
      <c r="AM19" s="250">
        <f t="shared" si="30"/>
        <v>0</v>
      </c>
      <c r="AN19" s="250">
        <f t="shared" si="30"/>
        <v>0</v>
      </c>
      <c r="AO19" s="250">
        <f t="shared" si="30"/>
        <v>0</v>
      </c>
      <c r="AP19" s="250">
        <f t="shared" si="30"/>
        <v>0</v>
      </c>
      <c r="AQ19" s="250">
        <f t="shared" si="30"/>
        <v>0</v>
      </c>
      <c r="AR19" s="250">
        <f t="shared" si="30"/>
        <v>0</v>
      </c>
      <c r="AS19" s="250">
        <f t="shared" si="30"/>
        <v>0</v>
      </c>
      <c r="AT19" s="250">
        <f t="shared" ref="AT19:BP19" si="31">IF(AT18&gt;0,AT20/AT18*10000,0)</f>
        <v>0</v>
      </c>
      <c r="AU19" s="250">
        <f t="shared" si="31"/>
        <v>0</v>
      </c>
      <c r="AV19" s="250">
        <f t="shared" si="31"/>
        <v>0</v>
      </c>
      <c r="AW19" s="250">
        <f t="shared" si="31"/>
        <v>0</v>
      </c>
      <c r="AX19" s="250">
        <f t="shared" si="31"/>
        <v>0</v>
      </c>
      <c r="AY19" s="250">
        <f t="shared" si="31"/>
        <v>0</v>
      </c>
      <c r="AZ19" s="250">
        <f t="shared" si="31"/>
        <v>0</v>
      </c>
      <c r="BA19" s="250">
        <f t="shared" si="31"/>
        <v>0</v>
      </c>
      <c r="BB19" s="250">
        <f t="shared" si="31"/>
        <v>0</v>
      </c>
      <c r="BC19" s="250">
        <f t="shared" si="31"/>
        <v>0</v>
      </c>
      <c r="BD19" s="250">
        <f t="shared" si="31"/>
        <v>0</v>
      </c>
      <c r="BE19" s="250">
        <f t="shared" si="31"/>
        <v>0</v>
      </c>
      <c r="BF19" s="250">
        <f t="shared" si="31"/>
        <v>0</v>
      </c>
      <c r="BG19" s="250">
        <f t="shared" si="31"/>
        <v>0</v>
      </c>
      <c r="BH19" s="250">
        <f t="shared" si="31"/>
        <v>0</v>
      </c>
      <c r="BI19" s="250">
        <f t="shared" si="31"/>
        <v>0</v>
      </c>
      <c r="BJ19" s="250">
        <f t="shared" si="31"/>
        <v>0</v>
      </c>
      <c r="BK19" s="250">
        <f t="shared" si="31"/>
        <v>0</v>
      </c>
      <c r="BL19" s="250">
        <f t="shared" si="31"/>
        <v>0</v>
      </c>
      <c r="BM19" s="250">
        <f t="shared" si="31"/>
        <v>0</v>
      </c>
      <c r="BN19" s="250">
        <f t="shared" si="31"/>
        <v>0</v>
      </c>
      <c r="BO19" s="250">
        <f t="shared" si="31"/>
        <v>0</v>
      </c>
      <c r="BP19" s="250">
        <f t="shared" si="31"/>
        <v>0</v>
      </c>
      <c r="BQ19" s="250">
        <f t="shared" ref="BQ19:BU19" si="32">IF(BQ18&gt;0,BQ20/BQ18*10000,0)</f>
        <v>0</v>
      </c>
      <c r="BR19" s="250">
        <f t="shared" si="32"/>
        <v>0</v>
      </c>
      <c r="BS19" s="250">
        <f t="shared" si="32"/>
        <v>0</v>
      </c>
      <c r="BT19" s="250">
        <f t="shared" si="32"/>
        <v>0</v>
      </c>
      <c r="BU19" s="250">
        <f t="shared" si="32"/>
        <v>0</v>
      </c>
    </row>
    <row r="20" spans="1:73" outlineLevel="1">
      <c r="A20" s="132">
        <f>销售计划!A98</f>
        <v>0</v>
      </c>
      <c r="B20" s="133" t="s">
        <v>841</v>
      </c>
      <c r="C20" s="133">
        <f t="shared" ref="C20:C21" si="33">SUM(D20:BU20)</f>
        <v>0</v>
      </c>
      <c r="D20" s="133">
        <f>IF(D$2&lt;基础信息!$E$13,0,IF(D$2=基础信息!$E$13,SUM(销售计划!$D98:E98),销售计划!E98))</f>
        <v>0</v>
      </c>
      <c r="E20" s="133">
        <f>IF(E$2&lt;基础信息!$E$13,0,IF(E$2=基础信息!$E$13,SUM(销售计划!$D98:F98),销售计划!F98))</f>
        <v>0</v>
      </c>
      <c r="F20" s="133">
        <f>IF(F$2&lt;基础信息!$E$13,0,IF(F$2=基础信息!$E$13,SUM(销售计划!$D98:G98),销售计划!G98))</f>
        <v>0</v>
      </c>
      <c r="G20" s="133">
        <f>IF(G$2&lt;基础信息!$E$13,0,IF(G$2=基础信息!$E$13,SUM(销售计划!$D98:H98),销售计划!H98))</f>
        <v>0</v>
      </c>
      <c r="H20" s="133">
        <f>IF(H$2&lt;基础信息!$E$13,0,IF(H$2=基础信息!$E$13,SUM(销售计划!$D98:I98),销售计划!I98))</f>
        <v>0</v>
      </c>
      <c r="I20" s="133">
        <f>IF(I$2&lt;基础信息!$E$13,0,IF(I$2=基础信息!$E$13,SUM(销售计划!$D98:J98),销售计划!J98))</f>
        <v>0</v>
      </c>
      <c r="J20" s="133">
        <f>IF(J$2&lt;基础信息!$E$13,0,IF(J$2=基础信息!$E$13,SUM(销售计划!$D98:K98),销售计划!K98))</f>
        <v>0</v>
      </c>
      <c r="K20" s="133">
        <f>IF(K$2&lt;基础信息!$E$13,0,IF(K$2=基础信息!$E$13,SUM(销售计划!$D98:L98),销售计划!L98))</f>
        <v>0</v>
      </c>
      <c r="L20" s="133">
        <f>IF(L$2&lt;基础信息!$E$13,0,IF(L$2=基础信息!$E$13,SUM(销售计划!$D98:M98),销售计划!M98))</f>
        <v>0</v>
      </c>
      <c r="M20" s="133">
        <f>IF(M$2&lt;基础信息!$E$13,0,IF(M$2=基础信息!$E$13,SUM(销售计划!$D98:N98),销售计划!N98))</f>
        <v>0</v>
      </c>
      <c r="N20" s="133">
        <f>IF(N$2&lt;基础信息!$E$13,0,IF(N$2=基础信息!$E$13,SUM(销售计划!$D98:O98),销售计划!O98))</f>
        <v>0</v>
      </c>
      <c r="O20" s="133">
        <f>IF(O$2&lt;基础信息!$E$13,0,IF(O$2=基础信息!$E$13,SUM(销售计划!$D77:P77),销售计划!P77))</f>
        <v>0</v>
      </c>
      <c r="P20" s="133">
        <f>IF(P$2&lt;基础信息!$E$13,0,IF(P$2=基础信息!$E$13,SUM(销售计划!$D77:Q77),销售计划!Q77))</f>
        <v>0</v>
      </c>
      <c r="Q20" s="133">
        <f>IF(Q$2&lt;基础信息!$E$13,0,IF(Q$2=基础信息!$E$13,SUM(销售计划!$D77:R77),销售计划!R77))</f>
        <v>0</v>
      </c>
      <c r="R20" s="133">
        <f>IF(R$2&lt;基础信息!$E$13,0,IF(R$2=基础信息!$E$13,SUM(销售计划!$D77:S77),销售计划!S77))</f>
        <v>0</v>
      </c>
      <c r="S20" s="133">
        <f>IF(S$2&lt;基础信息!$E$13,0,IF(S$2=基础信息!$E$13,SUM(销售计划!$D77:T77),销售计划!T77))</f>
        <v>0</v>
      </c>
      <c r="T20" s="133">
        <f>IF(T$2&lt;基础信息!$E$13,0,IF(T$2=基础信息!$E$13,SUM(销售计划!$D77:U77),销售计划!U77))</f>
        <v>0</v>
      </c>
      <c r="U20" s="133">
        <f>IF(U$2&lt;基础信息!$E$13,0,IF(U$2=基础信息!$E$13,SUM(销售计划!$D77:V77),销售计划!V77))</f>
        <v>0</v>
      </c>
      <c r="V20" s="133">
        <f>IF(V$2&lt;基础信息!$E$13,0,IF(V$2=基础信息!$E$13,SUM(销售计划!$D77:W77),销售计划!W77))</f>
        <v>0</v>
      </c>
      <c r="W20" s="133">
        <f>IF(W$2&lt;基础信息!$E$13,0,IF(W$2=基础信息!$E$13,SUM(销售计划!$D77:X77),销售计划!X77))</f>
        <v>0</v>
      </c>
      <c r="X20" s="133">
        <f>IF(X$2&lt;基础信息!$E$13,0,IF(X$2=基础信息!$E$13,SUM(销售计划!$D77:Y77),销售计划!Y77))</f>
        <v>0</v>
      </c>
      <c r="Y20" s="133">
        <f>IF(Y$2&lt;基础信息!$E$13,0,IF(Y$2=基础信息!$E$13,SUM(销售计划!$D77:Z77),销售计划!Z77))</f>
        <v>0</v>
      </c>
      <c r="Z20" s="133">
        <f>IF(Z$2&lt;基础信息!$E$13,0,IF(Z$2=基础信息!$E$13,SUM(销售计划!$D77:AA77),销售计划!AA77))</f>
        <v>0</v>
      </c>
      <c r="AA20" s="133">
        <f>IF(AA$2&lt;基础信息!$E$13,0,IF(AA$2=基础信息!$E$13,SUM(销售计划!$D77:AB77),销售计划!AB77))</f>
        <v>0</v>
      </c>
      <c r="AB20" s="133">
        <f>IF(AB$2&lt;基础信息!$E$13,0,IF(AB$2=基础信息!$E$13,SUM(销售计划!$D77:AC77),销售计划!AC77))</f>
        <v>0</v>
      </c>
      <c r="AC20" s="133">
        <f>IF(AC$2&lt;基础信息!$E$13,0,IF(AC$2=基础信息!$E$13,SUM(销售计划!$D77:AD77),销售计划!AD77))</f>
        <v>0</v>
      </c>
      <c r="AD20" s="133">
        <f>IF(AD$2&lt;基础信息!$E$13,0,IF(AD$2=基础信息!$E$13,SUM(销售计划!$D77:AE77),销售计划!AE77))</f>
        <v>0</v>
      </c>
      <c r="AE20" s="133">
        <f>IF(AE$2&lt;基础信息!$E$13,0,IF(AE$2=基础信息!$E$13,SUM(销售计划!$D77:AF77),销售计划!AF77))</f>
        <v>0</v>
      </c>
      <c r="AF20" s="133">
        <f>IF(AF$2&lt;基础信息!$E$13,0,IF(AF$2=基础信息!$E$13,SUM(销售计划!$D77:AG77),销售计划!AG77))</f>
        <v>0</v>
      </c>
      <c r="AG20" s="133">
        <f>IF(AG$2&lt;基础信息!$E$13,0,IF(AG$2=基础信息!$E$13,SUM(销售计划!$D77:AH77),销售计划!AH77))</f>
        <v>0</v>
      </c>
      <c r="AH20" s="133">
        <f>IF(AH$2&lt;基础信息!$E$13,0,IF(AH$2=基础信息!$E$13,SUM(销售计划!$D77:AI77),销售计划!AI77))</f>
        <v>0</v>
      </c>
      <c r="AI20" s="133">
        <f>IF(AI$2&lt;基础信息!$E$13,0,IF(AI$2=基础信息!$E$13,SUM(销售计划!$D77:AJ77),销售计划!AJ77))</f>
        <v>0</v>
      </c>
      <c r="AJ20" s="133">
        <f>IF(AJ$2&lt;基础信息!$E$13,0,IF(AJ$2=基础信息!$E$13,SUM(销售计划!$D77:AK77),销售计划!AK77))</f>
        <v>0</v>
      </c>
      <c r="AK20" s="133">
        <f>IF(AK$2&lt;基础信息!$E$13,0,IF(AK$2=基础信息!$E$13,SUM(销售计划!$D77:AL77),销售计划!AL77))</f>
        <v>0</v>
      </c>
      <c r="AL20" s="133">
        <f>IF(AL$2&lt;基础信息!$E$13,0,IF(AL$2=基础信息!$E$13,SUM(销售计划!$D77:AM77),销售计划!AM77))</f>
        <v>0</v>
      </c>
      <c r="AM20" s="133">
        <f>IF(AM$2&lt;基础信息!$E$13,0,IF(AM$2=基础信息!$E$13,SUM(销售计划!$D77:AN77),销售计划!AN77))</f>
        <v>0</v>
      </c>
      <c r="AN20" s="133">
        <f>IF(AN$2&lt;基础信息!$E$13,0,IF(AN$2=基础信息!$E$13,SUM(销售计划!$D77:AO77),销售计划!AO77))</f>
        <v>0</v>
      </c>
      <c r="AO20" s="133">
        <f>IF(AO$2&lt;基础信息!$E$13,0,IF(AO$2=基础信息!$E$13,SUM(销售计划!$D77:AP77),销售计划!AP77))</f>
        <v>0</v>
      </c>
      <c r="AP20" s="133">
        <f>IF(AP$2&lt;基础信息!$E$13,0,IF(AP$2=基础信息!$E$13,SUM(销售计划!$D77:AQ77),销售计划!AQ77))</f>
        <v>0</v>
      </c>
      <c r="AQ20" s="133">
        <f>IF(AQ$2&lt;基础信息!$E$13,0,IF(AQ$2=基础信息!$E$13,SUM(销售计划!$D77:AR77),销售计划!AR77))</f>
        <v>0</v>
      </c>
      <c r="AR20" s="133">
        <f>IF(AR$2&lt;基础信息!$E$13,0,IF(AR$2=基础信息!$E$13,SUM(销售计划!$D77:AS77),销售计划!AS77))</f>
        <v>0</v>
      </c>
      <c r="AS20" s="133">
        <f>IF(AS$2&lt;基础信息!$E$13,0,IF(AS$2=基础信息!$E$13,SUM(销售计划!$D77:AT77),销售计划!AT77))</f>
        <v>0</v>
      </c>
      <c r="AT20" s="133">
        <f>IF(AT$2&lt;基础信息!$E$13,0,IF(AT$2=基础信息!$E$13,SUM(销售计划!$D77:AU77),销售计划!AU77))</f>
        <v>0</v>
      </c>
      <c r="AU20" s="133">
        <f>IF(AU$2&lt;基础信息!$E$13,0,IF(AU$2=基础信息!$E$13,SUM(销售计划!$D77:AV77),销售计划!AV77))</f>
        <v>0</v>
      </c>
      <c r="AV20" s="133">
        <f>IF(AV$2&lt;基础信息!$E$13,0,IF(AV$2=基础信息!$E$13,SUM(销售计划!$D77:AW77),销售计划!AW77))</f>
        <v>0</v>
      </c>
      <c r="AW20" s="133">
        <f>IF(AW$2&lt;基础信息!$E$13,0,IF(AW$2=基础信息!$E$13,SUM(销售计划!$D77:AX77),销售计划!AX77))</f>
        <v>0</v>
      </c>
      <c r="AX20" s="133">
        <f>IF(AX$2&lt;基础信息!$E$13,0,IF(AX$2=基础信息!$E$13,SUM(销售计划!$D77:AY77),销售计划!AY77))</f>
        <v>0</v>
      </c>
      <c r="AY20" s="133">
        <f>IF(AY$2&lt;基础信息!$E$13,0,IF(AY$2=基础信息!$E$13,SUM(销售计划!$D77:AZ77),销售计划!AZ77))</f>
        <v>0</v>
      </c>
      <c r="AZ20" s="133">
        <f>IF(AZ$2&lt;基础信息!$E$13,0,IF(AZ$2=基础信息!$E$13,SUM(销售计划!$D77:BA77),销售计划!BA77))</f>
        <v>0</v>
      </c>
      <c r="BA20" s="133">
        <f>IF(BA$2&lt;基础信息!$E$13,0,IF(BA$2=基础信息!$E$13,SUM(销售计划!$D77:BB77),销售计划!BB77))</f>
        <v>0</v>
      </c>
      <c r="BB20" s="133">
        <f>IF(BB$2&lt;基础信息!$E$13,0,IF(BB$2=基础信息!$E$13,SUM(销售计划!$D77:BC77),销售计划!BC77))</f>
        <v>0</v>
      </c>
      <c r="BC20" s="133">
        <f>IF(BC$2&lt;基础信息!$E$13,0,IF(BC$2=基础信息!$E$13,SUM(销售计划!$D77:BD77),销售计划!BD77))</f>
        <v>0</v>
      </c>
      <c r="BD20" s="133">
        <f>IF(BD$2&lt;基础信息!$E$13,0,IF(BD$2=基础信息!$E$13,SUM(销售计划!$D77:BE77),销售计划!BE77))</f>
        <v>0</v>
      </c>
      <c r="BE20" s="133">
        <f>IF(BE$2&lt;基础信息!$E$13,0,IF(BE$2=基础信息!$E$13,SUM(销售计划!$D77:BF77),销售计划!BF77))</f>
        <v>0</v>
      </c>
      <c r="BF20" s="133">
        <f>IF(BF$2&lt;基础信息!$E$13,0,IF(BF$2=基础信息!$E$13,SUM(销售计划!$D77:BG77),销售计划!BG77))</f>
        <v>0</v>
      </c>
      <c r="BG20" s="133">
        <f>IF(BG$2&lt;基础信息!$E$13,0,IF(BG$2=基础信息!$E$13,SUM(销售计划!$D77:BH77),销售计划!BH77))</f>
        <v>0</v>
      </c>
      <c r="BH20" s="133">
        <f>IF(BH$2&lt;基础信息!$E$13,0,IF(BH$2=基础信息!$E$13,SUM(销售计划!$D77:BI77),销售计划!BI77))</f>
        <v>0</v>
      </c>
      <c r="BI20" s="133">
        <f>IF(BI$2&lt;基础信息!$E$13,0,IF(BI$2=基础信息!$E$13,SUM(销售计划!$D77:BJ77),销售计划!BJ77))</f>
        <v>0</v>
      </c>
      <c r="BJ20" s="133">
        <f>IF(BJ$2&lt;基础信息!$E$13,0,IF(BJ$2=基础信息!$E$13,SUM(销售计划!$D77:BK77),销售计划!BK77))</f>
        <v>0</v>
      </c>
      <c r="BK20" s="133">
        <f>IF(BK$2&lt;基础信息!$E$13,0,IF(BK$2=基础信息!$E$13,SUM(销售计划!$D77:BL77),销售计划!BL77))</f>
        <v>0</v>
      </c>
      <c r="BL20" s="133">
        <f>IF(BL$2&lt;基础信息!$E$13,0,IF(BL$2=基础信息!$E$13,SUM(销售计划!$D77:BM77),销售计划!BM77))</f>
        <v>0</v>
      </c>
      <c r="BM20" s="133">
        <f>IF(BM$2&lt;基础信息!$E$13,0,IF(BM$2=基础信息!$E$13,SUM(销售计划!$D77:BN77),销售计划!BN77))</f>
        <v>0</v>
      </c>
      <c r="BN20" s="133">
        <f>IF(BN$2&lt;基础信息!$E$13,0,IF(BN$2=基础信息!$E$13,SUM(销售计划!$D77:BO77),销售计划!BO77))</f>
        <v>0</v>
      </c>
      <c r="BO20" s="133">
        <f>IF(BO$2&lt;基础信息!$E$13,0,IF(BO$2=基础信息!$E$13,SUM(销售计划!$D77:BP77),销售计划!BP77))</f>
        <v>0</v>
      </c>
      <c r="BP20" s="133">
        <f>IF(BP$2&lt;基础信息!$E$13,0,IF(BP$2=基础信息!$E$13,SUM(销售计划!$D77:BQ77),销售计划!BQ77))</f>
        <v>0</v>
      </c>
      <c r="BQ20" s="133">
        <f>IF(BQ$2&lt;基础信息!$E$13,0,IF(BQ$2=基础信息!$E$13,SUM(销售计划!$D77:BR77),销售计划!BR77))</f>
        <v>0</v>
      </c>
      <c r="BR20" s="133">
        <f>IF(BR$2&lt;基础信息!$E$13,0,IF(BR$2=基础信息!$E$13,SUM(销售计划!$D77:BS77),销售计划!BS77))</f>
        <v>0</v>
      </c>
      <c r="BS20" s="133">
        <f>IF(BS$2&lt;基础信息!$E$13,0,IF(BS$2=基础信息!$E$13,SUM(销售计划!$D77:BT77),销售计划!BT77))</f>
        <v>0</v>
      </c>
      <c r="BT20" s="133">
        <f>IF(BT$2&lt;基础信息!$E$13,0,IF(BT$2=基础信息!$E$13,SUM(销售计划!$D77:BU77),销售计划!BU77))</f>
        <v>0</v>
      </c>
      <c r="BU20" s="133">
        <f>IF(BU$2&lt;基础信息!$E$13,0,IF(BU$2=基础信息!$E$13,SUM(销售计划!$D77:BV77),销售计划!BV77))</f>
        <v>0</v>
      </c>
    </row>
    <row r="21" spans="1:73" s="126" customFormat="1" ht="13" outlineLevel="1">
      <c r="A21" s="127" t="str">
        <f>销售计划!A21</f>
        <v>小高层（8~11F）</v>
      </c>
      <c r="B21" s="128" t="s">
        <v>258</v>
      </c>
      <c r="C21" s="128">
        <f t="shared" si="33"/>
        <v>59174.38</v>
      </c>
      <c r="D21" s="250">
        <f>IF(D$2&lt;基础信息!$E$13,0,IF(D$2=基础信息!$E$13,SUM(销售计划!$D99:E99),销售计划!E99))</f>
        <v>0</v>
      </c>
      <c r="E21" s="250">
        <f>IF(E$2&lt;基础信息!$E$13,0,IF(E$2=基础信息!$E$13,SUM(销售计划!$D99:F99),销售计划!F99))</f>
        <v>0</v>
      </c>
      <c r="F21" s="250">
        <f>IF(F$2&lt;基础信息!$E$13,0,IF(F$2=基础信息!$E$13,SUM(销售计划!$D99:G99),销售计划!G99))</f>
        <v>0</v>
      </c>
      <c r="G21" s="250">
        <f>IF(G$2&lt;基础信息!$E$13,0,IF(G$2=基础信息!$E$13,SUM(销售计划!$D99:H99),销售计划!H99))</f>
        <v>0</v>
      </c>
      <c r="H21" s="250">
        <f>IF(H$2&lt;基础信息!$E$13,0,IF(H$2=基础信息!$E$13,SUM(销售计划!$D99:I99),销售计划!I99))</f>
        <v>0</v>
      </c>
      <c r="I21" s="250">
        <f>IF(I$2&lt;基础信息!$E$13,0,IF(I$2=基础信息!$E$13,SUM(销售计划!$D99:J99),销售计划!J99))</f>
        <v>0</v>
      </c>
      <c r="J21" s="250">
        <f>IF(J$2&lt;基础信息!$E$13,0,IF(J$2=基础信息!$E$13,SUM(销售计划!$D99:K99),销售计划!K99))</f>
        <v>0</v>
      </c>
      <c r="K21" s="250">
        <f>IF(K$2&lt;基础信息!$E$13,0,IF(K$2=基础信息!$E$13,SUM(销售计划!$D99:L99),销售计划!L99))</f>
        <v>0</v>
      </c>
      <c r="L21" s="250">
        <f>IF(L$2&lt;基础信息!$E$13,0,IF(L$2=基础信息!$E$13,SUM(销售计划!$D99:M99),销售计划!M99))</f>
        <v>0</v>
      </c>
      <c r="M21" s="250">
        <f>IF(M$2&lt;基础信息!$E$13,0,IF(M$2=基础信息!$E$13,SUM(销售计划!$D99:N99),销售计划!N99))</f>
        <v>0</v>
      </c>
      <c r="N21" s="250">
        <f>IF(N$2&lt;基础信息!$E$13,0,IF(N$2=基础信息!$E$13,SUM(销售计划!$D78:O78),销售计划!O78))</f>
        <v>0</v>
      </c>
      <c r="O21" s="250">
        <f>IF(O$2&lt;基础信息!$E$13,0,IF(O$2=基础信息!$E$13,SUM(销售计划!$D78:P78),销售计划!P78))</f>
        <v>0</v>
      </c>
      <c r="P21" s="250">
        <f>IF(P$2&lt;基础信息!$E$13,0,IF(P$2=基础信息!$E$13,SUM(销售计划!$D78:Q78),销售计划!Q78))</f>
        <v>0</v>
      </c>
      <c r="Q21" s="250">
        <f>IF(Q$2&lt;基础信息!$E$13,0,IF(Q$2=基础信息!$E$13,SUM(销售计划!$D78:R78),销售计划!R78))</f>
        <v>0</v>
      </c>
      <c r="R21" s="250">
        <f>IF(R$2&lt;基础信息!$E$13,0,IF(R$2=基础信息!$E$13,SUM(销售计划!$D78:S78),销售计划!S78))</f>
        <v>0</v>
      </c>
      <c r="S21" s="250">
        <f>IF(S$2&lt;基础信息!$E$13,0,IF(S$2=基础信息!$E$13,SUM(销售计划!$D78:T78),销售计划!T78))</f>
        <v>0</v>
      </c>
      <c r="T21" s="250">
        <f>IF(T$2&lt;基础信息!$E$13,0,IF(T$2=基础信息!$E$13,SUM(销售计划!$D78:U78),销售计划!U78))</f>
        <v>0</v>
      </c>
      <c r="U21" s="250">
        <f>IF(U$2&lt;基础信息!$E$13,0,IF(U$2=基础信息!$E$13,SUM(销售计划!$D78:V78),销售计划!V78))</f>
        <v>0</v>
      </c>
      <c r="V21" s="250">
        <f>IF(V$2&lt;基础信息!$E$13,0,IF(V$2=基础信息!$E$13,SUM(销售计划!$D78:W78),销售计划!W78))</f>
        <v>0</v>
      </c>
      <c r="W21" s="250">
        <f>IF(W$2&lt;基础信息!$E$13,0,IF(W$2=基础信息!$E$13,SUM(销售计划!$D78:X78),销售计划!X78))</f>
        <v>0</v>
      </c>
      <c r="X21" s="250">
        <f>IF(X$2&lt;基础信息!$E$13,0,IF(X$2=基础信息!$E$13,SUM(销售计划!$D78:Y78),销售计划!Y78))</f>
        <v>0</v>
      </c>
      <c r="Y21" s="250">
        <f>IF(Y$2&lt;基础信息!$E$13,0,IF(Y$2=基础信息!$E$13,SUM(销售计划!$D78:Z78),销售计划!Z78))</f>
        <v>0</v>
      </c>
      <c r="Z21" s="250">
        <f>IF(Z$2&lt;基础信息!$E$13,0,IF(Z$2=基础信息!$E$13,SUM(销售计划!$D78:AA78),销售计划!AA78))</f>
        <v>0</v>
      </c>
      <c r="AA21" s="250">
        <f>IF(AA$2&lt;基础信息!$E$13,0,IF(AA$2=基础信息!$E$13,SUM(销售计划!$D78:AB78),销售计划!AB78))</f>
        <v>0</v>
      </c>
      <c r="AB21" s="250">
        <f>IF(AB$2&lt;基础信息!$E$13,0,IF(AB$2=基础信息!$E$13,SUM(销售计划!$D78:AC78),销售计划!AC78))</f>
        <v>0</v>
      </c>
      <c r="AC21" s="250">
        <f>IF(AC$2&lt;基础信息!$E$13,0,IF(AC$2=基础信息!$E$13,SUM(销售计划!$D78:AD78),销售计划!AD78))</f>
        <v>0</v>
      </c>
      <c r="AD21" s="250">
        <f>IF(AD$2&lt;基础信息!$E$13,0,IF(AD$2=基础信息!$E$13,SUM(销售计划!$D78:AE78),销售计划!AE78))</f>
        <v>0</v>
      </c>
      <c r="AE21" s="250">
        <f>IF(AE$2&lt;基础信息!$E$13,0,IF(AE$2=基础信息!$E$13,SUM(销售计划!$D78:AF78),销售计划!AF78))</f>
        <v>0</v>
      </c>
      <c r="AF21" s="250">
        <f>IF(AF$2&lt;基础信息!$E$13,0,IF(AF$2=基础信息!$E$13,SUM(销售计划!$D78:AG78),销售计划!AG78))</f>
        <v>0</v>
      </c>
      <c r="AG21" s="250">
        <f>IF(AG$2&lt;基础信息!$E$13,0,IF(AG$2=基础信息!$E$13,SUM(销售计划!$D78:AH78),销售计划!AH78))</f>
        <v>0</v>
      </c>
      <c r="AH21" s="250">
        <f>IF(AH$2&lt;基础信息!$E$13,0,IF(AH$2=基础信息!$E$13,SUM(销售计划!$D78:AI78),销售计划!AI78))</f>
        <v>0</v>
      </c>
      <c r="AI21" s="250">
        <f>IF(AI$2&lt;基础信息!$E$13,0,IF(AI$2=基础信息!$E$13,SUM(销售计划!$D78:AJ78),销售计划!AJ78))</f>
        <v>0</v>
      </c>
      <c r="AJ21" s="250">
        <f>IF(AJ$2&lt;基础信息!$E$13,0,IF(AJ$2=基础信息!$E$13,SUM(销售计划!$D78:AK78),销售计划!AK78))</f>
        <v>0</v>
      </c>
      <c r="AK21" s="250">
        <f>IF(AK$2&lt;基础信息!$E$13,0,IF(AK$2=基础信息!$E$13,SUM(销售计划!$D78:AL78),销售计划!AL78))</f>
        <v>0</v>
      </c>
      <c r="AL21" s="250">
        <f>IF(AL$2&lt;基础信息!$E$13,0,IF(AL$2=基础信息!$E$13,SUM(销售计划!$D78:AM78),销售计划!AM78))</f>
        <v>0</v>
      </c>
      <c r="AM21" s="250">
        <f>IF(AM$2&lt;基础信息!$E$13,0,IF(AM$2=基础信息!$E$13,SUM(销售计划!$D78:AN78),销售计划!AN78))</f>
        <v>0</v>
      </c>
      <c r="AN21" s="250">
        <f>IF(AN$2&lt;基础信息!$E$13,0,IF(AN$2=基础信息!$E$13,SUM(销售计划!$D78:AO78),销售计划!AO78))</f>
        <v>0</v>
      </c>
      <c r="AO21" s="250">
        <f>IF(AO$2&lt;基础信息!$E$13,0,IF(AO$2=基础信息!$E$13,SUM(销售计划!$D78:AP78),销售计划!AP78))</f>
        <v>0</v>
      </c>
      <c r="AP21" s="250">
        <f>IF(AP$2&lt;基础信息!$E$13,0,IF(AP$2=基础信息!$E$13,SUM(销售计划!$D78:AQ78),销售计划!AQ78))</f>
        <v>0</v>
      </c>
      <c r="AQ21" s="250">
        <f>IF(AQ$2&lt;基础信息!$E$13,0,IF(AQ$2=基础信息!$E$13,SUM(销售计划!$D78:AR78),销售计划!AR78))</f>
        <v>0</v>
      </c>
      <c r="AR21" s="250">
        <f>IF(AR$2&lt;基础信息!$E$13,0,IF(AR$2=基础信息!$E$13,SUM(销售计划!$D78:AS78),销售计划!AS78))</f>
        <v>0</v>
      </c>
      <c r="AS21" s="250">
        <f>IF(AS$2&lt;基础信息!$E$13,0,IF(AS$2=基础信息!$E$13,SUM(销售计划!$D78:AT78),销售计划!AT78))</f>
        <v>0</v>
      </c>
      <c r="AT21" s="250">
        <f>IF(AT$2&lt;基础信息!$E$13,0,IF(AT$2=基础信息!$E$13,SUM(销售计划!$D78:AU78),销售计划!AU78))</f>
        <v>0</v>
      </c>
      <c r="AU21" s="250">
        <f>IF(AU$2&lt;基础信息!$E$13,0,IF(AU$2=基础信息!$E$13,SUM(销售计划!$D78:AV78),销售计划!AV78))</f>
        <v>0</v>
      </c>
      <c r="AV21" s="250">
        <f>IF(AV$2&lt;基础信息!$E$13,0,IF(AV$2=基础信息!$E$13,SUM(销售计划!$D78:AW78),销售计划!AW78))</f>
        <v>0</v>
      </c>
      <c r="AW21" s="250">
        <f>IF(AW$2&lt;基础信息!$E$13,0,IF(AW$2=基础信息!$E$13,SUM(销售计划!$D78:AX78),销售计划!AX78))</f>
        <v>0</v>
      </c>
      <c r="AX21" s="250">
        <f>IF(AX$2&lt;基础信息!$E$13,0,IF(AX$2=基础信息!$E$13,SUM(销售计划!$D78:AY78),销售计划!AY78))</f>
        <v>0</v>
      </c>
      <c r="AY21" s="250">
        <f>IF(AY$2&lt;基础信息!$E$13,0,IF(AY$2=基础信息!$E$13,SUM(销售计划!$D78:AZ78),销售计划!AZ78))</f>
        <v>0</v>
      </c>
      <c r="AZ21" s="250">
        <f>IF(AZ$2&lt;基础信息!$E$13,0,IF(AZ$2=基础信息!$E$13,SUM(销售计划!$D78:BA78),销售计划!BA78))</f>
        <v>0</v>
      </c>
      <c r="BA21" s="250">
        <f>IF(BA$2&lt;基础信息!$E$13,0,IF(BA$2=基础信息!$E$13,SUM(销售计划!$D78:BB78),销售计划!BB78))</f>
        <v>0</v>
      </c>
      <c r="BB21" s="250">
        <f>IF(BB$2&lt;基础信息!$E$13,0,IF(BB$2=基础信息!$E$13,SUM(销售计划!$D78:BC78),销售计划!BC78))</f>
        <v>0</v>
      </c>
      <c r="BC21" s="250">
        <f>IF(BC$2&lt;基础信息!$E$13,0,IF(BC$2=基础信息!$E$13,SUM(销售计划!$D78:BD78),销售计划!BD78))</f>
        <v>0</v>
      </c>
      <c r="BD21" s="250">
        <f>IF(BD$2&lt;基础信息!$E$13,0,IF(BD$2=基础信息!$E$13,SUM(销售计划!$D78:BE78),销售计划!BE78))</f>
        <v>0</v>
      </c>
      <c r="BE21" s="250">
        <f>IF(BE$2&lt;基础信息!$E$13,0,IF(BE$2=基础信息!$E$13,SUM(销售计划!$D78:BF78),销售计划!BF78))</f>
        <v>0</v>
      </c>
      <c r="BF21" s="250">
        <f>IF(BF$2&lt;基础信息!$E$13,0,IF(BF$2=基础信息!$E$13,SUM(销售计划!$D78:BG78),销售计划!BG78))</f>
        <v>0</v>
      </c>
      <c r="BG21" s="250">
        <f>IF(BG$2&lt;基础信息!$E$13,0,IF(BG$2=基础信息!$E$13,SUM(销售计划!$D78:BH78),销售计划!BH78))</f>
        <v>0</v>
      </c>
      <c r="BH21" s="250">
        <f>IF(BH$2&lt;基础信息!$E$13,0,IF(BH$2=基础信息!$E$13,SUM(销售计划!$D78:BI78),销售计划!BI78))</f>
        <v>0</v>
      </c>
      <c r="BI21" s="250">
        <f>IF(BI$2&lt;基础信息!$E$13,0,IF(BI$2=基础信息!$E$13,SUM(销售计划!$D78:BJ78),销售计划!BJ78))</f>
        <v>0</v>
      </c>
      <c r="BJ21" s="250">
        <f>IF(BJ$2&lt;基础信息!$E$13,0,IF(BJ$2=基础信息!$E$13,SUM(销售计划!$D78:BK78),销售计划!BK78))</f>
        <v>0</v>
      </c>
      <c r="BK21" s="250">
        <f>IF(BK$2&lt;基础信息!$E$13,0,IF(BK$2=基础信息!$E$13,SUM(销售计划!$D78:BL78),销售计划!BL78))</f>
        <v>0</v>
      </c>
      <c r="BL21" s="250">
        <f>IF(BL$2&lt;基础信息!$E$13,0,IF(BL$2=基础信息!$E$13,SUM(销售计划!$D78:BM78),销售计划!BM78))</f>
        <v>0</v>
      </c>
      <c r="BM21" s="250">
        <f>IF(BM$2&lt;基础信息!$E$13,0,IF(BM$2=基础信息!$E$13,SUM(销售计划!$D78:BN78),销售计划!BN78))</f>
        <v>0</v>
      </c>
      <c r="BN21" s="250">
        <f>IF(BN$2&lt;基础信息!$E$13,0,IF(BN$2=基础信息!$E$13,SUM(销售计划!$D78:BO78),销售计划!BO78))</f>
        <v>0</v>
      </c>
      <c r="BO21" s="250">
        <f>IF(BO$2&lt;基础信息!$E$13,0,IF(BO$2=基础信息!$E$13,SUM(销售计划!$D78:BP78),销售计划!BP78))</f>
        <v>0</v>
      </c>
      <c r="BP21" s="250">
        <f>IF(BP$2&lt;基础信息!$E$13,0,IF(BP$2=基础信息!$E$13,SUM(销售计划!$D78:BQ78),销售计划!BQ78))</f>
        <v>0</v>
      </c>
      <c r="BQ21" s="250">
        <f>IF(BQ$2&lt;基础信息!$E$13,0,IF(BQ$2=基础信息!$E$13,SUM(销售计划!$D78:BR78),销售计划!BR78))</f>
        <v>59174.38</v>
      </c>
      <c r="BR21" s="250">
        <f>IF(BR$2&lt;基础信息!$E$13,0,IF(BR$2=基础信息!$E$13,SUM(销售计划!$D78:BS78),销售计划!BS78))</f>
        <v>0</v>
      </c>
      <c r="BS21" s="250">
        <f>IF(BS$2&lt;基础信息!$E$13,0,IF(BS$2=基础信息!$E$13,SUM(销售计划!$D78:BT78),销售计划!BT78))</f>
        <v>0</v>
      </c>
      <c r="BT21" s="250">
        <f>IF(BT$2&lt;基础信息!$E$13,0,IF(BT$2=基础信息!$E$13,SUM(销售计划!$D78:BU78),销售计划!BU78))</f>
        <v>0</v>
      </c>
      <c r="BU21" s="250">
        <f>IF(BU$2&lt;基础信息!$E$13,0,IF(BU$2=基础信息!$E$13,SUM(销售计划!$D78:BV78),销售计划!BV78))</f>
        <v>0</v>
      </c>
    </row>
    <row r="22" spans="1:73" s="126" customFormat="1" ht="13" outlineLevel="1">
      <c r="A22" s="127">
        <f>销售计划!A100</f>
        <v>0</v>
      </c>
      <c r="B22" s="128" t="s">
        <v>840</v>
      </c>
      <c r="C22" s="128">
        <f t="shared" ref="C22:AS22" si="34">IF(C21&gt;0,C23/C21*10000,0)</f>
        <v>12248.03892086065</v>
      </c>
      <c r="D22" s="250">
        <f t="shared" si="34"/>
        <v>0</v>
      </c>
      <c r="E22" s="250">
        <f t="shared" si="34"/>
        <v>0</v>
      </c>
      <c r="F22" s="128">
        <f t="shared" si="34"/>
        <v>0</v>
      </c>
      <c r="G22" s="128">
        <f t="shared" si="34"/>
        <v>0</v>
      </c>
      <c r="H22" s="250">
        <f t="shared" si="34"/>
        <v>0</v>
      </c>
      <c r="I22" s="250">
        <f t="shared" si="34"/>
        <v>0</v>
      </c>
      <c r="J22" s="250">
        <f t="shared" si="34"/>
        <v>0</v>
      </c>
      <c r="K22" s="250">
        <f t="shared" si="34"/>
        <v>0</v>
      </c>
      <c r="L22" s="250">
        <f t="shared" si="34"/>
        <v>0</v>
      </c>
      <c r="M22" s="250">
        <f t="shared" si="34"/>
        <v>0</v>
      </c>
      <c r="N22" s="250">
        <f t="shared" si="34"/>
        <v>0</v>
      </c>
      <c r="O22" s="250">
        <f t="shared" si="34"/>
        <v>0</v>
      </c>
      <c r="P22" s="250">
        <f t="shared" si="34"/>
        <v>0</v>
      </c>
      <c r="Q22" s="250">
        <f t="shared" si="34"/>
        <v>0</v>
      </c>
      <c r="R22" s="250">
        <f t="shared" si="34"/>
        <v>0</v>
      </c>
      <c r="S22" s="250">
        <f t="shared" si="34"/>
        <v>0</v>
      </c>
      <c r="T22" s="250">
        <f t="shared" si="34"/>
        <v>0</v>
      </c>
      <c r="U22" s="250">
        <f t="shared" si="34"/>
        <v>0</v>
      </c>
      <c r="V22" s="250">
        <f t="shared" si="34"/>
        <v>0</v>
      </c>
      <c r="W22" s="250">
        <f t="shared" si="34"/>
        <v>0</v>
      </c>
      <c r="X22" s="250">
        <f t="shared" si="34"/>
        <v>0</v>
      </c>
      <c r="Y22" s="250">
        <f t="shared" si="34"/>
        <v>0</v>
      </c>
      <c r="Z22" s="250">
        <f t="shared" si="34"/>
        <v>0</v>
      </c>
      <c r="AA22" s="250">
        <f t="shared" si="34"/>
        <v>0</v>
      </c>
      <c r="AB22" s="250">
        <f t="shared" si="34"/>
        <v>0</v>
      </c>
      <c r="AC22" s="250">
        <f t="shared" si="34"/>
        <v>0</v>
      </c>
      <c r="AD22" s="250">
        <f t="shared" si="34"/>
        <v>0</v>
      </c>
      <c r="AE22" s="250">
        <f t="shared" si="34"/>
        <v>0</v>
      </c>
      <c r="AF22" s="250">
        <f t="shared" si="34"/>
        <v>0</v>
      </c>
      <c r="AG22" s="250">
        <f t="shared" si="34"/>
        <v>0</v>
      </c>
      <c r="AH22" s="250">
        <f t="shared" si="34"/>
        <v>0</v>
      </c>
      <c r="AI22" s="250">
        <f t="shared" si="34"/>
        <v>0</v>
      </c>
      <c r="AJ22" s="250">
        <f t="shared" si="34"/>
        <v>0</v>
      </c>
      <c r="AK22" s="250">
        <f t="shared" si="34"/>
        <v>0</v>
      </c>
      <c r="AL22" s="250">
        <f t="shared" si="34"/>
        <v>0</v>
      </c>
      <c r="AM22" s="250">
        <f t="shared" si="34"/>
        <v>0</v>
      </c>
      <c r="AN22" s="250">
        <f t="shared" si="34"/>
        <v>0</v>
      </c>
      <c r="AO22" s="250">
        <f t="shared" si="34"/>
        <v>0</v>
      </c>
      <c r="AP22" s="250">
        <f t="shared" si="34"/>
        <v>0</v>
      </c>
      <c r="AQ22" s="250">
        <f t="shared" si="34"/>
        <v>0</v>
      </c>
      <c r="AR22" s="250">
        <f t="shared" si="34"/>
        <v>0</v>
      </c>
      <c r="AS22" s="250">
        <f t="shared" si="34"/>
        <v>0</v>
      </c>
      <c r="AT22" s="250">
        <f t="shared" ref="AT22:BP22" si="35">IF(AT21&gt;0,AT23/AT21*10000,0)</f>
        <v>0</v>
      </c>
      <c r="AU22" s="250">
        <f t="shared" si="35"/>
        <v>0</v>
      </c>
      <c r="AV22" s="250">
        <f t="shared" si="35"/>
        <v>0</v>
      </c>
      <c r="AW22" s="250">
        <f t="shared" si="35"/>
        <v>0</v>
      </c>
      <c r="AX22" s="250">
        <f t="shared" si="35"/>
        <v>0</v>
      </c>
      <c r="AY22" s="250">
        <f t="shared" si="35"/>
        <v>0</v>
      </c>
      <c r="AZ22" s="250">
        <f t="shared" si="35"/>
        <v>0</v>
      </c>
      <c r="BA22" s="250">
        <f t="shared" si="35"/>
        <v>0</v>
      </c>
      <c r="BB22" s="250">
        <f t="shared" si="35"/>
        <v>0</v>
      </c>
      <c r="BC22" s="250">
        <f t="shared" si="35"/>
        <v>0</v>
      </c>
      <c r="BD22" s="250">
        <f t="shared" si="35"/>
        <v>0</v>
      </c>
      <c r="BE22" s="250">
        <f t="shared" si="35"/>
        <v>0</v>
      </c>
      <c r="BF22" s="250">
        <f t="shared" si="35"/>
        <v>0</v>
      </c>
      <c r="BG22" s="250">
        <f t="shared" si="35"/>
        <v>0</v>
      </c>
      <c r="BH22" s="250">
        <f t="shared" si="35"/>
        <v>0</v>
      </c>
      <c r="BI22" s="250">
        <f t="shared" si="35"/>
        <v>0</v>
      </c>
      <c r="BJ22" s="250">
        <f t="shared" si="35"/>
        <v>0</v>
      </c>
      <c r="BK22" s="250">
        <f t="shared" si="35"/>
        <v>0</v>
      </c>
      <c r="BL22" s="250">
        <f t="shared" si="35"/>
        <v>0</v>
      </c>
      <c r="BM22" s="250">
        <f t="shared" si="35"/>
        <v>0</v>
      </c>
      <c r="BN22" s="250">
        <f t="shared" si="35"/>
        <v>0</v>
      </c>
      <c r="BO22" s="250">
        <f t="shared" si="35"/>
        <v>0</v>
      </c>
      <c r="BP22" s="250">
        <f t="shared" si="35"/>
        <v>0</v>
      </c>
      <c r="BQ22" s="250">
        <f t="shared" ref="BQ22:BU22" si="36">IF(BQ21&gt;0,BQ23/BQ21*10000,0)</f>
        <v>12248.03892086065</v>
      </c>
      <c r="BR22" s="250">
        <f t="shared" si="36"/>
        <v>0</v>
      </c>
      <c r="BS22" s="250">
        <f t="shared" si="36"/>
        <v>0</v>
      </c>
      <c r="BT22" s="250">
        <f t="shared" si="36"/>
        <v>0</v>
      </c>
      <c r="BU22" s="250">
        <f t="shared" si="36"/>
        <v>0</v>
      </c>
    </row>
    <row r="23" spans="1:73" outlineLevel="1">
      <c r="A23" s="132">
        <f>销售计划!A101</f>
        <v>0</v>
      </c>
      <c r="B23" s="133" t="s">
        <v>841</v>
      </c>
      <c r="C23" s="133">
        <f t="shared" ref="C23:C24" si="37">SUM(D23:BU23)</f>
        <v>72477.010935779806</v>
      </c>
      <c r="D23" s="133">
        <f>IF(D$2&lt;基础信息!$E$13,0,IF(D$2=基础信息!$E$13,SUM(销售计划!$D101:E101),销售计划!E101))</f>
        <v>0</v>
      </c>
      <c r="E23" s="133">
        <f>IF(E$2&lt;基础信息!$E$13,0,IF(E$2=基础信息!$E$13,SUM(销售计划!$D101:F101),销售计划!F101))</f>
        <v>0</v>
      </c>
      <c r="F23" s="133">
        <f>IF(F$2&lt;基础信息!$E$13,0,IF(F$2=基础信息!$E$13,SUM(销售计划!$D101:G101),销售计划!G101))</f>
        <v>0</v>
      </c>
      <c r="G23" s="133">
        <f>IF(G$2&lt;基础信息!$E$13,0,IF(G$2=基础信息!$E$13,SUM(销售计划!$D101:H101),销售计划!H101))</f>
        <v>0</v>
      </c>
      <c r="H23" s="133">
        <f>IF(H$2&lt;基础信息!$E$13,0,IF(H$2=基础信息!$E$13,SUM(销售计划!$D101:I101),销售计划!I101))</f>
        <v>0</v>
      </c>
      <c r="I23" s="133">
        <f>IF(I$2&lt;基础信息!$E$13,0,IF(I$2=基础信息!$E$13,SUM(销售计划!$D101:J101),销售计划!J101))</f>
        <v>0</v>
      </c>
      <c r="J23" s="133">
        <f>IF(J$2&lt;基础信息!$E$13,0,IF(J$2=基础信息!$E$13,SUM(销售计划!$D101:K101),销售计划!K101))</f>
        <v>0</v>
      </c>
      <c r="K23" s="133">
        <f>IF(K$2&lt;基础信息!$E$13,0,IF(K$2=基础信息!$E$13,SUM(销售计划!$D101:L101),销售计划!L101))</f>
        <v>0</v>
      </c>
      <c r="L23" s="133">
        <f>IF(L$2&lt;基础信息!$E$13,0,IF(L$2=基础信息!$E$13,SUM(销售计划!$D101:M101),销售计划!M101))</f>
        <v>0</v>
      </c>
      <c r="M23" s="133">
        <f>IF(M$2&lt;基础信息!$E$13,0,IF(M$2=基础信息!$E$13,SUM(销售计划!$D101:N101),销售计划!N101))</f>
        <v>0</v>
      </c>
      <c r="N23" s="133">
        <f>IF(N$2&lt;基础信息!$E$13,0,IF(N$2=基础信息!$E$13,SUM(销售计划!$D101:O101),销售计划!O101))</f>
        <v>0</v>
      </c>
      <c r="O23" s="133">
        <f>IF(O$2&lt;基础信息!$E$13,0,IF(O$2=基础信息!$E$13,SUM(销售计划!$D80:P80),销售计划!P80))</f>
        <v>0</v>
      </c>
      <c r="P23" s="133">
        <f>IF(P$2&lt;基础信息!$E$13,0,IF(P$2=基础信息!$E$13,SUM(销售计划!$D80:Q80),销售计划!Q80))</f>
        <v>0</v>
      </c>
      <c r="Q23" s="133">
        <f>IF(Q$2&lt;基础信息!$E$13,0,IF(Q$2=基础信息!$E$13,SUM(销售计划!$D80:R80),销售计划!R80))</f>
        <v>0</v>
      </c>
      <c r="R23" s="133">
        <f>IF(R$2&lt;基础信息!$E$13,0,IF(R$2=基础信息!$E$13,SUM(销售计划!$D80:S80),销售计划!S80))</f>
        <v>0</v>
      </c>
      <c r="S23" s="133">
        <f>IF(S$2&lt;基础信息!$E$13,0,IF(S$2=基础信息!$E$13,SUM(销售计划!$D80:T80),销售计划!T80))</f>
        <v>0</v>
      </c>
      <c r="T23" s="133">
        <f>IF(T$2&lt;基础信息!$E$13,0,IF(T$2=基础信息!$E$13,SUM(销售计划!$D80:U80),销售计划!U80))</f>
        <v>0</v>
      </c>
      <c r="U23" s="133">
        <f>IF(U$2&lt;基础信息!$E$13,0,IF(U$2=基础信息!$E$13,SUM(销售计划!$D80:V80),销售计划!V80))</f>
        <v>0</v>
      </c>
      <c r="V23" s="133">
        <f>IF(V$2&lt;基础信息!$E$13,0,IF(V$2=基础信息!$E$13,SUM(销售计划!$D80:W80),销售计划!W80))</f>
        <v>0</v>
      </c>
      <c r="W23" s="133">
        <f>IF(W$2&lt;基础信息!$E$13,0,IF(W$2=基础信息!$E$13,SUM(销售计划!$D80:X80),销售计划!X80))</f>
        <v>0</v>
      </c>
      <c r="X23" s="133">
        <f>IF(X$2&lt;基础信息!$E$13,0,IF(X$2=基础信息!$E$13,SUM(销售计划!$D80:Y80),销售计划!Y80))</f>
        <v>0</v>
      </c>
      <c r="Y23" s="133">
        <f>IF(Y$2&lt;基础信息!$E$13,0,IF(Y$2=基础信息!$E$13,SUM(销售计划!$D80:Z80),销售计划!Z80))</f>
        <v>0</v>
      </c>
      <c r="Z23" s="133">
        <f>IF(Z$2&lt;基础信息!$E$13,0,IF(Z$2=基础信息!$E$13,SUM(销售计划!$D80:AA80),销售计划!AA80))</f>
        <v>0</v>
      </c>
      <c r="AA23" s="133">
        <f>IF(AA$2&lt;基础信息!$E$13,0,IF(AA$2=基础信息!$E$13,SUM(销售计划!$D80:AB80),销售计划!AB80))</f>
        <v>0</v>
      </c>
      <c r="AB23" s="133">
        <f>IF(AB$2&lt;基础信息!$E$13,0,IF(AB$2=基础信息!$E$13,SUM(销售计划!$D80:AC80),销售计划!AC80))</f>
        <v>0</v>
      </c>
      <c r="AC23" s="133">
        <f>IF(AC$2&lt;基础信息!$E$13,0,IF(AC$2=基础信息!$E$13,SUM(销售计划!$D80:AD80),销售计划!AD80))</f>
        <v>0</v>
      </c>
      <c r="AD23" s="133">
        <f>IF(AD$2&lt;基础信息!$E$13,0,IF(AD$2=基础信息!$E$13,SUM(销售计划!$D80:AE80),销售计划!AE80))</f>
        <v>0</v>
      </c>
      <c r="AE23" s="133">
        <f>IF(AE$2&lt;基础信息!$E$13,0,IF(AE$2=基础信息!$E$13,SUM(销售计划!$D80:AF80),销售计划!AF80))</f>
        <v>0</v>
      </c>
      <c r="AF23" s="133">
        <f>IF(AF$2&lt;基础信息!$E$13,0,IF(AF$2=基础信息!$E$13,SUM(销售计划!$D80:AG80),销售计划!AG80))</f>
        <v>0</v>
      </c>
      <c r="AG23" s="133">
        <f>IF(AG$2&lt;基础信息!$E$13,0,IF(AG$2=基础信息!$E$13,SUM(销售计划!$D80:AH80),销售计划!AH80))</f>
        <v>0</v>
      </c>
      <c r="AH23" s="133">
        <f>IF(AH$2&lt;基础信息!$E$13,0,IF(AH$2=基础信息!$E$13,SUM(销售计划!$D80:AI80),销售计划!AI80))</f>
        <v>0</v>
      </c>
      <c r="AI23" s="133">
        <f>IF(AI$2&lt;基础信息!$E$13,0,IF(AI$2=基础信息!$E$13,SUM(销售计划!$D80:AJ80),销售计划!AJ80))</f>
        <v>0</v>
      </c>
      <c r="AJ23" s="133">
        <f>IF(AJ$2&lt;基础信息!$E$13,0,IF(AJ$2=基础信息!$E$13,SUM(销售计划!$D80:AK80),销售计划!AK80))</f>
        <v>0</v>
      </c>
      <c r="AK23" s="133">
        <f>IF(AK$2&lt;基础信息!$E$13,0,IF(AK$2=基础信息!$E$13,SUM(销售计划!$D80:AL80),销售计划!AL80))</f>
        <v>0</v>
      </c>
      <c r="AL23" s="133">
        <f>IF(AL$2&lt;基础信息!$E$13,0,IF(AL$2=基础信息!$E$13,SUM(销售计划!$D80:AM80),销售计划!AM80))</f>
        <v>0</v>
      </c>
      <c r="AM23" s="133">
        <f>IF(AM$2&lt;基础信息!$E$13,0,IF(AM$2=基础信息!$E$13,SUM(销售计划!$D80:AN80),销售计划!AN80))</f>
        <v>0</v>
      </c>
      <c r="AN23" s="133">
        <f>IF(AN$2&lt;基础信息!$E$13,0,IF(AN$2=基础信息!$E$13,SUM(销售计划!$D80:AO80),销售计划!AO80))</f>
        <v>0</v>
      </c>
      <c r="AO23" s="133">
        <f>IF(AO$2&lt;基础信息!$E$13,0,IF(AO$2=基础信息!$E$13,SUM(销售计划!$D80:AP80),销售计划!AP80))</f>
        <v>0</v>
      </c>
      <c r="AP23" s="133">
        <f>IF(AP$2&lt;基础信息!$E$13,0,IF(AP$2=基础信息!$E$13,SUM(销售计划!$D80:AQ80),销售计划!AQ80))</f>
        <v>0</v>
      </c>
      <c r="AQ23" s="133">
        <f>IF(AQ$2&lt;基础信息!$E$13,0,IF(AQ$2=基础信息!$E$13,SUM(销售计划!$D80:AR80),销售计划!AR80))</f>
        <v>0</v>
      </c>
      <c r="AR23" s="133">
        <f>IF(AR$2&lt;基础信息!$E$13,0,IF(AR$2=基础信息!$E$13,SUM(销售计划!$D80:AS80),销售计划!AS80))</f>
        <v>0</v>
      </c>
      <c r="AS23" s="133">
        <f>IF(AS$2&lt;基础信息!$E$13,0,IF(AS$2=基础信息!$E$13,SUM(销售计划!$D80:AT80),销售计划!AT80))</f>
        <v>0</v>
      </c>
      <c r="AT23" s="133">
        <f>IF(AT$2&lt;基础信息!$E$13,0,IF(AT$2=基础信息!$E$13,SUM(销售计划!$D80:AU80),销售计划!AU80))</f>
        <v>0</v>
      </c>
      <c r="AU23" s="133">
        <f>IF(AU$2&lt;基础信息!$E$13,0,IF(AU$2=基础信息!$E$13,SUM(销售计划!$D80:AV80),销售计划!AV80))</f>
        <v>0</v>
      </c>
      <c r="AV23" s="133">
        <f>IF(AV$2&lt;基础信息!$E$13,0,IF(AV$2=基础信息!$E$13,SUM(销售计划!$D80:AW80),销售计划!AW80))</f>
        <v>0</v>
      </c>
      <c r="AW23" s="133">
        <f>IF(AW$2&lt;基础信息!$E$13,0,IF(AW$2=基础信息!$E$13,SUM(销售计划!$D80:AX80),销售计划!AX80))</f>
        <v>0</v>
      </c>
      <c r="AX23" s="133">
        <f>IF(AX$2&lt;基础信息!$E$13,0,IF(AX$2=基础信息!$E$13,SUM(销售计划!$D80:AY80),销售计划!AY80))</f>
        <v>0</v>
      </c>
      <c r="AY23" s="133">
        <f>IF(AY$2&lt;基础信息!$E$13,0,IF(AY$2=基础信息!$E$13,SUM(销售计划!$D80:AZ80),销售计划!AZ80))</f>
        <v>0</v>
      </c>
      <c r="AZ23" s="133">
        <f>IF(AZ$2&lt;基础信息!$E$13,0,IF(AZ$2=基础信息!$E$13,SUM(销售计划!$D80:BA80),销售计划!BA80))</f>
        <v>0</v>
      </c>
      <c r="BA23" s="133">
        <f>IF(BA$2&lt;基础信息!$E$13,0,IF(BA$2=基础信息!$E$13,SUM(销售计划!$D80:BB80),销售计划!BB80))</f>
        <v>0</v>
      </c>
      <c r="BB23" s="133">
        <f>IF(BB$2&lt;基础信息!$E$13,0,IF(BB$2=基础信息!$E$13,SUM(销售计划!$D80:BC80),销售计划!BC80))</f>
        <v>0</v>
      </c>
      <c r="BC23" s="133">
        <f>IF(BC$2&lt;基础信息!$E$13,0,IF(BC$2=基础信息!$E$13,SUM(销售计划!$D80:BD80),销售计划!BD80))</f>
        <v>0</v>
      </c>
      <c r="BD23" s="133">
        <f>IF(BD$2&lt;基础信息!$E$13,0,IF(BD$2=基础信息!$E$13,SUM(销售计划!$D80:BE80),销售计划!BE80))</f>
        <v>0</v>
      </c>
      <c r="BE23" s="133">
        <f>IF(BE$2&lt;基础信息!$E$13,0,IF(BE$2=基础信息!$E$13,SUM(销售计划!$D80:BF80),销售计划!BF80))</f>
        <v>0</v>
      </c>
      <c r="BF23" s="133">
        <f>IF(BF$2&lt;基础信息!$E$13,0,IF(BF$2=基础信息!$E$13,SUM(销售计划!$D80:BG80),销售计划!BG80))</f>
        <v>0</v>
      </c>
      <c r="BG23" s="133">
        <f>IF(BG$2&lt;基础信息!$E$13,0,IF(BG$2=基础信息!$E$13,SUM(销售计划!$D80:BH80),销售计划!BH80))</f>
        <v>0</v>
      </c>
      <c r="BH23" s="133">
        <f>IF(BH$2&lt;基础信息!$E$13,0,IF(BH$2=基础信息!$E$13,SUM(销售计划!$D80:BI80),销售计划!BI80))</f>
        <v>0</v>
      </c>
      <c r="BI23" s="133">
        <f>IF(BI$2&lt;基础信息!$E$13,0,IF(BI$2=基础信息!$E$13,SUM(销售计划!$D80:BJ80),销售计划!BJ80))</f>
        <v>0</v>
      </c>
      <c r="BJ23" s="133">
        <f>IF(BJ$2&lt;基础信息!$E$13,0,IF(BJ$2=基础信息!$E$13,SUM(销售计划!$D80:BK80),销售计划!BK80))</f>
        <v>0</v>
      </c>
      <c r="BK23" s="133">
        <f>IF(BK$2&lt;基础信息!$E$13,0,IF(BK$2=基础信息!$E$13,SUM(销售计划!$D80:BL80),销售计划!BL80))</f>
        <v>0</v>
      </c>
      <c r="BL23" s="133">
        <f>IF(BL$2&lt;基础信息!$E$13,0,IF(BL$2=基础信息!$E$13,SUM(销售计划!$D80:BM80),销售计划!BM80))</f>
        <v>0</v>
      </c>
      <c r="BM23" s="133">
        <f>IF(BM$2&lt;基础信息!$E$13,0,IF(BM$2=基础信息!$E$13,SUM(销售计划!$D80:BN80),销售计划!BN80))</f>
        <v>0</v>
      </c>
      <c r="BN23" s="133">
        <f>IF(BN$2&lt;基础信息!$E$13,0,IF(BN$2=基础信息!$E$13,SUM(销售计划!$D80:BO80),销售计划!BO80))</f>
        <v>0</v>
      </c>
      <c r="BO23" s="133">
        <f>IF(BO$2&lt;基础信息!$E$13,0,IF(BO$2=基础信息!$E$13,SUM(销售计划!$D80:BP80),销售计划!BP80))</f>
        <v>0</v>
      </c>
      <c r="BP23" s="133">
        <f>IF(BP$2&lt;基础信息!$E$13,0,IF(BP$2=基础信息!$E$13,SUM(销售计划!$D80:BQ80),销售计划!BQ80))</f>
        <v>0</v>
      </c>
      <c r="BQ23" s="133">
        <f>IF(BQ$2&lt;基础信息!$E$13,0,IF(BQ$2=基础信息!$E$13,SUM(销售计划!$D80:BR80),销售计划!BR80))</f>
        <v>72477.010935779806</v>
      </c>
      <c r="BR23" s="133">
        <f>IF(BR$2&lt;基础信息!$E$13,0,IF(BR$2=基础信息!$E$13,SUM(销售计划!$D80:BS80),销售计划!BS80))</f>
        <v>0</v>
      </c>
      <c r="BS23" s="133">
        <f>IF(BS$2&lt;基础信息!$E$13,0,IF(BS$2=基础信息!$E$13,SUM(销售计划!$D80:BT80),销售计划!BT80))</f>
        <v>0</v>
      </c>
      <c r="BT23" s="133">
        <f>IF(BT$2&lt;基础信息!$E$13,0,IF(BT$2=基础信息!$E$13,SUM(销售计划!$D80:BU80),销售计划!BU80))</f>
        <v>0</v>
      </c>
      <c r="BU23" s="133">
        <f>IF(BU$2&lt;基础信息!$E$13,0,IF(BU$2=基础信息!$E$13,SUM(销售计划!$D80:BV80),销售计划!BV80))</f>
        <v>0</v>
      </c>
    </row>
    <row r="24" spans="1:73" s="126" customFormat="1" ht="13" outlineLevel="1">
      <c r="A24" s="127" t="str">
        <f>销售计划!A24</f>
        <v>临街商业</v>
      </c>
      <c r="B24" s="128" t="s">
        <v>258</v>
      </c>
      <c r="C24" s="128">
        <f t="shared" si="37"/>
        <v>1058.93</v>
      </c>
      <c r="D24" s="250">
        <f>IF(D$2&lt;基础信息!$E$13,0,IF(D$2=基础信息!$E$13,SUM(销售计划!$D102:E102),销售计划!E102))</f>
        <v>0</v>
      </c>
      <c r="E24" s="250">
        <f>IF(E$2&lt;基础信息!$E$13,0,IF(E$2=基础信息!$E$13,SUM(销售计划!$D102:F102),销售计划!F102))</f>
        <v>0</v>
      </c>
      <c r="F24" s="250">
        <f>IF(F$2&lt;基础信息!$E$13,0,IF(F$2=基础信息!$E$13,SUM(销售计划!$D102:G102),销售计划!G102))</f>
        <v>0</v>
      </c>
      <c r="G24" s="250">
        <f>IF(G$2&lt;基础信息!$E$13,0,IF(G$2=基础信息!$E$13,SUM(销售计划!$D102:H102),销售计划!H102))</f>
        <v>0</v>
      </c>
      <c r="H24" s="250">
        <f>IF(H$2&lt;基础信息!$E$13,0,IF(H$2=基础信息!$E$13,SUM(销售计划!$D102:I102),销售计划!I102))</f>
        <v>0</v>
      </c>
      <c r="I24" s="250">
        <f>IF(I$2&lt;基础信息!$E$13,0,IF(I$2=基础信息!$E$13,SUM(销售计划!$D102:J102),销售计划!J102))</f>
        <v>0</v>
      </c>
      <c r="J24" s="250">
        <f>IF(J$2&lt;基础信息!$E$13,0,IF(J$2=基础信息!$E$13,SUM(销售计划!$D102:K102),销售计划!K102))</f>
        <v>0</v>
      </c>
      <c r="K24" s="250">
        <f>IF(K$2&lt;基础信息!$E$13,0,IF(K$2=基础信息!$E$13,SUM(销售计划!$D102:L102),销售计划!L102))</f>
        <v>0</v>
      </c>
      <c r="L24" s="250">
        <f>IF(L$2&lt;基础信息!$E$13,0,IF(L$2=基础信息!$E$13,SUM(销售计划!$D102:M102),销售计划!M102))</f>
        <v>0</v>
      </c>
      <c r="M24" s="250">
        <f>IF(M$2&lt;基础信息!$E$13,0,IF(M$2=基础信息!$E$13,SUM(销售计划!$D102:N102),销售计划!N102))</f>
        <v>0</v>
      </c>
      <c r="N24" s="250">
        <f>IF(N$2&lt;基础信息!$E$13,0,IF(N$2=基础信息!$E$13,SUM(销售计划!$D81:O81),销售计划!O81))</f>
        <v>0</v>
      </c>
      <c r="O24" s="250">
        <f>IF(O$2&lt;基础信息!$E$13,0,IF(O$2=基础信息!$E$13,SUM(销售计划!$D81:P81),销售计划!P81))</f>
        <v>0</v>
      </c>
      <c r="P24" s="250">
        <f>IF(P$2&lt;基础信息!$E$13,0,IF(P$2=基础信息!$E$13,SUM(销售计划!$D81:Q81),销售计划!Q81))</f>
        <v>0</v>
      </c>
      <c r="Q24" s="250">
        <f>IF(Q$2&lt;基础信息!$E$13,0,IF(Q$2=基础信息!$E$13,SUM(销售计划!$D81:R81),销售计划!R81))</f>
        <v>0</v>
      </c>
      <c r="R24" s="250">
        <f>IF(R$2&lt;基础信息!$E$13,0,IF(R$2=基础信息!$E$13,SUM(销售计划!$D81:S81),销售计划!S81))</f>
        <v>0</v>
      </c>
      <c r="S24" s="250">
        <f>IF(S$2&lt;基础信息!$E$13,0,IF(S$2=基础信息!$E$13,SUM(销售计划!$D81:T81),销售计划!T81))</f>
        <v>0</v>
      </c>
      <c r="T24" s="250">
        <f>IF(T$2&lt;基础信息!$E$13,0,IF(T$2=基础信息!$E$13,SUM(销售计划!$D81:U81),销售计划!U81))</f>
        <v>0</v>
      </c>
      <c r="U24" s="250">
        <f>IF(U$2&lt;基础信息!$E$13,0,IF(U$2=基础信息!$E$13,SUM(销售计划!$D81:V81),销售计划!V81))</f>
        <v>0</v>
      </c>
      <c r="V24" s="250">
        <f>IF(V$2&lt;基础信息!$E$13,0,IF(V$2=基础信息!$E$13,SUM(销售计划!$D81:W81),销售计划!W81))</f>
        <v>0</v>
      </c>
      <c r="W24" s="250">
        <f>IF(W$2&lt;基础信息!$E$13,0,IF(W$2=基础信息!$E$13,SUM(销售计划!$D81:X81),销售计划!X81))</f>
        <v>0</v>
      </c>
      <c r="X24" s="250">
        <f>IF(X$2&lt;基础信息!$E$13,0,IF(X$2=基础信息!$E$13,SUM(销售计划!$D81:Y81),销售计划!Y81))</f>
        <v>0</v>
      </c>
      <c r="Y24" s="250">
        <f>IF(Y$2&lt;基础信息!$E$13,0,IF(Y$2=基础信息!$E$13,SUM(销售计划!$D81:Z81),销售计划!Z81))</f>
        <v>0</v>
      </c>
      <c r="Z24" s="250">
        <f>IF(Z$2&lt;基础信息!$E$13,0,IF(Z$2=基础信息!$E$13,SUM(销售计划!$D81:AA81),销售计划!AA81))</f>
        <v>0</v>
      </c>
      <c r="AA24" s="250">
        <f>IF(AA$2&lt;基础信息!$E$13,0,IF(AA$2=基础信息!$E$13,SUM(销售计划!$D81:AB81),销售计划!AB81))</f>
        <v>0</v>
      </c>
      <c r="AB24" s="250">
        <f>IF(AB$2&lt;基础信息!$E$13,0,IF(AB$2=基础信息!$E$13,SUM(销售计划!$D81:AC81),销售计划!AC81))</f>
        <v>0</v>
      </c>
      <c r="AC24" s="250">
        <f>IF(AC$2&lt;基础信息!$E$13,0,IF(AC$2=基础信息!$E$13,SUM(销售计划!$D81:AD81),销售计划!AD81))</f>
        <v>0</v>
      </c>
      <c r="AD24" s="250">
        <f>IF(AD$2&lt;基础信息!$E$13,0,IF(AD$2=基础信息!$E$13,SUM(销售计划!$D81:AE81),销售计划!AE81))</f>
        <v>0</v>
      </c>
      <c r="AE24" s="250">
        <f>IF(AE$2&lt;基础信息!$E$13,0,IF(AE$2=基础信息!$E$13,SUM(销售计划!$D81:AF81),销售计划!AF81))</f>
        <v>0</v>
      </c>
      <c r="AF24" s="250">
        <f>IF(AF$2&lt;基础信息!$E$13,0,IF(AF$2=基础信息!$E$13,SUM(销售计划!$D81:AG81),销售计划!AG81))</f>
        <v>0</v>
      </c>
      <c r="AG24" s="250">
        <f>IF(AG$2&lt;基础信息!$E$13,0,IF(AG$2=基础信息!$E$13,SUM(销售计划!$D81:AH81),销售计划!AH81))</f>
        <v>0</v>
      </c>
      <c r="AH24" s="250">
        <f>IF(AH$2&lt;基础信息!$E$13,0,IF(AH$2=基础信息!$E$13,SUM(销售计划!$D81:AI81),销售计划!AI81))</f>
        <v>0</v>
      </c>
      <c r="AI24" s="250">
        <f>IF(AI$2&lt;基础信息!$E$13,0,IF(AI$2=基础信息!$E$13,SUM(销售计划!$D81:AJ81),销售计划!AJ81))</f>
        <v>0</v>
      </c>
      <c r="AJ24" s="250">
        <f>IF(AJ$2&lt;基础信息!$E$13,0,IF(AJ$2=基础信息!$E$13,SUM(销售计划!$D81:AK81),销售计划!AK81))</f>
        <v>0</v>
      </c>
      <c r="AK24" s="250">
        <f>IF(AK$2&lt;基础信息!$E$13,0,IF(AK$2=基础信息!$E$13,SUM(销售计划!$D81:AL81),销售计划!AL81))</f>
        <v>0</v>
      </c>
      <c r="AL24" s="250">
        <f>IF(AL$2&lt;基础信息!$E$13,0,IF(AL$2=基础信息!$E$13,SUM(销售计划!$D81:AM81),销售计划!AM81))</f>
        <v>0</v>
      </c>
      <c r="AM24" s="250">
        <f>IF(AM$2&lt;基础信息!$E$13,0,IF(AM$2=基础信息!$E$13,SUM(销售计划!$D81:AN81),销售计划!AN81))</f>
        <v>0</v>
      </c>
      <c r="AN24" s="250">
        <f>IF(AN$2&lt;基础信息!$E$13,0,IF(AN$2=基础信息!$E$13,SUM(销售计划!$D81:AO81),销售计划!AO81))</f>
        <v>0</v>
      </c>
      <c r="AO24" s="250">
        <f>IF(AO$2&lt;基础信息!$E$13,0,IF(AO$2=基础信息!$E$13,SUM(销售计划!$D81:AP81),销售计划!AP81))</f>
        <v>0</v>
      </c>
      <c r="AP24" s="250">
        <f>IF(AP$2&lt;基础信息!$E$13,0,IF(AP$2=基础信息!$E$13,SUM(销售计划!$D81:AQ81),销售计划!AQ81))</f>
        <v>0</v>
      </c>
      <c r="AQ24" s="250">
        <f>IF(AQ$2&lt;基础信息!$E$13,0,IF(AQ$2=基础信息!$E$13,SUM(销售计划!$D81:AR81),销售计划!AR81))</f>
        <v>0</v>
      </c>
      <c r="AR24" s="250">
        <f>IF(AR$2&lt;基础信息!$E$13,0,IF(AR$2=基础信息!$E$13,SUM(销售计划!$D81:AS81),销售计划!AS81))</f>
        <v>0</v>
      </c>
      <c r="AS24" s="250">
        <f>IF(AS$2&lt;基础信息!$E$13,0,IF(AS$2=基础信息!$E$13,SUM(销售计划!$D81:AT81),销售计划!AT81))</f>
        <v>0</v>
      </c>
      <c r="AT24" s="250">
        <f>IF(AT$2&lt;基础信息!$E$13,0,IF(AT$2=基础信息!$E$13,SUM(销售计划!$D81:AU81),销售计划!AU81))</f>
        <v>0</v>
      </c>
      <c r="AU24" s="250">
        <f>IF(AU$2&lt;基础信息!$E$13,0,IF(AU$2=基础信息!$E$13,SUM(销售计划!$D81:AV81),销售计划!AV81))</f>
        <v>0</v>
      </c>
      <c r="AV24" s="250">
        <f>IF(AV$2&lt;基础信息!$E$13,0,IF(AV$2=基础信息!$E$13,SUM(销售计划!$D81:AW81),销售计划!AW81))</f>
        <v>0</v>
      </c>
      <c r="AW24" s="250">
        <f>IF(AW$2&lt;基础信息!$E$13,0,IF(AW$2=基础信息!$E$13,SUM(销售计划!$D81:AX81),销售计划!AX81))</f>
        <v>0</v>
      </c>
      <c r="AX24" s="250">
        <f>IF(AX$2&lt;基础信息!$E$13,0,IF(AX$2=基础信息!$E$13,SUM(销售计划!$D81:AY81),销售计划!AY81))</f>
        <v>0</v>
      </c>
      <c r="AY24" s="250">
        <f>IF(AY$2&lt;基础信息!$E$13,0,IF(AY$2=基础信息!$E$13,SUM(销售计划!$D81:AZ81),销售计划!AZ81))</f>
        <v>0</v>
      </c>
      <c r="AZ24" s="250">
        <f>IF(AZ$2&lt;基础信息!$E$13,0,IF(AZ$2=基础信息!$E$13,SUM(销售计划!$D81:BA81),销售计划!BA81))</f>
        <v>0</v>
      </c>
      <c r="BA24" s="250">
        <f>IF(BA$2&lt;基础信息!$E$13,0,IF(BA$2=基础信息!$E$13,SUM(销售计划!$D81:BB81),销售计划!BB81))</f>
        <v>0</v>
      </c>
      <c r="BB24" s="250">
        <f>IF(BB$2&lt;基础信息!$E$13,0,IF(BB$2=基础信息!$E$13,SUM(销售计划!$D81:BC81),销售计划!BC81))</f>
        <v>0</v>
      </c>
      <c r="BC24" s="250">
        <f>IF(BC$2&lt;基础信息!$E$13,0,IF(BC$2=基础信息!$E$13,SUM(销售计划!$D81:BD81),销售计划!BD81))</f>
        <v>0</v>
      </c>
      <c r="BD24" s="250">
        <f>IF(BD$2&lt;基础信息!$E$13,0,IF(BD$2=基础信息!$E$13,SUM(销售计划!$D81:BE81),销售计划!BE81))</f>
        <v>0</v>
      </c>
      <c r="BE24" s="250">
        <f>IF(BE$2&lt;基础信息!$E$13,0,IF(BE$2=基础信息!$E$13,SUM(销售计划!$D81:BF81),销售计划!BF81))</f>
        <v>0</v>
      </c>
      <c r="BF24" s="250">
        <f>IF(BF$2&lt;基础信息!$E$13,0,IF(BF$2=基础信息!$E$13,SUM(销售计划!$D81:BG81),销售计划!BG81))</f>
        <v>0</v>
      </c>
      <c r="BG24" s="250">
        <f>IF(BG$2&lt;基础信息!$E$13,0,IF(BG$2=基础信息!$E$13,SUM(销售计划!$D81:BH81),销售计划!BH81))</f>
        <v>0</v>
      </c>
      <c r="BH24" s="250">
        <f>IF(BH$2&lt;基础信息!$E$13,0,IF(BH$2=基础信息!$E$13,SUM(销售计划!$D81:BI81),销售计划!BI81))</f>
        <v>0</v>
      </c>
      <c r="BI24" s="250">
        <f>IF(BI$2&lt;基础信息!$E$13,0,IF(BI$2=基础信息!$E$13,SUM(销售计划!$D81:BJ81),销售计划!BJ81))</f>
        <v>0</v>
      </c>
      <c r="BJ24" s="250">
        <f>IF(BJ$2&lt;基础信息!$E$13,0,IF(BJ$2=基础信息!$E$13,SUM(销售计划!$D81:BK81),销售计划!BK81))</f>
        <v>0</v>
      </c>
      <c r="BK24" s="250">
        <f>IF(BK$2&lt;基础信息!$E$13,0,IF(BK$2=基础信息!$E$13,SUM(销售计划!$D81:BL81),销售计划!BL81))</f>
        <v>0</v>
      </c>
      <c r="BL24" s="250">
        <f>IF(BL$2&lt;基础信息!$E$13,0,IF(BL$2=基础信息!$E$13,SUM(销售计划!$D81:BM81),销售计划!BM81))</f>
        <v>0</v>
      </c>
      <c r="BM24" s="250">
        <f>IF(BM$2&lt;基础信息!$E$13,0,IF(BM$2=基础信息!$E$13,SUM(销售计划!$D81:BN81),销售计划!BN81))</f>
        <v>0</v>
      </c>
      <c r="BN24" s="250">
        <f>IF(BN$2&lt;基础信息!$E$13,0,IF(BN$2=基础信息!$E$13,SUM(销售计划!$D81:BO81),销售计划!BO81))</f>
        <v>0</v>
      </c>
      <c r="BO24" s="250">
        <f>IF(BO$2&lt;基础信息!$E$13,0,IF(BO$2=基础信息!$E$13,SUM(销售计划!$D81:BP81),销售计划!BP81))</f>
        <v>0</v>
      </c>
      <c r="BP24" s="250">
        <f>IF(BP$2&lt;基础信息!$E$13,0,IF(BP$2=基础信息!$E$13,SUM(销售计划!$D81:BQ81),销售计划!BQ81))</f>
        <v>0</v>
      </c>
      <c r="BQ24" s="250">
        <f>IF(BQ$2&lt;基础信息!$E$13,0,IF(BQ$2=基础信息!$E$13,SUM(销售计划!$D81:BR81),销售计划!BR81))</f>
        <v>1058.93</v>
      </c>
      <c r="BR24" s="250">
        <f>IF(BR$2&lt;基础信息!$E$13,0,IF(BR$2=基础信息!$E$13,SUM(销售计划!$D81:BS81),销售计划!BS81))</f>
        <v>0</v>
      </c>
      <c r="BS24" s="250">
        <f>IF(BS$2&lt;基础信息!$E$13,0,IF(BS$2=基础信息!$E$13,SUM(销售计划!$D81:BT81),销售计划!BT81))</f>
        <v>0</v>
      </c>
      <c r="BT24" s="250">
        <f>IF(BT$2&lt;基础信息!$E$13,0,IF(BT$2=基础信息!$E$13,SUM(销售计划!$D81:BU81),销售计划!BU81))</f>
        <v>0</v>
      </c>
      <c r="BU24" s="250">
        <f>IF(BU$2&lt;基础信息!$E$13,0,IF(BU$2=基础信息!$E$13,SUM(销售计划!$D81:BV81),销售计划!BV81))</f>
        <v>0</v>
      </c>
    </row>
    <row r="25" spans="1:73" s="126" customFormat="1" ht="13" outlineLevel="1">
      <c r="A25" s="127">
        <f>销售计划!A103</f>
        <v>0</v>
      </c>
      <c r="B25" s="128" t="s">
        <v>840</v>
      </c>
      <c r="C25" s="128">
        <f t="shared" ref="C25:AS25" si="38">IF(C24&gt;0,C26/C24*10000,0)</f>
        <v>24770.984420226159</v>
      </c>
      <c r="D25" s="250">
        <f t="shared" si="38"/>
        <v>0</v>
      </c>
      <c r="E25" s="250">
        <f t="shared" si="38"/>
        <v>0</v>
      </c>
      <c r="F25" s="128">
        <f t="shared" si="38"/>
        <v>0</v>
      </c>
      <c r="G25" s="128">
        <f t="shared" si="38"/>
        <v>0</v>
      </c>
      <c r="H25" s="250">
        <f t="shared" si="38"/>
        <v>0</v>
      </c>
      <c r="I25" s="250">
        <f t="shared" si="38"/>
        <v>0</v>
      </c>
      <c r="J25" s="250">
        <f t="shared" si="38"/>
        <v>0</v>
      </c>
      <c r="K25" s="250">
        <f t="shared" si="38"/>
        <v>0</v>
      </c>
      <c r="L25" s="250">
        <f t="shared" si="38"/>
        <v>0</v>
      </c>
      <c r="M25" s="250">
        <f t="shared" si="38"/>
        <v>0</v>
      </c>
      <c r="N25" s="250">
        <f t="shared" si="38"/>
        <v>0</v>
      </c>
      <c r="O25" s="250">
        <f t="shared" si="38"/>
        <v>0</v>
      </c>
      <c r="P25" s="250">
        <f t="shared" si="38"/>
        <v>0</v>
      </c>
      <c r="Q25" s="250">
        <f t="shared" si="38"/>
        <v>0</v>
      </c>
      <c r="R25" s="250">
        <f t="shared" si="38"/>
        <v>0</v>
      </c>
      <c r="S25" s="250">
        <f t="shared" si="38"/>
        <v>0</v>
      </c>
      <c r="T25" s="250">
        <f t="shared" si="38"/>
        <v>0</v>
      </c>
      <c r="U25" s="250">
        <f t="shared" si="38"/>
        <v>0</v>
      </c>
      <c r="V25" s="250">
        <f t="shared" si="38"/>
        <v>0</v>
      </c>
      <c r="W25" s="250">
        <f t="shared" si="38"/>
        <v>0</v>
      </c>
      <c r="X25" s="250">
        <f t="shared" si="38"/>
        <v>0</v>
      </c>
      <c r="Y25" s="250">
        <f t="shared" si="38"/>
        <v>0</v>
      </c>
      <c r="Z25" s="250">
        <f t="shared" si="38"/>
        <v>0</v>
      </c>
      <c r="AA25" s="250">
        <f t="shared" si="38"/>
        <v>0</v>
      </c>
      <c r="AB25" s="250">
        <f t="shared" si="38"/>
        <v>0</v>
      </c>
      <c r="AC25" s="250">
        <f t="shared" si="38"/>
        <v>0</v>
      </c>
      <c r="AD25" s="250">
        <f t="shared" si="38"/>
        <v>0</v>
      </c>
      <c r="AE25" s="250">
        <f t="shared" si="38"/>
        <v>0</v>
      </c>
      <c r="AF25" s="250">
        <f t="shared" si="38"/>
        <v>0</v>
      </c>
      <c r="AG25" s="250">
        <f t="shared" si="38"/>
        <v>0</v>
      </c>
      <c r="AH25" s="250">
        <f t="shared" si="38"/>
        <v>0</v>
      </c>
      <c r="AI25" s="250">
        <f t="shared" si="38"/>
        <v>0</v>
      </c>
      <c r="AJ25" s="250">
        <f t="shared" si="38"/>
        <v>0</v>
      </c>
      <c r="AK25" s="250">
        <f t="shared" si="38"/>
        <v>0</v>
      </c>
      <c r="AL25" s="250">
        <f t="shared" si="38"/>
        <v>0</v>
      </c>
      <c r="AM25" s="250">
        <f t="shared" si="38"/>
        <v>0</v>
      </c>
      <c r="AN25" s="250">
        <f t="shared" si="38"/>
        <v>0</v>
      </c>
      <c r="AO25" s="250">
        <f t="shared" si="38"/>
        <v>0</v>
      </c>
      <c r="AP25" s="250">
        <f t="shared" si="38"/>
        <v>0</v>
      </c>
      <c r="AQ25" s="250">
        <f t="shared" si="38"/>
        <v>0</v>
      </c>
      <c r="AR25" s="250">
        <f t="shared" si="38"/>
        <v>0</v>
      </c>
      <c r="AS25" s="250">
        <f t="shared" si="38"/>
        <v>0</v>
      </c>
      <c r="AT25" s="250">
        <f t="shared" ref="AT25:BP25" si="39">IF(AT24&gt;0,AT26/AT24*10000,0)</f>
        <v>0</v>
      </c>
      <c r="AU25" s="250">
        <f t="shared" si="39"/>
        <v>0</v>
      </c>
      <c r="AV25" s="250">
        <f t="shared" si="39"/>
        <v>0</v>
      </c>
      <c r="AW25" s="250">
        <f t="shared" si="39"/>
        <v>0</v>
      </c>
      <c r="AX25" s="250">
        <f t="shared" si="39"/>
        <v>0</v>
      </c>
      <c r="AY25" s="250">
        <f t="shared" si="39"/>
        <v>0</v>
      </c>
      <c r="AZ25" s="250">
        <f t="shared" si="39"/>
        <v>0</v>
      </c>
      <c r="BA25" s="250">
        <f t="shared" si="39"/>
        <v>0</v>
      </c>
      <c r="BB25" s="250">
        <f t="shared" si="39"/>
        <v>0</v>
      </c>
      <c r="BC25" s="250">
        <f t="shared" si="39"/>
        <v>0</v>
      </c>
      <c r="BD25" s="250">
        <f t="shared" si="39"/>
        <v>0</v>
      </c>
      <c r="BE25" s="250">
        <f t="shared" si="39"/>
        <v>0</v>
      </c>
      <c r="BF25" s="250">
        <f t="shared" si="39"/>
        <v>0</v>
      </c>
      <c r="BG25" s="250">
        <f t="shared" si="39"/>
        <v>0</v>
      </c>
      <c r="BH25" s="250">
        <f t="shared" si="39"/>
        <v>0</v>
      </c>
      <c r="BI25" s="250">
        <f t="shared" si="39"/>
        <v>0</v>
      </c>
      <c r="BJ25" s="250">
        <f t="shared" si="39"/>
        <v>0</v>
      </c>
      <c r="BK25" s="250">
        <f t="shared" si="39"/>
        <v>0</v>
      </c>
      <c r="BL25" s="250">
        <f t="shared" si="39"/>
        <v>0</v>
      </c>
      <c r="BM25" s="250">
        <f t="shared" si="39"/>
        <v>0</v>
      </c>
      <c r="BN25" s="250">
        <f t="shared" si="39"/>
        <v>0</v>
      </c>
      <c r="BO25" s="250">
        <f t="shared" si="39"/>
        <v>0</v>
      </c>
      <c r="BP25" s="250">
        <f t="shared" si="39"/>
        <v>0</v>
      </c>
      <c r="BQ25" s="250">
        <f t="shared" ref="BQ25:BU25" si="40">IF(BQ24&gt;0,BQ26/BQ24*10000,0)</f>
        <v>24770.984420226159</v>
      </c>
      <c r="BR25" s="250">
        <f t="shared" si="40"/>
        <v>0</v>
      </c>
      <c r="BS25" s="250">
        <f t="shared" si="40"/>
        <v>0</v>
      </c>
      <c r="BT25" s="250">
        <f t="shared" si="40"/>
        <v>0</v>
      </c>
      <c r="BU25" s="250">
        <f t="shared" si="40"/>
        <v>0</v>
      </c>
    </row>
    <row r="26" spans="1:73" outlineLevel="1">
      <c r="A26" s="132">
        <f>销售计划!A104</f>
        <v>0</v>
      </c>
      <c r="B26" s="133" t="s">
        <v>841</v>
      </c>
      <c r="C26" s="133">
        <f t="shared" ref="C26:C27" si="41">SUM(D26:BU26)</f>
        <v>2623.073853211009</v>
      </c>
      <c r="D26" s="133">
        <f>IF(D$2&lt;基础信息!$E$13,0,IF(D$2=基础信息!$E$13,SUM(销售计划!$D104:E104),销售计划!E104))</f>
        <v>0</v>
      </c>
      <c r="E26" s="133">
        <f>IF(E$2&lt;基础信息!$E$13,0,IF(E$2=基础信息!$E$13,SUM(销售计划!$D104:F104),销售计划!F104))</f>
        <v>0</v>
      </c>
      <c r="F26" s="133">
        <f>IF(F$2&lt;基础信息!$E$13,0,IF(F$2=基础信息!$E$13,SUM(销售计划!$D104:G104),销售计划!G104))</f>
        <v>0</v>
      </c>
      <c r="G26" s="133">
        <f>IF(G$2&lt;基础信息!$E$13,0,IF(G$2=基础信息!$E$13,SUM(销售计划!$D104:H104),销售计划!H104))</f>
        <v>0</v>
      </c>
      <c r="H26" s="133">
        <f>IF(H$2&lt;基础信息!$E$13,0,IF(H$2=基础信息!$E$13,SUM(销售计划!$D104:I104),销售计划!I104))</f>
        <v>0</v>
      </c>
      <c r="I26" s="133">
        <f>IF(I$2&lt;基础信息!$E$13,0,IF(I$2=基础信息!$E$13,SUM(销售计划!$D104:J104),销售计划!J104))</f>
        <v>0</v>
      </c>
      <c r="J26" s="133">
        <f>IF(J$2&lt;基础信息!$E$13,0,IF(J$2=基础信息!$E$13,SUM(销售计划!$D104:K104),销售计划!K104))</f>
        <v>0</v>
      </c>
      <c r="K26" s="133">
        <f>IF(K$2&lt;基础信息!$E$13,0,IF(K$2=基础信息!$E$13,SUM(销售计划!$D104:L104),销售计划!L104))</f>
        <v>0</v>
      </c>
      <c r="L26" s="133">
        <f>IF(L$2&lt;基础信息!$E$13,0,IF(L$2=基础信息!$E$13,SUM(销售计划!$D104:M104),销售计划!M104))</f>
        <v>0</v>
      </c>
      <c r="M26" s="133">
        <f>IF(M$2&lt;基础信息!$E$13,0,IF(M$2=基础信息!$E$13,SUM(销售计划!$D104:N104),销售计划!N104))</f>
        <v>0</v>
      </c>
      <c r="N26" s="133">
        <f>IF(N$2&lt;基础信息!$E$13,0,IF(N$2=基础信息!$E$13,SUM(销售计划!$D104:O104),销售计划!O104))</f>
        <v>0</v>
      </c>
      <c r="O26" s="133">
        <f>IF(O$2&lt;基础信息!$E$13,0,IF(O$2=基础信息!$E$13,SUM(销售计划!$D104:P104),销售计划!P104))</f>
        <v>0</v>
      </c>
      <c r="P26" s="133">
        <f>IF(P$2&lt;基础信息!$E$13,0,IF(P$2=基础信息!$E$13,SUM(销售计划!$D83:Q83),销售计划!Q83))</f>
        <v>0</v>
      </c>
      <c r="Q26" s="133">
        <f>IF(Q$2&lt;基础信息!$E$13,0,IF(Q$2=基础信息!$E$13,SUM(销售计划!$D83:R83),销售计划!R83))</f>
        <v>0</v>
      </c>
      <c r="R26" s="133">
        <f>IF(R$2&lt;基础信息!$E$13,0,IF(R$2=基础信息!$E$13,SUM(销售计划!$D83:S83),销售计划!S83))</f>
        <v>0</v>
      </c>
      <c r="S26" s="133">
        <f>IF(S$2&lt;基础信息!$E$13,0,IF(S$2=基础信息!$E$13,SUM(销售计划!$D83:T83),销售计划!T83))</f>
        <v>0</v>
      </c>
      <c r="T26" s="133">
        <f>IF(T$2&lt;基础信息!$E$13,0,IF(T$2=基础信息!$E$13,SUM(销售计划!$D83:U83),销售计划!U83))</f>
        <v>0</v>
      </c>
      <c r="U26" s="133">
        <f>IF(U$2&lt;基础信息!$E$13,0,IF(U$2=基础信息!$E$13,SUM(销售计划!$D83:V83),销售计划!V83))</f>
        <v>0</v>
      </c>
      <c r="V26" s="133">
        <f>IF(V$2&lt;基础信息!$E$13,0,IF(V$2=基础信息!$E$13,SUM(销售计划!$D83:W83),销售计划!W83))</f>
        <v>0</v>
      </c>
      <c r="W26" s="133">
        <f>IF(W$2&lt;基础信息!$E$13,0,IF(W$2=基础信息!$E$13,SUM(销售计划!$D83:X83),销售计划!X83))</f>
        <v>0</v>
      </c>
      <c r="X26" s="133">
        <f>IF(X$2&lt;基础信息!$E$13,0,IF(X$2=基础信息!$E$13,SUM(销售计划!$D83:Y83),销售计划!Y83))</f>
        <v>0</v>
      </c>
      <c r="Y26" s="133">
        <f>IF(Y$2&lt;基础信息!$E$13,0,IF(Y$2=基础信息!$E$13,SUM(销售计划!$D83:Z83),销售计划!Z83))</f>
        <v>0</v>
      </c>
      <c r="Z26" s="133">
        <f>IF(Z$2&lt;基础信息!$E$13,0,IF(Z$2=基础信息!$E$13,SUM(销售计划!$D83:AA83),销售计划!AA83))</f>
        <v>0</v>
      </c>
      <c r="AA26" s="133">
        <f>IF(AA$2&lt;基础信息!$E$13,0,IF(AA$2=基础信息!$E$13,SUM(销售计划!$D83:AB83),销售计划!AB83))</f>
        <v>0</v>
      </c>
      <c r="AB26" s="133">
        <f>IF(AB$2&lt;基础信息!$E$13,0,IF(AB$2=基础信息!$E$13,SUM(销售计划!$D83:AC83),销售计划!AC83))</f>
        <v>0</v>
      </c>
      <c r="AC26" s="133">
        <f>IF(AC$2&lt;基础信息!$E$13,0,IF(AC$2=基础信息!$E$13,SUM(销售计划!$D83:AD83),销售计划!AD83))</f>
        <v>0</v>
      </c>
      <c r="AD26" s="133">
        <f>IF(AD$2&lt;基础信息!$E$13,0,IF(AD$2=基础信息!$E$13,SUM(销售计划!$D83:AE83),销售计划!AE83))</f>
        <v>0</v>
      </c>
      <c r="AE26" s="133">
        <f>IF(AE$2&lt;基础信息!$E$13,0,IF(AE$2=基础信息!$E$13,SUM(销售计划!$D83:AF83),销售计划!AF83))</f>
        <v>0</v>
      </c>
      <c r="AF26" s="133">
        <f>IF(AF$2&lt;基础信息!$E$13,0,IF(AF$2=基础信息!$E$13,SUM(销售计划!$D83:AG83),销售计划!AG83))</f>
        <v>0</v>
      </c>
      <c r="AG26" s="133">
        <f>IF(AG$2&lt;基础信息!$E$13,0,IF(AG$2=基础信息!$E$13,SUM(销售计划!$D83:AH83),销售计划!AH83))</f>
        <v>0</v>
      </c>
      <c r="AH26" s="133">
        <f>IF(AH$2&lt;基础信息!$E$13,0,IF(AH$2=基础信息!$E$13,SUM(销售计划!$D83:AI83),销售计划!AI83))</f>
        <v>0</v>
      </c>
      <c r="AI26" s="133">
        <f>IF(AI$2&lt;基础信息!$E$13,0,IF(AI$2=基础信息!$E$13,SUM(销售计划!$D83:AJ83),销售计划!AJ83))</f>
        <v>0</v>
      </c>
      <c r="AJ26" s="133">
        <f>IF(AJ$2&lt;基础信息!$E$13,0,IF(AJ$2=基础信息!$E$13,SUM(销售计划!$D83:AK83),销售计划!AK83))</f>
        <v>0</v>
      </c>
      <c r="AK26" s="133">
        <f>IF(AK$2&lt;基础信息!$E$13,0,IF(AK$2=基础信息!$E$13,SUM(销售计划!$D83:AL83),销售计划!AL83))</f>
        <v>0</v>
      </c>
      <c r="AL26" s="133">
        <f>IF(AL$2&lt;基础信息!$E$13,0,IF(AL$2=基础信息!$E$13,SUM(销售计划!$D83:AM83),销售计划!AM83))</f>
        <v>0</v>
      </c>
      <c r="AM26" s="133">
        <f>IF(AM$2&lt;基础信息!$E$13,0,IF(AM$2=基础信息!$E$13,SUM(销售计划!$D83:AN83),销售计划!AN83))</f>
        <v>0</v>
      </c>
      <c r="AN26" s="133">
        <f>IF(AN$2&lt;基础信息!$E$13,0,IF(AN$2=基础信息!$E$13,SUM(销售计划!$D83:AO83),销售计划!AO83))</f>
        <v>0</v>
      </c>
      <c r="AO26" s="133">
        <f>IF(AO$2&lt;基础信息!$E$13,0,IF(AO$2=基础信息!$E$13,SUM(销售计划!$D83:AP83),销售计划!AP83))</f>
        <v>0</v>
      </c>
      <c r="AP26" s="133">
        <f>IF(AP$2&lt;基础信息!$E$13,0,IF(AP$2=基础信息!$E$13,SUM(销售计划!$D83:AQ83),销售计划!AQ83))</f>
        <v>0</v>
      </c>
      <c r="AQ26" s="133">
        <f>IF(AQ$2&lt;基础信息!$E$13,0,IF(AQ$2=基础信息!$E$13,SUM(销售计划!$D83:AR83),销售计划!AR83))</f>
        <v>0</v>
      </c>
      <c r="AR26" s="133">
        <f>IF(AR$2&lt;基础信息!$E$13,0,IF(AR$2=基础信息!$E$13,SUM(销售计划!$D83:AS83),销售计划!AS83))</f>
        <v>0</v>
      </c>
      <c r="AS26" s="133">
        <f>IF(AS$2&lt;基础信息!$E$13,0,IF(AS$2=基础信息!$E$13,SUM(销售计划!$D83:AT83),销售计划!AT83))</f>
        <v>0</v>
      </c>
      <c r="AT26" s="133">
        <f>IF(AT$2&lt;基础信息!$E$13,0,IF(AT$2=基础信息!$E$13,SUM(销售计划!$D83:AU83),销售计划!AU83))</f>
        <v>0</v>
      </c>
      <c r="AU26" s="133">
        <f>IF(AU$2&lt;基础信息!$E$13,0,IF(AU$2=基础信息!$E$13,SUM(销售计划!$D83:AV83),销售计划!AV83))</f>
        <v>0</v>
      </c>
      <c r="AV26" s="133">
        <f>IF(AV$2&lt;基础信息!$E$13,0,IF(AV$2=基础信息!$E$13,SUM(销售计划!$D83:AW83),销售计划!AW83))</f>
        <v>0</v>
      </c>
      <c r="AW26" s="133">
        <f>IF(AW$2&lt;基础信息!$E$13,0,IF(AW$2=基础信息!$E$13,SUM(销售计划!$D83:AX83),销售计划!AX83))</f>
        <v>0</v>
      </c>
      <c r="AX26" s="133">
        <f>IF(AX$2&lt;基础信息!$E$13,0,IF(AX$2=基础信息!$E$13,SUM(销售计划!$D83:AY83),销售计划!AY83))</f>
        <v>0</v>
      </c>
      <c r="AY26" s="133">
        <f>IF(AY$2&lt;基础信息!$E$13,0,IF(AY$2=基础信息!$E$13,SUM(销售计划!$D83:AZ83),销售计划!AZ83))</f>
        <v>0</v>
      </c>
      <c r="AZ26" s="133">
        <f>IF(AZ$2&lt;基础信息!$E$13,0,IF(AZ$2=基础信息!$E$13,SUM(销售计划!$D83:BA83),销售计划!BA83))</f>
        <v>0</v>
      </c>
      <c r="BA26" s="133">
        <f>IF(BA$2&lt;基础信息!$E$13,0,IF(BA$2=基础信息!$E$13,SUM(销售计划!$D83:BB83),销售计划!BB83))</f>
        <v>0</v>
      </c>
      <c r="BB26" s="133">
        <f>IF(BB$2&lt;基础信息!$E$13,0,IF(BB$2=基础信息!$E$13,SUM(销售计划!$D83:BC83),销售计划!BC83))</f>
        <v>0</v>
      </c>
      <c r="BC26" s="133">
        <f>IF(BC$2&lt;基础信息!$E$13,0,IF(BC$2=基础信息!$E$13,SUM(销售计划!$D83:BD83),销售计划!BD83))</f>
        <v>0</v>
      </c>
      <c r="BD26" s="133">
        <f>IF(BD$2&lt;基础信息!$E$13,0,IF(BD$2=基础信息!$E$13,SUM(销售计划!$D83:BE83),销售计划!BE83))</f>
        <v>0</v>
      </c>
      <c r="BE26" s="133">
        <f>IF(BE$2&lt;基础信息!$E$13,0,IF(BE$2=基础信息!$E$13,SUM(销售计划!$D83:BF83),销售计划!BF83))</f>
        <v>0</v>
      </c>
      <c r="BF26" s="133">
        <f>IF(BF$2&lt;基础信息!$E$13,0,IF(BF$2=基础信息!$E$13,SUM(销售计划!$D83:BG83),销售计划!BG83))</f>
        <v>0</v>
      </c>
      <c r="BG26" s="133">
        <f>IF(BG$2&lt;基础信息!$E$13,0,IF(BG$2=基础信息!$E$13,SUM(销售计划!$D83:BH83),销售计划!BH83))</f>
        <v>0</v>
      </c>
      <c r="BH26" s="133">
        <f>IF(BH$2&lt;基础信息!$E$13,0,IF(BH$2=基础信息!$E$13,SUM(销售计划!$D83:BI83),销售计划!BI83))</f>
        <v>0</v>
      </c>
      <c r="BI26" s="133">
        <f>IF(BI$2&lt;基础信息!$E$13,0,IF(BI$2=基础信息!$E$13,SUM(销售计划!$D83:BJ83),销售计划!BJ83))</f>
        <v>0</v>
      </c>
      <c r="BJ26" s="133">
        <f>IF(BJ$2&lt;基础信息!$E$13,0,IF(BJ$2=基础信息!$E$13,SUM(销售计划!$D83:BK83),销售计划!BK83))</f>
        <v>0</v>
      </c>
      <c r="BK26" s="133">
        <f>IF(BK$2&lt;基础信息!$E$13,0,IF(BK$2=基础信息!$E$13,SUM(销售计划!$D83:BL83),销售计划!BL83))</f>
        <v>0</v>
      </c>
      <c r="BL26" s="133">
        <f>IF(BL$2&lt;基础信息!$E$13,0,IF(BL$2=基础信息!$E$13,SUM(销售计划!$D83:BM83),销售计划!BM83))</f>
        <v>0</v>
      </c>
      <c r="BM26" s="133">
        <f>IF(BM$2&lt;基础信息!$E$13,0,IF(BM$2=基础信息!$E$13,SUM(销售计划!$D83:BN83),销售计划!BN83))</f>
        <v>0</v>
      </c>
      <c r="BN26" s="133">
        <f>IF(BN$2&lt;基础信息!$E$13,0,IF(BN$2=基础信息!$E$13,SUM(销售计划!$D83:BO83),销售计划!BO83))</f>
        <v>0</v>
      </c>
      <c r="BO26" s="133">
        <f>IF(BO$2&lt;基础信息!$E$13,0,IF(BO$2=基础信息!$E$13,SUM(销售计划!$D83:BP83),销售计划!BP83))</f>
        <v>0</v>
      </c>
      <c r="BP26" s="133">
        <f>IF(BP$2&lt;基础信息!$E$13,0,IF(BP$2=基础信息!$E$13,SUM(销售计划!$D83:BQ83),销售计划!BQ83))</f>
        <v>0</v>
      </c>
      <c r="BQ26" s="133">
        <f>IF(BQ$2&lt;基础信息!$E$13,0,IF(BQ$2=基础信息!$E$13,SUM(销售计划!$D83:BR83),销售计划!BR83))</f>
        <v>2623.073853211009</v>
      </c>
      <c r="BR26" s="133">
        <f>IF(BR$2&lt;基础信息!$E$13,0,IF(BR$2=基础信息!$E$13,SUM(销售计划!$D83:BS83),销售计划!BS83))</f>
        <v>0</v>
      </c>
      <c r="BS26" s="133">
        <f>IF(BS$2&lt;基础信息!$E$13,0,IF(BS$2=基础信息!$E$13,SUM(销售计划!$D83:BT83),销售计划!BT83))</f>
        <v>0</v>
      </c>
      <c r="BT26" s="133">
        <f>IF(BT$2&lt;基础信息!$E$13,0,IF(BT$2=基础信息!$E$13,SUM(销售计划!$D83:BU83),销售计划!BU83))</f>
        <v>0</v>
      </c>
      <c r="BU26" s="133">
        <f>IF(BU$2&lt;基础信息!$E$13,0,IF(BU$2=基础信息!$E$13,SUM(销售计划!$D83:BV83),销售计划!BV83))</f>
        <v>0</v>
      </c>
    </row>
    <row r="27" spans="1:73" s="126" customFormat="1" ht="13" outlineLevel="1">
      <c r="A27" s="127">
        <f>销售计划!A27</f>
        <v>0</v>
      </c>
      <c r="B27" s="128" t="s">
        <v>258</v>
      </c>
      <c r="C27" s="128">
        <f t="shared" si="41"/>
        <v>0</v>
      </c>
      <c r="D27" s="250">
        <f>IF(D$2&lt;基础信息!$E$13,0,IF(D$2=基础信息!$E$13,SUM(销售计划!$D102:E102),销售计划!E102))</f>
        <v>0</v>
      </c>
      <c r="E27" s="250">
        <f>IF(E$2&lt;基础信息!$E$13,0,IF(E$2=基础信息!$E$13,SUM(销售计划!$D102:F102),销售计划!F102))</f>
        <v>0</v>
      </c>
      <c r="F27" s="250">
        <f>IF(F$2&lt;基础信息!$E$13,0,IF(F$2=基础信息!$E$13,SUM(销售计划!$D102:G102),销售计划!G102))</f>
        <v>0</v>
      </c>
      <c r="G27" s="250">
        <f>IF(G$2&lt;基础信息!$E$13,0,IF(G$2=基础信息!$E$13,SUM(销售计划!$D102:H102),销售计划!H102))</f>
        <v>0</v>
      </c>
      <c r="H27" s="250">
        <f>IF(H$2&lt;基础信息!$E$13,0,IF(H$2=基础信息!$E$13,SUM(销售计划!$D102:I102),销售计划!I102))</f>
        <v>0</v>
      </c>
      <c r="I27" s="250">
        <f>IF(I$2&lt;基础信息!$E$13,0,IF(I$2=基础信息!$E$13,SUM(销售计划!$D102:J102),销售计划!J102))</f>
        <v>0</v>
      </c>
      <c r="J27" s="250">
        <f>IF(J$2&lt;基础信息!$E$13,0,IF(J$2=基础信息!$E$13,SUM(销售计划!$D102:K102),销售计划!K102))</f>
        <v>0</v>
      </c>
      <c r="K27" s="250">
        <f>IF(K$2&lt;基础信息!$E$13,0,IF(K$2=基础信息!$E$13,SUM(销售计划!$D102:L102),销售计划!L102))</f>
        <v>0</v>
      </c>
      <c r="L27" s="250">
        <f>IF(L$2&lt;基础信息!$E$13,0,IF(L$2=基础信息!$E$13,SUM(销售计划!$D102:M102),销售计划!M102))</f>
        <v>0</v>
      </c>
      <c r="M27" s="250">
        <f>IF(M$2&lt;基础信息!$E$13,0,IF(M$2=基础信息!$E$13,SUM(销售计划!$D102:N102),销售计划!N102))</f>
        <v>0</v>
      </c>
      <c r="N27" s="250">
        <f>IF(N$2&lt;基础信息!$E$13,0,IF(N$2=基础信息!$E$13,SUM(销售计划!$D84:O84),销售计划!O84))</f>
        <v>0</v>
      </c>
      <c r="O27" s="250">
        <f>IF(O$2&lt;基础信息!$E$13,0,IF(O$2=基础信息!$E$13,SUM(销售计划!$D84:P84),销售计划!P84))</f>
        <v>0</v>
      </c>
      <c r="P27" s="250">
        <f>IF(P$2&lt;基础信息!$E$13,0,IF(P$2=基础信息!$E$13,SUM(销售计划!$D84:Q84),销售计划!Q84))</f>
        <v>0</v>
      </c>
      <c r="Q27" s="250">
        <f>IF(Q$2&lt;基础信息!$E$13,0,IF(Q$2=基础信息!$E$13,SUM(销售计划!$D84:R84),销售计划!R84))</f>
        <v>0</v>
      </c>
      <c r="R27" s="250">
        <f>IF(R$2&lt;基础信息!$E$13,0,IF(R$2=基础信息!$E$13,SUM(销售计划!$D84:S84),销售计划!S84))</f>
        <v>0</v>
      </c>
      <c r="S27" s="250">
        <f>IF(S$2&lt;基础信息!$E$13,0,IF(S$2=基础信息!$E$13,SUM(销售计划!$D84:T84),销售计划!T84))</f>
        <v>0</v>
      </c>
      <c r="T27" s="250">
        <f>IF(T$2&lt;基础信息!$E$13,0,IF(T$2=基础信息!$E$13,SUM(销售计划!$D84:U84),销售计划!U84))</f>
        <v>0</v>
      </c>
      <c r="U27" s="250">
        <f>IF(U$2&lt;基础信息!$E$13,0,IF(U$2=基础信息!$E$13,SUM(销售计划!$D84:V84),销售计划!V84))</f>
        <v>0</v>
      </c>
      <c r="V27" s="250">
        <f>IF(V$2&lt;基础信息!$E$13,0,IF(V$2=基础信息!$E$13,SUM(销售计划!$D84:W84),销售计划!W84))</f>
        <v>0</v>
      </c>
      <c r="W27" s="250">
        <f>IF(W$2&lt;基础信息!$E$13,0,IF(W$2=基础信息!$E$13,SUM(销售计划!$D84:X84),销售计划!X84))</f>
        <v>0</v>
      </c>
      <c r="X27" s="250">
        <f>IF(X$2&lt;基础信息!$E$13,0,IF(X$2=基础信息!$E$13,SUM(销售计划!$D84:Y84),销售计划!Y84))</f>
        <v>0</v>
      </c>
      <c r="Y27" s="250">
        <f>IF(Y$2&lt;基础信息!$E$13,0,IF(Y$2=基础信息!$E$13,SUM(销售计划!$D84:Z84),销售计划!Z84))</f>
        <v>0</v>
      </c>
      <c r="Z27" s="250">
        <f>IF(Z$2&lt;基础信息!$E$13,0,IF(Z$2=基础信息!$E$13,SUM(销售计划!$D84:AA84),销售计划!AA84))</f>
        <v>0</v>
      </c>
      <c r="AA27" s="250">
        <f>IF(AA$2&lt;基础信息!$E$13,0,IF(AA$2=基础信息!$E$13,SUM(销售计划!$D84:AB84),销售计划!AB84))</f>
        <v>0</v>
      </c>
      <c r="AB27" s="250">
        <f>IF(AB$2&lt;基础信息!$E$13,0,IF(AB$2=基础信息!$E$13,SUM(销售计划!$D84:AC84),销售计划!AC84))</f>
        <v>0</v>
      </c>
      <c r="AC27" s="250">
        <f>IF(AC$2&lt;基础信息!$E$13,0,IF(AC$2=基础信息!$E$13,SUM(销售计划!$D84:AD84),销售计划!AD84))</f>
        <v>0</v>
      </c>
      <c r="AD27" s="250">
        <f>IF(AD$2&lt;基础信息!$E$13,0,IF(AD$2=基础信息!$E$13,SUM(销售计划!$D84:AE84),销售计划!AE84))</f>
        <v>0</v>
      </c>
      <c r="AE27" s="250">
        <f>IF(AE$2&lt;基础信息!$E$13,0,IF(AE$2=基础信息!$E$13,SUM(销售计划!$D84:AF84),销售计划!AF84))</f>
        <v>0</v>
      </c>
      <c r="AF27" s="250">
        <f>IF(AF$2&lt;基础信息!$E$13,0,IF(AF$2=基础信息!$E$13,SUM(销售计划!$D84:AG84),销售计划!AG84))</f>
        <v>0</v>
      </c>
      <c r="AG27" s="250">
        <f>IF(AG$2&lt;基础信息!$E$13,0,IF(AG$2=基础信息!$E$13,SUM(销售计划!$D84:AH84),销售计划!AH84))</f>
        <v>0</v>
      </c>
      <c r="AH27" s="250">
        <f>IF(AH$2&lt;基础信息!$E$13,0,IF(AH$2=基础信息!$E$13,SUM(销售计划!$D84:AI84),销售计划!AI84))</f>
        <v>0</v>
      </c>
      <c r="AI27" s="250">
        <f>IF(AI$2&lt;基础信息!$E$13,0,IF(AI$2=基础信息!$E$13,SUM(销售计划!$D84:AJ84),销售计划!AJ84))</f>
        <v>0</v>
      </c>
      <c r="AJ27" s="250">
        <f>IF(AJ$2&lt;基础信息!$E$13,0,IF(AJ$2=基础信息!$E$13,SUM(销售计划!$D84:AK84),销售计划!AK84))</f>
        <v>0</v>
      </c>
      <c r="AK27" s="250">
        <f>IF(AK$2&lt;基础信息!$E$13,0,IF(AK$2=基础信息!$E$13,SUM(销售计划!$D84:AL84),销售计划!AL84))</f>
        <v>0</v>
      </c>
      <c r="AL27" s="250">
        <f>IF(AL$2&lt;基础信息!$E$13,0,IF(AL$2=基础信息!$E$13,SUM(销售计划!$D84:AM84),销售计划!AM84))</f>
        <v>0</v>
      </c>
      <c r="AM27" s="250">
        <f>IF(AM$2&lt;基础信息!$E$13,0,IF(AM$2=基础信息!$E$13,SUM(销售计划!$D84:AN84),销售计划!AN84))</f>
        <v>0</v>
      </c>
      <c r="AN27" s="250">
        <f>IF(AN$2&lt;基础信息!$E$13,0,IF(AN$2=基础信息!$E$13,SUM(销售计划!$D84:AO84),销售计划!AO84))</f>
        <v>0</v>
      </c>
      <c r="AO27" s="250">
        <f>IF(AO$2&lt;基础信息!$E$13,0,IF(AO$2=基础信息!$E$13,SUM(销售计划!$D84:AP84),销售计划!AP84))</f>
        <v>0</v>
      </c>
      <c r="AP27" s="250">
        <f>IF(AP$2&lt;基础信息!$E$13,0,IF(AP$2=基础信息!$E$13,SUM(销售计划!$D84:AQ84),销售计划!AQ84))</f>
        <v>0</v>
      </c>
      <c r="AQ27" s="250">
        <f>IF(AQ$2&lt;基础信息!$E$13,0,IF(AQ$2=基础信息!$E$13,SUM(销售计划!$D84:AR84),销售计划!AR84))</f>
        <v>0</v>
      </c>
      <c r="AR27" s="250">
        <f>IF(AR$2&lt;基础信息!$E$13,0,IF(AR$2=基础信息!$E$13,SUM(销售计划!$D84:AS84),销售计划!AS84))</f>
        <v>0</v>
      </c>
      <c r="AS27" s="250">
        <f>IF(AS$2&lt;基础信息!$E$13,0,IF(AS$2=基础信息!$E$13,SUM(销售计划!$D84:AT84),销售计划!AT84))</f>
        <v>0</v>
      </c>
      <c r="AT27" s="250">
        <f>IF(AT$2&lt;基础信息!$E$13,0,IF(AT$2=基础信息!$E$13,SUM(销售计划!$D84:AU84),销售计划!AU84))</f>
        <v>0</v>
      </c>
      <c r="AU27" s="250">
        <f>IF(AU$2&lt;基础信息!$E$13,0,IF(AU$2=基础信息!$E$13,SUM(销售计划!$D84:AV84),销售计划!AV84))</f>
        <v>0</v>
      </c>
      <c r="AV27" s="250">
        <f>IF(AV$2&lt;基础信息!$E$13,0,IF(AV$2=基础信息!$E$13,SUM(销售计划!$D84:AW84),销售计划!AW84))</f>
        <v>0</v>
      </c>
      <c r="AW27" s="250">
        <f>IF(AW$2&lt;基础信息!$E$13,0,IF(AW$2=基础信息!$E$13,SUM(销售计划!$D84:AX84),销售计划!AX84))</f>
        <v>0</v>
      </c>
      <c r="AX27" s="250">
        <f>IF(AX$2&lt;基础信息!$E$13,0,IF(AX$2=基础信息!$E$13,SUM(销售计划!$D84:AY84),销售计划!AY84))</f>
        <v>0</v>
      </c>
      <c r="AY27" s="250">
        <f>IF(AY$2&lt;基础信息!$E$13,0,IF(AY$2=基础信息!$E$13,SUM(销售计划!$D84:AZ84),销售计划!AZ84))</f>
        <v>0</v>
      </c>
      <c r="AZ27" s="250">
        <f>IF(AZ$2&lt;基础信息!$E$13,0,IF(AZ$2=基础信息!$E$13,SUM(销售计划!$D84:BA84),销售计划!BA84))</f>
        <v>0</v>
      </c>
      <c r="BA27" s="250">
        <f>IF(BA$2&lt;基础信息!$E$13,0,IF(BA$2=基础信息!$E$13,SUM(销售计划!$D84:BB84),销售计划!BB84))</f>
        <v>0</v>
      </c>
      <c r="BB27" s="250">
        <f>IF(BB$2&lt;基础信息!$E$13,0,IF(BB$2=基础信息!$E$13,SUM(销售计划!$D84:BC84),销售计划!BC84))</f>
        <v>0</v>
      </c>
      <c r="BC27" s="250">
        <f>IF(BC$2&lt;基础信息!$E$13,0,IF(BC$2=基础信息!$E$13,SUM(销售计划!$D84:BD84),销售计划!BD84))</f>
        <v>0</v>
      </c>
      <c r="BD27" s="250">
        <f>IF(BD$2&lt;基础信息!$E$13,0,IF(BD$2=基础信息!$E$13,SUM(销售计划!$D84:BE84),销售计划!BE84))</f>
        <v>0</v>
      </c>
      <c r="BE27" s="250">
        <f>IF(BE$2&lt;基础信息!$E$13,0,IF(BE$2=基础信息!$E$13,SUM(销售计划!$D84:BF84),销售计划!BF84))</f>
        <v>0</v>
      </c>
      <c r="BF27" s="250">
        <f>IF(BF$2&lt;基础信息!$E$13,0,IF(BF$2=基础信息!$E$13,SUM(销售计划!$D84:BG84),销售计划!BG84))</f>
        <v>0</v>
      </c>
      <c r="BG27" s="250">
        <f>IF(BG$2&lt;基础信息!$E$13,0,IF(BG$2=基础信息!$E$13,SUM(销售计划!$D84:BH84),销售计划!BH84))</f>
        <v>0</v>
      </c>
      <c r="BH27" s="250">
        <f>IF(BH$2&lt;基础信息!$E$13,0,IF(BH$2=基础信息!$E$13,SUM(销售计划!$D84:BI84),销售计划!BI84))</f>
        <v>0</v>
      </c>
      <c r="BI27" s="250">
        <f>IF(BI$2&lt;基础信息!$E$13,0,IF(BI$2=基础信息!$E$13,SUM(销售计划!$D84:BJ84),销售计划!BJ84))</f>
        <v>0</v>
      </c>
      <c r="BJ27" s="250">
        <f>IF(BJ$2&lt;基础信息!$E$13,0,IF(BJ$2=基础信息!$E$13,SUM(销售计划!$D84:BK84),销售计划!BK84))</f>
        <v>0</v>
      </c>
      <c r="BK27" s="250">
        <f>IF(BK$2&lt;基础信息!$E$13,0,IF(BK$2=基础信息!$E$13,SUM(销售计划!$D84:BL84),销售计划!BL84))</f>
        <v>0</v>
      </c>
      <c r="BL27" s="250">
        <f>IF(BL$2&lt;基础信息!$E$13,0,IF(BL$2=基础信息!$E$13,SUM(销售计划!$D84:BM84),销售计划!BM84))</f>
        <v>0</v>
      </c>
      <c r="BM27" s="250">
        <f>IF(BM$2&lt;基础信息!$E$13,0,IF(BM$2=基础信息!$E$13,SUM(销售计划!$D84:BN84),销售计划!BN84))</f>
        <v>0</v>
      </c>
      <c r="BN27" s="250">
        <f>IF(BN$2&lt;基础信息!$E$13,0,IF(BN$2=基础信息!$E$13,SUM(销售计划!$D84:BO84),销售计划!BO84))</f>
        <v>0</v>
      </c>
      <c r="BO27" s="250">
        <f>IF(BO$2&lt;基础信息!$E$13,0,IF(BO$2=基础信息!$E$13,SUM(销售计划!$D84:BP84),销售计划!BP84))</f>
        <v>0</v>
      </c>
      <c r="BP27" s="250">
        <f>IF(BP$2&lt;基础信息!$E$13,0,IF(BP$2=基础信息!$E$13,SUM(销售计划!$D84:BQ84),销售计划!BQ84))</f>
        <v>0</v>
      </c>
      <c r="BQ27" s="250">
        <f>IF(BQ$2&lt;基础信息!$E$13,0,IF(BQ$2=基础信息!$E$13,SUM(销售计划!$D84:BR84),销售计划!BR84))</f>
        <v>0</v>
      </c>
      <c r="BR27" s="250">
        <f>IF(BR$2&lt;基础信息!$E$13,0,IF(BR$2=基础信息!$E$13,SUM(销售计划!$D84:BS84),销售计划!BS84))</f>
        <v>0</v>
      </c>
      <c r="BS27" s="250">
        <f>IF(BS$2&lt;基础信息!$E$13,0,IF(BS$2=基础信息!$E$13,SUM(销售计划!$D84:BT84),销售计划!BT84))</f>
        <v>0</v>
      </c>
      <c r="BT27" s="250">
        <f>IF(BT$2&lt;基础信息!$E$13,0,IF(BT$2=基础信息!$E$13,SUM(销售计划!$D84:BU84),销售计划!BU84))</f>
        <v>0</v>
      </c>
      <c r="BU27" s="250">
        <f>IF(BU$2&lt;基础信息!$E$13,0,IF(BU$2=基础信息!$E$13,SUM(销售计划!$D84:BV84),销售计划!BV84))</f>
        <v>0</v>
      </c>
    </row>
    <row r="28" spans="1:73" s="126" customFormat="1" ht="13" outlineLevel="1">
      <c r="A28" s="127">
        <f>销售计划!A103</f>
        <v>0</v>
      </c>
      <c r="B28" s="128" t="s">
        <v>840</v>
      </c>
      <c r="C28" s="128">
        <f t="shared" ref="C28:AS28" si="42">IF(C27&gt;0,C29/C27*10000,0)</f>
        <v>0</v>
      </c>
      <c r="D28" s="250">
        <f t="shared" si="42"/>
        <v>0</v>
      </c>
      <c r="E28" s="250">
        <f t="shared" si="42"/>
        <v>0</v>
      </c>
      <c r="F28" s="128">
        <f t="shared" si="42"/>
        <v>0</v>
      </c>
      <c r="G28" s="128">
        <f t="shared" si="42"/>
        <v>0</v>
      </c>
      <c r="H28" s="250">
        <f t="shared" si="42"/>
        <v>0</v>
      </c>
      <c r="I28" s="250">
        <f t="shared" si="42"/>
        <v>0</v>
      </c>
      <c r="J28" s="250">
        <f t="shared" si="42"/>
        <v>0</v>
      </c>
      <c r="K28" s="250">
        <f t="shared" si="42"/>
        <v>0</v>
      </c>
      <c r="L28" s="250">
        <f t="shared" si="42"/>
        <v>0</v>
      </c>
      <c r="M28" s="250">
        <f t="shared" si="42"/>
        <v>0</v>
      </c>
      <c r="N28" s="250">
        <f t="shared" si="42"/>
        <v>0</v>
      </c>
      <c r="O28" s="250">
        <f t="shared" si="42"/>
        <v>0</v>
      </c>
      <c r="P28" s="250">
        <f t="shared" si="42"/>
        <v>0</v>
      </c>
      <c r="Q28" s="250">
        <f t="shared" si="42"/>
        <v>0</v>
      </c>
      <c r="R28" s="250">
        <f t="shared" si="42"/>
        <v>0</v>
      </c>
      <c r="S28" s="250">
        <f t="shared" si="42"/>
        <v>0</v>
      </c>
      <c r="T28" s="250">
        <f t="shared" si="42"/>
        <v>0</v>
      </c>
      <c r="U28" s="250">
        <f t="shared" si="42"/>
        <v>0</v>
      </c>
      <c r="V28" s="250">
        <f t="shared" si="42"/>
        <v>0</v>
      </c>
      <c r="W28" s="250">
        <f t="shared" si="42"/>
        <v>0</v>
      </c>
      <c r="X28" s="250">
        <f t="shared" si="42"/>
        <v>0</v>
      </c>
      <c r="Y28" s="250">
        <f t="shared" si="42"/>
        <v>0</v>
      </c>
      <c r="Z28" s="250">
        <f t="shared" si="42"/>
        <v>0</v>
      </c>
      <c r="AA28" s="250">
        <f t="shared" si="42"/>
        <v>0</v>
      </c>
      <c r="AB28" s="250">
        <f t="shared" si="42"/>
        <v>0</v>
      </c>
      <c r="AC28" s="250">
        <f t="shared" si="42"/>
        <v>0</v>
      </c>
      <c r="AD28" s="250">
        <f t="shared" si="42"/>
        <v>0</v>
      </c>
      <c r="AE28" s="250">
        <f t="shared" si="42"/>
        <v>0</v>
      </c>
      <c r="AF28" s="250">
        <f t="shared" si="42"/>
        <v>0</v>
      </c>
      <c r="AG28" s="250">
        <f t="shared" si="42"/>
        <v>0</v>
      </c>
      <c r="AH28" s="250">
        <f t="shared" si="42"/>
        <v>0</v>
      </c>
      <c r="AI28" s="250">
        <f t="shared" si="42"/>
        <v>0</v>
      </c>
      <c r="AJ28" s="250">
        <f t="shared" si="42"/>
        <v>0</v>
      </c>
      <c r="AK28" s="250">
        <f t="shared" si="42"/>
        <v>0</v>
      </c>
      <c r="AL28" s="250">
        <f t="shared" si="42"/>
        <v>0</v>
      </c>
      <c r="AM28" s="250">
        <f t="shared" si="42"/>
        <v>0</v>
      </c>
      <c r="AN28" s="250">
        <f t="shared" si="42"/>
        <v>0</v>
      </c>
      <c r="AO28" s="250">
        <f t="shared" si="42"/>
        <v>0</v>
      </c>
      <c r="AP28" s="250">
        <f t="shared" si="42"/>
        <v>0</v>
      </c>
      <c r="AQ28" s="250">
        <f t="shared" si="42"/>
        <v>0</v>
      </c>
      <c r="AR28" s="250">
        <f t="shared" si="42"/>
        <v>0</v>
      </c>
      <c r="AS28" s="250">
        <f t="shared" si="42"/>
        <v>0</v>
      </c>
      <c r="AT28" s="250">
        <f t="shared" ref="AT28:BP28" si="43">IF(AT27&gt;0,AT29/AT27*10000,0)</f>
        <v>0</v>
      </c>
      <c r="AU28" s="250">
        <f t="shared" si="43"/>
        <v>0</v>
      </c>
      <c r="AV28" s="250">
        <f t="shared" si="43"/>
        <v>0</v>
      </c>
      <c r="AW28" s="250">
        <f t="shared" si="43"/>
        <v>0</v>
      </c>
      <c r="AX28" s="250">
        <f t="shared" si="43"/>
        <v>0</v>
      </c>
      <c r="AY28" s="250">
        <f t="shared" si="43"/>
        <v>0</v>
      </c>
      <c r="AZ28" s="250">
        <f t="shared" si="43"/>
        <v>0</v>
      </c>
      <c r="BA28" s="250">
        <f t="shared" si="43"/>
        <v>0</v>
      </c>
      <c r="BB28" s="250">
        <f t="shared" si="43"/>
        <v>0</v>
      </c>
      <c r="BC28" s="250">
        <f t="shared" si="43"/>
        <v>0</v>
      </c>
      <c r="BD28" s="250">
        <f t="shared" si="43"/>
        <v>0</v>
      </c>
      <c r="BE28" s="250">
        <f t="shared" si="43"/>
        <v>0</v>
      </c>
      <c r="BF28" s="250">
        <f t="shared" si="43"/>
        <v>0</v>
      </c>
      <c r="BG28" s="250">
        <f t="shared" si="43"/>
        <v>0</v>
      </c>
      <c r="BH28" s="250">
        <f t="shared" si="43"/>
        <v>0</v>
      </c>
      <c r="BI28" s="250">
        <f t="shared" si="43"/>
        <v>0</v>
      </c>
      <c r="BJ28" s="250">
        <f t="shared" si="43"/>
        <v>0</v>
      </c>
      <c r="BK28" s="250">
        <f t="shared" si="43"/>
        <v>0</v>
      </c>
      <c r="BL28" s="250">
        <f t="shared" si="43"/>
        <v>0</v>
      </c>
      <c r="BM28" s="250">
        <f t="shared" si="43"/>
        <v>0</v>
      </c>
      <c r="BN28" s="250">
        <f t="shared" si="43"/>
        <v>0</v>
      </c>
      <c r="BO28" s="250">
        <f t="shared" si="43"/>
        <v>0</v>
      </c>
      <c r="BP28" s="250">
        <f t="shared" si="43"/>
        <v>0</v>
      </c>
      <c r="BQ28" s="250">
        <f t="shared" ref="BQ28:BU28" si="44">IF(BQ27&gt;0,BQ29/BQ27*10000,0)</f>
        <v>0</v>
      </c>
      <c r="BR28" s="250">
        <f t="shared" si="44"/>
        <v>0</v>
      </c>
      <c r="BS28" s="250">
        <f t="shared" si="44"/>
        <v>0</v>
      </c>
      <c r="BT28" s="250">
        <f t="shared" si="44"/>
        <v>0</v>
      </c>
      <c r="BU28" s="250">
        <f t="shared" si="44"/>
        <v>0</v>
      </c>
    </row>
    <row r="29" spans="1:73" outlineLevel="1">
      <c r="A29" s="132">
        <f>销售计划!A104</f>
        <v>0</v>
      </c>
      <c r="B29" s="133" t="s">
        <v>841</v>
      </c>
      <c r="C29" s="133">
        <f t="shared" ref="C29:C30" si="45">SUM(D29:BU29)</f>
        <v>0</v>
      </c>
      <c r="D29" s="133">
        <f>IF(D$2&lt;基础信息!$E$13,0,IF(D$2=基础信息!$E$13,SUM(销售计划!$D104:E104),销售计划!E104))</f>
        <v>0</v>
      </c>
      <c r="E29" s="133">
        <f>IF(E$2&lt;基础信息!$E$13,0,IF(E$2=基础信息!$E$13,SUM(销售计划!$D104:F104),销售计划!F104))</f>
        <v>0</v>
      </c>
      <c r="F29" s="133">
        <f>IF(F$2&lt;基础信息!$E$13,0,IF(F$2=基础信息!$E$13,SUM(销售计划!$D104:G104),销售计划!G104))</f>
        <v>0</v>
      </c>
      <c r="G29" s="133">
        <f>IF(G$2&lt;基础信息!$E$13,0,IF(G$2=基础信息!$E$13,SUM(销售计划!$D104:H104),销售计划!H104))</f>
        <v>0</v>
      </c>
      <c r="H29" s="133">
        <f>IF(H$2&lt;基础信息!$E$13,0,IF(H$2=基础信息!$E$13,SUM(销售计划!$D104:I104),销售计划!I104))</f>
        <v>0</v>
      </c>
      <c r="I29" s="133">
        <f>IF(I$2&lt;基础信息!$E$13,0,IF(I$2=基础信息!$E$13,SUM(销售计划!$D104:J104),销售计划!J104))</f>
        <v>0</v>
      </c>
      <c r="J29" s="133">
        <f>IF(J$2&lt;基础信息!$E$13,0,IF(J$2=基础信息!$E$13,SUM(销售计划!$D104:K104),销售计划!K104))</f>
        <v>0</v>
      </c>
      <c r="K29" s="133">
        <f>IF(K$2&lt;基础信息!$E$13,0,IF(K$2=基础信息!$E$13,SUM(销售计划!$D104:L104),销售计划!L104))</f>
        <v>0</v>
      </c>
      <c r="L29" s="133">
        <f>IF(L$2&lt;基础信息!$E$13,0,IF(L$2=基础信息!$E$13,SUM(销售计划!$D104:M104),销售计划!M104))</f>
        <v>0</v>
      </c>
      <c r="M29" s="133">
        <f>IF(M$2&lt;基础信息!$E$13,0,IF(M$2=基础信息!$E$13,SUM(销售计划!$D104:N104),销售计划!N104))</f>
        <v>0</v>
      </c>
      <c r="N29" s="133">
        <f>IF(N$2&lt;基础信息!$E$13,0,IF(N$2=基础信息!$E$13,SUM(销售计划!$D104:O104),销售计划!O104))</f>
        <v>0</v>
      </c>
      <c r="O29" s="133">
        <f>IF(O$2&lt;基础信息!$E$13,0,IF(O$2=基础信息!$E$13,SUM(销售计划!$D86:P86),销售计划!P86))</f>
        <v>0</v>
      </c>
      <c r="P29" s="133">
        <f>IF(P$2&lt;基础信息!$E$13,0,IF(P$2=基础信息!$E$13,SUM(销售计划!$D86:Q86),销售计划!Q86))</f>
        <v>0</v>
      </c>
      <c r="Q29" s="133">
        <f>IF(Q$2&lt;基础信息!$E$13,0,IF(Q$2=基础信息!$E$13,SUM(销售计划!$D86:R86),销售计划!R86))</f>
        <v>0</v>
      </c>
      <c r="R29" s="133">
        <f>IF(R$2&lt;基础信息!$E$13,0,IF(R$2=基础信息!$E$13,SUM(销售计划!$D86:S86),销售计划!S86))</f>
        <v>0</v>
      </c>
      <c r="S29" s="133">
        <f>IF(S$2&lt;基础信息!$E$13,0,IF(S$2=基础信息!$E$13,SUM(销售计划!$D86:T86),销售计划!T86))</f>
        <v>0</v>
      </c>
      <c r="T29" s="133">
        <f>IF(T$2&lt;基础信息!$E$13,0,IF(T$2=基础信息!$E$13,SUM(销售计划!$D86:U86),销售计划!U86))</f>
        <v>0</v>
      </c>
      <c r="U29" s="133">
        <f>IF(U$2&lt;基础信息!$E$13,0,IF(U$2=基础信息!$E$13,SUM(销售计划!$D86:V86),销售计划!V86))</f>
        <v>0</v>
      </c>
      <c r="V29" s="133">
        <f>IF(V$2&lt;基础信息!$E$13,0,IF(V$2=基础信息!$E$13,SUM(销售计划!$D86:W86),销售计划!W86))</f>
        <v>0</v>
      </c>
      <c r="W29" s="133">
        <f>IF(W$2&lt;基础信息!$E$13,0,IF(W$2=基础信息!$E$13,SUM(销售计划!$D86:X86),销售计划!X86))</f>
        <v>0</v>
      </c>
      <c r="X29" s="133">
        <f>IF(X$2&lt;基础信息!$E$13,0,IF(X$2=基础信息!$E$13,SUM(销售计划!$D86:Y86),销售计划!Y86))</f>
        <v>0</v>
      </c>
      <c r="Y29" s="133">
        <f>IF(Y$2&lt;基础信息!$E$13,0,IF(Y$2=基础信息!$E$13,SUM(销售计划!$D86:Z86),销售计划!Z86))</f>
        <v>0</v>
      </c>
      <c r="Z29" s="133">
        <f>IF(Z$2&lt;基础信息!$E$13,0,IF(Z$2=基础信息!$E$13,SUM(销售计划!$D86:AA86),销售计划!AA86))</f>
        <v>0</v>
      </c>
      <c r="AA29" s="133">
        <f>IF(AA$2&lt;基础信息!$E$13,0,IF(AA$2=基础信息!$E$13,SUM(销售计划!$D86:AB86),销售计划!AB86))</f>
        <v>0</v>
      </c>
      <c r="AB29" s="133">
        <f>IF(AB$2&lt;基础信息!$E$13,0,IF(AB$2=基础信息!$E$13,SUM(销售计划!$D86:AC86),销售计划!AC86))</f>
        <v>0</v>
      </c>
      <c r="AC29" s="133">
        <f>IF(AC$2&lt;基础信息!$E$13,0,IF(AC$2=基础信息!$E$13,SUM(销售计划!$D86:AD86),销售计划!AD86))</f>
        <v>0</v>
      </c>
      <c r="AD29" s="133">
        <f>IF(AD$2&lt;基础信息!$E$13,0,IF(AD$2=基础信息!$E$13,SUM(销售计划!$D86:AE86),销售计划!AE86))</f>
        <v>0</v>
      </c>
      <c r="AE29" s="133">
        <f>IF(AE$2&lt;基础信息!$E$13,0,IF(AE$2=基础信息!$E$13,SUM(销售计划!$D86:AF86),销售计划!AF86))</f>
        <v>0</v>
      </c>
      <c r="AF29" s="133">
        <f>IF(AF$2&lt;基础信息!$E$13,0,IF(AF$2=基础信息!$E$13,SUM(销售计划!$D86:AG86),销售计划!AG86))</f>
        <v>0</v>
      </c>
      <c r="AG29" s="133">
        <f>IF(AG$2&lt;基础信息!$E$13,0,IF(AG$2=基础信息!$E$13,SUM(销售计划!$D86:AH86),销售计划!AH86))</f>
        <v>0</v>
      </c>
      <c r="AH29" s="133">
        <f>IF(AH$2&lt;基础信息!$E$13,0,IF(AH$2=基础信息!$E$13,SUM(销售计划!$D86:AI86),销售计划!AI86))</f>
        <v>0</v>
      </c>
      <c r="AI29" s="133">
        <f>IF(AI$2&lt;基础信息!$E$13,0,IF(AI$2=基础信息!$E$13,SUM(销售计划!$D86:AJ86),销售计划!AJ86))</f>
        <v>0</v>
      </c>
      <c r="AJ29" s="133">
        <f>IF(AJ$2&lt;基础信息!$E$13,0,IF(AJ$2=基础信息!$E$13,SUM(销售计划!$D86:AK86),销售计划!AK86))</f>
        <v>0</v>
      </c>
      <c r="AK29" s="133">
        <f>IF(AK$2&lt;基础信息!$E$13,0,IF(AK$2=基础信息!$E$13,SUM(销售计划!$D86:AL86),销售计划!AL86))</f>
        <v>0</v>
      </c>
      <c r="AL29" s="133">
        <f>IF(AL$2&lt;基础信息!$E$13,0,IF(AL$2=基础信息!$E$13,SUM(销售计划!$D86:AM86),销售计划!AM86))</f>
        <v>0</v>
      </c>
      <c r="AM29" s="133">
        <f>IF(AM$2&lt;基础信息!$E$13,0,IF(AM$2=基础信息!$E$13,SUM(销售计划!$D86:AN86),销售计划!AN86))</f>
        <v>0</v>
      </c>
      <c r="AN29" s="133">
        <f>IF(AN$2&lt;基础信息!$E$13,0,IF(AN$2=基础信息!$E$13,SUM(销售计划!$D86:AO86),销售计划!AO86))</f>
        <v>0</v>
      </c>
      <c r="AO29" s="133">
        <f>IF(AO$2&lt;基础信息!$E$13,0,IF(AO$2=基础信息!$E$13,SUM(销售计划!$D86:AP86),销售计划!AP86))</f>
        <v>0</v>
      </c>
      <c r="AP29" s="133">
        <f>IF(AP$2&lt;基础信息!$E$13,0,IF(AP$2=基础信息!$E$13,SUM(销售计划!$D86:AQ86),销售计划!AQ86))</f>
        <v>0</v>
      </c>
      <c r="AQ29" s="133">
        <f>IF(AQ$2&lt;基础信息!$E$13,0,IF(AQ$2=基础信息!$E$13,SUM(销售计划!$D86:AR86),销售计划!AR86))</f>
        <v>0</v>
      </c>
      <c r="AR29" s="133">
        <f>IF(AR$2&lt;基础信息!$E$13,0,IF(AR$2=基础信息!$E$13,SUM(销售计划!$D86:AS86),销售计划!AS86))</f>
        <v>0</v>
      </c>
      <c r="AS29" s="133">
        <f>IF(AS$2&lt;基础信息!$E$13,0,IF(AS$2=基础信息!$E$13,SUM(销售计划!$D86:AT86),销售计划!AT86))</f>
        <v>0</v>
      </c>
      <c r="AT29" s="133">
        <f>IF(AT$2&lt;基础信息!$E$13,0,IF(AT$2=基础信息!$E$13,SUM(销售计划!$D86:AU86),销售计划!AU86))</f>
        <v>0</v>
      </c>
      <c r="AU29" s="133">
        <f>IF(AU$2&lt;基础信息!$E$13,0,IF(AU$2=基础信息!$E$13,SUM(销售计划!$D86:AV86),销售计划!AV86))</f>
        <v>0</v>
      </c>
      <c r="AV29" s="133">
        <f>IF(AV$2&lt;基础信息!$E$13,0,IF(AV$2=基础信息!$E$13,SUM(销售计划!$D86:AW86),销售计划!AW86))</f>
        <v>0</v>
      </c>
      <c r="AW29" s="133">
        <f>IF(AW$2&lt;基础信息!$E$13,0,IF(AW$2=基础信息!$E$13,SUM(销售计划!$D86:AX86),销售计划!AX86))</f>
        <v>0</v>
      </c>
      <c r="AX29" s="133">
        <f>IF(AX$2&lt;基础信息!$E$13,0,IF(AX$2=基础信息!$E$13,SUM(销售计划!$D86:AY86),销售计划!AY86))</f>
        <v>0</v>
      </c>
      <c r="AY29" s="133">
        <f>IF(AY$2&lt;基础信息!$E$13,0,IF(AY$2=基础信息!$E$13,SUM(销售计划!$D86:AZ86),销售计划!AZ86))</f>
        <v>0</v>
      </c>
      <c r="AZ29" s="133">
        <f>IF(AZ$2&lt;基础信息!$E$13,0,IF(AZ$2=基础信息!$E$13,SUM(销售计划!$D86:BA86),销售计划!BA86))</f>
        <v>0</v>
      </c>
      <c r="BA29" s="133">
        <f>IF(BA$2&lt;基础信息!$E$13,0,IF(BA$2=基础信息!$E$13,SUM(销售计划!$D86:BB86),销售计划!BB86))</f>
        <v>0</v>
      </c>
      <c r="BB29" s="133">
        <f>IF(BB$2&lt;基础信息!$E$13,0,IF(BB$2=基础信息!$E$13,SUM(销售计划!$D86:BC86),销售计划!BC86))</f>
        <v>0</v>
      </c>
      <c r="BC29" s="133">
        <f>IF(BC$2&lt;基础信息!$E$13,0,IF(BC$2=基础信息!$E$13,SUM(销售计划!$D86:BD86),销售计划!BD86))</f>
        <v>0</v>
      </c>
      <c r="BD29" s="133">
        <f>IF(BD$2&lt;基础信息!$E$13,0,IF(BD$2=基础信息!$E$13,SUM(销售计划!$D86:BE86),销售计划!BE86))</f>
        <v>0</v>
      </c>
      <c r="BE29" s="133">
        <f>IF(BE$2&lt;基础信息!$E$13,0,IF(BE$2=基础信息!$E$13,SUM(销售计划!$D86:BF86),销售计划!BF86))</f>
        <v>0</v>
      </c>
      <c r="BF29" s="133">
        <f>IF(BF$2&lt;基础信息!$E$13,0,IF(BF$2=基础信息!$E$13,SUM(销售计划!$D86:BG86),销售计划!BG86))</f>
        <v>0</v>
      </c>
      <c r="BG29" s="133">
        <f>IF(BG$2&lt;基础信息!$E$13,0,IF(BG$2=基础信息!$E$13,SUM(销售计划!$D86:BH86),销售计划!BH86))</f>
        <v>0</v>
      </c>
      <c r="BH29" s="133">
        <f>IF(BH$2&lt;基础信息!$E$13,0,IF(BH$2=基础信息!$E$13,SUM(销售计划!$D86:BI86),销售计划!BI86))</f>
        <v>0</v>
      </c>
      <c r="BI29" s="133">
        <f>IF(BI$2&lt;基础信息!$E$13,0,IF(BI$2=基础信息!$E$13,SUM(销售计划!$D86:BJ86),销售计划!BJ86))</f>
        <v>0</v>
      </c>
      <c r="BJ29" s="133">
        <f>IF(BJ$2&lt;基础信息!$E$13,0,IF(BJ$2=基础信息!$E$13,SUM(销售计划!$D86:BK86),销售计划!BK86))</f>
        <v>0</v>
      </c>
      <c r="BK29" s="133">
        <f>IF(BK$2&lt;基础信息!$E$13,0,IF(BK$2=基础信息!$E$13,SUM(销售计划!$D86:BL86),销售计划!BL86))</f>
        <v>0</v>
      </c>
      <c r="BL29" s="133">
        <f>IF(BL$2&lt;基础信息!$E$13,0,IF(BL$2=基础信息!$E$13,SUM(销售计划!$D86:BM86),销售计划!BM86))</f>
        <v>0</v>
      </c>
      <c r="BM29" s="133">
        <f>IF(BM$2&lt;基础信息!$E$13,0,IF(BM$2=基础信息!$E$13,SUM(销售计划!$D86:BN86),销售计划!BN86))</f>
        <v>0</v>
      </c>
      <c r="BN29" s="133">
        <f>IF(BN$2&lt;基础信息!$E$13,0,IF(BN$2=基础信息!$E$13,SUM(销售计划!$D86:BO86),销售计划!BO86))</f>
        <v>0</v>
      </c>
      <c r="BO29" s="133">
        <f>IF(BO$2&lt;基础信息!$E$13,0,IF(BO$2=基础信息!$E$13,SUM(销售计划!$D86:BP86),销售计划!BP86))</f>
        <v>0</v>
      </c>
      <c r="BP29" s="133">
        <f>IF(BP$2&lt;基础信息!$E$13,0,IF(BP$2=基础信息!$E$13,SUM(销售计划!$D86:BQ86),销售计划!BQ86))</f>
        <v>0</v>
      </c>
      <c r="BQ29" s="133">
        <f>IF(BQ$2&lt;基础信息!$E$13,0,IF(BQ$2=基础信息!$E$13,SUM(销售计划!$D86:BR86),销售计划!BR86))</f>
        <v>0</v>
      </c>
      <c r="BR29" s="133">
        <f>IF(BR$2&lt;基础信息!$E$13,0,IF(BR$2=基础信息!$E$13,SUM(销售计划!$D86:BS86),销售计划!BS86))</f>
        <v>0</v>
      </c>
      <c r="BS29" s="133">
        <f>IF(BS$2&lt;基础信息!$E$13,0,IF(BS$2=基础信息!$E$13,SUM(销售计划!$D86:BT86),销售计划!BT86))</f>
        <v>0</v>
      </c>
      <c r="BT29" s="133">
        <f>IF(BT$2&lt;基础信息!$E$13,0,IF(BT$2=基础信息!$E$13,SUM(销售计划!$D86:BU86),销售计划!BU86))</f>
        <v>0</v>
      </c>
      <c r="BU29" s="133">
        <f>IF(BU$2&lt;基础信息!$E$13,0,IF(BU$2=基础信息!$E$13,SUM(销售计划!$D86:BV86),销售计划!BV86))</f>
        <v>0</v>
      </c>
    </row>
    <row r="30" spans="1:73" s="126" customFormat="1" ht="13" outlineLevel="1">
      <c r="A30" s="127">
        <f>销售计划!A30</f>
        <v>0</v>
      </c>
      <c r="B30" s="128" t="s">
        <v>258</v>
      </c>
      <c r="C30" s="128">
        <f t="shared" si="45"/>
        <v>0</v>
      </c>
      <c r="D30" s="250">
        <f>IF(D$2&lt;基础信息!$E$13,0,IF(D$2=基础信息!$E$13,SUM(销售计划!$D105:E105),销售计划!E105))</f>
        <v>0</v>
      </c>
      <c r="E30" s="250">
        <f>IF(E$2&lt;基础信息!$E$13,0,IF(E$2=基础信息!$E$13,SUM(销售计划!$D105:F105),销售计划!F105))</f>
        <v>0</v>
      </c>
      <c r="F30" s="250">
        <f>IF(F$2&lt;基础信息!$E$13,0,IF(F$2=基础信息!$E$13,SUM(销售计划!$D105:G105),销售计划!G105))</f>
        <v>0</v>
      </c>
      <c r="G30" s="250">
        <f>IF(G$2&lt;基础信息!$E$13,0,IF(G$2=基础信息!$E$13,SUM(销售计划!$D105:H105),销售计划!H105))</f>
        <v>0</v>
      </c>
      <c r="H30" s="250">
        <f>IF(H$2&lt;基础信息!$E$13,0,IF(H$2=基础信息!$E$13,SUM(销售计划!$D105:I105),销售计划!I105))</f>
        <v>0</v>
      </c>
      <c r="I30" s="250">
        <f>IF(I$2&lt;基础信息!$E$13,0,IF(I$2=基础信息!$E$13,SUM(销售计划!$D105:J105),销售计划!J105))</f>
        <v>0</v>
      </c>
      <c r="J30" s="250">
        <f>IF(J$2&lt;基础信息!$E$13,0,IF(J$2=基础信息!$E$13,SUM(销售计划!$D105:K105),销售计划!K105))</f>
        <v>0</v>
      </c>
      <c r="K30" s="250">
        <f>IF(K$2&lt;基础信息!$E$13,0,IF(K$2=基础信息!$E$13,SUM(销售计划!$D105:L105),销售计划!L105))</f>
        <v>0</v>
      </c>
      <c r="L30" s="250">
        <f>IF(L$2&lt;基础信息!$E$13,0,IF(L$2=基础信息!$E$13,SUM(销售计划!$D105:M105),销售计划!M105))</f>
        <v>0</v>
      </c>
      <c r="M30" s="250">
        <f>IF(M$2&lt;基础信息!$E$13,0,IF(M$2=基础信息!$E$13,SUM(销售计划!$D105:N105),销售计划!N105))</f>
        <v>0</v>
      </c>
      <c r="N30" s="250">
        <f>IF(N$2&lt;基础信息!$E$13,0,IF(N$2=基础信息!$E$13,SUM(销售计划!$D105:O105),销售计划!O105))</f>
        <v>0</v>
      </c>
      <c r="O30" s="250">
        <f>IF(O$2&lt;基础信息!$E$13,0,IF(O$2=基础信息!$E$13,SUM(销售计划!$D105:P105),销售计划!P105))</f>
        <v>0</v>
      </c>
      <c r="P30" s="250">
        <f>IF(P$2&lt;基础信息!$E$13,0,IF(P$2=基础信息!$E$13,SUM(销售计划!$D105:Q105),销售计划!Q105))</f>
        <v>0</v>
      </c>
      <c r="Q30" s="250">
        <f>IF(Q$2&lt;基础信息!$E$13,0,IF(Q$2=基础信息!$E$13,SUM(销售计划!$D105:R105),销售计划!R105))</f>
        <v>0</v>
      </c>
      <c r="R30" s="250">
        <f>IF(R$2&lt;基础信息!$E$13,0,IF(R$2=基础信息!$E$13,SUM(销售计划!$D87:S87),销售计划!S87))</f>
        <v>0</v>
      </c>
      <c r="S30" s="250">
        <f>IF(S$2&lt;基础信息!$E$13,0,IF(S$2=基础信息!$E$13,SUM(销售计划!$D87:T87),销售计划!T87))</f>
        <v>0</v>
      </c>
      <c r="T30" s="135">
        <f>IF(T$2&lt;基础信息!$E$13,0,IF(T$2=基础信息!$E$13,SUM(销售计划!$D87:U87),销售计划!U87))</f>
        <v>0</v>
      </c>
      <c r="U30" s="135">
        <f>IF(U$2&lt;基础信息!$E$13,0,IF(U$2=基础信息!$E$13,SUM(销售计划!$D87:V87),销售计划!V87))</f>
        <v>0</v>
      </c>
      <c r="V30" s="135">
        <f>IF(V$2&lt;基础信息!$E$13,0,IF(V$2=基础信息!$E$13,SUM(销售计划!$D87:W87),销售计划!W87))</f>
        <v>0</v>
      </c>
      <c r="W30" s="135">
        <f>IF(W$2&lt;基础信息!$E$13,0,IF(W$2=基础信息!$E$13,SUM(销售计划!$D87:X87),销售计划!X87))</f>
        <v>0</v>
      </c>
      <c r="X30" s="135">
        <f>IF(X$2&lt;基础信息!$E$13,0,IF(X$2=基础信息!$E$13,SUM(销售计划!$D87:Y87),销售计划!Y87))</f>
        <v>0</v>
      </c>
      <c r="Y30" s="135">
        <f>IF(Y$2&lt;基础信息!$E$13,0,IF(Y$2=基础信息!$E$13,SUM(销售计划!$D87:Z87),销售计划!Z87))</f>
        <v>0</v>
      </c>
      <c r="Z30" s="135">
        <f>IF(Z$2&lt;基础信息!$E$13,0,IF(Z$2=基础信息!$E$13,SUM(销售计划!$D87:AA87),销售计划!AA87))</f>
        <v>0</v>
      </c>
      <c r="AA30" s="135">
        <f>IF(AA$2&lt;基础信息!$E$13,0,IF(AA$2=基础信息!$E$13,SUM(销售计划!$D87:AB87),销售计划!AB87))</f>
        <v>0</v>
      </c>
      <c r="AB30" s="135">
        <f>IF(AB$2&lt;基础信息!$E$13,0,IF(AB$2=基础信息!$E$13,SUM(销售计划!$D87:AC87),销售计划!AC87))</f>
        <v>0</v>
      </c>
      <c r="AC30" s="135">
        <f>IF(AC$2&lt;基础信息!$E$13,0,IF(AC$2=基础信息!$E$13,SUM(销售计划!$D87:AD87),销售计划!AD87))</f>
        <v>0</v>
      </c>
      <c r="AD30" s="135">
        <f>IF(AD$2&lt;基础信息!$E$13,0,IF(AD$2=基础信息!$E$13,SUM(销售计划!$D87:AE87),销售计划!AE87))</f>
        <v>0</v>
      </c>
      <c r="AE30" s="135">
        <f>IF(AE$2&lt;基础信息!$E$13,0,IF(AE$2=基础信息!$E$13,SUM(销售计划!$D87:AF87),销售计划!AF87))</f>
        <v>0</v>
      </c>
      <c r="AF30" s="135">
        <f>IF(AF$2&lt;基础信息!$E$13,0,IF(AF$2=基础信息!$E$13,SUM(销售计划!$D87:AG87),销售计划!AG87))</f>
        <v>0</v>
      </c>
      <c r="AG30" s="135">
        <f>IF(AG$2&lt;基础信息!$E$13,0,IF(AG$2=基础信息!$E$13,SUM(销售计划!$D87:AH87),销售计划!AH87))</f>
        <v>0</v>
      </c>
      <c r="AH30" s="135">
        <f>IF(AH$2&lt;基础信息!$E$13,0,IF(AH$2=基础信息!$E$13,SUM(销售计划!$D87:AI87),销售计划!AI87))</f>
        <v>0</v>
      </c>
      <c r="AI30" s="135">
        <f>IF(AI$2&lt;基础信息!$E$13,0,IF(AI$2=基础信息!$E$13,SUM(销售计划!$D87:AJ87),销售计划!AJ87))</f>
        <v>0</v>
      </c>
      <c r="AJ30" s="135">
        <f>IF(AJ$2&lt;基础信息!$E$13,0,IF(AJ$2=基础信息!$E$13,SUM(销售计划!$D87:AK87),销售计划!AK87))</f>
        <v>0</v>
      </c>
      <c r="AK30" s="135">
        <f>IF(AK$2&lt;基础信息!$E$13,0,IF(AK$2=基础信息!$E$13,SUM(销售计划!$D87:AL87),销售计划!AL87))</f>
        <v>0</v>
      </c>
      <c r="AL30" s="135">
        <f>IF(AL$2&lt;基础信息!$E$13,0,IF(AL$2=基础信息!$E$13,SUM(销售计划!$D87:AM87),销售计划!AM87))</f>
        <v>0</v>
      </c>
      <c r="AM30" s="135">
        <f>IF(AM$2&lt;基础信息!$E$13,0,IF(AM$2=基础信息!$E$13,SUM(销售计划!$D87:AN87),销售计划!AN87))</f>
        <v>0</v>
      </c>
      <c r="AN30" s="135">
        <f>IF(AN$2&lt;基础信息!$E$13,0,IF(AN$2=基础信息!$E$13,SUM(销售计划!$D87:AO87),销售计划!AO87))</f>
        <v>0</v>
      </c>
      <c r="AO30" s="135">
        <f>IF(AO$2&lt;基础信息!$E$13,0,IF(AO$2=基础信息!$E$13,SUM(销售计划!$D87:AP87),销售计划!AP87))</f>
        <v>0</v>
      </c>
      <c r="AP30" s="135">
        <f>IF(AP$2&lt;基础信息!$E$13,0,IF(AP$2=基础信息!$E$13,SUM(销售计划!$D87:AQ87),销售计划!AQ87))</f>
        <v>0</v>
      </c>
      <c r="AQ30" s="135">
        <f>IF(AQ$2&lt;基础信息!$E$13,0,IF(AQ$2=基础信息!$E$13,SUM(销售计划!$D87:AR87),销售计划!AR87))</f>
        <v>0</v>
      </c>
      <c r="AR30" s="135">
        <f>IF(AR$2&lt;基础信息!$E$13,0,IF(AR$2=基础信息!$E$13,SUM(销售计划!$D87:AS87),销售计划!AS87))</f>
        <v>0</v>
      </c>
      <c r="AS30" s="135">
        <f>IF(AS$2&lt;基础信息!$E$13,0,IF(AS$2=基础信息!$E$13,SUM(销售计划!$D87:AT87),销售计划!AT87))</f>
        <v>0</v>
      </c>
      <c r="AT30" s="135">
        <f>IF(AT$2&lt;基础信息!$E$13,0,IF(AT$2=基础信息!$E$13,SUM(销售计划!$D87:AU87),销售计划!AU87))</f>
        <v>0</v>
      </c>
      <c r="AU30" s="135">
        <f>IF(AU$2&lt;基础信息!$E$13,0,IF(AU$2=基础信息!$E$13,SUM(销售计划!$D87:AV87),销售计划!AV87))</f>
        <v>0</v>
      </c>
      <c r="AV30" s="135">
        <f>IF(AV$2&lt;基础信息!$E$13,0,IF(AV$2=基础信息!$E$13,SUM(销售计划!$D87:AW87),销售计划!AW87))</f>
        <v>0</v>
      </c>
      <c r="AW30" s="135">
        <f>IF(AW$2&lt;基础信息!$E$13,0,IF(AW$2=基础信息!$E$13,SUM(销售计划!$D87:AX87),销售计划!AX87))</f>
        <v>0</v>
      </c>
      <c r="AX30" s="135">
        <f>IF(AX$2&lt;基础信息!$E$13,0,IF(AX$2=基础信息!$E$13,SUM(销售计划!$D87:AY87),销售计划!AY87))</f>
        <v>0</v>
      </c>
      <c r="AY30" s="135">
        <f>IF(AY$2&lt;基础信息!$E$13,0,IF(AY$2=基础信息!$E$13,SUM(销售计划!$D87:AZ87),销售计划!AZ87))</f>
        <v>0</v>
      </c>
      <c r="AZ30" s="135">
        <f>IF(AZ$2&lt;基础信息!$E$13,0,IF(AZ$2=基础信息!$E$13,SUM(销售计划!$D87:BA87),销售计划!BA87))</f>
        <v>0</v>
      </c>
      <c r="BA30" s="135">
        <f>IF(BA$2&lt;基础信息!$E$13,0,IF(BA$2=基础信息!$E$13,SUM(销售计划!$D87:BB87),销售计划!BB87))</f>
        <v>0</v>
      </c>
      <c r="BB30" s="135">
        <f>IF(BB$2&lt;基础信息!$E$13,0,IF(BB$2=基础信息!$E$13,SUM(销售计划!$D87:BC87),销售计划!BC87))</f>
        <v>0</v>
      </c>
      <c r="BC30" s="135">
        <f>IF(BC$2&lt;基础信息!$E$13,0,IF(BC$2=基础信息!$E$13,SUM(销售计划!$D87:BD87),销售计划!BD87))</f>
        <v>0</v>
      </c>
      <c r="BD30" s="135">
        <f>IF(BD$2&lt;基础信息!$E$13,0,IF(BD$2=基础信息!$E$13,SUM(销售计划!$D87:BE87),销售计划!BE87))</f>
        <v>0</v>
      </c>
      <c r="BE30" s="135">
        <f>IF(BE$2&lt;基础信息!$E$13,0,IF(BE$2=基础信息!$E$13,SUM(销售计划!$D87:BF87),销售计划!BF87))</f>
        <v>0</v>
      </c>
      <c r="BF30" s="135">
        <f>IF(BF$2&lt;基础信息!$E$13,0,IF(BF$2=基础信息!$E$13,SUM(销售计划!$D87:BG87),销售计划!BG87))</f>
        <v>0</v>
      </c>
      <c r="BG30" s="135">
        <f>IF(BG$2&lt;基础信息!$E$13,0,IF(BG$2=基础信息!$E$13,SUM(销售计划!$D87:BH87),销售计划!BH87))</f>
        <v>0</v>
      </c>
      <c r="BH30" s="135">
        <f>IF(BH$2&lt;基础信息!$E$13,0,IF(BH$2=基础信息!$E$13,SUM(销售计划!$D87:BI87),销售计划!BI87))</f>
        <v>0</v>
      </c>
      <c r="BI30" s="135">
        <f>IF(BI$2&lt;基础信息!$E$13,0,IF(BI$2=基础信息!$E$13,SUM(销售计划!$D87:BJ87),销售计划!BJ87))</f>
        <v>0</v>
      </c>
      <c r="BJ30" s="135">
        <f>IF(BJ$2&lt;基础信息!$E$13,0,IF(BJ$2=基础信息!$E$13,SUM(销售计划!$D87:BK87),销售计划!BK87))</f>
        <v>0</v>
      </c>
      <c r="BK30" s="135">
        <f>IF(BK$2&lt;基础信息!$E$13,0,IF(BK$2=基础信息!$E$13,SUM(销售计划!$D87:BL87),销售计划!BL87))</f>
        <v>0</v>
      </c>
      <c r="BL30" s="135">
        <f>IF(BL$2&lt;基础信息!$E$13,0,IF(BL$2=基础信息!$E$13,SUM(销售计划!$D87:BM87),销售计划!BM87))</f>
        <v>0</v>
      </c>
      <c r="BM30" s="135">
        <f>IF(BM$2&lt;基础信息!$E$13,0,IF(BM$2=基础信息!$E$13,SUM(销售计划!$D87:BN87),销售计划!BN87))</f>
        <v>0</v>
      </c>
      <c r="BN30" s="135">
        <f>IF(BN$2&lt;基础信息!$E$13,0,IF(BN$2=基础信息!$E$13,SUM(销售计划!$D87:BO87),销售计划!BO87))</f>
        <v>0</v>
      </c>
      <c r="BO30" s="135">
        <f>IF(BO$2&lt;基础信息!$E$13,0,IF(BO$2=基础信息!$E$13,SUM(销售计划!$D87:BP87),销售计划!BP87))</f>
        <v>0</v>
      </c>
      <c r="BP30" s="135">
        <f>IF(BP$2&lt;基础信息!$E$13,0,IF(BP$2=基础信息!$E$13,SUM(销售计划!$D87:BQ87),销售计划!BQ87))</f>
        <v>0</v>
      </c>
      <c r="BQ30" s="135">
        <f>IF(BQ$2&lt;基础信息!$E$13,0,IF(BQ$2=基础信息!$E$13,SUM(销售计划!$D87:BR87),销售计划!BR87))</f>
        <v>0</v>
      </c>
      <c r="BR30" s="135">
        <f>IF(BR$2&lt;基础信息!$E$13,0,IF(BR$2=基础信息!$E$13,SUM(销售计划!$D87:BS87),销售计划!BS87))</f>
        <v>0</v>
      </c>
      <c r="BS30" s="135">
        <f>IF(BS$2&lt;基础信息!$E$13,0,IF(BS$2=基础信息!$E$13,SUM(销售计划!$D87:BT87),销售计划!BT87))</f>
        <v>0</v>
      </c>
      <c r="BT30" s="135">
        <f>IF(BT$2&lt;基础信息!$E$13,0,IF(BT$2=基础信息!$E$13,SUM(销售计划!$D87:BU87),销售计划!BU87))</f>
        <v>0</v>
      </c>
      <c r="BU30" s="135">
        <f>IF(BU$2&lt;基础信息!$E$13,0,IF(BU$2=基础信息!$E$13,SUM(销售计划!$D87:BV87),销售计划!BV87))</f>
        <v>0</v>
      </c>
    </row>
    <row r="31" spans="1:73" s="126" customFormat="1" ht="13" outlineLevel="1">
      <c r="A31" s="127">
        <f>销售计划!A106</f>
        <v>0</v>
      </c>
      <c r="B31" s="128" t="s">
        <v>840</v>
      </c>
      <c r="C31" s="128">
        <f t="shared" ref="C31:AS31" si="46">IF(C30&gt;0,C32/C30*10000,0)</f>
        <v>0</v>
      </c>
      <c r="D31" s="250">
        <f t="shared" si="46"/>
        <v>0</v>
      </c>
      <c r="E31" s="250">
        <f t="shared" si="46"/>
        <v>0</v>
      </c>
      <c r="F31" s="128">
        <f t="shared" si="46"/>
        <v>0</v>
      </c>
      <c r="G31" s="128">
        <f t="shared" si="46"/>
        <v>0</v>
      </c>
      <c r="H31" s="250">
        <f t="shared" si="46"/>
        <v>0</v>
      </c>
      <c r="I31" s="250">
        <f t="shared" si="46"/>
        <v>0</v>
      </c>
      <c r="J31" s="250">
        <f t="shared" si="46"/>
        <v>0</v>
      </c>
      <c r="K31" s="250">
        <f t="shared" si="46"/>
        <v>0</v>
      </c>
      <c r="L31" s="250">
        <f t="shared" si="46"/>
        <v>0</v>
      </c>
      <c r="M31" s="250">
        <f t="shared" si="46"/>
        <v>0</v>
      </c>
      <c r="N31" s="250">
        <f t="shared" si="46"/>
        <v>0</v>
      </c>
      <c r="O31" s="250">
        <f t="shared" si="46"/>
        <v>0</v>
      </c>
      <c r="P31" s="250">
        <f t="shared" si="46"/>
        <v>0</v>
      </c>
      <c r="Q31" s="250">
        <f t="shared" si="46"/>
        <v>0</v>
      </c>
      <c r="R31" s="250">
        <f t="shared" si="46"/>
        <v>0</v>
      </c>
      <c r="S31" s="250">
        <f t="shared" si="46"/>
        <v>0</v>
      </c>
      <c r="T31" s="250">
        <f t="shared" si="46"/>
        <v>0</v>
      </c>
      <c r="U31" s="250">
        <f t="shared" si="46"/>
        <v>0</v>
      </c>
      <c r="V31" s="250">
        <f t="shared" si="46"/>
        <v>0</v>
      </c>
      <c r="W31" s="250">
        <f t="shared" si="46"/>
        <v>0</v>
      </c>
      <c r="X31" s="250">
        <f t="shared" si="46"/>
        <v>0</v>
      </c>
      <c r="Y31" s="250">
        <f t="shared" si="46"/>
        <v>0</v>
      </c>
      <c r="Z31" s="250">
        <f t="shared" si="46"/>
        <v>0</v>
      </c>
      <c r="AA31" s="250">
        <f t="shared" si="46"/>
        <v>0</v>
      </c>
      <c r="AB31" s="250">
        <f t="shared" si="46"/>
        <v>0</v>
      </c>
      <c r="AC31" s="250">
        <f t="shared" si="46"/>
        <v>0</v>
      </c>
      <c r="AD31" s="250">
        <f t="shared" si="46"/>
        <v>0</v>
      </c>
      <c r="AE31" s="250">
        <f t="shared" si="46"/>
        <v>0</v>
      </c>
      <c r="AF31" s="250">
        <f t="shared" si="46"/>
        <v>0</v>
      </c>
      <c r="AG31" s="250">
        <f t="shared" si="46"/>
        <v>0</v>
      </c>
      <c r="AH31" s="250">
        <f t="shared" si="46"/>
        <v>0</v>
      </c>
      <c r="AI31" s="250">
        <f t="shared" si="46"/>
        <v>0</v>
      </c>
      <c r="AJ31" s="250">
        <f t="shared" si="46"/>
        <v>0</v>
      </c>
      <c r="AK31" s="250">
        <f t="shared" si="46"/>
        <v>0</v>
      </c>
      <c r="AL31" s="250">
        <f t="shared" si="46"/>
        <v>0</v>
      </c>
      <c r="AM31" s="250">
        <f t="shared" si="46"/>
        <v>0</v>
      </c>
      <c r="AN31" s="250">
        <f t="shared" si="46"/>
        <v>0</v>
      </c>
      <c r="AO31" s="250">
        <f t="shared" si="46"/>
        <v>0</v>
      </c>
      <c r="AP31" s="250">
        <f t="shared" si="46"/>
        <v>0</v>
      </c>
      <c r="AQ31" s="250">
        <f t="shared" si="46"/>
        <v>0</v>
      </c>
      <c r="AR31" s="250">
        <f t="shared" si="46"/>
        <v>0</v>
      </c>
      <c r="AS31" s="250">
        <f t="shared" si="46"/>
        <v>0</v>
      </c>
      <c r="AT31" s="250">
        <f t="shared" ref="AT31:BP31" si="47">IF(AT30&gt;0,AT32/AT30*10000,0)</f>
        <v>0</v>
      </c>
      <c r="AU31" s="250">
        <f t="shared" si="47"/>
        <v>0</v>
      </c>
      <c r="AV31" s="250">
        <f t="shared" si="47"/>
        <v>0</v>
      </c>
      <c r="AW31" s="250">
        <f t="shared" si="47"/>
        <v>0</v>
      </c>
      <c r="AX31" s="250">
        <f t="shared" si="47"/>
        <v>0</v>
      </c>
      <c r="AY31" s="250">
        <f t="shared" si="47"/>
        <v>0</v>
      </c>
      <c r="AZ31" s="250">
        <f t="shared" si="47"/>
        <v>0</v>
      </c>
      <c r="BA31" s="250">
        <f t="shared" si="47"/>
        <v>0</v>
      </c>
      <c r="BB31" s="250">
        <f t="shared" si="47"/>
        <v>0</v>
      </c>
      <c r="BC31" s="250">
        <f t="shared" si="47"/>
        <v>0</v>
      </c>
      <c r="BD31" s="250">
        <f t="shared" si="47"/>
        <v>0</v>
      </c>
      <c r="BE31" s="250">
        <f t="shared" si="47"/>
        <v>0</v>
      </c>
      <c r="BF31" s="250">
        <f t="shared" si="47"/>
        <v>0</v>
      </c>
      <c r="BG31" s="250">
        <f t="shared" si="47"/>
        <v>0</v>
      </c>
      <c r="BH31" s="250">
        <f t="shared" si="47"/>
        <v>0</v>
      </c>
      <c r="BI31" s="250">
        <f t="shared" si="47"/>
        <v>0</v>
      </c>
      <c r="BJ31" s="250">
        <f t="shared" si="47"/>
        <v>0</v>
      </c>
      <c r="BK31" s="250">
        <f t="shared" si="47"/>
        <v>0</v>
      </c>
      <c r="BL31" s="250">
        <f t="shared" si="47"/>
        <v>0</v>
      </c>
      <c r="BM31" s="250">
        <f t="shared" si="47"/>
        <v>0</v>
      </c>
      <c r="BN31" s="250">
        <f t="shared" si="47"/>
        <v>0</v>
      </c>
      <c r="BO31" s="250">
        <f t="shared" si="47"/>
        <v>0</v>
      </c>
      <c r="BP31" s="250">
        <f t="shared" si="47"/>
        <v>0</v>
      </c>
      <c r="BQ31" s="250">
        <f t="shared" ref="BQ31:BU31" si="48">IF(BQ30&gt;0,BQ32/BQ30*10000,0)</f>
        <v>0</v>
      </c>
      <c r="BR31" s="250">
        <f t="shared" si="48"/>
        <v>0</v>
      </c>
      <c r="BS31" s="250">
        <f t="shared" si="48"/>
        <v>0</v>
      </c>
      <c r="BT31" s="250">
        <f t="shared" si="48"/>
        <v>0</v>
      </c>
      <c r="BU31" s="250">
        <f t="shared" si="48"/>
        <v>0</v>
      </c>
    </row>
    <row r="32" spans="1:73" outlineLevel="1">
      <c r="A32" s="132">
        <f>销售计划!A107</f>
        <v>0</v>
      </c>
      <c r="B32" s="133" t="s">
        <v>841</v>
      </c>
      <c r="C32" s="133">
        <f>SUM(D32:BP32)</f>
        <v>0</v>
      </c>
      <c r="D32" s="133">
        <f>IF(D$2&lt;基础信息!$E$13,0,IF(D$2=基础信息!$E$13,SUM(销售计划!$D107:E107),销售计划!E107))</f>
        <v>0</v>
      </c>
      <c r="E32" s="133">
        <f>IF(E$2&lt;基础信息!$E$13,0,IF(E$2=基础信息!$E$13,SUM(销售计划!$D107:F107),销售计划!F107))</f>
        <v>0</v>
      </c>
      <c r="F32" s="133">
        <f>IF(F$2&lt;基础信息!$E$13,0,IF(F$2=基础信息!$E$13,SUM(销售计划!$D107:G107),销售计划!G107))</f>
        <v>0</v>
      </c>
      <c r="G32" s="133">
        <f>IF(G$2&lt;基础信息!$E$13,0,IF(G$2=基础信息!$E$13,SUM(销售计划!$D107:H107),销售计划!H107))</f>
        <v>0</v>
      </c>
      <c r="H32" s="133">
        <f>IF(H$2&lt;基础信息!$E$13,0,IF(H$2=基础信息!$E$13,SUM(销售计划!$D107:I107),销售计划!I107))</f>
        <v>0</v>
      </c>
      <c r="I32" s="133">
        <f>IF(I$2&lt;基础信息!$E$13,0,IF(I$2=基础信息!$E$13,SUM(销售计划!$D107:J107),销售计划!J107))</f>
        <v>0</v>
      </c>
      <c r="J32" s="133">
        <f>IF(J$2&lt;基础信息!$E$13,0,IF(J$2=基础信息!$E$13,SUM(销售计划!$D107:K107),销售计划!K107))</f>
        <v>0</v>
      </c>
      <c r="K32" s="133">
        <f>IF(K$2&lt;基础信息!$E$13,0,IF(K$2=基础信息!$E$13,SUM(销售计划!$D107:L107),销售计划!L107))</f>
        <v>0</v>
      </c>
      <c r="L32" s="133">
        <f>IF(L$2&lt;基础信息!$E$13,0,IF(L$2=基础信息!$E$13,SUM(销售计划!$D107:M107),销售计划!M107))</f>
        <v>0</v>
      </c>
      <c r="M32" s="133">
        <f>IF(M$2&lt;基础信息!$E$13,0,IF(M$2=基础信息!$E$13,SUM(销售计划!$D107:N107),销售计划!N107))</f>
        <v>0</v>
      </c>
      <c r="N32" s="133">
        <f>IF(N$2&lt;基础信息!$E$13,0,IF(N$2=基础信息!$E$13,SUM(销售计划!$D107:O107),销售计划!O107))</f>
        <v>0</v>
      </c>
      <c r="O32" s="133">
        <f>IF(O$2&lt;基础信息!$E$13,0,IF(O$2=基础信息!$E$13,SUM(销售计划!$D107:P107),销售计划!P107))</f>
        <v>0</v>
      </c>
      <c r="P32" s="133">
        <f>IF(P$2&lt;基础信息!$E$13,0,IF(P$2=基础信息!$E$13,SUM(销售计划!$D107:Q107),销售计划!Q107))</f>
        <v>0</v>
      </c>
      <c r="Q32" s="133">
        <f>IF(Q$2&lt;基础信息!$E$13,0,IF(Q$2=基础信息!$E$13,SUM(销售计划!$D89:R89),销售计划!R89))</f>
        <v>0</v>
      </c>
      <c r="R32" s="133">
        <f>IF(R$2&lt;基础信息!$E$13,0,IF(R$2=基础信息!$E$13,SUM(销售计划!$D89:S89),销售计划!S89))</f>
        <v>0</v>
      </c>
      <c r="S32" s="133">
        <f>IF(S$2&lt;基础信息!$E$13,0,IF(S$2=基础信息!$E$13,SUM(销售计划!$D89:T89),销售计划!T89))</f>
        <v>0</v>
      </c>
      <c r="T32" s="133">
        <f>IF(T$2&lt;基础信息!$E$13,0,IF(T$2=基础信息!$E$13,SUM(销售计划!$D89:U89),销售计划!U89))</f>
        <v>0</v>
      </c>
      <c r="U32" s="133">
        <f>IF(U$2&lt;基础信息!$E$13,0,IF(U$2=基础信息!$E$13,SUM(销售计划!$D89:V89),销售计划!V89))</f>
        <v>0</v>
      </c>
      <c r="V32" s="133">
        <f>IF(V$2&lt;基础信息!$E$13,0,IF(V$2=基础信息!$E$13,SUM(销售计划!$D89:W89),销售计划!W89))</f>
        <v>0</v>
      </c>
      <c r="W32" s="133">
        <f>IF(W$2&lt;基础信息!$E$13,0,IF(W$2=基础信息!$E$13,SUM(销售计划!$D89:X89),销售计划!X89))</f>
        <v>0</v>
      </c>
      <c r="X32" s="133">
        <f>IF(X$2&lt;基础信息!$E$13,0,IF(X$2=基础信息!$E$13,SUM(销售计划!$D89:Y89),销售计划!Y89))</f>
        <v>0</v>
      </c>
      <c r="Y32" s="133">
        <f>IF(Y$2&lt;基础信息!$E$13,0,IF(Y$2=基础信息!$E$13,SUM(销售计划!$D89:Z89),销售计划!Z89))</f>
        <v>0</v>
      </c>
      <c r="Z32" s="133">
        <f>IF(Z$2&lt;基础信息!$E$13,0,IF(Z$2=基础信息!$E$13,SUM(销售计划!$D89:AA89),销售计划!AA89))</f>
        <v>0</v>
      </c>
      <c r="AA32" s="133">
        <f>IF(AA$2&lt;基础信息!$E$13,0,IF(AA$2=基础信息!$E$13,SUM(销售计划!$D89:AB89),销售计划!AB89))</f>
        <v>0</v>
      </c>
      <c r="AB32" s="133">
        <f>IF(AB$2&lt;基础信息!$E$13,0,IF(AB$2=基础信息!$E$13,SUM(销售计划!$D89:AC89),销售计划!AC89))</f>
        <v>0</v>
      </c>
      <c r="AC32" s="133">
        <f>IF(AC$2&lt;基础信息!$E$13,0,IF(AC$2=基础信息!$E$13,SUM(销售计划!$D89:AD89),销售计划!AD89))</f>
        <v>0</v>
      </c>
      <c r="AD32" s="133">
        <f>IF(AD$2&lt;基础信息!$E$13,0,IF(AD$2=基础信息!$E$13,SUM(销售计划!$D89:AE89),销售计划!AE89))</f>
        <v>0</v>
      </c>
      <c r="AE32" s="133">
        <f>IF(AE$2&lt;基础信息!$E$13,0,IF(AE$2=基础信息!$E$13,SUM(销售计划!$D89:AF89),销售计划!AF89))</f>
        <v>0</v>
      </c>
      <c r="AF32" s="133">
        <f>IF(AF$2&lt;基础信息!$E$13,0,IF(AF$2=基础信息!$E$13,SUM(销售计划!$D89:AG89),销售计划!AG89))</f>
        <v>0</v>
      </c>
      <c r="AG32" s="133">
        <f>IF(AG$2&lt;基础信息!$E$13,0,IF(AG$2=基础信息!$E$13,SUM(销售计划!$D89:AH89),销售计划!AH89))</f>
        <v>0</v>
      </c>
      <c r="AH32" s="133">
        <f>IF(AH$2&lt;基础信息!$E$13,0,IF(AH$2=基础信息!$E$13,SUM(销售计划!$D89:AI89),销售计划!AI89))</f>
        <v>0</v>
      </c>
      <c r="AI32" s="133">
        <f>IF(AI$2&lt;基础信息!$E$13,0,IF(AI$2=基础信息!$E$13,SUM(销售计划!$D89:AJ89),销售计划!AJ89))</f>
        <v>0</v>
      </c>
      <c r="AJ32" s="133">
        <f>IF(AJ$2&lt;基础信息!$E$13,0,IF(AJ$2=基础信息!$E$13,SUM(销售计划!$D89:AK89),销售计划!AK89))</f>
        <v>0</v>
      </c>
      <c r="AK32" s="133">
        <f>IF(AK$2&lt;基础信息!$E$13,0,IF(AK$2=基础信息!$E$13,SUM(销售计划!$D89:AL89),销售计划!AL89))</f>
        <v>0</v>
      </c>
      <c r="AL32" s="133">
        <f>IF(AL$2&lt;基础信息!$E$13,0,IF(AL$2=基础信息!$E$13,SUM(销售计划!$D89:AM89),销售计划!AM89))</f>
        <v>0</v>
      </c>
      <c r="AM32" s="133">
        <f>IF(AM$2&lt;基础信息!$E$13,0,IF(AM$2=基础信息!$E$13,SUM(销售计划!$D89:AN89),销售计划!AN89))</f>
        <v>0</v>
      </c>
      <c r="AN32" s="133">
        <f>IF(AN$2&lt;基础信息!$E$13,0,IF(AN$2=基础信息!$E$13,SUM(销售计划!$D89:AO89),销售计划!AO89))</f>
        <v>0</v>
      </c>
      <c r="AO32" s="133">
        <f>IF(AO$2&lt;基础信息!$E$13,0,IF(AO$2=基础信息!$E$13,SUM(销售计划!$D89:AP89),销售计划!AP89))</f>
        <v>0</v>
      </c>
      <c r="AP32" s="133">
        <f>IF(AP$2&lt;基础信息!$E$13,0,IF(AP$2=基础信息!$E$13,SUM(销售计划!$D89:AQ89),销售计划!AQ89))</f>
        <v>0</v>
      </c>
      <c r="AQ32" s="133">
        <f>IF(AQ$2&lt;基础信息!$E$13,0,IF(AQ$2=基础信息!$E$13,SUM(销售计划!$D89:AR89),销售计划!AR89))</f>
        <v>0</v>
      </c>
      <c r="AR32" s="133">
        <f>IF(AR$2&lt;基础信息!$E$13,0,IF(AR$2=基础信息!$E$13,SUM(销售计划!$D89:AS89),销售计划!AS89))</f>
        <v>0</v>
      </c>
      <c r="AS32" s="133">
        <f>IF(AS$2&lt;基础信息!$E$13,0,IF(AS$2=基础信息!$E$13,SUM(销售计划!$D89:AT89),销售计划!AT89))</f>
        <v>0</v>
      </c>
      <c r="AT32" s="133">
        <f>IF(AT$2&lt;基础信息!$E$13,0,IF(AT$2=基础信息!$E$13,SUM(销售计划!$D89:AU89),销售计划!AU89))</f>
        <v>0</v>
      </c>
      <c r="AU32" s="133">
        <f>IF(AU$2&lt;基础信息!$E$13,0,IF(AU$2=基础信息!$E$13,SUM(销售计划!$D89:AV89),销售计划!AV89))</f>
        <v>0</v>
      </c>
      <c r="AV32" s="133">
        <f>IF(AV$2&lt;基础信息!$E$13,0,IF(AV$2=基础信息!$E$13,SUM(销售计划!$D89:AW89),销售计划!AW89))</f>
        <v>0</v>
      </c>
      <c r="AW32" s="133">
        <f>IF(AW$2&lt;基础信息!$E$13,0,IF(AW$2=基础信息!$E$13,SUM(销售计划!$D89:AX89),销售计划!AX89))</f>
        <v>0</v>
      </c>
      <c r="AX32" s="133">
        <f>IF(AX$2&lt;基础信息!$E$13,0,IF(AX$2=基础信息!$E$13,SUM(销售计划!$D89:AY89),销售计划!AY89))</f>
        <v>0</v>
      </c>
      <c r="AY32" s="133">
        <f>IF(AY$2&lt;基础信息!$E$13,0,IF(AY$2=基础信息!$E$13,SUM(销售计划!$D89:AZ89),销售计划!AZ89))</f>
        <v>0</v>
      </c>
      <c r="AZ32" s="133">
        <f>IF(AZ$2&lt;基础信息!$E$13,0,IF(AZ$2=基础信息!$E$13,SUM(销售计划!$D89:BA89),销售计划!BA89))</f>
        <v>0</v>
      </c>
      <c r="BA32" s="133">
        <f>IF(BA$2&lt;基础信息!$E$13,0,IF(BA$2=基础信息!$E$13,SUM(销售计划!$D89:BB89),销售计划!BB89))</f>
        <v>0</v>
      </c>
      <c r="BB32" s="133">
        <f>IF(BB$2&lt;基础信息!$E$13,0,IF(BB$2=基础信息!$E$13,SUM(销售计划!$D89:BC89),销售计划!BC89))</f>
        <v>0</v>
      </c>
      <c r="BC32" s="133">
        <f>IF(BC$2&lt;基础信息!$E$13,0,IF(BC$2=基础信息!$E$13,SUM(销售计划!$D89:BD89),销售计划!BD89))</f>
        <v>0</v>
      </c>
      <c r="BD32" s="133">
        <f>IF(BD$2&lt;基础信息!$E$13,0,IF(BD$2=基础信息!$E$13,SUM(销售计划!$D89:BE89),销售计划!BE89))</f>
        <v>0</v>
      </c>
      <c r="BE32" s="133">
        <f>IF(BE$2&lt;基础信息!$E$13,0,IF(BE$2=基础信息!$E$13,SUM(销售计划!$D89:BF89),销售计划!BF89))</f>
        <v>0</v>
      </c>
      <c r="BF32" s="133">
        <f>IF(BF$2&lt;基础信息!$E$13,0,IF(BF$2=基础信息!$E$13,SUM(销售计划!$D89:BG89),销售计划!BG89))</f>
        <v>0</v>
      </c>
      <c r="BG32" s="133">
        <f>IF(BG$2&lt;基础信息!$E$13,0,IF(BG$2=基础信息!$E$13,SUM(销售计划!$D89:BH89),销售计划!BH89))</f>
        <v>0</v>
      </c>
      <c r="BH32" s="133">
        <f>IF(BH$2&lt;基础信息!$E$13,0,IF(BH$2=基础信息!$E$13,SUM(销售计划!$D89:BI89),销售计划!BI89))</f>
        <v>0</v>
      </c>
      <c r="BI32" s="133">
        <f>IF(BI$2&lt;基础信息!$E$13,0,IF(BI$2=基础信息!$E$13,SUM(销售计划!$D89:BJ89),销售计划!BJ89))</f>
        <v>0</v>
      </c>
      <c r="BJ32" s="133">
        <f>IF(BJ$2&lt;基础信息!$E$13,0,IF(BJ$2=基础信息!$E$13,SUM(销售计划!$D89:BK89),销售计划!BK89))</f>
        <v>0</v>
      </c>
      <c r="BK32" s="133">
        <f>IF(BK$2&lt;基础信息!$E$13,0,IF(BK$2=基础信息!$E$13,SUM(销售计划!$D89:BL89),销售计划!BL89))</f>
        <v>0</v>
      </c>
      <c r="BL32" s="133">
        <f>IF(BL$2&lt;基础信息!$E$13,0,IF(BL$2=基础信息!$E$13,SUM(销售计划!$D89:BM89),销售计划!BM89))</f>
        <v>0</v>
      </c>
      <c r="BM32" s="133">
        <f>IF(BM$2&lt;基础信息!$E$13,0,IF(BM$2=基础信息!$E$13,SUM(销售计划!$D89:BN89),销售计划!BN89))</f>
        <v>0</v>
      </c>
      <c r="BN32" s="133">
        <f>IF(BN$2&lt;基础信息!$E$13,0,IF(BN$2=基础信息!$E$13,SUM(销售计划!$D89:BO89),销售计划!BO89))</f>
        <v>0</v>
      </c>
      <c r="BO32" s="133">
        <f>IF(BO$2&lt;基础信息!$E$13,0,IF(BO$2=基础信息!$E$13,SUM(销售计划!$D89:BP89),销售计划!BP89))</f>
        <v>0</v>
      </c>
      <c r="BP32" s="133">
        <f>IF(BP$2&lt;基础信息!$E$13,0,IF(BP$2=基础信息!$E$13,SUM(销售计划!$D89:BQ89),销售计划!BQ89))</f>
        <v>0</v>
      </c>
      <c r="BQ32" s="133">
        <f>IF(BQ$2&lt;基础信息!$E$13,0,IF(BQ$2=基础信息!$E$13,SUM(销售计划!$D89:BR89),销售计划!BR89))</f>
        <v>0</v>
      </c>
      <c r="BR32" s="133">
        <f>IF(BR$2&lt;基础信息!$E$13,0,IF(BR$2=基础信息!$E$13,SUM(销售计划!$D89:BS89),销售计划!BS89))</f>
        <v>0</v>
      </c>
      <c r="BS32" s="133">
        <f>IF(BS$2&lt;基础信息!$E$13,0,IF(BS$2=基础信息!$E$13,SUM(销售计划!$D89:BT89),销售计划!BT89))</f>
        <v>0</v>
      </c>
      <c r="BT32" s="133">
        <f>IF(BT$2&lt;基础信息!$E$13,0,IF(BT$2=基础信息!$E$13,SUM(销售计划!$D89:BU89),销售计划!BU89))</f>
        <v>0</v>
      </c>
      <c r="BU32" s="133">
        <f>IF(BU$2&lt;基础信息!$E$13,0,IF(BU$2=基础信息!$E$13,SUM(销售计划!$D89:BV89),销售计划!BV89))</f>
        <v>0</v>
      </c>
    </row>
    <row r="33" spans="1:73">
      <c r="A33" s="125" t="str">
        <f>基础信息!A4</f>
        <v>二期</v>
      </c>
      <c r="B33" s="120" t="s">
        <v>258</v>
      </c>
      <c r="C33" s="120">
        <f>SUMIF($B36:$B56,$B33,C36:C56)</f>
        <v>0</v>
      </c>
      <c r="D33" s="120">
        <f t="shared" ref="D33:AS33" si="49">SUMIF($B36:$B56,$B33,D36:D56)</f>
        <v>0</v>
      </c>
      <c r="E33" s="120">
        <f t="shared" si="49"/>
        <v>0</v>
      </c>
      <c r="F33" s="120">
        <f t="shared" si="49"/>
        <v>0</v>
      </c>
      <c r="G33" s="120">
        <f t="shared" si="49"/>
        <v>0</v>
      </c>
      <c r="H33" s="120">
        <f t="shared" si="49"/>
        <v>0</v>
      </c>
      <c r="I33" s="120">
        <f t="shared" si="49"/>
        <v>0</v>
      </c>
      <c r="J33" s="120">
        <f t="shared" si="49"/>
        <v>0</v>
      </c>
      <c r="K33" s="120">
        <f t="shared" si="49"/>
        <v>0</v>
      </c>
      <c r="L33" s="120">
        <f t="shared" si="49"/>
        <v>0</v>
      </c>
      <c r="M33" s="120">
        <f t="shared" si="49"/>
        <v>0</v>
      </c>
      <c r="N33" s="120">
        <f t="shared" si="49"/>
        <v>0</v>
      </c>
      <c r="O33" s="120">
        <f t="shared" si="49"/>
        <v>0</v>
      </c>
      <c r="P33" s="120">
        <f t="shared" si="49"/>
        <v>0</v>
      </c>
      <c r="Q33" s="120">
        <f t="shared" si="49"/>
        <v>0</v>
      </c>
      <c r="R33" s="120">
        <f t="shared" si="49"/>
        <v>0</v>
      </c>
      <c r="S33" s="120">
        <f t="shared" si="49"/>
        <v>0</v>
      </c>
      <c r="T33" s="120">
        <f t="shared" si="49"/>
        <v>0</v>
      </c>
      <c r="U33" s="120">
        <f t="shared" si="49"/>
        <v>0</v>
      </c>
      <c r="V33" s="120">
        <f t="shared" si="49"/>
        <v>0</v>
      </c>
      <c r="W33" s="120">
        <f t="shared" si="49"/>
        <v>0</v>
      </c>
      <c r="X33" s="120">
        <f t="shared" si="49"/>
        <v>0</v>
      </c>
      <c r="Y33" s="120">
        <f t="shared" si="49"/>
        <v>0</v>
      </c>
      <c r="Z33" s="120">
        <f t="shared" si="49"/>
        <v>0</v>
      </c>
      <c r="AA33" s="120">
        <f t="shared" si="49"/>
        <v>0</v>
      </c>
      <c r="AB33" s="120">
        <f t="shared" si="49"/>
        <v>0</v>
      </c>
      <c r="AC33" s="120">
        <f t="shared" si="49"/>
        <v>0</v>
      </c>
      <c r="AD33" s="120">
        <f t="shared" si="49"/>
        <v>0</v>
      </c>
      <c r="AE33" s="120">
        <f t="shared" si="49"/>
        <v>0</v>
      </c>
      <c r="AF33" s="120">
        <f t="shared" si="49"/>
        <v>0</v>
      </c>
      <c r="AG33" s="120">
        <f t="shared" si="49"/>
        <v>0</v>
      </c>
      <c r="AH33" s="120">
        <f t="shared" si="49"/>
        <v>0</v>
      </c>
      <c r="AI33" s="120">
        <f t="shared" si="49"/>
        <v>0</v>
      </c>
      <c r="AJ33" s="120">
        <f t="shared" si="49"/>
        <v>0</v>
      </c>
      <c r="AK33" s="120">
        <f t="shared" si="49"/>
        <v>0</v>
      </c>
      <c r="AL33" s="120">
        <f t="shared" si="49"/>
        <v>0</v>
      </c>
      <c r="AM33" s="120">
        <f t="shared" si="49"/>
        <v>0</v>
      </c>
      <c r="AN33" s="120">
        <f t="shared" si="49"/>
        <v>0</v>
      </c>
      <c r="AO33" s="120">
        <f t="shared" si="49"/>
        <v>0</v>
      </c>
      <c r="AP33" s="120">
        <f t="shared" si="49"/>
        <v>0</v>
      </c>
      <c r="AQ33" s="120">
        <f t="shared" si="49"/>
        <v>0</v>
      </c>
      <c r="AR33" s="120">
        <f t="shared" si="49"/>
        <v>0</v>
      </c>
      <c r="AS33" s="120">
        <f t="shared" si="49"/>
        <v>0</v>
      </c>
      <c r="AT33" s="120">
        <f t="shared" ref="AT33:BP33" si="50">SUMIF($B36:$B56,$B33,AT36:AT56)</f>
        <v>0</v>
      </c>
      <c r="AU33" s="120">
        <f t="shared" si="50"/>
        <v>0</v>
      </c>
      <c r="AV33" s="120">
        <f t="shared" si="50"/>
        <v>0</v>
      </c>
      <c r="AW33" s="120">
        <f t="shared" si="50"/>
        <v>0</v>
      </c>
      <c r="AX33" s="120">
        <f t="shared" si="50"/>
        <v>0</v>
      </c>
      <c r="AY33" s="120">
        <f t="shared" si="50"/>
        <v>0</v>
      </c>
      <c r="AZ33" s="120">
        <f t="shared" si="50"/>
        <v>0</v>
      </c>
      <c r="BA33" s="120">
        <f t="shared" si="50"/>
        <v>0</v>
      </c>
      <c r="BB33" s="120">
        <f t="shared" si="50"/>
        <v>0</v>
      </c>
      <c r="BC33" s="120">
        <f t="shared" si="50"/>
        <v>0</v>
      </c>
      <c r="BD33" s="120">
        <f t="shared" si="50"/>
        <v>0</v>
      </c>
      <c r="BE33" s="120">
        <f t="shared" si="50"/>
        <v>0</v>
      </c>
      <c r="BF33" s="120">
        <f t="shared" si="50"/>
        <v>0</v>
      </c>
      <c r="BG33" s="120">
        <f t="shared" si="50"/>
        <v>0</v>
      </c>
      <c r="BH33" s="120">
        <f t="shared" si="50"/>
        <v>0</v>
      </c>
      <c r="BI33" s="120">
        <f t="shared" si="50"/>
        <v>0</v>
      </c>
      <c r="BJ33" s="120">
        <f t="shared" si="50"/>
        <v>0</v>
      </c>
      <c r="BK33" s="120">
        <f t="shared" si="50"/>
        <v>0</v>
      </c>
      <c r="BL33" s="120">
        <f t="shared" si="50"/>
        <v>0</v>
      </c>
      <c r="BM33" s="120">
        <f t="shared" si="50"/>
        <v>0</v>
      </c>
      <c r="BN33" s="120">
        <f t="shared" si="50"/>
        <v>0</v>
      </c>
      <c r="BO33" s="120">
        <f t="shared" si="50"/>
        <v>0</v>
      </c>
      <c r="BP33" s="120">
        <f t="shared" si="50"/>
        <v>0</v>
      </c>
      <c r="BQ33" s="120">
        <f t="shared" ref="BQ33:BU33" si="51">SUMIF($B36:$B56,$B33,BQ36:BQ56)</f>
        <v>0</v>
      </c>
      <c r="BR33" s="120">
        <f t="shared" si="51"/>
        <v>0</v>
      </c>
      <c r="BS33" s="120">
        <f t="shared" si="51"/>
        <v>0</v>
      </c>
      <c r="BT33" s="120">
        <f t="shared" si="51"/>
        <v>0</v>
      </c>
      <c r="BU33" s="120">
        <f t="shared" si="51"/>
        <v>0</v>
      </c>
    </row>
    <row r="34" spans="1:73">
      <c r="A34" s="125"/>
      <c r="B34" s="120" t="s">
        <v>840</v>
      </c>
      <c r="C34" s="120">
        <f>IF(C33&gt;0,C35/C33*10000,0)</f>
        <v>0</v>
      </c>
      <c r="D34" s="120">
        <f t="shared" ref="D34:AS34" si="52">IF(D33&gt;0,D35/D33*10000,0)</f>
        <v>0</v>
      </c>
      <c r="E34" s="120">
        <f t="shared" si="52"/>
        <v>0</v>
      </c>
      <c r="F34" s="120">
        <f t="shared" si="52"/>
        <v>0</v>
      </c>
      <c r="G34" s="120">
        <f t="shared" si="52"/>
        <v>0</v>
      </c>
      <c r="H34" s="120">
        <f t="shared" si="52"/>
        <v>0</v>
      </c>
      <c r="I34" s="120">
        <f t="shared" si="52"/>
        <v>0</v>
      </c>
      <c r="J34" s="120">
        <f t="shared" si="52"/>
        <v>0</v>
      </c>
      <c r="K34" s="120">
        <f t="shared" si="52"/>
        <v>0</v>
      </c>
      <c r="L34" s="120">
        <f t="shared" si="52"/>
        <v>0</v>
      </c>
      <c r="M34" s="120">
        <f t="shared" si="52"/>
        <v>0</v>
      </c>
      <c r="N34" s="120">
        <f t="shared" si="52"/>
        <v>0</v>
      </c>
      <c r="O34" s="120">
        <f t="shared" si="52"/>
        <v>0</v>
      </c>
      <c r="P34" s="120">
        <f t="shared" si="52"/>
        <v>0</v>
      </c>
      <c r="Q34" s="120">
        <f t="shared" si="52"/>
        <v>0</v>
      </c>
      <c r="R34" s="120">
        <f t="shared" si="52"/>
        <v>0</v>
      </c>
      <c r="S34" s="120">
        <f t="shared" si="52"/>
        <v>0</v>
      </c>
      <c r="T34" s="120">
        <f t="shared" si="52"/>
        <v>0</v>
      </c>
      <c r="U34" s="120">
        <f t="shared" si="52"/>
        <v>0</v>
      </c>
      <c r="V34" s="120">
        <f t="shared" si="52"/>
        <v>0</v>
      </c>
      <c r="W34" s="120">
        <f t="shared" si="52"/>
        <v>0</v>
      </c>
      <c r="X34" s="120">
        <f t="shared" si="52"/>
        <v>0</v>
      </c>
      <c r="Y34" s="120">
        <f t="shared" si="52"/>
        <v>0</v>
      </c>
      <c r="Z34" s="120">
        <f t="shared" si="52"/>
        <v>0</v>
      </c>
      <c r="AA34" s="120">
        <f t="shared" si="52"/>
        <v>0</v>
      </c>
      <c r="AB34" s="120">
        <f t="shared" si="52"/>
        <v>0</v>
      </c>
      <c r="AC34" s="120">
        <f t="shared" si="52"/>
        <v>0</v>
      </c>
      <c r="AD34" s="120">
        <f t="shared" si="52"/>
        <v>0</v>
      </c>
      <c r="AE34" s="120">
        <f t="shared" si="52"/>
        <v>0</v>
      </c>
      <c r="AF34" s="120">
        <f t="shared" si="52"/>
        <v>0</v>
      </c>
      <c r="AG34" s="120">
        <f t="shared" si="52"/>
        <v>0</v>
      </c>
      <c r="AH34" s="120">
        <f t="shared" si="52"/>
        <v>0</v>
      </c>
      <c r="AI34" s="120">
        <f t="shared" si="52"/>
        <v>0</v>
      </c>
      <c r="AJ34" s="120">
        <f t="shared" si="52"/>
        <v>0</v>
      </c>
      <c r="AK34" s="120">
        <f t="shared" si="52"/>
        <v>0</v>
      </c>
      <c r="AL34" s="120">
        <f t="shared" si="52"/>
        <v>0</v>
      </c>
      <c r="AM34" s="120">
        <f t="shared" si="52"/>
        <v>0</v>
      </c>
      <c r="AN34" s="120">
        <f t="shared" si="52"/>
        <v>0</v>
      </c>
      <c r="AO34" s="120">
        <f t="shared" si="52"/>
        <v>0</v>
      </c>
      <c r="AP34" s="120">
        <f t="shared" si="52"/>
        <v>0</v>
      </c>
      <c r="AQ34" s="120">
        <f t="shared" si="52"/>
        <v>0</v>
      </c>
      <c r="AR34" s="120">
        <f t="shared" si="52"/>
        <v>0</v>
      </c>
      <c r="AS34" s="120">
        <f t="shared" si="52"/>
        <v>0</v>
      </c>
      <c r="AT34" s="120">
        <f t="shared" ref="AT34:BP34" si="53">IF(AT33&gt;0,AT35/AT33*10000,0)</f>
        <v>0</v>
      </c>
      <c r="AU34" s="120">
        <f t="shared" si="53"/>
        <v>0</v>
      </c>
      <c r="AV34" s="120">
        <f t="shared" si="53"/>
        <v>0</v>
      </c>
      <c r="AW34" s="120">
        <f t="shared" si="53"/>
        <v>0</v>
      </c>
      <c r="AX34" s="120">
        <f t="shared" si="53"/>
        <v>0</v>
      </c>
      <c r="AY34" s="120">
        <f t="shared" si="53"/>
        <v>0</v>
      </c>
      <c r="AZ34" s="120">
        <f t="shared" si="53"/>
        <v>0</v>
      </c>
      <c r="BA34" s="120">
        <f t="shared" si="53"/>
        <v>0</v>
      </c>
      <c r="BB34" s="120">
        <f t="shared" si="53"/>
        <v>0</v>
      </c>
      <c r="BC34" s="120">
        <f t="shared" si="53"/>
        <v>0</v>
      </c>
      <c r="BD34" s="120">
        <f t="shared" si="53"/>
        <v>0</v>
      </c>
      <c r="BE34" s="120">
        <f t="shared" si="53"/>
        <v>0</v>
      </c>
      <c r="BF34" s="120">
        <f t="shared" si="53"/>
        <v>0</v>
      </c>
      <c r="BG34" s="120">
        <f t="shared" si="53"/>
        <v>0</v>
      </c>
      <c r="BH34" s="120">
        <f t="shared" si="53"/>
        <v>0</v>
      </c>
      <c r="BI34" s="120">
        <f t="shared" si="53"/>
        <v>0</v>
      </c>
      <c r="BJ34" s="120">
        <f t="shared" si="53"/>
        <v>0</v>
      </c>
      <c r="BK34" s="120">
        <f t="shared" si="53"/>
        <v>0</v>
      </c>
      <c r="BL34" s="120">
        <f t="shared" si="53"/>
        <v>0</v>
      </c>
      <c r="BM34" s="120">
        <f t="shared" si="53"/>
        <v>0</v>
      </c>
      <c r="BN34" s="120">
        <f t="shared" si="53"/>
        <v>0</v>
      </c>
      <c r="BO34" s="120">
        <f t="shared" si="53"/>
        <v>0</v>
      </c>
      <c r="BP34" s="120">
        <f t="shared" si="53"/>
        <v>0</v>
      </c>
      <c r="BQ34" s="120">
        <f t="shared" ref="BQ34:BU34" si="54">IF(BQ33&gt;0,BQ35/BQ33*10000,0)</f>
        <v>0</v>
      </c>
      <c r="BR34" s="120">
        <f t="shared" si="54"/>
        <v>0</v>
      </c>
      <c r="BS34" s="120">
        <f t="shared" si="54"/>
        <v>0</v>
      </c>
      <c r="BT34" s="120">
        <f t="shared" si="54"/>
        <v>0</v>
      </c>
      <c r="BU34" s="120">
        <f t="shared" si="54"/>
        <v>0</v>
      </c>
    </row>
    <row r="35" spans="1:73">
      <c r="A35" s="125"/>
      <c r="B35" s="120" t="s">
        <v>841</v>
      </c>
      <c r="C35" s="120">
        <f>SUMIF($B36:$B56,$B35,C36:C56)</f>
        <v>0</v>
      </c>
      <c r="D35" s="120">
        <f t="shared" ref="D35:AS35" si="55">SUMIF($B36:$B56,$B35,D36:D56)</f>
        <v>0</v>
      </c>
      <c r="E35" s="120">
        <f t="shared" si="55"/>
        <v>0</v>
      </c>
      <c r="F35" s="120">
        <f t="shared" si="55"/>
        <v>0</v>
      </c>
      <c r="G35" s="120">
        <f t="shared" si="55"/>
        <v>0</v>
      </c>
      <c r="H35" s="120">
        <f t="shared" si="55"/>
        <v>0</v>
      </c>
      <c r="I35" s="120">
        <f t="shared" si="55"/>
        <v>0</v>
      </c>
      <c r="J35" s="120">
        <f t="shared" si="55"/>
        <v>0</v>
      </c>
      <c r="K35" s="120">
        <f t="shared" si="55"/>
        <v>0</v>
      </c>
      <c r="L35" s="120">
        <f t="shared" si="55"/>
        <v>0</v>
      </c>
      <c r="M35" s="120">
        <f t="shared" si="55"/>
        <v>0</v>
      </c>
      <c r="N35" s="120">
        <f t="shared" si="55"/>
        <v>0</v>
      </c>
      <c r="O35" s="120">
        <f t="shared" si="55"/>
        <v>0</v>
      </c>
      <c r="P35" s="120">
        <f t="shared" si="55"/>
        <v>0</v>
      </c>
      <c r="Q35" s="120">
        <f t="shared" si="55"/>
        <v>0</v>
      </c>
      <c r="R35" s="120">
        <f t="shared" si="55"/>
        <v>0</v>
      </c>
      <c r="S35" s="120">
        <f t="shared" si="55"/>
        <v>0</v>
      </c>
      <c r="T35" s="120">
        <f t="shared" si="55"/>
        <v>0</v>
      </c>
      <c r="U35" s="120">
        <f t="shared" si="55"/>
        <v>0</v>
      </c>
      <c r="V35" s="120">
        <f t="shared" si="55"/>
        <v>0</v>
      </c>
      <c r="W35" s="120">
        <f t="shared" si="55"/>
        <v>0</v>
      </c>
      <c r="X35" s="120">
        <f t="shared" si="55"/>
        <v>0</v>
      </c>
      <c r="Y35" s="120">
        <f t="shared" si="55"/>
        <v>0</v>
      </c>
      <c r="Z35" s="120">
        <f t="shared" si="55"/>
        <v>0</v>
      </c>
      <c r="AA35" s="120">
        <f t="shared" si="55"/>
        <v>0</v>
      </c>
      <c r="AB35" s="120">
        <f t="shared" si="55"/>
        <v>0</v>
      </c>
      <c r="AC35" s="120">
        <f t="shared" si="55"/>
        <v>0</v>
      </c>
      <c r="AD35" s="120">
        <f t="shared" si="55"/>
        <v>0</v>
      </c>
      <c r="AE35" s="120">
        <f t="shared" si="55"/>
        <v>0</v>
      </c>
      <c r="AF35" s="120">
        <f t="shared" si="55"/>
        <v>0</v>
      </c>
      <c r="AG35" s="120">
        <f t="shared" si="55"/>
        <v>0</v>
      </c>
      <c r="AH35" s="120">
        <f t="shared" si="55"/>
        <v>0</v>
      </c>
      <c r="AI35" s="120">
        <f t="shared" si="55"/>
        <v>0</v>
      </c>
      <c r="AJ35" s="120">
        <f t="shared" si="55"/>
        <v>0</v>
      </c>
      <c r="AK35" s="120">
        <f t="shared" si="55"/>
        <v>0</v>
      </c>
      <c r="AL35" s="120">
        <f t="shared" si="55"/>
        <v>0</v>
      </c>
      <c r="AM35" s="120">
        <f t="shared" si="55"/>
        <v>0</v>
      </c>
      <c r="AN35" s="120">
        <f t="shared" si="55"/>
        <v>0</v>
      </c>
      <c r="AO35" s="120">
        <f t="shared" si="55"/>
        <v>0</v>
      </c>
      <c r="AP35" s="120">
        <f t="shared" si="55"/>
        <v>0</v>
      </c>
      <c r="AQ35" s="120">
        <f t="shared" si="55"/>
        <v>0</v>
      </c>
      <c r="AR35" s="120">
        <f t="shared" si="55"/>
        <v>0</v>
      </c>
      <c r="AS35" s="120">
        <f t="shared" si="55"/>
        <v>0</v>
      </c>
      <c r="AT35" s="120">
        <f t="shared" ref="AT35:BP35" si="56">SUMIF($B36:$B56,$B35,AT36:AT56)</f>
        <v>0</v>
      </c>
      <c r="AU35" s="120">
        <f t="shared" si="56"/>
        <v>0</v>
      </c>
      <c r="AV35" s="120">
        <f t="shared" si="56"/>
        <v>0</v>
      </c>
      <c r="AW35" s="120">
        <f t="shared" si="56"/>
        <v>0</v>
      </c>
      <c r="AX35" s="120">
        <f t="shared" si="56"/>
        <v>0</v>
      </c>
      <c r="AY35" s="120">
        <f t="shared" si="56"/>
        <v>0</v>
      </c>
      <c r="AZ35" s="120">
        <f t="shared" si="56"/>
        <v>0</v>
      </c>
      <c r="BA35" s="120">
        <f t="shared" si="56"/>
        <v>0</v>
      </c>
      <c r="BB35" s="120">
        <f t="shared" si="56"/>
        <v>0</v>
      </c>
      <c r="BC35" s="120">
        <f t="shared" si="56"/>
        <v>0</v>
      </c>
      <c r="BD35" s="120">
        <f t="shared" si="56"/>
        <v>0</v>
      </c>
      <c r="BE35" s="120">
        <f t="shared" si="56"/>
        <v>0</v>
      </c>
      <c r="BF35" s="120">
        <f t="shared" si="56"/>
        <v>0</v>
      </c>
      <c r="BG35" s="120">
        <f t="shared" si="56"/>
        <v>0</v>
      </c>
      <c r="BH35" s="120">
        <f t="shared" si="56"/>
        <v>0</v>
      </c>
      <c r="BI35" s="120">
        <f t="shared" si="56"/>
        <v>0</v>
      </c>
      <c r="BJ35" s="120">
        <f t="shared" si="56"/>
        <v>0</v>
      </c>
      <c r="BK35" s="120">
        <f t="shared" si="56"/>
        <v>0</v>
      </c>
      <c r="BL35" s="120">
        <f t="shared" si="56"/>
        <v>0</v>
      </c>
      <c r="BM35" s="120">
        <f t="shared" si="56"/>
        <v>0</v>
      </c>
      <c r="BN35" s="120">
        <f t="shared" si="56"/>
        <v>0</v>
      </c>
      <c r="BO35" s="120">
        <f t="shared" si="56"/>
        <v>0</v>
      </c>
      <c r="BP35" s="120">
        <f t="shared" si="56"/>
        <v>0</v>
      </c>
      <c r="BQ35" s="120">
        <f t="shared" ref="BQ35:BU35" si="57">SUMIF($B36:$B56,$B35,BQ36:BQ56)</f>
        <v>0</v>
      </c>
      <c r="BR35" s="120">
        <f t="shared" si="57"/>
        <v>0</v>
      </c>
      <c r="BS35" s="120">
        <f t="shared" si="57"/>
        <v>0</v>
      </c>
      <c r="BT35" s="120">
        <f t="shared" si="57"/>
        <v>0</v>
      </c>
      <c r="BU35" s="120">
        <f t="shared" si="57"/>
        <v>0</v>
      </c>
    </row>
    <row r="36" spans="1:73" s="126" customFormat="1" ht="13" outlineLevel="1">
      <c r="A36" s="127" t="str">
        <f>销售计划!A111</f>
        <v>小高层（8~11F）</v>
      </c>
      <c r="B36" s="128" t="s">
        <v>258</v>
      </c>
      <c r="C36" s="128">
        <f>SUM(D36:AS36)</f>
        <v>0</v>
      </c>
      <c r="D36" s="250">
        <f>IF(D$2&lt;基础信息!$E$13,0,IF(D$2=基础信息!$E$13,SUM(销售计划!$D111:E111),销售计划!E111))</f>
        <v>0</v>
      </c>
      <c r="E36" s="250">
        <f>IF(E$2&lt;基础信息!$E$13,0,IF(E$2=基础信息!$E$13,SUM(销售计划!$D111:F111),销售计划!F111))</f>
        <v>0</v>
      </c>
      <c r="F36" s="250">
        <f>IF(F$2&lt;基础信息!$E$13,0,IF(F$2=基础信息!$E$13,SUM(销售计划!$D111:G111),销售计划!G111))</f>
        <v>0</v>
      </c>
      <c r="G36" s="250">
        <f>IF(G$2&lt;基础信息!$E$13,0,IF(G$2=基础信息!$E$13,SUM(销售计划!$D111:H111),销售计划!H111))</f>
        <v>0</v>
      </c>
      <c r="H36" s="250">
        <f>IF(H$2&lt;基础信息!$E$13,0,IF(H$2=基础信息!$E$13,SUM(销售计划!$D111:I111),销售计划!I111))</f>
        <v>0</v>
      </c>
      <c r="I36" s="250">
        <f>IF(I$2&lt;基础信息!$E$13,0,IF(I$2=基础信息!$E$13,SUM(销售计划!$D111:J111),销售计划!J111))</f>
        <v>0</v>
      </c>
      <c r="J36" s="250">
        <f>IF(J$2&lt;基础信息!$E$13,0,IF(J$2=基础信息!$E$13,SUM(销售计划!$D111:K111),销售计划!K111))</f>
        <v>0</v>
      </c>
      <c r="K36" s="250">
        <f>IF(K$2&lt;基础信息!$E$13,0,IF(K$2=基础信息!$E$13,SUM(销售计划!$D111:L111),销售计划!L111))</f>
        <v>0</v>
      </c>
      <c r="L36" s="250">
        <f>IF(L$2&lt;基础信息!$E$13,0,IF(L$2=基础信息!$E$13,SUM(销售计划!$D111:M111),销售计划!M111))</f>
        <v>0</v>
      </c>
      <c r="M36" s="250">
        <f>IF(M$2&lt;基础信息!$E$13,0,IF(M$2=基础信息!$E$13,SUM(销售计划!$D111:N111),销售计划!N111))</f>
        <v>0</v>
      </c>
      <c r="N36" s="250">
        <f>IF(N$2&lt;基础信息!$E$13,0,IF(N$2=基础信息!$E$13,SUM(销售计划!$D111:O111),销售计划!O111))</f>
        <v>0</v>
      </c>
      <c r="O36" s="250">
        <f>IF(O$2&lt;基础信息!$E$13,0,IF(O$2=基础信息!$E$13,SUM(销售计划!$D111:P111),销售计划!P111))</f>
        <v>0</v>
      </c>
      <c r="P36" s="250">
        <f>IF(P$2&lt;基础信息!$E$13,0,IF(P$2=基础信息!$E$13,SUM(销售计划!$D111:Q111),销售计划!Q111))</f>
        <v>0</v>
      </c>
      <c r="Q36" s="250">
        <f>IF(Q$2&lt;基础信息!$E$13,0,IF(Q$2=基础信息!$E$13,SUM(销售计划!$D111:R111),销售计划!R111))</f>
        <v>0</v>
      </c>
      <c r="R36" s="250">
        <f>IF(R$2&lt;基础信息!$E$13,0,IF(R$2=基础信息!$E$13,SUM(销售计划!$D111:S111),销售计划!S111))</f>
        <v>0</v>
      </c>
      <c r="S36" s="250">
        <f>IF(S$2&lt;基础信息!$E$13,0,IF(S$2=基础信息!$E$13,SUM(销售计划!$D111:T111),销售计划!T111))</f>
        <v>0</v>
      </c>
      <c r="T36" s="250">
        <f>IF(T$2&lt;基础信息!$E$13,0,IF(T$2=基础信息!$E$13,SUM(销售计划!$D111:U111),销售计划!U111))</f>
        <v>0</v>
      </c>
      <c r="U36" s="250">
        <f>IF(U$2&lt;基础信息!$E$13,0,IF(U$2=基础信息!$E$13,SUM(销售计划!$D111:V111),销售计划!V111))</f>
        <v>0</v>
      </c>
      <c r="V36" s="250">
        <f>IF(V$2&lt;基础信息!$E$13,0,IF(V$2=基础信息!$E$13,SUM(销售计划!$D111:W111),销售计划!W111))</f>
        <v>0</v>
      </c>
      <c r="W36" s="250">
        <f>IF(W$2&lt;基础信息!$E$13,0,IF(W$2=基础信息!$E$13,SUM(销售计划!$D111:X111),销售计划!X111))</f>
        <v>0</v>
      </c>
      <c r="X36" s="250">
        <f>IF(X$2&lt;基础信息!$E$13,0,IF(X$2=基础信息!$E$13,SUM(销售计划!$D111:Y111),销售计划!Y111))</f>
        <v>0</v>
      </c>
      <c r="Y36" s="250">
        <f>IF(Y$2&lt;基础信息!$E$13,0,IF(Y$2=基础信息!$E$13,SUM(销售计划!$D111:Z111),销售计划!Z111))</f>
        <v>0</v>
      </c>
      <c r="Z36" s="250">
        <f>IF(Z$2&lt;基础信息!$E$13,0,IF(Z$2=基础信息!$E$13,SUM(销售计划!$D111:AA111),销售计划!AA111))</f>
        <v>0</v>
      </c>
      <c r="AA36" s="250">
        <f>IF(AA$2&lt;基础信息!$E$13,0,IF(AA$2=基础信息!$E$13,SUM(销售计划!$D111:AB111),销售计划!AB111))</f>
        <v>0</v>
      </c>
      <c r="AB36" s="250">
        <f>IF(AB$2&lt;基础信息!$E$13,0,IF(AB$2=基础信息!$E$13,SUM(销售计划!$D111:AC111),销售计划!AC111))</f>
        <v>0</v>
      </c>
      <c r="AC36" s="250">
        <f>IF(AC$2&lt;基础信息!$E$13,0,IF(AC$2=基础信息!$E$13,SUM(销售计划!$D111:AD111),销售计划!AD111))</f>
        <v>0</v>
      </c>
      <c r="AD36" s="250">
        <f>IF(AD$2&lt;基础信息!$E$13,0,IF(AD$2=基础信息!$E$13,SUM(销售计划!$D111:AE111),销售计划!AE111))</f>
        <v>0</v>
      </c>
      <c r="AE36" s="250">
        <f>IF(AE$2&lt;基础信息!$E$13,0,IF(AE$2=基础信息!$E$13,SUM(销售计划!$D111:AF111),销售计划!AF111))</f>
        <v>0</v>
      </c>
      <c r="AF36" s="250">
        <f>IF(AF$2&lt;基础信息!$E$13,0,IF(AF$2=基础信息!$E$13,SUM(销售计划!$D111:AG111),销售计划!AG111))</f>
        <v>0</v>
      </c>
      <c r="AG36" s="250">
        <f>IF(AG$2&lt;基础信息!$E$13,0,IF(AG$2=基础信息!$E$13,SUM(销售计划!$D111:AH111),销售计划!AH111))</f>
        <v>0</v>
      </c>
      <c r="AH36" s="250">
        <f>IF(AH$2&lt;基础信息!$E$13,0,IF(AH$2=基础信息!$E$13,SUM(销售计划!$D111:AI111),销售计划!AI111))</f>
        <v>0</v>
      </c>
      <c r="AI36" s="135">
        <f>IF(AI$2&lt;基础信息!$E$13,0,IF(AI$2=基础信息!$E$13,SUM(销售计划!$D111:AJ111),销售计划!AJ111))</f>
        <v>0</v>
      </c>
      <c r="AJ36" s="135">
        <f>IF(AJ$2&lt;基础信息!$E$13,0,IF(AJ$2=基础信息!$E$13,SUM(销售计划!$D111:AK111),销售计划!AK111))</f>
        <v>0</v>
      </c>
      <c r="AK36" s="135">
        <f>IF(AK$2&lt;基础信息!$E$13,0,IF(AK$2=基础信息!$E$13,SUM(销售计划!$D111:AL111),销售计划!AL111))</f>
        <v>0</v>
      </c>
      <c r="AL36" s="135">
        <f>IF(AL$2&lt;基础信息!$E$13,0,IF(AL$2=基础信息!$E$13,SUM(销售计划!$D111:AM111),销售计划!AM111))</f>
        <v>0</v>
      </c>
      <c r="AM36" s="135">
        <f>IF(AM$2&lt;基础信息!$E$13,0,IF(AM$2=基础信息!$E$13,SUM(销售计划!$D111:AN111),销售计划!AN111))</f>
        <v>0</v>
      </c>
      <c r="AN36" s="135">
        <f>IF(AN$2&lt;基础信息!$E$13,0,IF(AN$2=基础信息!$E$13,SUM(销售计划!$D111:AO111),销售计划!AO111))</f>
        <v>0</v>
      </c>
      <c r="AO36" s="135">
        <f>IF(AO$2&lt;基础信息!$E$13,0,IF(AO$2=基础信息!$E$13,SUM(销售计划!$D111:AP111),销售计划!AP111))</f>
        <v>0</v>
      </c>
      <c r="AP36" s="135">
        <f>IF(AP$2&lt;基础信息!$E$13,0,IF(AP$2=基础信息!$E$13,SUM(销售计划!$D111:AQ111),销售计划!AQ111))</f>
        <v>0</v>
      </c>
      <c r="AQ36" s="135">
        <f>IF(AQ$2&lt;基础信息!$E$13,0,IF(AQ$2=基础信息!$E$13,SUM(销售计划!$D111:AR111),销售计划!AR111))</f>
        <v>0</v>
      </c>
      <c r="AR36" s="135">
        <f>IF(AR$2&lt;基础信息!$E$13,0,IF(AR$2=基础信息!$E$13,SUM(销售计划!$D111:AS111),销售计划!AS111))</f>
        <v>0</v>
      </c>
      <c r="AS36" s="135">
        <f>IF(AS$2&lt;基础信息!$E$13,0,IF(AS$2=基础信息!$E$13,SUM(销售计划!$D111:AT111),销售计划!AT111))</f>
        <v>0</v>
      </c>
      <c r="AT36" s="135">
        <f>IF(AT$2&lt;基础信息!$E$13,0,IF(AT$2=基础信息!$E$13,SUM(销售计划!$D111:AU111),销售计划!AU111))</f>
        <v>0</v>
      </c>
      <c r="AU36" s="135">
        <f>IF(AU$2&lt;基础信息!$E$13,0,IF(AU$2=基础信息!$E$13,SUM(销售计划!$D111:AV111),销售计划!AV111))</f>
        <v>0</v>
      </c>
      <c r="AV36" s="135">
        <f>IF(AV$2&lt;基础信息!$E$13,0,IF(AV$2=基础信息!$E$13,SUM(销售计划!$D111:AW111),销售计划!AW111))</f>
        <v>0</v>
      </c>
      <c r="AW36" s="135">
        <f>IF(AW$2&lt;基础信息!$E$13,0,IF(AW$2=基础信息!$E$13,SUM(销售计划!$D111:AX111),销售计划!AX111))</f>
        <v>0</v>
      </c>
      <c r="AX36" s="135">
        <f>IF(AX$2&lt;基础信息!$E$13,0,IF(AX$2=基础信息!$E$13,SUM(销售计划!$D111:AY111),销售计划!AY111))</f>
        <v>0</v>
      </c>
      <c r="AY36" s="135">
        <f>IF(AY$2&lt;基础信息!$E$13,0,IF(AY$2=基础信息!$E$13,SUM(销售计划!$D111:AZ111),销售计划!AZ111))</f>
        <v>0</v>
      </c>
      <c r="AZ36" s="135">
        <f>IF(AZ$2&lt;基础信息!$E$13,0,IF(AZ$2=基础信息!$E$13,SUM(销售计划!$D111:BA111),销售计划!BA111))</f>
        <v>0</v>
      </c>
      <c r="BA36" s="135">
        <f>IF(BA$2&lt;基础信息!$E$13,0,IF(BA$2=基础信息!$E$13,SUM(销售计划!$D111:BB111),销售计划!BB111))</f>
        <v>0</v>
      </c>
      <c r="BB36" s="135">
        <f>IF(BB$2&lt;基础信息!$E$13,0,IF(BB$2=基础信息!$E$13,SUM(销售计划!$D111:BC111),销售计划!BC111))</f>
        <v>0</v>
      </c>
      <c r="BC36" s="135">
        <f>IF(BC$2&lt;基础信息!$E$13,0,IF(BC$2=基础信息!$E$13,SUM(销售计划!$D111:BD111),销售计划!BD111))</f>
        <v>0</v>
      </c>
      <c r="BD36" s="135">
        <f>IF(BD$2&lt;基础信息!$E$13,0,IF(BD$2=基础信息!$E$13,SUM(销售计划!$D111:BE111),销售计划!BE111))</f>
        <v>0</v>
      </c>
      <c r="BE36" s="135">
        <f>IF(BE$2&lt;基础信息!$E$13,0,IF(BE$2=基础信息!$E$13,SUM(销售计划!$D111:BF111),销售计划!BF111))</f>
        <v>0</v>
      </c>
      <c r="BF36" s="135">
        <f>IF(BF$2&lt;基础信息!$E$13,0,IF(BF$2=基础信息!$E$13,SUM(销售计划!$D111:BG111),销售计划!BG111))</f>
        <v>0</v>
      </c>
      <c r="BG36" s="135">
        <f>IF(BG$2&lt;基础信息!$E$13,0,IF(BG$2=基础信息!$E$13,SUM(销售计划!$D111:BH111),销售计划!BH111))</f>
        <v>0</v>
      </c>
      <c r="BH36" s="135">
        <f>IF(BH$2&lt;基础信息!$E$13,0,IF(BH$2=基础信息!$E$13,SUM(销售计划!$D111:BI111),销售计划!BI111))</f>
        <v>0</v>
      </c>
      <c r="BI36" s="135">
        <f>IF(BI$2&lt;基础信息!$E$13,0,IF(BI$2=基础信息!$E$13,SUM(销售计划!$D111:BJ111),销售计划!BJ111))</f>
        <v>0</v>
      </c>
      <c r="BJ36" s="135">
        <f>IF(BJ$2&lt;基础信息!$E$13,0,IF(BJ$2=基础信息!$E$13,SUM(销售计划!$D111:BK111),销售计划!BK111))</f>
        <v>0</v>
      </c>
      <c r="BK36" s="135">
        <f>IF(BK$2&lt;基础信息!$E$13,0,IF(BK$2=基础信息!$E$13,SUM(销售计划!$D111:BL111),销售计划!BL111))</f>
        <v>0</v>
      </c>
      <c r="BL36" s="135">
        <f>IF(BL$2&lt;基础信息!$E$13,0,IF(BL$2=基础信息!$E$13,SUM(销售计划!$D111:BM111),销售计划!BM111))</f>
        <v>0</v>
      </c>
      <c r="BM36" s="135">
        <f>IF(BM$2&lt;基础信息!$E$13,0,IF(BM$2=基础信息!$E$13,SUM(销售计划!$D111:BN111),销售计划!BN111))</f>
        <v>0</v>
      </c>
      <c r="BN36" s="135">
        <f>IF(BN$2&lt;基础信息!$E$13,0,IF(BN$2=基础信息!$E$13,SUM(销售计划!$D111:BO111),销售计划!BO111))</f>
        <v>0</v>
      </c>
      <c r="BO36" s="135">
        <f>IF(BO$2&lt;基础信息!$E$13,0,IF(BO$2=基础信息!$E$13,SUM(销售计划!$D111:BP111),销售计划!BP111))</f>
        <v>0</v>
      </c>
      <c r="BP36" s="135">
        <f>IF(BP$2&lt;基础信息!$E$13,0,IF(BP$2=基础信息!$E$13,SUM(销售计划!$D111:BQ111),销售计划!BQ111))</f>
        <v>0</v>
      </c>
      <c r="BQ36" s="135">
        <f>IF(BQ$2&lt;基础信息!$E$13,0,IF(BQ$2=基础信息!$E$13,SUM(销售计划!$D111:BR111),销售计划!BR111))</f>
        <v>0</v>
      </c>
      <c r="BR36" s="135">
        <f>IF(BR$2&lt;基础信息!$E$13,0,IF(BR$2=基础信息!$E$13,SUM(销售计划!$D111:BS111),销售计划!BS111))</f>
        <v>0</v>
      </c>
      <c r="BS36" s="135">
        <f>IF(BS$2&lt;基础信息!$E$13,0,IF(BS$2=基础信息!$E$13,SUM(销售计划!$D111:BT111),销售计划!BT111))</f>
        <v>0</v>
      </c>
      <c r="BT36" s="135">
        <f>IF(BT$2&lt;基础信息!$E$13,0,IF(BT$2=基础信息!$E$13,SUM(销售计划!$D111:BU111),销售计划!BU111))</f>
        <v>0</v>
      </c>
      <c r="BU36" s="135">
        <f>IF(BU$2&lt;基础信息!$E$13,0,IF(BU$2=基础信息!$E$13,SUM(销售计划!$D111:BV111),销售计划!BV111))</f>
        <v>0</v>
      </c>
    </row>
    <row r="37" spans="1:73" s="126" customFormat="1" ht="13" outlineLevel="1">
      <c r="A37" s="127">
        <f>销售计划!A112</f>
        <v>0</v>
      </c>
      <c r="B37" s="128" t="s">
        <v>932</v>
      </c>
      <c r="C37" s="128">
        <f>IF(C36&gt;0,C38/C36*10000,0)</f>
        <v>0</v>
      </c>
      <c r="D37" s="250">
        <f t="shared" ref="D37:AS37" si="58">IF(D36&gt;0,D38/D36*10000,0)</f>
        <v>0</v>
      </c>
      <c r="E37" s="250">
        <f t="shared" si="58"/>
        <v>0</v>
      </c>
      <c r="F37" s="250">
        <f t="shared" si="58"/>
        <v>0</v>
      </c>
      <c r="G37" s="250">
        <f t="shared" si="58"/>
        <v>0</v>
      </c>
      <c r="H37" s="250">
        <f t="shared" si="58"/>
        <v>0</v>
      </c>
      <c r="I37" s="250">
        <f t="shared" si="58"/>
        <v>0</v>
      </c>
      <c r="J37" s="250">
        <f t="shared" si="58"/>
        <v>0</v>
      </c>
      <c r="K37" s="250">
        <f t="shared" si="58"/>
        <v>0</v>
      </c>
      <c r="L37" s="250">
        <f t="shared" si="58"/>
        <v>0</v>
      </c>
      <c r="M37" s="250">
        <f t="shared" si="58"/>
        <v>0</v>
      </c>
      <c r="N37" s="250">
        <f t="shared" si="58"/>
        <v>0</v>
      </c>
      <c r="O37" s="250">
        <f t="shared" si="58"/>
        <v>0</v>
      </c>
      <c r="P37" s="250">
        <f t="shared" si="58"/>
        <v>0</v>
      </c>
      <c r="Q37" s="250">
        <f t="shared" si="58"/>
        <v>0</v>
      </c>
      <c r="R37" s="250">
        <f t="shared" si="58"/>
        <v>0</v>
      </c>
      <c r="S37" s="250">
        <f t="shared" si="58"/>
        <v>0</v>
      </c>
      <c r="T37" s="250">
        <f t="shared" si="58"/>
        <v>0</v>
      </c>
      <c r="U37" s="250">
        <f t="shared" si="58"/>
        <v>0</v>
      </c>
      <c r="V37" s="250">
        <f t="shared" si="58"/>
        <v>0</v>
      </c>
      <c r="W37" s="250">
        <f t="shared" si="58"/>
        <v>0</v>
      </c>
      <c r="X37" s="250">
        <f t="shared" si="58"/>
        <v>0</v>
      </c>
      <c r="Y37" s="250">
        <f t="shared" si="58"/>
        <v>0</v>
      </c>
      <c r="Z37" s="250">
        <f t="shared" si="58"/>
        <v>0</v>
      </c>
      <c r="AA37" s="250">
        <f t="shared" si="58"/>
        <v>0</v>
      </c>
      <c r="AB37" s="250">
        <f t="shared" si="58"/>
        <v>0</v>
      </c>
      <c r="AC37" s="250">
        <f t="shared" si="58"/>
        <v>0</v>
      </c>
      <c r="AD37" s="250">
        <f t="shared" si="58"/>
        <v>0</v>
      </c>
      <c r="AE37" s="250">
        <f t="shared" si="58"/>
        <v>0</v>
      </c>
      <c r="AF37" s="250">
        <f t="shared" si="58"/>
        <v>0</v>
      </c>
      <c r="AG37" s="250">
        <f t="shared" si="58"/>
        <v>0</v>
      </c>
      <c r="AH37" s="250">
        <f t="shared" si="58"/>
        <v>0</v>
      </c>
      <c r="AI37" s="250">
        <f t="shared" si="58"/>
        <v>0</v>
      </c>
      <c r="AJ37" s="130">
        <f t="shared" si="58"/>
        <v>0</v>
      </c>
      <c r="AK37" s="250">
        <f t="shared" si="58"/>
        <v>0</v>
      </c>
      <c r="AL37" s="250">
        <f t="shared" si="58"/>
        <v>0</v>
      </c>
      <c r="AM37" s="250">
        <f t="shared" si="58"/>
        <v>0</v>
      </c>
      <c r="AN37" s="250">
        <f t="shared" si="58"/>
        <v>0</v>
      </c>
      <c r="AO37" s="250">
        <f t="shared" si="58"/>
        <v>0</v>
      </c>
      <c r="AP37" s="250">
        <f t="shared" si="58"/>
        <v>0</v>
      </c>
      <c r="AQ37" s="250">
        <f t="shared" si="58"/>
        <v>0</v>
      </c>
      <c r="AR37" s="250">
        <f t="shared" si="58"/>
        <v>0</v>
      </c>
      <c r="AS37" s="250">
        <f t="shared" si="58"/>
        <v>0</v>
      </c>
      <c r="AT37" s="250">
        <f t="shared" ref="AT37:BP37" si="59">IF(AT36&gt;0,AT38/AT36*10000,0)</f>
        <v>0</v>
      </c>
      <c r="AU37" s="250">
        <f t="shared" si="59"/>
        <v>0</v>
      </c>
      <c r="AV37" s="250">
        <f t="shared" si="59"/>
        <v>0</v>
      </c>
      <c r="AW37" s="250">
        <f t="shared" si="59"/>
        <v>0</v>
      </c>
      <c r="AX37" s="250">
        <f t="shared" si="59"/>
        <v>0</v>
      </c>
      <c r="AY37" s="250">
        <f t="shared" si="59"/>
        <v>0</v>
      </c>
      <c r="AZ37" s="250">
        <f t="shared" si="59"/>
        <v>0</v>
      </c>
      <c r="BA37" s="250">
        <f t="shared" si="59"/>
        <v>0</v>
      </c>
      <c r="BB37" s="250">
        <f t="shared" si="59"/>
        <v>0</v>
      </c>
      <c r="BC37" s="250">
        <f t="shared" si="59"/>
        <v>0</v>
      </c>
      <c r="BD37" s="250">
        <f t="shared" si="59"/>
        <v>0</v>
      </c>
      <c r="BE37" s="250">
        <f t="shared" si="59"/>
        <v>0</v>
      </c>
      <c r="BF37" s="250">
        <f t="shared" si="59"/>
        <v>0</v>
      </c>
      <c r="BG37" s="250">
        <f t="shared" si="59"/>
        <v>0</v>
      </c>
      <c r="BH37" s="250">
        <f t="shared" si="59"/>
        <v>0</v>
      </c>
      <c r="BI37" s="250">
        <f t="shared" si="59"/>
        <v>0</v>
      </c>
      <c r="BJ37" s="250">
        <f t="shared" si="59"/>
        <v>0</v>
      </c>
      <c r="BK37" s="250">
        <f t="shared" si="59"/>
        <v>0</v>
      </c>
      <c r="BL37" s="250">
        <f t="shared" si="59"/>
        <v>0</v>
      </c>
      <c r="BM37" s="250">
        <f t="shared" si="59"/>
        <v>0</v>
      </c>
      <c r="BN37" s="250">
        <f t="shared" si="59"/>
        <v>0</v>
      </c>
      <c r="BO37" s="250">
        <f t="shared" si="59"/>
        <v>0</v>
      </c>
      <c r="BP37" s="250">
        <f t="shared" si="59"/>
        <v>0</v>
      </c>
      <c r="BQ37" s="250">
        <f t="shared" ref="BQ37:BU37" si="60">IF(BQ36&gt;0,BQ38/BQ36*10000,0)</f>
        <v>0</v>
      </c>
      <c r="BR37" s="250">
        <f t="shared" si="60"/>
        <v>0</v>
      </c>
      <c r="BS37" s="250">
        <f t="shared" si="60"/>
        <v>0</v>
      </c>
      <c r="BT37" s="250">
        <f t="shared" si="60"/>
        <v>0</v>
      </c>
      <c r="BU37" s="250">
        <f t="shared" si="60"/>
        <v>0</v>
      </c>
    </row>
    <row r="38" spans="1:73" outlineLevel="1">
      <c r="A38" s="132">
        <f>销售计划!A113</f>
        <v>0</v>
      </c>
      <c r="B38" s="133" t="s">
        <v>841</v>
      </c>
      <c r="C38" s="133">
        <f>SUM(D38:AS38)</f>
        <v>0</v>
      </c>
      <c r="D38" s="133">
        <f>IF(D$2&lt;基础信息!$E$13,0,IF(D$2=基础信息!$E$13,SUM(销售计划!$D113:E113),销售计划!E113))</f>
        <v>0</v>
      </c>
      <c r="E38" s="133">
        <f>IF(E$2&lt;基础信息!$E$13,0,IF(E$2=基础信息!$E$13,SUM(销售计划!$D113:F113),销售计划!F113))</f>
        <v>0</v>
      </c>
      <c r="F38" s="133">
        <f>IF(F$2&lt;基础信息!$E$13,0,IF(F$2=基础信息!$E$13,SUM(销售计划!$D113:G113),销售计划!G113))</f>
        <v>0</v>
      </c>
      <c r="G38" s="133">
        <f>IF(G$2&lt;基础信息!$E$13,0,IF(G$2=基础信息!$E$13,SUM(销售计划!$D113:H113),销售计划!H113))</f>
        <v>0</v>
      </c>
      <c r="H38" s="133">
        <f>IF(H$2&lt;基础信息!$E$13,0,IF(H$2=基础信息!$E$13,SUM(销售计划!$D113:I113),销售计划!I113))</f>
        <v>0</v>
      </c>
      <c r="I38" s="133">
        <f>IF(I$2&lt;基础信息!$E$13,0,IF(I$2=基础信息!$E$13,SUM(销售计划!$D113:J113),销售计划!J113))</f>
        <v>0</v>
      </c>
      <c r="J38" s="133">
        <f>IF(J$2&lt;基础信息!$E$13,0,IF(J$2=基础信息!$E$13,SUM(销售计划!$D113:K113),销售计划!K113))</f>
        <v>0</v>
      </c>
      <c r="K38" s="133">
        <f>IF(K$2&lt;基础信息!$E$13,0,IF(K$2=基础信息!$E$13,SUM(销售计划!$D113:L113),销售计划!L113))</f>
        <v>0</v>
      </c>
      <c r="L38" s="133">
        <f>IF(L$2&lt;基础信息!$E$13,0,IF(L$2=基础信息!$E$13,SUM(销售计划!$D113:M113),销售计划!M113))</f>
        <v>0</v>
      </c>
      <c r="M38" s="133">
        <f>IF(M$2&lt;基础信息!$E$13,0,IF(M$2=基础信息!$E$13,SUM(销售计划!$D113:N113),销售计划!N113))</f>
        <v>0</v>
      </c>
      <c r="N38" s="133">
        <f>IF(N$2&lt;基础信息!$E$13,0,IF(N$2=基础信息!$E$13,SUM(销售计划!$D113:O113),销售计划!O113))</f>
        <v>0</v>
      </c>
      <c r="O38" s="133">
        <f>IF(O$2&lt;基础信息!$E$13,0,IF(O$2=基础信息!$E$13,SUM(销售计划!$D113:P113),销售计划!P113))</f>
        <v>0</v>
      </c>
      <c r="P38" s="133">
        <f>IF(P$2&lt;基础信息!$E$13,0,IF(P$2=基础信息!$E$13,SUM(销售计划!$D113:Q113),销售计划!Q113))</f>
        <v>0</v>
      </c>
      <c r="Q38" s="133">
        <f>IF(Q$2&lt;基础信息!$E$13,0,IF(Q$2=基础信息!$E$13,SUM(销售计划!$D113:R113),销售计划!R113))</f>
        <v>0</v>
      </c>
      <c r="R38" s="133">
        <f>IF(R$2&lt;基础信息!$E$13,0,IF(R$2=基础信息!$E$13,SUM(销售计划!$D113:S113),销售计划!S113))</f>
        <v>0</v>
      </c>
      <c r="S38" s="133">
        <f>IF(S$2&lt;基础信息!$E$13,0,IF(S$2=基础信息!$E$13,SUM(销售计划!$D113:T113),销售计划!T113))</f>
        <v>0</v>
      </c>
      <c r="T38" s="133">
        <f>IF(T$2&lt;基础信息!$E$13,0,IF(T$2=基础信息!$E$13,SUM(销售计划!$D113:U113),销售计划!U113))</f>
        <v>0</v>
      </c>
      <c r="U38" s="133">
        <f>IF(U$2&lt;基础信息!$E$13,0,IF(U$2=基础信息!$E$13,SUM(销售计划!$D113:V113),销售计划!V113))</f>
        <v>0</v>
      </c>
      <c r="V38" s="133">
        <f>IF(V$2&lt;基础信息!$E$13,0,IF(V$2=基础信息!$E$13,SUM(销售计划!$D113:W113),销售计划!W113))</f>
        <v>0</v>
      </c>
      <c r="W38" s="133">
        <f>IF(W$2&lt;基础信息!$E$13,0,IF(W$2=基础信息!$E$13,SUM(销售计划!$D113:X113),销售计划!X113))</f>
        <v>0</v>
      </c>
      <c r="X38" s="133">
        <f>IF(X$2&lt;基础信息!$E$13,0,IF(X$2=基础信息!$E$13,SUM(销售计划!$D113:Y113),销售计划!Y113))</f>
        <v>0</v>
      </c>
      <c r="Y38" s="133">
        <f>IF(Y$2&lt;基础信息!$E$13,0,IF(Y$2=基础信息!$E$13,SUM(销售计划!$D113:Z113),销售计划!Z113))</f>
        <v>0</v>
      </c>
      <c r="Z38" s="133">
        <f>IF(Z$2&lt;基础信息!$E$13,0,IF(Z$2=基础信息!$E$13,SUM(销售计划!$D113:AA113),销售计划!AA113))</f>
        <v>0</v>
      </c>
      <c r="AA38" s="133">
        <f>IF(AA$2&lt;基础信息!$E$13,0,IF(AA$2=基础信息!$E$13,SUM(销售计划!$D113:AB113),销售计划!AB113))</f>
        <v>0</v>
      </c>
      <c r="AB38" s="133">
        <f>IF(AB$2&lt;基础信息!$E$13,0,IF(AB$2=基础信息!$E$13,SUM(销售计划!$D113:AC113),销售计划!AC113))</f>
        <v>0</v>
      </c>
      <c r="AC38" s="133">
        <f>IF(AC$2&lt;基础信息!$E$13,0,IF(AC$2=基础信息!$E$13,SUM(销售计划!$D113:AD113),销售计划!AD113))</f>
        <v>0</v>
      </c>
      <c r="AD38" s="133">
        <f>IF(AD$2&lt;基础信息!$E$13,0,IF(AD$2=基础信息!$E$13,SUM(销售计划!$D113:AE113),销售计划!AE113))</f>
        <v>0</v>
      </c>
      <c r="AE38" s="133">
        <f>IF(AE$2&lt;基础信息!$E$13,0,IF(AE$2=基础信息!$E$13,SUM(销售计划!$D113:AF113),销售计划!AF113))</f>
        <v>0</v>
      </c>
      <c r="AF38" s="133">
        <f>IF(AF$2&lt;基础信息!$E$13,0,IF(AF$2=基础信息!$E$13,SUM(销售计划!$D113:AG113),销售计划!AG113))</f>
        <v>0</v>
      </c>
      <c r="AG38" s="133">
        <f>IF(AG$2&lt;基础信息!$E$13,0,IF(AG$2=基础信息!$E$13,SUM(销售计划!$D113:AH113),销售计划!AH113))</f>
        <v>0</v>
      </c>
      <c r="AH38" s="133">
        <f>IF(AH$2&lt;基础信息!$E$13,0,IF(AH$2=基础信息!$E$13,SUM(销售计划!$D113:AI113),销售计划!AI113))</f>
        <v>0</v>
      </c>
      <c r="AI38" s="133">
        <f>IF(AI$2&lt;基础信息!$E$13,0,IF(AI$2=基础信息!$E$13,SUM(销售计划!$D113:AJ113),销售计划!AJ113))</f>
        <v>0</v>
      </c>
      <c r="AJ38" s="133">
        <f>IF(AJ$2&lt;基础信息!$E$13,0,IF(AJ$2=基础信息!$E$13,SUM(销售计划!$D113:AK113),销售计划!AK113))</f>
        <v>0</v>
      </c>
      <c r="AK38" s="133">
        <f>IF(AK$2&lt;基础信息!$E$13,0,IF(AK$2=基础信息!$E$13,SUM(销售计划!$D113:AL113),销售计划!AL113))</f>
        <v>0</v>
      </c>
      <c r="AL38" s="133">
        <f>IF(AL$2&lt;基础信息!$E$13,0,IF(AL$2=基础信息!$E$13,SUM(销售计划!$D113:AM113),销售计划!AM113))</f>
        <v>0</v>
      </c>
      <c r="AM38" s="133">
        <f>IF(AM$2&lt;基础信息!$E$13,0,IF(AM$2=基础信息!$E$13,SUM(销售计划!$D113:AN113),销售计划!AN113))</f>
        <v>0</v>
      </c>
      <c r="AN38" s="133">
        <f>IF(AN$2&lt;基础信息!$E$13,0,IF(AN$2=基础信息!$E$13,SUM(销售计划!$D113:AO113),销售计划!AO113))</f>
        <v>0</v>
      </c>
      <c r="AO38" s="133">
        <f>IF(AO$2&lt;基础信息!$E$13,0,IF(AO$2=基础信息!$E$13,SUM(销售计划!$D113:AP113),销售计划!AP113))</f>
        <v>0</v>
      </c>
      <c r="AP38" s="133">
        <f>IF(AP$2&lt;基础信息!$E$13,0,IF(AP$2=基础信息!$E$13,SUM(销售计划!$D113:AQ113),销售计划!AQ113))</f>
        <v>0</v>
      </c>
      <c r="AQ38" s="133">
        <f>IF(AQ$2&lt;基础信息!$E$13,0,IF(AQ$2=基础信息!$E$13,SUM(销售计划!$D113:AR113),销售计划!AR113))</f>
        <v>0</v>
      </c>
      <c r="AR38" s="133">
        <f>IF(AR$2&lt;基础信息!$E$13,0,IF(AR$2=基础信息!$E$13,SUM(销售计划!$D113:AS113),销售计划!AS113))</f>
        <v>0</v>
      </c>
      <c r="AS38" s="133">
        <f>IF(AS$2&lt;基础信息!$E$13,0,IF(AS$2=基础信息!$E$13,SUM(销售计划!$D113:AT113),销售计划!AT113))</f>
        <v>0</v>
      </c>
      <c r="AT38" s="133">
        <f>IF(AT$2&lt;基础信息!$E$13,0,IF(AT$2=基础信息!$E$13,SUM(销售计划!$D113:AU113),销售计划!AU113))</f>
        <v>0</v>
      </c>
      <c r="AU38" s="133">
        <f>IF(AU$2&lt;基础信息!$E$13,0,IF(AU$2=基础信息!$E$13,SUM(销售计划!$D113:AV113),销售计划!AV113))</f>
        <v>0</v>
      </c>
      <c r="AV38" s="133">
        <f>IF(AV$2&lt;基础信息!$E$13,0,IF(AV$2=基础信息!$E$13,SUM(销售计划!$D113:AW113),销售计划!AW113))</f>
        <v>0</v>
      </c>
      <c r="AW38" s="133">
        <f>IF(AW$2&lt;基础信息!$E$13,0,IF(AW$2=基础信息!$E$13,SUM(销售计划!$D113:AX113),销售计划!AX113))</f>
        <v>0</v>
      </c>
      <c r="AX38" s="133">
        <f>IF(AX$2&lt;基础信息!$E$13,0,IF(AX$2=基础信息!$E$13,SUM(销售计划!$D113:AY113),销售计划!AY113))</f>
        <v>0</v>
      </c>
      <c r="AY38" s="133">
        <f>IF(AY$2&lt;基础信息!$E$13,0,IF(AY$2=基础信息!$E$13,SUM(销售计划!$D113:AZ113),销售计划!AZ113))</f>
        <v>0</v>
      </c>
      <c r="AZ38" s="133">
        <f>IF(AZ$2&lt;基础信息!$E$13,0,IF(AZ$2=基础信息!$E$13,SUM(销售计划!$D113:BA113),销售计划!BA113))</f>
        <v>0</v>
      </c>
      <c r="BA38" s="133">
        <f>IF(BA$2&lt;基础信息!$E$13,0,IF(BA$2=基础信息!$E$13,SUM(销售计划!$D113:BB113),销售计划!BB113))</f>
        <v>0</v>
      </c>
      <c r="BB38" s="133">
        <f>IF(BB$2&lt;基础信息!$E$13,0,IF(BB$2=基础信息!$E$13,SUM(销售计划!$D113:BC113),销售计划!BC113))</f>
        <v>0</v>
      </c>
      <c r="BC38" s="133">
        <f>IF(BC$2&lt;基础信息!$E$13,0,IF(BC$2=基础信息!$E$13,SUM(销售计划!$D113:BD113),销售计划!BD113))</f>
        <v>0</v>
      </c>
      <c r="BD38" s="133">
        <f>IF(BD$2&lt;基础信息!$E$13,0,IF(BD$2=基础信息!$E$13,SUM(销售计划!$D113:BE113),销售计划!BE113))</f>
        <v>0</v>
      </c>
      <c r="BE38" s="133">
        <f>IF(BE$2&lt;基础信息!$E$13,0,IF(BE$2=基础信息!$E$13,SUM(销售计划!$D113:BF113),销售计划!BF113))</f>
        <v>0</v>
      </c>
      <c r="BF38" s="133">
        <f>IF(BF$2&lt;基础信息!$E$13,0,IF(BF$2=基础信息!$E$13,SUM(销售计划!$D113:BG113),销售计划!BG113))</f>
        <v>0</v>
      </c>
      <c r="BG38" s="133">
        <f>IF(BG$2&lt;基础信息!$E$13,0,IF(BG$2=基础信息!$E$13,SUM(销售计划!$D113:BH113),销售计划!BH113))</f>
        <v>0</v>
      </c>
      <c r="BH38" s="133">
        <f>IF(BH$2&lt;基础信息!$E$13,0,IF(BH$2=基础信息!$E$13,SUM(销售计划!$D113:BI113),销售计划!BI113))</f>
        <v>0</v>
      </c>
      <c r="BI38" s="133">
        <f>IF(BI$2&lt;基础信息!$E$13,0,IF(BI$2=基础信息!$E$13,SUM(销售计划!$D113:BJ113),销售计划!BJ113))</f>
        <v>0</v>
      </c>
      <c r="BJ38" s="133">
        <f>IF(BJ$2&lt;基础信息!$E$13,0,IF(BJ$2=基础信息!$E$13,SUM(销售计划!$D113:BK113),销售计划!BK113))</f>
        <v>0</v>
      </c>
      <c r="BK38" s="133">
        <f>IF(BK$2&lt;基础信息!$E$13,0,IF(BK$2=基础信息!$E$13,SUM(销售计划!$D113:BL113),销售计划!BL113))</f>
        <v>0</v>
      </c>
      <c r="BL38" s="133">
        <f>IF(BL$2&lt;基础信息!$E$13,0,IF(BL$2=基础信息!$E$13,SUM(销售计划!$D113:BM113),销售计划!BM113))</f>
        <v>0</v>
      </c>
      <c r="BM38" s="133">
        <f>IF(BM$2&lt;基础信息!$E$13,0,IF(BM$2=基础信息!$E$13,SUM(销售计划!$D113:BN113),销售计划!BN113))</f>
        <v>0</v>
      </c>
      <c r="BN38" s="133">
        <f>IF(BN$2&lt;基础信息!$E$13,0,IF(BN$2=基础信息!$E$13,SUM(销售计划!$D113:BO113),销售计划!BO113))</f>
        <v>0</v>
      </c>
      <c r="BO38" s="133">
        <f>IF(BO$2&lt;基础信息!$E$13,0,IF(BO$2=基础信息!$E$13,SUM(销售计划!$D113:BP113),销售计划!BP113))</f>
        <v>0</v>
      </c>
      <c r="BP38" s="133">
        <f>IF(BP$2&lt;基础信息!$E$13,0,IF(BP$2=基础信息!$E$13,SUM(销售计划!$D113:BQ113),销售计划!BQ113))</f>
        <v>0</v>
      </c>
      <c r="BQ38" s="133">
        <f>IF(BQ$2&lt;基础信息!$E$13,0,IF(BQ$2=基础信息!$E$13,SUM(销售计划!$D113:BR113),销售计划!BR113))</f>
        <v>0</v>
      </c>
      <c r="BR38" s="133">
        <f>IF(BR$2&lt;基础信息!$E$13,0,IF(BR$2=基础信息!$E$13,SUM(销售计划!$D113:BS113),销售计划!BS113))</f>
        <v>0</v>
      </c>
      <c r="BS38" s="133">
        <f>IF(BS$2&lt;基础信息!$E$13,0,IF(BS$2=基础信息!$E$13,SUM(销售计划!$D113:BT113),销售计划!BT113))</f>
        <v>0</v>
      </c>
      <c r="BT38" s="133">
        <f>IF(BT$2&lt;基础信息!$E$13,0,IF(BT$2=基础信息!$E$13,SUM(销售计划!$D113:BU113),销售计划!BU113))</f>
        <v>0</v>
      </c>
      <c r="BU38" s="133">
        <f>IF(BU$2&lt;基础信息!$E$13,0,IF(BU$2=基础信息!$E$13,SUM(销售计划!$D113:BV113),销售计划!BV113))</f>
        <v>0</v>
      </c>
    </row>
    <row r="39" spans="1:73" s="126" customFormat="1" ht="13" outlineLevel="1">
      <c r="A39" s="127">
        <f>销售计划!A114</f>
        <v>0</v>
      </c>
      <c r="B39" s="128" t="s">
        <v>258</v>
      </c>
      <c r="C39" s="128">
        <f>SUM(D39:AS39)</f>
        <v>0</v>
      </c>
      <c r="D39" s="250">
        <f>IF(D$2&lt;基础信息!$E$13,0,IF(D$2=基础信息!$E$13,SUM(销售计划!$D114:E114),销售计划!E114))</f>
        <v>0</v>
      </c>
      <c r="E39" s="250">
        <f>IF(E$2&lt;基础信息!$E$13,0,IF(E$2=基础信息!$E$13,SUM(销售计划!$D114:F114),销售计划!F114))</f>
        <v>0</v>
      </c>
      <c r="F39" s="250">
        <f>IF(F$2&lt;基础信息!$E$13,0,IF(F$2=基础信息!$E$13,SUM(销售计划!$D114:G114),销售计划!G114))</f>
        <v>0</v>
      </c>
      <c r="G39" s="250">
        <f>IF(G$2&lt;基础信息!$E$13,0,IF(G$2=基础信息!$E$13,SUM(销售计划!$D114:H114),销售计划!H114))</f>
        <v>0</v>
      </c>
      <c r="H39" s="250">
        <f>IF(H$2&lt;基础信息!$E$13,0,IF(H$2=基础信息!$E$13,SUM(销售计划!$D114:I114),销售计划!I114))</f>
        <v>0</v>
      </c>
      <c r="I39" s="250">
        <f>IF(I$2&lt;基础信息!$E$13,0,IF(I$2=基础信息!$E$13,SUM(销售计划!$D114:J114),销售计划!J114))</f>
        <v>0</v>
      </c>
      <c r="J39" s="250">
        <f>IF(J$2&lt;基础信息!$E$13,0,IF(J$2=基础信息!$E$13,SUM(销售计划!$D114:K114),销售计划!K114))</f>
        <v>0</v>
      </c>
      <c r="K39" s="250">
        <f>IF(K$2&lt;基础信息!$E$13,0,IF(K$2=基础信息!$E$13,SUM(销售计划!$D114:L114),销售计划!L114))</f>
        <v>0</v>
      </c>
      <c r="L39" s="250">
        <f>IF(L$2&lt;基础信息!$E$13,0,IF(L$2=基础信息!$E$13,SUM(销售计划!$D114:M114),销售计划!M114))</f>
        <v>0</v>
      </c>
      <c r="M39" s="250">
        <f>IF(M$2&lt;基础信息!$E$13,0,IF(M$2=基础信息!$E$13,SUM(销售计划!$D114:N114),销售计划!N114))</f>
        <v>0</v>
      </c>
      <c r="N39" s="250">
        <f>IF(N$2&lt;基础信息!$E$13,0,IF(N$2=基础信息!$E$13,SUM(销售计划!$D114:O114),销售计划!O114))</f>
        <v>0</v>
      </c>
      <c r="O39" s="250">
        <f>IF(O$2&lt;基础信息!$E$13,0,IF(O$2=基础信息!$E$13,SUM(销售计划!$D114:P114),销售计划!P114))</f>
        <v>0</v>
      </c>
      <c r="P39" s="250">
        <f>IF(P$2&lt;基础信息!$E$13,0,IF(P$2=基础信息!$E$13,SUM(销售计划!$D114:Q114),销售计划!Q114))</f>
        <v>0</v>
      </c>
      <c r="Q39" s="250">
        <f>IF(Q$2&lt;基础信息!$E$13,0,IF(Q$2=基础信息!$E$13,SUM(销售计划!$D114:R114),销售计划!R114))</f>
        <v>0</v>
      </c>
      <c r="R39" s="250">
        <f>IF(R$2&lt;基础信息!$E$13,0,IF(R$2=基础信息!$E$13,SUM(销售计划!$D114:S114),销售计划!S114))</f>
        <v>0</v>
      </c>
      <c r="S39" s="250">
        <f>IF(S$2&lt;基础信息!$E$13,0,IF(S$2=基础信息!$E$13,SUM(销售计划!$D114:T114),销售计划!T114))</f>
        <v>0</v>
      </c>
      <c r="T39" s="135">
        <f>IF(T$2&lt;基础信息!$E$13,0,IF(T$2=基础信息!$E$13,SUM(销售计划!$D114:U114),销售计划!U114))</f>
        <v>0</v>
      </c>
      <c r="U39" s="135">
        <f>IF(U$2&lt;基础信息!$E$13,0,IF(U$2=基础信息!$E$13,SUM(销售计划!$D114:V114),销售计划!V114))</f>
        <v>0</v>
      </c>
      <c r="V39" s="135">
        <f>IF(V$2&lt;基础信息!$E$13,0,IF(V$2=基础信息!$E$13,SUM(销售计划!$D114:W114),销售计划!W114))</f>
        <v>0</v>
      </c>
      <c r="W39" s="135">
        <f>IF(W$2&lt;基础信息!$E$13,0,IF(W$2=基础信息!$E$13,SUM(销售计划!$D114:X114),销售计划!X114))</f>
        <v>0</v>
      </c>
      <c r="X39" s="135">
        <f>IF(X$2&lt;基础信息!$E$13,0,IF(X$2=基础信息!$E$13,SUM(销售计划!$D114:Y114),销售计划!Y114))</f>
        <v>0</v>
      </c>
      <c r="Y39" s="135">
        <f>IF(Y$2&lt;基础信息!$E$13,0,IF(Y$2=基础信息!$E$13,SUM(销售计划!$D114:Z114),销售计划!Z114))</f>
        <v>0</v>
      </c>
      <c r="Z39" s="135">
        <f>IF(Z$2&lt;基础信息!$E$13,0,IF(Z$2=基础信息!$E$13,SUM(销售计划!$D114:AA114),销售计划!AA114))</f>
        <v>0</v>
      </c>
      <c r="AA39" s="135">
        <f>IF(AA$2&lt;基础信息!$E$13,0,IF(AA$2=基础信息!$E$13,SUM(销售计划!$D114:AB114),销售计划!AB114))</f>
        <v>0</v>
      </c>
      <c r="AB39" s="135">
        <f>IF(AB$2&lt;基础信息!$E$13,0,IF(AB$2=基础信息!$E$13,SUM(销售计划!$D114:AC114),销售计划!AC114))</f>
        <v>0</v>
      </c>
      <c r="AC39" s="135">
        <f>IF(AC$2&lt;基础信息!$E$13,0,IF(AC$2=基础信息!$E$13,SUM(销售计划!$D114:AD114),销售计划!AD114))</f>
        <v>0</v>
      </c>
      <c r="AD39" s="135">
        <f>IF(AD$2&lt;基础信息!$E$13,0,IF(AD$2=基础信息!$E$13,SUM(销售计划!$D114:AE114),销售计划!AE114))</f>
        <v>0</v>
      </c>
      <c r="AE39" s="135">
        <f>IF(AE$2&lt;基础信息!$E$13,0,IF(AE$2=基础信息!$E$13,SUM(销售计划!$D114:AF114),销售计划!AF114))</f>
        <v>0</v>
      </c>
      <c r="AF39" s="135">
        <f>IF(AF$2&lt;基础信息!$E$13,0,IF(AF$2=基础信息!$E$13,SUM(销售计划!$D114:AG114),销售计划!AG114))</f>
        <v>0</v>
      </c>
      <c r="AG39" s="135">
        <f>IF(AG$2&lt;基础信息!$E$13,0,IF(AG$2=基础信息!$E$13,SUM(销售计划!$D114:AH114),销售计划!AH114))</f>
        <v>0</v>
      </c>
      <c r="AH39" s="135">
        <f>IF(AH$2&lt;基础信息!$E$13,0,IF(AH$2=基础信息!$E$13,SUM(销售计划!$D114:AI114),销售计划!AI114))</f>
        <v>0</v>
      </c>
      <c r="AI39" s="135">
        <f>IF(AI$2&lt;基础信息!$E$13,0,IF(AI$2=基础信息!$E$13,SUM(销售计划!$D114:AJ114),销售计划!AJ114))</f>
        <v>0</v>
      </c>
      <c r="AJ39" s="135">
        <f>IF(AJ$2&lt;基础信息!$E$13,0,IF(AJ$2=基础信息!$E$13,SUM(销售计划!$D114:AK114),销售计划!AK114))</f>
        <v>0</v>
      </c>
      <c r="AK39" s="135">
        <f>IF(AK$2&lt;基础信息!$E$13,0,IF(AK$2=基础信息!$E$13,SUM(销售计划!$D114:AL114),销售计划!AL114))</f>
        <v>0</v>
      </c>
      <c r="AL39" s="135">
        <f>IF(AL$2&lt;基础信息!$E$13,0,IF(AL$2=基础信息!$E$13,SUM(销售计划!$D114:AM114),销售计划!AM114))</f>
        <v>0</v>
      </c>
      <c r="AM39" s="135">
        <f>IF(AM$2&lt;基础信息!$E$13,0,IF(AM$2=基础信息!$E$13,SUM(销售计划!$D114:AN114),销售计划!AN114))</f>
        <v>0</v>
      </c>
      <c r="AN39" s="135">
        <f>IF(AN$2&lt;基础信息!$E$13,0,IF(AN$2=基础信息!$E$13,SUM(销售计划!$D114:AO114),销售计划!AO114))</f>
        <v>0</v>
      </c>
      <c r="AO39" s="135">
        <f>IF(AO$2&lt;基础信息!$E$13,0,IF(AO$2=基础信息!$E$13,SUM(销售计划!$D114:AP114),销售计划!AP114))</f>
        <v>0</v>
      </c>
      <c r="AP39" s="135">
        <f>IF(AP$2&lt;基础信息!$E$13,0,IF(AP$2=基础信息!$E$13,SUM(销售计划!$D114:AQ114),销售计划!AQ114))</f>
        <v>0</v>
      </c>
      <c r="AQ39" s="135">
        <f>IF(AQ$2&lt;基础信息!$E$13,0,IF(AQ$2=基础信息!$E$13,SUM(销售计划!$D114:AR114),销售计划!AR114))</f>
        <v>0</v>
      </c>
      <c r="AR39" s="135">
        <f>IF(AR$2&lt;基础信息!$E$13,0,IF(AR$2=基础信息!$E$13,SUM(销售计划!$D114:AS114),销售计划!AS114))</f>
        <v>0</v>
      </c>
      <c r="AS39" s="135">
        <f>IF(AS$2&lt;基础信息!$E$13,0,IF(AS$2=基础信息!$E$13,SUM(销售计划!$D114:AT114),销售计划!AT114))</f>
        <v>0</v>
      </c>
      <c r="AT39" s="135">
        <f>IF(AT$2&lt;基础信息!$E$13,0,IF(AT$2=基础信息!$E$13,SUM(销售计划!$D114:AU114),销售计划!AU114))</f>
        <v>0</v>
      </c>
      <c r="AU39" s="135">
        <f>IF(AU$2&lt;基础信息!$E$13,0,IF(AU$2=基础信息!$E$13,SUM(销售计划!$D114:AV114),销售计划!AV114))</f>
        <v>0</v>
      </c>
      <c r="AV39" s="135">
        <f>IF(AV$2&lt;基础信息!$E$13,0,IF(AV$2=基础信息!$E$13,SUM(销售计划!$D114:AW114),销售计划!AW114))</f>
        <v>0</v>
      </c>
      <c r="AW39" s="135">
        <f>IF(AW$2&lt;基础信息!$E$13,0,IF(AW$2=基础信息!$E$13,SUM(销售计划!$D114:AX114),销售计划!AX114))</f>
        <v>0</v>
      </c>
      <c r="AX39" s="135">
        <f>IF(AX$2&lt;基础信息!$E$13,0,IF(AX$2=基础信息!$E$13,SUM(销售计划!$D114:AY114),销售计划!AY114))</f>
        <v>0</v>
      </c>
      <c r="AY39" s="135">
        <f>IF(AY$2&lt;基础信息!$E$13,0,IF(AY$2=基础信息!$E$13,SUM(销售计划!$D114:AZ114),销售计划!AZ114))</f>
        <v>0</v>
      </c>
      <c r="AZ39" s="135">
        <f>IF(AZ$2&lt;基础信息!$E$13,0,IF(AZ$2=基础信息!$E$13,SUM(销售计划!$D114:BA114),销售计划!BA114))</f>
        <v>0</v>
      </c>
      <c r="BA39" s="135">
        <f>IF(BA$2&lt;基础信息!$E$13,0,IF(BA$2=基础信息!$E$13,SUM(销售计划!$D114:BB114),销售计划!BB114))</f>
        <v>0</v>
      </c>
      <c r="BB39" s="135">
        <f>IF(BB$2&lt;基础信息!$E$13,0,IF(BB$2=基础信息!$E$13,SUM(销售计划!$D114:BC114),销售计划!BC114))</f>
        <v>0</v>
      </c>
      <c r="BC39" s="135">
        <f>IF(BC$2&lt;基础信息!$E$13,0,IF(BC$2=基础信息!$E$13,SUM(销售计划!$D114:BD114),销售计划!BD114))</f>
        <v>0</v>
      </c>
      <c r="BD39" s="135">
        <f>IF(BD$2&lt;基础信息!$E$13,0,IF(BD$2=基础信息!$E$13,SUM(销售计划!$D114:BE114),销售计划!BE114))</f>
        <v>0</v>
      </c>
      <c r="BE39" s="135">
        <f>IF(BE$2&lt;基础信息!$E$13,0,IF(BE$2=基础信息!$E$13,SUM(销售计划!$D114:BF114),销售计划!BF114))</f>
        <v>0</v>
      </c>
      <c r="BF39" s="135">
        <f>IF(BF$2&lt;基础信息!$E$13,0,IF(BF$2=基础信息!$E$13,SUM(销售计划!$D114:BG114),销售计划!BG114))</f>
        <v>0</v>
      </c>
      <c r="BG39" s="135">
        <f>IF(BG$2&lt;基础信息!$E$13,0,IF(BG$2=基础信息!$E$13,SUM(销售计划!$D114:BH114),销售计划!BH114))</f>
        <v>0</v>
      </c>
      <c r="BH39" s="135">
        <f>IF(BH$2&lt;基础信息!$E$13,0,IF(BH$2=基础信息!$E$13,SUM(销售计划!$D114:BI114),销售计划!BI114))</f>
        <v>0</v>
      </c>
      <c r="BI39" s="135">
        <f>IF(BI$2&lt;基础信息!$E$13,0,IF(BI$2=基础信息!$E$13,SUM(销售计划!$D114:BJ114),销售计划!BJ114))</f>
        <v>0</v>
      </c>
      <c r="BJ39" s="135">
        <f>IF(BJ$2&lt;基础信息!$E$13,0,IF(BJ$2=基础信息!$E$13,SUM(销售计划!$D114:BK114),销售计划!BK114))</f>
        <v>0</v>
      </c>
      <c r="BK39" s="135">
        <f>IF(BK$2&lt;基础信息!$E$13,0,IF(BK$2=基础信息!$E$13,SUM(销售计划!$D114:BL114),销售计划!BL114))</f>
        <v>0</v>
      </c>
      <c r="BL39" s="135">
        <f>IF(BL$2&lt;基础信息!$E$13,0,IF(BL$2=基础信息!$E$13,SUM(销售计划!$D114:BM114),销售计划!BM114))</f>
        <v>0</v>
      </c>
      <c r="BM39" s="135">
        <f>IF(BM$2&lt;基础信息!$E$13,0,IF(BM$2=基础信息!$E$13,SUM(销售计划!$D114:BN114),销售计划!BN114))</f>
        <v>0</v>
      </c>
      <c r="BN39" s="135">
        <f>IF(BN$2&lt;基础信息!$E$13,0,IF(BN$2=基础信息!$E$13,SUM(销售计划!$D114:BO114),销售计划!BO114))</f>
        <v>0</v>
      </c>
      <c r="BO39" s="135">
        <f>IF(BO$2&lt;基础信息!$E$13,0,IF(BO$2=基础信息!$E$13,SUM(销售计划!$D114:BP114),销售计划!BP114))</f>
        <v>0</v>
      </c>
      <c r="BP39" s="135">
        <f>IF(BP$2&lt;基础信息!$E$13,0,IF(BP$2=基础信息!$E$13,SUM(销售计划!$D114:BQ114),销售计划!BQ114))</f>
        <v>0</v>
      </c>
      <c r="BQ39" s="135">
        <f>IF(BQ$2&lt;基础信息!$E$13,0,IF(BQ$2=基础信息!$E$13,SUM(销售计划!$D114:BR114),销售计划!BR114))</f>
        <v>0</v>
      </c>
      <c r="BR39" s="135">
        <f>IF(BR$2&lt;基础信息!$E$13,0,IF(BR$2=基础信息!$E$13,SUM(销售计划!$D114:BS114),销售计划!BS114))</f>
        <v>0</v>
      </c>
      <c r="BS39" s="135">
        <f>IF(BS$2&lt;基础信息!$E$13,0,IF(BS$2=基础信息!$E$13,SUM(销售计划!$D114:BT114),销售计划!BT114))</f>
        <v>0</v>
      </c>
      <c r="BT39" s="135">
        <f>IF(BT$2&lt;基础信息!$E$13,0,IF(BT$2=基础信息!$E$13,SUM(销售计划!$D114:BU114),销售计划!BU114))</f>
        <v>0</v>
      </c>
      <c r="BU39" s="135">
        <f>IF(BU$2&lt;基础信息!$E$13,0,IF(BU$2=基础信息!$E$13,SUM(销售计划!$D114:BV114),销售计划!BV114))</f>
        <v>0</v>
      </c>
    </row>
    <row r="40" spans="1:73" s="126" customFormat="1" ht="13" outlineLevel="1">
      <c r="A40" s="127">
        <f>销售计划!A115</f>
        <v>0</v>
      </c>
      <c r="B40" s="128" t="s">
        <v>840</v>
      </c>
      <c r="C40" s="128">
        <f t="shared" ref="C40:AS40" si="61">IF(C39&gt;0,C41/C39*10000,0)</f>
        <v>0</v>
      </c>
      <c r="D40" s="250">
        <f t="shared" si="61"/>
        <v>0</v>
      </c>
      <c r="E40" s="250">
        <f t="shared" si="61"/>
        <v>0</v>
      </c>
      <c r="F40" s="128">
        <f t="shared" si="61"/>
        <v>0</v>
      </c>
      <c r="G40" s="128">
        <f t="shared" si="61"/>
        <v>0</v>
      </c>
      <c r="H40" s="250">
        <f t="shared" si="61"/>
        <v>0</v>
      </c>
      <c r="I40" s="250">
        <f t="shared" si="61"/>
        <v>0</v>
      </c>
      <c r="J40" s="250">
        <f t="shared" si="61"/>
        <v>0</v>
      </c>
      <c r="K40" s="250">
        <f t="shared" si="61"/>
        <v>0</v>
      </c>
      <c r="L40" s="250">
        <f t="shared" si="61"/>
        <v>0</v>
      </c>
      <c r="M40" s="250">
        <f t="shared" si="61"/>
        <v>0</v>
      </c>
      <c r="N40" s="250">
        <f t="shared" si="61"/>
        <v>0</v>
      </c>
      <c r="O40" s="250">
        <f t="shared" si="61"/>
        <v>0</v>
      </c>
      <c r="P40" s="250">
        <f t="shared" si="61"/>
        <v>0</v>
      </c>
      <c r="Q40" s="250">
        <f t="shared" si="61"/>
        <v>0</v>
      </c>
      <c r="R40" s="250">
        <f t="shared" si="61"/>
        <v>0</v>
      </c>
      <c r="S40" s="250">
        <f t="shared" si="61"/>
        <v>0</v>
      </c>
      <c r="T40" s="250">
        <f t="shared" si="61"/>
        <v>0</v>
      </c>
      <c r="U40" s="250">
        <f t="shared" si="61"/>
        <v>0</v>
      </c>
      <c r="V40" s="250">
        <f t="shared" si="61"/>
        <v>0</v>
      </c>
      <c r="W40" s="250">
        <f t="shared" si="61"/>
        <v>0</v>
      </c>
      <c r="X40" s="250">
        <f t="shared" si="61"/>
        <v>0</v>
      </c>
      <c r="Y40" s="250">
        <f t="shared" si="61"/>
        <v>0</v>
      </c>
      <c r="Z40" s="250">
        <f t="shared" si="61"/>
        <v>0</v>
      </c>
      <c r="AA40" s="250">
        <f t="shared" si="61"/>
        <v>0</v>
      </c>
      <c r="AB40" s="250">
        <f t="shared" si="61"/>
        <v>0</v>
      </c>
      <c r="AC40" s="250">
        <f t="shared" si="61"/>
        <v>0</v>
      </c>
      <c r="AD40" s="250">
        <f t="shared" si="61"/>
        <v>0</v>
      </c>
      <c r="AE40" s="250">
        <f t="shared" si="61"/>
        <v>0</v>
      </c>
      <c r="AF40" s="250">
        <f t="shared" si="61"/>
        <v>0</v>
      </c>
      <c r="AG40" s="250">
        <f t="shared" si="61"/>
        <v>0</v>
      </c>
      <c r="AH40" s="250">
        <f t="shared" si="61"/>
        <v>0</v>
      </c>
      <c r="AI40" s="250">
        <f t="shared" si="61"/>
        <v>0</v>
      </c>
      <c r="AJ40" s="250">
        <f t="shared" si="61"/>
        <v>0</v>
      </c>
      <c r="AK40" s="250">
        <f t="shared" si="61"/>
        <v>0</v>
      </c>
      <c r="AL40" s="250">
        <f t="shared" si="61"/>
        <v>0</v>
      </c>
      <c r="AM40" s="250">
        <f t="shared" si="61"/>
        <v>0</v>
      </c>
      <c r="AN40" s="250">
        <f t="shared" si="61"/>
        <v>0</v>
      </c>
      <c r="AO40" s="250">
        <f t="shared" si="61"/>
        <v>0</v>
      </c>
      <c r="AP40" s="250">
        <f t="shared" si="61"/>
        <v>0</v>
      </c>
      <c r="AQ40" s="250">
        <f t="shared" si="61"/>
        <v>0</v>
      </c>
      <c r="AR40" s="250">
        <f t="shared" si="61"/>
        <v>0</v>
      </c>
      <c r="AS40" s="250">
        <f t="shared" si="61"/>
        <v>0</v>
      </c>
      <c r="AT40" s="250">
        <f t="shared" ref="AT40:BP40" si="62">IF(AT39&gt;0,AT41/AT39*10000,0)</f>
        <v>0</v>
      </c>
      <c r="AU40" s="250">
        <f t="shared" si="62"/>
        <v>0</v>
      </c>
      <c r="AV40" s="250">
        <f t="shared" si="62"/>
        <v>0</v>
      </c>
      <c r="AW40" s="250">
        <f t="shared" si="62"/>
        <v>0</v>
      </c>
      <c r="AX40" s="250">
        <f t="shared" si="62"/>
        <v>0</v>
      </c>
      <c r="AY40" s="250">
        <f t="shared" si="62"/>
        <v>0</v>
      </c>
      <c r="AZ40" s="250">
        <f t="shared" si="62"/>
        <v>0</v>
      </c>
      <c r="BA40" s="250">
        <f t="shared" si="62"/>
        <v>0</v>
      </c>
      <c r="BB40" s="250">
        <f t="shared" si="62"/>
        <v>0</v>
      </c>
      <c r="BC40" s="250">
        <f t="shared" si="62"/>
        <v>0</v>
      </c>
      <c r="BD40" s="250">
        <f t="shared" si="62"/>
        <v>0</v>
      </c>
      <c r="BE40" s="250">
        <f t="shared" si="62"/>
        <v>0</v>
      </c>
      <c r="BF40" s="250">
        <f t="shared" si="62"/>
        <v>0</v>
      </c>
      <c r="BG40" s="250">
        <f t="shared" si="62"/>
        <v>0</v>
      </c>
      <c r="BH40" s="250">
        <f t="shared" si="62"/>
        <v>0</v>
      </c>
      <c r="BI40" s="250">
        <f t="shared" si="62"/>
        <v>0</v>
      </c>
      <c r="BJ40" s="250">
        <f t="shared" si="62"/>
        <v>0</v>
      </c>
      <c r="BK40" s="250">
        <f t="shared" si="62"/>
        <v>0</v>
      </c>
      <c r="BL40" s="250">
        <f t="shared" si="62"/>
        <v>0</v>
      </c>
      <c r="BM40" s="250">
        <f t="shared" si="62"/>
        <v>0</v>
      </c>
      <c r="BN40" s="250">
        <f t="shared" si="62"/>
        <v>0</v>
      </c>
      <c r="BO40" s="250">
        <f t="shared" si="62"/>
        <v>0</v>
      </c>
      <c r="BP40" s="250">
        <f t="shared" si="62"/>
        <v>0</v>
      </c>
      <c r="BQ40" s="250">
        <f t="shared" ref="BQ40:BU40" si="63">IF(BQ39&gt;0,BQ41/BQ39*10000,0)</f>
        <v>0</v>
      </c>
      <c r="BR40" s="250">
        <f t="shared" si="63"/>
        <v>0</v>
      </c>
      <c r="BS40" s="250">
        <f t="shared" si="63"/>
        <v>0</v>
      </c>
      <c r="BT40" s="250">
        <f t="shared" si="63"/>
        <v>0</v>
      </c>
      <c r="BU40" s="250">
        <f t="shared" si="63"/>
        <v>0</v>
      </c>
    </row>
    <row r="41" spans="1:73" outlineLevel="1">
      <c r="A41" s="132">
        <f>销售计划!A116</f>
        <v>0</v>
      </c>
      <c r="B41" s="133" t="s">
        <v>841</v>
      </c>
      <c r="C41" s="133">
        <f>SUM(D41:AS41)</f>
        <v>0</v>
      </c>
      <c r="D41" s="133">
        <f>IF(D$2&lt;基础信息!$E$13,0,IF(D$2=基础信息!$E$13,SUM(销售计划!$D116:E116),销售计划!E116))</f>
        <v>0</v>
      </c>
      <c r="E41" s="133">
        <f>IF(E$2&lt;基础信息!$E$13,0,IF(E$2=基础信息!$E$13,SUM(销售计划!$D116:F116),销售计划!F116))</f>
        <v>0</v>
      </c>
      <c r="F41" s="133">
        <f>IF(F$2&lt;基础信息!$E$13,0,IF(F$2=基础信息!$E$13,SUM(销售计划!$D116:G116),销售计划!G116))</f>
        <v>0</v>
      </c>
      <c r="G41" s="133">
        <f>IF(G$2&lt;基础信息!$E$13,0,IF(G$2=基础信息!$E$13,SUM(销售计划!$D116:H116),销售计划!H116))</f>
        <v>0</v>
      </c>
      <c r="H41" s="133">
        <f>IF(H$2&lt;基础信息!$E$13,0,IF(H$2=基础信息!$E$13,SUM(销售计划!$D116:I116),销售计划!I116))</f>
        <v>0</v>
      </c>
      <c r="I41" s="133">
        <f>IF(I$2&lt;基础信息!$E$13,0,IF(I$2=基础信息!$E$13,SUM(销售计划!$D116:J116),销售计划!J116))</f>
        <v>0</v>
      </c>
      <c r="J41" s="133">
        <f>IF(J$2&lt;基础信息!$E$13,0,IF(J$2=基础信息!$E$13,SUM(销售计划!$D116:K116),销售计划!K116))</f>
        <v>0</v>
      </c>
      <c r="K41" s="133">
        <f>IF(K$2&lt;基础信息!$E$13,0,IF(K$2=基础信息!$E$13,SUM(销售计划!$D116:L116),销售计划!L116))</f>
        <v>0</v>
      </c>
      <c r="L41" s="133">
        <f>IF(L$2&lt;基础信息!$E$13,0,IF(L$2=基础信息!$E$13,SUM(销售计划!$D116:M116),销售计划!M116))</f>
        <v>0</v>
      </c>
      <c r="M41" s="133">
        <f>IF(M$2&lt;基础信息!$E$13,0,IF(M$2=基础信息!$E$13,SUM(销售计划!$D116:N116),销售计划!N116))</f>
        <v>0</v>
      </c>
      <c r="N41" s="133">
        <f>IF(N$2&lt;基础信息!$E$13,0,IF(N$2=基础信息!$E$13,SUM(销售计划!$D116:O116),销售计划!O116))</f>
        <v>0</v>
      </c>
      <c r="O41" s="133">
        <f>IF(O$2&lt;基础信息!$E$13,0,IF(O$2=基础信息!$E$13,SUM(销售计划!$D116:P116),销售计划!P116))</f>
        <v>0</v>
      </c>
      <c r="P41" s="133">
        <f>IF(P$2&lt;基础信息!$E$13,0,IF(P$2=基础信息!$E$13,SUM(销售计划!$D116:Q116),销售计划!Q116))</f>
        <v>0</v>
      </c>
      <c r="Q41" s="133">
        <f>IF(Q$2&lt;基础信息!$E$13,0,IF(Q$2=基础信息!$E$13,SUM(销售计划!$D116:R116),销售计划!R116))</f>
        <v>0</v>
      </c>
      <c r="R41" s="133">
        <f>IF(R$2&lt;基础信息!$E$13,0,IF(R$2=基础信息!$E$13,SUM(销售计划!$D116:S116),销售计划!S116))</f>
        <v>0</v>
      </c>
      <c r="S41" s="133">
        <f>IF(S$2&lt;基础信息!$E$13,0,IF(S$2=基础信息!$E$13,SUM(销售计划!$D116:T116),销售计划!T116))</f>
        <v>0</v>
      </c>
      <c r="T41" s="133">
        <f>IF(T$2&lt;基础信息!$E$13,0,IF(T$2=基础信息!$E$13,SUM(销售计划!$D116:U116),销售计划!U116))</f>
        <v>0</v>
      </c>
      <c r="U41" s="133">
        <f>IF(U$2&lt;基础信息!$E$13,0,IF(U$2=基础信息!$E$13,SUM(销售计划!$D116:V116),销售计划!V116))</f>
        <v>0</v>
      </c>
      <c r="V41" s="133">
        <f>IF(V$2&lt;基础信息!$E$13,0,IF(V$2=基础信息!$E$13,SUM(销售计划!$D116:W116),销售计划!W116))</f>
        <v>0</v>
      </c>
      <c r="W41" s="133">
        <f>IF(W$2&lt;基础信息!$E$13,0,IF(W$2=基础信息!$E$13,SUM(销售计划!$D116:X116),销售计划!X116))</f>
        <v>0</v>
      </c>
      <c r="X41" s="133">
        <f>IF(X$2&lt;基础信息!$E$13,0,IF(X$2=基础信息!$E$13,SUM(销售计划!$D116:Y116),销售计划!Y116))</f>
        <v>0</v>
      </c>
      <c r="Y41" s="133">
        <f>IF(Y$2&lt;基础信息!$E$13,0,IF(Y$2=基础信息!$E$13,SUM(销售计划!$D116:Z116),销售计划!Z116))</f>
        <v>0</v>
      </c>
      <c r="Z41" s="133">
        <f>IF(Z$2&lt;基础信息!$E$13,0,IF(Z$2=基础信息!$E$13,SUM(销售计划!$D116:AA116),销售计划!AA116))</f>
        <v>0</v>
      </c>
      <c r="AA41" s="133">
        <f>IF(AA$2&lt;基础信息!$E$13,0,IF(AA$2=基础信息!$E$13,SUM(销售计划!$D116:AB116),销售计划!AB116))</f>
        <v>0</v>
      </c>
      <c r="AB41" s="133">
        <f>IF(AB$2&lt;基础信息!$E$13,0,IF(AB$2=基础信息!$E$13,SUM(销售计划!$D116:AC116),销售计划!AC116))</f>
        <v>0</v>
      </c>
      <c r="AC41" s="133">
        <f>IF(AC$2&lt;基础信息!$E$13,0,IF(AC$2=基础信息!$E$13,SUM(销售计划!$D116:AD116),销售计划!AD116))</f>
        <v>0</v>
      </c>
      <c r="AD41" s="133">
        <f>IF(AD$2&lt;基础信息!$E$13,0,IF(AD$2=基础信息!$E$13,SUM(销售计划!$D116:AE116),销售计划!AE116))</f>
        <v>0</v>
      </c>
      <c r="AE41" s="133">
        <f>IF(AE$2&lt;基础信息!$E$13,0,IF(AE$2=基础信息!$E$13,SUM(销售计划!$D116:AF116),销售计划!AF116))</f>
        <v>0</v>
      </c>
      <c r="AF41" s="133">
        <f>IF(AF$2&lt;基础信息!$E$13,0,IF(AF$2=基础信息!$E$13,SUM(销售计划!$D116:AG116),销售计划!AG116))</f>
        <v>0</v>
      </c>
      <c r="AG41" s="133">
        <f>IF(AG$2&lt;基础信息!$E$13,0,IF(AG$2=基础信息!$E$13,SUM(销售计划!$D116:AH116),销售计划!AH116))</f>
        <v>0</v>
      </c>
      <c r="AH41" s="133">
        <f>IF(AH$2&lt;基础信息!$E$13,0,IF(AH$2=基础信息!$E$13,SUM(销售计划!$D116:AI116),销售计划!AI116))</f>
        <v>0</v>
      </c>
      <c r="AI41" s="133">
        <f>IF(AI$2&lt;基础信息!$E$13,0,IF(AI$2=基础信息!$E$13,SUM(销售计划!$D116:AJ116),销售计划!AJ116))</f>
        <v>0</v>
      </c>
      <c r="AJ41" s="133">
        <f>IF(AJ$2&lt;基础信息!$E$13,0,IF(AJ$2=基础信息!$E$13,SUM(销售计划!$D116:AK116),销售计划!AK116))</f>
        <v>0</v>
      </c>
      <c r="AK41" s="133">
        <f>IF(AK$2&lt;基础信息!$E$13,0,IF(AK$2=基础信息!$E$13,SUM(销售计划!$D116:AL116),销售计划!AL116))</f>
        <v>0</v>
      </c>
      <c r="AL41" s="133">
        <f>IF(AL$2&lt;基础信息!$E$13,0,IF(AL$2=基础信息!$E$13,SUM(销售计划!$D116:AM116),销售计划!AM116))</f>
        <v>0</v>
      </c>
      <c r="AM41" s="133">
        <f>IF(AM$2&lt;基础信息!$E$13,0,IF(AM$2=基础信息!$E$13,SUM(销售计划!$D116:AN116),销售计划!AN116))</f>
        <v>0</v>
      </c>
      <c r="AN41" s="133">
        <f>IF(AN$2&lt;基础信息!$E$13,0,IF(AN$2=基础信息!$E$13,SUM(销售计划!$D116:AO116),销售计划!AO116))</f>
        <v>0</v>
      </c>
      <c r="AO41" s="133">
        <f>IF(AO$2&lt;基础信息!$E$13,0,IF(AO$2=基础信息!$E$13,SUM(销售计划!$D116:AP116),销售计划!AP116))</f>
        <v>0</v>
      </c>
      <c r="AP41" s="133">
        <f>IF(AP$2&lt;基础信息!$E$13,0,IF(AP$2=基础信息!$E$13,SUM(销售计划!$D116:AQ116),销售计划!AQ116))</f>
        <v>0</v>
      </c>
      <c r="AQ41" s="133">
        <f>IF(AQ$2&lt;基础信息!$E$13,0,IF(AQ$2=基础信息!$E$13,SUM(销售计划!$D116:AR116),销售计划!AR116))</f>
        <v>0</v>
      </c>
      <c r="AR41" s="133">
        <f>IF(AR$2&lt;基础信息!$E$13,0,IF(AR$2=基础信息!$E$13,SUM(销售计划!$D116:AS116),销售计划!AS116))</f>
        <v>0</v>
      </c>
      <c r="AS41" s="133">
        <f>IF(AS$2&lt;基础信息!$E$13,0,IF(AS$2=基础信息!$E$13,SUM(销售计划!$D116:AT116),销售计划!AT116))</f>
        <v>0</v>
      </c>
      <c r="AT41" s="133">
        <f>IF(AT$2&lt;基础信息!$E$13,0,IF(AT$2=基础信息!$E$13,SUM(销售计划!$D116:AU116),销售计划!AU116))</f>
        <v>0</v>
      </c>
      <c r="AU41" s="133">
        <f>IF(AU$2&lt;基础信息!$E$13,0,IF(AU$2=基础信息!$E$13,SUM(销售计划!$D116:AV116),销售计划!AV116))</f>
        <v>0</v>
      </c>
      <c r="AV41" s="133">
        <f>IF(AV$2&lt;基础信息!$E$13,0,IF(AV$2=基础信息!$E$13,SUM(销售计划!$D116:AW116),销售计划!AW116))</f>
        <v>0</v>
      </c>
      <c r="AW41" s="133">
        <f>IF(AW$2&lt;基础信息!$E$13,0,IF(AW$2=基础信息!$E$13,SUM(销售计划!$D116:AX116),销售计划!AX116))</f>
        <v>0</v>
      </c>
      <c r="AX41" s="133">
        <f>IF(AX$2&lt;基础信息!$E$13,0,IF(AX$2=基础信息!$E$13,SUM(销售计划!$D116:AY116),销售计划!AY116))</f>
        <v>0</v>
      </c>
      <c r="AY41" s="133">
        <f>IF(AY$2&lt;基础信息!$E$13,0,IF(AY$2=基础信息!$E$13,SUM(销售计划!$D116:AZ116),销售计划!AZ116))</f>
        <v>0</v>
      </c>
      <c r="AZ41" s="133">
        <f>IF(AZ$2&lt;基础信息!$E$13,0,IF(AZ$2=基础信息!$E$13,SUM(销售计划!$D116:BA116),销售计划!BA116))</f>
        <v>0</v>
      </c>
      <c r="BA41" s="133">
        <f>IF(BA$2&lt;基础信息!$E$13,0,IF(BA$2=基础信息!$E$13,SUM(销售计划!$D116:BB116),销售计划!BB116))</f>
        <v>0</v>
      </c>
      <c r="BB41" s="133">
        <f>IF(BB$2&lt;基础信息!$E$13,0,IF(BB$2=基础信息!$E$13,SUM(销售计划!$D116:BC116),销售计划!BC116))</f>
        <v>0</v>
      </c>
      <c r="BC41" s="133">
        <f>IF(BC$2&lt;基础信息!$E$13,0,IF(BC$2=基础信息!$E$13,SUM(销售计划!$D116:BD116),销售计划!BD116))</f>
        <v>0</v>
      </c>
      <c r="BD41" s="133">
        <f>IF(BD$2&lt;基础信息!$E$13,0,IF(BD$2=基础信息!$E$13,SUM(销售计划!$D116:BE116),销售计划!BE116))</f>
        <v>0</v>
      </c>
      <c r="BE41" s="133">
        <f>IF(BE$2&lt;基础信息!$E$13,0,IF(BE$2=基础信息!$E$13,SUM(销售计划!$D116:BF116),销售计划!BF116))</f>
        <v>0</v>
      </c>
      <c r="BF41" s="133">
        <f>IF(BF$2&lt;基础信息!$E$13,0,IF(BF$2=基础信息!$E$13,SUM(销售计划!$D116:BG116),销售计划!BG116))</f>
        <v>0</v>
      </c>
      <c r="BG41" s="133">
        <f>IF(BG$2&lt;基础信息!$E$13,0,IF(BG$2=基础信息!$E$13,SUM(销售计划!$D116:BH116),销售计划!BH116))</f>
        <v>0</v>
      </c>
      <c r="BH41" s="133">
        <f>IF(BH$2&lt;基础信息!$E$13,0,IF(BH$2=基础信息!$E$13,SUM(销售计划!$D116:BI116),销售计划!BI116))</f>
        <v>0</v>
      </c>
      <c r="BI41" s="133">
        <f>IF(BI$2&lt;基础信息!$E$13,0,IF(BI$2=基础信息!$E$13,SUM(销售计划!$D116:BJ116),销售计划!BJ116))</f>
        <v>0</v>
      </c>
      <c r="BJ41" s="133">
        <f>IF(BJ$2&lt;基础信息!$E$13,0,IF(BJ$2=基础信息!$E$13,SUM(销售计划!$D116:BK116),销售计划!BK116))</f>
        <v>0</v>
      </c>
      <c r="BK41" s="133">
        <f>IF(BK$2&lt;基础信息!$E$13,0,IF(BK$2=基础信息!$E$13,SUM(销售计划!$D116:BL116),销售计划!BL116))</f>
        <v>0</v>
      </c>
      <c r="BL41" s="133">
        <f>IF(BL$2&lt;基础信息!$E$13,0,IF(BL$2=基础信息!$E$13,SUM(销售计划!$D116:BM116),销售计划!BM116))</f>
        <v>0</v>
      </c>
      <c r="BM41" s="133">
        <f>IF(BM$2&lt;基础信息!$E$13,0,IF(BM$2=基础信息!$E$13,SUM(销售计划!$D116:BN116),销售计划!BN116))</f>
        <v>0</v>
      </c>
      <c r="BN41" s="133">
        <f>IF(BN$2&lt;基础信息!$E$13,0,IF(BN$2=基础信息!$E$13,SUM(销售计划!$D116:BO116),销售计划!BO116))</f>
        <v>0</v>
      </c>
      <c r="BO41" s="133">
        <f>IF(BO$2&lt;基础信息!$E$13,0,IF(BO$2=基础信息!$E$13,SUM(销售计划!$D116:BP116),销售计划!BP116))</f>
        <v>0</v>
      </c>
      <c r="BP41" s="133">
        <f>IF(BP$2&lt;基础信息!$E$13,0,IF(BP$2=基础信息!$E$13,SUM(销售计划!$D116:BQ116),销售计划!BQ116))</f>
        <v>0</v>
      </c>
      <c r="BQ41" s="133">
        <f>IF(BQ$2&lt;基础信息!$E$13,0,IF(BQ$2=基础信息!$E$13,SUM(销售计划!$D116:BR116),销售计划!BR116))</f>
        <v>0</v>
      </c>
      <c r="BR41" s="133">
        <f>IF(BR$2&lt;基础信息!$E$13,0,IF(BR$2=基础信息!$E$13,SUM(销售计划!$D116:BS116),销售计划!BS116))</f>
        <v>0</v>
      </c>
      <c r="BS41" s="133">
        <f>IF(BS$2&lt;基础信息!$E$13,0,IF(BS$2=基础信息!$E$13,SUM(销售计划!$D116:BT116),销售计划!BT116))</f>
        <v>0</v>
      </c>
      <c r="BT41" s="133">
        <f>IF(BT$2&lt;基础信息!$E$13,0,IF(BT$2=基础信息!$E$13,SUM(销售计划!$D116:BU116),销售计划!BU116))</f>
        <v>0</v>
      </c>
      <c r="BU41" s="133">
        <f>IF(BU$2&lt;基础信息!$E$13,0,IF(BU$2=基础信息!$E$13,SUM(销售计划!$D116:BV116),销售计划!BV116))</f>
        <v>0</v>
      </c>
    </row>
    <row r="42" spans="1:73" s="126" customFormat="1" ht="13" outlineLevel="1">
      <c r="A42" s="127">
        <f>销售计划!A117</f>
        <v>0</v>
      </c>
      <c r="B42" s="128" t="s">
        <v>258</v>
      </c>
      <c r="C42" s="128">
        <f>SUM(D42:AS42)</f>
        <v>0</v>
      </c>
      <c r="D42" s="250">
        <f>IF(D$2&lt;基础信息!$E$13,0,IF(D$2=基础信息!$E$13,SUM(销售计划!$D117:E117),销售计划!E117))</f>
        <v>0</v>
      </c>
      <c r="E42" s="250">
        <f>IF(E$2&lt;基础信息!$E$13,0,IF(E$2=基础信息!$E$13,SUM(销售计划!$D117:F117),销售计划!F117))</f>
        <v>0</v>
      </c>
      <c r="F42" s="250">
        <f>IF(F$2&lt;基础信息!$E$13,0,IF(F$2=基础信息!$E$13,SUM(销售计划!$D117:G117),销售计划!G117))</f>
        <v>0</v>
      </c>
      <c r="G42" s="250">
        <f>IF(G$2&lt;基础信息!$E$13,0,IF(G$2=基础信息!$E$13,SUM(销售计划!$D117:H117),销售计划!H117))</f>
        <v>0</v>
      </c>
      <c r="H42" s="250">
        <f>IF(H$2&lt;基础信息!$E$13,0,IF(H$2=基础信息!$E$13,SUM(销售计划!$D117:I117),销售计划!I117))</f>
        <v>0</v>
      </c>
      <c r="I42" s="250">
        <f>IF(I$2&lt;基础信息!$E$13,0,IF(I$2=基础信息!$E$13,SUM(销售计划!$D117:J117),销售计划!J117))</f>
        <v>0</v>
      </c>
      <c r="J42" s="250">
        <f>IF(J$2&lt;基础信息!$E$13,0,IF(J$2=基础信息!$E$13,SUM(销售计划!$D117:K117),销售计划!K117))</f>
        <v>0</v>
      </c>
      <c r="K42" s="250">
        <f>IF(K$2&lt;基础信息!$E$13,0,IF(K$2=基础信息!$E$13,SUM(销售计划!$D117:L117),销售计划!L117))</f>
        <v>0</v>
      </c>
      <c r="L42" s="250">
        <f>IF(L$2&lt;基础信息!$E$13,0,IF(L$2=基础信息!$E$13,SUM(销售计划!$D117:M117),销售计划!M117))</f>
        <v>0</v>
      </c>
      <c r="M42" s="250">
        <f>IF(M$2&lt;基础信息!$E$13,0,IF(M$2=基础信息!$E$13,SUM(销售计划!$D117:N117),销售计划!N117))</f>
        <v>0</v>
      </c>
      <c r="N42" s="250">
        <f>IF(N$2&lt;基础信息!$E$13,0,IF(N$2=基础信息!$E$13,SUM(销售计划!$D117:O117),销售计划!O117))</f>
        <v>0</v>
      </c>
      <c r="O42" s="250">
        <f>IF(O$2&lt;基础信息!$E$13,0,IF(O$2=基础信息!$E$13,SUM(销售计划!$D117:P117),销售计划!P117))</f>
        <v>0</v>
      </c>
      <c r="P42" s="250">
        <f>IF(P$2&lt;基础信息!$E$13,0,IF(P$2=基础信息!$E$13,SUM(销售计划!$D117:Q117),销售计划!Q117))</f>
        <v>0</v>
      </c>
      <c r="Q42" s="250">
        <f>IF(Q$2&lt;基础信息!$E$13,0,IF(Q$2=基础信息!$E$13,SUM(销售计划!$D117:R117),销售计划!R117))</f>
        <v>0</v>
      </c>
      <c r="R42" s="250">
        <f>IF(R$2&lt;基础信息!$E$13,0,IF(R$2=基础信息!$E$13,SUM(销售计划!$D117:S117),销售计划!S117))</f>
        <v>0</v>
      </c>
      <c r="S42" s="250">
        <f>IF(S$2&lt;基础信息!$E$13,0,IF(S$2=基础信息!$E$13,SUM(销售计划!$D117:T117),销售计划!T117))</f>
        <v>0</v>
      </c>
      <c r="T42" s="135">
        <f>IF(T$2&lt;基础信息!$E$13,0,IF(T$2=基础信息!$E$13,SUM(销售计划!$D117:U117),销售计划!U117))</f>
        <v>0</v>
      </c>
      <c r="U42" s="135">
        <f>IF(U$2&lt;基础信息!$E$13,0,IF(U$2=基础信息!$E$13,SUM(销售计划!$D117:V117),销售计划!V117))</f>
        <v>0</v>
      </c>
      <c r="V42" s="135">
        <f>IF(V$2&lt;基础信息!$E$13,0,IF(V$2=基础信息!$E$13,SUM(销售计划!$D117:W117),销售计划!W117))</f>
        <v>0</v>
      </c>
      <c r="W42" s="135">
        <f>IF(W$2&lt;基础信息!$E$13,0,IF(W$2=基础信息!$E$13,SUM(销售计划!$D117:X117),销售计划!X117))</f>
        <v>0</v>
      </c>
      <c r="X42" s="135">
        <f>IF(X$2&lt;基础信息!$E$13,0,IF(X$2=基础信息!$E$13,SUM(销售计划!$D117:Y117),销售计划!Y117))</f>
        <v>0</v>
      </c>
      <c r="Y42" s="135">
        <f>IF(Y$2&lt;基础信息!$E$13,0,IF(Y$2=基础信息!$E$13,SUM(销售计划!$D117:Z117),销售计划!Z117))</f>
        <v>0</v>
      </c>
      <c r="Z42" s="135">
        <f>IF(Z$2&lt;基础信息!$E$13,0,IF(Z$2=基础信息!$E$13,SUM(销售计划!$D117:AA117),销售计划!AA117))</f>
        <v>0</v>
      </c>
      <c r="AA42" s="135">
        <f>IF(AA$2&lt;基础信息!$E$13,0,IF(AA$2=基础信息!$E$13,SUM(销售计划!$D117:AB117),销售计划!AB117))</f>
        <v>0</v>
      </c>
      <c r="AB42" s="135">
        <f>IF(AB$2&lt;基础信息!$E$13,0,IF(AB$2=基础信息!$E$13,SUM(销售计划!$D117:AC117),销售计划!AC117))</f>
        <v>0</v>
      </c>
      <c r="AC42" s="135">
        <f>IF(AC$2&lt;基础信息!$E$13,0,IF(AC$2=基础信息!$E$13,SUM(销售计划!$D117:AD117),销售计划!AD117))</f>
        <v>0</v>
      </c>
      <c r="AD42" s="135">
        <f>IF(AD$2&lt;基础信息!$E$13,0,IF(AD$2=基础信息!$E$13,SUM(销售计划!$D117:AE117),销售计划!AE117))</f>
        <v>0</v>
      </c>
      <c r="AE42" s="135">
        <f>IF(AE$2&lt;基础信息!$E$13,0,IF(AE$2=基础信息!$E$13,SUM(销售计划!$D117:AF117),销售计划!AF117))</f>
        <v>0</v>
      </c>
      <c r="AF42" s="135">
        <f>IF(AF$2&lt;基础信息!$E$13,0,IF(AF$2=基础信息!$E$13,SUM(销售计划!$D117:AG117),销售计划!AG117))</f>
        <v>0</v>
      </c>
      <c r="AG42" s="135">
        <f>IF(AG$2&lt;基础信息!$E$13,0,IF(AG$2=基础信息!$E$13,SUM(销售计划!$D117:AH117),销售计划!AH117))</f>
        <v>0</v>
      </c>
      <c r="AH42" s="135">
        <f>IF(AH$2&lt;基础信息!$E$13,0,IF(AH$2=基础信息!$E$13,SUM(销售计划!$D117:AI117),销售计划!AI117))</f>
        <v>0</v>
      </c>
      <c r="AI42" s="135">
        <f>IF(AI$2&lt;基础信息!$E$13,0,IF(AI$2=基础信息!$E$13,SUM(销售计划!$D117:AJ117),销售计划!AJ117))</f>
        <v>0</v>
      </c>
      <c r="AJ42" s="135">
        <f>IF(AJ$2&lt;基础信息!$E$13,0,IF(AJ$2=基础信息!$E$13,SUM(销售计划!$D117:AK117),销售计划!AK117))</f>
        <v>0</v>
      </c>
      <c r="AK42" s="135">
        <f>IF(AK$2&lt;基础信息!$E$13,0,IF(AK$2=基础信息!$E$13,SUM(销售计划!$D117:AL117),销售计划!AL117))</f>
        <v>0</v>
      </c>
      <c r="AL42" s="135">
        <f>IF(AL$2&lt;基础信息!$E$13,0,IF(AL$2=基础信息!$E$13,SUM(销售计划!$D117:AM117),销售计划!AM117))</f>
        <v>0</v>
      </c>
      <c r="AM42" s="135">
        <f>IF(AM$2&lt;基础信息!$E$13,0,IF(AM$2=基础信息!$E$13,SUM(销售计划!$D117:AN117),销售计划!AN117))</f>
        <v>0</v>
      </c>
      <c r="AN42" s="135">
        <f>IF(AN$2&lt;基础信息!$E$13,0,IF(AN$2=基础信息!$E$13,SUM(销售计划!$D117:AO117),销售计划!AO117))</f>
        <v>0</v>
      </c>
      <c r="AO42" s="135">
        <f>IF(AO$2&lt;基础信息!$E$13,0,IF(AO$2=基础信息!$E$13,SUM(销售计划!$D117:AP117),销售计划!AP117))</f>
        <v>0</v>
      </c>
      <c r="AP42" s="135">
        <f>IF(AP$2&lt;基础信息!$E$13,0,IF(AP$2=基础信息!$E$13,SUM(销售计划!$D117:AQ117),销售计划!AQ117))</f>
        <v>0</v>
      </c>
      <c r="AQ42" s="135">
        <f>IF(AQ$2&lt;基础信息!$E$13,0,IF(AQ$2=基础信息!$E$13,SUM(销售计划!$D117:AR117),销售计划!AR117))</f>
        <v>0</v>
      </c>
      <c r="AR42" s="135">
        <f>IF(AR$2&lt;基础信息!$E$13,0,IF(AR$2=基础信息!$E$13,SUM(销售计划!$D117:AS117),销售计划!AS117))</f>
        <v>0</v>
      </c>
      <c r="AS42" s="135">
        <f>IF(AS$2&lt;基础信息!$E$13,0,IF(AS$2=基础信息!$E$13,SUM(销售计划!$D117:AT117),销售计划!AT117))</f>
        <v>0</v>
      </c>
      <c r="AT42" s="135">
        <f>IF(AT$2&lt;基础信息!$E$13,0,IF(AT$2=基础信息!$E$13,SUM(销售计划!$D117:AU117),销售计划!AU117))</f>
        <v>0</v>
      </c>
      <c r="AU42" s="135">
        <f>IF(AU$2&lt;基础信息!$E$13,0,IF(AU$2=基础信息!$E$13,SUM(销售计划!$D117:AV117),销售计划!AV117))</f>
        <v>0</v>
      </c>
      <c r="AV42" s="135">
        <f>IF(AV$2&lt;基础信息!$E$13,0,IF(AV$2=基础信息!$E$13,SUM(销售计划!$D117:AW117),销售计划!AW117))</f>
        <v>0</v>
      </c>
      <c r="AW42" s="135">
        <f>IF(AW$2&lt;基础信息!$E$13,0,IF(AW$2=基础信息!$E$13,SUM(销售计划!$D117:AX117),销售计划!AX117))</f>
        <v>0</v>
      </c>
      <c r="AX42" s="135">
        <f>IF(AX$2&lt;基础信息!$E$13,0,IF(AX$2=基础信息!$E$13,SUM(销售计划!$D117:AY117),销售计划!AY117))</f>
        <v>0</v>
      </c>
      <c r="AY42" s="135">
        <f>IF(AY$2&lt;基础信息!$E$13,0,IF(AY$2=基础信息!$E$13,SUM(销售计划!$D117:AZ117),销售计划!AZ117))</f>
        <v>0</v>
      </c>
      <c r="AZ42" s="135">
        <f>IF(AZ$2&lt;基础信息!$E$13,0,IF(AZ$2=基础信息!$E$13,SUM(销售计划!$D117:BA117),销售计划!BA117))</f>
        <v>0</v>
      </c>
      <c r="BA42" s="135">
        <f>IF(BA$2&lt;基础信息!$E$13,0,IF(BA$2=基础信息!$E$13,SUM(销售计划!$D117:BB117),销售计划!BB117))</f>
        <v>0</v>
      </c>
      <c r="BB42" s="135">
        <f>IF(BB$2&lt;基础信息!$E$13,0,IF(BB$2=基础信息!$E$13,SUM(销售计划!$D117:BC117),销售计划!BC117))</f>
        <v>0</v>
      </c>
      <c r="BC42" s="135">
        <f>IF(BC$2&lt;基础信息!$E$13,0,IF(BC$2=基础信息!$E$13,SUM(销售计划!$D117:BD117),销售计划!BD117))</f>
        <v>0</v>
      </c>
      <c r="BD42" s="135">
        <f>IF(BD$2&lt;基础信息!$E$13,0,IF(BD$2=基础信息!$E$13,SUM(销售计划!$D117:BE117),销售计划!BE117))</f>
        <v>0</v>
      </c>
      <c r="BE42" s="135">
        <f>IF(BE$2&lt;基础信息!$E$13,0,IF(BE$2=基础信息!$E$13,SUM(销售计划!$D117:BF117),销售计划!BF117))</f>
        <v>0</v>
      </c>
      <c r="BF42" s="135">
        <f>IF(BF$2&lt;基础信息!$E$13,0,IF(BF$2=基础信息!$E$13,SUM(销售计划!$D117:BG117),销售计划!BG117))</f>
        <v>0</v>
      </c>
      <c r="BG42" s="135">
        <f>IF(BG$2&lt;基础信息!$E$13,0,IF(BG$2=基础信息!$E$13,SUM(销售计划!$D117:BH117),销售计划!BH117))</f>
        <v>0</v>
      </c>
      <c r="BH42" s="135">
        <f>IF(BH$2&lt;基础信息!$E$13,0,IF(BH$2=基础信息!$E$13,SUM(销售计划!$D117:BI117),销售计划!BI117))</f>
        <v>0</v>
      </c>
      <c r="BI42" s="135">
        <f>IF(BI$2&lt;基础信息!$E$13,0,IF(BI$2=基础信息!$E$13,SUM(销售计划!$D117:BJ117),销售计划!BJ117))</f>
        <v>0</v>
      </c>
      <c r="BJ42" s="135">
        <f>IF(BJ$2&lt;基础信息!$E$13,0,IF(BJ$2=基础信息!$E$13,SUM(销售计划!$D117:BK117),销售计划!BK117))</f>
        <v>0</v>
      </c>
      <c r="BK42" s="135">
        <f>IF(BK$2&lt;基础信息!$E$13,0,IF(BK$2=基础信息!$E$13,SUM(销售计划!$D117:BL117),销售计划!BL117))</f>
        <v>0</v>
      </c>
      <c r="BL42" s="135">
        <f>IF(BL$2&lt;基础信息!$E$13,0,IF(BL$2=基础信息!$E$13,SUM(销售计划!$D117:BM117),销售计划!BM117))</f>
        <v>0</v>
      </c>
      <c r="BM42" s="135">
        <f>IF(BM$2&lt;基础信息!$E$13,0,IF(BM$2=基础信息!$E$13,SUM(销售计划!$D117:BN117),销售计划!BN117))</f>
        <v>0</v>
      </c>
      <c r="BN42" s="135">
        <f>IF(BN$2&lt;基础信息!$E$13,0,IF(BN$2=基础信息!$E$13,SUM(销售计划!$D117:BO117),销售计划!BO117))</f>
        <v>0</v>
      </c>
      <c r="BO42" s="135">
        <f>IF(BO$2&lt;基础信息!$E$13,0,IF(BO$2=基础信息!$E$13,SUM(销售计划!$D117:BP117),销售计划!BP117))</f>
        <v>0</v>
      </c>
      <c r="BP42" s="135">
        <f>IF(BP$2&lt;基础信息!$E$13,0,IF(BP$2=基础信息!$E$13,SUM(销售计划!$D117:BQ117),销售计划!BQ117))</f>
        <v>0</v>
      </c>
      <c r="BQ42" s="135">
        <f>IF(BQ$2&lt;基础信息!$E$13,0,IF(BQ$2=基础信息!$E$13,SUM(销售计划!$D117:BR117),销售计划!BR117))</f>
        <v>0</v>
      </c>
      <c r="BR42" s="135">
        <f>IF(BR$2&lt;基础信息!$E$13,0,IF(BR$2=基础信息!$E$13,SUM(销售计划!$D117:BS117),销售计划!BS117))</f>
        <v>0</v>
      </c>
      <c r="BS42" s="135">
        <f>IF(BS$2&lt;基础信息!$E$13,0,IF(BS$2=基础信息!$E$13,SUM(销售计划!$D117:BT117),销售计划!BT117))</f>
        <v>0</v>
      </c>
      <c r="BT42" s="135">
        <f>IF(BT$2&lt;基础信息!$E$13,0,IF(BT$2=基础信息!$E$13,SUM(销售计划!$D117:BU117),销售计划!BU117))</f>
        <v>0</v>
      </c>
      <c r="BU42" s="135">
        <f>IF(BU$2&lt;基础信息!$E$13,0,IF(BU$2=基础信息!$E$13,SUM(销售计划!$D117:BV117),销售计划!BV117))</f>
        <v>0</v>
      </c>
    </row>
    <row r="43" spans="1:73" s="126" customFormat="1" ht="13" outlineLevel="1">
      <c r="A43" s="127">
        <f>销售计划!A118</f>
        <v>0</v>
      </c>
      <c r="B43" s="128" t="s">
        <v>840</v>
      </c>
      <c r="C43" s="128">
        <f t="shared" ref="C43:AS43" si="64">IF(C42&gt;0,C44/C42*10000,0)</f>
        <v>0</v>
      </c>
      <c r="D43" s="250">
        <f t="shared" si="64"/>
        <v>0</v>
      </c>
      <c r="E43" s="250">
        <f t="shared" si="64"/>
        <v>0</v>
      </c>
      <c r="F43" s="128">
        <f t="shared" si="64"/>
        <v>0</v>
      </c>
      <c r="G43" s="128">
        <f t="shared" si="64"/>
        <v>0</v>
      </c>
      <c r="H43" s="250">
        <f t="shared" si="64"/>
        <v>0</v>
      </c>
      <c r="I43" s="250">
        <f t="shared" si="64"/>
        <v>0</v>
      </c>
      <c r="J43" s="250">
        <f t="shared" si="64"/>
        <v>0</v>
      </c>
      <c r="K43" s="250">
        <f t="shared" si="64"/>
        <v>0</v>
      </c>
      <c r="L43" s="250">
        <f t="shared" si="64"/>
        <v>0</v>
      </c>
      <c r="M43" s="250">
        <f t="shared" si="64"/>
        <v>0</v>
      </c>
      <c r="N43" s="250">
        <f t="shared" si="64"/>
        <v>0</v>
      </c>
      <c r="O43" s="250">
        <f t="shared" si="64"/>
        <v>0</v>
      </c>
      <c r="P43" s="250">
        <f t="shared" si="64"/>
        <v>0</v>
      </c>
      <c r="Q43" s="250">
        <f t="shared" si="64"/>
        <v>0</v>
      </c>
      <c r="R43" s="250">
        <f t="shared" si="64"/>
        <v>0</v>
      </c>
      <c r="S43" s="250">
        <f t="shared" si="64"/>
        <v>0</v>
      </c>
      <c r="T43" s="250">
        <f t="shared" si="64"/>
        <v>0</v>
      </c>
      <c r="U43" s="250">
        <f t="shared" si="64"/>
        <v>0</v>
      </c>
      <c r="V43" s="250">
        <f t="shared" si="64"/>
        <v>0</v>
      </c>
      <c r="W43" s="250">
        <f t="shared" si="64"/>
        <v>0</v>
      </c>
      <c r="X43" s="250">
        <f t="shared" si="64"/>
        <v>0</v>
      </c>
      <c r="Y43" s="250">
        <f t="shared" si="64"/>
        <v>0</v>
      </c>
      <c r="Z43" s="250">
        <f t="shared" si="64"/>
        <v>0</v>
      </c>
      <c r="AA43" s="250">
        <f t="shared" si="64"/>
        <v>0</v>
      </c>
      <c r="AB43" s="250">
        <f t="shared" si="64"/>
        <v>0</v>
      </c>
      <c r="AC43" s="250">
        <f t="shared" si="64"/>
        <v>0</v>
      </c>
      <c r="AD43" s="250">
        <f t="shared" si="64"/>
        <v>0</v>
      </c>
      <c r="AE43" s="250">
        <f t="shared" si="64"/>
        <v>0</v>
      </c>
      <c r="AF43" s="250">
        <f t="shared" si="64"/>
        <v>0</v>
      </c>
      <c r="AG43" s="250">
        <f t="shared" si="64"/>
        <v>0</v>
      </c>
      <c r="AH43" s="250">
        <f t="shared" si="64"/>
        <v>0</v>
      </c>
      <c r="AI43" s="250">
        <f t="shared" si="64"/>
        <v>0</v>
      </c>
      <c r="AJ43" s="250">
        <f t="shared" si="64"/>
        <v>0</v>
      </c>
      <c r="AK43" s="250">
        <f t="shared" si="64"/>
        <v>0</v>
      </c>
      <c r="AL43" s="250">
        <f t="shared" si="64"/>
        <v>0</v>
      </c>
      <c r="AM43" s="250">
        <f t="shared" si="64"/>
        <v>0</v>
      </c>
      <c r="AN43" s="250">
        <f t="shared" si="64"/>
        <v>0</v>
      </c>
      <c r="AO43" s="250">
        <f t="shared" si="64"/>
        <v>0</v>
      </c>
      <c r="AP43" s="250">
        <f t="shared" si="64"/>
        <v>0</v>
      </c>
      <c r="AQ43" s="250">
        <f t="shared" si="64"/>
        <v>0</v>
      </c>
      <c r="AR43" s="250">
        <f t="shared" si="64"/>
        <v>0</v>
      </c>
      <c r="AS43" s="250">
        <f t="shared" si="64"/>
        <v>0</v>
      </c>
      <c r="AT43" s="250">
        <f t="shared" ref="AT43:BP43" si="65">IF(AT42&gt;0,AT44/AT42*10000,0)</f>
        <v>0</v>
      </c>
      <c r="AU43" s="250">
        <f t="shared" si="65"/>
        <v>0</v>
      </c>
      <c r="AV43" s="250">
        <f t="shared" si="65"/>
        <v>0</v>
      </c>
      <c r="AW43" s="250">
        <f t="shared" si="65"/>
        <v>0</v>
      </c>
      <c r="AX43" s="250">
        <f t="shared" si="65"/>
        <v>0</v>
      </c>
      <c r="AY43" s="250">
        <f t="shared" si="65"/>
        <v>0</v>
      </c>
      <c r="AZ43" s="250">
        <f t="shared" si="65"/>
        <v>0</v>
      </c>
      <c r="BA43" s="250">
        <f t="shared" si="65"/>
        <v>0</v>
      </c>
      <c r="BB43" s="250">
        <f t="shared" si="65"/>
        <v>0</v>
      </c>
      <c r="BC43" s="250">
        <f t="shared" si="65"/>
        <v>0</v>
      </c>
      <c r="BD43" s="250">
        <f t="shared" si="65"/>
        <v>0</v>
      </c>
      <c r="BE43" s="250">
        <f t="shared" si="65"/>
        <v>0</v>
      </c>
      <c r="BF43" s="250">
        <f t="shared" si="65"/>
        <v>0</v>
      </c>
      <c r="BG43" s="250">
        <f t="shared" si="65"/>
        <v>0</v>
      </c>
      <c r="BH43" s="250">
        <f t="shared" si="65"/>
        <v>0</v>
      </c>
      <c r="BI43" s="250">
        <f t="shared" si="65"/>
        <v>0</v>
      </c>
      <c r="BJ43" s="250">
        <f t="shared" si="65"/>
        <v>0</v>
      </c>
      <c r="BK43" s="250">
        <f t="shared" si="65"/>
        <v>0</v>
      </c>
      <c r="BL43" s="250">
        <f t="shared" si="65"/>
        <v>0</v>
      </c>
      <c r="BM43" s="250">
        <f t="shared" si="65"/>
        <v>0</v>
      </c>
      <c r="BN43" s="250">
        <f t="shared" si="65"/>
        <v>0</v>
      </c>
      <c r="BO43" s="250">
        <f t="shared" si="65"/>
        <v>0</v>
      </c>
      <c r="BP43" s="250">
        <f t="shared" si="65"/>
        <v>0</v>
      </c>
      <c r="BQ43" s="250">
        <f t="shared" ref="BQ43:BU43" si="66">IF(BQ42&gt;0,BQ44/BQ42*10000,0)</f>
        <v>0</v>
      </c>
      <c r="BR43" s="250">
        <f t="shared" si="66"/>
        <v>0</v>
      </c>
      <c r="BS43" s="250">
        <f t="shared" si="66"/>
        <v>0</v>
      </c>
      <c r="BT43" s="250">
        <f t="shared" si="66"/>
        <v>0</v>
      </c>
      <c r="BU43" s="250">
        <f t="shared" si="66"/>
        <v>0</v>
      </c>
    </row>
    <row r="44" spans="1:73" outlineLevel="1">
      <c r="A44" s="132">
        <f>销售计划!A119</f>
        <v>0</v>
      </c>
      <c r="B44" s="133" t="s">
        <v>841</v>
      </c>
      <c r="C44" s="133">
        <f>SUM(D44:AS44)</f>
        <v>0</v>
      </c>
      <c r="D44" s="133">
        <f>IF(D$2&lt;基础信息!$E$13,0,IF(D$2=基础信息!$E$13,SUM(销售计划!$D119:E119),销售计划!E119))</f>
        <v>0</v>
      </c>
      <c r="E44" s="133">
        <f>IF(E$2&lt;基础信息!$E$13,0,IF(E$2=基础信息!$E$13,SUM(销售计划!$D119:F119),销售计划!F119))</f>
        <v>0</v>
      </c>
      <c r="F44" s="133">
        <f>IF(F$2&lt;基础信息!$E$13,0,IF(F$2=基础信息!$E$13,SUM(销售计划!$D119:G119),销售计划!G119))</f>
        <v>0</v>
      </c>
      <c r="G44" s="133">
        <f>IF(G$2&lt;基础信息!$E$13,0,IF(G$2=基础信息!$E$13,SUM(销售计划!$D119:H119),销售计划!H119))</f>
        <v>0</v>
      </c>
      <c r="H44" s="133">
        <f>IF(H$2&lt;基础信息!$E$13,0,IF(H$2=基础信息!$E$13,SUM(销售计划!$D119:I119),销售计划!I119))</f>
        <v>0</v>
      </c>
      <c r="I44" s="133">
        <f>IF(I$2&lt;基础信息!$E$13,0,IF(I$2=基础信息!$E$13,SUM(销售计划!$D119:J119),销售计划!J119))</f>
        <v>0</v>
      </c>
      <c r="J44" s="133">
        <f>IF(J$2&lt;基础信息!$E$13,0,IF(J$2=基础信息!$E$13,SUM(销售计划!$D119:K119),销售计划!K119))</f>
        <v>0</v>
      </c>
      <c r="K44" s="133">
        <f>IF(K$2&lt;基础信息!$E$13,0,IF(K$2=基础信息!$E$13,SUM(销售计划!$D119:L119),销售计划!L119))</f>
        <v>0</v>
      </c>
      <c r="L44" s="133">
        <f>IF(L$2&lt;基础信息!$E$13,0,IF(L$2=基础信息!$E$13,SUM(销售计划!$D119:M119),销售计划!M119))</f>
        <v>0</v>
      </c>
      <c r="M44" s="133">
        <f>IF(M$2&lt;基础信息!$E$13,0,IF(M$2=基础信息!$E$13,SUM(销售计划!$D119:N119),销售计划!N119))</f>
        <v>0</v>
      </c>
      <c r="N44" s="133">
        <f>IF(N$2&lt;基础信息!$E$13,0,IF(N$2=基础信息!$E$13,SUM(销售计划!$D119:O119),销售计划!O119))</f>
        <v>0</v>
      </c>
      <c r="O44" s="133">
        <f>IF(O$2&lt;基础信息!$E$13,0,IF(O$2=基础信息!$E$13,SUM(销售计划!$D119:P119),销售计划!P119))</f>
        <v>0</v>
      </c>
      <c r="P44" s="133">
        <f>IF(P$2&lt;基础信息!$E$13,0,IF(P$2=基础信息!$E$13,SUM(销售计划!$D119:Q119),销售计划!Q119))</f>
        <v>0</v>
      </c>
      <c r="Q44" s="133">
        <f>IF(Q$2&lt;基础信息!$E$13,0,IF(Q$2=基础信息!$E$13,SUM(销售计划!$D119:R119),销售计划!R119))</f>
        <v>0</v>
      </c>
      <c r="R44" s="133">
        <f>IF(R$2&lt;基础信息!$E$13,0,IF(R$2=基础信息!$E$13,SUM(销售计划!$D119:S119),销售计划!S119))</f>
        <v>0</v>
      </c>
      <c r="S44" s="133">
        <f>IF(S$2&lt;基础信息!$E$13,0,IF(S$2=基础信息!$E$13,SUM(销售计划!$D119:T119),销售计划!T119))</f>
        <v>0</v>
      </c>
      <c r="T44" s="133">
        <f>IF(T$2&lt;基础信息!$E$13,0,IF(T$2=基础信息!$E$13,SUM(销售计划!$D119:U119),销售计划!U119))</f>
        <v>0</v>
      </c>
      <c r="U44" s="133">
        <f>IF(U$2&lt;基础信息!$E$13,0,IF(U$2=基础信息!$E$13,SUM(销售计划!$D119:V119),销售计划!V119))</f>
        <v>0</v>
      </c>
      <c r="V44" s="133">
        <f>IF(V$2&lt;基础信息!$E$13,0,IF(V$2=基础信息!$E$13,SUM(销售计划!$D119:W119),销售计划!W119))</f>
        <v>0</v>
      </c>
      <c r="W44" s="133">
        <f>IF(W$2&lt;基础信息!$E$13,0,IF(W$2=基础信息!$E$13,SUM(销售计划!$D119:X119),销售计划!X119))</f>
        <v>0</v>
      </c>
      <c r="X44" s="133">
        <f>IF(X$2&lt;基础信息!$E$13,0,IF(X$2=基础信息!$E$13,SUM(销售计划!$D119:Y119),销售计划!Y119))</f>
        <v>0</v>
      </c>
      <c r="Y44" s="133">
        <f>IF(Y$2&lt;基础信息!$E$13,0,IF(Y$2=基础信息!$E$13,SUM(销售计划!$D119:Z119),销售计划!Z119))</f>
        <v>0</v>
      </c>
      <c r="Z44" s="133">
        <f>IF(Z$2&lt;基础信息!$E$13,0,IF(Z$2=基础信息!$E$13,SUM(销售计划!$D119:AA119),销售计划!AA119))</f>
        <v>0</v>
      </c>
      <c r="AA44" s="133">
        <f>IF(AA$2&lt;基础信息!$E$13,0,IF(AA$2=基础信息!$E$13,SUM(销售计划!$D119:AB119),销售计划!AB119))</f>
        <v>0</v>
      </c>
      <c r="AB44" s="133">
        <f>IF(AB$2&lt;基础信息!$E$13,0,IF(AB$2=基础信息!$E$13,SUM(销售计划!$D119:AC119),销售计划!AC119))</f>
        <v>0</v>
      </c>
      <c r="AC44" s="133">
        <f>IF(AC$2&lt;基础信息!$E$13,0,IF(AC$2=基础信息!$E$13,SUM(销售计划!$D119:AD119),销售计划!AD119))</f>
        <v>0</v>
      </c>
      <c r="AD44" s="133">
        <f>IF(AD$2&lt;基础信息!$E$13,0,IF(AD$2=基础信息!$E$13,SUM(销售计划!$D119:AE119),销售计划!AE119))</f>
        <v>0</v>
      </c>
      <c r="AE44" s="133">
        <f>IF(AE$2&lt;基础信息!$E$13,0,IF(AE$2=基础信息!$E$13,SUM(销售计划!$D119:AF119),销售计划!AF119))</f>
        <v>0</v>
      </c>
      <c r="AF44" s="133">
        <f>IF(AF$2&lt;基础信息!$E$13,0,IF(AF$2=基础信息!$E$13,SUM(销售计划!$D119:AG119),销售计划!AG119))</f>
        <v>0</v>
      </c>
      <c r="AG44" s="133">
        <f>IF(AG$2&lt;基础信息!$E$13,0,IF(AG$2=基础信息!$E$13,SUM(销售计划!$D119:AH119),销售计划!AH119))</f>
        <v>0</v>
      </c>
      <c r="AH44" s="133">
        <f>IF(AH$2&lt;基础信息!$E$13,0,IF(AH$2=基础信息!$E$13,SUM(销售计划!$D119:AI119),销售计划!AI119))</f>
        <v>0</v>
      </c>
      <c r="AI44" s="133">
        <f>IF(AI$2&lt;基础信息!$E$13,0,IF(AI$2=基础信息!$E$13,SUM(销售计划!$D119:AJ119),销售计划!AJ119))</f>
        <v>0</v>
      </c>
      <c r="AJ44" s="133">
        <f>IF(AJ$2&lt;基础信息!$E$13,0,IF(AJ$2=基础信息!$E$13,SUM(销售计划!$D119:AK119),销售计划!AK119))</f>
        <v>0</v>
      </c>
      <c r="AK44" s="133">
        <f>IF(AK$2&lt;基础信息!$E$13,0,IF(AK$2=基础信息!$E$13,SUM(销售计划!$D119:AL119),销售计划!AL119))</f>
        <v>0</v>
      </c>
      <c r="AL44" s="133">
        <f>IF(AL$2&lt;基础信息!$E$13,0,IF(AL$2=基础信息!$E$13,SUM(销售计划!$D119:AM119),销售计划!AM119))</f>
        <v>0</v>
      </c>
      <c r="AM44" s="133">
        <f>IF(AM$2&lt;基础信息!$E$13,0,IF(AM$2=基础信息!$E$13,SUM(销售计划!$D119:AN119),销售计划!AN119))</f>
        <v>0</v>
      </c>
      <c r="AN44" s="133">
        <f>IF(AN$2&lt;基础信息!$E$13,0,IF(AN$2=基础信息!$E$13,SUM(销售计划!$D119:AO119),销售计划!AO119))</f>
        <v>0</v>
      </c>
      <c r="AO44" s="133">
        <f>IF(AO$2&lt;基础信息!$E$13,0,IF(AO$2=基础信息!$E$13,SUM(销售计划!$D119:AP119),销售计划!AP119))</f>
        <v>0</v>
      </c>
      <c r="AP44" s="133">
        <f>IF(AP$2&lt;基础信息!$E$13,0,IF(AP$2=基础信息!$E$13,SUM(销售计划!$D119:AQ119),销售计划!AQ119))</f>
        <v>0</v>
      </c>
      <c r="AQ44" s="133">
        <f>IF(AQ$2&lt;基础信息!$E$13,0,IF(AQ$2=基础信息!$E$13,SUM(销售计划!$D119:AR119),销售计划!AR119))</f>
        <v>0</v>
      </c>
      <c r="AR44" s="133">
        <f>IF(AR$2&lt;基础信息!$E$13,0,IF(AR$2=基础信息!$E$13,SUM(销售计划!$D119:AS119),销售计划!AS119))</f>
        <v>0</v>
      </c>
      <c r="AS44" s="133">
        <f>IF(AS$2&lt;基础信息!$E$13,0,IF(AS$2=基础信息!$E$13,SUM(销售计划!$D119:AT119),销售计划!AT119))</f>
        <v>0</v>
      </c>
      <c r="AT44" s="133">
        <f>IF(AT$2&lt;基础信息!$E$13,0,IF(AT$2=基础信息!$E$13,SUM(销售计划!$D119:AU119),销售计划!AU119))</f>
        <v>0</v>
      </c>
      <c r="AU44" s="133">
        <f>IF(AU$2&lt;基础信息!$E$13,0,IF(AU$2=基础信息!$E$13,SUM(销售计划!$D119:AV119),销售计划!AV119))</f>
        <v>0</v>
      </c>
      <c r="AV44" s="133">
        <f>IF(AV$2&lt;基础信息!$E$13,0,IF(AV$2=基础信息!$E$13,SUM(销售计划!$D119:AW119),销售计划!AW119))</f>
        <v>0</v>
      </c>
      <c r="AW44" s="133">
        <f>IF(AW$2&lt;基础信息!$E$13,0,IF(AW$2=基础信息!$E$13,SUM(销售计划!$D119:AX119),销售计划!AX119))</f>
        <v>0</v>
      </c>
      <c r="AX44" s="133">
        <f>IF(AX$2&lt;基础信息!$E$13,0,IF(AX$2=基础信息!$E$13,SUM(销售计划!$D119:AY119),销售计划!AY119))</f>
        <v>0</v>
      </c>
      <c r="AY44" s="133">
        <f>IF(AY$2&lt;基础信息!$E$13,0,IF(AY$2=基础信息!$E$13,SUM(销售计划!$D119:AZ119),销售计划!AZ119))</f>
        <v>0</v>
      </c>
      <c r="AZ44" s="133">
        <f>IF(AZ$2&lt;基础信息!$E$13,0,IF(AZ$2=基础信息!$E$13,SUM(销售计划!$D119:BA119),销售计划!BA119))</f>
        <v>0</v>
      </c>
      <c r="BA44" s="133">
        <f>IF(BA$2&lt;基础信息!$E$13,0,IF(BA$2=基础信息!$E$13,SUM(销售计划!$D119:BB119),销售计划!BB119))</f>
        <v>0</v>
      </c>
      <c r="BB44" s="133">
        <f>IF(BB$2&lt;基础信息!$E$13,0,IF(BB$2=基础信息!$E$13,SUM(销售计划!$D119:BC119),销售计划!BC119))</f>
        <v>0</v>
      </c>
      <c r="BC44" s="133">
        <f>IF(BC$2&lt;基础信息!$E$13,0,IF(BC$2=基础信息!$E$13,SUM(销售计划!$D119:BD119),销售计划!BD119))</f>
        <v>0</v>
      </c>
      <c r="BD44" s="133">
        <f>IF(BD$2&lt;基础信息!$E$13,0,IF(BD$2=基础信息!$E$13,SUM(销售计划!$D119:BE119),销售计划!BE119))</f>
        <v>0</v>
      </c>
      <c r="BE44" s="133">
        <f>IF(BE$2&lt;基础信息!$E$13,0,IF(BE$2=基础信息!$E$13,SUM(销售计划!$D119:BF119),销售计划!BF119))</f>
        <v>0</v>
      </c>
      <c r="BF44" s="133">
        <f>IF(BF$2&lt;基础信息!$E$13,0,IF(BF$2=基础信息!$E$13,SUM(销售计划!$D119:BG119),销售计划!BG119))</f>
        <v>0</v>
      </c>
      <c r="BG44" s="133">
        <f>IF(BG$2&lt;基础信息!$E$13,0,IF(BG$2=基础信息!$E$13,SUM(销售计划!$D119:BH119),销售计划!BH119))</f>
        <v>0</v>
      </c>
      <c r="BH44" s="133">
        <f>IF(BH$2&lt;基础信息!$E$13,0,IF(BH$2=基础信息!$E$13,SUM(销售计划!$D119:BI119),销售计划!BI119))</f>
        <v>0</v>
      </c>
      <c r="BI44" s="133">
        <f>IF(BI$2&lt;基础信息!$E$13,0,IF(BI$2=基础信息!$E$13,SUM(销售计划!$D119:BJ119),销售计划!BJ119))</f>
        <v>0</v>
      </c>
      <c r="BJ44" s="133">
        <f>IF(BJ$2&lt;基础信息!$E$13,0,IF(BJ$2=基础信息!$E$13,SUM(销售计划!$D119:BK119),销售计划!BK119))</f>
        <v>0</v>
      </c>
      <c r="BK44" s="133">
        <f>IF(BK$2&lt;基础信息!$E$13,0,IF(BK$2=基础信息!$E$13,SUM(销售计划!$D119:BL119),销售计划!BL119))</f>
        <v>0</v>
      </c>
      <c r="BL44" s="133">
        <f>IF(BL$2&lt;基础信息!$E$13,0,IF(BL$2=基础信息!$E$13,SUM(销售计划!$D119:BM119),销售计划!BM119))</f>
        <v>0</v>
      </c>
      <c r="BM44" s="133">
        <f>IF(BM$2&lt;基础信息!$E$13,0,IF(BM$2=基础信息!$E$13,SUM(销售计划!$D119:BN119),销售计划!BN119))</f>
        <v>0</v>
      </c>
      <c r="BN44" s="133">
        <f>IF(BN$2&lt;基础信息!$E$13,0,IF(BN$2=基础信息!$E$13,SUM(销售计划!$D119:BO119),销售计划!BO119))</f>
        <v>0</v>
      </c>
      <c r="BO44" s="133">
        <f>IF(BO$2&lt;基础信息!$E$13,0,IF(BO$2=基础信息!$E$13,SUM(销售计划!$D119:BP119),销售计划!BP119))</f>
        <v>0</v>
      </c>
      <c r="BP44" s="133">
        <f>IF(BP$2&lt;基础信息!$E$13,0,IF(BP$2=基础信息!$E$13,SUM(销售计划!$D119:BQ119),销售计划!BQ119))</f>
        <v>0</v>
      </c>
      <c r="BQ44" s="133">
        <f>IF(BQ$2&lt;基础信息!$E$13,0,IF(BQ$2=基础信息!$E$13,SUM(销售计划!$D119:BR119),销售计划!BR119))</f>
        <v>0</v>
      </c>
      <c r="BR44" s="133">
        <f>IF(BR$2&lt;基础信息!$E$13,0,IF(BR$2=基础信息!$E$13,SUM(销售计划!$D119:BS119),销售计划!BS119))</f>
        <v>0</v>
      </c>
      <c r="BS44" s="133">
        <f>IF(BS$2&lt;基础信息!$E$13,0,IF(BS$2=基础信息!$E$13,SUM(销售计划!$D119:BT119),销售计划!BT119))</f>
        <v>0</v>
      </c>
      <c r="BT44" s="133">
        <f>IF(BT$2&lt;基础信息!$E$13,0,IF(BT$2=基础信息!$E$13,SUM(销售计划!$D119:BU119),销售计划!BU119))</f>
        <v>0</v>
      </c>
      <c r="BU44" s="133">
        <f>IF(BU$2&lt;基础信息!$E$13,0,IF(BU$2=基础信息!$E$13,SUM(销售计划!$D119:BV119),销售计划!BV119))</f>
        <v>0</v>
      </c>
    </row>
    <row r="45" spans="1:73" s="126" customFormat="1" ht="13" outlineLevel="1">
      <c r="A45" s="127">
        <f>销售计划!A120</f>
        <v>0</v>
      </c>
      <c r="B45" s="128" t="s">
        <v>258</v>
      </c>
      <c r="C45" s="128">
        <f>SUM(D45:AS45)</f>
        <v>0</v>
      </c>
      <c r="D45" s="250">
        <f>IF(D$2&lt;基础信息!$E$13,0,IF(D$2=基础信息!$E$13,SUM(销售计划!$D120:E120),销售计划!E120))</f>
        <v>0</v>
      </c>
      <c r="E45" s="250">
        <f>IF(E$2&lt;基础信息!$E$13,0,IF(E$2=基础信息!$E$13,SUM(销售计划!$D120:F120),销售计划!F120))</f>
        <v>0</v>
      </c>
      <c r="F45" s="250">
        <f>IF(F$2&lt;基础信息!$E$13,0,IF(F$2=基础信息!$E$13,SUM(销售计划!$D120:G120),销售计划!G120))</f>
        <v>0</v>
      </c>
      <c r="G45" s="250">
        <f>IF(G$2&lt;基础信息!$E$13,0,IF(G$2=基础信息!$E$13,SUM(销售计划!$D120:H120),销售计划!H120))</f>
        <v>0</v>
      </c>
      <c r="H45" s="250">
        <f>IF(H$2&lt;基础信息!$E$13,0,IF(H$2=基础信息!$E$13,SUM(销售计划!$D120:I120),销售计划!I120))</f>
        <v>0</v>
      </c>
      <c r="I45" s="250">
        <f>IF(I$2&lt;基础信息!$E$13,0,IF(I$2=基础信息!$E$13,SUM(销售计划!$D120:J120),销售计划!J120))</f>
        <v>0</v>
      </c>
      <c r="J45" s="250">
        <f>IF(J$2&lt;基础信息!$E$13,0,IF(J$2=基础信息!$E$13,SUM(销售计划!$D120:K120),销售计划!K120))</f>
        <v>0</v>
      </c>
      <c r="K45" s="250">
        <f>IF(K$2&lt;基础信息!$E$13,0,IF(K$2=基础信息!$E$13,SUM(销售计划!$D120:L120),销售计划!L120))</f>
        <v>0</v>
      </c>
      <c r="L45" s="250">
        <f>IF(L$2&lt;基础信息!$E$13,0,IF(L$2=基础信息!$E$13,SUM(销售计划!$D120:M120),销售计划!M120))</f>
        <v>0</v>
      </c>
      <c r="M45" s="250">
        <f>IF(M$2&lt;基础信息!$E$13,0,IF(M$2=基础信息!$E$13,SUM(销售计划!$D120:N120),销售计划!N120))</f>
        <v>0</v>
      </c>
      <c r="N45" s="250">
        <f>IF(N$2&lt;基础信息!$E$13,0,IF(N$2=基础信息!$E$13,SUM(销售计划!$D120:O120),销售计划!O120))</f>
        <v>0</v>
      </c>
      <c r="O45" s="250">
        <f>IF(O$2&lt;基础信息!$E$13,0,IF(O$2=基础信息!$E$13,SUM(销售计划!$D120:P120),销售计划!P120))</f>
        <v>0</v>
      </c>
      <c r="P45" s="250">
        <f>IF(P$2&lt;基础信息!$E$13,0,IF(P$2=基础信息!$E$13,SUM(销售计划!$D120:Q120),销售计划!Q120))</f>
        <v>0</v>
      </c>
      <c r="Q45" s="250">
        <f>IF(Q$2&lt;基础信息!$E$13,0,IF(Q$2=基础信息!$E$13,SUM(销售计划!$D120:R120),销售计划!R120))</f>
        <v>0</v>
      </c>
      <c r="R45" s="250">
        <f>IF(R$2&lt;基础信息!$E$13,0,IF(R$2=基础信息!$E$13,SUM(销售计划!$D120:S120),销售计划!S120))</f>
        <v>0</v>
      </c>
      <c r="S45" s="250">
        <f>IF(S$2&lt;基础信息!$E$13,0,IF(S$2=基础信息!$E$13,SUM(销售计划!$D120:T120),销售计划!T120))</f>
        <v>0</v>
      </c>
      <c r="T45" s="135">
        <f>IF(T$2&lt;基础信息!$E$13,0,IF(T$2=基础信息!$E$13,SUM(销售计划!$D120:U120),销售计划!U120))</f>
        <v>0</v>
      </c>
      <c r="U45" s="135">
        <f>IF(U$2&lt;基础信息!$E$13,0,IF(U$2=基础信息!$E$13,SUM(销售计划!$D120:V120),销售计划!V120))</f>
        <v>0</v>
      </c>
      <c r="V45" s="135">
        <f>IF(V$2&lt;基础信息!$E$13,0,IF(V$2=基础信息!$E$13,SUM(销售计划!$D120:W120),销售计划!W120))</f>
        <v>0</v>
      </c>
      <c r="W45" s="135">
        <f>IF(W$2&lt;基础信息!$E$13,0,IF(W$2=基础信息!$E$13,SUM(销售计划!$D120:X120),销售计划!X120))</f>
        <v>0</v>
      </c>
      <c r="X45" s="135">
        <f>IF(X$2&lt;基础信息!$E$13,0,IF(X$2=基础信息!$E$13,SUM(销售计划!$D120:Y120),销售计划!Y120))</f>
        <v>0</v>
      </c>
      <c r="Y45" s="135">
        <f>IF(Y$2&lt;基础信息!$E$13,0,IF(Y$2=基础信息!$E$13,SUM(销售计划!$D120:Z120),销售计划!Z120))</f>
        <v>0</v>
      </c>
      <c r="Z45" s="135">
        <f>IF(Z$2&lt;基础信息!$E$13,0,IF(Z$2=基础信息!$E$13,SUM(销售计划!$D120:AA120),销售计划!AA120))</f>
        <v>0</v>
      </c>
      <c r="AA45" s="135">
        <f>IF(AA$2&lt;基础信息!$E$13,0,IF(AA$2=基础信息!$E$13,SUM(销售计划!$D120:AB120),销售计划!AB120))</f>
        <v>0</v>
      </c>
      <c r="AB45" s="135">
        <f>IF(AB$2&lt;基础信息!$E$13,0,IF(AB$2=基础信息!$E$13,SUM(销售计划!$D120:AC120),销售计划!AC120))</f>
        <v>0</v>
      </c>
      <c r="AC45" s="135">
        <f>IF(AC$2&lt;基础信息!$E$13,0,IF(AC$2=基础信息!$E$13,SUM(销售计划!$D120:AD120),销售计划!AD120))</f>
        <v>0</v>
      </c>
      <c r="AD45" s="135">
        <f>IF(AD$2&lt;基础信息!$E$13,0,IF(AD$2=基础信息!$E$13,SUM(销售计划!$D120:AE120),销售计划!AE120))</f>
        <v>0</v>
      </c>
      <c r="AE45" s="135">
        <f>IF(AE$2&lt;基础信息!$E$13,0,IF(AE$2=基础信息!$E$13,SUM(销售计划!$D120:AF120),销售计划!AF120))</f>
        <v>0</v>
      </c>
      <c r="AF45" s="135">
        <f>IF(AF$2&lt;基础信息!$E$13,0,IF(AF$2=基础信息!$E$13,SUM(销售计划!$D120:AG120),销售计划!AG120))</f>
        <v>0</v>
      </c>
      <c r="AG45" s="135">
        <f>IF(AG$2&lt;基础信息!$E$13,0,IF(AG$2=基础信息!$E$13,SUM(销售计划!$D120:AH120),销售计划!AH120))</f>
        <v>0</v>
      </c>
      <c r="AH45" s="135">
        <f>IF(AH$2&lt;基础信息!$E$13,0,IF(AH$2=基础信息!$E$13,SUM(销售计划!$D120:AI120),销售计划!AI120))</f>
        <v>0</v>
      </c>
      <c r="AI45" s="135">
        <f>IF(AI$2&lt;基础信息!$E$13,0,IF(AI$2=基础信息!$E$13,SUM(销售计划!$D120:AJ120),销售计划!AJ120))</f>
        <v>0</v>
      </c>
      <c r="AJ45" s="135">
        <f>IF(AJ$2&lt;基础信息!$E$13,0,IF(AJ$2=基础信息!$E$13,SUM(销售计划!$D120:AK120),销售计划!AK120))</f>
        <v>0</v>
      </c>
      <c r="AK45" s="135">
        <f>IF(AK$2&lt;基础信息!$E$13,0,IF(AK$2=基础信息!$E$13,SUM(销售计划!$D120:AL120),销售计划!AL120))</f>
        <v>0</v>
      </c>
      <c r="AL45" s="135">
        <f>IF(AL$2&lt;基础信息!$E$13,0,IF(AL$2=基础信息!$E$13,SUM(销售计划!$D120:AM120),销售计划!AM120))</f>
        <v>0</v>
      </c>
      <c r="AM45" s="135">
        <f>IF(AM$2&lt;基础信息!$E$13,0,IF(AM$2=基础信息!$E$13,SUM(销售计划!$D120:AN120),销售计划!AN120))</f>
        <v>0</v>
      </c>
      <c r="AN45" s="135">
        <f>IF(AN$2&lt;基础信息!$E$13,0,IF(AN$2=基础信息!$E$13,SUM(销售计划!$D120:AO120),销售计划!AO120))</f>
        <v>0</v>
      </c>
      <c r="AO45" s="135">
        <f>IF(AO$2&lt;基础信息!$E$13,0,IF(AO$2=基础信息!$E$13,SUM(销售计划!$D120:AP120),销售计划!AP120))</f>
        <v>0</v>
      </c>
      <c r="AP45" s="135">
        <f>IF(AP$2&lt;基础信息!$E$13,0,IF(AP$2=基础信息!$E$13,SUM(销售计划!$D120:AQ120),销售计划!AQ120))</f>
        <v>0</v>
      </c>
      <c r="AQ45" s="135">
        <f>IF(AQ$2&lt;基础信息!$E$13,0,IF(AQ$2=基础信息!$E$13,SUM(销售计划!$D120:AR120),销售计划!AR120))</f>
        <v>0</v>
      </c>
      <c r="AR45" s="135">
        <f>IF(AR$2&lt;基础信息!$E$13,0,IF(AR$2=基础信息!$E$13,SUM(销售计划!$D120:AS120),销售计划!AS120))</f>
        <v>0</v>
      </c>
      <c r="AS45" s="135">
        <f>IF(AS$2&lt;基础信息!$E$13,0,IF(AS$2=基础信息!$E$13,SUM(销售计划!$D120:AT120),销售计划!AT120))</f>
        <v>0</v>
      </c>
      <c r="AT45" s="135">
        <f>IF(AT$2&lt;基础信息!$E$13,0,IF(AT$2=基础信息!$E$13,SUM(销售计划!$D120:AU120),销售计划!AU120))</f>
        <v>0</v>
      </c>
      <c r="AU45" s="135">
        <f>IF(AU$2&lt;基础信息!$E$13,0,IF(AU$2=基础信息!$E$13,SUM(销售计划!$D120:AV120),销售计划!AV120))</f>
        <v>0</v>
      </c>
      <c r="AV45" s="135">
        <f>IF(AV$2&lt;基础信息!$E$13,0,IF(AV$2=基础信息!$E$13,SUM(销售计划!$D120:AW120),销售计划!AW120))</f>
        <v>0</v>
      </c>
      <c r="AW45" s="135">
        <f>IF(AW$2&lt;基础信息!$E$13,0,IF(AW$2=基础信息!$E$13,SUM(销售计划!$D120:AX120),销售计划!AX120))</f>
        <v>0</v>
      </c>
      <c r="AX45" s="135">
        <f>IF(AX$2&lt;基础信息!$E$13,0,IF(AX$2=基础信息!$E$13,SUM(销售计划!$D120:AY120),销售计划!AY120))</f>
        <v>0</v>
      </c>
      <c r="AY45" s="135">
        <f>IF(AY$2&lt;基础信息!$E$13,0,IF(AY$2=基础信息!$E$13,SUM(销售计划!$D120:AZ120),销售计划!AZ120))</f>
        <v>0</v>
      </c>
      <c r="AZ45" s="135">
        <f>IF(AZ$2&lt;基础信息!$E$13,0,IF(AZ$2=基础信息!$E$13,SUM(销售计划!$D120:BA120),销售计划!BA120))</f>
        <v>0</v>
      </c>
      <c r="BA45" s="135">
        <f>IF(BA$2&lt;基础信息!$E$13,0,IF(BA$2=基础信息!$E$13,SUM(销售计划!$D120:BB120),销售计划!BB120))</f>
        <v>0</v>
      </c>
      <c r="BB45" s="135">
        <f>IF(BB$2&lt;基础信息!$E$13,0,IF(BB$2=基础信息!$E$13,SUM(销售计划!$D120:BC120),销售计划!BC120))</f>
        <v>0</v>
      </c>
      <c r="BC45" s="135">
        <f>IF(BC$2&lt;基础信息!$E$13,0,IF(BC$2=基础信息!$E$13,SUM(销售计划!$D120:BD120),销售计划!BD120))</f>
        <v>0</v>
      </c>
      <c r="BD45" s="135">
        <f>IF(BD$2&lt;基础信息!$E$13,0,IF(BD$2=基础信息!$E$13,SUM(销售计划!$D120:BE120),销售计划!BE120))</f>
        <v>0</v>
      </c>
      <c r="BE45" s="135">
        <f>IF(BE$2&lt;基础信息!$E$13,0,IF(BE$2=基础信息!$E$13,SUM(销售计划!$D120:BF120),销售计划!BF120))</f>
        <v>0</v>
      </c>
      <c r="BF45" s="135">
        <f>IF(BF$2&lt;基础信息!$E$13,0,IF(BF$2=基础信息!$E$13,SUM(销售计划!$D120:BG120),销售计划!BG120))</f>
        <v>0</v>
      </c>
      <c r="BG45" s="135">
        <f>IF(BG$2&lt;基础信息!$E$13,0,IF(BG$2=基础信息!$E$13,SUM(销售计划!$D120:BH120),销售计划!BH120))</f>
        <v>0</v>
      </c>
      <c r="BH45" s="135">
        <f>IF(BH$2&lt;基础信息!$E$13,0,IF(BH$2=基础信息!$E$13,SUM(销售计划!$D120:BI120),销售计划!BI120))</f>
        <v>0</v>
      </c>
      <c r="BI45" s="135">
        <f>IF(BI$2&lt;基础信息!$E$13,0,IF(BI$2=基础信息!$E$13,SUM(销售计划!$D120:BJ120),销售计划!BJ120))</f>
        <v>0</v>
      </c>
      <c r="BJ45" s="135">
        <f>IF(BJ$2&lt;基础信息!$E$13,0,IF(BJ$2=基础信息!$E$13,SUM(销售计划!$D120:BK120),销售计划!BK120))</f>
        <v>0</v>
      </c>
      <c r="BK45" s="135">
        <f>IF(BK$2&lt;基础信息!$E$13,0,IF(BK$2=基础信息!$E$13,SUM(销售计划!$D120:BL120),销售计划!BL120))</f>
        <v>0</v>
      </c>
      <c r="BL45" s="135">
        <f>IF(BL$2&lt;基础信息!$E$13,0,IF(BL$2=基础信息!$E$13,SUM(销售计划!$D120:BM120),销售计划!BM120))</f>
        <v>0</v>
      </c>
      <c r="BM45" s="135">
        <f>IF(BM$2&lt;基础信息!$E$13,0,IF(BM$2=基础信息!$E$13,SUM(销售计划!$D120:BN120),销售计划!BN120))</f>
        <v>0</v>
      </c>
      <c r="BN45" s="135">
        <f>IF(BN$2&lt;基础信息!$E$13,0,IF(BN$2=基础信息!$E$13,SUM(销售计划!$D120:BO120),销售计划!BO120))</f>
        <v>0</v>
      </c>
      <c r="BO45" s="135">
        <f>IF(BO$2&lt;基础信息!$E$13,0,IF(BO$2=基础信息!$E$13,SUM(销售计划!$D120:BP120),销售计划!BP120))</f>
        <v>0</v>
      </c>
      <c r="BP45" s="135">
        <f>IF(BP$2&lt;基础信息!$E$13,0,IF(BP$2=基础信息!$E$13,SUM(销售计划!$D120:BQ120),销售计划!BQ120))</f>
        <v>0</v>
      </c>
      <c r="BQ45" s="135">
        <f>IF(BQ$2&lt;基础信息!$E$13,0,IF(BQ$2=基础信息!$E$13,SUM(销售计划!$D120:BR120),销售计划!BR120))</f>
        <v>0</v>
      </c>
      <c r="BR45" s="135">
        <f>IF(BR$2&lt;基础信息!$E$13,0,IF(BR$2=基础信息!$E$13,SUM(销售计划!$D120:BS120),销售计划!BS120))</f>
        <v>0</v>
      </c>
      <c r="BS45" s="135">
        <f>IF(BS$2&lt;基础信息!$E$13,0,IF(BS$2=基础信息!$E$13,SUM(销售计划!$D120:BT120),销售计划!BT120))</f>
        <v>0</v>
      </c>
      <c r="BT45" s="135">
        <f>IF(BT$2&lt;基础信息!$E$13,0,IF(BT$2=基础信息!$E$13,SUM(销售计划!$D120:BU120),销售计划!BU120))</f>
        <v>0</v>
      </c>
      <c r="BU45" s="135">
        <f>IF(BU$2&lt;基础信息!$E$13,0,IF(BU$2=基础信息!$E$13,SUM(销售计划!$D120:BV120),销售计划!BV120))</f>
        <v>0</v>
      </c>
    </row>
    <row r="46" spans="1:73" s="126" customFormat="1" ht="13" outlineLevel="1">
      <c r="A46" s="127">
        <f>销售计划!A121</f>
        <v>0</v>
      </c>
      <c r="B46" s="128" t="s">
        <v>840</v>
      </c>
      <c r="C46" s="128">
        <f t="shared" ref="C46:AS46" si="67">IF(C45&gt;0,C47/C45*10000,0)</f>
        <v>0</v>
      </c>
      <c r="D46" s="250">
        <f t="shared" si="67"/>
        <v>0</v>
      </c>
      <c r="E46" s="250">
        <f t="shared" si="67"/>
        <v>0</v>
      </c>
      <c r="F46" s="128">
        <f t="shared" si="67"/>
        <v>0</v>
      </c>
      <c r="G46" s="128">
        <f t="shared" si="67"/>
        <v>0</v>
      </c>
      <c r="H46" s="250">
        <f t="shared" si="67"/>
        <v>0</v>
      </c>
      <c r="I46" s="250">
        <f t="shared" si="67"/>
        <v>0</v>
      </c>
      <c r="J46" s="250">
        <f t="shared" si="67"/>
        <v>0</v>
      </c>
      <c r="K46" s="250">
        <f t="shared" si="67"/>
        <v>0</v>
      </c>
      <c r="L46" s="250">
        <f t="shared" si="67"/>
        <v>0</v>
      </c>
      <c r="M46" s="250">
        <f t="shared" si="67"/>
        <v>0</v>
      </c>
      <c r="N46" s="250">
        <f t="shared" si="67"/>
        <v>0</v>
      </c>
      <c r="O46" s="250">
        <f t="shared" si="67"/>
        <v>0</v>
      </c>
      <c r="P46" s="250">
        <f t="shared" si="67"/>
        <v>0</v>
      </c>
      <c r="Q46" s="250">
        <f t="shared" si="67"/>
        <v>0</v>
      </c>
      <c r="R46" s="250">
        <f t="shared" si="67"/>
        <v>0</v>
      </c>
      <c r="S46" s="250">
        <f t="shared" si="67"/>
        <v>0</v>
      </c>
      <c r="T46" s="250">
        <f t="shared" si="67"/>
        <v>0</v>
      </c>
      <c r="U46" s="250">
        <f t="shared" si="67"/>
        <v>0</v>
      </c>
      <c r="V46" s="250">
        <f t="shared" si="67"/>
        <v>0</v>
      </c>
      <c r="W46" s="250">
        <f t="shared" si="67"/>
        <v>0</v>
      </c>
      <c r="X46" s="250">
        <f t="shared" si="67"/>
        <v>0</v>
      </c>
      <c r="Y46" s="250">
        <f t="shared" si="67"/>
        <v>0</v>
      </c>
      <c r="Z46" s="250">
        <f t="shared" si="67"/>
        <v>0</v>
      </c>
      <c r="AA46" s="250">
        <f t="shared" si="67"/>
        <v>0</v>
      </c>
      <c r="AB46" s="250">
        <f t="shared" si="67"/>
        <v>0</v>
      </c>
      <c r="AC46" s="250">
        <f t="shared" si="67"/>
        <v>0</v>
      </c>
      <c r="AD46" s="250">
        <f t="shared" si="67"/>
        <v>0</v>
      </c>
      <c r="AE46" s="250">
        <f t="shared" si="67"/>
        <v>0</v>
      </c>
      <c r="AF46" s="250">
        <f t="shared" si="67"/>
        <v>0</v>
      </c>
      <c r="AG46" s="250">
        <f t="shared" si="67"/>
        <v>0</v>
      </c>
      <c r="AH46" s="250">
        <f t="shared" si="67"/>
        <v>0</v>
      </c>
      <c r="AI46" s="250">
        <f t="shared" si="67"/>
        <v>0</v>
      </c>
      <c r="AJ46" s="250">
        <f t="shared" si="67"/>
        <v>0</v>
      </c>
      <c r="AK46" s="250">
        <f t="shared" si="67"/>
        <v>0</v>
      </c>
      <c r="AL46" s="250">
        <f t="shared" si="67"/>
        <v>0</v>
      </c>
      <c r="AM46" s="250">
        <f t="shared" si="67"/>
        <v>0</v>
      </c>
      <c r="AN46" s="250">
        <f t="shared" si="67"/>
        <v>0</v>
      </c>
      <c r="AO46" s="250">
        <f t="shared" si="67"/>
        <v>0</v>
      </c>
      <c r="AP46" s="250">
        <f t="shared" si="67"/>
        <v>0</v>
      </c>
      <c r="AQ46" s="250">
        <f t="shared" si="67"/>
        <v>0</v>
      </c>
      <c r="AR46" s="250">
        <f t="shared" si="67"/>
        <v>0</v>
      </c>
      <c r="AS46" s="250">
        <f t="shared" si="67"/>
        <v>0</v>
      </c>
      <c r="AT46" s="250">
        <f t="shared" ref="AT46:BP46" si="68">IF(AT45&gt;0,AT47/AT45*10000,0)</f>
        <v>0</v>
      </c>
      <c r="AU46" s="250">
        <f t="shared" si="68"/>
        <v>0</v>
      </c>
      <c r="AV46" s="250">
        <f t="shared" si="68"/>
        <v>0</v>
      </c>
      <c r="AW46" s="250">
        <f t="shared" si="68"/>
        <v>0</v>
      </c>
      <c r="AX46" s="250">
        <f t="shared" si="68"/>
        <v>0</v>
      </c>
      <c r="AY46" s="250">
        <f t="shared" si="68"/>
        <v>0</v>
      </c>
      <c r="AZ46" s="250">
        <f t="shared" si="68"/>
        <v>0</v>
      </c>
      <c r="BA46" s="250">
        <f t="shared" si="68"/>
        <v>0</v>
      </c>
      <c r="BB46" s="250">
        <f t="shared" si="68"/>
        <v>0</v>
      </c>
      <c r="BC46" s="250">
        <f t="shared" si="68"/>
        <v>0</v>
      </c>
      <c r="BD46" s="250">
        <f t="shared" si="68"/>
        <v>0</v>
      </c>
      <c r="BE46" s="250">
        <f t="shared" si="68"/>
        <v>0</v>
      </c>
      <c r="BF46" s="250">
        <f t="shared" si="68"/>
        <v>0</v>
      </c>
      <c r="BG46" s="250">
        <f t="shared" si="68"/>
        <v>0</v>
      </c>
      <c r="BH46" s="250">
        <f t="shared" si="68"/>
        <v>0</v>
      </c>
      <c r="BI46" s="250">
        <f t="shared" si="68"/>
        <v>0</v>
      </c>
      <c r="BJ46" s="250">
        <f t="shared" si="68"/>
        <v>0</v>
      </c>
      <c r="BK46" s="250">
        <f t="shared" si="68"/>
        <v>0</v>
      </c>
      <c r="BL46" s="250">
        <f t="shared" si="68"/>
        <v>0</v>
      </c>
      <c r="BM46" s="250">
        <f t="shared" si="68"/>
        <v>0</v>
      </c>
      <c r="BN46" s="250">
        <f t="shared" si="68"/>
        <v>0</v>
      </c>
      <c r="BO46" s="250">
        <f t="shared" si="68"/>
        <v>0</v>
      </c>
      <c r="BP46" s="250">
        <f t="shared" si="68"/>
        <v>0</v>
      </c>
      <c r="BQ46" s="250">
        <f t="shared" ref="BQ46:BU46" si="69">IF(BQ45&gt;0,BQ47/BQ45*10000,0)</f>
        <v>0</v>
      </c>
      <c r="BR46" s="250">
        <f t="shared" si="69"/>
        <v>0</v>
      </c>
      <c r="BS46" s="250">
        <f t="shared" si="69"/>
        <v>0</v>
      </c>
      <c r="BT46" s="250">
        <f t="shared" si="69"/>
        <v>0</v>
      </c>
      <c r="BU46" s="250">
        <f t="shared" si="69"/>
        <v>0</v>
      </c>
    </row>
    <row r="47" spans="1:73" outlineLevel="1">
      <c r="A47" s="132">
        <f>销售计划!A122</f>
        <v>0</v>
      </c>
      <c r="B47" s="133" t="s">
        <v>841</v>
      </c>
      <c r="C47" s="133">
        <f>SUM(D47:AS47)</f>
        <v>0</v>
      </c>
      <c r="D47" s="133">
        <f>IF(D$2&lt;基础信息!$E$13,0,IF(D$2=基础信息!$E$13,SUM(销售计划!$D122:E122),销售计划!E122))</f>
        <v>0</v>
      </c>
      <c r="E47" s="133">
        <f>IF(E$2&lt;基础信息!$E$13,0,IF(E$2=基础信息!$E$13,SUM(销售计划!$D122:F122),销售计划!F122))</f>
        <v>0</v>
      </c>
      <c r="F47" s="133">
        <f>IF(F$2&lt;基础信息!$E$13,0,IF(F$2=基础信息!$E$13,SUM(销售计划!$D122:G122),销售计划!G122))</f>
        <v>0</v>
      </c>
      <c r="G47" s="133">
        <f>IF(G$2&lt;基础信息!$E$13,0,IF(G$2=基础信息!$E$13,SUM(销售计划!$D122:H122),销售计划!H122))</f>
        <v>0</v>
      </c>
      <c r="H47" s="133">
        <f>IF(H$2&lt;基础信息!$E$13,0,IF(H$2=基础信息!$E$13,SUM(销售计划!$D122:I122),销售计划!I122))</f>
        <v>0</v>
      </c>
      <c r="I47" s="133">
        <f>IF(I$2&lt;基础信息!$E$13,0,IF(I$2=基础信息!$E$13,SUM(销售计划!$D122:J122),销售计划!J122))</f>
        <v>0</v>
      </c>
      <c r="J47" s="133">
        <f>IF(J$2&lt;基础信息!$E$13,0,IF(J$2=基础信息!$E$13,SUM(销售计划!$D122:K122),销售计划!K122))</f>
        <v>0</v>
      </c>
      <c r="K47" s="133">
        <f>IF(K$2&lt;基础信息!$E$13,0,IF(K$2=基础信息!$E$13,SUM(销售计划!$D122:L122),销售计划!L122))</f>
        <v>0</v>
      </c>
      <c r="L47" s="133">
        <f>IF(L$2&lt;基础信息!$E$13,0,IF(L$2=基础信息!$E$13,SUM(销售计划!$D122:M122),销售计划!M122))</f>
        <v>0</v>
      </c>
      <c r="M47" s="133">
        <f>IF(M$2&lt;基础信息!$E$13,0,IF(M$2=基础信息!$E$13,SUM(销售计划!$D122:N122),销售计划!N122))</f>
        <v>0</v>
      </c>
      <c r="N47" s="133">
        <f>IF(N$2&lt;基础信息!$E$13,0,IF(N$2=基础信息!$E$13,SUM(销售计划!$D122:O122),销售计划!O122))</f>
        <v>0</v>
      </c>
      <c r="O47" s="133">
        <f>IF(O$2&lt;基础信息!$E$13,0,IF(O$2=基础信息!$E$13,SUM(销售计划!$D122:P122),销售计划!P122))</f>
        <v>0</v>
      </c>
      <c r="P47" s="133">
        <f>IF(P$2&lt;基础信息!$E$13,0,IF(P$2=基础信息!$E$13,SUM(销售计划!$D122:Q122),销售计划!Q122))</f>
        <v>0</v>
      </c>
      <c r="Q47" s="133">
        <f>IF(Q$2&lt;基础信息!$E$13,0,IF(Q$2=基础信息!$E$13,SUM(销售计划!$D122:R122),销售计划!R122))</f>
        <v>0</v>
      </c>
      <c r="R47" s="133">
        <f>IF(R$2&lt;基础信息!$E$13,0,IF(R$2=基础信息!$E$13,SUM(销售计划!$D122:S122),销售计划!S122))</f>
        <v>0</v>
      </c>
      <c r="S47" s="133">
        <f>IF(S$2&lt;基础信息!$E$13,0,IF(S$2=基础信息!$E$13,SUM(销售计划!$D122:T122),销售计划!T122))</f>
        <v>0</v>
      </c>
      <c r="T47" s="133">
        <f>IF(T$2&lt;基础信息!$E$13,0,IF(T$2=基础信息!$E$13,SUM(销售计划!$D122:U122),销售计划!U122))</f>
        <v>0</v>
      </c>
      <c r="U47" s="133">
        <f>IF(U$2&lt;基础信息!$E$13,0,IF(U$2=基础信息!$E$13,SUM(销售计划!$D122:V122),销售计划!V122))</f>
        <v>0</v>
      </c>
      <c r="V47" s="133">
        <f>IF(V$2&lt;基础信息!$E$13,0,IF(V$2=基础信息!$E$13,SUM(销售计划!$D122:W122),销售计划!W122))</f>
        <v>0</v>
      </c>
      <c r="W47" s="133">
        <f>IF(W$2&lt;基础信息!$E$13,0,IF(W$2=基础信息!$E$13,SUM(销售计划!$D122:X122),销售计划!X122))</f>
        <v>0</v>
      </c>
      <c r="X47" s="133">
        <f>IF(X$2&lt;基础信息!$E$13,0,IF(X$2=基础信息!$E$13,SUM(销售计划!$D122:Y122),销售计划!Y122))</f>
        <v>0</v>
      </c>
      <c r="Y47" s="133">
        <f>IF(Y$2&lt;基础信息!$E$13,0,IF(Y$2=基础信息!$E$13,SUM(销售计划!$D122:Z122),销售计划!Z122))</f>
        <v>0</v>
      </c>
      <c r="Z47" s="133">
        <f>IF(Z$2&lt;基础信息!$E$13,0,IF(Z$2=基础信息!$E$13,SUM(销售计划!$D122:AA122),销售计划!AA122))</f>
        <v>0</v>
      </c>
      <c r="AA47" s="133">
        <f>IF(AA$2&lt;基础信息!$E$13,0,IF(AA$2=基础信息!$E$13,SUM(销售计划!$D122:AB122),销售计划!AB122))</f>
        <v>0</v>
      </c>
      <c r="AB47" s="133">
        <f>IF(AB$2&lt;基础信息!$E$13,0,IF(AB$2=基础信息!$E$13,SUM(销售计划!$D122:AC122),销售计划!AC122))</f>
        <v>0</v>
      </c>
      <c r="AC47" s="133">
        <f>IF(AC$2&lt;基础信息!$E$13,0,IF(AC$2=基础信息!$E$13,SUM(销售计划!$D122:AD122),销售计划!AD122))</f>
        <v>0</v>
      </c>
      <c r="AD47" s="133">
        <f>IF(AD$2&lt;基础信息!$E$13,0,IF(AD$2=基础信息!$E$13,SUM(销售计划!$D122:AE122),销售计划!AE122))</f>
        <v>0</v>
      </c>
      <c r="AE47" s="133">
        <f>IF(AE$2&lt;基础信息!$E$13,0,IF(AE$2=基础信息!$E$13,SUM(销售计划!$D122:AF122),销售计划!AF122))</f>
        <v>0</v>
      </c>
      <c r="AF47" s="133">
        <f>IF(AF$2&lt;基础信息!$E$13,0,IF(AF$2=基础信息!$E$13,SUM(销售计划!$D122:AG122),销售计划!AG122))</f>
        <v>0</v>
      </c>
      <c r="AG47" s="133">
        <f>IF(AG$2&lt;基础信息!$E$13,0,IF(AG$2=基础信息!$E$13,SUM(销售计划!$D122:AH122),销售计划!AH122))</f>
        <v>0</v>
      </c>
      <c r="AH47" s="133">
        <f>IF(AH$2&lt;基础信息!$E$13,0,IF(AH$2=基础信息!$E$13,SUM(销售计划!$D122:AI122),销售计划!AI122))</f>
        <v>0</v>
      </c>
      <c r="AI47" s="133">
        <f>IF(AI$2&lt;基础信息!$E$13,0,IF(AI$2=基础信息!$E$13,SUM(销售计划!$D122:AJ122),销售计划!AJ122))</f>
        <v>0</v>
      </c>
      <c r="AJ47" s="133">
        <f>IF(AJ$2&lt;基础信息!$E$13,0,IF(AJ$2=基础信息!$E$13,SUM(销售计划!$D122:AK122),销售计划!AK122))</f>
        <v>0</v>
      </c>
      <c r="AK47" s="133">
        <f>IF(AK$2&lt;基础信息!$E$13,0,IF(AK$2=基础信息!$E$13,SUM(销售计划!$D122:AL122),销售计划!AL122))</f>
        <v>0</v>
      </c>
      <c r="AL47" s="133">
        <f>IF(AL$2&lt;基础信息!$E$13,0,IF(AL$2=基础信息!$E$13,SUM(销售计划!$D122:AM122),销售计划!AM122))</f>
        <v>0</v>
      </c>
      <c r="AM47" s="133">
        <f>IF(AM$2&lt;基础信息!$E$13,0,IF(AM$2=基础信息!$E$13,SUM(销售计划!$D122:AN122),销售计划!AN122))</f>
        <v>0</v>
      </c>
      <c r="AN47" s="133">
        <f>IF(AN$2&lt;基础信息!$E$13,0,IF(AN$2=基础信息!$E$13,SUM(销售计划!$D122:AO122),销售计划!AO122))</f>
        <v>0</v>
      </c>
      <c r="AO47" s="133">
        <f>IF(AO$2&lt;基础信息!$E$13,0,IF(AO$2=基础信息!$E$13,SUM(销售计划!$D122:AP122),销售计划!AP122))</f>
        <v>0</v>
      </c>
      <c r="AP47" s="133">
        <f>IF(AP$2&lt;基础信息!$E$13,0,IF(AP$2=基础信息!$E$13,SUM(销售计划!$D122:AQ122),销售计划!AQ122))</f>
        <v>0</v>
      </c>
      <c r="AQ47" s="133">
        <f>IF(AQ$2&lt;基础信息!$E$13,0,IF(AQ$2=基础信息!$E$13,SUM(销售计划!$D122:AR122),销售计划!AR122))</f>
        <v>0</v>
      </c>
      <c r="AR47" s="133">
        <f>IF(AR$2&lt;基础信息!$E$13,0,IF(AR$2=基础信息!$E$13,SUM(销售计划!$D122:AS122),销售计划!AS122))</f>
        <v>0</v>
      </c>
      <c r="AS47" s="133">
        <f>IF(AS$2&lt;基础信息!$E$13,0,IF(AS$2=基础信息!$E$13,SUM(销售计划!$D122:AT122),销售计划!AT122))</f>
        <v>0</v>
      </c>
      <c r="AT47" s="133">
        <f>IF(AT$2&lt;基础信息!$E$13,0,IF(AT$2=基础信息!$E$13,SUM(销售计划!$D122:AU122),销售计划!AU122))</f>
        <v>0</v>
      </c>
      <c r="AU47" s="133">
        <f>IF(AU$2&lt;基础信息!$E$13,0,IF(AU$2=基础信息!$E$13,SUM(销售计划!$D122:AV122),销售计划!AV122))</f>
        <v>0</v>
      </c>
      <c r="AV47" s="133">
        <f>IF(AV$2&lt;基础信息!$E$13,0,IF(AV$2=基础信息!$E$13,SUM(销售计划!$D122:AW122),销售计划!AW122))</f>
        <v>0</v>
      </c>
      <c r="AW47" s="133">
        <f>IF(AW$2&lt;基础信息!$E$13,0,IF(AW$2=基础信息!$E$13,SUM(销售计划!$D122:AX122),销售计划!AX122))</f>
        <v>0</v>
      </c>
      <c r="AX47" s="133">
        <f>IF(AX$2&lt;基础信息!$E$13,0,IF(AX$2=基础信息!$E$13,SUM(销售计划!$D122:AY122),销售计划!AY122))</f>
        <v>0</v>
      </c>
      <c r="AY47" s="133">
        <f>IF(AY$2&lt;基础信息!$E$13,0,IF(AY$2=基础信息!$E$13,SUM(销售计划!$D122:AZ122),销售计划!AZ122))</f>
        <v>0</v>
      </c>
      <c r="AZ47" s="133">
        <f>IF(AZ$2&lt;基础信息!$E$13,0,IF(AZ$2=基础信息!$E$13,SUM(销售计划!$D122:BA122),销售计划!BA122))</f>
        <v>0</v>
      </c>
      <c r="BA47" s="133">
        <f>IF(BA$2&lt;基础信息!$E$13,0,IF(BA$2=基础信息!$E$13,SUM(销售计划!$D122:BB122),销售计划!BB122))</f>
        <v>0</v>
      </c>
      <c r="BB47" s="133">
        <f>IF(BB$2&lt;基础信息!$E$13,0,IF(BB$2=基础信息!$E$13,SUM(销售计划!$D122:BC122),销售计划!BC122))</f>
        <v>0</v>
      </c>
      <c r="BC47" s="133">
        <f>IF(BC$2&lt;基础信息!$E$13,0,IF(BC$2=基础信息!$E$13,SUM(销售计划!$D122:BD122),销售计划!BD122))</f>
        <v>0</v>
      </c>
      <c r="BD47" s="133">
        <f>IF(BD$2&lt;基础信息!$E$13,0,IF(BD$2=基础信息!$E$13,SUM(销售计划!$D122:BE122),销售计划!BE122))</f>
        <v>0</v>
      </c>
      <c r="BE47" s="133">
        <f>IF(BE$2&lt;基础信息!$E$13,0,IF(BE$2=基础信息!$E$13,SUM(销售计划!$D122:BF122),销售计划!BF122))</f>
        <v>0</v>
      </c>
      <c r="BF47" s="133">
        <f>IF(BF$2&lt;基础信息!$E$13,0,IF(BF$2=基础信息!$E$13,SUM(销售计划!$D122:BG122),销售计划!BG122))</f>
        <v>0</v>
      </c>
      <c r="BG47" s="133">
        <f>IF(BG$2&lt;基础信息!$E$13,0,IF(BG$2=基础信息!$E$13,SUM(销售计划!$D122:BH122),销售计划!BH122))</f>
        <v>0</v>
      </c>
      <c r="BH47" s="133">
        <f>IF(BH$2&lt;基础信息!$E$13,0,IF(BH$2=基础信息!$E$13,SUM(销售计划!$D122:BI122),销售计划!BI122))</f>
        <v>0</v>
      </c>
      <c r="BI47" s="133">
        <f>IF(BI$2&lt;基础信息!$E$13,0,IF(BI$2=基础信息!$E$13,SUM(销售计划!$D122:BJ122),销售计划!BJ122))</f>
        <v>0</v>
      </c>
      <c r="BJ47" s="133">
        <f>IF(BJ$2&lt;基础信息!$E$13,0,IF(BJ$2=基础信息!$E$13,SUM(销售计划!$D122:BK122),销售计划!BK122))</f>
        <v>0</v>
      </c>
      <c r="BK47" s="133">
        <f>IF(BK$2&lt;基础信息!$E$13,0,IF(BK$2=基础信息!$E$13,SUM(销售计划!$D122:BL122),销售计划!BL122))</f>
        <v>0</v>
      </c>
      <c r="BL47" s="133">
        <f>IF(BL$2&lt;基础信息!$E$13,0,IF(BL$2=基础信息!$E$13,SUM(销售计划!$D122:BM122),销售计划!BM122))</f>
        <v>0</v>
      </c>
      <c r="BM47" s="133">
        <f>IF(BM$2&lt;基础信息!$E$13,0,IF(BM$2=基础信息!$E$13,SUM(销售计划!$D122:BN122),销售计划!BN122))</f>
        <v>0</v>
      </c>
      <c r="BN47" s="133">
        <f>IF(BN$2&lt;基础信息!$E$13,0,IF(BN$2=基础信息!$E$13,SUM(销售计划!$D122:BO122),销售计划!BO122))</f>
        <v>0</v>
      </c>
      <c r="BO47" s="133">
        <f>IF(BO$2&lt;基础信息!$E$13,0,IF(BO$2=基础信息!$E$13,SUM(销售计划!$D122:BP122),销售计划!BP122))</f>
        <v>0</v>
      </c>
      <c r="BP47" s="133">
        <f>IF(BP$2&lt;基础信息!$E$13,0,IF(BP$2=基础信息!$E$13,SUM(销售计划!$D122:BQ122),销售计划!BQ122))</f>
        <v>0</v>
      </c>
      <c r="BQ47" s="133">
        <f>IF(BQ$2&lt;基础信息!$E$13,0,IF(BQ$2=基础信息!$E$13,SUM(销售计划!$D122:BR122),销售计划!BR122))</f>
        <v>0</v>
      </c>
      <c r="BR47" s="133">
        <f>IF(BR$2&lt;基础信息!$E$13,0,IF(BR$2=基础信息!$E$13,SUM(销售计划!$D122:BS122),销售计划!BS122))</f>
        <v>0</v>
      </c>
      <c r="BS47" s="133">
        <f>IF(BS$2&lt;基础信息!$E$13,0,IF(BS$2=基础信息!$E$13,SUM(销售计划!$D122:BT122),销售计划!BT122))</f>
        <v>0</v>
      </c>
      <c r="BT47" s="133">
        <f>IF(BT$2&lt;基础信息!$E$13,0,IF(BT$2=基础信息!$E$13,SUM(销售计划!$D122:BU122),销售计划!BU122))</f>
        <v>0</v>
      </c>
      <c r="BU47" s="133">
        <f>IF(BU$2&lt;基础信息!$E$13,0,IF(BU$2=基础信息!$E$13,SUM(销售计划!$D122:BV122),销售计划!BV122))</f>
        <v>0</v>
      </c>
    </row>
    <row r="48" spans="1:73" s="126" customFormat="1" ht="13" outlineLevel="1">
      <c r="A48" s="127">
        <f>销售计划!A123</f>
        <v>0</v>
      </c>
      <c r="B48" s="128" t="s">
        <v>258</v>
      </c>
      <c r="C48" s="128">
        <f>SUM(D48:AS48)</f>
        <v>0</v>
      </c>
      <c r="D48" s="250">
        <f>IF(D$2&lt;基础信息!$E$13,0,IF(D$2=基础信息!$E$13,SUM(销售计划!$D123:E123),销售计划!E123))</f>
        <v>0</v>
      </c>
      <c r="E48" s="250">
        <f>IF(E$2&lt;基础信息!$E$13,0,IF(E$2=基础信息!$E$13,SUM(销售计划!$D123:F123),销售计划!F123))</f>
        <v>0</v>
      </c>
      <c r="F48" s="250">
        <f>IF(F$2&lt;基础信息!$E$13,0,IF(F$2=基础信息!$E$13,SUM(销售计划!$D123:G123),销售计划!G123))</f>
        <v>0</v>
      </c>
      <c r="G48" s="250">
        <f>IF(G$2&lt;基础信息!$E$13,0,IF(G$2=基础信息!$E$13,SUM(销售计划!$D123:H123),销售计划!H123))</f>
        <v>0</v>
      </c>
      <c r="H48" s="250">
        <f>IF(H$2&lt;基础信息!$E$13,0,IF(H$2=基础信息!$E$13,SUM(销售计划!$D123:I123),销售计划!I123))</f>
        <v>0</v>
      </c>
      <c r="I48" s="250">
        <f>IF(I$2&lt;基础信息!$E$13,0,IF(I$2=基础信息!$E$13,SUM(销售计划!$D123:J123),销售计划!J123))</f>
        <v>0</v>
      </c>
      <c r="J48" s="250">
        <f>IF(J$2&lt;基础信息!$E$13,0,IF(J$2=基础信息!$E$13,SUM(销售计划!$D123:K123),销售计划!K123))</f>
        <v>0</v>
      </c>
      <c r="K48" s="250">
        <f>IF(K$2&lt;基础信息!$E$13,0,IF(K$2=基础信息!$E$13,SUM(销售计划!$D123:L123),销售计划!L123))</f>
        <v>0</v>
      </c>
      <c r="L48" s="250">
        <f>IF(L$2&lt;基础信息!$E$13,0,IF(L$2=基础信息!$E$13,SUM(销售计划!$D123:M123),销售计划!M123))</f>
        <v>0</v>
      </c>
      <c r="M48" s="250">
        <f>IF(M$2&lt;基础信息!$E$13,0,IF(M$2=基础信息!$E$13,SUM(销售计划!$D123:N123),销售计划!N123))</f>
        <v>0</v>
      </c>
      <c r="N48" s="250">
        <f>IF(N$2&lt;基础信息!$E$13,0,IF(N$2=基础信息!$E$13,SUM(销售计划!$D123:O123),销售计划!O123))</f>
        <v>0</v>
      </c>
      <c r="O48" s="250">
        <f>IF(O$2&lt;基础信息!$E$13,0,IF(O$2=基础信息!$E$13,SUM(销售计划!$D123:P123),销售计划!P123))</f>
        <v>0</v>
      </c>
      <c r="P48" s="250">
        <f>IF(P$2&lt;基础信息!$E$13,0,IF(P$2=基础信息!$E$13,SUM(销售计划!$D123:Q123),销售计划!Q123))</f>
        <v>0</v>
      </c>
      <c r="Q48" s="250">
        <f>IF(Q$2&lt;基础信息!$E$13,0,IF(Q$2=基础信息!$E$13,SUM(销售计划!$D123:R123),销售计划!R123))</f>
        <v>0</v>
      </c>
      <c r="R48" s="250">
        <f>IF(R$2&lt;基础信息!$E$13,0,IF(R$2=基础信息!$E$13,SUM(销售计划!$D123:S123),销售计划!S123))</f>
        <v>0</v>
      </c>
      <c r="S48" s="250">
        <f>IF(S$2&lt;基础信息!$E$13,0,IF(S$2=基础信息!$E$13,SUM(销售计划!$D123:T123),销售计划!T123))</f>
        <v>0</v>
      </c>
      <c r="T48" s="135">
        <f>IF(T$2&lt;基础信息!$E$13,0,IF(T$2=基础信息!$E$13,SUM(销售计划!$D123:U123),销售计划!U123))</f>
        <v>0</v>
      </c>
      <c r="U48" s="135">
        <f>IF(U$2&lt;基础信息!$E$13,0,IF(U$2=基础信息!$E$13,SUM(销售计划!$D123:V123),销售计划!V123))</f>
        <v>0</v>
      </c>
      <c r="V48" s="135">
        <f>IF(V$2&lt;基础信息!$E$13,0,IF(V$2=基础信息!$E$13,SUM(销售计划!$D123:W123),销售计划!W123))</f>
        <v>0</v>
      </c>
      <c r="W48" s="135">
        <f>IF(W$2&lt;基础信息!$E$13,0,IF(W$2=基础信息!$E$13,SUM(销售计划!$D123:X123),销售计划!X123))</f>
        <v>0</v>
      </c>
      <c r="X48" s="135">
        <f>IF(X$2&lt;基础信息!$E$13,0,IF(X$2=基础信息!$E$13,SUM(销售计划!$D123:Y123),销售计划!Y123))</f>
        <v>0</v>
      </c>
      <c r="Y48" s="135">
        <f>IF(Y$2&lt;基础信息!$E$13,0,IF(Y$2=基础信息!$E$13,SUM(销售计划!$D123:Z123),销售计划!Z123))</f>
        <v>0</v>
      </c>
      <c r="Z48" s="135">
        <f>IF(Z$2&lt;基础信息!$E$13,0,IF(Z$2=基础信息!$E$13,SUM(销售计划!$D123:AA123),销售计划!AA123))</f>
        <v>0</v>
      </c>
      <c r="AA48" s="135">
        <f>IF(AA$2&lt;基础信息!$E$13,0,IF(AA$2=基础信息!$E$13,SUM(销售计划!$D123:AB123),销售计划!AB123))</f>
        <v>0</v>
      </c>
      <c r="AB48" s="135">
        <f>IF(AB$2&lt;基础信息!$E$13,0,IF(AB$2=基础信息!$E$13,SUM(销售计划!$D123:AC123),销售计划!AC123))</f>
        <v>0</v>
      </c>
      <c r="AC48" s="135">
        <f>IF(AC$2&lt;基础信息!$E$13,0,IF(AC$2=基础信息!$E$13,SUM(销售计划!$D123:AD123),销售计划!AD123))</f>
        <v>0</v>
      </c>
      <c r="AD48" s="135">
        <f>IF(AD$2&lt;基础信息!$E$13,0,IF(AD$2=基础信息!$E$13,SUM(销售计划!$D123:AE123),销售计划!AE123))</f>
        <v>0</v>
      </c>
      <c r="AE48" s="135">
        <f>IF(AE$2&lt;基础信息!$E$13,0,IF(AE$2=基础信息!$E$13,SUM(销售计划!$D123:AF123),销售计划!AF123))</f>
        <v>0</v>
      </c>
      <c r="AF48" s="135">
        <f>IF(AF$2&lt;基础信息!$E$13,0,IF(AF$2=基础信息!$E$13,SUM(销售计划!$D123:AG123),销售计划!AG123))</f>
        <v>0</v>
      </c>
      <c r="AG48" s="135">
        <f>IF(AG$2&lt;基础信息!$E$13,0,IF(AG$2=基础信息!$E$13,SUM(销售计划!$D123:AH123),销售计划!AH123))</f>
        <v>0</v>
      </c>
      <c r="AH48" s="135">
        <f>IF(AH$2&lt;基础信息!$E$13,0,IF(AH$2=基础信息!$E$13,SUM(销售计划!$D123:AI123),销售计划!AI123))</f>
        <v>0</v>
      </c>
      <c r="AI48" s="135">
        <f>IF(AI$2&lt;基础信息!$E$13,0,IF(AI$2=基础信息!$E$13,SUM(销售计划!$D123:AJ123),销售计划!AJ123))</f>
        <v>0</v>
      </c>
      <c r="AJ48" s="135">
        <f>IF(AJ$2&lt;基础信息!$E$13,0,IF(AJ$2=基础信息!$E$13,SUM(销售计划!$D123:AK123),销售计划!AK123))</f>
        <v>0</v>
      </c>
      <c r="AK48" s="135">
        <f>IF(AK$2&lt;基础信息!$E$13,0,IF(AK$2=基础信息!$E$13,SUM(销售计划!$D123:AL123),销售计划!AL123))</f>
        <v>0</v>
      </c>
      <c r="AL48" s="135">
        <f>IF(AL$2&lt;基础信息!$E$13,0,IF(AL$2=基础信息!$E$13,SUM(销售计划!$D123:AM123),销售计划!AM123))</f>
        <v>0</v>
      </c>
      <c r="AM48" s="135">
        <f>IF(AM$2&lt;基础信息!$E$13,0,IF(AM$2=基础信息!$E$13,SUM(销售计划!$D123:AN123),销售计划!AN123))</f>
        <v>0</v>
      </c>
      <c r="AN48" s="135">
        <f>IF(AN$2&lt;基础信息!$E$13,0,IF(AN$2=基础信息!$E$13,SUM(销售计划!$D123:AO123),销售计划!AO123))</f>
        <v>0</v>
      </c>
      <c r="AO48" s="135">
        <f>IF(AO$2&lt;基础信息!$E$13,0,IF(AO$2=基础信息!$E$13,SUM(销售计划!$D123:AP123),销售计划!AP123))</f>
        <v>0</v>
      </c>
      <c r="AP48" s="135">
        <f>IF(AP$2&lt;基础信息!$E$13,0,IF(AP$2=基础信息!$E$13,SUM(销售计划!$D123:AQ123),销售计划!AQ123))</f>
        <v>0</v>
      </c>
      <c r="AQ48" s="135">
        <f>IF(AQ$2&lt;基础信息!$E$13,0,IF(AQ$2=基础信息!$E$13,SUM(销售计划!$D123:AR123),销售计划!AR123))</f>
        <v>0</v>
      </c>
      <c r="AR48" s="135">
        <f>IF(AR$2&lt;基础信息!$E$13,0,IF(AR$2=基础信息!$E$13,SUM(销售计划!$D123:AS123),销售计划!AS123))</f>
        <v>0</v>
      </c>
      <c r="AS48" s="135">
        <f>IF(AS$2&lt;基础信息!$E$13,0,IF(AS$2=基础信息!$E$13,SUM(销售计划!$D123:AT123),销售计划!AT123))</f>
        <v>0</v>
      </c>
      <c r="AT48" s="135">
        <f>IF(AT$2&lt;基础信息!$E$13,0,IF(AT$2=基础信息!$E$13,SUM(销售计划!$D123:AU123),销售计划!AU123))</f>
        <v>0</v>
      </c>
      <c r="AU48" s="135">
        <f>IF(AU$2&lt;基础信息!$E$13,0,IF(AU$2=基础信息!$E$13,SUM(销售计划!$D123:AV123),销售计划!AV123))</f>
        <v>0</v>
      </c>
      <c r="AV48" s="135">
        <f>IF(AV$2&lt;基础信息!$E$13,0,IF(AV$2=基础信息!$E$13,SUM(销售计划!$D123:AW123),销售计划!AW123))</f>
        <v>0</v>
      </c>
      <c r="AW48" s="135">
        <f>IF(AW$2&lt;基础信息!$E$13,0,IF(AW$2=基础信息!$E$13,SUM(销售计划!$D123:AX123),销售计划!AX123))</f>
        <v>0</v>
      </c>
      <c r="AX48" s="135">
        <f>IF(AX$2&lt;基础信息!$E$13,0,IF(AX$2=基础信息!$E$13,SUM(销售计划!$D123:AY123),销售计划!AY123))</f>
        <v>0</v>
      </c>
      <c r="AY48" s="135">
        <f>IF(AY$2&lt;基础信息!$E$13,0,IF(AY$2=基础信息!$E$13,SUM(销售计划!$D123:AZ123),销售计划!AZ123))</f>
        <v>0</v>
      </c>
      <c r="AZ48" s="135">
        <f>IF(AZ$2&lt;基础信息!$E$13,0,IF(AZ$2=基础信息!$E$13,SUM(销售计划!$D123:BA123),销售计划!BA123))</f>
        <v>0</v>
      </c>
      <c r="BA48" s="135">
        <f>IF(BA$2&lt;基础信息!$E$13,0,IF(BA$2=基础信息!$E$13,SUM(销售计划!$D123:BB123),销售计划!BB123))</f>
        <v>0</v>
      </c>
      <c r="BB48" s="135">
        <f>IF(BB$2&lt;基础信息!$E$13,0,IF(BB$2=基础信息!$E$13,SUM(销售计划!$D123:BC123),销售计划!BC123))</f>
        <v>0</v>
      </c>
      <c r="BC48" s="135">
        <f>IF(BC$2&lt;基础信息!$E$13,0,IF(BC$2=基础信息!$E$13,SUM(销售计划!$D123:BD123),销售计划!BD123))</f>
        <v>0</v>
      </c>
      <c r="BD48" s="135">
        <f>IF(BD$2&lt;基础信息!$E$13,0,IF(BD$2=基础信息!$E$13,SUM(销售计划!$D123:BE123),销售计划!BE123))</f>
        <v>0</v>
      </c>
      <c r="BE48" s="135">
        <f>IF(BE$2&lt;基础信息!$E$13,0,IF(BE$2=基础信息!$E$13,SUM(销售计划!$D123:BF123),销售计划!BF123))</f>
        <v>0</v>
      </c>
      <c r="BF48" s="135">
        <f>IF(BF$2&lt;基础信息!$E$13,0,IF(BF$2=基础信息!$E$13,SUM(销售计划!$D123:BG123),销售计划!BG123))</f>
        <v>0</v>
      </c>
      <c r="BG48" s="135">
        <f>IF(BG$2&lt;基础信息!$E$13,0,IF(BG$2=基础信息!$E$13,SUM(销售计划!$D123:BH123),销售计划!BH123))</f>
        <v>0</v>
      </c>
      <c r="BH48" s="135">
        <f>IF(BH$2&lt;基础信息!$E$13,0,IF(BH$2=基础信息!$E$13,SUM(销售计划!$D123:BI123),销售计划!BI123))</f>
        <v>0</v>
      </c>
      <c r="BI48" s="135">
        <f>IF(BI$2&lt;基础信息!$E$13,0,IF(BI$2=基础信息!$E$13,SUM(销售计划!$D123:BJ123),销售计划!BJ123))</f>
        <v>0</v>
      </c>
      <c r="BJ48" s="135">
        <f>IF(BJ$2&lt;基础信息!$E$13,0,IF(BJ$2=基础信息!$E$13,SUM(销售计划!$D123:BK123),销售计划!BK123))</f>
        <v>0</v>
      </c>
      <c r="BK48" s="135">
        <f>IF(BK$2&lt;基础信息!$E$13,0,IF(BK$2=基础信息!$E$13,SUM(销售计划!$D123:BL123),销售计划!BL123))</f>
        <v>0</v>
      </c>
      <c r="BL48" s="135">
        <f>IF(BL$2&lt;基础信息!$E$13,0,IF(BL$2=基础信息!$E$13,SUM(销售计划!$D123:BM123),销售计划!BM123))</f>
        <v>0</v>
      </c>
      <c r="BM48" s="135">
        <f>IF(BM$2&lt;基础信息!$E$13,0,IF(BM$2=基础信息!$E$13,SUM(销售计划!$D123:BN123),销售计划!BN123))</f>
        <v>0</v>
      </c>
      <c r="BN48" s="135">
        <f>IF(BN$2&lt;基础信息!$E$13,0,IF(BN$2=基础信息!$E$13,SUM(销售计划!$D123:BO123),销售计划!BO123))</f>
        <v>0</v>
      </c>
      <c r="BO48" s="135">
        <f>IF(BO$2&lt;基础信息!$E$13,0,IF(BO$2=基础信息!$E$13,SUM(销售计划!$D123:BP123),销售计划!BP123))</f>
        <v>0</v>
      </c>
      <c r="BP48" s="135">
        <f>IF(BP$2&lt;基础信息!$E$13,0,IF(BP$2=基础信息!$E$13,SUM(销售计划!$D123:BQ123),销售计划!BQ123))</f>
        <v>0</v>
      </c>
      <c r="BQ48" s="135">
        <f>IF(BQ$2&lt;基础信息!$E$13,0,IF(BQ$2=基础信息!$E$13,SUM(销售计划!$D123:BR123),销售计划!BR123))</f>
        <v>0</v>
      </c>
      <c r="BR48" s="135">
        <f>IF(BR$2&lt;基础信息!$E$13,0,IF(BR$2=基础信息!$E$13,SUM(销售计划!$D123:BS123),销售计划!BS123))</f>
        <v>0</v>
      </c>
      <c r="BS48" s="135">
        <f>IF(BS$2&lt;基础信息!$E$13,0,IF(BS$2=基础信息!$E$13,SUM(销售计划!$D123:BT123),销售计划!BT123))</f>
        <v>0</v>
      </c>
      <c r="BT48" s="135">
        <f>IF(BT$2&lt;基础信息!$E$13,0,IF(BT$2=基础信息!$E$13,SUM(销售计划!$D123:BU123),销售计划!BU123))</f>
        <v>0</v>
      </c>
      <c r="BU48" s="135">
        <f>IF(BU$2&lt;基础信息!$E$13,0,IF(BU$2=基础信息!$E$13,SUM(销售计划!$D123:BV123),销售计划!BV123))</f>
        <v>0</v>
      </c>
    </row>
    <row r="49" spans="1:73" s="126" customFormat="1" ht="13" outlineLevel="1">
      <c r="A49" s="127">
        <f>销售计划!A124</f>
        <v>0</v>
      </c>
      <c r="B49" s="128" t="s">
        <v>840</v>
      </c>
      <c r="C49" s="128">
        <f t="shared" ref="C49:AS49" si="70">IF(C48&gt;0,C50/C48*10000,0)</f>
        <v>0</v>
      </c>
      <c r="D49" s="250">
        <f t="shared" si="70"/>
        <v>0</v>
      </c>
      <c r="E49" s="250">
        <f t="shared" si="70"/>
        <v>0</v>
      </c>
      <c r="F49" s="128">
        <f t="shared" si="70"/>
        <v>0</v>
      </c>
      <c r="G49" s="128">
        <f t="shared" si="70"/>
        <v>0</v>
      </c>
      <c r="H49" s="250">
        <f t="shared" si="70"/>
        <v>0</v>
      </c>
      <c r="I49" s="250">
        <f t="shared" si="70"/>
        <v>0</v>
      </c>
      <c r="J49" s="250">
        <f t="shared" si="70"/>
        <v>0</v>
      </c>
      <c r="K49" s="250">
        <f t="shared" si="70"/>
        <v>0</v>
      </c>
      <c r="L49" s="250">
        <f t="shared" si="70"/>
        <v>0</v>
      </c>
      <c r="M49" s="250">
        <f t="shared" si="70"/>
        <v>0</v>
      </c>
      <c r="N49" s="250">
        <f t="shared" si="70"/>
        <v>0</v>
      </c>
      <c r="O49" s="250">
        <f t="shared" si="70"/>
        <v>0</v>
      </c>
      <c r="P49" s="250">
        <f t="shared" si="70"/>
        <v>0</v>
      </c>
      <c r="Q49" s="250">
        <f t="shared" si="70"/>
        <v>0</v>
      </c>
      <c r="R49" s="250">
        <f t="shared" si="70"/>
        <v>0</v>
      </c>
      <c r="S49" s="250">
        <f t="shared" si="70"/>
        <v>0</v>
      </c>
      <c r="T49" s="250">
        <f t="shared" si="70"/>
        <v>0</v>
      </c>
      <c r="U49" s="250">
        <f t="shared" si="70"/>
        <v>0</v>
      </c>
      <c r="V49" s="250">
        <f t="shared" si="70"/>
        <v>0</v>
      </c>
      <c r="W49" s="250">
        <f t="shared" si="70"/>
        <v>0</v>
      </c>
      <c r="X49" s="250">
        <f t="shared" si="70"/>
        <v>0</v>
      </c>
      <c r="Y49" s="250">
        <f t="shared" si="70"/>
        <v>0</v>
      </c>
      <c r="Z49" s="250">
        <f t="shared" si="70"/>
        <v>0</v>
      </c>
      <c r="AA49" s="250">
        <f t="shared" si="70"/>
        <v>0</v>
      </c>
      <c r="AB49" s="250">
        <f t="shared" si="70"/>
        <v>0</v>
      </c>
      <c r="AC49" s="250">
        <f t="shared" si="70"/>
        <v>0</v>
      </c>
      <c r="AD49" s="250">
        <f t="shared" si="70"/>
        <v>0</v>
      </c>
      <c r="AE49" s="250">
        <f t="shared" si="70"/>
        <v>0</v>
      </c>
      <c r="AF49" s="250">
        <f t="shared" si="70"/>
        <v>0</v>
      </c>
      <c r="AG49" s="250">
        <f t="shared" si="70"/>
        <v>0</v>
      </c>
      <c r="AH49" s="250">
        <f t="shared" si="70"/>
        <v>0</v>
      </c>
      <c r="AI49" s="250">
        <f t="shared" si="70"/>
        <v>0</v>
      </c>
      <c r="AJ49" s="250">
        <f t="shared" si="70"/>
        <v>0</v>
      </c>
      <c r="AK49" s="250">
        <f t="shared" si="70"/>
        <v>0</v>
      </c>
      <c r="AL49" s="250">
        <f t="shared" si="70"/>
        <v>0</v>
      </c>
      <c r="AM49" s="250">
        <f t="shared" si="70"/>
        <v>0</v>
      </c>
      <c r="AN49" s="250">
        <f t="shared" si="70"/>
        <v>0</v>
      </c>
      <c r="AO49" s="250">
        <f t="shared" si="70"/>
        <v>0</v>
      </c>
      <c r="AP49" s="250">
        <f t="shared" si="70"/>
        <v>0</v>
      </c>
      <c r="AQ49" s="250">
        <f t="shared" si="70"/>
        <v>0</v>
      </c>
      <c r="AR49" s="250">
        <f t="shared" si="70"/>
        <v>0</v>
      </c>
      <c r="AS49" s="250">
        <f t="shared" si="70"/>
        <v>0</v>
      </c>
      <c r="AT49" s="250">
        <f t="shared" ref="AT49:BP49" si="71">IF(AT48&gt;0,AT50/AT48*10000,0)</f>
        <v>0</v>
      </c>
      <c r="AU49" s="250">
        <f t="shared" si="71"/>
        <v>0</v>
      </c>
      <c r="AV49" s="250">
        <f t="shared" si="71"/>
        <v>0</v>
      </c>
      <c r="AW49" s="250">
        <f t="shared" si="71"/>
        <v>0</v>
      </c>
      <c r="AX49" s="250">
        <f t="shared" si="71"/>
        <v>0</v>
      </c>
      <c r="AY49" s="250">
        <f t="shared" si="71"/>
        <v>0</v>
      </c>
      <c r="AZ49" s="250">
        <f t="shared" si="71"/>
        <v>0</v>
      </c>
      <c r="BA49" s="250">
        <f t="shared" si="71"/>
        <v>0</v>
      </c>
      <c r="BB49" s="250">
        <f t="shared" si="71"/>
        <v>0</v>
      </c>
      <c r="BC49" s="250">
        <f t="shared" si="71"/>
        <v>0</v>
      </c>
      <c r="BD49" s="250">
        <f t="shared" si="71"/>
        <v>0</v>
      </c>
      <c r="BE49" s="250">
        <f t="shared" si="71"/>
        <v>0</v>
      </c>
      <c r="BF49" s="250">
        <f t="shared" si="71"/>
        <v>0</v>
      </c>
      <c r="BG49" s="250">
        <f t="shared" si="71"/>
        <v>0</v>
      </c>
      <c r="BH49" s="250">
        <f t="shared" si="71"/>
        <v>0</v>
      </c>
      <c r="BI49" s="250">
        <f t="shared" si="71"/>
        <v>0</v>
      </c>
      <c r="BJ49" s="250">
        <f t="shared" si="71"/>
        <v>0</v>
      </c>
      <c r="BK49" s="250">
        <f t="shared" si="71"/>
        <v>0</v>
      </c>
      <c r="BL49" s="250">
        <f t="shared" si="71"/>
        <v>0</v>
      </c>
      <c r="BM49" s="250">
        <f t="shared" si="71"/>
        <v>0</v>
      </c>
      <c r="BN49" s="250">
        <f t="shared" si="71"/>
        <v>0</v>
      </c>
      <c r="BO49" s="250">
        <f t="shared" si="71"/>
        <v>0</v>
      </c>
      <c r="BP49" s="250">
        <f t="shared" si="71"/>
        <v>0</v>
      </c>
      <c r="BQ49" s="250">
        <f t="shared" ref="BQ49:BU49" si="72">IF(BQ48&gt;0,BQ50/BQ48*10000,0)</f>
        <v>0</v>
      </c>
      <c r="BR49" s="250">
        <f t="shared" si="72"/>
        <v>0</v>
      </c>
      <c r="BS49" s="250">
        <f t="shared" si="72"/>
        <v>0</v>
      </c>
      <c r="BT49" s="250">
        <f t="shared" si="72"/>
        <v>0</v>
      </c>
      <c r="BU49" s="250">
        <f t="shared" si="72"/>
        <v>0</v>
      </c>
    </row>
    <row r="50" spans="1:73" outlineLevel="1">
      <c r="A50" s="132">
        <f>销售计划!A125</f>
        <v>0</v>
      </c>
      <c r="B50" s="133" t="s">
        <v>841</v>
      </c>
      <c r="C50" s="133">
        <f>SUM(D50:AS50)</f>
        <v>0</v>
      </c>
      <c r="D50" s="133">
        <f>IF(D$2&lt;基础信息!$E$13,0,IF(D$2=基础信息!$E$13,SUM(销售计划!$D125:E125),销售计划!E125))</f>
        <v>0</v>
      </c>
      <c r="E50" s="133">
        <f>IF(E$2&lt;基础信息!$E$13,0,IF(E$2=基础信息!$E$13,SUM(销售计划!$D125:F125),销售计划!F125))</f>
        <v>0</v>
      </c>
      <c r="F50" s="133">
        <f>IF(F$2&lt;基础信息!$E$13,0,IF(F$2=基础信息!$E$13,SUM(销售计划!$D125:G125),销售计划!G125))</f>
        <v>0</v>
      </c>
      <c r="G50" s="133">
        <f>IF(G$2&lt;基础信息!$E$13,0,IF(G$2=基础信息!$E$13,SUM(销售计划!$D125:H125),销售计划!H125))</f>
        <v>0</v>
      </c>
      <c r="H50" s="133">
        <f>IF(H$2&lt;基础信息!$E$13,0,IF(H$2=基础信息!$E$13,SUM(销售计划!$D125:I125),销售计划!I125))</f>
        <v>0</v>
      </c>
      <c r="I50" s="133">
        <f>IF(I$2&lt;基础信息!$E$13,0,IF(I$2=基础信息!$E$13,SUM(销售计划!$D125:J125),销售计划!J125))</f>
        <v>0</v>
      </c>
      <c r="J50" s="133">
        <f>IF(J$2&lt;基础信息!$E$13,0,IF(J$2=基础信息!$E$13,SUM(销售计划!$D125:K125),销售计划!K125))</f>
        <v>0</v>
      </c>
      <c r="K50" s="133">
        <f>IF(K$2&lt;基础信息!$E$13,0,IF(K$2=基础信息!$E$13,SUM(销售计划!$D125:L125),销售计划!L125))</f>
        <v>0</v>
      </c>
      <c r="L50" s="133">
        <f>IF(L$2&lt;基础信息!$E$13,0,IF(L$2=基础信息!$E$13,SUM(销售计划!$D125:M125),销售计划!M125))</f>
        <v>0</v>
      </c>
      <c r="M50" s="133">
        <f>IF(M$2&lt;基础信息!$E$13,0,IF(M$2=基础信息!$E$13,SUM(销售计划!$D125:N125),销售计划!N125))</f>
        <v>0</v>
      </c>
      <c r="N50" s="133">
        <f>IF(N$2&lt;基础信息!$E$13,0,IF(N$2=基础信息!$E$13,SUM(销售计划!$D125:O125),销售计划!O125))</f>
        <v>0</v>
      </c>
      <c r="O50" s="133">
        <f>IF(O$2&lt;基础信息!$E$13,0,IF(O$2=基础信息!$E$13,SUM(销售计划!$D125:P125),销售计划!P125))</f>
        <v>0</v>
      </c>
      <c r="P50" s="133">
        <f>IF(P$2&lt;基础信息!$E$13,0,IF(P$2=基础信息!$E$13,SUM(销售计划!$D125:Q125),销售计划!Q125))</f>
        <v>0</v>
      </c>
      <c r="Q50" s="133">
        <f>IF(Q$2&lt;基础信息!$E$13,0,IF(Q$2=基础信息!$E$13,SUM(销售计划!$D125:R125),销售计划!R125))</f>
        <v>0</v>
      </c>
      <c r="R50" s="133">
        <f>IF(R$2&lt;基础信息!$E$13,0,IF(R$2=基础信息!$E$13,SUM(销售计划!$D125:S125),销售计划!S125))</f>
        <v>0</v>
      </c>
      <c r="S50" s="133">
        <f>IF(S$2&lt;基础信息!$E$13,0,IF(S$2=基础信息!$E$13,SUM(销售计划!$D125:T125),销售计划!T125))</f>
        <v>0</v>
      </c>
      <c r="T50" s="133">
        <f>IF(T$2&lt;基础信息!$E$13,0,IF(T$2=基础信息!$E$13,SUM(销售计划!$D125:U125),销售计划!U125))</f>
        <v>0</v>
      </c>
      <c r="U50" s="133">
        <f>IF(U$2&lt;基础信息!$E$13,0,IF(U$2=基础信息!$E$13,SUM(销售计划!$D125:V125),销售计划!V125))</f>
        <v>0</v>
      </c>
      <c r="V50" s="133">
        <f>IF(V$2&lt;基础信息!$E$13,0,IF(V$2=基础信息!$E$13,SUM(销售计划!$D125:W125),销售计划!W125))</f>
        <v>0</v>
      </c>
      <c r="W50" s="133">
        <f>IF(W$2&lt;基础信息!$E$13,0,IF(W$2=基础信息!$E$13,SUM(销售计划!$D125:X125),销售计划!X125))</f>
        <v>0</v>
      </c>
      <c r="X50" s="133">
        <f>IF(X$2&lt;基础信息!$E$13,0,IF(X$2=基础信息!$E$13,SUM(销售计划!$D125:Y125),销售计划!Y125))</f>
        <v>0</v>
      </c>
      <c r="Y50" s="133">
        <f>IF(Y$2&lt;基础信息!$E$13,0,IF(Y$2=基础信息!$E$13,SUM(销售计划!$D125:Z125),销售计划!Z125))</f>
        <v>0</v>
      </c>
      <c r="Z50" s="133">
        <f>IF(Z$2&lt;基础信息!$E$13,0,IF(Z$2=基础信息!$E$13,SUM(销售计划!$D125:AA125),销售计划!AA125))</f>
        <v>0</v>
      </c>
      <c r="AA50" s="133">
        <f>IF(AA$2&lt;基础信息!$E$13,0,IF(AA$2=基础信息!$E$13,SUM(销售计划!$D125:AB125),销售计划!AB125))</f>
        <v>0</v>
      </c>
      <c r="AB50" s="133">
        <f>IF(AB$2&lt;基础信息!$E$13,0,IF(AB$2=基础信息!$E$13,SUM(销售计划!$D125:AC125),销售计划!AC125))</f>
        <v>0</v>
      </c>
      <c r="AC50" s="133">
        <f>IF(AC$2&lt;基础信息!$E$13,0,IF(AC$2=基础信息!$E$13,SUM(销售计划!$D125:AD125),销售计划!AD125))</f>
        <v>0</v>
      </c>
      <c r="AD50" s="133">
        <f>IF(AD$2&lt;基础信息!$E$13,0,IF(AD$2=基础信息!$E$13,SUM(销售计划!$D125:AE125),销售计划!AE125))</f>
        <v>0</v>
      </c>
      <c r="AE50" s="133">
        <f>IF(AE$2&lt;基础信息!$E$13,0,IF(AE$2=基础信息!$E$13,SUM(销售计划!$D125:AF125),销售计划!AF125))</f>
        <v>0</v>
      </c>
      <c r="AF50" s="133">
        <f>IF(AF$2&lt;基础信息!$E$13,0,IF(AF$2=基础信息!$E$13,SUM(销售计划!$D125:AG125),销售计划!AG125))</f>
        <v>0</v>
      </c>
      <c r="AG50" s="133">
        <f>IF(AG$2&lt;基础信息!$E$13,0,IF(AG$2=基础信息!$E$13,SUM(销售计划!$D125:AH125),销售计划!AH125))</f>
        <v>0</v>
      </c>
      <c r="AH50" s="133">
        <f>IF(AH$2&lt;基础信息!$E$13,0,IF(AH$2=基础信息!$E$13,SUM(销售计划!$D125:AI125),销售计划!AI125))</f>
        <v>0</v>
      </c>
      <c r="AI50" s="133">
        <f>IF(AI$2&lt;基础信息!$E$13,0,IF(AI$2=基础信息!$E$13,SUM(销售计划!$D125:AJ125),销售计划!AJ125))</f>
        <v>0</v>
      </c>
      <c r="AJ50" s="133">
        <f>IF(AJ$2&lt;基础信息!$E$13,0,IF(AJ$2=基础信息!$E$13,SUM(销售计划!$D125:AK125),销售计划!AK125))</f>
        <v>0</v>
      </c>
      <c r="AK50" s="133">
        <f>IF(AK$2&lt;基础信息!$E$13,0,IF(AK$2=基础信息!$E$13,SUM(销售计划!$D125:AL125),销售计划!AL125))</f>
        <v>0</v>
      </c>
      <c r="AL50" s="133">
        <f>IF(AL$2&lt;基础信息!$E$13,0,IF(AL$2=基础信息!$E$13,SUM(销售计划!$D125:AM125),销售计划!AM125))</f>
        <v>0</v>
      </c>
      <c r="AM50" s="133">
        <f>IF(AM$2&lt;基础信息!$E$13,0,IF(AM$2=基础信息!$E$13,SUM(销售计划!$D125:AN125),销售计划!AN125))</f>
        <v>0</v>
      </c>
      <c r="AN50" s="133">
        <f>IF(AN$2&lt;基础信息!$E$13,0,IF(AN$2=基础信息!$E$13,SUM(销售计划!$D125:AO125),销售计划!AO125))</f>
        <v>0</v>
      </c>
      <c r="AO50" s="133">
        <f>IF(AO$2&lt;基础信息!$E$13,0,IF(AO$2=基础信息!$E$13,SUM(销售计划!$D125:AP125),销售计划!AP125))</f>
        <v>0</v>
      </c>
      <c r="AP50" s="133">
        <f>IF(AP$2&lt;基础信息!$E$13,0,IF(AP$2=基础信息!$E$13,SUM(销售计划!$D125:AQ125),销售计划!AQ125))</f>
        <v>0</v>
      </c>
      <c r="AQ50" s="133">
        <f>IF(AQ$2&lt;基础信息!$E$13,0,IF(AQ$2=基础信息!$E$13,SUM(销售计划!$D125:AR125),销售计划!AR125))</f>
        <v>0</v>
      </c>
      <c r="AR50" s="133">
        <f>IF(AR$2&lt;基础信息!$E$13,0,IF(AR$2=基础信息!$E$13,SUM(销售计划!$D125:AS125),销售计划!AS125))</f>
        <v>0</v>
      </c>
      <c r="AS50" s="133">
        <f>IF(AS$2&lt;基础信息!$E$13,0,IF(AS$2=基础信息!$E$13,SUM(销售计划!$D125:AT125),销售计划!AT125))</f>
        <v>0</v>
      </c>
      <c r="AT50" s="133">
        <f>IF(AT$2&lt;基础信息!$E$13,0,IF(AT$2=基础信息!$E$13,SUM(销售计划!$D125:AU125),销售计划!AU125))</f>
        <v>0</v>
      </c>
      <c r="AU50" s="133">
        <f>IF(AU$2&lt;基础信息!$E$13,0,IF(AU$2=基础信息!$E$13,SUM(销售计划!$D125:AV125),销售计划!AV125))</f>
        <v>0</v>
      </c>
      <c r="AV50" s="133">
        <f>IF(AV$2&lt;基础信息!$E$13,0,IF(AV$2=基础信息!$E$13,SUM(销售计划!$D125:AW125),销售计划!AW125))</f>
        <v>0</v>
      </c>
      <c r="AW50" s="133">
        <f>IF(AW$2&lt;基础信息!$E$13,0,IF(AW$2=基础信息!$E$13,SUM(销售计划!$D125:AX125),销售计划!AX125))</f>
        <v>0</v>
      </c>
      <c r="AX50" s="133">
        <f>IF(AX$2&lt;基础信息!$E$13,0,IF(AX$2=基础信息!$E$13,SUM(销售计划!$D125:AY125),销售计划!AY125))</f>
        <v>0</v>
      </c>
      <c r="AY50" s="133">
        <f>IF(AY$2&lt;基础信息!$E$13,0,IF(AY$2=基础信息!$E$13,SUM(销售计划!$D125:AZ125),销售计划!AZ125))</f>
        <v>0</v>
      </c>
      <c r="AZ50" s="133">
        <f>IF(AZ$2&lt;基础信息!$E$13,0,IF(AZ$2=基础信息!$E$13,SUM(销售计划!$D125:BA125),销售计划!BA125))</f>
        <v>0</v>
      </c>
      <c r="BA50" s="133">
        <f>IF(BA$2&lt;基础信息!$E$13,0,IF(BA$2=基础信息!$E$13,SUM(销售计划!$D125:BB125),销售计划!BB125))</f>
        <v>0</v>
      </c>
      <c r="BB50" s="133">
        <f>IF(BB$2&lt;基础信息!$E$13,0,IF(BB$2=基础信息!$E$13,SUM(销售计划!$D125:BC125),销售计划!BC125))</f>
        <v>0</v>
      </c>
      <c r="BC50" s="133">
        <f>IF(BC$2&lt;基础信息!$E$13,0,IF(BC$2=基础信息!$E$13,SUM(销售计划!$D125:BD125),销售计划!BD125))</f>
        <v>0</v>
      </c>
      <c r="BD50" s="133">
        <f>IF(BD$2&lt;基础信息!$E$13,0,IF(BD$2=基础信息!$E$13,SUM(销售计划!$D125:BE125),销售计划!BE125))</f>
        <v>0</v>
      </c>
      <c r="BE50" s="133">
        <f>IF(BE$2&lt;基础信息!$E$13,0,IF(BE$2=基础信息!$E$13,SUM(销售计划!$D125:BF125),销售计划!BF125))</f>
        <v>0</v>
      </c>
      <c r="BF50" s="133">
        <f>IF(BF$2&lt;基础信息!$E$13,0,IF(BF$2=基础信息!$E$13,SUM(销售计划!$D125:BG125),销售计划!BG125))</f>
        <v>0</v>
      </c>
      <c r="BG50" s="133">
        <f>IF(BG$2&lt;基础信息!$E$13,0,IF(BG$2=基础信息!$E$13,SUM(销售计划!$D125:BH125),销售计划!BH125))</f>
        <v>0</v>
      </c>
      <c r="BH50" s="133">
        <f>IF(BH$2&lt;基础信息!$E$13,0,IF(BH$2=基础信息!$E$13,SUM(销售计划!$D125:BI125),销售计划!BI125))</f>
        <v>0</v>
      </c>
      <c r="BI50" s="133">
        <f>IF(BI$2&lt;基础信息!$E$13,0,IF(BI$2=基础信息!$E$13,SUM(销售计划!$D125:BJ125),销售计划!BJ125))</f>
        <v>0</v>
      </c>
      <c r="BJ50" s="133">
        <f>IF(BJ$2&lt;基础信息!$E$13,0,IF(BJ$2=基础信息!$E$13,SUM(销售计划!$D125:BK125),销售计划!BK125))</f>
        <v>0</v>
      </c>
      <c r="BK50" s="133">
        <f>IF(BK$2&lt;基础信息!$E$13,0,IF(BK$2=基础信息!$E$13,SUM(销售计划!$D125:BL125),销售计划!BL125))</f>
        <v>0</v>
      </c>
      <c r="BL50" s="133">
        <f>IF(BL$2&lt;基础信息!$E$13,0,IF(BL$2=基础信息!$E$13,SUM(销售计划!$D125:BM125),销售计划!BM125))</f>
        <v>0</v>
      </c>
      <c r="BM50" s="133">
        <f>IF(BM$2&lt;基础信息!$E$13,0,IF(BM$2=基础信息!$E$13,SUM(销售计划!$D125:BN125),销售计划!BN125))</f>
        <v>0</v>
      </c>
      <c r="BN50" s="133">
        <f>IF(BN$2&lt;基础信息!$E$13,0,IF(BN$2=基础信息!$E$13,SUM(销售计划!$D125:BO125),销售计划!BO125))</f>
        <v>0</v>
      </c>
      <c r="BO50" s="133">
        <f>IF(BO$2&lt;基础信息!$E$13,0,IF(BO$2=基础信息!$E$13,SUM(销售计划!$D125:BP125),销售计划!BP125))</f>
        <v>0</v>
      </c>
      <c r="BP50" s="133">
        <f>IF(BP$2&lt;基础信息!$E$13,0,IF(BP$2=基础信息!$E$13,SUM(销售计划!$D125:BQ125),销售计划!BQ125))</f>
        <v>0</v>
      </c>
      <c r="BQ50" s="133">
        <f>IF(BQ$2&lt;基础信息!$E$13,0,IF(BQ$2=基础信息!$E$13,SUM(销售计划!$D125:BR125),销售计划!BR125))</f>
        <v>0</v>
      </c>
      <c r="BR50" s="133">
        <f>IF(BR$2&lt;基础信息!$E$13,0,IF(BR$2=基础信息!$E$13,SUM(销售计划!$D125:BS125),销售计划!BS125))</f>
        <v>0</v>
      </c>
      <c r="BS50" s="133">
        <f>IF(BS$2&lt;基础信息!$E$13,0,IF(BS$2=基础信息!$E$13,SUM(销售计划!$D125:BT125),销售计划!BT125))</f>
        <v>0</v>
      </c>
      <c r="BT50" s="133">
        <f>IF(BT$2&lt;基础信息!$E$13,0,IF(BT$2=基础信息!$E$13,SUM(销售计划!$D125:BU125),销售计划!BU125))</f>
        <v>0</v>
      </c>
      <c r="BU50" s="133">
        <f>IF(BU$2&lt;基础信息!$E$13,0,IF(BU$2=基础信息!$E$13,SUM(销售计划!$D125:BV125),销售计划!BV125))</f>
        <v>0</v>
      </c>
    </row>
    <row r="51" spans="1:73" s="126" customFormat="1" ht="13" outlineLevel="1">
      <c r="A51" s="127">
        <f>销售计划!A126</f>
        <v>0</v>
      </c>
      <c r="B51" s="128" t="s">
        <v>258</v>
      </c>
      <c r="C51" s="128">
        <f>SUM(D51:AS51)</f>
        <v>0</v>
      </c>
      <c r="D51" s="250">
        <f>IF(D$2&lt;基础信息!$E$13,0,IF(D$2=基础信息!$E$13,SUM(销售计划!$D126:E126),销售计划!E126))</f>
        <v>0</v>
      </c>
      <c r="E51" s="250">
        <f>IF(E$2&lt;基础信息!$E$13,0,IF(E$2=基础信息!$E$13,SUM(销售计划!$D126:F126),销售计划!F126))</f>
        <v>0</v>
      </c>
      <c r="F51" s="250">
        <f>IF(F$2&lt;基础信息!$E$13,0,IF(F$2=基础信息!$E$13,SUM(销售计划!$D126:G126),销售计划!G126))</f>
        <v>0</v>
      </c>
      <c r="G51" s="250">
        <f>IF(G$2&lt;基础信息!$E$13,0,IF(G$2=基础信息!$E$13,SUM(销售计划!$D126:H126),销售计划!H126))</f>
        <v>0</v>
      </c>
      <c r="H51" s="250">
        <f>IF(H$2&lt;基础信息!$E$13,0,IF(H$2=基础信息!$E$13,SUM(销售计划!$D126:I126),销售计划!I126))</f>
        <v>0</v>
      </c>
      <c r="I51" s="250">
        <f>IF(I$2&lt;基础信息!$E$13,0,IF(I$2=基础信息!$E$13,SUM(销售计划!$D126:J126),销售计划!J126))</f>
        <v>0</v>
      </c>
      <c r="J51" s="250">
        <f>IF(J$2&lt;基础信息!$E$13,0,IF(J$2=基础信息!$E$13,SUM(销售计划!$D126:K126),销售计划!K126))</f>
        <v>0</v>
      </c>
      <c r="K51" s="250">
        <f>IF(K$2&lt;基础信息!$E$13,0,IF(K$2=基础信息!$E$13,SUM(销售计划!$D126:L126),销售计划!L126))</f>
        <v>0</v>
      </c>
      <c r="L51" s="250">
        <f>IF(L$2&lt;基础信息!$E$13,0,IF(L$2=基础信息!$E$13,SUM(销售计划!$D126:M126),销售计划!M126))</f>
        <v>0</v>
      </c>
      <c r="M51" s="250">
        <f>IF(M$2&lt;基础信息!$E$13,0,IF(M$2=基础信息!$E$13,SUM(销售计划!$D126:N126),销售计划!N126))</f>
        <v>0</v>
      </c>
      <c r="N51" s="250">
        <f>IF(N$2&lt;基础信息!$E$13,0,IF(N$2=基础信息!$E$13,SUM(销售计划!$D126:O126),销售计划!O126))</f>
        <v>0</v>
      </c>
      <c r="O51" s="250">
        <f>IF(O$2&lt;基础信息!$E$13,0,IF(O$2=基础信息!$E$13,SUM(销售计划!$D126:P126),销售计划!P126))</f>
        <v>0</v>
      </c>
      <c r="P51" s="250">
        <f>IF(P$2&lt;基础信息!$E$13,0,IF(P$2=基础信息!$E$13,SUM(销售计划!$D126:Q126),销售计划!Q126))</f>
        <v>0</v>
      </c>
      <c r="Q51" s="250">
        <f>IF(Q$2&lt;基础信息!$E$13,0,IF(Q$2=基础信息!$E$13,SUM(销售计划!$D126:R126),销售计划!R126))</f>
        <v>0</v>
      </c>
      <c r="R51" s="250">
        <f>IF(R$2&lt;基础信息!$E$13,0,IF(R$2=基础信息!$E$13,SUM(销售计划!$D126:S126),销售计划!S126))</f>
        <v>0</v>
      </c>
      <c r="S51" s="250">
        <f>IF(S$2&lt;基础信息!$E$13,0,IF(S$2=基础信息!$E$13,SUM(销售计划!$D126:T126),销售计划!T126))</f>
        <v>0</v>
      </c>
      <c r="T51" s="135">
        <f>IF(T$2&lt;基础信息!$E$13,0,IF(T$2=基础信息!$E$13,SUM(销售计划!$D126:U126),销售计划!U126))</f>
        <v>0</v>
      </c>
      <c r="U51" s="135">
        <f>IF(U$2&lt;基础信息!$E$13,0,IF(U$2=基础信息!$E$13,SUM(销售计划!$D126:V126),销售计划!V126))</f>
        <v>0</v>
      </c>
      <c r="V51" s="135">
        <f>IF(V$2&lt;基础信息!$E$13,0,IF(V$2=基础信息!$E$13,SUM(销售计划!$D126:W126),销售计划!W126))</f>
        <v>0</v>
      </c>
      <c r="W51" s="135">
        <f>IF(W$2&lt;基础信息!$E$13,0,IF(W$2=基础信息!$E$13,SUM(销售计划!$D126:X126),销售计划!X126))</f>
        <v>0</v>
      </c>
      <c r="X51" s="135">
        <f>IF(X$2&lt;基础信息!$E$13,0,IF(X$2=基础信息!$E$13,SUM(销售计划!$D126:Y126),销售计划!Y126))</f>
        <v>0</v>
      </c>
      <c r="Y51" s="135">
        <f>IF(Y$2&lt;基础信息!$E$13,0,IF(Y$2=基础信息!$E$13,SUM(销售计划!$D126:Z126),销售计划!Z126))</f>
        <v>0</v>
      </c>
      <c r="Z51" s="135">
        <f>IF(Z$2&lt;基础信息!$E$13,0,IF(Z$2=基础信息!$E$13,SUM(销售计划!$D126:AA126),销售计划!AA126))</f>
        <v>0</v>
      </c>
      <c r="AA51" s="135">
        <f>IF(AA$2&lt;基础信息!$E$13,0,IF(AA$2=基础信息!$E$13,SUM(销售计划!$D126:AB126),销售计划!AB126))</f>
        <v>0</v>
      </c>
      <c r="AB51" s="135">
        <f>IF(AB$2&lt;基础信息!$E$13,0,IF(AB$2=基础信息!$E$13,SUM(销售计划!$D126:AC126),销售计划!AC126))</f>
        <v>0</v>
      </c>
      <c r="AC51" s="135">
        <f>IF(AC$2&lt;基础信息!$E$13,0,IF(AC$2=基础信息!$E$13,SUM(销售计划!$D126:AD126),销售计划!AD126))</f>
        <v>0</v>
      </c>
      <c r="AD51" s="135">
        <f>IF(AD$2&lt;基础信息!$E$13,0,IF(AD$2=基础信息!$E$13,SUM(销售计划!$D126:AE126),销售计划!AE126))</f>
        <v>0</v>
      </c>
      <c r="AE51" s="135">
        <f>IF(AE$2&lt;基础信息!$E$13,0,IF(AE$2=基础信息!$E$13,SUM(销售计划!$D126:AF126),销售计划!AF126))</f>
        <v>0</v>
      </c>
      <c r="AF51" s="135">
        <f>IF(AF$2&lt;基础信息!$E$13,0,IF(AF$2=基础信息!$E$13,SUM(销售计划!$D126:AG126),销售计划!AG126))</f>
        <v>0</v>
      </c>
      <c r="AG51" s="135">
        <f>IF(AG$2&lt;基础信息!$E$13,0,IF(AG$2=基础信息!$E$13,SUM(销售计划!$D126:AH126),销售计划!AH126))</f>
        <v>0</v>
      </c>
      <c r="AH51" s="135">
        <f>IF(AH$2&lt;基础信息!$E$13,0,IF(AH$2=基础信息!$E$13,SUM(销售计划!$D126:AI126),销售计划!AI126))</f>
        <v>0</v>
      </c>
      <c r="AI51" s="135">
        <f>IF(AI$2&lt;基础信息!$E$13,0,IF(AI$2=基础信息!$E$13,SUM(销售计划!$D126:AJ126),销售计划!AJ126))</f>
        <v>0</v>
      </c>
      <c r="AJ51" s="135">
        <f>IF(AJ$2&lt;基础信息!$E$13,0,IF(AJ$2=基础信息!$E$13,SUM(销售计划!$D126:AK126),销售计划!AK126))</f>
        <v>0</v>
      </c>
      <c r="AK51" s="135">
        <f>IF(AK$2&lt;基础信息!$E$13,0,IF(AK$2=基础信息!$E$13,SUM(销售计划!$D126:AL126),销售计划!AL126))</f>
        <v>0</v>
      </c>
      <c r="AL51" s="135">
        <f>IF(AL$2&lt;基础信息!$E$13,0,IF(AL$2=基础信息!$E$13,SUM(销售计划!$D126:AM126),销售计划!AM126))</f>
        <v>0</v>
      </c>
      <c r="AM51" s="135">
        <f>IF(AM$2&lt;基础信息!$E$13,0,IF(AM$2=基础信息!$E$13,SUM(销售计划!$D126:AN126),销售计划!AN126))</f>
        <v>0</v>
      </c>
      <c r="AN51" s="135">
        <f>IF(AN$2&lt;基础信息!$E$13,0,IF(AN$2=基础信息!$E$13,SUM(销售计划!$D126:AO126),销售计划!AO126))</f>
        <v>0</v>
      </c>
      <c r="AO51" s="135">
        <f>IF(AO$2&lt;基础信息!$E$13,0,IF(AO$2=基础信息!$E$13,SUM(销售计划!$D126:AP126),销售计划!AP126))</f>
        <v>0</v>
      </c>
      <c r="AP51" s="135">
        <f>IF(AP$2&lt;基础信息!$E$13,0,IF(AP$2=基础信息!$E$13,SUM(销售计划!$D126:AQ126),销售计划!AQ126))</f>
        <v>0</v>
      </c>
      <c r="AQ51" s="135">
        <f>IF(AQ$2&lt;基础信息!$E$13,0,IF(AQ$2=基础信息!$E$13,SUM(销售计划!$D126:AR126),销售计划!AR126))</f>
        <v>0</v>
      </c>
      <c r="AR51" s="135">
        <f>IF(AR$2&lt;基础信息!$E$13,0,IF(AR$2=基础信息!$E$13,SUM(销售计划!$D126:AS126),销售计划!AS126))</f>
        <v>0</v>
      </c>
      <c r="AS51" s="135">
        <f>IF(AS$2&lt;基础信息!$E$13,0,IF(AS$2=基础信息!$E$13,SUM(销售计划!$D126:AT126),销售计划!AT126))</f>
        <v>0</v>
      </c>
      <c r="AT51" s="135">
        <f>IF(AT$2&lt;基础信息!$E$13,0,IF(AT$2=基础信息!$E$13,SUM(销售计划!$D126:AU126),销售计划!AU126))</f>
        <v>0</v>
      </c>
      <c r="AU51" s="135">
        <f>IF(AU$2&lt;基础信息!$E$13,0,IF(AU$2=基础信息!$E$13,SUM(销售计划!$D126:AV126),销售计划!AV126))</f>
        <v>0</v>
      </c>
      <c r="AV51" s="135">
        <f>IF(AV$2&lt;基础信息!$E$13,0,IF(AV$2=基础信息!$E$13,SUM(销售计划!$D126:AW126),销售计划!AW126))</f>
        <v>0</v>
      </c>
      <c r="AW51" s="135">
        <f>IF(AW$2&lt;基础信息!$E$13,0,IF(AW$2=基础信息!$E$13,SUM(销售计划!$D126:AX126),销售计划!AX126))</f>
        <v>0</v>
      </c>
      <c r="AX51" s="135">
        <f>IF(AX$2&lt;基础信息!$E$13,0,IF(AX$2=基础信息!$E$13,SUM(销售计划!$D126:AY126),销售计划!AY126))</f>
        <v>0</v>
      </c>
      <c r="AY51" s="135">
        <f>IF(AY$2&lt;基础信息!$E$13,0,IF(AY$2=基础信息!$E$13,SUM(销售计划!$D126:AZ126),销售计划!AZ126))</f>
        <v>0</v>
      </c>
      <c r="AZ51" s="135">
        <f>IF(AZ$2&lt;基础信息!$E$13,0,IF(AZ$2=基础信息!$E$13,SUM(销售计划!$D126:BA126),销售计划!BA126))</f>
        <v>0</v>
      </c>
      <c r="BA51" s="135">
        <f>IF(BA$2&lt;基础信息!$E$13,0,IF(BA$2=基础信息!$E$13,SUM(销售计划!$D126:BB126),销售计划!BB126))</f>
        <v>0</v>
      </c>
      <c r="BB51" s="135">
        <f>IF(BB$2&lt;基础信息!$E$13,0,IF(BB$2=基础信息!$E$13,SUM(销售计划!$D126:BC126),销售计划!BC126))</f>
        <v>0</v>
      </c>
      <c r="BC51" s="135">
        <f>IF(BC$2&lt;基础信息!$E$13,0,IF(BC$2=基础信息!$E$13,SUM(销售计划!$D126:BD126),销售计划!BD126))</f>
        <v>0</v>
      </c>
      <c r="BD51" s="135">
        <f>IF(BD$2&lt;基础信息!$E$13,0,IF(BD$2=基础信息!$E$13,SUM(销售计划!$D126:BE126),销售计划!BE126))</f>
        <v>0</v>
      </c>
      <c r="BE51" s="135">
        <f>IF(BE$2&lt;基础信息!$E$13,0,IF(BE$2=基础信息!$E$13,SUM(销售计划!$D126:BF126),销售计划!BF126))</f>
        <v>0</v>
      </c>
      <c r="BF51" s="135">
        <f>IF(BF$2&lt;基础信息!$E$13,0,IF(BF$2=基础信息!$E$13,SUM(销售计划!$D126:BG126),销售计划!BG126))</f>
        <v>0</v>
      </c>
      <c r="BG51" s="135">
        <f>IF(BG$2&lt;基础信息!$E$13,0,IF(BG$2=基础信息!$E$13,SUM(销售计划!$D126:BH126),销售计划!BH126))</f>
        <v>0</v>
      </c>
      <c r="BH51" s="135">
        <f>IF(BH$2&lt;基础信息!$E$13,0,IF(BH$2=基础信息!$E$13,SUM(销售计划!$D126:BI126),销售计划!BI126))</f>
        <v>0</v>
      </c>
      <c r="BI51" s="135">
        <f>IF(BI$2&lt;基础信息!$E$13,0,IF(BI$2=基础信息!$E$13,SUM(销售计划!$D126:BJ126),销售计划!BJ126))</f>
        <v>0</v>
      </c>
      <c r="BJ51" s="135">
        <f>IF(BJ$2&lt;基础信息!$E$13,0,IF(BJ$2=基础信息!$E$13,SUM(销售计划!$D126:BK126),销售计划!BK126))</f>
        <v>0</v>
      </c>
      <c r="BK51" s="135">
        <f>IF(BK$2&lt;基础信息!$E$13,0,IF(BK$2=基础信息!$E$13,SUM(销售计划!$D126:BL126),销售计划!BL126))</f>
        <v>0</v>
      </c>
      <c r="BL51" s="135">
        <f>IF(BL$2&lt;基础信息!$E$13,0,IF(BL$2=基础信息!$E$13,SUM(销售计划!$D126:BM126),销售计划!BM126))</f>
        <v>0</v>
      </c>
      <c r="BM51" s="135">
        <f>IF(BM$2&lt;基础信息!$E$13,0,IF(BM$2=基础信息!$E$13,SUM(销售计划!$D126:BN126),销售计划!BN126))</f>
        <v>0</v>
      </c>
      <c r="BN51" s="135">
        <f>IF(BN$2&lt;基础信息!$E$13,0,IF(BN$2=基础信息!$E$13,SUM(销售计划!$D126:BO126),销售计划!BO126))</f>
        <v>0</v>
      </c>
      <c r="BO51" s="135">
        <f>IF(BO$2&lt;基础信息!$E$13,0,IF(BO$2=基础信息!$E$13,SUM(销售计划!$D126:BP126),销售计划!BP126))</f>
        <v>0</v>
      </c>
      <c r="BP51" s="135">
        <f>IF(BP$2&lt;基础信息!$E$13,0,IF(BP$2=基础信息!$E$13,SUM(销售计划!$D126:BQ126),销售计划!BQ126))</f>
        <v>0</v>
      </c>
      <c r="BQ51" s="135">
        <f>IF(BQ$2&lt;基础信息!$E$13,0,IF(BQ$2=基础信息!$E$13,SUM(销售计划!$D126:BR126),销售计划!BR126))</f>
        <v>0</v>
      </c>
      <c r="BR51" s="135">
        <f>IF(BR$2&lt;基础信息!$E$13,0,IF(BR$2=基础信息!$E$13,SUM(销售计划!$D126:BS126),销售计划!BS126))</f>
        <v>0</v>
      </c>
      <c r="BS51" s="135">
        <f>IF(BS$2&lt;基础信息!$E$13,0,IF(BS$2=基础信息!$E$13,SUM(销售计划!$D126:BT126),销售计划!BT126))</f>
        <v>0</v>
      </c>
      <c r="BT51" s="135">
        <f>IF(BT$2&lt;基础信息!$E$13,0,IF(BT$2=基础信息!$E$13,SUM(销售计划!$D126:BU126),销售计划!BU126))</f>
        <v>0</v>
      </c>
      <c r="BU51" s="135">
        <f>IF(BU$2&lt;基础信息!$E$13,0,IF(BU$2=基础信息!$E$13,SUM(销售计划!$D126:BV126),销售计划!BV126))</f>
        <v>0</v>
      </c>
    </row>
    <row r="52" spans="1:73" s="126" customFormat="1" ht="13" outlineLevel="1">
      <c r="A52" s="127">
        <f>销售计划!A127</f>
        <v>0</v>
      </c>
      <c r="B52" s="128" t="s">
        <v>840</v>
      </c>
      <c r="C52" s="128">
        <f t="shared" ref="C52:AS52" si="73">IF(C51&gt;0,C53/C51*10000,0)</f>
        <v>0</v>
      </c>
      <c r="D52" s="250">
        <f t="shared" si="73"/>
        <v>0</v>
      </c>
      <c r="E52" s="250">
        <f t="shared" si="73"/>
        <v>0</v>
      </c>
      <c r="F52" s="128">
        <f t="shared" si="73"/>
        <v>0</v>
      </c>
      <c r="G52" s="128">
        <f t="shared" si="73"/>
        <v>0</v>
      </c>
      <c r="H52" s="250">
        <f t="shared" si="73"/>
        <v>0</v>
      </c>
      <c r="I52" s="250">
        <f t="shared" si="73"/>
        <v>0</v>
      </c>
      <c r="J52" s="250">
        <f t="shared" si="73"/>
        <v>0</v>
      </c>
      <c r="K52" s="250">
        <f t="shared" si="73"/>
        <v>0</v>
      </c>
      <c r="L52" s="250">
        <f t="shared" si="73"/>
        <v>0</v>
      </c>
      <c r="M52" s="250">
        <f t="shared" si="73"/>
        <v>0</v>
      </c>
      <c r="N52" s="250">
        <f t="shared" si="73"/>
        <v>0</v>
      </c>
      <c r="O52" s="250">
        <f t="shared" si="73"/>
        <v>0</v>
      </c>
      <c r="P52" s="250">
        <f t="shared" si="73"/>
        <v>0</v>
      </c>
      <c r="Q52" s="250">
        <f t="shared" si="73"/>
        <v>0</v>
      </c>
      <c r="R52" s="250">
        <f t="shared" si="73"/>
        <v>0</v>
      </c>
      <c r="S52" s="250">
        <f t="shared" si="73"/>
        <v>0</v>
      </c>
      <c r="T52" s="250">
        <f t="shared" si="73"/>
        <v>0</v>
      </c>
      <c r="U52" s="250">
        <f t="shared" si="73"/>
        <v>0</v>
      </c>
      <c r="V52" s="250">
        <f t="shared" si="73"/>
        <v>0</v>
      </c>
      <c r="W52" s="250">
        <f t="shared" si="73"/>
        <v>0</v>
      </c>
      <c r="X52" s="250">
        <f t="shared" si="73"/>
        <v>0</v>
      </c>
      <c r="Y52" s="250">
        <f t="shared" si="73"/>
        <v>0</v>
      </c>
      <c r="Z52" s="250">
        <f t="shared" si="73"/>
        <v>0</v>
      </c>
      <c r="AA52" s="250">
        <f t="shared" si="73"/>
        <v>0</v>
      </c>
      <c r="AB52" s="250">
        <f t="shared" si="73"/>
        <v>0</v>
      </c>
      <c r="AC52" s="250">
        <f t="shared" si="73"/>
        <v>0</v>
      </c>
      <c r="AD52" s="250">
        <f t="shared" si="73"/>
        <v>0</v>
      </c>
      <c r="AE52" s="250">
        <f t="shared" si="73"/>
        <v>0</v>
      </c>
      <c r="AF52" s="250">
        <f t="shared" si="73"/>
        <v>0</v>
      </c>
      <c r="AG52" s="250">
        <f t="shared" si="73"/>
        <v>0</v>
      </c>
      <c r="AH52" s="250">
        <f t="shared" si="73"/>
        <v>0</v>
      </c>
      <c r="AI52" s="250">
        <f t="shared" si="73"/>
        <v>0</v>
      </c>
      <c r="AJ52" s="250">
        <f t="shared" si="73"/>
        <v>0</v>
      </c>
      <c r="AK52" s="250">
        <f t="shared" si="73"/>
        <v>0</v>
      </c>
      <c r="AL52" s="250">
        <f t="shared" si="73"/>
        <v>0</v>
      </c>
      <c r="AM52" s="250">
        <f t="shared" si="73"/>
        <v>0</v>
      </c>
      <c r="AN52" s="250">
        <f t="shared" si="73"/>
        <v>0</v>
      </c>
      <c r="AO52" s="250">
        <f t="shared" si="73"/>
        <v>0</v>
      </c>
      <c r="AP52" s="250">
        <f t="shared" si="73"/>
        <v>0</v>
      </c>
      <c r="AQ52" s="250">
        <f t="shared" si="73"/>
        <v>0</v>
      </c>
      <c r="AR52" s="250">
        <f t="shared" si="73"/>
        <v>0</v>
      </c>
      <c r="AS52" s="250">
        <f t="shared" si="73"/>
        <v>0</v>
      </c>
      <c r="AT52" s="250">
        <f t="shared" ref="AT52:BP52" si="74">IF(AT51&gt;0,AT53/AT51*10000,0)</f>
        <v>0</v>
      </c>
      <c r="AU52" s="250">
        <f t="shared" si="74"/>
        <v>0</v>
      </c>
      <c r="AV52" s="250">
        <f t="shared" si="74"/>
        <v>0</v>
      </c>
      <c r="AW52" s="250">
        <f t="shared" si="74"/>
        <v>0</v>
      </c>
      <c r="AX52" s="250">
        <f t="shared" si="74"/>
        <v>0</v>
      </c>
      <c r="AY52" s="250">
        <f t="shared" si="74"/>
        <v>0</v>
      </c>
      <c r="AZ52" s="250">
        <f t="shared" si="74"/>
        <v>0</v>
      </c>
      <c r="BA52" s="250">
        <f t="shared" si="74"/>
        <v>0</v>
      </c>
      <c r="BB52" s="250">
        <f t="shared" si="74"/>
        <v>0</v>
      </c>
      <c r="BC52" s="250">
        <f t="shared" si="74"/>
        <v>0</v>
      </c>
      <c r="BD52" s="250">
        <f t="shared" si="74"/>
        <v>0</v>
      </c>
      <c r="BE52" s="250">
        <f t="shared" si="74"/>
        <v>0</v>
      </c>
      <c r="BF52" s="250">
        <f t="shared" si="74"/>
        <v>0</v>
      </c>
      <c r="BG52" s="250">
        <f t="shared" si="74"/>
        <v>0</v>
      </c>
      <c r="BH52" s="250">
        <f t="shared" si="74"/>
        <v>0</v>
      </c>
      <c r="BI52" s="250">
        <f t="shared" si="74"/>
        <v>0</v>
      </c>
      <c r="BJ52" s="250">
        <f t="shared" si="74"/>
        <v>0</v>
      </c>
      <c r="BK52" s="250">
        <f t="shared" si="74"/>
        <v>0</v>
      </c>
      <c r="BL52" s="250">
        <f t="shared" si="74"/>
        <v>0</v>
      </c>
      <c r="BM52" s="250">
        <f t="shared" si="74"/>
        <v>0</v>
      </c>
      <c r="BN52" s="250">
        <f t="shared" si="74"/>
        <v>0</v>
      </c>
      <c r="BO52" s="250">
        <f t="shared" si="74"/>
        <v>0</v>
      </c>
      <c r="BP52" s="250">
        <f t="shared" si="74"/>
        <v>0</v>
      </c>
      <c r="BQ52" s="250">
        <f t="shared" ref="BQ52:BU52" si="75">IF(BQ51&gt;0,BQ53/BQ51*10000,0)</f>
        <v>0</v>
      </c>
      <c r="BR52" s="250">
        <f t="shared" si="75"/>
        <v>0</v>
      </c>
      <c r="BS52" s="250">
        <f t="shared" si="75"/>
        <v>0</v>
      </c>
      <c r="BT52" s="250">
        <f t="shared" si="75"/>
        <v>0</v>
      </c>
      <c r="BU52" s="250">
        <f t="shared" si="75"/>
        <v>0</v>
      </c>
    </row>
    <row r="53" spans="1:73" outlineLevel="1">
      <c r="A53" s="132">
        <f>销售计划!A128</f>
        <v>0</v>
      </c>
      <c r="B53" s="133" t="s">
        <v>841</v>
      </c>
      <c r="C53" s="133">
        <f>SUM(D53:AS53)</f>
        <v>0</v>
      </c>
      <c r="D53" s="133">
        <f>IF(D$2&lt;基础信息!$E$13,0,IF(D$2=基础信息!$E$13,SUM(销售计划!$D128:E128),销售计划!E128))</f>
        <v>0</v>
      </c>
      <c r="E53" s="133">
        <f>IF(E$2&lt;基础信息!$E$13,0,IF(E$2=基础信息!$E$13,SUM(销售计划!$D128:F128),销售计划!F128))</f>
        <v>0</v>
      </c>
      <c r="F53" s="133">
        <f>IF(F$2&lt;基础信息!$E$13,0,IF(F$2=基础信息!$E$13,SUM(销售计划!$D128:G128),销售计划!G128))</f>
        <v>0</v>
      </c>
      <c r="G53" s="133">
        <f>IF(G$2&lt;基础信息!$E$13,0,IF(G$2=基础信息!$E$13,SUM(销售计划!$D128:H128),销售计划!H128))</f>
        <v>0</v>
      </c>
      <c r="H53" s="133">
        <f>IF(H$2&lt;基础信息!$E$13,0,IF(H$2=基础信息!$E$13,SUM(销售计划!$D128:I128),销售计划!I128))</f>
        <v>0</v>
      </c>
      <c r="I53" s="133">
        <f>IF(I$2&lt;基础信息!$E$13,0,IF(I$2=基础信息!$E$13,SUM(销售计划!$D128:J128),销售计划!J128))</f>
        <v>0</v>
      </c>
      <c r="J53" s="133">
        <f>IF(J$2&lt;基础信息!$E$13,0,IF(J$2=基础信息!$E$13,SUM(销售计划!$D128:K128),销售计划!K128))</f>
        <v>0</v>
      </c>
      <c r="K53" s="133">
        <f>IF(K$2&lt;基础信息!$E$13,0,IF(K$2=基础信息!$E$13,SUM(销售计划!$D128:L128),销售计划!L128))</f>
        <v>0</v>
      </c>
      <c r="L53" s="133">
        <f>IF(L$2&lt;基础信息!$E$13,0,IF(L$2=基础信息!$E$13,SUM(销售计划!$D128:M128),销售计划!M128))</f>
        <v>0</v>
      </c>
      <c r="M53" s="133">
        <f>IF(M$2&lt;基础信息!$E$13,0,IF(M$2=基础信息!$E$13,SUM(销售计划!$D128:N128),销售计划!N128))</f>
        <v>0</v>
      </c>
      <c r="N53" s="133">
        <f>IF(N$2&lt;基础信息!$E$13,0,IF(N$2=基础信息!$E$13,SUM(销售计划!$D128:O128),销售计划!O128))</f>
        <v>0</v>
      </c>
      <c r="O53" s="133">
        <f>IF(O$2&lt;基础信息!$E$13,0,IF(O$2=基础信息!$E$13,SUM(销售计划!$D128:P128),销售计划!P128))</f>
        <v>0</v>
      </c>
      <c r="P53" s="133">
        <f>IF(P$2&lt;基础信息!$E$13,0,IF(P$2=基础信息!$E$13,SUM(销售计划!$D128:Q128),销售计划!Q128))</f>
        <v>0</v>
      </c>
      <c r="Q53" s="133">
        <f>IF(Q$2&lt;基础信息!$E$13,0,IF(Q$2=基础信息!$E$13,SUM(销售计划!$D128:R128),销售计划!R128))</f>
        <v>0</v>
      </c>
      <c r="R53" s="133">
        <f>IF(R$2&lt;基础信息!$E$13,0,IF(R$2=基础信息!$E$13,SUM(销售计划!$D128:S128),销售计划!S128))</f>
        <v>0</v>
      </c>
      <c r="S53" s="133">
        <f>IF(S$2&lt;基础信息!$E$13,0,IF(S$2=基础信息!$E$13,SUM(销售计划!$D128:T128),销售计划!T128))</f>
        <v>0</v>
      </c>
      <c r="T53" s="133">
        <f>IF(T$2&lt;基础信息!$E$13,0,IF(T$2=基础信息!$E$13,SUM(销售计划!$D128:U128),销售计划!U128))</f>
        <v>0</v>
      </c>
      <c r="U53" s="133">
        <f>IF(U$2&lt;基础信息!$E$13,0,IF(U$2=基础信息!$E$13,SUM(销售计划!$D128:V128),销售计划!V128))</f>
        <v>0</v>
      </c>
      <c r="V53" s="133">
        <f>IF(V$2&lt;基础信息!$E$13,0,IF(V$2=基础信息!$E$13,SUM(销售计划!$D128:W128),销售计划!W128))</f>
        <v>0</v>
      </c>
      <c r="W53" s="133">
        <f>IF(W$2&lt;基础信息!$E$13,0,IF(W$2=基础信息!$E$13,SUM(销售计划!$D128:X128),销售计划!X128))</f>
        <v>0</v>
      </c>
      <c r="X53" s="133">
        <f>IF(X$2&lt;基础信息!$E$13,0,IF(X$2=基础信息!$E$13,SUM(销售计划!$D128:Y128),销售计划!Y128))</f>
        <v>0</v>
      </c>
      <c r="Y53" s="133">
        <f>IF(Y$2&lt;基础信息!$E$13,0,IF(Y$2=基础信息!$E$13,SUM(销售计划!$D128:Z128),销售计划!Z128))</f>
        <v>0</v>
      </c>
      <c r="Z53" s="133">
        <f>IF(Z$2&lt;基础信息!$E$13,0,IF(Z$2=基础信息!$E$13,SUM(销售计划!$D128:AA128),销售计划!AA128))</f>
        <v>0</v>
      </c>
      <c r="AA53" s="133">
        <f>IF(AA$2&lt;基础信息!$E$13,0,IF(AA$2=基础信息!$E$13,SUM(销售计划!$D128:AB128),销售计划!AB128))</f>
        <v>0</v>
      </c>
      <c r="AB53" s="133">
        <f>IF(AB$2&lt;基础信息!$E$13,0,IF(AB$2=基础信息!$E$13,SUM(销售计划!$D128:AC128),销售计划!AC128))</f>
        <v>0</v>
      </c>
      <c r="AC53" s="133">
        <f>IF(AC$2&lt;基础信息!$E$13,0,IF(AC$2=基础信息!$E$13,SUM(销售计划!$D128:AD128),销售计划!AD128))</f>
        <v>0</v>
      </c>
      <c r="AD53" s="133">
        <f>IF(AD$2&lt;基础信息!$E$13,0,IF(AD$2=基础信息!$E$13,SUM(销售计划!$D128:AE128),销售计划!AE128))</f>
        <v>0</v>
      </c>
      <c r="AE53" s="133">
        <f>IF(AE$2&lt;基础信息!$E$13,0,IF(AE$2=基础信息!$E$13,SUM(销售计划!$D128:AF128),销售计划!AF128))</f>
        <v>0</v>
      </c>
      <c r="AF53" s="133">
        <f>IF(AF$2&lt;基础信息!$E$13,0,IF(AF$2=基础信息!$E$13,SUM(销售计划!$D128:AG128),销售计划!AG128))</f>
        <v>0</v>
      </c>
      <c r="AG53" s="133">
        <f>IF(AG$2&lt;基础信息!$E$13,0,IF(AG$2=基础信息!$E$13,SUM(销售计划!$D128:AH128),销售计划!AH128))</f>
        <v>0</v>
      </c>
      <c r="AH53" s="133">
        <f>IF(AH$2&lt;基础信息!$E$13,0,IF(AH$2=基础信息!$E$13,SUM(销售计划!$D128:AI128),销售计划!AI128))</f>
        <v>0</v>
      </c>
      <c r="AI53" s="133">
        <f>IF(AI$2&lt;基础信息!$E$13,0,IF(AI$2=基础信息!$E$13,SUM(销售计划!$D128:AJ128),销售计划!AJ128))</f>
        <v>0</v>
      </c>
      <c r="AJ53" s="133">
        <f>IF(AJ$2&lt;基础信息!$E$13,0,IF(AJ$2=基础信息!$E$13,SUM(销售计划!$D128:AK128),销售计划!AK128))</f>
        <v>0</v>
      </c>
      <c r="AK53" s="133">
        <f>IF(AK$2&lt;基础信息!$E$13,0,IF(AK$2=基础信息!$E$13,SUM(销售计划!$D128:AL128),销售计划!AL128))</f>
        <v>0</v>
      </c>
      <c r="AL53" s="133">
        <f>IF(AL$2&lt;基础信息!$E$13,0,IF(AL$2=基础信息!$E$13,SUM(销售计划!$D128:AM128),销售计划!AM128))</f>
        <v>0</v>
      </c>
      <c r="AM53" s="133">
        <f>IF(AM$2&lt;基础信息!$E$13,0,IF(AM$2=基础信息!$E$13,SUM(销售计划!$D128:AN128),销售计划!AN128))</f>
        <v>0</v>
      </c>
      <c r="AN53" s="133">
        <f>IF(AN$2&lt;基础信息!$E$13,0,IF(AN$2=基础信息!$E$13,SUM(销售计划!$D128:AO128),销售计划!AO128))</f>
        <v>0</v>
      </c>
      <c r="AO53" s="133">
        <f>IF(AO$2&lt;基础信息!$E$13,0,IF(AO$2=基础信息!$E$13,SUM(销售计划!$D128:AP128),销售计划!AP128))</f>
        <v>0</v>
      </c>
      <c r="AP53" s="133">
        <f>IF(AP$2&lt;基础信息!$E$13,0,IF(AP$2=基础信息!$E$13,SUM(销售计划!$D128:AQ128),销售计划!AQ128))</f>
        <v>0</v>
      </c>
      <c r="AQ53" s="133">
        <f>IF(AQ$2&lt;基础信息!$E$13,0,IF(AQ$2=基础信息!$E$13,SUM(销售计划!$D128:AR128),销售计划!AR128))</f>
        <v>0</v>
      </c>
      <c r="AR53" s="133">
        <f>IF(AR$2&lt;基础信息!$E$13,0,IF(AR$2=基础信息!$E$13,SUM(销售计划!$D128:AS128),销售计划!AS128))</f>
        <v>0</v>
      </c>
      <c r="AS53" s="133">
        <f>IF(AS$2&lt;基础信息!$E$13,0,IF(AS$2=基础信息!$E$13,SUM(销售计划!$D128:AT128),销售计划!AT128))</f>
        <v>0</v>
      </c>
      <c r="AT53" s="133">
        <f>IF(AT$2&lt;基础信息!$E$13,0,IF(AT$2=基础信息!$E$13,SUM(销售计划!$D128:AU128),销售计划!AU128))</f>
        <v>0</v>
      </c>
      <c r="AU53" s="133">
        <f>IF(AU$2&lt;基础信息!$E$13,0,IF(AU$2=基础信息!$E$13,SUM(销售计划!$D128:AV128),销售计划!AV128))</f>
        <v>0</v>
      </c>
      <c r="AV53" s="133">
        <f>IF(AV$2&lt;基础信息!$E$13,0,IF(AV$2=基础信息!$E$13,SUM(销售计划!$D128:AW128),销售计划!AW128))</f>
        <v>0</v>
      </c>
      <c r="AW53" s="133">
        <f>IF(AW$2&lt;基础信息!$E$13,0,IF(AW$2=基础信息!$E$13,SUM(销售计划!$D128:AX128),销售计划!AX128))</f>
        <v>0</v>
      </c>
      <c r="AX53" s="133">
        <f>IF(AX$2&lt;基础信息!$E$13,0,IF(AX$2=基础信息!$E$13,SUM(销售计划!$D128:AY128),销售计划!AY128))</f>
        <v>0</v>
      </c>
      <c r="AY53" s="133">
        <f>IF(AY$2&lt;基础信息!$E$13,0,IF(AY$2=基础信息!$E$13,SUM(销售计划!$D128:AZ128),销售计划!AZ128))</f>
        <v>0</v>
      </c>
      <c r="AZ53" s="133">
        <f>IF(AZ$2&lt;基础信息!$E$13,0,IF(AZ$2=基础信息!$E$13,SUM(销售计划!$D128:BA128),销售计划!BA128))</f>
        <v>0</v>
      </c>
      <c r="BA53" s="133">
        <f>IF(BA$2&lt;基础信息!$E$13,0,IF(BA$2=基础信息!$E$13,SUM(销售计划!$D128:BB128),销售计划!BB128))</f>
        <v>0</v>
      </c>
      <c r="BB53" s="133">
        <f>IF(BB$2&lt;基础信息!$E$13,0,IF(BB$2=基础信息!$E$13,SUM(销售计划!$D128:BC128),销售计划!BC128))</f>
        <v>0</v>
      </c>
      <c r="BC53" s="133">
        <f>IF(BC$2&lt;基础信息!$E$13,0,IF(BC$2=基础信息!$E$13,SUM(销售计划!$D128:BD128),销售计划!BD128))</f>
        <v>0</v>
      </c>
      <c r="BD53" s="133">
        <f>IF(BD$2&lt;基础信息!$E$13,0,IF(BD$2=基础信息!$E$13,SUM(销售计划!$D128:BE128),销售计划!BE128))</f>
        <v>0</v>
      </c>
      <c r="BE53" s="133">
        <f>IF(BE$2&lt;基础信息!$E$13,0,IF(BE$2=基础信息!$E$13,SUM(销售计划!$D128:BF128),销售计划!BF128))</f>
        <v>0</v>
      </c>
      <c r="BF53" s="133">
        <f>IF(BF$2&lt;基础信息!$E$13,0,IF(BF$2=基础信息!$E$13,SUM(销售计划!$D128:BG128),销售计划!BG128))</f>
        <v>0</v>
      </c>
      <c r="BG53" s="133">
        <f>IF(BG$2&lt;基础信息!$E$13,0,IF(BG$2=基础信息!$E$13,SUM(销售计划!$D128:BH128),销售计划!BH128))</f>
        <v>0</v>
      </c>
      <c r="BH53" s="133">
        <f>IF(BH$2&lt;基础信息!$E$13,0,IF(BH$2=基础信息!$E$13,SUM(销售计划!$D128:BI128),销售计划!BI128))</f>
        <v>0</v>
      </c>
      <c r="BI53" s="133">
        <f>IF(BI$2&lt;基础信息!$E$13,0,IF(BI$2=基础信息!$E$13,SUM(销售计划!$D128:BJ128),销售计划!BJ128))</f>
        <v>0</v>
      </c>
      <c r="BJ53" s="133">
        <f>IF(BJ$2&lt;基础信息!$E$13,0,IF(BJ$2=基础信息!$E$13,SUM(销售计划!$D128:BK128),销售计划!BK128))</f>
        <v>0</v>
      </c>
      <c r="BK53" s="133">
        <f>IF(BK$2&lt;基础信息!$E$13,0,IF(BK$2=基础信息!$E$13,SUM(销售计划!$D128:BL128),销售计划!BL128))</f>
        <v>0</v>
      </c>
      <c r="BL53" s="133">
        <f>IF(BL$2&lt;基础信息!$E$13,0,IF(BL$2=基础信息!$E$13,SUM(销售计划!$D128:BM128),销售计划!BM128))</f>
        <v>0</v>
      </c>
      <c r="BM53" s="133">
        <f>IF(BM$2&lt;基础信息!$E$13,0,IF(BM$2=基础信息!$E$13,SUM(销售计划!$D128:BN128),销售计划!BN128))</f>
        <v>0</v>
      </c>
      <c r="BN53" s="133">
        <f>IF(BN$2&lt;基础信息!$E$13,0,IF(BN$2=基础信息!$E$13,SUM(销售计划!$D128:BO128),销售计划!BO128))</f>
        <v>0</v>
      </c>
      <c r="BO53" s="133">
        <f>IF(BO$2&lt;基础信息!$E$13,0,IF(BO$2=基础信息!$E$13,SUM(销售计划!$D128:BP128),销售计划!BP128))</f>
        <v>0</v>
      </c>
      <c r="BP53" s="133">
        <f>IF(BP$2&lt;基础信息!$E$13,0,IF(BP$2=基础信息!$E$13,SUM(销售计划!$D128:BQ128),销售计划!BQ128))</f>
        <v>0</v>
      </c>
      <c r="BQ53" s="133">
        <f>IF(BQ$2&lt;基础信息!$E$13,0,IF(BQ$2=基础信息!$E$13,SUM(销售计划!$D128:BR128),销售计划!BR128))</f>
        <v>0</v>
      </c>
      <c r="BR53" s="133">
        <f>IF(BR$2&lt;基础信息!$E$13,0,IF(BR$2=基础信息!$E$13,SUM(销售计划!$D128:BS128),销售计划!BS128))</f>
        <v>0</v>
      </c>
      <c r="BS53" s="133">
        <f>IF(BS$2&lt;基础信息!$E$13,0,IF(BS$2=基础信息!$E$13,SUM(销售计划!$D128:BT128),销售计划!BT128))</f>
        <v>0</v>
      </c>
      <c r="BT53" s="133">
        <f>IF(BT$2&lt;基础信息!$E$13,0,IF(BT$2=基础信息!$E$13,SUM(销售计划!$D128:BU128),销售计划!BU128))</f>
        <v>0</v>
      </c>
      <c r="BU53" s="133">
        <f>IF(BU$2&lt;基础信息!$E$13,0,IF(BU$2=基础信息!$E$13,SUM(销售计划!$D128:BV128),销售计划!BV128))</f>
        <v>0</v>
      </c>
    </row>
    <row r="54" spans="1:73" s="126" customFormat="1" ht="13" outlineLevel="1">
      <c r="A54" s="127">
        <f>销售计划!A129</f>
        <v>0</v>
      </c>
      <c r="B54" s="128" t="s">
        <v>258</v>
      </c>
      <c r="C54" s="128">
        <f>SUM(D54:AS54)</f>
        <v>0</v>
      </c>
      <c r="D54" s="250">
        <f>IF(D$2&lt;基础信息!$E$13,0,IF(D$2=基础信息!$E$13,SUM(销售计划!$D129:E129),销售计划!E129))</f>
        <v>0</v>
      </c>
      <c r="E54" s="250">
        <f>IF(E$2&lt;基础信息!$E$13,0,IF(E$2=基础信息!$E$13,SUM(销售计划!$D129:F129),销售计划!F129))</f>
        <v>0</v>
      </c>
      <c r="F54" s="250">
        <f>IF(F$2&lt;基础信息!$E$13,0,IF(F$2=基础信息!$E$13,SUM(销售计划!$D129:G129),销售计划!G129))</f>
        <v>0</v>
      </c>
      <c r="G54" s="250">
        <f>IF(G$2&lt;基础信息!$E$13,0,IF(G$2=基础信息!$E$13,SUM(销售计划!$D129:H129),销售计划!H129))</f>
        <v>0</v>
      </c>
      <c r="H54" s="250">
        <f>IF(H$2&lt;基础信息!$E$13,0,IF(H$2=基础信息!$E$13,SUM(销售计划!$D129:I129),销售计划!I129))</f>
        <v>0</v>
      </c>
      <c r="I54" s="250">
        <f>IF(I$2&lt;基础信息!$E$13,0,IF(I$2=基础信息!$E$13,SUM(销售计划!$D129:J129),销售计划!J129))</f>
        <v>0</v>
      </c>
      <c r="J54" s="250">
        <f>IF(J$2&lt;基础信息!$E$13,0,IF(J$2=基础信息!$E$13,SUM(销售计划!$D129:K129),销售计划!K129))</f>
        <v>0</v>
      </c>
      <c r="K54" s="250">
        <f>IF(K$2&lt;基础信息!$E$13,0,IF(K$2=基础信息!$E$13,SUM(销售计划!$D129:L129),销售计划!L129))</f>
        <v>0</v>
      </c>
      <c r="L54" s="250">
        <f>IF(L$2&lt;基础信息!$E$13,0,IF(L$2=基础信息!$E$13,SUM(销售计划!$D129:M129),销售计划!M129))</f>
        <v>0</v>
      </c>
      <c r="M54" s="250">
        <f>IF(M$2&lt;基础信息!$E$13,0,IF(M$2=基础信息!$E$13,SUM(销售计划!$D129:N129),销售计划!N129))</f>
        <v>0</v>
      </c>
      <c r="N54" s="250">
        <f>IF(N$2&lt;基础信息!$E$13,0,IF(N$2=基础信息!$E$13,SUM(销售计划!$D129:O129),销售计划!O129))</f>
        <v>0</v>
      </c>
      <c r="O54" s="250">
        <f>IF(O$2&lt;基础信息!$E$13,0,IF(O$2=基础信息!$E$13,SUM(销售计划!$D129:P129),销售计划!P129))</f>
        <v>0</v>
      </c>
      <c r="P54" s="250">
        <f>IF(P$2&lt;基础信息!$E$13,0,IF(P$2=基础信息!$E$13,SUM(销售计划!$D129:Q129),销售计划!Q129))</f>
        <v>0</v>
      </c>
      <c r="Q54" s="250">
        <f>IF(Q$2&lt;基础信息!$E$13,0,IF(Q$2=基础信息!$E$13,SUM(销售计划!$D129:R129),销售计划!R129))</f>
        <v>0</v>
      </c>
      <c r="R54" s="250">
        <f>IF(R$2&lt;基础信息!$E$13,0,IF(R$2=基础信息!$E$13,SUM(销售计划!$D129:S129),销售计划!S129))</f>
        <v>0</v>
      </c>
      <c r="S54" s="250">
        <f>IF(S$2&lt;基础信息!$E$13,0,IF(S$2=基础信息!$E$13,SUM(销售计划!$D129:T129),销售计划!T129))</f>
        <v>0</v>
      </c>
      <c r="T54" s="135">
        <f>IF(T$2&lt;基础信息!$E$13,0,IF(T$2=基础信息!$E$13,SUM(销售计划!$D129:U129),销售计划!U129))</f>
        <v>0</v>
      </c>
      <c r="U54" s="135">
        <f>IF(U$2&lt;基础信息!$E$13,0,IF(U$2=基础信息!$E$13,SUM(销售计划!$D129:V129),销售计划!V129))</f>
        <v>0</v>
      </c>
      <c r="V54" s="135">
        <f>IF(V$2&lt;基础信息!$E$13,0,IF(V$2=基础信息!$E$13,SUM(销售计划!$D129:W129),销售计划!W129))</f>
        <v>0</v>
      </c>
      <c r="W54" s="135">
        <f>IF(W$2&lt;基础信息!$E$13,0,IF(W$2=基础信息!$E$13,SUM(销售计划!$D129:X129),销售计划!X129))</f>
        <v>0</v>
      </c>
      <c r="X54" s="135">
        <f>IF(X$2&lt;基础信息!$E$13,0,IF(X$2=基础信息!$E$13,SUM(销售计划!$D129:Y129),销售计划!Y129))</f>
        <v>0</v>
      </c>
      <c r="Y54" s="135">
        <f>IF(Y$2&lt;基础信息!$E$13,0,IF(Y$2=基础信息!$E$13,SUM(销售计划!$D129:Z129),销售计划!Z129))</f>
        <v>0</v>
      </c>
      <c r="Z54" s="135">
        <f>IF(Z$2&lt;基础信息!$E$13,0,IF(Z$2=基础信息!$E$13,SUM(销售计划!$D129:AA129),销售计划!AA129))</f>
        <v>0</v>
      </c>
      <c r="AA54" s="135">
        <f>IF(AA$2&lt;基础信息!$E$13,0,IF(AA$2=基础信息!$E$13,SUM(销售计划!$D129:AB129),销售计划!AB129))</f>
        <v>0</v>
      </c>
      <c r="AB54" s="135">
        <f>IF(AB$2&lt;基础信息!$E$13,0,IF(AB$2=基础信息!$E$13,SUM(销售计划!$D129:AC129),销售计划!AC129))</f>
        <v>0</v>
      </c>
      <c r="AC54" s="135">
        <f>IF(AC$2&lt;基础信息!$E$13,0,IF(AC$2=基础信息!$E$13,SUM(销售计划!$D129:AD129),销售计划!AD129))</f>
        <v>0</v>
      </c>
      <c r="AD54" s="135">
        <f>IF(AD$2&lt;基础信息!$E$13,0,IF(AD$2=基础信息!$E$13,SUM(销售计划!$D129:AE129),销售计划!AE129))</f>
        <v>0</v>
      </c>
      <c r="AE54" s="135">
        <f>IF(AE$2&lt;基础信息!$E$13,0,IF(AE$2=基础信息!$E$13,SUM(销售计划!$D129:AF129),销售计划!AF129))</f>
        <v>0</v>
      </c>
      <c r="AF54" s="135">
        <f>IF(AF$2&lt;基础信息!$E$13,0,IF(AF$2=基础信息!$E$13,SUM(销售计划!$D129:AG129),销售计划!AG129))</f>
        <v>0</v>
      </c>
      <c r="AG54" s="135">
        <f>IF(AG$2&lt;基础信息!$E$13,0,IF(AG$2=基础信息!$E$13,SUM(销售计划!$D129:AH129),销售计划!AH129))</f>
        <v>0</v>
      </c>
      <c r="AH54" s="135">
        <f>IF(AH$2&lt;基础信息!$E$13,0,IF(AH$2=基础信息!$E$13,SUM(销售计划!$D129:AI129),销售计划!AI129))</f>
        <v>0</v>
      </c>
      <c r="AI54" s="135">
        <f>IF(AI$2&lt;基础信息!$E$13,0,IF(AI$2=基础信息!$E$13,SUM(销售计划!$D129:AJ129),销售计划!AJ129))</f>
        <v>0</v>
      </c>
      <c r="AJ54" s="135">
        <f>IF(AJ$2&lt;基础信息!$E$13,0,IF(AJ$2=基础信息!$E$13,SUM(销售计划!$D129:AK129),销售计划!AK129))</f>
        <v>0</v>
      </c>
      <c r="AK54" s="135">
        <f>IF(AK$2&lt;基础信息!$E$13,0,IF(AK$2=基础信息!$E$13,SUM(销售计划!$D129:AL129),销售计划!AL129))</f>
        <v>0</v>
      </c>
      <c r="AL54" s="135">
        <f>IF(AL$2&lt;基础信息!$E$13,0,IF(AL$2=基础信息!$E$13,SUM(销售计划!$D129:AM129),销售计划!AM129))</f>
        <v>0</v>
      </c>
      <c r="AM54" s="135">
        <f>IF(AM$2&lt;基础信息!$E$13,0,IF(AM$2=基础信息!$E$13,SUM(销售计划!$D129:AN129),销售计划!AN129))</f>
        <v>0</v>
      </c>
      <c r="AN54" s="135">
        <f>IF(AN$2&lt;基础信息!$E$13,0,IF(AN$2=基础信息!$E$13,SUM(销售计划!$D129:AO129),销售计划!AO129))</f>
        <v>0</v>
      </c>
      <c r="AO54" s="135">
        <f>IF(AO$2&lt;基础信息!$E$13,0,IF(AO$2=基础信息!$E$13,SUM(销售计划!$D129:AP129),销售计划!AP129))</f>
        <v>0</v>
      </c>
      <c r="AP54" s="135">
        <f>IF(AP$2&lt;基础信息!$E$13,0,IF(AP$2=基础信息!$E$13,SUM(销售计划!$D129:AQ129),销售计划!AQ129))</f>
        <v>0</v>
      </c>
      <c r="AQ54" s="135">
        <f>IF(AQ$2&lt;基础信息!$E$13,0,IF(AQ$2=基础信息!$E$13,SUM(销售计划!$D129:AR129),销售计划!AR129))</f>
        <v>0</v>
      </c>
      <c r="AR54" s="135">
        <f>IF(AR$2&lt;基础信息!$E$13,0,IF(AR$2=基础信息!$E$13,SUM(销售计划!$D129:AS129),销售计划!AS129))</f>
        <v>0</v>
      </c>
      <c r="AS54" s="135">
        <f>IF(AS$2&lt;基础信息!$E$13,0,IF(AS$2=基础信息!$E$13,SUM(销售计划!$D129:AT129),销售计划!AT129))</f>
        <v>0</v>
      </c>
      <c r="AT54" s="135">
        <f>IF(AT$2&lt;基础信息!$E$13,0,IF(AT$2=基础信息!$E$13,SUM(销售计划!$D129:AU129),销售计划!AU129))</f>
        <v>0</v>
      </c>
      <c r="AU54" s="135">
        <f>IF(AU$2&lt;基础信息!$E$13,0,IF(AU$2=基础信息!$E$13,SUM(销售计划!$D129:AV129),销售计划!AV129))</f>
        <v>0</v>
      </c>
      <c r="AV54" s="135">
        <f>IF(AV$2&lt;基础信息!$E$13,0,IF(AV$2=基础信息!$E$13,SUM(销售计划!$D129:AW129),销售计划!AW129))</f>
        <v>0</v>
      </c>
      <c r="AW54" s="135">
        <f>IF(AW$2&lt;基础信息!$E$13,0,IF(AW$2=基础信息!$E$13,SUM(销售计划!$D129:AX129),销售计划!AX129))</f>
        <v>0</v>
      </c>
      <c r="AX54" s="135">
        <f>IF(AX$2&lt;基础信息!$E$13,0,IF(AX$2=基础信息!$E$13,SUM(销售计划!$D129:AY129),销售计划!AY129))</f>
        <v>0</v>
      </c>
      <c r="AY54" s="135">
        <f>IF(AY$2&lt;基础信息!$E$13,0,IF(AY$2=基础信息!$E$13,SUM(销售计划!$D129:AZ129),销售计划!AZ129))</f>
        <v>0</v>
      </c>
      <c r="AZ54" s="135">
        <f>IF(AZ$2&lt;基础信息!$E$13,0,IF(AZ$2=基础信息!$E$13,SUM(销售计划!$D129:BA129),销售计划!BA129))</f>
        <v>0</v>
      </c>
      <c r="BA54" s="135">
        <f>IF(BA$2&lt;基础信息!$E$13,0,IF(BA$2=基础信息!$E$13,SUM(销售计划!$D129:BB129),销售计划!BB129))</f>
        <v>0</v>
      </c>
      <c r="BB54" s="135">
        <f>IF(BB$2&lt;基础信息!$E$13,0,IF(BB$2=基础信息!$E$13,SUM(销售计划!$D129:BC129),销售计划!BC129))</f>
        <v>0</v>
      </c>
      <c r="BC54" s="135">
        <f>IF(BC$2&lt;基础信息!$E$13,0,IF(BC$2=基础信息!$E$13,SUM(销售计划!$D129:BD129),销售计划!BD129))</f>
        <v>0</v>
      </c>
      <c r="BD54" s="135">
        <f>IF(BD$2&lt;基础信息!$E$13,0,IF(BD$2=基础信息!$E$13,SUM(销售计划!$D129:BE129),销售计划!BE129))</f>
        <v>0</v>
      </c>
      <c r="BE54" s="135">
        <f>IF(BE$2&lt;基础信息!$E$13,0,IF(BE$2=基础信息!$E$13,SUM(销售计划!$D129:BF129),销售计划!BF129))</f>
        <v>0</v>
      </c>
      <c r="BF54" s="135">
        <f>IF(BF$2&lt;基础信息!$E$13,0,IF(BF$2=基础信息!$E$13,SUM(销售计划!$D129:BG129),销售计划!BG129))</f>
        <v>0</v>
      </c>
      <c r="BG54" s="135">
        <f>IF(BG$2&lt;基础信息!$E$13,0,IF(BG$2=基础信息!$E$13,SUM(销售计划!$D129:BH129),销售计划!BH129))</f>
        <v>0</v>
      </c>
      <c r="BH54" s="135">
        <f>IF(BH$2&lt;基础信息!$E$13,0,IF(BH$2=基础信息!$E$13,SUM(销售计划!$D129:BI129),销售计划!BI129))</f>
        <v>0</v>
      </c>
      <c r="BI54" s="135">
        <f>IF(BI$2&lt;基础信息!$E$13,0,IF(BI$2=基础信息!$E$13,SUM(销售计划!$D129:BJ129),销售计划!BJ129))</f>
        <v>0</v>
      </c>
      <c r="BJ54" s="135">
        <f>IF(BJ$2&lt;基础信息!$E$13,0,IF(BJ$2=基础信息!$E$13,SUM(销售计划!$D129:BK129),销售计划!BK129))</f>
        <v>0</v>
      </c>
      <c r="BK54" s="135">
        <f>IF(BK$2&lt;基础信息!$E$13,0,IF(BK$2=基础信息!$E$13,SUM(销售计划!$D129:BL129),销售计划!BL129))</f>
        <v>0</v>
      </c>
      <c r="BL54" s="135">
        <f>IF(BL$2&lt;基础信息!$E$13,0,IF(BL$2=基础信息!$E$13,SUM(销售计划!$D129:BM129),销售计划!BM129))</f>
        <v>0</v>
      </c>
      <c r="BM54" s="135">
        <f>IF(BM$2&lt;基础信息!$E$13,0,IF(BM$2=基础信息!$E$13,SUM(销售计划!$D129:BN129),销售计划!BN129))</f>
        <v>0</v>
      </c>
      <c r="BN54" s="135">
        <f>IF(BN$2&lt;基础信息!$E$13,0,IF(BN$2=基础信息!$E$13,SUM(销售计划!$D129:BO129),销售计划!BO129))</f>
        <v>0</v>
      </c>
      <c r="BO54" s="135">
        <f>IF(BO$2&lt;基础信息!$E$13,0,IF(BO$2=基础信息!$E$13,SUM(销售计划!$D129:BP129),销售计划!BP129))</f>
        <v>0</v>
      </c>
      <c r="BP54" s="135">
        <f>IF(BP$2&lt;基础信息!$E$13,0,IF(BP$2=基础信息!$E$13,SUM(销售计划!$D129:BQ129),销售计划!BQ129))</f>
        <v>0</v>
      </c>
      <c r="BQ54" s="135">
        <f>IF(BQ$2&lt;基础信息!$E$13,0,IF(BQ$2=基础信息!$E$13,SUM(销售计划!$D129:BR129),销售计划!BR129))</f>
        <v>0</v>
      </c>
      <c r="BR54" s="135">
        <f>IF(BR$2&lt;基础信息!$E$13,0,IF(BR$2=基础信息!$E$13,SUM(销售计划!$D129:BS129),销售计划!BS129))</f>
        <v>0</v>
      </c>
      <c r="BS54" s="135">
        <f>IF(BS$2&lt;基础信息!$E$13,0,IF(BS$2=基础信息!$E$13,SUM(销售计划!$D129:BT129),销售计划!BT129))</f>
        <v>0</v>
      </c>
      <c r="BT54" s="135">
        <f>IF(BT$2&lt;基础信息!$E$13,0,IF(BT$2=基础信息!$E$13,SUM(销售计划!$D129:BU129),销售计划!BU129))</f>
        <v>0</v>
      </c>
      <c r="BU54" s="135">
        <f>IF(BU$2&lt;基础信息!$E$13,0,IF(BU$2=基础信息!$E$13,SUM(销售计划!$D129:BV129),销售计划!BV129))</f>
        <v>0</v>
      </c>
    </row>
    <row r="55" spans="1:73" s="126" customFormat="1" ht="13" outlineLevel="1">
      <c r="A55" s="127">
        <f>销售计划!A130</f>
        <v>0</v>
      </c>
      <c r="B55" s="128" t="s">
        <v>840</v>
      </c>
      <c r="C55" s="128">
        <f t="shared" ref="C55:AS55" si="76">IF(C54&gt;0,C56/C54*10000,0)</f>
        <v>0</v>
      </c>
      <c r="D55" s="250">
        <f t="shared" si="76"/>
        <v>0</v>
      </c>
      <c r="E55" s="250">
        <f t="shared" si="76"/>
        <v>0</v>
      </c>
      <c r="F55" s="128">
        <f t="shared" si="76"/>
        <v>0</v>
      </c>
      <c r="G55" s="128">
        <f t="shared" si="76"/>
        <v>0</v>
      </c>
      <c r="H55" s="250">
        <f t="shared" si="76"/>
        <v>0</v>
      </c>
      <c r="I55" s="250">
        <f t="shared" si="76"/>
        <v>0</v>
      </c>
      <c r="J55" s="250">
        <f t="shared" si="76"/>
        <v>0</v>
      </c>
      <c r="K55" s="250">
        <f t="shared" si="76"/>
        <v>0</v>
      </c>
      <c r="L55" s="250">
        <f t="shared" si="76"/>
        <v>0</v>
      </c>
      <c r="M55" s="250">
        <f t="shared" si="76"/>
        <v>0</v>
      </c>
      <c r="N55" s="250">
        <f t="shared" si="76"/>
        <v>0</v>
      </c>
      <c r="O55" s="250">
        <f t="shared" si="76"/>
        <v>0</v>
      </c>
      <c r="P55" s="250">
        <f t="shared" si="76"/>
        <v>0</v>
      </c>
      <c r="Q55" s="250">
        <f t="shared" si="76"/>
        <v>0</v>
      </c>
      <c r="R55" s="250">
        <f t="shared" si="76"/>
        <v>0</v>
      </c>
      <c r="S55" s="250">
        <f t="shared" si="76"/>
        <v>0</v>
      </c>
      <c r="T55" s="250">
        <f t="shared" si="76"/>
        <v>0</v>
      </c>
      <c r="U55" s="250">
        <f t="shared" si="76"/>
        <v>0</v>
      </c>
      <c r="V55" s="250">
        <f t="shared" si="76"/>
        <v>0</v>
      </c>
      <c r="W55" s="250">
        <f t="shared" si="76"/>
        <v>0</v>
      </c>
      <c r="X55" s="250">
        <f t="shared" si="76"/>
        <v>0</v>
      </c>
      <c r="Y55" s="250">
        <f t="shared" si="76"/>
        <v>0</v>
      </c>
      <c r="Z55" s="250">
        <f t="shared" si="76"/>
        <v>0</v>
      </c>
      <c r="AA55" s="250">
        <f t="shared" si="76"/>
        <v>0</v>
      </c>
      <c r="AB55" s="250">
        <f t="shared" si="76"/>
        <v>0</v>
      </c>
      <c r="AC55" s="250">
        <f t="shared" si="76"/>
        <v>0</v>
      </c>
      <c r="AD55" s="250">
        <f t="shared" si="76"/>
        <v>0</v>
      </c>
      <c r="AE55" s="250">
        <f t="shared" si="76"/>
        <v>0</v>
      </c>
      <c r="AF55" s="250">
        <f t="shared" si="76"/>
        <v>0</v>
      </c>
      <c r="AG55" s="250">
        <f t="shared" si="76"/>
        <v>0</v>
      </c>
      <c r="AH55" s="250">
        <f t="shared" si="76"/>
        <v>0</v>
      </c>
      <c r="AI55" s="250">
        <f t="shared" si="76"/>
        <v>0</v>
      </c>
      <c r="AJ55" s="250">
        <f t="shared" si="76"/>
        <v>0</v>
      </c>
      <c r="AK55" s="250">
        <f t="shared" si="76"/>
        <v>0</v>
      </c>
      <c r="AL55" s="250">
        <f t="shared" si="76"/>
        <v>0</v>
      </c>
      <c r="AM55" s="250">
        <f t="shared" si="76"/>
        <v>0</v>
      </c>
      <c r="AN55" s="250">
        <f t="shared" si="76"/>
        <v>0</v>
      </c>
      <c r="AO55" s="250">
        <f t="shared" si="76"/>
        <v>0</v>
      </c>
      <c r="AP55" s="250">
        <f t="shared" si="76"/>
        <v>0</v>
      </c>
      <c r="AQ55" s="250">
        <f t="shared" si="76"/>
        <v>0</v>
      </c>
      <c r="AR55" s="250">
        <f t="shared" si="76"/>
        <v>0</v>
      </c>
      <c r="AS55" s="250">
        <f t="shared" si="76"/>
        <v>0</v>
      </c>
      <c r="AT55" s="250">
        <f t="shared" ref="AT55:BP55" si="77">IF(AT54&gt;0,AT56/AT54*10000,0)</f>
        <v>0</v>
      </c>
      <c r="AU55" s="250">
        <f t="shared" si="77"/>
        <v>0</v>
      </c>
      <c r="AV55" s="250">
        <f t="shared" si="77"/>
        <v>0</v>
      </c>
      <c r="AW55" s="250">
        <f t="shared" si="77"/>
        <v>0</v>
      </c>
      <c r="AX55" s="250">
        <f t="shared" si="77"/>
        <v>0</v>
      </c>
      <c r="AY55" s="250">
        <f t="shared" si="77"/>
        <v>0</v>
      </c>
      <c r="AZ55" s="250">
        <f t="shared" si="77"/>
        <v>0</v>
      </c>
      <c r="BA55" s="250">
        <f t="shared" si="77"/>
        <v>0</v>
      </c>
      <c r="BB55" s="250">
        <f t="shared" si="77"/>
        <v>0</v>
      </c>
      <c r="BC55" s="250">
        <f t="shared" si="77"/>
        <v>0</v>
      </c>
      <c r="BD55" s="250">
        <f t="shared" si="77"/>
        <v>0</v>
      </c>
      <c r="BE55" s="250">
        <f t="shared" si="77"/>
        <v>0</v>
      </c>
      <c r="BF55" s="250">
        <f t="shared" si="77"/>
        <v>0</v>
      </c>
      <c r="BG55" s="250">
        <f t="shared" si="77"/>
        <v>0</v>
      </c>
      <c r="BH55" s="250">
        <f t="shared" si="77"/>
        <v>0</v>
      </c>
      <c r="BI55" s="250">
        <f t="shared" si="77"/>
        <v>0</v>
      </c>
      <c r="BJ55" s="250">
        <f t="shared" si="77"/>
        <v>0</v>
      </c>
      <c r="BK55" s="250">
        <f t="shared" si="77"/>
        <v>0</v>
      </c>
      <c r="BL55" s="250">
        <f t="shared" si="77"/>
        <v>0</v>
      </c>
      <c r="BM55" s="250">
        <f t="shared" si="77"/>
        <v>0</v>
      </c>
      <c r="BN55" s="250">
        <f t="shared" si="77"/>
        <v>0</v>
      </c>
      <c r="BO55" s="250">
        <f t="shared" si="77"/>
        <v>0</v>
      </c>
      <c r="BP55" s="250">
        <f t="shared" si="77"/>
        <v>0</v>
      </c>
      <c r="BQ55" s="250">
        <f t="shared" ref="BQ55:BU55" si="78">IF(BQ54&gt;0,BQ56/BQ54*10000,0)</f>
        <v>0</v>
      </c>
      <c r="BR55" s="250">
        <f t="shared" si="78"/>
        <v>0</v>
      </c>
      <c r="BS55" s="250">
        <f t="shared" si="78"/>
        <v>0</v>
      </c>
      <c r="BT55" s="250">
        <f t="shared" si="78"/>
        <v>0</v>
      </c>
      <c r="BU55" s="250">
        <f t="shared" si="78"/>
        <v>0</v>
      </c>
    </row>
    <row r="56" spans="1:73" outlineLevel="1">
      <c r="A56" s="132">
        <f>销售计划!A131</f>
        <v>0</v>
      </c>
      <c r="B56" s="133" t="s">
        <v>841</v>
      </c>
      <c r="C56" s="133">
        <f>SUM(D56:AS56)</f>
        <v>0</v>
      </c>
      <c r="D56" s="133">
        <f>IF(D$2&lt;基础信息!$E$13,0,IF(D$2=基础信息!$E$13,SUM(销售计划!$D131:E131),销售计划!E131))</f>
        <v>0</v>
      </c>
      <c r="E56" s="133">
        <f>IF(E$2&lt;基础信息!$E$13,0,IF(E$2=基础信息!$E$13,SUM(销售计划!$D131:F131),销售计划!F131))</f>
        <v>0</v>
      </c>
      <c r="F56" s="133">
        <f>IF(F$2&lt;基础信息!$E$13,0,IF(F$2=基础信息!$E$13,SUM(销售计划!$D131:G131),销售计划!G131))</f>
        <v>0</v>
      </c>
      <c r="G56" s="133">
        <f>IF(G$2&lt;基础信息!$E$13,0,IF(G$2=基础信息!$E$13,SUM(销售计划!$D131:H131),销售计划!H131))</f>
        <v>0</v>
      </c>
      <c r="H56" s="133">
        <f>IF(H$2&lt;基础信息!$E$13,0,IF(H$2=基础信息!$E$13,SUM(销售计划!$D131:I131),销售计划!I131))</f>
        <v>0</v>
      </c>
      <c r="I56" s="133">
        <f>IF(I$2&lt;基础信息!$E$13,0,IF(I$2=基础信息!$E$13,SUM(销售计划!$D131:J131),销售计划!J131))</f>
        <v>0</v>
      </c>
      <c r="J56" s="133">
        <f>IF(J$2&lt;基础信息!$E$13,0,IF(J$2=基础信息!$E$13,SUM(销售计划!$D131:K131),销售计划!K131))</f>
        <v>0</v>
      </c>
      <c r="K56" s="133">
        <f>IF(K$2&lt;基础信息!$E$13,0,IF(K$2=基础信息!$E$13,SUM(销售计划!$D131:L131),销售计划!L131))</f>
        <v>0</v>
      </c>
      <c r="L56" s="133">
        <f>IF(L$2&lt;基础信息!$E$13,0,IF(L$2=基础信息!$E$13,SUM(销售计划!$D131:M131),销售计划!M131))</f>
        <v>0</v>
      </c>
      <c r="M56" s="133">
        <f>IF(M$2&lt;基础信息!$E$13,0,IF(M$2=基础信息!$E$13,SUM(销售计划!$D131:N131),销售计划!N131))</f>
        <v>0</v>
      </c>
      <c r="N56" s="133">
        <f>IF(N$2&lt;基础信息!$E$13,0,IF(N$2=基础信息!$E$13,SUM(销售计划!$D131:O131),销售计划!O131))</f>
        <v>0</v>
      </c>
      <c r="O56" s="133">
        <f>IF(O$2&lt;基础信息!$E$13,0,IF(O$2=基础信息!$E$13,SUM(销售计划!$D131:P131),销售计划!P131))</f>
        <v>0</v>
      </c>
      <c r="P56" s="133">
        <f>IF(P$2&lt;基础信息!$E$13,0,IF(P$2=基础信息!$E$13,SUM(销售计划!$D131:Q131),销售计划!Q131))</f>
        <v>0</v>
      </c>
      <c r="Q56" s="133">
        <f>IF(Q$2&lt;基础信息!$E$13,0,IF(Q$2=基础信息!$E$13,SUM(销售计划!$D131:R131),销售计划!R131))</f>
        <v>0</v>
      </c>
      <c r="R56" s="133">
        <f>IF(R$2&lt;基础信息!$E$13,0,IF(R$2=基础信息!$E$13,SUM(销售计划!$D131:S131),销售计划!S131))</f>
        <v>0</v>
      </c>
      <c r="S56" s="133">
        <f>IF(S$2&lt;基础信息!$E$13,0,IF(S$2=基础信息!$E$13,SUM(销售计划!$D131:T131),销售计划!T131))</f>
        <v>0</v>
      </c>
      <c r="T56" s="133">
        <f>IF(T$2&lt;基础信息!$E$13,0,IF(T$2=基础信息!$E$13,SUM(销售计划!$D131:U131),销售计划!U131))</f>
        <v>0</v>
      </c>
      <c r="U56" s="133">
        <f>IF(U$2&lt;基础信息!$E$13,0,IF(U$2=基础信息!$E$13,SUM(销售计划!$D131:V131),销售计划!V131))</f>
        <v>0</v>
      </c>
      <c r="V56" s="133">
        <f>IF(V$2&lt;基础信息!$E$13,0,IF(V$2=基础信息!$E$13,SUM(销售计划!$D131:W131),销售计划!W131))</f>
        <v>0</v>
      </c>
      <c r="W56" s="133">
        <f>IF(W$2&lt;基础信息!$E$13,0,IF(W$2=基础信息!$E$13,SUM(销售计划!$D131:X131),销售计划!X131))</f>
        <v>0</v>
      </c>
      <c r="X56" s="133">
        <f>IF(X$2&lt;基础信息!$E$13,0,IF(X$2=基础信息!$E$13,SUM(销售计划!$D131:Y131),销售计划!Y131))</f>
        <v>0</v>
      </c>
      <c r="Y56" s="133">
        <f>IF(Y$2&lt;基础信息!$E$13,0,IF(Y$2=基础信息!$E$13,SUM(销售计划!$D131:Z131),销售计划!Z131))</f>
        <v>0</v>
      </c>
      <c r="Z56" s="133">
        <f>IF(Z$2&lt;基础信息!$E$13,0,IF(Z$2=基础信息!$E$13,SUM(销售计划!$D131:AA131),销售计划!AA131))</f>
        <v>0</v>
      </c>
      <c r="AA56" s="133">
        <f>IF(AA$2&lt;基础信息!$E$13,0,IF(AA$2=基础信息!$E$13,SUM(销售计划!$D131:AB131),销售计划!AB131))</f>
        <v>0</v>
      </c>
      <c r="AB56" s="133">
        <f>IF(AB$2&lt;基础信息!$E$13,0,IF(AB$2=基础信息!$E$13,SUM(销售计划!$D131:AC131),销售计划!AC131))</f>
        <v>0</v>
      </c>
      <c r="AC56" s="133">
        <f>IF(AC$2&lt;基础信息!$E$13,0,IF(AC$2=基础信息!$E$13,SUM(销售计划!$D131:AD131),销售计划!AD131))</f>
        <v>0</v>
      </c>
      <c r="AD56" s="133">
        <f>IF(AD$2&lt;基础信息!$E$13,0,IF(AD$2=基础信息!$E$13,SUM(销售计划!$D131:AE131),销售计划!AE131))</f>
        <v>0</v>
      </c>
      <c r="AE56" s="133">
        <f>IF(AE$2&lt;基础信息!$E$13,0,IF(AE$2=基础信息!$E$13,SUM(销售计划!$D131:AF131),销售计划!AF131))</f>
        <v>0</v>
      </c>
      <c r="AF56" s="133">
        <f>IF(AF$2&lt;基础信息!$E$13,0,IF(AF$2=基础信息!$E$13,SUM(销售计划!$D131:AG131),销售计划!AG131))</f>
        <v>0</v>
      </c>
      <c r="AG56" s="133">
        <f>IF(AG$2&lt;基础信息!$E$13,0,IF(AG$2=基础信息!$E$13,SUM(销售计划!$D131:AH131),销售计划!AH131))</f>
        <v>0</v>
      </c>
      <c r="AH56" s="133">
        <f>IF(AH$2&lt;基础信息!$E$13,0,IF(AH$2=基础信息!$E$13,SUM(销售计划!$D131:AI131),销售计划!AI131))</f>
        <v>0</v>
      </c>
      <c r="AI56" s="133">
        <f>IF(AI$2&lt;基础信息!$E$13,0,IF(AI$2=基础信息!$E$13,SUM(销售计划!$D131:AJ131),销售计划!AJ131))</f>
        <v>0</v>
      </c>
      <c r="AJ56" s="133">
        <f>IF(AJ$2&lt;基础信息!$E$13,0,IF(AJ$2=基础信息!$E$13,SUM(销售计划!$D131:AK131),销售计划!AK131))</f>
        <v>0</v>
      </c>
      <c r="AK56" s="133">
        <f>IF(AK$2&lt;基础信息!$E$13,0,IF(AK$2=基础信息!$E$13,SUM(销售计划!$D131:AL131),销售计划!AL131))</f>
        <v>0</v>
      </c>
      <c r="AL56" s="133">
        <f>IF(AL$2&lt;基础信息!$E$13,0,IF(AL$2=基础信息!$E$13,SUM(销售计划!$D131:AM131),销售计划!AM131))</f>
        <v>0</v>
      </c>
      <c r="AM56" s="133">
        <f>IF(AM$2&lt;基础信息!$E$13,0,IF(AM$2=基础信息!$E$13,SUM(销售计划!$D131:AN131),销售计划!AN131))</f>
        <v>0</v>
      </c>
      <c r="AN56" s="133">
        <f>IF(AN$2&lt;基础信息!$E$13,0,IF(AN$2=基础信息!$E$13,SUM(销售计划!$D131:AO131),销售计划!AO131))</f>
        <v>0</v>
      </c>
      <c r="AO56" s="133">
        <f>IF(AO$2&lt;基础信息!$E$13,0,IF(AO$2=基础信息!$E$13,SUM(销售计划!$D131:AP131),销售计划!AP131))</f>
        <v>0</v>
      </c>
      <c r="AP56" s="133">
        <f>IF(AP$2&lt;基础信息!$E$13,0,IF(AP$2=基础信息!$E$13,SUM(销售计划!$D131:AQ131),销售计划!AQ131))</f>
        <v>0</v>
      </c>
      <c r="AQ56" s="133">
        <f>IF(AQ$2&lt;基础信息!$E$13,0,IF(AQ$2=基础信息!$E$13,SUM(销售计划!$D131:AR131),销售计划!AR131))</f>
        <v>0</v>
      </c>
      <c r="AR56" s="133">
        <f>IF(AR$2&lt;基础信息!$E$13,0,IF(AR$2=基础信息!$E$13,SUM(销售计划!$D131:AS131),销售计划!AS131))</f>
        <v>0</v>
      </c>
      <c r="AS56" s="133">
        <f>IF(AS$2&lt;基础信息!$E$13,0,IF(AS$2=基础信息!$E$13,SUM(销售计划!$D131:AT131),销售计划!AT131))</f>
        <v>0</v>
      </c>
      <c r="AT56" s="133">
        <f>IF(AT$2&lt;基础信息!$E$13,0,IF(AT$2=基础信息!$E$13,SUM(销售计划!$D131:AU131),销售计划!AU131))</f>
        <v>0</v>
      </c>
      <c r="AU56" s="133">
        <f>IF(AU$2&lt;基础信息!$E$13,0,IF(AU$2=基础信息!$E$13,SUM(销售计划!$D131:AV131),销售计划!AV131))</f>
        <v>0</v>
      </c>
      <c r="AV56" s="133">
        <f>IF(AV$2&lt;基础信息!$E$13,0,IF(AV$2=基础信息!$E$13,SUM(销售计划!$D131:AW131),销售计划!AW131))</f>
        <v>0</v>
      </c>
      <c r="AW56" s="133">
        <f>IF(AW$2&lt;基础信息!$E$13,0,IF(AW$2=基础信息!$E$13,SUM(销售计划!$D131:AX131),销售计划!AX131))</f>
        <v>0</v>
      </c>
      <c r="AX56" s="133">
        <f>IF(AX$2&lt;基础信息!$E$13,0,IF(AX$2=基础信息!$E$13,SUM(销售计划!$D131:AY131),销售计划!AY131))</f>
        <v>0</v>
      </c>
      <c r="AY56" s="133">
        <f>IF(AY$2&lt;基础信息!$E$13,0,IF(AY$2=基础信息!$E$13,SUM(销售计划!$D131:AZ131),销售计划!AZ131))</f>
        <v>0</v>
      </c>
      <c r="AZ56" s="133">
        <f>IF(AZ$2&lt;基础信息!$E$13,0,IF(AZ$2=基础信息!$E$13,SUM(销售计划!$D131:BA131),销售计划!BA131))</f>
        <v>0</v>
      </c>
      <c r="BA56" s="133">
        <f>IF(BA$2&lt;基础信息!$E$13,0,IF(BA$2=基础信息!$E$13,SUM(销售计划!$D131:BB131),销售计划!BB131))</f>
        <v>0</v>
      </c>
      <c r="BB56" s="133">
        <f>IF(BB$2&lt;基础信息!$E$13,0,IF(BB$2=基础信息!$E$13,SUM(销售计划!$D131:BC131),销售计划!BC131))</f>
        <v>0</v>
      </c>
      <c r="BC56" s="133">
        <f>IF(BC$2&lt;基础信息!$E$13,0,IF(BC$2=基础信息!$E$13,SUM(销售计划!$D131:BD131),销售计划!BD131))</f>
        <v>0</v>
      </c>
      <c r="BD56" s="133">
        <f>IF(BD$2&lt;基础信息!$E$13,0,IF(BD$2=基础信息!$E$13,SUM(销售计划!$D131:BE131),销售计划!BE131))</f>
        <v>0</v>
      </c>
      <c r="BE56" s="133">
        <f>IF(BE$2&lt;基础信息!$E$13,0,IF(BE$2=基础信息!$E$13,SUM(销售计划!$D131:BF131),销售计划!BF131))</f>
        <v>0</v>
      </c>
      <c r="BF56" s="133">
        <f>IF(BF$2&lt;基础信息!$E$13,0,IF(BF$2=基础信息!$E$13,SUM(销售计划!$D131:BG131),销售计划!BG131))</f>
        <v>0</v>
      </c>
      <c r="BG56" s="133">
        <f>IF(BG$2&lt;基础信息!$E$13,0,IF(BG$2=基础信息!$E$13,SUM(销售计划!$D131:BH131),销售计划!BH131))</f>
        <v>0</v>
      </c>
      <c r="BH56" s="133">
        <f>IF(BH$2&lt;基础信息!$E$13,0,IF(BH$2=基础信息!$E$13,SUM(销售计划!$D131:BI131),销售计划!BI131))</f>
        <v>0</v>
      </c>
      <c r="BI56" s="133">
        <f>IF(BI$2&lt;基础信息!$E$13,0,IF(BI$2=基础信息!$E$13,SUM(销售计划!$D131:BJ131),销售计划!BJ131))</f>
        <v>0</v>
      </c>
      <c r="BJ56" s="133">
        <f>IF(BJ$2&lt;基础信息!$E$13,0,IF(BJ$2=基础信息!$E$13,SUM(销售计划!$D131:BK131),销售计划!BK131))</f>
        <v>0</v>
      </c>
      <c r="BK56" s="133">
        <f>IF(BK$2&lt;基础信息!$E$13,0,IF(BK$2=基础信息!$E$13,SUM(销售计划!$D131:BL131),销售计划!BL131))</f>
        <v>0</v>
      </c>
      <c r="BL56" s="133">
        <f>IF(BL$2&lt;基础信息!$E$13,0,IF(BL$2=基础信息!$E$13,SUM(销售计划!$D131:BM131),销售计划!BM131))</f>
        <v>0</v>
      </c>
      <c r="BM56" s="133">
        <f>IF(BM$2&lt;基础信息!$E$13,0,IF(BM$2=基础信息!$E$13,SUM(销售计划!$D131:BN131),销售计划!BN131))</f>
        <v>0</v>
      </c>
      <c r="BN56" s="133">
        <f>IF(BN$2&lt;基础信息!$E$13,0,IF(BN$2=基础信息!$E$13,SUM(销售计划!$D131:BO131),销售计划!BO131))</f>
        <v>0</v>
      </c>
      <c r="BO56" s="133">
        <f>IF(BO$2&lt;基础信息!$E$13,0,IF(BO$2=基础信息!$E$13,SUM(销售计划!$D131:BP131),销售计划!BP131))</f>
        <v>0</v>
      </c>
      <c r="BP56" s="133">
        <f>IF(BP$2&lt;基础信息!$E$13,0,IF(BP$2=基础信息!$E$13,SUM(销售计划!$D131:BQ131),销售计划!BQ131))</f>
        <v>0</v>
      </c>
      <c r="BQ56" s="133">
        <f>IF(BQ$2&lt;基础信息!$E$13,0,IF(BQ$2=基础信息!$E$13,SUM(销售计划!$D131:BR131),销售计划!BR131))</f>
        <v>0</v>
      </c>
      <c r="BR56" s="133">
        <f>IF(BR$2&lt;基础信息!$E$13,0,IF(BR$2=基础信息!$E$13,SUM(销售计划!$D131:BS131),销售计划!BS131))</f>
        <v>0</v>
      </c>
      <c r="BS56" s="133">
        <f>IF(BS$2&lt;基础信息!$E$13,0,IF(BS$2=基础信息!$E$13,SUM(销售计划!$D131:BT131),销售计划!BT131))</f>
        <v>0</v>
      </c>
      <c r="BT56" s="133">
        <f>IF(BT$2&lt;基础信息!$E$13,0,IF(BT$2=基础信息!$E$13,SUM(销售计划!$D131:BU131),销售计划!BU131))</f>
        <v>0</v>
      </c>
      <c r="BU56" s="133">
        <f>IF(BU$2&lt;基础信息!$E$13,0,IF(BU$2=基础信息!$E$13,SUM(销售计划!$D131:BV131),销售计划!BV131))</f>
        <v>0</v>
      </c>
    </row>
    <row r="57" spans="1:73">
      <c r="A57" s="125" t="str">
        <f>基础信息!A5</f>
        <v>三期</v>
      </c>
      <c r="B57" s="120" t="s">
        <v>258</v>
      </c>
      <c r="C57" s="120">
        <f>SUMIF($B60:$B80,$B57,C60:C80)</f>
        <v>0</v>
      </c>
      <c r="D57" s="120">
        <f t="shared" ref="D57:AS57" si="79">SUMIF($B60:$B80,$B57,D60:D80)</f>
        <v>0</v>
      </c>
      <c r="E57" s="120">
        <f t="shared" si="79"/>
        <v>0</v>
      </c>
      <c r="F57" s="120">
        <f t="shared" si="79"/>
        <v>0</v>
      </c>
      <c r="G57" s="120">
        <f t="shared" si="79"/>
        <v>0</v>
      </c>
      <c r="H57" s="120">
        <f t="shared" si="79"/>
        <v>0</v>
      </c>
      <c r="I57" s="120">
        <f t="shared" si="79"/>
        <v>0</v>
      </c>
      <c r="J57" s="120">
        <f t="shared" si="79"/>
        <v>0</v>
      </c>
      <c r="K57" s="120">
        <f t="shared" si="79"/>
        <v>0</v>
      </c>
      <c r="L57" s="120">
        <f t="shared" si="79"/>
        <v>0</v>
      </c>
      <c r="M57" s="120">
        <f t="shared" si="79"/>
        <v>0</v>
      </c>
      <c r="N57" s="120">
        <f t="shared" si="79"/>
        <v>0</v>
      </c>
      <c r="O57" s="120">
        <f t="shared" si="79"/>
        <v>0</v>
      </c>
      <c r="P57" s="120">
        <f t="shared" si="79"/>
        <v>0</v>
      </c>
      <c r="Q57" s="120">
        <f t="shared" si="79"/>
        <v>0</v>
      </c>
      <c r="R57" s="120">
        <f t="shared" si="79"/>
        <v>0</v>
      </c>
      <c r="S57" s="120">
        <f t="shared" si="79"/>
        <v>0</v>
      </c>
      <c r="T57" s="120">
        <f t="shared" si="79"/>
        <v>0</v>
      </c>
      <c r="U57" s="120">
        <f t="shared" si="79"/>
        <v>0</v>
      </c>
      <c r="V57" s="120">
        <f t="shared" si="79"/>
        <v>0</v>
      </c>
      <c r="W57" s="120">
        <f t="shared" si="79"/>
        <v>0</v>
      </c>
      <c r="X57" s="120">
        <f t="shared" si="79"/>
        <v>0</v>
      </c>
      <c r="Y57" s="120">
        <f t="shared" si="79"/>
        <v>0</v>
      </c>
      <c r="Z57" s="120">
        <f t="shared" si="79"/>
        <v>0</v>
      </c>
      <c r="AA57" s="120">
        <f t="shared" si="79"/>
        <v>0</v>
      </c>
      <c r="AB57" s="120">
        <f t="shared" si="79"/>
        <v>0</v>
      </c>
      <c r="AC57" s="120">
        <f t="shared" si="79"/>
        <v>0</v>
      </c>
      <c r="AD57" s="120">
        <f t="shared" si="79"/>
        <v>0</v>
      </c>
      <c r="AE57" s="120">
        <f t="shared" si="79"/>
        <v>0</v>
      </c>
      <c r="AF57" s="120">
        <f t="shared" si="79"/>
        <v>0</v>
      </c>
      <c r="AG57" s="120">
        <f t="shared" si="79"/>
        <v>0</v>
      </c>
      <c r="AH57" s="120">
        <f t="shared" si="79"/>
        <v>0</v>
      </c>
      <c r="AI57" s="120">
        <f t="shared" si="79"/>
        <v>0</v>
      </c>
      <c r="AJ57" s="120">
        <f t="shared" si="79"/>
        <v>0</v>
      </c>
      <c r="AK57" s="120">
        <f t="shared" si="79"/>
        <v>0</v>
      </c>
      <c r="AL57" s="120">
        <f t="shared" si="79"/>
        <v>0</v>
      </c>
      <c r="AM57" s="120">
        <f t="shared" si="79"/>
        <v>0</v>
      </c>
      <c r="AN57" s="120">
        <f t="shared" si="79"/>
        <v>0</v>
      </c>
      <c r="AO57" s="120">
        <f t="shared" si="79"/>
        <v>0</v>
      </c>
      <c r="AP57" s="120">
        <f t="shared" si="79"/>
        <v>0</v>
      </c>
      <c r="AQ57" s="120">
        <f t="shared" si="79"/>
        <v>0</v>
      </c>
      <c r="AR57" s="120">
        <f t="shared" si="79"/>
        <v>0</v>
      </c>
      <c r="AS57" s="120">
        <f t="shared" si="79"/>
        <v>0</v>
      </c>
      <c r="AT57" s="120">
        <f t="shared" ref="AT57:BP57" si="80">SUMIF($B60:$B80,$B57,AT60:AT80)</f>
        <v>0</v>
      </c>
      <c r="AU57" s="120">
        <f t="shared" si="80"/>
        <v>0</v>
      </c>
      <c r="AV57" s="120">
        <f t="shared" si="80"/>
        <v>0</v>
      </c>
      <c r="AW57" s="120">
        <f t="shared" si="80"/>
        <v>0</v>
      </c>
      <c r="AX57" s="120">
        <f t="shared" si="80"/>
        <v>0</v>
      </c>
      <c r="AY57" s="120">
        <f t="shared" si="80"/>
        <v>0</v>
      </c>
      <c r="AZ57" s="120">
        <f t="shared" si="80"/>
        <v>0</v>
      </c>
      <c r="BA57" s="120">
        <f t="shared" si="80"/>
        <v>0</v>
      </c>
      <c r="BB57" s="120">
        <f t="shared" si="80"/>
        <v>0</v>
      </c>
      <c r="BC57" s="120">
        <f t="shared" si="80"/>
        <v>0</v>
      </c>
      <c r="BD57" s="120">
        <f t="shared" si="80"/>
        <v>0</v>
      </c>
      <c r="BE57" s="120">
        <f t="shared" si="80"/>
        <v>0</v>
      </c>
      <c r="BF57" s="120">
        <f t="shared" si="80"/>
        <v>0</v>
      </c>
      <c r="BG57" s="120">
        <f t="shared" si="80"/>
        <v>0</v>
      </c>
      <c r="BH57" s="120">
        <f t="shared" si="80"/>
        <v>0</v>
      </c>
      <c r="BI57" s="120">
        <f t="shared" si="80"/>
        <v>0</v>
      </c>
      <c r="BJ57" s="120">
        <f t="shared" si="80"/>
        <v>0</v>
      </c>
      <c r="BK57" s="120">
        <f t="shared" si="80"/>
        <v>0</v>
      </c>
      <c r="BL57" s="120">
        <f t="shared" si="80"/>
        <v>0</v>
      </c>
      <c r="BM57" s="120">
        <f t="shared" si="80"/>
        <v>0</v>
      </c>
      <c r="BN57" s="120">
        <f t="shared" si="80"/>
        <v>0</v>
      </c>
      <c r="BO57" s="120">
        <f t="shared" si="80"/>
        <v>0</v>
      </c>
      <c r="BP57" s="120">
        <f t="shared" si="80"/>
        <v>0</v>
      </c>
      <c r="BQ57" s="120">
        <f t="shared" ref="BQ57:BU57" si="81">SUMIF($B60:$B80,$B57,BQ60:BQ80)</f>
        <v>0</v>
      </c>
      <c r="BR57" s="120">
        <f t="shared" si="81"/>
        <v>0</v>
      </c>
      <c r="BS57" s="120">
        <f t="shared" si="81"/>
        <v>0</v>
      </c>
      <c r="BT57" s="120">
        <f t="shared" si="81"/>
        <v>0</v>
      </c>
      <c r="BU57" s="120">
        <f t="shared" si="81"/>
        <v>0</v>
      </c>
    </row>
    <row r="58" spans="1:73">
      <c r="A58" s="125"/>
      <c r="B58" s="120" t="s">
        <v>840</v>
      </c>
      <c r="C58" s="120">
        <f>IF(C57&gt;0,C59/C57*10000,0)</f>
        <v>0</v>
      </c>
      <c r="D58" s="120">
        <f t="shared" ref="D58:AS58" si="82">IF(D57&gt;0,D59/D57*10000,0)</f>
        <v>0</v>
      </c>
      <c r="E58" s="120">
        <f t="shared" si="82"/>
        <v>0</v>
      </c>
      <c r="F58" s="120">
        <f t="shared" si="82"/>
        <v>0</v>
      </c>
      <c r="G58" s="120">
        <f t="shared" si="82"/>
        <v>0</v>
      </c>
      <c r="H58" s="120">
        <f t="shared" si="82"/>
        <v>0</v>
      </c>
      <c r="I58" s="120">
        <f t="shared" si="82"/>
        <v>0</v>
      </c>
      <c r="J58" s="120">
        <f t="shared" si="82"/>
        <v>0</v>
      </c>
      <c r="K58" s="120">
        <f t="shared" si="82"/>
        <v>0</v>
      </c>
      <c r="L58" s="120">
        <f t="shared" si="82"/>
        <v>0</v>
      </c>
      <c r="M58" s="120">
        <f t="shared" si="82"/>
        <v>0</v>
      </c>
      <c r="N58" s="120">
        <f t="shared" si="82"/>
        <v>0</v>
      </c>
      <c r="O58" s="120">
        <f t="shared" si="82"/>
        <v>0</v>
      </c>
      <c r="P58" s="120">
        <f t="shared" si="82"/>
        <v>0</v>
      </c>
      <c r="Q58" s="120">
        <f t="shared" si="82"/>
        <v>0</v>
      </c>
      <c r="R58" s="120">
        <f t="shared" si="82"/>
        <v>0</v>
      </c>
      <c r="S58" s="120">
        <f t="shared" si="82"/>
        <v>0</v>
      </c>
      <c r="T58" s="120">
        <f t="shared" si="82"/>
        <v>0</v>
      </c>
      <c r="U58" s="120">
        <f t="shared" si="82"/>
        <v>0</v>
      </c>
      <c r="V58" s="120">
        <f t="shared" si="82"/>
        <v>0</v>
      </c>
      <c r="W58" s="120">
        <f t="shared" si="82"/>
        <v>0</v>
      </c>
      <c r="X58" s="120">
        <f t="shared" si="82"/>
        <v>0</v>
      </c>
      <c r="Y58" s="120">
        <f t="shared" si="82"/>
        <v>0</v>
      </c>
      <c r="Z58" s="120">
        <f t="shared" si="82"/>
        <v>0</v>
      </c>
      <c r="AA58" s="120">
        <f t="shared" si="82"/>
        <v>0</v>
      </c>
      <c r="AB58" s="120">
        <f t="shared" si="82"/>
        <v>0</v>
      </c>
      <c r="AC58" s="120">
        <f t="shared" si="82"/>
        <v>0</v>
      </c>
      <c r="AD58" s="120">
        <f t="shared" si="82"/>
        <v>0</v>
      </c>
      <c r="AE58" s="120">
        <f t="shared" si="82"/>
        <v>0</v>
      </c>
      <c r="AF58" s="120">
        <f t="shared" si="82"/>
        <v>0</v>
      </c>
      <c r="AG58" s="120">
        <f t="shared" si="82"/>
        <v>0</v>
      </c>
      <c r="AH58" s="120">
        <f t="shared" si="82"/>
        <v>0</v>
      </c>
      <c r="AI58" s="120">
        <f t="shared" si="82"/>
        <v>0</v>
      </c>
      <c r="AJ58" s="120">
        <f t="shared" si="82"/>
        <v>0</v>
      </c>
      <c r="AK58" s="120">
        <f t="shared" si="82"/>
        <v>0</v>
      </c>
      <c r="AL58" s="120">
        <f t="shared" si="82"/>
        <v>0</v>
      </c>
      <c r="AM58" s="120">
        <f t="shared" si="82"/>
        <v>0</v>
      </c>
      <c r="AN58" s="120">
        <f t="shared" si="82"/>
        <v>0</v>
      </c>
      <c r="AO58" s="120">
        <f t="shared" si="82"/>
        <v>0</v>
      </c>
      <c r="AP58" s="120">
        <f t="shared" si="82"/>
        <v>0</v>
      </c>
      <c r="AQ58" s="120">
        <f t="shared" si="82"/>
        <v>0</v>
      </c>
      <c r="AR58" s="120">
        <f t="shared" si="82"/>
        <v>0</v>
      </c>
      <c r="AS58" s="120">
        <f t="shared" si="82"/>
        <v>0</v>
      </c>
      <c r="AT58" s="120">
        <f t="shared" ref="AT58:BP58" si="83">IF(AT57&gt;0,AT59/AT57*10000,0)</f>
        <v>0</v>
      </c>
      <c r="AU58" s="120">
        <f t="shared" si="83"/>
        <v>0</v>
      </c>
      <c r="AV58" s="120">
        <f t="shared" si="83"/>
        <v>0</v>
      </c>
      <c r="AW58" s="120">
        <f t="shared" si="83"/>
        <v>0</v>
      </c>
      <c r="AX58" s="120">
        <f t="shared" si="83"/>
        <v>0</v>
      </c>
      <c r="AY58" s="120">
        <f t="shared" si="83"/>
        <v>0</v>
      </c>
      <c r="AZ58" s="120">
        <f t="shared" si="83"/>
        <v>0</v>
      </c>
      <c r="BA58" s="120">
        <f t="shared" si="83"/>
        <v>0</v>
      </c>
      <c r="BB58" s="120">
        <f t="shared" si="83"/>
        <v>0</v>
      </c>
      <c r="BC58" s="120">
        <f t="shared" si="83"/>
        <v>0</v>
      </c>
      <c r="BD58" s="120">
        <f t="shared" si="83"/>
        <v>0</v>
      </c>
      <c r="BE58" s="120">
        <f t="shared" si="83"/>
        <v>0</v>
      </c>
      <c r="BF58" s="120">
        <f t="shared" si="83"/>
        <v>0</v>
      </c>
      <c r="BG58" s="120">
        <f t="shared" si="83"/>
        <v>0</v>
      </c>
      <c r="BH58" s="120">
        <f t="shared" si="83"/>
        <v>0</v>
      </c>
      <c r="BI58" s="120">
        <f t="shared" si="83"/>
        <v>0</v>
      </c>
      <c r="BJ58" s="120">
        <f t="shared" si="83"/>
        <v>0</v>
      </c>
      <c r="BK58" s="120">
        <f t="shared" si="83"/>
        <v>0</v>
      </c>
      <c r="BL58" s="120">
        <f t="shared" si="83"/>
        <v>0</v>
      </c>
      <c r="BM58" s="120">
        <f t="shared" si="83"/>
        <v>0</v>
      </c>
      <c r="BN58" s="120">
        <f t="shared" si="83"/>
        <v>0</v>
      </c>
      <c r="BO58" s="120">
        <f t="shared" si="83"/>
        <v>0</v>
      </c>
      <c r="BP58" s="120">
        <f t="shared" si="83"/>
        <v>0</v>
      </c>
      <c r="BQ58" s="120">
        <f t="shared" ref="BQ58:BU58" si="84">IF(BQ57&gt;0,BQ59/BQ57*10000,0)</f>
        <v>0</v>
      </c>
      <c r="BR58" s="120">
        <f t="shared" si="84"/>
        <v>0</v>
      </c>
      <c r="BS58" s="120">
        <f t="shared" si="84"/>
        <v>0</v>
      </c>
      <c r="BT58" s="120">
        <f t="shared" si="84"/>
        <v>0</v>
      </c>
      <c r="BU58" s="120">
        <f t="shared" si="84"/>
        <v>0</v>
      </c>
    </row>
    <row r="59" spans="1:73">
      <c r="A59" s="125"/>
      <c r="B59" s="120" t="s">
        <v>841</v>
      </c>
      <c r="C59" s="120">
        <f>SUMIF($B60:$B80,$B59,C60:C80)</f>
        <v>0</v>
      </c>
      <c r="D59" s="120">
        <f t="shared" ref="D59:AS59" si="85">SUMIF($B60:$B80,$B59,D60:D80)</f>
        <v>0</v>
      </c>
      <c r="E59" s="120">
        <f t="shared" si="85"/>
        <v>0</v>
      </c>
      <c r="F59" s="120">
        <f t="shared" si="85"/>
        <v>0</v>
      </c>
      <c r="G59" s="120">
        <f t="shared" si="85"/>
        <v>0</v>
      </c>
      <c r="H59" s="120">
        <f t="shared" si="85"/>
        <v>0</v>
      </c>
      <c r="I59" s="120">
        <f t="shared" si="85"/>
        <v>0</v>
      </c>
      <c r="J59" s="120">
        <f t="shared" si="85"/>
        <v>0</v>
      </c>
      <c r="K59" s="120">
        <f t="shared" si="85"/>
        <v>0</v>
      </c>
      <c r="L59" s="120">
        <f t="shared" si="85"/>
        <v>0</v>
      </c>
      <c r="M59" s="120">
        <f t="shared" si="85"/>
        <v>0</v>
      </c>
      <c r="N59" s="120">
        <f t="shared" si="85"/>
        <v>0</v>
      </c>
      <c r="O59" s="120">
        <f t="shared" si="85"/>
        <v>0</v>
      </c>
      <c r="P59" s="120">
        <f t="shared" si="85"/>
        <v>0</v>
      </c>
      <c r="Q59" s="120">
        <f t="shared" si="85"/>
        <v>0</v>
      </c>
      <c r="R59" s="120">
        <f t="shared" si="85"/>
        <v>0</v>
      </c>
      <c r="S59" s="120">
        <f t="shared" si="85"/>
        <v>0</v>
      </c>
      <c r="T59" s="120">
        <f t="shared" si="85"/>
        <v>0</v>
      </c>
      <c r="U59" s="120">
        <f t="shared" si="85"/>
        <v>0</v>
      </c>
      <c r="V59" s="120">
        <f t="shared" si="85"/>
        <v>0</v>
      </c>
      <c r="W59" s="120">
        <f t="shared" si="85"/>
        <v>0</v>
      </c>
      <c r="X59" s="120">
        <f t="shared" si="85"/>
        <v>0</v>
      </c>
      <c r="Y59" s="120">
        <f t="shared" si="85"/>
        <v>0</v>
      </c>
      <c r="Z59" s="120">
        <f t="shared" si="85"/>
        <v>0</v>
      </c>
      <c r="AA59" s="120">
        <f t="shared" si="85"/>
        <v>0</v>
      </c>
      <c r="AB59" s="120">
        <f t="shared" si="85"/>
        <v>0</v>
      </c>
      <c r="AC59" s="120">
        <f t="shared" si="85"/>
        <v>0</v>
      </c>
      <c r="AD59" s="120">
        <f t="shared" si="85"/>
        <v>0</v>
      </c>
      <c r="AE59" s="120">
        <f t="shared" si="85"/>
        <v>0</v>
      </c>
      <c r="AF59" s="120">
        <f t="shared" si="85"/>
        <v>0</v>
      </c>
      <c r="AG59" s="120">
        <f t="shared" si="85"/>
        <v>0</v>
      </c>
      <c r="AH59" s="120">
        <f t="shared" si="85"/>
        <v>0</v>
      </c>
      <c r="AI59" s="120">
        <f t="shared" si="85"/>
        <v>0</v>
      </c>
      <c r="AJ59" s="120">
        <f t="shared" si="85"/>
        <v>0</v>
      </c>
      <c r="AK59" s="120">
        <f t="shared" si="85"/>
        <v>0</v>
      </c>
      <c r="AL59" s="120">
        <f t="shared" si="85"/>
        <v>0</v>
      </c>
      <c r="AM59" s="120">
        <f t="shared" si="85"/>
        <v>0</v>
      </c>
      <c r="AN59" s="120">
        <f>SUMIF($B60:$B80,$B59,AN60:AN80)</f>
        <v>0</v>
      </c>
      <c r="AO59" s="120">
        <f t="shared" si="85"/>
        <v>0</v>
      </c>
      <c r="AP59" s="120">
        <f t="shared" si="85"/>
        <v>0</v>
      </c>
      <c r="AQ59" s="120">
        <f t="shared" si="85"/>
        <v>0</v>
      </c>
      <c r="AR59" s="120">
        <f t="shared" si="85"/>
        <v>0</v>
      </c>
      <c r="AS59" s="120">
        <f t="shared" si="85"/>
        <v>0</v>
      </c>
      <c r="AT59" s="120">
        <f t="shared" ref="AT59:BP59" si="86">SUMIF($B60:$B80,$B59,AT60:AT80)</f>
        <v>0</v>
      </c>
      <c r="AU59" s="120">
        <f t="shared" si="86"/>
        <v>0</v>
      </c>
      <c r="AV59" s="120">
        <f t="shared" si="86"/>
        <v>0</v>
      </c>
      <c r="AW59" s="120">
        <f t="shared" si="86"/>
        <v>0</v>
      </c>
      <c r="AX59" s="120">
        <f t="shared" si="86"/>
        <v>0</v>
      </c>
      <c r="AY59" s="120">
        <f t="shared" si="86"/>
        <v>0</v>
      </c>
      <c r="AZ59" s="120">
        <f t="shared" si="86"/>
        <v>0</v>
      </c>
      <c r="BA59" s="120">
        <f t="shared" si="86"/>
        <v>0</v>
      </c>
      <c r="BB59" s="120">
        <f t="shared" si="86"/>
        <v>0</v>
      </c>
      <c r="BC59" s="120">
        <f t="shared" si="86"/>
        <v>0</v>
      </c>
      <c r="BD59" s="120">
        <f t="shared" si="86"/>
        <v>0</v>
      </c>
      <c r="BE59" s="120">
        <f t="shared" si="86"/>
        <v>0</v>
      </c>
      <c r="BF59" s="120">
        <f t="shared" si="86"/>
        <v>0</v>
      </c>
      <c r="BG59" s="120">
        <f t="shared" si="86"/>
        <v>0</v>
      </c>
      <c r="BH59" s="120">
        <f t="shared" si="86"/>
        <v>0</v>
      </c>
      <c r="BI59" s="120">
        <f t="shared" si="86"/>
        <v>0</v>
      </c>
      <c r="BJ59" s="120">
        <f t="shared" si="86"/>
        <v>0</v>
      </c>
      <c r="BK59" s="120">
        <f t="shared" si="86"/>
        <v>0</v>
      </c>
      <c r="BL59" s="120">
        <f t="shared" si="86"/>
        <v>0</v>
      </c>
      <c r="BM59" s="120">
        <f t="shared" si="86"/>
        <v>0</v>
      </c>
      <c r="BN59" s="120">
        <f t="shared" si="86"/>
        <v>0</v>
      </c>
      <c r="BO59" s="120">
        <f t="shared" si="86"/>
        <v>0</v>
      </c>
      <c r="BP59" s="120">
        <f t="shared" si="86"/>
        <v>0</v>
      </c>
      <c r="BQ59" s="120">
        <f t="shared" ref="BQ59:BU59" si="87">SUMIF($B60:$B80,$B59,BQ60:BQ80)</f>
        <v>0</v>
      </c>
      <c r="BR59" s="120">
        <f t="shared" si="87"/>
        <v>0</v>
      </c>
      <c r="BS59" s="120">
        <f t="shared" si="87"/>
        <v>0</v>
      </c>
      <c r="BT59" s="120">
        <f t="shared" si="87"/>
        <v>0</v>
      </c>
      <c r="BU59" s="120">
        <f t="shared" si="87"/>
        <v>0</v>
      </c>
    </row>
    <row r="60" spans="1:73" s="126" customFormat="1" ht="13" outlineLevel="1">
      <c r="A60" s="127">
        <f>销售计划!A135</f>
        <v>0</v>
      </c>
      <c r="B60" s="128" t="s">
        <v>258</v>
      </c>
      <c r="C60" s="128">
        <f>SUM(D60:AS60)</f>
        <v>0</v>
      </c>
      <c r="D60" s="250">
        <f>IF(D$2&lt;基础信息!$E$13,0,IF(D$2=基础信息!$E$13,SUM(销售计划!$D135:E135),销售计划!E135))</f>
        <v>0</v>
      </c>
      <c r="E60" s="250">
        <f>IF(E$2&lt;基础信息!$E$13,0,IF(E$2=基础信息!$E$13,SUM(销售计划!$D135:F135),销售计划!F135))</f>
        <v>0</v>
      </c>
      <c r="F60" s="250">
        <f>IF(F$2&lt;基础信息!$E$13,0,IF(F$2=基础信息!$E$13,SUM(销售计划!$D135:G135),销售计划!G135))</f>
        <v>0</v>
      </c>
      <c r="G60" s="250">
        <f>IF(G$2&lt;基础信息!$E$13,0,IF(G$2=基础信息!$E$13,SUM(销售计划!$D135:H135),销售计划!H135))</f>
        <v>0</v>
      </c>
      <c r="H60" s="250">
        <f>IF(H$2&lt;基础信息!$E$13,0,IF(H$2=基础信息!$E$13,SUM(销售计划!$D135:I135),销售计划!I135))</f>
        <v>0</v>
      </c>
      <c r="I60" s="250">
        <f>IF(I$2&lt;基础信息!$E$13,0,IF(I$2=基础信息!$E$13,SUM(销售计划!$D135:J135),销售计划!J135))</f>
        <v>0</v>
      </c>
      <c r="J60" s="250">
        <f>IF(J$2&lt;基础信息!$E$13,0,IF(J$2=基础信息!$E$13,SUM(销售计划!$D135:K135),销售计划!K135))</f>
        <v>0</v>
      </c>
      <c r="K60" s="250">
        <f>IF(K$2&lt;基础信息!$E$13,0,IF(K$2=基础信息!$E$13,SUM(销售计划!$D135:L135),销售计划!L135))</f>
        <v>0</v>
      </c>
      <c r="L60" s="250">
        <f>IF(L$2&lt;基础信息!$E$13,0,IF(L$2=基础信息!$E$13,SUM(销售计划!$D135:M135),销售计划!M135))</f>
        <v>0</v>
      </c>
      <c r="M60" s="250">
        <f>IF(M$2&lt;基础信息!$E$13,0,IF(M$2=基础信息!$E$13,SUM(销售计划!$D135:N135),销售计划!N135))</f>
        <v>0</v>
      </c>
      <c r="N60" s="250">
        <f>IF(N$2&lt;基础信息!$E$13,0,IF(N$2=基础信息!$E$13,SUM(销售计划!$D135:O135),销售计划!O135))</f>
        <v>0</v>
      </c>
      <c r="O60" s="250">
        <f>IF(O$2&lt;基础信息!$E$13,0,IF(O$2=基础信息!$E$13,SUM(销售计划!$D135:P135),销售计划!P135))</f>
        <v>0</v>
      </c>
      <c r="P60" s="250">
        <f>IF(P$2&lt;基础信息!$E$13,0,IF(P$2=基础信息!$E$13,SUM(销售计划!$D135:Q135),销售计划!Q135))</f>
        <v>0</v>
      </c>
      <c r="Q60" s="250">
        <f>IF(Q$2&lt;基础信息!$E$13,0,IF(Q$2=基础信息!$E$13,SUM(销售计划!$D135:R135),销售计划!R135))</f>
        <v>0</v>
      </c>
      <c r="R60" s="250">
        <f>IF(R$2&lt;基础信息!$E$13,0,IF(R$2=基础信息!$E$13,SUM(销售计划!$D135:S135),销售计划!S135))</f>
        <v>0</v>
      </c>
      <c r="S60" s="250">
        <f>IF(S$2&lt;基础信息!$E$13,0,IF(S$2=基础信息!$E$13,SUM(销售计划!$D135:T135),销售计划!T135))</f>
        <v>0</v>
      </c>
      <c r="T60" s="250">
        <f>IF(T$2&lt;基础信息!$E$13,0,IF(T$2=基础信息!$E$13,SUM(销售计划!$D135:U135),销售计划!U135))</f>
        <v>0</v>
      </c>
      <c r="U60" s="250">
        <f>IF(U$2&lt;基础信息!$E$13,0,IF(U$2=基础信息!$E$13,SUM(销售计划!$D135:V135),销售计划!V135))</f>
        <v>0</v>
      </c>
      <c r="V60" s="250">
        <f>IF(V$2&lt;基础信息!$E$13,0,IF(V$2=基础信息!$E$13,SUM(销售计划!$D135:W135),销售计划!W135))</f>
        <v>0</v>
      </c>
      <c r="W60" s="250">
        <f>IF(W$2&lt;基础信息!$E$13,0,IF(W$2=基础信息!$E$13,SUM(销售计划!$D135:X135),销售计划!X135))</f>
        <v>0</v>
      </c>
      <c r="X60" s="250">
        <f>IF(X$2&lt;基础信息!$E$13,0,IF(X$2=基础信息!$E$13,SUM(销售计划!$D135:Y135),销售计划!Y135))</f>
        <v>0</v>
      </c>
      <c r="Y60" s="250">
        <f>IF(Y$2&lt;基础信息!$E$13,0,IF(Y$2=基础信息!$E$13,SUM(销售计划!$D135:Z135),销售计划!Z135))</f>
        <v>0</v>
      </c>
      <c r="Z60" s="250">
        <f>IF(Z$2&lt;基础信息!$E$13,0,IF(Z$2=基础信息!$E$13,SUM(销售计划!$D135:AA135),销售计划!AA135))</f>
        <v>0</v>
      </c>
      <c r="AA60" s="250">
        <f>IF(AA$2&lt;基础信息!$E$13,0,IF(AA$2=基础信息!$E$13,SUM(销售计划!$D135:AB135),销售计划!AB135))</f>
        <v>0</v>
      </c>
      <c r="AB60" s="250">
        <f>IF(AB$2&lt;基础信息!$E$13,0,IF(AB$2=基础信息!$E$13,SUM(销售计划!$D135:AC135),销售计划!AC135))</f>
        <v>0</v>
      </c>
      <c r="AC60" s="250">
        <f>IF(AC$2&lt;基础信息!$E$13,0,IF(AC$2=基础信息!$E$13,SUM(销售计划!$D135:AD135),销售计划!AD135))</f>
        <v>0</v>
      </c>
      <c r="AD60" s="250">
        <f>IF(AD$2&lt;基础信息!$E$13,0,IF(AD$2=基础信息!$E$13,SUM(销售计划!$D135:AE135),销售计划!AE135))</f>
        <v>0</v>
      </c>
      <c r="AE60" s="250">
        <f>IF(AE$2&lt;基础信息!$E$13,0,IF(AE$2=基础信息!$E$13,SUM(销售计划!$D135:AF135),销售计划!AF135))</f>
        <v>0</v>
      </c>
      <c r="AF60" s="250">
        <f>IF(AF$2&lt;基础信息!$E$13,0,IF(AF$2=基础信息!$E$13,SUM(销售计划!$D135:AG135),销售计划!AG135))</f>
        <v>0</v>
      </c>
      <c r="AG60" s="250">
        <f>IF(AG$2&lt;基础信息!$E$13,0,IF(AG$2=基础信息!$E$13,SUM(销售计划!$D135:AH135),销售计划!AH135))</f>
        <v>0</v>
      </c>
      <c r="AH60" s="250">
        <f>IF(AH$2&lt;基础信息!$E$13,0,IF(AH$2=基础信息!$E$13,SUM(销售计划!$D135:AI135),销售计划!AI135))</f>
        <v>0</v>
      </c>
      <c r="AI60" s="135">
        <f>IF(AI$2&lt;基础信息!$E$13,0,IF(AI$2=基础信息!$E$13,SUM(销售计划!$D135:AJ135),销售计划!AJ135))</f>
        <v>0</v>
      </c>
      <c r="AJ60" s="135">
        <f>IF(AJ$2&lt;基础信息!$E$13,0,IF(AJ$2=基础信息!$E$13,SUM(销售计划!$D135:AK135),销售计划!AK135))</f>
        <v>0</v>
      </c>
      <c r="AK60" s="135">
        <f>IF(AK$2&lt;基础信息!$E$13,0,IF(AK$2=基础信息!$E$13,SUM(销售计划!$D135:AL135),销售计划!AL135))</f>
        <v>0</v>
      </c>
      <c r="AL60" s="135">
        <f>IF(AL$2&lt;基础信息!$E$13,0,IF(AL$2=基础信息!$E$13,SUM(销售计划!$D135:AM135),销售计划!AM135))</f>
        <v>0</v>
      </c>
      <c r="AM60" s="135">
        <f>IF(AM$2&lt;基础信息!$E$13,0,IF(AM$2=基础信息!$E$13,SUM(销售计划!$D135:AN135),销售计划!AN135))</f>
        <v>0</v>
      </c>
      <c r="AN60" s="135">
        <f>IF(AN$2&lt;基础信息!$E$13,0,IF(AN$2=基础信息!$E$13,SUM(销售计划!$D135:AO135),销售计划!AO135))</f>
        <v>0</v>
      </c>
      <c r="AO60" s="135">
        <f>IF(AO$2&lt;基础信息!$E$13,0,IF(AO$2=基础信息!$E$13,SUM(销售计划!$D135:AP135),销售计划!AP135))</f>
        <v>0</v>
      </c>
      <c r="AP60" s="135">
        <f>IF(AP$2&lt;基础信息!$E$13,0,IF(AP$2=基础信息!$E$13,SUM(销售计划!$D135:AQ135),销售计划!AQ135))</f>
        <v>0</v>
      </c>
      <c r="AQ60" s="135">
        <f>IF(AQ$2&lt;基础信息!$E$13,0,IF(AQ$2=基础信息!$E$13,SUM(销售计划!$D135:AR135),销售计划!AR135))</f>
        <v>0</v>
      </c>
      <c r="AR60" s="135">
        <f>IF(AR$2&lt;基础信息!$E$13,0,IF(AR$2=基础信息!$E$13,SUM(销售计划!$D135:AS135),销售计划!AS135))</f>
        <v>0</v>
      </c>
      <c r="AS60" s="135">
        <f>IF(AS$2&lt;基础信息!$E$13,0,IF(AS$2=基础信息!$E$13,SUM(销售计划!$D135:AT135),销售计划!AT135))</f>
        <v>0</v>
      </c>
      <c r="AT60" s="135">
        <f>IF(AT$2&lt;基础信息!$E$13,0,IF(AT$2=基础信息!$E$13,SUM(销售计划!$D135:AU135),销售计划!AU135))</f>
        <v>0</v>
      </c>
      <c r="AU60" s="135">
        <f>IF(AU$2&lt;基础信息!$E$13,0,IF(AU$2=基础信息!$E$13,SUM(销售计划!$D135:AV135),销售计划!AV135))</f>
        <v>0</v>
      </c>
      <c r="AV60" s="135">
        <f>IF(AV$2&lt;基础信息!$E$13,0,IF(AV$2=基础信息!$E$13,SUM(销售计划!$D135:AW135),销售计划!AW135))</f>
        <v>0</v>
      </c>
      <c r="AW60" s="135">
        <f>IF(AW$2&lt;基础信息!$E$13,0,IF(AW$2=基础信息!$E$13,SUM(销售计划!$D135:AX135),销售计划!AX135))</f>
        <v>0</v>
      </c>
      <c r="AX60" s="135">
        <f>IF(AX$2&lt;基础信息!$E$13,0,IF(AX$2=基础信息!$E$13,SUM(销售计划!$D135:AY135),销售计划!AY135))</f>
        <v>0</v>
      </c>
      <c r="AY60" s="135">
        <f>IF(AY$2&lt;基础信息!$E$13,0,IF(AY$2=基础信息!$E$13,SUM(销售计划!$D135:AZ135),销售计划!AZ135))</f>
        <v>0</v>
      </c>
      <c r="AZ60" s="135">
        <f>IF(AZ$2&lt;基础信息!$E$13,0,IF(AZ$2=基础信息!$E$13,SUM(销售计划!$D135:BA135),销售计划!BA135))</f>
        <v>0</v>
      </c>
      <c r="BA60" s="135">
        <f>IF(BA$2&lt;基础信息!$E$13,0,IF(BA$2=基础信息!$E$13,SUM(销售计划!$D135:BB135),销售计划!BB135))</f>
        <v>0</v>
      </c>
      <c r="BB60" s="135">
        <f>IF(BB$2&lt;基础信息!$E$13,0,IF(BB$2=基础信息!$E$13,SUM(销售计划!$D135:BC135),销售计划!BC135))</f>
        <v>0</v>
      </c>
      <c r="BC60" s="135">
        <f>IF(BC$2&lt;基础信息!$E$13,0,IF(BC$2=基础信息!$E$13,SUM(销售计划!$D135:BD135),销售计划!BD135))</f>
        <v>0</v>
      </c>
      <c r="BD60" s="135">
        <f>IF(BD$2&lt;基础信息!$E$13,0,IF(BD$2=基础信息!$E$13,SUM(销售计划!$D135:BE135),销售计划!BE135))</f>
        <v>0</v>
      </c>
      <c r="BE60" s="135">
        <f>IF(BE$2&lt;基础信息!$E$13,0,IF(BE$2=基础信息!$E$13,SUM(销售计划!$D135:BF135),销售计划!BF135))</f>
        <v>0</v>
      </c>
      <c r="BF60" s="135">
        <f>IF(BF$2&lt;基础信息!$E$13,0,IF(BF$2=基础信息!$E$13,SUM(销售计划!$D135:BG135),销售计划!BG135))</f>
        <v>0</v>
      </c>
      <c r="BG60" s="135">
        <f>IF(BG$2&lt;基础信息!$E$13,0,IF(BG$2=基础信息!$E$13,SUM(销售计划!$D135:BH135),销售计划!BH135))</f>
        <v>0</v>
      </c>
      <c r="BH60" s="135">
        <f>IF(BH$2&lt;基础信息!$E$13,0,IF(BH$2=基础信息!$E$13,SUM(销售计划!$D135:BI135),销售计划!BI135))</f>
        <v>0</v>
      </c>
      <c r="BI60" s="135">
        <f>IF(BI$2&lt;基础信息!$E$13,0,IF(BI$2=基础信息!$E$13,SUM(销售计划!$D135:BJ135),销售计划!BJ135))</f>
        <v>0</v>
      </c>
      <c r="BJ60" s="135">
        <f>IF(BJ$2&lt;基础信息!$E$13,0,IF(BJ$2=基础信息!$E$13,SUM(销售计划!$D135:BK135),销售计划!BK135))</f>
        <v>0</v>
      </c>
      <c r="BK60" s="135">
        <f>IF(BK$2&lt;基础信息!$E$13,0,IF(BK$2=基础信息!$E$13,SUM(销售计划!$D135:BL135),销售计划!BL135))</f>
        <v>0</v>
      </c>
      <c r="BL60" s="135">
        <f>IF(BL$2&lt;基础信息!$E$13,0,IF(BL$2=基础信息!$E$13,SUM(销售计划!$D135:BM135),销售计划!BM135))</f>
        <v>0</v>
      </c>
      <c r="BM60" s="135">
        <f>IF(BM$2&lt;基础信息!$E$13,0,IF(BM$2=基础信息!$E$13,SUM(销售计划!$D135:BN135),销售计划!BN135))</f>
        <v>0</v>
      </c>
      <c r="BN60" s="135">
        <f>IF(BN$2&lt;基础信息!$E$13,0,IF(BN$2=基础信息!$E$13,SUM(销售计划!$D135:BO135),销售计划!BO135))</f>
        <v>0</v>
      </c>
      <c r="BO60" s="135">
        <f>IF(BO$2&lt;基础信息!$E$13,0,IF(BO$2=基础信息!$E$13,SUM(销售计划!$D135:BP135),销售计划!BP135))</f>
        <v>0</v>
      </c>
      <c r="BP60" s="135">
        <f>IF(BP$2&lt;基础信息!$E$13,0,IF(BP$2=基础信息!$E$13,SUM(销售计划!$D135:BQ135),销售计划!BQ135))</f>
        <v>0</v>
      </c>
      <c r="BQ60" s="135">
        <f>IF(BQ$2&lt;基础信息!$E$13,0,IF(BQ$2=基础信息!$E$13,SUM(销售计划!$D135:BR135),销售计划!BR135))</f>
        <v>0</v>
      </c>
      <c r="BR60" s="135">
        <f>IF(BR$2&lt;基础信息!$E$13,0,IF(BR$2=基础信息!$E$13,SUM(销售计划!$D135:BS135),销售计划!BS135))</f>
        <v>0</v>
      </c>
      <c r="BS60" s="135">
        <f>IF(BS$2&lt;基础信息!$E$13,0,IF(BS$2=基础信息!$E$13,SUM(销售计划!$D135:BT135),销售计划!BT135))</f>
        <v>0</v>
      </c>
      <c r="BT60" s="135">
        <f>IF(BT$2&lt;基础信息!$E$13,0,IF(BT$2=基础信息!$E$13,SUM(销售计划!$D135:BU135),销售计划!BU135))</f>
        <v>0</v>
      </c>
      <c r="BU60" s="135">
        <f>IF(BU$2&lt;基础信息!$E$13,0,IF(BU$2=基础信息!$E$13,SUM(销售计划!$D135:BV135),销售计划!BV135))</f>
        <v>0</v>
      </c>
    </row>
    <row r="61" spans="1:73" s="126" customFormat="1" ht="13" outlineLevel="1">
      <c r="A61" s="127">
        <f>销售计划!A136</f>
        <v>0</v>
      </c>
      <c r="B61" s="128" t="s">
        <v>932</v>
      </c>
      <c r="C61" s="128">
        <f>IF(C60&gt;0,C62/C60*10000,0)</f>
        <v>0</v>
      </c>
      <c r="D61" s="250">
        <f t="shared" ref="D61:AS61" si="88">IF(D60&gt;0,D62/D60*10000,0)</f>
        <v>0</v>
      </c>
      <c r="E61" s="250">
        <f t="shared" si="88"/>
        <v>0</v>
      </c>
      <c r="F61" s="250">
        <f t="shared" si="88"/>
        <v>0</v>
      </c>
      <c r="G61" s="250">
        <f t="shared" si="88"/>
        <v>0</v>
      </c>
      <c r="H61" s="250">
        <f t="shared" si="88"/>
        <v>0</v>
      </c>
      <c r="I61" s="250">
        <f t="shared" si="88"/>
        <v>0</v>
      </c>
      <c r="J61" s="250">
        <f t="shared" si="88"/>
        <v>0</v>
      </c>
      <c r="K61" s="250">
        <f t="shared" si="88"/>
        <v>0</v>
      </c>
      <c r="L61" s="250">
        <f t="shared" si="88"/>
        <v>0</v>
      </c>
      <c r="M61" s="250">
        <f t="shared" si="88"/>
        <v>0</v>
      </c>
      <c r="N61" s="250">
        <f t="shared" si="88"/>
        <v>0</v>
      </c>
      <c r="O61" s="250">
        <f t="shared" si="88"/>
        <v>0</v>
      </c>
      <c r="P61" s="250">
        <f t="shared" si="88"/>
        <v>0</v>
      </c>
      <c r="Q61" s="250">
        <f t="shared" si="88"/>
        <v>0</v>
      </c>
      <c r="R61" s="250">
        <f t="shared" si="88"/>
        <v>0</v>
      </c>
      <c r="S61" s="250">
        <f t="shared" si="88"/>
        <v>0</v>
      </c>
      <c r="T61" s="250">
        <f t="shared" si="88"/>
        <v>0</v>
      </c>
      <c r="U61" s="250">
        <f t="shared" si="88"/>
        <v>0</v>
      </c>
      <c r="V61" s="250">
        <f t="shared" si="88"/>
        <v>0</v>
      </c>
      <c r="W61" s="250">
        <f t="shared" si="88"/>
        <v>0</v>
      </c>
      <c r="X61" s="250">
        <f t="shared" si="88"/>
        <v>0</v>
      </c>
      <c r="Y61" s="250">
        <f t="shared" si="88"/>
        <v>0</v>
      </c>
      <c r="Z61" s="250">
        <f t="shared" si="88"/>
        <v>0</v>
      </c>
      <c r="AA61" s="250">
        <f t="shared" si="88"/>
        <v>0</v>
      </c>
      <c r="AB61" s="250">
        <f t="shared" si="88"/>
        <v>0</v>
      </c>
      <c r="AC61" s="250">
        <f t="shared" si="88"/>
        <v>0</v>
      </c>
      <c r="AD61" s="250">
        <f t="shared" si="88"/>
        <v>0</v>
      </c>
      <c r="AE61" s="250">
        <f t="shared" si="88"/>
        <v>0</v>
      </c>
      <c r="AF61" s="250">
        <f t="shared" si="88"/>
        <v>0</v>
      </c>
      <c r="AG61" s="250">
        <f t="shared" si="88"/>
        <v>0</v>
      </c>
      <c r="AH61" s="250">
        <f t="shared" si="88"/>
        <v>0</v>
      </c>
      <c r="AI61" s="250">
        <f t="shared" si="88"/>
        <v>0</v>
      </c>
      <c r="AJ61" s="130">
        <f t="shared" si="88"/>
        <v>0</v>
      </c>
      <c r="AK61" s="250">
        <f t="shared" si="88"/>
        <v>0</v>
      </c>
      <c r="AL61" s="250">
        <f t="shared" si="88"/>
        <v>0</v>
      </c>
      <c r="AM61" s="250">
        <f t="shared" si="88"/>
        <v>0</v>
      </c>
      <c r="AN61" s="250">
        <f t="shared" si="88"/>
        <v>0</v>
      </c>
      <c r="AO61" s="250">
        <f t="shared" si="88"/>
        <v>0</v>
      </c>
      <c r="AP61" s="250">
        <f t="shared" si="88"/>
        <v>0</v>
      </c>
      <c r="AQ61" s="250">
        <f t="shared" si="88"/>
        <v>0</v>
      </c>
      <c r="AR61" s="250">
        <f t="shared" si="88"/>
        <v>0</v>
      </c>
      <c r="AS61" s="250">
        <f t="shared" si="88"/>
        <v>0</v>
      </c>
      <c r="AT61" s="250">
        <f t="shared" ref="AT61:BP61" si="89">IF(AT60&gt;0,AT62/AT60*10000,0)</f>
        <v>0</v>
      </c>
      <c r="AU61" s="250">
        <f t="shared" si="89"/>
        <v>0</v>
      </c>
      <c r="AV61" s="250">
        <f t="shared" si="89"/>
        <v>0</v>
      </c>
      <c r="AW61" s="250">
        <f t="shared" si="89"/>
        <v>0</v>
      </c>
      <c r="AX61" s="250">
        <f t="shared" si="89"/>
        <v>0</v>
      </c>
      <c r="AY61" s="250">
        <f t="shared" si="89"/>
        <v>0</v>
      </c>
      <c r="AZ61" s="250">
        <f t="shared" si="89"/>
        <v>0</v>
      </c>
      <c r="BA61" s="250">
        <f t="shared" si="89"/>
        <v>0</v>
      </c>
      <c r="BB61" s="250">
        <f t="shared" si="89"/>
        <v>0</v>
      </c>
      <c r="BC61" s="250">
        <f t="shared" si="89"/>
        <v>0</v>
      </c>
      <c r="BD61" s="250">
        <f t="shared" si="89"/>
        <v>0</v>
      </c>
      <c r="BE61" s="250">
        <f t="shared" si="89"/>
        <v>0</v>
      </c>
      <c r="BF61" s="250">
        <f t="shared" si="89"/>
        <v>0</v>
      </c>
      <c r="BG61" s="250">
        <f t="shared" si="89"/>
        <v>0</v>
      </c>
      <c r="BH61" s="250">
        <f t="shared" si="89"/>
        <v>0</v>
      </c>
      <c r="BI61" s="250">
        <f t="shared" si="89"/>
        <v>0</v>
      </c>
      <c r="BJ61" s="250">
        <f t="shared" si="89"/>
        <v>0</v>
      </c>
      <c r="BK61" s="250">
        <f t="shared" si="89"/>
        <v>0</v>
      </c>
      <c r="BL61" s="250">
        <f t="shared" si="89"/>
        <v>0</v>
      </c>
      <c r="BM61" s="250">
        <f t="shared" si="89"/>
        <v>0</v>
      </c>
      <c r="BN61" s="250">
        <f t="shared" si="89"/>
        <v>0</v>
      </c>
      <c r="BO61" s="250">
        <f t="shared" si="89"/>
        <v>0</v>
      </c>
      <c r="BP61" s="250">
        <f t="shared" si="89"/>
        <v>0</v>
      </c>
      <c r="BQ61" s="250">
        <f t="shared" ref="BQ61:BU61" si="90">IF(BQ60&gt;0,BQ62/BQ60*10000,0)</f>
        <v>0</v>
      </c>
      <c r="BR61" s="250">
        <f t="shared" si="90"/>
        <v>0</v>
      </c>
      <c r="BS61" s="250">
        <f t="shared" si="90"/>
        <v>0</v>
      </c>
      <c r="BT61" s="250">
        <f t="shared" si="90"/>
        <v>0</v>
      </c>
      <c r="BU61" s="250">
        <f t="shared" si="90"/>
        <v>0</v>
      </c>
    </row>
    <row r="62" spans="1:73" outlineLevel="1">
      <c r="A62" s="132">
        <f>销售计划!A137</f>
        <v>0</v>
      </c>
      <c r="B62" s="133" t="s">
        <v>841</v>
      </c>
      <c r="C62" s="133">
        <f>SUM(D62:AS62)</f>
        <v>0</v>
      </c>
      <c r="D62" s="133">
        <f>IF(D$2&lt;基础信息!$E$13,0,IF(D$2=基础信息!$E$13,SUM(销售计划!$D137:E137),销售计划!E137))</f>
        <v>0</v>
      </c>
      <c r="E62" s="133">
        <f>IF(E$2&lt;基础信息!$E$13,0,IF(E$2=基础信息!$E$13,SUM(销售计划!$D137:F137),销售计划!F137))</f>
        <v>0</v>
      </c>
      <c r="F62" s="133">
        <f>IF(F$2&lt;基础信息!$E$13,0,IF(F$2=基础信息!$E$13,SUM(销售计划!$D137:G137),销售计划!G137))</f>
        <v>0</v>
      </c>
      <c r="G62" s="133">
        <f>IF(G$2&lt;基础信息!$E$13,0,IF(G$2=基础信息!$E$13,SUM(销售计划!$D137:H137),销售计划!H137))</f>
        <v>0</v>
      </c>
      <c r="H62" s="133">
        <f>IF(H$2&lt;基础信息!$E$13,0,IF(H$2=基础信息!$E$13,SUM(销售计划!$D137:I137),销售计划!I137))</f>
        <v>0</v>
      </c>
      <c r="I62" s="133">
        <f>IF(I$2&lt;基础信息!$E$13,0,IF(I$2=基础信息!$E$13,SUM(销售计划!$D137:J137),销售计划!J137))</f>
        <v>0</v>
      </c>
      <c r="J62" s="133">
        <f>IF(J$2&lt;基础信息!$E$13,0,IF(J$2=基础信息!$E$13,SUM(销售计划!$D137:K137),销售计划!K137))</f>
        <v>0</v>
      </c>
      <c r="K62" s="133">
        <f>IF(K$2&lt;基础信息!$E$13,0,IF(K$2=基础信息!$E$13,SUM(销售计划!$D137:L137),销售计划!L137))</f>
        <v>0</v>
      </c>
      <c r="L62" s="133">
        <f>IF(L$2&lt;基础信息!$E$13,0,IF(L$2=基础信息!$E$13,SUM(销售计划!$D137:M137),销售计划!M137))</f>
        <v>0</v>
      </c>
      <c r="M62" s="133">
        <f>IF(M$2&lt;基础信息!$E$13,0,IF(M$2=基础信息!$E$13,SUM(销售计划!$D137:N137),销售计划!N137))</f>
        <v>0</v>
      </c>
      <c r="N62" s="133">
        <f>IF(N$2&lt;基础信息!$E$13,0,IF(N$2=基础信息!$E$13,SUM(销售计划!$D137:O137),销售计划!O137))</f>
        <v>0</v>
      </c>
      <c r="O62" s="133">
        <f>IF(O$2&lt;基础信息!$E$13,0,IF(O$2=基础信息!$E$13,SUM(销售计划!$D137:P137),销售计划!P137))</f>
        <v>0</v>
      </c>
      <c r="P62" s="133">
        <f>IF(P$2&lt;基础信息!$E$13,0,IF(P$2=基础信息!$E$13,SUM(销售计划!$D137:Q137),销售计划!Q137))</f>
        <v>0</v>
      </c>
      <c r="Q62" s="133">
        <f>IF(Q$2&lt;基础信息!$E$13,0,IF(Q$2=基础信息!$E$13,SUM(销售计划!$D137:R137),销售计划!R137))</f>
        <v>0</v>
      </c>
      <c r="R62" s="133">
        <f>IF(R$2&lt;基础信息!$E$13,0,IF(R$2=基础信息!$E$13,SUM(销售计划!$D137:S137),销售计划!S137))</f>
        <v>0</v>
      </c>
      <c r="S62" s="133">
        <f>IF(S$2&lt;基础信息!$E$13,0,IF(S$2=基础信息!$E$13,SUM(销售计划!$D137:T137),销售计划!T137))</f>
        <v>0</v>
      </c>
      <c r="T62" s="133">
        <f>IF(T$2&lt;基础信息!$E$13,0,IF(T$2=基础信息!$E$13,SUM(销售计划!$D137:U137),销售计划!U137))</f>
        <v>0</v>
      </c>
      <c r="U62" s="133">
        <f>IF(U$2&lt;基础信息!$E$13,0,IF(U$2=基础信息!$E$13,SUM(销售计划!$D137:V137),销售计划!V137))</f>
        <v>0</v>
      </c>
      <c r="V62" s="133">
        <f>IF(V$2&lt;基础信息!$E$13,0,IF(V$2=基础信息!$E$13,SUM(销售计划!$D137:W137),销售计划!W137))</f>
        <v>0</v>
      </c>
      <c r="W62" s="133">
        <f>IF(W$2&lt;基础信息!$E$13,0,IF(W$2=基础信息!$E$13,SUM(销售计划!$D137:X137),销售计划!X137))</f>
        <v>0</v>
      </c>
      <c r="X62" s="133">
        <f>IF(X$2&lt;基础信息!$E$13,0,IF(X$2=基础信息!$E$13,SUM(销售计划!$D137:Y137),销售计划!Y137))</f>
        <v>0</v>
      </c>
      <c r="Y62" s="133">
        <f>IF(Y$2&lt;基础信息!$E$13,0,IF(Y$2=基础信息!$E$13,SUM(销售计划!$D137:Z137),销售计划!Z137))</f>
        <v>0</v>
      </c>
      <c r="Z62" s="133">
        <f>IF(Z$2&lt;基础信息!$E$13,0,IF(Z$2=基础信息!$E$13,SUM(销售计划!$D137:AA137),销售计划!AA137))</f>
        <v>0</v>
      </c>
      <c r="AA62" s="133">
        <f>IF(AA$2&lt;基础信息!$E$13,0,IF(AA$2=基础信息!$E$13,SUM(销售计划!$D137:AB137),销售计划!AB137))</f>
        <v>0</v>
      </c>
      <c r="AB62" s="133">
        <f>IF(AB$2&lt;基础信息!$E$13,0,IF(AB$2=基础信息!$E$13,SUM(销售计划!$D137:AC137),销售计划!AC137))</f>
        <v>0</v>
      </c>
      <c r="AC62" s="133">
        <f>IF(AC$2&lt;基础信息!$E$13,0,IF(AC$2=基础信息!$E$13,SUM(销售计划!$D137:AD137),销售计划!AD137))</f>
        <v>0</v>
      </c>
      <c r="AD62" s="133">
        <f>IF(AD$2&lt;基础信息!$E$13,0,IF(AD$2=基础信息!$E$13,SUM(销售计划!$D137:AE137),销售计划!AE137))</f>
        <v>0</v>
      </c>
      <c r="AE62" s="133">
        <f>IF(AE$2&lt;基础信息!$E$13,0,IF(AE$2=基础信息!$E$13,SUM(销售计划!$D137:AF137),销售计划!AF137))</f>
        <v>0</v>
      </c>
      <c r="AF62" s="133">
        <f>IF(AF$2&lt;基础信息!$E$13,0,IF(AF$2=基础信息!$E$13,SUM(销售计划!$D137:AG137),销售计划!AG137))</f>
        <v>0</v>
      </c>
      <c r="AG62" s="133">
        <f>IF(AG$2&lt;基础信息!$E$13,0,IF(AG$2=基础信息!$E$13,SUM(销售计划!$D137:AH137),销售计划!AH137))</f>
        <v>0</v>
      </c>
      <c r="AH62" s="133">
        <f>IF(AH$2&lt;基础信息!$E$13,0,IF(AH$2=基础信息!$E$13,SUM(销售计划!$D137:AI137),销售计划!AI137))</f>
        <v>0</v>
      </c>
      <c r="AI62" s="133">
        <f>IF(AI$2&lt;基础信息!$E$13,0,IF(AI$2=基础信息!$E$13,SUM(销售计划!$D137:AJ137),销售计划!AJ137))</f>
        <v>0</v>
      </c>
      <c r="AJ62" s="133">
        <f>IF(AJ$2&lt;基础信息!$E$13,0,IF(AJ$2=基础信息!$E$13,SUM(销售计划!$D137:AK137),销售计划!AK137))</f>
        <v>0</v>
      </c>
      <c r="AK62" s="133">
        <f>IF(AK$2&lt;基础信息!$E$13,0,IF(AK$2=基础信息!$E$13,SUM(销售计划!$D137:AL137),销售计划!AL137))</f>
        <v>0</v>
      </c>
      <c r="AL62" s="133">
        <f>IF(AL$2&lt;基础信息!$E$13,0,IF(AL$2=基础信息!$E$13,SUM(销售计划!$D137:AM137),销售计划!AM137))</f>
        <v>0</v>
      </c>
      <c r="AM62" s="133">
        <f>IF(AM$2&lt;基础信息!$E$13,0,IF(AM$2=基础信息!$E$13,SUM(销售计划!$D137:AN137),销售计划!AN137))</f>
        <v>0</v>
      </c>
      <c r="AN62" s="133">
        <f>IF(AN$2&lt;基础信息!$E$13,0,IF(AN$2=基础信息!$E$13,SUM(销售计划!$D137:AO137),销售计划!AO137))</f>
        <v>0</v>
      </c>
      <c r="AO62" s="133">
        <f>IF(AO$2&lt;基础信息!$E$13,0,IF(AO$2=基础信息!$E$13,SUM(销售计划!$D137:AP137),销售计划!AP137))</f>
        <v>0</v>
      </c>
      <c r="AP62" s="133">
        <f>IF(AP$2&lt;基础信息!$E$13,0,IF(AP$2=基础信息!$E$13,SUM(销售计划!$D137:AQ137),销售计划!AQ137))</f>
        <v>0</v>
      </c>
      <c r="AQ62" s="133">
        <f>IF(AQ$2&lt;基础信息!$E$13,0,IF(AQ$2=基础信息!$E$13,SUM(销售计划!$D137:AR137),销售计划!AR137))</f>
        <v>0</v>
      </c>
      <c r="AR62" s="133">
        <f>IF(AR$2&lt;基础信息!$E$13,0,IF(AR$2=基础信息!$E$13,SUM(销售计划!$D137:AS137),销售计划!AS137))</f>
        <v>0</v>
      </c>
      <c r="AS62" s="133">
        <f>IF(AS$2&lt;基础信息!$E$13,0,IF(AS$2=基础信息!$E$13,SUM(销售计划!$D137:AT137),销售计划!AT137))</f>
        <v>0</v>
      </c>
      <c r="AT62" s="133">
        <f>IF(AT$2&lt;基础信息!$E$13,0,IF(AT$2=基础信息!$E$13,SUM(销售计划!$D137:AU137),销售计划!AU137))</f>
        <v>0</v>
      </c>
      <c r="AU62" s="133">
        <f>IF(AU$2&lt;基础信息!$E$13,0,IF(AU$2=基础信息!$E$13,SUM(销售计划!$D137:AV137),销售计划!AV137))</f>
        <v>0</v>
      </c>
      <c r="AV62" s="133">
        <f>IF(AV$2&lt;基础信息!$E$13,0,IF(AV$2=基础信息!$E$13,SUM(销售计划!$D137:AW137),销售计划!AW137))</f>
        <v>0</v>
      </c>
      <c r="AW62" s="133">
        <f>IF(AW$2&lt;基础信息!$E$13,0,IF(AW$2=基础信息!$E$13,SUM(销售计划!$D137:AX137),销售计划!AX137))</f>
        <v>0</v>
      </c>
      <c r="AX62" s="133">
        <f>IF(AX$2&lt;基础信息!$E$13,0,IF(AX$2=基础信息!$E$13,SUM(销售计划!$D137:AY137),销售计划!AY137))</f>
        <v>0</v>
      </c>
      <c r="AY62" s="133">
        <f>IF(AY$2&lt;基础信息!$E$13,0,IF(AY$2=基础信息!$E$13,SUM(销售计划!$D137:AZ137),销售计划!AZ137))</f>
        <v>0</v>
      </c>
      <c r="AZ62" s="133">
        <f>IF(AZ$2&lt;基础信息!$E$13,0,IF(AZ$2=基础信息!$E$13,SUM(销售计划!$D137:BA137),销售计划!BA137))</f>
        <v>0</v>
      </c>
      <c r="BA62" s="133">
        <f>IF(BA$2&lt;基础信息!$E$13,0,IF(BA$2=基础信息!$E$13,SUM(销售计划!$D137:BB137),销售计划!BB137))</f>
        <v>0</v>
      </c>
      <c r="BB62" s="133">
        <f>IF(BB$2&lt;基础信息!$E$13,0,IF(BB$2=基础信息!$E$13,SUM(销售计划!$D137:BC137),销售计划!BC137))</f>
        <v>0</v>
      </c>
      <c r="BC62" s="133">
        <f>IF(BC$2&lt;基础信息!$E$13,0,IF(BC$2=基础信息!$E$13,SUM(销售计划!$D137:BD137),销售计划!BD137))</f>
        <v>0</v>
      </c>
      <c r="BD62" s="133">
        <f>IF(BD$2&lt;基础信息!$E$13,0,IF(BD$2=基础信息!$E$13,SUM(销售计划!$D137:BE137),销售计划!BE137))</f>
        <v>0</v>
      </c>
      <c r="BE62" s="133">
        <f>IF(BE$2&lt;基础信息!$E$13,0,IF(BE$2=基础信息!$E$13,SUM(销售计划!$D137:BF137),销售计划!BF137))</f>
        <v>0</v>
      </c>
      <c r="BF62" s="133">
        <f>IF(BF$2&lt;基础信息!$E$13,0,IF(BF$2=基础信息!$E$13,SUM(销售计划!$D137:BG137),销售计划!BG137))</f>
        <v>0</v>
      </c>
      <c r="BG62" s="133">
        <f>IF(BG$2&lt;基础信息!$E$13,0,IF(BG$2=基础信息!$E$13,SUM(销售计划!$D137:BH137),销售计划!BH137))</f>
        <v>0</v>
      </c>
      <c r="BH62" s="133">
        <f>IF(BH$2&lt;基础信息!$E$13,0,IF(BH$2=基础信息!$E$13,SUM(销售计划!$D137:BI137),销售计划!BI137))</f>
        <v>0</v>
      </c>
      <c r="BI62" s="133">
        <f>IF(BI$2&lt;基础信息!$E$13,0,IF(BI$2=基础信息!$E$13,SUM(销售计划!$D137:BJ137),销售计划!BJ137))</f>
        <v>0</v>
      </c>
      <c r="BJ62" s="133">
        <f>IF(BJ$2&lt;基础信息!$E$13,0,IF(BJ$2=基础信息!$E$13,SUM(销售计划!$D137:BK137),销售计划!BK137))</f>
        <v>0</v>
      </c>
      <c r="BK62" s="133">
        <f>IF(BK$2&lt;基础信息!$E$13,0,IF(BK$2=基础信息!$E$13,SUM(销售计划!$D137:BL137),销售计划!BL137))</f>
        <v>0</v>
      </c>
      <c r="BL62" s="133">
        <f>IF(BL$2&lt;基础信息!$E$13,0,IF(BL$2=基础信息!$E$13,SUM(销售计划!$D137:BM137),销售计划!BM137))</f>
        <v>0</v>
      </c>
      <c r="BM62" s="133">
        <f>IF(BM$2&lt;基础信息!$E$13,0,IF(BM$2=基础信息!$E$13,SUM(销售计划!$D137:BN137),销售计划!BN137))</f>
        <v>0</v>
      </c>
      <c r="BN62" s="133">
        <f>IF(BN$2&lt;基础信息!$E$13,0,IF(BN$2=基础信息!$E$13,SUM(销售计划!$D137:BO137),销售计划!BO137))</f>
        <v>0</v>
      </c>
      <c r="BO62" s="133">
        <f>IF(BO$2&lt;基础信息!$E$13,0,IF(BO$2=基础信息!$E$13,SUM(销售计划!$D137:BP137),销售计划!BP137))</f>
        <v>0</v>
      </c>
      <c r="BP62" s="133">
        <f>IF(BP$2&lt;基础信息!$E$13,0,IF(BP$2=基础信息!$E$13,SUM(销售计划!$D137:BQ137),销售计划!BQ137))</f>
        <v>0</v>
      </c>
      <c r="BQ62" s="133">
        <f>IF(BQ$2&lt;基础信息!$E$13,0,IF(BQ$2=基础信息!$E$13,SUM(销售计划!$D137:BR137),销售计划!BR137))</f>
        <v>0</v>
      </c>
      <c r="BR62" s="133">
        <f>IF(BR$2&lt;基础信息!$E$13,0,IF(BR$2=基础信息!$E$13,SUM(销售计划!$D137:BS137),销售计划!BS137))</f>
        <v>0</v>
      </c>
      <c r="BS62" s="133">
        <f>IF(BS$2&lt;基础信息!$E$13,0,IF(BS$2=基础信息!$E$13,SUM(销售计划!$D137:BT137),销售计划!BT137))</f>
        <v>0</v>
      </c>
      <c r="BT62" s="133">
        <f>IF(BT$2&lt;基础信息!$E$13,0,IF(BT$2=基础信息!$E$13,SUM(销售计划!$D137:BU137),销售计划!BU137))</f>
        <v>0</v>
      </c>
      <c r="BU62" s="133">
        <f>IF(BU$2&lt;基础信息!$E$13,0,IF(BU$2=基础信息!$E$13,SUM(销售计划!$D137:BV137),销售计划!BV137))</f>
        <v>0</v>
      </c>
    </row>
    <row r="63" spans="1:73" s="126" customFormat="1" ht="13" outlineLevel="1">
      <c r="A63" s="127">
        <f>销售计划!A138</f>
        <v>0</v>
      </c>
      <c r="B63" s="128" t="s">
        <v>258</v>
      </c>
      <c r="C63" s="128">
        <f>SUM(D63:AS63)</f>
        <v>0</v>
      </c>
      <c r="D63" s="250">
        <f>IF(D$2&lt;基础信息!$E$13,0,IF(D$2=基础信息!$E$13,SUM(销售计划!$D138:E138),销售计划!E138))</f>
        <v>0</v>
      </c>
      <c r="E63" s="250">
        <f>IF(E$2&lt;基础信息!$E$13,0,IF(E$2=基础信息!$E$13,SUM(销售计划!$D138:F138),销售计划!F138))</f>
        <v>0</v>
      </c>
      <c r="F63" s="250">
        <f>IF(F$2&lt;基础信息!$E$13,0,IF(F$2=基础信息!$E$13,SUM(销售计划!$D138:G138),销售计划!G138))</f>
        <v>0</v>
      </c>
      <c r="G63" s="250">
        <f>IF(G$2&lt;基础信息!$E$13,0,IF(G$2=基础信息!$E$13,SUM(销售计划!$D138:H138),销售计划!H138))</f>
        <v>0</v>
      </c>
      <c r="H63" s="250">
        <f>IF(H$2&lt;基础信息!$E$13,0,IF(H$2=基础信息!$E$13,SUM(销售计划!$D138:I138),销售计划!I138))</f>
        <v>0</v>
      </c>
      <c r="I63" s="250">
        <f>IF(I$2&lt;基础信息!$E$13,0,IF(I$2=基础信息!$E$13,SUM(销售计划!$D138:J138),销售计划!J138))</f>
        <v>0</v>
      </c>
      <c r="J63" s="250">
        <f>IF(J$2&lt;基础信息!$E$13,0,IF(J$2=基础信息!$E$13,SUM(销售计划!$D138:K138),销售计划!K138))</f>
        <v>0</v>
      </c>
      <c r="K63" s="250">
        <f>IF(K$2&lt;基础信息!$E$13,0,IF(K$2=基础信息!$E$13,SUM(销售计划!$D138:L138),销售计划!L138))</f>
        <v>0</v>
      </c>
      <c r="L63" s="250">
        <f>IF(L$2&lt;基础信息!$E$13,0,IF(L$2=基础信息!$E$13,SUM(销售计划!$D138:M138),销售计划!M138))</f>
        <v>0</v>
      </c>
      <c r="M63" s="250">
        <f>IF(M$2&lt;基础信息!$E$13,0,IF(M$2=基础信息!$E$13,SUM(销售计划!$D138:N138),销售计划!N138))</f>
        <v>0</v>
      </c>
      <c r="N63" s="250">
        <f>IF(N$2&lt;基础信息!$E$13,0,IF(N$2=基础信息!$E$13,SUM(销售计划!$D138:O138),销售计划!O138))</f>
        <v>0</v>
      </c>
      <c r="O63" s="250">
        <f>IF(O$2&lt;基础信息!$E$13,0,IF(O$2=基础信息!$E$13,SUM(销售计划!$D138:P138),销售计划!P138))</f>
        <v>0</v>
      </c>
      <c r="P63" s="250">
        <f>IF(P$2&lt;基础信息!$E$13,0,IF(P$2=基础信息!$E$13,SUM(销售计划!$D138:Q138),销售计划!Q138))</f>
        <v>0</v>
      </c>
      <c r="Q63" s="250">
        <f>IF(Q$2&lt;基础信息!$E$13,0,IF(Q$2=基础信息!$E$13,SUM(销售计划!$D138:R138),销售计划!R138))</f>
        <v>0</v>
      </c>
      <c r="R63" s="250">
        <f>IF(R$2&lt;基础信息!$E$13,0,IF(R$2=基础信息!$E$13,SUM(销售计划!$D138:S138),销售计划!S138))</f>
        <v>0</v>
      </c>
      <c r="S63" s="250">
        <f>IF(S$2&lt;基础信息!$E$13,0,IF(S$2=基础信息!$E$13,SUM(销售计划!$D138:T138),销售计划!T138))</f>
        <v>0</v>
      </c>
      <c r="T63" s="135">
        <f>IF(T$2&lt;基础信息!$E$13,0,IF(T$2=基础信息!$E$13,SUM(销售计划!$D138:U138),销售计划!U138))</f>
        <v>0</v>
      </c>
      <c r="U63" s="135">
        <f>IF(U$2&lt;基础信息!$E$13,0,IF(U$2=基础信息!$E$13,SUM(销售计划!$D138:V138),销售计划!V138))</f>
        <v>0</v>
      </c>
      <c r="V63" s="135">
        <f>IF(V$2&lt;基础信息!$E$13,0,IF(V$2=基础信息!$E$13,SUM(销售计划!$D138:W138),销售计划!W138))</f>
        <v>0</v>
      </c>
      <c r="W63" s="135">
        <f>IF(W$2&lt;基础信息!$E$13,0,IF(W$2=基础信息!$E$13,SUM(销售计划!$D138:X138),销售计划!X138))</f>
        <v>0</v>
      </c>
      <c r="X63" s="135">
        <f>IF(X$2&lt;基础信息!$E$13,0,IF(X$2=基础信息!$E$13,SUM(销售计划!$D138:Y138),销售计划!Y138))</f>
        <v>0</v>
      </c>
      <c r="Y63" s="135">
        <f>IF(Y$2&lt;基础信息!$E$13,0,IF(Y$2=基础信息!$E$13,SUM(销售计划!$D138:Z138),销售计划!Z138))</f>
        <v>0</v>
      </c>
      <c r="Z63" s="135">
        <f>IF(Z$2&lt;基础信息!$E$13,0,IF(Z$2=基础信息!$E$13,SUM(销售计划!$D138:AA138),销售计划!AA138))</f>
        <v>0</v>
      </c>
      <c r="AA63" s="135">
        <f>IF(AA$2&lt;基础信息!$E$13,0,IF(AA$2=基础信息!$E$13,SUM(销售计划!$D138:AB138),销售计划!AB138))</f>
        <v>0</v>
      </c>
      <c r="AB63" s="135">
        <f>IF(AB$2&lt;基础信息!$E$13,0,IF(AB$2=基础信息!$E$13,SUM(销售计划!$D138:AC138),销售计划!AC138))</f>
        <v>0</v>
      </c>
      <c r="AC63" s="135">
        <f>IF(AC$2&lt;基础信息!$E$13,0,IF(AC$2=基础信息!$E$13,SUM(销售计划!$D138:AD138),销售计划!AD138))</f>
        <v>0</v>
      </c>
      <c r="AD63" s="135">
        <f>IF(AD$2&lt;基础信息!$E$13,0,IF(AD$2=基础信息!$E$13,SUM(销售计划!$D138:AE138),销售计划!AE138))</f>
        <v>0</v>
      </c>
      <c r="AE63" s="135">
        <f>IF(AE$2&lt;基础信息!$E$13,0,IF(AE$2=基础信息!$E$13,SUM(销售计划!$D138:AF138),销售计划!AF138))</f>
        <v>0</v>
      </c>
      <c r="AF63" s="135">
        <f>IF(AF$2&lt;基础信息!$E$13,0,IF(AF$2=基础信息!$E$13,SUM(销售计划!$D138:AG138),销售计划!AG138))</f>
        <v>0</v>
      </c>
      <c r="AG63" s="135">
        <f>IF(AG$2&lt;基础信息!$E$13,0,IF(AG$2=基础信息!$E$13,SUM(销售计划!$D138:AH138),销售计划!AH138))</f>
        <v>0</v>
      </c>
      <c r="AH63" s="135">
        <f>IF(AH$2&lt;基础信息!$E$13,0,IF(AH$2=基础信息!$E$13,SUM(销售计划!$D138:AI138),销售计划!AI138))</f>
        <v>0</v>
      </c>
      <c r="AI63" s="135">
        <f>IF(AI$2&lt;基础信息!$E$13,0,IF(AI$2=基础信息!$E$13,SUM(销售计划!$D138:AJ138),销售计划!AJ138))</f>
        <v>0</v>
      </c>
      <c r="AJ63" s="135">
        <f>IF(AJ$2&lt;基础信息!$E$13,0,IF(AJ$2=基础信息!$E$13,SUM(销售计划!$D138:AK138),销售计划!AK138))</f>
        <v>0</v>
      </c>
      <c r="AK63" s="135">
        <f>IF(AK$2&lt;基础信息!$E$13,0,IF(AK$2=基础信息!$E$13,SUM(销售计划!$D138:AL138),销售计划!AL138))</f>
        <v>0</v>
      </c>
      <c r="AL63" s="135">
        <f>IF(AL$2&lt;基础信息!$E$13,0,IF(AL$2=基础信息!$E$13,SUM(销售计划!$D138:AM138),销售计划!AM138))</f>
        <v>0</v>
      </c>
      <c r="AM63" s="135">
        <f>IF(AM$2&lt;基础信息!$E$13,0,IF(AM$2=基础信息!$E$13,SUM(销售计划!$D138:AN138),销售计划!AN138))</f>
        <v>0</v>
      </c>
      <c r="AN63" s="135">
        <f>IF(AN$2&lt;基础信息!$E$13,0,IF(AN$2=基础信息!$E$13,SUM(销售计划!$D138:AO138),销售计划!AO138))</f>
        <v>0</v>
      </c>
      <c r="AO63" s="135">
        <f>IF(AO$2&lt;基础信息!$E$13,0,IF(AO$2=基础信息!$E$13,SUM(销售计划!$D138:AP138),销售计划!AP138))</f>
        <v>0</v>
      </c>
      <c r="AP63" s="135">
        <f>IF(AP$2&lt;基础信息!$E$13,0,IF(AP$2=基础信息!$E$13,SUM(销售计划!$D138:AQ138),销售计划!AQ138))</f>
        <v>0</v>
      </c>
      <c r="AQ63" s="135">
        <f>IF(AQ$2&lt;基础信息!$E$13,0,IF(AQ$2=基础信息!$E$13,SUM(销售计划!$D138:AR138),销售计划!AR138))</f>
        <v>0</v>
      </c>
      <c r="AR63" s="135">
        <f>IF(AR$2&lt;基础信息!$E$13,0,IF(AR$2=基础信息!$E$13,SUM(销售计划!$D138:AS138),销售计划!AS138))</f>
        <v>0</v>
      </c>
      <c r="AS63" s="135">
        <f>IF(AS$2&lt;基础信息!$E$13,0,IF(AS$2=基础信息!$E$13,SUM(销售计划!$D138:AT138),销售计划!AT138))</f>
        <v>0</v>
      </c>
      <c r="AT63" s="135">
        <f>IF(AT$2&lt;基础信息!$E$13,0,IF(AT$2=基础信息!$E$13,SUM(销售计划!$D138:AU138),销售计划!AU138))</f>
        <v>0</v>
      </c>
      <c r="AU63" s="135">
        <f>IF(AU$2&lt;基础信息!$E$13,0,IF(AU$2=基础信息!$E$13,SUM(销售计划!$D138:AV138),销售计划!AV138))</f>
        <v>0</v>
      </c>
      <c r="AV63" s="135">
        <f>IF(AV$2&lt;基础信息!$E$13,0,IF(AV$2=基础信息!$E$13,SUM(销售计划!$D138:AW138),销售计划!AW138))</f>
        <v>0</v>
      </c>
      <c r="AW63" s="135">
        <f>IF(AW$2&lt;基础信息!$E$13,0,IF(AW$2=基础信息!$E$13,SUM(销售计划!$D138:AX138),销售计划!AX138))</f>
        <v>0</v>
      </c>
      <c r="AX63" s="135">
        <f>IF(AX$2&lt;基础信息!$E$13,0,IF(AX$2=基础信息!$E$13,SUM(销售计划!$D138:AY138),销售计划!AY138))</f>
        <v>0</v>
      </c>
      <c r="AY63" s="135">
        <f>IF(AY$2&lt;基础信息!$E$13,0,IF(AY$2=基础信息!$E$13,SUM(销售计划!$D138:AZ138),销售计划!AZ138))</f>
        <v>0</v>
      </c>
      <c r="AZ63" s="135">
        <f>IF(AZ$2&lt;基础信息!$E$13,0,IF(AZ$2=基础信息!$E$13,SUM(销售计划!$D138:BA138),销售计划!BA138))</f>
        <v>0</v>
      </c>
      <c r="BA63" s="135">
        <f>IF(BA$2&lt;基础信息!$E$13,0,IF(BA$2=基础信息!$E$13,SUM(销售计划!$D138:BB138),销售计划!BB138))</f>
        <v>0</v>
      </c>
      <c r="BB63" s="135">
        <f>IF(BB$2&lt;基础信息!$E$13,0,IF(BB$2=基础信息!$E$13,SUM(销售计划!$D138:BC138),销售计划!BC138))</f>
        <v>0</v>
      </c>
      <c r="BC63" s="135">
        <f>IF(BC$2&lt;基础信息!$E$13,0,IF(BC$2=基础信息!$E$13,SUM(销售计划!$D138:BD138),销售计划!BD138))</f>
        <v>0</v>
      </c>
      <c r="BD63" s="135">
        <f>IF(BD$2&lt;基础信息!$E$13,0,IF(BD$2=基础信息!$E$13,SUM(销售计划!$D138:BE138),销售计划!BE138))</f>
        <v>0</v>
      </c>
      <c r="BE63" s="135">
        <f>IF(BE$2&lt;基础信息!$E$13,0,IF(BE$2=基础信息!$E$13,SUM(销售计划!$D138:BF138),销售计划!BF138))</f>
        <v>0</v>
      </c>
      <c r="BF63" s="135">
        <f>IF(BF$2&lt;基础信息!$E$13,0,IF(BF$2=基础信息!$E$13,SUM(销售计划!$D138:BG138),销售计划!BG138))</f>
        <v>0</v>
      </c>
      <c r="BG63" s="135">
        <f>IF(BG$2&lt;基础信息!$E$13,0,IF(BG$2=基础信息!$E$13,SUM(销售计划!$D138:BH138),销售计划!BH138))</f>
        <v>0</v>
      </c>
      <c r="BH63" s="135">
        <f>IF(BH$2&lt;基础信息!$E$13,0,IF(BH$2=基础信息!$E$13,SUM(销售计划!$D138:BI138),销售计划!BI138))</f>
        <v>0</v>
      </c>
      <c r="BI63" s="135">
        <f>IF(BI$2&lt;基础信息!$E$13,0,IF(BI$2=基础信息!$E$13,SUM(销售计划!$D138:BJ138),销售计划!BJ138))</f>
        <v>0</v>
      </c>
      <c r="BJ63" s="135">
        <f>IF(BJ$2&lt;基础信息!$E$13,0,IF(BJ$2=基础信息!$E$13,SUM(销售计划!$D138:BK138),销售计划!BK138))</f>
        <v>0</v>
      </c>
      <c r="BK63" s="135">
        <f>IF(BK$2&lt;基础信息!$E$13,0,IF(BK$2=基础信息!$E$13,SUM(销售计划!$D138:BL138),销售计划!BL138))</f>
        <v>0</v>
      </c>
      <c r="BL63" s="135">
        <f>IF(BL$2&lt;基础信息!$E$13,0,IF(BL$2=基础信息!$E$13,SUM(销售计划!$D138:BM138),销售计划!BM138))</f>
        <v>0</v>
      </c>
      <c r="BM63" s="135">
        <f>IF(BM$2&lt;基础信息!$E$13,0,IF(BM$2=基础信息!$E$13,SUM(销售计划!$D138:BN138),销售计划!BN138))</f>
        <v>0</v>
      </c>
      <c r="BN63" s="135">
        <f>IF(BN$2&lt;基础信息!$E$13,0,IF(BN$2=基础信息!$E$13,SUM(销售计划!$D138:BO138),销售计划!BO138))</f>
        <v>0</v>
      </c>
      <c r="BO63" s="135">
        <f>IF(BO$2&lt;基础信息!$E$13,0,IF(BO$2=基础信息!$E$13,SUM(销售计划!$D138:BP138),销售计划!BP138))</f>
        <v>0</v>
      </c>
      <c r="BP63" s="135">
        <f>IF(BP$2&lt;基础信息!$E$13,0,IF(BP$2=基础信息!$E$13,SUM(销售计划!$D138:BQ138),销售计划!BQ138))</f>
        <v>0</v>
      </c>
      <c r="BQ63" s="135">
        <f>IF(BQ$2&lt;基础信息!$E$13,0,IF(BQ$2=基础信息!$E$13,SUM(销售计划!$D138:BR138),销售计划!BR138))</f>
        <v>0</v>
      </c>
      <c r="BR63" s="135">
        <f>IF(BR$2&lt;基础信息!$E$13,0,IF(BR$2=基础信息!$E$13,SUM(销售计划!$D138:BS138),销售计划!BS138))</f>
        <v>0</v>
      </c>
      <c r="BS63" s="135">
        <f>IF(BS$2&lt;基础信息!$E$13,0,IF(BS$2=基础信息!$E$13,SUM(销售计划!$D138:BT138),销售计划!BT138))</f>
        <v>0</v>
      </c>
      <c r="BT63" s="135">
        <f>IF(BT$2&lt;基础信息!$E$13,0,IF(BT$2=基础信息!$E$13,SUM(销售计划!$D138:BU138),销售计划!BU138))</f>
        <v>0</v>
      </c>
      <c r="BU63" s="135">
        <f>IF(BU$2&lt;基础信息!$E$13,0,IF(BU$2=基础信息!$E$13,SUM(销售计划!$D138:BV138),销售计划!BV138))</f>
        <v>0</v>
      </c>
    </row>
    <row r="64" spans="1:73" s="126" customFormat="1" ht="13" outlineLevel="1">
      <c r="A64" s="127">
        <f>销售计划!A139</f>
        <v>0</v>
      </c>
      <c r="B64" s="128" t="s">
        <v>840</v>
      </c>
      <c r="C64" s="128">
        <f t="shared" ref="C64:AS64" si="91">IF(C63&gt;0,C65/C63*10000,0)</f>
        <v>0</v>
      </c>
      <c r="D64" s="250">
        <f t="shared" si="91"/>
        <v>0</v>
      </c>
      <c r="E64" s="250">
        <f t="shared" si="91"/>
        <v>0</v>
      </c>
      <c r="F64" s="128">
        <f t="shared" si="91"/>
        <v>0</v>
      </c>
      <c r="G64" s="128">
        <f t="shared" si="91"/>
        <v>0</v>
      </c>
      <c r="H64" s="250">
        <f t="shared" si="91"/>
        <v>0</v>
      </c>
      <c r="I64" s="250">
        <f t="shared" si="91"/>
        <v>0</v>
      </c>
      <c r="J64" s="250">
        <f t="shared" si="91"/>
        <v>0</v>
      </c>
      <c r="K64" s="250">
        <f t="shared" si="91"/>
        <v>0</v>
      </c>
      <c r="L64" s="250">
        <f t="shared" si="91"/>
        <v>0</v>
      </c>
      <c r="M64" s="250">
        <f t="shared" si="91"/>
        <v>0</v>
      </c>
      <c r="N64" s="250">
        <f t="shared" si="91"/>
        <v>0</v>
      </c>
      <c r="O64" s="250">
        <f t="shared" si="91"/>
        <v>0</v>
      </c>
      <c r="P64" s="250">
        <f t="shared" si="91"/>
        <v>0</v>
      </c>
      <c r="Q64" s="250">
        <f t="shared" si="91"/>
        <v>0</v>
      </c>
      <c r="R64" s="250">
        <f t="shared" si="91"/>
        <v>0</v>
      </c>
      <c r="S64" s="250">
        <f t="shared" si="91"/>
        <v>0</v>
      </c>
      <c r="T64" s="250">
        <f t="shared" si="91"/>
        <v>0</v>
      </c>
      <c r="U64" s="250">
        <f t="shared" si="91"/>
        <v>0</v>
      </c>
      <c r="V64" s="250">
        <f t="shared" si="91"/>
        <v>0</v>
      </c>
      <c r="W64" s="250">
        <f t="shared" si="91"/>
        <v>0</v>
      </c>
      <c r="X64" s="250">
        <f t="shared" si="91"/>
        <v>0</v>
      </c>
      <c r="Y64" s="250">
        <f t="shared" si="91"/>
        <v>0</v>
      </c>
      <c r="Z64" s="250">
        <f t="shared" si="91"/>
        <v>0</v>
      </c>
      <c r="AA64" s="250">
        <f t="shared" si="91"/>
        <v>0</v>
      </c>
      <c r="AB64" s="250">
        <f t="shared" si="91"/>
        <v>0</v>
      </c>
      <c r="AC64" s="250">
        <f t="shared" si="91"/>
        <v>0</v>
      </c>
      <c r="AD64" s="250">
        <f t="shared" si="91"/>
        <v>0</v>
      </c>
      <c r="AE64" s="250">
        <f t="shared" si="91"/>
        <v>0</v>
      </c>
      <c r="AF64" s="250">
        <f t="shared" si="91"/>
        <v>0</v>
      </c>
      <c r="AG64" s="250">
        <f t="shared" si="91"/>
        <v>0</v>
      </c>
      <c r="AH64" s="250">
        <f t="shared" si="91"/>
        <v>0</v>
      </c>
      <c r="AI64" s="250">
        <f t="shared" si="91"/>
        <v>0</v>
      </c>
      <c r="AJ64" s="250">
        <f t="shared" si="91"/>
        <v>0</v>
      </c>
      <c r="AK64" s="250">
        <f t="shared" si="91"/>
        <v>0</v>
      </c>
      <c r="AL64" s="250">
        <f t="shared" si="91"/>
        <v>0</v>
      </c>
      <c r="AM64" s="250">
        <f t="shared" si="91"/>
        <v>0</v>
      </c>
      <c r="AN64" s="250">
        <f t="shared" si="91"/>
        <v>0</v>
      </c>
      <c r="AO64" s="250">
        <f t="shared" si="91"/>
        <v>0</v>
      </c>
      <c r="AP64" s="250">
        <f t="shared" si="91"/>
        <v>0</v>
      </c>
      <c r="AQ64" s="250">
        <f t="shared" si="91"/>
        <v>0</v>
      </c>
      <c r="AR64" s="250">
        <f t="shared" si="91"/>
        <v>0</v>
      </c>
      <c r="AS64" s="250">
        <f t="shared" si="91"/>
        <v>0</v>
      </c>
      <c r="AT64" s="250">
        <f t="shared" ref="AT64:BP64" si="92">IF(AT63&gt;0,AT65/AT63*10000,0)</f>
        <v>0</v>
      </c>
      <c r="AU64" s="250">
        <f t="shared" si="92"/>
        <v>0</v>
      </c>
      <c r="AV64" s="250">
        <f t="shared" si="92"/>
        <v>0</v>
      </c>
      <c r="AW64" s="250">
        <f t="shared" si="92"/>
        <v>0</v>
      </c>
      <c r="AX64" s="250">
        <f t="shared" si="92"/>
        <v>0</v>
      </c>
      <c r="AY64" s="250">
        <f t="shared" si="92"/>
        <v>0</v>
      </c>
      <c r="AZ64" s="250">
        <f t="shared" si="92"/>
        <v>0</v>
      </c>
      <c r="BA64" s="250">
        <f t="shared" si="92"/>
        <v>0</v>
      </c>
      <c r="BB64" s="250">
        <f t="shared" si="92"/>
        <v>0</v>
      </c>
      <c r="BC64" s="250">
        <f t="shared" si="92"/>
        <v>0</v>
      </c>
      <c r="BD64" s="250">
        <f t="shared" si="92"/>
        <v>0</v>
      </c>
      <c r="BE64" s="250">
        <f t="shared" si="92"/>
        <v>0</v>
      </c>
      <c r="BF64" s="250">
        <f t="shared" si="92"/>
        <v>0</v>
      </c>
      <c r="BG64" s="250">
        <f t="shared" si="92"/>
        <v>0</v>
      </c>
      <c r="BH64" s="250">
        <f t="shared" si="92"/>
        <v>0</v>
      </c>
      <c r="BI64" s="250">
        <f t="shared" si="92"/>
        <v>0</v>
      </c>
      <c r="BJ64" s="250">
        <f t="shared" si="92"/>
        <v>0</v>
      </c>
      <c r="BK64" s="250">
        <f t="shared" si="92"/>
        <v>0</v>
      </c>
      <c r="BL64" s="250">
        <f t="shared" si="92"/>
        <v>0</v>
      </c>
      <c r="BM64" s="250">
        <f t="shared" si="92"/>
        <v>0</v>
      </c>
      <c r="BN64" s="250">
        <f t="shared" si="92"/>
        <v>0</v>
      </c>
      <c r="BO64" s="250">
        <f t="shared" si="92"/>
        <v>0</v>
      </c>
      <c r="BP64" s="250">
        <f t="shared" si="92"/>
        <v>0</v>
      </c>
      <c r="BQ64" s="250">
        <f t="shared" ref="BQ64:BU64" si="93">IF(BQ63&gt;0,BQ65/BQ63*10000,0)</f>
        <v>0</v>
      </c>
      <c r="BR64" s="250">
        <f t="shared" si="93"/>
        <v>0</v>
      </c>
      <c r="BS64" s="250">
        <f t="shared" si="93"/>
        <v>0</v>
      </c>
      <c r="BT64" s="250">
        <f t="shared" si="93"/>
        <v>0</v>
      </c>
      <c r="BU64" s="250">
        <f t="shared" si="93"/>
        <v>0</v>
      </c>
    </row>
    <row r="65" spans="1:73" outlineLevel="1">
      <c r="A65" s="132">
        <f>销售计划!A140</f>
        <v>0</v>
      </c>
      <c r="B65" s="133" t="s">
        <v>841</v>
      </c>
      <c r="C65" s="133">
        <f>SUM(D65:AS65)</f>
        <v>0</v>
      </c>
      <c r="D65" s="133">
        <f>IF(D$2&lt;基础信息!$E$13,0,IF(D$2=基础信息!$E$13,SUM(销售计划!$D140:E140),销售计划!E140))</f>
        <v>0</v>
      </c>
      <c r="E65" s="133">
        <f>IF(E$2&lt;基础信息!$E$13,0,IF(E$2=基础信息!$E$13,SUM(销售计划!$D140:F140),销售计划!F140))</f>
        <v>0</v>
      </c>
      <c r="F65" s="133">
        <f>IF(F$2&lt;基础信息!$E$13,0,IF(F$2=基础信息!$E$13,SUM(销售计划!$D140:G140),销售计划!G140))</f>
        <v>0</v>
      </c>
      <c r="G65" s="133">
        <f>IF(G$2&lt;基础信息!$E$13,0,IF(G$2=基础信息!$E$13,SUM(销售计划!$D140:H140),销售计划!H140))</f>
        <v>0</v>
      </c>
      <c r="H65" s="133">
        <f>IF(H$2&lt;基础信息!$E$13,0,IF(H$2=基础信息!$E$13,SUM(销售计划!$D140:I140),销售计划!I140))</f>
        <v>0</v>
      </c>
      <c r="I65" s="133">
        <f>IF(I$2&lt;基础信息!$E$13,0,IF(I$2=基础信息!$E$13,SUM(销售计划!$D140:J140),销售计划!J140))</f>
        <v>0</v>
      </c>
      <c r="J65" s="133">
        <f>IF(J$2&lt;基础信息!$E$13,0,IF(J$2=基础信息!$E$13,SUM(销售计划!$D140:K140),销售计划!K140))</f>
        <v>0</v>
      </c>
      <c r="K65" s="133">
        <f>IF(K$2&lt;基础信息!$E$13,0,IF(K$2=基础信息!$E$13,SUM(销售计划!$D140:L140),销售计划!L140))</f>
        <v>0</v>
      </c>
      <c r="L65" s="133">
        <f>IF(L$2&lt;基础信息!$E$13,0,IF(L$2=基础信息!$E$13,SUM(销售计划!$D140:M140),销售计划!M140))</f>
        <v>0</v>
      </c>
      <c r="M65" s="133">
        <f>IF(M$2&lt;基础信息!$E$13,0,IF(M$2=基础信息!$E$13,SUM(销售计划!$D140:N140),销售计划!N140))</f>
        <v>0</v>
      </c>
      <c r="N65" s="133">
        <f>IF(N$2&lt;基础信息!$E$13,0,IF(N$2=基础信息!$E$13,SUM(销售计划!$D140:O140),销售计划!O140))</f>
        <v>0</v>
      </c>
      <c r="O65" s="133">
        <f>IF(O$2&lt;基础信息!$E$13,0,IF(O$2=基础信息!$E$13,SUM(销售计划!$D140:P140),销售计划!P140))</f>
        <v>0</v>
      </c>
      <c r="P65" s="133">
        <f>IF(P$2&lt;基础信息!$E$13,0,IF(P$2=基础信息!$E$13,SUM(销售计划!$D140:Q140),销售计划!Q140))</f>
        <v>0</v>
      </c>
      <c r="Q65" s="133">
        <f>IF(Q$2&lt;基础信息!$E$13,0,IF(Q$2=基础信息!$E$13,SUM(销售计划!$D140:R140),销售计划!R140))</f>
        <v>0</v>
      </c>
      <c r="R65" s="133">
        <f>IF(R$2&lt;基础信息!$E$13,0,IF(R$2=基础信息!$E$13,SUM(销售计划!$D140:S140),销售计划!S140))</f>
        <v>0</v>
      </c>
      <c r="S65" s="133">
        <f>IF(S$2&lt;基础信息!$E$13,0,IF(S$2=基础信息!$E$13,SUM(销售计划!$D140:T140),销售计划!T140))</f>
        <v>0</v>
      </c>
      <c r="T65" s="133">
        <f>IF(T$2&lt;基础信息!$E$13,0,IF(T$2=基础信息!$E$13,SUM(销售计划!$D140:U140),销售计划!U140))</f>
        <v>0</v>
      </c>
      <c r="U65" s="133">
        <f>IF(U$2&lt;基础信息!$E$13,0,IF(U$2=基础信息!$E$13,SUM(销售计划!$D140:V140),销售计划!V140))</f>
        <v>0</v>
      </c>
      <c r="V65" s="133">
        <f>IF(V$2&lt;基础信息!$E$13,0,IF(V$2=基础信息!$E$13,SUM(销售计划!$D140:W140),销售计划!W140))</f>
        <v>0</v>
      </c>
      <c r="W65" s="133">
        <f>IF(W$2&lt;基础信息!$E$13,0,IF(W$2=基础信息!$E$13,SUM(销售计划!$D140:X140),销售计划!X140))</f>
        <v>0</v>
      </c>
      <c r="X65" s="133">
        <f>IF(X$2&lt;基础信息!$E$13,0,IF(X$2=基础信息!$E$13,SUM(销售计划!$D140:Y140),销售计划!Y140))</f>
        <v>0</v>
      </c>
      <c r="Y65" s="133">
        <f>IF(Y$2&lt;基础信息!$E$13,0,IF(Y$2=基础信息!$E$13,SUM(销售计划!$D140:Z140),销售计划!Z140))</f>
        <v>0</v>
      </c>
      <c r="Z65" s="133">
        <f>IF(Z$2&lt;基础信息!$E$13,0,IF(Z$2=基础信息!$E$13,SUM(销售计划!$D140:AA140),销售计划!AA140))</f>
        <v>0</v>
      </c>
      <c r="AA65" s="133">
        <f>IF(AA$2&lt;基础信息!$E$13,0,IF(AA$2=基础信息!$E$13,SUM(销售计划!$D140:AB140),销售计划!AB140))</f>
        <v>0</v>
      </c>
      <c r="AB65" s="133">
        <f>IF(AB$2&lt;基础信息!$E$13,0,IF(AB$2=基础信息!$E$13,SUM(销售计划!$D140:AC140),销售计划!AC140))</f>
        <v>0</v>
      </c>
      <c r="AC65" s="133">
        <f>IF(AC$2&lt;基础信息!$E$13,0,IF(AC$2=基础信息!$E$13,SUM(销售计划!$D140:AD140),销售计划!AD140))</f>
        <v>0</v>
      </c>
      <c r="AD65" s="133">
        <f>IF(AD$2&lt;基础信息!$E$13,0,IF(AD$2=基础信息!$E$13,SUM(销售计划!$D140:AE140),销售计划!AE140))</f>
        <v>0</v>
      </c>
      <c r="AE65" s="133">
        <f>IF(AE$2&lt;基础信息!$E$13,0,IF(AE$2=基础信息!$E$13,SUM(销售计划!$D140:AF140),销售计划!AF140))</f>
        <v>0</v>
      </c>
      <c r="AF65" s="133">
        <f>IF(AF$2&lt;基础信息!$E$13,0,IF(AF$2=基础信息!$E$13,SUM(销售计划!$D140:AG140),销售计划!AG140))</f>
        <v>0</v>
      </c>
      <c r="AG65" s="133">
        <f>IF(AG$2&lt;基础信息!$E$13,0,IF(AG$2=基础信息!$E$13,SUM(销售计划!$D140:AH140),销售计划!AH140))</f>
        <v>0</v>
      </c>
      <c r="AH65" s="133">
        <f>IF(AH$2&lt;基础信息!$E$13,0,IF(AH$2=基础信息!$E$13,SUM(销售计划!$D140:AI140),销售计划!AI140))</f>
        <v>0</v>
      </c>
      <c r="AI65" s="133">
        <f>IF(AI$2&lt;基础信息!$E$13,0,IF(AI$2=基础信息!$E$13,SUM(销售计划!$D140:AJ140),销售计划!AJ140))</f>
        <v>0</v>
      </c>
      <c r="AJ65" s="133">
        <f>IF(AJ$2&lt;基础信息!$E$13,0,IF(AJ$2=基础信息!$E$13,SUM(销售计划!$D140:AK140),销售计划!AK140))</f>
        <v>0</v>
      </c>
      <c r="AK65" s="133">
        <f>IF(AK$2&lt;基础信息!$E$13,0,IF(AK$2=基础信息!$E$13,SUM(销售计划!$D140:AL140),销售计划!AL140))</f>
        <v>0</v>
      </c>
      <c r="AL65" s="133">
        <f>IF(AL$2&lt;基础信息!$E$13,0,IF(AL$2=基础信息!$E$13,SUM(销售计划!$D140:AM140),销售计划!AM140))</f>
        <v>0</v>
      </c>
      <c r="AM65" s="133">
        <f>IF(AM$2&lt;基础信息!$E$13,0,IF(AM$2=基础信息!$E$13,SUM(销售计划!$D140:AN140),销售计划!AN140))</f>
        <v>0</v>
      </c>
      <c r="AN65" s="133">
        <f>IF(AN$2&lt;基础信息!$E$13,0,IF(AN$2=基础信息!$E$13,SUM(销售计划!$D140:AO140),销售计划!AO140))</f>
        <v>0</v>
      </c>
      <c r="AO65" s="133">
        <f>IF(AO$2&lt;基础信息!$E$13,0,IF(AO$2=基础信息!$E$13,SUM(销售计划!$D140:AP140),销售计划!AP140))</f>
        <v>0</v>
      </c>
      <c r="AP65" s="133">
        <f>IF(AP$2&lt;基础信息!$E$13,0,IF(AP$2=基础信息!$E$13,SUM(销售计划!$D140:AQ140),销售计划!AQ140))</f>
        <v>0</v>
      </c>
      <c r="AQ65" s="133">
        <f>IF(AQ$2&lt;基础信息!$E$13,0,IF(AQ$2=基础信息!$E$13,SUM(销售计划!$D140:AR140),销售计划!AR140))</f>
        <v>0</v>
      </c>
      <c r="AR65" s="133">
        <f>IF(AR$2&lt;基础信息!$E$13,0,IF(AR$2=基础信息!$E$13,SUM(销售计划!$D140:AS140),销售计划!AS140))</f>
        <v>0</v>
      </c>
      <c r="AS65" s="133">
        <f>IF(AS$2&lt;基础信息!$E$13,0,IF(AS$2=基础信息!$E$13,SUM(销售计划!$D140:AT140),销售计划!AT140))</f>
        <v>0</v>
      </c>
      <c r="AT65" s="133">
        <f>IF(AT$2&lt;基础信息!$E$13,0,IF(AT$2=基础信息!$E$13,SUM(销售计划!$D140:AU140),销售计划!AU140))</f>
        <v>0</v>
      </c>
      <c r="AU65" s="133">
        <f>IF(AU$2&lt;基础信息!$E$13,0,IF(AU$2=基础信息!$E$13,SUM(销售计划!$D140:AV140),销售计划!AV140))</f>
        <v>0</v>
      </c>
      <c r="AV65" s="133">
        <f>IF(AV$2&lt;基础信息!$E$13,0,IF(AV$2=基础信息!$E$13,SUM(销售计划!$D140:AW140),销售计划!AW140))</f>
        <v>0</v>
      </c>
      <c r="AW65" s="133">
        <f>IF(AW$2&lt;基础信息!$E$13,0,IF(AW$2=基础信息!$E$13,SUM(销售计划!$D140:AX140),销售计划!AX140))</f>
        <v>0</v>
      </c>
      <c r="AX65" s="133">
        <f>IF(AX$2&lt;基础信息!$E$13,0,IF(AX$2=基础信息!$E$13,SUM(销售计划!$D140:AY140),销售计划!AY140))</f>
        <v>0</v>
      </c>
      <c r="AY65" s="133">
        <f>IF(AY$2&lt;基础信息!$E$13,0,IF(AY$2=基础信息!$E$13,SUM(销售计划!$D140:AZ140),销售计划!AZ140))</f>
        <v>0</v>
      </c>
      <c r="AZ65" s="133">
        <f>IF(AZ$2&lt;基础信息!$E$13,0,IF(AZ$2=基础信息!$E$13,SUM(销售计划!$D140:BA140),销售计划!BA140))</f>
        <v>0</v>
      </c>
      <c r="BA65" s="133">
        <f>IF(BA$2&lt;基础信息!$E$13,0,IF(BA$2=基础信息!$E$13,SUM(销售计划!$D140:BB140),销售计划!BB140))</f>
        <v>0</v>
      </c>
      <c r="BB65" s="133">
        <f>IF(BB$2&lt;基础信息!$E$13,0,IF(BB$2=基础信息!$E$13,SUM(销售计划!$D140:BC140),销售计划!BC140))</f>
        <v>0</v>
      </c>
      <c r="BC65" s="133">
        <f>IF(BC$2&lt;基础信息!$E$13,0,IF(BC$2=基础信息!$E$13,SUM(销售计划!$D140:BD140),销售计划!BD140))</f>
        <v>0</v>
      </c>
      <c r="BD65" s="133">
        <f>IF(BD$2&lt;基础信息!$E$13,0,IF(BD$2=基础信息!$E$13,SUM(销售计划!$D140:BE140),销售计划!BE140))</f>
        <v>0</v>
      </c>
      <c r="BE65" s="133">
        <f>IF(BE$2&lt;基础信息!$E$13,0,IF(BE$2=基础信息!$E$13,SUM(销售计划!$D140:BF140),销售计划!BF140))</f>
        <v>0</v>
      </c>
      <c r="BF65" s="133">
        <f>IF(BF$2&lt;基础信息!$E$13,0,IF(BF$2=基础信息!$E$13,SUM(销售计划!$D140:BG140),销售计划!BG140))</f>
        <v>0</v>
      </c>
      <c r="BG65" s="133">
        <f>IF(BG$2&lt;基础信息!$E$13,0,IF(BG$2=基础信息!$E$13,SUM(销售计划!$D140:BH140),销售计划!BH140))</f>
        <v>0</v>
      </c>
      <c r="BH65" s="133">
        <f>IF(BH$2&lt;基础信息!$E$13,0,IF(BH$2=基础信息!$E$13,SUM(销售计划!$D140:BI140),销售计划!BI140))</f>
        <v>0</v>
      </c>
      <c r="BI65" s="133">
        <f>IF(BI$2&lt;基础信息!$E$13,0,IF(BI$2=基础信息!$E$13,SUM(销售计划!$D140:BJ140),销售计划!BJ140))</f>
        <v>0</v>
      </c>
      <c r="BJ65" s="133">
        <f>IF(BJ$2&lt;基础信息!$E$13,0,IF(BJ$2=基础信息!$E$13,SUM(销售计划!$D140:BK140),销售计划!BK140))</f>
        <v>0</v>
      </c>
      <c r="BK65" s="133">
        <f>IF(BK$2&lt;基础信息!$E$13,0,IF(BK$2=基础信息!$E$13,SUM(销售计划!$D140:BL140),销售计划!BL140))</f>
        <v>0</v>
      </c>
      <c r="BL65" s="133">
        <f>IF(BL$2&lt;基础信息!$E$13,0,IF(BL$2=基础信息!$E$13,SUM(销售计划!$D140:BM140),销售计划!BM140))</f>
        <v>0</v>
      </c>
      <c r="BM65" s="133">
        <f>IF(BM$2&lt;基础信息!$E$13,0,IF(BM$2=基础信息!$E$13,SUM(销售计划!$D140:BN140),销售计划!BN140))</f>
        <v>0</v>
      </c>
      <c r="BN65" s="133">
        <f>IF(BN$2&lt;基础信息!$E$13,0,IF(BN$2=基础信息!$E$13,SUM(销售计划!$D140:BO140),销售计划!BO140))</f>
        <v>0</v>
      </c>
      <c r="BO65" s="133">
        <f>IF(BO$2&lt;基础信息!$E$13,0,IF(BO$2=基础信息!$E$13,SUM(销售计划!$D140:BP140),销售计划!BP140))</f>
        <v>0</v>
      </c>
      <c r="BP65" s="133">
        <f>IF(BP$2&lt;基础信息!$E$13,0,IF(BP$2=基础信息!$E$13,SUM(销售计划!$D140:BQ140),销售计划!BQ140))</f>
        <v>0</v>
      </c>
      <c r="BQ65" s="133">
        <f>IF(BQ$2&lt;基础信息!$E$13,0,IF(BQ$2=基础信息!$E$13,SUM(销售计划!$D140:BR140),销售计划!BR140))</f>
        <v>0</v>
      </c>
      <c r="BR65" s="133">
        <f>IF(BR$2&lt;基础信息!$E$13,0,IF(BR$2=基础信息!$E$13,SUM(销售计划!$D140:BS140),销售计划!BS140))</f>
        <v>0</v>
      </c>
      <c r="BS65" s="133">
        <f>IF(BS$2&lt;基础信息!$E$13,0,IF(BS$2=基础信息!$E$13,SUM(销售计划!$D140:BT140),销售计划!BT140))</f>
        <v>0</v>
      </c>
      <c r="BT65" s="133">
        <f>IF(BT$2&lt;基础信息!$E$13,0,IF(BT$2=基础信息!$E$13,SUM(销售计划!$D140:BU140),销售计划!BU140))</f>
        <v>0</v>
      </c>
      <c r="BU65" s="133">
        <f>IF(BU$2&lt;基础信息!$E$13,0,IF(BU$2=基础信息!$E$13,SUM(销售计划!$D140:BV140),销售计划!BV140))</f>
        <v>0</v>
      </c>
    </row>
    <row r="66" spans="1:73" s="126" customFormat="1" ht="13" outlineLevel="1">
      <c r="A66" s="127">
        <f>销售计划!A141</f>
        <v>0</v>
      </c>
      <c r="B66" s="128" t="s">
        <v>258</v>
      </c>
      <c r="C66" s="128">
        <f>SUM(D66:AS66)</f>
        <v>0</v>
      </c>
      <c r="D66" s="250">
        <f>IF(D$2&lt;基础信息!$E$13,0,IF(D$2=基础信息!$E$13,SUM(销售计划!$D141:E141),销售计划!E141))</f>
        <v>0</v>
      </c>
      <c r="E66" s="250">
        <f>IF(E$2&lt;基础信息!$E$13,0,IF(E$2=基础信息!$E$13,SUM(销售计划!$D141:F141),销售计划!F141))</f>
        <v>0</v>
      </c>
      <c r="F66" s="250">
        <f>IF(F$2&lt;基础信息!$E$13,0,IF(F$2=基础信息!$E$13,SUM(销售计划!$D141:G141),销售计划!G141))</f>
        <v>0</v>
      </c>
      <c r="G66" s="250">
        <f>IF(G$2&lt;基础信息!$E$13,0,IF(G$2=基础信息!$E$13,SUM(销售计划!$D141:H141),销售计划!H141))</f>
        <v>0</v>
      </c>
      <c r="H66" s="250">
        <f>IF(H$2&lt;基础信息!$E$13,0,IF(H$2=基础信息!$E$13,SUM(销售计划!$D141:I141),销售计划!I141))</f>
        <v>0</v>
      </c>
      <c r="I66" s="250">
        <f>IF(I$2&lt;基础信息!$E$13,0,IF(I$2=基础信息!$E$13,SUM(销售计划!$D141:J141),销售计划!J141))</f>
        <v>0</v>
      </c>
      <c r="J66" s="250">
        <f>IF(J$2&lt;基础信息!$E$13,0,IF(J$2=基础信息!$E$13,SUM(销售计划!$D141:K141),销售计划!K141))</f>
        <v>0</v>
      </c>
      <c r="K66" s="250">
        <f>IF(K$2&lt;基础信息!$E$13,0,IF(K$2=基础信息!$E$13,SUM(销售计划!$D141:L141),销售计划!L141))</f>
        <v>0</v>
      </c>
      <c r="L66" s="250">
        <f>IF(L$2&lt;基础信息!$E$13,0,IF(L$2=基础信息!$E$13,SUM(销售计划!$D141:M141),销售计划!M141))</f>
        <v>0</v>
      </c>
      <c r="M66" s="250">
        <f>IF(M$2&lt;基础信息!$E$13,0,IF(M$2=基础信息!$E$13,SUM(销售计划!$D141:N141),销售计划!N141))</f>
        <v>0</v>
      </c>
      <c r="N66" s="250">
        <f>IF(N$2&lt;基础信息!$E$13,0,IF(N$2=基础信息!$E$13,SUM(销售计划!$D141:O141),销售计划!O141))</f>
        <v>0</v>
      </c>
      <c r="O66" s="250">
        <f>IF(O$2&lt;基础信息!$E$13,0,IF(O$2=基础信息!$E$13,SUM(销售计划!$D141:P141),销售计划!P141))</f>
        <v>0</v>
      </c>
      <c r="P66" s="250">
        <f>IF(P$2&lt;基础信息!$E$13,0,IF(P$2=基础信息!$E$13,SUM(销售计划!$D141:Q141),销售计划!Q141))</f>
        <v>0</v>
      </c>
      <c r="Q66" s="250">
        <f>IF(Q$2&lt;基础信息!$E$13,0,IF(Q$2=基础信息!$E$13,SUM(销售计划!$D141:R141),销售计划!R141))</f>
        <v>0</v>
      </c>
      <c r="R66" s="250">
        <f>IF(R$2&lt;基础信息!$E$13,0,IF(R$2=基础信息!$E$13,SUM(销售计划!$D141:S141),销售计划!S141))</f>
        <v>0</v>
      </c>
      <c r="S66" s="250">
        <f>IF(S$2&lt;基础信息!$E$13,0,IF(S$2=基础信息!$E$13,SUM(销售计划!$D141:T141),销售计划!T141))</f>
        <v>0</v>
      </c>
      <c r="T66" s="135">
        <f>IF(T$2&lt;基础信息!$E$13,0,IF(T$2=基础信息!$E$13,SUM(销售计划!$D141:U141),销售计划!U141))</f>
        <v>0</v>
      </c>
      <c r="U66" s="135">
        <f>IF(U$2&lt;基础信息!$E$13,0,IF(U$2=基础信息!$E$13,SUM(销售计划!$D141:V141),销售计划!V141))</f>
        <v>0</v>
      </c>
      <c r="V66" s="135">
        <f>IF(V$2&lt;基础信息!$E$13,0,IF(V$2=基础信息!$E$13,SUM(销售计划!$D141:W141),销售计划!W141))</f>
        <v>0</v>
      </c>
      <c r="W66" s="135">
        <f>IF(W$2&lt;基础信息!$E$13,0,IF(W$2=基础信息!$E$13,SUM(销售计划!$D141:X141),销售计划!X141))</f>
        <v>0</v>
      </c>
      <c r="X66" s="135">
        <f>IF(X$2&lt;基础信息!$E$13,0,IF(X$2=基础信息!$E$13,SUM(销售计划!$D141:Y141),销售计划!Y141))</f>
        <v>0</v>
      </c>
      <c r="Y66" s="135">
        <f>IF(Y$2&lt;基础信息!$E$13,0,IF(Y$2=基础信息!$E$13,SUM(销售计划!$D141:Z141),销售计划!Z141))</f>
        <v>0</v>
      </c>
      <c r="Z66" s="135">
        <f>IF(Z$2&lt;基础信息!$E$13,0,IF(Z$2=基础信息!$E$13,SUM(销售计划!$D141:AA141),销售计划!AA141))</f>
        <v>0</v>
      </c>
      <c r="AA66" s="135">
        <f>IF(AA$2&lt;基础信息!$E$13,0,IF(AA$2=基础信息!$E$13,SUM(销售计划!$D141:AB141),销售计划!AB141))</f>
        <v>0</v>
      </c>
      <c r="AB66" s="135">
        <f>IF(AB$2&lt;基础信息!$E$13,0,IF(AB$2=基础信息!$E$13,SUM(销售计划!$D141:AC141),销售计划!AC141))</f>
        <v>0</v>
      </c>
      <c r="AC66" s="135">
        <f>IF(AC$2&lt;基础信息!$E$13,0,IF(AC$2=基础信息!$E$13,SUM(销售计划!$D141:AD141),销售计划!AD141))</f>
        <v>0</v>
      </c>
      <c r="AD66" s="135">
        <f>IF(AD$2&lt;基础信息!$E$13,0,IF(AD$2=基础信息!$E$13,SUM(销售计划!$D141:AE141),销售计划!AE141))</f>
        <v>0</v>
      </c>
      <c r="AE66" s="135">
        <f>IF(AE$2&lt;基础信息!$E$13,0,IF(AE$2=基础信息!$E$13,SUM(销售计划!$D141:AF141),销售计划!AF141))</f>
        <v>0</v>
      </c>
      <c r="AF66" s="135">
        <f>IF(AF$2&lt;基础信息!$E$13,0,IF(AF$2=基础信息!$E$13,SUM(销售计划!$D141:AG141),销售计划!AG141))</f>
        <v>0</v>
      </c>
      <c r="AG66" s="135">
        <f>IF(AG$2&lt;基础信息!$E$13,0,IF(AG$2=基础信息!$E$13,SUM(销售计划!$D141:AH141),销售计划!AH141))</f>
        <v>0</v>
      </c>
      <c r="AH66" s="135">
        <f>IF(AH$2&lt;基础信息!$E$13,0,IF(AH$2=基础信息!$E$13,SUM(销售计划!$D141:AI141),销售计划!AI141))</f>
        <v>0</v>
      </c>
      <c r="AI66" s="135">
        <f>IF(AI$2&lt;基础信息!$E$13,0,IF(AI$2=基础信息!$E$13,SUM(销售计划!$D141:AJ141),销售计划!AJ141))</f>
        <v>0</v>
      </c>
      <c r="AJ66" s="135">
        <f>IF(AJ$2&lt;基础信息!$E$13,0,IF(AJ$2=基础信息!$E$13,SUM(销售计划!$D141:AK141),销售计划!AK141))</f>
        <v>0</v>
      </c>
      <c r="AK66" s="135">
        <f>IF(AK$2&lt;基础信息!$E$13,0,IF(AK$2=基础信息!$E$13,SUM(销售计划!$D141:AL141),销售计划!AL141))</f>
        <v>0</v>
      </c>
      <c r="AL66" s="135">
        <f>IF(AL$2&lt;基础信息!$E$13,0,IF(AL$2=基础信息!$E$13,SUM(销售计划!$D141:AM141),销售计划!AM141))</f>
        <v>0</v>
      </c>
      <c r="AM66" s="135">
        <f>IF(AM$2&lt;基础信息!$E$13,0,IF(AM$2=基础信息!$E$13,SUM(销售计划!$D141:AN141),销售计划!AN141))</f>
        <v>0</v>
      </c>
      <c r="AN66" s="135">
        <f>IF(AN$2&lt;基础信息!$E$13,0,IF(AN$2=基础信息!$E$13,SUM(销售计划!$D141:AO141),销售计划!AO141))</f>
        <v>0</v>
      </c>
      <c r="AO66" s="135">
        <f>IF(AO$2&lt;基础信息!$E$13,0,IF(AO$2=基础信息!$E$13,SUM(销售计划!$D141:AP141),销售计划!AP141))</f>
        <v>0</v>
      </c>
      <c r="AP66" s="135">
        <f>IF(AP$2&lt;基础信息!$E$13,0,IF(AP$2=基础信息!$E$13,SUM(销售计划!$D141:AQ141),销售计划!AQ141))</f>
        <v>0</v>
      </c>
      <c r="AQ66" s="135">
        <f>IF(AQ$2&lt;基础信息!$E$13,0,IF(AQ$2=基础信息!$E$13,SUM(销售计划!$D141:AR141),销售计划!AR141))</f>
        <v>0</v>
      </c>
      <c r="AR66" s="135">
        <f>IF(AR$2&lt;基础信息!$E$13,0,IF(AR$2=基础信息!$E$13,SUM(销售计划!$D141:AS141),销售计划!AS141))</f>
        <v>0</v>
      </c>
      <c r="AS66" s="135">
        <f>IF(AS$2&lt;基础信息!$E$13,0,IF(AS$2=基础信息!$E$13,SUM(销售计划!$D141:AT141),销售计划!AT141))</f>
        <v>0</v>
      </c>
      <c r="AT66" s="135">
        <f>IF(AT$2&lt;基础信息!$E$13,0,IF(AT$2=基础信息!$E$13,SUM(销售计划!$D141:AU141),销售计划!AU141))</f>
        <v>0</v>
      </c>
      <c r="AU66" s="135">
        <f>IF(AU$2&lt;基础信息!$E$13,0,IF(AU$2=基础信息!$E$13,SUM(销售计划!$D141:AV141),销售计划!AV141))</f>
        <v>0</v>
      </c>
      <c r="AV66" s="135">
        <f>IF(AV$2&lt;基础信息!$E$13,0,IF(AV$2=基础信息!$E$13,SUM(销售计划!$D141:AW141),销售计划!AW141))</f>
        <v>0</v>
      </c>
      <c r="AW66" s="135">
        <f>IF(AW$2&lt;基础信息!$E$13,0,IF(AW$2=基础信息!$E$13,SUM(销售计划!$D141:AX141),销售计划!AX141))</f>
        <v>0</v>
      </c>
      <c r="AX66" s="135">
        <f>IF(AX$2&lt;基础信息!$E$13,0,IF(AX$2=基础信息!$E$13,SUM(销售计划!$D141:AY141),销售计划!AY141))</f>
        <v>0</v>
      </c>
      <c r="AY66" s="135">
        <f>IF(AY$2&lt;基础信息!$E$13,0,IF(AY$2=基础信息!$E$13,SUM(销售计划!$D141:AZ141),销售计划!AZ141))</f>
        <v>0</v>
      </c>
      <c r="AZ66" s="135">
        <f>IF(AZ$2&lt;基础信息!$E$13,0,IF(AZ$2=基础信息!$E$13,SUM(销售计划!$D141:BA141),销售计划!BA141))</f>
        <v>0</v>
      </c>
      <c r="BA66" s="135">
        <f>IF(BA$2&lt;基础信息!$E$13,0,IF(BA$2=基础信息!$E$13,SUM(销售计划!$D141:BB141),销售计划!BB141))</f>
        <v>0</v>
      </c>
      <c r="BB66" s="135">
        <f>IF(BB$2&lt;基础信息!$E$13,0,IF(BB$2=基础信息!$E$13,SUM(销售计划!$D141:BC141),销售计划!BC141))</f>
        <v>0</v>
      </c>
      <c r="BC66" s="135">
        <f>IF(BC$2&lt;基础信息!$E$13,0,IF(BC$2=基础信息!$E$13,SUM(销售计划!$D141:BD141),销售计划!BD141))</f>
        <v>0</v>
      </c>
      <c r="BD66" s="135">
        <f>IF(BD$2&lt;基础信息!$E$13,0,IF(BD$2=基础信息!$E$13,SUM(销售计划!$D141:BE141),销售计划!BE141))</f>
        <v>0</v>
      </c>
      <c r="BE66" s="135">
        <f>IF(BE$2&lt;基础信息!$E$13,0,IF(BE$2=基础信息!$E$13,SUM(销售计划!$D141:BF141),销售计划!BF141))</f>
        <v>0</v>
      </c>
      <c r="BF66" s="135">
        <f>IF(BF$2&lt;基础信息!$E$13,0,IF(BF$2=基础信息!$E$13,SUM(销售计划!$D141:BG141),销售计划!BG141))</f>
        <v>0</v>
      </c>
      <c r="BG66" s="135">
        <f>IF(BG$2&lt;基础信息!$E$13,0,IF(BG$2=基础信息!$E$13,SUM(销售计划!$D141:BH141),销售计划!BH141))</f>
        <v>0</v>
      </c>
      <c r="BH66" s="135">
        <f>IF(BH$2&lt;基础信息!$E$13,0,IF(BH$2=基础信息!$E$13,SUM(销售计划!$D141:BI141),销售计划!BI141))</f>
        <v>0</v>
      </c>
      <c r="BI66" s="135">
        <f>IF(BI$2&lt;基础信息!$E$13,0,IF(BI$2=基础信息!$E$13,SUM(销售计划!$D141:BJ141),销售计划!BJ141))</f>
        <v>0</v>
      </c>
      <c r="BJ66" s="135">
        <f>IF(BJ$2&lt;基础信息!$E$13,0,IF(BJ$2=基础信息!$E$13,SUM(销售计划!$D141:BK141),销售计划!BK141))</f>
        <v>0</v>
      </c>
      <c r="BK66" s="135">
        <f>IF(BK$2&lt;基础信息!$E$13,0,IF(BK$2=基础信息!$E$13,SUM(销售计划!$D141:BL141),销售计划!BL141))</f>
        <v>0</v>
      </c>
      <c r="BL66" s="135">
        <f>IF(BL$2&lt;基础信息!$E$13,0,IF(BL$2=基础信息!$E$13,SUM(销售计划!$D141:BM141),销售计划!BM141))</f>
        <v>0</v>
      </c>
      <c r="BM66" s="135">
        <f>IF(BM$2&lt;基础信息!$E$13,0,IF(BM$2=基础信息!$E$13,SUM(销售计划!$D141:BN141),销售计划!BN141))</f>
        <v>0</v>
      </c>
      <c r="BN66" s="135">
        <f>IF(BN$2&lt;基础信息!$E$13,0,IF(BN$2=基础信息!$E$13,SUM(销售计划!$D141:BO141),销售计划!BO141))</f>
        <v>0</v>
      </c>
      <c r="BO66" s="135">
        <f>IF(BO$2&lt;基础信息!$E$13,0,IF(BO$2=基础信息!$E$13,SUM(销售计划!$D141:BP141),销售计划!BP141))</f>
        <v>0</v>
      </c>
      <c r="BP66" s="135">
        <f>IF(BP$2&lt;基础信息!$E$13,0,IF(BP$2=基础信息!$E$13,SUM(销售计划!$D141:BQ141),销售计划!BQ141))</f>
        <v>0</v>
      </c>
      <c r="BQ66" s="135">
        <f>IF(BQ$2&lt;基础信息!$E$13,0,IF(BQ$2=基础信息!$E$13,SUM(销售计划!$D141:BR141),销售计划!BR141))</f>
        <v>0</v>
      </c>
      <c r="BR66" s="135">
        <f>IF(BR$2&lt;基础信息!$E$13,0,IF(BR$2=基础信息!$E$13,SUM(销售计划!$D141:BS141),销售计划!BS141))</f>
        <v>0</v>
      </c>
      <c r="BS66" s="135">
        <f>IF(BS$2&lt;基础信息!$E$13,0,IF(BS$2=基础信息!$E$13,SUM(销售计划!$D141:BT141),销售计划!BT141))</f>
        <v>0</v>
      </c>
      <c r="BT66" s="135">
        <f>IF(BT$2&lt;基础信息!$E$13,0,IF(BT$2=基础信息!$E$13,SUM(销售计划!$D141:BU141),销售计划!BU141))</f>
        <v>0</v>
      </c>
      <c r="BU66" s="135">
        <f>IF(BU$2&lt;基础信息!$E$13,0,IF(BU$2=基础信息!$E$13,SUM(销售计划!$D141:BV141),销售计划!BV141))</f>
        <v>0</v>
      </c>
    </row>
    <row r="67" spans="1:73" s="126" customFormat="1" ht="13" outlineLevel="1">
      <c r="A67" s="127">
        <f>销售计划!A142</f>
        <v>0</v>
      </c>
      <c r="B67" s="128" t="s">
        <v>840</v>
      </c>
      <c r="C67" s="128">
        <f t="shared" ref="C67:AS67" si="94">IF(C66&gt;0,C68/C66*10000,0)</f>
        <v>0</v>
      </c>
      <c r="D67" s="250">
        <f t="shared" si="94"/>
        <v>0</v>
      </c>
      <c r="E67" s="250">
        <f t="shared" si="94"/>
        <v>0</v>
      </c>
      <c r="F67" s="128">
        <f t="shared" si="94"/>
        <v>0</v>
      </c>
      <c r="G67" s="128">
        <f t="shared" si="94"/>
        <v>0</v>
      </c>
      <c r="H67" s="250">
        <f t="shared" si="94"/>
        <v>0</v>
      </c>
      <c r="I67" s="250">
        <f t="shared" si="94"/>
        <v>0</v>
      </c>
      <c r="J67" s="250">
        <f t="shared" si="94"/>
        <v>0</v>
      </c>
      <c r="K67" s="250">
        <f t="shared" si="94"/>
        <v>0</v>
      </c>
      <c r="L67" s="250">
        <f t="shared" si="94"/>
        <v>0</v>
      </c>
      <c r="M67" s="250">
        <f t="shared" si="94"/>
        <v>0</v>
      </c>
      <c r="N67" s="250">
        <f t="shared" si="94"/>
        <v>0</v>
      </c>
      <c r="O67" s="250">
        <f t="shared" si="94"/>
        <v>0</v>
      </c>
      <c r="P67" s="250">
        <f t="shared" si="94"/>
        <v>0</v>
      </c>
      <c r="Q67" s="250">
        <f t="shared" si="94"/>
        <v>0</v>
      </c>
      <c r="R67" s="250">
        <f t="shared" si="94"/>
        <v>0</v>
      </c>
      <c r="S67" s="250">
        <f t="shared" si="94"/>
        <v>0</v>
      </c>
      <c r="T67" s="250">
        <f t="shared" si="94"/>
        <v>0</v>
      </c>
      <c r="U67" s="250">
        <f t="shared" si="94"/>
        <v>0</v>
      </c>
      <c r="V67" s="250">
        <f t="shared" si="94"/>
        <v>0</v>
      </c>
      <c r="W67" s="250">
        <f t="shared" si="94"/>
        <v>0</v>
      </c>
      <c r="X67" s="250">
        <f t="shared" si="94"/>
        <v>0</v>
      </c>
      <c r="Y67" s="250">
        <f t="shared" si="94"/>
        <v>0</v>
      </c>
      <c r="Z67" s="250">
        <f t="shared" si="94"/>
        <v>0</v>
      </c>
      <c r="AA67" s="250">
        <f t="shared" si="94"/>
        <v>0</v>
      </c>
      <c r="AB67" s="250">
        <f t="shared" si="94"/>
        <v>0</v>
      </c>
      <c r="AC67" s="250">
        <f t="shared" si="94"/>
        <v>0</v>
      </c>
      <c r="AD67" s="250">
        <f t="shared" si="94"/>
        <v>0</v>
      </c>
      <c r="AE67" s="250">
        <f t="shared" si="94"/>
        <v>0</v>
      </c>
      <c r="AF67" s="250">
        <f t="shared" si="94"/>
        <v>0</v>
      </c>
      <c r="AG67" s="250">
        <f t="shared" si="94"/>
        <v>0</v>
      </c>
      <c r="AH67" s="250">
        <f t="shared" si="94"/>
        <v>0</v>
      </c>
      <c r="AI67" s="250">
        <f t="shared" si="94"/>
        <v>0</v>
      </c>
      <c r="AJ67" s="250">
        <f t="shared" si="94"/>
        <v>0</v>
      </c>
      <c r="AK67" s="250">
        <f t="shared" si="94"/>
        <v>0</v>
      </c>
      <c r="AL67" s="250">
        <f t="shared" si="94"/>
        <v>0</v>
      </c>
      <c r="AM67" s="250">
        <f t="shared" si="94"/>
        <v>0</v>
      </c>
      <c r="AN67" s="250">
        <f t="shared" si="94"/>
        <v>0</v>
      </c>
      <c r="AO67" s="250">
        <f t="shared" si="94"/>
        <v>0</v>
      </c>
      <c r="AP67" s="250">
        <f t="shared" si="94"/>
        <v>0</v>
      </c>
      <c r="AQ67" s="250">
        <f t="shared" si="94"/>
        <v>0</v>
      </c>
      <c r="AR67" s="250">
        <f t="shared" si="94"/>
        <v>0</v>
      </c>
      <c r="AS67" s="250">
        <f t="shared" si="94"/>
        <v>0</v>
      </c>
      <c r="AT67" s="250">
        <f t="shared" ref="AT67:BP67" si="95">IF(AT66&gt;0,AT68/AT66*10000,0)</f>
        <v>0</v>
      </c>
      <c r="AU67" s="250">
        <f t="shared" si="95"/>
        <v>0</v>
      </c>
      <c r="AV67" s="250">
        <f t="shared" si="95"/>
        <v>0</v>
      </c>
      <c r="AW67" s="250">
        <f t="shared" si="95"/>
        <v>0</v>
      </c>
      <c r="AX67" s="250">
        <f t="shared" si="95"/>
        <v>0</v>
      </c>
      <c r="AY67" s="250">
        <f t="shared" si="95"/>
        <v>0</v>
      </c>
      <c r="AZ67" s="250">
        <f t="shared" si="95"/>
        <v>0</v>
      </c>
      <c r="BA67" s="250">
        <f t="shared" si="95"/>
        <v>0</v>
      </c>
      <c r="BB67" s="250">
        <f t="shared" si="95"/>
        <v>0</v>
      </c>
      <c r="BC67" s="250">
        <f t="shared" si="95"/>
        <v>0</v>
      </c>
      <c r="BD67" s="250">
        <f t="shared" si="95"/>
        <v>0</v>
      </c>
      <c r="BE67" s="250">
        <f t="shared" si="95"/>
        <v>0</v>
      </c>
      <c r="BF67" s="250">
        <f t="shared" si="95"/>
        <v>0</v>
      </c>
      <c r="BG67" s="250">
        <f t="shared" si="95"/>
        <v>0</v>
      </c>
      <c r="BH67" s="250">
        <f t="shared" si="95"/>
        <v>0</v>
      </c>
      <c r="BI67" s="250">
        <f t="shared" si="95"/>
        <v>0</v>
      </c>
      <c r="BJ67" s="250">
        <f t="shared" si="95"/>
        <v>0</v>
      </c>
      <c r="BK67" s="250">
        <f t="shared" si="95"/>
        <v>0</v>
      </c>
      <c r="BL67" s="250">
        <f t="shared" si="95"/>
        <v>0</v>
      </c>
      <c r="BM67" s="250">
        <f t="shared" si="95"/>
        <v>0</v>
      </c>
      <c r="BN67" s="250">
        <f t="shared" si="95"/>
        <v>0</v>
      </c>
      <c r="BO67" s="250">
        <f t="shared" si="95"/>
        <v>0</v>
      </c>
      <c r="BP67" s="250">
        <f t="shared" si="95"/>
        <v>0</v>
      </c>
      <c r="BQ67" s="250">
        <f t="shared" ref="BQ67:BU67" si="96">IF(BQ66&gt;0,BQ68/BQ66*10000,0)</f>
        <v>0</v>
      </c>
      <c r="BR67" s="250">
        <f t="shared" si="96"/>
        <v>0</v>
      </c>
      <c r="BS67" s="250">
        <f t="shared" si="96"/>
        <v>0</v>
      </c>
      <c r="BT67" s="250">
        <f t="shared" si="96"/>
        <v>0</v>
      </c>
      <c r="BU67" s="250">
        <f t="shared" si="96"/>
        <v>0</v>
      </c>
    </row>
    <row r="68" spans="1:73" outlineLevel="1">
      <c r="A68" s="132">
        <f>销售计划!A143</f>
        <v>0</v>
      </c>
      <c r="B68" s="133" t="s">
        <v>841</v>
      </c>
      <c r="C68" s="133">
        <f>SUM(D68:AS68)</f>
        <v>0</v>
      </c>
      <c r="D68" s="133">
        <f>IF(D$2&lt;基础信息!$E$13,0,IF(D$2=基础信息!$E$13,SUM(销售计划!$D143:E143),销售计划!E143))</f>
        <v>0</v>
      </c>
      <c r="E68" s="133">
        <f>IF(E$2&lt;基础信息!$E$13,0,IF(E$2=基础信息!$E$13,SUM(销售计划!$D143:F143),销售计划!F143))</f>
        <v>0</v>
      </c>
      <c r="F68" s="133">
        <f>IF(F$2&lt;基础信息!$E$13,0,IF(F$2=基础信息!$E$13,SUM(销售计划!$D143:G143),销售计划!G143))</f>
        <v>0</v>
      </c>
      <c r="G68" s="133">
        <f>IF(G$2&lt;基础信息!$E$13,0,IF(G$2=基础信息!$E$13,SUM(销售计划!$D143:H143),销售计划!H143))</f>
        <v>0</v>
      </c>
      <c r="H68" s="133">
        <f>IF(H$2&lt;基础信息!$E$13,0,IF(H$2=基础信息!$E$13,SUM(销售计划!$D143:I143),销售计划!I143))</f>
        <v>0</v>
      </c>
      <c r="I68" s="133">
        <f>IF(I$2&lt;基础信息!$E$13,0,IF(I$2=基础信息!$E$13,SUM(销售计划!$D143:J143),销售计划!J143))</f>
        <v>0</v>
      </c>
      <c r="J68" s="133">
        <f>IF(J$2&lt;基础信息!$E$13,0,IF(J$2=基础信息!$E$13,SUM(销售计划!$D143:K143),销售计划!K143))</f>
        <v>0</v>
      </c>
      <c r="K68" s="133">
        <f>IF(K$2&lt;基础信息!$E$13,0,IF(K$2=基础信息!$E$13,SUM(销售计划!$D143:L143),销售计划!L143))</f>
        <v>0</v>
      </c>
      <c r="L68" s="133">
        <f>IF(L$2&lt;基础信息!$E$13,0,IF(L$2=基础信息!$E$13,SUM(销售计划!$D143:M143),销售计划!M143))</f>
        <v>0</v>
      </c>
      <c r="M68" s="133">
        <f>IF(M$2&lt;基础信息!$E$13,0,IF(M$2=基础信息!$E$13,SUM(销售计划!$D143:N143),销售计划!N143))</f>
        <v>0</v>
      </c>
      <c r="N68" s="133">
        <f>IF(N$2&lt;基础信息!$E$13,0,IF(N$2=基础信息!$E$13,SUM(销售计划!$D143:O143),销售计划!O143))</f>
        <v>0</v>
      </c>
      <c r="O68" s="133">
        <f>IF(O$2&lt;基础信息!$E$13,0,IF(O$2=基础信息!$E$13,SUM(销售计划!$D143:P143),销售计划!P143))</f>
        <v>0</v>
      </c>
      <c r="P68" s="133">
        <f>IF(P$2&lt;基础信息!$E$13,0,IF(P$2=基础信息!$E$13,SUM(销售计划!$D143:Q143),销售计划!Q143))</f>
        <v>0</v>
      </c>
      <c r="Q68" s="133">
        <f>IF(Q$2&lt;基础信息!$E$13,0,IF(Q$2=基础信息!$E$13,SUM(销售计划!$D143:R143),销售计划!R143))</f>
        <v>0</v>
      </c>
      <c r="R68" s="133">
        <f>IF(R$2&lt;基础信息!$E$13,0,IF(R$2=基础信息!$E$13,SUM(销售计划!$D143:S143),销售计划!S143))</f>
        <v>0</v>
      </c>
      <c r="S68" s="133">
        <f>IF(S$2&lt;基础信息!$E$13,0,IF(S$2=基础信息!$E$13,SUM(销售计划!$D143:T143),销售计划!T143))</f>
        <v>0</v>
      </c>
      <c r="T68" s="133">
        <f>IF(T$2&lt;基础信息!$E$13,0,IF(T$2=基础信息!$E$13,SUM(销售计划!$D143:U143),销售计划!U143))</f>
        <v>0</v>
      </c>
      <c r="U68" s="133">
        <f>IF(U$2&lt;基础信息!$E$13,0,IF(U$2=基础信息!$E$13,SUM(销售计划!$D143:V143),销售计划!V143))</f>
        <v>0</v>
      </c>
      <c r="V68" s="133">
        <f>IF(V$2&lt;基础信息!$E$13,0,IF(V$2=基础信息!$E$13,SUM(销售计划!$D143:W143),销售计划!W143))</f>
        <v>0</v>
      </c>
      <c r="W68" s="133">
        <f>IF(W$2&lt;基础信息!$E$13,0,IF(W$2=基础信息!$E$13,SUM(销售计划!$D143:X143),销售计划!X143))</f>
        <v>0</v>
      </c>
      <c r="X68" s="133">
        <f>IF(X$2&lt;基础信息!$E$13,0,IF(X$2=基础信息!$E$13,SUM(销售计划!$D143:Y143),销售计划!Y143))</f>
        <v>0</v>
      </c>
      <c r="Y68" s="133">
        <f>IF(Y$2&lt;基础信息!$E$13,0,IF(Y$2=基础信息!$E$13,SUM(销售计划!$D143:Z143),销售计划!Z143))</f>
        <v>0</v>
      </c>
      <c r="Z68" s="133">
        <f>IF(Z$2&lt;基础信息!$E$13,0,IF(Z$2=基础信息!$E$13,SUM(销售计划!$D143:AA143),销售计划!AA143))</f>
        <v>0</v>
      </c>
      <c r="AA68" s="133">
        <f>IF(AA$2&lt;基础信息!$E$13,0,IF(AA$2=基础信息!$E$13,SUM(销售计划!$D143:AB143),销售计划!AB143))</f>
        <v>0</v>
      </c>
      <c r="AB68" s="133">
        <f>IF(AB$2&lt;基础信息!$E$13,0,IF(AB$2=基础信息!$E$13,SUM(销售计划!$D143:AC143),销售计划!AC143))</f>
        <v>0</v>
      </c>
      <c r="AC68" s="133">
        <f>IF(AC$2&lt;基础信息!$E$13,0,IF(AC$2=基础信息!$E$13,SUM(销售计划!$D143:AD143),销售计划!AD143))</f>
        <v>0</v>
      </c>
      <c r="AD68" s="133">
        <f>IF(AD$2&lt;基础信息!$E$13,0,IF(AD$2=基础信息!$E$13,SUM(销售计划!$D143:AE143),销售计划!AE143))</f>
        <v>0</v>
      </c>
      <c r="AE68" s="133">
        <f>IF(AE$2&lt;基础信息!$E$13,0,IF(AE$2=基础信息!$E$13,SUM(销售计划!$D143:AF143),销售计划!AF143))</f>
        <v>0</v>
      </c>
      <c r="AF68" s="133">
        <f>IF(AF$2&lt;基础信息!$E$13,0,IF(AF$2=基础信息!$E$13,SUM(销售计划!$D143:AG143),销售计划!AG143))</f>
        <v>0</v>
      </c>
      <c r="AG68" s="133">
        <f>IF(AG$2&lt;基础信息!$E$13,0,IF(AG$2=基础信息!$E$13,SUM(销售计划!$D143:AH143),销售计划!AH143))</f>
        <v>0</v>
      </c>
      <c r="AH68" s="133">
        <f>IF(AH$2&lt;基础信息!$E$13,0,IF(AH$2=基础信息!$E$13,SUM(销售计划!$D143:AI143),销售计划!AI143))</f>
        <v>0</v>
      </c>
      <c r="AI68" s="133">
        <f>IF(AI$2&lt;基础信息!$E$13,0,IF(AI$2=基础信息!$E$13,SUM(销售计划!$D143:AJ143),销售计划!AJ143))</f>
        <v>0</v>
      </c>
      <c r="AJ68" s="133">
        <f>IF(AJ$2&lt;基础信息!$E$13,0,IF(AJ$2=基础信息!$E$13,SUM(销售计划!$D143:AK143),销售计划!AK143))</f>
        <v>0</v>
      </c>
      <c r="AK68" s="133">
        <f>IF(AK$2&lt;基础信息!$E$13,0,IF(AK$2=基础信息!$E$13,SUM(销售计划!$D143:AL143),销售计划!AL143))</f>
        <v>0</v>
      </c>
      <c r="AL68" s="133">
        <f>IF(AL$2&lt;基础信息!$E$13,0,IF(AL$2=基础信息!$E$13,SUM(销售计划!$D143:AM143),销售计划!AM143))</f>
        <v>0</v>
      </c>
      <c r="AM68" s="133">
        <f>IF(AM$2&lt;基础信息!$E$13,0,IF(AM$2=基础信息!$E$13,SUM(销售计划!$D143:AN143),销售计划!AN143))</f>
        <v>0</v>
      </c>
      <c r="AN68" s="133">
        <f>IF(AN$2&lt;基础信息!$E$13,0,IF(AN$2=基础信息!$E$13,SUM(销售计划!$D143:AO143),销售计划!AO143))</f>
        <v>0</v>
      </c>
      <c r="AO68" s="133">
        <f>IF(AO$2&lt;基础信息!$E$13,0,IF(AO$2=基础信息!$E$13,SUM(销售计划!$D143:AP143),销售计划!AP143))</f>
        <v>0</v>
      </c>
      <c r="AP68" s="133">
        <f>IF(AP$2&lt;基础信息!$E$13,0,IF(AP$2=基础信息!$E$13,SUM(销售计划!$D143:AQ143),销售计划!AQ143))</f>
        <v>0</v>
      </c>
      <c r="AQ68" s="133">
        <f>IF(AQ$2&lt;基础信息!$E$13,0,IF(AQ$2=基础信息!$E$13,SUM(销售计划!$D143:AR143),销售计划!AR143))</f>
        <v>0</v>
      </c>
      <c r="AR68" s="133">
        <f>IF(AR$2&lt;基础信息!$E$13,0,IF(AR$2=基础信息!$E$13,SUM(销售计划!$D143:AS143),销售计划!AS143))</f>
        <v>0</v>
      </c>
      <c r="AS68" s="133">
        <f>IF(AS$2&lt;基础信息!$E$13,0,IF(AS$2=基础信息!$E$13,SUM(销售计划!$D143:AT143),销售计划!AT143))</f>
        <v>0</v>
      </c>
      <c r="AT68" s="133">
        <f>IF(AT$2&lt;基础信息!$E$13,0,IF(AT$2=基础信息!$E$13,SUM(销售计划!$D143:AU143),销售计划!AU143))</f>
        <v>0</v>
      </c>
      <c r="AU68" s="133">
        <f>IF(AU$2&lt;基础信息!$E$13,0,IF(AU$2=基础信息!$E$13,SUM(销售计划!$D143:AV143),销售计划!AV143))</f>
        <v>0</v>
      </c>
      <c r="AV68" s="133">
        <f>IF(AV$2&lt;基础信息!$E$13,0,IF(AV$2=基础信息!$E$13,SUM(销售计划!$D143:AW143),销售计划!AW143))</f>
        <v>0</v>
      </c>
      <c r="AW68" s="133">
        <f>IF(AW$2&lt;基础信息!$E$13,0,IF(AW$2=基础信息!$E$13,SUM(销售计划!$D143:AX143),销售计划!AX143))</f>
        <v>0</v>
      </c>
      <c r="AX68" s="133">
        <f>IF(AX$2&lt;基础信息!$E$13,0,IF(AX$2=基础信息!$E$13,SUM(销售计划!$D143:AY143),销售计划!AY143))</f>
        <v>0</v>
      </c>
      <c r="AY68" s="133">
        <f>IF(AY$2&lt;基础信息!$E$13,0,IF(AY$2=基础信息!$E$13,SUM(销售计划!$D143:AZ143),销售计划!AZ143))</f>
        <v>0</v>
      </c>
      <c r="AZ68" s="133">
        <f>IF(AZ$2&lt;基础信息!$E$13,0,IF(AZ$2=基础信息!$E$13,SUM(销售计划!$D143:BA143),销售计划!BA143))</f>
        <v>0</v>
      </c>
      <c r="BA68" s="133">
        <f>IF(BA$2&lt;基础信息!$E$13,0,IF(BA$2=基础信息!$E$13,SUM(销售计划!$D143:BB143),销售计划!BB143))</f>
        <v>0</v>
      </c>
      <c r="BB68" s="133">
        <f>IF(BB$2&lt;基础信息!$E$13,0,IF(BB$2=基础信息!$E$13,SUM(销售计划!$D143:BC143),销售计划!BC143))</f>
        <v>0</v>
      </c>
      <c r="BC68" s="133">
        <f>IF(BC$2&lt;基础信息!$E$13,0,IF(BC$2=基础信息!$E$13,SUM(销售计划!$D143:BD143),销售计划!BD143))</f>
        <v>0</v>
      </c>
      <c r="BD68" s="133">
        <f>IF(BD$2&lt;基础信息!$E$13,0,IF(BD$2=基础信息!$E$13,SUM(销售计划!$D143:BE143),销售计划!BE143))</f>
        <v>0</v>
      </c>
      <c r="BE68" s="133">
        <f>IF(BE$2&lt;基础信息!$E$13,0,IF(BE$2=基础信息!$E$13,SUM(销售计划!$D143:BF143),销售计划!BF143))</f>
        <v>0</v>
      </c>
      <c r="BF68" s="133">
        <f>IF(BF$2&lt;基础信息!$E$13,0,IF(BF$2=基础信息!$E$13,SUM(销售计划!$D143:BG143),销售计划!BG143))</f>
        <v>0</v>
      </c>
      <c r="BG68" s="133">
        <f>IF(BG$2&lt;基础信息!$E$13,0,IF(BG$2=基础信息!$E$13,SUM(销售计划!$D143:BH143),销售计划!BH143))</f>
        <v>0</v>
      </c>
      <c r="BH68" s="133">
        <f>IF(BH$2&lt;基础信息!$E$13,0,IF(BH$2=基础信息!$E$13,SUM(销售计划!$D143:BI143),销售计划!BI143))</f>
        <v>0</v>
      </c>
      <c r="BI68" s="133">
        <f>IF(BI$2&lt;基础信息!$E$13,0,IF(BI$2=基础信息!$E$13,SUM(销售计划!$D143:BJ143),销售计划!BJ143))</f>
        <v>0</v>
      </c>
      <c r="BJ68" s="133">
        <f>IF(BJ$2&lt;基础信息!$E$13,0,IF(BJ$2=基础信息!$E$13,SUM(销售计划!$D143:BK143),销售计划!BK143))</f>
        <v>0</v>
      </c>
      <c r="BK68" s="133">
        <f>IF(BK$2&lt;基础信息!$E$13,0,IF(BK$2=基础信息!$E$13,SUM(销售计划!$D143:BL143),销售计划!BL143))</f>
        <v>0</v>
      </c>
      <c r="BL68" s="133">
        <f>IF(BL$2&lt;基础信息!$E$13,0,IF(BL$2=基础信息!$E$13,SUM(销售计划!$D143:BM143),销售计划!BM143))</f>
        <v>0</v>
      </c>
      <c r="BM68" s="133">
        <f>IF(BM$2&lt;基础信息!$E$13,0,IF(BM$2=基础信息!$E$13,SUM(销售计划!$D143:BN143),销售计划!BN143))</f>
        <v>0</v>
      </c>
      <c r="BN68" s="133">
        <f>IF(BN$2&lt;基础信息!$E$13,0,IF(BN$2=基础信息!$E$13,SUM(销售计划!$D143:BO143),销售计划!BO143))</f>
        <v>0</v>
      </c>
      <c r="BO68" s="133">
        <f>IF(BO$2&lt;基础信息!$E$13,0,IF(BO$2=基础信息!$E$13,SUM(销售计划!$D143:BP143),销售计划!BP143))</f>
        <v>0</v>
      </c>
      <c r="BP68" s="133">
        <f>IF(BP$2&lt;基础信息!$E$13,0,IF(BP$2=基础信息!$E$13,SUM(销售计划!$D143:BQ143),销售计划!BQ143))</f>
        <v>0</v>
      </c>
      <c r="BQ68" s="133">
        <f>IF(BQ$2&lt;基础信息!$E$13,0,IF(BQ$2=基础信息!$E$13,SUM(销售计划!$D143:BR143),销售计划!BR143))</f>
        <v>0</v>
      </c>
      <c r="BR68" s="133">
        <f>IF(BR$2&lt;基础信息!$E$13,0,IF(BR$2=基础信息!$E$13,SUM(销售计划!$D143:BS143),销售计划!BS143))</f>
        <v>0</v>
      </c>
      <c r="BS68" s="133">
        <f>IF(BS$2&lt;基础信息!$E$13,0,IF(BS$2=基础信息!$E$13,SUM(销售计划!$D143:BT143),销售计划!BT143))</f>
        <v>0</v>
      </c>
      <c r="BT68" s="133">
        <f>IF(BT$2&lt;基础信息!$E$13,0,IF(BT$2=基础信息!$E$13,SUM(销售计划!$D143:BU143),销售计划!BU143))</f>
        <v>0</v>
      </c>
      <c r="BU68" s="133">
        <f>IF(BU$2&lt;基础信息!$E$13,0,IF(BU$2=基础信息!$E$13,SUM(销售计划!$D143:BV143),销售计划!BV143))</f>
        <v>0</v>
      </c>
    </row>
    <row r="69" spans="1:73" s="126" customFormat="1" ht="13" outlineLevel="1">
      <c r="A69" s="127">
        <f>销售计划!A144</f>
        <v>0</v>
      </c>
      <c r="B69" s="128" t="s">
        <v>258</v>
      </c>
      <c r="C69" s="128">
        <f>SUM(D69:AS69)</f>
        <v>0</v>
      </c>
      <c r="D69" s="250">
        <f>IF(D$2&lt;基础信息!$E$13,0,IF(D$2=基础信息!$E$13,SUM(销售计划!$D144:E144),销售计划!E144))</f>
        <v>0</v>
      </c>
      <c r="E69" s="250">
        <f>IF(E$2&lt;基础信息!$E$13,0,IF(E$2=基础信息!$E$13,SUM(销售计划!$D144:F144),销售计划!F144))</f>
        <v>0</v>
      </c>
      <c r="F69" s="250">
        <f>IF(F$2&lt;基础信息!$E$13,0,IF(F$2=基础信息!$E$13,SUM(销售计划!$D144:G144),销售计划!G144))</f>
        <v>0</v>
      </c>
      <c r="G69" s="250">
        <f>IF(G$2&lt;基础信息!$E$13,0,IF(G$2=基础信息!$E$13,SUM(销售计划!$D144:H144),销售计划!H144))</f>
        <v>0</v>
      </c>
      <c r="H69" s="250">
        <f>IF(H$2&lt;基础信息!$E$13,0,IF(H$2=基础信息!$E$13,SUM(销售计划!$D144:I144),销售计划!I144))</f>
        <v>0</v>
      </c>
      <c r="I69" s="250">
        <f>IF(I$2&lt;基础信息!$E$13,0,IF(I$2=基础信息!$E$13,SUM(销售计划!$D144:J144),销售计划!J144))</f>
        <v>0</v>
      </c>
      <c r="J69" s="250">
        <f>IF(J$2&lt;基础信息!$E$13,0,IF(J$2=基础信息!$E$13,SUM(销售计划!$D144:K144),销售计划!K144))</f>
        <v>0</v>
      </c>
      <c r="K69" s="250">
        <f>IF(K$2&lt;基础信息!$E$13,0,IF(K$2=基础信息!$E$13,SUM(销售计划!$D144:L144),销售计划!L144))</f>
        <v>0</v>
      </c>
      <c r="L69" s="250">
        <f>IF(L$2&lt;基础信息!$E$13,0,IF(L$2=基础信息!$E$13,SUM(销售计划!$D144:M144),销售计划!M144))</f>
        <v>0</v>
      </c>
      <c r="M69" s="250">
        <f>IF(M$2&lt;基础信息!$E$13,0,IF(M$2=基础信息!$E$13,SUM(销售计划!$D144:N144),销售计划!N144))</f>
        <v>0</v>
      </c>
      <c r="N69" s="250">
        <f>IF(N$2&lt;基础信息!$E$13,0,IF(N$2=基础信息!$E$13,SUM(销售计划!$D144:O144),销售计划!O144))</f>
        <v>0</v>
      </c>
      <c r="O69" s="250">
        <f>IF(O$2&lt;基础信息!$E$13,0,IF(O$2=基础信息!$E$13,SUM(销售计划!$D144:P144),销售计划!P144))</f>
        <v>0</v>
      </c>
      <c r="P69" s="250">
        <f>IF(P$2&lt;基础信息!$E$13,0,IF(P$2=基础信息!$E$13,SUM(销售计划!$D144:Q144),销售计划!Q144))</f>
        <v>0</v>
      </c>
      <c r="Q69" s="250">
        <f>IF(Q$2&lt;基础信息!$E$13,0,IF(Q$2=基础信息!$E$13,SUM(销售计划!$D144:R144),销售计划!R144))</f>
        <v>0</v>
      </c>
      <c r="R69" s="250">
        <f>IF(R$2&lt;基础信息!$E$13,0,IF(R$2=基础信息!$E$13,SUM(销售计划!$D144:S144),销售计划!S144))</f>
        <v>0</v>
      </c>
      <c r="S69" s="250">
        <f>IF(S$2&lt;基础信息!$E$13,0,IF(S$2=基础信息!$E$13,SUM(销售计划!$D144:T144),销售计划!T144))</f>
        <v>0</v>
      </c>
      <c r="T69" s="135">
        <f>IF(T$2&lt;基础信息!$E$13,0,IF(T$2=基础信息!$E$13,SUM(销售计划!$D144:U144),销售计划!U144))</f>
        <v>0</v>
      </c>
      <c r="U69" s="135">
        <f>IF(U$2&lt;基础信息!$E$13,0,IF(U$2=基础信息!$E$13,SUM(销售计划!$D144:V144),销售计划!V144))</f>
        <v>0</v>
      </c>
      <c r="V69" s="135">
        <f>IF(V$2&lt;基础信息!$E$13,0,IF(V$2=基础信息!$E$13,SUM(销售计划!$D144:W144),销售计划!W144))</f>
        <v>0</v>
      </c>
      <c r="W69" s="135">
        <f>IF(W$2&lt;基础信息!$E$13,0,IF(W$2=基础信息!$E$13,SUM(销售计划!$D144:X144),销售计划!X144))</f>
        <v>0</v>
      </c>
      <c r="X69" s="135">
        <f>IF(X$2&lt;基础信息!$E$13,0,IF(X$2=基础信息!$E$13,SUM(销售计划!$D144:Y144),销售计划!Y144))</f>
        <v>0</v>
      </c>
      <c r="Y69" s="135">
        <f>IF(Y$2&lt;基础信息!$E$13,0,IF(Y$2=基础信息!$E$13,SUM(销售计划!$D144:Z144),销售计划!Z144))</f>
        <v>0</v>
      </c>
      <c r="Z69" s="135">
        <f>IF(Z$2&lt;基础信息!$E$13,0,IF(Z$2=基础信息!$E$13,SUM(销售计划!$D144:AA144),销售计划!AA144))</f>
        <v>0</v>
      </c>
      <c r="AA69" s="135">
        <f>IF(AA$2&lt;基础信息!$E$13,0,IF(AA$2=基础信息!$E$13,SUM(销售计划!$D144:AB144),销售计划!AB144))</f>
        <v>0</v>
      </c>
      <c r="AB69" s="135">
        <f>IF(AB$2&lt;基础信息!$E$13,0,IF(AB$2=基础信息!$E$13,SUM(销售计划!$D144:AC144),销售计划!AC144))</f>
        <v>0</v>
      </c>
      <c r="AC69" s="135">
        <f>IF(AC$2&lt;基础信息!$E$13,0,IF(AC$2=基础信息!$E$13,SUM(销售计划!$D144:AD144),销售计划!AD144))</f>
        <v>0</v>
      </c>
      <c r="AD69" s="135">
        <f>IF(AD$2&lt;基础信息!$E$13,0,IF(AD$2=基础信息!$E$13,SUM(销售计划!$D144:AE144),销售计划!AE144))</f>
        <v>0</v>
      </c>
      <c r="AE69" s="135">
        <f>IF(AE$2&lt;基础信息!$E$13,0,IF(AE$2=基础信息!$E$13,SUM(销售计划!$D144:AF144),销售计划!AF144))</f>
        <v>0</v>
      </c>
      <c r="AF69" s="135">
        <f>IF(AF$2&lt;基础信息!$E$13,0,IF(AF$2=基础信息!$E$13,SUM(销售计划!$D144:AG144),销售计划!AG144))</f>
        <v>0</v>
      </c>
      <c r="AG69" s="135">
        <f>IF(AG$2&lt;基础信息!$E$13,0,IF(AG$2=基础信息!$E$13,SUM(销售计划!$D144:AH144),销售计划!AH144))</f>
        <v>0</v>
      </c>
      <c r="AH69" s="135">
        <f>IF(AH$2&lt;基础信息!$E$13,0,IF(AH$2=基础信息!$E$13,SUM(销售计划!$D144:AI144),销售计划!AI144))</f>
        <v>0</v>
      </c>
      <c r="AI69" s="135">
        <f>IF(AI$2&lt;基础信息!$E$13,0,IF(AI$2=基础信息!$E$13,SUM(销售计划!$D144:AJ144),销售计划!AJ144))</f>
        <v>0</v>
      </c>
      <c r="AJ69" s="135">
        <f>IF(AJ$2&lt;基础信息!$E$13,0,IF(AJ$2=基础信息!$E$13,SUM(销售计划!$D144:AK144),销售计划!AK144))</f>
        <v>0</v>
      </c>
      <c r="AK69" s="135">
        <f>IF(AK$2&lt;基础信息!$E$13,0,IF(AK$2=基础信息!$E$13,SUM(销售计划!$D144:AL144),销售计划!AL144))</f>
        <v>0</v>
      </c>
      <c r="AL69" s="135">
        <f>IF(AL$2&lt;基础信息!$E$13,0,IF(AL$2=基础信息!$E$13,SUM(销售计划!$D144:AM144),销售计划!AM144))</f>
        <v>0</v>
      </c>
      <c r="AM69" s="135">
        <f>IF(AM$2&lt;基础信息!$E$13,0,IF(AM$2=基础信息!$E$13,SUM(销售计划!$D144:AN144),销售计划!AN144))</f>
        <v>0</v>
      </c>
      <c r="AN69" s="135">
        <f>IF(AN$2&lt;基础信息!$E$13,0,IF(AN$2=基础信息!$E$13,SUM(销售计划!$D144:AO144),销售计划!AO144))</f>
        <v>0</v>
      </c>
      <c r="AO69" s="135">
        <f>IF(AO$2&lt;基础信息!$E$13,0,IF(AO$2=基础信息!$E$13,SUM(销售计划!$D144:AP144),销售计划!AP144))</f>
        <v>0</v>
      </c>
      <c r="AP69" s="135">
        <f>IF(AP$2&lt;基础信息!$E$13,0,IF(AP$2=基础信息!$E$13,SUM(销售计划!$D144:AQ144),销售计划!AQ144))</f>
        <v>0</v>
      </c>
      <c r="AQ69" s="135">
        <f>IF(AQ$2&lt;基础信息!$E$13,0,IF(AQ$2=基础信息!$E$13,SUM(销售计划!$D144:AR144),销售计划!AR144))</f>
        <v>0</v>
      </c>
      <c r="AR69" s="135">
        <f>IF(AR$2&lt;基础信息!$E$13,0,IF(AR$2=基础信息!$E$13,SUM(销售计划!$D144:AS144),销售计划!AS144))</f>
        <v>0</v>
      </c>
      <c r="AS69" s="135">
        <f>IF(AS$2&lt;基础信息!$E$13,0,IF(AS$2=基础信息!$E$13,SUM(销售计划!$D144:AT144),销售计划!AT144))</f>
        <v>0</v>
      </c>
      <c r="AT69" s="135">
        <f>IF(AT$2&lt;基础信息!$E$13,0,IF(AT$2=基础信息!$E$13,SUM(销售计划!$D144:AU144),销售计划!AU144))</f>
        <v>0</v>
      </c>
      <c r="AU69" s="135">
        <f>IF(AU$2&lt;基础信息!$E$13,0,IF(AU$2=基础信息!$E$13,SUM(销售计划!$D144:AV144),销售计划!AV144))</f>
        <v>0</v>
      </c>
      <c r="AV69" s="135">
        <f>IF(AV$2&lt;基础信息!$E$13,0,IF(AV$2=基础信息!$E$13,SUM(销售计划!$D144:AW144),销售计划!AW144))</f>
        <v>0</v>
      </c>
      <c r="AW69" s="135">
        <f>IF(AW$2&lt;基础信息!$E$13,0,IF(AW$2=基础信息!$E$13,SUM(销售计划!$D144:AX144),销售计划!AX144))</f>
        <v>0</v>
      </c>
      <c r="AX69" s="135">
        <f>IF(AX$2&lt;基础信息!$E$13,0,IF(AX$2=基础信息!$E$13,SUM(销售计划!$D144:AY144),销售计划!AY144))</f>
        <v>0</v>
      </c>
      <c r="AY69" s="135">
        <f>IF(AY$2&lt;基础信息!$E$13,0,IF(AY$2=基础信息!$E$13,SUM(销售计划!$D144:AZ144),销售计划!AZ144))</f>
        <v>0</v>
      </c>
      <c r="AZ69" s="135">
        <f>IF(AZ$2&lt;基础信息!$E$13,0,IF(AZ$2=基础信息!$E$13,SUM(销售计划!$D144:BA144),销售计划!BA144))</f>
        <v>0</v>
      </c>
      <c r="BA69" s="135">
        <f>IF(BA$2&lt;基础信息!$E$13,0,IF(BA$2=基础信息!$E$13,SUM(销售计划!$D144:BB144),销售计划!BB144))</f>
        <v>0</v>
      </c>
      <c r="BB69" s="135">
        <f>IF(BB$2&lt;基础信息!$E$13,0,IF(BB$2=基础信息!$E$13,SUM(销售计划!$D144:BC144),销售计划!BC144))</f>
        <v>0</v>
      </c>
      <c r="BC69" s="135">
        <f>IF(BC$2&lt;基础信息!$E$13,0,IF(BC$2=基础信息!$E$13,SUM(销售计划!$D144:BD144),销售计划!BD144))</f>
        <v>0</v>
      </c>
      <c r="BD69" s="135">
        <f>IF(BD$2&lt;基础信息!$E$13,0,IF(BD$2=基础信息!$E$13,SUM(销售计划!$D144:BE144),销售计划!BE144))</f>
        <v>0</v>
      </c>
      <c r="BE69" s="135">
        <f>IF(BE$2&lt;基础信息!$E$13,0,IF(BE$2=基础信息!$E$13,SUM(销售计划!$D144:BF144),销售计划!BF144))</f>
        <v>0</v>
      </c>
      <c r="BF69" s="135">
        <f>IF(BF$2&lt;基础信息!$E$13,0,IF(BF$2=基础信息!$E$13,SUM(销售计划!$D144:BG144),销售计划!BG144))</f>
        <v>0</v>
      </c>
      <c r="BG69" s="135">
        <f>IF(BG$2&lt;基础信息!$E$13,0,IF(BG$2=基础信息!$E$13,SUM(销售计划!$D144:BH144),销售计划!BH144))</f>
        <v>0</v>
      </c>
      <c r="BH69" s="135">
        <f>IF(BH$2&lt;基础信息!$E$13,0,IF(BH$2=基础信息!$E$13,SUM(销售计划!$D144:BI144),销售计划!BI144))</f>
        <v>0</v>
      </c>
      <c r="BI69" s="135">
        <f>IF(BI$2&lt;基础信息!$E$13,0,IF(BI$2=基础信息!$E$13,SUM(销售计划!$D144:BJ144),销售计划!BJ144))</f>
        <v>0</v>
      </c>
      <c r="BJ69" s="135">
        <f>IF(BJ$2&lt;基础信息!$E$13,0,IF(BJ$2=基础信息!$E$13,SUM(销售计划!$D144:BK144),销售计划!BK144))</f>
        <v>0</v>
      </c>
      <c r="BK69" s="135">
        <f>IF(BK$2&lt;基础信息!$E$13,0,IF(BK$2=基础信息!$E$13,SUM(销售计划!$D144:BL144),销售计划!BL144))</f>
        <v>0</v>
      </c>
      <c r="BL69" s="135">
        <f>IF(BL$2&lt;基础信息!$E$13,0,IF(BL$2=基础信息!$E$13,SUM(销售计划!$D144:BM144),销售计划!BM144))</f>
        <v>0</v>
      </c>
      <c r="BM69" s="135">
        <f>IF(BM$2&lt;基础信息!$E$13,0,IF(BM$2=基础信息!$E$13,SUM(销售计划!$D144:BN144),销售计划!BN144))</f>
        <v>0</v>
      </c>
      <c r="BN69" s="135">
        <f>IF(BN$2&lt;基础信息!$E$13,0,IF(BN$2=基础信息!$E$13,SUM(销售计划!$D144:BO144),销售计划!BO144))</f>
        <v>0</v>
      </c>
      <c r="BO69" s="135">
        <f>IF(BO$2&lt;基础信息!$E$13,0,IF(BO$2=基础信息!$E$13,SUM(销售计划!$D144:BP144),销售计划!BP144))</f>
        <v>0</v>
      </c>
      <c r="BP69" s="135">
        <f>IF(BP$2&lt;基础信息!$E$13,0,IF(BP$2=基础信息!$E$13,SUM(销售计划!$D144:BQ144),销售计划!BQ144))</f>
        <v>0</v>
      </c>
      <c r="BQ69" s="135">
        <f>IF(BQ$2&lt;基础信息!$E$13,0,IF(BQ$2=基础信息!$E$13,SUM(销售计划!$D144:BR144),销售计划!BR144))</f>
        <v>0</v>
      </c>
      <c r="BR69" s="135">
        <f>IF(BR$2&lt;基础信息!$E$13,0,IF(BR$2=基础信息!$E$13,SUM(销售计划!$D144:BS144),销售计划!BS144))</f>
        <v>0</v>
      </c>
      <c r="BS69" s="135">
        <f>IF(BS$2&lt;基础信息!$E$13,0,IF(BS$2=基础信息!$E$13,SUM(销售计划!$D144:BT144),销售计划!BT144))</f>
        <v>0</v>
      </c>
      <c r="BT69" s="135">
        <f>IF(BT$2&lt;基础信息!$E$13,0,IF(BT$2=基础信息!$E$13,SUM(销售计划!$D144:BU144),销售计划!BU144))</f>
        <v>0</v>
      </c>
      <c r="BU69" s="135">
        <f>IF(BU$2&lt;基础信息!$E$13,0,IF(BU$2=基础信息!$E$13,SUM(销售计划!$D144:BV144),销售计划!BV144))</f>
        <v>0</v>
      </c>
    </row>
    <row r="70" spans="1:73" s="126" customFormat="1" ht="13" outlineLevel="1">
      <c r="A70" s="127">
        <f>销售计划!A145</f>
        <v>0</v>
      </c>
      <c r="B70" s="128" t="s">
        <v>840</v>
      </c>
      <c r="C70" s="128">
        <f t="shared" ref="C70:AS70" si="97">IF(C69&gt;0,C71/C69*10000,0)</f>
        <v>0</v>
      </c>
      <c r="D70" s="250">
        <f t="shared" si="97"/>
        <v>0</v>
      </c>
      <c r="E70" s="250">
        <f t="shared" si="97"/>
        <v>0</v>
      </c>
      <c r="F70" s="128">
        <f t="shared" si="97"/>
        <v>0</v>
      </c>
      <c r="G70" s="128">
        <f t="shared" si="97"/>
        <v>0</v>
      </c>
      <c r="H70" s="250">
        <f t="shared" si="97"/>
        <v>0</v>
      </c>
      <c r="I70" s="250">
        <f t="shared" si="97"/>
        <v>0</v>
      </c>
      <c r="J70" s="250">
        <f t="shared" si="97"/>
        <v>0</v>
      </c>
      <c r="K70" s="250">
        <f t="shared" si="97"/>
        <v>0</v>
      </c>
      <c r="L70" s="250">
        <f t="shared" si="97"/>
        <v>0</v>
      </c>
      <c r="M70" s="250">
        <f t="shared" si="97"/>
        <v>0</v>
      </c>
      <c r="N70" s="250">
        <f t="shared" si="97"/>
        <v>0</v>
      </c>
      <c r="O70" s="250">
        <f t="shared" si="97"/>
        <v>0</v>
      </c>
      <c r="P70" s="250">
        <f t="shared" si="97"/>
        <v>0</v>
      </c>
      <c r="Q70" s="250">
        <f t="shared" si="97"/>
        <v>0</v>
      </c>
      <c r="R70" s="250">
        <f t="shared" si="97"/>
        <v>0</v>
      </c>
      <c r="S70" s="250">
        <f t="shared" si="97"/>
        <v>0</v>
      </c>
      <c r="T70" s="250">
        <f t="shared" si="97"/>
        <v>0</v>
      </c>
      <c r="U70" s="250">
        <f t="shared" si="97"/>
        <v>0</v>
      </c>
      <c r="V70" s="250">
        <f t="shared" si="97"/>
        <v>0</v>
      </c>
      <c r="W70" s="250">
        <f t="shared" si="97"/>
        <v>0</v>
      </c>
      <c r="X70" s="250">
        <f t="shared" si="97"/>
        <v>0</v>
      </c>
      <c r="Y70" s="250">
        <f t="shared" si="97"/>
        <v>0</v>
      </c>
      <c r="Z70" s="250">
        <f t="shared" si="97"/>
        <v>0</v>
      </c>
      <c r="AA70" s="250">
        <f t="shared" si="97"/>
        <v>0</v>
      </c>
      <c r="AB70" s="250">
        <f t="shared" si="97"/>
        <v>0</v>
      </c>
      <c r="AC70" s="250">
        <f t="shared" si="97"/>
        <v>0</v>
      </c>
      <c r="AD70" s="250">
        <f t="shared" si="97"/>
        <v>0</v>
      </c>
      <c r="AE70" s="250">
        <f t="shared" si="97"/>
        <v>0</v>
      </c>
      <c r="AF70" s="250">
        <f t="shared" si="97"/>
        <v>0</v>
      </c>
      <c r="AG70" s="250">
        <f t="shared" si="97"/>
        <v>0</v>
      </c>
      <c r="AH70" s="250">
        <f t="shared" si="97"/>
        <v>0</v>
      </c>
      <c r="AI70" s="250">
        <f t="shared" si="97"/>
        <v>0</v>
      </c>
      <c r="AJ70" s="250">
        <f t="shared" si="97"/>
        <v>0</v>
      </c>
      <c r="AK70" s="250">
        <f t="shared" si="97"/>
        <v>0</v>
      </c>
      <c r="AL70" s="250">
        <f t="shared" si="97"/>
        <v>0</v>
      </c>
      <c r="AM70" s="250">
        <f t="shared" si="97"/>
        <v>0</v>
      </c>
      <c r="AN70" s="250">
        <f t="shared" si="97"/>
        <v>0</v>
      </c>
      <c r="AO70" s="250">
        <f t="shared" si="97"/>
        <v>0</v>
      </c>
      <c r="AP70" s="250">
        <f t="shared" si="97"/>
        <v>0</v>
      </c>
      <c r="AQ70" s="250">
        <f t="shared" si="97"/>
        <v>0</v>
      </c>
      <c r="AR70" s="250">
        <f t="shared" si="97"/>
        <v>0</v>
      </c>
      <c r="AS70" s="250">
        <f t="shared" si="97"/>
        <v>0</v>
      </c>
      <c r="AT70" s="250">
        <f t="shared" ref="AT70:BP70" si="98">IF(AT69&gt;0,AT71/AT69*10000,0)</f>
        <v>0</v>
      </c>
      <c r="AU70" s="250">
        <f t="shared" si="98"/>
        <v>0</v>
      </c>
      <c r="AV70" s="250">
        <f t="shared" si="98"/>
        <v>0</v>
      </c>
      <c r="AW70" s="250">
        <f t="shared" si="98"/>
        <v>0</v>
      </c>
      <c r="AX70" s="250">
        <f t="shared" si="98"/>
        <v>0</v>
      </c>
      <c r="AY70" s="250">
        <f t="shared" si="98"/>
        <v>0</v>
      </c>
      <c r="AZ70" s="250">
        <f t="shared" si="98"/>
        <v>0</v>
      </c>
      <c r="BA70" s="250">
        <f t="shared" si="98"/>
        <v>0</v>
      </c>
      <c r="BB70" s="250">
        <f t="shared" si="98"/>
        <v>0</v>
      </c>
      <c r="BC70" s="250">
        <f t="shared" si="98"/>
        <v>0</v>
      </c>
      <c r="BD70" s="250">
        <f t="shared" si="98"/>
        <v>0</v>
      </c>
      <c r="BE70" s="250">
        <f t="shared" si="98"/>
        <v>0</v>
      </c>
      <c r="BF70" s="250">
        <f t="shared" si="98"/>
        <v>0</v>
      </c>
      <c r="BG70" s="250">
        <f t="shared" si="98"/>
        <v>0</v>
      </c>
      <c r="BH70" s="250">
        <f t="shared" si="98"/>
        <v>0</v>
      </c>
      <c r="BI70" s="250">
        <f t="shared" si="98"/>
        <v>0</v>
      </c>
      <c r="BJ70" s="250">
        <f t="shared" si="98"/>
        <v>0</v>
      </c>
      <c r="BK70" s="250">
        <f t="shared" si="98"/>
        <v>0</v>
      </c>
      <c r="BL70" s="250">
        <f t="shared" si="98"/>
        <v>0</v>
      </c>
      <c r="BM70" s="250">
        <f t="shared" si="98"/>
        <v>0</v>
      </c>
      <c r="BN70" s="250">
        <f t="shared" si="98"/>
        <v>0</v>
      </c>
      <c r="BO70" s="250">
        <f t="shared" si="98"/>
        <v>0</v>
      </c>
      <c r="BP70" s="250">
        <f t="shared" si="98"/>
        <v>0</v>
      </c>
      <c r="BQ70" s="250">
        <f t="shared" ref="BQ70:BU70" si="99">IF(BQ69&gt;0,BQ71/BQ69*10000,0)</f>
        <v>0</v>
      </c>
      <c r="BR70" s="250">
        <f t="shared" si="99"/>
        <v>0</v>
      </c>
      <c r="BS70" s="250">
        <f t="shared" si="99"/>
        <v>0</v>
      </c>
      <c r="BT70" s="250">
        <f t="shared" si="99"/>
        <v>0</v>
      </c>
      <c r="BU70" s="250">
        <f t="shared" si="99"/>
        <v>0</v>
      </c>
    </row>
    <row r="71" spans="1:73" outlineLevel="1">
      <c r="A71" s="132">
        <f>销售计划!A146</f>
        <v>0</v>
      </c>
      <c r="B71" s="133" t="s">
        <v>841</v>
      </c>
      <c r="C71" s="133">
        <f>SUM(D71:AS71)</f>
        <v>0</v>
      </c>
      <c r="D71" s="133">
        <f>IF(D$2&lt;基础信息!$E$13,0,IF(D$2=基础信息!$E$13,SUM(销售计划!$D146:E146),销售计划!E146))</f>
        <v>0</v>
      </c>
      <c r="E71" s="133">
        <f>IF(E$2&lt;基础信息!$E$13,0,IF(E$2=基础信息!$E$13,SUM(销售计划!$D146:F146),销售计划!F146))</f>
        <v>0</v>
      </c>
      <c r="F71" s="133">
        <f>IF(F$2&lt;基础信息!$E$13,0,IF(F$2=基础信息!$E$13,SUM(销售计划!$D146:G146),销售计划!G146))</f>
        <v>0</v>
      </c>
      <c r="G71" s="133">
        <f>IF(G$2&lt;基础信息!$E$13,0,IF(G$2=基础信息!$E$13,SUM(销售计划!$D146:H146),销售计划!H146))</f>
        <v>0</v>
      </c>
      <c r="H71" s="133">
        <f>IF(H$2&lt;基础信息!$E$13,0,IF(H$2=基础信息!$E$13,SUM(销售计划!$D146:I146),销售计划!I146))</f>
        <v>0</v>
      </c>
      <c r="I71" s="133">
        <f>IF(I$2&lt;基础信息!$E$13,0,IF(I$2=基础信息!$E$13,SUM(销售计划!$D146:J146),销售计划!J146))</f>
        <v>0</v>
      </c>
      <c r="J71" s="133">
        <f>IF(J$2&lt;基础信息!$E$13,0,IF(J$2=基础信息!$E$13,SUM(销售计划!$D146:K146),销售计划!K146))</f>
        <v>0</v>
      </c>
      <c r="K71" s="133">
        <f>IF(K$2&lt;基础信息!$E$13,0,IF(K$2=基础信息!$E$13,SUM(销售计划!$D146:L146),销售计划!L146))</f>
        <v>0</v>
      </c>
      <c r="L71" s="133">
        <f>IF(L$2&lt;基础信息!$E$13,0,IF(L$2=基础信息!$E$13,SUM(销售计划!$D146:M146),销售计划!M146))</f>
        <v>0</v>
      </c>
      <c r="M71" s="133">
        <f>IF(M$2&lt;基础信息!$E$13,0,IF(M$2=基础信息!$E$13,SUM(销售计划!$D146:N146),销售计划!N146))</f>
        <v>0</v>
      </c>
      <c r="N71" s="133">
        <f>IF(N$2&lt;基础信息!$E$13,0,IF(N$2=基础信息!$E$13,SUM(销售计划!$D146:O146),销售计划!O146))</f>
        <v>0</v>
      </c>
      <c r="O71" s="133">
        <f>IF(O$2&lt;基础信息!$E$13,0,IF(O$2=基础信息!$E$13,SUM(销售计划!$D146:P146),销售计划!P146))</f>
        <v>0</v>
      </c>
      <c r="P71" s="133">
        <f>IF(P$2&lt;基础信息!$E$13,0,IF(P$2=基础信息!$E$13,SUM(销售计划!$D146:Q146),销售计划!Q146))</f>
        <v>0</v>
      </c>
      <c r="Q71" s="133">
        <f>IF(Q$2&lt;基础信息!$E$13,0,IF(Q$2=基础信息!$E$13,SUM(销售计划!$D146:R146),销售计划!R146))</f>
        <v>0</v>
      </c>
      <c r="R71" s="133">
        <f>IF(R$2&lt;基础信息!$E$13,0,IF(R$2=基础信息!$E$13,SUM(销售计划!$D146:S146),销售计划!S146))</f>
        <v>0</v>
      </c>
      <c r="S71" s="133">
        <f>IF(S$2&lt;基础信息!$E$13,0,IF(S$2=基础信息!$E$13,SUM(销售计划!$D146:T146),销售计划!T146))</f>
        <v>0</v>
      </c>
      <c r="T71" s="133">
        <f>IF(T$2&lt;基础信息!$E$13,0,IF(T$2=基础信息!$E$13,SUM(销售计划!$D146:U146),销售计划!U146))</f>
        <v>0</v>
      </c>
      <c r="U71" s="133">
        <f>IF(U$2&lt;基础信息!$E$13,0,IF(U$2=基础信息!$E$13,SUM(销售计划!$D146:V146),销售计划!V146))</f>
        <v>0</v>
      </c>
      <c r="V71" s="133">
        <f>IF(V$2&lt;基础信息!$E$13,0,IF(V$2=基础信息!$E$13,SUM(销售计划!$D146:W146),销售计划!W146))</f>
        <v>0</v>
      </c>
      <c r="W71" s="133">
        <f>IF(W$2&lt;基础信息!$E$13,0,IF(W$2=基础信息!$E$13,SUM(销售计划!$D146:X146),销售计划!X146))</f>
        <v>0</v>
      </c>
      <c r="X71" s="133">
        <f>IF(X$2&lt;基础信息!$E$13,0,IF(X$2=基础信息!$E$13,SUM(销售计划!$D146:Y146),销售计划!Y146))</f>
        <v>0</v>
      </c>
      <c r="Y71" s="133">
        <f>IF(Y$2&lt;基础信息!$E$13,0,IF(Y$2=基础信息!$E$13,SUM(销售计划!$D146:Z146),销售计划!Z146))</f>
        <v>0</v>
      </c>
      <c r="Z71" s="133">
        <f>IF(Z$2&lt;基础信息!$E$13,0,IF(Z$2=基础信息!$E$13,SUM(销售计划!$D146:AA146),销售计划!AA146))</f>
        <v>0</v>
      </c>
      <c r="AA71" s="133">
        <f>IF(AA$2&lt;基础信息!$E$13,0,IF(AA$2=基础信息!$E$13,SUM(销售计划!$D146:AB146),销售计划!AB146))</f>
        <v>0</v>
      </c>
      <c r="AB71" s="133">
        <f>IF(AB$2&lt;基础信息!$E$13,0,IF(AB$2=基础信息!$E$13,SUM(销售计划!$D146:AC146),销售计划!AC146))</f>
        <v>0</v>
      </c>
      <c r="AC71" s="133">
        <f>IF(AC$2&lt;基础信息!$E$13,0,IF(AC$2=基础信息!$E$13,SUM(销售计划!$D146:AD146),销售计划!AD146))</f>
        <v>0</v>
      </c>
      <c r="AD71" s="133">
        <f>IF(AD$2&lt;基础信息!$E$13,0,IF(AD$2=基础信息!$E$13,SUM(销售计划!$D146:AE146),销售计划!AE146))</f>
        <v>0</v>
      </c>
      <c r="AE71" s="133">
        <f>IF(AE$2&lt;基础信息!$E$13,0,IF(AE$2=基础信息!$E$13,SUM(销售计划!$D146:AF146),销售计划!AF146))</f>
        <v>0</v>
      </c>
      <c r="AF71" s="133">
        <f>IF(AF$2&lt;基础信息!$E$13,0,IF(AF$2=基础信息!$E$13,SUM(销售计划!$D146:AG146),销售计划!AG146))</f>
        <v>0</v>
      </c>
      <c r="AG71" s="133">
        <f>IF(AG$2&lt;基础信息!$E$13,0,IF(AG$2=基础信息!$E$13,SUM(销售计划!$D146:AH146),销售计划!AH146))</f>
        <v>0</v>
      </c>
      <c r="AH71" s="133">
        <f>IF(AH$2&lt;基础信息!$E$13,0,IF(AH$2=基础信息!$E$13,SUM(销售计划!$D146:AI146),销售计划!AI146))</f>
        <v>0</v>
      </c>
      <c r="AI71" s="133">
        <f>IF(AI$2&lt;基础信息!$E$13,0,IF(AI$2=基础信息!$E$13,SUM(销售计划!$D146:AJ146),销售计划!AJ146))</f>
        <v>0</v>
      </c>
      <c r="AJ71" s="133">
        <f>IF(AJ$2&lt;基础信息!$E$13,0,IF(AJ$2=基础信息!$E$13,SUM(销售计划!$D146:AK146),销售计划!AK146))</f>
        <v>0</v>
      </c>
      <c r="AK71" s="133">
        <f>IF(AK$2&lt;基础信息!$E$13,0,IF(AK$2=基础信息!$E$13,SUM(销售计划!$D146:AL146),销售计划!AL146))</f>
        <v>0</v>
      </c>
      <c r="AL71" s="133">
        <f>IF(AL$2&lt;基础信息!$E$13,0,IF(AL$2=基础信息!$E$13,SUM(销售计划!$D146:AM146),销售计划!AM146))</f>
        <v>0</v>
      </c>
      <c r="AM71" s="133">
        <f>IF(AM$2&lt;基础信息!$E$13,0,IF(AM$2=基础信息!$E$13,SUM(销售计划!$D146:AN146),销售计划!AN146))</f>
        <v>0</v>
      </c>
      <c r="AN71" s="133">
        <f>IF(AN$2&lt;基础信息!$E$13,0,IF(AN$2=基础信息!$E$13,SUM(销售计划!$D146:AO146),销售计划!AO146))</f>
        <v>0</v>
      </c>
      <c r="AO71" s="133">
        <f>IF(AO$2&lt;基础信息!$E$13,0,IF(AO$2=基础信息!$E$13,SUM(销售计划!$D146:AP146),销售计划!AP146))</f>
        <v>0</v>
      </c>
      <c r="AP71" s="133">
        <f>IF(AP$2&lt;基础信息!$E$13,0,IF(AP$2=基础信息!$E$13,SUM(销售计划!$D146:AQ146),销售计划!AQ146))</f>
        <v>0</v>
      </c>
      <c r="AQ71" s="133">
        <f>IF(AQ$2&lt;基础信息!$E$13,0,IF(AQ$2=基础信息!$E$13,SUM(销售计划!$D146:AR146),销售计划!AR146))</f>
        <v>0</v>
      </c>
      <c r="AR71" s="133">
        <f>IF(AR$2&lt;基础信息!$E$13,0,IF(AR$2=基础信息!$E$13,SUM(销售计划!$D146:AS146),销售计划!AS146))</f>
        <v>0</v>
      </c>
      <c r="AS71" s="133">
        <f>IF(AS$2&lt;基础信息!$E$13,0,IF(AS$2=基础信息!$E$13,SUM(销售计划!$D146:AT146),销售计划!AT146))</f>
        <v>0</v>
      </c>
      <c r="AT71" s="133">
        <f>IF(AT$2&lt;基础信息!$E$13,0,IF(AT$2=基础信息!$E$13,SUM(销售计划!$D146:AU146),销售计划!AU146))</f>
        <v>0</v>
      </c>
      <c r="AU71" s="133">
        <f>IF(AU$2&lt;基础信息!$E$13,0,IF(AU$2=基础信息!$E$13,SUM(销售计划!$D146:AV146),销售计划!AV146))</f>
        <v>0</v>
      </c>
      <c r="AV71" s="133">
        <f>IF(AV$2&lt;基础信息!$E$13,0,IF(AV$2=基础信息!$E$13,SUM(销售计划!$D146:AW146),销售计划!AW146))</f>
        <v>0</v>
      </c>
      <c r="AW71" s="133">
        <f>IF(AW$2&lt;基础信息!$E$13,0,IF(AW$2=基础信息!$E$13,SUM(销售计划!$D146:AX146),销售计划!AX146))</f>
        <v>0</v>
      </c>
      <c r="AX71" s="133">
        <f>IF(AX$2&lt;基础信息!$E$13,0,IF(AX$2=基础信息!$E$13,SUM(销售计划!$D146:AY146),销售计划!AY146))</f>
        <v>0</v>
      </c>
      <c r="AY71" s="133">
        <f>IF(AY$2&lt;基础信息!$E$13,0,IF(AY$2=基础信息!$E$13,SUM(销售计划!$D146:AZ146),销售计划!AZ146))</f>
        <v>0</v>
      </c>
      <c r="AZ71" s="133">
        <f>IF(AZ$2&lt;基础信息!$E$13,0,IF(AZ$2=基础信息!$E$13,SUM(销售计划!$D146:BA146),销售计划!BA146))</f>
        <v>0</v>
      </c>
      <c r="BA71" s="133">
        <f>IF(BA$2&lt;基础信息!$E$13,0,IF(BA$2=基础信息!$E$13,SUM(销售计划!$D146:BB146),销售计划!BB146))</f>
        <v>0</v>
      </c>
      <c r="BB71" s="133">
        <f>IF(BB$2&lt;基础信息!$E$13,0,IF(BB$2=基础信息!$E$13,SUM(销售计划!$D146:BC146),销售计划!BC146))</f>
        <v>0</v>
      </c>
      <c r="BC71" s="133">
        <f>IF(BC$2&lt;基础信息!$E$13,0,IF(BC$2=基础信息!$E$13,SUM(销售计划!$D146:BD146),销售计划!BD146))</f>
        <v>0</v>
      </c>
      <c r="BD71" s="133">
        <f>IF(BD$2&lt;基础信息!$E$13,0,IF(BD$2=基础信息!$E$13,SUM(销售计划!$D146:BE146),销售计划!BE146))</f>
        <v>0</v>
      </c>
      <c r="BE71" s="133">
        <f>IF(BE$2&lt;基础信息!$E$13,0,IF(BE$2=基础信息!$E$13,SUM(销售计划!$D146:BF146),销售计划!BF146))</f>
        <v>0</v>
      </c>
      <c r="BF71" s="133">
        <f>IF(BF$2&lt;基础信息!$E$13,0,IF(BF$2=基础信息!$E$13,SUM(销售计划!$D146:BG146),销售计划!BG146))</f>
        <v>0</v>
      </c>
      <c r="BG71" s="133">
        <f>IF(BG$2&lt;基础信息!$E$13,0,IF(BG$2=基础信息!$E$13,SUM(销售计划!$D146:BH146),销售计划!BH146))</f>
        <v>0</v>
      </c>
      <c r="BH71" s="133">
        <f>IF(BH$2&lt;基础信息!$E$13,0,IF(BH$2=基础信息!$E$13,SUM(销售计划!$D146:BI146),销售计划!BI146))</f>
        <v>0</v>
      </c>
      <c r="BI71" s="133">
        <f>IF(BI$2&lt;基础信息!$E$13,0,IF(BI$2=基础信息!$E$13,SUM(销售计划!$D146:BJ146),销售计划!BJ146))</f>
        <v>0</v>
      </c>
      <c r="BJ71" s="133">
        <f>IF(BJ$2&lt;基础信息!$E$13,0,IF(BJ$2=基础信息!$E$13,SUM(销售计划!$D146:BK146),销售计划!BK146))</f>
        <v>0</v>
      </c>
      <c r="BK71" s="133">
        <f>IF(BK$2&lt;基础信息!$E$13,0,IF(BK$2=基础信息!$E$13,SUM(销售计划!$D146:BL146),销售计划!BL146))</f>
        <v>0</v>
      </c>
      <c r="BL71" s="133">
        <f>IF(BL$2&lt;基础信息!$E$13,0,IF(BL$2=基础信息!$E$13,SUM(销售计划!$D146:BM146),销售计划!BM146))</f>
        <v>0</v>
      </c>
      <c r="BM71" s="133">
        <f>IF(BM$2&lt;基础信息!$E$13,0,IF(BM$2=基础信息!$E$13,SUM(销售计划!$D146:BN146),销售计划!BN146))</f>
        <v>0</v>
      </c>
      <c r="BN71" s="133">
        <f>IF(BN$2&lt;基础信息!$E$13,0,IF(BN$2=基础信息!$E$13,SUM(销售计划!$D146:BO146),销售计划!BO146))</f>
        <v>0</v>
      </c>
      <c r="BO71" s="133">
        <f>IF(BO$2&lt;基础信息!$E$13,0,IF(BO$2=基础信息!$E$13,SUM(销售计划!$D146:BP146),销售计划!BP146))</f>
        <v>0</v>
      </c>
      <c r="BP71" s="133">
        <f>IF(BP$2&lt;基础信息!$E$13,0,IF(BP$2=基础信息!$E$13,SUM(销售计划!$D146:BQ146),销售计划!BQ146))</f>
        <v>0</v>
      </c>
      <c r="BQ71" s="133">
        <f>IF(BQ$2&lt;基础信息!$E$13,0,IF(BQ$2=基础信息!$E$13,SUM(销售计划!$D146:BR146),销售计划!BR146))</f>
        <v>0</v>
      </c>
      <c r="BR71" s="133">
        <f>IF(BR$2&lt;基础信息!$E$13,0,IF(BR$2=基础信息!$E$13,SUM(销售计划!$D146:BS146),销售计划!BS146))</f>
        <v>0</v>
      </c>
      <c r="BS71" s="133">
        <f>IF(BS$2&lt;基础信息!$E$13,0,IF(BS$2=基础信息!$E$13,SUM(销售计划!$D146:BT146),销售计划!BT146))</f>
        <v>0</v>
      </c>
      <c r="BT71" s="133">
        <f>IF(BT$2&lt;基础信息!$E$13,0,IF(BT$2=基础信息!$E$13,SUM(销售计划!$D146:BU146),销售计划!BU146))</f>
        <v>0</v>
      </c>
      <c r="BU71" s="133">
        <f>IF(BU$2&lt;基础信息!$E$13,0,IF(BU$2=基础信息!$E$13,SUM(销售计划!$D146:BV146),销售计划!BV146))</f>
        <v>0</v>
      </c>
    </row>
    <row r="72" spans="1:73" s="126" customFormat="1" ht="13" outlineLevel="1">
      <c r="A72" s="127">
        <f>销售计划!A147</f>
        <v>0</v>
      </c>
      <c r="B72" s="128" t="s">
        <v>258</v>
      </c>
      <c r="C72" s="128">
        <f>SUM(D72:AS72)</f>
        <v>0</v>
      </c>
      <c r="D72" s="250">
        <f>IF(D$2&lt;基础信息!$E$13,0,IF(D$2=基础信息!$E$13,SUM(销售计划!$D147:E147),销售计划!E147))</f>
        <v>0</v>
      </c>
      <c r="E72" s="250">
        <f>IF(E$2&lt;基础信息!$E$13,0,IF(E$2=基础信息!$E$13,SUM(销售计划!$D147:F147),销售计划!F147))</f>
        <v>0</v>
      </c>
      <c r="F72" s="250">
        <f>IF(F$2&lt;基础信息!$E$13,0,IF(F$2=基础信息!$E$13,SUM(销售计划!$D147:G147),销售计划!G147))</f>
        <v>0</v>
      </c>
      <c r="G72" s="250">
        <f>IF(G$2&lt;基础信息!$E$13,0,IF(G$2=基础信息!$E$13,SUM(销售计划!$D147:H147),销售计划!H147))</f>
        <v>0</v>
      </c>
      <c r="H72" s="250">
        <f>IF(H$2&lt;基础信息!$E$13,0,IF(H$2=基础信息!$E$13,SUM(销售计划!$D147:I147),销售计划!I147))</f>
        <v>0</v>
      </c>
      <c r="I72" s="250">
        <f>IF(I$2&lt;基础信息!$E$13,0,IF(I$2=基础信息!$E$13,SUM(销售计划!$D147:J147),销售计划!J147))</f>
        <v>0</v>
      </c>
      <c r="J72" s="250">
        <f>IF(J$2&lt;基础信息!$E$13,0,IF(J$2=基础信息!$E$13,SUM(销售计划!$D147:K147),销售计划!K147))</f>
        <v>0</v>
      </c>
      <c r="K72" s="250">
        <f>IF(K$2&lt;基础信息!$E$13,0,IF(K$2=基础信息!$E$13,SUM(销售计划!$D147:L147),销售计划!L147))</f>
        <v>0</v>
      </c>
      <c r="L72" s="250">
        <f>IF(L$2&lt;基础信息!$E$13,0,IF(L$2=基础信息!$E$13,SUM(销售计划!$D147:M147),销售计划!M147))</f>
        <v>0</v>
      </c>
      <c r="M72" s="250">
        <f>IF(M$2&lt;基础信息!$E$13,0,IF(M$2=基础信息!$E$13,SUM(销售计划!$D147:N147),销售计划!N147))</f>
        <v>0</v>
      </c>
      <c r="N72" s="250">
        <f>IF(N$2&lt;基础信息!$E$13,0,IF(N$2=基础信息!$E$13,SUM(销售计划!$D147:O147),销售计划!O147))</f>
        <v>0</v>
      </c>
      <c r="O72" s="250">
        <f>IF(O$2&lt;基础信息!$E$13,0,IF(O$2=基础信息!$E$13,SUM(销售计划!$D147:P147),销售计划!P147))</f>
        <v>0</v>
      </c>
      <c r="P72" s="250">
        <f>IF(P$2&lt;基础信息!$E$13,0,IF(P$2=基础信息!$E$13,SUM(销售计划!$D147:Q147),销售计划!Q147))</f>
        <v>0</v>
      </c>
      <c r="Q72" s="250">
        <f>IF(Q$2&lt;基础信息!$E$13,0,IF(Q$2=基础信息!$E$13,SUM(销售计划!$D147:R147),销售计划!R147))</f>
        <v>0</v>
      </c>
      <c r="R72" s="250">
        <f>IF(R$2&lt;基础信息!$E$13,0,IF(R$2=基础信息!$E$13,SUM(销售计划!$D147:S147),销售计划!S147))</f>
        <v>0</v>
      </c>
      <c r="S72" s="250">
        <f>IF(S$2&lt;基础信息!$E$13,0,IF(S$2=基础信息!$E$13,SUM(销售计划!$D147:T147),销售计划!T147))</f>
        <v>0</v>
      </c>
      <c r="T72" s="135">
        <f>IF(T$2&lt;基础信息!$E$13,0,IF(T$2=基础信息!$E$13,SUM(销售计划!$D147:U147),销售计划!U147))</f>
        <v>0</v>
      </c>
      <c r="U72" s="135">
        <f>IF(U$2&lt;基础信息!$E$13,0,IF(U$2=基础信息!$E$13,SUM(销售计划!$D147:V147),销售计划!V147))</f>
        <v>0</v>
      </c>
      <c r="V72" s="135">
        <f>IF(V$2&lt;基础信息!$E$13,0,IF(V$2=基础信息!$E$13,SUM(销售计划!$D147:W147),销售计划!W147))</f>
        <v>0</v>
      </c>
      <c r="W72" s="135">
        <f>IF(W$2&lt;基础信息!$E$13,0,IF(W$2=基础信息!$E$13,SUM(销售计划!$D147:X147),销售计划!X147))</f>
        <v>0</v>
      </c>
      <c r="X72" s="135">
        <f>IF(X$2&lt;基础信息!$E$13,0,IF(X$2=基础信息!$E$13,SUM(销售计划!$D147:Y147),销售计划!Y147))</f>
        <v>0</v>
      </c>
      <c r="Y72" s="135">
        <f>IF(Y$2&lt;基础信息!$E$13,0,IF(Y$2=基础信息!$E$13,SUM(销售计划!$D147:Z147),销售计划!Z147))</f>
        <v>0</v>
      </c>
      <c r="Z72" s="135">
        <f>IF(Z$2&lt;基础信息!$E$13,0,IF(Z$2=基础信息!$E$13,SUM(销售计划!$D147:AA147),销售计划!AA147))</f>
        <v>0</v>
      </c>
      <c r="AA72" s="135">
        <f>IF(AA$2&lt;基础信息!$E$13,0,IF(AA$2=基础信息!$E$13,SUM(销售计划!$D147:AB147),销售计划!AB147))</f>
        <v>0</v>
      </c>
      <c r="AB72" s="135">
        <f>IF(AB$2&lt;基础信息!$E$13,0,IF(AB$2=基础信息!$E$13,SUM(销售计划!$D147:AC147),销售计划!AC147))</f>
        <v>0</v>
      </c>
      <c r="AC72" s="135">
        <f>IF(AC$2&lt;基础信息!$E$13,0,IF(AC$2=基础信息!$E$13,SUM(销售计划!$D147:AD147),销售计划!AD147))</f>
        <v>0</v>
      </c>
      <c r="AD72" s="135">
        <f>IF(AD$2&lt;基础信息!$E$13,0,IF(AD$2=基础信息!$E$13,SUM(销售计划!$D147:AE147),销售计划!AE147))</f>
        <v>0</v>
      </c>
      <c r="AE72" s="135">
        <f>IF(AE$2&lt;基础信息!$E$13,0,IF(AE$2=基础信息!$E$13,SUM(销售计划!$D147:AF147),销售计划!AF147))</f>
        <v>0</v>
      </c>
      <c r="AF72" s="135">
        <f>IF(AF$2&lt;基础信息!$E$13,0,IF(AF$2=基础信息!$E$13,SUM(销售计划!$D147:AG147),销售计划!AG147))</f>
        <v>0</v>
      </c>
      <c r="AG72" s="135">
        <f>IF(AG$2&lt;基础信息!$E$13,0,IF(AG$2=基础信息!$E$13,SUM(销售计划!$D147:AH147),销售计划!AH147))</f>
        <v>0</v>
      </c>
      <c r="AH72" s="135">
        <f>IF(AH$2&lt;基础信息!$E$13,0,IF(AH$2=基础信息!$E$13,SUM(销售计划!$D147:AI147),销售计划!AI147))</f>
        <v>0</v>
      </c>
      <c r="AI72" s="135">
        <f>IF(AI$2&lt;基础信息!$E$13,0,IF(AI$2=基础信息!$E$13,SUM(销售计划!$D147:AJ147),销售计划!AJ147))</f>
        <v>0</v>
      </c>
      <c r="AJ72" s="135">
        <f>IF(AJ$2&lt;基础信息!$E$13,0,IF(AJ$2=基础信息!$E$13,SUM(销售计划!$D147:AK147),销售计划!AK147))</f>
        <v>0</v>
      </c>
      <c r="AK72" s="135">
        <f>IF(AK$2&lt;基础信息!$E$13,0,IF(AK$2=基础信息!$E$13,SUM(销售计划!$D147:AL147),销售计划!AL147))</f>
        <v>0</v>
      </c>
      <c r="AL72" s="135">
        <f>IF(AL$2&lt;基础信息!$E$13,0,IF(AL$2=基础信息!$E$13,SUM(销售计划!$D147:AM147),销售计划!AM147))</f>
        <v>0</v>
      </c>
      <c r="AM72" s="135">
        <f>IF(AM$2&lt;基础信息!$E$13,0,IF(AM$2=基础信息!$E$13,SUM(销售计划!$D147:AN147),销售计划!AN147))</f>
        <v>0</v>
      </c>
      <c r="AN72" s="135">
        <f>IF(AN$2&lt;基础信息!$E$13,0,IF(AN$2=基础信息!$E$13,SUM(销售计划!$D147:AO147),销售计划!AO147))</f>
        <v>0</v>
      </c>
      <c r="AO72" s="135">
        <f>IF(AO$2&lt;基础信息!$E$13,0,IF(AO$2=基础信息!$E$13,SUM(销售计划!$D147:AP147),销售计划!AP147))</f>
        <v>0</v>
      </c>
      <c r="AP72" s="135">
        <f>IF(AP$2&lt;基础信息!$E$13,0,IF(AP$2=基础信息!$E$13,SUM(销售计划!$D147:AQ147),销售计划!AQ147))</f>
        <v>0</v>
      </c>
      <c r="AQ72" s="135">
        <f>IF(AQ$2&lt;基础信息!$E$13,0,IF(AQ$2=基础信息!$E$13,SUM(销售计划!$D147:AR147),销售计划!AR147))</f>
        <v>0</v>
      </c>
      <c r="AR72" s="135">
        <f>IF(AR$2&lt;基础信息!$E$13,0,IF(AR$2=基础信息!$E$13,SUM(销售计划!$D147:AS147),销售计划!AS147))</f>
        <v>0</v>
      </c>
      <c r="AS72" s="135">
        <f>IF(AS$2&lt;基础信息!$E$13,0,IF(AS$2=基础信息!$E$13,SUM(销售计划!$D147:AT147),销售计划!AT147))</f>
        <v>0</v>
      </c>
      <c r="AT72" s="135">
        <f>IF(AT$2&lt;基础信息!$E$13,0,IF(AT$2=基础信息!$E$13,SUM(销售计划!$D147:AU147),销售计划!AU147))</f>
        <v>0</v>
      </c>
      <c r="AU72" s="135">
        <f>IF(AU$2&lt;基础信息!$E$13,0,IF(AU$2=基础信息!$E$13,SUM(销售计划!$D147:AV147),销售计划!AV147))</f>
        <v>0</v>
      </c>
      <c r="AV72" s="135">
        <f>IF(AV$2&lt;基础信息!$E$13,0,IF(AV$2=基础信息!$E$13,SUM(销售计划!$D147:AW147),销售计划!AW147))</f>
        <v>0</v>
      </c>
      <c r="AW72" s="135">
        <f>IF(AW$2&lt;基础信息!$E$13,0,IF(AW$2=基础信息!$E$13,SUM(销售计划!$D147:AX147),销售计划!AX147))</f>
        <v>0</v>
      </c>
      <c r="AX72" s="135">
        <f>IF(AX$2&lt;基础信息!$E$13,0,IF(AX$2=基础信息!$E$13,SUM(销售计划!$D147:AY147),销售计划!AY147))</f>
        <v>0</v>
      </c>
      <c r="AY72" s="135">
        <f>IF(AY$2&lt;基础信息!$E$13,0,IF(AY$2=基础信息!$E$13,SUM(销售计划!$D147:AZ147),销售计划!AZ147))</f>
        <v>0</v>
      </c>
      <c r="AZ72" s="135">
        <f>IF(AZ$2&lt;基础信息!$E$13,0,IF(AZ$2=基础信息!$E$13,SUM(销售计划!$D147:BA147),销售计划!BA147))</f>
        <v>0</v>
      </c>
      <c r="BA72" s="135">
        <f>IF(BA$2&lt;基础信息!$E$13,0,IF(BA$2=基础信息!$E$13,SUM(销售计划!$D147:BB147),销售计划!BB147))</f>
        <v>0</v>
      </c>
      <c r="BB72" s="135">
        <f>IF(BB$2&lt;基础信息!$E$13,0,IF(BB$2=基础信息!$E$13,SUM(销售计划!$D147:BC147),销售计划!BC147))</f>
        <v>0</v>
      </c>
      <c r="BC72" s="135">
        <f>IF(BC$2&lt;基础信息!$E$13,0,IF(BC$2=基础信息!$E$13,SUM(销售计划!$D147:BD147),销售计划!BD147))</f>
        <v>0</v>
      </c>
      <c r="BD72" s="135">
        <f>IF(BD$2&lt;基础信息!$E$13,0,IF(BD$2=基础信息!$E$13,SUM(销售计划!$D147:BE147),销售计划!BE147))</f>
        <v>0</v>
      </c>
      <c r="BE72" s="135">
        <f>IF(BE$2&lt;基础信息!$E$13,0,IF(BE$2=基础信息!$E$13,SUM(销售计划!$D147:BF147),销售计划!BF147))</f>
        <v>0</v>
      </c>
      <c r="BF72" s="135">
        <f>IF(BF$2&lt;基础信息!$E$13,0,IF(BF$2=基础信息!$E$13,SUM(销售计划!$D147:BG147),销售计划!BG147))</f>
        <v>0</v>
      </c>
      <c r="BG72" s="135">
        <f>IF(BG$2&lt;基础信息!$E$13,0,IF(BG$2=基础信息!$E$13,SUM(销售计划!$D147:BH147),销售计划!BH147))</f>
        <v>0</v>
      </c>
      <c r="BH72" s="135">
        <f>IF(BH$2&lt;基础信息!$E$13,0,IF(BH$2=基础信息!$E$13,SUM(销售计划!$D147:BI147),销售计划!BI147))</f>
        <v>0</v>
      </c>
      <c r="BI72" s="135">
        <f>IF(BI$2&lt;基础信息!$E$13,0,IF(BI$2=基础信息!$E$13,SUM(销售计划!$D147:BJ147),销售计划!BJ147))</f>
        <v>0</v>
      </c>
      <c r="BJ72" s="135">
        <f>IF(BJ$2&lt;基础信息!$E$13,0,IF(BJ$2=基础信息!$E$13,SUM(销售计划!$D147:BK147),销售计划!BK147))</f>
        <v>0</v>
      </c>
      <c r="BK72" s="135">
        <f>IF(BK$2&lt;基础信息!$E$13,0,IF(BK$2=基础信息!$E$13,SUM(销售计划!$D147:BL147),销售计划!BL147))</f>
        <v>0</v>
      </c>
      <c r="BL72" s="135">
        <f>IF(BL$2&lt;基础信息!$E$13,0,IF(BL$2=基础信息!$E$13,SUM(销售计划!$D147:BM147),销售计划!BM147))</f>
        <v>0</v>
      </c>
      <c r="BM72" s="135">
        <f>IF(BM$2&lt;基础信息!$E$13,0,IF(BM$2=基础信息!$E$13,SUM(销售计划!$D147:BN147),销售计划!BN147))</f>
        <v>0</v>
      </c>
      <c r="BN72" s="135">
        <f>IF(BN$2&lt;基础信息!$E$13,0,IF(BN$2=基础信息!$E$13,SUM(销售计划!$D147:BO147),销售计划!BO147))</f>
        <v>0</v>
      </c>
      <c r="BO72" s="135">
        <f>IF(BO$2&lt;基础信息!$E$13,0,IF(BO$2=基础信息!$E$13,SUM(销售计划!$D147:BP147),销售计划!BP147))</f>
        <v>0</v>
      </c>
      <c r="BP72" s="135">
        <f>IF(BP$2&lt;基础信息!$E$13,0,IF(BP$2=基础信息!$E$13,SUM(销售计划!$D147:BQ147),销售计划!BQ147))</f>
        <v>0</v>
      </c>
      <c r="BQ72" s="135">
        <f>IF(BQ$2&lt;基础信息!$E$13,0,IF(BQ$2=基础信息!$E$13,SUM(销售计划!$D147:BR147),销售计划!BR147))</f>
        <v>0</v>
      </c>
      <c r="BR72" s="135">
        <f>IF(BR$2&lt;基础信息!$E$13,0,IF(BR$2=基础信息!$E$13,SUM(销售计划!$D147:BS147),销售计划!BS147))</f>
        <v>0</v>
      </c>
      <c r="BS72" s="135">
        <f>IF(BS$2&lt;基础信息!$E$13,0,IF(BS$2=基础信息!$E$13,SUM(销售计划!$D147:BT147),销售计划!BT147))</f>
        <v>0</v>
      </c>
      <c r="BT72" s="135">
        <f>IF(BT$2&lt;基础信息!$E$13,0,IF(BT$2=基础信息!$E$13,SUM(销售计划!$D147:BU147),销售计划!BU147))</f>
        <v>0</v>
      </c>
      <c r="BU72" s="135">
        <f>IF(BU$2&lt;基础信息!$E$13,0,IF(BU$2=基础信息!$E$13,SUM(销售计划!$D147:BV147),销售计划!BV147))</f>
        <v>0</v>
      </c>
    </row>
    <row r="73" spans="1:73" s="126" customFormat="1" ht="13" outlineLevel="1">
      <c r="A73" s="127">
        <f>销售计划!A148</f>
        <v>0</v>
      </c>
      <c r="B73" s="128" t="s">
        <v>840</v>
      </c>
      <c r="C73" s="128">
        <f t="shared" ref="C73:AS73" si="100">IF(C72&gt;0,C74/C72*10000,0)</f>
        <v>0</v>
      </c>
      <c r="D73" s="250">
        <f t="shared" si="100"/>
        <v>0</v>
      </c>
      <c r="E73" s="250">
        <f t="shared" si="100"/>
        <v>0</v>
      </c>
      <c r="F73" s="128">
        <f t="shared" si="100"/>
        <v>0</v>
      </c>
      <c r="G73" s="128">
        <f t="shared" si="100"/>
        <v>0</v>
      </c>
      <c r="H73" s="250">
        <f t="shared" si="100"/>
        <v>0</v>
      </c>
      <c r="I73" s="250">
        <f t="shared" si="100"/>
        <v>0</v>
      </c>
      <c r="J73" s="250">
        <f t="shared" si="100"/>
        <v>0</v>
      </c>
      <c r="K73" s="250">
        <f t="shared" si="100"/>
        <v>0</v>
      </c>
      <c r="L73" s="250">
        <f t="shared" si="100"/>
        <v>0</v>
      </c>
      <c r="M73" s="250">
        <f t="shared" si="100"/>
        <v>0</v>
      </c>
      <c r="N73" s="250">
        <f t="shared" si="100"/>
        <v>0</v>
      </c>
      <c r="O73" s="250">
        <f t="shared" si="100"/>
        <v>0</v>
      </c>
      <c r="P73" s="250">
        <f t="shared" si="100"/>
        <v>0</v>
      </c>
      <c r="Q73" s="250">
        <f t="shared" si="100"/>
        <v>0</v>
      </c>
      <c r="R73" s="250">
        <f t="shared" si="100"/>
        <v>0</v>
      </c>
      <c r="S73" s="250">
        <f t="shared" si="100"/>
        <v>0</v>
      </c>
      <c r="T73" s="250">
        <f t="shared" si="100"/>
        <v>0</v>
      </c>
      <c r="U73" s="250">
        <f t="shared" si="100"/>
        <v>0</v>
      </c>
      <c r="V73" s="250">
        <f t="shared" si="100"/>
        <v>0</v>
      </c>
      <c r="W73" s="250">
        <f t="shared" si="100"/>
        <v>0</v>
      </c>
      <c r="X73" s="250">
        <f t="shared" si="100"/>
        <v>0</v>
      </c>
      <c r="Y73" s="250">
        <f t="shared" si="100"/>
        <v>0</v>
      </c>
      <c r="Z73" s="250">
        <f t="shared" si="100"/>
        <v>0</v>
      </c>
      <c r="AA73" s="250">
        <f t="shared" si="100"/>
        <v>0</v>
      </c>
      <c r="AB73" s="250">
        <f t="shared" si="100"/>
        <v>0</v>
      </c>
      <c r="AC73" s="250">
        <f t="shared" si="100"/>
        <v>0</v>
      </c>
      <c r="AD73" s="250">
        <f t="shared" si="100"/>
        <v>0</v>
      </c>
      <c r="AE73" s="250">
        <f t="shared" si="100"/>
        <v>0</v>
      </c>
      <c r="AF73" s="250">
        <f t="shared" si="100"/>
        <v>0</v>
      </c>
      <c r="AG73" s="250">
        <f t="shared" si="100"/>
        <v>0</v>
      </c>
      <c r="AH73" s="250">
        <f t="shared" si="100"/>
        <v>0</v>
      </c>
      <c r="AI73" s="250">
        <f t="shared" si="100"/>
        <v>0</v>
      </c>
      <c r="AJ73" s="250">
        <f t="shared" si="100"/>
        <v>0</v>
      </c>
      <c r="AK73" s="250">
        <f t="shared" si="100"/>
        <v>0</v>
      </c>
      <c r="AL73" s="250">
        <f t="shared" si="100"/>
        <v>0</v>
      </c>
      <c r="AM73" s="250">
        <f t="shared" si="100"/>
        <v>0</v>
      </c>
      <c r="AN73" s="250">
        <f t="shared" si="100"/>
        <v>0</v>
      </c>
      <c r="AO73" s="250">
        <f t="shared" si="100"/>
        <v>0</v>
      </c>
      <c r="AP73" s="250">
        <f t="shared" si="100"/>
        <v>0</v>
      </c>
      <c r="AQ73" s="250">
        <f t="shared" si="100"/>
        <v>0</v>
      </c>
      <c r="AR73" s="250">
        <f t="shared" si="100"/>
        <v>0</v>
      </c>
      <c r="AS73" s="250">
        <f t="shared" si="100"/>
        <v>0</v>
      </c>
      <c r="AT73" s="250">
        <f t="shared" ref="AT73:BP73" si="101">IF(AT72&gt;0,AT74/AT72*10000,0)</f>
        <v>0</v>
      </c>
      <c r="AU73" s="250">
        <f t="shared" si="101"/>
        <v>0</v>
      </c>
      <c r="AV73" s="250">
        <f t="shared" si="101"/>
        <v>0</v>
      </c>
      <c r="AW73" s="250">
        <f t="shared" si="101"/>
        <v>0</v>
      </c>
      <c r="AX73" s="250">
        <f t="shared" si="101"/>
        <v>0</v>
      </c>
      <c r="AY73" s="250">
        <f t="shared" si="101"/>
        <v>0</v>
      </c>
      <c r="AZ73" s="250">
        <f t="shared" si="101"/>
        <v>0</v>
      </c>
      <c r="BA73" s="250">
        <f t="shared" si="101"/>
        <v>0</v>
      </c>
      <c r="BB73" s="250">
        <f t="shared" si="101"/>
        <v>0</v>
      </c>
      <c r="BC73" s="250">
        <f t="shared" si="101"/>
        <v>0</v>
      </c>
      <c r="BD73" s="250">
        <f t="shared" si="101"/>
        <v>0</v>
      </c>
      <c r="BE73" s="250">
        <f t="shared" si="101"/>
        <v>0</v>
      </c>
      <c r="BF73" s="250">
        <f t="shared" si="101"/>
        <v>0</v>
      </c>
      <c r="BG73" s="250">
        <f t="shared" si="101"/>
        <v>0</v>
      </c>
      <c r="BH73" s="250">
        <f t="shared" si="101"/>
        <v>0</v>
      </c>
      <c r="BI73" s="250">
        <f t="shared" si="101"/>
        <v>0</v>
      </c>
      <c r="BJ73" s="250">
        <f t="shared" si="101"/>
        <v>0</v>
      </c>
      <c r="BK73" s="250">
        <f t="shared" si="101"/>
        <v>0</v>
      </c>
      <c r="BL73" s="250">
        <f t="shared" si="101"/>
        <v>0</v>
      </c>
      <c r="BM73" s="250">
        <f t="shared" si="101"/>
        <v>0</v>
      </c>
      <c r="BN73" s="250">
        <f t="shared" si="101"/>
        <v>0</v>
      </c>
      <c r="BO73" s="250">
        <f t="shared" si="101"/>
        <v>0</v>
      </c>
      <c r="BP73" s="250">
        <f t="shared" si="101"/>
        <v>0</v>
      </c>
      <c r="BQ73" s="250">
        <f t="shared" ref="BQ73:BU73" si="102">IF(BQ72&gt;0,BQ74/BQ72*10000,0)</f>
        <v>0</v>
      </c>
      <c r="BR73" s="250">
        <f t="shared" si="102"/>
        <v>0</v>
      </c>
      <c r="BS73" s="250">
        <f t="shared" si="102"/>
        <v>0</v>
      </c>
      <c r="BT73" s="250">
        <f t="shared" si="102"/>
        <v>0</v>
      </c>
      <c r="BU73" s="250">
        <f t="shared" si="102"/>
        <v>0</v>
      </c>
    </row>
    <row r="74" spans="1:73" outlineLevel="1">
      <c r="A74" s="132">
        <f>销售计划!A149</f>
        <v>0</v>
      </c>
      <c r="B74" s="133" t="s">
        <v>841</v>
      </c>
      <c r="C74" s="133">
        <f>SUM(D74:AS74)</f>
        <v>0</v>
      </c>
      <c r="D74" s="133">
        <f>IF(D$2&lt;基础信息!$E$13,0,IF(D$2=基础信息!$E$13,SUM(销售计划!$D149:E149),销售计划!E149))</f>
        <v>0</v>
      </c>
      <c r="E74" s="133">
        <f>IF(E$2&lt;基础信息!$E$13,0,IF(E$2=基础信息!$E$13,SUM(销售计划!$D149:F149),销售计划!F149))</f>
        <v>0</v>
      </c>
      <c r="F74" s="133">
        <f>IF(F$2&lt;基础信息!$E$13,0,IF(F$2=基础信息!$E$13,SUM(销售计划!$D149:G149),销售计划!G149))</f>
        <v>0</v>
      </c>
      <c r="G74" s="133">
        <f>IF(G$2&lt;基础信息!$E$13,0,IF(G$2=基础信息!$E$13,SUM(销售计划!$D149:H149),销售计划!H149))</f>
        <v>0</v>
      </c>
      <c r="H74" s="133">
        <f>IF(H$2&lt;基础信息!$E$13,0,IF(H$2=基础信息!$E$13,SUM(销售计划!$D149:I149),销售计划!I149))</f>
        <v>0</v>
      </c>
      <c r="I74" s="133">
        <f>IF(I$2&lt;基础信息!$E$13,0,IF(I$2=基础信息!$E$13,SUM(销售计划!$D149:J149),销售计划!J149))</f>
        <v>0</v>
      </c>
      <c r="J74" s="133">
        <f>IF(J$2&lt;基础信息!$E$13,0,IF(J$2=基础信息!$E$13,SUM(销售计划!$D149:K149),销售计划!K149))</f>
        <v>0</v>
      </c>
      <c r="K74" s="133">
        <f>IF(K$2&lt;基础信息!$E$13,0,IF(K$2=基础信息!$E$13,SUM(销售计划!$D149:L149),销售计划!L149))</f>
        <v>0</v>
      </c>
      <c r="L74" s="133">
        <f>IF(L$2&lt;基础信息!$E$13,0,IF(L$2=基础信息!$E$13,SUM(销售计划!$D149:M149),销售计划!M149))</f>
        <v>0</v>
      </c>
      <c r="M74" s="133">
        <f>IF(M$2&lt;基础信息!$E$13,0,IF(M$2=基础信息!$E$13,SUM(销售计划!$D149:N149),销售计划!N149))</f>
        <v>0</v>
      </c>
      <c r="N74" s="133">
        <f>IF(N$2&lt;基础信息!$E$13,0,IF(N$2=基础信息!$E$13,SUM(销售计划!$D149:O149),销售计划!O149))</f>
        <v>0</v>
      </c>
      <c r="O74" s="133">
        <f>IF(O$2&lt;基础信息!$E$13,0,IF(O$2=基础信息!$E$13,SUM(销售计划!$D149:P149),销售计划!P149))</f>
        <v>0</v>
      </c>
      <c r="P74" s="133">
        <f>IF(P$2&lt;基础信息!$E$13,0,IF(P$2=基础信息!$E$13,SUM(销售计划!$D149:Q149),销售计划!Q149))</f>
        <v>0</v>
      </c>
      <c r="Q74" s="133">
        <f>IF(Q$2&lt;基础信息!$E$13,0,IF(Q$2=基础信息!$E$13,SUM(销售计划!$D149:R149),销售计划!R149))</f>
        <v>0</v>
      </c>
      <c r="R74" s="133">
        <f>IF(R$2&lt;基础信息!$E$13,0,IF(R$2=基础信息!$E$13,SUM(销售计划!$D149:S149),销售计划!S149))</f>
        <v>0</v>
      </c>
      <c r="S74" s="133">
        <f>IF(S$2&lt;基础信息!$E$13,0,IF(S$2=基础信息!$E$13,SUM(销售计划!$D149:T149),销售计划!T149))</f>
        <v>0</v>
      </c>
      <c r="T74" s="133">
        <f>IF(T$2&lt;基础信息!$E$13,0,IF(T$2=基础信息!$E$13,SUM(销售计划!$D149:U149),销售计划!U149))</f>
        <v>0</v>
      </c>
      <c r="U74" s="133">
        <f>IF(U$2&lt;基础信息!$E$13,0,IF(U$2=基础信息!$E$13,SUM(销售计划!$D149:V149),销售计划!V149))</f>
        <v>0</v>
      </c>
      <c r="V74" s="133">
        <f>IF(V$2&lt;基础信息!$E$13,0,IF(V$2=基础信息!$E$13,SUM(销售计划!$D149:W149),销售计划!W149))</f>
        <v>0</v>
      </c>
      <c r="W74" s="133">
        <f>IF(W$2&lt;基础信息!$E$13,0,IF(W$2=基础信息!$E$13,SUM(销售计划!$D149:X149),销售计划!X149))</f>
        <v>0</v>
      </c>
      <c r="X74" s="133">
        <f>IF(X$2&lt;基础信息!$E$13,0,IF(X$2=基础信息!$E$13,SUM(销售计划!$D149:Y149),销售计划!Y149))</f>
        <v>0</v>
      </c>
      <c r="Y74" s="133">
        <f>IF(Y$2&lt;基础信息!$E$13,0,IF(Y$2=基础信息!$E$13,SUM(销售计划!$D149:Z149),销售计划!Z149))</f>
        <v>0</v>
      </c>
      <c r="Z74" s="133">
        <f>IF(Z$2&lt;基础信息!$E$13,0,IF(Z$2=基础信息!$E$13,SUM(销售计划!$D149:AA149),销售计划!AA149))</f>
        <v>0</v>
      </c>
      <c r="AA74" s="133">
        <f>IF(AA$2&lt;基础信息!$E$13,0,IF(AA$2=基础信息!$E$13,SUM(销售计划!$D149:AB149),销售计划!AB149))</f>
        <v>0</v>
      </c>
      <c r="AB74" s="133">
        <f>IF(AB$2&lt;基础信息!$E$13,0,IF(AB$2=基础信息!$E$13,SUM(销售计划!$D149:AC149),销售计划!AC149))</f>
        <v>0</v>
      </c>
      <c r="AC74" s="133">
        <f>IF(AC$2&lt;基础信息!$E$13,0,IF(AC$2=基础信息!$E$13,SUM(销售计划!$D149:AD149),销售计划!AD149))</f>
        <v>0</v>
      </c>
      <c r="AD74" s="133">
        <f>IF(AD$2&lt;基础信息!$E$13,0,IF(AD$2=基础信息!$E$13,SUM(销售计划!$D149:AE149),销售计划!AE149))</f>
        <v>0</v>
      </c>
      <c r="AE74" s="133">
        <f>IF(AE$2&lt;基础信息!$E$13,0,IF(AE$2=基础信息!$E$13,SUM(销售计划!$D149:AF149),销售计划!AF149))</f>
        <v>0</v>
      </c>
      <c r="AF74" s="133">
        <f>IF(AF$2&lt;基础信息!$E$13,0,IF(AF$2=基础信息!$E$13,SUM(销售计划!$D149:AG149),销售计划!AG149))</f>
        <v>0</v>
      </c>
      <c r="AG74" s="133">
        <f>IF(AG$2&lt;基础信息!$E$13,0,IF(AG$2=基础信息!$E$13,SUM(销售计划!$D149:AH149),销售计划!AH149))</f>
        <v>0</v>
      </c>
      <c r="AH74" s="133">
        <f>IF(AH$2&lt;基础信息!$E$13,0,IF(AH$2=基础信息!$E$13,SUM(销售计划!$D149:AI149),销售计划!AI149))</f>
        <v>0</v>
      </c>
      <c r="AI74" s="133">
        <f>IF(AI$2&lt;基础信息!$E$13,0,IF(AI$2=基础信息!$E$13,SUM(销售计划!$D149:AJ149),销售计划!AJ149))</f>
        <v>0</v>
      </c>
      <c r="AJ74" s="133">
        <f>IF(AJ$2&lt;基础信息!$E$13,0,IF(AJ$2=基础信息!$E$13,SUM(销售计划!$D149:AK149),销售计划!AK149))</f>
        <v>0</v>
      </c>
      <c r="AK74" s="133">
        <f>IF(AK$2&lt;基础信息!$E$13,0,IF(AK$2=基础信息!$E$13,SUM(销售计划!$D149:AL149),销售计划!AL149))</f>
        <v>0</v>
      </c>
      <c r="AL74" s="133">
        <f>IF(AL$2&lt;基础信息!$E$13,0,IF(AL$2=基础信息!$E$13,SUM(销售计划!$D149:AM149),销售计划!AM149))</f>
        <v>0</v>
      </c>
      <c r="AM74" s="133">
        <f>IF(AM$2&lt;基础信息!$E$13,0,IF(AM$2=基础信息!$E$13,SUM(销售计划!$D149:AN149),销售计划!AN149))</f>
        <v>0</v>
      </c>
      <c r="AN74" s="133">
        <f>IF(AN$2&lt;基础信息!$E$13,0,IF(AN$2=基础信息!$E$13,SUM(销售计划!$D149:AO149),销售计划!AO149))</f>
        <v>0</v>
      </c>
      <c r="AO74" s="133">
        <f>IF(AO$2&lt;基础信息!$E$13,0,IF(AO$2=基础信息!$E$13,SUM(销售计划!$D149:AP149),销售计划!AP149))</f>
        <v>0</v>
      </c>
      <c r="AP74" s="133">
        <f>IF(AP$2&lt;基础信息!$E$13,0,IF(AP$2=基础信息!$E$13,SUM(销售计划!$D149:AQ149),销售计划!AQ149))</f>
        <v>0</v>
      </c>
      <c r="AQ74" s="133">
        <f>IF(AQ$2&lt;基础信息!$E$13,0,IF(AQ$2=基础信息!$E$13,SUM(销售计划!$D149:AR149),销售计划!AR149))</f>
        <v>0</v>
      </c>
      <c r="AR74" s="133">
        <f>IF(AR$2&lt;基础信息!$E$13,0,IF(AR$2=基础信息!$E$13,SUM(销售计划!$D149:AS149),销售计划!AS149))</f>
        <v>0</v>
      </c>
      <c r="AS74" s="133">
        <f>IF(AS$2&lt;基础信息!$E$13,0,IF(AS$2=基础信息!$E$13,SUM(销售计划!$D149:AT149),销售计划!AT149))</f>
        <v>0</v>
      </c>
      <c r="AT74" s="133">
        <f>IF(AT$2&lt;基础信息!$E$13,0,IF(AT$2=基础信息!$E$13,SUM(销售计划!$D149:AU149),销售计划!AU149))</f>
        <v>0</v>
      </c>
      <c r="AU74" s="133">
        <f>IF(AU$2&lt;基础信息!$E$13,0,IF(AU$2=基础信息!$E$13,SUM(销售计划!$D149:AV149),销售计划!AV149))</f>
        <v>0</v>
      </c>
      <c r="AV74" s="133">
        <f>IF(AV$2&lt;基础信息!$E$13,0,IF(AV$2=基础信息!$E$13,SUM(销售计划!$D149:AW149),销售计划!AW149))</f>
        <v>0</v>
      </c>
      <c r="AW74" s="133">
        <f>IF(AW$2&lt;基础信息!$E$13,0,IF(AW$2=基础信息!$E$13,SUM(销售计划!$D149:AX149),销售计划!AX149))</f>
        <v>0</v>
      </c>
      <c r="AX74" s="133">
        <f>IF(AX$2&lt;基础信息!$E$13,0,IF(AX$2=基础信息!$E$13,SUM(销售计划!$D149:AY149),销售计划!AY149))</f>
        <v>0</v>
      </c>
      <c r="AY74" s="133">
        <f>IF(AY$2&lt;基础信息!$E$13,0,IF(AY$2=基础信息!$E$13,SUM(销售计划!$D149:AZ149),销售计划!AZ149))</f>
        <v>0</v>
      </c>
      <c r="AZ74" s="133">
        <f>IF(AZ$2&lt;基础信息!$E$13,0,IF(AZ$2=基础信息!$E$13,SUM(销售计划!$D149:BA149),销售计划!BA149))</f>
        <v>0</v>
      </c>
      <c r="BA74" s="133">
        <f>IF(BA$2&lt;基础信息!$E$13,0,IF(BA$2=基础信息!$E$13,SUM(销售计划!$D149:BB149),销售计划!BB149))</f>
        <v>0</v>
      </c>
      <c r="BB74" s="133">
        <f>IF(BB$2&lt;基础信息!$E$13,0,IF(BB$2=基础信息!$E$13,SUM(销售计划!$D149:BC149),销售计划!BC149))</f>
        <v>0</v>
      </c>
      <c r="BC74" s="133">
        <f>IF(BC$2&lt;基础信息!$E$13,0,IF(BC$2=基础信息!$E$13,SUM(销售计划!$D149:BD149),销售计划!BD149))</f>
        <v>0</v>
      </c>
      <c r="BD74" s="133">
        <f>IF(BD$2&lt;基础信息!$E$13,0,IF(BD$2=基础信息!$E$13,SUM(销售计划!$D149:BE149),销售计划!BE149))</f>
        <v>0</v>
      </c>
      <c r="BE74" s="133">
        <f>IF(BE$2&lt;基础信息!$E$13,0,IF(BE$2=基础信息!$E$13,SUM(销售计划!$D149:BF149),销售计划!BF149))</f>
        <v>0</v>
      </c>
      <c r="BF74" s="133">
        <f>IF(BF$2&lt;基础信息!$E$13,0,IF(BF$2=基础信息!$E$13,SUM(销售计划!$D149:BG149),销售计划!BG149))</f>
        <v>0</v>
      </c>
      <c r="BG74" s="133">
        <f>IF(BG$2&lt;基础信息!$E$13,0,IF(BG$2=基础信息!$E$13,SUM(销售计划!$D149:BH149),销售计划!BH149))</f>
        <v>0</v>
      </c>
      <c r="BH74" s="133">
        <f>IF(BH$2&lt;基础信息!$E$13,0,IF(BH$2=基础信息!$E$13,SUM(销售计划!$D149:BI149),销售计划!BI149))</f>
        <v>0</v>
      </c>
      <c r="BI74" s="133">
        <f>IF(BI$2&lt;基础信息!$E$13,0,IF(BI$2=基础信息!$E$13,SUM(销售计划!$D149:BJ149),销售计划!BJ149))</f>
        <v>0</v>
      </c>
      <c r="BJ74" s="133">
        <f>IF(BJ$2&lt;基础信息!$E$13,0,IF(BJ$2=基础信息!$E$13,SUM(销售计划!$D149:BK149),销售计划!BK149))</f>
        <v>0</v>
      </c>
      <c r="BK74" s="133">
        <f>IF(BK$2&lt;基础信息!$E$13,0,IF(BK$2=基础信息!$E$13,SUM(销售计划!$D149:BL149),销售计划!BL149))</f>
        <v>0</v>
      </c>
      <c r="BL74" s="133">
        <f>IF(BL$2&lt;基础信息!$E$13,0,IF(BL$2=基础信息!$E$13,SUM(销售计划!$D149:BM149),销售计划!BM149))</f>
        <v>0</v>
      </c>
      <c r="BM74" s="133">
        <f>IF(BM$2&lt;基础信息!$E$13,0,IF(BM$2=基础信息!$E$13,SUM(销售计划!$D149:BN149),销售计划!BN149))</f>
        <v>0</v>
      </c>
      <c r="BN74" s="133">
        <f>IF(BN$2&lt;基础信息!$E$13,0,IF(BN$2=基础信息!$E$13,SUM(销售计划!$D149:BO149),销售计划!BO149))</f>
        <v>0</v>
      </c>
      <c r="BO74" s="133">
        <f>IF(BO$2&lt;基础信息!$E$13,0,IF(BO$2=基础信息!$E$13,SUM(销售计划!$D149:BP149),销售计划!BP149))</f>
        <v>0</v>
      </c>
      <c r="BP74" s="133">
        <f>IF(BP$2&lt;基础信息!$E$13,0,IF(BP$2=基础信息!$E$13,SUM(销售计划!$D149:BQ149),销售计划!BQ149))</f>
        <v>0</v>
      </c>
      <c r="BQ74" s="133">
        <f>IF(BQ$2&lt;基础信息!$E$13,0,IF(BQ$2=基础信息!$E$13,SUM(销售计划!$D149:BR149),销售计划!BR149))</f>
        <v>0</v>
      </c>
      <c r="BR74" s="133">
        <f>IF(BR$2&lt;基础信息!$E$13,0,IF(BR$2=基础信息!$E$13,SUM(销售计划!$D149:BS149),销售计划!BS149))</f>
        <v>0</v>
      </c>
      <c r="BS74" s="133">
        <f>IF(BS$2&lt;基础信息!$E$13,0,IF(BS$2=基础信息!$E$13,SUM(销售计划!$D149:BT149),销售计划!BT149))</f>
        <v>0</v>
      </c>
      <c r="BT74" s="133">
        <f>IF(BT$2&lt;基础信息!$E$13,0,IF(BT$2=基础信息!$E$13,SUM(销售计划!$D149:BU149),销售计划!BU149))</f>
        <v>0</v>
      </c>
      <c r="BU74" s="133">
        <f>IF(BU$2&lt;基础信息!$E$13,0,IF(BU$2=基础信息!$E$13,SUM(销售计划!$D149:BV149),销售计划!BV149))</f>
        <v>0</v>
      </c>
    </row>
    <row r="75" spans="1:73" s="126" customFormat="1" ht="13" outlineLevel="1">
      <c r="A75" s="127">
        <f>销售计划!A150</f>
        <v>0</v>
      </c>
      <c r="B75" s="128" t="s">
        <v>258</v>
      </c>
      <c r="C75" s="128">
        <f>SUM(D75:AS75)</f>
        <v>0</v>
      </c>
      <c r="D75" s="250">
        <f>IF(D$2&lt;基础信息!$E$13,0,IF(D$2=基础信息!$E$13,SUM(销售计划!$D150:E150),销售计划!E150))</f>
        <v>0</v>
      </c>
      <c r="E75" s="250">
        <f>IF(E$2&lt;基础信息!$E$13,0,IF(E$2=基础信息!$E$13,SUM(销售计划!$D150:F150),销售计划!F150))</f>
        <v>0</v>
      </c>
      <c r="F75" s="250">
        <f>IF(F$2&lt;基础信息!$E$13,0,IF(F$2=基础信息!$E$13,SUM(销售计划!$D150:G150),销售计划!G150))</f>
        <v>0</v>
      </c>
      <c r="G75" s="250">
        <f>IF(G$2&lt;基础信息!$E$13,0,IF(G$2=基础信息!$E$13,SUM(销售计划!$D150:H150),销售计划!H150))</f>
        <v>0</v>
      </c>
      <c r="H75" s="250">
        <f>IF(H$2&lt;基础信息!$E$13,0,IF(H$2=基础信息!$E$13,SUM(销售计划!$D150:I150),销售计划!I150))</f>
        <v>0</v>
      </c>
      <c r="I75" s="250">
        <f>IF(I$2&lt;基础信息!$E$13,0,IF(I$2=基础信息!$E$13,SUM(销售计划!$D150:J150),销售计划!J150))</f>
        <v>0</v>
      </c>
      <c r="J75" s="250">
        <f>IF(J$2&lt;基础信息!$E$13,0,IF(J$2=基础信息!$E$13,SUM(销售计划!$D150:K150),销售计划!K150))</f>
        <v>0</v>
      </c>
      <c r="K75" s="250">
        <f>IF(K$2&lt;基础信息!$E$13,0,IF(K$2=基础信息!$E$13,SUM(销售计划!$D150:L150),销售计划!L150))</f>
        <v>0</v>
      </c>
      <c r="L75" s="250">
        <f>IF(L$2&lt;基础信息!$E$13,0,IF(L$2=基础信息!$E$13,SUM(销售计划!$D150:M150),销售计划!M150))</f>
        <v>0</v>
      </c>
      <c r="M75" s="250">
        <f>IF(M$2&lt;基础信息!$E$13,0,IF(M$2=基础信息!$E$13,SUM(销售计划!$D150:N150),销售计划!N150))</f>
        <v>0</v>
      </c>
      <c r="N75" s="250">
        <f>IF(N$2&lt;基础信息!$E$13,0,IF(N$2=基础信息!$E$13,SUM(销售计划!$D150:O150),销售计划!O150))</f>
        <v>0</v>
      </c>
      <c r="O75" s="250">
        <f>IF(O$2&lt;基础信息!$E$13,0,IF(O$2=基础信息!$E$13,SUM(销售计划!$D150:P150),销售计划!P150))</f>
        <v>0</v>
      </c>
      <c r="P75" s="250">
        <f>IF(P$2&lt;基础信息!$E$13,0,IF(P$2=基础信息!$E$13,SUM(销售计划!$D150:Q150),销售计划!Q150))</f>
        <v>0</v>
      </c>
      <c r="Q75" s="250">
        <f>IF(Q$2&lt;基础信息!$E$13,0,IF(Q$2=基础信息!$E$13,SUM(销售计划!$D150:R150),销售计划!R150))</f>
        <v>0</v>
      </c>
      <c r="R75" s="250">
        <f>IF(R$2&lt;基础信息!$E$13,0,IF(R$2=基础信息!$E$13,SUM(销售计划!$D150:S150),销售计划!S150))</f>
        <v>0</v>
      </c>
      <c r="S75" s="250">
        <f>IF(S$2&lt;基础信息!$E$13,0,IF(S$2=基础信息!$E$13,SUM(销售计划!$D150:T150),销售计划!T150))</f>
        <v>0</v>
      </c>
      <c r="T75" s="135">
        <f>IF(T$2&lt;基础信息!$E$13,0,IF(T$2=基础信息!$E$13,SUM(销售计划!$D150:U150),销售计划!U150))</f>
        <v>0</v>
      </c>
      <c r="U75" s="135">
        <f>IF(U$2&lt;基础信息!$E$13,0,IF(U$2=基础信息!$E$13,SUM(销售计划!$D150:V150),销售计划!V150))</f>
        <v>0</v>
      </c>
      <c r="V75" s="135">
        <f>IF(V$2&lt;基础信息!$E$13,0,IF(V$2=基础信息!$E$13,SUM(销售计划!$D150:W150),销售计划!W150))</f>
        <v>0</v>
      </c>
      <c r="W75" s="135">
        <f>IF(W$2&lt;基础信息!$E$13,0,IF(W$2=基础信息!$E$13,SUM(销售计划!$D150:X150),销售计划!X150))</f>
        <v>0</v>
      </c>
      <c r="X75" s="135">
        <f>IF(X$2&lt;基础信息!$E$13,0,IF(X$2=基础信息!$E$13,SUM(销售计划!$D150:Y150),销售计划!Y150))</f>
        <v>0</v>
      </c>
      <c r="Y75" s="135">
        <f>IF(Y$2&lt;基础信息!$E$13,0,IF(Y$2=基础信息!$E$13,SUM(销售计划!$D150:Z150),销售计划!Z150))</f>
        <v>0</v>
      </c>
      <c r="Z75" s="135">
        <f>IF(Z$2&lt;基础信息!$E$13,0,IF(Z$2=基础信息!$E$13,SUM(销售计划!$D150:AA150),销售计划!AA150))</f>
        <v>0</v>
      </c>
      <c r="AA75" s="135">
        <f>IF(AA$2&lt;基础信息!$E$13,0,IF(AA$2=基础信息!$E$13,SUM(销售计划!$D150:AB150),销售计划!AB150))</f>
        <v>0</v>
      </c>
      <c r="AB75" s="135">
        <f>IF(AB$2&lt;基础信息!$E$13,0,IF(AB$2=基础信息!$E$13,SUM(销售计划!$D150:AC150),销售计划!AC150))</f>
        <v>0</v>
      </c>
      <c r="AC75" s="135">
        <f>IF(AC$2&lt;基础信息!$E$13,0,IF(AC$2=基础信息!$E$13,SUM(销售计划!$D150:AD150),销售计划!AD150))</f>
        <v>0</v>
      </c>
      <c r="AD75" s="135">
        <f>IF(AD$2&lt;基础信息!$E$13,0,IF(AD$2=基础信息!$E$13,SUM(销售计划!$D150:AE150),销售计划!AE150))</f>
        <v>0</v>
      </c>
      <c r="AE75" s="135">
        <f>IF(AE$2&lt;基础信息!$E$13,0,IF(AE$2=基础信息!$E$13,SUM(销售计划!$D150:AF150),销售计划!AF150))</f>
        <v>0</v>
      </c>
      <c r="AF75" s="135">
        <f>IF(AF$2&lt;基础信息!$E$13,0,IF(AF$2=基础信息!$E$13,SUM(销售计划!$D150:AG150),销售计划!AG150))</f>
        <v>0</v>
      </c>
      <c r="AG75" s="135">
        <f>IF(AG$2&lt;基础信息!$E$13,0,IF(AG$2=基础信息!$E$13,SUM(销售计划!$D150:AH150),销售计划!AH150))</f>
        <v>0</v>
      </c>
      <c r="AH75" s="135">
        <f>IF(AH$2&lt;基础信息!$E$13,0,IF(AH$2=基础信息!$E$13,SUM(销售计划!$D150:AI150),销售计划!AI150))</f>
        <v>0</v>
      </c>
      <c r="AI75" s="135">
        <f>IF(AI$2&lt;基础信息!$E$13,0,IF(AI$2=基础信息!$E$13,SUM(销售计划!$D150:AJ150),销售计划!AJ150))</f>
        <v>0</v>
      </c>
      <c r="AJ75" s="135">
        <f>IF(AJ$2&lt;基础信息!$E$13,0,IF(AJ$2=基础信息!$E$13,SUM(销售计划!$D150:AK150),销售计划!AK150))</f>
        <v>0</v>
      </c>
      <c r="AK75" s="135">
        <f>IF(AK$2&lt;基础信息!$E$13,0,IF(AK$2=基础信息!$E$13,SUM(销售计划!$D150:AL150),销售计划!AL150))</f>
        <v>0</v>
      </c>
      <c r="AL75" s="135">
        <f>IF(AL$2&lt;基础信息!$E$13,0,IF(AL$2=基础信息!$E$13,SUM(销售计划!$D150:AM150),销售计划!AM150))</f>
        <v>0</v>
      </c>
      <c r="AM75" s="135">
        <f>IF(AM$2&lt;基础信息!$E$13,0,IF(AM$2=基础信息!$E$13,SUM(销售计划!$D150:AN150),销售计划!AN150))</f>
        <v>0</v>
      </c>
      <c r="AN75" s="135">
        <f>IF(AN$2&lt;基础信息!$E$13,0,IF(AN$2=基础信息!$E$13,SUM(销售计划!$D150:AO150),销售计划!AO150))</f>
        <v>0</v>
      </c>
      <c r="AO75" s="135">
        <f>IF(AO$2&lt;基础信息!$E$13,0,IF(AO$2=基础信息!$E$13,SUM(销售计划!$D150:AP150),销售计划!AP150))</f>
        <v>0</v>
      </c>
      <c r="AP75" s="135">
        <f>IF(AP$2&lt;基础信息!$E$13,0,IF(AP$2=基础信息!$E$13,SUM(销售计划!$D150:AQ150),销售计划!AQ150))</f>
        <v>0</v>
      </c>
      <c r="AQ75" s="135">
        <f>IF(AQ$2&lt;基础信息!$E$13,0,IF(AQ$2=基础信息!$E$13,SUM(销售计划!$D150:AR150),销售计划!AR150))</f>
        <v>0</v>
      </c>
      <c r="AR75" s="135">
        <f>IF(AR$2&lt;基础信息!$E$13,0,IF(AR$2=基础信息!$E$13,SUM(销售计划!$D150:AS150),销售计划!AS150))</f>
        <v>0</v>
      </c>
      <c r="AS75" s="135">
        <f>IF(AS$2&lt;基础信息!$E$13,0,IF(AS$2=基础信息!$E$13,SUM(销售计划!$D150:AT150),销售计划!AT150))</f>
        <v>0</v>
      </c>
      <c r="AT75" s="135">
        <f>IF(AT$2&lt;基础信息!$E$13,0,IF(AT$2=基础信息!$E$13,SUM(销售计划!$D150:AU150),销售计划!AU150))</f>
        <v>0</v>
      </c>
      <c r="AU75" s="135">
        <f>IF(AU$2&lt;基础信息!$E$13,0,IF(AU$2=基础信息!$E$13,SUM(销售计划!$D150:AV150),销售计划!AV150))</f>
        <v>0</v>
      </c>
      <c r="AV75" s="135">
        <f>IF(AV$2&lt;基础信息!$E$13,0,IF(AV$2=基础信息!$E$13,SUM(销售计划!$D150:AW150),销售计划!AW150))</f>
        <v>0</v>
      </c>
      <c r="AW75" s="135">
        <f>IF(AW$2&lt;基础信息!$E$13,0,IF(AW$2=基础信息!$E$13,SUM(销售计划!$D150:AX150),销售计划!AX150))</f>
        <v>0</v>
      </c>
      <c r="AX75" s="135">
        <f>IF(AX$2&lt;基础信息!$E$13,0,IF(AX$2=基础信息!$E$13,SUM(销售计划!$D150:AY150),销售计划!AY150))</f>
        <v>0</v>
      </c>
      <c r="AY75" s="135">
        <f>IF(AY$2&lt;基础信息!$E$13,0,IF(AY$2=基础信息!$E$13,SUM(销售计划!$D150:AZ150),销售计划!AZ150))</f>
        <v>0</v>
      </c>
      <c r="AZ75" s="135">
        <f>IF(AZ$2&lt;基础信息!$E$13,0,IF(AZ$2=基础信息!$E$13,SUM(销售计划!$D150:BA150),销售计划!BA150))</f>
        <v>0</v>
      </c>
      <c r="BA75" s="135">
        <f>IF(BA$2&lt;基础信息!$E$13,0,IF(BA$2=基础信息!$E$13,SUM(销售计划!$D150:BB150),销售计划!BB150))</f>
        <v>0</v>
      </c>
      <c r="BB75" s="135">
        <f>IF(BB$2&lt;基础信息!$E$13,0,IF(BB$2=基础信息!$E$13,SUM(销售计划!$D150:BC150),销售计划!BC150))</f>
        <v>0</v>
      </c>
      <c r="BC75" s="135">
        <f>IF(BC$2&lt;基础信息!$E$13,0,IF(BC$2=基础信息!$E$13,SUM(销售计划!$D150:BD150),销售计划!BD150))</f>
        <v>0</v>
      </c>
      <c r="BD75" s="135">
        <f>IF(BD$2&lt;基础信息!$E$13,0,IF(BD$2=基础信息!$E$13,SUM(销售计划!$D150:BE150),销售计划!BE150))</f>
        <v>0</v>
      </c>
      <c r="BE75" s="135">
        <f>IF(BE$2&lt;基础信息!$E$13,0,IF(BE$2=基础信息!$E$13,SUM(销售计划!$D150:BF150),销售计划!BF150))</f>
        <v>0</v>
      </c>
      <c r="BF75" s="135">
        <f>IF(BF$2&lt;基础信息!$E$13,0,IF(BF$2=基础信息!$E$13,SUM(销售计划!$D150:BG150),销售计划!BG150))</f>
        <v>0</v>
      </c>
      <c r="BG75" s="135">
        <f>IF(BG$2&lt;基础信息!$E$13,0,IF(BG$2=基础信息!$E$13,SUM(销售计划!$D150:BH150),销售计划!BH150))</f>
        <v>0</v>
      </c>
      <c r="BH75" s="135">
        <f>IF(BH$2&lt;基础信息!$E$13,0,IF(BH$2=基础信息!$E$13,SUM(销售计划!$D150:BI150),销售计划!BI150))</f>
        <v>0</v>
      </c>
      <c r="BI75" s="135">
        <f>IF(BI$2&lt;基础信息!$E$13,0,IF(BI$2=基础信息!$E$13,SUM(销售计划!$D150:BJ150),销售计划!BJ150))</f>
        <v>0</v>
      </c>
      <c r="BJ75" s="135">
        <f>IF(BJ$2&lt;基础信息!$E$13,0,IF(BJ$2=基础信息!$E$13,SUM(销售计划!$D150:BK150),销售计划!BK150))</f>
        <v>0</v>
      </c>
      <c r="BK75" s="135">
        <f>IF(BK$2&lt;基础信息!$E$13,0,IF(BK$2=基础信息!$E$13,SUM(销售计划!$D150:BL150),销售计划!BL150))</f>
        <v>0</v>
      </c>
      <c r="BL75" s="135">
        <f>IF(BL$2&lt;基础信息!$E$13,0,IF(BL$2=基础信息!$E$13,SUM(销售计划!$D150:BM150),销售计划!BM150))</f>
        <v>0</v>
      </c>
      <c r="BM75" s="135">
        <f>IF(BM$2&lt;基础信息!$E$13,0,IF(BM$2=基础信息!$E$13,SUM(销售计划!$D150:BN150),销售计划!BN150))</f>
        <v>0</v>
      </c>
      <c r="BN75" s="135">
        <f>IF(BN$2&lt;基础信息!$E$13,0,IF(BN$2=基础信息!$E$13,SUM(销售计划!$D150:BO150),销售计划!BO150))</f>
        <v>0</v>
      </c>
      <c r="BO75" s="135">
        <f>IF(BO$2&lt;基础信息!$E$13,0,IF(BO$2=基础信息!$E$13,SUM(销售计划!$D150:BP150),销售计划!BP150))</f>
        <v>0</v>
      </c>
      <c r="BP75" s="135">
        <f>IF(BP$2&lt;基础信息!$E$13,0,IF(BP$2=基础信息!$E$13,SUM(销售计划!$D150:BQ150),销售计划!BQ150))</f>
        <v>0</v>
      </c>
      <c r="BQ75" s="135">
        <f>IF(BQ$2&lt;基础信息!$E$13,0,IF(BQ$2=基础信息!$E$13,SUM(销售计划!$D150:BR150),销售计划!BR150))</f>
        <v>0</v>
      </c>
      <c r="BR75" s="135">
        <f>IF(BR$2&lt;基础信息!$E$13,0,IF(BR$2=基础信息!$E$13,SUM(销售计划!$D150:BS150),销售计划!BS150))</f>
        <v>0</v>
      </c>
      <c r="BS75" s="135">
        <f>IF(BS$2&lt;基础信息!$E$13,0,IF(BS$2=基础信息!$E$13,SUM(销售计划!$D150:BT150),销售计划!BT150))</f>
        <v>0</v>
      </c>
      <c r="BT75" s="135">
        <f>IF(BT$2&lt;基础信息!$E$13,0,IF(BT$2=基础信息!$E$13,SUM(销售计划!$D150:BU150),销售计划!BU150))</f>
        <v>0</v>
      </c>
      <c r="BU75" s="135">
        <f>IF(BU$2&lt;基础信息!$E$13,0,IF(BU$2=基础信息!$E$13,SUM(销售计划!$D150:BV150),销售计划!BV150))</f>
        <v>0</v>
      </c>
    </row>
    <row r="76" spans="1:73" s="126" customFormat="1" ht="13" outlineLevel="1">
      <c r="A76" s="127">
        <f>销售计划!A151</f>
        <v>0</v>
      </c>
      <c r="B76" s="128" t="s">
        <v>840</v>
      </c>
      <c r="C76" s="128">
        <f t="shared" ref="C76:AS76" si="103">IF(C75&gt;0,C77/C75*10000,0)</f>
        <v>0</v>
      </c>
      <c r="D76" s="250">
        <f t="shared" si="103"/>
        <v>0</v>
      </c>
      <c r="E76" s="250">
        <f t="shared" si="103"/>
        <v>0</v>
      </c>
      <c r="F76" s="128">
        <f t="shared" si="103"/>
        <v>0</v>
      </c>
      <c r="G76" s="128">
        <f t="shared" si="103"/>
        <v>0</v>
      </c>
      <c r="H76" s="250">
        <f t="shared" si="103"/>
        <v>0</v>
      </c>
      <c r="I76" s="250">
        <f t="shared" si="103"/>
        <v>0</v>
      </c>
      <c r="J76" s="250">
        <f t="shared" si="103"/>
        <v>0</v>
      </c>
      <c r="K76" s="250">
        <f t="shared" si="103"/>
        <v>0</v>
      </c>
      <c r="L76" s="250">
        <f t="shared" si="103"/>
        <v>0</v>
      </c>
      <c r="M76" s="250">
        <f t="shared" si="103"/>
        <v>0</v>
      </c>
      <c r="N76" s="250">
        <f t="shared" si="103"/>
        <v>0</v>
      </c>
      <c r="O76" s="250">
        <f t="shared" si="103"/>
        <v>0</v>
      </c>
      <c r="P76" s="250">
        <f t="shared" si="103"/>
        <v>0</v>
      </c>
      <c r="Q76" s="250">
        <f t="shared" si="103"/>
        <v>0</v>
      </c>
      <c r="R76" s="250">
        <f t="shared" si="103"/>
        <v>0</v>
      </c>
      <c r="S76" s="250">
        <f t="shared" si="103"/>
        <v>0</v>
      </c>
      <c r="T76" s="250">
        <f t="shared" si="103"/>
        <v>0</v>
      </c>
      <c r="U76" s="250">
        <f t="shared" si="103"/>
        <v>0</v>
      </c>
      <c r="V76" s="250">
        <f t="shared" si="103"/>
        <v>0</v>
      </c>
      <c r="W76" s="250">
        <f t="shared" si="103"/>
        <v>0</v>
      </c>
      <c r="X76" s="250">
        <f t="shared" si="103"/>
        <v>0</v>
      </c>
      <c r="Y76" s="250">
        <f t="shared" si="103"/>
        <v>0</v>
      </c>
      <c r="Z76" s="250">
        <f t="shared" si="103"/>
        <v>0</v>
      </c>
      <c r="AA76" s="250">
        <f t="shared" si="103"/>
        <v>0</v>
      </c>
      <c r="AB76" s="250">
        <f t="shared" si="103"/>
        <v>0</v>
      </c>
      <c r="AC76" s="250">
        <f t="shared" si="103"/>
        <v>0</v>
      </c>
      <c r="AD76" s="250">
        <f t="shared" si="103"/>
        <v>0</v>
      </c>
      <c r="AE76" s="250">
        <f t="shared" si="103"/>
        <v>0</v>
      </c>
      <c r="AF76" s="250">
        <f t="shared" si="103"/>
        <v>0</v>
      </c>
      <c r="AG76" s="250">
        <f t="shared" si="103"/>
        <v>0</v>
      </c>
      <c r="AH76" s="250">
        <f t="shared" si="103"/>
        <v>0</v>
      </c>
      <c r="AI76" s="250">
        <f t="shared" si="103"/>
        <v>0</v>
      </c>
      <c r="AJ76" s="250">
        <f t="shared" si="103"/>
        <v>0</v>
      </c>
      <c r="AK76" s="250">
        <f t="shared" si="103"/>
        <v>0</v>
      </c>
      <c r="AL76" s="250">
        <f t="shared" si="103"/>
        <v>0</v>
      </c>
      <c r="AM76" s="250">
        <f t="shared" si="103"/>
        <v>0</v>
      </c>
      <c r="AN76" s="250">
        <f t="shared" si="103"/>
        <v>0</v>
      </c>
      <c r="AO76" s="250">
        <f t="shared" si="103"/>
        <v>0</v>
      </c>
      <c r="AP76" s="250">
        <f t="shared" si="103"/>
        <v>0</v>
      </c>
      <c r="AQ76" s="250">
        <f t="shared" si="103"/>
        <v>0</v>
      </c>
      <c r="AR76" s="250">
        <f t="shared" si="103"/>
        <v>0</v>
      </c>
      <c r="AS76" s="250">
        <f t="shared" si="103"/>
        <v>0</v>
      </c>
      <c r="AT76" s="250">
        <f t="shared" ref="AT76:BP76" si="104">IF(AT75&gt;0,AT77/AT75*10000,0)</f>
        <v>0</v>
      </c>
      <c r="AU76" s="250">
        <f t="shared" si="104"/>
        <v>0</v>
      </c>
      <c r="AV76" s="250">
        <f t="shared" si="104"/>
        <v>0</v>
      </c>
      <c r="AW76" s="250">
        <f t="shared" si="104"/>
        <v>0</v>
      </c>
      <c r="AX76" s="250">
        <f t="shared" si="104"/>
        <v>0</v>
      </c>
      <c r="AY76" s="250">
        <f t="shared" si="104"/>
        <v>0</v>
      </c>
      <c r="AZ76" s="250">
        <f t="shared" si="104"/>
        <v>0</v>
      </c>
      <c r="BA76" s="250">
        <f t="shared" si="104"/>
        <v>0</v>
      </c>
      <c r="BB76" s="250">
        <f t="shared" si="104"/>
        <v>0</v>
      </c>
      <c r="BC76" s="250">
        <f t="shared" si="104"/>
        <v>0</v>
      </c>
      <c r="BD76" s="250">
        <f t="shared" si="104"/>
        <v>0</v>
      </c>
      <c r="BE76" s="250">
        <f t="shared" si="104"/>
        <v>0</v>
      </c>
      <c r="BF76" s="250">
        <f t="shared" si="104"/>
        <v>0</v>
      </c>
      <c r="BG76" s="250">
        <f t="shared" si="104"/>
        <v>0</v>
      </c>
      <c r="BH76" s="250">
        <f t="shared" si="104"/>
        <v>0</v>
      </c>
      <c r="BI76" s="250">
        <f t="shared" si="104"/>
        <v>0</v>
      </c>
      <c r="BJ76" s="250">
        <f t="shared" si="104"/>
        <v>0</v>
      </c>
      <c r="BK76" s="250">
        <f t="shared" si="104"/>
        <v>0</v>
      </c>
      <c r="BL76" s="250">
        <f t="shared" si="104"/>
        <v>0</v>
      </c>
      <c r="BM76" s="250">
        <f t="shared" si="104"/>
        <v>0</v>
      </c>
      <c r="BN76" s="250">
        <f t="shared" si="104"/>
        <v>0</v>
      </c>
      <c r="BO76" s="250">
        <f t="shared" si="104"/>
        <v>0</v>
      </c>
      <c r="BP76" s="250">
        <f t="shared" si="104"/>
        <v>0</v>
      </c>
      <c r="BQ76" s="250">
        <f t="shared" ref="BQ76:BU76" si="105">IF(BQ75&gt;0,BQ77/BQ75*10000,0)</f>
        <v>0</v>
      </c>
      <c r="BR76" s="250">
        <f t="shared" si="105"/>
        <v>0</v>
      </c>
      <c r="BS76" s="250">
        <f t="shared" si="105"/>
        <v>0</v>
      </c>
      <c r="BT76" s="250">
        <f t="shared" si="105"/>
        <v>0</v>
      </c>
      <c r="BU76" s="250">
        <f t="shared" si="105"/>
        <v>0</v>
      </c>
    </row>
    <row r="77" spans="1:73" outlineLevel="1">
      <c r="A77" s="132">
        <f>销售计划!A152</f>
        <v>0</v>
      </c>
      <c r="B77" s="133" t="s">
        <v>841</v>
      </c>
      <c r="C77" s="133">
        <f>SUM(D77:AS77)</f>
        <v>0</v>
      </c>
      <c r="D77" s="133">
        <f>IF(D$2&lt;基础信息!$E$13,0,IF(D$2=基础信息!$E$13,SUM(销售计划!$D152:E152),销售计划!E152))</f>
        <v>0</v>
      </c>
      <c r="E77" s="133">
        <f>IF(E$2&lt;基础信息!$E$13,0,IF(E$2=基础信息!$E$13,SUM(销售计划!$D152:F152),销售计划!F152))</f>
        <v>0</v>
      </c>
      <c r="F77" s="133">
        <f>IF(F$2&lt;基础信息!$E$13,0,IF(F$2=基础信息!$E$13,SUM(销售计划!$D152:G152),销售计划!G152))</f>
        <v>0</v>
      </c>
      <c r="G77" s="133">
        <f>IF(G$2&lt;基础信息!$E$13,0,IF(G$2=基础信息!$E$13,SUM(销售计划!$D152:H152),销售计划!H152))</f>
        <v>0</v>
      </c>
      <c r="H77" s="133">
        <f>IF(H$2&lt;基础信息!$E$13,0,IF(H$2=基础信息!$E$13,SUM(销售计划!$D152:I152),销售计划!I152))</f>
        <v>0</v>
      </c>
      <c r="I77" s="133">
        <f>IF(I$2&lt;基础信息!$E$13,0,IF(I$2=基础信息!$E$13,SUM(销售计划!$D152:J152),销售计划!J152))</f>
        <v>0</v>
      </c>
      <c r="J77" s="133">
        <f>IF(J$2&lt;基础信息!$E$13,0,IF(J$2=基础信息!$E$13,SUM(销售计划!$D152:K152),销售计划!K152))</f>
        <v>0</v>
      </c>
      <c r="K77" s="133">
        <f>IF(K$2&lt;基础信息!$E$13,0,IF(K$2=基础信息!$E$13,SUM(销售计划!$D152:L152),销售计划!L152))</f>
        <v>0</v>
      </c>
      <c r="L77" s="133">
        <f>IF(L$2&lt;基础信息!$E$13,0,IF(L$2=基础信息!$E$13,SUM(销售计划!$D152:M152),销售计划!M152))</f>
        <v>0</v>
      </c>
      <c r="M77" s="133">
        <f>IF(M$2&lt;基础信息!$E$13,0,IF(M$2=基础信息!$E$13,SUM(销售计划!$D152:N152),销售计划!N152))</f>
        <v>0</v>
      </c>
      <c r="N77" s="133">
        <f>IF(N$2&lt;基础信息!$E$13,0,IF(N$2=基础信息!$E$13,SUM(销售计划!$D152:O152),销售计划!O152))</f>
        <v>0</v>
      </c>
      <c r="O77" s="133">
        <f>IF(O$2&lt;基础信息!$E$13,0,IF(O$2=基础信息!$E$13,SUM(销售计划!$D152:P152),销售计划!P152))</f>
        <v>0</v>
      </c>
      <c r="P77" s="133">
        <f>IF(P$2&lt;基础信息!$E$13,0,IF(P$2=基础信息!$E$13,SUM(销售计划!$D152:Q152),销售计划!Q152))</f>
        <v>0</v>
      </c>
      <c r="Q77" s="133">
        <f>IF(Q$2&lt;基础信息!$E$13,0,IF(Q$2=基础信息!$E$13,SUM(销售计划!$D152:R152),销售计划!R152))</f>
        <v>0</v>
      </c>
      <c r="R77" s="133">
        <f>IF(R$2&lt;基础信息!$E$13,0,IF(R$2=基础信息!$E$13,SUM(销售计划!$D152:S152),销售计划!S152))</f>
        <v>0</v>
      </c>
      <c r="S77" s="133">
        <f>IF(S$2&lt;基础信息!$E$13,0,IF(S$2=基础信息!$E$13,SUM(销售计划!$D152:T152),销售计划!T152))</f>
        <v>0</v>
      </c>
      <c r="T77" s="133">
        <f>IF(T$2&lt;基础信息!$E$13,0,IF(T$2=基础信息!$E$13,SUM(销售计划!$D152:U152),销售计划!U152))</f>
        <v>0</v>
      </c>
      <c r="U77" s="133">
        <f>IF(U$2&lt;基础信息!$E$13,0,IF(U$2=基础信息!$E$13,SUM(销售计划!$D152:V152),销售计划!V152))</f>
        <v>0</v>
      </c>
      <c r="V77" s="133">
        <f>IF(V$2&lt;基础信息!$E$13,0,IF(V$2=基础信息!$E$13,SUM(销售计划!$D152:W152),销售计划!W152))</f>
        <v>0</v>
      </c>
      <c r="W77" s="133">
        <f>IF(W$2&lt;基础信息!$E$13,0,IF(W$2=基础信息!$E$13,SUM(销售计划!$D152:X152),销售计划!X152))</f>
        <v>0</v>
      </c>
      <c r="X77" s="133">
        <f>IF(X$2&lt;基础信息!$E$13,0,IF(X$2=基础信息!$E$13,SUM(销售计划!$D152:Y152),销售计划!Y152))</f>
        <v>0</v>
      </c>
      <c r="Y77" s="133">
        <f>IF(Y$2&lt;基础信息!$E$13,0,IF(Y$2=基础信息!$E$13,SUM(销售计划!$D152:Z152),销售计划!Z152))</f>
        <v>0</v>
      </c>
      <c r="Z77" s="133">
        <f>IF(Z$2&lt;基础信息!$E$13,0,IF(Z$2=基础信息!$E$13,SUM(销售计划!$D152:AA152),销售计划!AA152))</f>
        <v>0</v>
      </c>
      <c r="AA77" s="133">
        <f>IF(AA$2&lt;基础信息!$E$13,0,IF(AA$2=基础信息!$E$13,SUM(销售计划!$D152:AB152),销售计划!AB152))</f>
        <v>0</v>
      </c>
      <c r="AB77" s="133">
        <f>IF(AB$2&lt;基础信息!$E$13,0,IF(AB$2=基础信息!$E$13,SUM(销售计划!$D152:AC152),销售计划!AC152))</f>
        <v>0</v>
      </c>
      <c r="AC77" s="133">
        <f>IF(AC$2&lt;基础信息!$E$13,0,IF(AC$2=基础信息!$E$13,SUM(销售计划!$D152:AD152),销售计划!AD152))</f>
        <v>0</v>
      </c>
      <c r="AD77" s="133">
        <f>IF(AD$2&lt;基础信息!$E$13,0,IF(AD$2=基础信息!$E$13,SUM(销售计划!$D152:AE152),销售计划!AE152))</f>
        <v>0</v>
      </c>
      <c r="AE77" s="133">
        <f>IF(AE$2&lt;基础信息!$E$13,0,IF(AE$2=基础信息!$E$13,SUM(销售计划!$D152:AF152),销售计划!AF152))</f>
        <v>0</v>
      </c>
      <c r="AF77" s="133">
        <f>IF(AF$2&lt;基础信息!$E$13,0,IF(AF$2=基础信息!$E$13,SUM(销售计划!$D152:AG152),销售计划!AG152))</f>
        <v>0</v>
      </c>
      <c r="AG77" s="133">
        <f>IF(AG$2&lt;基础信息!$E$13,0,IF(AG$2=基础信息!$E$13,SUM(销售计划!$D152:AH152),销售计划!AH152))</f>
        <v>0</v>
      </c>
      <c r="AH77" s="133">
        <f>IF(AH$2&lt;基础信息!$E$13,0,IF(AH$2=基础信息!$E$13,SUM(销售计划!$D152:AI152),销售计划!AI152))</f>
        <v>0</v>
      </c>
      <c r="AI77" s="133">
        <f>IF(AI$2&lt;基础信息!$E$13,0,IF(AI$2=基础信息!$E$13,SUM(销售计划!$D152:AJ152),销售计划!AJ152))</f>
        <v>0</v>
      </c>
      <c r="AJ77" s="133">
        <f>IF(AJ$2&lt;基础信息!$E$13,0,IF(AJ$2=基础信息!$E$13,SUM(销售计划!$D152:AK152),销售计划!AK152))</f>
        <v>0</v>
      </c>
      <c r="AK77" s="133">
        <f>IF(AK$2&lt;基础信息!$E$13,0,IF(AK$2=基础信息!$E$13,SUM(销售计划!$D152:AL152),销售计划!AL152))</f>
        <v>0</v>
      </c>
      <c r="AL77" s="133">
        <f>IF(AL$2&lt;基础信息!$E$13,0,IF(AL$2=基础信息!$E$13,SUM(销售计划!$D152:AM152),销售计划!AM152))</f>
        <v>0</v>
      </c>
      <c r="AM77" s="133">
        <f>IF(AM$2&lt;基础信息!$E$13,0,IF(AM$2=基础信息!$E$13,SUM(销售计划!$D152:AN152),销售计划!AN152))</f>
        <v>0</v>
      </c>
      <c r="AN77" s="133">
        <f>IF(AN$2&lt;基础信息!$E$13,0,IF(AN$2=基础信息!$E$13,SUM(销售计划!$D152:AO152),销售计划!AO152))</f>
        <v>0</v>
      </c>
      <c r="AO77" s="133">
        <f>IF(AO$2&lt;基础信息!$E$13,0,IF(AO$2=基础信息!$E$13,SUM(销售计划!$D152:AP152),销售计划!AP152))</f>
        <v>0</v>
      </c>
      <c r="AP77" s="133">
        <f>IF(AP$2&lt;基础信息!$E$13,0,IF(AP$2=基础信息!$E$13,SUM(销售计划!$D152:AQ152),销售计划!AQ152))</f>
        <v>0</v>
      </c>
      <c r="AQ77" s="133">
        <f>IF(AQ$2&lt;基础信息!$E$13,0,IF(AQ$2=基础信息!$E$13,SUM(销售计划!$D152:AR152),销售计划!AR152))</f>
        <v>0</v>
      </c>
      <c r="AR77" s="133">
        <f>IF(AR$2&lt;基础信息!$E$13,0,IF(AR$2=基础信息!$E$13,SUM(销售计划!$D152:AS152),销售计划!AS152))</f>
        <v>0</v>
      </c>
      <c r="AS77" s="133">
        <f>IF(AS$2&lt;基础信息!$E$13,0,IF(AS$2=基础信息!$E$13,SUM(销售计划!$D152:AT152),销售计划!AT152))</f>
        <v>0</v>
      </c>
      <c r="AT77" s="133">
        <f>IF(AT$2&lt;基础信息!$E$13,0,IF(AT$2=基础信息!$E$13,SUM(销售计划!$D152:AU152),销售计划!AU152))</f>
        <v>0</v>
      </c>
      <c r="AU77" s="133">
        <f>IF(AU$2&lt;基础信息!$E$13,0,IF(AU$2=基础信息!$E$13,SUM(销售计划!$D152:AV152),销售计划!AV152))</f>
        <v>0</v>
      </c>
      <c r="AV77" s="133">
        <f>IF(AV$2&lt;基础信息!$E$13,0,IF(AV$2=基础信息!$E$13,SUM(销售计划!$D152:AW152),销售计划!AW152))</f>
        <v>0</v>
      </c>
      <c r="AW77" s="133">
        <f>IF(AW$2&lt;基础信息!$E$13,0,IF(AW$2=基础信息!$E$13,SUM(销售计划!$D152:AX152),销售计划!AX152))</f>
        <v>0</v>
      </c>
      <c r="AX77" s="133">
        <f>IF(AX$2&lt;基础信息!$E$13,0,IF(AX$2=基础信息!$E$13,SUM(销售计划!$D152:AY152),销售计划!AY152))</f>
        <v>0</v>
      </c>
      <c r="AY77" s="133">
        <f>IF(AY$2&lt;基础信息!$E$13,0,IF(AY$2=基础信息!$E$13,SUM(销售计划!$D152:AZ152),销售计划!AZ152))</f>
        <v>0</v>
      </c>
      <c r="AZ77" s="133">
        <f>IF(AZ$2&lt;基础信息!$E$13,0,IF(AZ$2=基础信息!$E$13,SUM(销售计划!$D152:BA152),销售计划!BA152))</f>
        <v>0</v>
      </c>
      <c r="BA77" s="133">
        <f>IF(BA$2&lt;基础信息!$E$13,0,IF(BA$2=基础信息!$E$13,SUM(销售计划!$D152:BB152),销售计划!BB152))</f>
        <v>0</v>
      </c>
      <c r="BB77" s="133">
        <f>IF(BB$2&lt;基础信息!$E$13,0,IF(BB$2=基础信息!$E$13,SUM(销售计划!$D152:BC152),销售计划!BC152))</f>
        <v>0</v>
      </c>
      <c r="BC77" s="133">
        <f>IF(BC$2&lt;基础信息!$E$13,0,IF(BC$2=基础信息!$E$13,SUM(销售计划!$D152:BD152),销售计划!BD152))</f>
        <v>0</v>
      </c>
      <c r="BD77" s="133">
        <f>IF(BD$2&lt;基础信息!$E$13,0,IF(BD$2=基础信息!$E$13,SUM(销售计划!$D152:BE152),销售计划!BE152))</f>
        <v>0</v>
      </c>
      <c r="BE77" s="133">
        <f>IF(BE$2&lt;基础信息!$E$13,0,IF(BE$2=基础信息!$E$13,SUM(销售计划!$D152:BF152),销售计划!BF152))</f>
        <v>0</v>
      </c>
      <c r="BF77" s="133">
        <f>IF(BF$2&lt;基础信息!$E$13,0,IF(BF$2=基础信息!$E$13,SUM(销售计划!$D152:BG152),销售计划!BG152))</f>
        <v>0</v>
      </c>
      <c r="BG77" s="133">
        <f>IF(BG$2&lt;基础信息!$E$13,0,IF(BG$2=基础信息!$E$13,SUM(销售计划!$D152:BH152),销售计划!BH152))</f>
        <v>0</v>
      </c>
      <c r="BH77" s="133">
        <f>IF(BH$2&lt;基础信息!$E$13,0,IF(BH$2=基础信息!$E$13,SUM(销售计划!$D152:BI152),销售计划!BI152))</f>
        <v>0</v>
      </c>
      <c r="BI77" s="133">
        <f>IF(BI$2&lt;基础信息!$E$13,0,IF(BI$2=基础信息!$E$13,SUM(销售计划!$D152:BJ152),销售计划!BJ152))</f>
        <v>0</v>
      </c>
      <c r="BJ77" s="133">
        <f>IF(BJ$2&lt;基础信息!$E$13,0,IF(BJ$2=基础信息!$E$13,SUM(销售计划!$D152:BK152),销售计划!BK152))</f>
        <v>0</v>
      </c>
      <c r="BK77" s="133">
        <f>IF(BK$2&lt;基础信息!$E$13,0,IF(BK$2=基础信息!$E$13,SUM(销售计划!$D152:BL152),销售计划!BL152))</f>
        <v>0</v>
      </c>
      <c r="BL77" s="133">
        <f>IF(BL$2&lt;基础信息!$E$13,0,IF(BL$2=基础信息!$E$13,SUM(销售计划!$D152:BM152),销售计划!BM152))</f>
        <v>0</v>
      </c>
      <c r="BM77" s="133">
        <f>IF(BM$2&lt;基础信息!$E$13,0,IF(BM$2=基础信息!$E$13,SUM(销售计划!$D152:BN152),销售计划!BN152))</f>
        <v>0</v>
      </c>
      <c r="BN77" s="133">
        <f>IF(BN$2&lt;基础信息!$E$13,0,IF(BN$2=基础信息!$E$13,SUM(销售计划!$D152:BO152),销售计划!BO152))</f>
        <v>0</v>
      </c>
      <c r="BO77" s="133">
        <f>IF(BO$2&lt;基础信息!$E$13,0,IF(BO$2=基础信息!$E$13,SUM(销售计划!$D152:BP152),销售计划!BP152))</f>
        <v>0</v>
      </c>
      <c r="BP77" s="133">
        <f>IF(BP$2&lt;基础信息!$E$13,0,IF(BP$2=基础信息!$E$13,SUM(销售计划!$D152:BQ152),销售计划!BQ152))</f>
        <v>0</v>
      </c>
      <c r="BQ77" s="133">
        <f>IF(BQ$2&lt;基础信息!$E$13,0,IF(BQ$2=基础信息!$E$13,SUM(销售计划!$D152:BR152),销售计划!BR152))</f>
        <v>0</v>
      </c>
      <c r="BR77" s="133">
        <f>IF(BR$2&lt;基础信息!$E$13,0,IF(BR$2=基础信息!$E$13,SUM(销售计划!$D152:BS152),销售计划!BS152))</f>
        <v>0</v>
      </c>
      <c r="BS77" s="133">
        <f>IF(BS$2&lt;基础信息!$E$13,0,IF(BS$2=基础信息!$E$13,SUM(销售计划!$D152:BT152),销售计划!BT152))</f>
        <v>0</v>
      </c>
      <c r="BT77" s="133">
        <f>IF(BT$2&lt;基础信息!$E$13,0,IF(BT$2=基础信息!$E$13,SUM(销售计划!$D152:BU152),销售计划!BU152))</f>
        <v>0</v>
      </c>
      <c r="BU77" s="133">
        <f>IF(BU$2&lt;基础信息!$E$13,0,IF(BU$2=基础信息!$E$13,SUM(销售计划!$D152:BV152),销售计划!BV152))</f>
        <v>0</v>
      </c>
    </row>
    <row r="78" spans="1:73" s="126" customFormat="1" ht="13" outlineLevel="1">
      <c r="A78" s="127">
        <f>销售计划!A153</f>
        <v>0</v>
      </c>
      <c r="B78" s="128" t="s">
        <v>258</v>
      </c>
      <c r="C78" s="128">
        <f>SUM(D78:AS78)</f>
        <v>0</v>
      </c>
      <c r="D78" s="250">
        <f>IF(D$2&lt;基础信息!$E$13,0,IF(D$2=基础信息!$E$13,SUM(销售计划!$D153:E153),销售计划!E153))</f>
        <v>0</v>
      </c>
      <c r="E78" s="250">
        <f>IF(E$2&lt;基础信息!$E$13,0,IF(E$2=基础信息!$E$13,SUM(销售计划!$D153:F153),销售计划!F153))</f>
        <v>0</v>
      </c>
      <c r="F78" s="250">
        <f>IF(F$2&lt;基础信息!$E$13,0,IF(F$2=基础信息!$E$13,SUM(销售计划!$D153:G153),销售计划!G153))</f>
        <v>0</v>
      </c>
      <c r="G78" s="250">
        <f>IF(G$2&lt;基础信息!$E$13,0,IF(G$2=基础信息!$E$13,SUM(销售计划!$D153:H153),销售计划!H153))</f>
        <v>0</v>
      </c>
      <c r="H78" s="250">
        <f>IF(H$2&lt;基础信息!$E$13,0,IF(H$2=基础信息!$E$13,SUM(销售计划!$D153:I153),销售计划!I153))</f>
        <v>0</v>
      </c>
      <c r="I78" s="250">
        <f>IF(I$2&lt;基础信息!$E$13,0,IF(I$2=基础信息!$E$13,SUM(销售计划!$D153:J153),销售计划!J153))</f>
        <v>0</v>
      </c>
      <c r="J78" s="250">
        <f>IF(J$2&lt;基础信息!$E$13,0,IF(J$2=基础信息!$E$13,SUM(销售计划!$D153:K153),销售计划!K153))</f>
        <v>0</v>
      </c>
      <c r="K78" s="250">
        <f>IF(K$2&lt;基础信息!$E$13,0,IF(K$2=基础信息!$E$13,SUM(销售计划!$D153:L153),销售计划!L153))</f>
        <v>0</v>
      </c>
      <c r="L78" s="250">
        <f>IF(L$2&lt;基础信息!$E$13,0,IF(L$2=基础信息!$E$13,SUM(销售计划!$D153:M153),销售计划!M153))</f>
        <v>0</v>
      </c>
      <c r="M78" s="250">
        <f>IF(M$2&lt;基础信息!$E$13,0,IF(M$2=基础信息!$E$13,SUM(销售计划!$D153:N153),销售计划!N153))</f>
        <v>0</v>
      </c>
      <c r="N78" s="250">
        <f>IF(N$2&lt;基础信息!$E$13,0,IF(N$2=基础信息!$E$13,SUM(销售计划!$D153:O153),销售计划!O153))</f>
        <v>0</v>
      </c>
      <c r="O78" s="250">
        <f>IF(O$2&lt;基础信息!$E$13,0,IF(O$2=基础信息!$E$13,SUM(销售计划!$D153:P153),销售计划!P153))</f>
        <v>0</v>
      </c>
      <c r="P78" s="250">
        <f>IF(P$2&lt;基础信息!$E$13,0,IF(P$2=基础信息!$E$13,SUM(销售计划!$D153:Q153),销售计划!Q153))</f>
        <v>0</v>
      </c>
      <c r="Q78" s="250">
        <f>IF(Q$2&lt;基础信息!$E$13,0,IF(Q$2=基础信息!$E$13,SUM(销售计划!$D153:R153),销售计划!R153))</f>
        <v>0</v>
      </c>
      <c r="R78" s="250">
        <f>IF(R$2&lt;基础信息!$E$13,0,IF(R$2=基础信息!$E$13,SUM(销售计划!$D153:S153),销售计划!S153))</f>
        <v>0</v>
      </c>
      <c r="S78" s="250">
        <f>IF(S$2&lt;基础信息!$E$13,0,IF(S$2=基础信息!$E$13,SUM(销售计划!$D153:T153),销售计划!T153))</f>
        <v>0</v>
      </c>
      <c r="T78" s="135">
        <f>IF(T$2&lt;基础信息!$E$13,0,IF(T$2=基础信息!$E$13,SUM(销售计划!$D153:U153),销售计划!U153))</f>
        <v>0</v>
      </c>
      <c r="U78" s="135">
        <f>IF(U$2&lt;基础信息!$E$13,0,IF(U$2=基础信息!$E$13,SUM(销售计划!$D153:V153),销售计划!V153))</f>
        <v>0</v>
      </c>
      <c r="V78" s="135">
        <f>IF(V$2&lt;基础信息!$E$13,0,IF(V$2=基础信息!$E$13,SUM(销售计划!$D153:W153),销售计划!W153))</f>
        <v>0</v>
      </c>
      <c r="W78" s="135">
        <f>IF(W$2&lt;基础信息!$E$13,0,IF(W$2=基础信息!$E$13,SUM(销售计划!$D153:X153),销售计划!X153))</f>
        <v>0</v>
      </c>
      <c r="X78" s="135">
        <f>IF(X$2&lt;基础信息!$E$13,0,IF(X$2=基础信息!$E$13,SUM(销售计划!$D153:Y153),销售计划!Y153))</f>
        <v>0</v>
      </c>
      <c r="Y78" s="135">
        <f>IF(Y$2&lt;基础信息!$E$13,0,IF(Y$2=基础信息!$E$13,SUM(销售计划!$D153:Z153),销售计划!Z153))</f>
        <v>0</v>
      </c>
      <c r="Z78" s="135">
        <f>IF(Z$2&lt;基础信息!$E$13,0,IF(Z$2=基础信息!$E$13,SUM(销售计划!$D153:AA153),销售计划!AA153))</f>
        <v>0</v>
      </c>
      <c r="AA78" s="135">
        <f>IF(AA$2&lt;基础信息!$E$13,0,IF(AA$2=基础信息!$E$13,SUM(销售计划!$D153:AB153),销售计划!AB153))</f>
        <v>0</v>
      </c>
      <c r="AB78" s="135">
        <f>IF(AB$2&lt;基础信息!$E$13,0,IF(AB$2=基础信息!$E$13,SUM(销售计划!$D153:AC153),销售计划!AC153))</f>
        <v>0</v>
      </c>
      <c r="AC78" s="135">
        <f>IF(AC$2&lt;基础信息!$E$13,0,IF(AC$2=基础信息!$E$13,SUM(销售计划!$D153:AD153),销售计划!AD153))</f>
        <v>0</v>
      </c>
      <c r="AD78" s="135">
        <f>IF(AD$2&lt;基础信息!$E$13,0,IF(AD$2=基础信息!$E$13,SUM(销售计划!$D153:AE153),销售计划!AE153))</f>
        <v>0</v>
      </c>
      <c r="AE78" s="135">
        <f>IF(AE$2&lt;基础信息!$E$13,0,IF(AE$2=基础信息!$E$13,SUM(销售计划!$D153:AF153),销售计划!AF153))</f>
        <v>0</v>
      </c>
      <c r="AF78" s="135">
        <f>IF(AF$2&lt;基础信息!$E$13,0,IF(AF$2=基础信息!$E$13,SUM(销售计划!$D153:AG153),销售计划!AG153))</f>
        <v>0</v>
      </c>
      <c r="AG78" s="135">
        <f>IF(AG$2&lt;基础信息!$E$13,0,IF(AG$2=基础信息!$E$13,SUM(销售计划!$D153:AH153),销售计划!AH153))</f>
        <v>0</v>
      </c>
      <c r="AH78" s="135">
        <f>IF(AH$2&lt;基础信息!$E$13,0,IF(AH$2=基础信息!$E$13,SUM(销售计划!$D153:AI153),销售计划!AI153))</f>
        <v>0</v>
      </c>
      <c r="AI78" s="135">
        <f>IF(AI$2&lt;基础信息!$E$13,0,IF(AI$2=基础信息!$E$13,SUM(销售计划!$D153:AJ153),销售计划!AJ153))</f>
        <v>0</v>
      </c>
      <c r="AJ78" s="135">
        <f>IF(AJ$2&lt;基础信息!$E$13,0,IF(AJ$2=基础信息!$E$13,SUM(销售计划!$D153:AK153),销售计划!AK153))</f>
        <v>0</v>
      </c>
      <c r="AK78" s="135">
        <f>IF(AK$2&lt;基础信息!$E$13,0,IF(AK$2=基础信息!$E$13,SUM(销售计划!$D153:AL153),销售计划!AL153))</f>
        <v>0</v>
      </c>
      <c r="AL78" s="135">
        <f>IF(AL$2&lt;基础信息!$E$13,0,IF(AL$2=基础信息!$E$13,SUM(销售计划!$D153:AM153),销售计划!AM153))</f>
        <v>0</v>
      </c>
      <c r="AM78" s="135">
        <f>IF(AM$2&lt;基础信息!$E$13,0,IF(AM$2=基础信息!$E$13,SUM(销售计划!$D153:AN153),销售计划!AN153))</f>
        <v>0</v>
      </c>
      <c r="AN78" s="135">
        <f>IF(AN$2&lt;基础信息!$E$13,0,IF(AN$2=基础信息!$E$13,SUM(销售计划!$D153:AO153),销售计划!AO153))</f>
        <v>0</v>
      </c>
      <c r="AO78" s="135">
        <f>IF(AO$2&lt;基础信息!$E$13,0,IF(AO$2=基础信息!$E$13,SUM(销售计划!$D153:AP153),销售计划!AP153))</f>
        <v>0</v>
      </c>
      <c r="AP78" s="135">
        <f>IF(AP$2&lt;基础信息!$E$13,0,IF(AP$2=基础信息!$E$13,SUM(销售计划!$D153:AQ153),销售计划!AQ153))</f>
        <v>0</v>
      </c>
      <c r="AQ78" s="135">
        <f>IF(AQ$2&lt;基础信息!$E$13,0,IF(AQ$2=基础信息!$E$13,SUM(销售计划!$D153:AR153),销售计划!AR153))</f>
        <v>0</v>
      </c>
      <c r="AR78" s="135">
        <f>IF(AR$2&lt;基础信息!$E$13,0,IF(AR$2=基础信息!$E$13,SUM(销售计划!$D153:AS153),销售计划!AS153))</f>
        <v>0</v>
      </c>
      <c r="AS78" s="135">
        <f>IF(AS$2&lt;基础信息!$E$13,0,IF(AS$2=基础信息!$E$13,SUM(销售计划!$D153:AT153),销售计划!AT153))</f>
        <v>0</v>
      </c>
      <c r="AT78" s="135">
        <f>IF(AT$2&lt;基础信息!$E$13,0,IF(AT$2=基础信息!$E$13,SUM(销售计划!$D153:AU153),销售计划!AU153))</f>
        <v>0</v>
      </c>
      <c r="AU78" s="135">
        <f>IF(AU$2&lt;基础信息!$E$13,0,IF(AU$2=基础信息!$E$13,SUM(销售计划!$D153:AV153),销售计划!AV153))</f>
        <v>0</v>
      </c>
      <c r="AV78" s="135">
        <f>IF(AV$2&lt;基础信息!$E$13,0,IF(AV$2=基础信息!$E$13,SUM(销售计划!$D153:AW153),销售计划!AW153))</f>
        <v>0</v>
      </c>
      <c r="AW78" s="135">
        <f>IF(AW$2&lt;基础信息!$E$13,0,IF(AW$2=基础信息!$E$13,SUM(销售计划!$D153:AX153),销售计划!AX153))</f>
        <v>0</v>
      </c>
      <c r="AX78" s="135">
        <f>IF(AX$2&lt;基础信息!$E$13,0,IF(AX$2=基础信息!$E$13,SUM(销售计划!$D153:AY153),销售计划!AY153))</f>
        <v>0</v>
      </c>
      <c r="AY78" s="135">
        <f>IF(AY$2&lt;基础信息!$E$13,0,IF(AY$2=基础信息!$E$13,SUM(销售计划!$D153:AZ153),销售计划!AZ153))</f>
        <v>0</v>
      </c>
      <c r="AZ78" s="135">
        <f>IF(AZ$2&lt;基础信息!$E$13,0,IF(AZ$2=基础信息!$E$13,SUM(销售计划!$D153:BA153),销售计划!BA153))</f>
        <v>0</v>
      </c>
      <c r="BA78" s="135">
        <f>IF(BA$2&lt;基础信息!$E$13,0,IF(BA$2=基础信息!$E$13,SUM(销售计划!$D153:BB153),销售计划!BB153))</f>
        <v>0</v>
      </c>
      <c r="BB78" s="135">
        <f>IF(BB$2&lt;基础信息!$E$13,0,IF(BB$2=基础信息!$E$13,SUM(销售计划!$D153:BC153),销售计划!BC153))</f>
        <v>0</v>
      </c>
      <c r="BC78" s="135">
        <f>IF(BC$2&lt;基础信息!$E$13,0,IF(BC$2=基础信息!$E$13,SUM(销售计划!$D153:BD153),销售计划!BD153))</f>
        <v>0</v>
      </c>
      <c r="BD78" s="135">
        <f>IF(BD$2&lt;基础信息!$E$13,0,IF(BD$2=基础信息!$E$13,SUM(销售计划!$D153:BE153),销售计划!BE153))</f>
        <v>0</v>
      </c>
      <c r="BE78" s="135">
        <f>IF(BE$2&lt;基础信息!$E$13,0,IF(BE$2=基础信息!$E$13,SUM(销售计划!$D153:BF153),销售计划!BF153))</f>
        <v>0</v>
      </c>
      <c r="BF78" s="135">
        <f>IF(BF$2&lt;基础信息!$E$13,0,IF(BF$2=基础信息!$E$13,SUM(销售计划!$D153:BG153),销售计划!BG153))</f>
        <v>0</v>
      </c>
      <c r="BG78" s="135">
        <f>IF(BG$2&lt;基础信息!$E$13,0,IF(BG$2=基础信息!$E$13,SUM(销售计划!$D153:BH153),销售计划!BH153))</f>
        <v>0</v>
      </c>
      <c r="BH78" s="135">
        <f>IF(BH$2&lt;基础信息!$E$13,0,IF(BH$2=基础信息!$E$13,SUM(销售计划!$D153:BI153),销售计划!BI153))</f>
        <v>0</v>
      </c>
      <c r="BI78" s="135">
        <f>IF(BI$2&lt;基础信息!$E$13,0,IF(BI$2=基础信息!$E$13,SUM(销售计划!$D153:BJ153),销售计划!BJ153))</f>
        <v>0</v>
      </c>
      <c r="BJ78" s="135">
        <f>IF(BJ$2&lt;基础信息!$E$13,0,IF(BJ$2=基础信息!$E$13,SUM(销售计划!$D153:BK153),销售计划!BK153))</f>
        <v>0</v>
      </c>
      <c r="BK78" s="135">
        <f>IF(BK$2&lt;基础信息!$E$13,0,IF(BK$2=基础信息!$E$13,SUM(销售计划!$D153:BL153),销售计划!BL153))</f>
        <v>0</v>
      </c>
      <c r="BL78" s="135">
        <f>IF(BL$2&lt;基础信息!$E$13,0,IF(BL$2=基础信息!$E$13,SUM(销售计划!$D153:BM153),销售计划!BM153))</f>
        <v>0</v>
      </c>
      <c r="BM78" s="135">
        <f>IF(BM$2&lt;基础信息!$E$13,0,IF(BM$2=基础信息!$E$13,SUM(销售计划!$D153:BN153),销售计划!BN153))</f>
        <v>0</v>
      </c>
      <c r="BN78" s="135">
        <f>IF(BN$2&lt;基础信息!$E$13,0,IF(BN$2=基础信息!$E$13,SUM(销售计划!$D153:BO153),销售计划!BO153))</f>
        <v>0</v>
      </c>
      <c r="BO78" s="135">
        <f>IF(BO$2&lt;基础信息!$E$13,0,IF(BO$2=基础信息!$E$13,SUM(销售计划!$D153:BP153),销售计划!BP153))</f>
        <v>0</v>
      </c>
      <c r="BP78" s="135">
        <f>IF(BP$2&lt;基础信息!$E$13,0,IF(BP$2=基础信息!$E$13,SUM(销售计划!$D153:BQ153),销售计划!BQ153))</f>
        <v>0</v>
      </c>
      <c r="BQ78" s="135">
        <f>IF(BQ$2&lt;基础信息!$E$13,0,IF(BQ$2=基础信息!$E$13,SUM(销售计划!$D153:BR153),销售计划!BR153))</f>
        <v>0</v>
      </c>
      <c r="BR78" s="135">
        <f>IF(BR$2&lt;基础信息!$E$13,0,IF(BR$2=基础信息!$E$13,SUM(销售计划!$D153:BS153),销售计划!BS153))</f>
        <v>0</v>
      </c>
      <c r="BS78" s="135">
        <f>IF(BS$2&lt;基础信息!$E$13,0,IF(BS$2=基础信息!$E$13,SUM(销售计划!$D153:BT153),销售计划!BT153))</f>
        <v>0</v>
      </c>
      <c r="BT78" s="135">
        <f>IF(BT$2&lt;基础信息!$E$13,0,IF(BT$2=基础信息!$E$13,SUM(销售计划!$D153:BU153),销售计划!BU153))</f>
        <v>0</v>
      </c>
      <c r="BU78" s="135">
        <f>IF(BU$2&lt;基础信息!$E$13,0,IF(BU$2=基础信息!$E$13,SUM(销售计划!$D153:BV153),销售计划!BV153))</f>
        <v>0</v>
      </c>
    </row>
    <row r="79" spans="1:73" s="126" customFormat="1" ht="13" outlineLevel="1">
      <c r="A79" s="127">
        <f>销售计划!A154</f>
        <v>0</v>
      </c>
      <c r="B79" s="128" t="s">
        <v>840</v>
      </c>
      <c r="C79" s="128">
        <f t="shared" ref="C79:AS79" si="106">IF(C78&gt;0,C80/C78*10000,0)</f>
        <v>0</v>
      </c>
      <c r="D79" s="250">
        <f t="shared" si="106"/>
        <v>0</v>
      </c>
      <c r="E79" s="250">
        <f t="shared" si="106"/>
        <v>0</v>
      </c>
      <c r="F79" s="128">
        <f t="shared" si="106"/>
        <v>0</v>
      </c>
      <c r="G79" s="128">
        <f t="shared" si="106"/>
        <v>0</v>
      </c>
      <c r="H79" s="250">
        <f t="shared" si="106"/>
        <v>0</v>
      </c>
      <c r="I79" s="250">
        <f t="shared" si="106"/>
        <v>0</v>
      </c>
      <c r="J79" s="250">
        <f t="shared" si="106"/>
        <v>0</v>
      </c>
      <c r="K79" s="250">
        <f t="shared" si="106"/>
        <v>0</v>
      </c>
      <c r="L79" s="250">
        <f t="shared" si="106"/>
        <v>0</v>
      </c>
      <c r="M79" s="250">
        <f t="shared" si="106"/>
        <v>0</v>
      </c>
      <c r="N79" s="250">
        <f t="shared" si="106"/>
        <v>0</v>
      </c>
      <c r="O79" s="250">
        <f t="shared" si="106"/>
        <v>0</v>
      </c>
      <c r="P79" s="250">
        <f t="shared" si="106"/>
        <v>0</v>
      </c>
      <c r="Q79" s="250">
        <f t="shared" si="106"/>
        <v>0</v>
      </c>
      <c r="R79" s="250">
        <f t="shared" si="106"/>
        <v>0</v>
      </c>
      <c r="S79" s="250">
        <f t="shared" si="106"/>
        <v>0</v>
      </c>
      <c r="T79" s="250">
        <f t="shared" si="106"/>
        <v>0</v>
      </c>
      <c r="U79" s="250">
        <f t="shared" si="106"/>
        <v>0</v>
      </c>
      <c r="V79" s="250">
        <f t="shared" si="106"/>
        <v>0</v>
      </c>
      <c r="W79" s="250">
        <f t="shared" si="106"/>
        <v>0</v>
      </c>
      <c r="X79" s="250">
        <f t="shared" si="106"/>
        <v>0</v>
      </c>
      <c r="Y79" s="250">
        <f t="shared" si="106"/>
        <v>0</v>
      </c>
      <c r="Z79" s="250">
        <f t="shared" si="106"/>
        <v>0</v>
      </c>
      <c r="AA79" s="250">
        <f t="shared" si="106"/>
        <v>0</v>
      </c>
      <c r="AB79" s="250">
        <f t="shared" si="106"/>
        <v>0</v>
      </c>
      <c r="AC79" s="250">
        <f t="shared" si="106"/>
        <v>0</v>
      </c>
      <c r="AD79" s="250">
        <f t="shared" si="106"/>
        <v>0</v>
      </c>
      <c r="AE79" s="250">
        <f t="shared" si="106"/>
        <v>0</v>
      </c>
      <c r="AF79" s="250">
        <f t="shared" si="106"/>
        <v>0</v>
      </c>
      <c r="AG79" s="250">
        <f t="shared" si="106"/>
        <v>0</v>
      </c>
      <c r="AH79" s="250">
        <f t="shared" si="106"/>
        <v>0</v>
      </c>
      <c r="AI79" s="250">
        <f t="shared" si="106"/>
        <v>0</v>
      </c>
      <c r="AJ79" s="250">
        <f t="shared" si="106"/>
        <v>0</v>
      </c>
      <c r="AK79" s="250">
        <f t="shared" si="106"/>
        <v>0</v>
      </c>
      <c r="AL79" s="250">
        <f t="shared" si="106"/>
        <v>0</v>
      </c>
      <c r="AM79" s="250">
        <f t="shared" si="106"/>
        <v>0</v>
      </c>
      <c r="AN79" s="250">
        <f t="shared" si="106"/>
        <v>0</v>
      </c>
      <c r="AO79" s="250">
        <f t="shared" si="106"/>
        <v>0</v>
      </c>
      <c r="AP79" s="250">
        <f t="shared" si="106"/>
        <v>0</v>
      </c>
      <c r="AQ79" s="250">
        <f t="shared" si="106"/>
        <v>0</v>
      </c>
      <c r="AR79" s="250">
        <f t="shared" si="106"/>
        <v>0</v>
      </c>
      <c r="AS79" s="250">
        <f t="shared" si="106"/>
        <v>0</v>
      </c>
      <c r="AT79" s="250">
        <f t="shared" ref="AT79:BP79" si="107">IF(AT78&gt;0,AT80/AT78*10000,0)</f>
        <v>0</v>
      </c>
      <c r="AU79" s="250">
        <f t="shared" si="107"/>
        <v>0</v>
      </c>
      <c r="AV79" s="250">
        <f t="shared" si="107"/>
        <v>0</v>
      </c>
      <c r="AW79" s="250">
        <f t="shared" si="107"/>
        <v>0</v>
      </c>
      <c r="AX79" s="250">
        <f t="shared" si="107"/>
        <v>0</v>
      </c>
      <c r="AY79" s="250">
        <f t="shared" si="107"/>
        <v>0</v>
      </c>
      <c r="AZ79" s="250">
        <f t="shared" si="107"/>
        <v>0</v>
      </c>
      <c r="BA79" s="250">
        <f t="shared" si="107"/>
        <v>0</v>
      </c>
      <c r="BB79" s="250">
        <f t="shared" si="107"/>
        <v>0</v>
      </c>
      <c r="BC79" s="250">
        <f t="shared" si="107"/>
        <v>0</v>
      </c>
      <c r="BD79" s="250">
        <f t="shared" si="107"/>
        <v>0</v>
      </c>
      <c r="BE79" s="250">
        <f t="shared" si="107"/>
        <v>0</v>
      </c>
      <c r="BF79" s="250">
        <f t="shared" si="107"/>
        <v>0</v>
      </c>
      <c r="BG79" s="250">
        <f t="shared" si="107"/>
        <v>0</v>
      </c>
      <c r="BH79" s="250">
        <f t="shared" si="107"/>
        <v>0</v>
      </c>
      <c r="BI79" s="250">
        <f t="shared" si="107"/>
        <v>0</v>
      </c>
      <c r="BJ79" s="250">
        <f t="shared" si="107"/>
        <v>0</v>
      </c>
      <c r="BK79" s="250">
        <f t="shared" si="107"/>
        <v>0</v>
      </c>
      <c r="BL79" s="250">
        <f t="shared" si="107"/>
        <v>0</v>
      </c>
      <c r="BM79" s="250">
        <f t="shared" si="107"/>
        <v>0</v>
      </c>
      <c r="BN79" s="250">
        <f t="shared" si="107"/>
        <v>0</v>
      </c>
      <c r="BO79" s="250">
        <f t="shared" si="107"/>
        <v>0</v>
      </c>
      <c r="BP79" s="250">
        <f t="shared" si="107"/>
        <v>0</v>
      </c>
      <c r="BQ79" s="250">
        <f t="shared" ref="BQ79:BU79" si="108">IF(BQ78&gt;0,BQ80/BQ78*10000,0)</f>
        <v>0</v>
      </c>
      <c r="BR79" s="250">
        <f t="shared" si="108"/>
        <v>0</v>
      </c>
      <c r="BS79" s="250">
        <f t="shared" si="108"/>
        <v>0</v>
      </c>
      <c r="BT79" s="250">
        <f t="shared" si="108"/>
        <v>0</v>
      </c>
      <c r="BU79" s="250">
        <f t="shared" si="108"/>
        <v>0</v>
      </c>
    </row>
    <row r="80" spans="1:73" outlineLevel="1">
      <c r="A80" s="132">
        <f>销售计划!A155</f>
        <v>0</v>
      </c>
      <c r="B80" s="133" t="s">
        <v>841</v>
      </c>
      <c r="C80" s="133">
        <f>SUM(D80:AS80)</f>
        <v>0</v>
      </c>
      <c r="D80" s="133">
        <f>IF(D$2&lt;基础信息!$E$13,0,IF(D$2=基础信息!$E$13,SUM(销售计划!$D155:E155),销售计划!E155))</f>
        <v>0</v>
      </c>
      <c r="E80" s="133">
        <f>IF(E$2&lt;基础信息!$E$13,0,IF(E$2=基础信息!$E$13,SUM(销售计划!$D155:F155),销售计划!F155))</f>
        <v>0</v>
      </c>
      <c r="F80" s="133">
        <f>IF(F$2&lt;基础信息!$E$13,0,IF(F$2=基础信息!$E$13,SUM(销售计划!$D155:G155),销售计划!G155))</f>
        <v>0</v>
      </c>
      <c r="G80" s="133">
        <f>IF(G$2&lt;基础信息!$E$13,0,IF(G$2=基础信息!$E$13,SUM(销售计划!$D155:H155),销售计划!H155))</f>
        <v>0</v>
      </c>
      <c r="H80" s="133">
        <f>IF(H$2&lt;基础信息!$E$13,0,IF(H$2=基础信息!$E$13,SUM(销售计划!$D155:I155),销售计划!I155))</f>
        <v>0</v>
      </c>
      <c r="I80" s="133">
        <f>IF(I$2&lt;基础信息!$E$13,0,IF(I$2=基础信息!$E$13,SUM(销售计划!$D155:J155),销售计划!J155))</f>
        <v>0</v>
      </c>
      <c r="J80" s="133">
        <f>IF(J$2&lt;基础信息!$E$13,0,IF(J$2=基础信息!$E$13,SUM(销售计划!$D155:K155),销售计划!K155))</f>
        <v>0</v>
      </c>
      <c r="K80" s="133">
        <f>IF(K$2&lt;基础信息!$E$13,0,IF(K$2=基础信息!$E$13,SUM(销售计划!$D155:L155),销售计划!L155))</f>
        <v>0</v>
      </c>
      <c r="L80" s="133">
        <f>IF(L$2&lt;基础信息!$E$13,0,IF(L$2=基础信息!$E$13,SUM(销售计划!$D155:M155),销售计划!M155))</f>
        <v>0</v>
      </c>
      <c r="M80" s="133">
        <f>IF(M$2&lt;基础信息!$E$13,0,IF(M$2=基础信息!$E$13,SUM(销售计划!$D155:N155),销售计划!N155))</f>
        <v>0</v>
      </c>
      <c r="N80" s="133">
        <f>IF(N$2&lt;基础信息!$E$13,0,IF(N$2=基础信息!$E$13,SUM(销售计划!$D155:O155),销售计划!O155))</f>
        <v>0</v>
      </c>
      <c r="O80" s="133">
        <f>IF(O$2&lt;基础信息!$E$13,0,IF(O$2=基础信息!$E$13,SUM(销售计划!$D155:P155),销售计划!P155))</f>
        <v>0</v>
      </c>
      <c r="P80" s="133">
        <f>IF(P$2&lt;基础信息!$E$13,0,IF(P$2=基础信息!$E$13,SUM(销售计划!$D155:Q155),销售计划!Q155))</f>
        <v>0</v>
      </c>
      <c r="Q80" s="133">
        <f>IF(Q$2&lt;基础信息!$E$13,0,IF(Q$2=基础信息!$E$13,SUM(销售计划!$D155:R155),销售计划!R155))</f>
        <v>0</v>
      </c>
      <c r="R80" s="133">
        <f>IF(R$2&lt;基础信息!$E$13,0,IF(R$2=基础信息!$E$13,SUM(销售计划!$D155:S155),销售计划!S155))</f>
        <v>0</v>
      </c>
      <c r="S80" s="133">
        <f>IF(S$2&lt;基础信息!$E$13,0,IF(S$2=基础信息!$E$13,SUM(销售计划!$D155:T155),销售计划!T155))</f>
        <v>0</v>
      </c>
      <c r="T80" s="133">
        <f>IF(T$2&lt;基础信息!$E$13,0,IF(T$2=基础信息!$E$13,SUM(销售计划!$D155:U155),销售计划!U155))</f>
        <v>0</v>
      </c>
      <c r="U80" s="133">
        <f>IF(U$2&lt;基础信息!$E$13,0,IF(U$2=基础信息!$E$13,SUM(销售计划!$D155:V155),销售计划!V155))</f>
        <v>0</v>
      </c>
      <c r="V80" s="133">
        <f>IF(V$2&lt;基础信息!$E$13,0,IF(V$2=基础信息!$E$13,SUM(销售计划!$D155:W155),销售计划!W155))</f>
        <v>0</v>
      </c>
      <c r="W80" s="133">
        <f>IF(W$2&lt;基础信息!$E$13,0,IF(W$2=基础信息!$E$13,SUM(销售计划!$D155:X155),销售计划!X155))</f>
        <v>0</v>
      </c>
      <c r="X80" s="133">
        <f>IF(X$2&lt;基础信息!$E$13,0,IF(X$2=基础信息!$E$13,SUM(销售计划!$D155:Y155),销售计划!Y155))</f>
        <v>0</v>
      </c>
      <c r="Y80" s="133">
        <f>IF(Y$2&lt;基础信息!$E$13,0,IF(Y$2=基础信息!$E$13,SUM(销售计划!$D155:Z155),销售计划!Z155))</f>
        <v>0</v>
      </c>
      <c r="Z80" s="133">
        <f>IF(Z$2&lt;基础信息!$E$13,0,IF(Z$2=基础信息!$E$13,SUM(销售计划!$D155:AA155),销售计划!AA155))</f>
        <v>0</v>
      </c>
      <c r="AA80" s="133">
        <f>IF(AA$2&lt;基础信息!$E$13,0,IF(AA$2=基础信息!$E$13,SUM(销售计划!$D155:AB155),销售计划!AB155))</f>
        <v>0</v>
      </c>
      <c r="AB80" s="133">
        <f>IF(AB$2&lt;基础信息!$E$13,0,IF(AB$2=基础信息!$E$13,SUM(销售计划!$D155:AC155),销售计划!AC155))</f>
        <v>0</v>
      </c>
      <c r="AC80" s="133">
        <f>IF(AC$2&lt;基础信息!$E$13,0,IF(AC$2=基础信息!$E$13,SUM(销售计划!$D155:AD155),销售计划!AD155))</f>
        <v>0</v>
      </c>
      <c r="AD80" s="133">
        <f>IF(AD$2&lt;基础信息!$E$13,0,IF(AD$2=基础信息!$E$13,SUM(销售计划!$D155:AE155),销售计划!AE155))</f>
        <v>0</v>
      </c>
      <c r="AE80" s="133">
        <f>IF(AE$2&lt;基础信息!$E$13,0,IF(AE$2=基础信息!$E$13,SUM(销售计划!$D155:AF155),销售计划!AF155))</f>
        <v>0</v>
      </c>
      <c r="AF80" s="133">
        <f>IF(AF$2&lt;基础信息!$E$13,0,IF(AF$2=基础信息!$E$13,SUM(销售计划!$D155:AG155),销售计划!AG155))</f>
        <v>0</v>
      </c>
      <c r="AG80" s="133">
        <f>IF(AG$2&lt;基础信息!$E$13,0,IF(AG$2=基础信息!$E$13,SUM(销售计划!$D155:AH155),销售计划!AH155))</f>
        <v>0</v>
      </c>
      <c r="AH80" s="133">
        <f>IF(AH$2&lt;基础信息!$E$13,0,IF(AH$2=基础信息!$E$13,SUM(销售计划!$D155:AI155),销售计划!AI155))</f>
        <v>0</v>
      </c>
      <c r="AI80" s="133">
        <f>IF(AI$2&lt;基础信息!$E$13,0,IF(AI$2=基础信息!$E$13,SUM(销售计划!$D155:AJ155),销售计划!AJ155))</f>
        <v>0</v>
      </c>
      <c r="AJ80" s="133">
        <f>IF(AJ$2&lt;基础信息!$E$13,0,IF(AJ$2=基础信息!$E$13,SUM(销售计划!$D155:AK155),销售计划!AK155))</f>
        <v>0</v>
      </c>
      <c r="AK80" s="133">
        <f>IF(AK$2&lt;基础信息!$E$13,0,IF(AK$2=基础信息!$E$13,SUM(销售计划!$D155:AL155),销售计划!AL155))</f>
        <v>0</v>
      </c>
      <c r="AL80" s="133">
        <f>IF(AL$2&lt;基础信息!$E$13,0,IF(AL$2=基础信息!$E$13,SUM(销售计划!$D155:AM155),销售计划!AM155))</f>
        <v>0</v>
      </c>
      <c r="AM80" s="133">
        <f>IF(AM$2&lt;基础信息!$E$13,0,IF(AM$2=基础信息!$E$13,SUM(销售计划!$D155:AN155),销售计划!AN155))</f>
        <v>0</v>
      </c>
      <c r="AN80" s="133">
        <f>IF(AN$2&lt;基础信息!$E$13,0,IF(AN$2=基础信息!$E$13,SUM(销售计划!$D155:AO155),销售计划!AO155))</f>
        <v>0</v>
      </c>
      <c r="AO80" s="133">
        <f>IF(AO$2&lt;基础信息!$E$13,0,IF(AO$2=基础信息!$E$13,SUM(销售计划!$D155:AP155),销售计划!AP155))</f>
        <v>0</v>
      </c>
      <c r="AP80" s="133">
        <f>IF(AP$2&lt;基础信息!$E$13,0,IF(AP$2=基础信息!$E$13,SUM(销售计划!$D155:AQ155),销售计划!AQ155))</f>
        <v>0</v>
      </c>
      <c r="AQ80" s="133">
        <f>IF(AQ$2&lt;基础信息!$E$13,0,IF(AQ$2=基础信息!$E$13,SUM(销售计划!$D155:AR155),销售计划!AR155))</f>
        <v>0</v>
      </c>
      <c r="AR80" s="133">
        <f>IF(AR$2&lt;基础信息!$E$13,0,IF(AR$2=基础信息!$E$13,SUM(销售计划!$D155:AS155),销售计划!AS155))</f>
        <v>0</v>
      </c>
      <c r="AS80" s="133">
        <f>IF(AS$2&lt;基础信息!$E$13,0,IF(AS$2=基础信息!$E$13,SUM(销售计划!$D155:AT155),销售计划!AT155))</f>
        <v>0</v>
      </c>
      <c r="AT80" s="133">
        <f>IF(AT$2&lt;基础信息!$E$13,0,IF(AT$2=基础信息!$E$13,SUM(销售计划!$D155:AU155),销售计划!AU155))</f>
        <v>0</v>
      </c>
      <c r="AU80" s="133">
        <f>IF(AU$2&lt;基础信息!$E$13,0,IF(AU$2=基础信息!$E$13,SUM(销售计划!$D155:AV155),销售计划!AV155))</f>
        <v>0</v>
      </c>
      <c r="AV80" s="133">
        <f>IF(AV$2&lt;基础信息!$E$13,0,IF(AV$2=基础信息!$E$13,SUM(销售计划!$D155:AW155),销售计划!AW155))</f>
        <v>0</v>
      </c>
      <c r="AW80" s="133">
        <f>IF(AW$2&lt;基础信息!$E$13,0,IF(AW$2=基础信息!$E$13,SUM(销售计划!$D155:AX155),销售计划!AX155))</f>
        <v>0</v>
      </c>
      <c r="AX80" s="133">
        <f>IF(AX$2&lt;基础信息!$E$13,0,IF(AX$2=基础信息!$E$13,SUM(销售计划!$D155:AY155),销售计划!AY155))</f>
        <v>0</v>
      </c>
      <c r="AY80" s="133">
        <f>IF(AY$2&lt;基础信息!$E$13,0,IF(AY$2=基础信息!$E$13,SUM(销售计划!$D155:AZ155),销售计划!AZ155))</f>
        <v>0</v>
      </c>
      <c r="AZ80" s="133">
        <f>IF(AZ$2&lt;基础信息!$E$13,0,IF(AZ$2=基础信息!$E$13,SUM(销售计划!$D155:BA155),销售计划!BA155))</f>
        <v>0</v>
      </c>
      <c r="BA80" s="133">
        <f>IF(BA$2&lt;基础信息!$E$13,0,IF(BA$2=基础信息!$E$13,SUM(销售计划!$D155:BB155),销售计划!BB155))</f>
        <v>0</v>
      </c>
      <c r="BB80" s="133">
        <f>IF(BB$2&lt;基础信息!$E$13,0,IF(BB$2=基础信息!$E$13,SUM(销售计划!$D155:BC155),销售计划!BC155))</f>
        <v>0</v>
      </c>
      <c r="BC80" s="133">
        <f>IF(BC$2&lt;基础信息!$E$13,0,IF(BC$2=基础信息!$E$13,SUM(销售计划!$D155:BD155),销售计划!BD155))</f>
        <v>0</v>
      </c>
      <c r="BD80" s="133">
        <f>IF(BD$2&lt;基础信息!$E$13,0,IF(BD$2=基础信息!$E$13,SUM(销售计划!$D155:BE155),销售计划!BE155))</f>
        <v>0</v>
      </c>
      <c r="BE80" s="133">
        <f>IF(BE$2&lt;基础信息!$E$13,0,IF(BE$2=基础信息!$E$13,SUM(销售计划!$D155:BF155),销售计划!BF155))</f>
        <v>0</v>
      </c>
      <c r="BF80" s="133">
        <f>IF(BF$2&lt;基础信息!$E$13,0,IF(BF$2=基础信息!$E$13,SUM(销售计划!$D155:BG155),销售计划!BG155))</f>
        <v>0</v>
      </c>
      <c r="BG80" s="133">
        <f>IF(BG$2&lt;基础信息!$E$13,0,IF(BG$2=基础信息!$E$13,SUM(销售计划!$D155:BH155),销售计划!BH155))</f>
        <v>0</v>
      </c>
      <c r="BH80" s="133">
        <f>IF(BH$2&lt;基础信息!$E$13,0,IF(BH$2=基础信息!$E$13,SUM(销售计划!$D155:BI155),销售计划!BI155))</f>
        <v>0</v>
      </c>
      <c r="BI80" s="133">
        <f>IF(BI$2&lt;基础信息!$E$13,0,IF(BI$2=基础信息!$E$13,SUM(销售计划!$D155:BJ155),销售计划!BJ155))</f>
        <v>0</v>
      </c>
      <c r="BJ80" s="133">
        <f>IF(BJ$2&lt;基础信息!$E$13,0,IF(BJ$2=基础信息!$E$13,SUM(销售计划!$D155:BK155),销售计划!BK155))</f>
        <v>0</v>
      </c>
      <c r="BK80" s="133">
        <f>IF(BK$2&lt;基础信息!$E$13,0,IF(BK$2=基础信息!$E$13,SUM(销售计划!$D155:BL155),销售计划!BL155))</f>
        <v>0</v>
      </c>
      <c r="BL80" s="133">
        <f>IF(BL$2&lt;基础信息!$E$13,0,IF(BL$2=基础信息!$E$13,SUM(销售计划!$D155:BM155),销售计划!BM155))</f>
        <v>0</v>
      </c>
      <c r="BM80" s="133">
        <f>IF(BM$2&lt;基础信息!$E$13,0,IF(BM$2=基础信息!$E$13,SUM(销售计划!$D155:BN155),销售计划!BN155))</f>
        <v>0</v>
      </c>
      <c r="BN80" s="133">
        <f>IF(BN$2&lt;基础信息!$E$13,0,IF(BN$2=基础信息!$E$13,SUM(销售计划!$D155:BO155),销售计划!BO155))</f>
        <v>0</v>
      </c>
      <c r="BO80" s="133">
        <f>IF(BO$2&lt;基础信息!$E$13,0,IF(BO$2=基础信息!$E$13,SUM(销售计划!$D155:BP155),销售计划!BP155))</f>
        <v>0</v>
      </c>
      <c r="BP80" s="133">
        <f>IF(BP$2&lt;基础信息!$E$13,0,IF(BP$2=基础信息!$E$13,SUM(销售计划!$D155:BQ155),销售计划!BQ155))</f>
        <v>0</v>
      </c>
      <c r="BQ80" s="133">
        <f>IF(BQ$2&lt;基础信息!$E$13,0,IF(BQ$2=基础信息!$E$13,SUM(销售计划!$D155:BR155),销售计划!BR155))</f>
        <v>0</v>
      </c>
      <c r="BR80" s="133">
        <f>IF(BR$2&lt;基础信息!$E$13,0,IF(BR$2=基础信息!$E$13,SUM(销售计划!$D155:BS155),销售计划!BS155))</f>
        <v>0</v>
      </c>
      <c r="BS80" s="133">
        <f>IF(BS$2&lt;基础信息!$E$13,0,IF(BS$2=基础信息!$E$13,SUM(销售计划!$D155:BT155),销售计划!BT155))</f>
        <v>0</v>
      </c>
      <c r="BT80" s="133">
        <f>IF(BT$2&lt;基础信息!$E$13,0,IF(BT$2=基础信息!$E$13,SUM(销售计划!$D155:BU155),销售计划!BU155))</f>
        <v>0</v>
      </c>
      <c r="BU80" s="133">
        <f>IF(BU$2&lt;基础信息!$E$13,0,IF(BU$2=基础信息!$E$13,SUM(销售计划!$D155:BV155),销售计划!BV155))</f>
        <v>0</v>
      </c>
    </row>
  </sheetData>
  <phoneticPr fontId="19" type="noConversion"/>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9"/>
  <sheetViews>
    <sheetView zoomScale="55" zoomScaleNormal="55" workbookViewId="0">
      <pane xSplit="2" ySplit="2" topLeftCell="Y3" activePane="bottomRight" state="frozen"/>
      <selection activeCell="E21" sqref="E21"/>
      <selection pane="topRight" activeCell="E21" sqref="E21"/>
      <selection pane="bottomLeft" activeCell="E21" sqref="E21"/>
      <selection pane="bottomRight" activeCell="AH29" sqref="AH29:AS29"/>
    </sheetView>
  </sheetViews>
  <sheetFormatPr defaultColWidth="9" defaultRowHeight="15.5" outlineLevelRow="1"/>
  <cols>
    <col min="1" max="1" width="16" style="166" customWidth="1"/>
    <col min="2" max="2" width="18.83203125" style="225" customWidth="1"/>
    <col min="3" max="8" width="10.83203125" style="225" hidden="1" customWidth="1"/>
    <col min="9" max="9" width="10.08203125" style="225" hidden="1" customWidth="1"/>
    <col min="10" max="10" width="10.1640625" style="225" hidden="1" customWidth="1"/>
    <col min="11" max="14" width="10.08203125" style="225" hidden="1" customWidth="1"/>
    <col min="15" max="20" width="10.83203125" style="225" hidden="1" customWidth="1"/>
    <col min="21" max="21" width="10.08203125" style="225" hidden="1" customWidth="1"/>
    <col min="22" max="22" width="10.1640625" style="225" customWidth="1"/>
    <col min="23" max="26" width="10.08203125" style="225" customWidth="1"/>
    <col min="27" max="32" width="10.83203125" style="225" customWidth="1"/>
    <col min="33" max="33" width="10.08203125" style="225" customWidth="1"/>
    <col min="34" max="34" width="10.1640625" style="225" customWidth="1"/>
    <col min="35" max="44" width="10.08203125" style="225" customWidth="1"/>
    <col min="45" max="255" width="9" style="32" customWidth="1"/>
    <col min="256" max="256" width="16" style="32" customWidth="1"/>
  </cols>
  <sheetData>
    <row r="1" spans="1:72" s="226" customFormat="1" ht="13">
      <c r="A1" s="2253" t="s">
        <v>52</v>
      </c>
      <c r="B1" s="2255" t="s">
        <v>24</v>
      </c>
      <c r="C1" s="121" t="s">
        <v>237</v>
      </c>
      <c r="D1" s="121" t="s">
        <v>238</v>
      </c>
      <c r="E1" s="121" t="s">
        <v>238</v>
      </c>
      <c r="F1" s="121" t="s">
        <v>238</v>
      </c>
      <c r="G1" s="121" t="s">
        <v>238</v>
      </c>
      <c r="H1" s="121" t="s">
        <v>239</v>
      </c>
      <c r="I1" s="121" t="s">
        <v>239</v>
      </c>
      <c r="J1" s="121" t="s">
        <v>239</v>
      </c>
      <c r="K1" s="121" t="s">
        <v>239</v>
      </c>
      <c r="L1" s="121" t="s">
        <v>240</v>
      </c>
      <c r="M1" s="121" t="s">
        <v>240</v>
      </c>
      <c r="N1" s="121" t="s">
        <v>240</v>
      </c>
      <c r="O1" s="121" t="s">
        <v>240</v>
      </c>
      <c r="P1" s="121" t="s">
        <v>241</v>
      </c>
      <c r="Q1" s="121" t="s">
        <v>241</v>
      </c>
      <c r="R1" s="121" t="s">
        <v>241</v>
      </c>
      <c r="S1" s="121" t="s">
        <v>241</v>
      </c>
      <c r="T1" s="121" t="s">
        <v>242</v>
      </c>
      <c r="U1" s="121" t="s">
        <v>242</v>
      </c>
      <c r="V1" s="121" t="s">
        <v>244</v>
      </c>
      <c r="W1" s="121" t="s">
        <v>244</v>
      </c>
      <c r="X1" s="121" t="s">
        <v>244</v>
      </c>
      <c r="Y1" s="121" t="s">
        <v>244</v>
      </c>
      <c r="Z1" s="121" t="s">
        <v>244</v>
      </c>
      <c r="AA1" s="121" t="s">
        <v>244</v>
      </c>
      <c r="AB1" s="121" t="s">
        <v>244</v>
      </c>
      <c r="AC1" s="121" t="s">
        <v>244</v>
      </c>
      <c r="AD1" s="121" t="s">
        <v>244</v>
      </c>
      <c r="AE1" s="121" t="s">
        <v>244</v>
      </c>
      <c r="AF1" s="121" t="s">
        <v>244</v>
      </c>
      <c r="AG1" s="121" t="s">
        <v>244</v>
      </c>
      <c r="AH1" s="121" t="s">
        <v>4220</v>
      </c>
      <c r="AI1" s="121" t="s">
        <v>4220</v>
      </c>
      <c r="AJ1" s="121" t="s">
        <v>4220</v>
      </c>
      <c r="AK1" s="121" t="s">
        <v>4220</v>
      </c>
      <c r="AL1" s="121" t="s">
        <v>4220</v>
      </c>
      <c r="AM1" s="121" t="s">
        <v>4220</v>
      </c>
      <c r="AN1" s="121" t="s">
        <v>4220</v>
      </c>
      <c r="AO1" s="121" t="s">
        <v>4220</v>
      </c>
      <c r="AP1" s="121" t="s">
        <v>4220</v>
      </c>
      <c r="AQ1" s="121" t="s">
        <v>4220</v>
      </c>
      <c r="AR1" s="121" t="s">
        <v>4220</v>
      </c>
      <c r="AS1" s="121" t="s">
        <v>4220</v>
      </c>
      <c r="AT1" s="121" t="s">
        <v>4221</v>
      </c>
      <c r="AU1" s="121" t="s">
        <v>4221</v>
      </c>
      <c r="AV1" s="121" t="s">
        <v>4221</v>
      </c>
      <c r="AW1" s="121" t="s">
        <v>4221</v>
      </c>
      <c r="AX1" s="121" t="s">
        <v>4221</v>
      </c>
      <c r="AY1" s="121" t="s">
        <v>4221</v>
      </c>
      <c r="AZ1" s="121" t="s">
        <v>4221</v>
      </c>
      <c r="BA1" s="121" t="s">
        <v>4221</v>
      </c>
      <c r="BB1" s="121" t="s">
        <v>4221</v>
      </c>
      <c r="BC1" s="121" t="s">
        <v>4221</v>
      </c>
      <c r="BD1" s="121" t="s">
        <v>4221</v>
      </c>
      <c r="BE1" s="121" t="s">
        <v>4221</v>
      </c>
      <c r="BF1" s="121" t="s">
        <v>4246</v>
      </c>
      <c r="BG1" s="121" t="s">
        <v>4246</v>
      </c>
      <c r="BH1" s="121" t="s">
        <v>4246</v>
      </c>
      <c r="BI1" s="121" t="s">
        <v>4246</v>
      </c>
      <c r="BJ1" s="121" t="s">
        <v>4221</v>
      </c>
      <c r="BK1" s="121" t="s">
        <v>4221</v>
      </c>
      <c r="BL1" s="121" t="s">
        <v>4246</v>
      </c>
      <c r="BM1" s="121" t="s">
        <v>4246</v>
      </c>
      <c r="BN1" s="121" t="s">
        <v>4246</v>
      </c>
      <c r="BO1" s="121" t="s">
        <v>4246</v>
      </c>
      <c r="BP1" s="121" t="s">
        <v>256</v>
      </c>
      <c r="BQ1" s="121" t="s">
        <v>256</v>
      </c>
      <c r="BR1" s="121" t="s">
        <v>4346</v>
      </c>
      <c r="BS1" s="121" t="s">
        <v>4346</v>
      </c>
      <c r="BT1" s="121" t="s">
        <v>4346</v>
      </c>
    </row>
    <row r="2" spans="1:72" s="227" customFormat="1" ht="14.5">
      <c r="A2" s="2254"/>
      <c r="B2" s="2256"/>
      <c r="C2" s="123" t="s">
        <v>174</v>
      </c>
      <c r="D2" s="123" t="s">
        <v>175</v>
      </c>
      <c r="E2" s="123" t="s">
        <v>176</v>
      </c>
      <c r="F2" s="123" t="s">
        <v>177</v>
      </c>
      <c r="G2" s="123" t="s">
        <v>178</v>
      </c>
      <c r="H2" s="123" t="s">
        <v>179</v>
      </c>
      <c r="I2" s="123" t="s">
        <v>180</v>
      </c>
      <c r="J2" s="123" t="s">
        <v>181</v>
      </c>
      <c r="K2" s="123" t="s">
        <v>182</v>
      </c>
      <c r="L2" s="123" t="s">
        <v>183</v>
      </c>
      <c r="M2" s="123" t="s">
        <v>184</v>
      </c>
      <c r="N2" s="123" t="s">
        <v>185</v>
      </c>
      <c r="O2" s="123" t="s">
        <v>186</v>
      </c>
      <c r="P2" s="123" t="s">
        <v>187</v>
      </c>
      <c r="Q2" s="123" t="s">
        <v>188</v>
      </c>
      <c r="R2" s="123" t="s">
        <v>189</v>
      </c>
      <c r="S2" s="123" t="s">
        <v>190</v>
      </c>
      <c r="T2" s="123" t="s">
        <v>191</v>
      </c>
      <c r="U2" s="123" t="s">
        <v>192</v>
      </c>
      <c r="V2" s="123" t="s">
        <v>4208</v>
      </c>
      <c r="W2" s="123" t="s">
        <v>4209</v>
      </c>
      <c r="X2" s="123" t="s">
        <v>4210</v>
      </c>
      <c r="Y2" s="123" t="s">
        <v>4211</v>
      </c>
      <c r="Z2" s="123" t="s">
        <v>4212</v>
      </c>
      <c r="AA2" s="123" t="s">
        <v>4213</v>
      </c>
      <c r="AB2" s="123" t="s">
        <v>4214</v>
      </c>
      <c r="AC2" s="123" t="s">
        <v>4215</v>
      </c>
      <c r="AD2" s="123" t="s">
        <v>4216</v>
      </c>
      <c r="AE2" s="123" t="s">
        <v>4217</v>
      </c>
      <c r="AF2" s="123" t="s">
        <v>4218</v>
      </c>
      <c r="AG2" s="123" t="s">
        <v>4219</v>
      </c>
      <c r="AH2" s="123" t="s">
        <v>4222</v>
      </c>
      <c r="AI2" s="123" t="s">
        <v>4223</v>
      </c>
      <c r="AJ2" s="123" t="s">
        <v>4224</v>
      </c>
      <c r="AK2" s="123" t="s">
        <v>4225</v>
      </c>
      <c r="AL2" s="123" t="s">
        <v>4226</v>
      </c>
      <c r="AM2" s="123" t="s">
        <v>4227</v>
      </c>
      <c r="AN2" s="123" t="s">
        <v>4228</v>
      </c>
      <c r="AO2" s="123" t="s">
        <v>4229</v>
      </c>
      <c r="AP2" s="123" t="s">
        <v>4230</v>
      </c>
      <c r="AQ2" s="123" t="s">
        <v>4231</v>
      </c>
      <c r="AR2" s="123" t="s">
        <v>4232</v>
      </c>
      <c r="AS2" s="123" t="s">
        <v>4233</v>
      </c>
      <c r="AT2" s="123" t="s">
        <v>4234</v>
      </c>
      <c r="AU2" s="123" t="s">
        <v>4235</v>
      </c>
      <c r="AV2" s="123" t="s">
        <v>4236</v>
      </c>
      <c r="AW2" s="123" t="s">
        <v>4237</v>
      </c>
      <c r="AX2" s="123" t="s">
        <v>4238</v>
      </c>
      <c r="AY2" s="123" t="s">
        <v>4239</v>
      </c>
      <c r="AZ2" s="123" t="s">
        <v>4240</v>
      </c>
      <c r="BA2" s="123" t="s">
        <v>4241</v>
      </c>
      <c r="BB2" s="123" t="s">
        <v>4242</v>
      </c>
      <c r="BC2" s="123" t="s">
        <v>4243</v>
      </c>
      <c r="BD2" s="123" t="s">
        <v>4244</v>
      </c>
      <c r="BE2" s="123" t="s">
        <v>4245</v>
      </c>
      <c r="BF2" s="123" t="s">
        <v>4247</v>
      </c>
      <c r="BG2" s="123" t="s">
        <v>4248</v>
      </c>
      <c r="BH2" s="123" t="s">
        <v>4249</v>
      </c>
      <c r="BI2" s="123" t="s">
        <v>4250</v>
      </c>
      <c r="BJ2" s="123" t="s">
        <v>4251</v>
      </c>
      <c r="BK2" s="123" t="s">
        <v>4252</v>
      </c>
      <c r="BL2" s="123" t="s">
        <v>4253</v>
      </c>
      <c r="BM2" s="123" t="s">
        <v>4254</v>
      </c>
      <c r="BN2" s="123" t="s">
        <v>4255</v>
      </c>
      <c r="BO2" s="123" t="s">
        <v>4256</v>
      </c>
      <c r="BP2" s="123" t="s">
        <v>4257</v>
      </c>
      <c r="BQ2" s="123" t="s">
        <v>4258</v>
      </c>
      <c r="BR2" s="123" t="s">
        <v>4347</v>
      </c>
      <c r="BS2" s="123" t="s">
        <v>4348</v>
      </c>
      <c r="BT2" s="123" t="s">
        <v>4349</v>
      </c>
    </row>
    <row r="3" spans="1:72">
      <c r="A3" s="228" t="s">
        <v>293</v>
      </c>
      <c r="B3" s="229">
        <f t="shared" ref="B3:AR3" si="0">SUM(B4:B6)</f>
        <v>137382.56</v>
      </c>
      <c r="C3" s="229">
        <f t="shared" si="0"/>
        <v>0</v>
      </c>
      <c r="D3" s="229">
        <f t="shared" si="0"/>
        <v>0</v>
      </c>
      <c r="E3" s="229">
        <f t="shared" si="0"/>
        <v>0</v>
      </c>
      <c r="F3" s="229">
        <f t="shared" si="0"/>
        <v>0</v>
      </c>
      <c r="G3" s="229">
        <f t="shared" si="0"/>
        <v>0</v>
      </c>
      <c r="H3" s="229">
        <f t="shared" si="0"/>
        <v>0</v>
      </c>
      <c r="I3" s="229">
        <f t="shared" si="0"/>
        <v>0</v>
      </c>
      <c r="J3" s="229">
        <f t="shared" si="0"/>
        <v>0</v>
      </c>
      <c r="K3" s="229">
        <f t="shared" si="0"/>
        <v>0</v>
      </c>
      <c r="L3" s="229">
        <f t="shared" si="0"/>
        <v>0</v>
      </c>
      <c r="M3" s="229">
        <f t="shared" si="0"/>
        <v>0</v>
      </c>
      <c r="N3" s="229">
        <f t="shared" si="0"/>
        <v>0</v>
      </c>
      <c r="O3" s="229">
        <f t="shared" si="0"/>
        <v>0</v>
      </c>
      <c r="P3" s="229">
        <f t="shared" si="0"/>
        <v>0</v>
      </c>
      <c r="Q3" s="229">
        <f t="shared" si="0"/>
        <v>0</v>
      </c>
      <c r="R3" s="229">
        <f t="shared" si="0"/>
        <v>0</v>
      </c>
      <c r="S3" s="229">
        <f t="shared" si="0"/>
        <v>0</v>
      </c>
      <c r="T3" s="229">
        <f t="shared" si="0"/>
        <v>0</v>
      </c>
      <c r="U3" s="229">
        <f t="shared" si="0"/>
        <v>0</v>
      </c>
      <c r="V3" s="229">
        <f t="shared" si="0"/>
        <v>0</v>
      </c>
      <c r="W3" s="229">
        <f t="shared" si="0"/>
        <v>0</v>
      </c>
      <c r="X3" s="229">
        <f t="shared" si="0"/>
        <v>0</v>
      </c>
      <c r="Y3" s="229">
        <f t="shared" si="0"/>
        <v>0</v>
      </c>
      <c r="Z3" s="229">
        <f t="shared" si="0"/>
        <v>0</v>
      </c>
      <c r="AA3" s="229">
        <f t="shared" ref="AA3:AP3" si="1">SUM(AA4:AA6)</f>
        <v>0</v>
      </c>
      <c r="AB3" s="229">
        <f t="shared" si="1"/>
        <v>0</v>
      </c>
      <c r="AC3" s="229">
        <f t="shared" si="1"/>
        <v>0</v>
      </c>
      <c r="AD3" s="229">
        <f t="shared" si="1"/>
        <v>0</v>
      </c>
      <c r="AE3" s="229">
        <f t="shared" si="1"/>
        <v>0</v>
      </c>
      <c r="AF3" s="229">
        <f t="shared" si="1"/>
        <v>0</v>
      </c>
      <c r="AG3" s="229">
        <f t="shared" si="1"/>
        <v>0</v>
      </c>
      <c r="AH3" s="229">
        <f t="shared" si="1"/>
        <v>0</v>
      </c>
      <c r="AI3" s="229">
        <f t="shared" si="1"/>
        <v>0</v>
      </c>
      <c r="AJ3" s="229">
        <f t="shared" si="1"/>
        <v>0</v>
      </c>
      <c r="AK3" s="229">
        <f t="shared" si="1"/>
        <v>0</v>
      </c>
      <c r="AL3" s="229">
        <f t="shared" si="1"/>
        <v>0</v>
      </c>
      <c r="AM3" s="229">
        <f t="shared" si="1"/>
        <v>0</v>
      </c>
      <c r="AN3" s="229">
        <f t="shared" si="1"/>
        <v>0</v>
      </c>
      <c r="AO3" s="229">
        <f t="shared" si="1"/>
        <v>0</v>
      </c>
      <c r="AP3" s="229">
        <f t="shared" si="1"/>
        <v>0</v>
      </c>
      <c r="AQ3" s="229">
        <f t="shared" si="0"/>
        <v>0</v>
      </c>
      <c r="AR3" s="229">
        <f t="shared" si="0"/>
        <v>0</v>
      </c>
      <c r="AS3" s="229">
        <f t="shared" ref="AS3:BO3" si="2">SUM(AS4:AS6)</f>
        <v>0</v>
      </c>
      <c r="AT3" s="229">
        <f t="shared" si="2"/>
        <v>0</v>
      </c>
      <c r="AU3" s="229">
        <f t="shared" si="2"/>
        <v>0</v>
      </c>
      <c r="AV3" s="229">
        <f t="shared" si="2"/>
        <v>0</v>
      </c>
      <c r="AW3" s="229">
        <f t="shared" si="2"/>
        <v>0</v>
      </c>
      <c r="AX3" s="229">
        <f t="shared" si="2"/>
        <v>0</v>
      </c>
      <c r="AY3" s="229">
        <f t="shared" si="2"/>
        <v>0</v>
      </c>
      <c r="AZ3" s="229">
        <f t="shared" si="2"/>
        <v>0</v>
      </c>
      <c r="BA3" s="229">
        <f t="shared" si="2"/>
        <v>0</v>
      </c>
      <c r="BB3" s="229">
        <f t="shared" si="2"/>
        <v>0</v>
      </c>
      <c r="BC3" s="229">
        <f t="shared" si="2"/>
        <v>0</v>
      </c>
      <c r="BD3" s="229">
        <f t="shared" si="2"/>
        <v>0</v>
      </c>
      <c r="BE3" s="229">
        <f t="shared" si="2"/>
        <v>0</v>
      </c>
      <c r="BF3" s="229">
        <f t="shared" si="2"/>
        <v>0</v>
      </c>
      <c r="BG3" s="229">
        <f t="shared" si="2"/>
        <v>0</v>
      </c>
      <c r="BH3" s="229">
        <f t="shared" si="2"/>
        <v>0</v>
      </c>
      <c r="BI3" s="229">
        <f t="shared" si="2"/>
        <v>0</v>
      </c>
      <c r="BJ3" s="229">
        <f t="shared" si="2"/>
        <v>0</v>
      </c>
      <c r="BK3" s="229">
        <f t="shared" si="2"/>
        <v>0</v>
      </c>
      <c r="BL3" s="229">
        <f t="shared" si="2"/>
        <v>0</v>
      </c>
      <c r="BM3" s="229">
        <f t="shared" si="2"/>
        <v>0</v>
      </c>
      <c r="BN3" s="229">
        <f t="shared" si="2"/>
        <v>0</v>
      </c>
      <c r="BO3" s="229">
        <f t="shared" si="2"/>
        <v>0</v>
      </c>
      <c r="BP3" s="229">
        <f t="shared" ref="BP3:BT3" si="3">SUM(BP4:BP6)</f>
        <v>137382.56</v>
      </c>
      <c r="BQ3" s="229">
        <f t="shared" si="3"/>
        <v>0</v>
      </c>
      <c r="BR3" s="229">
        <f t="shared" si="3"/>
        <v>0</v>
      </c>
      <c r="BS3" s="229">
        <f t="shared" si="3"/>
        <v>0</v>
      </c>
      <c r="BT3" s="229">
        <f t="shared" si="3"/>
        <v>0</v>
      </c>
    </row>
    <row r="4" spans="1:72" outlineLevel="1">
      <c r="A4" s="230" t="str">
        <f>基础信息!A13</f>
        <v>一期</v>
      </c>
      <c r="B4" s="231">
        <f>SUM(C4:BT4)</f>
        <v>137382.56</v>
      </c>
      <c r="C4" s="232">
        <f>结算计划!D6</f>
        <v>0</v>
      </c>
      <c r="D4" s="232">
        <f>结算计划!E6</f>
        <v>0</v>
      </c>
      <c r="E4" s="232">
        <f>结算计划!F6</f>
        <v>0</v>
      </c>
      <c r="F4" s="232">
        <f>结算计划!G6</f>
        <v>0</v>
      </c>
      <c r="G4" s="232">
        <f>结算计划!H6</f>
        <v>0</v>
      </c>
      <c r="H4" s="232">
        <f>结算计划!I6</f>
        <v>0</v>
      </c>
      <c r="I4" s="232">
        <f>结算计划!J6</f>
        <v>0</v>
      </c>
      <c r="J4" s="232">
        <f>结算计划!K6</f>
        <v>0</v>
      </c>
      <c r="K4" s="232">
        <f>结算计划!L6</f>
        <v>0</v>
      </c>
      <c r="L4" s="232">
        <f>结算计划!M6</f>
        <v>0</v>
      </c>
      <c r="M4" s="232">
        <f>结算计划!N6</f>
        <v>0</v>
      </c>
      <c r="N4" s="232">
        <f>结算计划!O6</f>
        <v>0</v>
      </c>
      <c r="O4" s="232">
        <f>结算计划!P6</f>
        <v>0</v>
      </c>
      <c r="P4" s="232">
        <f>结算计划!Q6</f>
        <v>0</v>
      </c>
      <c r="Q4" s="232">
        <f>结算计划!R6</f>
        <v>0</v>
      </c>
      <c r="R4" s="232">
        <f>结算计划!S6</f>
        <v>0</v>
      </c>
      <c r="S4" s="232">
        <f>结算计划!T6</f>
        <v>0</v>
      </c>
      <c r="T4" s="232">
        <f>结算计划!U6</f>
        <v>0</v>
      </c>
      <c r="U4" s="232">
        <f>结算计划!V6</f>
        <v>0</v>
      </c>
      <c r="V4" s="232">
        <f>结算计划!W6</f>
        <v>0</v>
      </c>
      <c r="W4" s="232">
        <f>结算计划!X6</f>
        <v>0</v>
      </c>
      <c r="X4" s="232">
        <f>结算计划!Y6</f>
        <v>0</v>
      </c>
      <c r="Y4" s="232">
        <f>结算计划!Z6</f>
        <v>0</v>
      </c>
      <c r="Z4" s="232">
        <f>结算计划!AA6</f>
        <v>0</v>
      </c>
      <c r="AA4" s="232">
        <f>结算计划!AB6</f>
        <v>0</v>
      </c>
      <c r="AB4" s="232">
        <f>结算计划!AC6</f>
        <v>0</v>
      </c>
      <c r="AC4" s="232">
        <f>结算计划!AD6</f>
        <v>0</v>
      </c>
      <c r="AD4" s="232">
        <f>结算计划!AE6</f>
        <v>0</v>
      </c>
      <c r="AE4" s="232">
        <f>结算计划!AF6</f>
        <v>0</v>
      </c>
      <c r="AF4" s="232">
        <f>结算计划!AG6</f>
        <v>0</v>
      </c>
      <c r="AG4" s="232">
        <f>结算计划!AH6</f>
        <v>0</v>
      </c>
      <c r="AH4" s="232">
        <f>结算计划!AI6</f>
        <v>0</v>
      </c>
      <c r="AI4" s="232">
        <f>结算计划!AJ6</f>
        <v>0</v>
      </c>
      <c r="AJ4" s="232">
        <f>结算计划!AK6</f>
        <v>0</v>
      </c>
      <c r="AK4" s="232">
        <f>结算计划!AL6</f>
        <v>0</v>
      </c>
      <c r="AL4" s="232">
        <f>结算计划!AM6</f>
        <v>0</v>
      </c>
      <c r="AM4" s="232">
        <f>结算计划!AN6</f>
        <v>0</v>
      </c>
      <c r="AN4" s="232">
        <f>结算计划!AO6</f>
        <v>0</v>
      </c>
      <c r="AO4" s="232">
        <f>结算计划!AP6</f>
        <v>0</v>
      </c>
      <c r="AP4" s="232">
        <f>结算计划!AQ6</f>
        <v>0</v>
      </c>
      <c r="AQ4" s="232">
        <f>结算计划!AR6</f>
        <v>0</v>
      </c>
      <c r="AR4" s="232">
        <f>结算计划!AS6</f>
        <v>0</v>
      </c>
      <c r="AS4" s="232">
        <f>结算计划!AT6</f>
        <v>0</v>
      </c>
      <c r="AT4" s="232">
        <f>结算计划!AU6</f>
        <v>0</v>
      </c>
      <c r="AU4" s="232">
        <f>结算计划!AV6</f>
        <v>0</v>
      </c>
      <c r="AV4" s="232">
        <f>结算计划!AW6</f>
        <v>0</v>
      </c>
      <c r="AW4" s="232">
        <f>结算计划!AX6</f>
        <v>0</v>
      </c>
      <c r="AX4" s="232">
        <f>结算计划!AY6</f>
        <v>0</v>
      </c>
      <c r="AY4" s="232">
        <f>结算计划!AZ6</f>
        <v>0</v>
      </c>
      <c r="AZ4" s="232">
        <f>结算计划!BA6</f>
        <v>0</v>
      </c>
      <c r="BA4" s="232">
        <f>结算计划!BB6</f>
        <v>0</v>
      </c>
      <c r="BB4" s="232">
        <f>结算计划!BC6</f>
        <v>0</v>
      </c>
      <c r="BC4" s="232">
        <f>结算计划!BD6</f>
        <v>0</v>
      </c>
      <c r="BD4" s="232">
        <f>结算计划!BE6</f>
        <v>0</v>
      </c>
      <c r="BE4" s="232">
        <f>结算计划!BF6</f>
        <v>0</v>
      </c>
      <c r="BF4" s="232">
        <f>结算计划!BG6</f>
        <v>0</v>
      </c>
      <c r="BG4" s="232">
        <f>结算计划!BH6</f>
        <v>0</v>
      </c>
      <c r="BH4" s="232">
        <f>结算计划!BI6</f>
        <v>0</v>
      </c>
      <c r="BI4" s="232">
        <f>结算计划!BJ6</f>
        <v>0</v>
      </c>
      <c r="BJ4" s="232">
        <f>结算计划!BK6</f>
        <v>0</v>
      </c>
      <c r="BK4" s="232">
        <f>结算计划!BL6</f>
        <v>0</v>
      </c>
      <c r="BL4" s="232">
        <f>结算计划!BM6</f>
        <v>0</v>
      </c>
      <c r="BM4" s="232">
        <f>结算计划!BN6</f>
        <v>0</v>
      </c>
      <c r="BN4" s="232">
        <f>结算计划!BO6</f>
        <v>0</v>
      </c>
      <c r="BO4" s="232">
        <f>结算计划!BP6</f>
        <v>0</v>
      </c>
      <c r="BP4" s="232">
        <f>结算计划!BQ6</f>
        <v>137382.56</v>
      </c>
      <c r="BQ4" s="232">
        <f>结算计划!BR6</f>
        <v>0</v>
      </c>
      <c r="BR4" s="232">
        <f>结算计划!BS6</f>
        <v>0</v>
      </c>
      <c r="BS4" s="232">
        <f>结算计划!BT6</f>
        <v>0</v>
      </c>
      <c r="BT4" s="232">
        <f>结算计划!BU6</f>
        <v>0</v>
      </c>
    </row>
    <row r="5" spans="1:72" outlineLevel="1">
      <c r="A5" s="230" t="str">
        <f>基础信息!A14</f>
        <v>二期</v>
      </c>
      <c r="B5" s="231">
        <f t="shared" ref="B5:B6" si="4">SUM(C5:BT5)</f>
        <v>0</v>
      </c>
      <c r="C5" s="232">
        <f>结算计划!D33</f>
        <v>0</v>
      </c>
      <c r="D5" s="232">
        <f>结算计划!E33</f>
        <v>0</v>
      </c>
      <c r="E5" s="232">
        <f>结算计划!F33</f>
        <v>0</v>
      </c>
      <c r="F5" s="232">
        <f>结算计划!G33</f>
        <v>0</v>
      </c>
      <c r="G5" s="232">
        <f>结算计划!H33</f>
        <v>0</v>
      </c>
      <c r="H5" s="232">
        <f>结算计划!I33</f>
        <v>0</v>
      </c>
      <c r="I5" s="232">
        <f>结算计划!J33</f>
        <v>0</v>
      </c>
      <c r="J5" s="232">
        <f>结算计划!K33</f>
        <v>0</v>
      </c>
      <c r="K5" s="232">
        <f>结算计划!L33</f>
        <v>0</v>
      </c>
      <c r="L5" s="232">
        <f>结算计划!M33</f>
        <v>0</v>
      </c>
      <c r="M5" s="232">
        <f>结算计划!N33</f>
        <v>0</v>
      </c>
      <c r="N5" s="232">
        <f>结算计划!O33</f>
        <v>0</v>
      </c>
      <c r="O5" s="232">
        <f>结算计划!P33</f>
        <v>0</v>
      </c>
      <c r="P5" s="232">
        <f>结算计划!Q33</f>
        <v>0</v>
      </c>
      <c r="Q5" s="232">
        <f>结算计划!R33</f>
        <v>0</v>
      </c>
      <c r="R5" s="232">
        <f>结算计划!S33</f>
        <v>0</v>
      </c>
      <c r="S5" s="232">
        <f>结算计划!T33</f>
        <v>0</v>
      </c>
      <c r="T5" s="232">
        <f>结算计划!U33</f>
        <v>0</v>
      </c>
      <c r="U5" s="232">
        <f>结算计划!V33</f>
        <v>0</v>
      </c>
      <c r="V5" s="232">
        <f>结算计划!W33</f>
        <v>0</v>
      </c>
      <c r="W5" s="232">
        <f>结算计划!X33</f>
        <v>0</v>
      </c>
      <c r="X5" s="232">
        <f>结算计划!Y33</f>
        <v>0</v>
      </c>
      <c r="Y5" s="232">
        <f>结算计划!Z33</f>
        <v>0</v>
      </c>
      <c r="Z5" s="232">
        <f>结算计划!AA33</f>
        <v>0</v>
      </c>
      <c r="AA5" s="232">
        <f>结算计划!AB33</f>
        <v>0</v>
      </c>
      <c r="AB5" s="232">
        <f>结算计划!AC33</f>
        <v>0</v>
      </c>
      <c r="AC5" s="232">
        <f>结算计划!AD33</f>
        <v>0</v>
      </c>
      <c r="AD5" s="232">
        <f>结算计划!AE33</f>
        <v>0</v>
      </c>
      <c r="AE5" s="232">
        <f>结算计划!AF33</f>
        <v>0</v>
      </c>
      <c r="AF5" s="232">
        <f>结算计划!AG33</f>
        <v>0</v>
      </c>
      <c r="AG5" s="232">
        <f>结算计划!AH33</f>
        <v>0</v>
      </c>
      <c r="AH5" s="232">
        <f>结算计划!AI33</f>
        <v>0</v>
      </c>
      <c r="AI5" s="232">
        <f>结算计划!AJ33</f>
        <v>0</v>
      </c>
      <c r="AJ5" s="232">
        <f>结算计划!AK33</f>
        <v>0</v>
      </c>
      <c r="AK5" s="232">
        <f>结算计划!AL33</f>
        <v>0</v>
      </c>
      <c r="AL5" s="232">
        <f>结算计划!AM33</f>
        <v>0</v>
      </c>
      <c r="AM5" s="232">
        <f>结算计划!AN33</f>
        <v>0</v>
      </c>
      <c r="AN5" s="232">
        <f>结算计划!AO33</f>
        <v>0</v>
      </c>
      <c r="AO5" s="232">
        <f>结算计划!AP33</f>
        <v>0</v>
      </c>
      <c r="AP5" s="232">
        <f>结算计划!AQ33</f>
        <v>0</v>
      </c>
      <c r="AQ5" s="232">
        <f>结算计划!AR33</f>
        <v>0</v>
      </c>
      <c r="AR5" s="232">
        <f>结算计划!AS33</f>
        <v>0</v>
      </c>
      <c r="AS5" s="232">
        <f>结算计划!AT33</f>
        <v>0</v>
      </c>
      <c r="AT5" s="232">
        <f>结算计划!AU33</f>
        <v>0</v>
      </c>
      <c r="AU5" s="232">
        <f>结算计划!AV33</f>
        <v>0</v>
      </c>
      <c r="AV5" s="232">
        <f>结算计划!AW33</f>
        <v>0</v>
      </c>
      <c r="AW5" s="232">
        <f>结算计划!AX33</f>
        <v>0</v>
      </c>
      <c r="AX5" s="232">
        <f>结算计划!AY33</f>
        <v>0</v>
      </c>
      <c r="AY5" s="232">
        <f>结算计划!AZ33</f>
        <v>0</v>
      </c>
      <c r="AZ5" s="232">
        <f>结算计划!BA33</f>
        <v>0</v>
      </c>
      <c r="BA5" s="232">
        <f>结算计划!BB33</f>
        <v>0</v>
      </c>
      <c r="BB5" s="232">
        <f>结算计划!BC33</f>
        <v>0</v>
      </c>
      <c r="BC5" s="232">
        <f>结算计划!BD33</f>
        <v>0</v>
      </c>
      <c r="BD5" s="232">
        <f>结算计划!BE33</f>
        <v>0</v>
      </c>
      <c r="BE5" s="232">
        <f>结算计划!BF33</f>
        <v>0</v>
      </c>
      <c r="BF5" s="232">
        <f>结算计划!BG33</f>
        <v>0</v>
      </c>
      <c r="BG5" s="232">
        <f>结算计划!BH33</f>
        <v>0</v>
      </c>
      <c r="BH5" s="232">
        <f>结算计划!BI33</f>
        <v>0</v>
      </c>
      <c r="BI5" s="232">
        <f>结算计划!BJ33</f>
        <v>0</v>
      </c>
      <c r="BJ5" s="232">
        <f>结算计划!BK33</f>
        <v>0</v>
      </c>
      <c r="BK5" s="232">
        <f>结算计划!BL33</f>
        <v>0</v>
      </c>
      <c r="BL5" s="232">
        <f>结算计划!BM33</f>
        <v>0</v>
      </c>
      <c r="BM5" s="232">
        <f>结算计划!BN33</f>
        <v>0</v>
      </c>
      <c r="BN5" s="232">
        <f>结算计划!BO33</f>
        <v>0</v>
      </c>
      <c r="BO5" s="232">
        <f>结算计划!BP33</f>
        <v>0</v>
      </c>
      <c r="BP5" s="232">
        <f>结算计划!BQ33</f>
        <v>0</v>
      </c>
      <c r="BQ5" s="232">
        <f>结算计划!BR33</f>
        <v>0</v>
      </c>
      <c r="BR5" s="232">
        <f>结算计划!BS33</f>
        <v>0</v>
      </c>
      <c r="BS5" s="232">
        <f>结算计划!BT33</f>
        <v>0</v>
      </c>
      <c r="BT5" s="232">
        <f>结算计划!BU33</f>
        <v>0</v>
      </c>
    </row>
    <row r="6" spans="1:72" ht="11.5" customHeight="1" outlineLevel="1">
      <c r="A6" s="230" t="str">
        <f>基础信息!A15</f>
        <v>三期</v>
      </c>
      <c r="B6" s="231">
        <f t="shared" si="4"/>
        <v>0</v>
      </c>
      <c r="C6" s="232">
        <f>结算计划!D57</f>
        <v>0</v>
      </c>
      <c r="D6" s="232">
        <f>结算计划!E57</f>
        <v>0</v>
      </c>
      <c r="E6" s="232">
        <f>结算计划!F57</f>
        <v>0</v>
      </c>
      <c r="F6" s="232">
        <f>结算计划!G57</f>
        <v>0</v>
      </c>
      <c r="G6" s="232">
        <f>结算计划!H57</f>
        <v>0</v>
      </c>
      <c r="H6" s="232">
        <f>结算计划!I57</f>
        <v>0</v>
      </c>
      <c r="I6" s="232">
        <f>结算计划!J57</f>
        <v>0</v>
      </c>
      <c r="J6" s="232">
        <f>结算计划!K57</f>
        <v>0</v>
      </c>
      <c r="K6" s="232">
        <f>结算计划!L57</f>
        <v>0</v>
      </c>
      <c r="L6" s="232">
        <f>结算计划!M57</f>
        <v>0</v>
      </c>
      <c r="M6" s="232">
        <f>结算计划!N57</f>
        <v>0</v>
      </c>
      <c r="N6" s="232">
        <f>结算计划!O57</f>
        <v>0</v>
      </c>
      <c r="O6" s="232">
        <f>结算计划!P57</f>
        <v>0</v>
      </c>
      <c r="P6" s="232">
        <f>结算计划!Q57</f>
        <v>0</v>
      </c>
      <c r="Q6" s="232">
        <f>结算计划!R57</f>
        <v>0</v>
      </c>
      <c r="R6" s="232">
        <f>结算计划!S57</f>
        <v>0</v>
      </c>
      <c r="S6" s="232">
        <f>结算计划!T57</f>
        <v>0</v>
      </c>
      <c r="T6" s="232">
        <f>结算计划!U57</f>
        <v>0</v>
      </c>
      <c r="U6" s="232">
        <f>结算计划!V57</f>
        <v>0</v>
      </c>
      <c r="V6" s="232">
        <f>结算计划!W57</f>
        <v>0</v>
      </c>
      <c r="W6" s="232">
        <f>结算计划!X57</f>
        <v>0</v>
      </c>
      <c r="X6" s="232">
        <f>结算计划!Y57</f>
        <v>0</v>
      </c>
      <c r="Y6" s="232">
        <f>结算计划!Z57</f>
        <v>0</v>
      </c>
      <c r="Z6" s="232">
        <f>结算计划!AA57</f>
        <v>0</v>
      </c>
      <c r="AA6" s="232">
        <f>结算计划!AB57</f>
        <v>0</v>
      </c>
      <c r="AB6" s="232">
        <f>结算计划!AC57</f>
        <v>0</v>
      </c>
      <c r="AC6" s="232">
        <f>结算计划!AD57</f>
        <v>0</v>
      </c>
      <c r="AD6" s="232">
        <f>结算计划!AE57</f>
        <v>0</v>
      </c>
      <c r="AE6" s="232">
        <f>结算计划!AF57</f>
        <v>0</v>
      </c>
      <c r="AF6" s="232">
        <f>结算计划!AG57</f>
        <v>0</v>
      </c>
      <c r="AG6" s="232">
        <f>结算计划!AH57</f>
        <v>0</v>
      </c>
      <c r="AH6" s="232">
        <f>结算计划!AI57</f>
        <v>0</v>
      </c>
      <c r="AI6" s="232">
        <f>结算计划!AJ57</f>
        <v>0</v>
      </c>
      <c r="AJ6" s="232">
        <f>结算计划!AK57</f>
        <v>0</v>
      </c>
      <c r="AK6" s="232">
        <f>结算计划!AL57</f>
        <v>0</v>
      </c>
      <c r="AL6" s="232">
        <f>结算计划!AM57</f>
        <v>0</v>
      </c>
      <c r="AM6" s="232">
        <f>结算计划!AN57</f>
        <v>0</v>
      </c>
      <c r="AN6" s="232">
        <f>结算计划!AO57</f>
        <v>0</v>
      </c>
      <c r="AO6" s="232">
        <f>结算计划!AP57</f>
        <v>0</v>
      </c>
      <c r="AP6" s="232">
        <f>结算计划!AQ57</f>
        <v>0</v>
      </c>
      <c r="AQ6" s="232">
        <f>结算计划!AR57</f>
        <v>0</v>
      </c>
      <c r="AR6" s="232">
        <f>结算计划!AS57</f>
        <v>0</v>
      </c>
      <c r="AS6" s="232">
        <f>结算计划!AT57</f>
        <v>0</v>
      </c>
      <c r="AT6" s="232">
        <f>结算计划!AU57</f>
        <v>0</v>
      </c>
      <c r="AU6" s="232">
        <f>结算计划!AV57</f>
        <v>0</v>
      </c>
      <c r="AV6" s="232">
        <f>结算计划!AW57</f>
        <v>0</v>
      </c>
      <c r="AW6" s="232">
        <f>结算计划!AX57</f>
        <v>0</v>
      </c>
      <c r="AX6" s="232">
        <f>结算计划!AY57</f>
        <v>0</v>
      </c>
      <c r="AY6" s="232">
        <f>结算计划!AZ57</f>
        <v>0</v>
      </c>
      <c r="AZ6" s="232">
        <f>结算计划!BA57</f>
        <v>0</v>
      </c>
      <c r="BA6" s="232">
        <f>结算计划!BB57</f>
        <v>0</v>
      </c>
      <c r="BB6" s="232">
        <f>结算计划!BC57</f>
        <v>0</v>
      </c>
      <c r="BC6" s="232">
        <f>结算计划!BD57</f>
        <v>0</v>
      </c>
      <c r="BD6" s="232">
        <f>结算计划!BE57</f>
        <v>0</v>
      </c>
      <c r="BE6" s="232">
        <f>结算计划!BF57</f>
        <v>0</v>
      </c>
      <c r="BF6" s="232">
        <f>结算计划!BG57</f>
        <v>0</v>
      </c>
      <c r="BG6" s="232">
        <f>结算计划!BH57</f>
        <v>0</v>
      </c>
      <c r="BH6" s="232">
        <f>结算计划!BI57</f>
        <v>0</v>
      </c>
      <c r="BI6" s="232">
        <f>结算计划!BJ57</f>
        <v>0</v>
      </c>
      <c r="BJ6" s="232">
        <f>结算计划!BK57</f>
        <v>0</v>
      </c>
      <c r="BK6" s="232">
        <f>结算计划!BL57</f>
        <v>0</v>
      </c>
      <c r="BL6" s="232">
        <f>结算计划!BM57</f>
        <v>0</v>
      </c>
      <c r="BM6" s="232">
        <f>结算计划!BN57</f>
        <v>0</v>
      </c>
      <c r="BN6" s="232">
        <f>结算计划!BO57</f>
        <v>0</v>
      </c>
      <c r="BO6" s="232">
        <f>结算计划!BP57</f>
        <v>0</v>
      </c>
      <c r="BP6" s="232">
        <f>结算计划!BQ57</f>
        <v>0</v>
      </c>
      <c r="BQ6" s="232">
        <f>结算计划!BR57</f>
        <v>0</v>
      </c>
      <c r="BR6" s="232">
        <f>结算计划!BS57</f>
        <v>0</v>
      </c>
      <c r="BS6" s="232">
        <f>结算计划!BT57</f>
        <v>0</v>
      </c>
      <c r="BT6" s="232">
        <f>结算计划!BU57</f>
        <v>0</v>
      </c>
    </row>
    <row r="7" spans="1:72">
      <c r="A7" s="233" t="s">
        <v>836</v>
      </c>
      <c r="B7" s="234">
        <f t="shared" ref="B7:AR7" si="5">SUM(B8:B10)</f>
        <v>127328.7782477064</v>
      </c>
      <c r="C7" s="234">
        <f t="shared" si="5"/>
        <v>0</v>
      </c>
      <c r="D7" s="234">
        <f t="shared" si="5"/>
        <v>0</v>
      </c>
      <c r="E7" s="234">
        <f t="shared" si="5"/>
        <v>0</v>
      </c>
      <c r="F7" s="234">
        <f t="shared" si="5"/>
        <v>0</v>
      </c>
      <c r="G7" s="234">
        <f t="shared" si="5"/>
        <v>0</v>
      </c>
      <c r="H7" s="234">
        <f t="shared" si="5"/>
        <v>0</v>
      </c>
      <c r="I7" s="234">
        <f t="shared" si="5"/>
        <v>0</v>
      </c>
      <c r="J7" s="234">
        <f t="shared" si="5"/>
        <v>0</v>
      </c>
      <c r="K7" s="234">
        <f t="shared" si="5"/>
        <v>0</v>
      </c>
      <c r="L7" s="234">
        <f t="shared" si="5"/>
        <v>0</v>
      </c>
      <c r="M7" s="234">
        <f t="shared" si="5"/>
        <v>0</v>
      </c>
      <c r="N7" s="234">
        <f t="shared" si="5"/>
        <v>0</v>
      </c>
      <c r="O7" s="234">
        <f t="shared" si="5"/>
        <v>0</v>
      </c>
      <c r="P7" s="234">
        <f t="shared" si="5"/>
        <v>0</v>
      </c>
      <c r="Q7" s="234">
        <f t="shared" si="5"/>
        <v>0</v>
      </c>
      <c r="R7" s="234">
        <f t="shared" si="5"/>
        <v>0</v>
      </c>
      <c r="S7" s="234">
        <f t="shared" si="5"/>
        <v>0</v>
      </c>
      <c r="T7" s="234">
        <f t="shared" si="5"/>
        <v>0</v>
      </c>
      <c r="U7" s="234">
        <f t="shared" si="5"/>
        <v>0</v>
      </c>
      <c r="V7" s="234">
        <f t="shared" si="5"/>
        <v>0</v>
      </c>
      <c r="W7" s="234">
        <f t="shared" si="5"/>
        <v>0</v>
      </c>
      <c r="X7" s="234">
        <f t="shared" si="5"/>
        <v>0</v>
      </c>
      <c r="Y7" s="234">
        <f t="shared" si="5"/>
        <v>0</v>
      </c>
      <c r="Z7" s="234">
        <f t="shared" si="5"/>
        <v>0</v>
      </c>
      <c r="AA7" s="234">
        <f t="shared" ref="AA7:AP7" si="6">SUM(AA8:AA10)</f>
        <v>0</v>
      </c>
      <c r="AB7" s="234">
        <f t="shared" si="6"/>
        <v>0</v>
      </c>
      <c r="AC7" s="234">
        <f t="shared" si="6"/>
        <v>0</v>
      </c>
      <c r="AD7" s="234">
        <f t="shared" si="6"/>
        <v>0</v>
      </c>
      <c r="AE7" s="234">
        <f t="shared" si="6"/>
        <v>0</v>
      </c>
      <c r="AF7" s="234">
        <f t="shared" si="6"/>
        <v>0</v>
      </c>
      <c r="AG7" s="234">
        <f t="shared" si="6"/>
        <v>0</v>
      </c>
      <c r="AH7" s="234">
        <f t="shared" si="6"/>
        <v>0</v>
      </c>
      <c r="AI7" s="234">
        <f t="shared" si="6"/>
        <v>0</v>
      </c>
      <c r="AJ7" s="234">
        <f t="shared" si="6"/>
        <v>0</v>
      </c>
      <c r="AK7" s="234">
        <f t="shared" si="6"/>
        <v>0</v>
      </c>
      <c r="AL7" s="234">
        <f t="shared" si="6"/>
        <v>0</v>
      </c>
      <c r="AM7" s="234">
        <f t="shared" si="6"/>
        <v>0</v>
      </c>
      <c r="AN7" s="234">
        <f t="shared" si="6"/>
        <v>0</v>
      </c>
      <c r="AO7" s="234">
        <f t="shared" si="6"/>
        <v>0</v>
      </c>
      <c r="AP7" s="234">
        <f t="shared" si="6"/>
        <v>0</v>
      </c>
      <c r="AQ7" s="234">
        <f t="shared" si="5"/>
        <v>0</v>
      </c>
      <c r="AR7" s="234">
        <f t="shared" si="5"/>
        <v>0</v>
      </c>
      <c r="AS7" s="234">
        <f t="shared" ref="AS7:BO7" si="7">SUM(AS8:AS10)</f>
        <v>0</v>
      </c>
      <c r="AT7" s="234">
        <f t="shared" si="7"/>
        <v>0</v>
      </c>
      <c r="AU7" s="234">
        <f t="shared" si="7"/>
        <v>0</v>
      </c>
      <c r="AV7" s="234">
        <f t="shared" si="7"/>
        <v>0</v>
      </c>
      <c r="AW7" s="234">
        <f t="shared" si="7"/>
        <v>0</v>
      </c>
      <c r="AX7" s="234">
        <f t="shared" si="7"/>
        <v>0</v>
      </c>
      <c r="AY7" s="234">
        <f t="shared" si="7"/>
        <v>0</v>
      </c>
      <c r="AZ7" s="234">
        <f t="shared" si="7"/>
        <v>0</v>
      </c>
      <c r="BA7" s="234">
        <f t="shared" si="7"/>
        <v>0</v>
      </c>
      <c r="BB7" s="234">
        <f t="shared" si="7"/>
        <v>0</v>
      </c>
      <c r="BC7" s="234">
        <f t="shared" si="7"/>
        <v>0</v>
      </c>
      <c r="BD7" s="234">
        <f t="shared" si="7"/>
        <v>0</v>
      </c>
      <c r="BE7" s="234">
        <f t="shared" si="7"/>
        <v>0</v>
      </c>
      <c r="BF7" s="234">
        <f t="shared" si="7"/>
        <v>0</v>
      </c>
      <c r="BG7" s="234">
        <f t="shared" si="7"/>
        <v>0</v>
      </c>
      <c r="BH7" s="234">
        <f t="shared" si="7"/>
        <v>0</v>
      </c>
      <c r="BI7" s="234">
        <f t="shared" si="7"/>
        <v>0</v>
      </c>
      <c r="BJ7" s="234">
        <f t="shared" si="7"/>
        <v>0</v>
      </c>
      <c r="BK7" s="234">
        <f t="shared" si="7"/>
        <v>0</v>
      </c>
      <c r="BL7" s="234">
        <f t="shared" si="7"/>
        <v>0</v>
      </c>
      <c r="BM7" s="234">
        <f t="shared" si="7"/>
        <v>0</v>
      </c>
      <c r="BN7" s="234">
        <f t="shared" si="7"/>
        <v>0</v>
      </c>
      <c r="BO7" s="234">
        <f t="shared" si="7"/>
        <v>0</v>
      </c>
      <c r="BP7" s="234">
        <f t="shared" ref="BP7:BT7" si="8">SUM(BP8:BP10)</f>
        <v>127328.7782477064</v>
      </c>
      <c r="BQ7" s="234">
        <f t="shared" si="8"/>
        <v>0</v>
      </c>
      <c r="BR7" s="234">
        <f t="shared" si="8"/>
        <v>0</v>
      </c>
      <c r="BS7" s="234">
        <f t="shared" si="8"/>
        <v>0</v>
      </c>
      <c r="BT7" s="234">
        <f t="shared" si="8"/>
        <v>0</v>
      </c>
    </row>
    <row r="8" spans="1:72" outlineLevel="1">
      <c r="A8" s="230" t="str">
        <f>A4</f>
        <v>一期</v>
      </c>
      <c r="B8" s="231">
        <f t="shared" ref="B8:B10" si="9">SUM(C8:BT8)</f>
        <v>127328.7782477064</v>
      </c>
      <c r="C8" s="232">
        <f>结算计划!D8</f>
        <v>0</v>
      </c>
      <c r="D8" s="232">
        <f>结算计划!E8</f>
        <v>0</v>
      </c>
      <c r="E8" s="232">
        <f>结算计划!F8</f>
        <v>0</v>
      </c>
      <c r="F8" s="232">
        <f>结算计划!G8</f>
        <v>0</v>
      </c>
      <c r="G8" s="232">
        <f>结算计划!H8</f>
        <v>0</v>
      </c>
      <c r="H8" s="232">
        <f>结算计划!I8</f>
        <v>0</v>
      </c>
      <c r="I8" s="232">
        <f>结算计划!J8</f>
        <v>0</v>
      </c>
      <c r="J8" s="232">
        <f>结算计划!K8</f>
        <v>0</v>
      </c>
      <c r="K8" s="232">
        <f>结算计划!L8</f>
        <v>0</v>
      </c>
      <c r="L8" s="232">
        <f>结算计划!M8</f>
        <v>0</v>
      </c>
      <c r="M8" s="232">
        <f>结算计划!N8</f>
        <v>0</v>
      </c>
      <c r="N8" s="232">
        <f>结算计划!O8</f>
        <v>0</v>
      </c>
      <c r="O8" s="232">
        <f>结算计划!P8</f>
        <v>0</v>
      </c>
      <c r="P8" s="232">
        <f>结算计划!Q8</f>
        <v>0</v>
      </c>
      <c r="Q8" s="232">
        <f>结算计划!R8</f>
        <v>0</v>
      </c>
      <c r="R8" s="232">
        <f>结算计划!S8</f>
        <v>0</v>
      </c>
      <c r="S8" s="232">
        <f>结算计划!T8</f>
        <v>0</v>
      </c>
      <c r="T8" s="232">
        <f>结算计划!U8</f>
        <v>0</v>
      </c>
      <c r="U8" s="232">
        <f>结算计划!V8</f>
        <v>0</v>
      </c>
      <c r="V8" s="232">
        <f>结算计划!W8</f>
        <v>0</v>
      </c>
      <c r="W8" s="232">
        <f>结算计划!X8</f>
        <v>0</v>
      </c>
      <c r="X8" s="232">
        <f>结算计划!Y8</f>
        <v>0</v>
      </c>
      <c r="Y8" s="232">
        <f>结算计划!Z8</f>
        <v>0</v>
      </c>
      <c r="Z8" s="232">
        <f>结算计划!AA8</f>
        <v>0</v>
      </c>
      <c r="AA8" s="232">
        <f>结算计划!AB8</f>
        <v>0</v>
      </c>
      <c r="AB8" s="232">
        <f>结算计划!AC8</f>
        <v>0</v>
      </c>
      <c r="AC8" s="232">
        <f>结算计划!AD8</f>
        <v>0</v>
      </c>
      <c r="AD8" s="232">
        <f>结算计划!AE8</f>
        <v>0</v>
      </c>
      <c r="AE8" s="232">
        <f>结算计划!AF8</f>
        <v>0</v>
      </c>
      <c r="AF8" s="232">
        <f>结算计划!AG8</f>
        <v>0</v>
      </c>
      <c r="AG8" s="232">
        <f>结算计划!AH8</f>
        <v>0</v>
      </c>
      <c r="AH8" s="232">
        <f>结算计划!AI8</f>
        <v>0</v>
      </c>
      <c r="AI8" s="232">
        <f>结算计划!AJ8</f>
        <v>0</v>
      </c>
      <c r="AJ8" s="232">
        <f>结算计划!AK8</f>
        <v>0</v>
      </c>
      <c r="AK8" s="232">
        <f>结算计划!AL8</f>
        <v>0</v>
      </c>
      <c r="AL8" s="232">
        <f>结算计划!AM8</f>
        <v>0</v>
      </c>
      <c r="AM8" s="232">
        <f>结算计划!AN8</f>
        <v>0</v>
      </c>
      <c r="AN8" s="232">
        <f>结算计划!AO8</f>
        <v>0</v>
      </c>
      <c r="AO8" s="232">
        <f>结算计划!AP8</f>
        <v>0</v>
      </c>
      <c r="AP8" s="232">
        <f>结算计划!AQ8</f>
        <v>0</v>
      </c>
      <c r="AQ8" s="232">
        <f>结算计划!AR8</f>
        <v>0</v>
      </c>
      <c r="AR8" s="232">
        <f>结算计划!AS8</f>
        <v>0</v>
      </c>
      <c r="AS8" s="232">
        <f>结算计划!AT8</f>
        <v>0</v>
      </c>
      <c r="AT8" s="232">
        <f>结算计划!AU8</f>
        <v>0</v>
      </c>
      <c r="AU8" s="232">
        <f>结算计划!AV8</f>
        <v>0</v>
      </c>
      <c r="AV8" s="232">
        <f>结算计划!AW8</f>
        <v>0</v>
      </c>
      <c r="AW8" s="232">
        <f>结算计划!AX8</f>
        <v>0</v>
      </c>
      <c r="AX8" s="232">
        <f>结算计划!AY8</f>
        <v>0</v>
      </c>
      <c r="AY8" s="232">
        <f>结算计划!AZ8</f>
        <v>0</v>
      </c>
      <c r="AZ8" s="232">
        <f>结算计划!BA8</f>
        <v>0</v>
      </c>
      <c r="BA8" s="232">
        <f>结算计划!BB8</f>
        <v>0</v>
      </c>
      <c r="BB8" s="232">
        <f>结算计划!BC8</f>
        <v>0</v>
      </c>
      <c r="BC8" s="232">
        <f>结算计划!BD8</f>
        <v>0</v>
      </c>
      <c r="BD8" s="232">
        <f>结算计划!BE8</f>
        <v>0</v>
      </c>
      <c r="BE8" s="232">
        <f>结算计划!BF8</f>
        <v>0</v>
      </c>
      <c r="BF8" s="232">
        <f>结算计划!BG8</f>
        <v>0</v>
      </c>
      <c r="BG8" s="232">
        <f>结算计划!BH8</f>
        <v>0</v>
      </c>
      <c r="BH8" s="232">
        <f>结算计划!BI8</f>
        <v>0</v>
      </c>
      <c r="BI8" s="232">
        <f>结算计划!BJ8</f>
        <v>0</v>
      </c>
      <c r="BJ8" s="232">
        <f>结算计划!BK8</f>
        <v>0</v>
      </c>
      <c r="BK8" s="232">
        <f>结算计划!BL8</f>
        <v>0</v>
      </c>
      <c r="BL8" s="232">
        <f>结算计划!BM8</f>
        <v>0</v>
      </c>
      <c r="BM8" s="232">
        <f>结算计划!BN8</f>
        <v>0</v>
      </c>
      <c r="BN8" s="232">
        <f>结算计划!BO8</f>
        <v>0</v>
      </c>
      <c r="BO8" s="232">
        <f>结算计划!BP8</f>
        <v>0</v>
      </c>
      <c r="BP8" s="232">
        <f>结算计划!BQ8</f>
        <v>127328.7782477064</v>
      </c>
      <c r="BQ8" s="232">
        <f>结算计划!BR8</f>
        <v>0</v>
      </c>
      <c r="BR8" s="232">
        <f>结算计划!BS8</f>
        <v>0</v>
      </c>
      <c r="BS8" s="232">
        <f>结算计划!BT8</f>
        <v>0</v>
      </c>
      <c r="BT8" s="232">
        <f>结算计划!BU8</f>
        <v>0</v>
      </c>
    </row>
    <row r="9" spans="1:72" outlineLevel="1">
      <c r="A9" s="230" t="str">
        <f>A5</f>
        <v>二期</v>
      </c>
      <c r="B9" s="231">
        <f t="shared" si="9"/>
        <v>0</v>
      </c>
      <c r="C9" s="232">
        <f>结算计划!D35</f>
        <v>0</v>
      </c>
      <c r="D9" s="232">
        <f>结算计划!E35</f>
        <v>0</v>
      </c>
      <c r="E9" s="232">
        <f>结算计划!F35</f>
        <v>0</v>
      </c>
      <c r="F9" s="232">
        <f>结算计划!G35</f>
        <v>0</v>
      </c>
      <c r="G9" s="232">
        <f>结算计划!H35</f>
        <v>0</v>
      </c>
      <c r="H9" s="232">
        <f>结算计划!I35</f>
        <v>0</v>
      </c>
      <c r="I9" s="232">
        <f>结算计划!J35</f>
        <v>0</v>
      </c>
      <c r="J9" s="232">
        <f>结算计划!K35</f>
        <v>0</v>
      </c>
      <c r="K9" s="232">
        <f>结算计划!L35</f>
        <v>0</v>
      </c>
      <c r="L9" s="232">
        <f>结算计划!M35</f>
        <v>0</v>
      </c>
      <c r="M9" s="232">
        <f>结算计划!N35</f>
        <v>0</v>
      </c>
      <c r="N9" s="232">
        <f>结算计划!O35</f>
        <v>0</v>
      </c>
      <c r="O9" s="232">
        <f>结算计划!P35</f>
        <v>0</v>
      </c>
      <c r="P9" s="232">
        <f>结算计划!Q35</f>
        <v>0</v>
      </c>
      <c r="Q9" s="232">
        <f>结算计划!R35</f>
        <v>0</v>
      </c>
      <c r="R9" s="232">
        <f>结算计划!S35</f>
        <v>0</v>
      </c>
      <c r="S9" s="232">
        <f>结算计划!T35</f>
        <v>0</v>
      </c>
      <c r="T9" s="232">
        <f>结算计划!U35</f>
        <v>0</v>
      </c>
      <c r="U9" s="232">
        <f>结算计划!V35</f>
        <v>0</v>
      </c>
      <c r="V9" s="232">
        <f>结算计划!W35</f>
        <v>0</v>
      </c>
      <c r="W9" s="232">
        <f>结算计划!X35</f>
        <v>0</v>
      </c>
      <c r="X9" s="232">
        <f>结算计划!Y35</f>
        <v>0</v>
      </c>
      <c r="Y9" s="232">
        <f>结算计划!Z35</f>
        <v>0</v>
      </c>
      <c r="Z9" s="232">
        <f>结算计划!AA35</f>
        <v>0</v>
      </c>
      <c r="AA9" s="232">
        <f>结算计划!AB35</f>
        <v>0</v>
      </c>
      <c r="AB9" s="232">
        <f>结算计划!AC35</f>
        <v>0</v>
      </c>
      <c r="AC9" s="232">
        <f>结算计划!AD35</f>
        <v>0</v>
      </c>
      <c r="AD9" s="232">
        <f>结算计划!AE35</f>
        <v>0</v>
      </c>
      <c r="AE9" s="232">
        <f>结算计划!AF35</f>
        <v>0</v>
      </c>
      <c r="AF9" s="232">
        <f>结算计划!AG35</f>
        <v>0</v>
      </c>
      <c r="AG9" s="232">
        <f>结算计划!AH35</f>
        <v>0</v>
      </c>
      <c r="AH9" s="232">
        <f>结算计划!AI35</f>
        <v>0</v>
      </c>
      <c r="AI9" s="232">
        <f>结算计划!AJ35</f>
        <v>0</v>
      </c>
      <c r="AJ9" s="232">
        <f>结算计划!AK35</f>
        <v>0</v>
      </c>
      <c r="AK9" s="232">
        <f>结算计划!AL35</f>
        <v>0</v>
      </c>
      <c r="AL9" s="232">
        <f>结算计划!AM35</f>
        <v>0</v>
      </c>
      <c r="AM9" s="232">
        <f>结算计划!AN35</f>
        <v>0</v>
      </c>
      <c r="AN9" s="232">
        <f>结算计划!AO35</f>
        <v>0</v>
      </c>
      <c r="AO9" s="232">
        <f>结算计划!AP35</f>
        <v>0</v>
      </c>
      <c r="AP9" s="232">
        <f>结算计划!AQ35</f>
        <v>0</v>
      </c>
      <c r="AQ9" s="232">
        <f>结算计划!AR35</f>
        <v>0</v>
      </c>
      <c r="AR9" s="232">
        <f>结算计划!AS35</f>
        <v>0</v>
      </c>
      <c r="AS9" s="232">
        <f>结算计划!AT35</f>
        <v>0</v>
      </c>
      <c r="AT9" s="232">
        <f>结算计划!AU35</f>
        <v>0</v>
      </c>
      <c r="AU9" s="232">
        <f>结算计划!AV35</f>
        <v>0</v>
      </c>
      <c r="AV9" s="232">
        <f>结算计划!AW35</f>
        <v>0</v>
      </c>
      <c r="AW9" s="232">
        <f>结算计划!AX35</f>
        <v>0</v>
      </c>
      <c r="AX9" s="232">
        <f>结算计划!AY35</f>
        <v>0</v>
      </c>
      <c r="AY9" s="232">
        <f>结算计划!AZ35</f>
        <v>0</v>
      </c>
      <c r="AZ9" s="232">
        <f>结算计划!BA35</f>
        <v>0</v>
      </c>
      <c r="BA9" s="232">
        <f>结算计划!BB35</f>
        <v>0</v>
      </c>
      <c r="BB9" s="232">
        <f>结算计划!BC35</f>
        <v>0</v>
      </c>
      <c r="BC9" s="232">
        <f>结算计划!BD35</f>
        <v>0</v>
      </c>
      <c r="BD9" s="232">
        <f>结算计划!BE35</f>
        <v>0</v>
      </c>
      <c r="BE9" s="232">
        <f>结算计划!BF35</f>
        <v>0</v>
      </c>
      <c r="BF9" s="232">
        <f>结算计划!BG35</f>
        <v>0</v>
      </c>
      <c r="BG9" s="232">
        <f>结算计划!BH35</f>
        <v>0</v>
      </c>
      <c r="BH9" s="232">
        <f>结算计划!BI35</f>
        <v>0</v>
      </c>
      <c r="BI9" s="232">
        <f>结算计划!BJ35</f>
        <v>0</v>
      </c>
      <c r="BJ9" s="232">
        <f>结算计划!BK35</f>
        <v>0</v>
      </c>
      <c r="BK9" s="232">
        <f>结算计划!BL35</f>
        <v>0</v>
      </c>
      <c r="BL9" s="232">
        <f>结算计划!BM35</f>
        <v>0</v>
      </c>
      <c r="BM9" s="232">
        <f>结算计划!BN35</f>
        <v>0</v>
      </c>
      <c r="BN9" s="232">
        <f>结算计划!BO35</f>
        <v>0</v>
      </c>
      <c r="BO9" s="232">
        <f>结算计划!BP35</f>
        <v>0</v>
      </c>
      <c r="BP9" s="232">
        <f>结算计划!BQ35</f>
        <v>0</v>
      </c>
      <c r="BQ9" s="232">
        <f>结算计划!BR35</f>
        <v>0</v>
      </c>
      <c r="BR9" s="232">
        <f>结算计划!BS35</f>
        <v>0</v>
      </c>
      <c r="BS9" s="232">
        <f>结算计划!BT35</f>
        <v>0</v>
      </c>
      <c r="BT9" s="232">
        <f>结算计划!BU35</f>
        <v>0</v>
      </c>
    </row>
    <row r="10" spans="1:72" outlineLevel="1">
      <c r="A10" s="230" t="str">
        <f>A6</f>
        <v>三期</v>
      </c>
      <c r="B10" s="231">
        <f t="shared" si="9"/>
        <v>0</v>
      </c>
      <c r="C10" s="232">
        <f>结算计划!D59</f>
        <v>0</v>
      </c>
      <c r="D10" s="232">
        <f>结算计划!E59</f>
        <v>0</v>
      </c>
      <c r="E10" s="232">
        <f>结算计划!F59</f>
        <v>0</v>
      </c>
      <c r="F10" s="232">
        <f>结算计划!G59</f>
        <v>0</v>
      </c>
      <c r="G10" s="232">
        <f>结算计划!H59</f>
        <v>0</v>
      </c>
      <c r="H10" s="232">
        <f>结算计划!I59</f>
        <v>0</v>
      </c>
      <c r="I10" s="232">
        <f>结算计划!J59</f>
        <v>0</v>
      </c>
      <c r="J10" s="232">
        <f>结算计划!K59</f>
        <v>0</v>
      </c>
      <c r="K10" s="232">
        <f>结算计划!L59</f>
        <v>0</v>
      </c>
      <c r="L10" s="232">
        <f>结算计划!M59</f>
        <v>0</v>
      </c>
      <c r="M10" s="232">
        <f>结算计划!N59</f>
        <v>0</v>
      </c>
      <c r="N10" s="232">
        <f>结算计划!O59</f>
        <v>0</v>
      </c>
      <c r="O10" s="232">
        <f>结算计划!P59</f>
        <v>0</v>
      </c>
      <c r="P10" s="232">
        <f>结算计划!Q59</f>
        <v>0</v>
      </c>
      <c r="Q10" s="232">
        <f>结算计划!R59</f>
        <v>0</v>
      </c>
      <c r="R10" s="232">
        <f>结算计划!S59</f>
        <v>0</v>
      </c>
      <c r="S10" s="232">
        <f>结算计划!T59</f>
        <v>0</v>
      </c>
      <c r="T10" s="232">
        <f>结算计划!U59</f>
        <v>0</v>
      </c>
      <c r="U10" s="232">
        <f>结算计划!V59</f>
        <v>0</v>
      </c>
      <c r="V10" s="232">
        <f>结算计划!W59</f>
        <v>0</v>
      </c>
      <c r="W10" s="232">
        <f>结算计划!X59</f>
        <v>0</v>
      </c>
      <c r="X10" s="232">
        <f>结算计划!Y59</f>
        <v>0</v>
      </c>
      <c r="Y10" s="232">
        <f>结算计划!Z59</f>
        <v>0</v>
      </c>
      <c r="Z10" s="232">
        <f>结算计划!AA59</f>
        <v>0</v>
      </c>
      <c r="AA10" s="232">
        <f>结算计划!AB59</f>
        <v>0</v>
      </c>
      <c r="AB10" s="232">
        <f>结算计划!AC59</f>
        <v>0</v>
      </c>
      <c r="AC10" s="232">
        <f>结算计划!AD59</f>
        <v>0</v>
      </c>
      <c r="AD10" s="232">
        <f>结算计划!AE59</f>
        <v>0</v>
      </c>
      <c r="AE10" s="232">
        <f>结算计划!AF59</f>
        <v>0</v>
      </c>
      <c r="AF10" s="232">
        <f>结算计划!AG59</f>
        <v>0</v>
      </c>
      <c r="AG10" s="232">
        <f>结算计划!AH59</f>
        <v>0</v>
      </c>
      <c r="AH10" s="232">
        <f>结算计划!AI59</f>
        <v>0</v>
      </c>
      <c r="AI10" s="232">
        <f>结算计划!AJ59</f>
        <v>0</v>
      </c>
      <c r="AJ10" s="232">
        <f>结算计划!AK59</f>
        <v>0</v>
      </c>
      <c r="AK10" s="232">
        <f>结算计划!AL59</f>
        <v>0</v>
      </c>
      <c r="AL10" s="232">
        <f>结算计划!AM59</f>
        <v>0</v>
      </c>
      <c r="AM10" s="232">
        <f>结算计划!AN59</f>
        <v>0</v>
      </c>
      <c r="AN10" s="232">
        <f>结算计划!AO59</f>
        <v>0</v>
      </c>
      <c r="AO10" s="232">
        <f>结算计划!AP59</f>
        <v>0</v>
      </c>
      <c r="AP10" s="232">
        <f>结算计划!AQ59</f>
        <v>0</v>
      </c>
      <c r="AQ10" s="232">
        <f>结算计划!AR59</f>
        <v>0</v>
      </c>
      <c r="AR10" s="232">
        <f>结算计划!AS59</f>
        <v>0</v>
      </c>
      <c r="AS10" s="232">
        <f>结算计划!AT59</f>
        <v>0</v>
      </c>
      <c r="AT10" s="232">
        <f>结算计划!AU59</f>
        <v>0</v>
      </c>
      <c r="AU10" s="232">
        <f>结算计划!AV59</f>
        <v>0</v>
      </c>
      <c r="AV10" s="232">
        <f>结算计划!AW59</f>
        <v>0</v>
      </c>
      <c r="AW10" s="232">
        <f>结算计划!AX59</f>
        <v>0</v>
      </c>
      <c r="AX10" s="232">
        <f>结算计划!AY59</f>
        <v>0</v>
      </c>
      <c r="AY10" s="232">
        <f>结算计划!AZ59</f>
        <v>0</v>
      </c>
      <c r="AZ10" s="232">
        <f>结算计划!BA59</f>
        <v>0</v>
      </c>
      <c r="BA10" s="232">
        <f>结算计划!BB59</f>
        <v>0</v>
      </c>
      <c r="BB10" s="232">
        <f>结算计划!BC59</f>
        <v>0</v>
      </c>
      <c r="BC10" s="232">
        <f>结算计划!BD59</f>
        <v>0</v>
      </c>
      <c r="BD10" s="232">
        <f>结算计划!BE59</f>
        <v>0</v>
      </c>
      <c r="BE10" s="232">
        <f>结算计划!BF59</f>
        <v>0</v>
      </c>
      <c r="BF10" s="232">
        <f>结算计划!BG59</f>
        <v>0</v>
      </c>
      <c r="BG10" s="232">
        <f>结算计划!BH59</f>
        <v>0</v>
      </c>
      <c r="BH10" s="232">
        <f>结算计划!BI59</f>
        <v>0</v>
      </c>
      <c r="BI10" s="232">
        <f>结算计划!BJ59</f>
        <v>0</v>
      </c>
      <c r="BJ10" s="232">
        <f>结算计划!BK59</f>
        <v>0</v>
      </c>
      <c r="BK10" s="232">
        <f>结算计划!BL59</f>
        <v>0</v>
      </c>
      <c r="BL10" s="232">
        <f>结算计划!BM59</f>
        <v>0</v>
      </c>
      <c r="BM10" s="232">
        <f>结算计划!BN59</f>
        <v>0</v>
      </c>
      <c r="BN10" s="232">
        <f>结算计划!BO59</f>
        <v>0</v>
      </c>
      <c r="BO10" s="232">
        <f>结算计划!BP59</f>
        <v>0</v>
      </c>
      <c r="BP10" s="232">
        <f>结算计划!BQ59</f>
        <v>0</v>
      </c>
      <c r="BQ10" s="232">
        <f>结算计划!BR59</f>
        <v>0</v>
      </c>
      <c r="BR10" s="232">
        <f>结算计划!BS59</f>
        <v>0</v>
      </c>
      <c r="BS10" s="232">
        <f>结算计划!BT59</f>
        <v>0</v>
      </c>
      <c r="BT10" s="232">
        <f>结算计划!BU59</f>
        <v>0</v>
      </c>
    </row>
    <row r="11" spans="1:72">
      <c r="A11" s="233" t="s">
        <v>837</v>
      </c>
      <c r="B11" s="234">
        <f t="shared" ref="B11:AR11" ca="1" si="10">SUM(B12:B14)</f>
        <v>98069.831475999992</v>
      </c>
      <c r="C11" s="234">
        <f t="shared" si="10"/>
        <v>0</v>
      </c>
      <c r="D11" s="234">
        <f t="shared" si="10"/>
        <v>0</v>
      </c>
      <c r="E11" s="234">
        <f t="shared" si="10"/>
        <v>0</v>
      </c>
      <c r="F11" s="234">
        <f t="shared" si="10"/>
        <v>0</v>
      </c>
      <c r="G11" s="234">
        <f t="shared" si="10"/>
        <v>0</v>
      </c>
      <c r="H11" s="234">
        <f t="shared" si="10"/>
        <v>0</v>
      </c>
      <c r="I11" s="234">
        <f t="shared" si="10"/>
        <v>0</v>
      </c>
      <c r="J11" s="234">
        <f t="shared" si="10"/>
        <v>0</v>
      </c>
      <c r="K11" s="234">
        <f t="shared" si="10"/>
        <v>0</v>
      </c>
      <c r="L11" s="234">
        <f t="shared" ca="1" si="10"/>
        <v>0</v>
      </c>
      <c r="M11" s="234">
        <f t="shared" ca="1" si="10"/>
        <v>0</v>
      </c>
      <c r="N11" s="234">
        <f t="shared" ca="1" si="10"/>
        <v>0</v>
      </c>
      <c r="O11" s="234">
        <f t="shared" ca="1" si="10"/>
        <v>0</v>
      </c>
      <c r="P11" s="234">
        <f t="shared" ca="1" si="10"/>
        <v>0</v>
      </c>
      <c r="Q11" s="234">
        <f t="shared" ca="1" si="10"/>
        <v>0</v>
      </c>
      <c r="R11" s="234">
        <f t="shared" ca="1" si="10"/>
        <v>0</v>
      </c>
      <c r="S11" s="234">
        <f t="shared" ca="1" si="10"/>
        <v>0</v>
      </c>
      <c r="T11" s="234">
        <f t="shared" ca="1" si="10"/>
        <v>0</v>
      </c>
      <c r="U11" s="234">
        <f t="shared" ca="1" si="10"/>
        <v>0</v>
      </c>
      <c r="V11" s="234">
        <f t="shared" ca="1" si="10"/>
        <v>0</v>
      </c>
      <c r="W11" s="234">
        <f t="shared" ca="1" si="10"/>
        <v>0</v>
      </c>
      <c r="X11" s="234">
        <f t="shared" ca="1" si="10"/>
        <v>0</v>
      </c>
      <c r="Y11" s="234">
        <f t="shared" ca="1" si="10"/>
        <v>0</v>
      </c>
      <c r="Z11" s="234">
        <f t="shared" ca="1" si="10"/>
        <v>0</v>
      </c>
      <c r="AA11" s="234">
        <f t="shared" ref="AA11:AP11" ca="1" si="11">SUM(AA12:AA14)</f>
        <v>0</v>
      </c>
      <c r="AB11" s="234">
        <f t="shared" ca="1" si="11"/>
        <v>0</v>
      </c>
      <c r="AC11" s="234">
        <f t="shared" ca="1" si="11"/>
        <v>0</v>
      </c>
      <c r="AD11" s="234">
        <f t="shared" ca="1" si="11"/>
        <v>0</v>
      </c>
      <c r="AE11" s="234">
        <f t="shared" ca="1" si="11"/>
        <v>0</v>
      </c>
      <c r="AF11" s="234">
        <f t="shared" ca="1" si="11"/>
        <v>0</v>
      </c>
      <c r="AG11" s="234">
        <f t="shared" ca="1" si="11"/>
        <v>0</v>
      </c>
      <c r="AH11" s="234">
        <f t="shared" ca="1" si="11"/>
        <v>0</v>
      </c>
      <c r="AI11" s="234">
        <f t="shared" ca="1" si="11"/>
        <v>0</v>
      </c>
      <c r="AJ11" s="234">
        <f t="shared" ca="1" si="11"/>
        <v>0</v>
      </c>
      <c r="AK11" s="234">
        <f t="shared" ca="1" si="11"/>
        <v>0</v>
      </c>
      <c r="AL11" s="234">
        <f t="shared" ca="1" si="11"/>
        <v>0</v>
      </c>
      <c r="AM11" s="234">
        <f t="shared" ca="1" si="11"/>
        <v>0</v>
      </c>
      <c r="AN11" s="234">
        <f t="shared" ca="1" si="11"/>
        <v>0</v>
      </c>
      <c r="AO11" s="234">
        <f t="shared" ca="1" si="11"/>
        <v>0</v>
      </c>
      <c r="AP11" s="234">
        <f t="shared" ca="1" si="11"/>
        <v>0</v>
      </c>
      <c r="AQ11" s="234">
        <f t="shared" ca="1" si="10"/>
        <v>0</v>
      </c>
      <c r="AR11" s="234">
        <f t="shared" ca="1" si="10"/>
        <v>0</v>
      </c>
      <c r="AS11" s="234">
        <f t="shared" ref="AS11:BO11" ca="1" si="12">SUM(AS12:AS14)</f>
        <v>0</v>
      </c>
      <c r="AT11" s="234">
        <f t="shared" ca="1" si="12"/>
        <v>0</v>
      </c>
      <c r="AU11" s="234">
        <f t="shared" ca="1" si="12"/>
        <v>0</v>
      </c>
      <c r="AV11" s="234">
        <f t="shared" ca="1" si="12"/>
        <v>0</v>
      </c>
      <c r="AW11" s="234">
        <f t="shared" ca="1" si="12"/>
        <v>0</v>
      </c>
      <c r="AX11" s="234">
        <f t="shared" ca="1" si="12"/>
        <v>0</v>
      </c>
      <c r="AY11" s="234">
        <f t="shared" ca="1" si="12"/>
        <v>0</v>
      </c>
      <c r="AZ11" s="234">
        <f t="shared" ca="1" si="12"/>
        <v>0</v>
      </c>
      <c r="BA11" s="234">
        <f t="shared" ca="1" si="12"/>
        <v>0</v>
      </c>
      <c r="BB11" s="234">
        <f t="shared" ca="1" si="12"/>
        <v>0</v>
      </c>
      <c r="BC11" s="234">
        <f t="shared" ca="1" si="12"/>
        <v>0</v>
      </c>
      <c r="BD11" s="234">
        <f t="shared" ca="1" si="12"/>
        <v>0</v>
      </c>
      <c r="BE11" s="234">
        <f t="shared" ca="1" si="12"/>
        <v>0</v>
      </c>
      <c r="BF11" s="234">
        <f t="shared" ca="1" si="12"/>
        <v>0</v>
      </c>
      <c r="BG11" s="234">
        <f t="shared" ca="1" si="12"/>
        <v>0</v>
      </c>
      <c r="BH11" s="234">
        <f t="shared" ca="1" si="12"/>
        <v>0</v>
      </c>
      <c r="BI11" s="234">
        <f t="shared" ca="1" si="12"/>
        <v>0</v>
      </c>
      <c r="BJ11" s="234">
        <f t="shared" ca="1" si="12"/>
        <v>0</v>
      </c>
      <c r="BK11" s="234">
        <f t="shared" ca="1" si="12"/>
        <v>0</v>
      </c>
      <c r="BL11" s="234">
        <f t="shared" ca="1" si="12"/>
        <v>0</v>
      </c>
      <c r="BM11" s="234">
        <f t="shared" ca="1" si="12"/>
        <v>0</v>
      </c>
      <c r="BN11" s="234">
        <f t="shared" ca="1" si="12"/>
        <v>0</v>
      </c>
      <c r="BO11" s="234">
        <f t="shared" ca="1" si="12"/>
        <v>0</v>
      </c>
      <c r="BP11" s="234">
        <f t="shared" ref="BP11:BT11" ca="1" si="13">SUM(BP12:BP14)</f>
        <v>98069.831475999992</v>
      </c>
      <c r="BQ11" s="234">
        <f t="shared" ca="1" si="13"/>
        <v>0</v>
      </c>
      <c r="BR11" s="234">
        <f t="shared" ca="1" si="13"/>
        <v>0</v>
      </c>
      <c r="BS11" s="234">
        <f t="shared" ca="1" si="13"/>
        <v>0</v>
      </c>
      <c r="BT11" s="234">
        <f t="shared" ca="1" si="13"/>
        <v>0</v>
      </c>
    </row>
    <row r="12" spans="1:72" outlineLevel="1">
      <c r="A12" s="230" t="str">
        <f>A8</f>
        <v>一期</v>
      </c>
      <c r="B12" s="231">
        <f t="shared" ref="B12:B14" ca="1" si="14">SUM(C12:BT12)</f>
        <v>98069.831475999992</v>
      </c>
      <c r="C12" s="251"/>
      <c r="D12" s="251"/>
      <c r="E12" s="251"/>
      <c r="F12" s="251"/>
      <c r="G12" s="251"/>
      <c r="H12" s="251"/>
      <c r="I12" s="251"/>
      <c r="J12" s="251"/>
      <c r="K12" s="251"/>
      <c r="L12" s="251">
        <f ca="1">SUMPRODUCT(L$38:L$45,'1-成本过渡'!$B$18:$B$25)/10000</f>
        <v>0</v>
      </c>
      <c r="M12" s="251">
        <f ca="1">SUMPRODUCT(M$38:M$45,'1-成本过渡'!$B$18:$B$25)/10000</f>
        <v>0</v>
      </c>
      <c r="N12" s="251">
        <f ca="1">SUMPRODUCT(N$38:N$45,'1-成本过渡'!$B$18:$B$25)/10000</f>
        <v>0</v>
      </c>
      <c r="O12" s="251">
        <f ca="1">SUMPRODUCT(O$38:O$45,'1-成本过渡'!$B$18:$B$25)/10000</f>
        <v>0</v>
      </c>
      <c r="P12" s="251">
        <f ca="1">SUMPRODUCT(P$38:P$45,'1-成本过渡'!$B$18:$B$25)/10000</f>
        <v>0</v>
      </c>
      <c r="Q12" s="251">
        <f ca="1">SUMPRODUCT(Q$38:Q$45,'1-成本过渡'!$B$18:$B$25)/10000</f>
        <v>0</v>
      </c>
      <c r="R12" s="251">
        <f ca="1">SUMPRODUCT(R$38:R$45,'1-成本过渡'!$B$18:$B$25)/10000</f>
        <v>0</v>
      </c>
      <c r="S12" s="251">
        <f ca="1">SUMPRODUCT(S$38:S$45,'1-成本过渡'!$B$18:$B$25)/10000</f>
        <v>0</v>
      </c>
      <c r="T12" s="251">
        <f ca="1">SUMPRODUCT(T$38:T$45,'1-成本过渡'!$B$18:$B$25)/10000</f>
        <v>0</v>
      </c>
      <c r="U12" s="251">
        <f ca="1">SUMPRODUCT(U$38:U$45,'1-成本过渡'!$B$18:$B$25)/10000</f>
        <v>0</v>
      </c>
      <c r="V12" s="251">
        <f ca="1">SUMPRODUCT(V$38:V$45,'1-成本过渡'!$B$18:$B$25)/10000</f>
        <v>0</v>
      </c>
      <c r="W12" s="251">
        <f ca="1">SUMPRODUCT(W$38:W$45,'1-成本过渡'!$B$18:$B$25)/10000</f>
        <v>0</v>
      </c>
      <c r="X12" s="251">
        <f ca="1">SUMPRODUCT(X$38:X$45,'1-成本过渡'!$B$18:$B$25)/10000</f>
        <v>0</v>
      </c>
      <c r="Y12" s="251">
        <f ca="1">SUMPRODUCT(Y$38:Y$45,'1-成本过渡'!$B$18:$B$25)/10000</f>
        <v>0</v>
      </c>
      <c r="Z12" s="251">
        <f ca="1">SUMPRODUCT(Z$38:Z$45,'1-成本过渡'!$B$18:$B$25)/10000</f>
        <v>0</v>
      </c>
      <c r="AA12" s="251">
        <f ca="1">SUMPRODUCT(AA$38:AA$45,'1-成本过渡'!$B$18:$B$25)/10000</f>
        <v>0</v>
      </c>
      <c r="AB12" s="251">
        <f ca="1">SUMPRODUCT(AB$38:AB$45,'1-成本过渡'!$B$18:$B$25)/10000</f>
        <v>0</v>
      </c>
      <c r="AC12" s="251">
        <f ca="1">SUMPRODUCT(AC$38:AC$45,'1-成本过渡'!$B$18:$B$25)/10000</f>
        <v>0</v>
      </c>
      <c r="AD12" s="251">
        <f ca="1">SUMPRODUCT(AD$38:AD$45,'1-成本过渡'!$B$18:$B$25)/10000</f>
        <v>0</v>
      </c>
      <c r="AE12" s="251">
        <f ca="1">SUMPRODUCT(AE$38:AE$45,'1-成本过渡'!$B$18:$B$25)/10000</f>
        <v>0</v>
      </c>
      <c r="AF12" s="251">
        <f ca="1">SUMPRODUCT(AF$38:AF$45,'1-成本过渡'!$B$18:$B$25)/10000</f>
        <v>0</v>
      </c>
      <c r="AG12" s="251">
        <f ca="1">SUMPRODUCT(AG$38:AG$45,'1-成本过渡'!$B$18:$B$25)/10000</f>
        <v>0</v>
      </c>
      <c r="AH12" s="251">
        <f ca="1">SUMPRODUCT(AH$38:AH$45,'1-成本过渡'!$B$18:$B$25)/10000</f>
        <v>0</v>
      </c>
      <c r="AI12" s="251">
        <f ca="1">SUMPRODUCT(AI$38:AI$45,'1-成本过渡'!$B$18:$B$25)/10000</f>
        <v>0</v>
      </c>
      <c r="AJ12" s="251">
        <f ca="1">SUMPRODUCT(AJ$38:AJ$45,'1-成本过渡'!$B$18:$B$25)/10000</f>
        <v>0</v>
      </c>
      <c r="AK12" s="251">
        <f ca="1">SUMPRODUCT(AK$38:AK$45,'1-成本过渡'!$B$18:$B$25)/10000</f>
        <v>0</v>
      </c>
      <c r="AL12" s="251">
        <f ca="1">SUMPRODUCT(AL$38:AL$45,'1-成本过渡'!$B$18:$B$25)/10000</f>
        <v>0</v>
      </c>
      <c r="AM12" s="251">
        <f ca="1">SUMPRODUCT(AM$38:AM$45,'1-成本过渡'!$B$18:$B$25)/10000</f>
        <v>0</v>
      </c>
      <c r="AN12" s="251">
        <f ca="1">SUMPRODUCT(AN$38:AN$45,'1-成本过渡'!$B$18:$B$25)/10000</f>
        <v>0</v>
      </c>
      <c r="AO12" s="251">
        <f ca="1">SUMPRODUCT(AO$38:AO$45,'1-成本过渡'!$B$18:$B$25)/10000</f>
        <v>0</v>
      </c>
      <c r="AP12" s="251">
        <f ca="1">SUMPRODUCT(AP$38:AP$45,'1-成本过渡'!$B$18:$B$25)/10000</f>
        <v>0</v>
      </c>
      <c r="AQ12" s="251">
        <f ca="1">SUMPRODUCT(AQ$38:AQ$45,'1-成本过渡'!$B$18:$B$25)/10000</f>
        <v>0</v>
      </c>
      <c r="AR12" s="251">
        <f ca="1">SUMPRODUCT(AR$38:AR$45,'1-成本过渡'!$B$18:$B$25)/10000</f>
        <v>0</v>
      </c>
      <c r="AS12" s="251">
        <f ca="1">SUMPRODUCT(AS$38:AS$45,'1-成本过渡'!$B$18:$B$25)/10000</f>
        <v>0</v>
      </c>
      <c r="AT12" s="251">
        <f ca="1">SUMPRODUCT(AT$38:AT$45,'1-成本过渡'!$B$18:$B$25)/10000</f>
        <v>0</v>
      </c>
      <c r="AU12" s="251">
        <f ca="1">SUMPRODUCT(AU$38:AU$45,'1-成本过渡'!$B$18:$B$25)/10000</f>
        <v>0</v>
      </c>
      <c r="AV12" s="251">
        <f ca="1">SUMPRODUCT(AV$38:AV$45,'1-成本过渡'!$B$18:$B$25)/10000</f>
        <v>0</v>
      </c>
      <c r="AW12" s="251">
        <f ca="1">SUMPRODUCT(AW$38:AW$45,'1-成本过渡'!$B$18:$B$25)/10000</f>
        <v>0</v>
      </c>
      <c r="AX12" s="251">
        <f ca="1">SUMPRODUCT(AX$38:AX$45,'1-成本过渡'!$B$18:$B$25)/10000</f>
        <v>0</v>
      </c>
      <c r="AY12" s="251">
        <f ca="1">SUMPRODUCT(AY$38:AY$45,'1-成本过渡'!$B$18:$B$25)/10000</f>
        <v>0</v>
      </c>
      <c r="AZ12" s="251">
        <f ca="1">SUMPRODUCT(AZ$38:AZ$45,'1-成本过渡'!$B$18:$B$25)/10000</f>
        <v>0</v>
      </c>
      <c r="BA12" s="251">
        <f ca="1">SUMPRODUCT(BA$38:BA$45,'1-成本过渡'!$B$18:$B$25)/10000</f>
        <v>0</v>
      </c>
      <c r="BB12" s="251">
        <f ca="1">SUMPRODUCT(BB$38:BB$45,'1-成本过渡'!$B$18:$B$25)/10000</f>
        <v>0</v>
      </c>
      <c r="BC12" s="251">
        <f ca="1">SUMPRODUCT(BC$38:BC$45,'1-成本过渡'!$B$18:$B$25)/10000</f>
        <v>0</v>
      </c>
      <c r="BD12" s="251">
        <f ca="1">SUMPRODUCT(BD$38:BD$45,'1-成本过渡'!$B$18:$B$25)/10000</f>
        <v>0</v>
      </c>
      <c r="BE12" s="251">
        <f ca="1">SUMPRODUCT(BE$38:BE$45,'1-成本过渡'!$B$18:$B$25)/10000</f>
        <v>0</v>
      </c>
      <c r="BF12" s="251">
        <f ca="1">SUMPRODUCT(BF$38:BF$45,'1-成本过渡'!$B$18:$B$25)/10000</f>
        <v>0</v>
      </c>
      <c r="BG12" s="251">
        <f ca="1">SUMPRODUCT(BG$38:BG$45,'1-成本过渡'!$B$18:$B$25)/10000</f>
        <v>0</v>
      </c>
      <c r="BH12" s="251">
        <f ca="1">SUMPRODUCT(BH$38:BH$45,'1-成本过渡'!$B$18:$B$25)/10000</f>
        <v>0</v>
      </c>
      <c r="BI12" s="251">
        <f ca="1">SUMPRODUCT(BI$38:BI$45,'1-成本过渡'!$B$18:$B$25)/10000</f>
        <v>0</v>
      </c>
      <c r="BJ12" s="251">
        <f ca="1">SUMPRODUCT(BJ$38:BJ$45,'1-成本过渡'!$B$18:$B$25)/10000</f>
        <v>0</v>
      </c>
      <c r="BK12" s="251">
        <f ca="1">SUMPRODUCT(BK$38:BK$45,'1-成本过渡'!$B$18:$B$25)/10000</f>
        <v>0</v>
      </c>
      <c r="BL12" s="251">
        <f ca="1">SUMPRODUCT(BL$38:BL$45,'1-成本过渡'!$B$18:$B$25)/10000</f>
        <v>0</v>
      </c>
      <c r="BM12" s="251">
        <f ca="1">SUMPRODUCT(BM$38:BM$45,'1-成本过渡'!$B$18:$B$25)/10000</f>
        <v>0</v>
      </c>
      <c r="BN12" s="251">
        <f ca="1">SUMPRODUCT(BN$38:BN$45,'1-成本过渡'!$B$18:$B$25)/10000</f>
        <v>0</v>
      </c>
      <c r="BO12" s="251">
        <f ca="1">SUMPRODUCT(BO$38:BO$45,'1-成本过渡'!$B$18:$B$25)/10000</f>
        <v>0</v>
      </c>
      <c r="BP12" s="251">
        <f ca="1">SUMPRODUCT(BP$38:BP$45,'1-成本过渡'!$B$18:$B$25)/10000</f>
        <v>98069.831475999992</v>
      </c>
      <c r="BQ12" s="251">
        <f ca="1">SUMPRODUCT(BQ$38:BQ$45,'1-成本过渡'!$B$18:$B$25)/10000</f>
        <v>0</v>
      </c>
      <c r="BR12" s="251">
        <f ca="1">SUMPRODUCT(BR$38:BR$45,'1-成本过渡'!$B$18:$B$25)/10000</f>
        <v>0</v>
      </c>
      <c r="BS12" s="251">
        <f ca="1">SUMPRODUCT(BS$38:BS$45,'1-成本过渡'!$B$18:$B$25)/10000</f>
        <v>0</v>
      </c>
      <c r="BT12" s="251">
        <f ca="1">SUMPRODUCT(BT$38:BT$45,'1-成本过渡'!$B$18:$B$25)/10000</f>
        <v>0</v>
      </c>
    </row>
    <row r="13" spans="1:72" outlineLevel="1">
      <c r="A13" s="230" t="str">
        <f>A9</f>
        <v>二期</v>
      </c>
      <c r="B13" s="231">
        <f t="shared" si="14"/>
        <v>0</v>
      </c>
      <c r="C13" s="251">
        <f>SUMPRODUCT(C$46:C$52,'2-成本过渡'!$B$18:$B$24)/10000</f>
        <v>0</v>
      </c>
      <c r="D13" s="251">
        <f>SUMPRODUCT(D$46:D$52,'2-成本过渡'!$B$18:$B$24)/10000</f>
        <v>0</v>
      </c>
      <c r="E13" s="251">
        <f>SUMPRODUCT(E$46:E$52,'2-成本过渡'!$B$18:$B$24)/10000</f>
        <v>0</v>
      </c>
      <c r="F13" s="251">
        <f>SUMPRODUCT(F$46:F$52,'2-成本过渡'!$B$18:$B$24)/10000</f>
        <v>0</v>
      </c>
      <c r="G13" s="251">
        <f>SUMPRODUCT(G$46:G$52,'2-成本过渡'!$B$18:$B$24)/10000</f>
        <v>0</v>
      </c>
      <c r="H13" s="251">
        <f>SUMPRODUCT(H$46:H$52,'2-成本过渡'!$B$18:$B$24)/10000</f>
        <v>0</v>
      </c>
      <c r="I13" s="251">
        <f>SUMPRODUCT(I$46:I$52,'2-成本过渡'!$B$18:$B$24)/10000</f>
        <v>0</v>
      </c>
      <c r="J13" s="251">
        <f>SUMPRODUCT(J$46:J$52,'2-成本过渡'!$B$18:$B$24)/10000</f>
        <v>0</v>
      </c>
      <c r="K13" s="251">
        <f>SUMPRODUCT(K$46:K$52,'2-成本过渡'!$B$18:$B$24)/10000</f>
        <v>0</v>
      </c>
      <c r="L13" s="251">
        <f>SUMPRODUCT(L$46:L$52,'2-成本过渡'!$B$18:$B$24)/10000</f>
        <v>0</v>
      </c>
      <c r="M13" s="251">
        <f>SUMPRODUCT(M$46:M$52,'2-成本过渡'!$B$18:$B$24)/10000</f>
        <v>0</v>
      </c>
      <c r="N13" s="251">
        <f>SUMPRODUCT(N$46:N$52,'2-成本过渡'!$B$18:$B$24)/10000</f>
        <v>0</v>
      </c>
      <c r="O13" s="251">
        <f>SUMPRODUCT(O$46:O$52,'2-成本过渡'!$B$18:$B$24)/10000</f>
        <v>0</v>
      </c>
      <c r="P13" s="251">
        <f>SUMPRODUCT(P$46:P$52,'2-成本过渡'!$B$18:$B$24)/10000</f>
        <v>0</v>
      </c>
      <c r="Q13" s="251">
        <f>SUMPRODUCT(Q$46:Q$52,'2-成本过渡'!$B$18:$B$24)/10000</f>
        <v>0</v>
      </c>
      <c r="R13" s="251">
        <f>SUMPRODUCT(R$46:R$52,'2-成本过渡'!$B$18:$B$24)/10000</f>
        <v>0</v>
      </c>
      <c r="S13" s="251">
        <f>SUMPRODUCT(S$46:S$52,'2-成本过渡'!$B$18:$B$24)/10000</f>
        <v>0</v>
      </c>
      <c r="T13" s="251">
        <f>SUMPRODUCT(T$46:T$52,'2-成本过渡'!$B$18:$B$24)/10000</f>
        <v>0</v>
      </c>
      <c r="U13" s="251">
        <f>SUMPRODUCT(U$46:U$52,'2-成本过渡'!$B$18:$B$24)/10000</f>
        <v>0</v>
      </c>
      <c r="V13" s="251">
        <f>SUMPRODUCT(V$46:V$52,'2-成本过渡'!$B$18:$B$24)/10000</f>
        <v>0</v>
      </c>
      <c r="W13" s="251">
        <f>SUMPRODUCT(W$46:W$52,'2-成本过渡'!$B$18:$B$24)/10000</f>
        <v>0</v>
      </c>
      <c r="X13" s="251">
        <f>SUMPRODUCT(X$46:X$52,'2-成本过渡'!$B$18:$B$24)/10000</f>
        <v>0</v>
      </c>
      <c r="Y13" s="251">
        <f>SUMPRODUCT(Y$46:Y$52,'2-成本过渡'!$B$18:$B$24)/10000</f>
        <v>0</v>
      </c>
      <c r="Z13" s="251">
        <f>SUMPRODUCT(Z$46:Z$52,'2-成本过渡'!$B$18:$B$24)/10000</f>
        <v>0</v>
      </c>
      <c r="AA13" s="251">
        <f>SUMPRODUCT(AA$46:AA$52,'2-成本过渡'!$B$18:$B$24)/10000</f>
        <v>0</v>
      </c>
      <c r="AB13" s="251">
        <f>SUMPRODUCT(AB$46:AB$52,'2-成本过渡'!$B$18:$B$24)/10000</f>
        <v>0</v>
      </c>
      <c r="AC13" s="251">
        <f>SUMPRODUCT(AC$46:AC$52,'2-成本过渡'!$B$18:$B$24)/10000</f>
        <v>0</v>
      </c>
      <c r="AD13" s="251">
        <f>SUMPRODUCT(AD$46:AD$52,'2-成本过渡'!$B$18:$B$24)/10000</f>
        <v>0</v>
      </c>
      <c r="AE13" s="251">
        <f>SUMPRODUCT(AE$46:AE$52,'2-成本过渡'!$B$18:$B$24)/10000</f>
        <v>0</v>
      </c>
      <c r="AF13" s="251">
        <f>SUMPRODUCT(AF$46:AF$52,'2-成本过渡'!$B$18:$B$24)/10000</f>
        <v>0</v>
      </c>
      <c r="AG13" s="251">
        <f>SUMPRODUCT(AG$46:AG$52,'2-成本过渡'!$B$18:$B$24)/10000</f>
        <v>0</v>
      </c>
      <c r="AH13" s="251">
        <f>SUMPRODUCT(AH$46:AH$52,'2-成本过渡'!$B$18:$B$24)/10000</f>
        <v>0</v>
      </c>
      <c r="AI13" s="251">
        <f>SUMPRODUCT(AI$46:AI$52,'2-成本过渡'!$B$18:$B$24)/10000</f>
        <v>0</v>
      </c>
      <c r="AJ13" s="251">
        <f>SUMPRODUCT(AJ$46:AJ$52,'2-成本过渡'!$B$18:$B$24)/10000</f>
        <v>0</v>
      </c>
      <c r="AK13" s="251">
        <f>SUMPRODUCT(AK$46:AK$52,'2-成本过渡'!$B$18:$B$24)/10000</f>
        <v>0</v>
      </c>
      <c r="AL13" s="251">
        <f>SUMPRODUCT(AL$46:AL$52,'2-成本过渡'!$B$18:$B$24)/10000</f>
        <v>0</v>
      </c>
      <c r="AM13" s="251">
        <f>SUMPRODUCT(AM$46:AM$52,'2-成本过渡'!$B$18:$B$24)/10000</f>
        <v>0</v>
      </c>
      <c r="AN13" s="251">
        <f>SUMPRODUCT(AN$46:AN$52,'2-成本过渡'!$B$18:$B$24)/10000</f>
        <v>0</v>
      </c>
      <c r="AO13" s="251">
        <f>SUMPRODUCT(AO$46:AO$52,'2-成本过渡'!$B$18:$B$24)/10000</f>
        <v>0</v>
      </c>
      <c r="AP13" s="251">
        <f>SUMPRODUCT(AP$46:AP$52,'2-成本过渡'!$B$18:$B$24)/10000</f>
        <v>0</v>
      </c>
      <c r="AQ13" s="251">
        <f>SUMPRODUCT(AQ$46:AQ$52,'2-成本过渡'!$B$18:$B$24)/10000</f>
        <v>0</v>
      </c>
      <c r="AR13" s="251">
        <f>SUMPRODUCT(AR$46:AR$52,'2-成本过渡'!$B$18:$B$24)/10000</f>
        <v>0</v>
      </c>
      <c r="AS13" s="251">
        <f>SUMPRODUCT(AS$46:AS$52,'2-成本过渡'!$B$18:$B$24)/10000</f>
        <v>0</v>
      </c>
      <c r="AT13" s="251">
        <f>SUMPRODUCT(AT$46:AT$52,'2-成本过渡'!$B$18:$B$24)/10000</f>
        <v>0</v>
      </c>
      <c r="AU13" s="251">
        <f>SUMPRODUCT(AU$46:AU$52,'2-成本过渡'!$B$18:$B$24)/10000</f>
        <v>0</v>
      </c>
      <c r="AV13" s="251">
        <f>SUMPRODUCT(AV$46:AV$52,'2-成本过渡'!$B$18:$B$24)/10000</f>
        <v>0</v>
      </c>
      <c r="AW13" s="251">
        <f>SUMPRODUCT(AW$46:AW$52,'2-成本过渡'!$B$18:$B$24)/10000</f>
        <v>0</v>
      </c>
      <c r="AX13" s="251">
        <f>SUMPRODUCT(AX$46:AX$52,'2-成本过渡'!$B$18:$B$24)/10000</f>
        <v>0</v>
      </c>
      <c r="AY13" s="251">
        <f>SUMPRODUCT(AY$46:AY$52,'2-成本过渡'!$B$18:$B$24)/10000</f>
        <v>0</v>
      </c>
      <c r="AZ13" s="251">
        <f>SUMPRODUCT(AZ$46:AZ$52,'2-成本过渡'!$B$18:$B$24)/10000</f>
        <v>0</v>
      </c>
      <c r="BA13" s="251">
        <f>SUMPRODUCT(BA$46:BA$52,'2-成本过渡'!$B$18:$B$24)/10000</f>
        <v>0</v>
      </c>
      <c r="BB13" s="251">
        <f>SUMPRODUCT(BB$46:BB$52,'2-成本过渡'!$B$18:$B$24)/10000</f>
        <v>0</v>
      </c>
      <c r="BC13" s="251">
        <f>SUMPRODUCT(BC$46:BC$52,'2-成本过渡'!$B$18:$B$24)/10000</f>
        <v>0</v>
      </c>
      <c r="BD13" s="251">
        <f>SUMPRODUCT(BD$46:BD$52,'2-成本过渡'!$B$18:$B$24)/10000</f>
        <v>0</v>
      </c>
      <c r="BE13" s="251">
        <f>SUMPRODUCT(BE$46:BE$52,'2-成本过渡'!$B$18:$B$24)/10000</f>
        <v>0</v>
      </c>
      <c r="BF13" s="251">
        <f>SUMPRODUCT(BF$46:BF$52,'2-成本过渡'!$B$18:$B$24)/10000</f>
        <v>0</v>
      </c>
      <c r="BG13" s="251">
        <f>SUMPRODUCT(BG$46:BG$52,'2-成本过渡'!$B$18:$B$24)/10000</f>
        <v>0</v>
      </c>
      <c r="BH13" s="251">
        <f>SUMPRODUCT(BH$46:BH$52,'2-成本过渡'!$B$18:$B$24)/10000</f>
        <v>0</v>
      </c>
      <c r="BI13" s="251">
        <f>SUMPRODUCT(BI$46:BI$52,'2-成本过渡'!$B$18:$B$24)/10000</f>
        <v>0</v>
      </c>
      <c r="BJ13" s="251">
        <f>SUMPRODUCT(BJ$46:BJ$52,'2-成本过渡'!$B$18:$B$24)/10000</f>
        <v>0</v>
      </c>
      <c r="BK13" s="251">
        <f>SUMPRODUCT(BK$46:BK$52,'2-成本过渡'!$B$18:$B$24)/10000</f>
        <v>0</v>
      </c>
      <c r="BL13" s="251">
        <f>SUMPRODUCT(BL$46:BL$52,'2-成本过渡'!$B$18:$B$24)/10000</f>
        <v>0</v>
      </c>
      <c r="BM13" s="251">
        <f>SUMPRODUCT(BM$46:BM$52,'2-成本过渡'!$B$18:$B$24)/10000</f>
        <v>0</v>
      </c>
      <c r="BN13" s="251">
        <f>SUMPRODUCT(BN$46:BN$52,'2-成本过渡'!$B$18:$B$24)/10000</f>
        <v>0</v>
      </c>
      <c r="BO13" s="251">
        <f>SUMPRODUCT(BO$46:BO$52,'2-成本过渡'!$B$18:$B$24)/10000</f>
        <v>0</v>
      </c>
      <c r="BP13" s="251">
        <f>SUMPRODUCT(BP$46:BP$52,'2-成本过渡'!$B$18:$B$24)/10000</f>
        <v>0</v>
      </c>
      <c r="BQ13" s="251">
        <f>SUMPRODUCT(BQ$46:BQ$52,'2-成本过渡'!$B$18:$B$24)/10000</f>
        <v>0</v>
      </c>
      <c r="BR13" s="251">
        <f>SUMPRODUCT(BR$46:BR$52,'2-成本过渡'!$B$18:$B$24)/10000</f>
        <v>0</v>
      </c>
      <c r="BS13" s="251">
        <f>SUMPRODUCT(BS$46:BS$52,'2-成本过渡'!$B$18:$B$24)/10000</f>
        <v>0</v>
      </c>
      <c r="BT13" s="251">
        <f>SUMPRODUCT(BT$46:BT$52,'2-成本过渡'!$B$18:$B$24)/10000</f>
        <v>0</v>
      </c>
    </row>
    <row r="14" spans="1:72" outlineLevel="1">
      <c r="A14" s="230" t="str">
        <f>A10</f>
        <v>三期</v>
      </c>
      <c r="B14" s="231">
        <f t="shared" si="14"/>
        <v>0</v>
      </c>
      <c r="C14" s="251">
        <f>SUMPRODUCT(C$53:C$59,'3-成本过渡'!$B$18:$B$24)/10000</f>
        <v>0</v>
      </c>
      <c r="D14" s="251">
        <f>SUMPRODUCT(D$53:D$59,'3-成本过渡'!$B$18:$B$24)/10000</f>
        <v>0</v>
      </c>
      <c r="E14" s="251">
        <f>SUMPRODUCT(E$53:E$59,'3-成本过渡'!$B$18:$B$24)/10000</f>
        <v>0</v>
      </c>
      <c r="F14" s="251">
        <f>SUMPRODUCT(F$53:F$59,'3-成本过渡'!$B$18:$B$24)/10000</f>
        <v>0</v>
      </c>
      <c r="G14" s="251">
        <f>SUMPRODUCT(G$53:G$59,'3-成本过渡'!$B$18:$B$24)/10000</f>
        <v>0</v>
      </c>
      <c r="H14" s="251">
        <f>SUMPRODUCT(H$53:H$59,'3-成本过渡'!$B$18:$B$24)/10000</f>
        <v>0</v>
      </c>
      <c r="I14" s="251">
        <f>SUMPRODUCT(I$53:I$59,'3-成本过渡'!$B$18:$B$24)/10000</f>
        <v>0</v>
      </c>
      <c r="J14" s="251">
        <f>SUMPRODUCT(J$53:J$59,'3-成本过渡'!$B$18:$B$24)/10000</f>
        <v>0</v>
      </c>
      <c r="K14" s="251">
        <f>SUMPRODUCT(K$53:K$59,'3-成本过渡'!$B$18:$B$24)/10000</f>
        <v>0</v>
      </c>
      <c r="L14" s="251">
        <f>SUMPRODUCT(L$53:L$59,'3-成本过渡'!$B$18:$B$24)/10000</f>
        <v>0</v>
      </c>
      <c r="M14" s="251">
        <f>SUMPRODUCT(M$53:M$59,'3-成本过渡'!$B$18:$B$24)/10000</f>
        <v>0</v>
      </c>
      <c r="N14" s="251">
        <f>SUMPRODUCT(N$53:N$59,'3-成本过渡'!$B$18:$B$24)/10000</f>
        <v>0</v>
      </c>
      <c r="O14" s="251">
        <f>SUMPRODUCT(O$53:O$59,'3-成本过渡'!$B$18:$B$24)/10000</f>
        <v>0</v>
      </c>
      <c r="P14" s="251">
        <f>SUMPRODUCT(P$53:P$59,'3-成本过渡'!$B$18:$B$24)/10000</f>
        <v>0</v>
      </c>
      <c r="Q14" s="251">
        <f>SUMPRODUCT(Q$53:Q$59,'3-成本过渡'!$B$18:$B$24)/10000</f>
        <v>0</v>
      </c>
      <c r="R14" s="251">
        <f>SUMPRODUCT(R$53:R$59,'3-成本过渡'!$B$18:$B$24)/10000</f>
        <v>0</v>
      </c>
      <c r="S14" s="251">
        <f>SUMPRODUCT(S$53:S$59,'3-成本过渡'!$B$18:$B$24)/10000</f>
        <v>0</v>
      </c>
      <c r="T14" s="251">
        <f>SUMPRODUCT(T$53:T$59,'3-成本过渡'!$B$18:$B$24)/10000</f>
        <v>0</v>
      </c>
      <c r="U14" s="251">
        <f>SUMPRODUCT(U$53:U$59,'3-成本过渡'!$B$18:$B$24)/10000</f>
        <v>0</v>
      </c>
      <c r="V14" s="251">
        <f>SUMPRODUCT(V$53:V$59,'3-成本过渡'!$B$18:$B$24)/10000</f>
        <v>0</v>
      </c>
      <c r="W14" s="251">
        <f>SUMPRODUCT(W$53:W$59,'3-成本过渡'!$B$18:$B$24)/10000</f>
        <v>0</v>
      </c>
      <c r="X14" s="251">
        <f>SUMPRODUCT(X$53:X$59,'3-成本过渡'!$B$18:$B$24)/10000</f>
        <v>0</v>
      </c>
      <c r="Y14" s="251">
        <f>SUMPRODUCT(Y$53:Y$59,'3-成本过渡'!$B$18:$B$24)/10000</f>
        <v>0</v>
      </c>
      <c r="Z14" s="251">
        <f>SUMPRODUCT(Z$53:Z$59,'3-成本过渡'!$B$18:$B$24)/10000</f>
        <v>0</v>
      </c>
      <c r="AA14" s="251">
        <f>SUMPRODUCT(AA$53:AA$59,'3-成本过渡'!$B$18:$B$24)/10000</f>
        <v>0</v>
      </c>
      <c r="AB14" s="251">
        <f>SUMPRODUCT(AB$53:AB$59,'3-成本过渡'!$B$18:$B$24)/10000</f>
        <v>0</v>
      </c>
      <c r="AC14" s="251">
        <f>SUMPRODUCT(AC$53:AC$59,'3-成本过渡'!$B$18:$B$24)/10000</f>
        <v>0</v>
      </c>
      <c r="AD14" s="251">
        <f>SUMPRODUCT(AD$53:AD$59,'3-成本过渡'!$B$18:$B$24)/10000</f>
        <v>0</v>
      </c>
      <c r="AE14" s="251">
        <f>SUMPRODUCT(AE$53:AE$59,'3-成本过渡'!$B$18:$B$24)/10000</f>
        <v>0</v>
      </c>
      <c r="AF14" s="251">
        <f>SUMPRODUCT(AF$53:AF$59,'3-成本过渡'!$B$18:$B$24)/10000</f>
        <v>0</v>
      </c>
      <c r="AG14" s="251">
        <f>SUMPRODUCT(AG$53:AG$59,'3-成本过渡'!$B$18:$B$24)/10000</f>
        <v>0</v>
      </c>
      <c r="AH14" s="251">
        <f>SUMPRODUCT(AH$53:AH$59,'3-成本过渡'!$B$18:$B$24)/10000</f>
        <v>0</v>
      </c>
      <c r="AI14" s="251">
        <f>SUMPRODUCT(AI$53:AI$59,'3-成本过渡'!$B$18:$B$24)/10000</f>
        <v>0</v>
      </c>
      <c r="AJ14" s="251">
        <f>SUMPRODUCT(AJ$53:AJ$59,'3-成本过渡'!$B$18:$B$24)/10000</f>
        <v>0</v>
      </c>
      <c r="AK14" s="251">
        <f>SUMPRODUCT(AK$53:AK$59,'3-成本过渡'!$B$18:$B$24)/10000</f>
        <v>0</v>
      </c>
      <c r="AL14" s="251">
        <f>SUMPRODUCT(AL$53:AL$59,'3-成本过渡'!$B$18:$B$24)/10000</f>
        <v>0</v>
      </c>
      <c r="AM14" s="251">
        <f>SUMPRODUCT(AM$53:AM$59,'3-成本过渡'!$B$18:$B$24)/10000</f>
        <v>0</v>
      </c>
      <c r="AN14" s="251">
        <f>SUMPRODUCT(AN$53:AN$59,'3-成本过渡'!$B$18:$B$24)/10000</f>
        <v>0</v>
      </c>
      <c r="AO14" s="251">
        <f>SUMPRODUCT(AO$53:AO$59,'3-成本过渡'!$B$18:$B$24)/10000</f>
        <v>0</v>
      </c>
      <c r="AP14" s="251">
        <f>SUMPRODUCT(AP$53:AP$59,'3-成本过渡'!$B$18:$B$24)/10000</f>
        <v>0</v>
      </c>
      <c r="AQ14" s="251">
        <f>SUMPRODUCT(AQ$53:AQ$59,'3-成本过渡'!$B$18:$B$24)/10000</f>
        <v>0</v>
      </c>
      <c r="AR14" s="251">
        <f>SUMPRODUCT(AR$53:AR$59,'3-成本过渡'!$B$18:$B$24)/10000</f>
        <v>0</v>
      </c>
      <c r="AS14" s="251">
        <f>SUMPRODUCT(AS$53:AS$59,'3-成本过渡'!$B$18:$B$24)/10000</f>
        <v>0</v>
      </c>
      <c r="AT14" s="251">
        <f>SUMPRODUCT(AT$53:AT$59,'3-成本过渡'!$B$18:$B$24)/10000</f>
        <v>0</v>
      </c>
      <c r="AU14" s="251">
        <f>SUMPRODUCT(AU$53:AU$59,'3-成本过渡'!$B$18:$B$24)/10000</f>
        <v>0</v>
      </c>
      <c r="AV14" s="251">
        <f>SUMPRODUCT(AV$53:AV$59,'3-成本过渡'!$B$18:$B$24)/10000</f>
        <v>0</v>
      </c>
      <c r="AW14" s="251">
        <f>SUMPRODUCT(AW$53:AW$59,'3-成本过渡'!$B$18:$B$24)/10000</f>
        <v>0</v>
      </c>
      <c r="AX14" s="251">
        <f>SUMPRODUCT(AX$53:AX$59,'3-成本过渡'!$B$18:$B$24)/10000</f>
        <v>0</v>
      </c>
      <c r="AY14" s="251">
        <f>SUMPRODUCT(AY$53:AY$59,'3-成本过渡'!$B$18:$B$24)/10000</f>
        <v>0</v>
      </c>
      <c r="AZ14" s="251">
        <f>SUMPRODUCT(AZ$53:AZ$59,'3-成本过渡'!$B$18:$B$24)/10000</f>
        <v>0</v>
      </c>
      <c r="BA14" s="251">
        <f>SUMPRODUCT(BA$53:BA$59,'3-成本过渡'!$B$18:$B$24)/10000</f>
        <v>0</v>
      </c>
      <c r="BB14" s="251">
        <f>SUMPRODUCT(BB$53:BB$59,'3-成本过渡'!$B$18:$B$24)/10000</f>
        <v>0</v>
      </c>
      <c r="BC14" s="251">
        <f>SUMPRODUCT(BC$53:BC$59,'3-成本过渡'!$B$18:$B$24)/10000</f>
        <v>0</v>
      </c>
      <c r="BD14" s="251">
        <f>SUMPRODUCT(BD$53:BD$59,'3-成本过渡'!$B$18:$B$24)/10000</f>
        <v>0</v>
      </c>
      <c r="BE14" s="251">
        <f>SUMPRODUCT(BE$53:BE$59,'3-成本过渡'!$B$18:$B$24)/10000</f>
        <v>0</v>
      </c>
      <c r="BF14" s="251">
        <f>SUMPRODUCT(BF$53:BF$59,'3-成本过渡'!$B$18:$B$24)/10000</f>
        <v>0</v>
      </c>
      <c r="BG14" s="251">
        <f>SUMPRODUCT(BG$53:BG$59,'3-成本过渡'!$B$18:$B$24)/10000</f>
        <v>0</v>
      </c>
      <c r="BH14" s="251">
        <f>SUMPRODUCT(BH$53:BH$59,'3-成本过渡'!$B$18:$B$24)/10000</f>
        <v>0</v>
      </c>
      <c r="BI14" s="251">
        <f>SUMPRODUCT(BI$53:BI$59,'3-成本过渡'!$B$18:$B$24)/10000</f>
        <v>0</v>
      </c>
      <c r="BJ14" s="251">
        <f>SUMPRODUCT(BJ$53:BJ$59,'3-成本过渡'!$B$18:$B$24)/10000</f>
        <v>0</v>
      </c>
      <c r="BK14" s="251">
        <f>SUMPRODUCT(BK$53:BK$59,'3-成本过渡'!$B$18:$B$24)/10000</f>
        <v>0</v>
      </c>
      <c r="BL14" s="251">
        <f>SUMPRODUCT(BL$53:BL$59,'3-成本过渡'!$B$18:$B$24)/10000</f>
        <v>0</v>
      </c>
      <c r="BM14" s="251">
        <f>SUMPRODUCT(BM$53:BM$59,'3-成本过渡'!$B$18:$B$24)/10000</f>
        <v>0</v>
      </c>
      <c r="BN14" s="251">
        <f>SUMPRODUCT(BN$53:BN$59,'3-成本过渡'!$B$18:$B$24)/10000</f>
        <v>0</v>
      </c>
      <c r="BO14" s="251">
        <f>SUMPRODUCT(BO$53:BO$59,'3-成本过渡'!$B$18:$B$24)/10000</f>
        <v>0</v>
      </c>
      <c r="BP14" s="251">
        <f>SUMPRODUCT(BP$53:BP$59,'3-成本过渡'!$B$18:$B$24)/10000</f>
        <v>0</v>
      </c>
      <c r="BQ14" s="251">
        <f>SUMPRODUCT(BQ$53:BQ$59,'3-成本过渡'!$B$18:$B$24)/10000</f>
        <v>0</v>
      </c>
      <c r="BR14" s="251">
        <f>SUMPRODUCT(BR$53:BR$59,'3-成本过渡'!$B$18:$B$24)/10000</f>
        <v>0</v>
      </c>
      <c r="BS14" s="251">
        <f>SUMPRODUCT(BS$53:BS$59,'3-成本过渡'!$B$18:$B$24)/10000</f>
        <v>0</v>
      </c>
      <c r="BT14" s="251">
        <f>SUMPRODUCT(BT$53:BT$59,'3-成本过渡'!$B$18:$B$24)/10000</f>
        <v>0</v>
      </c>
    </row>
    <row r="15" spans="1:72">
      <c r="A15" s="233" t="s">
        <v>829</v>
      </c>
      <c r="B15" s="234">
        <f t="shared" ref="B15:AR15" ca="1" si="15">SUM(B16:B18)</f>
        <v>2865.5785595311736</v>
      </c>
      <c r="C15" s="234">
        <f t="shared" ca="1" si="15"/>
        <v>0</v>
      </c>
      <c r="D15" s="234">
        <f t="shared" ca="1" si="15"/>
        <v>0</v>
      </c>
      <c r="E15" s="234">
        <f t="shared" ca="1" si="15"/>
        <v>0</v>
      </c>
      <c r="F15" s="234">
        <f t="shared" ca="1" si="15"/>
        <v>0</v>
      </c>
      <c r="G15" s="234">
        <f t="shared" ca="1" si="15"/>
        <v>0</v>
      </c>
      <c r="H15" s="234">
        <f t="shared" ca="1" si="15"/>
        <v>0</v>
      </c>
      <c r="I15" s="234">
        <f t="shared" ca="1" si="15"/>
        <v>0</v>
      </c>
      <c r="J15" s="234">
        <f t="shared" ca="1" si="15"/>
        <v>0</v>
      </c>
      <c r="K15" s="234">
        <f t="shared" ca="1" si="15"/>
        <v>0</v>
      </c>
      <c r="L15" s="234">
        <f t="shared" ca="1" si="15"/>
        <v>0</v>
      </c>
      <c r="M15" s="234">
        <f t="shared" ca="1" si="15"/>
        <v>0</v>
      </c>
      <c r="N15" s="234">
        <f t="shared" ca="1" si="15"/>
        <v>0</v>
      </c>
      <c r="O15" s="234">
        <f t="shared" ca="1" si="15"/>
        <v>0</v>
      </c>
      <c r="P15" s="234">
        <f t="shared" ca="1" si="15"/>
        <v>0</v>
      </c>
      <c r="Q15" s="234">
        <f t="shared" ca="1" si="15"/>
        <v>0</v>
      </c>
      <c r="R15" s="234">
        <f t="shared" ca="1" si="15"/>
        <v>0</v>
      </c>
      <c r="S15" s="234">
        <f t="shared" ca="1" si="15"/>
        <v>0</v>
      </c>
      <c r="T15" s="234">
        <f t="shared" ca="1" si="15"/>
        <v>0</v>
      </c>
      <c r="U15" s="234">
        <f t="shared" ca="1" si="15"/>
        <v>0</v>
      </c>
      <c r="V15" s="234">
        <f t="shared" ca="1" si="15"/>
        <v>0</v>
      </c>
      <c r="W15" s="234">
        <f t="shared" ca="1" si="15"/>
        <v>0</v>
      </c>
      <c r="X15" s="234">
        <f t="shared" ca="1" si="15"/>
        <v>0</v>
      </c>
      <c r="Y15" s="234">
        <f t="shared" ca="1" si="15"/>
        <v>0</v>
      </c>
      <c r="Z15" s="234">
        <f t="shared" ca="1" si="15"/>
        <v>0</v>
      </c>
      <c r="AA15" s="234">
        <f t="shared" ref="AA15:AP15" ca="1" si="16">SUM(AA16:AA18)</f>
        <v>0</v>
      </c>
      <c r="AB15" s="234">
        <f t="shared" ca="1" si="16"/>
        <v>0</v>
      </c>
      <c r="AC15" s="234">
        <f t="shared" ca="1" si="16"/>
        <v>0</v>
      </c>
      <c r="AD15" s="234">
        <f t="shared" ca="1" si="16"/>
        <v>0</v>
      </c>
      <c r="AE15" s="234">
        <f t="shared" ca="1" si="16"/>
        <v>0</v>
      </c>
      <c r="AF15" s="234">
        <f t="shared" ca="1" si="16"/>
        <v>0</v>
      </c>
      <c r="AG15" s="234">
        <f t="shared" ca="1" si="16"/>
        <v>0</v>
      </c>
      <c r="AH15" s="234">
        <f t="shared" ca="1" si="16"/>
        <v>0</v>
      </c>
      <c r="AI15" s="234">
        <f t="shared" ca="1" si="16"/>
        <v>0</v>
      </c>
      <c r="AJ15" s="234">
        <f t="shared" ca="1" si="16"/>
        <v>0</v>
      </c>
      <c r="AK15" s="234">
        <f t="shared" ca="1" si="16"/>
        <v>0</v>
      </c>
      <c r="AL15" s="234">
        <f t="shared" ca="1" si="16"/>
        <v>0</v>
      </c>
      <c r="AM15" s="234">
        <f t="shared" ca="1" si="16"/>
        <v>0</v>
      </c>
      <c r="AN15" s="234">
        <f t="shared" ca="1" si="16"/>
        <v>0</v>
      </c>
      <c r="AO15" s="234">
        <f t="shared" ca="1" si="16"/>
        <v>0</v>
      </c>
      <c r="AP15" s="234">
        <f t="shared" ca="1" si="16"/>
        <v>0</v>
      </c>
      <c r="AQ15" s="234">
        <f t="shared" ca="1" si="15"/>
        <v>0</v>
      </c>
      <c r="AR15" s="234">
        <f t="shared" ca="1" si="15"/>
        <v>0</v>
      </c>
      <c r="AS15" s="234">
        <f t="shared" ref="AS15:BO15" ca="1" si="17">SUM(AS16:AS18)</f>
        <v>0</v>
      </c>
      <c r="AT15" s="234">
        <f t="shared" ca="1" si="17"/>
        <v>0</v>
      </c>
      <c r="AU15" s="234">
        <f t="shared" ca="1" si="17"/>
        <v>0</v>
      </c>
      <c r="AV15" s="234">
        <f t="shared" ca="1" si="17"/>
        <v>0</v>
      </c>
      <c r="AW15" s="234">
        <f t="shared" ca="1" si="17"/>
        <v>0</v>
      </c>
      <c r="AX15" s="234">
        <f t="shared" ca="1" si="17"/>
        <v>0</v>
      </c>
      <c r="AY15" s="234">
        <f t="shared" ca="1" si="17"/>
        <v>0</v>
      </c>
      <c r="AZ15" s="234">
        <f t="shared" ca="1" si="17"/>
        <v>0</v>
      </c>
      <c r="BA15" s="234">
        <f t="shared" ca="1" si="17"/>
        <v>0</v>
      </c>
      <c r="BB15" s="234">
        <f t="shared" ca="1" si="17"/>
        <v>0</v>
      </c>
      <c r="BC15" s="234">
        <f t="shared" ca="1" si="17"/>
        <v>0</v>
      </c>
      <c r="BD15" s="234">
        <f t="shared" ca="1" si="17"/>
        <v>0</v>
      </c>
      <c r="BE15" s="234">
        <f t="shared" ca="1" si="17"/>
        <v>0</v>
      </c>
      <c r="BF15" s="234">
        <f t="shared" ca="1" si="17"/>
        <v>0</v>
      </c>
      <c r="BG15" s="234">
        <f t="shared" ca="1" si="17"/>
        <v>0</v>
      </c>
      <c r="BH15" s="234">
        <f t="shared" ca="1" si="17"/>
        <v>0</v>
      </c>
      <c r="BI15" s="234">
        <f t="shared" ca="1" si="17"/>
        <v>0</v>
      </c>
      <c r="BJ15" s="234">
        <f t="shared" ca="1" si="17"/>
        <v>0</v>
      </c>
      <c r="BK15" s="234">
        <f t="shared" ca="1" si="17"/>
        <v>0</v>
      </c>
      <c r="BL15" s="234">
        <f t="shared" ca="1" si="17"/>
        <v>0</v>
      </c>
      <c r="BM15" s="234">
        <f t="shared" ca="1" si="17"/>
        <v>0</v>
      </c>
      <c r="BN15" s="234">
        <f t="shared" ca="1" si="17"/>
        <v>0</v>
      </c>
      <c r="BO15" s="234">
        <f t="shared" ca="1" si="17"/>
        <v>0</v>
      </c>
      <c r="BP15" s="234">
        <f t="shared" ref="BP15:BT15" ca="1" si="18">SUM(BP16:BP18)</f>
        <v>2865.5785595311736</v>
      </c>
      <c r="BQ15" s="234">
        <f t="shared" ca="1" si="18"/>
        <v>0</v>
      </c>
      <c r="BR15" s="234">
        <f t="shared" ca="1" si="18"/>
        <v>0</v>
      </c>
      <c r="BS15" s="234">
        <f t="shared" ca="1" si="18"/>
        <v>0</v>
      </c>
      <c r="BT15" s="234">
        <f t="shared" ca="1" si="18"/>
        <v>0</v>
      </c>
    </row>
    <row r="16" spans="1:72" outlineLevel="1">
      <c r="A16" s="230" t="str">
        <f>A8</f>
        <v>一期</v>
      </c>
      <c r="B16" s="231">
        <f t="shared" ref="B16:B18" ca="1" si="19">SUM(C16:BT16)</f>
        <v>2865.5785595311736</v>
      </c>
      <c r="C16" s="232">
        <f ca="1">C8*(基础信息!$B$26+土地增值税!$G$18)</f>
        <v>0</v>
      </c>
      <c r="D16" s="232">
        <f ca="1">G8*(基础信息!$B$26+土地增值税!$G$18)</f>
        <v>0</v>
      </c>
      <c r="E16" s="232">
        <f ca="1">E8*(基础信息!$B$26+土地增值税!$G$18)</f>
        <v>0</v>
      </c>
      <c r="F16" s="232">
        <f ca="1">F8*(基础信息!$B$26+土地增值税!$G$18)</f>
        <v>0</v>
      </c>
      <c r="G16" s="232">
        <f ca="1">G8*(基础信息!$B$26+土地增值税!$G$18)</f>
        <v>0</v>
      </c>
      <c r="H16" s="232">
        <f ca="1">H8*(基础信息!$B$26+土地增值税!$G$18)</f>
        <v>0</v>
      </c>
      <c r="I16" s="232">
        <f ca="1">I8*(基础信息!$B$26+土地增值税!$G$18)</f>
        <v>0</v>
      </c>
      <c r="J16" s="232">
        <f ca="1">J8*(基础信息!$B$26+土地增值税!$G$18)</f>
        <v>0</v>
      </c>
      <c r="K16" s="232">
        <f ca="1">K8*(基础信息!$B$26+土地增值税!$G$18)</f>
        <v>0</v>
      </c>
      <c r="L16" s="232">
        <f ca="1">L8*(基础信息!$B$26+土地增值税!$G$18)</f>
        <v>0</v>
      </c>
      <c r="M16" s="232">
        <f ca="1">M8*(基础信息!$B$26+土地增值税!$G$19)</f>
        <v>0</v>
      </c>
      <c r="N16" s="232">
        <f ca="1">N8*(基础信息!$B$26+土地增值税!$G$19)</f>
        <v>0</v>
      </c>
      <c r="O16" s="232">
        <f ca="1">O8*(基础信息!$B$26+土地增值税!$G$19)</f>
        <v>0</v>
      </c>
      <c r="P16" s="232">
        <f ca="1">P8*(基础信息!$B$26+土地增值税!$G$19)</f>
        <v>0</v>
      </c>
      <c r="Q16" s="232">
        <f ca="1">Q8*(基础信息!$B$26+土地增值税!$G$19)</f>
        <v>0</v>
      </c>
      <c r="R16" s="232">
        <f ca="1">R8*(基础信息!$B$26+土地增值税!$G$19)</f>
        <v>0</v>
      </c>
      <c r="S16" s="232">
        <f ca="1">S8*(基础信息!$B$26+土地增值税!$G$19)</f>
        <v>0</v>
      </c>
      <c r="T16" s="232">
        <f ca="1">T8*(基础信息!$B$26+土地增值税!$G$19)</f>
        <v>0</v>
      </c>
      <c r="U16" s="232">
        <f ca="1">U8*(基础信息!$B$26+土地增值税!$G$19)</f>
        <v>0</v>
      </c>
      <c r="V16" s="232">
        <f ca="1">V8*(基础信息!$B$26+土地增值税!$G$19)</f>
        <v>0</v>
      </c>
      <c r="W16" s="232">
        <f ca="1">W8*(基础信息!$B$26+土地增值税!$G$19)</f>
        <v>0</v>
      </c>
      <c r="X16" s="232">
        <f ca="1">X8*(基础信息!$B$26+土地增值税!$G$19)</f>
        <v>0</v>
      </c>
      <c r="Y16" s="232">
        <f ca="1">Y8*(基础信息!$B$26+土地增值税!$G$19)</f>
        <v>0</v>
      </c>
      <c r="Z16" s="232">
        <f ca="1">Z8*(基础信息!$B$26+土地增值税!$G$19)</f>
        <v>0</v>
      </c>
      <c r="AA16" s="232">
        <f ca="1">AA8*(基础信息!$B$26+土地增值税!$G$19)</f>
        <v>0</v>
      </c>
      <c r="AB16" s="232">
        <f ca="1">AB8*(基础信息!$B$26+土地增值税!$G$19)</f>
        <v>0</v>
      </c>
      <c r="AC16" s="232">
        <f ca="1">AC8*(基础信息!$B$26+土地增值税!$G$19)</f>
        <v>0</v>
      </c>
      <c r="AD16" s="232">
        <f ca="1">AD8*(基础信息!$B$26+土地增值税!$G$19)</f>
        <v>0</v>
      </c>
      <c r="AE16" s="232">
        <f ca="1">AE8*(基础信息!$B$26+土地增值税!$G$19)</f>
        <v>0</v>
      </c>
      <c r="AF16" s="232">
        <f ca="1">AF8*(基础信息!$B$26+土地增值税!$G$19)</f>
        <v>0</v>
      </c>
      <c r="AG16" s="232">
        <f ca="1">AG8*(基础信息!$B$26+土地增值税!$G$19)</f>
        <v>0</v>
      </c>
      <c r="AH16" s="232">
        <f ca="1">AH8*(基础信息!$B$26+土地增值税!$G$19)</f>
        <v>0</v>
      </c>
      <c r="AI16" s="232">
        <f ca="1">AI8*(基础信息!$B$26+土地增值税!$G$19)</f>
        <v>0</v>
      </c>
      <c r="AJ16" s="232">
        <f ca="1">AJ8*(基础信息!$B$26+土地增值税!$G$19)</f>
        <v>0</v>
      </c>
      <c r="AK16" s="232">
        <f ca="1">AK8*(基础信息!$B$26+土地增值税!$G$19)</f>
        <v>0</v>
      </c>
      <c r="AL16" s="232">
        <f ca="1">AL8*(基础信息!$B$26+土地增值税!$G$19)</f>
        <v>0</v>
      </c>
      <c r="AM16" s="232">
        <f ca="1">AM8*(基础信息!$B$26+土地增值税!$G$19)</f>
        <v>0</v>
      </c>
      <c r="AN16" s="232">
        <f ca="1">AN8*(基础信息!$B$26+土地增值税!$G$19)</f>
        <v>0</v>
      </c>
      <c r="AO16" s="232">
        <f ca="1">AO8*(基础信息!$B$26+土地增值税!$G$19)</f>
        <v>0</v>
      </c>
      <c r="AP16" s="232">
        <f ca="1">AP8*(基础信息!$B$26+土地增值税!$G$19)</f>
        <v>0</v>
      </c>
      <c r="AQ16" s="232">
        <f ca="1">AQ8*(基础信息!$B$26+土地增值税!$G$19)</f>
        <v>0</v>
      </c>
      <c r="AR16" s="232">
        <f ca="1">AR8*(基础信息!$B$26+土地增值税!$G$19)</f>
        <v>0</v>
      </c>
      <c r="AS16" s="232">
        <f ca="1">AS8*(基础信息!$B$26+土地增值税!$G$19)</f>
        <v>0</v>
      </c>
      <c r="AT16" s="232">
        <f ca="1">AT8*(基础信息!$B$26+土地增值税!$G$19)</f>
        <v>0</v>
      </c>
      <c r="AU16" s="232">
        <f ca="1">AU8*(基础信息!$B$26+土地增值税!$G$19)</f>
        <v>0</v>
      </c>
      <c r="AV16" s="232">
        <f ca="1">AV8*(基础信息!$B$26+土地增值税!$G$19)</f>
        <v>0</v>
      </c>
      <c r="AW16" s="232">
        <f ca="1">AW8*(基础信息!$B$26+土地增值税!$G$19)</f>
        <v>0</v>
      </c>
      <c r="AX16" s="232">
        <f ca="1">AX8*(基础信息!$B$26+土地增值税!$G$19)</f>
        <v>0</v>
      </c>
      <c r="AY16" s="232">
        <f ca="1">AY8*(基础信息!$B$26+土地增值税!$G$19)</f>
        <v>0</v>
      </c>
      <c r="AZ16" s="232">
        <f ca="1">AZ8*(基础信息!$B$26+土地增值税!$G$19)</f>
        <v>0</v>
      </c>
      <c r="BA16" s="232">
        <f ca="1">BA8*(基础信息!$B$26+土地增值税!$G$19)</f>
        <v>0</v>
      </c>
      <c r="BB16" s="232">
        <f ca="1">BB8*(基础信息!$B$26+土地增值税!$G$19)</f>
        <v>0</v>
      </c>
      <c r="BC16" s="232">
        <f ca="1">BC8*(基础信息!$B$26+土地增值税!$G$19)</f>
        <v>0</v>
      </c>
      <c r="BD16" s="232">
        <f ca="1">BD8*(基础信息!$B$26+土地增值税!$G$19)</f>
        <v>0</v>
      </c>
      <c r="BE16" s="232">
        <f ca="1">BE8*(基础信息!$B$26+土地增值税!$G$19)</f>
        <v>0</v>
      </c>
      <c r="BF16" s="232">
        <f ca="1">BF8*(基础信息!$B$26+土地增值税!$G$19)</f>
        <v>0</v>
      </c>
      <c r="BG16" s="232">
        <f ca="1">BG8*(基础信息!$B$26+土地增值税!$G$19)</f>
        <v>0</v>
      </c>
      <c r="BH16" s="232">
        <f ca="1">BH8*(基础信息!$B$26+土地增值税!$G$19)</f>
        <v>0</v>
      </c>
      <c r="BI16" s="232">
        <f ca="1">BI8*(基础信息!$B$26+土地增值税!$G$19)</f>
        <v>0</v>
      </c>
      <c r="BJ16" s="232">
        <f ca="1">BJ8*(基础信息!$B$26+土地增值税!$G$19)</f>
        <v>0</v>
      </c>
      <c r="BK16" s="232">
        <f ca="1">BK8*(基础信息!$B$26+土地增值税!$G$19)</f>
        <v>0</v>
      </c>
      <c r="BL16" s="232">
        <f ca="1">BL8*(基础信息!$B$26+土地增值税!$G$19)</f>
        <v>0</v>
      </c>
      <c r="BM16" s="232">
        <f ca="1">BM8*(基础信息!$B$26+土地增值税!$G$19)</f>
        <v>0</v>
      </c>
      <c r="BN16" s="232">
        <f ca="1">BN8*(基础信息!$B$26+土地增值税!$G$19)</f>
        <v>0</v>
      </c>
      <c r="BO16" s="232">
        <f ca="1">BO8*(基础信息!$B$26+土地增值税!$G$19)</f>
        <v>0</v>
      </c>
      <c r="BP16" s="232">
        <f ca="1">BP8*(基础信息!$B$26+土地增值税!$G$19)</f>
        <v>2865.5785595311736</v>
      </c>
      <c r="BQ16" s="232">
        <f ca="1">BQ8*(基础信息!$B$26+土地增值税!$G$19)</f>
        <v>0</v>
      </c>
      <c r="BR16" s="232">
        <f ca="1">BR8*(基础信息!$B$26+土地增值税!$G$19)</f>
        <v>0</v>
      </c>
      <c r="BS16" s="232">
        <f ca="1">BS8*(基础信息!$B$26+土地增值税!$G$19)</f>
        <v>0</v>
      </c>
      <c r="BT16" s="232">
        <f ca="1">BT8*(基础信息!$B$26+土地增值税!$G$19)</f>
        <v>0</v>
      </c>
    </row>
    <row r="17" spans="1:72" outlineLevel="1">
      <c r="A17" s="230" t="str">
        <f>A9</f>
        <v>二期</v>
      </c>
      <c r="B17" s="231">
        <f t="shared" ca="1" si="19"/>
        <v>0</v>
      </c>
      <c r="C17" s="232">
        <f ca="1">C9*(基础信息!$B$26+土地增值税!$E$19)</f>
        <v>0</v>
      </c>
      <c r="D17" s="232">
        <f ca="1">G9*(基础信息!$B$26+土地增值税!$E$19)</f>
        <v>0</v>
      </c>
      <c r="E17" s="232">
        <f ca="1">E9*(基础信息!$B$26+土地增值税!$E$19)</f>
        <v>0</v>
      </c>
      <c r="F17" s="232">
        <f ca="1">F9*(基础信息!$B$26+土地增值税!$E$19)</f>
        <v>0</v>
      </c>
      <c r="G17" s="232">
        <f ca="1">G9*(基础信息!$B$26+土地增值税!$E$19)</f>
        <v>0</v>
      </c>
      <c r="H17" s="232">
        <f ca="1">H9*(基础信息!$B$26+土地增值税!$E$19)</f>
        <v>0</v>
      </c>
      <c r="I17" s="232">
        <f ca="1">I9*(基础信息!$B$26+土地增值税!$E$19)</f>
        <v>0</v>
      </c>
      <c r="J17" s="232">
        <f ca="1">J9*(基础信息!$B$26+土地增值税!$E$19)</f>
        <v>0</v>
      </c>
      <c r="K17" s="232">
        <f ca="1">K9*(基础信息!$B$26+土地增值税!$E$19)</f>
        <v>0</v>
      </c>
      <c r="L17" s="232">
        <f ca="1">L9*(基础信息!$B$26+土地增值税!$E$19)</f>
        <v>0</v>
      </c>
      <c r="M17" s="232">
        <f ca="1">M9*(基础信息!$B$26+土地增值税!$E$19)</f>
        <v>0</v>
      </c>
      <c r="N17" s="232">
        <f ca="1">N9*(基础信息!$B$26+土地增值税!$E$19)</f>
        <v>0</v>
      </c>
      <c r="O17" s="232">
        <f ca="1">O9*(基础信息!$B$26+土地增值税!$E$19)</f>
        <v>0</v>
      </c>
      <c r="P17" s="232">
        <f ca="1">P9*(基础信息!$B$26+土地增值税!$E$19)</f>
        <v>0</v>
      </c>
      <c r="Q17" s="232">
        <f ca="1">Q9*(基础信息!$B$26+土地增值税!$E$19)</f>
        <v>0</v>
      </c>
      <c r="R17" s="232">
        <f ca="1">R9*(基础信息!$B$26+土地增值税!$E$19)</f>
        <v>0</v>
      </c>
      <c r="S17" s="232">
        <f ca="1">S9*(基础信息!$B$26+土地增值税!$E$19)</f>
        <v>0</v>
      </c>
      <c r="T17" s="232">
        <f ca="1">T9*(基础信息!$B$26+土地增值税!$E$19)</f>
        <v>0</v>
      </c>
      <c r="U17" s="232">
        <f ca="1">U9*(基础信息!$B$26+土地增值税!$E$19)</f>
        <v>0</v>
      </c>
      <c r="V17" s="232">
        <f ca="1">V9*(基础信息!$B$26+土地增值税!$E$19)</f>
        <v>0</v>
      </c>
      <c r="W17" s="232">
        <f ca="1">W9*(基础信息!$B$26+土地增值税!$E$19)</f>
        <v>0</v>
      </c>
      <c r="X17" s="232">
        <f ca="1">X9*(基础信息!$B$26+土地增值税!$E$19)</f>
        <v>0</v>
      </c>
      <c r="Y17" s="232">
        <f ca="1">Y9*(基础信息!$B$26+土地增值税!$E$19)</f>
        <v>0</v>
      </c>
      <c r="Z17" s="232">
        <f ca="1">Z9*(基础信息!$B$26+土地增值税!$E$19)</f>
        <v>0</v>
      </c>
      <c r="AA17" s="232">
        <f ca="1">AA9*(基础信息!$B$26+土地增值税!$E$19)</f>
        <v>0</v>
      </c>
      <c r="AB17" s="232">
        <f ca="1">AB9*(基础信息!$B$26+土地增值税!$E$19)</f>
        <v>0</v>
      </c>
      <c r="AC17" s="232">
        <f ca="1">AC9*(基础信息!$B$26+土地增值税!$E$19)</f>
        <v>0</v>
      </c>
      <c r="AD17" s="232">
        <f ca="1">AD9*(基础信息!$B$26+土地增值税!$E$19)</f>
        <v>0</v>
      </c>
      <c r="AE17" s="232">
        <f ca="1">AE9*(基础信息!$B$26+土地增值税!$E$19)</f>
        <v>0</v>
      </c>
      <c r="AF17" s="232">
        <f ca="1">AF9*(基础信息!$B$26+土地增值税!$E$19)</f>
        <v>0</v>
      </c>
      <c r="AG17" s="232">
        <f ca="1">AG9*(基础信息!$B$26+土地增值税!$E$19)</f>
        <v>0</v>
      </c>
      <c r="AH17" s="232">
        <f ca="1">AH9*(基础信息!$B$26+土地增值税!$E$19)</f>
        <v>0</v>
      </c>
      <c r="AI17" s="232">
        <f ca="1">AI9*(基础信息!$B$26+土地增值税!$E$19)</f>
        <v>0</v>
      </c>
      <c r="AJ17" s="232">
        <f ca="1">AJ9*(基础信息!$B$26+土地增值税!$E$19)</f>
        <v>0</v>
      </c>
      <c r="AK17" s="232">
        <f ca="1">AK9*(基础信息!$B$26+土地增值税!$E$19)</f>
        <v>0</v>
      </c>
      <c r="AL17" s="232">
        <f ca="1">AL9*(基础信息!$B$26+土地增值税!$E$19)</f>
        <v>0</v>
      </c>
      <c r="AM17" s="232">
        <f ca="1">AM9*(基础信息!$B$26+土地增值税!$E$19)</f>
        <v>0</v>
      </c>
      <c r="AN17" s="232">
        <f ca="1">AN9*(基础信息!$B$26+土地增值税!$E$19)</f>
        <v>0</v>
      </c>
      <c r="AO17" s="232">
        <f ca="1">AO9*(基础信息!$B$26+土地增值税!$E$19)</f>
        <v>0</v>
      </c>
      <c r="AP17" s="232">
        <f ca="1">AP9*(基础信息!$B$26+土地增值税!$E$19)</f>
        <v>0</v>
      </c>
      <c r="AQ17" s="232">
        <f ca="1">AQ9*(基础信息!$B$26+土地增值税!$E$19)</f>
        <v>0</v>
      </c>
      <c r="AR17" s="232">
        <f ca="1">AR9*(基础信息!$B$26+土地增值税!$E$19)</f>
        <v>0</v>
      </c>
      <c r="AS17" s="232">
        <f ca="1">AS9*(基础信息!$B$26+土地增值税!$E$19)</f>
        <v>0</v>
      </c>
      <c r="AT17" s="232">
        <f ca="1">AT9*(基础信息!$B$26+土地增值税!$E$19)</f>
        <v>0</v>
      </c>
      <c r="AU17" s="232">
        <f ca="1">AU9*(基础信息!$B$26+土地增值税!$E$19)</f>
        <v>0</v>
      </c>
      <c r="AV17" s="232">
        <f ca="1">AV9*(基础信息!$B$26+土地增值税!$E$19)</f>
        <v>0</v>
      </c>
      <c r="AW17" s="232">
        <f ca="1">AW9*(基础信息!$B$26+土地增值税!$E$19)</f>
        <v>0</v>
      </c>
      <c r="AX17" s="232">
        <f ca="1">AX9*(基础信息!$B$26+土地增值税!$E$19)</f>
        <v>0</v>
      </c>
      <c r="AY17" s="232">
        <f ca="1">AY9*(基础信息!$B$26+土地增值税!$E$19)</f>
        <v>0</v>
      </c>
      <c r="AZ17" s="232">
        <f ca="1">AZ9*(基础信息!$B$26+土地增值税!$E$19)</f>
        <v>0</v>
      </c>
      <c r="BA17" s="232">
        <f ca="1">BA9*(基础信息!$B$26+土地增值税!$E$19)</f>
        <v>0</v>
      </c>
      <c r="BB17" s="232">
        <f ca="1">BB9*(基础信息!$B$26+土地增值税!$E$19)</f>
        <v>0</v>
      </c>
      <c r="BC17" s="232">
        <f ca="1">BC9*(基础信息!$B$26+土地增值税!$E$19)</f>
        <v>0</v>
      </c>
      <c r="BD17" s="232">
        <f ca="1">BD9*(基础信息!$B$26+土地增值税!$E$19)</f>
        <v>0</v>
      </c>
      <c r="BE17" s="232">
        <f ca="1">BE9*(基础信息!$B$26+土地增值税!$E$19)</f>
        <v>0</v>
      </c>
      <c r="BF17" s="232">
        <f ca="1">BF9*(基础信息!$B$26+土地增值税!$E$19)</f>
        <v>0</v>
      </c>
      <c r="BG17" s="232">
        <f ca="1">BG9*(基础信息!$B$26+土地增值税!$E$19)</f>
        <v>0</v>
      </c>
      <c r="BH17" s="232">
        <f ca="1">BH9*(基础信息!$B$26+土地增值税!$E$19)</f>
        <v>0</v>
      </c>
      <c r="BI17" s="232">
        <f ca="1">BI9*(基础信息!$B$26+土地增值税!$E$19)</f>
        <v>0</v>
      </c>
      <c r="BJ17" s="232">
        <f ca="1">BJ9*(基础信息!$B$26+土地增值税!$E$19)</f>
        <v>0</v>
      </c>
      <c r="BK17" s="232">
        <f ca="1">BK9*(基础信息!$B$26+土地增值税!$E$19)</f>
        <v>0</v>
      </c>
      <c r="BL17" s="232">
        <f ca="1">BL9*(基础信息!$B$26+土地增值税!$E$19)</f>
        <v>0</v>
      </c>
      <c r="BM17" s="232">
        <f ca="1">BM9*(基础信息!$B$26+土地增值税!$E$19)</f>
        <v>0</v>
      </c>
      <c r="BN17" s="232">
        <f ca="1">BN9*(基础信息!$B$26+土地增值税!$E$19)</f>
        <v>0</v>
      </c>
      <c r="BO17" s="232">
        <f ca="1">BO9*(基础信息!$B$26+土地增值税!$E$19)</f>
        <v>0</v>
      </c>
      <c r="BP17" s="232">
        <f ca="1">BP9*(基础信息!$B$26+土地增值税!$E$19)</f>
        <v>0</v>
      </c>
      <c r="BQ17" s="232">
        <f ca="1">BQ9*(基础信息!$B$26+土地增值税!$E$19)</f>
        <v>0</v>
      </c>
      <c r="BR17" s="232">
        <f ca="1">BR9*(基础信息!$B$26+土地增值税!$E$19)</f>
        <v>0</v>
      </c>
      <c r="BS17" s="232">
        <f ca="1">BS9*(基础信息!$B$26+土地增值税!$E$19)</f>
        <v>0</v>
      </c>
      <c r="BT17" s="232">
        <f ca="1">BT9*(基础信息!$B$26+土地增值税!$E$19)</f>
        <v>0</v>
      </c>
    </row>
    <row r="18" spans="1:72" outlineLevel="1">
      <c r="A18" s="230" t="str">
        <f>A10</f>
        <v>三期</v>
      </c>
      <c r="B18" s="231">
        <f t="shared" ca="1" si="19"/>
        <v>0</v>
      </c>
      <c r="C18" s="232">
        <f ca="1">C10*(基础信息!$B$26+土地增值税!$F$19)</f>
        <v>0</v>
      </c>
      <c r="D18" s="232">
        <f ca="1">G10*(基础信息!$B$26+土地增值税!$F$19)</f>
        <v>0</v>
      </c>
      <c r="E18" s="232">
        <f ca="1">E10*(基础信息!$B$26+土地增值税!$F$19)</f>
        <v>0</v>
      </c>
      <c r="F18" s="232">
        <f ca="1">F10*(基础信息!$B$26+土地增值税!$F$19)</f>
        <v>0</v>
      </c>
      <c r="G18" s="232">
        <f ca="1">G10*(基础信息!$B$26+土地增值税!$F$19)</f>
        <v>0</v>
      </c>
      <c r="H18" s="232">
        <f ca="1">H10*(基础信息!$B$26+土地增值税!$F$19)</f>
        <v>0</v>
      </c>
      <c r="I18" s="232">
        <f ca="1">I10*(基础信息!$B$26+土地增值税!$F$19)</f>
        <v>0</v>
      </c>
      <c r="J18" s="232">
        <f ca="1">J10*(基础信息!$B$26+土地增值税!$F$19)</f>
        <v>0</v>
      </c>
      <c r="K18" s="232">
        <f ca="1">K10*(基础信息!$B$26+土地增值税!$F$19)</f>
        <v>0</v>
      </c>
      <c r="L18" s="232">
        <f ca="1">L10*(基础信息!$B$26+土地增值税!$F$19)</f>
        <v>0</v>
      </c>
      <c r="M18" s="232">
        <f ca="1">M10*(基础信息!$B$26+土地增值税!$F$19)</f>
        <v>0</v>
      </c>
      <c r="N18" s="232">
        <f ca="1">N10*(基础信息!$B$26+土地增值税!$F$19)</f>
        <v>0</v>
      </c>
      <c r="O18" s="232">
        <f ca="1">O10*(基础信息!$B$26+土地增值税!$F$19)</f>
        <v>0</v>
      </c>
      <c r="P18" s="232">
        <f ca="1">P10*(基础信息!$B$26+土地增值税!$F$19)</f>
        <v>0</v>
      </c>
      <c r="Q18" s="232">
        <f ca="1">Q10*(基础信息!$B$26+土地增值税!$F$19)</f>
        <v>0</v>
      </c>
      <c r="R18" s="232">
        <f ca="1">R10*(基础信息!$B$26+土地增值税!$F$19)</f>
        <v>0</v>
      </c>
      <c r="S18" s="232">
        <f ca="1">S10*(基础信息!$B$26+土地增值税!$F$19)</f>
        <v>0</v>
      </c>
      <c r="T18" s="232">
        <f ca="1">T10*(基础信息!$B$26+土地增值税!$F$19)</f>
        <v>0</v>
      </c>
      <c r="U18" s="232">
        <f ca="1">U10*(基础信息!$B$26+土地增值税!$F$19)</f>
        <v>0</v>
      </c>
      <c r="V18" s="232">
        <f ca="1">V10*(基础信息!$B$26+土地增值税!$F$19)</f>
        <v>0</v>
      </c>
      <c r="W18" s="232">
        <f ca="1">W10*(基础信息!$B$26+土地增值税!$F$19)</f>
        <v>0</v>
      </c>
      <c r="X18" s="232">
        <f ca="1">X10*(基础信息!$B$26+土地增值税!$F$19)</f>
        <v>0</v>
      </c>
      <c r="Y18" s="232">
        <f ca="1">Y10*(基础信息!$B$26+土地增值税!$F$19)</f>
        <v>0</v>
      </c>
      <c r="Z18" s="232">
        <f ca="1">Z10*(基础信息!$B$26+土地增值税!$F$19)</f>
        <v>0</v>
      </c>
      <c r="AA18" s="232">
        <f ca="1">AA10*(基础信息!$B$26+土地增值税!$F$19)</f>
        <v>0</v>
      </c>
      <c r="AB18" s="232">
        <f ca="1">AB10*(基础信息!$B$26+土地增值税!$F$19)</f>
        <v>0</v>
      </c>
      <c r="AC18" s="232">
        <f ca="1">AC10*(基础信息!$B$26+土地增值税!$F$19)</f>
        <v>0</v>
      </c>
      <c r="AD18" s="232">
        <f ca="1">AD10*(基础信息!$B$26+土地增值税!$F$19)</f>
        <v>0</v>
      </c>
      <c r="AE18" s="232">
        <f ca="1">AE10*(基础信息!$B$26+土地增值税!$F$19)</f>
        <v>0</v>
      </c>
      <c r="AF18" s="232">
        <f ca="1">AF10*(基础信息!$B$26+土地增值税!$F$19)</f>
        <v>0</v>
      </c>
      <c r="AG18" s="232">
        <f ca="1">AG10*(基础信息!$B$26+土地增值税!$F$19)</f>
        <v>0</v>
      </c>
      <c r="AH18" s="232">
        <f ca="1">AH10*(基础信息!$B$26+土地增值税!$F$19)</f>
        <v>0</v>
      </c>
      <c r="AI18" s="232">
        <f ca="1">AI10*(基础信息!$B$26+土地增值税!$F$19)</f>
        <v>0</v>
      </c>
      <c r="AJ18" s="232">
        <f ca="1">AJ10*(基础信息!$B$26+土地增值税!$F$19)</f>
        <v>0</v>
      </c>
      <c r="AK18" s="232">
        <f ca="1">AK10*(基础信息!$B$26+土地增值税!$F$19)</f>
        <v>0</v>
      </c>
      <c r="AL18" s="232">
        <f ca="1">AL10*(基础信息!$B$26+土地增值税!$F$19)</f>
        <v>0</v>
      </c>
      <c r="AM18" s="232">
        <f ca="1">AM10*(基础信息!$B$26+土地增值税!$F$19)</f>
        <v>0</v>
      </c>
      <c r="AN18" s="232">
        <f ca="1">AN10*(基础信息!$B$26+土地增值税!$F$19)</f>
        <v>0</v>
      </c>
      <c r="AO18" s="232">
        <f ca="1">AO10*(基础信息!$B$26+土地增值税!$F$19)</f>
        <v>0</v>
      </c>
      <c r="AP18" s="232">
        <f ca="1">AP10*(基础信息!$B$26+土地增值税!$F$19)</f>
        <v>0</v>
      </c>
      <c r="AQ18" s="232">
        <f ca="1">AQ10*(基础信息!$B$26+土地增值税!$F$19)</f>
        <v>0</v>
      </c>
      <c r="AR18" s="232">
        <f ca="1">AR10*(基础信息!$B$26+土地增值税!$F$19)</f>
        <v>0</v>
      </c>
      <c r="AS18" s="232">
        <f ca="1">AS10*(基础信息!$B$26+土地增值税!$F$19)</f>
        <v>0</v>
      </c>
      <c r="AT18" s="232">
        <f ca="1">AT10*(基础信息!$B$26+土地增值税!$F$19)</f>
        <v>0</v>
      </c>
      <c r="AU18" s="232">
        <f ca="1">AU10*(基础信息!$B$26+土地增值税!$F$19)</f>
        <v>0</v>
      </c>
      <c r="AV18" s="232">
        <f ca="1">AV10*(基础信息!$B$26+土地增值税!$F$19)</f>
        <v>0</v>
      </c>
      <c r="AW18" s="232">
        <f ca="1">AW10*(基础信息!$B$26+土地增值税!$F$19)</f>
        <v>0</v>
      </c>
      <c r="AX18" s="232">
        <f ca="1">AX10*(基础信息!$B$26+土地增值税!$F$19)</f>
        <v>0</v>
      </c>
      <c r="AY18" s="232">
        <f ca="1">AY10*(基础信息!$B$26+土地增值税!$F$19)</f>
        <v>0</v>
      </c>
      <c r="AZ18" s="232">
        <f ca="1">AZ10*(基础信息!$B$26+土地增值税!$F$19)</f>
        <v>0</v>
      </c>
      <c r="BA18" s="232">
        <f ca="1">BA10*(基础信息!$B$26+土地增值税!$F$19)</f>
        <v>0</v>
      </c>
      <c r="BB18" s="232">
        <f ca="1">BB10*(基础信息!$B$26+土地增值税!$F$19)</f>
        <v>0</v>
      </c>
      <c r="BC18" s="232">
        <f ca="1">BC10*(基础信息!$B$26+土地增值税!$F$19)</f>
        <v>0</v>
      </c>
      <c r="BD18" s="232">
        <f ca="1">BD10*(基础信息!$B$26+土地增值税!$F$19)</f>
        <v>0</v>
      </c>
      <c r="BE18" s="232">
        <f ca="1">BE10*(基础信息!$B$26+土地增值税!$F$19)</f>
        <v>0</v>
      </c>
      <c r="BF18" s="232">
        <f ca="1">BF10*(基础信息!$B$26+土地增值税!$F$19)</f>
        <v>0</v>
      </c>
      <c r="BG18" s="232">
        <f ca="1">BG10*(基础信息!$B$26+土地增值税!$F$19)</f>
        <v>0</v>
      </c>
      <c r="BH18" s="232">
        <f ca="1">BH10*(基础信息!$B$26+土地增值税!$F$19)</f>
        <v>0</v>
      </c>
      <c r="BI18" s="232">
        <f ca="1">BI10*(基础信息!$B$26+土地增值税!$F$19)</f>
        <v>0</v>
      </c>
      <c r="BJ18" s="232">
        <f ca="1">BJ10*(基础信息!$B$26+土地增值税!$F$19)</f>
        <v>0</v>
      </c>
      <c r="BK18" s="232">
        <f ca="1">BK10*(基础信息!$B$26+土地增值税!$F$19)</f>
        <v>0</v>
      </c>
      <c r="BL18" s="232">
        <f ca="1">BL10*(基础信息!$B$26+土地增值税!$F$19)</f>
        <v>0</v>
      </c>
      <c r="BM18" s="232">
        <f ca="1">BM10*(基础信息!$B$26+土地增值税!$F$19)</f>
        <v>0</v>
      </c>
      <c r="BN18" s="232">
        <f ca="1">BN10*(基础信息!$B$26+土地增值税!$F$19)</f>
        <v>0</v>
      </c>
      <c r="BO18" s="232">
        <f ca="1">BO10*(基础信息!$B$26+土地增值税!$F$19)</f>
        <v>0</v>
      </c>
      <c r="BP18" s="232">
        <f ca="1">BP10*(基础信息!$B$26+土地增值税!$F$19)</f>
        <v>0</v>
      </c>
      <c r="BQ18" s="232">
        <f ca="1">BQ10*(基础信息!$B$26+土地增值税!$F$19)</f>
        <v>0</v>
      </c>
      <c r="BR18" s="232">
        <f ca="1">BR10*(基础信息!$B$26+土地增值税!$F$19)</f>
        <v>0</v>
      </c>
      <c r="BS18" s="232">
        <f ca="1">BS10*(基础信息!$B$26+土地增值税!$F$19)</f>
        <v>0</v>
      </c>
      <c r="BT18" s="232">
        <f ca="1">BT10*(基础信息!$B$26+土地增值税!$F$19)</f>
        <v>0</v>
      </c>
    </row>
    <row r="19" spans="1:72">
      <c r="A19" s="233" t="s">
        <v>294</v>
      </c>
      <c r="B19" s="234">
        <f ca="1">SUM(B20:B22)</f>
        <v>26393.368212175235</v>
      </c>
      <c r="C19" s="239">
        <f t="shared" ref="C19:AR19" ca="1" si="20">SUM(C20:C22)</f>
        <v>0</v>
      </c>
      <c r="D19" s="239">
        <f t="shared" ca="1" si="20"/>
        <v>0</v>
      </c>
      <c r="E19" s="239">
        <f t="shared" ca="1" si="20"/>
        <v>0</v>
      </c>
      <c r="F19" s="239">
        <f t="shared" ca="1" si="20"/>
        <v>0</v>
      </c>
      <c r="G19" s="239">
        <f t="shared" ca="1" si="20"/>
        <v>0</v>
      </c>
      <c r="H19" s="239">
        <f t="shared" ca="1" si="20"/>
        <v>0</v>
      </c>
      <c r="I19" s="239">
        <f t="shared" ca="1" si="20"/>
        <v>0</v>
      </c>
      <c r="J19" s="239">
        <f t="shared" ca="1" si="20"/>
        <v>0</v>
      </c>
      <c r="K19" s="239">
        <f t="shared" ca="1" si="20"/>
        <v>0</v>
      </c>
      <c r="L19" s="239">
        <f t="shared" ca="1" si="20"/>
        <v>0</v>
      </c>
      <c r="M19" s="239">
        <f t="shared" ca="1" si="20"/>
        <v>0</v>
      </c>
      <c r="N19" s="239">
        <f t="shared" ca="1" si="20"/>
        <v>0</v>
      </c>
      <c r="O19" s="239">
        <f t="shared" ca="1" si="20"/>
        <v>0</v>
      </c>
      <c r="P19" s="239">
        <f t="shared" ca="1" si="20"/>
        <v>0</v>
      </c>
      <c r="Q19" s="239">
        <f t="shared" ca="1" si="20"/>
        <v>0</v>
      </c>
      <c r="R19" s="239">
        <f t="shared" ca="1" si="20"/>
        <v>0</v>
      </c>
      <c r="S19" s="239">
        <f t="shared" ca="1" si="20"/>
        <v>0</v>
      </c>
      <c r="T19" s="239">
        <f t="shared" ca="1" si="20"/>
        <v>0</v>
      </c>
      <c r="U19" s="239">
        <f t="shared" ca="1" si="20"/>
        <v>0</v>
      </c>
      <c r="V19" s="239">
        <f t="shared" ca="1" si="20"/>
        <v>0</v>
      </c>
      <c r="W19" s="239">
        <f t="shared" ca="1" si="20"/>
        <v>0</v>
      </c>
      <c r="X19" s="239">
        <f t="shared" ca="1" si="20"/>
        <v>0</v>
      </c>
      <c r="Y19" s="239">
        <f t="shared" ca="1" si="20"/>
        <v>0</v>
      </c>
      <c r="Z19" s="239">
        <f t="shared" ca="1" si="20"/>
        <v>0</v>
      </c>
      <c r="AA19" s="239">
        <f t="shared" ref="AA19:AP19" ca="1" si="21">SUM(AA20:AA22)</f>
        <v>0</v>
      </c>
      <c r="AB19" s="239">
        <f t="shared" ca="1" si="21"/>
        <v>0</v>
      </c>
      <c r="AC19" s="239">
        <f t="shared" ca="1" si="21"/>
        <v>0</v>
      </c>
      <c r="AD19" s="239">
        <f t="shared" ca="1" si="21"/>
        <v>0</v>
      </c>
      <c r="AE19" s="239">
        <f t="shared" ca="1" si="21"/>
        <v>0</v>
      </c>
      <c r="AF19" s="239">
        <f t="shared" ca="1" si="21"/>
        <v>0</v>
      </c>
      <c r="AG19" s="239">
        <f t="shared" ca="1" si="21"/>
        <v>0</v>
      </c>
      <c r="AH19" s="239">
        <f t="shared" ca="1" si="21"/>
        <v>0</v>
      </c>
      <c r="AI19" s="239">
        <f t="shared" ca="1" si="21"/>
        <v>0</v>
      </c>
      <c r="AJ19" s="239">
        <f t="shared" ca="1" si="21"/>
        <v>0</v>
      </c>
      <c r="AK19" s="239">
        <f t="shared" ca="1" si="21"/>
        <v>0</v>
      </c>
      <c r="AL19" s="239">
        <f t="shared" ca="1" si="21"/>
        <v>0</v>
      </c>
      <c r="AM19" s="239">
        <f t="shared" ca="1" si="21"/>
        <v>0</v>
      </c>
      <c r="AN19" s="239">
        <f t="shared" ca="1" si="21"/>
        <v>0</v>
      </c>
      <c r="AO19" s="239">
        <f t="shared" ca="1" si="21"/>
        <v>0</v>
      </c>
      <c r="AP19" s="239">
        <f t="shared" ca="1" si="21"/>
        <v>0</v>
      </c>
      <c r="AQ19" s="239">
        <f t="shared" ca="1" si="20"/>
        <v>0</v>
      </c>
      <c r="AR19" s="239">
        <f t="shared" ca="1" si="20"/>
        <v>0</v>
      </c>
      <c r="AS19" s="239">
        <f t="shared" ref="AS19:BO19" ca="1" si="22">SUM(AS20:AS22)</f>
        <v>0</v>
      </c>
      <c r="AT19" s="239">
        <f t="shared" ca="1" si="22"/>
        <v>0</v>
      </c>
      <c r="AU19" s="239">
        <f t="shared" ca="1" si="22"/>
        <v>0</v>
      </c>
      <c r="AV19" s="239">
        <f t="shared" ca="1" si="22"/>
        <v>0</v>
      </c>
      <c r="AW19" s="239">
        <f t="shared" ca="1" si="22"/>
        <v>0</v>
      </c>
      <c r="AX19" s="239">
        <f t="shared" ca="1" si="22"/>
        <v>0</v>
      </c>
      <c r="AY19" s="239">
        <f t="shared" ca="1" si="22"/>
        <v>0</v>
      </c>
      <c r="AZ19" s="239">
        <f t="shared" ca="1" si="22"/>
        <v>0</v>
      </c>
      <c r="BA19" s="239">
        <f t="shared" ca="1" si="22"/>
        <v>0</v>
      </c>
      <c r="BB19" s="239">
        <f t="shared" ca="1" si="22"/>
        <v>0</v>
      </c>
      <c r="BC19" s="239">
        <f t="shared" ca="1" si="22"/>
        <v>0</v>
      </c>
      <c r="BD19" s="239">
        <f t="shared" ca="1" si="22"/>
        <v>0</v>
      </c>
      <c r="BE19" s="239">
        <f t="shared" ca="1" si="22"/>
        <v>0</v>
      </c>
      <c r="BF19" s="239">
        <f t="shared" ca="1" si="22"/>
        <v>0</v>
      </c>
      <c r="BG19" s="239">
        <f t="shared" ca="1" si="22"/>
        <v>0</v>
      </c>
      <c r="BH19" s="239">
        <f t="shared" ca="1" si="22"/>
        <v>0</v>
      </c>
      <c r="BI19" s="239">
        <f t="shared" ca="1" si="22"/>
        <v>0</v>
      </c>
      <c r="BJ19" s="239">
        <f t="shared" ca="1" si="22"/>
        <v>0</v>
      </c>
      <c r="BK19" s="239">
        <f t="shared" ca="1" si="22"/>
        <v>0</v>
      </c>
      <c r="BL19" s="239">
        <f t="shared" ca="1" si="22"/>
        <v>0</v>
      </c>
      <c r="BM19" s="239">
        <f t="shared" ca="1" si="22"/>
        <v>0</v>
      </c>
      <c r="BN19" s="239">
        <f t="shared" ca="1" si="22"/>
        <v>0</v>
      </c>
      <c r="BO19" s="239">
        <f t="shared" ca="1" si="22"/>
        <v>0</v>
      </c>
      <c r="BP19" s="239">
        <f t="shared" ref="BP19:BT19" ca="1" si="23">SUM(BP20:BP22)</f>
        <v>26393.368212175235</v>
      </c>
      <c r="BQ19" s="239">
        <f t="shared" ca="1" si="23"/>
        <v>0</v>
      </c>
      <c r="BR19" s="239">
        <f t="shared" ca="1" si="23"/>
        <v>0</v>
      </c>
      <c r="BS19" s="239">
        <f t="shared" ca="1" si="23"/>
        <v>0</v>
      </c>
      <c r="BT19" s="239">
        <f t="shared" ca="1" si="23"/>
        <v>0</v>
      </c>
    </row>
    <row r="20" spans="1:72" outlineLevel="1">
      <c r="A20" s="230" t="str">
        <f>A12</f>
        <v>一期</v>
      </c>
      <c r="B20" s="231">
        <f t="shared" ref="B20:B22" ca="1" si="24">SUM(C20:BT20)</f>
        <v>26393.368212175235</v>
      </c>
      <c r="C20" s="240">
        <f t="shared" ref="C20:AR20" ca="1" si="25">C8-C16-C12</f>
        <v>0</v>
      </c>
      <c r="D20" s="240">
        <f t="shared" ca="1" si="25"/>
        <v>0</v>
      </c>
      <c r="E20" s="240">
        <f t="shared" ca="1" si="25"/>
        <v>0</v>
      </c>
      <c r="F20" s="240">
        <f t="shared" ca="1" si="25"/>
        <v>0</v>
      </c>
      <c r="G20" s="240">
        <f t="shared" ca="1" si="25"/>
        <v>0</v>
      </c>
      <c r="H20" s="240">
        <f t="shared" ca="1" si="25"/>
        <v>0</v>
      </c>
      <c r="I20" s="240">
        <f t="shared" ca="1" si="25"/>
        <v>0</v>
      </c>
      <c r="J20" s="240">
        <f t="shared" ca="1" si="25"/>
        <v>0</v>
      </c>
      <c r="K20" s="240">
        <f t="shared" ca="1" si="25"/>
        <v>0</v>
      </c>
      <c r="L20" s="240">
        <f t="shared" ca="1" si="25"/>
        <v>0</v>
      </c>
      <c r="M20" s="240">
        <f t="shared" ca="1" si="25"/>
        <v>0</v>
      </c>
      <c r="N20" s="240">
        <f t="shared" ca="1" si="25"/>
        <v>0</v>
      </c>
      <c r="O20" s="240">
        <f t="shared" ca="1" si="25"/>
        <v>0</v>
      </c>
      <c r="P20" s="240">
        <f t="shared" ca="1" si="25"/>
        <v>0</v>
      </c>
      <c r="Q20" s="240">
        <f t="shared" ca="1" si="25"/>
        <v>0</v>
      </c>
      <c r="R20" s="240">
        <f t="shared" ca="1" si="25"/>
        <v>0</v>
      </c>
      <c r="S20" s="240">
        <f t="shared" ca="1" si="25"/>
        <v>0</v>
      </c>
      <c r="T20" s="240">
        <f t="shared" ca="1" si="25"/>
        <v>0</v>
      </c>
      <c r="U20" s="240">
        <f t="shared" ca="1" si="25"/>
        <v>0</v>
      </c>
      <c r="V20" s="240">
        <f t="shared" ca="1" si="25"/>
        <v>0</v>
      </c>
      <c r="W20" s="240">
        <f t="shared" ca="1" si="25"/>
        <v>0</v>
      </c>
      <c r="X20" s="240">
        <f t="shared" ca="1" si="25"/>
        <v>0</v>
      </c>
      <c r="Y20" s="240">
        <f t="shared" ca="1" si="25"/>
        <v>0</v>
      </c>
      <c r="Z20" s="240">
        <f t="shared" ca="1" si="25"/>
        <v>0</v>
      </c>
      <c r="AA20" s="240">
        <f t="shared" ref="AA20:AP20" ca="1" si="26">AA8-AA16-AA12</f>
        <v>0</v>
      </c>
      <c r="AB20" s="240">
        <f t="shared" ca="1" si="26"/>
        <v>0</v>
      </c>
      <c r="AC20" s="240">
        <f t="shared" ca="1" si="26"/>
        <v>0</v>
      </c>
      <c r="AD20" s="240">
        <f t="shared" ca="1" si="26"/>
        <v>0</v>
      </c>
      <c r="AE20" s="240">
        <f t="shared" ca="1" si="26"/>
        <v>0</v>
      </c>
      <c r="AF20" s="240">
        <f t="shared" ca="1" si="26"/>
        <v>0</v>
      </c>
      <c r="AG20" s="240">
        <f t="shared" ca="1" si="26"/>
        <v>0</v>
      </c>
      <c r="AH20" s="240">
        <f t="shared" ca="1" si="26"/>
        <v>0</v>
      </c>
      <c r="AI20" s="240">
        <f t="shared" ca="1" si="26"/>
        <v>0</v>
      </c>
      <c r="AJ20" s="240">
        <f t="shared" ca="1" si="26"/>
        <v>0</v>
      </c>
      <c r="AK20" s="240">
        <f t="shared" ca="1" si="26"/>
        <v>0</v>
      </c>
      <c r="AL20" s="240">
        <f t="shared" ca="1" si="26"/>
        <v>0</v>
      </c>
      <c r="AM20" s="240">
        <f t="shared" ca="1" si="26"/>
        <v>0</v>
      </c>
      <c r="AN20" s="240">
        <f t="shared" ca="1" si="26"/>
        <v>0</v>
      </c>
      <c r="AO20" s="240">
        <f t="shared" ca="1" si="26"/>
        <v>0</v>
      </c>
      <c r="AP20" s="240">
        <f t="shared" ca="1" si="26"/>
        <v>0</v>
      </c>
      <c r="AQ20" s="240">
        <f t="shared" ca="1" si="25"/>
        <v>0</v>
      </c>
      <c r="AR20" s="240">
        <f t="shared" ca="1" si="25"/>
        <v>0</v>
      </c>
      <c r="AS20" s="240">
        <f t="shared" ref="AS20:BO20" ca="1" si="27">AS8-AS16-AS12</f>
        <v>0</v>
      </c>
      <c r="AT20" s="240">
        <f t="shared" ca="1" si="27"/>
        <v>0</v>
      </c>
      <c r="AU20" s="240">
        <f t="shared" ca="1" si="27"/>
        <v>0</v>
      </c>
      <c r="AV20" s="240">
        <f t="shared" ca="1" si="27"/>
        <v>0</v>
      </c>
      <c r="AW20" s="240">
        <f t="shared" ca="1" si="27"/>
        <v>0</v>
      </c>
      <c r="AX20" s="240">
        <f t="shared" ca="1" si="27"/>
        <v>0</v>
      </c>
      <c r="AY20" s="240">
        <f t="shared" ca="1" si="27"/>
        <v>0</v>
      </c>
      <c r="AZ20" s="240">
        <f t="shared" ca="1" si="27"/>
        <v>0</v>
      </c>
      <c r="BA20" s="240">
        <f t="shared" ca="1" si="27"/>
        <v>0</v>
      </c>
      <c r="BB20" s="240">
        <f t="shared" ca="1" si="27"/>
        <v>0</v>
      </c>
      <c r="BC20" s="240">
        <f t="shared" ca="1" si="27"/>
        <v>0</v>
      </c>
      <c r="BD20" s="240">
        <f t="shared" ca="1" si="27"/>
        <v>0</v>
      </c>
      <c r="BE20" s="240">
        <f t="shared" ca="1" si="27"/>
        <v>0</v>
      </c>
      <c r="BF20" s="240">
        <f t="shared" ca="1" si="27"/>
        <v>0</v>
      </c>
      <c r="BG20" s="240">
        <f t="shared" ca="1" si="27"/>
        <v>0</v>
      </c>
      <c r="BH20" s="240">
        <f t="shared" ca="1" si="27"/>
        <v>0</v>
      </c>
      <c r="BI20" s="240">
        <f t="shared" ca="1" si="27"/>
        <v>0</v>
      </c>
      <c r="BJ20" s="240">
        <f t="shared" ca="1" si="27"/>
        <v>0</v>
      </c>
      <c r="BK20" s="240">
        <f t="shared" ca="1" si="27"/>
        <v>0</v>
      </c>
      <c r="BL20" s="240">
        <f t="shared" ca="1" si="27"/>
        <v>0</v>
      </c>
      <c r="BM20" s="240">
        <f t="shared" ca="1" si="27"/>
        <v>0</v>
      </c>
      <c r="BN20" s="240">
        <f t="shared" ca="1" si="27"/>
        <v>0</v>
      </c>
      <c r="BO20" s="240">
        <f t="shared" ca="1" si="27"/>
        <v>0</v>
      </c>
      <c r="BP20" s="240">
        <f t="shared" ref="BP20:BT20" ca="1" si="28">BP8-BP16-BP12</f>
        <v>26393.368212175235</v>
      </c>
      <c r="BQ20" s="240">
        <f t="shared" ca="1" si="28"/>
        <v>0</v>
      </c>
      <c r="BR20" s="240">
        <f t="shared" ca="1" si="28"/>
        <v>0</v>
      </c>
      <c r="BS20" s="240">
        <f t="shared" ca="1" si="28"/>
        <v>0</v>
      </c>
      <c r="BT20" s="240">
        <f t="shared" ca="1" si="28"/>
        <v>0</v>
      </c>
    </row>
    <row r="21" spans="1:72" outlineLevel="1">
      <c r="A21" s="230" t="str">
        <f>A13</f>
        <v>二期</v>
      </c>
      <c r="B21" s="231">
        <f t="shared" ca="1" si="24"/>
        <v>0</v>
      </c>
      <c r="C21" s="240">
        <f t="shared" ref="C21:AR21" ca="1" si="29">C9-C17-C13</f>
        <v>0</v>
      </c>
      <c r="D21" s="240">
        <f t="shared" ca="1" si="29"/>
        <v>0</v>
      </c>
      <c r="E21" s="240">
        <f t="shared" ca="1" si="29"/>
        <v>0</v>
      </c>
      <c r="F21" s="240">
        <f t="shared" ca="1" si="29"/>
        <v>0</v>
      </c>
      <c r="G21" s="240">
        <f t="shared" ca="1" si="29"/>
        <v>0</v>
      </c>
      <c r="H21" s="240">
        <f t="shared" ca="1" si="29"/>
        <v>0</v>
      </c>
      <c r="I21" s="240">
        <f t="shared" ca="1" si="29"/>
        <v>0</v>
      </c>
      <c r="J21" s="240">
        <f t="shared" ca="1" si="29"/>
        <v>0</v>
      </c>
      <c r="K21" s="240">
        <f t="shared" ca="1" si="29"/>
        <v>0</v>
      </c>
      <c r="L21" s="240">
        <f t="shared" ca="1" si="29"/>
        <v>0</v>
      </c>
      <c r="M21" s="240">
        <f t="shared" ca="1" si="29"/>
        <v>0</v>
      </c>
      <c r="N21" s="240">
        <f t="shared" ca="1" si="29"/>
        <v>0</v>
      </c>
      <c r="O21" s="240">
        <f t="shared" ca="1" si="29"/>
        <v>0</v>
      </c>
      <c r="P21" s="240">
        <f t="shared" ca="1" si="29"/>
        <v>0</v>
      </c>
      <c r="Q21" s="240">
        <f t="shared" ca="1" si="29"/>
        <v>0</v>
      </c>
      <c r="R21" s="240">
        <f t="shared" ca="1" si="29"/>
        <v>0</v>
      </c>
      <c r="S21" s="240">
        <f t="shared" ca="1" si="29"/>
        <v>0</v>
      </c>
      <c r="T21" s="240">
        <f t="shared" ca="1" si="29"/>
        <v>0</v>
      </c>
      <c r="U21" s="240">
        <f t="shared" ca="1" si="29"/>
        <v>0</v>
      </c>
      <c r="V21" s="240">
        <f t="shared" ca="1" si="29"/>
        <v>0</v>
      </c>
      <c r="W21" s="240">
        <f t="shared" ca="1" si="29"/>
        <v>0</v>
      </c>
      <c r="X21" s="240">
        <f t="shared" ca="1" si="29"/>
        <v>0</v>
      </c>
      <c r="Y21" s="240">
        <f t="shared" ca="1" si="29"/>
        <v>0</v>
      </c>
      <c r="Z21" s="240">
        <f t="shared" ca="1" si="29"/>
        <v>0</v>
      </c>
      <c r="AA21" s="240">
        <f t="shared" ref="AA21:AP21" ca="1" si="30">AA9-AA17-AA13</f>
        <v>0</v>
      </c>
      <c r="AB21" s="240">
        <f t="shared" ca="1" si="30"/>
        <v>0</v>
      </c>
      <c r="AC21" s="240">
        <f t="shared" ca="1" si="30"/>
        <v>0</v>
      </c>
      <c r="AD21" s="240">
        <f t="shared" ca="1" si="30"/>
        <v>0</v>
      </c>
      <c r="AE21" s="240">
        <f t="shared" ca="1" si="30"/>
        <v>0</v>
      </c>
      <c r="AF21" s="240">
        <f t="shared" ca="1" si="30"/>
        <v>0</v>
      </c>
      <c r="AG21" s="240">
        <f t="shared" ca="1" si="30"/>
        <v>0</v>
      </c>
      <c r="AH21" s="240">
        <f t="shared" ca="1" si="30"/>
        <v>0</v>
      </c>
      <c r="AI21" s="240">
        <f t="shared" ca="1" si="30"/>
        <v>0</v>
      </c>
      <c r="AJ21" s="240">
        <f t="shared" ca="1" si="30"/>
        <v>0</v>
      </c>
      <c r="AK21" s="240">
        <f t="shared" ca="1" si="30"/>
        <v>0</v>
      </c>
      <c r="AL21" s="240">
        <f t="shared" ca="1" si="30"/>
        <v>0</v>
      </c>
      <c r="AM21" s="240">
        <f t="shared" ca="1" si="30"/>
        <v>0</v>
      </c>
      <c r="AN21" s="240">
        <f t="shared" ca="1" si="30"/>
        <v>0</v>
      </c>
      <c r="AO21" s="240">
        <f t="shared" ca="1" si="30"/>
        <v>0</v>
      </c>
      <c r="AP21" s="240">
        <f t="shared" ca="1" si="30"/>
        <v>0</v>
      </c>
      <c r="AQ21" s="240">
        <f t="shared" ca="1" si="29"/>
        <v>0</v>
      </c>
      <c r="AR21" s="240">
        <f t="shared" ca="1" si="29"/>
        <v>0</v>
      </c>
      <c r="AS21" s="240">
        <f t="shared" ref="AS21:BO21" ca="1" si="31">AS9-AS17-AS13</f>
        <v>0</v>
      </c>
      <c r="AT21" s="240">
        <f t="shared" ca="1" si="31"/>
        <v>0</v>
      </c>
      <c r="AU21" s="240">
        <f t="shared" ca="1" si="31"/>
        <v>0</v>
      </c>
      <c r="AV21" s="240">
        <f t="shared" ca="1" si="31"/>
        <v>0</v>
      </c>
      <c r="AW21" s="240">
        <f t="shared" ca="1" si="31"/>
        <v>0</v>
      </c>
      <c r="AX21" s="240">
        <f t="shared" ca="1" si="31"/>
        <v>0</v>
      </c>
      <c r="AY21" s="240">
        <f t="shared" ca="1" si="31"/>
        <v>0</v>
      </c>
      <c r="AZ21" s="240">
        <f t="shared" ca="1" si="31"/>
        <v>0</v>
      </c>
      <c r="BA21" s="240">
        <f t="shared" ca="1" si="31"/>
        <v>0</v>
      </c>
      <c r="BB21" s="240">
        <f t="shared" ca="1" si="31"/>
        <v>0</v>
      </c>
      <c r="BC21" s="240">
        <f t="shared" ca="1" si="31"/>
        <v>0</v>
      </c>
      <c r="BD21" s="240">
        <f t="shared" ca="1" si="31"/>
        <v>0</v>
      </c>
      <c r="BE21" s="240">
        <f t="shared" ca="1" si="31"/>
        <v>0</v>
      </c>
      <c r="BF21" s="240">
        <f t="shared" ca="1" si="31"/>
        <v>0</v>
      </c>
      <c r="BG21" s="240">
        <f t="shared" ca="1" si="31"/>
        <v>0</v>
      </c>
      <c r="BH21" s="240">
        <f t="shared" ca="1" si="31"/>
        <v>0</v>
      </c>
      <c r="BI21" s="240">
        <f t="shared" ca="1" si="31"/>
        <v>0</v>
      </c>
      <c r="BJ21" s="240">
        <f t="shared" ca="1" si="31"/>
        <v>0</v>
      </c>
      <c r="BK21" s="240">
        <f t="shared" ca="1" si="31"/>
        <v>0</v>
      </c>
      <c r="BL21" s="240">
        <f t="shared" ca="1" si="31"/>
        <v>0</v>
      </c>
      <c r="BM21" s="240">
        <f t="shared" ca="1" si="31"/>
        <v>0</v>
      </c>
      <c r="BN21" s="240">
        <f t="shared" ca="1" si="31"/>
        <v>0</v>
      </c>
      <c r="BO21" s="240">
        <f t="shared" ca="1" si="31"/>
        <v>0</v>
      </c>
      <c r="BP21" s="240">
        <f t="shared" ref="BP21:BT21" ca="1" si="32">BP9-BP17-BP13</f>
        <v>0</v>
      </c>
      <c r="BQ21" s="240">
        <f t="shared" ca="1" si="32"/>
        <v>0</v>
      </c>
      <c r="BR21" s="240">
        <f t="shared" ca="1" si="32"/>
        <v>0</v>
      </c>
      <c r="BS21" s="240">
        <f t="shared" ca="1" si="32"/>
        <v>0</v>
      </c>
      <c r="BT21" s="240">
        <f t="shared" ca="1" si="32"/>
        <v>0</v>
      </c>
    </row>
    <row r="22" spans="1:72" outlineLevel="1">
      <c r="A22" s="230" t="str">
        <f>A14</f>
        <v>三期</v>
      </c>
      <c r="B22" s="231">
        <f t="shared" ca="1" si="24"/>
        <v>0</v>
      </c>
      <c r="C22" s="240">
        <f t="shared" ref="C22:AR22" ca="1" si="33">C10-C18-C14</f>
        <v>0</v>
      </c>
      <c r="D22" s="240">
        <f t="shared" ca="1" si="33"/>
        <v>0</v>
      </c>
      <c r="E22" s="240">
        <f t="shared" ca="1" si="33"/>
        <v>0</v>
      </c>
      <c r="F22" s="240">
        <f t="shared" ca="1" si="33"/>
        <v>0</v>
      </c>
      <c r="G22" s="240">
        <f t="shared" ca="1" si="33"/>
        <v>0</v>
      </c>
      <c r="H22" s="240">
        <f t="shared" ca="1" si="33"/>
        <v>0</v>
      </c>
      <c r="I22" s="240">
        <f t="shared" ca="1" si="33"/>
        <v>0</v>
      </c>
      <c r="J22" s="240">
        <f t="shared" ca="1" si="33"/>
        <v>0</v>
      </c>
      <c r="K22" s="240">
        <f t="shared" ca="1" si="33"/>
        <v>0</v>
      </c>
      <c r="L22" s="240">
        <f t="shared" ca="1" si="33"/>
        <v>0</v>
      </c>
      <c r="M22" s="240">
        <f t="shared" ca="1" si="33"/>
        <v>0</v>
      </c>
      <c r="N22" s="240">
        <f t="shared" ca="1" si="33"/>
        <v>0</v>
      </c>
      <c r="O22" s="240">
        <f t="shared" ca="1" si="33"/>
        <v>0</v>
      </c>
      <c r="P22" s="240">
        <f t="shared" ca="1" si="33"/>
        <v>0</v>
      </c>
      <c r="Q22" s="240">
        <f t="shared" ca="1" si="33"/>
        <v>0</v>
      </c>
      <c r="R22" s="240">
        <f t="shared" ca="1" si="33"/>
        <v>0</v>
      </c>
      <c r="S22" s="240">
        <f t="shared" ca="1" si="33"/>
        <v>0</v>
      </c>
      <c r="T22" s="240">
        <f t="shared" ca="1" si="33"/>
        <v>0</v>
      </c>
      <c r="U22" s="240">
        <f t="shared" ca="1" si="33"/>
        <v>0</v>
      </c>
      <c r="V22" s="240">
        <f t="shared" ca="1" si="33"/>
        <v>0</v>
      </c>
      <c r="W22" s="240">
        <f t="shared" ca="1" si="33"/>
        <v>0</v>
      </c>
      <c r="X22" s="240">
        <f t="shared" ca="1" si="33"/>
        <v>0</v>
      </c>
      <c r="Y22" s="240">
        <f t="shared" ca="1" si="33"/>
        <v>0</v>
      </c>
      <c r="Z22" s="240">
        <f t="shared" ca="1" si="33"/>
        <v>0</v>
      </c>
      <c r="AA22" s="240">
        <f t="shared" ref="AA22:AP22" ca="1" si="34">AA10-AA18-AA14</f>
        <v>0</v>
      </c>
      <c r="AB22" s="240">
        <f t="shared" ca="1" si="34"/>
        <v>0</v>
      </c>
      <c r="AC22" s="240">
        <f t="shared" ca="1" si="34"/>
        <v>0</v>
      </c>
      <c r="AD22" s="240">
        <f t="shared" ca="1" si="34"/>
        <v>0</v>
      </c>
      <c r="AE22" s="240">
        <f t="shared" ca="1" si="34"/>
        <v>0</v>
      </c>
      <c r="AF22" s="240">
        <f t="shared" ca="1" si="34"/>
        <v>0</v>
      </c>
      <c r="AG22" s="240">
        <f t="shared" ca="1" si="34"/>
        <v>0</v>
      </c>
      <c r="AH22" s="240">
        <f t="shared" ca="1" si="34"/>
        <v>0</v>
      </c>
      <c r="AI22" s="240">
        <f t="shared" ca="1" si="34"/>
        <v>0</v>
      </c>
      <c r="AJ22" s="240">
        <f t="shared" ca="1" si="34"/>
        <v>0</v>
      </c>
      <c r="AK22" s="240">
        <f t="shared" ca="1" si="34"/>
        <v>0</v>
      </c>
      <c r="AL22" s="240">
        <f t="shared" ca="1" si="34"/>
        <v>0</v>
      </c>
      <c r="AM22" s="240">
        <f t="shared" ca="1" si="34"/>
        <v>0</v>
      </c>
      <c r="AN22" s="240">
        <f t="shared" ca="1" si="34"/>
        <v>0</v>
      </c>
      <c r="AO22" s="240">
        <f t="shared" ca="1" si="34"/>
        <v>0</v>
      </c>
      <c r="AP22" s="240">
        <f t="shared" ca="1" si="34"/>
        <v>0</v>
      </c>
      <c r="AQ22" s="240">
        <f t="shared" ca="1" si="33"/>
        <v>0</v>
      </c>
      <c r="AR22" s="240">
        <f t="shared" ca="1" si="33"/>
        <v>0</v>
      </c>
      <c r="AS22" s="240">
        <f t="shared" ref="AS22:BO22" ca="1" si="35">AS10-AS18-AS14</f>
        <v>0</v>
      </c>
      <c r="AT22" s="240">
        <f t="shared" ca="1" si="35"/>
        <v>0</v>
      </c>
      <c r="AU22" s="240">
        <f t="shared" ca="1" si="35"/>
        <v>0</v>
      </c>
      <c r="AV22" s="240">
        <f t="shared" ca="1" si="35"/>
        <v>0</v>
      </c>
      <c r="AW22" s="240">
        <f t="shared" ca="1" si="35"/>
        <v>0</v>
      </c>
      <c r="AX22" s="240">
        <f t="shared" ca="1" si="35"/>
        <v>0</v>
      </c>
      <c r="AY22" s="240">
        <f t="shared" ca="1" si="35"/>
        <v>0</v>
      </c>
      <c r="AZ22" s="240">
        <f t="shared" ca="1" si="35"/>
        <v>0</v>
      </c>
      <c r="BA22" s="240">
        <f t="shared" ca="1" si="35"/>
        <v>0</v>
      </c>
      <c r="BB22" s="240">
        <f t="shared" ca="1" si="35"/>
        <v>0</v>
      </c>
      <c r="BC22" s="240">
        <f t="shared" ca="1" si="35"/>
        <v>0</v>
      </c>
      <c r="BD22" s="240">
        <f t="shared" ca="1" si="35"/>
        <v>0</v>
      </c>
      <c r="BE22" s="240">
        <f t="shared" ca="1" si="35"/>
        <v>0</v>
      </c>
      <c r="BF22" s="240">
        <f t="shared" ca="1" si="35"/>
        <v>0</v>
      </c>
      <c r="BG22" s="240">
        <f t="shared" ca="1" si="35"/>
        <v>0</v>
      </c>
      <c r="BH22" s="240">
        <f t="shared" ca="1" si="35"/>
        <v>0</v>
      </c>
      <c r="BI22" s="240">
        <f t="shared" ca="1" si="35"/>
        <v>0</v>
      </c>
      <c r="BJ22" s="240">
        <f t="shared" ca="1" si="35"/>
        <v>0</v>
      </c>
      <c r="BK22" s="240">
        <f t="shared" ca="1" si="35"/>
        <v>0</v>
      </c>
      <c r="BL22" s="240">
        <f t="shared" ca="1" si="35"/>
        <v>0</v>
      </c>
      <c r="BM22" s="240">
        <f t="shared" ca="1" si="35"/>
        <v>0</v>
      </c>
      <c r="BN22" s="240">
        <f t="shared" ca="1" si="35"/>
        <v>0</v>
      </c>
      <c r="BO22" s="240">
        <f t="shared" ca="1" si="35"/>
        <v>0</v>
      </c>
      <c r="BP22" s="240">
        <f t="shared" ref="BP22:BT22" ca="1" si="36">BP10-BP18-BP14</f>
        <v>0</v>
      </c>
      <c r="BQ22" s="240">
        <f t="shared" ca="1" si="36"/>
        <v>0</v>
      </c>
      <c r="BR22" s="240">
        <f t="shared" ca="1" si="36"/>
        <v>0</v>
      </c>
      <c r="BS22" s="240">
        <f t="shared" ca="1" si="36"/>
        <v>0</v>
      </c>
      <c r="BT22" s="240">
        <f t="shared" ca="1" si="36"/>
        <v>0</v>
      </c>
    </row>
    <row r="23" spans="1:72">
      <c r="A23" s="233" t="s">
        <v>958</v>
      </c>
      <c r="B23" s="239">
        <f>(地价分摊表!J16)*0.25/0.75</f>
        <v>0</v>
      </c>
      <c r="C23" s="239">
        <f>C7/$B$7*$B$23</f>
        <v>0</v>
      </c>
      <c r="D23" s="239">
        <f t="shared" ref="D23:AR23" si="37">D7/$B$7*$B$23</f>
        <v>0</v>
      </c>
      <c r="E23" s="239">
        <f t="shared" si="37"/>
        <v>0</v>
      </c>
      <c r="F23" s="239">
        <f t="shared" si="37"/>
        <v>0</v>
      </c>
      <c r="G23" s="239">
        <f t="shared" si="37"/>
        <v>0</v>
      </c>
      <c r="H23" s="239">
        <f t="shared" si="37"/>
        <v>0</v>
      </c>
      <c r="I23" s="239">
        <f t="shared" si="37"/>
        <v>0</v>
      </c>
      <c r="J23" s="239">
        <f t="shared" si="37"/>
        <v>0</v>
      </c>
      <c r="K23" s="239">
        <f t="shared" si="37"/>
        <v>0</v>
      </c>
      <c r="L23" s="239">
        <f t="shared" si="37"/>
        <v>0</v>
      </c>
      <c r="M23" s="239">
        <f t="shared" si="37"/>
        <v>0</v>
      </c>
      <c r="N23" s="239">
        <f t="shared" si="37"/>
        <v>0</v>
      </c>
      <c r="O23" s="239">
        <f t="shared" si="37"/>
        <v>0</v>
      </c>
      <c r="P23" s="239">
        <f t="shared" si="37"/>
        <v>0</v>
      </c>
      <c r="Q23" s="239">
        <f t="shared" si="37"/>
        <v>0</v>
      </c>
      <c r="R23" s="239">
        <f t="shared" si="37"/>
        <v>0</v>
      </c>
      <c r="S23" s="239">
        <f t="shared" si="37"/>
        <v>0</v>
      </c>
      <c r="T23" s="239">
        <f t="shared" si="37"/>
        <v>0</v>
      </c>
      <c r="U23" s="239">
        <f t="shared" si="37"/>
        <v>0</v>
      </c>
      <c r="V23" s="239">
        <f t="shared" si="37"/>
        <v>0</v>
      </c>
      <c r="W23" s="239">
        <f t="shared" si="37"/>
        <v>0</v>
      </c>
      <c r="X23" s="239">
        <f t="shared" si="37"/>
        <v>0</v>
      </c>
      <c r="Y23" s="239">
        <f t="shared" si="37"/>
        <v>0</v>
      </c>
      <c r="Z23" s="239">
        <f t="shared" si="37"/>
        <v>0</v>
      </c>
      <c r="AA23" s="239">
        <f t="shared" ref="AA23:AP23" si="38">AA7/$B$7*$B$23</f>
        <v>0</v>
      </c>
      <c r="AB23" s="239">
        <f t="shared" si="38"/>
        <v>0</v>
      </c>
      <c r="AC23" s="239">
        <f t="shared" si="38"/>
        <v>0</v>
      </c>
      <c r="AD23" s="239">
        <f t="shared" si="38"/>
        <v>0</v>
      </c>
      <c r="AE23" s="239">
        <f t="shared" si="38"/>
        <v>0</v>
      </c>
      <c r="AF23" s="239">
        <f t="shared" si="38"/>
        <v>0</v>
      </c>
      <c r="AG23" s="239">
        <f t="shared" si="38"/>
        <v>0</v>
      </c>
      <c r="AH23" s="239">
        <f t="shared" si="38"/>
        <v>0</v>
      </c>
      <c r="AI23" s="239">
        <f t="shared" si="38"/>
        <v>0</v>
      </c>
      <c r="AJ23" s="239">
        <f t="shared" si="38"/>
        <v>0</v>
      </c>
      <c r="AK23" s="239">
        <f t="shared" si="38"/>
        <v>0</v>
      </c>
      <c r="AL23" s="239">
        <f t="shared" si="38"/>
        <v>0</v>
      </c>
      <c r="AM23" s="239">
        <f t="shared" si="38"/>
        <v>0</v>
      </c>
      <c r="AN23" s="239">
        <f t="shared" si="38"/>
        <v>0</v>
      </c>
      <c r="AO23" s="239">
        <f t="shared" si="38"/>
        <v>0</v>
      </c>
      <c r="AP23" s="239">
        <f t="shared" si="38"/>
        <v>0</v>
      </c>
      <c r="AQ23" s="239">
        <f t="shared" si="37"/>
        <v>0</v>
      </c>
      <c r="AR23" s="239">
        <f t="shared" si="37"/>
        <v>0</v>
      </c>
      <c r="AS23" s="239">
        <f t="shared" ref="AS23:BO23" si="39">AS7/$B$7*$B$23</f>
        <v>0</v>
      </c>
      <c r="AT23" s="239">
        <f t="shared" si="39"/>
        <v>0</v>
      </c>
      <c r="AU23" s="239">
        <f t="shared" si="39"/>
        <v>0</v>
      </c>
      <c r="AV23" s="239">
        <f t="shared" si="39"/>
        <v>0</v>
      </c>
      <c r="AW23" s="239">
        <f t="shared" si="39"/>
        <v>0</v>
      </c>
      <c r="AX23" s="239">
        <f t="shared" si="39"/>
        <v>0</v>
      </c>
      <c r="AY23" s="239">
        <f t="shared" si="39"/>
        <v>0</v>
      </c>
      <c r="AZ23" s="239">
        <f t="shared" si="39"/>
        <v>0</v>
      </c>
      <c r="BA23" s="239">
        <f t="shared" si="39"/>
        <v>0</v>
      </c>
      <c r="BB23" s="239">
        <f t="shared" si="39"/>
        <v>0</v>
      </c>
      <c r="BC23" s="239">
        <f t="shared" si="39"/>
        <v>0</v>
      </c>
      <c r="BD23" s="239">
        <f t="shared" si="39"/>
        <v>0</v>
      </c>
      <c r="BE23" s="239">
        <f t="shared" si="39"/>
        <v>0</v>
      </c>
      <c r="BF23" s="239">
        <f t="shared" si="39"/>
        <v>0</v>
      </c>
      <c r="BG23" s="239">
        <f t="shared" si="39"/>
        <v>0</v>
      </c>
      <c r="BH23" s="239">
        <f t="shared" si="39"/>
        <v>0</v>
      </c>
      <c r="BI23" s="239">
        <f t="shared" si="39"/>
        <v>0</v>
      </c>
      <c r="BJ23" s="239">
        <f t="shared" si="39"/>
        <v>0</v>
      </c>
      <c r="BK23" s="239">
        <f t="shared" si="39"/>
        <v>0</v>
      </c>
      <c r="BL23" s="239">
        <f t="shared" si="39"/>
        <v>0</v>
      </c>
      <c r="BM23" s="239">
        <f t="shared" si="39"/>
        <v>0</v>
      </c>
      <c r="BN23" s="239">
        <f t="shared" si="39"/>
        <v>0</v>
      </c>
      <c r="BO23" s="239">
        <f t="shared" si="39"/>
        <v>0</v>
      </c>
      <c r="BP23" s="239">
        <f t="shared" ref="BP23:BT23" si="40">BP7/$B$7*$B$23</f>
        <v>0</v>
      </c>
      <c r="BQ23" s="239">
        <f t="shared" si="40"/>
        <v>0</v>
      </c>
      <c r="BR23" s="239">
        <f t="shared" si="40"/>
        <v>0</v>
      </c>
      <c r="BS23" s="239">
        <f t="shared" si="40"/>
        <v>0</v>
      </c>
      <c r="BT23" s="239">
        <f t="shared" si="40"/>
        <v>0</v>
      </c>
    </row>
    <row r="24" spans="1:72">
      <c r="A24" s="233" t="s">
        <v>53</v>
      </c>
      <c r="B24" s="239">
        <f t="shared" ref="B24:Z24" si="41">SUM(B25:B26)</f>
        <v>5726.84646195</v>
      </c>
      <c r="C24" s="239">
        <f t="shared" si="41"/>
        <v>0</v>
      </c>
      <c r="D24" s="239">
        <f t="shared" si="41"/>
        <v>0</v>
      </c>
      <c r="E24" s="239">
        <f t="shared" si="41"/>
        <v>0</v>
      </c>
      <c r="F24" s="239">
        <f t="shared" si="41"/>
        <v>0</v>
      </c>
      <c r="G24" s="239">
        <f t="shared" si="41"/>
        <v>0</v>
      </c>
      <c r="H24" s="239">
        <f t="shared" si="41"/>
        <v>0</v>
      </c>
      <c r="I24" s="239">
        <f t="shared" si="41"/>
        <v>0</v>
      </c>
      <c r="J24" s="239">
        <f t="shared" si="41"/>
        <v>0</v>
      </c>
      <c r="K24" s="239">
        <f t="shared" si="41"/>
        <v>0</v>
      </c>
      <c r="L24" s="239">
        <f t="shared" si="41"/>
        <v>0</v>
      </c>
      <c r="M24" s="239">
        <f t="shared" si="41"/>
        <v>0</v>
      </c>
      <c r="N24" s="239">
        <f t="shared" si="41"/>
        <v>0</v>
      </c>
      <c r="O24" s="239">
        <f t="shared" si="41"/>
        <v>0</v>
      </c>
      <c r="P24" s="239">
        <f t="shared" si="41"/>
        <v>0</v>
      </c>
      <c r="Q24" s="239">
        <f t="shared" si="41"/>
        <v>0</v>
      </c>
      <c r="R24" s="239">
        <f t="shared" si="41"/>
        <v>0</v>
      </c>
      <c r="S24" s="239">
        <f t="shared" si="41"/>
        <v>0</v>
      </c>
      <c r="T24" s="239">
        <f t="shared" si="41"/>
        <v>0</v>
      </c>
      <c r="U24" s="239">
        <f t="shared" si="41"/>
        <v>0</v>
      </c>
      <c r="V24" s="239">
        <f t="shared" si="41"/>
        <v>0</v>
      </c>
      <c r="W24" s="239">
        <f t="shared" si="41"/>
        <v>0</v>
      </c>
      <c r="X24" s="239">
        <f t="shared" si="41"/>
        <v>0</v>
      </c>
      <c r="Y24" s="239">
        <f t="shared" si="41"/>
        <v>0</v>
      </c>
      <c r="Z24" s="239">
        <f t="shared" si="41"/>
        <v>0</v>
      </c>
      <c r="AA24" s="239">
        <f>SUM(AA25:AA26)</f>
        <v>0</v>
      </c>
      <c r="AB24" s="239">
        <f t="shared" ref="AB24:AP24" si="42">SUM(AB25:AB26)</f>
        <v>0</v>
      </c>
      <c r="AC24" s="239">
        <f t="shared" si="42"/>
        <v>0</v>
      </c>
      <c r="AD24" s="239">
        <f t="shared" si="42"/>
        <v>0</v>
      </c>
      <c r="AE24" s="239">
        <f t="shared" si="42"/>
        <v>825.37871019373631</v>
      </c>
      <c r="AF24" s="239">
        <f t="shared" si="42"/>
        <v>200.95158271059532</v>
      </c>
      <c r="AG24" s="239">
        <f t="shared" si="42"/>
        <v>419.40906048586623</v>
      </c>
      <c r="AH24" s="239">
        <f t="shared" si="42"/>
        <v>173.20210850671947</v>
      </c>
      <c r="AI24" s="239">
        <f t="shared" si="42"/>
        <v>251.08632049157546</v>
      </c>
      <c r="AJ24" s="239">
        <f t="shared" si="42"/>
        <v>275.96429148378189</v>
      </c>
      <c r="AK24" s="239">
        <f t="shared" si="42"/>
        <v>270.6648640161182</v>
      </c>
      <c r="AL24" s="239">
        <f t="shared" si="42"/>
        <v>325.54486504385784</v>
      </c>
      <c r="AM24" s="239">
        <f t="shared" si="42"/>
        <v>274.70865356553065</v>
      </c>
      <c r="AN24" s="239">
        <f t="shared" si="42"/>
        <v>313.26907534028447</v>
      </c>
      <c r="AO24" s="239">
        <f t="shared" si="42"/>
        <v>286.24170641308945</v>
      </c>
      <c r="AP24" s="239">
        <f t="shared" si="42"/>
        <v>280.56802209631184</v>
      </c>
      <c r="AQ24" s="239">
        <f>SUM(AQ25:AQ26)</f>
        <v>369.52272692006431</v>
      </c>
      <c r="AR24" s="239">
        <f>SUM(AR25:AR26)</f>
        <v>290.49676333487929</v>
      </c>
      <c r="AS24" s="239">
        <f t="shared" ref="AS24:BO24" si="43">SUM(AS25:AS26)</f>
        <v>322.73036688588729</v>
      </c>
      <c r="AT24" s="239">
        <f t="shared" si="43"/>
        <v>294.15226656123076</v>
      </c>
      <c r="AU24" s="239">
        <f t="shared" si="43"/>
        <v>145.78934167757023</v>
      </c>
      <c r="AV24" s="239">
        <f t="shared" si="43"/>
        <v>259.39659355667578</v>
      </c>
      <c r="AW24" s="239">
        <f t="shared" si="43"/>
        <v>12.0100549617548</v>
      </c>
      <c r="AX24" s="239">
        <f t="shared" si="43"/>
        <v>11.152193893058028</v>
      </c>
      <c r="AY24" s="239">
        <f t="shared" si="43"/>
        <v>11.152193893058028</v>
      </c>
      <c r="AZ24" s="239">
        <f t="shared" si="43"/>
        <v>12.0100549617548</v>
      </c>
      <c r="BA24" s="239">
        <f t="shared" si="43"/>
        <v>12.0100549617548</v>
      </c>
      <c r="BB24" s="239">
        <f t="shared" si="43"/>
        <v>12.0100549617548</v>
      </c>
      <c r="BC24" s="239">
        <f t="shared" si="43"/>
        <v>25.735832060903142</v>
      </c>
      <c r="BD24" s="239">
        <f t="shared" si="43"/>
        <v>25.735832060903142</v>
      </c>
      <c r="BE24" s="239">
        <f t="shared" si="43"/>
        <v>25.952870911283448</v>
      </c>
      <c r="BF24" s="239">
        <f t="shared" si="43"/>
        <v>0</v>
      </c>
      <c r="BG24" s="239">
        <f t="shared" si="43"/>
        <v>0</v>
      </c>
      <c r="BH24" s="239">
        <f t="shared" si="43"/>
        <v>0</v>
      </c>
      <c r="BI24" s="239">
        <f t="shared" si="43"/>
        <v>0</v>
      </c>
      <c r="BJ24" s="239">
        <f t="shared" si="43"/>
        <v>0</v>
      </c>
      <c r="BK24" s="239">
        <f t="shared" si="43"/>
        <v>0</v>
      </c>
      <c r="BL24" s="239">
        <f t="shared" si="43"/>
        <v>0</v>
      </c>
      <c r="BM24" s="239">
        <f t="shared" si="43"/>
        <v>0</v>
      </c>
      <c r="BN24" s="239">
        <f t="shared" si="43"/>
        <v>0</v>
      </c>
      <c r="BO24" s="239">
        <f t="shared" si="43"/>
        <v>0</v>
      </c>
      <c r="BP24" s="239">
        <f t="shared" ref="BP24:BT24" si="44">SUM(BP25:BP26)</f>
        <v>0</v>
      </c>
      <c r="BQ24" s="239">
        <f t="shared" si="44"/>
        <v>0</v>
      </c>
      <c r="BR24" s="239">
        <f t="shared" si="44"/>
        <v>0</v>
      </c>
      <c r="BS24" s="239">
        <f t="shared" si="44"/>
        <v>0</v>
      </c>
      <c r="BT24" s="239">
        <f t="shared" si="44"/>
        <v>0</v>
      </c>
    </row>
    <row r="25" spans="1:72" outlineLevel="1">
      <c r="A25" s="230" t="s">
        <v>296</v>
      </c>
      <c r="B25" s="231">
        <f t="shared" ref="B25:B29" si="45">SUM(C25:BT25)</f>
        <v>2257.1372546999992</v>
      </c>
      <c r="C25" s="240">
        <f>创造利润!D25</f>
        <v>0</v>
      </c>
      <c r="D25" s="240">
        <f>创造利润!E25</f>
        <v>0</v>
      </c>
      <c r="E25" s="240">
        <f>创造利润!F25</f>
        <v>0</v>
      </c>
      <c r="F25" s="240">
        <f>创造利润!G25</f>
        <v>0</v>
      </c>
      <c r="G25" s="240">
        <f>创造利润!H25</f>
        <v>0</v>
      </c>
      <c r="H25" s="240">
        <f>创造利润!I25</f>
        <v>0</v>
      </c>
      <c r="I25" s="240">
        <f>创造利润!J25</f>
        <v>0</v>
      </c>
      <c r="J25" s="240">
        <f>创造利润!K25</f>
        <v>0</v>
      </c>
      <c r="K25" s="240">
        <f>创造利润!L25</f>
        <v>0</v>
      </c>
      <c r="L25" s="240">
        <f>创造利润!M25</f>
        <v>0</v>
      </c>
      <c r="M25" s="240">
        <f>创造利润!N25</f>
        <v>0</v>
      </c>
      <c r="N25" s="240">
        <f>创造利润!O25</f>
        <v>0</v>
      </c>
      <c r="O25" s="240">
        <f>创造利润!P25</f>
        <v>0</v>
      </c>
      <c r="P25" s="240">
        <f>创造利润!Q25</f>
        <v>0</v>
      </c>
      <c r="Q25" s="240">
        <f>创造利润!R25</f>
        <v>0</v>
      </c>
      <c r="R25" s="240">
        <f>创造利润!S25</f>
        <v>0</v>
      </c>
      <c r="S25" s="240">
        <f>创造利润!T25</f>
        <v>0</v>
      </c>
      <c r="T25" s="240">
        <f>创造利润!U25</f>
        <v>0</v>
      </c>
      <c r="U25" s="240">
        <f>创造利润!V25</f>
        <v>0</v>
      </c>
      <c r="V25" s="240">
        <f>创造利润!W25</f>
        <v>0</v>
      </c>
      <c r="W25" s="240">
        <f>创造利润!X25</f>
        <v>0</v>
      </c>
      <c r="X25" s="240">
        <f>创造利润!Y25</f>
        <v>0</v>
      </c>
      <c r="Y25" s="240">
        <f>创造利润!Z25</f>
        <v>0</v>
      </c>
      <c r="Z25" s="240">
        <f>创造利润!AA25</f>
        <v>0</v>
      </c>
      <c r="AA25" s="240">
        <f>创造利润!AB25</f>
        <v>0</v>
      </c>
      <c r="AB25" s="240">
        <f>创造利润!AC25</f>
        <v>0</v>
      </c>
      <c r="AC25" s="240">
        <f>创造利润!AD25</f>
        <v>0</v>
      </c>
      <c r="AD25" s="240">
        <f>创造利润!AE25</f>
        <v>0</v>
      </c>
      <c r="AE25" s="240">
        <f>创造利润!AF25</f>
        <v>325.30871019373632</v>
      </c>
      <c r="AF25" s="240">
        <f>创造利润!AG25</f>
        <v>79.201582710595318</v>
      </c>
      <c r="AG25" s="240">
        <f>创造利润!AH25</f>
        <v>165.30281048586622</v>
      </c>
      <c r="AH25" s="240">
        <f>创造利润!AI25</f>
        <v>68.264608506719483</v>
      </c>
      <c r="AI25" s="240">
        <f>创造利润!AJ25</f>
        <v>98.961320491575464</v>
      </c>
      <c r="AJ25" s="240">
        <f>创造利润!AK25</f>
        <v>108.76654148378185</v>
      </c>
      <c r="AK25" s="240">
        <f>创造利润!AL25</f>
        <v>106.67786401611822</v>
      </c>
      <c r="AL25" s="240">
        <f>创造利润!AM25</f>
        <v>128.30786504385782</v>
      </c>
      <c r="AM25" s="240">
        <f>创造利润!AN25</f>
        <v>108.27165356553061</v>
      </c>
      <c r="AN25" s="240">
        <f>创造利润!AO25</f>
        <v>123.46957534028448</v>
      </c>
      <c r="AO25" s="240">
        <f>创造利润!AP25</f>
        <v>112.81720641308942</v>
      </c>
      <c r="AP25" s="240">
        <f>创造利润!AQ25</f>
        <v>110.58102209631183</v>
      </c>
      <c r="AQ25" s="240">
        <f>创造利润!AR25</f>
        <v>145.64097692006428</v>
      </c>
      <c r="AR25" s="240">
        <f>创造利润!AS25</f>
        <v>114.49426333487928</v>
      </c>
      <c r="AS25" s="240">
        <f>创造利润!AT25</f>
        <v>127.1985793858874</v>
      </c>
      <c r="AT25" s="240">
        <f>创造利润!AU25</f>
        <v>115.93501656123074</v>
      </c>
      <c r="AU25" s="240">
        <f>创造利润!AV25</f>
        <v>57.460341677570213</v>
      </c>
      <c r="AV25" s="240">
        <f>创造利润!AW25</f>
        <v>102.23667055667585</v>
      </c>
      <c r="AW25" s="240">
        <f>创造利润!AX25</f>
        <v>4.7335549617547992</v>
      </c>
      <c r="AX25" s="240">
        <f>创造利润!AY25</f>
        <v>4.3954438930580277</v>
      </c>
      <c r="AY25" s="240">
        <f>创造利润!AZ25</f>
        <v>4.3954438930580277</v>
      </c>
      <c r="AZ25" s="240">
        <f>创造利润!BA25</f>
        <v>4.7335549617547992</v>
      </c>
      <c r="BA25" s="240">
        <f>创造利润!BB25</f>
        <v>4.7335549617547992</v>
      </c>
      <c r="BB25" s="240">
        <f>创造利润!BC25</f>
        <v>4.7335549617547992</v>
      </c>
      <c r="BC25" s="240">
        <f>创造利润!BD25</f>
        <v>10.143332060903143</v>
      </c>
      <c r="BD25" s="240">
        <f>创造利润!BE25</f>
        <v>10.143332060903143</v>
      </c>
      <c r="BE25" s="240">
        <f>创造利润!BF25</f>
        <v>10.228874161283434</v>
      </c>
      <c r="BF25" s="240">
        <f>创造利润!BG25</f>
        <v>0</v>
      </c>
      <c r="BG25" s="240">
        <f>创造利润!BH25</f>
        <v>0</v>
      </c>
      <c r="BH25" s="240">
        <f>创造利润!BI25</f>
        <v>0</v>
      </c>
      <c r="BI25" s="240">
        <f>创造利润!BJ25</f>
        <v>0</v>
      </c>
      <c r="BJ25" s="240">
        <f>创造利润!BK25</f>
        <v>0</v>
      </c>
      <c r="BK25" s="240">
        <f>创造利润!BL25</f>
        <v>0</v>
      </c>
      <c r="BL25" s="240">
        <f>创造利润!BM25</f>
        <v>0</v>
      </c>
      <c r="BM25" s="240">
        <f>创造利润!BN25</f>
        <v>0</v>
      </c>
      <c r="BN25" s="240">
        <f>创造利润!BO25</f>
        <v>0</v>
      </c>
      <c r="BO25" s="240">
        <f>创造利润!BP25</f>
        <v>0</v>
      </c>
      <c r="BP25" s="240">
        <f>创造利润!BQ25</f>
        <v>0</v>
      </c>
      <c r="BQ25" s="240">
        <f>创造利润!BR25</f>
        <v>0</v>
      </c>
      <c r="BR25" s="240">
        <f>创造利润!BS25</f>
        <v>0</v>
      </c>
      <c r="BS25" s="240">
        <f>创造利润!BT25</f>
        <v>0</v>
      </c>
      <c r="BT25" s="240">
        <f>创造利润!BU25</f>
        <v>0</v>
      </c>
    </row>
    <row r="26" spans="1:72" outlineLevel="1">
      <c r="A26" s="230" t="s">
        <v>297</v>
      </c>
      <c r="B26" s="231">
        <f t="shared" si="45"/>
        <v>3469.7092072500009</v>
      </c>
      <c r="C26" s="240">
        <f>创造利润!D26</f>
        <v>0</v>
      </c>
      <c r="D26" s="240">
        <f>创造利润!E26</f>
        <v>0</v>
      </c>
      <c r="E26" s="240">
        <f>创造利润!F26</f>
        <v>0</v>
      </c>
      <c r="F26" s="240">
        <f>创造利润!G26</f>
        <v>0</v>
      </c>
      <c r="G26" s="240">
        <f>创造利润!H26</f>
        <v>0</v>
      </c>
      <c r="H26" s="240">
        <f>创造利润!I26</f>
        <v>0</v>
      </c>
      <c r="I26" s="240">
        <f>创造利润!J26</f>
        <v>0</v>
      </c>
      <c r="J26" s="240">
        <f>创造利润!K26</f>
        <v>0</v>
      </c>
      <c r="K26" s="240">
        <f>创造利润!L26</f>
        <v>0</v>
      </c>
      <c r="L26" s="240">
        <f>创造利润!M26</f>
        <v>0</v>
      </c>
      <c r="M26" s="240">
        <f>创造利润!N26</f>
        <v>0</v>
      </c>
      <c r="N26" s="240">
        <f>创造利润!O26</f>
        <v>0</v>
      </c>
      <c r="O26" s="240">
        <f>创造利润!P26</f>
        <v>0</v>
      </c>
      <c r="P26" s="240">
        <f>创造利润!Q26</f>
        <v>0</v>
      </c>
      <c r="Q26" s="240">
        <f>创造利润!R26</f>
        <v>0</v>
      </c>
      <c r="R26" s="240">
        <f>创造利润!S26</f>
        <v>0</v>
      </c>
      <c r="S26" s="240">
        <f>创造利润!T26</f>
        <v>0</v>
      </c>
      <c r="T26" s="240">
        <f>创造利润!U26</f>
        <v>0</v>
      </c>
      <c r="U26" s="240">
        <f>创造利润!V26</f>
        <v>0</v>
      </c>
      <c r="V26" s="240">
        <f>创造利润!W26</f>
        <v>0</v>
      </c>
      <c r="W26" s="240">
        <f>创造利润!X26</f>
        <v>0</v>
      </c>
      <c r="X26" s="240">
        <f>创造利润!Y26</f>
        <v>0</v>
      </c>
      <c r="Y26" s="240">
        <f>创造利润!Z26</f>
        <v>0</v>
      </c>
      <c r="Z26" s="240">
        <f>创造利润!AA26</f>
        <v>0</v>
      </c>
      <c r="AA26" s="240">
        <f>创造利润!AB26</f>
        <v>0</v>
      </c>
      <c r="AB26" s="240">
        <f>创造利润!AC26</f>
        <v>0</v>
      </c>
      <c r="AC26" s="240">
        <f>创造利润!AD26</f>
        <v>0</v>
      </c>
      <c r="AD26" s="240">
        <f>创造利润!AE26</f>
        <v>0</v>
      </c>
      <c r="AE26" s="240">
        <f>创造利润!AF26</f>
        <v>500.07</v>
      </c>
      <c r="AF26" s="240">
        <f>创造利润!AG26</f>
        <v>121.75</v>
      </c>
      <c r="AG26" s="240">
        <f>创造利润!AH26</f>
        <v>254.10625000000002</v>
      </c>
      <c r="AH26" s="240">
        <f>创造利润!AI26</f>
        <v>104.9375</v>
      </c>
      <c r="AI26" s="240">
        <f>创造利润!AJ26</f>
        <v>152.125</v>
      </c>
      <c r="AJ26" s="240">
        <f>创造利润!AK26</f>
        <v>167.19775000000004</v>
      </c>
      <c r="AK26" s="240">
        <f>创造利润!AL26</f>
        <v>163.98699999999999</v>
      </c>
      <c r="AL26" s="240">
        <f>创造利润!AM26</f>
        <v>197.23699999999999</v>
      </c>
      <c r="AM26" s="240">
        <f>创造利润!AN26</f>
        <v>166.43700000000001</v>
      </c>
      <c r="AN26" s="240">
        <f>创造利润!AO26</f>
        <v>189.79949999999999</v>
      </c>
      <c r="AO26" s="240">
        <f>创造利润!AP26</f>
        <v>173.42449999999999</v>
      </c>
      <c r="AP26" s="240">
        <f>创造利润!AQ26</f>
        <v>169.98699999999999</v>
      </c>
      <c r="AQ26" s="240">
        <f>创造利润!AR26</f>
        <v>223.88175000000001</v>
      </c>
      <c r="AR26" s="240">
        <f>创造利润!AS26</f>
        <v>176.0025</v>
      </c>
      <c r="AS26" s="240">
        <f>创造利润!AT26</f>
        <v>195.53178749999992</v>
      </c>
      <c r="AT26" s="240">
        <f>创造利润!AU26</f>
        <v>178.21725000000001</v>
      </c>
      <c r="AU26" s="240">
        <f>创造利润!AV26</f>
        <v>88.329000000000008</v>
      </c>
      <c r="AV26" s="240">
        <f>创造利润!AW26</f>
        <v>157.15992299999994</v>
      </c>
      <c r="AW26" s="240">
        <f>创造利润!AX26</f>
        <v>7.2765000000000004</v>
      </c>
      <c r="AX26" s="240">
        <f>创造利润!AY26</f>
        <v>6.7567500000000003</v>
      </c>
      <c r="AY26" s="240">
        <f>创造利润!AZ26</f>
        <v>6.7567500000000003</v>
      </c>
      <c r="AZ26" s="240">
        <f>创造利润!BA26</f>
        <v>7.2765000000000004</v>
      </c>
      <c r="BA26" s="240">
        <f>创造利润!BB26</f>
        <v>7.2765000000000004</v>
      </c>
      <c r="BB26" s="240">
        <f>创造利润!BC26</f>
        <v>7.2765000000000004</v>
      </c>
      <c r="BC26" s="240">
        <f>创造利润!BD26</f>
        <v>15.592500000000001</v>
      </c>
      <c r="BD26" s="240">
        <f>创造利润!BE26</f>
        <v>15.592500000000001</v>
      </c>
      <c r="BE26" s="240">
        <f>创造利润!BF26</f>
        <v>15.723996750000016</v>
      </c>
      <c r="BF26" s="240">
        <f>创造利润!BG26</f>
        <v>0</v>
      </c>
      <c r="BG26" s="240">
        <f>创造利润!BH26</f>
        <v>0</v>
      </c>
      <c r="BH26" s="240">
        <f>创造利润!BI26</f>
        <v>0</v>
      </c>
      <c r="BI26" s="240">
        <f>创造利润!BJ26</f>
        <v>0</v>
      </c>
      <c r="BJ26" s="240">
        <f>创造利润!BK26</f>
        <v>0</v>
      </c>
      <c r="BK26" s="240">
        <f>创造利润!BL26</f>
        <v>0</v>
      </c>
      <c r="BL26" s="240">
        <f>创造利润!BM26</f>
        <v>0</v>
      </c>
      <c r="BM26" s="240">
        <f>创造利润!BN26</f>
        <v>0</v>
      </c>
      <c r="BN26" s="240">
        <f>创造利润!BO26</f>
        <v>0</v>
      </c>
      <c r="BO26" s="240">
        <f>创造利润!BP26</f>
        <v>0</v>
      </c>
      <c r="BP26" s="240">
        <f>创造利润!BQ26</f>
        <v>0</v>
      </c>
      <c r="BQ26" s="240">
        <f>创造利润!BR26</f>
        <v>0</v>
      </c>
      <c r="BR26" s="240">
        <f>创造利润!BS26</f>
        <v>0</v>
      </c>
      <c r="BS26" s="240">
        <f>创造利润!BT26</f>
        <v>0</v>
      </c>
      <c r="BT26" s="240">
        <f>创造利润!BU26</f>
        <v>0</v>
      </c>
    </row>
    <row r="27" spans="1:72">
      <c r="A27" s="233" t="s">
        <v>298</v>
      </c>
      <c r="B27" s="231">
        <f t="shared" ca="1" si="45"/>
        <v>20666.521750225234</v>
      </c>
      <c r="C27" s="239">
        <f ca="1">C19-C24-C23</f>
        <v>0</v>
      </c>
      <c r="D27" s="239">
        <f t="shared" ref="D27:AR27" ca="1" si="46">D19-D24-D23</f>
        <v>0</v>
      </c>
      <c r="E27" s="239">
        <f t="shared" ca="1" si="46"/>
        <v>0</v>
      </c>
      <c r="F27" s="239">
        <f t="shared" ca="1" si="46"/>
        <v>0</v>
      </c>
      <c r="G27" s="239">
        <f t="shared" ca="1" si="46"/>
        <v>0</v>
      </c>
      <c r="H27" s="239">
        <f t="shared" ca="1" si="46"/>
        <v>0</v>
      </c>
      <c r="I27" s="239">
        <f t="shared" ca="1" si="46"/>
        <v>0</v>
      </c>
      <c r="J27" s="239">
        <f t="shared" ca="1" si="46"/>
        <v>0</v>
      </c>
      <c r="K27" s="239">
        <f t="shared" ca="1" si="46"/>
        <v>0</v>
      </c>
      <c r="L27" s="239">
        <f t="shared" ca="1" si="46"/>
        <v>0</v>
      </c>
      <c r="M27" s="239">
        <f t="shared" ca="1" si="46"/>
        <v>0</v>
      </c>
      <c r="N27" s="239">
        <f t="shared" ca="1" si="46"/>
        <v>0</v>
      </c>
      <c r="O27" s="239">
        <f ca="1">O19-O24-O23</f>
        <v>0</v>
      </c>
      <c r="P27" s="239">
        <f t="shared" ca="1" si="46"/>
        <v>0</v>
      </c>
      <c r="Q27" s="239">
        <f t="shared" ca="1" si="46"/>
        <v>0</v>
      </c>
      <c r="R27" s="239">
        <f t="shared" ca="1" si="46"/>
        <v>0</v>
      </c>
      <c r="S27" s="239">
        <f t="shared" ca="1" si="46"/>
        <v>0</v>
      </c>
      <c r="T27" s="239">
        <f t="shared" ca="1" si="46"/>
        <v>0</v>
      </c>
      <c r="U27" s="239">
        <f t="shared" ca="1" si="46"/>
        <v>0</v>
      </c>
      <c r="V27" s="239">
        <f t="shared" ca="1" si="46"/>
        <v>0</v>
      </c>
      <c r="W27" s="239">
        <f t="shared" ca="1" si="46"/>
        <v>0</v>
      </c>
      <c r="X27" s="239">
        <f t="shared" ca="1" si="46"/>
        <v>0</v>
      </c>
      <c r="Y27" s="239">
        <f t="shared" ca="1" si="46"/>
        <v>0</v>
      </c>
      <c r="Z27" s="239">
        <f t="shared" ca="1" si="46"/>
        <v>0</v>
      </c>
      <c r="AA27" s="239">
        <f t="shared" ref="AA27:AP27" ca="1" si="47">AA19-AA24-AA23</f>
        <v>0</v>
      </c>
      <c r="AB27" s="239">
        <f t="shared" ca="1" si="47"/>
        <v>0</v>
      </c>
      <c r="AC27" s="239">
        <f t="shared" ca="1" si="47"/>
        <v>0</v>
      </c>
      <c r="AD27" s="239">
        <f t="shared" ca="1" si="47"/>
        <v>0</v>
      </c>
      <c r="AE27" s="239">
        <f t="shared" ca="1" si="47"/>
        <v>-825.37871019373631</v>
      </c>
      <c r="AF27" s="239">
        <f t="shared" ca="1" si="47"/>
        <v>-200.95158271059532</v>
      </c>
      <c r="AG27" s="239">
        <f t="shared" ca="1" si="47"/>
        <v>-419.40906048586623</v>
      </c>
      <c r="AH27" s="239">
        <f t="shared" ca="1" si="47"/>
        <v>-173.20210850671947</v>
      </c>
      <c r="AI27" s="239">
        <f t="shared" ca="1" si="47"/>
        <v>-251.08632049157546</v>
      </c>
      <c r="AJ27" s="239">
        <f t="shared" ca="1" si="47"/>
        <v>-275.96429148378189</v>
      </c>
      <c r="AK27" s="239">
        <f t="shared" ca="1" si="47"/>
        <v>-270.6648640161182</v>
      </c>
      <c r="AL27" s="239">
        <f t="shared" ca="1" si="47"/>
        <v>-325.54486504385784</v>
      </c>
      <c r="AM27" s="239">
        <f t="shared" ca="1" si="47"/>
        <v>-274.70865356553065</v>
      </c>
      <c r="AN27" s="239">
        <f t="shared" ca="1" si="47"/>
        <v>-313.26907534028447</v>
      </c>
      <c r="AO27" s="239">
        <f t="shared" ca="1" si="47"/>
        <v>-286.24170641308945</v>
      </c>
      <c r="AP27" s="239">
        <f t="shared" ca="1" si="47"/>
        <v>-280.56802209631184</v>
      </c>
      <c r="AQ27" s="239">
        <f t="shared" ca="1" si="46"/>
        <v>-369.52272692006431</v>
      </c>
      <c r="AR27" s="239">
        <f t="shared" ca="1" si="46"/>
        <v>-290.49676333487929</v>
      </c>
      <c r="AS27" s="239">
        <f t="shared" ref="AS27:BO27" ca="1" si="48">AS19-AS24-AS23</f>
        <v>-322.73036688588729</v>
      </c>
      <c r="AT27" s="239">
        <f t="shared" ca="1" si="48"/>
        <v>-294.15226656123076</v>
      </c>
      <c r="AU27" s="239">
        <f t="shared" ca="1" si="48"/>
        <v>-145.78934167757023</v>
      </c>
      <c r="AV27" s="239">
        <f t="shared" ca="1" si="48"/>
        <v>-259.39659355667578</v>
      </c>
      <c r="AW27" s="239">
        <f t="shared" ca="1" si="48"/>
        <v>-12.0100549617548</v>
      </c>
      <c r="AX27" s="239">
        <f t="shared" ca="1" si="48"/>
        <v>-11.152193893058028</v>
      </c>
      <c r="AY27" s="239">
        <f t="shared" ca="1" si="48"/>
        <v>-11.152193893058028</v>
      </c>
      <c r="AZ27" s="239">
        <f t="shared" ca="1" si="48"/>
        <v>-12.0100549617548</v>
      </c>
      <c r="BA27" s="239">
        <f t="shared" ca="1" si="48"/>
        <v>-12.0100549617548</v>
      </c>
      <c r="BB27" s="239">
        <f t="shared" ca="1" si="48"/>
        <v>-12.0100549617548</v>
      </c>
      <c r="BC27" s="239">
        <f t="shared" ca="1" si="48"/>
        <v>-25.735832060903142</v>
      </c>
      <c r="BD27" s="239">
        <f t="shared" ca="1" si="48"/>
        <v>-25.735832060903142</v>
      </c>
      <c r="BE27" s="239">
        <f t="shared" ca="1" si="48"/>
        <v>-25.952870911283448</v>
      </c>
      <c r="BF27" s="239">
        <f t="shared" ca="1" si="48"/>
        <v>0</v>
      </c>
      <c r="BG27" s="239">
        <f t="shared" ca="1" si="48"/>
        <v>0</v>
      </c>
      <c r="BH27" s="239">
        <f t="shared" ca="1" si="48"/>
        <v>0</v>
      </c>
      <c r="BI27" s="239">
        <f t="shared" ca="1" si="48"/>
        <v>0</v>
      </c>
      <c r="BJ27" s="239">
        <f t="shared" ca="1" si="48"/>
        <v>0</v>
      </c>
      <c r="BK27" s="239">
        <f t="shared" ca="1" si="48"/>
        <v>0</v>
      </c>
      <c r="BL27" s="239">
        <f t="shared" ca="1" si="48"/>
        <v>0</v>
      </c>
      <c r="BM27" s="239">
        <f t="shared" ca="1" si="48"/>
        <v>0</v>
      </c>
      <c r="BN27" s="239">
        <f t="shared" ca="1" si="48"/>
        <v>0</v>
      </c>
      <c r="BO27" s="239">
        <f t="shared" ca="1" si="48"/>
        <v>0</v>
      </c>
      <c r="BP27" s="239">
        <f t="shared" ref="BP27:BT27" ca="1" si="49">BP19-BP24-BP23</f>
        <v>26393.368212175235</v>
      </c>
      <c r="BQ27" s="239">
        <f t="shared" ca="1" si="49"/>
        <v>0</v>
      </c>
      <c r="BR27" s="239">
        <f t="shared" ca="1" si="49"/>
        <v>0</v>
      </c>
      <c r="BS27" s="239">
        <f t="shared" ca="1" si="49"/>
        <v>0</v>
      </c>
      <c r="BT27" s="239">
        <f t="shared" ca="1" si="49"/>
        <v>0</v>
      </c>
    </row>
    <row r="28" spans="1:72">
      <c r="A28" s="233" t="s">
        <v>299</v>
      </c>
      <c r="B28" s="231">
        <f t="shared" ca="1" si="45"/>
        <v>5166.6304375563086</v>
      </c>
      <c r="C28" s="241">
        <f ca="1">C27*基础信息!$B$28</f>
        <v>0</v>
      </c>
      <c r="D28" s="241">
        <f ca="1">D27*基础信息!$B$28</f>
        <v>0</v>
      </c>
      <c r="E28" s="241">
        <f ca="1">E27*基础信息!$B$28</f>
        <v>0</v>
      </c>
      <c r="F28" s="241">
        <f ca="1">F27*基础信息!$B$28</f>
        <v>0</v>
      </c>
      <c r="G28" s="241">
        <f ca="1">G27*基础信息!$B$28</f>
        <v>0</v>
      </c>
      <c r="H28" s="241">
        <f ca="1">H27*基础信息!$B$28</f>
        <v>0</v>
      </c>
      <c r="I28" s="241">
        <f ca="1">I27*基础信息!$B$28</f>
        <v>0</v>
      </c>
      <c r="J28" s="241">
        <f ca="1">J27*基础信息!$B$28</f>
        <v>0</v>
      </c>
      <c r="K28" s="241">
        <f ca="1">K27*基础信息!$B$28</f>
        <v>0</v>
      </c>
      <c r="L28" s="241">
        <f ca="1">L27*基础信息!$B$28</f>
        <v>0</v>
      </c>
      <c r="M28" s="241">
        <f ca="1">M27*基础信息!$B$28</f>
        <v>0</v>
      </c>
      <c r="N28" s="241">
        <f ca="1">N27*基础信息!$B$28</f>
        <v>0</v>
      </c>
      <c r="O28" s="241">
        <f ca="1">O27*基础信息!$B$28</f>
        <v>0</v>
      </c>
      <c r="P28" s="242">
        <f ca="1">P27*基础信息!$B$28</f>
        <v>0</v>
      </c>
      <c r="Q28" s="241">
        <f ca="1">Q27*基础信息!$B$28</f>
        <v>0</v>
      </c>
      <c r="R28" s="241">
        <f ca="1">R27*基础信息!$B$28</f>
        <v>0</v>
      </c>
      <c r="S28" s="241">
        <f ca="1">S27*基础信息!$B$28</f>
        <v>0</v>
      </c>
      <c r="T28" s="241">
        <f ca="1">T27*基础信息!$B$28</f>
        <v>0</v>
      </c>
      <c r="U28" s="241">
        <f ca="1">U27*基础信息!$B$28</f>
        <v>0</v>
      </c>
      <c r="V28" s="241">
        <f ca="1">V27*基础信息!$B$28</f>
        <v>0</v>
      </c>
      <c r="W28" s="241">
        <f ca="1">W27*基础信息!$B$28</f>
        <v>0</v>
      </c>
      <c r="X28" s="241">
        <f ca="1">X27*基础信息!$B$28</f>
        <v>0</v>
      </c>
      <c r="Y28" s="241">
        <f ca="1">Y27*基础信息!$B$28</f>
        <v>0</v>
      </c>
      <c r="Z28" s="241">
        <f ca="1">Z27*基础信息!$B$28</f>
        <v>0</v>
      </c>
      <c r="AA28" s="242">
        <f ca="1">AA27*基础信息!$B$28</f>
        <v>0</v>
      </c>
      <c r="AB28" s="241">
        <f ca="1">AB27*基础信息!$B$28</f>
        <v>0</v>
      </c>
      <c r="AC28" s="241">
        <f ca="1">AC27*基础信息!$B$28</f>
        <v>0</v>
      </c>
      <c r="AD28" s="241">
        <f ca="1">AD27*基础信息!$B$28</f>
        <v>0</v>
      </c>
      <c r="AE28" s="241">
        <f ca="1">AE27*基础信息!$B$28</f>
        <v>-206.34467754843408</v>
      </c>
      <c r="AF28" s="241">
        <f ca="1">AF27*基础信息!$B$28</f>
        <v>-50.237895677648829</v>
      </c>
      <c r="AG28" s="241">
        <f ca="1">AG27*基础信息!$B$28</f>
        <v>-104.85226512146656</v>
      </c>
      <c r="AH28" s="241">
        <f ca="1">AH27*基础信息!$B$28</f>
        <v>-43.300527126679867</v>
      </c>
      <c r="AI28" s="241">
        <f ca="1">AI27*基础信息!$B$28</f>
        <v>-62.771580122893866</v>
      </c>
      <c r="AJ28" s="241">
        <f ca="1">AJ27*基础信息!$B$28</f>
        <v>-68.991072870945473</v>
      </c>
      <c r="AK28" s="241">
        <f ca="1">AK27*基础信息!$B$28</f>
        <v>-67.66621600402955</v>
      </c>
      <c r="AL28" s="241">
        <f ca="1">AL27*基础信息!$B$28</f>
        <v>-81.38621626096446</v>
      </c>
      <c r="AM28" s="241">
        <f ca="1">AM27*基础信息!$B$28</f>
        <v>-68.677163391382663</v>
      </c>
      <c r="AN28" s="241">
        <f ca="1">AN27*基础信息!$B$28</f>
        <v>-78.317268835071118</v>
      </c>
      <c r="AO28" s="241">
        <f ca="1">AO27*基础信息!$B$28</f>
        <v>-71.560426603272361</v>
      </c>
      <c r="AP28" s="241">
        <f ca="1">AP27*基础信息!$B$28</f>
        <v>-70.142005524077959</v>
      </c>
      <c r="AQ28" s="241">
        <f ca="1">AQ27*基础信息!$B$28</f>
        <v>-92.380681730016079</v>
      </c>
      <c r="AR28" s="241">
        <f ca="1">AR27*基础信息!$B$28</f>
        <v>-72.624190833719823</v>
      </c>
      <c r="AS28" s="241">
        <f ca="1">AS27*基础信息!$B$28</f>
        <v>-80.682591721471823</v>
      </c>
      <c r="AT28" s="241">
        <f ca="1">AT27*基础信息!$B$28</f>
        <v>-73.53806664030769</v>
      </c>
      <c r="AU28" s="241">
        <f ca="1">AU27*基础信息!$B$28</f>
        <v>-36.447335419392559</v>
      </c>
      <c r="AV28" s="241">
        <f ca="1">AV27*基础信息!$B$28</f>
        <v>-64.849148389168946</v>
      </c>
      <c r="AW28" s="241">
        <f ca="1">AW27*基础信息!$B$28</f>
        <v>-3.0025137404387001</v>
      </c>
      <c r="AX28" s="241">
        <f ca="1">AX27*基础信息!$B$28</f>
        <v>-2.788048473264507</v>
      </c>
      <c r="AY28" s="241">
        <f ca="1">AY27*基础信息!$B$28</f>
        <v>-2.788048473264507</v>
      </c>
      <c r="AZ28" s="241">
        <f ca="1">AZ27*基础信息!$B$28</f>
        <v>-3.0025137404387001</v>
      </c>
      <c r="BA28" s="241">
        <f ca="1">BA27*基础信息!$B$28</f>
        <v>-3.0025137404387001</v>
      </c>
      <c r="BB28" s="241">
        <f ca="1">BB27*基础信息!$B$28</f>
        <v>-3.0025137404387001</v>
      </c>
      <c r="BC28" s="241">
        <f ca="1">BC27*基础信息!$B$28</f>
        <v>-6.4339580152257856</v>
      </c>
      <c r="BD28" s="241">
        <f ca="1">BD27*基础信息!$B$28</f>
        <v>-6.4339580152257856</v>
      </c>
      <c r="BE28" s="241">
        <f ca="1">BE27*基础信息!$B$28</f>
        <v>-6.4882177278208619</v>
      </c>
      <c r="BF28" s="241">
        <f ca="1">BF27*基础信息!$B$28</f>
        <v>0</v>
      </c>
      <c r="BG28" s="241">
        <f ca="1">BG27*基础信息!$B$28</f>
        <v>0</v>
      </c>
      <c r="BH28" s="241">
        <f ca="1">BH27*基础信息!$B$28</f>
        <v>0</v>
      </c>
      <c r="BI28" s="241">
        <f ca="1">BI27*基础信息!$B$28</f>
        <v>0</v>
      </c>
      <c r="BJ28" s="241">
        <f ca="1">BJ27*基础信息!$B$28</f>
        <v>0</v>
      </c>
      <c r="BK28" s="241">
        <f ca="1">BK27*基础信息!$B$28</f>
        <v>0</v>
      </c>
      <c r="BL28" s="241">
        <f ca="1">BL27*基础信息!$B$28</f>
        <v>0</v>
      </c>
      <c r="BM28" s="241">
        <f ca="1">BM27*基础信息!$B$28</f>
        <v>0</v>
      </c>
      <c r="BN28" s="241">
        <f ca="1">BN27*基础信息!$B$28</f>
        <v>0</v>
      </c>
      <c r="BO28" s="241">
        <f ca="1">BO27*基础信息!$B$28</f>
        <v>0</v>
      </c>
      <c r="BP28" s="241">
        <f ca="1">BP27*基础信息!$B$28</f>
        <v>6598.3420530438088</v>
      </c>
      <c r="BQ28" s="241">
        <f ca="1">BQ27*基础信息!$B$28</f>
        <v>0</v>
      </c>
      <c r="BR28" s="241">
        <f ca="1">BR27*基础信息!$B$28</f>
        <v>0</v>
      </c>
      <c r="BS28" s="241">
        <f ca="1">BS27*基础信息!$B$28</f>
        <v>0</v>
      </c>
      <c r="BT28" s="241">
        <f ca="1">BT27*基础信息!$B$28</f>
        <v>0</v>
      </c>
    </row>
    <row r="29" spans="1:72">
      <c r="A29" s="233" t="s">
        <v>300</v>
      </c>
      <c r="B29" s="231">
        <f t="shared" ca="1" si="45"/>
        <v>15499.891312668926</v>
      </c>
      <c r="C29" s="239">
        <f ca="1">C27-C28</f>
        <v>0</v>
      </c>
      <c r="D29" s="239">
        <f t="shared" ref="D29:AR29" ca="1" si="50">D27-D28</f>
        <v>0</v>
      </c>
      <c r="E29" s="239">
        <f t="shared" ca="1" si="50"/>
        <v>0</v>
      </c>
      <c r="F29" s="239">
        <f t="shared" ca="1" si="50"/>
        <v>0</v>
      </c>
      <c r="G29" s="239">
        <f t="shared" ca="1" si="50"/>
        <v>0</v>
      </c>
      <c r="H29" s="239">
        <f t="shared" ca="1" si="50"/>
        <v>0</v>
      </c>
      <c r="I29" s="239">
        <f t="shared" ca="1" si="50"/>
        <v>0</v>
      </c>
      <c r="J29" s="239">
        <f t="shared" ca="1" si="50"/>
        <v>0</v>
      </c>
      <c r="K29" s="239">
        <f t="shared" ca="1" si="50"/>
        <v>0</v>
      </c>
      <c r="L29" s="239">
        <f t="shared" ca="1" si="50"/>
        <v>0</v>
      </c>
      <c r="M29" s="239">
        <f t="shared" ca="1" si="50"/>
        <v>0</v>
      </c>
      <c r="N29" s="239">
        <f t="shared" ca="1" si="50"/>
        <v>0</v>
      </c>
      <c r="O29" s="239">
        <f ca="1">O27-O28</f>
        <v>0</v>
      </c>
      <c r="P29" s="239">
        <f t="shared" ca="1" si="50"/>
        <v>0</v>
      </c>
      <c r="Q29" s="239">
        <f t="shared" ca="1" si="50"/>
        <v>0</v>
      </c>
      <c r="R29" s="239">
        <f t="shared" ca="1" si="50"/>
        <v>0</v>
      </c>
      <c r="S29" s="239">
        <f t="shared" ca="1" si="50"/>
        <v>0</v>
      </c>
      <c r="T29" s="239">
        <f t="shared" ca="1" si="50"/>
        <v>0</v>
      </c>
      <c r="U29" s="239">
        <f t="shared" ca="1" si="50"/>
        <v>0</v>
      </c>
      <c r="V29" s="239">
        <f t="shared" ca="1" si="50"/>
        <v>0</v>
      </c>
      <c r="W29" s="239">
        <f t="shared" ca="1" si="50"/>
        <v>0</v>
      </c>
      <c r="X29" s="239">
        <f t="shared" ca="1" si="50"/>
        <v>0</v>
      </c>
      <c r="Y29" s="239">
        <f t="shared" ca="1" si="50"/>
        <v>0</v>
      </c>
      <c r="Z29" s="239">
        <f ca="1">Z27-Z28</f>
        <v>0</v>
      </c>
      <c r="AA29" s="239">
        <f t="shared" ref="AA29:AQ29" ca="1" si="51">AA27-AA28</f>
        <v>0</v>
      </c>
      <c r="AB29" s="239">
        <f t="shared" ca="1" si="51"/>
        <v>0</v>
      </c>
      <c r="AC29" s="239">
        <f t="shared" ca="1" si="51"/>
        <v>0</v>
      </c>
      <c r="AD29" s="239">
        <f t="shared" ca="1" si="51"/>
        <v>0</v>
      </c>
      <c r="AE29" s="239">
        <f t="shared" ca="1" si="51"/>
        <v>-619.0340326453022</v>
      </c>
      <c r="AF29" s="239">
        <f t="shared" ca="1" si="51"/>
        <v>-150.7136870329465</v>
      </c>
      <c r="AG29" s="239">
        <f t="shared" ca="1" si="51"/>
        <v>-314.5567953643997</v>
      </c>
      <c r="AH29" s="239">
        <f t="shared" ca="1" si="51"/>
        <v>-129.9015813800396</v>
      </c>
      <c r="AI29" s="239">
        <f t="shared" ca="1" si="51"/>
        <v>-188.31474036868161</v>
      </c>
      <c r="AJ29" s="239">
        <f ca="1">AJ27-AJ28</f>
        <v>-206.97321861283643</v>
      </c>
      <c r="AK29" s="239">
        <f t="shared" ca="1" si="51"/>
        <v>-202.99864801208867</v>
      </c>
      <c r="AL29" s="239">
        <f t="shared" ca="1" si="51"/>
        <v>-244.15864878289338</v>
      </c>
      <c r="AM29" s="239">
        <f t="shared" ca="1" si="51"/>
        <v>-206.03149017414799</v>
      </c>
      <c r="AN29" s="239">
        <f t="shared" ca="1" si="51"/>
        <v>-234.95180650521337</v>
      </c>
      <c r="AO29" s="239">
        <f t="shared" ca="1" si="51"/>
        <v>-214.68127980981708</v>
      </c>
      <c r="AP29" s="239">
        <f t="shared" ca="1" si="51"/>
        <v>-210.42601657223389</v>
      </c>
      <c r="AQ29" s="239">
        <f t="shared" ca="1" si="51"/>
        <v>-277.14204519004824</v>
      </c>
      <c r="AR29" s="239">
        <f t="shared" ca="1" si="50"/>
        <v>-217.87257250115948</v>
      </c>
      <c r="AS29" s="239">
        <f t="shared" ref="AS29:BO29" ca="1" si="52">AS27-AS28</f>
        <v>-242.04777516441547</v>
      </c>
      <c r="AT29" s="239">
        <f t="shared" ca="1" si="52"/>
        <v>-220.61419992092306</v>
      </c>
      <c r="AU29" s="239">
        <f t="shared" ca="1" si="52"/>
        <v>-109.34200625817768</v>
      </c>
      <c r="AV29" s="239">
        <f t="shared" ca="1" si="52"/>
        <v>-194.54744516750685</v>
      </c>
      <c r="AW29" s="239">
        <f t="shared" ca="1" si="52"/>
        <v>-9.0075412213160995</v>
      </c>
      <c r="AX29" s="239">
        <f t="shared" ca="1" si="52"/>
        <v>-8.3641454197935214</v>
      </c>
      <c r="AY29" s="239">
        <f t="shared" ca="1" si="52"/>
        <v>-8.3641454197935214</v>
      </c>
      <c r="AZ29" s="239">
        <f t="shared" ca="1" si="52"/>
        <v>-9.0075412213160995</v>
      </c>
      <c r="BA29" s="239">
        <f t="shared" ca="1" si="52"/>
        <v>-9.0075412213160995</v>
      </c>
      <c r="BB29" s="239">
        <f t="shared" ca="1" si="52"/>
        <v>-9.0075412213160995</v>
      </c>
      <c r="BC29" s="239">
        <f t="shared" ca="1" si="52"/>
        <v>-19.301874045677359</v>
      </c>
      <c r="BD29" s="239">
        <f t="shared" ca="1" si="52"/>
        <v>-19.301874045677359</v>
      </c>
      <c r="BE29" s="239">
        <f t="shared" ca="1" si="52"/>
        <v>-19.464653183462588</v>
      </c>
      <c r="BF29" s="239">
        <f t="shared" ca="1" si="52"/>
        <v>0</v>
      </c>
      <c r="BG29" s="239">
        <f t="shared" ca="1" si="52"/>
        <v>0</v>
      </c>
      <c r="BH29" s="239">
        <f t="shared" ca="1" si="52"/>
        <v>0</v>
      </c>
      <c r="BI29" s="239">
        <f t="shared" ca="1" si="52"/>
        <v>0</v>
      </c>
      <c r="BJ29" s="239">
        <f t="shared" ca="1" si="52"/>
        <v>0</v>
      </c>
      <c r="BK29" s="239">
        <f t="shared" ca="1" si="52"/>
        <v>0</v>
      </c>
      <c r="BL29" s="239">
        <f t="shared" ca="1" si="52"/>
        <v>0</v>
      </c>
      <c r="BM29" s="239">
        <f t="shared" ca="1" si="52"/>
        <v>0</v>
      </c>
      <c r="BN29" s="239">
        <f t="shared" ca="1" si="52"/>
        <v>0</v>
      </c>
      <c r="BO29" s="239">
        <f t="shared" ca="1" si="52"/>
        <v>0</v>
      </c>
      <c r="BP29" s="239">
        <f t="shared" ref="BP29:BT29" ca="1" si="53">BP27-BP28</f>
        <v>19795.026159131427</v>
      </c>
      <c r="BQ29" s="239">
        <f t="shared" ca="1" si="53"/>
        <v>0</v>
      </c>
      <c r="BR29" s="239">
        <f t="shared" ca="1" si="53"/>
        <v>0</v>
      </c>
      <c r="BS29" s="239">
        <f t="shared" ca="1" si="53"/>
        <v>0</v>
      </c>
      <c r="BT29" s="239">
        <f t="shared" ca="1" si="53"/>
        <v>0</v>
      </c>
    </row>
    <row r="30" spans="1:72" s="243" customFormat="1" ht="13.5">
      <c r="A30" s="244"/>
      <c r="B30" s="245"/>
      <c r="C30" s="246"/>
      <c r="D30" s="246"/>
      <c r="E30" s="246"/>
      <c r="F30" s="246"/>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row>
    <row r="31" spans="1:72">
      <c r="A31" s="233" t="s">
        <v>301</v>
      </c>
      <c r="B31" s="247">
        <f ca="1">(B19-B23)/B3*10000</f>
        <v>1921.1585671554842</v>
      </c>
      <c r="C31" s="32"/>
      <c r="D31" s="32"/>
      <c r="E31" s="32"/>
      <c r="F31" s="32"/>
      <c r="G31" s="32"/>
      <c r="H31" s="32"/>
      <c r="I31" s="32"/>
      <c r="J31" s="32"/>
      <c r="K31" s="32"/>
      <c r="L31" s="32"/>
      <c r="M31" s="32"/>
      <c r="N31" s="32"/>
      <c r="O31" s="32"/>
      <c r="P31" s="32"/>
      <c r="Q31" s="32"/>
      <c r="R31" s="32"/>
      <c r="S31" s="32"/>
      <c r="T31" s="32"/>
      <c r="U31" s="32"/>
      <c r="V31" s="32"/>
      <c r="W31" s="32"/>
      <c r="X31" s="32"/>
      <c r="Y31" s="32"/>
      <c r="Z31" s="1041"/>
      <c r="AA31" s="1041"/>
      <c r="AB31" s="1041"/>
      <c r="AC31" s="1041"/>
      <c r="AD31" s="1041"/>
      <c r="AE31" s="1041"/>
      <c r="AF31" s="1041"/>
      <c r="AG31" s="1041"/>
      <c r="AH31" s="1041"/>
      <c r="AI31" s="1041"/>
      <c r="AJ31" s="1041"/>
      <c r="AK31" s="1041"/>
      <c r="AL31" s="32"/>
      <c r="AM31" s="32"/>
      <c r="AN31" s="32"/>
      <c r="AO31" s="32"/>
      <c r="AP31" s="32"/>
      <c r="AQ31" s="32"/>
      <c r="AR31" s="32"/>
    </row>
    <row r="32" spans="1:72">
      <c r="A32" s="233" t="s">
        <v>302</v>
      </c>
      <c r="B32" s="241">
        <f ca="1">B29/B3*10000</f>
        <v>1128.2284529178178</v>
      </c>
      <c r="C32" s="32"/>
      <c r="D32" s="32"/>
      <c r="E32" s="32"/>
      <c r="F32" s="32"/>
      <c r="G32" s="32"/>
      <c r="H32" s="32"/>
      <c r="I32" s="32"/>
      <c r="J32" s="32"/>
      <c r="K32" s="32"/>
      <c r="L32" s="32"/>
      <c r="M32" s="32"/>
      <c r="N32" s="32"/>
      <c r="O32" s="32"/>
      <c r="P32" s="32"/>
      <c r="Q32" s="32"/>
      <c r="R32" s="32"/>
      <c r="S32" s="32"/>
      <c r="T32" s="32"/>
      <c r="U32" s="32"/>
      <c r="V32" s="32"/>
      <c r="W32" s="32"/>
      <c r="X32" s="32"/>
      <c r="Y32" s="32"/>
      <c r="Z32" s="1023"/>
      <c r="AA32" s="1023"/>
      <c r="AB32" s="1023"/>
      <c r="AC32" s="1023"/>
      <c r="AD32" s="1023"/>
      <c r="AE32" s="1023"/>
      <c r="AF32" s="1024"/>
      <c r="AG32" s="1023"/>
      <c r="AH32" s="279"/>
      <c r="AI32" s="279"/>
      <c r="AJ32" s="279"/>
      <c r="AK32" s="279"/>
      <c r="AL32" s="32"/>
      <c r="AM32" s="32"/>
      <c r="AN32" s="32"/>
      <c r="AO32" s="32"/>
      <c r="AP32" s="32"/>
      <c r="AQ32" s="32"/>
      <c r="AR32" s="32"/>
    </row>
    <row r="33" spans="1:72">
      <c r="A33" s="233" t="s">
        <v>303</v>
      </c>
      <c r="B33" s="248">
        <f ca="1">(B19-B23)/B7</f>
        <v>0.20728517602540228</v>
      </c>
      <c r="C33" s="32"/>
      <c r="D33" s="32"/>
      <c r="E33" s="32"/>
      <c r="F33" s="32"/>
      <c r="G33" s="32"/>
      <c r="H33" s="32"/>
      <c r="I33" s="32"/>
      <c r="J33" s="32"/>
      <c r="K33" s="32"/>
      <c r="L33" s="32"/>
      <c r="M33" s="32"/>
      <c r="N33" s="32"/>
      <c r="O33" s="32"/>
      <c r="P33" s="32"/>
      <c r="Q33" s="32"/>
      <c r="R33" s="32"/>
      <c r="S33" s="32"/>
      <c r="T33" s="32"/>
      <c r="U33" s="32"/>
      <c r="V33" s="32"/>
      <c r="W33" s="32"/>
      <c r="X33" s="32"/>
      <c r="Y33" s="32"/>
      <c r="Z33" s="117"/>
      <c r="AA33" s="117"/>
      <c r="AB33" s="117"/>
      <c r="AC33" s="117"/>
      <c r="AD33" s="117"/>
      <c r="AE33" s="117"/>
      <c r="AF33" s="117"/>
      <c r="AG33" s="117"/>
      <c r="AH33" s="117"/>
      <c r="AI33" s="117"/>
      <c r="AJ33" s="117"/>
      <c r="AK33" s="117"/>
      <c r="AL33" s="32"/>
      <c r="AM33" s="32"/>
      <c r="AN33" s="32"/>
      <c r="AO33" s="32"/>
      <c r="AP33" s="32"/>
      <c r="AQ33" s="32"/>
      <c r="AR33" s="32"/>
    </row>
    <row r="34" spans="1:72">
      <c r="A34" s="233" t="s">
        <v>304</v>
      </c>
      <c r="B34" s="248">
        <f ca="1">B29/B7</f>
        <v>0.12173124980839223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row>
    <row r="36" spans="1:72">
      <c r="A36" s="2253" t="s">
        <v>52</v>
      </c>
      <c r="B36" s="2257" t="s">
        <v>24</v>
      </c>
      <c r="C36" s="121" t="s">
        <v>237</v>
      </c>
      <c r="D36" s="121" t="s">
        <v>238</v>
      </c>
      <c r="E36" s="121" t="s">
        <v>238</v>
      </c>
      <c r="F36" s="121" t="s">
        <v>238</v>
      </c>
      <c r="G36" s="121" t="s">
        <v>238</v>
      </c>
      <c r="H36" s="121" t="s">
        <v>239</v>
      </c>
      <c r="I36" s="121" t="s">
        <v>239</v>
      </c>
      <c r="J36" s="121" t="s">
        <v>239</v>
      </c>
      <c r="K36" s="121" t="s">
        <v>239</v>
      </c>
      <c r="L36" s="121" t="s">
        <v>240</v>
      </c>
      <c r="M36" s="121" t="s">
        <v>240</v>
      </c>
      <c r="N36" s="121" t="s">
        <v>240</v>
      </c>
      <c r="O36" s="121" t="s">
        <v>240</v>
      </c>
      <c r="P36" s="121" t="s">
        <v>241</v>
      </c>
      <c r="Q36" s="121" t="s">
        <v>241</v>
      </c>
      <c r="R36" s="121" t="s">
        <v>241</v>
      </c>
      <c r="S36" s="121" t="s">
        <v>241</v>
      </c>
      <c r="T36" s="121" t="s">
        <v>242</v>
      </c>
      <c r="U36" s="121" t="s">
        <v>242</v>
      </c>
      <c r="V36" s="121" t="s">
        <v>244</v>
      </c>
      <c r="W36" s="121" t="s">
        <v>244</v>
      </c>
      <c r="X36" s="121" t="s">
        <v>244</v>
      </c>
      <c r="Y36" s="121" t="s">
        <v>244</v>
      </c>
      <c r="Z36" s="121" t="s">
        <v>244</v>
      </c>
      <c r="AA36" s="121" t="s">
        <v>244</v>
      </c>
      <c r="AB36" s="121" t="s">
        <v>244</v>
      </c>
      <c r="AC36" s="121" t="s">
        <v>244</v>
      </c>
      <c r="AD36" s="121" t="s">
        <v>244</v>
      </c>
      <c r="AE36" s="121" t="s">
        <v>244</v>
      </c>
      <c r="AF36" s="121" t="s">
        <v>244</v>
      </c>
      <c r="AG36" s="121" t="s">
        <v>244</v>
      </c>
      <c r="AH36" s="121" t="s">
        <v>4220</v>
      </c>
      <c r="AI36" s="121" t="s">
        <v>4220</v>
      </c>
      <c r="AJ36" s="121" t="s">
        <v>4220</v>
      </c>
      <c r="AK36" s="121" t="s">
        <v>4220</v>
      </c>
      <c r="AL36" s="121" t="s">
        <v>4220</v>
      </c>
      <c r="AM36" s="121" t="s">
        <v>4220</v>
      </c>
      <c r="AN36" s="121" t="s">
        <v>4220</v>
      </c>
      <c r="AO36" s="121" t="s">
        <v>4220</v>
      </c>
      <c r="AP36" s="121" t="s">
        <v>4220</v>
      </c>
      <c r="AQ36" s="121" t="s">
        <v>4220</v>
      </c>
      <c r="AR36" s="121" t="s">
        <v>4220</v>
      </c>
      <c r="AS36" s="121" t="s">
        <v>4220</v>
      </c>
      <c r="AT36" s="121" t="s">
        <v>4221</v>
      </c>
      <c r="AU36" s="121" t="s">
        <v>4221</v>
      </c>
      <c r="AV36" s="121" t="s">
        <v>4221</v>
      </c>
      <c r="AW36" s="121" t="s">
        <v>4221</v>
      </c>
      <c r="AX36" s="121" t="s">
        <v>4221</v>
      </c>
      <c r="AY36" s="121" t="s">
        <v>4221</v>
      </c>
      <c r="AZ36" s="121" t="s">
        <v>4221</v>
      </c>
      <c r="BA36" s="121" t="s">
        <v>4221</v>
      </c>
      <c r="BB36" s="121" t="s">
        <v>4221</v>
      </c>
      <c r="BC36" s="121" t="s">
        <v>4221</v>
      </c>
      <c r="BD36" s="121" t="s">
        <v>4221</v>
      </c>
      <c r="BE36" s="121" t="s">
        <v>4221</v>
      </c>
      <c r="BF36" s="121" t="s">
        <v>4246</v>
      </c>
      <c r="BG36" s="121" t="s">
        <v>4246</v>
      </c>
      <c r="BH36" s="121" t="s">
        <v>4246</v>
      </c>
      <c r="BI36" s="121" t="s">
        <v>4246</v>
      </c>
      <c r="BJ36" s="121" t="s">
        <v>4221</v>
      </c>
      <c r="BK36" s="121" t="s">
        <v>4221</v>
      </c>
      <c r="BL36" s="121" t="s">
        <v>4246</v>
      </c>
      <c r="BM36" s="121" t="s">
        <v>4246</v>
      </c>
      <c r="BN36" s="121" t="s">
        <v>4246</v>
      </c>
      <c r="BO36" s="121" t="s">
        <v>4246</v>
      </c>
      <c r="BP36" s="121" t="s">
        <v>256</v>
      </c>
      <c r="BQ36" s="121" t="s">
        <v>256</v>
      </c>
      <c r="BR36" s="121" t="s">
        <v>4346</v>
      </c>
      <c r="BS36" s="121" t="s">
        <v>4346</v>
      </c>
      <c r="BT36" s="121" t="s">
        <v>4346</v>
      </c>
    </row>
    <row r="37" spans="1:72">
      <c r="A37" s="2254"/>
      <c r="B37" s="2258"/>
      <c r="C37" s="123" t="s">
        <v>174</v>
      </c>
      <c r="D37" s="123" t="s">
        <v>175</v>
      </c>
      <c r="E37" s="123" t="s">
        <v>176</v>
      </c>
      <c r="F37" s="123" t="s">
        <v>177</v>
      </c>
      <c r="G37" s="123" t="s">
        <v>178</v>
      </c>
      <c r="H37" s="123" t="s">
        <v>179</v>
      </c>
      <c r="I37" s="123" t="s">
        <v>180</v>
      </c>
      <c r="J37" s="123" t="s">
        <v>181</v>
      </c>
      <c r="K37" s="123" t="s">
        <v>182</v>
      </c>
      <c r="L37" s="123" t="s">
        <v>183</v>
      </c>
      <c r="M37" s="123" t="s">
        <v>184</v>
      </c>
      <c r="N37" s="123" t="s">
        <v>185</v>
      </c>
      <c r="O37" s="123" t="s">
        <v>186</v>
      </c>
      <c r="P37" s="123" t="s">
        <v>187</v>
      </c>
      <c r="Q37" s="123" t="s">
        <v>188</v>
      </c>
      <c r="R37" s="123" t="s">
        <v>189</v>
      </c>
      <c r="S37" s="123" t="s">
        <v>190</v>
      </c>
      <c r="T37" s="123" t="s">
        <v>191</v>
      </c>
      <c r="U37" s="123" t="s">
        <v>192</v>
      </c>
      <c r="V37" s="123" t="s">
        <v>4208</v>
      </c>
      <c r="W37" s="123" t="s">
        <v>4209</v>
      </c>
      <c r="X37" s="123" t="s">
        <v>4210</v>
      </c>
      <c r="Y37" s="123" t="s">
        <v>4211</v>
      </c>
      <c r="Z37" s="123" t="s">
        <v>4212</v>
      </c>
      <c r="AA37" s="123" t="s">
        <v>4213</v>
      </c>
      <c r="AB37" s="123" t="s">
        <v>4214</v>
      </c>
      <c r="AC37" s="123" t="s">
        <v>4215</v>
      </c>
      <c r="AD37" s="123" t="s">
        <v>4216</v>
      </c>
      <c r="AE37" s="123" t="s">
        <v>4217</v>
      </c>
      <c r="AF37" s="123" t="s">
        <v>4218</v>
      </c>
      <c r="AG37" s="123" t="s">
        <v>4219</v>
      </c>
      <c r="AH37" s="123" t="s">
        <v>4222</v>
      </c>
      <c r="AI37" s="123" t="s">
        <v>4223</v>
      </c>
      <c r="AJ37" s="123" t="s">
        <v>4224</v>
      </c>
      <c r="AK37" s="123" t="s">
        <v>4225</v>
      </c>
      <c r="AL37" s="123" t="s">
        <v>4226</v>
      </c>
      <c r="AM37" s="123" t="s">
        <v>4227</v>
      </c>
      <c r="AN37" s="123" t="s">
        <v>4228</v>
      </c>
      <c r="AO37" s="123" t="s">
        <v>4229</v>
      </c>
      <c r="AP37" s="123" t="s">
        <v>4230</v>
      </c>
      <c r="AQ37" s="123" t="s">
        <v>4231</v>
      </c>
      <c r="AR37" s="123" t="s">
        <v>4232</v>
      </c>
      <c r="AS37" s="123" t="s">
        <v>4233</v>
      </c>
      <c r="AT37" s="123" t="s">
        <v>4234</v>
      </c>
      <c r="AU37" s="123" t="s">
        <v>4235</v>
      </c>
      <c r="AV37" s="123" t="s">
        <v>4236</v>
      </c>
      <c r="AW37" s="123" t="s">
        <v>4237</v>
      </c>
      <c r="AX37" s="123" t="s">
        <v>4238</v>
      </c>
      <c r="AY37" s="123" t="s">
        <v>4239</v>
      </c>
      <c r="AZ37" s="123" t="s">
        <v>4240</v>
      </c>
      <c r="BA37" s="123" t="s">
        <v>4241</v>
      </c>
      <c r="BB37" s="123" t="s">
        <v>4242</v>
      </c>
      <c r="BC37" s="123" t="s">
        <v>4243</v>
      </c>
      <c r="BD37" s="123" t="s">
        <v>4244</v>
      </c>
      <c r="BE37" s="123" t="s">
        <v>4245</v>
      </c>
      <c r="BF37" s="123" t="s">
        <v>4247</v>
      </c>
      <c r="BG37" s="123" t="s">
        <v>4248</v>
      </c>
      <c r="BH37" s="123" t="s">
        <v>4249</v>
      </c>
      <c r="BI37" s="123" t="s">
        <v>4250</v>
      </c>
      <c r="BJ37" s="123" t="s">
        <v>4251</v>
      </c>
      <c r="BK37" s="123" t="s">
        <v>4252</v>
      </c>
      <c r="BL37" s="123" t="s">
        <v>4253</v>
      </c>
      <c r="BM37" s="123" t="s">
        <v>4254</v>
      </c>
      <c r="BN37" s="123" t="s">
        <v>4255</v>
      </c>
      <c r="BO37" s="123" t="s">
        <v>4256</v>
      </c>
      <c r="BP37" s="123" t="s">
        <v>4257</v>
      </c>
      <c r="BQ37" s="123" t="s">
        <v>4258</v>
      </c>
      <c r="BR37" s="123" t="s">
        <v>4347</v>
      </c>
      <c r="BS37" s="123" t="s">
        <v>4348</v>
      </c>
      <c r="BT37" s="123" t="s">
        <v>4349</v>
      </c>
    </row>
    <row r="38" spans="1:72">
      <c r="A38" s="252" t="str">
        <f>基础信息!A3</f>
        <v>一期</v>
      </c>
      <c r="B38" s="225" t="str">
        <f>基础信息!B2</f>
        <v>车位</v>
      </c>
      <c r="C38" s="225">
        <f>结算计划!D9</f>
        <v>0</v>
      </c>
      <c r="D38" s="225">
        <f>结算计划!E9</f>
        <v>0</v>
      </c>
      <c r="E38" s="225">
        <f>结算计划!F9</f>
        <v>0</v>
      </c>
      <c r="F38" s="225">
        <f>结算计划!G9</f>
        <v>0</v>
      </c>
      <c r="G38" s="225">
        <f>结算计划!H9</f>
        <v>0</v>
      </c>
      <c r="H38" s="225">
        <f>结算计划!I9</f>
        <v>0</v>
      </c>
      <c r="I38" s="225">
        <f>结算计划!J9</f>
        <v>0</v>
      </c>
      <c r="J38" s="225">
        <f>结算计划!K9</f>
        <v>0</v>
      </c>
      <c r="K38" s="225">
        <f>结算计划!L9</f>
        <v>0</v>
      </c>
      <c r="L38" s="225">
        <f>结算计划!M9</f>
        <v>0</v>
      </c>
      <c r="M38" s="225">
        <f>结算计划!N9</f>
        <v>0</v>
      </c>
      <c r="N38" s="225">
        <f>结算计划!O9</f>
        <v>0</v>
      </c>
      <c r="O38" s="225">
        <f>结算计划!P9</f>
        <v>0</v>
      </c>
      <c r="P38" s="225">
        <f>结算计划!Q9</f>
        <v>0</v>
      </c>
      <c r="Q38" s="225">
        <f>结算计划!R9</f>
        <v>0</v>
      </c>
      <c r="R38" s="225">
        <f>结算计划!S9</f>
        <v>0</v>
      </c>
      <c r="S38" s="225">
        <f>结算计划!T9</f>
        <v>0</v>
      </c>
      <c r="T38" s="225">
        <f>结算计划!U9</f>
        <v>0</v>
      </c>
      <c r="U38" s="225">
        <f>结算计划!V9</f>
        <v>0</v>
      </c>
      <c r="V38" s="225">
        <f>结算计划!W9</f>
        <v>0</v>
      </c>
      <c r="W38" s="225">
        <f>结算计划!X9</f>
        <v>0</v>
      </c>
      <c r="X38" s="225">
        <f>结算计划!Y9</f>
        <v>0</v>
      </c>
      <c r="Y38" s="225">
        <f>结算计划!Z9</f>
        <v>0</v>
      </c>
      <c r="Z38" s="225">
        <f>结算计划!AA9</f>
        <v>0</v>
      </c>
      <c r="AA38" s="225">
        <f>结算计划!AB9</f>
        <v>0</v>
      </c>
      <c r="AB38" s="225">
        <f>结算计划!AC9</f>
        <v>0</v>
      </c>
      <c r="AC38" s="225">
        <f>结算计划!AD9</f>
        <v>0</v>
      </c>
      <c r="AD38" s="225">
        <f>结算计划!AE9</f>
        <v>0</v>
      </c>
      <c r="AE38" s="225">
        <f>结算计划!AF9</f>
        <v>0</v>
      </c>
      <c r="AF38" s="225">
        <f>结算计划!AG9</f>
        <v>0</v>
      </c>
      <c r="AG38" s="225">
        <f>结算计划!AH9</f>
        <v>0</v>
      </c>
      <c r="AH38" s="225">
        <f>结算计划!AI9</f>
        <v>0</v>
      </c>
      <c r="AI38" s="225">
        <f>结算计划!AJ9</f>
        <v>0</v>
      </c>
      <c r="AJ38" s="225">
        <f>结算计划!AK9</f>
        <v>0</v>
      </c>
      <c r="AK38" s="225">
        <f>结算计划!AL9</f>
        <v>0</v>
      </c>
      <c r="AL38" s="225">
        <f>结算计划!AM9</f>
        <v>0</v>
      </c>
      <c r="AM38" s="225">
        <f>结算计划!AN9</f>
        <v>0</v>
      </c>
      <c r="AN38" s="225">
        <f>结算计划!AO9</f>
        <v>0</v>
      </c>
      <c r="AO38" s="225">
        <f>结算计划!AP9</f>
        <v>0</v>
      </c>
      <c r="AP38" s="225">
        <f>结算计划!AQ9</f>
        <v>0</v>
      </c>
      <c r="AQ38" s="225">
        <f>结算计划!AR9</f>
        <v>0</v>
      </c>
      <c r="AR38" s="225">
        <f>结算计划!AS9</f>
        <v>0</v>
      </c>
      <c r="AS38" s="225">
        <f>结算计划!AT9</f>
        <v>0</v>
      </c>
      <c r="AT38" s="225">
        <f>结算计划!AU9</f>
        <v>0</v>
      </c>
      <c r="AU38" s="225">
        <f>结算计划!AV9</f>
        <v>0</v>
      </c>
      <c r="AV38" s="225">
        <f>结算计划!AW9</f>
        <v>0</v>
      </c>
      <c r="AW38" s="225">
        <f>结算计划!AX9</f>
        <v>0</v>
      </c>
      <c r="AX38" s="225">
        <f>结算计划!AY9</f>
        <v>0</v>
      </c>
      <c r="AY38" s="225">
        <f>结算计划!AZ9</f>
        <v>0</v>
      </c>
      <c r="AZ38" s="225">
        <f>结算计划!BA9</f>
        <v>0</v>
      </c>
      <c r="BA38" s="225">
        <f>结算计划!BB9</f>
        <v>0</v>
      </c>
      <c r="BB38" s="225">
        <f>结算计划!BC9</f>
        <v>0</v>
      </c>
      <c r="BC38" s="225">
        <f>结算计划!BD9</f>
        <v>0</v>
      </c>
      <c r="BD38" s="225">
        <f>结算计划!BE9</f>
        <v>0</v>
      </c>
      <c r="BE38" s="225">
        <f>结算计划!BF9</f>
        <v>0</v>
      </c>
      <c r="BF38" s="225">
        <f>结算计划!BG9</f>
        <v>0</v>
      </c>
      <c r="BG38" s="225">
        <f>结算计划!BH9</f>
        <v>0</v>
      </c>
      <c r="BH38" s="225">
        <f>结算计划!BI9</f>
        <v>0</v>
      </c>
      <c r="BI38" s="225">
        <f>结算计划!BJ9</f>
        <v>0</v>
      </c>
      <c r="BJ38" s="225">
        <f>结算计划!BK9</f>
        <v>0</v>
      </c>
      <c r="BK38" s="225">
        <f>结算计划!BL9</f>
        <v>0</v>
      </c>
      <c r="BL38" s="225">
        <f>结算计划!BM9</f>
        <v>0</v>
      </c>
      <c r="BM38" s="225">
        <f>结算计划!BN9</f>
        <v>0</v>
      </c>
      <c r="BN38" s="225">
        <f>结算计划!BO9</f>
        <v>0</v>
      </c>
      <c r="BO38" s="225">
        <f>结算计划!BP9</f>
        <v>0</v>
      </c>
      <c r="BP38" s="225">
        <f>结算计划!BQ9</f>
        <v>24565.840000000004</v>
      </c>
      <c r="BQ38" s="225">
        <f>结算计划!BR9</f>
        <v>0</v>
      </c>
      <c r="BR38" s="225">
        <f>结算计划!BS9</f>
        <v>0</v>
      </c>
      <c r="BS38" s="225">
        <f>结算计划!BT9</f>
        <v>0</v>
      </c>
      <c r="BT38" s="225">
        <f>结算计划!BU9</f>
        <v>0</v>
      </c>
    </row>
    <row r="39" spans="1:72">
      <c r="A39" s="252" t="str">
        <f>A38</f>
        <v>一期</v>
      </c>
      <c r="B39" s="225" t="str">
        <f>基础信息!C2</f>
        <v>高层（27F）</v>
      </c>
      <c r="C39" s="225">
        <f>结算计划!D12</f>
        <v>0</v>
      </c>
      <c r="D39" s="225">
        <f>结算计划!E12</f>
        <v>0</v>
      </c>
      <c r="E39" s="225">
        <f>结算计划!F12</f>
        <v>0</v>
      </c>
      <c r="F39" s="225">
        <f>结算计划!G12</f>
        <v>0</v>
      </c>
      <c r="G39" s="225">
        <f>结算计划!H12</f>
        <v>0</v>
      </c>
      <c r="H39" s="225">
        <f>结算计划!I12</f>
        <v>0</v>
      </c>
      <c r="I39" s="225">
        <f>结算计划!J12</f>
        <v>0</v>
      </c>
      <c r="J39" s="225">
        <f>结算计划!K12</f>
        <v>0</v>
      </c>
      <c r="K39" s="225">
        <f>结算计划!L12</f>
        <v>0</v>
      </c>
      <c r="L39" s="225">
        <f>结算计划!M12</f>
        <v>0</v>
      </c>
      <c r="M39" s="225">
        <f>结算计划!N12</f>
        <v>0</v>
      </c>
      <c r="N39" s="225">
        <f>结算计划!O12</f>
        <v>0</v>
      </c>
      <c r="O39" s="225">
        <f>结算计划!P12</f>
        <v>0</v>
      </c>
      <c r="P39" s="225">
        <f>结算计划!Q12</f>
        <v>0</v>
      </c>
      <c r="Q39" s="225">
        <f>结算计划!R12</f>
        <v>0</v>
      </c>
      <c r="R39" s="225">
        <f>结算计划!S12</f>
        <v>0</v>
      </c>
      <c r="S39" s="225">
        <f>结算计划!T12</f>
        <v>0</v>
      </c>
      <c r="T39" s="225">
        <f>结算计划!U12</f>
        <v>0</v>
      </c>
      <c r="U39" s="225">
        <f>结算计划!V12</f>
        <v>0</v>
      </c>
      <c r="V39" s="225">
        <f>结算计划!W12</f>
        <v>0</v>
      </c>
      <c r="W39" s="225">
        <f>结算计划!X12</f>
        <v>0</v>
      </c>
      <c r="X39" s="225">
        <f>结算计划!Y12</f>
        <v>0</v>
      </c>
      <c r="Y39" s="225">
        <f>结算计划!Z12</f>
        <v>0</v>
      </c>
      <c r="Z39" s="225">
        <f>结算计划!AA12</f>
        <v>0</v>
      </c>
      <c r="AA39" s="225">
        <f>结算计划!AB12</f>
        <v>0</v>
      </c>
      <c r="AB39" s="225">
        <f>结算计划!AC12</f>
        <v>0</v>
      </c>
      <c r="AC39" s="225">
        <f>结算计划!AD12</f>
        <v>0</v>
      </c>
      <c r="AD39" s="225">
        <f>结算计划!AE12</f>
        <v>0</v>
      </c>
      <c r="AE39" s="225">
        <f>结算计划!AF12</f>
        <v>0</v>
      </c>
      <c r="AF39" s="225">
        <f>结算计划!AG12</f>
        <v>0</v>
      </c>
      <c r="AG39" s="225">
        <f>结算计划!AH12</f>
        <v>0</v>
      </c>
      <c r="AH39" s="225">
        <f>结算计划!AI12</f>
        <v>0</v>
      </c>
      <c r="AI39" s="225">
        <f>结算计划!AJ12</f>
        <v>0</v>
      </c>
      <c r="AJ39" s="225">
        <f>结算计划!AK12</f>
        <v>0</v>
      </c>
      <c r="AK39" s="225">
        <f>结算计划!AL12</f>
        <v>0</v>
      </c>
      <c r="AL39" s="225">
        <f>结算计划!AM12</f>
        <v>0</v>
      </c>
      <c r="AM39" s="225">
        <f>结算计划!AN12</f>
        <v>0</v>
      </c>
      <c r="AN39" s="225">
        <f>结算计划!AO12</f>
        <v>0</v>
      </c>
      <c r="AO39" s="225">
        <f>结算计划!AP12</f>
        <v>0</v>
      </c>
      <c r="AP39" s="225">
        <f>结算计划!AQ12</f>
        <v>0</v>
      </c>
      <c r="AQ39" s="225">
        <f>结算计划!AR12</f>
        <v>0</v>
      </c>
      <c r="AR39" s="225">
        <f>结算计划!AS12</f>
        <v>0</v>
      </c>
      <c r="AS39" s="225">
        <f>结算计划!AT12</f>
        <v>0</v>
      </c>
      <c r="AT39" s="225">
        <f>结算计划!AU12</f>
        <v>0</v>
      </c>
      <c r="AU39" s="225">
        <f>结算计划!AV12</f>
        <v>0</v>
      </c>
      <c r="AV39" s="225">
        <f>结算计划!AW12</f>
        <v>0</v>
      </c>
      <c r="AW39" s="225">
        <f>结算计划!AX12</f>
        <v>0</v>
      </c>
      <c r="AX39" s="225">
        <f>结算计划!AY12</f>
        <v>0</v>
      </c>
      <c r="AY39" s="225">
        <f>结算计划!AZ12</f>
        <v>0</v>
      </c>
      <c r="AZ39" s="225">
        <f>结算计划!BA12</f>
        <v>0</v>
      </c>
      <c r="BA39" s="225">
        <f>结算计划!BB12</f>
        <v>0</v>
      </c>
      <c r="BB39" s="225">
        <f>结算计划!BC12</f>
        <v>0</v>
      </c>
      <c r="BC39" s="225">
        <f>结算计划!BD12</f>
        <v>0</v>
      </c>
      <c r="BD39" s="225">
        <f>结算计划!BE12</f>
        <v>0</v>
      </c>
      <c r="BE39" s="225">
        <f>结算计划!BF12</f>
        <v>0</v>
      </c>
      <c r="BF39" s="225">
        <f>结算计划!BG12</f>
        <v>0</v>
      </c>
      <c r="BG39" s="225">
        <f>结算计划!BH12</f>
        <v>0</v>
      </c>
      <c r="BH39" s="225">
        <f>结算计划!BI12</f>
        <v>0</v>
      </c>
      <c r="BI39" s="225">
        <f>结算计划!BJ12</f>
        <v>0</v>
      </c>
      <c r="BJ39" s="225">
        <f>结算计划!BK12</f>
        <v>0</v>
      </c>
      <c r="BK39" s="225">
        <f>结算计划!BL12</f>
        <v>0</v>
      </c>
      <c r="BL39" s="225">
        <f>结算计划!BM12</f>
        <v>0</v>
      </c>
      <c r="BM39" s="225">
        <f>结算计划!BN12</f>
        <v>0</v>
      </c>
      <c r="BN39" s="225">
        <f>结算计划!BO12</f>
        <v>0</v>
      </c>
      <c r="BO39" s="225">
        <f>结算计划!BP12</f>
        <v>0</v>
      </c>
      <c r="BP39" s="225">
        <f>结算计划!BQ12</f>
        <v>43173.95</v>
      </c>
      <c r="BQ39" s="225">
        <f>结算计划!BR12</f>
        <v>0</v>
      </c>
      <c r="BR39" s="225">
        <f>结算计划!BS12</f>
        <v>0</v>
      </c>
      <c r="BS39" s="225">
        <f>结算计划!BT12</f>
        <v>0</v>
      </c>
      <c r="BT39" s="225">
        <f>结算计划!BU12</f>
        <v>0</v>
      </c>
    </row>
    <row r="40" spans="1:72">
      <c r="A40" s="252" t="str">
        <f>A39</f>
        <v>一期</v>
      </c>
      <c r="B40" s="225" t="str">
        <f>基础信息!D2</f>
        <v>人防车位</v>
      </c>
      <c r="C40" s="225">
        <f>结算计划!D15</f>
        <v>0</v>
      </c>
      <c r="D40" s="225">
        <f>结算计划!E15</f>
        <v>0</v>
      </c>
      <c r="E40" s="225">
        <f>结算计划!F15</f>
        <v>0</v>
      </c>
      <c r="F40" s="225">
        <f>结算计划!G15</f>
        <v>0</v>
      </c>
      <c r="G40" s="225">
        <f>结算计划!H15</f>
        <v>0</v>
      </c>
      <c r="H40" s="225">
        <f>结算计划!I15</f>
        <v>0</v>
      </c>
      <c r="I40" s="225">
        <f>结算计划!J15</f>
        <v>0</v>
      </c>
      <c r="J40" s="225">
        <f>结算计划!K15</f>
        <v>0</v>
      </c>
      <c r="K40" s="225">
        <f>结算计划!L15</f>
        <v>0</v>
      </c>
      <c r="L40" s="225">
        <f>结算计划!M15</f>
        <v>0</v>
      </c>
      <c r="M40" s="225">
        <f>结算计划!N15</f>
        <v>0</v>
      </c>
      <c r="N40" s="225">
        <f>结算计划!O15</f>
        <v>0</v>
      </c>
      <c r="O40" s="225">
        <f>结算计划!P15</f>
        <v>0</v>
      </c>
      <c r="P40" s="225">
        <f>结算计划!Q15</f>
        <v>0</v>
      </c>
      <c r="Q40" s="225">
        <f>结算计划!R15</f>
        <v>0</v>
      </c>
      <c r="R40" s="225">
        <f>结算计划!S15</f>
        <v>0</v>
      </c>
      <c r="S40" s="225">
        <f>结算计划!T15</f>
        <v>0</v>
      </c>
      <c r="T40" s="225">
        <f>结算计划!U15</f>
        <v>0</v>
      </c>
      <c r="U40" s="225">
        <f>结算计划!V15</f>
        <v>0</v>
      </c>
      <c r="V40" s="225">
        <f>结算计划!W15</f>
        <v>0</v>
      </c>
      <c r="W40" s="225">
        <f>结算计划!X15</f>
        <v>0</v>
      </c>
      <c r="X40" s="225">
        <f>结算计划!Y15</f>
        <v>0</v>
      </c>
      <c r="Y40" s="225">
        <f>结算计划!Z15</f>
        <v>0</v>
      </c>
      <c r="Z40" s="225">
        <f>结算计划!AA15</f>
        <v>0</v>
      </c>
      <c r="AA40" s="225">
        <f>结算计划!AB15</f>
        <v>0</v>
      </c>
      <c r="AB40" s="225">
        <f>结算计划!AC15</f>
        <v>0</v>
      </c>
      <c r="AC40" s="225">
        <f>结算计划!AD15</f>
        <v>0</v>
      </c>
      <c r="AD40" s="225">
        <f>结算计划!AE15</f>
        <v>0</v>
      </c>
      <c r="AE40" s="225">
        <f>结算计划!AF15</f>
        <v>0</v>
      </c>
      <c r="AF40" s="225">
        <f>结算计划!AG15</f>
        <v>0</v>
      </c>
      <c r="AG40" s="225">
        <f>结算计划!AH15</f>
        <v>0</v>
      </c>
      <c r="AH40" s="225">
        <f>结算计划!AI15</f>
        <v>0</v>
      </c>
      <c r="AI40" s="225">
        <f>结算计划!AJ15</f>
        <v>0</v>
      </c>
      <c r="AJ40" s="225">
        <f>结算计划!AK15</f>
        <v>0</v>
      </c>
      <c r="AK40" s="225">
        <f>结算计划!AL15</f>
        <v>0</v>
      </c>
      <c r="AL40" s="225">
        <f>结算计划!AM15</f>
        <v>0</v>
      </c>
      <c r="AM40" s="225">
        <f>结算计划!AN15</f>
        <v>0</v>
      </c>
      <c r="AN40" s="225">
        <f>结算计划!AO15</f>
        <v>0</v>
      </c>
      <c r="AO40" s="225">
        <f>结算计划!AP15</f>
        <v>0</v>
      </c>
      <c r="AP40" s="225">
        <f>结算计划!AQ15</f>
        <v>0</v>
      </c>
      <c r="AQ40" s="225">
        <f>结算计划!AR15</f>
        <v>0</v>
      </c>
      <c r="AR40" s="225">
        <f>结算计划!AS15</f>
        <v>0</v>
      </c>
      <c r="AS40" s="225">
        <f>结算计划!AT15</f>
        <v>0</v>
      </c>
      <c r="AT40" s="225">
        <f>结算计划!AU15</f>
        <v>0</v>
      </c>
      <c r="AU40" s="225">
        <f>结算计划!AV15</f>
        <v>0</v>
      </c>
      <c r="AV40" s="225">
        <f>结算计划!AW15</f>
        <v>0</v>
      </c>
      <c r="AW40" s="225">
        <f>结算计划!AX15</f>
        <v>0</v>
      </c>
      <c r="AX40" s="225">
        <f>结算计划!AY15</f>
        <v>0</v>
      </c>
      <c r="AY40" s="225">
        <f>结算计划!AZ15</f>
        <v>0</v>
      </c>
      <c r="AZ40" s="225">
        <f>结算计划!BA15</f>
        <v>0</v>
      </c>
      <c r="BA40" s="225">
        <f>结算计划!BB15</f>
        <v>0</v>
      </c>
      <c r="BB40" s="225">
        <f>结算计划!BC15</f>
        <v>0</v>
      </c>
      <c r="BC40" s="225">
        <f>结算计划!BD15</f>
        <v>0</v>
      </c>
      <c r="BD40" s="225">
        <f>结算计划!BE15</f>
        <v>0</v>
      </c>
      <c r="BE40" s="225">
        <f>结算计划!BF15</f>
        <v>0</v>
      </c>
      <c r="BF40" s="225">
        <f>结算计划!BG15</f>
        <v>0</v>
      </c>
      <c r="BG40" s="225">
        <f>结算计划!BH15</f>
        <v>0</v>
      </c>
      <c r="BH40" s="225">
        <f>结算计划!BI15</f>
        <v>0</v>
      </c>
      <c r="BI40" s="225">
        <f>结算计划!BJ15</f>
        <v>0</v>
      </c>
      <c r="BJ40" s="225">
        <f>结算计划!BK15</f>
        <v>0</v>
      </c>
      <c r="BK40" s="225">
        <f>结算计划!BL15</f>
        <v>0</v>
      </c>
      <c r="BL40" s="225">
        <f>结算计划!BM15</f>
        <v>0</v>
      </c>
      <c r="BM40" s="225">
        <f>结算计划!BN15</f>
        <v>0</v>
      </c>
      <c r="BN40" s="225">
        <f>结算计划!BO15</f>
        <v>0</v>
      </c>
      <c r="BO40" s="225">
        <f>结算计划!BP15</f>
        <v>0</v>
      </c>
      <c r="BP40" s="225">
        <f>结算计划!BQ15</f>
        <v>9409.4599999999991</v>
      </c>
      <c r="BQ40" s="225">
        <f>结算计划!BR15</f>
        <v>0</v>
      </c>
      <c r="BR40" s="225">
        <f>结算计划!BS15</f>
        <v>0</v>
      </c>
      <c r="BS40" s="225">
        <f>结算计划!BT15</f>
        <v>0</v>
      </c>
      <c r="BT40" s="225">
        <f>结算计划!BU15</f>
        <v>0</v>
      </c>
    </row>
    <row r="41" spans="1:72">
      <c r="A41" s="252" t="str">
        <f>A39</f>
        <v>一期</v>
      </c>
      <c r="B41" s="225" t="str">
        <f>基础信息!E2</f>
        <v>人才公寓26F（可售、T7）</v>
      </c>
      <c r="C41" s="225">
        <f>结算计划!D18</f>
        <v>0</v>
      </c>
      <c r="D41" s="225">
        <f>结算计划!E18</f>
        <v>0</v>
      </c>
      <c r="E41" s="225">
        <f>结算计划!F18</f>
        <v>0</v>
      </c>
      <c r="F41" s="225">
        <f>结算计划!G18</f>
        <v>0</v>
      </c>
      <c r="G41" s="225">
        <f>结算计划!H18</f>
        <v>0</v>
      </c>
      <c r="H41" s="225">
        <f>结算计划!I18</f>
        <v>0</v>
      </c>
      <c r="I41" s="225">
        <f>结算计划!J18</f>
        <v>0</v>
      </c>
      <c r="J41" s="225">
        <f>结算计划!K18</f>
        <v>0</v>
      </c>
      <c r="K41" s="225">
        <f>结算计划!L18</f>
        <v>0</v>
      </c>
      <c r="L41" s="225">
        <f>结算计划!M18</f>
        <v>0</v>
      </c>
      <c r="M41" s="225">
        <f>结算计划!N18</f>
        <v>0</v>
      </c>
      <c r="N41" s="225">
        <f>结算计划!O18</f>
        <v>0</v>
      </c>
      <c r="O41" s="225">
        <f>结算计划!P18</f>
        <v>0</v>
      </c>
      <c r="P41" s="225">
        <f>结算计划!Q18</f>
        <v>0</v>
      </c>
      <c r="Q41" s="225">
        <f>结算计划!R18</f>
        <v>0</v>
      </c>
      <c r="R41" s="225">
        <f>结算计划!S18</f>
        <v>0</v>
      </c>
      <c r="S41" s="225">
        <f>结算计划!T18</f>
        <v>0</v>
      </c>
      <c r="T41" s="225">
        <f>结算计划!U18</f>
        <v>0</v>
      </c>
      <c r="U41" s="225">
        <f>结算计划!V18</f>
        <v>0</v>
      </c>
      <c r="V41" s="225">
        <f>结算计划!W18</f>
        <v>0</v>
      </c>
      <c r="W41" s="225">
        <f>结算计划!X18</f>
        <v>0</v>
      </c>
      <c r="X41" s="225">
        <f>结算计划!Y18</f>
        <v>0</v>
      </c>
      <c r="Y41" s="225">
        <f>结算计划!Z18</f>
        <v>0</v>
      </c>
      <c r="Z41" s="225">
        <f>结算计划!AA18</f>
        <v>0</v>
      </c>
      <c r="AA41" s="225">
        <f>结算计划!AB18</f>
        <v>0</v>
      </c>
      <c r="AB41" s="225">
        <f>结算计划!AC18</f>
        <v>0</v>
      </c>
      <c r="AC41" s="225">
        <f>结算计划!AD18</f>
        <v>0</v>
      </c>
      <c r="AD41" s="225">
        <f>结算计划!AE18</f>
        <v>0</v>
      </c>
      <c r="AE41" s="225">
        <f>结算计划!AF18</f>
        <v>0</v>
      </c>
      <c r="AF41" s="225">
        <f>结算计划!AG18</f>
        <v>0</v>
      </c>
      <c r="AG41" s="225">
        <f>结算计划!AH18</f>
        <v>0</v>
      </c>
      <c r="AH41" s="225">
        <f>结算计划!AI18</f>
        <v>0</v>
      </c>
      <c r="AI41" s="225">
        <f>结算计划!AJ18</f>
        <v>0</v>
      </c>
      <c r="AJ41" s="225">
        <f>结算计划!AK18</f>
        <v>0</v>
      </c>
      <c r="AK41" s="225">
        <f>结算计划!AL18</f>
        <v>0</v>
      </c>
      <c r="AL41" s="225">
        <f>结算计划!AM18</f>
        <v>0</v>
      </c>
      <c r="AM41" s="225">
        <f>结算计划!AN18</f>
        <v>0</v>
      </c>
      <c r="AN41" s="225">
        <f>结算计划!AO18</f>
        <v>0</v>
      </c>
      <c r="AO41" s="225">
        <f>结算计划!AP18</f>
        <v>0</v>
      </c>
      <c r="AP41" s="225">
        <f>结算计划!AQ18</f>
        <v>0</v>
      </c>
      <c r="AQ41" s="225">
        <f>结算计划!AR18</f>
        <v>0</v>
      </c>
      <c r="AR41" s="225">
        <f>结算计划!AS18</f>
        <v>0</v>
      </c>
      <c r="AS41" s="225">
        <f>结算计划!AT18</f>
        <v>0</v>
      </c>
      <c r="AT41" s="225">
        <f>结算计划!AU18</f>
        <v>0</v>
      </c>
      <c r="AU41" s="225">
        <f>结算计划!AV18</f>
        <v>0</v>
      </c>
      <c r="AV41" s="225">
        <f>结算计划!AW18</f>
        <v>0</v>
      </c>
      <c r="AW41" s="225">
        <f>结算计划!AX18</f>
        <v>0</v>
      </c>
      <c r="AX41" s="225">
        <f>结算计划!AY18</f>
        <v>0</v>
      </c>
      <c r="AY41" s="225">
        <f>结算计划!AZ18</f>
        <v>0</v>
      </c>
      <c r="AZ41" s="225">
        <f>结算计划!BA18</f>
        <v>0</v>
      </c>
      <c r="BA41" s="225">
        <f>结算计划!BB18</f>
        <v>0</v>
      </c>
      <c r="BB41" s="225">
        <f>结算计划!BC18</f>
        <v>0</v>
      </c>
      <c r="BC41" s="225">
        <f>结算计划!BD18</f>
        <v>0</v>
      </c>
      <c r="BD41" s="225">
        <f>结算计划!BE18</f>
        <v>0</v>
      </c>
      <c r="BE41" s="225">
        <f>结算计划!BF18</f>
        <v>0</v>
      </c>
      <c r="BF41" s="225">
        <f>结算计划!BG18</f>
        <v>0</v>
      </c>
      <c r="BG41" s="225">
        <f>结算计划!BH18</f>
        <v>0</v>
      </c>
      <c r="BH41" s="225">
        <f>结算计划!BI18</f>
        <v>0</v>
      </c>
      <c r="BI41" s="225">
        <f>结算计划!BJ18</f>
        <v>0</v>
      </c>
      <c r="BJ41" s="225">
        <f>结算计划!BK18</f>
        <v>0</v>
      </c>
      <c r="BK41" s="225">
        <f>结算计划!BL18</f>
        <v>0</v>
      </c>
      <c r="BL41" s="225">
        <f>结算计划!BM18</f>
        <v>0</v>
      </c>
      <c r="BM41" s="225">
        <f>结算计划!BN18</f>
        <v>0</v>
      </c>
      <c r="BN41" s="225">
        <f>结算计划!BO18</f>
        <v>0</v>
      </c>
      <c r="BO41" s="225">
        <f>结算计划!BP18</f>
        <v>0</v>
      </c>
      <c r="BP41" s="225">
        <f>结算计划!BQ18</f>
        <v>0</v>
      </c>
      <c r="BQ41" s="225">
        <f>结算计划!BR18</f>
        <v>0</v>
      </c>
      <c r="BR41" s="225">
        <f>结算计划!BS18</f>
        <v>0</v>
      </c>
      <c r="BS41" s="225">
        <f>结算计划!BT18</f>
        <v>0</v>
      </c>
      <c r="BT41" s="225">
        <f>结算计划!BU18</f>
        <v>0</v>
      </c>
    </row>
    <row r="42" spans="1:72">
      <c r="A42" s="252" t="str">
        <f>A41</f>
        <v>一期</v>
      </c>
      <c r="B42" s="225" t="str">
        <f>基础信息!F2</f>
        <v>小高层（8~11F）</v>
      </c>
      <c r="C42" s="225">
        <f>结算计划!D21</f>
        <v>0</v>
      </c>
      <c r="D42" s="225">
        <f>结算计划!E21</f>
        <v>0</v>
      </c>
      <c r="E42" s="225">
        <f>结算计划!F21</f>
        <v>0</v>
      </c>
      <c r="F42" s="225">
        <f>结算计划!G21</f>
        <v>0</v>
      </c>
      <c r="G42" s="225">
        <f>结算计划!H21</f>
        <v>0</v>
      </c>
      <c r="H42" s="225">
        <f>结算计划!I21</f>
        <v>0</v>
      </c>
      <c r="I42" s="225">
        <f>结算计划!J21</f>
        <v>0</v>
      </c>
      <c r="J42" s="225">
        <f>结算计划!K21</f>
        <v>0</v>
      </c>
      <c r="K42" s="225">
        <f>结算计划!L21</f>
        <v>0</v>
      </c>
      <c r="L42" s="225">
        <f>结算计划!M21</f>
        <v>0</v>
      </c>
      <c r="M42" s="225">
        <f>结算计划!N21</f>
        <v>0</v>
      </c>
      <c r="N42" s="225">
        <f>结算计划!O21</f>
        <v>0</v>
      </c>
      <c r="O42" s="225">
        <f>结算计划!P21</f>
        <v>0</v>
      </c>
      <c r="P42" s="225">
        <f>结算计划!Q21</f>
        <v>0</v>
      </c>
      <c r="Q42" s="225">
        <f>结算计划!R21</f>
        <v>0</v>
      </c>
      <c r="R42" s="225">
        <f>结算计划!S21</f>
        <v>0</v>
      </c>
      <c r="S42" s="225">
        <f>结算计划!T21</f>
        <v>0</v>
      </c>
      <c r="T42" s="225">
        <f>结算计划!U21</f>
        <v>0</v>
      </c>
      <c r="U42" s="225">
        <f>结算计划!V21</f>
        <v>0</v>
      </c>
      <c r="V42" s="225">
        <f>结算计划!W21</f>
        <v>0</v>
      </c>
      <c r="W42" s="225">
        <f>结算计划!X21</f>
        <v>0</v>
      </c>
      <c r="X42" s="225">
        <f>结算计划!Y21</f>
        <v>0</v>
      </c>
      <c r="Y42" s="225">
        <f>结算计划!Z21</f>
        <v>0</v>
      </c>
      <c r="Z42" s="225">
        <f>结算计划!AA21</f>
        <v>0</v>
      </c>
      <c r="AA42" s="225">
        <f>结算计划!AB21</f>
        <v>0</v>
      </c>
      <c r="AB42" s="225">
        <f>结算计划!AC21</f>
        <v>0</v>
      </c>
      <c r="AC42" s="225">
        <f>结算计划!AD21</f>
        <v>0</v>
      </c>
      <c r="AD42" s="225">
        <f>结算计划!AE21</f>
        <v>0</v>
      </c>
      <c r="AE42" s="225">
        <f>结算计划!AF21</f>
        <v>0</v>
      </c>
      <c r="AF42" s="225">
        <f>结算计划!AG21</f>
        <v>0</v>
      </c>
      <c r="AG42" s="225">
        <f>结算计划!AH21</f>
        <v>0</v>
      </c>
      <c r="AH42" s="225">
        <f>结算计划!AI21</f>
        <v>0</v>
      </c>
      <c r="AI42" s="225">
        <f>结算计划!AJ21</f>
        <v>0</v>
      </c>
      <c r="AJ42" s="225">
        <f>结算计划!AK21</f>
        <v>0</v>
      </c>
      <c r="AK42" s="225">
        <f>结算计划!AL21</f>
        <v>0</v>
      </c>
      <c r="AL42" s="225">
        <f>结算计划!AM21</f>
        <v>0</v>
      </c>
      <c r="AM42" s="225">
        <f>结算计划!AN21</f>
        <v>0</v>
      </c>
      <c r="AN42" s="225">
        <f>结算计划!AO21</f>
        <v>0</v>
      </c>
      <c r="AO42" s="225">
        <f>结算计划!AP21</f>
        <v>0</v>
      </c>
      <c r="AP42" s="225">
        <f>结算计划!AQ21</f>
        <v>0</v>
      </c>
      <c r="AQ42" s="225">
        <f>结算计划!AR21</f>
        <v>0</v>
      </c>
      <c r="AR42" s="225">
        <f>结算计划!AS21</f>
        <v>0</v>
      </c>
      <c r="AS42" s="225">
        <f>结算计划!AT21</f>
        <v>0</v>
      </c>
      <c r="AT42" s="225">
        <f>结算计划!AU21</f>
        <v>0</v>
      </c>
      <c r="AU42" s="225">
        <f>结算计划!AV21</f>
        <v>0</v>
      </c>
      <c r="AV42" s="225">
        <f>结算计划!AW21</f>
        <v>0</v>
      </c>
      <c r="AW42" s="225">
        <f>结算计划!AX21</f>
        <v>0</v>
      </c>
      <c r="AX42" s="225">
        <f>结算计划!AY21</f>
        <v>0</v>
      </c>
      <c r="AY42" s="225">
        <f>结算计划!AZ21</f>
        <v>0</v>
      </c>
      <c r="AZ42" s="225">
        <f>结算计划!BA21</f>
        <v>0</v>
      </c>
      <c r="BA42" s="225">
        <f>结算计划!BB21</f>
        <v>0</v>
      </c>
      <c r="BB42" s="225">
        <f>结算计划!BC21</f>
        <v>0</v>
      </c>
      <c r="BC42" s="225">
        <f>结算计划!BD21</f>
        <v>0</v>
      </c>
      <c r="BD42" s="225">
        <f>结算计划!BE21</f>
        <v>0</v>
      </c>
      <c r="BE42" s="225">
        <f>结算计划!BF21</f>
        <v>0</v>
      </c>
      <c r="BF42" s="225">
        <f>结算计划!BG21</f>
        <v>0</v>
      </c>
      <c r="BG42" s="225">
        <f>结算计划!BH21</f>
        <v>0</v>
      </c>
      <c r="BH42" s="225">
        <f>结算计划!BI21</f>
        <v>0</v>
      </c>
      <c r="BI42" s="225">
        <f>结算计划!BJ21</f>
        <v>0</v>
      </c>
      <c r="BJ42" s="225">
        <f>结算计划!BK21</f>
        <v>0</v>
      </c>
      <c r="BK42" s="225">
        <f>结算计划!BL21</f>
        <v>0</v>
      </c>
      <c r="BL42" s="225">
        <f>结算计划!BM21</f>
        <v>0</v>
      </c>
      <c r="BM42" s="225">
        <f>结算计划!BN21</f>
        <v>0</v>
      </c>
      <c r="BN42" s="225">
        <f>结算计划!BO21</f>
        <v>0</v>
      </c>
      <c r="BO42" s="225">
        <f>结算计划!BP21</f>
        <v>0</v>
      </c>
      <c r="BP42" s="225">
        <f>结算计划!BQ21</f>
        <v>59174.38</v>
      </c>
      <c r="BQ42" s="225">
        <f>结算计划!BR21</f>
        <v>0</v>
      </c>
      <c r="BR42" s="225">
        <f>结算计划!BS21</f>
        <v>0</v>
      </c>
      <c r="BS42" s="225">
        <f>结算计划!BT21</f>
        <v>0</v>
      </c>
      <c r="BT42" s="225">
        <f>结算计划!BU21</f>
        <v>0</v>
      </c>
    </row>
    <row r="43" spans="1:72">
      <c r="A43" s="252" t="str">
        <f>A42</f>
        <v>一期</v>
      </c>
      <c r="B43" s="225" t="str">
        <f>基础信息!G2</f>
        <v>临街商业</v>
      </c>
      <c r="C43" s="225">
        <f>结算计划!D24</f>
        <v>0</v>
      </c>
      <c r="D43" s="225">
        <f>结算计划!E27</f>
        <v>0</v>
      </c>
      <c r="E43" s="225">
        <f>结算计划!F27</f>
        <v>0</v>
      </c>
      <c r="F43" s="225">
        <f>结算计划!G27</f>
        <v>0</v>
      </c>
      <c r="G43" s="225">
        <f>结算计划!H27</f>
        <v>0</v>
      </c>
      <c r="H43" s="225">
        <f>结算计划!I27</f>
        <v>0</v>
      </c>
      <c r="I43" s="225">
        <f>结算计划!J27</f>
        <v>0</v>
      </c>
      <c r="J43" s="225">
        <f>结算计划!K27</f>
        <v>0</v>
      </c>
      <c r="K43" s="225">
        <f>结算计划!L27</f>
        <v>0</v>
      </c>
      <c r="L43" s="225">
        <f>结算计划!M27</f>
        <v>0</v>
      </c>
      <c r="M43" s="225">
        <f>结算计划!N27</f>
        <v>0</v>
      </c>
      <c r="N43" s="225">
        <f>结算计划!O27</f>
        <v>0</v>
      </c>
      <c r="O43" s="225">
        <f>结算计划!P27</f>
        <v>0</v>
      </c>
      <c r="P43" s="225">
        <f>结算计划!Q27</f>
        <v>0</v>
      </c>
      <c r="Q43" s="225">
        <f>结算计划!R24</f>
        <v>0</v>
      </c>
      <c r="R43" s="225">
        <f>结算计划!S24</f>
        <v>0</v>
      </c>
      <c r="S43" s="225">
        <f>结算计划!T24</f>
        <v>0</v>
      </c>
      <c r="T43" s="225">
        <f>结算计划!U24</f>
        <v>0</v>
      </c>
      <c r="U43" s="225">
        <f>结算计划!V24</f>
        <v>0</v>
      </c>
      <c r="V43" s="225">
        <f>结算计划!W24</f>
        <v>0</v>
      </c>
      <c r="W43" s="225">
        <f>结算计划!X24</f>
        <v>0</v>
      </c>
      <c r="X43" s="225">
        <f>结算计划!Y24</f>
        <v>0</v>
      </c>
      <c r="Y43" s="225">
        <f>结算计划!Z24</f>
        <v>0</v>
      </c>
      <c r="Z43" s="225">
        <f>结算计划!AA24</f>
        <v>0</v>
      </c>
      <c r="AA43" s="225">
        <f>结算计划!AB24</f>
        <v>0</v>
      </c>
      <c r="AB43" s="225">
        <f>结算计划!AC24</f>
        <v>0</v>
      </c>
      <c r="AC43" s="225">
        <f>结算计划!AD24</f>
        <v>0</v>
      </c>
      <c r="AD43" s="225">
        <f>结算计划!AE24</f>
        <v>0</v>
      </c>
      <c r="AE43" s="225">
        <f>结算计划!AF24</f>
        <v>0</v>
      </c>
      <c r="AF43" s="225">
        <f>结算计划!AG24</f>
        <v>0</v>
      </c>
      <c r="AG43" s="225">
        <f>结算计划!AH24</f>
        <v>0</v>
      </c>
      <c r="AH43" s="225">
        <f>结算计划!AI24</f>
        <v>0</v>
      </c>
      <c r="AI43" s="225">
        <f>结算计划!AJ24</f>
        <v>0</v>
      </c>
      <c r="AJ43" s="225">
        <f>结算计划!AK24</f>
        <v>0</v>
      </c>
      <c r="AK43" s="225">
        <f>结算计划!AL24</f>
        <v>0</v>
      </c>
      <c r="AL43" s="225">
        <f>结算计划!AM24</f>
        <v>0</v>
      </c>
      <c r="AM43" s="225">
        <f>结算计划!AN24</f>
        <v>0</v>
      </c>
      <c r="AN43" s="225">
        <f>结算计划!AO24</f>
        <v>0</v>
      </c>
      <c r="AO43" s="225">
        <f>结算计划!AP24</f>
        <v>0</v>
      </c>
      <c r="AP43" s="225">
        <f>结算计划!AQ24</f>
        <v>0</v>
      </c>
      <c r="AQ43" s="225">
        <f>结算计划!AR24</f>
        <v>0</v>
      </c>
      <c r="AR43" s="225">
        <f>结算计划!AS24</f>
        <v>0</v>
      </c>
      <c r="AS43" s="225">
        <f>结算计划!AT24</f>
        <v>0</v>
      </c>
      <c r="AT43" s="225">
        <f>结算计划!AU24</f>
        <v>0</v>
      </c>
      <c r="AU43" s="225">
        <f>结算计划!AV24</f>
        <v>0</v>
      </c>
      <c r="AV43" s="225">
        <f>结算计划!AW24</f>
        <v>0</v>
      </c>
      <c r="AW43" s="225">
        <f>结算计划!AX24</f>
        <v>0</v>
      </c>
      <c r="AX43" s="225">
        <f>结算计划!AY24</f>
        <v>0</v>
      </c>
      <c r="AY43" s="225">
        <f>结算计划!AZ24</f>
        <v>0</v>
      </c>
      <c r="AZ43" s="225">
        <f>结算计划!BA24</f>
        <v>0</v>
      </c>
      <c r="BA43" s="225">
        <f>结算计划!BB24</f>
        <v>0</v>
      </c>
      <c r="BB43" s="225">
        <f>结算计划!BC24</f>
        <v>0</v>
      </c>
      <c r="BC43" s="225">
        <f>结算计划!BD24</f>
        <v>0</v>
      </c>
      <c r="BD43" s="225">
        <f>结算计划!BE24</f>
        <v>0</v>
      </c>
      <c r="BE43" s="225">
        <f>结算计划!BF24</f>
        <v>0</v>
      </c>
      <c r="BF43" s="225">
        <f>结算计划!BG24</f>
        <v>0</v>
      </c>
      <c r="BG43" s="225">
        <f>结算计划!BH24</f>
        <v>0</v>
      </c>
      <c r="BH43" s="225">
        <f>结算计划!BI24</f>
        <v>0</v>
      </c>
      <c r="BI43" s="225">
        <f>结算计划!BJ24</f>
        <v>0</v>
      </c>
      <c r="BJ43" s="225">
        <f>结算计划!BK24</f>
        <v>0</v>
      </c>
      <c r="BK43" s="225">
        <f>结算计划!BL24</f>
        <v>0</v>
      </c>
      <c r="BL43" s="225">
        <f>结算计划!BM24</f>
        <v>0</v>
      </c>
      <c r="BM43" s="225">
        <f>结算计划!BN24</f>
        <v>0</v>
      </c>
      <c r="BN43" s="225">
        <f>结算计划!BO24</f>
        <v>0</v>
      </c>
      <c r="BO43" s="225">
        <f>结算计划!BP24</f>
        <v>0</v>
      </c>
      <c r="BP43" s="225">
        <f>结算计划!BQ24</f>
        <v>1058.93</v>
      </c>
      <c r="BQ43" s="225">
        <f>结算计划!BR24</f>
        <v>0</v>
      </c>
      <c r="BR43" s="225">
        <f>结算计划!BS24</f>
        <v>0</v>
      </c>
      <c r="BS43" s="225">
        <f>结算计划!BT24</f>
        <v>0</v>
      </c>
      <c r="BT43" s="225">
        <f>结算计划!BU24</f>
        <v>0</v>
      </c>
    </row>
    <row r="44" spans="1:72">
      <c r="A44" s="252" t="str">
        <f>A43</f>
        <v>一期</v>
      </c>
      <c r="B44" s="225">
        <f>基础信息!H2</f>
        <v>0</v>
      </c>
      <c r="C44" s="225">
        <f>结算计划!D27</f>
        <v>0</v>
      </c>
      <c r="D44" s="225">
        <f>结算计划!E27</f>
        <v>0</v>
      </c>
      <c r="E44" s="225">
        <f>结算计划!F27</f>
        <v>0</v>
      </c>
      <c r="F44" s="225">
        <f>结算计划!G27</f>
        <v>0</v>
      </c>
      <c r="G44" s="225">
        <f>结算计划!H27</f>
        <v>0</v>
      </c>
      <c r="H44" s="225">
        <f>结算计划!I27</f>
        <v>0</v>
      </c>
      <c r="I44" s="225">
        <f>结算计划!J27</f>
        <v>0</v>
      </c>
      <c r="J44" s="225">
        <f>结算计划!K27</f>
        <v>0</v>
      </c>
      <c r="K44" s="225">
        <f>结算计划!L27</f>
        <v>0</v>
      </c>
      <c r="L44" s="225">
        <f>结算计划!M27</f>
        <v>0</v>
      </c>
      <c r="M44" s="225">
        <f>结算计划!N27</f>
        <v>0</v>
      </c>
      <c r="N44" s="225">
        <f>结算计划!O27</f>
        <v>0</v>
      </c>
      <c r="O44" s="225">
        <f>结算计划!P27</f>
        <v>0</v>
      </c>
      <c r="P44" s="225">
        <f>结算计划!Q27</f>
        <v>0</v>
      </c>
      <c r="Q44" s="225">
        <f>结算计划!R27</f>
        <v>0</v>
      </c>
      <c r="R44" s="225">
        <f>结算计划!S27</f>
        <v>0</v>
      </c>
      <c r="S44" s="225">
        <f>结算计划!T27</f>
        <v>0</v>
      </c>
      <c r="T44" s="225">
        <f>结算计划!U27</f>
        <v>0</v>
      </c>
      <c r="U44" s="225">
        <f>结算计划!V27</f>
        <v>0</v>
      </c>
      <c r="V44" s="225">
        <f>结算计划!W27</f>
        <v>0</v>
      </c>
      <c r="W44" s="225">
        <f>结算计划!X27</f>
        <v>0</v>
      </c>
      <c r="X44" s="225">
        <f>结算计划!Y27</f>
        <v>0</v>
      </c>
      <c r="Y44" s="225">
        <f>结算计划!Z27</f>
        <v>0</v>
      </c>
      <c r="Z44" s="225">
        <f>结算计划!AA27</f>
        <v>0</v>
      </c>
      <c r="AA44" s="225">
        <f>结算计划!AB27</f>
        <v>0</v>
      </c>
      <c r="AB44" s="225">
        <f>结算计划!AC27</f>
        <v>0</v>
      </c>
      <c r="AC44" s="225">
        <f>结算计划!AD27</f>
        <v>0</v>
      </c>
      <c r="AD44" s="225">
        <f>结算计划!AE27</f>
        <v>0</v>
      </c>
      <c r="AE44" s="225">
        <f>结算计划!AF27</f>
        <v>0</v>
      </c>
      <c r="AF44" s="225">
        <f>结算计划!AG27</f>
        <v>0</v>
      </c>
      <c r="AG44" s="225">
        <f>结算计划!AH27</f>
        <v>0</v>
      </c>
      <c r="AH44" s="225">
        <f>结算计划!AI27</f>
        <v>0</v>
      </c>
      <c r="AI44" s="225">
        <f>结算计划!AJ27</f>
        <v>0</v>
      </c>
      <c r="AJ44" s="225">
        <f>结算计划!AK27</f>
        <v>0</v>
      </c>
      <c r="AK44" s="225">
        <f>结算计划!AL27</f>
        <v>0</v>
      </c>
      <c r="AL44" s="225">
        <f>结算计划!AM27</f>
        <v>0</v>
      </c>
      <c r="AM44" s="225">
        <f>结算计划!AN27</f>
        <v>0</v>
      </c>
      <c r="AN44" s="225">
        <f>结算计划!AO27</f>
        <v>0</v>
      </c>
      <c r="AO44" s="225">
        <f>结算计划!AP27</f>
        <v>0</v>
      </c>
      <c r="AP44" s="225">
        <f>结算计划!AQ27</f>
        <v>0</v>
      </c>
      <c r="AQ44" s="225">
        <f>结算计划!AR27</f>
        <v>0</v>
      </c>
      <c r="AR44" s="225">
        <f>结算计划!AS27</f>
        <v>0</v>
      </c>
      <c r="AS44" s="225">
        <f>结算计划!AT27</f>
        <v>0</v>
      </c>
      <c r="AT44" s="225">
        <f>结算计划!AU27</f>
        <v>0</v>
      </c>
      <c r="AU44" s="225">
        <f>结算计划!AV27</f>
        <v>0</v>
      </c>
      <c r="AV44" s="225">
        <f>结算计划!AW27</f>
        <v>0</v>
      </c>
      <c r="AW44" s="225">
        <f>结算计划!AX27</f>
        <v>0</v>
      </c>
      <c r="AX44" s="225">
        <f>结算计划!AY27</f>
        <v>0</v>
      </c>
      <c r="AY44" s="225">
        <f>结算计划!AZ27</f>
        <v>0</v>
      </c>
      <c r="AZ44" s="225">
        <f>结算计划!BA27</f>
        <v>0</v>
      </c>
      <c r="BA44" s="225">
        <f>结算计划!BB27</f>
        <v>0</v>
      </c>
      <c r="BB44" s="225">
        <f>结算计划!BC27</f>
        <v>0</v>
      </c>
      <c r="BC44" s="225">
        <f>结算计划!BD27</f>
        <v>0</v>
      </c>
      <c r="BD44" s="225">
        <f>结算计划!BE27</f>
        <v>0</v>
      </c>
      <c r="BE44" s="225">
        <f>结算计划!BF27</f>
        <v>0</v>
      </c>
      <c r="BF44" s="225">
        <f>结算计划!BG27</f>
        <v>0</v>
      </c>
      <c r="BG44" s="225">
        <f>结算计划!BH27</f>
        <v>0</v>
      </c>
      <c r="BH44" s="225">
        <f>结算计划!BI27</f>
        <v>0</v>
      </c>
      <c r="BI44" s="225">
        <f>结算计划!BJ27</f>
        <v>0</v>
      </c>
      <c r="BJ44" s="225">
        <f>结算计划!BK27</f>
        <v>0</v>
      </c>
      <c r="BK44" s="225">
        <f>结算计划!BL27</f>
        <v>0</v>
      </c>
      <c r="BL44" s="225">
        <f>结算计划!BM27</f>
        <v>0</v>
      </c>
      <c r="BM44" s="225">
        <f>结算计划!BN27</f>
        <v>0</v>
      </c>
      <c r="BN44" s="225">
        <f>结算计划!BO27</f>
        <v>0</v>
      </c>
      <c r="BO44" s="225">
        <f>结算计划!BP27</f>
        <v>0</v>
      </c>
      <c r="BP44" s="225">
        <f>结算计划!BQ27</f>
        <v>0</v>
      </c>
      <c r="BQ44" s="225">
        <f>结算计划!BR27</f>
        <v>0</v>
      </c>
      <c r="BR44" s="225">
        <f>结算计划!BS27</f>
        <v>0</v>
      </c>
      <c r="BS44" s="225">
        <f>结算计划!BT27</f>
        <v>0</v>
      </c>
      <c r="BT44" s="225">
        <f>结算计划!BU27</f>
        <v>0</v>
      </c>
    </row>
    <row r="45" spans="1:72">
      <c r="A45" s="252" t="str">
        <f>A44</f>
        <v>一期</v>
      </c>
      <c r="B45" s="225">
        <f>基础信息!I2</f>
        <v>0</v>
      </c>
      <c r="C45" s="225">
        <f>结算计划!D30</f>
        <v>0</v>
      </c>
      <c r="D45" s="225">
        <f>结算计划!E30</f>
        <v>0</v>
      </c>
      <c r="E45" s="225">
        <f>结算计划!F30</f>
        <v>0</v>
      </c>
      <c r="F45" s="225">
        <f>结算计划!G30</f>
        <v>0</v>
      </c>
      <c r="G45" s="225">
        <f>结算计划!H30</f>
        <v>0</v>
      </c>
      <c r="H45" s="225">
        <f>结算计划!I30</f>
        <v>0</v>
      </c>
      <c r="I45" s="225">
        <f>结算计划!J30</f>
        <v>0</v>
      </c>
      <c r="J45" s="225">
        <f>结算计划!K30</f>
        <v>0</v>
      </c>
      <c r="K45" s="225">
        <f>结算计划!L30</f>
        <v>0</v>
      </c>
      <c r="L45" s="225">
        <f>结算计划!M30</f>
        <v>0</v>
      </c>
      <c r="M45" s="225">
        <f>结算计划!N30</f>
        <v>0</v>
      </c>
      <c r="N45" s="225">
        <f>结算计划!O30</f>
        <v>0</v>
      </c>
      <c r="O45" s="225">
        <f>结算计划!P30</f>
        <v>0</v>
      </c>
      <c r="P45" s="225">
        <f>结算计划!Q30</f>
        <v>0</v>
      </c>
      <c r="Q45" s="225">
        <f>结算计划!R30</f>
        <v>0</v>
      </c>
      <c r="R45" s="225">
        <f>结算计划!S30</f>
        <v>0</v>
      </c>
      <c r="S45" s="225">
        <f>结算计划!T30</f>
        <v>0</v>
      </c>
      <c r="T45" s="225">
        <f>结算计划!U30</f>
        <v>0</v>
      </c>
      <c r="U45" s="225">
        <f>结算计划!V30</f>
        <v>0</v>
      </c>
      <c r="V45" s="225">
        <f>结算计划!W30</f>
        <v>0</v>
      </c>
      <c r="W45" s="225">
        <f>结算计划!X30</f>
        <v>0</v>
      </c>
      <c r="X45" s="225">
        <f>结算计划!Y30</f>
        <v>0</v>
      </c>
      <c r="Y45" s="225">
        <f>结算计划!Z30</f>
        <v>0</v>
      </c>
      <c r="Z45" s="225">
        <f>结算计划!AA30</f>
        <v>0</v>
      </c>
      <c r="AA45" s="225">
        <f>结算计划!AB30</f>
        <v>0</v>
      </c>
      <c r="AB45" s="225">
        <f>结算计划!AC30</f>
        <v>0</v>
      </c>
      <c r="AC45" s="225">
        <f>结算计划!AD30</f>
        <v>0</v>
      </c>
      <c r="AD45" s="225">
        <f>结算计划!AE30</f>
        <v>0</v>
      </c>
      <c r="AE45" s="225">
        <f>结算计划!AF30</f>
        <v>0</v>
      </c>
      <c r="AF45" s="225">
        <f>结算计划!AG30</f>
        <v>0</v>
      </c>
      <c r="AG45" s="225">
        <f>结算计划!AH30</f>
        <v>0</v>
      </c>
      <c r="AH45" s="225">
        <f>结算计划!AI30</f>
        <v>0</v>
      </c>
      <c r="AI45" s="225">
        <f>结算计划!AJ30</f>
        <v>0</v>
      </c>
      <c r="AJ45" s="225">
        <f>结算计划!AK30</f>
        <v>0</v>
      </c>
      <c r="AK45" s="225">
        <f>结算计划!AL30</f>
        <v>0</v>
      </c>
      <c r="AL45" s="225">
        <f>结算计划!AM30</f>
        <v>0</v>
      </c>
      <c r="AM45" s="225">
        <f>结算计划!AN30</f>
        <v>0</v>
      </c>
      <c r="AN45" s="225">
        <f>结算计划!AO30</f>
        <v>0</v>
      </c>
      <c r="AO45" s="225">
        <f>结算计划!AP30</f>
        <v>0</v>
      </c>
      <c r="AP45" s="225">
        <f>结算计划!AQ30</f>
        <v>0</v>
      </c>
      <c r="AQ45" s="225">
        <f>结算计划!AR30</f>
        <v>0</v>
      </c>
      <c r="AR45" s="225">
        <f>结算计划!AS30</f>
        <v>0</v>
      </c>
      <c r="AS45" s="225">
        <f>结算计划!AT30</f>
        <v>0</v>
      </c>
      <c r="AT45" s="225">
        <f>结算计划!AU30</f>
        <v>0</v>
      </c>
      <c r="AU45" s="225">
        <f>结算计划!AV30</f>
        <v>0</v>
      </c>
      <c r="AV45" s="225">
        <f>结算计划!AW30</f>
        <v>0</v>
      </c>
      <c r="AW45" s="225">
        <f>结算计划!AX30</f>
        <v>0</v>
      </c>
      <c r="AX45" s="225">
        <f>结算计划!AY30</f>
        <v>0</v>
      </c>
      <c r="AY45" s="225">
        <f>结算计划!AZ30</f>
        <v>0</v>
      </c>
      <c r="AZ45" s="225">
        <f>结算计划!BA30</f>
        <v>0</v>
      </c>
      <c r="BA45" s="225">
        <f>结算计划!BB30</f>
        <v>0</v>
      </c>
      <c r="BB45" s="225">
        <f>结算计划!BC30</f>
        <v>0</v>
      </c>
      <c r="BC45" s="225">
        <f>结算计划!BD30</f>
        <v>0</v>
      </c>
      <c r="BD45" s="225">
        <f>结算计划!BE30</f>
        <v>0</v>
      </c>
      <c r="BE45" s="225">
        <f>结算计划!BF30</f>
        <v>0</v>
      </c>
      <c r="BF45" s="225">
        <f>结算计划!BG30</f>
        <v>0</v>
      </c>
      <c r="BG45" s="225">
        <f>结算计划!BH30</f>
        <v>0</v>
      </c>
      <c r="BH45" s="225">
        <f>结算计划!BI30</f>
        <v>0</v>
      </c>
      <c r="BI45" s="225">
        <f>结算计划!BJ30</f>
        <v>0</v>
      </c>
      <c r="BJ45" s="225">
        <f>结算计划!BK30</f>
        <v>0</v>
      </c>
      <c r="BK45" s="225">
        <f>结算计划!BL30</f>
        <v>0</v>
      </c>
      <c r="BL45" s="225">
        <f>结算计划!BM30</f>
        <v>0</v>
      </c>
      <c r="BM45" s="225">
        <f>结算计划!BN30</f>
        <v>0</v>
      </c>
      <c r="BN45" s="225">
        <f>结算计划!BO30</f>
        <v>0</v>
      </c>
      <c r="BO45" s="225">
        <f>结算计划!BP30</f>
        <v>0</v>
      </c>
      <c r="BP45" s="225">
        <f>结算计划!BQ30</f>
        <v>0</v>
      </c>
      <c r="BQ45" s="225">
        <f>结算计划!BR30</f>
        <v>0</v>
      </c>
      <c r="BR45" s="225">
        <f>结算计划!BS30</f>
        <v>0</v>
      </c>
      <c r="BS45" s="225">
        <f>结算计划!BT30</f>
        <v>0</v>
      </c>
      <c r="BT45" s="225">
        <f>结算计划!BU30</f>
        <v>0</v>
      </c>
    </row>
    <row r="46" spans="1:72">
      <c r="A46" s="166" t="str">
        <f>基础信息!A4</f>
        <v>二期</v>
      </c>
      <c r="B46" s="225" t="str">
        <f>销售计划!A33</f>
        <v>二期</v>
      </c>
      <c r="C46" s="225">
        <f>销售计划!D33</f>
        <v>0</v>
      </c>
      <c r="D46" s="225">
        <f>销售计划!E33</f>
        <v>0</v>
      </c>
      <c r="E46" s="225">
        <f>销售计划!F33</f>
        <v>0</v>
      </c>
      <c r="F46" s="225">
        <f>销售计划!G33</f>
        <v>0</v>
      </c>
      <c r="G46" s="225">
        <f>销售计划!H33</f>
        <v>0</v>
      </c>
      <c r="H46" s="225">
        <f>销售计划!I33</f>
        <v>0</v>
      </c>
      <c r="I46" s="225">
        <f>销售计划!J33</f>
        <v>0</v>
      </c>
      <c r="J46" s="225">
        <f>销售计划!K33</f>
        <v>0</v>
      </c>
      <c r="K46" s="225">
        <f>销售计划!L33</f>
        <v>0</v>
      </c>
      <c r="L46" s="225">
        <f>销售计划!M33</f>
        <v>0</v>
      </c>
      <c r="M46" s="225">
        <f>销售计划!N33</f>
        <v>0</v>
      </c>
      <c r="N46" s="225">
        <f>销售计划!O33</f>
        <v>0</v>
      </c>
      <c r="O46" s="225">
        <f>销售计划!P33</f>
        <v>0</v>
      </c>
      <c r="P46" s="225">
        <f>销售计划!Q33</f>
        <v>0</v>
      </c>
      <c r="Q46" s="225">
        <f>销售计划!R33</f>
        <v>0</v>
      </c>
      <c r="R46" s="225">
        <f>销售计划!S33</f>
        <v>0</v>
      </c>
      <c r="S46" s="225">
        <f>销售计划!T33</f>
        <v>0</v>
      </c>
      <c r="T46" s="225">
        <f>销售计划!U33</f>
        <v>0</v>
      </c>
      <c r="U46" s="225">
        <f>销售计划!V33</f>
        <v>0</v>
      </c>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row>
    <row r="47" spans="1:72">
      <c r="A47" s="166" t="str">
        <f t="shared" ref="A47:A52" si="54">A46</f>
        <v>二期</v>
      </c>
      <c r="B47" s="225" t="str">
        <f>销售计划!A36</f>
        <v>普通地下室</v>
      </c>
      <c r="C47" s="225">
        <f>销售计划!D36</f>
        <v>0</v>
      </c>
      <c r="D47" s="225">
        <f>销售计划!E36</f>
        <v>0</v>
      </c>
      <c r="E47" s="225">
        <f>销售计划!F36</f>
        <v>0</v>
      </c>
      <c r="F47" s="225">
        <f>销售计划!G36</f>
        <v>0</v>
      </c>
      <c r="G47" s="225">
        <f>销售计划!H36</f>
        <v>0</v>
      </c>
      <c r="H47" s="225">
        <f>销售计划!I36</f>
        <v>0</v>
      </c>
      <c r="I47" s="225">
        <f>销售计划!J36</f>
        <v>0</v>
      </c>
      <c r="J47" s="225">
        <f>销售计划!K36</f>
        <v>0</v>
      </c>
      <c r="K47" s="225">
        <f>销售计划!L36</f>
        <v>0</v>
      </c>
      <c r="L47" s="225">
        <f>销售计划!M36</f>
        <v>0</v>
      </c>
      <c r="M47" s="225">
        <f>销售计划!N36</f>
        <v>0</v>
      </c>
      <c r="N47" s="225">
        <f>销售计划!O36</f>
        <v>0</v>
      </c>
      <c r="O47" s="225">
        <f>销售计划!P36</f>
        <v>0</v>
      </c>
      <c r="P47" s="225">
        <f>销售计划!Q36</f>
        <v>0</v>
      </c>
      <c r="Q47" s="225">
        <f>销售计划!R36</f>
        <v>0</v>
      </c>
      <c r="R47" s="225">
        <f>销售计划!S36</f>
        <v>0</v>
      </c>
      <c r="S47" s="225">
        <f>销售计划!T36</f>
        <v>0</v>
      </c>
      <c r="T47" s="225">
        <f>销售计划!U36</f>
        <v>0</v>
      </c>
      <c r="U47" s="225">
        <f>销售计划!V36</f>
        <v>0</v>
      </c>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c r="BQ47" s="225"/>
      <c r="BR47" s="225"/>
      <c r="BS47" s="225"/>
      <c r="BT47" s="225"/>
    </row>
    <row r="48" spans="1:72">
      <c r="A48" s="166" t="str">
        <f t="shared" si="54"/>
        <v>二期</v>
      </c>
      <c r="B48" s="225" t="str">
        <f>销售计划!A39</f>
        <v>高层住宅</v>
      </c>
      <c r="C48" s="225">
        <f>销售计划!D39</f>
        <v>0</v>
      </c>
      <c r="D48" s="225">
        <f>销售计划!E39</f>
        <v>0</v>
      </c>
      <c r="E48" s="225">
        <f>销售计划!F39</f>
        <v>0</v>
      </c>
      <c r="F48" s="225">
        <f>销售计划!G39</f>
        <v>0</v>
      </c>
      <c r="G48" s="225">
        <f>销售计划!H39</f>
        <v>0</v>
      </c>
      <c r="H48" s="225">
        <f>销售计划!I39</f>
        <v>0</v>
      </c>
      <c r="I48" s="225">
        <f>销售计划!J39</f>
        <v>0</v>
      </c>
      <c r="J48" s="225">
        <f>销售计划!K39</f>
        <v>0</v>
      </c>
      <c r="K48" s="225">
        <f>销售计划!L39</f>
        <v>0</v>
      </c>
      <c r="L48" s="225">
        <f>销售计划!M39</f>
        <v>0</v>
      </c>
      <c r="M48" s="225">
        <f>销售计划!N39</f>
        <v>0</v>
      </c>
      <c r="N48" s="225">
        <f>销售计划!O39</f>
        <v>0</v>
      </c>
      <c r="O48" s="225">
        <f>销售计划!P39</f>
        <v>0</v>
      </c>
      <c r="P48" s="225">
        <f>销售计划!Q39</f>
        <v>0</v>
      </c>
      <c r="Q48" s="225">
        <f>销售计划!R39</f>
        <v>0</v>
      </c>
      <c r="R48" s="225">
        <f>销售计划!S39</f>
        <v>0</v>
      </c>
      <c r="S48" s="225">
        <f>销售计划!T39</f>
        <v>0</v>
      </c>
      <c r="T48" s="225">
        <f>销售计划!U39</f>
        <v>0</v>
      </c>
      <c r="U48" s="225">
        <f>销售计划!V39</f>
        <v>0</v>
      </c>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c r="BQ48" s="225"/>
      <c r="BR48" s="225"/>
      <c r="BS48" s="225"/>
      <c r="BT48" s="225"/>
    </row>
    <row r="49" spans="1:72">
      <c r="A49" s="166" t="str">
        <f t="shared" si="54"/>
        <v>二期</v>
      </c>
      <c r="B49" s="225" t="str">
        <f>销售计划!A42</f>
        <v>街区式商业</v>
      </c>
      <c r="C49" s="225">
        <f>销售计划!D42</f>
        <v>0</v>
      </c>
      <c r="D49" s="225">
        <f>销售计划!E42</f>
        <v>0</v>
      </c>
      <c r="E49" s="225">
        <f>销售计划!F42</f>
        <v>0</v>
      </c>
      <c r="F49" s="225">
        <f>销售计划!G42</f>
        <v>0</v>
      </c>
      <c r="G49" s="225">
        <f>销售计划!H42</f>
        <v>0</v>
      </c>
      <c r="H49" s="225">
        <f>销售计划!I42</f>
        <v>0</v>
      </c>
      <c r="I49" s="225">
        <f>销售计划!J42</f>
        <v>0</v>
      </c>
      <c r="J49" s="225">
        <f>销售计划!K42</f>
        <v>0</v>
      </c>
      <c r="K49" s="225">
        <f>销售计划!L42</f>
        <v>0</v>
      </c>
      <c r="L49" s="225">
        <f>销售计划!M42</f>
        <v>0</v>
      </c>
      <c r="M49" s="225">
        <f>销售计划!N42</f>
        <v>0</v>
      </c>
      <c r="N49" s="225">
        <f>销售计划!O42</f>
        <v>0</v>
      </c>
      <c r="O49" s="225">
        <f>销售计划!P42</f>
        <v>0</v>
      </c>
      <c r="P49" s="225">
        <f>销售计划!Q42</f>
        <v>0</v>
      </c>
      <c r="Q49" s="225">
        <f>销售计划!R42</f>
        <v>0</v>
      </c>
      <c r="R49" s="225">
        <f>销售计划!S42</f>
        <v>0</v>
      </c>
      <c r="S49" s="225">
        <f>销售计划!T42</f>
        <v>0</v>
      </c>
      <c r="T49" s="225">
        <f>销售计划!U42</f>
        <v>0</v>
      </c>
      <c r="U49" s="225">
        <f>销售计划!V42</f>
        <v>0</v>
      </c>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row>
    <row r="50" spans="1:72">
      <c r="A50" s="166" t="str">
        <f t="shared" si="54"/>
        <v>二期</v>
      </c>
      <c r="B50" s="225" t="str">
        <f>销售计划!A45</f>
        <v>三期</v>
      </c>
      <c r="C50" s="225">
        <f>销售计划!D45</f>
        <v>0</v>
      </c>
      <c r="D50" s="225">
        <f>销售计划!E45</f>
        <v>0</v>
      </c>
      <c r="E50" s="225">
        <f>销售计划!F45</f>
        <v>0</v>
      </c>
      <c r="F50" s="225">
        <f>销售计划!G45</f>
        <v>0</v>
      </c>
      <c r="G50" s="225">
        <f>销售计划!H45</f>
        <v>0</v>
      </c>
      <c r="H50" s="225">
        <f>销售计划!I45</f>
        <v>0</v>
      </c>
      <c r="I50" s="225">
        <f>销售计划!J45</f>
        <v>0</v>
      </c>
      <c r="J50" s="225">
        <f>销售计划!K45</f>
        <v>0</v>
      </c>
      <c r="K50" s="225">
        <f>销售计划!L45</f>
        <v>0</v>
      </c>
      <c r="L50" s="225">
        <f>销售计划!M45</f>
        <v>0</v>
      </c>
      <c r="M50" s="225">
        <f>销售计划!N45</f>
        <v>0</v>
      </c>
      <c r="N50" s="225">
        <f>销售计划!O45</f>
        <v>0</v>
      </c>
      <c r="O50" s="225">
        <f>销售计划!P45</f>
        <v>0</v>
      </c>
      <c r="P50" s="225">
        <f>销售计划!Q45</f>
        <v>0</v>
      </c>
      <c r="Q50" s="225">
        <f>销售计划!R45</f>
        <v>0</v>
      </c>
      <c r="R50" s="225">
        <f>销售计划!S45</f>
        <v>0</v>
      </c>
      <c r="S50" s="225">
        <f>销售计划!T45</f>
        <v>0</v>
      </c>
      <c r="T50" s="225">
        <f>销售计划!U45</f>
        <v>0</v>
      </c>
      <c r="U50" s="225">
        <f>销售计划!V45</f>
        <v>0</v>
      </c>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row>
    <row r="51" spans="1:72">
      <c r="A51" s="166" t="str">
        <f t="shared" si="54"/>
        <v>二期</v>
      </c>
      <c r="B51" s="225" t="str">
        <f>销售计划!A48</f>
        <v>普通地下室</v>
      </c>
      <c r="C51" s="225">
        <f>销售计划!D48</f>
        <v>0</v>
      </c>
      <c r="D51" s="225">
        <f>销售计划!E48</f>
        <v>0</v>
      </c>
      <c r="E51" s="225">
        <f>销售计划!F48</f>
        <v>0</v>
      </c>
      <c r="F51" s="225">
        <f>销售计划!G48</f>
        <v>0</v>
      </c>
      <c r="G51" s="225">
        <f>销售计划!H48</f>
        <v>0</v>
      </c>
      <c r="H51" s="225">
        <f>销售计划!I48</f>
        <v>0</v>
      </c>
      <c r="I51" s="225">
        <f>销售计划!J48</f>
        <v>0</v>
      </c>
      <c r="J51" s="225">
        <f>销售计划!K48</f>
        <v>0</v>
      </c>
      <c r="K51" s="225">
        <f>销售计划!L48</f>
        <v>0</v>
      </c>
      <c r="L51" s="225">
        <f>销售计划!M48</f>
        <v>0</v>
      </c>
      <c r="M51" s="225">
        <f>销售计划!N48</f>
        <v>0</v>
      </c>
      <c r="N51" s="225">
        <f>销售计划!O48</f>
        <v>0</v>
      </c>
      <c r="O51" s="225">
        <f>销售计划!P48</f>
        <v>0</v>
      </c>
      <c r="P51" s="225">
        <f>销售计划!Q48</f>
        <v>0</v>
      </c>
      <c r="Q51" s="225">
        <f>销售计划!R48</f>
        <v>0</v>
      </c>
      <c r="R51" s="225">
        <f>销售计划!S48</f>
        <v>0</v>
      </c>
      <c r="S51" s="225">
        <f>销售计划!T48</f>
        <v>0</v>
      </c>
      <c r="T51" s="225">
        <f>销售计划!U48</f>
        <v>0</v>
      </c>
      <c r="U51" s="225">
        <f>销售计划!V48</f>
        <v>0</v>
      </c>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row>
    <row r="52" spans="1:72">
      <c r="A52" s="166" t="str">
        <f t="shared" si="54"/>
        <v>二期</v>
      </c>
      <c r="B52" s="225" t="str">
        <f>销售计划!A51</f>
        <v>高层住宅</v>
      </c>
      <c r="C52" s="225">
        <f>销售计划!D51</f>
        <v>0</v>
      </c>
      <c r="D52" s="225">
        <f>销售计划!E51</f>
        <v>0</v>
      </c>
      <c r="E52" s="225">
        <f>销售计划!F51</f>
        <v>0</v>
      </c>
      <c r="F52" s="225">
        <f>销售计划!G51</f>
        <v>0</v>
      </c>
      <c r="G52" s="225">
        <f>销售计划!H51</f>
        <v>0</v>
      </c>
      <c r="H52" s="225">
        <f>销售计划!I51</f>
        <v>0</v>
      </c>
      <c r="I52" s="225">
        <f>销售计划!J51</f>
        <v>0</v>
      </c>
      <c r="J52" s="225">
        <f>销售计划!K51</f>
        <v>0</v>
      </c>
      <c r="K52" s="225">
        <f>销售计划!L51</f>
        <v>0</v>
      </c>
      <c r="L52" s="225">
        <f>销售计划!M51</f>
        <v>0</v>
      </c>
      <c r="M52" s="225">
        <f>销售计划!N51</f>
        <v>0</v>
      </c>
      <c r="N52" s="225">
        <f>销售计划!O51</f>
        <v>0</v>
      </c>
      <c r="O52" s="225">
        <f>销售计划!P51</f>
        <v>0</v>
      </c>
      <c r="P52" s="225">
        <f>销售计划!Q51</f>
        <v>0</v>
      </c>
      <c r="Q52" s="225">
        <f>销售计划!R51</f>
        <v>0</v>
      </c>
      <c r="R52" s="225">
        <f>销售计划!S51</f>
        <v>0</v>
      </c>
      <c r="S52" s="225">
        <f>销售计划!T51</f>
        <v>0</v>
      </c>
      <c r="T52" s="225">
        <f>销售计划!U51</f>
        <v>0</v>
      </c>
      <c r="U52" s="225">
        <f>销售计划!V51</f>
        <v>0</v>
      </c>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c r="BQ52" s="225"/>
      <c r="BR52" s="225"/>
      <c r="BS52" s="225"/>
      <c r="BT52" s="225"/>
    </row>
    <row r="53" spans="1:72">
      <c r="A53" s="166" t="str">
        <f>基础信息!A5</f>
        <v>三期</v>
      </c>
      <c r="B53" s="225">
        <f>销售计划!A57</f>
        <v>0</v>
      </c>
      <c r="C53" s="225">
        <f>销售计划!D57</f>
        <v>0</v>
      </c>
      <c r="D53" s="225">
        <f>销售计划!E57</f>
        <v>0</v>
      </c>
      <c r="E53" s="225">
        <f>销售计划!F57</f>
        <v>0</v>
      </c>
      <c r="F53" s="225">
        <f>销售计划!G57</f>
        <v>0</v>
      </c>
      <c r="G53" s="225">
        <f>销售计划!H57</f>
        <v>0</v>
      </c>
      <c r="H53" s="225">
        <f>销售计划!I57</f>
        <v>0</v>
      </c>
      <c r="I53" s="225">
        <f>销售计划!J57</f>
        <v>0</v>
      </c>
      <c r="J53" s="225">
        <f>销售计划!K57</f>
        <v>0</v>
      </c>
      <c r="K53" s="225">
        <f>销售计划!L57</f>
        <v>0</v>
      </c>
      <c r="L53" s="225">
        <f>销售计划!M57</f>
        <v>0</v>
      </c>
      <c r="M53" s="225">
        <f>销售计划!N57</f>
        <v>0</v>
      </c>
      <c r="N53" s="225">
        <f>销售计划!O57</f>
        <v>0</v>
      </c>
      <c r="O53" s="225">
        <f>销售计划!P57</f>
        <v>0</v>
      </c>
      <c r="P53" s="225">
        <f>销售计划!Q57</f>
        <v>0</v>
      </c>
      <c r="Q53" s="225">
        <f>销售计划!R57</f>
        <v>0</v>
      </c>
      <c r="R53" s="225">
        <f>销售计划!S57</f>
        <v>0</v>
      </c>
      <c r="S53" s="225">
        <f>销售计划!T57</f>
        <v>0</v>
      </c>
      <c r="T53" s="225">
        <f>销售计划!U57</f>
        <v>0</v>
      </c>
      <c r="U53" s="225">
        <f>销售计划!V57</f>
        <v>0</v>
      </c>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c r="BQ53" s="225"/>
      <c r="BR53" s="225"/>
      <c r="BS53" s="225"/>
      <c r="BT53" s="225"/>
    </row>
    <row r="54" spans="1:72">
      <c r="A54" s="166" t="str">
        <f t="shared" ref="A54:A59" si="55">A53</f>
        <v>三期</v>
      </c>
      <c r="B54" s="225" t="str">
        <f>销售计划!A60</f>
        <v>销售合计</v>
      </c>
      <c r="C54" s="225">
        <f>销售计划!D60</f>
        <v>0</v>
      </c>
      <c r="D54" s="225">
        <f>销售计划!E60</f>
        <v>0</v>
      </c>
      <c r="E54" s="225">
        <f>销售计划!F60</f>
        <v>0</v>
      </c>
      <c r="F54" s="225">
        <f>销售计划!G60</f>
        <v>0</v>
      </c>
      <c r="G54" s="225">
        <f>销售计划!H60</f>
        <v>0</v>
      </c>
      <c r="H54" s="225">
        <f>销售计划!I60</f>
        <v>0</v>
      </c>
      <c r="I54" s="225">
        <f>销售计划!J60</f>
        <v>0</v>
      </c>
      <c r="J54" s="225">
        <f>销售计划!K60</f>
        <v>0</v>
      </c>
      <c r="K54" s="225">
        <f>销售计划!L60</f>
        <v>0</v>
      </c>
      <c r="L54" s="225">
        <f>销售计划!M60</f>
        <v>0</v>
      </c>
      <c r="M54" s="225">
        <f>销售计划!N60</f>
        <v>0</v>
      </c>
      <c r="N54" s="225">
        <f>销售计划!O60</f>
        <v>0</v>
      </c>
      <c r="O54" s="225">
        <f>销售计划!P60</f>
        <v>0</v>
      </c>
      <c r="P54" s="225">
        <f>销售计划!Q60</f>
        <v>0</v>
      </c>
      <c r="Q54" s="225">
        <f>销售计划!R60</f>
        <v>0</v>
      </c>
      <c r="R54" s="225">
        <f>销售计划!S60</f>
        <v>0</v>
      </c>
      <c r="S54" s="225">
        <f>销售计划!T60</f>
        <v>0</v>
      </c>
      <c r="T54" s="225">
        <f>销售计划!U60</f>
        <v>0</v>
      </c>
      <c r="U54" s="225">
        <f>销售计划!V60</f>
        <v>0</v>
      </c>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c r="BQ54" s="225"/>
      <c r="BR54" s="225"/>
      <c r="BS54" s="225"/>
      <c r="BT54" s="225"/>
    </row>
    <row r="55" spans="1:72">
      <c r="A55" s="166" t="str">
        <f t="shared" si="55"/>
        <v>三期</v>
      </c>
      <c r="B55" s="225" t="str">
        <f>销售计划!A63</f>
        <v>一期</v>
      </c>
      <c r="C55" s="225">
        <f>销售计划!D63</f>
        <v>0</v>
      </c>
      <c r="D55" s="225">
        <f>销售计划!E63</f>
        <v>0</v>
      </c>
      <c r="E55" s="225">
        <f>销售计划!F63</f>
        <v>0</v>
      </c>
      <c r="F55" s="225">
        <f>销售计划!G63</f>
        <v>0</v>
      </c>
      <c r="G55" s="225">
        <f>销售计划!H63</f>
        <v>0</v>
      </c>
      <c r="H55" s="225">
        <f>销售计划!I63</f>
        <v>0</v>
      </c>
      <c r="I55" s="225">
        <f>销售计划!J63</f>
        <v>0</v>
      </c>
      <c r="J55" s="225">
        <f>销售计划!K63</f>
        <v>0</v>
      </c>
      <c r="K55" s="225">
        <f>销售计划!L63</f>
        <v>0</v>
      </c>
      <c r="L55" s="225">
        <f>销售计划!M63</f>
        <v>0</v>
      </c>
      <c r="M55" s="225">
        <f>销售计划!N63</f>
        <v>0</v>
      </c>
      <c r="N55" s="225">
        <f>销售计划!O63</f>
        <v>0</v>
      </c>
      <c r="O55" s="225">
        <f>销售计划!P63</f>
        <v>0</v>
      </c>
      <c r="P55" s="225">
        <f>销售计划!Q63</f>
        <v>0</v>
      </c>
      <c r="Q55" s="225">
        <f>销售计划!R63</f>
        <v>0</v>
      </c>
      <c r="R55" s="225">
        <f>销售计划!S63</f>
        <v>0</v>
      </c>
      <c r="S55" s="225">
        <f>销售计划!T63</f>
        <v>0</v>
      </c>
      <c r="T55" s="225">
        <f>销售计划!U63</f>
        <v>0</v>
      </c>
      <c r="U55" s="225">
        <f>销售计划!V63</f>
        <v>0</v>
      </c>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row>
    <row r="56" spans="1:72">
      <c r="A56" s="166" t="str">
        <f t="shared" si="55"/>
        <v>三期</v>
      </c>
      <c r="B56" s="225" t="str">
        <f>销售计划!A66</f>
        <v>地库</v>
      </c>
      <c r="C56" s="225">
        <f>销售计划!D66</f>
        <v>0</v>
      </c>
      <c r="D56" s="225">
        <f>销售计划!E66</f>
        <v>0</v>
      </c>
      <c r="E56" s="225">
        <f>销售计划!F66</f>
        <v>0</v>
      </c>
      <c r="F56" s="225">
        <f>销售计划!G66</f>
        <v>0</v>
      </c>
      <c r="G56" s="225">
        <f>销售计划!H66</f>
        <v>0</v>
      </c>
      <c r="H56" s="225">
        <f>销售计划!I66</f>
        <v>0</v>
      </c>
      <c r="I56" s="225">
        <f>销售计划!J66</f>
        <v>0</v>
      </c>
      <c r="J56" s="225">
        <f>销售计划!K66</f>
        <v>0</v>
      </c>
      <c r="K56" s="225">
        <f>销售计划!L66</f>
        <v>0</v>
      </c>
      <c r="L56" s="225">
        <f>销售计划!M66</f>
        <v>0</v>
      </c>
      <c r="M56" s="225">
        <f>销售计划!N66</f>
        <v>0</v>
      </c>
      <c r="N56" s="225">
        <f>销售计划!O66</f>
        <v>0</v>
      </c>
      <c r="O56" s="225">
        <f>销售计划!P66</f>
        <v>0</v>
      </c>
      <c r="P56" s="225">
        <f>销售计划!Q66</f>
        <v>0</v>
      </c>
      <c r="Q56" s="225">
        <f>销售计划!R66</f>
        <v>0</v>
      </c>
      <c r="R56" s="225">
        <f>销售计划!S66</f>
        <v>0</v>
      </c>
      <c r="S56" s="225">
        <f>销售计划!T66</f>
        <v>0</v>
      </c>
      <c r="T56" s="225">
        <f>销售计划!U66</f>
        <v>0</v>
      </c>
      <c r="U56" s="225">
        <f>销售计划!V66</f>
        <v>0</v>
      </c>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row>
    <row r="57" spans="1:72">
      <c r="A57" s="166" t="str">
        <f t="shared" si="55"/>
        <v>三期</v>
      </c>
      <c r="B57" s="225" t="str">
        <f>销售计划!A69</f>
        <v>高层（27F）</v>
      </c>
      <c r="C57" s="225">
        <f>销售计划!D69</f>
        <v>0</v>
      </c>
      <c r="D57" s="225">
        <f>销售计划!E69</f>
        <v>0</v>
      </c>
      <c r="E57" s="225">
        <f>销售计划!F69</f>
        <v>0</v>
      </c>
      <c r="F57" s="225">
        <f>销售计划!G69</f>
        <v>0</v>
      </c>
      <c r="G57" s="225">
        <f>销售计划!H69</f>
        <v>0</v>
      </c>
      <c r="H57" s="225">
        <f>销售计划!I69</f>
        <v>0</v>
      </c>
      <c r="I57" s="225">
        <f>销售计划!J69</f>
        <v>0</v>
      </c>
      <c r="J57" s="225">
        <f>销售计划!K69</f>
        <v>0</v>
      </c>
      <c r="K57" s="225">
        <f>销售计划!L69</f>
        <v>0</v>
      </c>
      <c r="L57" s="225">
        <f>销售计划!M69</f>
        <v>0</v>
      </c>
      <c r="M57" s="225">
        <f>销售计划!N69</f>
        <v>0</v>
      </c>
      <c r="N57" s="225">
        <f>销售计划!O69</f>
        <v>0</v>
      </c>
      <c r="O57" s="225">
        <f>销售计划!P69</f>
        <v>0</v>
      </c>
      <c r="P57" s="225">
        <f>销售计划!Q69</f>
        <v>0</v>
      </c>
      <c r="Q57" s="225">
        <f>销售计划!R69</f>
        <v>0</v>
      </c>
      <c r="R57" s="225">
        <f>销售计划!S69</f>
        <v>0</v>
      </c>
      <c r="S57" s="225">
        <f>销售计划!T69</f>
        <v>0</v>
      </c>
      <c r="T57" s="225">
        <f>销售计划!U69</f>
        <v>0</v>
      </c>
      <c r="U57" s="225">
        <f>销售计划!V69</f>
        <v>0</v>
      </c>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row>
    <row r="58" spans="1:72">
      <c r="A58" s="166" t="str">
        <f t="shared" si="55"/>
        <v>三期</v>
      </c>
      <c r="B58" s="225" t="str">
        <f>销售计划!A72</f>
        <v>人防车位</v>
      </c>
      <c r="C58" s="225">
        <f>销售计划!D72</f>
        <v>0</v>
      </c>
      <c r="D58" s="225">
        <f>销售计划!E72</f>
        <v>0</v>
      </c>
      <c r="E58" s="225">
        <f>销售计划!F72</f>
        <v>0</v>
      </c>
      <c r="F58" s="225">
        <f>销售计划!G72</f>
        <v>0</v>
      </c>
      <c r="G58" s="225">
        <f>销售计划!H72</f>
        <v>0</v>
      </c>
      <c r="H58" s="225">
        <f>销售计划!I72</f>
        <v>0</v>
      </c>
      <c r="I58" s="225">
        <f>销售计划!J72</f>
        <v>0</v>
      </c>
      <c r="J58" s="225">
        <f>销售计划!K72</f>
        <v>0</v>
      </c>
      <c r="K58" s="225">
        <f>销售计划!L72</f>
        <v>0</v>
      </c>
      <c r="L58" s="225">
        <f>销售计划!M72</f>
        <v>0</v>
      </c>
      <c r="M58" s="225">
        <f>销售计划!N72</f>
        <v>0</v>
      </c>
      <c r="N58" s="225">
        <f>销售计划!O72</f>
        <v>0</v>
      </c>
      <c r="O58" s="225">
        <f>销售计划!P72</f>
        <v>0</v>
      </c>
      <c r="P58" s="225">
        <f>销售计划!Q72</f>
        <v>0</v>
      </c>
      <c r="Q58" s="225">
        <f>销售计划!R72</f>
        <v>0</v>
      </c>
      <c r="R58" s="225">
        <f>销售计划!S72</f>
        <v>0</v>
      </c>
      <c r="S58" s="225">
        <f>销售计划!T72</f>
        <v>0</v>
      </c>
      <c r="T58" s="225">
        <f>销售计划!U72</f>
        <v>0</v>
      </c>
      <c r="U58" s="225">
        <f>销售计划!V72</f>
        <v>0</v>
      </c>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row>
    <row r="59" spans="1:72">
      <c r="A59" s="166" t="str">
        <f t="shared" si="55"/>
        <v>三期</v>
      </c>
      <c r="B59" s="225" t="str">
        <f>销售计划!A75</f>
        <v>人才公寓26F（可售、T7）</v>
      </c>
      <c r="C59" s="225">
        <f>销售计划!D75</f>
        <v>0</v>
      </c>
      <c r="D59" s="225">
        <f>销售计划!E75</f>
        <v>0</v>
      </c>
      <c r="E59" s="225">
        <f>销售计划!F75</f>
        <v>0</v>
      </c>
      <c r="F59" s="225">
        <f>销售计划!G75</f>
        <v>0</v>
      </c>
      <c r="G59" s="225">
        <f>销售计划!H75</f>
        <v>0</v>
      </c>
      <c r="H59" s="225">
        <f>销售计划!I75</f>
        <v>0</v>
      </c>
      <c r="I59" s="225">
        <f>销售计划!J75</f>
        <v>0</v>
      </c>
      <c r="J59" s="225">
        <f>销售计划!K75</f>
        <v>0</v>
      </c>
      <c r="K59" s="225">
        <f>销售计划!L75</f>
        <v>0</v>
      </c>
      <c r="L59" s="225">
        <f>销售计划!M75</f>
        <v>0</v>
      </c>
      <c r="M59" s="225">
        <f>销售计划!N75</f>
        <v>0</v>
      </c>
      <c r="N59" s="225">
        <f>销售计划!O75</f>
        <v>0</v>
      </c>
      <c r="O59" s="225">
        <f>销售计划!P75</f>
        <v>0</v>
      </c>
      <c r="P59" s="225">
        <f>销售计划!Q75</f>
        <v>0</v>
      </c>
      <c r="Q59" s="225">
        <f>销售计划!R75</f>
        <v>0</v>
      </c>
      <c r="R59" s="225">
        <f>销售计划!S75</f>
        <v>0</v>
      </c>
      <c r="S59" s="225">
        <f>销售计划!T75</f>
        <v>0</v>
      </c>
      <c r="T59" s="225">
        <f>销售计划!U75</f>
        <v>0</v>
      </c>
      <c r="U59" s="225">
        <f>销售计划!V75</f>
        <v>0</v>
      </c>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row>
  </sheetData>
  <mergeCells count="4">
    <mergeCell ref="A1:A2"/>
    <mergeCell ref="B1:B2"/>
    <mergeCell ref="A36:A37"/>
    <mergeCell ref="B36:B37"/>
  </mergeCells>
  <phoneticPr fontId="19" type="noConversion"/>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5"/>
  <sheetViews>
    <sheetView tabSelected="1" topLeftCell="A13" zoomScale="70" zoomScaleNormal="70" workbookViewId="0">
      <selection activeCell="AC22" sqref="AC22"/>
    </sheetView>
  </sheetViews>
  <sheetFormatPr defaultColWidth="9" defaultRowHeight="15.5" outlineLevelRow="2"/>
  <cols>
    <col min="1" max="1" width="20" style="253" customWidth="1"/>
    <col min="2" max="2" width="15.1640625" style="253" customWidth="1"/>
    <col min="3" max="3" width="17.33203125" style="253" customWidth="1"/>
    <col min="4" max="4" width="13.08203125" style="253" hidden="1" customWidth="1"/>
    <col min="5" max="5" width="14.83203125" style="253" hidden="1" customWidth="1"/>
    <col min="6" max="6" width="14.5" style="253" hidden="1" customWidth="1"/>
    <col min="7" max="7" width="16.08203125" style="253" hidden="1" customWidth="1"/>
    <col min="8" max="21" width="9" style="253" hidden="1" customWidth="1"/>
    <col min="22" max="256" width="9" style="253" customWidth="1"/>
  </cols>
  <sheetData>
    <row r="1" spans="1:14">
      <c r="A1" s="2260" t="s">
        <v>946</v>
      </c>
      <c r="B1" s="2259" t="s">
        <v>2294</v>
      </c>
      <c r="C1" s="2259"/>
      <c r="D1" s="2259" t="s">
        <v>2295</v>
      </c>
      <c r="E1" s="2259"/>
      <c r="F1" s="2259" t="s">
        <v>2296</v>
      </c>
      <c r="G1" s="2259"/>
    </row>
    <row r="2" spans="1:14" s="254" customFormat="1" ht="13">
      <c r="A2" s="2261"/>
      <c r="B2" s="255" t="s">
        <v>847</v>
      </c>
      <c r="C2" s="255" t="s">
        <v>848</v>
      </c>
      <c r="D2" s="255" t="s">
        <v>847</v>
      </c>
      <c r="E2" s="255" t="s">
        <v>848</v>
      </c>
      <c r="F2" s="255" t="s">
        <v>847</v>
      </c>
      <c r="G2" s="255" t="s">
        <v>848</v>
      </c>
    </row>
    <row r="3" spans="1:14">
      <c r="A3" s="256" t="s">
        <v>851</v>
      </c>
      <c r="B3" s="1036">
        <v>44727</v>
      </c>
      <c r="C3" s="1036">
        <f>B4-1</f>
        <v>44736</v>
      </c>
      <c r="D3" s="257"/>
      <c r="E3" s="257"/>
      <c r="F3" s="257"/>
      <c r="G3" s="257"/>
      <c r="I3" s="254"/>
      <c r="J3" s="254"/>
      <c r="K3" s="254"/>
      <c r="L3" s="254"/>
      <c r="M3" s="254"/>
      <c r="N3" s="254"/>
    </row>
    <row r="4" spans="1:14">
      <c r="A4" s="256" t="s">
        <v>852</v>
      </c>
      <c r="B4" s="258">
        <f>B3+10</f>
        <v>44737</v>
      </c>
      <c r="C4" s="1036">
        <f>B5-1</f>
        <v>44826</v>
      </c>
      <c r="D4" s="258"/>
      <c r="E4" s="258"/>
      <c r="F4" s="258"/>
      <c r="G4" s="258"/>
      <c r="H4" s="1032"/>
      <c r="I4" s="1033"/>
      <c r="J4" s="254"/>
      <c r="K4" s="254"/>
      <c r="L4" s="254"/>
      <c r="M4" s="254"/>
      <c r="N4" s="254"/>
    </row>
    <row r="5" spans="1:14">
      <c r="A5" s="256" t="s">
        <v>853</v>
      </c>
      <c r="B5" s="258">
        <f>B4+90</f>
        <v>44827</v>
      </c>
      <c r="C5" s="1036">
        <f t="shared" ref="C5:C8" si="0">B6-1</f>
        <v>45156</v>
      </c>
      <c r="D5" s="258"/>
      <c r="E5" s="258"/>
      <c r="F5" s="258"/>
      <c r="G5" s="258"/>
      <c r="H5" s="1032"/>
      <c r="I5" s="1033"/>
      <c r="J5" s="254"/>
      <c r="K5" s="254"/>
      <c r="L5" s="254"/>
      <c r="M5" s="254"/>
      <c r="N5" s="254"/>
    </row>
    <row r="6" spans="1:14" s="259" customFormat="1" ht="23.5" customHeight="1">
      <c r="A6" s="256" t="s">
        <v>854</v>
      </c>
      <c r="B6" s="258">
        <f>B5+180+90+60</f>
        <v>45157</v>
      </c>
      <c r="C6" s="1036">
        <f t="shared" si="0"/>
        <v>45606</v>
      </c>
      <c r="D6" s="258"/>
      <c r="E6" s="260"/>
      <c r="F6" s="258"/>
      <c r="G6" s="260"/>
      <c r="H6" s="1032"/>
      <c r="I6" s="1033"/>
      <c r="J6" s="254"/>
      <c r="K6" s="254"/>
      <c r="L6" s="254"/>
      <c r="M6" s="254"/>
      <c r="N6" s="254"/>
    </row>
    <row r="7" spans="1:14" s="259" customFormat="1" ht="15" customHeight="1">
      <c r="A7" s="256" t="s">
        <v>855</v>
      </c>
      <c r="B7" s="258">
        <f>B6+450</f>
        <v>45607</v>
      </c>
      <c r="C7" s="1036">
        <f t="shared" si="0"/>
        <v>45906</v>
      </c>
      <c r="D7" s="258"/>
      <c r="E7" s="260"/>
      <c r="F7" s="258"/>
      <c r="G7" s="260"/>
      <c r="H7" s="1032"/>
      <c r="I7" s="1033"/>
      <c r="J7" s="254"/>
      <c r="K7" s="254"/>
      <c r="L7" s="254"/>
      <c r="M7" s="254"/>
      <c r="N7" s="254"/>
    </row>
    <row r="8" spans="1:14">
      <c r="A8" s="256" t="s">
        <v>856</v>
      </c>
      <c r="B8" s="258">
        <f>B7+300</f>
        <v>45907</v>
      </c>
      <c r="C8" s="1036">
        <f t="shared" si="0"/>
        <v>45956</v>
      </c>
      <c r="D8" s="258"/>
      <c r="E8" s="258"/>
      <c r="F8" s="258"/>
      <c r="G8" s="258"/>
      <c r="H8" s="1032"/>
      <c r="I8" s="1033"/>
      <c r="J8" s="254"/>
      <c r="K8" s="254"/>
      <c r="L8" s="254"/>
      <c r="M8" s="254"/>
      <c r="N8" s="254"/>
    </row>
    <row r="9" spans="1:14">
      <c r="A9" s="256" t="s">
        <v>857</v>
      </c>
      <c r="B9" s="258">
        <f>B8+50</f>
        <v>45957</v>
      </c>
      <c r="C9" s="1036">
        <f>B9</f>
        <v>45957</v>
      </c>
      <c r="D9" s="258"/>
      <c r="E9" s="258"/>
      <c r="F9" s="258"/>
      <c r="G9" s="258"/>
      <c r="H9" s="1032"/>
      <c r="I9" s="1033"/>
      <c r="J9" s="254"/>
      <c r="K9" s="254"/>
      <c r="L9" s="254"/>
      <c r="M9" s="254"/>
      <c r="N9" s="254"/>
    </row>
    <row r="10" spans="1:14">
      <c r="A10" s="256" t="s">
        <v>858</v>
      </c>
      <c r="B10" s="258">
        <f>B9+180</f>
        <v>46137</v>
      </c>
      <c r="C10" s="1036">
        <f>B10</f>
        <v>46137</v>
      </c>
      <c r="D10" s="258"/>
      <c r="E10" s="258"/>
      <c r="F10" s="258"/>
      <c r="G10" s="258"/>
      <c r="H10" s="1032"/>
      <c r="I10" s="1033"/>
      <c r="J10" s="254"/>
      <c r="K10" s="254"/>
      <c r="L10" s="254"/>
      <c r="M10" s="254"/>
      <c r="N10" s="254"/>
    </row>
    <row r="11" spans="1:14" s="261" customFormat="1" ht="13">
      <c r="B11" s="262"/>
      <c r="C11" s="262"/>
      <c r="I11" s="254"/>
      <c r="J11" s="254"/>
      <c r="K11" s="254"/>
      <c r="L11" s="254"/>
      <c r="M11" s="254"/>
      <c r="N11" s="254"/>
    </row>
    <row r="12" spans="1:14" s="261" customFormat="1" ht="13">
      <c r="I12" s="254"/>
      <c r="J12" s="254"/>
      <c r="K12" s="254"/>
      <c r="L12" s="254"/>
      <c r="M12" s="254"/>
      <c r="N12" s="254"/>
    </row>
    <row r="13" spans="1:14">
      <c r="A13" s="263"/>
      <c r="B13" s="2259" t="s">
        <v>947</v>
      </c>
      <c r="C13" s="2259"/>
      <c r="D13" s="2259" t="s">
        <v>948</v>
      </c>
      <c r="E13" s="2259"/>
      <c r="F13" s="2259" t="s">
        <v>949</v>
      </c>
      <c r="G13" s="2259"/>
    </row>
    <row r="14" spans="1:14" s="254" customFormat="1" ht="13">
      <c r="A14" s="255" t="s">
        <v>950</v>
      </c>
      <c r="B14" s="255" t="s">
        <v>849</v>
      </c>
      <c r="C14" s="255" t="s">
        <v>850</v>
      </c>
      <c r="D14" s="255" t="str">
        <f>B14</f>
        <v>节点需时（月）</v>
      </c>
      <c r="E14" s="255" t="str">
        <f>C14</f>
        <v>本期累计时间（月）</v>
      </c>
      <c r="F14" s="255" t="str">
        <f>D14</f>
        <v>节点需时（月）</v>
      </c>
      <c r="G14" s="255" t="str">
        <f>E14</f>
        <v>本期累计时间（月）</v>
      </c>
    </row>
    <row r="15" spans="1:14" s="264" customFormat="1" ht="13">
      <c r="A15" s="265" t="s">
        <v>951</v>
      </c>
      <c r="B15" s="266">
        <f>ROUND((B4-B3)/30,0)</f>
        <v>0</v>
      </c>
      <c r="C15" s="267">
        <f>B15</f>
        <v>0</v>
      </c>
      <c r="D15" s="266"/>
      <c r="E15" s="267"/>
      <c r="F15" s="266"/>
      <c r="G15" s="267"/>
    </row>
    <row r="16" spans="1:14" s="264" customFormat="1" ht="13">
      <c r="A16" s="265" t="s">
        <v>952</v>
      </c>
      <c r="B16" s="266">
        <f>ROUND((C5-B5)/30,0)</f>
        <v>11</v>
      </c>
      <c r="C16" s="267">
        <f t="shared" ref="C16:C21" si="1">B16+C15</f>
        <v>11</v>
      </c>
      <c r="D16" s="266"/>
      <c r="E16" s="267"/>
      <c r="F16" s="266"/>
      <c r="G16" s="267"/>
    </row>
    <row r="17" spans="1:69" s="264" customFormat="1" ht="13">
      <c r="A17" s="265" t="s">
        <v>953</v>
      </c>
      <c r="B17" s="266">
        <f>ROUND((C6-B6)/30,0)</f>
        <v>15</v>
      </c>
      <c r="C17" s="267">
        <f t="shared" si="1"/>
        <v>26</v>
      </c>
      <c r="D17" s="266"/>
      <c r="E17" s="267"/>
      <c r="F17" s="266"/>
      <c r="G17" s="267"/>
    </row>
    <row r="18" spans="1:69" s="264" customFormat="1" ht="13">
      <c r="A18" s="265" t="s">
        <v>954</v>
      </c>
      <c r="B18" s="266">
        <f>ROUND((C7-B7)/30,0)</f>
        <v>10</v>
      </c>
      <c r="C18" s="267">
        <f>B18+C17</f>
        <v>36</v>
      </c>
      <c r="D18" s="266"/>
      <c r="E18" s="267"/>
      <c r="F18" s="266"/>
      <c r="G18" s="267"/>
    </row>
    <row r="19" spans="1:69" s="264" customFormat="1" ht="13">
      <c r="A19" s="265" t="s">
        <v>955</v>
      </c>
      <c r="B19" s="266">
        <f>ROUND((C8-B8)/30,0)</f>
        <v>2</v>
      </c>
      <c r="C19" s="267">
        <f t="shared" si="1"/>
        <v>38</v>
      </c>
      <c r="D19" s="266"/>
      <c r="E19" s="267"/>
      <c r="F19" s="266"/>
      <c r="G19" s="267"/>
    </row>
    <row r="20" spans="1:69" s="264" customFormat="1" ht="13">
      <c r="A20" s="265" t="s">
        <v>956</v>
      </c>
      <c r="B20" s="266">
        <f>ROUND((C9-B9)/30,0)</f>
        <v>0</v>
      </c>
      <c r="C20" s="267">
        <f t="shared" si="1"/>
        <v>38</v>
      </c>
      <c r="D20" s="266"/>
      <c r="E20" s="267"/>
      <c r="F20" s="266"/>
      <c r="G20" s="267"/>
    </row>
    <row r="21" spans="1:69" s="264" customFormat="1" ht="13">
      <c r="A21" s="268" t="s">
        <v>957</v>
      </c>
      <c r="B21" s="266">
        <v>6</v>
      </c>
      <c r="C21" s="266">
        <f t="shared" si="1"/>
        <v>44</v>
      </c>
      <c r="D21" s="266"/>
      <c r="E21" s="266"/>
      <c r="F21" s="266"/>
      <c r="G21" s="266"/>
    </row>
    <row r="22" spans="1:69" s="269" customFormat="1" ht="13">
      <c r="B22" s="270"/>
      <c r="C22" s="270"/>
      <c r="D22" s="270"/>
      <c r="E22" s="270"/>
      <c r="F22" s="270"/>
      <c r="G22" s="270"/>
    </row>
    <row r="23" spans="1:69" s="271" customFormat="1" ht="18" customHeight="1">
      <c r="A23" s="272" t="s">
        <v>880</v>
      </c>
      <c r="B23" s="273"/>
      <c r="C23" s="274"/>
      <c r="D23" s="274"/>
      <c r="E23" s="274"/>
      <c r="F23" s="273"/>
      <c r="G23" s="274"/>
      <c r="H23" s="273"/>
      <c r="I23" s="274"/>
      <c r="J23" s="273"/>
      <c r="K23" s="274"/>
      <c r="L23" s="273"/>
      <c r="M23" s="274"/>
      <c r="N23" s="273"/>
      <c r="O23" s="274"/>
      <c r="P23" s="275"/>
    </row>
    <row r="24" spans="1:69" s="276" customFormat="1" ht="18" customHeight="1" outlineLevel="1">
      <c r="A24" s="277" t="s">
        <v>861</v>
      </c>
      <c r="B24" s="277" t="s">
        <v>859</v>
      </c>
      <c r="C24" s="278" t="s">
        <v>870</v>
      </c>
      <c r="D24" s="278" t="s">
        <v>870</v>
      </c>
      <c r="E24" s="278" t="s">
        <v>871</v>
      </c>
      <c r="F24" s="278" t="s">
        <v>871</v>
      </c>
      <c r="G24" s="278" t="s">
        <v>871</v>
      </c>
      <c r="H24" s="278" t="s">
        <v>871</v>
      </c>
      <c r="I24" s="278" t="s">
        <v>872</v>
      </c>
      <c r="J24" s="278" t="s">
        <v>872</v>
      </c>
      <c r="K24" s="278" t="s">
        <v>872</v>
      </c>
      <c r="L24" s="278" t="s">
        <v>872</v>
      </c>
      <c r="M24" s="278" t="s">
        <v>873</v>
      </c>
      <c r="N24" s="278" t="s">
        <v>873</v>
      </c>
      <c r="O24" s="278" t="s">
        <v>873</v>
      </c>
      <c r="P24" s="278" t="s">
        <v>873</v>
      </c>
      <c r="Q24" s="278" t="s">
        <v>874</v>
      </c>
      <c r="R24" s="278" t="s">
        <v>874</v>
      </c>
      <c r="S24" s="278" t="s">
        <v>874</v>
      </c>
      <c r="T24" s="278" t="s">
        <v>874</v>
      </c>
      <c r="U24" s="278" t="s">
        <v>875</v>
      </c>
      <c r="V24" s="278" t="s">
        <v>244</v>
      </c>
      <c r="W24" s="278" t="s">
        <v>244</v>
      </c>
      <c r="X24" s="278" t="s">
        <v>244</v>
      </c>
      <c r="Y24" s="2233" t="s">
        <v>4294</v>
      </c>
      <c r="Z24" s="278" t="s">
        <v>244</v>
      </c>
      <c r="AA24" s="278" t="s">
        <v>244</v>
      </c>
      <c r="AB24" s="278" t="s">
        <v>244</v>
      </c>
      <c r="AC24" s="2233" t="s">
        <v>4294</v>
      </c>
      <c r="AD24" s="278" t="s">
        <v>876</v>
      </c>
      <c r="AE24" s="278" t="s">
        <v>876</v>
      </c>
      <c r="AF24" s="278" t="s">
        <v>876</v>
      </c>
      <c r="AG24" s="2233" t="s">
        <v>4294</v>
      </c>
      <c r="AH24" s="278" t="s">
        <v>245</v>
      </c>
      <c r="AI24" s="278" t="s">
        <v>245</v>
      </c>
      <c r="AJ24" s="278" t="s">
        <v>245</v>
      </c>
      <c r="AK24" s="278" t="s">
        <v>245</v>
      </c>
      <c r="AL24" s="278" t="s">
        <v>245</v>
      </c>
      <c r="AM24" s="278" t="s">
        <v>245</v>
      </c>
      <c r="AN24" s="278" t="s">
        <v>245</v>
      </c>
      <c r="AO24" s="278" t="s">
        <v>245</v>
      </c>
      <c r="AP24" s="278" t="s">
        <v>245</v>
      </c>
      <c r="AQ24" s="278" t="s">
        <v>245</v>
      </c>
      <c r="AR24" s="278" t="s">
        <v>245</v>
      </c>
      <c r="AS24" s="278" t="s">
        <v>245</v>
      </c>
      <c r="AT24" s="278" t="s">
        <v>246</v>
      </c>
      <c r="AU24" s="278" t="s">
        <v>246</v>
      </c>
      <c r="AV24" s="278" t="s">
        <v>246</v>
      </c>
      <c r="AW24" s="278" t="s">
        <v>246</v>
      </c>
      <c r="AX24" s="278" t="s">
        <v>246</v>
      </c>
      <c r="AY24" s="278" t="s">
        <v>246</v>
      </c>
      <c r="AZ24" s="278" t="s">
        <v>246</v>
      </c>
      <c r="BA24" s="278" t="s">
        <v>246</v>
      </c>
      <c r="BB24" s="278" t="s">
        <v>246</v>
      </c>
      <c r="BC24" s="278" t="s">
        <v>246</v>
      </c>
      <c r="BD24" s="278" t="s">
        <v>246</v>
      </c>
      <c r="BE24" s="278" t="s">
        <v>246</v>
      </c>
      <c r="BF24" s="278" t="s">
        <v>256</v>
      </c>
      <c r="BG24" s="278" t="s">
        <v>256</v>
      </c>
      <c r="BH24" s="278" t="s">
        <v>256</v>
      </c>
      <c r="BI24" s="278" t="s">
        <v>256</v>
      </c>
      <c r="BJ24" s="278" t="s">
        <v>256</v>
      </c>
      <c r="BK24" s="278" t="s">
        <v>256</v>
      </c>
      <c r="BL24" s="278" t="s">
        <v>256</v>
      </c>
      <c r="BM24" s="278" t="s">
        <v>256</v>
      </c>
      <c r="BN24" s="278" t="s">
        <v>256</v>
      </c>
      <c r="BO24" s="278" t="s">
        <v>256</v>
      </c>
      <c r="BP24" s="278" t="s">
        <v>256</v>
      </c>
      <c r="BQ24" s="278" t="s">
        <v>256</v>
      </c>
    </row>
    <row r="25" spans="1:69" s="276" customFormat="1" ht="18" customHeight="1" outlineLevel="1">
      <c r="A25" s="277" t="s">
        <v>881</v>
      </c>
      <c r="B25" s="277"/>
      <c r="C25" s="278" t="s">
        <v>154</v>
      </c>
      <c r="D25" s="278" t="s">
        <v>155</v>
      </c>
      <c r="E25" s="278" t="s">
        <v>156</v>
      </c>
      <c r="F25" s="278" t="s">
        <v>157</v>
      </c>
      <c r="G25" s="278" t="s">
        <v>158</v>
      </c>
      <c r="H25" s="278" t="s">
        <v>159</v>
      </c>
      <c r="I25" s="278" t="s">
        <v>160</v>
      </c>
      <c r="J25" s="278" t="s">
        <v>161</v>
      </c>
      <c r="K25" s="278" t="s">
        <v>162</v>
      </c>
      <c r="L25" s="278" t="s">
        <v>163</v>
      </c>
      <c r="M25" s="278" t="s">
        <v>164</v>
      </c>
      <c r="N25" s="278" t="s">
        <v>165</v>
      </c>
      <c r="O25" s="278" t="s">
        <v>166</v>
      </c>
      <c r="P25" s="278" t="s">
        <v>167</v>
      </c>
      <c r="Q25" s="278" t="s">
        <v>168</v>
      </c>
      <c r="R25" s="278" t="s">
        <v>169</v>
      </c>
      <c r="S25" s="278" t="s">
        <v>170</v>
      </c>
      <c r="T25" s="278" t="s">
        <v>171</v>
      </c>
      <c r="U25" s="278" t="s">
        <v>172</v>
      </c>
      <c r="V25" s="2233" t="s">
        <v>4295</v>
      </c>
      <c r="W25" s="2233" t="s">
        <v>4296</v>
      </c>
      <c r="X25" s="2233" t="s">
        <v>4297</v>
      </c>
      <c r="Y25" s="2233" t="s">
        <v>4298</v>
      </c>
      <c r="Z25" s="2233" t="s">
        <v>4299</v>
      </c>
      <c r="AA25" s="2233" t="s">
        <v>4300</v>
      </c>
      <c r="AB25" s="2233" t="s">
        <v>4301</v>
      </c>
      <c r="AC25" s="2233" t="s">
        <v>4302</v>
      </c>
      <c r="AD25" s="2233" t="s">
        <v>4303</v>
      </c>
      <c r="AE25" s="2233" t="s">
        <v>4291</v>
      </c>
      <c r="AF25" s="2233" t="s">
        <v>4292</v>
      </c>
      <c r="AG25" s="2233" t="s">
        <v>4293</v>
      </c>
      <c r="AH25" s="2233" t="s">
        <v>4304</v>
      </c>
      <c r="AI25" s="2233" t="s">
        <v>4305</v>
      </c>
      <c r="AJ25" s="2233" t="s">
        <v>4306</v>
      </c>
      <c r="AK25" s="2233" t="s">
        <v>4307</v>
      </c>
      <c r="AL25" s="2233" t="s">
        <v>4308</v>
      </c>
      <c r="AM25" s="2233" t="s">
        <v>4309</v>
      </c>
      <c r="AN25" s="2233" t="s">
        <v>4310</v>
      </c>
      <c r="AO25" s="2233" t="s">
        <v>4311</v>
      </c>
      <c r="AP25" s="2233" t="s">
        <v>4312</v>
      </c>
      <c r="AQ25" s="2233" t="s">
        <v>4313</v>
      </c>
      <c r="AR25" s="2233" t="s">
        <v>4314</v>
      </c>
      <c r="AS25" s="2233" t="s">
        <v>4315</v>
      </c>
      <c r="AT25" s="2233" t="s">
        <v>4316</v>
      </c>
      <c r="AU25" s="2233" t="s">
        <v>4317</v>
      </c>
      <c r="AV25" s="2233" t="s">
        <v>4318</v>
      </c>
      <c r="AW25" s="2233" t="s">
        <v>4319</v>
      </c>
      <c r="AX25" s="2233" t="s">
        <v>4320</v>
      </c>
      <c r="AY25" s="2233" t="s">
        <v>4321</v>
      </c>
      <c r="AZ25" s="2233" t="s">
        <v>4322</v>
      </c>
      <c r="BA25" s="2233" t="s">
        <v>4323</v>
      </c>
      <c r="BB25" s="2233" t="s">
        <v>4324</v>
      </c>
      <c r="BC25" s="2233" t="s">
        <v>4325</v>
      </c>
      <c r="BD25" s="2233" t="s">
        <v>4326</v>
      </c>
      <c r="BE25" s="2233" t="s">
        <v>4327</v>
      </c>
      <c r="BF25" s="2233" t="s">
        <v>4328</v>
      </c>
      <c r="BG25" s="2233" t="s">
        <v>4329</v>
      </c>
      <c r="BH25" s="2233" t="s">
        <v>4330</v>
      </c>
      <c r="BI25" s="2233" t="s">
        <v>4331</v>
      </c>
      <c r="BJ25" s="2233" t="s">
        <v>4332</v>
      </c>
      <c r="BK25" s="2233" t="s">
        <v>4333</v>
      </c>
      <c r="BL25" s="2233" t="s">
        <v>4334</v>
      </c>
      <c r="BM25" s="2233" t="s">
        <v>4335</v>
      </c>
      <c r="BN25" s="2233" t="s">
        <v>4336</v>
      </c>
      <c r="BO25" s="2233" t="s">
        <v>4337</v>
      </c>
      <c r="BP25" s="2233" t="s">
        <v>4338</v>
      </c>
      <c r="BQ25" s="2233" t="s">
        <v>4339</v>
      </c>
    </row>
    <row r="26" spans="1:69" s="276" customFormat="1" ht="18" customHeight="1" outlineLevel="1">
      <c r="A26" s="279" t="s">
        <v>864</v>
      </c>
      <c r="B26" s="280">
        <f t="shared" ref="B26:B31" si="2">SUM(C26:BQ26)</f>
        <v>1.0000000000000002</v>
      </c>
      <c r="C26" s="279"/>
      <c r="D26" s="279"/>
      <c r="E26" s="279"/>
      <c r="F26" s="279"/>
      <c r="G26" s="279"/>
      <c r="H26" s="279"/>
      <c r="I26" s="279"/>
      <c r="J26" s="279"/>
      <c r="K26" s="279"/>
      <c r="L26" s="279"/>
      <c r="M26" s="279"/>
      <c r="N26" s="279"/>
      <c r="O26" s="1023"/>
      <c r="P26" s="1023"/>
      <c r="Q26" s="1023"/>
      <c r="R26" s="1023"/>
      <c r="S26" s="1023"/>
      <c r="T26" s="1023"/>
      <c r="U26" s="1023"/>
      <c r="V26" s="1023"/>
      <c r="W26" s="1023"/>
      <c r="X26" s="1023"/>
      <c r="Y26" s="1023"/>
      <c r="Z26" s="1023"/>
      <c r="AA26" s="1023"/>
      <c r="AB26" s="1023">
        <v>0.02</v>
      </c>
      <c r="AC26" s="1023">
        <v>0.03</v>
      </c>
      <c r="AD26" s="1023">
        <v>0.03</v>
      </c>
      <c r="AE26" s="1023">
        <v>0.03</v>
      </c>
      <c r="AF26" s="1023">
        <v>0.04</v>
      </c>
      <c r="AG26" s="1023">
        <v>0.04</v>
      </c>
      <c r="AH26" s="1023">
        <v>0.05</v>
      </c>
      <c r="AI26" s="1023">
        <v>0.05</v>
      </c>
      <c r="AJ26" s="1023">
        <v>0.05</v>
      </c>
      <c r="AK26" s="1023">
        <v>0.05</v>
      </c>
      <c r="AL26" s="1023">
        <v>0.05</v>
      </c>
      <c r="AM26" s="1023">
        <v>0.06</v>
      </c>
      <c r="AN26" s="1023">
        <v>0.06</v>
      </c>
      <c r="AO26" s="1023">
        <v>0.06</v>
      </c>
      <c r="AP26" s="1023">
        <v>0.06</v>
      </c>
      <c r="AQ26" s="1023">
        <v>7.0000000000000007E-2</v>
      </c>
      <c r="AR26" s="1023">
        <v>0.06</v>
      </c>
      <c r="AS26" s="1023">
        <v>0.06</v>
      </c>
      <c r="AT26" s="1023">
        <v>0.05</v>
      </c>
      <c r="AU26" s="1023">
        <v>0.03</v>
      </c>
      <c r="AV26" s="1023">
        <v>0.02</v>
      </c>
      <c r="AW26" s="1023">
        <v>0.01</v>
      </c>
      <c r="AX26" s="1023">
        <v>0.01</v>
      </c>
      <c r="AY26" s="1023">
        <v>0.01</v>
      </c>
      <c r="AZ26" s="1023"/>
      <c r="BA26" s="1023"/>
      <c r="BB26" s="1023"/>
      <c r="BC26" s="1082"/>
      <c r="BD26" s="1082"/>
      <c r="BE26" s="1023"/>
      <c r="BF26" s="1082"/>
      <c r="BG26" s="1082"/>
      <c r="BH26" s="1082"/>
      <c r="BI26" s="1082"/>
      <c r="BJ26" s="1082"/>
      <c r="BK26" s="1082"/>
      <c r="BL26" s="1082"/>
      <c r="BM26" s="1082"/>
      <c r="BN26" s="1082"/>
      <c r="BO26" s="1082"/>
      <c r="BP26" s="1082"/>
      <c r="BQ26" s="1082"/>
    </row>
    <row r="27" spans="1:69" s="276" customFormat="1" ht="18" customHeight="1" outlineLevel="1">
      <c r="A27" s="279" t="s">
        <v>865</v>
      </c>
      <c r="B27" s="280">
        <f t="shared" si="2"/>
        <v>1.0000000000000004</v>
      </c>
      <c r="C27" s="279"/>
      <c r="D27" s="279"/>
      <c r="E27" s="279"/>
      <c r="F27" s="279"/>
      <c r="G27" s="279"/>
      <c r="H27" s="279"/>
      <c r="I27" s="279"/>
      <c r="J27" s="279"/>
      <c r="K27" s="279"/>
      <c r="L27" s="279"/>
      <c r="M27" s="279"/>
      <c r="N27" s="279"/>
      <c r="O27" s="1023"/>
      <c r="P27" s="1023"/>
      <c r="Q27" s="1023"/>
      <c r="R27" s="1023"/>
      <c r="S27" s="1023"/>
      <c r="T27" s="1023"/>
      <c r="U27" s="1023"/>
      <c r="V27" s="1023"/>
      <c r="W27" s="1023"/>
      <c r="X27" s="1023"/>
      <c r="Y27" s="1023"/>
      <c r="Z27" s="1023"/>
      <c r="AA27" s="1023"/>
      <c r="AB27" s="1023"/>
      <c r="AC27" s="1023"/>
      <c r="AD27" s="1023"/>
      <c r="AE27" s="1023">
        <v>0.01</v>
      </c>
      <c r="AF27" s="1023">
        <v>0.01</v>
      </c>
      <c r="AG27" s="1023">
        <v>0.02</v>
      </c>
      <c r="AH27" s="1023">
        <v>0.02</v>
      </c>
      <c r="AI27" s="1023">
        <v>0.02</v>
      </c>
      <c r="AJ27" s="1023">
        <v>0.03</v>
      </c>
      <c r="AK27" s="1023">
        <v>0.04</v>
      </c>
      <c r="AL27" s="1023">
        <v>0.05</v>
      </c>
      <c r="AM27" s="1023">
        <v>0.06</v>
      </c>
      <c r="AN27" s="1023">
        <v>0.06</v>
      </c>
      <c r="AO27" s="1023">
        <v>0.06</v>
      </c>
      <c r="AP27" s="1023">
        <v>7.0000000000000007E-2</v>
      </c>
      <c r="AQ27" s="1023">
        <v>7.0000000000000007E-2</v>
      </c>
      <c r="AR27" s="1023">
        <v>0.06</v>
      </c>
      <c r="AS27" s="1023">
        <v>0.06</v>
      </c>
      <c r="AT27" s="1023">
        <v>0.05</v>
      </c>
      <c r="AU27" s="1023">
        <v>0.05</v>
      </c>
      <c r="AV27" s="1023">
        <v>0.04</v>
      </c>
      <c r="AW27" s="1023">
        <v>0.03</v>
      </c>
      <c r="AX27" s="1023">
        <v>0.03</v>
      </c>
      <c r="AY27" s="1023">
        <v>0.02</v>
      </c>
      <c r="AZ27" s="1023">
        <v>0.02</v>
      </c>
      <c r="BA27" s="1023">
        <v>0.02</v>
      </c>
      <c r="BB27" s="1023">
        <v>0.02</v>
      </c>
      <c r="BC27" s="1023">
        <v>0.02</v>
      </c>
      <c r="BD27" s="1023">
        <v>0.02</v>
      </c>
      <c r="BE27" s="1023">
        <v>0.02</v>
      </c>
      <c r="BF27" s="1023">
        <v>0.01</v>
      </c>
      <c r="BG27" s="1023">
        <v>0.01</v>
      </c>
      <c r="BH27" s="1023"/>
      <c r="BI27" s="1023"/>
      <c r="BJ27" s="1023"/>
      <c r="BK27" s="1023"/>
      <c r="BL27" s="1023"/>
      <c r="BM27" s="1023"/>
      <c r="BN27" s="1023"/>
      <c r="BO27" s="1023"/>
      <c r="BP27" s="1023"/>
      <c r="BQ27" s="1023"/>
    </row>
    <row r="28" spans="1:69" s="276" customFormat="1" ht="18" customHeight="1" outlineLevel="1">
      <c r="A28" s="279" t="s">
        <v>866</v>
      </c>
      <c r="B28" s="280">
        <f t="shared" si="2"/>
        <v>1.0000000000000004</v>
      </c>
      <c r="C28" s="279"/>
      <c r="D28" s="279"/>
      <c r="E28" s="279"/>
      <c r="F28" s="279"/>
      <c r="G28" s="279"/>
      <c r="H28" s="279"/>
      <c r="I28" s="279"/>
      <c r="J28" s="279"/>
      <c r="K28" s="279"/>
      <c r="L28" s="279"/>
      <c r="M28" s="279"/>
      <c r="N28" s="279"/>
      <c r="O28" s="1023"/>
      <c r="P28" s="1023"/>
      <c r="Q28" s="1023"/>
      <c r="R28" s="1023"/>
      <c r="S28" s="1023"/>
      <c r="T28" s="1023"/>
      <c r="U28" s="1023"/>
      <c r="V28" s="1023"/>
      <c r="W28" s="1023"/>
      <c r="X28" s="1023"/>
      <c r="Y28" s="1023"/>
      <c r="Z28" s="1023"/>
      <c r="AA28" s="1023"/>
      <c r="AB28" s="1023"/>
      <c r="AC28" s="1023"/>
      <c r="AD28" s="1023"/>
      <c r="AE28" s="1023"/>
      <c r="AF28" s="1023"/>
      <c r="AG28" s="1023"/>
      <c r="AH28" s="1023"/>
      <c r="AI28" s="1023">
        <v>0.01</v>
      </c>
      <c r="AJ28" s="1023">
        <v>0.01</v>
      </c>
      <c r="AK28" s="1023">
        <v>0.02</v>
      </c>
      <c r="AL28" s="1023">
        <v>0.02</v>
      </c>
      <c r="AM28" s="1023">
        <v>0.05</v>
      </c>
      <c r="AN28" s="1023">
        <v>0.06</v>
      </c>
      <c r="AO28" s="1023">
        <v>0.06</v>
      </c>
      <c r="AP28" s="1023">
        <v>0.06</v>
      </c>
      <c r="AQ28" s="1023">
        <v>7.0000000000000007E-2</v>
      </c>
      <c r="AR28" s="1023">
        <v>7.0000000000000007E-2</v>
      </c>
      <c r="AS28" s="1023">
        <v>7.0000000000000007E-2</v>
      </c>
      <c r="AT28" s="1023">
        <v>0.05</v>
      </c>
      <c r="AU28" s="1023">
        <v>0.05</v>
      </c>
      <c r="AV28" s="1023">
        <v>0.05</v>
      </c>
      <c r="AW28" s="1023">
        <v>0.05</v>
      </c>
      <c r="AX28" s="1023">
        <v>0.05</v>
      </c>
      <c r="AY28" s="1023">
        <v>0.03</v>
      </c>
      <c r="AZ28" s="1023">
        <v>0.03</v>
      </c>
      <c r="BA28" s="1023">
        <v>0.03</v>
      </c>
      <c r="BB28" s="1023">
        <v>0.03</v>
      </c>
      <c r="BC28" s="1023">
        <v>0.03</v>
      </c>
      <c r="BD28" s="1023">
        <v>0.03</v>
      </c>
      <c r="BE28" s="1023">
        <v>0.02</v>
      </c>
      <c r="BF28" s="1023">
        <v>0.01</v>
      </c>
      <c r="BG28" s="1023">
        <v>0.01</v>
      </c>
      <c r="BH28" s="1023">
        <v>0.01</v>
      </c>
      <c r="BI28" s="1023">
        <v>0.01</v>
      </c>
      <c r="BJ28" s="1023">
        <v>0.01</v>
      </c>
      <c r="BK28" s="1023"/>
      <c r="BL28" s="1023"/>
      <c r="BM28" s="1023"/>
      <c r="BN28" s="1023"/>
      <c r="BO28" s="1023"/>
      <c r="BP28" s="1023"/>
      <c r="BQ28" s="1023"/>
    </row>
    <row r="29" spans="1:69" s="276" customFormat="1" ht="18" customHeight="1" outlineLevel="1">
      <c r="A29" s="279" t="s">
        <v>867</v>
      </c>
      <c r="B29" s="280">
        <f t="shared" si="2"/>
        <v>1.0000000000000004</v>
      </c>
      <c r="C29" s="279"/>
      <c r="D29" s="279"/>
      <c r="E29" s="279"/>
      <c r="F29" s="279"/>
      <c r="G29" s="279"/>
      <c r="H29" s="279"/>
      <c r="I29" s="279"/>
      <c r="J29" s="279"/>
      <c r="K29" s="279"/>
      <c r="L29" s="279"/>
      <c r="M29" s="279"/>
      <c r="N29" s="279"/>
      <c r="O29" s="1023"/>
      <c r="P29" s="1023"/>
      <c r="Q29" s="1023"/>
      <c r="R29" s="1023"/>
      <c r="S29" s="1023"/>
      <c r="T29" s="1023"/>
      <c r="U29" s="1023"/>
      <c r="V29" s="1023"/>
      <c r="W29" s="1023"/>
      <c r="X29" s="1023"/>
      <c r="Y29" s="1023"/>
      <c r="Z29" s="1023"/>
      <c r="AA29" s="1023"/>
      <c r="AB29" s="1023"/>
      <c r="AC29" s="1023"/>
      <c r="AD29" s="1023"/>
      <c r="AE29" s="1023"/>
      <c r="AF29" s="1023"/>
      <c r="AG29" s="1023"/>
      <c r="AH29" s="1023"/>
      <c r="AI29" s="1023">
        <v>0.01</v>
      </c>
      <c r="AJ29" s="1023">
        <v>0.01</v>
      </c>
      <c r="AK29" s="1023">
        <v>0.02</v>
      </c>
      <c r="AL29" s="1023">
        <v>0.02</v>
      </c>
      <c r="AM29" s="1023">
        <v>0.03</v>
      </c>
      <c r="AN29" s="1023">
        <v>0.05</v>
      </c>
      <c r="AO29" s="1023">
        <v>7.0000000000000007E-2</v>
      </c>
      <c r="AP29" s="1023">
        <v>7.0000000000000007E-2</v>
      </c>
      <c r="AQ29" s="1023">
        <v>7.0000000000000007E-2</v>
      </c>
      <c r="AR29" s="1023">
        <v>0.06</v>
      </c>
      <c r="AS29" s="1023">
        <v>0.06</v>
      </c>
      <c r="AT29" s="1023">
        <v>0.06</v>
      </c>
      <c r="AU29" s="1023">
        <v>0.05</v>
      </c>
      <c r="AV29" s="1023">
        <v>0.04</v>
      </c>
      <c r="AW29" s="1023">
        <v>0.04</v>
      </c>
      <c r="AX29" s="1023">
        <v>0.04</v>
      </c>
      <c r="AY29" s="1023">
        <v>0.03</v>
      </c>
      <c r="AZ29" s="1023">
        <v>0.03</v>
      </c>
      <c r="BA29" s="1023">
        <v>0.03</v>
      </c>
      <c r="BB29" s="1023">
        <v>0.03</v>
      </c>
      <c r="BC29" s="1023">
        <v>0.03</v>
      </c>
      <c r="BD29" s="1023">
        <v>0.03</v>
      </c>
      <c r="BE29" s="1023">
        <v>0.03</v>
      </c>
      <c r="BF29" s="1023">
        <v>0.03</v>
      </c>
      <c r="BG29" s="1023">
        <v>0.01</v>
      </c>
      <c r="BH29" s="1023">
        <v>0.01</v>
      </c>
      <c r="BI29" s="1023">
        <v>0.01</v>
      </c>
      <c r="BJ29" s="1023">
        <v>0.01</v>
      </c>
      <c r="BK29" s="1023">
        <v>0.01</v>
      </c>
      <c r="BL29" s="1023">
        <v>0.01</v>
      </c>
      <c r="BM29" s="1023"/>
      <c r="BN29" s="1023"/>
      <c r="BO29" s="1023"/>
      <c r="BP29" s="1023"/>
      <c r="BQ29" s="1023"/>
    </row>
    <row r="30" spans="1:69" s="276" customFormat="1" ht="18" customHeight="1" outlineLevel="1">
      <c r="A30" s="279" t="s">
        <v>868</v>
      </c>
      <c r="B30" s="280">
        <f t="shared" si="2"/>
        <v>1.0000000000000004</v>
      </c>
      <c r="C30" s="279"/>
      <c r="D30" s="279"/>
      <c r="E30" s="279"/>
      <c r="F30" s="279"/>
      <c r="G30" s="279"/>
      <c r="H30" s="279"/>
      <c r="I30" s="279"/>
      <c r="J30" s="279"/>
      <c r="K30" s="279"/>
      <c r="L30" s="279"/>
      <c r="M30" s="279"/>
      <c r="N30" s="279"/>
      <c r="O30" s="1023"/>
      <c r="P30" s="1023"/>
      <c r="Q30" s="1023"/>
      <c r="R30" s="1023"/>
      <c r="S30" s="1023"/>
      <c r="T30" s="1023"/>
      <c r="U30" s="1023"/>
      <c r="V30" s="1023"/>
      <c r="W30" s="1023"/>
      <c r="X30" s="1023"/>
      <c r="Y30" s="1023"/>
      <c r="Z30" s="1023"/>
      <c r="AA30" s="1023"/>
      <c r="AB30" s="1023"/>
      <c r="AC30" s="1023"/>
      <c r="AD30" s="1023"/>
      <c r="AE30" s="1023"/>
      <c r="AF30" s="1023"/>
      <c r="AG30" s="1023"/>
      <c r="AH30" s="1023"/>
      <c r="AI30" s="1023">
        <v>0.01</v>
      </c>
      <c r="AJ30" s="1023">
        <v>0.01</v>
      </c>
      <c r="AK30" s="1023">
        <v>0.02</v>
      </c>
      <c r="AL30" s="1023">
        <v>0.02</v>
      </c>
      <c r="AM30" s="1023">
        <v>0.03</v>
      </c>
      <c r="AN30" s="1023">
        <v>0.04</v>
      </c>
      <c r="AO30" s="1023">
        <v>0.06</v>
      </c>
      <c r="AP30" s="1023">
        <v>0.06</v>
      </c>
      <c r="AQ30" s="1023">
        <v>7.0000000000000007E-2</v>
      </c>
      <c r="AR30" s="1023">
        <v>7.0000000000000007E-2</v>
      </c>
      <c r="AS30" s="1023">
        <v>0.06</v>
      </c>
      <c r="AT30" s="1023">
        <v>0.06</v>
      </c>
      <c r="AU30" s="1023">
        <v>0.06</v>
      </c>
      <c r="AV30" s="1023">
        <v>0.05</v>
      </c>
      <c r="AW30" s="1023">
        <v>0.05</v>
      </c>
      <c r="AX30" s="1023">
        <v>0.04</v>
      </c>
      <c r="AY30" s="1023">
        <v>0.03</v>
      </c>
      <c r="AZ30" s="1023">
        <v>0.03</v>
      </c>
      <c r="BA30" s="1023">
        <v>0.03</v>
      </c>
      <c r="BB30" s="1023">
        <v>0.03</v>
      </c>
      <c r="BC30" s="1023">
        <v>0.03</v>
      </c>
      <c r="BD30" s="1023">
        <v>0.03</v>
      </c>
      <c r="BE30" s="1023">
        <v>0.03</v>
      </c>
      <c r="BF30" s="1023">
        <v>0.03</v>
      </c>
      <c r="BG30" s="1023">
        <v>0.01</v>
      </c>
      <c r="BH30" s="1023">
        <v>0.01</v>
      </c>
      <c r="BI30" s="1023">
        <v>0.01</v>
      </c>
      <c r="BJ30" s="1023">
        <v>0.01</v>
      </c>
      <c r="BK30" s="1023">
        <v>0.01</v>
      </c>
      <c r="BL30" s="1023"/>
      <c r="BM30" s="1023"/>
      <c r="BN30" s="1023"/>
      <c r="BO30" s="1023"/>
      <c r="BP30" s="1023"/>
      <c r="BQ30" s="1023"/>
    </row>
    <row r="31" spans="1:69" s="276" customFormat="1" ht="18" customHeight="1" outlineLevel="1">
      <c r="A31" s="279" t="s">
        <v>869</v>
      </c>
      <c r="B31" s="280">
        <f t="shared" si="2"/>
        <v>1.0000000000000004</v>
      </c>
      <c r="C31" s="279"/>
      <c r="D31" s="279"/>
      <c r="E31" s="279"/>
      <c r="F31" s="279"/>
      <c r="G31" s="279"/>
      <c r="H31" s="279"/>
      <c r="I31" s="279"/>
      <c r="J31" s="279"/>
      <c r="K31" s="279"/>
      <c r="L31" s="279"/>
      <c r="M31" s="279"/>
      <c r="N31" s="279"/>
      <c r="O31" s="1023"/>
      <c r="P31" s="1023"/>
      <c r="Q31" s="1023"/>
      <c r="R31" s="1023"/>
      <c r="S31" s="1023"/>
      <c r="T31" s="1023"/>
      <c r="U31" s="1023"/>
      <c r="V31" s="1023"/>
      <c r="W31" s="1023"/>
      <c r="X31" s="1023"/>
      <c r="Y31" s="1023"/>
      <c r="Z31" s="1023"/>
      <c r="AA31" s="1023"/>
      <c r="AB31" s="1023"/>
      <c r="AC31" s="1023">
        <v>0.02</v>
      </c>
      <c r="AD31" s="1023">
        <v>0.02</v>
      </c>
      <c r="AE31" s="1023">
        <v>0.02</v>
      </c>
      <c r="AF31" s="1023">
        <v>0.02</v>
      </c>
      <c r="AG31" s="1023">
        <v>0.02</v>
      </c>
      <c r="AH31" s="1023">
        <v>0.02</v>
      </c>
      <c r="AI31" s="1023">
        <v>0.02</v>
      </c>
      <c r="AJ31" s="1023">
        <v>0.02</v>
      </c>
      <c r="AK31" s="1023">
        <v>0.02</v>
      </c>
      <c r="AL31" s="1023">
        <v>0.03</v>
      </c>
      <c r="AM31" s="1023">
        <v>0.03</v>
      </c>
      <c r="AN31" s="1023">
        <v>0.03</v>
      </c>
      <c r="AO31" s="1023">
        <v>0.06</v>
      </c>
      <c r="AP31" s="1023">
        <v>0.06</v>
      </c>
      <c r="AQ31" s="1023">
        <v>0.06</v>
      </c>
      <c r="AR31" s="1023">
        <v>0.06</v>
      </c>
      <c r="AS31" s="1023">
        <v>0.06</v>
      </c>
      <c r="AT31" s="1023">
        <v>0.06</v>
      </c>
      <c r="AU31" s="1023">
        <v>0.06</v>
      </c>
      <c r="AV31" s="1023">
        <v>0.04</v>
      </c>
      <c r="AW31" s="1023">
        <v>0.03</v>
      </c>
      <c r="AX31" s="1023">
        <v>0.03</v>
      </c>
      <c r="AY31" s="1023">
        <v>0.03</v>
      </c>
      <c r="AZ31" s="1023">
        <v>0.03</v>
      </c>
      <c r="BA31" s="1023">
        <v>0.03</v>
      </c>
      <c r="BB31" s="1023">
        <v>0.03</v>
      </c>
      <c r="BC31" s="1023">
        <v>0.01</v>
      </c>
      <c r="BD31" s="1023">
        <v>0.01</v>
      </c>
      <c r="BE31" s="1023">
        <v>0.01</v>
      </c>
      <c r="BF31" s="1023">
        <v>0.01</v>
      </c>
      <c r="BG31" s="1023">
        <v>0.01</v>
      </c>
      <c r="BH31" s="1023">
        <v>0.01</v>
      </c>
      <c r="BI31" s="1023">
        <v>0.01</v>
      </c>
      <c r="BJ31" s="1023">
        <v>0.01</v>
      </c>
      <c r="BK31" s="1023">
        <v>0.01</v>
      </c>
      <c r="BL31" s="1082"/>
      <c r="BM31" s="1082"/>
      <c r="BN31" s="1082"/>
      <c r="BO31" s="1082"/>
      <c r="BP31" s="1082"/>
      <c r="BQ31" s="1082"/>
    </row>
    <row r="32" spans="1:69" s="276" customFormat="1" ht="18" customHeight="1" outlineLevel="1">
      <c r="A32" s="277" t="s">
        <v>861</v>
      </c>
      <c r="B32" s="277" t="s">
        <v>859</v>
      </c>
      <c r="C32" s="278" t="s">
        <v>870</v>
      </c>
      <c r="D32" s="278" t="s">
        <v>870</v>
      </c>
      <c r="E32" s="278" t="s">
        <v>871</v>
      </c>
      <c r="F32" s="278" t="s">
        <v>871</v>
      </c>
      <c r="G32" s="278" t="s">
        <v>871</v>
      </c>
      <c r="H32" s="278" t="s">
        <v>871</v>
      </c>
      <c r="I32" s="278" t="s">
        <v>872</v>
      </c>
      <c r="J32" s="278" t="s">
        <v>872</v>
      </c>
      <c r="K32" s="278" t="s">
        <v>872</v>
      </c>
      <c r="L32" s="278" t="s">
        <v>872</v>
      </c>
      <c r="M32" s="278" t="s">
        <v>873</v>
      </c>
      <c r="N32" s="278" t="s">
        <v>873</v>
      </c>
      <c r="O32" s="278" t="s">
        <v>873</v>
      </c>
      <c r="P32" s="278" t="s">
        <v>873</v>
      </c>
      <c r="Q32" s="278" t="s">
        <v>874</v>
      </c>
      <c r="R32" s="278" t="s">
        <v>874</v>
      </c>
      <c r="S32" s="278" t="s">
        <v>874</v>
      </c>
      <c r="T32" s="278" t="s">
        <v>874</v>
      </c>
      <c r="U32" s="278" t="s">
        <v>875</v>
      </c>
      <c r="V32" s="278" t="s">
        <v>244</v>
      </c>
      <c r="W32" s="278" t="s">
        <v>244</v>
      </c>
      <c r="X32" s="278" t="s">
        <v>244</v>
      </c>
      <c r="Y32" s="2233" t="s">
        <v>4294</v>
      </c>
      <c r="Z32" s="278" t="s">
        <v>244</v>
      </c>
      <c r="AA32" s="278" t="s">
        <v>244</v>
      </c>
      <c r="AB32" s="278" t="s">
        <v>244</v>
      </c>
      <c r="AC32" s="2233" t="s">
        <v>4294</v>
      </c>
      <c r="AD32" s="278" t="s">
        <v>244</v>
      </c>
      <c r="AE32" s="278" t="s">
        <v>244</v>
      </c>
      <c r="AF32" s="278" t="s">
        <v>244</v>
      </c>
      <c r="AG32" s="2233" t="s">
        <v>4294</v>
      </c>
      <c r="AH32" s="278" t="s">
        <v>245</v>
      </c>
      <c r="AI32" s="278" t="s">
        <v>245</v>
      </c>
      <c r="AJ32" s="278" t="s">
        <v>245</v>
      </c>
      <c r="AK32" s="278" t="s">
        <v>245</v>
      </c>
      <c r="AL32" s="278" t="s">
        <v>245</v>
      </c>
      <c r="AM32" s="278" t="s">
        <v>245</v>
      </c>
      <c r="AN32" s="278" t="s">
        <v>245</v>
      </c>
      <c r="AO32" s="278" t="s">
        <v>245</v>
      </c>
      <c r="AP32" s="278" t="s">
        <v>245</v>
      </c>
      <c r="AQ32" s="278" t="s">
        <v>245</v>
      </c>
      <c r="AR32" s="278" t="s">
        <v>245</v>
      </c>
      <c r="AS32" s="278" t="s">
        <v>245</v>
      </c>
      <c r="AT32" s="278" t="s">
        <v>246</v>
      </c>
      <c r="AU32" s="278" t="s">
        <v>246</v>
      </c>
      <c r="AV32" s="278" t="s">
        <v>246</v>
      </c>
      <c r="AW32" s="278" t="s">
        <v>246</v>
      </c>
      <c r="AX32" s="278" t="s">
        <v>246</v>
      </c>
      <c r="AY32" s="278" t="s">
        <v>246</v>
      </c>
      <c r="AZ32" s="278" t="s">
        <v>246</v>
      </c>
      <c r="BA32" s="278" t="s">
        <v>246</v>
      </c>
      <c r="BB32" s="278" t="s">
        <v>246</v>
      </c>
      <c r="BC32" s="278" t="s">
        <v>246</v>
      </c>
      <c r="BD32" s="278" t="s">
        <v>246</v>
      </c>
      <c r="BE32" s="278" t="s">
        <v>246</v>
      </c>
      <c r="BF32" s="278" t="s">
        <v>256</v>
      </c>
      <c r="BG32" s="278" t="s">
        <v>256</v>
      </c>
      <c r="BH32" s="278" t="s">
        <v>256</v>
      </c>
      <c r="BI32" s="278" t="s">
        <v>256</v>
      </c>
      <c r="BJ32" s="278" t="s">
        <v>256</v>
      </c>
      <c r="BK32" s="278" t="s">
        <v>256</v>
      </c>
      <c r="BL32" s="278" t="s">
        <v>256</v>
      </c>
      <c r="BM32" s="278" t="s">
        <v>256</v>
      </c>
      <c r="BN32" s="278" t="s">
        <v>256</v>
      </c>
      <c r="BO32" s="278" t="s">
        <v>256</v>
      </c>
      <c r="BP32" s="278" t="s">
        <v>256</v>
      </c>
      <c r="BQ32" s="278" t="s">
        <v>256</v>
      </c>
    </row>
    <row r="33" spans="1:69" s="276" customFormat="1" ht="18" customHeight="1" outlineLevel="1">
      <c r="A33" s="277" t="s">
        <v>882</v>
      </c>
      <c r="B33" s="277"/>
      <c r="C33" s="278" t="s">
        <v>154</v>
      </c>
      <c r="D33" s="278" t="s">
        <v>155</v>
      </c>
      <c r="E33" s="278" t="s">
        <v>156</v>
      </c>
      <c r="F33" s="278" t="s">
        <v>157</v>
      </c>
      <c r="G33" s="278" t="s">
        <v>158</v>
      </c>
      <c r="H33" s="278" t="s">
        <v>159</v>
      </c>
      <c r="I33" s="278" t="s">
        <v>160</v>
      </c>
      <c r="J33" s="278" t="s">
        <v>161</v>
      </c>
      <c r="K33" s="278" t="s">
        <v>162</v>
      </c>
      <c r="L33" s="278" t="s">
        <v>163</v>
      </c>
      <c r="M33" s="278" t="s">
        <v>164</v>
      </c>
      <c r="N33" s="278" t="s">
        <v>165</v>
      </c>
      <c r="O33" s="278" t="s">
        <v>166</v>
      </c>
      <c r="P33" s="278" t="s">
        <v>167</v>
      </c>
      <c r="Q33" s="278" t="s">
        <v>168</v>
      </c>
      <c r="R33" s="278" t="s">
        <v>169</v>
      </c>
      <c r="S33" s="278" t="s">
        <v>170</v>
      </c>
      <c r="T33" s="278" t="s">
        <v>171</v>
      </c>
      <c r="U33" s="278" t="s">
        <v>172</v>
      </c>
      <c r="V33" s="2233" t="s">
        <v>4295</v>
      </c>
      <c r="W33" s="2233" t="s">
        <v>4296</v>
      </c>
      <c r="X33" s="2233" t="s">
        <v>4297</v>
      </c>
      <c r="Y33" s="2233" t="s">
        <v>4298</v>
      </c>
      <c r="Z33" s="2233" t="s">
        <v>4299</v>
      </c>
      <c r="AA33" s="2233" t="s">
        <v>4300</v>
      </c>
      <c r="AB33" s="2233" t="s">
        <v>4301</v>
      </c>
      <c r="AC33" s="2233" t="s">
        <v>4302</v>
      </c>
      <c r="AD33" s="2233" t="s">
        <v>4303</v>
      </c>
      <c r="AE33" s="2233" t="s">
        <v>4291</v>
      </c>
      <c r="AF33" s="2233" t="s">
        <v>4292</v>
      </c>
      <c r="AG33" s="2233" t="s">
        <v>4293</v>
      </c>
      <c r="AH33" s="2233" t="s">
        <v>4304</v>
      </c>
      <c r="AI33" s="2233" t="s">
        <v>4305</v>
      </c>
      <c r="AJ33" s="2233" t="s">
        <v>4306</v>
      </c>
      <c r="AK33" s="2233" t="s">
        <v>4307</v>
      </c>
      <c r="AL33" s="2233" t="s">
        <v>4308</v>
      </c>
      <c r="AM33" s="2233" t="s">
        <v>4309</v>
      </c>
      <c r="AN33" s="2233" t="s">
        <v>4310</v>
      </c>
      <c r="AO33" s="2233" t="s">
        <v>4311</v>
      </c>
      <c r="AP33" s="2233" t="s">
        <v>4312</v>
      </c>
      <c r="AQ33" s="2233" t="s">
        <v>4313</v>
      </c>
      <c r="AR33" s="2233" t="s">
        <v>4314</v>
      </c>
      <c r="AS33" s="2233" t="s">
        <v>4315</v>
      </c>
      <c r="AT33" s="2233" t="s">
        <v>4316</v>
      </c>
      <c r="AU33" s="2233" t="s">
        <v>4317</v>
      </c>
      <c r="AV33" s="2233" t="s">
        <v>4318</v>
      </c>
      <c r="AW33" s="2233" t="s">
        <v>4319</v>
      </c>
      <c r="AX33" s="2233" t="s">
        <v>4320</v>
      </c>
      <c r="AY33" s="2233" t="s">
        <v>4321</v>
      </c>
      <c r="AZ33" s="2233" t="s">
        <v>4322</v>
      </c>
      <c r="BA33" s="2233" t="s">
        <v>4323</v>
      </c>
      <c r="BB33" s="2233" t="s">
        <v>4324</v>
      </c>
      <c r="BC33" s="2233" t="s">
        <v>4325</v>
      </c>
      <c r="BD33" s="2233" t="s">
        <v>4326</v>
      </c>
      <c r="BE33" s="2233" t="s">
        <v>4327</v>
      </c>
      <c r="BF33" s="2233" t="s">
        <v>4328</v>
      </c>
      <c r="BG33" s="2233" t="s">
        <v>4329</v>
      </c>
      <c r="BH33" s="2233" t="s">
        <v>4330</v>
      </c>
      <c r="BI33" s="2233" t="s">
        <v>4331</v>
      </c>
      <c r="BJ33" s="2233" t="s">
        <v>4332</v>
      </c>
      <c r="BK33" s="2233" t="s">
        <v>4333</v>
      </c>
      <c r="BL33" s="2233" t="s">
        <v>4334</v>
      </c>
      <c r="BM33" s="2233" t="s">
        <v>4335</v>
      </c>
      <c r="BN33" s="2233" t="s">
        <v>4336</v>
      </c>
      <c r="BO33" s="2233" t="s">
        <v>4337</v>
      </c>
      <c r="BP33" s="2233" t="s">
        <v>4338</v>
      </c>
      <c r="BQ33" s="2233" t="s">
        <v>4339</v>
      </c>
    </row>
    <row r="34" spans="1:69" s="276" customFormat="1" ht="18" customHeight="1" outlineLevel="1">
      <c r="A34" s="279" t="str">
        <f t="shared" ref="A34:A39" si="3">A26</f>
        <v>配套及地下室工程费</v>
      </c>
      <c r="B34" s="280">
        <f t="shared" ref="B34:B39" si="4">SUM(C34:AR34)</f>
        <v>0</v>
      </c>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79"/>
      <c r="AR34" s="279"/>
      <c r="AS34" s="279"/>
      <c r="AT34" s="279"/>
      <c r="AU34" s="279"/>
      <c r="AV34" s="279"/>
      <c r="AW34" s="279"/>
      <c r="AX34" s="279"/>
      <c r="AY34" s="279"/>
      <c r="AZ34" s="279"/>
      <c r="BA34" s="279"/>
      <c r="BB34" s="279"/>
      <c r="BC34" s="279"/>
      <c r="BD34" s="279"/>
      <c r="BE34" s="279"/>
      <c r="BF34" s="279"/>
      <c r="BG34" s="279"/>
      <c r="BH34" s="279"/>
      <c r="BI34" s="279"/>
      <c r="BJ34" s="279"/>
      <c r="BK34" s="279"/>
      <c r="BL34" s="279"/>
      <c r="BM34" s="279"/>
      <c r="BN34" s="279"/>
      <c r="BO34" s="279"/>
      <c r="BP34" s="279"/>
      <c r="BQ34" s="279"/>
    </row>
    <row r="35" spans="1:69" s="276" customFormat="1" ht="18" customHeight="1" outlineLevel="1">
      <c r="A35" s="279" t="str">
        <f t="shared" si="3"/>
        <v>基建及管网工程费</v>
      </c>
      <c r="B35" s="280">
        <f>SUM(C35:AR35)</f>
        <v>0</v>
      </c>
      <c r="C35" s="279"/>
      <c r="D35" s="279"/>
      <c r="E35" s="279"/>
      <c r="F35" s="279"/>
      <c r="G35" s="279"/>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row>
    <row r="36" spans="1:69" s="276" customFormat="1" ht="18" customHeight="1" outlineLevel="1">
      <c r="A36" s="279" t="str">
        <f t="shared" si="3"/>
        <v>室内精装修工程费</v>
      </c>
      <c r="B36" s="280">
        <f t="shared" si="4"/>
        <v>0</v>
      </c>
      <c r="C36" s="279"/>
      <c r="D36" s="279"/>
      <c r="E36" s="279"/>
      <c r="F36" s="279"/>
      <c r="G36" s="279"/>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79"/>
      <c r="AR36" s="279"/>
      <c r="AS36" s="279"/>
      <c r="AT36" s="279"/>
      <c r="AU36" s="279"/>
      <c r="AV36" s="279"/>
      <c r="AW36" s="279"/>
      <c r="AX36" s="279"/>
      <c r="AY36" s="279"/>
      <c r="AZ36" s="279"/>
      <c r="BA36" s="279"/>
      <c r="BB36" s="279"/>
      <c r="BC36" s="279"/>
      <c r="BD36" s="279"/>
      <c r="BE36" s="279"/>
      <c r="BF36" s="279"/>
      <c r="BG36" s="279"/>
      <c r="BH36" s="279"/>
      <c r="BI36" s="279"/>
      <c r="BJ36" s="279"/>
      <c r="BK36" s="279"/>
      <c r="BL36" s="279"/>
      <c r="BM36" s="279"/>
      <c r="BN36" s="279"/>
      <c r="BO36" s="279"/>
      <c r="BP36" s="279"/>
      <c r="BQ36" s="279"/>
    </row>
    <row r="37" spans="1:69" s="276" customFormat="1" ht="18" customHeight="1" outlineLevel="1">
      <c r="A37" s="279" t="str">
        <f t="shared" si="3"/>
        <v>装饰及环保工程费</v>
      </c>
      <c r="B37" s="280">
        <f>SUM(C37:AR37)</f>
        <v>0</v>
      </c>
      <c r="C37" s="279"/>
      <c r="D37" s="279"/>
      <c r="E37" s="279"/>
      <c r="F37" s="279"/>
      <c r="G37" s="279"/>
      <c r="H37" s="279"/>
      <c r="I37" s="279"/>
      <c r="J37" s="279"/>
      <c r="K37" s="279"/>
      <c r="L37" s="279"/>
      <c r="M37" s="279"/>
      <c r="N37" s="279"/>
      <c r="O37" s="279"/>
      <c r="P37" s="279"/>
      <c r="Q37" s="279"/>
      <c r="R37" s="279"/>
      <c r="S37" s="279"/>
      <c r="T37" s="279"/>
      <c r="U37" s="279"/>
      <c r="V37" s="279"/>
      <c r="W37" s="279"/>
      <c r="X37" s="279"/>
      <c r="Y37" s="279"/>
      <c r="Z37" s="279"/>
      <c r="AA37" s="279"/>
      <c r="AB37" s="279"/>
      <c r="AC37" s="279"/>
      <c r="AD37" s="279"/>
      <c r="AE37" s="279"/>
      <c r="AF37" s="279"/>
      <c r="AG37" s="279"/>
      <c r="AH37" s="279"/>
      <c r="AI37" s="279"/>
      <c r="AJ37" s="279"/>
      <c r="AK37" s="279"/>
      <c r="AL37" s="279"/>
      <c r="AM37" s="279"/>
      <c r="AN37" s="279"/>
      <c r="AO37" s="279"/>
      <c r="AP37" s="279"/>
      <c r="AQ37" s="279"/>
      <c r="AR37" s="279"/>
      <c r="AS37" s="279"/>
      <c r="AT37" s="279"/>
      <c r="AU37" s="279"/>
      <c r="AV37" s="279"/>
      <c r="AW37" s="279"/>
      <c r="AX37" s="279"/>
      <c r="AY37" s="279"/>
      <c r="AZ37" s="279"/>
      <c r="BA37" s="279"/>
      <c r="BB37" s="279"/>
      <c r="BC37" s="279"/>
      <c r="BD37" s="279"/>
      <c r="BE37" s="279"/>
      <c r="BF37" s="279"/>
      <c r="BG37" s="279"/>
      <c r="BH37" s="279"/>
      <c r="BI37" s="279"/>
      <c r="BJ37" s="279"/>
      <c r="BK37" s="279"/>
      <c r="BL37" s="279"/>
      <c r="BM37" s="279"/>
      <c r="BN37" s="279"/>
      <c r="BO37" s="279"/>
      <c r="BP37" s="279"/>
      <c r="BQ37" s="279"/>
    </row>
    <row r="38" spans="1:69" s="276" customFormat="1" ht="18" customHeight="1" outlineLevel="1">
      <c r="A38" s="279" t="str">
        <f t="shared" si="3"/>
        <v>环境提升工程费</v>
      </c>
      <c r="B38" s="280">
        <f t="shared" si="4"/>
        <v>0</v>
      </c>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c r="AB38" s="279"/>
      <c r="AC38" s="279"/>
      <c r="AD38" s="279"/>
      <c r="AE38" s="279"/>
      <c r="AF38" s="279"/>
      <c r="AG38" s="279"/>
      <c r="AH38" s="279"/>
      <c r="AI38" s="279"/>
      <c r="AJ38" s="279"/>
      <c r="AK38" s="279"/>
      <c r="AL38" s="279"/>
      <c r="AM38" s="279"/>
      <c r="AN38" s="279"/>
      <c r="AO38" s="279"/>
      <c r="AP38" s="279"/>
      <c r="AQ38" s="279"/>
      <c r="AR38" s="279"/>
      <c r="AS38" s="279"/>
      <c r="AT38" s="279"/>
      <c r="AU38" s="279"/>
      <c r="AV38" s="279"/>
      <c r="AW38" s="279"/>
      <c r="AX38" s="279"/>
      <c r="AY38" s="279"/>
      <c r="AZ38" s="279"/>
      <c r="BA38" s="279"/>
      <c r="BB38" s="279"/>
      <c r="BC38" s="279"/>
      <c r="BD38" s="279"/>
      <c r="BE38" s="279"/>
      <c r="BF38" s="279"/>
      <c r="BG38" s="279"/>
      <c r="BH38" s="279"/>
      <c r="BI38" s="279"/>
      <c r="BJ38" s="279"/>
      <c r="BK38" s="279"/>
      <c r="BL38" s="279"/>
      <c r="BM38" s="279"/>
      <c r="BN38" s="279"/>
      <c r="BO38" s="279"/>
      <c r="BP38" s="279"/>
      <c r="BQ38" s="279"/>
    </row>
    <row r="39" spans="1:69" s="276" customFormat="1" ht="18" customHeight="1" outlineLevel="1">
      <c r="A39" s="279" t="str">
        <f t="shared" si="3"/>
        <v>开发管理费</v>
      </c>
      <c r="B39" s="280">
        <f t="shared" si="4"/>
        <v>0</v>
      </c>
      <c r="C39" s="279"/>
      <c r="D39" s="279"/>
      <c r="E39" s="279"/>
      <c r="F39" s="279"/>
      <c r="G39" s="279"/>
      <c r="H39" s="279"/>
      <c r="I39" s="279"/>
      <c r="J39" s="279"/>
      <c r="K39" s="279"/>
      <c r="L39" s="279"/>
      <c r="M39" s="279"/>
      <c r="N39" s="279"/>
      <c r="O39" s="279"/>
      <c r="P39" s="279"/>
      <c r="Q39" s="279"/>
      <c r="R39" s="279"/>
      <c r="S39" s="279"/>
      <c r="T39" s="279"/>
      <c r="U39" s="279"/>
      <c r="V39" s="279"/>
      <c r="W39" s="279"/>
      <c r="X39" s="279"/>
      <c r="Y39" s="279"/>
      <c r="Z39" s="279"/>
      <c r="AA39" s="279"/>
      <c r="AB39" s="279"/>
      <c r="AC39" s="279"/>
      <c r="AD39" s="279"/>
      <c r="AE39" s="279"/>
      <c r="AF39" s="279"/>
      <c r="AG39" s="279"/>
      <c r="AH39" s="279"/>
      <c r="AI39" s="279"/>
      <c r="AJ39" s="279"/>
      <c r="AK39" s="279"/>
      <c r="AL39" s="279"/>
      <c r="AM39" s="279"/>
      <c r="AN39" s="279"/>
      <c r="AO39" s="279"/>
      <c r="AP39" s="279"/>
      <c r="AQ39" s="279"/>
      <c r="AR39" s="279"/>
      <c r="AS39" s="279"/>
      <c r="AT39" s="279"/>
      <c r="AU39" s="279"/>
      <c r="AV39" s="279"/>
      <c r="AW39" s="279"/>
      <c r="AX39" s="279"/>
      <c r="AY39" s="279"/>
      <c r="AZ39" s="279"/>
      <c r="BA39" s="279"/>
      <c r="BB39" s="279"/>
      <c r="BC39" s="279"/>
      <c r="BD39" s="279"/>
      <c r="BE39" s="279"/>
      <c r="BF39" s="279"/>
      <c r="BG39" s="279"/>
      <c r="BH39" s="279"/>
      <c r="BI39" s="279"/>
      <c r="BJ39" s="279"/>
      <c r="BK39" s="279"/>
      <c r="BL39" s="279"/>
      <c r="BM39" s="279"/>
      <c r="BN39" s="279"/>
      <c r="BO39" s="279"/>
      <c r="BP39" s="279"/>
      <c r="BQ39" s="279"/>
    </row>
    <row r="40" spans="1:69" s="276" customFormat="1" ht="18" customHeight="1" outlineLevel="1">
      <c r="A40" s="277" t="s">
        <v>877</v>
      </c>
      <c r="B40" s="277" t="s">
        <v>58</v>
      </c>
      <c r="C40" s="278" t="s">
        <v>870</v>
      </c>
      <c r="D40" s="278" t="s">
        <v>870</v>
      </c>
      <c r="E40" s="278" t="s">
        <v>871</v>
      </c>
      <c r="F40" s="278" t="s">
        <v>871</v>
      </c>
      <c r="G40" s="278" t="s">
        <v>871</v>
      </c>
      <c r="H40" s="278" t="s">
        <v>871</v>
      </c>
      <c r="I40" s="278" t="s">
        <v>872</v>
      </c>
      <c r="J40" s="278" t="s">
        <v>872</v>
      </c>
      <c r="K40" s="278" t="s">
        <v>872</v>
      </c>
      <c r="L40" s="278" t="s">
        <v>872</v>
      </c>
      <c r="M40" s="278" t="s">
        <v>873</v>
      </c>
      <c r="N40" s="278" t="s">
        <v>873</v>
      </c>
      <c r="O40" s="278" t="s">
        <v>873</v>
      </c>
      <c r="P40" s="278" t="s">
        <v>873</v>
      </c>
      <c r="Q40" s="278" t="s">
        <v>874</v>
      </c>
      <c r="R40" s="278" t="s">
        <v>874</v>
      </c>
      <c r="S40" s="278" t="s">
        <v>874</v>
      </c>
      <c r="T40" s="278" t="s">
        <v>874</v>
      </c>
      <c r="U40" s="278" t="s">
        <v>875</v>
      </c>
      <c r="V40" s="278" t="s">
        <v>244</v>
      </c>
      <c r="W40" s="278" t="s">
        <v>244</v>
      </c>
      <c r="X40" s="278" t="s">
        <v>244</v>
      </c>
      <c r="Y40" s="2233" t="s">
        <v>4294</v>
      </c>
      <c r="Z40" s="278" t="s">
        <v>244</v>
      </c>
      <c r="AA40" s="278" t="s">
        <v>244</v>
      </c>
      <c r="AB40" s="278" t="s">
        <v>244</v>
      </c>
      <c r="AC40" s="2233" t="s">
        <v>4294</v>
      </c>
      <c r="AD40" s="278" t="s">
        <v>244</v>
      </c>
      <c r="AE40" s="278" t="s">
        <v>244</v>
      </c>
      <c r="AF40" s="278" t="s">
        <v>244</v>
      </c>
      <c r="AG40" s="2233" t="s">
        <v>4294</v>
      </c>
      <c r="AH40" s="278" t="s">
        <v>245</v>
      </c>
      <c r="AI40" s="278" t="s">
        <v>245</v>
      </c>
      <c r="AJ40" s="278" t="s">
        <v>245</v>
      </c>
      <c r="AK40" s="278" t="s">
        <v>245</v>
      </c>
      <c r="AL40" s="278" t="s">
        <v>245</v>
      </c>
      <c r="AM40" s="278" t="s">
        <v>245</v>
      </c>
      <c r="AN40" s="278" t="s">
        <v>245</v>
      </c>
      <c r="AO40" s="278" t="s">
        <v>245</v>
      </c>
      <c r="AP40" s="278" t="s">
        <v>245</v>
      </c>
      <c r="AQ40" s="278" t="s">
        <v>245</v>
      </c>
      <c r="AR40" s="278" t="s">
        <v>245</v>
      </c>
      <c r="AS40" s="278" t="s">
        <v>245</v>
      </c>
      <c r="AT40" s="278" t="s">
        <v>246</v>
      </c>
      <c r="AU40" s="278" t="s">
        <v>246</v>
      </c>
      <c r="AV40" s="278" t="s">
        <v>246</v>
      </c>
      <c r="AW40" s="278" t="s">
        <v>246</v>
      </c>
      <c r="AX40" s="278" t="s">
        <v>246</v>
      </c>
      <c r="AY40" s="278" t="s">
        <v>246</v>
      </c>
      <c r="AZ40" s="278" t="s">
        <v>246</v>
      </c>
      <c r="BA40" s="278" t="s">
        <v>246</v>
      </c>
      <c r="BB40" s="278" t="s">
        <v>246</v>
      </c>
      <c r="BC40" s="278" t="s">
        <v>246</v>
      </c>
      <c r="BD40" s="278" t="s">
        <v>246</v>
      </c>
      <c r="BE40" s="278" t="s">
        <v>246</v>
      </c>
      <c r="BF40" s="278" t="s">
        <v>256</v>
      </c>
      <c r="BG40" s="278" t="s">
        <v>256</v>
      </c>
      <c r="BH40" s="278" t="s">
        <v>256</v>
      </c>
      <c r="BI40" s="278" t="s">
        <v>256</v>
      </c>
      <c r="BJ40" s="278" t="s">
        <v>256</v>
      </c>
      <c r="BK40" s="278" t="s">
        <v>256</v>
      </c>
      <c r="BL40" s="278" t="s">
        <v>256</v>
      </c>
      <c r="BM40" s="278" t="s">
        <v>256</v>
      </c>
      <c r="BN40" s="278" t="s">
        <v>256</v>
      </c>
      <c r="BO40" s="278" t="s">
        <v>256</v>
      </c>
      <c r="BP40" s="278" t="s">
        <v>256</v>
      </c>
      <c r="BQ40" s="278" t="s">
        <v>256</v>
      </c>
    </row>
    <row r="41" spans="1:69" s="276" customFormat="1" ht="18" customHeight="1" outlineLevel="1">
      <c r="A41" s="277" t="s">
        <v>883</v>
      </c>
      <c r="B41" s="277"/>
      <c r="C41" s="278" t="s">
        <v>154</v>
      </c>
      <c r="D41" s="278" t="s">
        <v>155</v>
      </c>
      <c r="E41" s="278" t="s">
        <v>156</v>
      </c>
      <c r="F41" s="278" t="s">
        <v>157</v>
      </c>
      <c r="G41" s="278" t="s">
        <v>158</v>
      </c>
      <c r="H41" s="278" t="s">
        <v>159</v>
      </c>
      <c r="I41" s="278" t="s">
        <v>160</v>
      </c>
      <c r="J41" s="278" t="s">
        <v>161</v>
      </c>
      <c r="K41" s="278" t="s">
        <v>162</v>
      </c>
      <c r="L41" s="278" t="s">
        <v>163</v>
      </c>
      <c r="M41" s="278" t="s">
        <v>164</v>
      </c>
      <c r="N41" s="278" t="s">
        <v>165</v>
      </c>
      <c r="O41" s="278" t="s">
        <v>166</v>
      </c>
      <c r="P41" s="278" t="s">
        <v>167</v>
      </c>
      <c r="Q41" s="278" t="s">
        <v>168</v>
      </c>
      <c r="R41" s="278" t="s">
        <v>169</v>
      </c>
      <c r="S41" s="278" t="s">
        <v>170</v>
      </c>
      <c r="T41" s="278" t="s">
        <v>171</v>
      </c>
      <c r="U41" s="278" t="s">
        <v>172</v>
      </c>
      <c r="V41" s="2233" t="s">
        <v>4295</v>
      </c>
      <c r="W41" s="2233" t="s">
        <v>4296</v>
      </c>
      <c r="X41" s="2233" t="s">
        <v>4297</v>
      </c>
      <c r="Y41" s="2233" t="s">
        <v>4298</v>
      </c>
      <c r="Z41" s="2233" t="s">
        <v>4299</v>
      </c>
      <c r="AA41" s="2233" t="s">
        <v>4300</v>
      </c>
      <c r="AB41" s="2233" t="s">
        <v>4301</v>
      </c>
      <c r="AC41" s="2233" t="s">
        <v>4302</v>
      </c>
      <c r="AD41" s="2233" t="s">
        <v>4303</v>
      </c>
      <c r="AE41" s="2233" t="s">
        <v>4291</v>
      </c>
      <c r="AF41" s="2233" t="s">
        <v>4292</v>
      </c>
      <c r="AG41" s="2233" t="s">
        <v>4293</v>
      </c>
      <c r="AH41" s="2233" t="s">
        <v>4304</v>
      </c>
      <c r="AI41" s="2233" t="s">
        <v>4305</v>
      </c>
      <c r="AJ41" s="2233" t="s">
        <v>4306</v>
      </c>
      <c r="AK41" s="2233" t="s">
        <v>4307</v>
      </c>
      <c r="AL41" s="2233" t="s">
        <v>4308</v>
      </c>
      <c r="AM41" s="2233" t="s">
        <v>4309</v>
      </c>
      <c r="AN41" s="2233" t="s">
        <v>4310</v>
      </c>
      <c r="AO41" s="2233" t="s">
        <v>4311</v>
      </c>
      <c r="AP41" s="2233" t="s">
        <v>4312</v>
      </c>
      <c r="AQ41" s="2233" t="s">
        <v>4313</v>
      </c>
      <c r="AR41" s="2233" t="s">
        <v>4314</v>
      </c>
      <c r="AS41" s="2233" t="s">
        <v>4315</v>
      </c>
      <c r="AT41" s="2233" t="s">
        <v>4316</v>
      </c>
      <c r="AU41" s="2233" t="s">
        <v>4317</v>
      </c>
      <c r="AV41" s="2233" t="s">
        <v>4318</v>
      </c>
      <c r="AW41" s="2233" t="s">
        <v>4319</v>
      </c>
      <c r="AX41" s="2233" t="s">
        <v>4320</v>
      </c>
      <c r="AY41" s="2233" t="s">
        <v>4321</v>
      </c>
      <c r="AZ41" s="2233" t="s">
        <v>4322</v>
      </c>
      <c r="BA41" s="2233" t="s">
        <v>4323</v>
      </c>
      <c r="BB41" s="2233" t="s">
        <v>4324</v>
      </c>
      <c r="BC41" s="2233" t="s">
        <v>4325</v>
      </c>
      <c r="BD41" s="2233" t="s">
        <v>4326</v>
      </c>
      <c r="BE41" s="2233" t="s">
        <v>4327</v>
      </c>
      <c r="BF41" s="2233" t="s">
        <v>4328</v>
      </c>
      <c r="BG41" s="2233" t="s">
        <v>4329</v>
      </c>
      <c r="BH41" s="2233" t="s">
        <v>4330</v>
      </c>
      <c r="BI41" s="2233" t="s">
        <v>4331</v>
      </c>
      <c r="BJ41" s="2233" t="s">
        <v>4332</v>
      </c>
      <c r="BK41" s="2233" t="s">
        <v>4333</v>
      </c>
      <c r="BL41" s="2233" t="s">
        <v>4334</v>
      </c>
      <c r="BM41" s="2233" t="s">
        <v>4335</v>
      </c>
      <c r="BN41" s="2233" t="s">
        <v>4336</v>
      </c>
      <c r="BO41" s="2233" t="s">
        <v>4337</v>
      </c>
      <c r="BP41" s="2233" t="s">
        <v>4338</v>
      </c>
      <c r="BQ41" s="2233" t="s">
        <v>4339</v>
      </c>
    </row>
    <row r="42" spans="1:69" s="276" customFormat="1" ht="18" customHeight="1" outlineLevel="1">
      <c r="A42" s="279" t="str">
        <f t="shared" ref="A42:A47" si="5">A34</f>
        <v>配套及地下室工程费</v>
      </c>
      <c r="B42" s="280">
        <f t="shared" ref="B42:B47" si="6">SUM(C42:AR42)</f>
        <v>0</v>
      </c>
      <c r="C42" s="279"/>
      <c r="D42" s="279"/>
      <c r="E42" s="279"/>
      <c r="F42" s="279"/>
      <c r="G42" s="279"/>
      <c r="H42" s="279"/>
      <c r="I42" s="279"/>
      <c r="J42" s="279"/>
      <c r="K42" s="279"/>
      <c r="L42" s="279"/>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c r="AS42" s="279"/>
      <c r="AT42" s="279"/>
      <c r="AU42" s="279"/>
      <c r="AV42" s="279"/>
      <c r="AW42" s="279"/>
      <c r="AX42" s="279"/>
      <c r="AY42" s="279"/>
      <c r="AZ42" s="279"/>
      <c r="BA42" s="279"/>
      <c r="BB42" s="279"/>
      <c r="BC42" s="279"/>
      <c r="BD42" s="279"/>
      <c r="BE42" s="279"/>
      <c r="BF42" s="279"/>
      <c r="BG42" s="279"/>
      <c r="BH42" s="279"/>
      <c r="BI42" s="279"/>
      <c r="BJ42" s="279"/>
      <c r="BK42" s="279"/>
      <c r="BL42" s="279"/>
      <c r="BM42" s="279"/>
      <c r="BN42" s="279"/>
      <c r="BO42" s="279"/>
      <c r="BP42" s="279"/>
      <c r="BQ42" s="279"/>
    </row>
    <row r="43" spans="1:69" s="276" customFormat="1" ht="18" customHeight="1" outlineLevel="1">
      <c r="A43" s="279" t="str">
        <f t="shared" si="5"/>
        <v>基建及管网工程费</v>
      </c>
      <c r="B43" s="280">
        <f t="shared" si="6"/>
        <v>0</v>
      </c>
      <c r="C43" s="279"/>
      <c r="D43" s="279"/>
      <c r="E43" s="279"/>
      <c r="F43" s="279"/>
      <c r="G43" s="279"/>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row>
    <row r="44" spans="1:69" s="276" customFormat="1" ht="18" customHeight="1" outlineLevel="1">
      <c r="A44" s="279" t="str">
        <f t="shared" si="5"/>
        <v>室内精装修工程费</v>
      </c>
      <c r="B44" s="280">
        <f t="shared" si="6"/>
        <v>0</v>
      </c>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c r="AS44" s="279"/>
      <c r="AT44" s="279"/>
      <c r="AU44" s="279"/>
      <c r="AV44" s="279"/>
      <c r="AW44" s="279"/>
      <c r="AX44" s="279"/>
      <c r="AY44" s="279"/>
      <c r="AZ44" s="279"/>
      <c r="BA44" s="279"/>
      <c r="BB44" s="279"/>
      <c r="BC44" s="279"/>
      <c r="BD44" s="279"/>
      <c r="BE44" s="279"/>
      <c r="BF44" s="279"/>
      <c r="BG44" s="279"/>
      <c r="BH44" s="279"/>
      <c r="BI44" s="279"/>
      <c r="BJ44" s="279"/>
      <c r="BK44" s="279"/>
      <c r="BL44" s="279"/>
      <c r="BM44" s="279"/>
      <c r="BN44" s="279"/>
      <c r="BO44" s="279"/>
      <c r="BP44" s="279"/>
      <c r="BQ44" s="279"/>
    </row>
    <row r="45" spans="1:69" s="276" customFormat="1" ht="18" customHeight="1" outlineLevel="1">
      <c r="A45" s="279" t="str">
        <f t="shared" si="5"/>
        <v>装饰及环保工程费</v>
      </c>
      <c r="B45" s="280">
        <f t="shared" si="6"/>
        <v>0</v>
      </c>
      <c r="C45" s="279"/>
      <c r="D45" s="279"/>
      <c r="E45" s="279"/>
      <c r="F45" s="279"/>
      <c r="G45" s="279"/>
      <c r="H45" s="279"/>
      <c r="I45" s="279"/>
      <c r="J45" s="279"/>
      <c r="K45" s="279"/>
      <c r="L45" s="279"/>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9"/>
      <c r="AR45" s="279"/>
      <c r="AS45" s="279"/>
      <c r="AT45" s="279"/>
      <c r="AU45" s="279"/>
      <c r="AV45" s="279"/>
      <c r="AW45" s="279"/>
      <c r="AX45" s="279"/>
      <c r="AY45" s="279"/>
      <c r="AZ45" s="279"/>
      <c r="BA45" s="279"/>
      <c r="BB45" s="279"/>
      <c r="BC45" s="279"/>
      <c r="BD45" s="279"/>
      <c r="BE45" s="279"/>
      <c r="BF45" s="279"/>
      <c r="BG45" s="279"/>
      <c r="BH45" s="279"/>
      <c r="BI45" s="279"/>
      <c r="BJ45" s="279"/>
      <c r="BK45" s="279"/>
      <c r="BL45" s="279"/>
      <c r="BM45" s="279"/>
      <c r="BN45" s="279"/>
      <c r="BO45" s="279"/>
      <c r="BP45" s="279"/>
      <c r="BQ45" s="279"/>
    </row>
    <row r="46" spans="1:69" s="276" customFormat="1" ht="18" customHeight="1" outlineLevel="1">
      <c r="A46" s="279" t="str">
        <f t="shared" si="5"/>
        <v>环境提升工程费</v>
      </c>
      <c r="B46" s="280">
        <f t="shared" si="6"/>
        <v>0</v>
      </c>
      <c r="C46" s="279"/>
      <c r="D46" s="279"/>
      <c r="E46" s="279"/>
      <c r="F46" s="279"/>
      <c r="G46" s="279"/>
      <c r="H46" s="279"/>
      <c r="I46" s="279"/>
      <c r="J46" s="279"/>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9"/>
      <c r="AR46" s="279"/>
      <c r="AS46" s="279"/>
      <c r="AT46" s="279"/>
      <c r="AU46" s="279"/>
      <c r="AV46" s="279"/>
      <c r="AW46" s="279"/>
      <c r="AX46" s="279"/>
      <c r="AY46" s="279"/>
      <c r="AZ46" s="279"/>
      <c r="BA46" s="279"/>
      <c r="BB46" s="279"/>
      <c r="BC46" s="279"/>
      <c r="BD46" s="279"/>
      <c r="BE46" s="279"/>
      <c r="BF46" s="279"/>
      <c r="BG46" s="279"/>
      <c r="BH46" s="279"/>
      <c r="BI46" s="279"/>
      <c r="BJ46" s="279"/>
      <c r="BK46" s="279"/>
      <c r="BL46" s="279"/>
      <c r="BM46" s="279"/>
      <c r="BN46" s="279"/>
      <c r="BO46" s="279"/>
      <c r="BP46" s="279"/>
      <c r="BQ46" s="279"/>
    </row>
    <row r="47" spans="1:69" s="276" customFormat="1" ht="18" customHeight="1" outlineLevel="1">
      <c r="A47" s="279" t="str">
        <f t="shared" si="5"/>
        <v>开发管理费</v>
      </c>
      <c r="B47" s="280">
        <f t="shared" si="6"/>
        <v>0</v>
      </c>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c r="AS47" s="279"/>
      <c r="AT47" s="279"/>
      <c r="AU47" s="279"/>
      <c r="AV47" s="279"/>
      <c r="AW47" s="279"/>
      <c r="AX47" s="279"/>
      <c r="AY47" s="279"/>
      <c r="AZ47" s="279"/>
      <c r="BA47" s="279"/>
      <c r="BB47" s="279"/>
      <c r="BC47" s="279"/>
      <c r="BD47" s="279"/>
      <c r="BE47" s="279"/>
      <c r="BF47" s="279"/>
      <c r="BG47" s="279"/>
      <c r="BH47" s="279"/>
      <c r="BI47" s="279"/>
      <c r="BJ47" s="279"/>
      <c r="BK47" s="279"/>
      <c r="BL47" s="279"/>
      <c r="BM47" s="279"/>
      <c r="BN47" s="279"/>
      <c r="BO47" s="279"/>
      <c r="BP47" s="279"/>
      <c r="BQ47" s="279"/>
    </row>
    <row r="48" spans="1:69" ht="18" customHeight="1"/>
    <row r="51" spans="1:69" s="276" customFormat="1" ht="18" customHeight="1" outlineLevel="1">
      <c r="A51" s="277" t="s">
        <v>861</v>
      </c>
      <c r="B51" s="277" t="s">
        <v>879</v>
      </c>
      <c r="C51" s="278" t="s">
        <v>870</v>
      </c>
      <c r="D51" s="278" t="s">
        <v>870</v>
      </c>
      <c r="E51" s="278" t="s">
        <v>871</v>
      </c>
      <c r="F51" s="278" t="s">
        <v>871</v>
      </c>
      <c r="G51" s="278" t="s">
        <v>871</v>
      </c>
      <c r="H51" s="278" t="s">
        <v>871</v>
      </c>
      <c r="I51" s="278" t="s">
        <v>872</v>
      </c>
      <c r="J51" s="278" t="s">
        <v>872</v>
      </c>
      <c r="K51" s="278" t="s">
        <v>872</v>
      </c>
      <c r="L51" s="278" t="s">
        <v>872</v>
      </c>
      <c r="M51" s="278" t="s">
        <v>873</v>
      </c>
      <c r="N51" s="278" t="s">
        <v>873</v>
      </c>
      <c r="O51" s="278" t="s">
        <v>873</v>
      </c>
      <c r="P51" s="278" t="s">
        <v>873</v>
      </c>
      <c r="Q51" s="278" t="s">
        <v>874</v>
      </c>
      <c r="R51" s="278" t="s">
        <v>874</v>
      </c>
      <c r="S51" s="278" t="s">
        <v>874</v>
      </c>
      <c r="T51" s="278" t="s">
        <v>874</v>
      </c>
      <c r="U51" s="278" t="s">
        <v>875</v>
      </c>
      <c r="V51" s="278" t="s">
        <v>244</v>
      </c>
      <c r="W51" s="278" t="s">
        <v>244</v>
      </c>
      <c r="X51" s="278" t="s">
        <v>244</v>
      </c>
      <c r="Y51" s="2233" t="s">
        <v>4294</v>
      </c>
      <c r="Z51" s="278" t="s">
        <v>244</v>
      </c>
      <c r="AA51" s="278" t="s">
        <v>244</v>
      </c>
      <c r="AB51" s="278" t="s">
        <v>244</v>
      </c>
      <c r="AC51" s="2233" t="s">
        <v>4294</v>
      </c>
      <c r="AD51" s="278" t="s">
        <v>244</v>
      </c>
      <c r="AE51" s="278" t="s">
        <v>244</v>
      </c>
      <c r="AF51" s="278" t="s">
        <v>244</v>
      </c>
      <c r="AG51" s="2233" t="s">
        <v>4294</v>
      </c>
      <c r="AH51" s="278" t="s">
        <v>245</v>
      </c>
      <c r="AI51" s="278" t="s">
        <v>245</v>
      </c>
      <c r="AJ51" s="278" t="s">
        <v>245</v>
      </c>
      <c r="AK51" s="278" t="s">
        <v>245</v>
      </c>
      <c r="AL51" s="278" t="s">
        <v>245</v>
      </c>
      <c r="AM51" s="278" t="s">
        <v>245</v>
      </c>
      <c r="AN51" s="278" t="s">
        <v>245</v>
      </c>
      <c r="AO51" s="278" t="s">
        <v>245</v>
      </c>
      <c r="AP51" s="278" t="s">
        <v>245</v>
      </c>
      <c r="AQ51" s="278" t="s">
        <v>245</v>
      </c>
      <c r="AR51" s="278" t="s">
        <v>245</v>
      </c>
      <c r="AS51" s="278" t="s">
        <v>245</v>
      </c>
      <c r="AT51" s="278" t="s">
        <v>246</v>
      </c>
      <c r="AU51" s="278" t="s">
        <v>246</v>
      </c>
      <c r="AV51" s="278" t="s">
        <v>246</v>
      </c>
      <c r="AW51" s="278" t="s">
        <v>246</v>
      </c>
      <c r="AX51" s="278" t="s">
        <v>246</v>
      </c>
      <c r="AY51" s="278" t="s">
        <v>246</v>
      </c>
      <c r="AZ51" s="278" t="s">
        <v>246</v>
      </c>
      <c r="BA51" s="278" t="s">
        <v>246</v>
      </c>
      <c r="BB51" s="278" t="s">
        <v>246</v>
      </c>
      <c r="BC51" s="278" t="s">
        <v>246</v>
      </c>
      <c r="BD51" s="278" t="s">
        <v>246</v>
      </c>
      <c r="BE51" s="278" t="s">
        <v>246</v>
      </c>
      <c r="BF51" s="278" t="s">
        <v>256</v>
      </c>
      <c r="BG51" s="278" t="s">
        <v>256</v>
      </c>
      <c r="BH51" s="278" t="s">
        <v>256</v>
      </c>
      <c r="BI51" s="278" t="s">
        <v>256</v>
      </c>
      <c r="BJ51" s="278" t="s">
        <v>256</v>
      </c>
      <c r="BK51" s="278" t="s">
        <v>256</v>
      </c>
      <c r="BL51" s="278" t="s">
        <v>256</v>
      </c>
      <c r="BM51" s="278" t="s">
        <v>256</v>
      </c>
      <c r="BN51" s="278" t="s">
        <v>256</v>
      </c>
      <c r="BO51" s="278" t="s">
        <v>256</v>
      </c>
      <c r="BP51" s="278" t="s">
        <v>256</v>
      </c>
      <c r="BQ51" s="278" t="s">
        <v>256</v>
      </c>
    </row>
    <row r="52" spans="1:69" s="276" customFormat="1" ht="18" customHeight="1" outlineLevel="1">
      <c r="A52" s="277"/>
      <c r="B52" s="277"/>
      <c r="C52" s="278" t="s">
        <v>154</v>
      </c>
      <c r="D52" s="278" t="s">
        <v>155</v>
      </c>
      <c r="E52" s="278" t="s">
        <v>156</v>
      </c>
      <c r="F52" s="278" t="s">
        <v>157</v>
      </c>
      <c r="G52" s="278" t="s">
        <v>158</v>
      </c>
      <c r="H52" s="278" t="s">
        <v>159</v>
      </c>
      <c r="I52" s="278" t="s">
        <v>160</v>
      </c>
      <c r="J52" s="278" t="s">
        <v>161</v>
      </c>
      <c r="K52" s="278" t="s">
        <v>162</v>
      </c>
      <c r="L52" s="278" t="s">
        <v>163</v>
      </c>
      <c r="M52" s="278" t="s">
        <v>164</v>
      </c>
      <c r="N52" s="278" t="s">
        <v>165</v>
      </c>
      <c r="O52" s="278" t="s">
        <v>166</v>
      </c>
      <c r="P52" s="278" t="s">
        <v>167</v>
      </c>
      <c r="Q52" s="278" t="s">
        <v>168</v>
      </c>
      <c r="R52" s="278" t="s">
        <v>169</v>
      </c>
      <c r="S52" s="278" t="s">
        <v>170</v>
      </c>
      <c r="T52" s="278" t="s">
        <v>171</v>
      </c>
      <c r="U52" s="278" t="s">
        <v>172</v>
      </c>
      <c r="V52" s="2233" t="s">
        <v>4295</v>
      </c>
      <c r="W52" s="2233" t="s">
        <v>4296</v>
      </c>
      <c r="X52" s="2233" t="s">
        <v>4297</v>
      </c>
      <c r="Y52" s="2233" t="s">
        <v>4298</v>
      </c>
      <c r="Z52" s="2233" t="s">
        <v>4299</v>
      </c>
      <c r="AA52" s="2233" t="s">
        <v>4300</v>
      </c>
      <c r="AB52" s="2233" t="s">
        <v>4301</v>
      </c>
      <c r="AC52" s="2233" t="s">
        <v>4302</v>
      </c>
      <c r="AD52" s="2233" t="s">
        <v>4303</v>
      </c>
      <c r="AE52" s="2233" t="s">
        <v>4291</v>
      </c>
      <c r="AF52" s="2233" t="s">
        <v>4292</v>
      </c>
      <c r="AG52" s="2233" t="s">
        <v>4293</v>
      </c>
      <c r="AH52" s="2233" t="s">
        <v>4304</v>
      </c>
      <c r="AI52" s="2233" t="s">
        <v>4305</v>
      </c>
      <c r="AJ52" s="2233" t="s">
        <v>4306</v>
      </c>
      <c r="AK52" s="2233" t="s">
        <v>4307</v>
      </c>
      <c r="AL52" s="2233" t="s">
        <v>4308</v>
      </c>
      <c r="AM52" s="2233" t="s">
        <v>4309</v>
      </c>
      <c r="AN52" s="2233" t="s">
        <v>4310</v>
      </c>
      <c r="AO52" s="2233" t="s">
        <v>4311</v>
      </c>
      <c r="AP52" s="2233" t="s">
        <v>4312</v>
      </c>
      <c r="AQ52" s="2233" t="s">
        <v>4313</v>
      </c>
      <c r="AR52" s="2233" t="s">
        <v>4314</v>
      </c>
      <c r="AS52" s="2233" t="s">
        <v>4315</v>
      </c>
      <c r="AT52" s="2233" t="s">
        <v>4316</v>
      </c>
      <c r="AU52" s="2233" t="s">
        <v>4317</v>
      </c>
      <c r="AV52" s="2233" t="s">
        <v>4318</v>
      </c>
      <c r="AW52" s="2233" t="s">
        <v>4319</v>
      </c>
      <c r="AX52" s="2233" t="s">
        <v>4320</v>
      </c>
      <c r="AY52" s="2233" t="s">
        <v>4321</v>
      </c>
      <c r="AZ52" s="2233" t="s">
        <v>4322</v>
      </c>
      <c r="BA52" s="2233" t="s">
        <v>4323</v>
      </c>
      <c r="BB52" s="2233" t="s">
        <v>4324</v>
      </c>
      <c r="BC52" s="2233" t="s">
        <v>4325</v>
      </c>
      <c r="BD52" s="2233" t="s">
        <v>4326</v>
      </c>
      <c r="BE52" s="2233" t="s">
        <v>4327</v>
      </c>
      <c r="BF52" s="2233" t="s">
        <v>4328</v>
      </c>
      <c r="BG52" s="2233" t="s">
        <v>4329</v>
      </c>
      <c r="BH52" s="2233" t="s">
        <v>4330</v>
      </c>
      <c r="BI52" s="2233" t="s">
        <v>4331</v>
      </c>
      <c r="BJ52" s="2233" t="s">
        <v>4332</v>
      </c>
      <c r="BK52" s="2233" t="s">
        <v>4333</v>
      </c>
      <c r="BL52" s="2233" t="s">
        <v>4334</v>
      </c>
      <c r="BM52" s="2233" t="s">
        <v>4335</v>
      </c>
      <c r="BN52" s="2233" t="s">
        <v>4336</v>
      </c>
      <c r="BO52" s="2233" t="s">
        <v>4337</v>
      </c>
      <c r="BP52" s="2233" t="s">
        <v>4338</v>
      </c>
      <c r="BQ52" s="2233" t="s">
        <v>4339</v>
      </c>
    </row>
    <row r="53" spans="1:69" s="281" customFormat="1" ht="18" customHeight="1">
      <c r="A53" s="282" t="s">
        <v>878</v>
      </c>
      <c r="B53" s="282">
        <f t="shared" ref="B53:AR53" si="7">B54+B61+B68</f>
        <v>59476.924996999995</v>
      </c>
      <c r="C53" s="282">
        <f t="shared" si="7"/>
        <v>0</v>
      </c>
      <c r="D53" s="282">
        <f t="shared" si="7"/>
        <v>0</v>
      </c>
      <c r="E53" s="282">
        <f t="shared" si="7"/>
        <v>0</v>
      </c>
      <c r="F53" s="282">
        <f t="shared" si="7"/>
        <v>0</v>
      </c>
      <c r="G53" s="282">
        <f t="shared" si="7"/>
        <v>0</v>
      </c>
      <c r="H53" s="282">
        <f t="shared" si="7"/>
        <v>0</v>
      </c>
      <c r="I53" s="282">
        <f t="shared" si="7"/>
        <v>0</v>
      </c>
      <c r="J53" s="282">
        <f>J54+J61+J68</f>
        <v>0</v>
      </c>
      <c r="K53" s="282">
        <f t="shared" si="7"/>
        <v>0</v>
      </c>
      <c r="L53" s="282">
        <f t="shared" si="7"/>
        <v>0</v>
      </c>
      <c r="M53" s="282">
        <f t="shared" si="7"/>
        <v>0</v>
      </c>
      <c r="N53" s="282">
        <f t="shared" si="7"/>
        <v>0</v>
      </c>
      <c r="O53" s="282">
        <f t="shared" si="7"/>
        <v>0</v>
      </c>
      <c r="P53" s="282">
        <f t="shared" si="7"/>
        <v>0</v>
      </c>
      <c r="Q53" s="282">
        <f t="shared" si="7"/>
        <v>0</v>
      </c>
      <c r="R53" s="282">
        <f t="shared" si="7"/>
        <v>0</v>
      </c>
      <c r="S53" s="282">
        <f t="shared" si="7"/>
        <v>0</v>
      </c>
      <c r="T53" s="282">
        <f t="shared" si="7"/>
        <v>0</v>
      </c>
      <c r="U53" s="282">
        <f t="shared" si="7"/>
        <v>0</v>
      </c>
      <c r="V53" s="282">
        <f t="shared" si="7"/>
        <v>0</v>
      </c>
      <c r="W53" s="282">
        <f t="shared" si="7"/>
        <v>0</v>
      </c>
      <c r="X53" s="282">
        <f t="shared" si="7"/>
        <v>0</v>
      </c>
      <c r="Y53" s="282">
        <f t="shared" si="7"/>
        <v>0</v>
      </c>
      <c r="Z53" s="282">
        <f t="shared" si="7"/>
        <v>0</v>
      </c>
      <c r="AA53" s="282">
        <f>AA54+AA61+AA68</f>
        <v>0</v>
      </c>
      <c r="AB53" s="282">
        <f t="shared" si="7"/>
        <v>218.21558657549602</v>
      </c>
      <c r="AC53" s="282">
        <f t="shared" si="7"/>
        <v>416.73749290324406</v>
      </c>
      <c r="AD53" s="282">
        <f t="shared" si="7"/>
        <v>416.73749290324406</v>
      </c>
      <c r="AE53" s="282">
        <f t="shared" si="7"/>
        <v>702.0165564295562</v>
      </c>
      <c r="AF53" s="282">
        <f t="shared" si="7"/>
        <v>811.12434971730409</v>
      </c>
      <c r="AG53" s="282">
        <f t="shared" si="7"/>
        <v>1096.4034132436161</v>
      </c>
      <c r="AH53" s="282">
        <f t="shared" si="7"/>
        <v>1205.5112065313642</v>
      </c>
      <c r="AI53" s="282">
        <f t="shared" si="7"/>
        <v>1361.1865431673041</v>
      </c>
      <c r="AJ53" s="282">
        <f t="shared" si="7"/>
        <v>1646.4656066936161</v>
      </c>
      <c r="AK53" s="282">
        <f t="shared" si="7"/>
        <v>2087.420006855868</v>
      </c>
      <c r="AL53" s="282">
        <f t="shared" si="7"/>
        <v>2417.4061269021799</v>
      </c>
      <c r="AM53" s="282">
        <f t="shared" si="7"/>
        <v>3099.4515748921799</v>
      </c>
      <c r="AN53" s="282">
        <f t="shared" si="7"/>
        <v>3321.0972543840594</v>
      </c>
      <c r="AO53" s="282">
        <f t="shared" si="7"/>
        <v>3634.5858426759396</v>
      </c>
      <c r="AP53" s="282">
        <f t="shared" si="7"/>
        <v>3919.8649062022523</v>
      </c>
      <c r="AQ53" s="282">
        <f t="shared" si="7"/>
        <v>4118.6776932700004</v>
      </c>
      <c r="AR53" s="282">
        <f t="shared" si="7"/>
        <v>3658.3204935999997</v>
      </c>
      <c r="AS53" s="282">
        <f t="shared" ref="AS53:BQ53" si="8">AS54+AS61+AS68</f>
        <v>3634.6071270899997</v>
      </c>
      <c r="AT53" s="282">
        <f t="shared" si="8"/>
        <v>3108.2370157359401</v>
      </c>
      <c r="AU53" s="282">
        <f t="shared" si="8"/>
        <v>2824.0510863045038</v>
      </c>
      <c r="AV53" s="282">
        <f t="shared" si="8"/>
        <v>2250.5664070845037</v>
      </c>
      <c r="AW53" s="282">
        <f t="shared" si="8"/>
        <v>1811.4724937504436</v>
      </c>
      <c r="AX53" s="282">
        <f t="shared" si="8"/>
        <v>1787.7591272404436</v>
      </c>
      <c r="AY53" s="282">
        <f t="shared" si="8"/>
        <v>1280.8130998081917</v>
      </c>
      <c r="AZ53" s="282">
        <f t="shared" si="8"/>
        <v>1171.7053065204439</v>
      </c>
      <c r="BA53" s="282">
        <f t="shared" si="8"/>
        <v>1171.7053065204439</v>
      </c>
      <c r="BB53" s="282">
        <f t="shared" si="8"/>
        <v>1171.7053065204439</v>
      </c>
      <c r="BC53" s="282">
        <f t="shared" si="8"/>
        <v>1082.2911934804438</v>
      </c>
      <c r="BD53" s="282">
        <f t="shared" si="8"/>
        <v>1082.2911934804438</v>
      </c>
      <c r="BE53" s="282">
        <f t="shared" si="8"/>
        <v>1016.2995662104439</v>
      </c>
      <c r="BF53" s="282">
        <f t="shared" si="8"/>
        <v>665.0288754141319</v>
      </c>
      <c r="BG53" s="282">
        <f t="shared" si="8"/>
        <v>485.66145668225192</v>
      </c>
      <c r="BH53" s="282">
        <f t="shared" si="8"/>
        <v>200.38239315593992</v>
      </c>
      <c r="BI53" s="282">
        <f t="shared" si="8"/>
        <v>200.38239315593992</v>
      </c>
      <c r="BJ53" s="282">
        <f t="shared" si="8"/>
        <v>200.38239315593992</v>
      </c>
      <c r="BK53" s="282">
        <f t="shared" si="8"/>
        <v>134.39076588593994</v>
      </c>
      <c r="BL53" s="282">
        <f t="shared" si="8"/>
        <v>65.970342855939933</v>
      </c>
      <c r="BM53" s="282">
        <f t="shared" si="8"/>
        <v>0</v>
      </c>
      <c r="BN53" s="282">
        <f t="shared" si="8"/>
        <v>0</v>
      </c>
      <c r="BO53" s="282">
        <f t="shared" si="8"/>
        <v>0</v>
      </c>
      <c r="BP53" s="282">
        <f t="shared" si="8"/>
        <v>0</v>
      </c>
      <c r="BQ53" s="282">
        <f t="shared" si="8"/>
        <v>0</v>
      </c>
    </row>
    <row r="54" spans="1:69" s="283" customFormat="1" ht="18" customHeight="1" outlineLevel="1">
      <c r="A54" s="284" t="s">
        <v>860</v>
      </c>
      <c r="B54" s="284">
        <f>SUM(C54:BQ54)</f>
        <v>59476.924996999995</v>
      </c>
      <c r="C54" s="284">
        <f t="shared" ref="C54:AR54" si="9">SUM(C55:C60)</f>
        <v>0</v>
      </c>
      <c r="D54" s="284">
        <f t="shared" si="9"/>
        <v>0</v>
      </c>
      <c r="E54" s="284">
        <f t="shared" si="9"/>
        <v>0</v>
      </c>
      <c r="F54" s="284">
        <f t="shared" si="9"/>
        <v>0</v>
      </c>
      <c r="G54" s="284">
        <f t="shared" si="9"/>
        <v>0</v>
      </c>
      <c r="H54" s="284">
        <f t="shared" si="9"/>
        <v>0</v>
      </c>
      <c r="I54" s="284">
        <f t="shared" si="9"/>
        <v>0</v>
      </c>
      <c r="J54" s="284">
        <f t="shared" si="9"/>
        <v>0</v>
      </c>
      <c r="K54" s="284">
        <f t="shared" si="9"/>
        <v>0</v>
      </c>
      <c r="L54" s="284">
        <f t="shared" si="9"/>
        <v>0</v>
      </c>
      <c r="M54" s="284">
        <f t="shared" si="9"/>
        <v>0</v>
      </c>
      <c r="N54" s="284">
        <f t="shared" si="9"/>
        <v>0</v>
      </c>
      <c r="O54" s="284">
        <f t="shared" si="9"/>
        <v>0</v>
      </c>
      <c r="P54" s="284">
        <f t="shared" si="9"/>
        <v>0</v>
      </c>
      <c r="Q54" s="284">
        <f t="shared" si="9"/>
        <v>0</v>
      </c>
      <c r="R54" s="284">
        <f t="shared" si="9"/>
        <v>0</v>
      </c>
      <c r="S54" s="284">
        <f t="shared" si="9"/>
        <v>0</v>
      </c>
      <c r="T54" s="284">
        <f t="shared" si="9"/>
        <v>0</v>
      </c>
      <c r="U54" s="284">
        <f t="shared" si="9"/>
        <v>0</v>
      </c>
      <c r="V54" s="284">
        <f t="shared" si="9"/>
        <v>0</v>
      </c>
      <c r="W54" s="284">
        <f t="shared" si="9"/>
        <v>0</v>
      </c>
      <c r="X54" s="284">
        <f t="shared" si="9"/>
        <v>0</v>
      </c>
      <c r="Y54" s="284">
        <f t="shared" si="9"/>
        <v>0</v>
      </c>
      <c r="Z54" s="284">
        <f t="shared" si="9"/>
        <v>0</v>
      </c>
      <c r="AA54" s="284">
        <f t="shared" si="9"/>
        <v>0</v>
      </c>
      <c r="AB54" s="284">
        <f t="shared" si="9"/>
        <v>218.21558657549602</v>
      </c>
      <c r="AC54" s="284">
        <f t="shared" si="9"/>
        <v>416.73749290324406</v>
      </c>
      <c r="AD54" s="284">
        <f t="shared" si="9"/>
        <v>416.73749290324406</v>
      </c>
      <c r="AE54" s="284">
        <f t="shared" si="9"/>
        <v>702.0165564295562</v>
      </c>
      <c r="AF54" s="284">
        <f t="shared" si="9"/>
        <v>811.12434971730409</v>
      </c>
      <c r="AG54" s="284">
        <f t="shared" si="9"/>
        <v>1096.4034132436161</v>
      </c>
      <c r="AH54" s="284">
        <f t="shared" si="9"/>
        <v>1205.5112065313642</v>
      </c>
      <c r="AI54" s="284">
        <f t="shared" si="9"/>
        <v>1361.1865431673041</v>
      </c>
      <c r="AJ54" s="284">
        <f t="shared" si="9"/>
        <v>1646.4656066936161</v>
      </c>
      <c r="AK54" s="284">
        <f t="shared" si="9"/>
        <v>2087.420006855868</v>
      </c>
      <c r="AL54" s="284">
        <f t="shared" si="9"/>
        <v>2417.4061269021799</v>
      </c>
      <c r="AM54" s="284">
        <f t="shared" si="9"/>
        <v>3099.4515748921799</v>
      </c>
      <c r="AN54" s="284">
        <f t="shared" si="9"/>
        <v>3321.0972543840594</v>
      </c>
      <c r="AO54" s="284">
        <f t="shared" si="9"/>
        <v>3634.5858426759396</v>
      </c>
      <c r="AP54" s="284">
        <f t="shared" si="9"/>
        <v>3919.8649062022523</v>
      </c>
      <c r="AQ54" s="284">
        <f t="shared" si="9"/>
        <v>4118.6776932700004</v>
      </c>
      <c r="AR54" s="284">
        <f t="shared" si="9"/>
        <v>3658.3204935999997</v>
      </c>
      <c r="AS54" s="284">
        <f t="shared" ref="AS54:BQ54" si="10">SUM(AS55:AS60)</f>
        <v>3634.6071270899997</v>
      </c>
      <c r="AT54" s="284">
        <f t="shared" si="10"/>
        <v>3108.2370157359401</v>
      </c>
      <c r="AU54" s="284">
        <f t="shared" si="10"/>
        <v>2824.0510863045038</v>
      </c>
      <c r="AV54" s="284">
        <f t="shared" si="10"/>
        <v>2250.5664070845037</v>
      </c>
      <c r="AW54" s="284">
        <f t="shared" si="10"/>
        <v>1811.4724937504436</v>
      </c>
      <c r="AX54" s="284">
        <f t="shared" si="10"/>
        <v>1787.7591272404436</v>
      </c>
      <c r="AY54" s="284">
        <f t="shared" si="10"/>
        <v>1280.8130998081917</v>
      </c>
      <c r="AZ54" s="284">
        <f t="shared" si="10"/>
        <v>1171.7053065204439</v>
      </c>
      <c r="BA54" s="284">
        <f t="shared" si="10"/>
        <v>1171.7053065204439</v>
      </c>
      <c r="BB54" s="284">
        <f t="shared" si="10"/>
        <v>1171.7053065204439</v>
      </c>
      <c r="BC54" s="284">
        <f t="shared" si="10"/>
        <v>1082.2911934804438</v>
      </c>
      <c r="BD54" s="284">
        <f t="shared" si="10"/>
        <v>1082.2911934804438</v>
      </c>
      <c r="BE54" s="284">
        <f t="shared" si="10"/>
        <v>1016.2995662104439</v>
      </c>
      <c r="BF54" s="284">
        <f t="shared" si="10"/>
        <v>665.0288754141319</v>
      </c>
      <c r="BG54" s="284">
        <f t="shared" si="10"/>
        <v>485.66145668225192</v>
      </c>
      <c r="BH54" s="284">
        <f t="shared" si="10"/>
        <v>200.38239315593992</v>
      </c>
      <c r="BI54" s="284">
        <f t="shared" si="10"/>
        <v>200.38239315593992</v>
      </c>
      <c r="BJ54" s="284">
        <f t="shared" si="10"/>
        <v>200.38239315593992</v>
      </c>
      <c r="BK54" s="284">
        <f t="shared" si="10"/>
        <v>134.39076588593994</v>
      </c>
      <c r="BL54" s="284">
        <f t="shared" si="10"/>
        <v>65.970342855939933</v>
      </c>
      <c r="BM54" s="284">
        <f t="shared" si="10"/>
        <v>0</v>
      </c>
      <c r="BN54" s="284">
        <f t="shared" si="10"/>
        <v>0</v>
      </c>
      <c r="BO54" s="284">
        <f t="shared" si="10"/>
        <v>0</v>
      </c>
      <c r="BP54" s="284">
        <f t="shared" si="10"/>
        <v>0</v>
      </c>
      <c r="BQ54" s="284">
        <f t="shared" si="10"/>
        <v>0</v>
      </c>
    </row>
    <row r="55" spans="1:69" s="285" customFormat="1" ht="18" customHeight="1" outlineLevel="2">
      <c r="A55" s="286" t="s">
        <v>864</v>
      </c>
      <c r="B55" s="284">
        <f>'成本汇总（分摊）'!BK11</f>
        <v>10910.779328774801</v>
      </c>
      <c r="C55" s="286">
        <f t="shared" ref="C55:H55" si="11">$B$55*C26</f>
        <v>0</v>
      </c>
      <c r="D55" s="286">
        <f t="shared" si="11"/>
        <v>0</v>
      </c>
      <c r="E55" s="286">
        <f t="shared" si="11"/>
        <v>0</v>
      </c>
      <c r="F55" s="286">
        <f t="shared" si="11"/>
        <v>0</v>
      </c>
      <c r="G55" s="286">
        <f t="shared" si="11"/>
        <v>0</v>
      </c>
      <c r="H55" s="286">
        <f t="shared" si="11"/>
        <v>0</v>
      </c>
      <c r="I55" s="286">
        <f t="shared" ref="I55:P55" si="12">$B$55*I26</f>
        <v>0</v>
      </c>
      <c r="J55" s="286">
        <f t="shared" si="12"/>
        <v>0</v>
      </c>
      <c r="K55" s="286">
        <f t="shared" si="12"/>
        <v>0</v>
      </c>
      <c r="L55" s="286">
        <f t="shared" si="12"/>
        <v>0</v>
      </c>
      <c r="M55" s="286">
        <f t="shared" si="12"/>
        <v>0</v>
      </c>
      <c r="N55" s="286">
        <f t="shared" si="12"/>
        <v>0</v>
      </c>
      <c r="O55" s="286">
        <f t="shared" si="12"/>
        <v>0</v>
      </c>
      <c r="P55" s="286">
        <f t="shared" si="12"/>
        <v>0</v>
      </c>
      <c r="Q55" s="286">
        <f t="shared" ref="Q55:W55" si="13">$B$55*Q26</f>
        <v>0</v>
      </c>
      <c r="R55" s="286">
        <f t="shared" si="13"/>
        <v>0</v>
      </c>
      <c r="S55" s="286">
        <f t="shared" si="13"/>
        <v>0</v>
      </c>
      <c r="T55" s="286">
        <f t="shared" si="13"/>
        <v>0</v>
      </c>
      <c r="U55" s="286">
        <f t="shared" si="13"/>
        <v>0</v>
      </c>
      <c r="V55" s="286">
        <f t="shared" si="13"/>
        <v>0</v>
      </c>
      <c r="W55" s="286">
        <f t="shared" si="13"/>
        <v>0</v>
      </c>
      <c r="X55" s="286">
        <f t="shared" ref="X55:AL55" si="14">$B$55*X26</f>
        <v>0</v>
      </c>
      <c r="Y55" s="286">
        <f t="shared" si="14"/>
        <v>0</v>
      </c>
      <c r="Z55" s="286">
        <f t="shared" si="14"/>
        <v>0</v>
      </c>
      <c r="AA55" s="286">
        <f t="shared" si="14"/>
        <v>0</v>
      </c>
      <c r="AB55" s="286">
        <f t="shared" si="14"/>
        <v>218.21558657549602</v>
      </c>
      <c r="AC55" s="286">
        <f t="shared" si="14"/>
        <v>327.32337986324404</v>
      </c>
      <c r="AD55" s="286">
        <f t="shared" si="14"/>
        <v>327.32337986324404</v>
      </c>
      <c r="AE55" s="286">
        <f t="shared" si="14"/>
        <v>327.32337986324404</v>
      </c>
      <c r="AF55" s="286">
        <f t="shared" si="14"/>
        <v>436.43117315099204</v>
      </c>
      <c r="AG55" s="286">
        <f t="shared" si="14"/>
        <v>436.43117315099204</v>
      </c>
      <c r="AH55" s="286">
        <f t="shared" si="14"/>
        <v>545.53896643874009</v>
      </c>
      <c r="AI55" s="286">
        <f t="shared" si="14"/>
        <v>545.53896643874009</v>
      </c>
      <c r="AJ55" s="286">
        <f t="shared" si="14"/>
        <v>545.53896643874009</v>
      </c>
      <c r="AK55" s="286">
        <f t="shared" si="14"/>
        <v>545.53896643874009</v>
      </c>
      <c r="AL55" s="286">
        <f t="shared" si="14"/>
        <v>545.53896643874009</v>
      </c>
      <c r="AM55" s="286">
        <f t="shared" ref="AM55:AR55" si="15">$B$55*AM26</f>
        <v>654.64675972648809</v>
      </c>
      <c r="AN55" s="286">
        <f t="shared" si="15"/>
        <v>654.64675972648809</v>
      </c>
      <c r="AO55" s="286">
        <f t="shared" si="15"/>
        <v>654.64675972648809</v>
      </c>
      <c r="AP55" s="286">
        <f t="shared" si="15"/>
        <v>654.64675972648809</v>
      </c>
      <c r="AQ55" s="286">
        <f t="shared" si="15"/>
        <v>763.75455301423608</v>
      </c>
      <c r="AR55" s="286">
        <f t="shared" si="15"/>
        <v>654.64675972648809</v>
      </c>
      <c r="AS55" s="286">
        <f t="shared" ref="AS55:BQ55" si="16">$B$55*AS26</f>
        <v>654.64675972648809</v>
      </c>
      <c r="AT55" s="286">
        <f t="shared" si="16"/>
        <v>545.53896643874009</v>
      </c>
      <c r="AU55" s="286">
        <f t="shared" si="16"/>
        <v>327.32337986324404</v>
      </c>
      <c r="AV55" s="286">
        <f t="shared" si="16"/>
        <v>218.21558657549602</v>
      </c>
      <c r="AW55" s="286">
        <f t="shared" si="16"/>
        <v>109.10779328774801</v>
      </c>
      <c r="AX55" s="286">
        <f t="shared" si="16"/>
        <v>109.10779328774801</v>
      </c>
      <c r="AY55" s="286">
        <f t="shared" si="16"/>
        <v>109.10779328774801</v>
      </c>
      <c r="AZ55" s="286">
        <f t="shared" si="16"/>
        <v>0</v>
      </c>
      <c r="BA55" s="286">
        <f t="shared" si="16"/>
        <v>0</v>
      </c>
      <c r="BB55" s="286">
        <f t="shared" si="16"/>
        <v>0</v>
      </c>
      <c r="BC55" s="286">
        <f t="shared" si="16"/>
        <v>0</v>
      </c>
      <c r="BD55" s="286">
        <f t="shared" si="16"/>
        <v>0</v>
      </c>
      <c r="BE55" s="286">
        <f t="shared" si="16"/>
        <v>0</v>
      </c>
      <c r="BF55" s="286">
        <f t="shared" si="16"/>
        <v>0</v>
      </c>
      <c r="BG55" s="286">
        <f t="shared" si="16"/>
        <v>0</v>
      </c>
      <c r="BH55" s="286">
        <f t="shared" si="16"/>
        <v>0</v>
      </c>
      <c r="BI55" s="286">
        <f t="shared" si="16"/>
        <v>0</v>
      </c>
      <c r="BJ55" s="286">
        <f t="shared" si="16"/>
        <v>0</v>
      </c>
      <c r="BK55" s="286">
        <f t="shared" si="16"/>
        <v>0</v>
      </c>
      <c r="BL55" s="286">
        <f t="shared" si="16"/>
        <v>0</v>
      </c>
      <c r="BM55" s="286">
        <f t="shared" si="16"/>
        <v>0</v>
      </c>
      <c r="BN55" s="286">
        <f t="shared" si="16"/>
        <v>0</v>
      </c>
      <c r="BO55" s="286">
        <f t="shared" si="16"/>
        <v>0</v>
      </c>
      <c r="BP55" s="286">
        <f t="shared" si="16"/>
        <v>0</v>
      </c>
      <c r="BQ55" s="286">
        <f t="shared" si="16"/>
        <v>0</v>
      </c>
    </row>
    <row r="56" spans="1:69" s="281" customFormat="1" ht="18" customHeight="1" outlineLevel="2">
      <c r="A56" s="287" t="s">
        <v>865</v>
      </c>
      <c r="B56" s="284">
        <f>'成本汇总（分摊）'!BK16</f>
        <v>28527.906352631202</v>
      </c>
      <c r="C56" s="286">
        <f t="shared" ref="C56:H56" si="17">$B$56*C27</f>
        <v>0</v>
      </c>
      <c r="D56" s="286">
        <f t="shared" si="17"/>
        <v>0</v>
      </c>
      <c r="E56" s="286">
        <f t="shared" si="17"/>
        <v>0</v>
      </c>
      <c r="F56" s="286">
        <f t="shared" si="17"/>
        <v>0</v>
      </c>
      <c r="G56" s="286">
        <f t="shared" si="17"/>
        <v>0</v>
      </c>
      <c r="H56" s="286">
        <f t="shared" si="17"/>
        <v>0</v>
      </c>
      <c r="I56" s="286">
        <f t="shared" ref="I56:R56" si="18">$B$56*I27</f>
        <v>0</v>
      </c>
      <c r="J56" s="286">
        <f t="shared" si="18"/>
        <v>0</v>
      </c>
      <c r="K56" s="286">
        <f t="shared" si="18"/>
        <v>0</v>
      </c>
      <c r="L56" s="286">
        <f t="shared" si="18"/>
        <v>0</v>
      </c>
      <c r="M56" s="286">
        <f t="shared" si="18"/>
        <v>0</v>
      </c>
      <c r="N56" s="286">
        <f t="shared" si="18"/>
        <v>0</v>
      </c>
      <c r="O56" s="286">
        <f t="shared" si="18"/>
        <v>0</v>
      </c>
      <c r="P56" s="286">
        <f t="shared" si="18"/>
        <v>0</v>
      </c>
      <c r="Q56" s="286">
        <f t="shared" si="18"/>
        <v>0</v>
      </c>
      <c r="R56" s="286">
        <f t="shared" si="18"/>
        <v>0</v>
      </c>
      <c r="S56" s="286">
        <f>$B$56*S27</f>
        <v>0</v>
      </c>
      <c r="T56" s="286">
        <f>$B$56*T27</f>
        <v>0</v>
      </c>
      <c r="U56" s="286">
        <f>$B$56*U27</f>
        <v>0</v>
      </c>
      <c r="V56" s="286">
        <f>$B$56*V27</f>
        <v>0</v>
      </c>
      <c r="W56" s="286">
        <f>$B$56*W27</f>
        <v>0</v>
      </c>
      <c r="X56" s="286">
        <f t="shared" ref="X56:AL56" si="19">$B$56*X27</f>
        <v>0</v>
      </c>
      <c r="Y56" s="286">
        <f t="shared" si="19"/>
        <v>0</v>
      </c>
      <c r="Z56" s="286">
        <f t="shared" si="19"/>
        <v>0</v>
      </c>
      <c r="AA56" s="286">
        <f t="shared" si="19"/>
        <v>0</v>
      </c>
      <c r="AB56" s="286">
        <f t="shared" si="19"/>
        <v>0</v>
      </c>
      <c r="AC56" s="286">
        <f t="shared" si="19"/>
        <v>0</v>
      </c>
      <c r="AD56" s="286">
        <f t="shared" si="19"/>
        <v>0</v>
      </c>
      <c r="AE56" s="286">
        <f t="shared" si="19"/>
        <v>285.27906352631203</v>
      </c>
      <c r="AF56" s="286">
        <f t="shared" si="19"/>
        <v>285.27906352631203</v>
      </c>
      <c r="AG56" s="286">
        <f t="shared" si="19"/>
        <v>570.55812705262406</v>
      </c>
      <c r="AH56" s="286">
        <f t="shared" si="19"/>
        <v>570.55812705262406</v>
      </c>
      <c r="AI56" s="286">
        <f t="shared" si="19"/>
        <v>570.55812705262406</v>
      </c>
      <c r="AJ56" s="286">
        <f t="shared" si="19"/>
        <v>855.83719057893597</v>
      </c>
      <c r="AK56" s="286">
        <f t="shared" si="19"/>
        <v>1141.1162541052481</v>
      </c>
      <c r="AL56" s="286">
        <f t="shared" si="19"/>
        <v>1426.3953176315601</v>
      </c>
      <c r="AM56" s="286">
        <f t="shared" ref="AM56:AR56" si="20">$B$56*AM27</f>
        <v>1711.6743811578719</v>
      </c>
      <c r="AN56" s="286">
        <f t="shared" si="20"/>
        <v>1711.6743811578719</v>
      </c>
      <c r="AO56" s="286">
        <f t="shared" si="20"/>
        <v>1711.6743811578719</v>
      </c>
      <c r="AP56" s="286">
        <f t="shared" si="20"/>
        <v>1996.9534446841844</v>
      </c>
      <c r="AQ56" s="286">
        <f t="shared" si="20"/>
        <v>1996.9534446841844</v>
      </c>
      <c r="AR56" s="286">
        <f t="shared" si="20"/>
        <v>1711.6743811578719</v>
      </c>
      <c r="AS56" s="286">
        <f t="shared" ref="AS56:BQ56" si="21">$B$56*AS27</f>
        <v>1711.6743811578719</v>
      </c>
      <c r="AT56" s="286">
        <f t="shared" si="21"/>
        <v>1426.3953176315601</v>
      </c>
      <c r="AU56" s="286">
        <f t="shared" si="21"/>
        <v>1426.3953176315601</v>
      </c>
      <c r="AV56" s="286">
        <f t="shared" si="21"/>
        <v>1141.1162541052481</v>
      </c>
      <c r="AW56" s="286">
        <f t="shared" si="21"/>
        <v>855.83719057893597</v>
      </c>
      <c r="AX56" s="286">
        <f t="shared" si="21"/>
        <v>855.83719057893597</v>
      </c>
      <c r="AY56" s="286">
        <f t="shared" si="21"/>
        <v>570.55812705262406</v>
      </c>
      <c r="AZ56" s="286">
        <f t="shared" si="21"/>
        <v>570.55812705262406</v>
      </c>
      <c r="BA56" s="286">
        <f t="shared" si="21"/>
        <v>570.55812705262406</v>
      </c>
      <c r="BB56" s="286">
        <f t="shared" si="21"/>
        <v>570.55812705262406</v>
      </c>
      <c r="BC56" s="286">
        <f t="shared" si="21"/>
        <v>570.55812705262406</v>
      </c>
      <c r="BD56" s="286">
        <f t="shared" si="21"/>
        <v>570.55812705262406</v>
      </c>
      <c r="BE56" s="286">
        <f t="shared" si="21"/>
        <v>570.55812705262406</v>
      </c>
      <c r="BF56" s="286">
        <f t="shared" si="21"/>
        <v>285.27906352631203</v>
      </c>
      <c r="BG56" s="286">
        <f t="shared" si="21"/>
        <v>285.27906352631203</v>
      </c>
      <c r="BH56" s="286">
        <f t="shared" si="21"/>
        <v>0</v>
      </c>
      <c r="BI56" s="286">
        <f t="shared" si="21"/>
        <v>0</v>
      </c>
      <c r="BJ56" s="286">
        <f t="shared" si="21"/>
        <v>0</v>
      </c>
      <c r="BK56" s="286">
        <f t="shared" si="21"/>
        <v>0</v>
      </c>
      <c r="BL56" s="286">
        <f t="shared" si="21"/>
        <v>0</v>
      </c>
      <c r="BM56" s="286">
        <f t="shared" si="21"/>
        <v>0</v>
      </c>
      <c r="BN56" s="286">
        <f t="shared" si="21"/>
        <v>0</v>
      </c>
      <c r="BO56" s="286">
        <f t="shared" si="21"/>
        <v>0</v>
      </c>
      <c r="BP56" s="286">
        <f t="shared" si="21"/>
        <v>0</v>
      </c>
      <c r="BQ56" s="286">
        <f t="shared" si="21"/>
        <v>0</v>
      </c>
    </row>
    <row r="57" spans="1:69" s="281" customFormat="1" ht="18" customHeight="1" outlineLevel="2">
      <c r="A57" s="287" t="s">
        <v>866</v>
      </c>
      <c r="B57" s="284">
        <f>'成本汇总（分摊）'!BK21</f>
        <v>6599.162726999999</v>
      </c>
      <c r="C57" s="286">
        <f t="shared" ref="C57:K57" si="22">$B$57*C28</f>
        <v>0</v>
      </c>
      <c r="D57" s="286">
        <f t="shared" si="22"/>
        <v>0</v>
      </c>
      <c r="E57" s="286">
        <f t="shared" si="22"/>
        <v>0</v>
      </c>
      <c r="F57" s="286">
        <f t="shared" si="22"/>
        <v>0</v>
      </c>
      <c r="G57" s="286">
        <f t="shared" si="22"/>
        <v>0</v>
      </c>
      <c r="H57" s="286">
        <f t="shared" si="22"/>
        <v>0</v>
      </c>
      <c r="I57" s="286">
        <f t="shared" si="22"/>
        <v>0</v>
      </c>
      <c r="J57" s="286">
        <f t="shared" si="22"/>
        <v>0</v>
      </c>
      <c r="K57" s="286">
        <f t="shared" si="22"/>
        <v>0</v>
      </c>
      <c r="L57" s="286">
        <f t="shared" ref="L57:R57" si="23">$B$57*L28</f>
        <v>0</v>
      </c>
      <c r="M57" s="286">
        <f t="shared" si="23"/>
        <v>0</v>
      </c>
      <c r="N57" s="286">
        <f t="shared" si="23"/>
        <v>0</v>
      </c>
      <c r="O57" s="286">
        <f t="shared" si="23"/>
        <v>0</v>
      </c>
      <c r="P57" s="286">
        <f t="shared" si="23"/>
        <v>0</v>
      </c>
      <c r="Q57" s="286">
        <f t="shared" si="23"/>
        <v>0</v>
      </c>
      <c r="R57" s="286">
        <f t="shared" si="23"/>
        <v>0</v>
      </c>
      <c r="S57" s="286">
        <f>$B$57*S28</f>
        <v>0</v>
      </c>
      <c r="T57" s="286">
        <f>$B$57*T28</f>
        <v>0</v>
      </c>
      <c r="U57" s="286">
        <f>$B$57*U28</f>
        <v>0</v>
      </c>
      <c r="V57" s="286">
        <f>$B$57*V28</f>
        <v>0</v>
      </c>
      <c r="W57" s="286">
        <f>$B$57*W28</f>
        <v>0</v>
      </c>
      <c r="X57" s="286">
        <f t="shared" ref="X57:AL57" si="24">$B$57*X28</f>
        <v>0</v>
      </c>
      <c r="Y57" s="286">
        <f t="shared" si="24"/>
        <v>0</v>
      </c>
      <c r="Z57" s="286">
        <f t="shared" si="24"/>
        <v>0</v>
      </c>
      <c r="AA57" s="286">
        <f t="shared" si="24"/>
        <v>0</v>
      </c>
      <c r="AB57" s="286">
        <f t="shared" si="24"/>
        <v>0</v>
      </c>
      <c r="AC57" s="286">
        <f t="shared" si="24"/>
        <v>0</v>
      </c>
      <c r="AD57" s="286">
        <f t="shared" si="24"/>
        <v>0</v>
      </c>
      <c r="AE57" s="286">
        <f t="shared" si="24"/>
        <v>0</v>
      </c>
      <c r="AF57" s="286">
        <f t="shared" si="24"/>
        <v>0</v>
      </c>
      <c r="AG57" s="286">
        <f t="shared" si="24"/>
        <v>0</v>
      </c>
      <c r="AH57" s="286">
        <f t="shared" si="24"/>
        <v>0</v>
      </c>
      <c r="AI57" s="286">
        <f t="shared" si="24"/>
        <v>65.991627269999995</v>
      </c>
      <c r="AJ57" s="286">
        <f t="shared" si="24"/>
        <v>65.991627269999995</v>
      </c>
      <c r="AK57" s="286">
        <f t="shared" si="24"/>
        <v>131.98325453999999</v>
      </c>
      <c r="AL57" s="286">
        <f t="shared" si="24"/>
        <v>131.98325453999999</v>
      </c>
      <c r="AM57" s="286">
        <f t="shared" ref="AM57:AR57" si="25">$B$57*AM28</f>
        <v>329.95813634999996</v>
      </c>
      <c r="AN57" s="286">
        <f t="shared" si="25"/>
        <v>395.94976361999994</v>
      </c>
      <c r="AO57" s="286">
        <f t="shared" si="25"/>
        <v>395.94976361999994</v>
      </c>
      <c r="AP57" s="286">
        <f t="shared" si="25"/>
        <v>395.94976361999994</v>
      </c>
      <c r="AQ57" s="286">
        <f t="shared" si="25"/>
        <v>461.94139088999998</v>
      </c>
      <c r="AR57" s="286">
        <f t="shared" si="25"/>
        <v>461.94139088999998</v>
      </c>
      <c r="AS57" s="286">
        <f t="shared" ref="AS57:BQ57" si="26">$B$57*AS28</f>
        <v>461.94139088999998</v>
      </c>
      <c r="AT57" s="286">
        <f t="shared" si="26"/>
        <v>329.95813634999996</v>
      </c>
      <c r="AU57" s="286">
        <f t="shared" si="26"/>
        <v>329.95813634999996</v>
      </c>
      <c r="AV57" s="286">
        <f t="shared" si="26"/>
        <v>329.95813634999996</v>
      </c>
      <c r="AW57" s="286">
        <f t="shared" si="26"/>
        <v>329.95813634999996</v>
      </c>
      <c r="AX57" s="286">
        <f t="shared" si="26"/>
        <v>329.95813634999996</v>
      </c>
      <c r="AY57" s="286">
        <f t="shared" si="26"/>
        <v>197.97488180999997</v>
      </c>
      <c r="AZ57" s="286">
        <f t="shared" si="26"/>
        <v>197.97488180999997</v>
      </c>
      <c r="BA57" s="286">
        <f t="shared" si="26"/>
        <v>197.97488180999997</v>
      </c>
      <c r="BB57" s="286">
        <f t="shared" si="26"/>
        <v>197.97488180999997</v>
      </c>
      <c r="BC57" s="286">
        <f t="shared" si="26"/>
        <v>197.97488180999997</v>
      </c>
      <c r="BD57" s="286">
        <f t="shared" si="26"/>
        <v>197.97488180999997</v>
      </c>
      <c r="BE57" s="286">
        <f t="shared" si="26"/>
        <v>131.98325453999999</v>
      </c>
      <c r="BF57" s="286">
        <f t="shared" si="26"/>
        <v>65.991627269999995</v>
      </c>
      <c r="BG57" s="286">
        <f t="shared" si="26"/>
        <v>65.991627269999995</v>
      </c>
      <c r="BH57" s="286">
        <f t="shared" si="26"/>
        <v>65.991627269999995</v>
      </c>
      <c r="BI57" s="286">
        <f t="shared" si="26"/>
        <v>65.991627269999995</v>
      </c>
      <c r="BJ57" s="286">
        <f t="shared" si="26"/>
        <v>65.991627269999995</v>
      </c>
      <c r="BK57" s="286">
        <f t="shared" si="26"/>
        <v>0</v>
      </c>
      <c r="BL57" s="286">
        <f t="shared" si="26"/>
        <v>0</v>
      </c>
      <c r="BM57" s="286">
        <f t="shared" si="26"/>
        <v>0</v>
      </c>
      <c r="BN57" s="286">
        <f t="shared" si="26"/>
        <v>0</v>
      </c>
      <c r="BO57" s="286">
        <f t="shared" si="26"/>
        <v>0</v>
      </c>
      <c r="BP57" s="286">
        <f t="shared" si="26"/>
        <v>0</v>
      </c>
      <c r="BQ57" s="286">
        <f t="shared" si="26"/>
        <v>0</v>
      </c>
    </row>
    <row r="58" spans="1:69" s="281" customFormat="1" ht="18" customHeight="1" outlineLevel="2">
      <c r="A58" s="287" t="s">
        <v>867</v>
      </c>
      <c r="B58" s="284">
        <f>'成本汇总（分摊）'!BK26</f>
        <v>6597.0342855939925</v>
      </c>
      <c r="C58" s="286">
        <f t="shared" ref="C58:J58" si="27">$B$58*C29</f>
        <v>0</v>
      </c>
      <c r="D58" s="286">
        <f t="shared" si="27"/>
        <v>0</v>
      </c>
      <c r="E58" s="286">
        <f t="shared" si="27"/>
        <v>0</v>
      </c>
      <c r="F58" s="286">
        <f t="shared" si="27"/>
        <v>0</v>
      </c>
      <c r="G58" s="286">
        <f t="shared" si="27"/>
        <v>0</v>
      </c>
      <c r="H58" s="286">
        <f t="shared" si="27"/>
        <v>0</v>
      </c>
      <c r="I58" s="286">
        <f t="shared" si="27"/>
        <v>0</v>
      </c>
      <c r="J58" s="286">
        <f t="shared" si="27"/>
        <v>0</v>
      </c>
      <c r="K58" s="286">
        <f t="shared" ref="K58:R58" si="28">$B$58*K29</f>
        <v>0</v>
      </c>
      <c r="L58" s="286">
        <f t="shared" si="28"/>
        <v>0</v>
      </c>
      <c r="M58" s="286">
        <f t="shared" si="28"/>
        <v>0</v>
      </c>
      <c r="N58" s="286">
        <f t="shared" si="28"/>
        <v>0</v>
      </c>
      <c r="O58" s="286">
        <f t="shared" si="28"/>
        <v>0</v>
      </c>
      <c r="P58" s="286">
        <f t="shared" si="28"/>
        <v>0</v>
      </c>
      <c r="Q58" s="286">
        <f t="shared" si="28"/>
        <v>0</v>
      </c>
      <c r="R58" s="286">
        <f t="shared" si="28"/>
        <v>0</v>
      </c>
      <c r="S58" s="286">
        <f>$B$58*S29</f>
        <v>0</v>
      </c>
      <c r="T58" s="286">
        <f>$B$58*T29</f>
        <v>0</v>
      </c>
      <c r="U58" s="286">
        <f>$B$58*U29</f>
        <v>0</v>
      </c>
      <c r="V58" s="286">
        <f>$B$58*V29</f>
        <v>0</v>
      </c>
      <c r="W58" s="286">
        <f>$B$58*W29</f>
        <v>0</v>
      </c>
      <c r="X58" s="286">
        <f t="shared" ref="X58:AL58" si="29">$B$58*X29</f>
        <v>0</v>
      </c>
      <c r="Y58" s="286">
        <f t="shared" si="29"/>
        <v>0</v>
      </c>
      <c r="Z58" s="286">
        <f t="shared" si="29"/>
        <v>0</v>
      </c>
      <c r="AA58" s="286">
        <f t="shared" si="29"/>
        <v>0</v>
      </c>
      <c r="AB58" s="286">
        <f t="shared" si="29"/>
        <v>0</v>
      </c>
      <c r="AC58" s="286">
        <f t="shared" si="29"/>
        <v>0</v>
      </c>
      <c r="AD58" s="286">
        <f t="shared" si="29"/>
        <v>0</v>
      </c>
      <c r="AE58" s="286">
        <f t="shared" si="29"/>
        <v>0</v>
      </c>
      <c r="AF58" s="286">
        <f t="shared" si="29"/>
        <v>0</v>
      </c>
      <c r="AG58" s="286">
        <f t="shared" si="29"/>
        <v>0</v>
      </c>
      <c r="AH58" s="286">
        <f t="shared" si="29"/>
        <v>0</v>
      </c>
      <c r="AI58" s="286">
        <f t="shared" si="29"/>
        <v>65.970342855939933</v>
      </c>
      <c r="AJ58" s="286">
        <f t="shared" si="29"/>
        <v>65.970342855939933</v>
      </c>
      <c r="AK58" s="286">
        <f t="shared" si="29"/>
        <v>131.94068571187987</v>
      </c>
      <c r="AL58" s="286">
        <f t="shared" si="29"/>
        <v>131.94068571187987</v>
      </c>
      <c r="AM58" s="286">
        <f t="shared" ref="AM58:AR58" si="30">$B$58*AM29</f>
        <v>197.91102856781976</v>
      </c>
      <c r="AN58" s="286">
        <f t="shared" si="30"/>
        <v>329.85171427969965</v>
      </c>
      <c r="AO58" s="286">
        <f t="shared" si="30"/>
        <v>461.79239999157954</v>
      </c>
      <c r="AP58" s="286">
        <f t="shared" si="30"/>
        <v>461.79239999157954</v>
      </c>
      <c r="AQ58" s="286">
        <f t="shared" si="30"/>
        <v>461.79239999157954</v>
      </c>
      <c r="AR58" s="286">
        <f t="shared" si="30"/>
        <v>395.82205713563951</v>
      </c>
      <c r="AS58" s="286">
        <f t="shared" ref="AS58:BQ58" si="31">$B$58*AS29</f>
        <v>395.82205713563951</v>
      </c>
      <c r="AT58" s="286">
        <f t="shared" si="31"/>
        <v>395.82205713563951</v>
      </c>
      <c r="AU58" s="286">
        <f t="shared" si="31"/>
        <v>329.85171427969965</v>
      </c>
      <c r="AV58" s="286">
        <f t="shared" si="31"/>
        <v>263.88137142375973</v>
      </c>
      <c r="AW58" s="286">
        <f t="shared" si="31"/>
        <v>263.88137142375973</v>
      </c>
      <c r="AX58" s="286">
        <f t="shared" si="31"/>
        <v>263.88137142375973</v>
      </c>
      <c r="AY58" s="286">
        <f t="shared" si="31"/>
        <v>197.91102856781976</v>
      </c>
      <c r="AZ58" s="286">
        <f t="shared" si="31"/>
        <v>197.91102856781976</v>
      </c>
      <c r="BA58" s="286">
        <f t="shared" si="31"/>
        <v>197.91102856781976</v>
      </c>
      <c r="BB58" s="286">
        <f t="shared" si="31"/>
        <v>197.91102856781976</v>
      </c>
      <c r="BC58" s="286">
        <f t="shared" si="31"/>
        <v>197.91102856781976</v>
      </c>
      <c r="BD58" s="286">
        <f t="shared" si="31"/>
        <v>197.91102856781976</v>
      </c>
      <c r="BE58" s="286">
        <f t="shared" si="31"/>
        <v>197.91102856781976</v>
      </c>
      <c r="BF58" s="286">
        <f t="shared" si="31"/>
        <v>197.91102856781976</v>
      </c>
      <c r="BG58" s="286">
        <f t="shared" si="31"/>
        <v>65.970342855939933</v>
      </c>
      <c r="BH58" s="286">
        <f t="shared" si="31"/>
        <v>65.970342855939933</v>
      </c>
      <c r="BI58" s="286">
        <f t="shared" si="31"/>
        <v>65.970342855939933</v>
      </c>
      <c r="BJ58" s="286">
        <f t="shared" si="31"/>
        <v>65.970342855939933</v>
      </c>
      <c r="BK58" s="286">
        <f t="shared" si="31"/>
        <v>65.970342855939933</v>
      </c>
      <c r="BL58" s="286">
        <f t="shared" si="31"/>
        <v>65.970342855939933</v>
      </c>
      <c r="BM58" s="286">
        <f t="shared" si="31"/>
        <v>0</v>
      </c>
      <c r="BN58" s="286">
        <f t="shared" si="31"/>
        <v>0</v>
      </c>
      <c r="BO58" s="286">
        <f t="shared" si="31"/>
        <v>0</v>
      </c>
      <c r="BP58" s="286">
        <f t="shared" si="31"/>
        <v>0</v>
      </c>
      <c r="BQ58" s="286">
        <f t="shared" si="31"/>
        <v>0</v>
      </c>
    </row>
    <row r="59" spans="1:69" s="281" customFormat="1" ht="18" customHeight="1" outlineLevel="2">
      <c r="A59" s="287" t="s">
        <v>868</v>
      </c>
      <c r="B59" s="284">
        <f>'成本汇总（分摊）'!BK31</f>
        <v>2371.3366510000001</v>
      </c>
      <c r="C59" s="286">
        <f t="shared" ref="C59:K59" si="32">$B$59*C30</f>
        <v>0</v>
      </c>
      <c r="D59" s="286">
        <f t="shared" si="32"/>
        <v>0</v>
      </c>
      <c r="E59" s="286">
        <f t="shared" si="32"/>
        <v>0</v>
      </c>
      <c r="F59" s="286">
        <f t="shared" si="32"/>
        <v>0</v>
      </c>
      <c r="G59" s="286">
        <f t="shared" si="32"/>
        <v>0</v>
      </c>
      <c r="H59" s="286">
        <f t="shared" si="32"/>
        <v>0</v>
      </c>
      <c r="I59" s="286">
        <f t="shared" si="32"/>
        <v>0</v>
      </c>
      <c r="J59" s="286">
        <f t="shared" si="32"/>
        <v>0</v>
      </c>
      <c r="K59" s="286">
        <f t="shared" si="32"/>
        <v>0</v>
      </c>
      <c r="L59" s="286">
        <f t="shared" ref="L59:R59" si="33">$B$59*L30</f>
        <v>0</v>
      </c>
      <c r="M59" s="286">
        <f t="shared" si="33"/>
        <v>0</v>
      </c>
      <c r="N59" s="286">
        <f t="shared" si="33"/>
        <v>0</v>
      </c>
      <c r="O59" s="286">
        <f t="shared" si="33"/>
        <v>0</v>
      </c>
      <c r="P59" s="286">
        <f t="shared" si="33"/>
        <v>0</v>
      </c>
      <c r="Q59" s="286">
        <f t="shared" si="33"/>
        <v>0</v>
      </c>
      <c r="R59" s="286">
        <f t="shared" si="33"/>
        <v>0</v>
      </c>
      <c r="S59" s="286">
        <f>$B$59*S30</f>
        <v>0</v>
      </c>
      <c r="T59" s="286">
        <f>$B$59*T30</f>
        <v>0</v>
      </c>
      <c r="U59" s="286">
        <f>$B$59*U30</f>
        <v>0</v>
      </c>
      <c r="V59" s="286">
        <f>$B$59*V30</f>
        <v>0</v>
      </c>
      <c r="W59" s="286">
        <f>$B$59*W30</f>
        <v>0</v>
      </c>
      <c r="X59" s="286">
        <f t="shared" ref="X59:AL59" si="34">$B$59*X30</f>
        <v>0</v>
      </c>
      <c r="Y59" s="286">
        <f t="shared" si="34"/>
        <v>0</v>
      </c>
      <c r="Z59" s="286">
        <f t="shared" si="34"/>
        <v>0</v>
      </c>
      <c r="AA59" s="286">
        <f t="shared" si="34"/>
        <v>0</v>
      </c>
      <c r="AB59" s="286">
        <f t="shared" si="34"/>
        <v>0</v>
      </c>
      <c r="AC59" s="286">
        <f t="shared" si="34"/>
        <v>0</v>
      </c>
      <c r="AD59" s="286">
        <f t="shared" si="34"/>
        <v>0</v>
      </c>
      <c r="AE59" s="286">
        <f t="shared" si="34"/>
        <v>0</v>
      </c>
      <c r="AF59" s="286">
        <f t="shared" si="34"/>
        <v>0</v>
      </c>
      <c r="AG59" s="286">
        <f t="shared" si="34"/>
        <v>0</v>
      </c>
      <c r="AH59" s="286">
        <f t="shared" si="34"/>
        <v>0</v>
      </c>
      <c r="AI59" s="286">
        <f t="shared" si="34"/>
        <v>23.71336651</v>
      </c>
      <c r="AJ59" s="286">
        <f t="shared" si="34"/>
        <v>23.71336651</v>
      </c>
      <c r="AK59" s="286">
        <f t="shared" si="34"/>
        <v>47.42673302</v>
      </c>
      <c r="AL59" s="286">
        <f t="shared" si="34"/>
        <v>47.42673302</v>
      </c>
      <c r="AM59" s="286">
        <f t="shared" ref="AM59:AR59" si="35">$B$59*AM30</f>
        <v>71.140099530000001</v>
      </c>
      <c r="AN59" s="286">
        <f t="shared" si="35"/>
        <v>94.853466040000001</v>
      </c>
      <c r="AO59" s="286">
        <f t="shared" si="35"/>
        <v>142.28019906</v>
      </c>
      <c r="AP59" s="286">
        <f t="shared" si="35"/>
        <v>142.28019906</v>
      </c>
      <c r="AQ59" s="286">
        <f t="shared" si="35"/>
        <v>165.99356557000002</v>
      </c>
      <c r="AR59" s="286">
        <f t="shared" si="35"/>
        <v>165.99356557000002</v>
      </c>
      <c r="AS59" s="286">
        <f t="shared" ref="AS59:BQ59" si="36">$B$59*AS30</f>
        <v>142.28019906</v>
      </c>
      <c r="AT59" s="286">
        <f t="shared" si="36"/>
        <v>142.28019906</v>
      </c>
      <c r="AU59" s="286">
        <f t="shared" si="36"/>
        <v>142.28019906</v>
      </c>
      <c r="AV59" s="286">
        <f t="shared" si="36"/>
        <v>118.56683255000002</v>
      </c>
      <c r="AW59" s="286">
        <f t="shared" si="36"/>
        <v>118.56683255000002</v>
      </c>
      <c r="AX59" s="286">
        <f t="shared" si="36"/>
        <v>94.853466040000001</v>
      </c>
      <c r="AY59" s="286">
        <f t="shared" si="36"/>
        <v>71.140099530000001</v>
      </c>
      <c r="AZ59" s="286">
        <f t="shared" si="36"/>
        <v>71.140099530000001</v>
      </c>
      <c r="BA59" s="286">
        <f t="shared" si="36"/>
        <v>71.140099530000001</v>
      </c>
      <c r="BB59" s="286">
        <f t="shared" si="36"/>
        <v>71.140099530000001</v>
      </c>
      <c r="BC59" s="286">
        <f t="shared" si="36"/>
        <v>71.140099530000001</v>
      </c>
      <c r="BD59" s="286">
        <f t="shared" si="36"/>
        <v>71.140099530000001</v>
      </c>
      <c r="BE59" s="286">
        <f t="shared" si="36"/>
        <v>71.140099530000001</v>
      </c>
      <c r="BF59" s="286">
        <f t="shared" si="36"/>
        <v>71.140099530000001</v>
      </c>
      <c r="BG59" s="286">
        <f t="shared" si="36"/>
        <v>23.71336651</v>
      </c>
      <c r="BH59" s="286">
        <f t="shared" si="36"/>
        <v>23.71336651</v>
      </c>
      <c r="BI59" s="286">
        <f t="shared" si="36"/>
        <v>23.71336651</v>
      </c>
      <c r="BJ59" s="286">
        <f t="shared" si="36"/>
        <v>23.71336651</v>
      </c>
      <c r="BK59" s="286">
        <f t="shared" si="36"/>
        <v>23.71336651</v>
      </c>
      <c r="BL59" s="286">
        <f t="shared" si="36"/>
        <v>0</v>
      </c>
      <c r="BM59" s="286">
        <f t="shared" si="36"/>
        <v>0</v>
      </c>
      <c r="BN59" s="286">
        <f t="shared" si="36"/>
        <v>0</v>
      </c>
      <c r="BO59" s="286">
        <f t="shared" si="36"/>
        <v>0</v>
      </c>
      <c r="BP59" s="286">
        <f t="shared" si="36"/>
        <v>0</v>
      </c>
      <c r="BQ59" s="286">
        <f t="shared" si="36"/>
        <v>0</v>
      </c>
    </row>
    <row r="60" spans="1:69" s="281" customFormat="1" ht="18" customHeight="1" outlineLevel="2">
      <c r="A60" s="287" t="s">
        <v>869</v>
      </c>
      <c r="B60" s="284">
        <f>'成本汇总（分摊）'!BK35</f>
        <v>4470.7056520000006</v>
      </c>
      <c r="C60" s="286">
        <f t="shared" ref="C60:H60" si="37">$B$60*C31</f>
        <v>0</v>
      </c>
      <c r="D60" s="286">
        <f t="shared" si="37"/>
        <v>0</v>
      </c>
      <c r="E60" s="286">
        <f t="shared" si="37"/>
        <v>0</v>
      </c>
      <c r="F60" s="286">
        <f t="shared" si="37"/>
        <v>0</v>
      </c>
      <c r="G60" s="286">
        <f t="shared" si="37"/>
        <v>0</v>
      </c>
      <c r="H60" s="286">
        <f t="shared" si="37"/>
        <v>0</v>
      </c>
      <c r="I60" s="286">
        <f t="shared" ref="I60:R60" si="38">$B$60*I31</f>
        <v>0</v>
      </c>
      <c r="J60" s="286">
        <f t="shared" si="38"/>
        <v>0</v>
      </c>
      <c r="K60" s="286">
        <f t="shared" si="38"/>
        <v>0</v>
      </c>
      <c r="L60" s="286">
        <f t="shared" si="38"/>
        <v>0</v>
      </c>
      <c r="M60" s="286">
        <f t="shared" si="38"/>
        <v>0</v>
      </c>
      <c r="N60" s="286">
        <f t="shared" si="38"/>
        <v>0</v>
      </c>
      <c r="O60" s="286">
        <f t="shared" si="38"/>
        <v>0</v>
      </c>
      <c r="P60" s="286">
        <f t="shared" si="38"/>
        <v>0</v>
      </c>
      <c r="Q60" s="286">
        <f t="shared" si="38"/>
        <v>0</v>
      </c>
      <c r="R60" s="286">
        <f t="shared" si="38"/>
        <v>0</v>
      </c>
      <c r="S60" s="286">
        <f>$B$60*S31</f>
        <v>0</v>
      </c>
      <c r="T60" s="286">
        <f>$B$60*T31</f>
        <v>0</v>
      </c>
      <c r="U60" s="286">
        <f>$B$60*U31</f>
        <v>0</v>
      </c>
      <c r="V60" s="286">
        <f>$B$60*V31</f>
        <v>0</v>
      </c>
      <c r="W60" s="286">
        <f>$B$60*W31</f>
        <v>0</v>
      </c>
      <c r="X60" s="286">
        <f t="shared" ref="X60:AL60" si="39">$B$60*X31</f>
        <v>0</v>
      </c>
      <c r="Y60" s="286">
        <f t="shared" si="39"/>
        <v>0</v>
      </c>
      <c r="Z60" s="286">
        <f t="shared" si="39"/>
        <v>0</v>
      </c>
      <c r="AA60" s="286">
        <f t="shared" si="39"/>
        <v>0</v>
      </c>
      <c r="AB60" s="286">
        <f t="shared" si="39"/>
        <v>0</v>
      </c>
      <c r="AC60" s="286">
        <f t="shared" si="39"/>
        <v>89.414113040000018</v>
      </c>
      <c r="AD60" s="286">
        <f t="shared" si="39"/>
        <v>89.414113040000018</v>
      </c>
      <c r="AE60" s="286">
        <f t="shared" si="39"/>
        <v>89.414113040000018</v>
      </c>
      <c r="AF60" s="286">
        <f t="shared" si="39"/>
        <v>89.414113040000018</v>
      </c>
      <c r="AG60" s="286">
        <f t="shared" si="39"/>
        <v>89.414113040000018</v>
      </c>
      <c r="AH60" s="286">
        <f t="shared" si="39"/>
        <v>89.414113040000018</v>
      </c>
      <c r="AI60" s="286">
        <f t="shared" si="39"/>
        <v>89.414113040000018</v>
      </c>
      <c r="AJ60" s="286">
        <f t="shared" si="39"/>
        <v>89.414113040000018</v>
      </c>
      <c r="AK60" s="286">
        <f t="shared" si="39"/>
        <v>89.414113040000018</v>
      </c>
      <c r="AL60" s="286">
        <f t="shared" si="39"/>
        <v>134.12116956</v>
      </c>
      <c r="AM60" s="286">
        <f t="shared" ref="AM60:AR60" si="40">$B$60*AM31</f>
        <v>134.12116956</v>
      </c>
      <c r="AN60" s="286">
        <f t="shared" si="40"/>
        <v>134.12116956</v>
      </c>
      <c r="AO60" s="286">
        <f t="shared" si="40"/>
        <v>268.24233912</v>
      </c>
      <c r="AP60" s="286">
        <f t="shared" si="40"/>
        <v>268.24233912</v>
      </c>
      <c r="AQ60" s="286">
        <f t="shared" si="40"/>
        <v>268.24233912</v>
      </c>
      <c r="AR60" s="286">
        <f t="shared" si="40"/>
        <v>268.24233912</v>
      </c>
      <c r="AS60" s="286">
        <f t="shared" ref="AS60:BQ60" si="41">$B$60*AS31</f>
        <v>268.24233912</v>
      </c>
      <c r="AT60" s="286">
        <f t="shared" si="41"/>
        <v>268.24233912</v>
      </c>
      <c r="AU60" s="286">
        <f t="shared" si="41"/>
        <v>268.24233912</v>
      </c>
      <c r="AV60" s="286">
        <f t="shared" si="41"/>
        <v>178.82822608000004</v>
      </c>
      <c r="AW60" s="286">
        <f t="shared" si="41"/>
        <v>134.12116956</v>
      </c>
      <c r="AX60" s="286">
        <f t="shared" si="41"/>
        <v>134.12116956</v>
      </c>
      <c r="AY60" s="286">
        <f t="shared" si="41"/>
        <v>134.12116956</v>
      </c>
      <c r="AZ60" s="286">
        <f t="shared" si="41"/>
        <v>134.12116956</v>
      </c>
      <c r="BA60" s="286">
        <f t="shared" si="41"/>
        <v>134.12116956</v>
      </c>
      <c r="BB60" s="286">
        <f t="shared" si="41"/>
        <v>134.12116956</v>
      </c>
      <c r="BC60" s="286">
        <f t="shared" si="41"/>
        <v>44.707056520000009</v>
      </c>
      <c r="BD60" s="286">
        <f t="shared" si="41"/>
        <v>44.707056520000009</v>
      </c>
      <c r="BE60" s="286">
        <f t="shared" si="41"/>
        <v>44.707056520000009</v>
      </c>
      <c r="BF60" s="286">
        <f t="shared" si="41"/>
        <v>44.707056520000009</v>
      </c>
      <c r="BG60" s="286">
        <f t="shared" si="41"/>
        <v>44.707056520000009</v>
      </c>
      <c r="BH60" s="286">
        <f t="shared" si="41"/>
        <v>44.707056520000009</v>
      </c>
      <c r="BI60" s="286">
        <f t="shared" si="41"/>
        <v>44.707056520000009</v>
      </c>
      <c r="BJ60" s="286">
        <f t="shared" si="41"/>
        <v>44.707056520000009</v>
      </c>
      <c r="BK60" s="286">
        <f t="shared" si="41"/>
        <v>44.707056520000009</v>
      </c>
      <c r="BL60" s="286">
        <f t="shared" si="41"/>
        <v>0</v>
      </c>
      <c r="BM60" s="286">
        <f t="shared" si="41"/>
        <v>0</v>
      </c>
      <c r="BN60" s="286">
        <f t="shared" si="41"/>
        <v>0</v>
      </c>
      <c r="BO60" s="286">
        <f t="shared" si="41"/>
        <v>0</v>
      </c>
      <c r="BP60" s="286">
        <f t="shared" si="41"/>
        <v>0</v>
      </c>
      <c r="BQ60" s="286">
        <f t="shared" si="41"/>
        <v>0</v>
      </c>
    </row>
    <row r="61" spans="1:69" s="283" customFormat="1" ht="18" customHeight="1" outlineLevel="1">
      <c r="A61" s="284" t="s">
        <v>862</v>
      </c>
      <c r="B61" s="284">
        <f>SUM(C61:AR61)</f>
        <v>0</v>
      </c>
      <c r="C61" s="284">
        <f>SUM(C62:C67)</f>
        <v>0</v>
      </c>
      <c r="D61" s="284">
        <f t="shared" ref="D61:AR61" si="42">SUM(D62:D67)</f>
        <v>0</v>
      </c>
      <c r="E61" s="284">
        <f t="shared" si="42"/>
        <v>0</v>
      </c>
      <c r="F61" s="284">
        <f t="shared" si="42"/>
        <v>0</v>
      </c>
      <c r="G61" s="284">
        <f t="shared" si="42"/>
        <v>0</v>
      </c>
      <c r="H61" s="284">
        <f t="shared" si="42"/>
        <v>0</v>
      </c>
      <c r="I61" s="284">
        <f t="shared" si="42"/>
        <v>0</v>
      </c>
      <c r="J61" s="284">
        <f t="shared" si="42"/>
        <v>0</v>
      </c>
      <c r="K61" s="284">
        <f t="shared" si="42"/>
        <v>0</v>
      </c>
      <c r="L61" s="284">
        <f t="shared" si="42"/>
        <v>0</v>
      </c>
      <c r="M61" s="284">
        <f t="shared" si="42"/>
        <v>0</v>
      </c>
      <c r="N61" s="284">
        <f t="shared" si="42"/>
        <v>0</v>
      </c>
      <c r="O61" s="284">
        <f t="shared" si="42"/>
        <v>0</v>
      </c>
      <c r="P61" s="284">
        <f t="shared" si="42"/>
        <v>0</v>
      </c>
      <c r="Q61" s="284">
        <f t="shared" si="42"/>
        <v>0</v>
      </c>
      <c r="R61" s="284">
        <f t="shared" si="42"/>
        <v>0</v>
      </c>
      <c r="S61" s="284">
        <f t="shared" si="42"/>
        <v>0</v>
      </c>
      <c r="T61" s="284">
        <f t="shared" si="42"/>
        <v>0</v>
      </c>
      <c r="U61" s="284">
        <f t="shared" si="42"/>
        <v>0</v>
      </c>
      <c r="V61" s="284">
        <f t="shared" si="42"/>
        <v>0</v>
      </c>
      <c r="W61" s="284">
        <f t="shared" si="42"/>
        <v>0</v>
      </c>
      <c r="X61" s="284">
        <f t="shared" si="42"/>
        <v>0</v>
      </c>
      <c r="Y61" s="284">
        <f t="shared" si="42"/>
        <v>0</v>
      </c>
      <c r="Z61" s="284">
        <f t="shared" si="42"/>
        <v>0</v>
      </c>
      <c r="AA61" s="284">
        <f t="shared" si="42"/>
        <v>0</v>
      </c>
      <c r="AB61" s="284">
        <f t="shared" si="42"/>
        <v>0</v>
      </c>
      <c r="AC61" s="284">
        <f t="shared" si="42"/>
        <v>0</v>
      </c>
      <c r="AD61" s="284">
        <f t="shared" si="42"/>
        <v>0</v>
      </c>
      <c r="AE61" s="284">
        <f t="shared" si="42"/>
        <v>0</v>
      </c>
      <c r="AF61" s="284">
        <f t="shared" si="42"/>
        <v>0</v>
      </c>
      <c r="AG61" s="284">
        <f t="shared" si="42"/>
        <v>0</v>
      </c>
      <c r="AH61" s="284">
        <f t="shared" si="42"/>
        <v>0</v>
      </c>
      <c r="AI61" s="284">
        <f t="shared" si="42"/>
        <v>0</v>
      </c>
      <c r="AJ61" s="284">
        <f t="shared" si="42"/>
        <v>0</v>
      </c>
      <c r="AK61" s="284">
        <f t="shared" si="42"/>
        <v>0</v>
      </c>
      <c r="AL61" s="284">
        <f t="shared" si="42"/>
        <v>0</v>
      </c>
      <c r="AM61" s="284">
        <f t="shared" si="42"/>
        <v>0</v>
      </c>
      <c r="AN61" s="284">
        <f t="shared" si="42"/>
        <v>0</v>
      </c>
      <c r="AO61" s="284">
        <f t="shared" si="42"/>
        <v>0</v>
      </c>
      <c r="AP61" s="284">
        <f t="shared" si="42"/>
        <v>0</v>
      </c>
      <c r="AQ61" s="284">
        <f t="shared" si="42"/>
        <v>0</v>
      </c>
      <c r="AR61" s="284">
        <f t="shared" si="42"/>
        <v>0</v>
      </c>
      <c r="AS61" s="284">
        <f t="shared" ref="AS61:BQ61" si="43">SUM(AS62:AS67)</f>
        <v>0</v>
      </c>
      <c r="AT61" s="284">
        <f t="shared" si="43"/>
        <v>0</v>
      </c>
      <c r="AU61" s="284">
        <f t="shared" si="43"/>
        <v>0</v>
      </c>
      <c r="AV61" s="284">
        <f t="shared" si="43"/>
        <v>0</v>
      </c>
      <c r="AW61" s="284">
        <f t="shared" si="43"/>
        <v>0</v>
      </c>
      <c r="AX61" s="284">
        <f t="shared" si="43"/>
        <v>0</v>
      </c>
      <c r="AY61" s="284">
        <f t="shared" si="43"/>
        <v>0</v>
      </c>
      <c r="AZ61" s="284">
        <f t="shared" si="43"/>
        <v>0</v>
      </c>
      <c r="BA61" s="284">
        <f t="shared" si="43"/>
        <v>0</v>
      </c>
      <c r="BB61" s="284">
        <f t="shared" si="43"/>
        <v>0</v>
      </c>
      <c r="BC61" s="284">
        <f t="shared" si="43"/>
        <v>0</v>
      </c>
      <c r="BD61" s="284">
        <f t="shared" si="43"/>
        <v>0</v>
      </c>
      <c r="BE61" s="284">
        <f t="shared" si="43"/>
        <v>0</v>
      </c>
      <c r="BF61" s="284">
        <f t="shared" si="43"/>
        <v>0</v>
      </c>
      <c r="BG61" s="284">
        <f t="shared" si="43"/>
        <v>0</v>
      </c>
      <c r="BH61" s="284">
        <f t="shared" si="43"/>
        <v>0</v>
      </c>
      <c r="BI61" s="284">
        <f t="shared" si="43"/>
        <v>0</v>
      </c>
      <c r="BJ61" s="284">
        <f t="shared" si="43"/>
        <v>0</v>
      </c>
      <c r="BK61" s="284">
        <f t="shared" si="43"/>
        <v>0</v>
      </c>
      <c r="BL61" s="284">
        <f t="shared" si="43"/>
        <v>0</v>
      </c>
      <c r="BM61" s="284">
        <f t="shared" si="43"/>
        <v>0</v>
      </c>
      <c r="BN61" s="284">
        <f t="shared" si="43"/>
        <v>0</v>
      </c>
      <c r="BO61" s="284">
        <f t="shared" si="43"/>
        <v>0</v>
      </c>
      <c r="BP61" s="284">
        <f t="shared" si="43"/>
        <v>0</v>
      </c>
      <c r="BQ61" s="284">
        <f t="shared" si="43"/>
        <v>0</v>
      </c>
    </row>
    <row r="62" spans="1:69" s="285" customFormat="1" ht="18" customHeight="1" outlineLevel="2">
      <c r="A62" s="286" t="s">
        <v>864</v>
      </c>
      <c r="B62" s="284">
        <f>'2-成本汇总（本期）'!BC13</f>
        <v>0</v>
      </c>
      <c r="C62" s="286">
        <f>$B$62*C34</f>
        <v>0</v>
      </c>
      <c r="D62" s="286">
        <f t="shared" ref="D62:AR62" si="44">$B$62*D34</f>
        <v>0</v>
      </c>
      <c r="E62" s="286">
        <f t="shared" si="44"/>
        <v>0</v>
      </c>
      <c r="F62" s="286">
        <f t="shared" si="44"/>
        <v>0</v>
      </c>
      <c r="G62" s="286">
        <f t="shared" si="44"/>
        <v>0</v>
      </c>
      <c r="H62" s="286">
        <f t="shared" si="44"/>
        <v>0</v>
      </c>
      <c r="I62" s="286">
        <f t="shared" si="44"/>
        <v>0</v>
      </c>
      <c r="J62" s="286">
        <f t="shared" si="44"/>
        <v>0</v>
      </c>
      <c r="K62" s="286">
        <f t="shared" si="44"/>
        <v>0</v>
      </c>
      <c r="L62" s="286">
        <f t="shared" si="44"/>
        <v>0</v>
      </c>
      <c r="M62" s="286">
        <f t="shared" si="44"/>
        <v>0</v>
      </c>
      <c r="N62" s="286">
        <f t="shared" si="44"/>
        <v>0</v>
      </c>
      <c r="O62" s="286">
        <f t="shared" si="44"/>
        <v>0</v>
      </c>
      <c r="P62" s="286">
        <f t="shared" si="44"/>
        <v>0</v>
      </c>
      <c r="Q62" s="286">
        <f t="shared" si="44"/>
        <v>0</v>
      </c>
      <c r="R62" s="286">
        <f t="shared" si="44"/>
        <v>0</v>
      </c>
      <c r="S62" s="286">
        <f t="shared" si="44"/>
        <v>0</v>
      </c>
      <c r="T62" s="286">
        <f t="shared" si="44"/>
        <v>0</v>
      </c>
      <c r="U62" s="286">
        <f t="shared" si="44"/>
        <v>0</v>
      </c>
      <c r="V62" s="286">
        <f t="shared" si="44"/>
        <v>0</v>
      </c>
      <c r="W62" s="286">
        <f t="shared" si="44"/>
        <v>0</v>
      </c>
      <c r="X62" s="286">
        <f t="shared" si="44"/>
        <v>0</v>
      </c>
      <c r="Y62" s="286">
        <f t="shared" si="44"/>
        <v>0</v>
      </c>
      <c r="Z62" s="286">
        <f t="shared" si="44"/>
        <v>0</v>
      </c>
      <c r="AA62" s="286">
        <f t="shared" si="44"/>
        <v>0</v>
      </c>
      <c r="AB62" s="286">
        <f t="shared" si="44"/>
        <v>0</v>
      </c>
      <c r="AC62" s="286">
        <f t="shared" si="44"/>
        <v>0</v>
      </c>
      <c r="AD62" s="286">
        <f t="shared" si="44"/>
        <v>0</v>
      </c>
      <c r="AE62" s="286">
        <f t="shared" si="44"/>
        <v>0</v>
      </c>
      <c r="AF62" s="286">
        <f t="shared" si="44"/>
        <v>0</v>
      </c>
      <c r="AG62" s="286">
        <f t="shared" si="44"/>
        <v>0</v>
      </c>
      <c r="AH62" s="286">
        <f t="shared" si="44"/>
        <v>0</v>
      </c>
      <c r="AI62" s="286">
        <f t="shared" si="44"/>
        <v>0</v>
      </c>
      <c r="AJ62" s="286">
        <f t="shared" si="44"/>
        <v>0</v>
      </c>
      <c r="AK62" s="286">
        <f t="shared" si="44"/>
        <v>0</v>
      </c>
      <c r="AL62" s="286">
        <f t="shared" si="44"/>
        <v>0</v>
      </c>
      <c r="AM62" s="286">
        <f t="shared" si="44"/>
        <v>0</v>
      </c>
      <c r="AN62" s="286">
        <f t="shared" si="44"/>
        <v>0</v>
      </c>
      <c r="AO62" s="286">
        <f t="shared" si="44"/>
        <v>0</v>
      </c>
      <c r="AP62" s="286">
        <f t="shared" si="44"/>
        <v>0</v>
      </c>
      <c r="AQ62" s="286">
        <f t="shared" si="44"/>
        <v>0</v>
      </c>
      <c r="AR62" s="286">
        <f t="shared" si="44"/>
        <v>0</v>
      </c>
      <c r="AS62" s="286">
        <f t="shared" ref="AS62:BQ62" si="45">$B$62*AS34</f>
        <v>0</v>
      </c>
      <c r="AT62" s="286">
        <f t="shared" si="45"/>
        <v>0</v>
      </c>
      <c r="AU62" s="286">
        <f t="shared" si="45"/>
        <v>0</v>
      </c>
      <c r="AV62" s="286">
        <f t="shared" si="45"/>
        <v>0</v>
      </c>
      <c r="AW62" s="286">
        <f t="shared" si="45"/>
        <v>0</v>
      </c>
      <c r="AX62" s="286">
        <f t="shared" si="45"/>
        <v>0</v>
      </c>
      <c r="AY62" s="286">
        <f t="shared" si="45"/>
        <v>0</v>
      </c>
      <c r="AZ62" s="286">
        <f t="shared" si="45"/>
        <v>0</v>
      </c>
      <c r="BA62" s="286">
        <f t="shared" si="45"/>
        <v>0</v>
      </c>
      <c r="BB62" s="286">
        <f t="shared" si="45"/>
        <v>0</v>
      </c>
      <c r="BC62" s="286">
        <f t="shared" si="45"/>
        <v>0</v>
      </c>
      <c r="BD62" s="286">
        <f t="shared" si="45"/>
        <v>0</v>
      </c>
      <c r="BE62" s="286">
        <f t="shared" si="45"/>
        <v>0</v>
      </c>
      <c r="BF62" s="286">
        <f t="shared" si="45"/>
        <v>0</v>
      </c>
      <c r="BG62" s="286">
        <f t="shared" si="45"/>
        <v>0</v>
      </c>
      <c r="BH62" s="286">
        <f t="shared" si="45"/>
        <v>0</v>
      </c>
      <c r="BI62" s="286">
        <f t="shared" si="45"/>
        <v>0</v>
      </c>
      <c r="BJ62" s="286">
        <f t="shared" si="45"/>
        <v>0</v>
      </c>
      <c r="BK62" s="286">
        <f t="shared" si="45"/>
        <v>0</v>
      </c>
      <c r="BL62" s="286">
        <f t="shared" si="45"/>
        <v>0</v>
      </c>
      <c r="BM62" s="286">
        <f t="shared" si="45"/>
        <v>0</v>
      </c>
      <c r="BN62" s="286">
        <f t="shared" si="45"/>
        <v>0</v>
      </c>
      <c r="BO62" s="286">
        <f t="shared" si="45"/>
        <v>0</v>
      </c>
      <c r="BP62" s="286">
        <f t="shared" si="45"/>
        <v>0</v>
      </c>
      <c r="BQ62" s="286">
        <f t="shared" si="45"/>
        <v>0</v>
      </c>
    </row>
    <row r="63" spans="1:69" s="281" customFormat="1" ht="18" customHeight="1" outlineLevel="2">
      <c r="A63" s="287" t="s">
        <v>865</v>
      </c>
      <c r="B63" s="284">
        <f>'2-成本汇总（本期）'!BC18</f>
        <v>0</v>
      </c>
      <c r="C63" s="286">
        <f>$B$63*C35</f>
        <v>0</v>
      </c>
      <c r="D63" s="286">
        <f t="shared" ref="D63:AR63" si="46">$B$63*D35</f>
        <v>0</v>
      </c>
      <c r="E63" s="286">
        <f t="shared" si="46"/>
        <v>0</v>
      </c>
      <c r="F63" s="286">
        <f t="shared" si="46"/>
        <v>0</v>
      </c>
      <c r="G63" s="286">
        <f t="shared" si="46"/>
        <v>0</v>
      </c>
      <c r="H63" s="286">
        <f t="shared" si="46"/>
        <v>0</v>
      </c>
      <c r="I63" s="286">
        <f t="shared" si="46"/>
        <v>0</v>
      </c>
      <c r="J63" s="286">
        <f t="shared" si="46"/>
        <v>0</v>
      </c>
      <c r="K63" s="286">
        <f t="shared" si="46"/>
        <v>0</v>
      </c>
      <c r="L63" s="286">
        <f t="shared" si="46"/>
        <v>0</v>
      </c>
      <c r="M63" s="286">
        <f t="shared" si="46"/>
        <v>0</v>
      </c>
      <c r="N63" s="286">
        <f t="shared" si="46"/>
        <v>0</v>
      </c>
      <c r="O63" s="286">
        <f t="shared" si="46"/>
        <v>0</v>
      </c>
      <c r="P63" s="286">
        <f t="shared" si="46"/>
        <v>0</v>
      </c>
      <c r="Q63" s="286">
        <f t="shared" si="46"/>
        <v>0</v>
      </c>
      <c r="R63" s="286">
        <f t="shared" si="46"/>
        <v>0</v>
      </c>
      <c r="S63" s="286">
        <f t="shared" si="46"/>
        <v>0</v>
      </c>
      <c r="T63" s="286">
        <f t="shared" si="46"/>
        <v>0</v>
      </c>
      <c r="U63" s="286">
        <f t="shared" si="46"/>
        <v>0</v>
      </c>
      <c r="V63" s="286">
        <f t="shared" si="46"/>
        <v>0</v>
      </c>
      <c r="W63" s="286">
        <f t="shared" si="46"/>
        <v>0</v>
      </c>
      <c r="X63" s="286">
        <f t="shared" si="46"/>
        <v>0</v>
      </c>
      <c r="Y63" s="286">
        <f t="shared" si="46"/>
        <v>0</v>
      </c>
      <c r="Z63" s="286">
        <f t="shared" si="46"/>
        <v>0</v>
      </c>
      <c r="AA63" s="286">
        <f t="shared" si="46"/>
        <v>0</v>
      </c>
      <c r="AB63" s="286">
        <f t="shared" si="46"/>
        <v>0</v>
      </c>
      <c r="AC63" s="286">
        <f t="shared" si="46"/>
        <v>0</v>
      </c>
      <c r="AD63" s="286">
        <f t="shared" si="46"/>
        <v>0</v>
      </c>
      <c r="AE63" s="286">
        <f t="shared" si="46"/>
        <v>0</v>
      </c>
      <c r="AF63" s="286">
        <f t="shared" si="46"/>
        <v>0</v>
      </c>
      <c r="AG63" s="286">
        <f t="shared" si="46"/>
        <v>0</v>
      </c>
      <c r="AH63" s="286">
        <f t="shared" si="46"/>
        <v>0</v>
      </c>
      <c r="AI63" s="286">
        <f t="shared" si="46"/>
        <v>0</v>
      </c>
      <c r="AJ63" s="286">
        <f t="shared" si="46"/>
        <v>0</v>
      </c>
      <c r="AK63" s="286">
        <f t="shared" si="46"/>
        <v>0</v>
      </c>
      <c r="AL63" s="286">
        <f t="shared" si="46"/>
        <v>0</v>
      </c>
      <c r="AM63" s="286">
        <f t="shared" si="46"/>
        <v>0</v>
      </c>
      <c r="AN63" s="286">
        <f t="shared" si="46"/>
        <v>0</v>
      </c>
      <c r="AO63" s="286">
        <f t="shared" si="46"/>
        <v>0</v>
      </c>
      <c r="AP63" s="286">
        <f t="shared" si="46"/>
        <v>0</v>
      </c>
      <c r="AQ63" s="286">
        <f t="shared" si="46"/>
        <v>0</v>
      </c>
      <c r="AR63" s="286">
        <f t="shared" si="46"/>
        <v>0</v>
      </c>
      <c r="AS63" s="286">
        <f t="shared" ref="AS63:BQ63" si="47">$B$63*AS35</f>
        <v>0</v>
      </c>
      <c r="AT63" s="286">
        <f t="shared" si="47"/>
        <v>0</v>
      </c>
      <c r="AU63" s="286">
        <f t="shared" si="47"/>
        <v>0</v>
      </c>
      <c r="AV63" s="286">
        <f t="shared" si="47"/>
        <v>0</v>
      </c>
      <c r="AW63" s="286">
        <f t="shared" si="47"/>
        <v>0</v>
      </c>
      <c r="AX63" s="286">
        <f t="shared" si="47"/>
        <v>0</v>
      </c>
      <c r="AY63" s="286">
        <f t="shared" si="47"/>
        <v>0</v>
      </c>
      <c r="AZ63" s="286">
        <f t="shared" si="47"/>
        <v>0</v>
      </c>
      <c r="BA63" s="286">
        <f t="shared" si="47"/>
        <v>0</v>
      </c>
      <c r="BB63" s="286">
        <f t="shared" si="47"/>
        <v>0</v>
      </c>
      <c r="BC63" s="286">
        <f t="shared" si="47"/>
        <v>0</v>
      </c>
      <c r="BD63" s="286">
        <f t="shared" si="47"/>
        <v>0</v>
      </c>
      <c r="BE63" s="286">
        <f t="shared" si="47"/>
        <v>0</v>
      </c>
      <c r="BF63" s="286">
        <f t="shared" si="47"/>
        <v>0</v>
      </c>
      <c r="BG63" s="286">
        <f t="shared" si="47"/>
        <v>0</v>
      </c>
      <c r="BH63" s="286">
        <f t="shared" si="47"/>
        <v>0</v>
      </c>
      <c r="BI63" s="286">
        <f t="shared" si="47"/>
        <v>0</v>
      </c>
      <c r="BJ63" s="286">
        <f t="shared" si="47"/>
        <v>0</v>
      </c>
      <c r="BK63" s="286">
        <f t="shared" si="47"/>
        <v>0</v>
      </c>
      <c r="BL63" s="286">
        <f t="shared" si="47"/>
        <v>0</v>
      </c>
      <c r="BM63" s="286">
        <f t="shared" si="47"/>
        <v>0</v>
      </c>
      <c r="BN63" s="286">
        <f t="shared" si="47"/>
        <v>0</v>
      </c>
      <c r="BO63" s="286">
        <f t="shared" si="47"/>
        <v>0</v>
      </c>
      <c r="BP63" s="286">
        <f t="shared" si="47"/>
        <v>0</v>
      </c>
      <c r="BQ63" s="286">
        <f t="shared" si="47"/>
        <v>0</v>
      </c>
    </row>
    <row r="64" spans="1:69" s="281" customFormat="1" ht="18" customHeight="1" outlineLevel="2">
      <c r="A64" s="287" t="s">
        <v>866</v>
      </c>
      <c r="B64" s="284">
        <f>'2-成本汇总（本期）'!BC24</f>
        <v>0</v>
      </c>
      <c r="C64" s="286">
        <f>$B$64*C36</f>
        <v>0</v>
      </c>
      <c r="D64" s="286">
        <f t="shared" ref="D64:AR64" si="48">$B$64*D36</f>
        <v>0</v>
      </c>
      <c r="E64" s="286">
        <f t="shared" si="48"/>
        <v>0</v>
      </c>
      <c r="F64" s="286">
        <f t="shared" si="48"/>
        <v>0</v>
      </c>
      <c r="G64" s="286">
        <f t="shared" si="48"/>
        <v>0</v>
      </c>
      <c r="H64" s="286">
        <f t="shared" si="48"/>
        <v>0</v>
      </c>
      <c r="I64" s="286">
        <f t="shared" si="48"/>
        <v>0</v>
      </c>
      <c r="J64" s="286">
        <f t="shared" si="48"/>
        <v>0</v>
      </c>
      <c r="K64" s="286">
        <f t="shared" si="48"/>
        <v>0</v>
      </c>
      <c r="L64" s="286">
        <f t="shared" si="48"/>
        <v>0</v>
      </c>
      <c r="M64" s="286">
        <f t="shared" si="48"/>
        <v>0</v>
      </c>
      <c r="N64" s="286">
        <f t="shared" si="48"/>
        <v>0</v>
      </c>
      <c r="O64" s="286">
        <f t="shared" si="48"/>
        <v>0</v>
      </c>
      <c r="P64" s="286">
        <f t="shared" si="48"/>
        <v>0</v>
      </c>
      <c r="Q64" s="286">
        <f t="shared" si="48"/>
        <v>0</v>
      </c>
      <c r="R64" s="286">
        <f t="shared" si="48"/>
        <v>0</v>
      </c>
      <c r="S64" s="286">
        <f t="shared" si="48"/>
        <v>0</v>
      </c>
      <c r="T64" s="286">
        <f t="shared" si="48"/>
        <v>0</v>
      </c>
      <c r="U64" s="286">
        <f t="shared" si="48"/>
        <v>0</v>
      </c>
      <c r="V64" s="286">
        <f t="shared" si="48"/>
        <v>0</v>
      </c>
      <c r="W64" s="286">
        <f t="shared" si="48"/>
        <v>0</v>
      </c>
      <c r="X64" s="286">
        <f t="shared" si="48"/>
        <v>0</v>
      </c>
      <c r="Y64" s="286">
        <f t="shared" si="48"/>
        <v>0</v>
      </c>
      <c r="Z64" s="286">
        <f t="shared" si="48"/>
        <v>0</v>
      </c>
      <c r="AA64" s="286">
        <f t="shared" si="48"/>
        <v>0</v>
      </c>
      <c r="AB64" s="286">
        <f t="shared" si="48"/>
        <v>0</v>
      </c>
      <c r="AC64" s="286">
        <f t="shared" si="48"/>
        <v>0</v>
      </c>
      <c r="AD64" s="286">
        <f t="shared" si="48"/>
        <v>0</v>
      </c>
      <c r="AE64" s="286">
        <f t="shared" si="48"/>
        <v>0</v>
      </c>
      <c r="AF64" s="286">
        <f t="shared" si="48"/>
        <v>0</v>
      </c>
      <c r="AG64" s="286">
        <f t="shared" si="48"/>
        <v>0</v>
      </c>
      <c r="AH64" s="286">
        <f t="shared" si="48"/>
        <v>0</v>
      </c>
      <c r="AI64" s="286">
        <f t="shared" si="48"/>
        <v>0</v>
      </c>
      <c r="AJ64" s="286">
        <f t="shared" si="48"/>
        <v>0</v>
      </c>
      <c r="AK64" s="286">
        <f t="shared" si="48"/>
        <v>0</v>
      </c>
      <c r="AL64" s="286">
        <f t="shared" si="48"/>
        <v>0</v>
      </c>
      <c r="AM64" s="286">
        <f t="shared" si="48"/>
        <v>0</v>
      </c>
      <c r="AN64" s="286">
        <f t="shared" si="48"/>
        <v>0</v>
      </c>
      <c r="AO64" s="286">
        <f t="shared" si="48"/>
        <v>0</v>
      </c>
      <c r="AP64" s="286">
        <f t="shared" si="48"/>
        <v>0</v>
      </c>
      <c r="AQ64" s="286">
        <f t="shared" si="48"/>
        <v>0</v>
      </c>
      <c r="AR64" s="286">
        <f t="shared" si="48"/>
        <v>0</v>
      </c>
      <c r="AS64" s="286">
        <f t="shared" ref="AS64:BQ64" si="49">$B$64*AS36</f>
        <v>0</v>
      </c>
      <c r="AT64" s="286">
        <f t="shared" si="49"/>
        <v>0</v>
      </c>
      <c r="AU64" s="286">
        <f t="shared" si="49"/>
        <v>0</v>
      </c>
      <c r="AV64" s="286">
        <f t="shared" si="49"/>
        <v>0</v>
      </c>
      <c r="AW64" s="286">
        <f t="shared" si="49"/>
        <v>0</v>
      </c>
      <c r="AX64" s="286">
        <f t="shared" si="49"/>
        <v>0</v>
      </c>
      <c r="AY64" s="286">
        <f t="shared" si="49"/>
        <v>0</v>
      </c>
      <c r="AZ64" s="286">
        <f t="shared" si="49"/>
        <v>0</v>
      </c>
      <c r="BA64" s="286">
        <f t="shared" si="49"/>
        <v>0</v>
      </c>
      <c r="BB64" s="286">
        <f t="shared" si="49"/>
        <v>0</v>
      </c>
      <c r="BC64" s="286">
        <f t="shared" si="49"/>
        <v>0</v>
      </c>
      <c r="BD64" s="286">
        <f t="shared" si="49"/>
        <v>0</v>
      </c>
      <c r="BE64" s="286">
        <f t="shared" si="49"/>
        <v>0</v>
      </c>
      <c r="BF64" s="286">
        <f t="shared" si="49"/>
        <v>0</v>
      </c>
      <c r="BG64" s="286">
        <f t="shared" si="49"/>
        <v>0</v>
      </c>
      <c r="BH64" s="286">
        <f t="shared" si="49"/>
        <v>0</v>
      </c>
      <c r="BI64" s="286">
        <f t="shared" si="49"/>
        <v>0</v>
      </c>
      <c r="BJ64" s="286">
        <f t="shared" si="49"/>
        <v>0</v>
      </c>
      <c r="BK64" s="286">
        <f t="shared" si="49"/>
        <v>0</v>
      </c>
      <c r="BL64" s="286">
        <f t="shared" si="49"/>
        <v>0</v>
      </c>
      <c r="BM64" s="286">
        <f t="shared" si="49"/>
        <v>0</v>
      </c>
      <c r="BN64" s="286">
        <f t="shared" si="49"/>
        <v>0</v>
      </c>
      <c r="BO64" s="286">
        <f t="shared" si="49"/>
        <v>0</v>
      </c>
      <c r="BP64" s="286">
        <f t="shared" si="49"/>
        <v>0</v>
      </c>
      <c r="BQ64" s="286">
        <f t="shared" si="49"/>
        <v>0</v>
      </c>
    </row>
    <row r="65" spans="1:69" s="281" customFormat="1" ht="18" customHeight="1" outlineLevel="2">
      <c r="A65" s="287" t="s">
        <v>867</v>
      </c>
      <c r="B65" s="284">
        <f>'2-成本汇总（本期）'!BC25</f>
        <v>0</v>
      </c>
      <c r="C65" s="286">
        <f>$B$65*C37</f>
        <v>0</v>
      </c>
      <c r="D65" s="286">
        <f t="shared" ref="D65:AR65" si="50">$B$65*D37</f>
        <v>0</v>
      </c>
      <c r="E65" s="286">
        <f t="shared" si="50"/>
        <v>0</v>
      </c>
      <c r="F65" s="286">
        <f t="shared" si="50"/>
        <v>0</v>
      </c>
      <c r="G65" s="286">
        <f t="shared" si="50"/>
        <v>0</v>
      </c>
      <c r="H65" s="286">
        <f t="shared" si="50"/>
        <v>0</v>
      </c>
      <c r="I65" s="286">
        <f t="shared" si="50"/>
        <v>0</v>
      </c>
      <c r="J65" s="286">
        <f t="shared" si="50"/>
        <v>0</v>
      </c>
      <c r="K65" s="286">
        <f t="shared" si="50"/>
        <v>0</v>
      </c>
      <c r="L65" s="286">
        <f t="shared" si="50"/>
        <v>0</v>
      </c>
      <c r="M65" s="286">
        <f t="shared" si="50"/>
        <v>0</v>
      </c>
      <c r="N65" s="286">
        <f t="shared" si="50"/>
        <v>0</v>
      </c>
      <c r="O65" s="286">
        <f t="shared" si="50"/>
        <v>0</v>
      </c>
      <c r="P65" s="286">
        <f t="shared" si="50"/>
        <v>0</v>
      </c>
      <c r="Q65" s="286">
        <f t="shared" si="50"/>
        <v>0</v>
      </c>
      <c r="R65" s="286">
        <f t="shared" si="50"/>
        <v>0</v>
      </c>
      <c r="S65" s="286">
        <f t="shared" si="50"/>
        <v>0</v>
      </c>
      <c r="T65" s="286">
        <f t="shared" si="50"/>
        <v>0</v>
      </c>
      <c r="U65" s="286">
        <f t="shared" si="50"/>
        <v>0</v>
      </c>
      <c r="V65" s="286">
        <f t="shared" si="50"/>
        <v>0</v>
      </c>
      <c r="W65" s="286">
        <f t="shared" si="50"/>
        <v>0</v>
      </c>
      <c r="X65" s="286">
        <f t="shared" si="50"/>
        <v>0</v>
      </c>
      <c r="Y65" s="286">
        <f t="shared" si="50"/>
        <v>0</v>
      </c>
      <c r="Z65" s="286">
        <f t="shared" si="50"/>
        <v>0</v>
      </c>
      <c r="AA65" s="286">
        <f t="shared" si="50"/>
        <v>0</v>
      </c>
      <c r="AB65" s="286">
        <f t="shared" si="50"/>
        <v>0</v>
      </c>
      <c r="AC65" s="286">
        <f t="shared" si="50"/>
        <v>0</v>
      </c>
      <c r="AD65" s="286">
        <f t="shared" si="50"/>
        <v>0</v>
      </c>
      <c r="AE65" s="286">
        <f t="shared" si="50"/>
        <v>0</v>
      </c>
      <c r="AF65" s="286">
        <f t="shared" si="50"/>
        <v>0</v>
      </c>
      <c r="AG65" s="286">
        <f t="shared" si="50"/>
        <v>0</v>
      </c>
      <c r="AH65" s="286">
        <f t="shared" si="50"/>
        <v>0</v>
      </c>
      <c r="AI65" s="286">
        <f t="shared" si="50"/>
        <v>0</v>
      </c>
      <c r="AJ65" s="286">
        <f t="shared" si="50"/>
        <v>0</v>
      </c>
      <c r="AK65" s="286">
        <f t="shared" si="50"/>
        <v>0</v>
      </c>
      <c r="AL65" s="286">
        <f t="shared" si="50"/>
        <v>0</v>
      </c>
      <c r="AM65" s="286">
        <f t="shared" si="50"/>
        <v>0</v>
      </c>
      <c r="AN65" s="286">
        <f t="shared" si="50"/>
        <v>0</v>
      </c>
      <c r="AO65" s="286">
        <f t="shared" si="50"/>
        <v>0</v>
      </c>
      <c r="AP65" s="286">
        <f t="shared" si="50"/>
        <v>0</v>
      </c>
      <c r="AQ65" s="286">
        <f t="shared" si="50"/>
        <v>0</v>
      </c>
      <c r="AR65" s="286">
        <f t="shared" si="50"/>
        <v>0</v>
      </c>
      <c r="AS65" s="286">
        <f t="shared" ref="AS65:BQ65" si="51">$B$65*AS37</f>
        <v>0</v>
      </c>
      <c r="AT65" s="286">
        <f t="shared" si="51"/>
        <v>0</v>
      </c>
      <c r="AU65" s="286">
        <f t="shared" si="51"/>
        <v>0</v>
      </c>
      <c r="AV65" s="286">
        <f t="shared" si="51"/>
        <v>0</v>
      </c>
      <c r="AW65" s="286">
        <f t="shared" si="51"/>
        <v>0</v>
      </c>
      <c r="AX65" s="286">
        <f t="shared" si="51"/>
        <v>0</v>
      </c>
      <c r="AY65" s="286">
        <f t="shared" si="51"/>
        <v>0</v>
      </c>
      <c r="AZ65" s="286">
        <f t="shared" si="51"/>
        <v>0</v>
      </c>
      <c r="BA65" s="286">
        <f t="shared" si="51"/>
        <v>0</v>
      </c>
      <c r="BB65" s="286">
        <f t="shared" si="51"/>
        <v>0</v>
      </c>
      <c r="BC65" s="286">
        <f t="shared" si="51"/>
        <v>0</v>
      </c>
      <c r="BD65" s="286">
        <f t="shared" si="51"/>
        <v>0</v>
      </c>
      <c r="BE65" s="286">
        <f t="shared" si="51"/>
        <v>0</v>
      </c>
      <c r="BF65" s="286">
        <f t="shared" si="51"/>
        <v>0</v>
      </c>
      <c r="BG65" s="286">
        <f t="shared" si="51"/>
        <v>0</v>
      </c>
      <c r="BH65" s="286">
        <f t="shared" si="51"/>
        <v>0</v>
      </c>
      <c r="BI65" s="286">
        <f t="shared" si="51"/>
        <v>0</v>
      </c>
      <c r="BJ65" s="286">
        <f t="shared" si="51"/>
        <v>0</v>
      </c>
      <c r="BK65" s="286">
        <f t="shared" si="51"/>
        <v>0</v>
      </c>
      <c r="BL65" s="286">
        <f t="shared" si="51"/>
        <v>0</v>
      </c>
      <c r="BM65" s="286">
        <f t="shared" si="51"/>
        <v>0</v>
      </c>
      <c r="BN65" s="286">
        <f t="shared" si="51"/>
        <v>0</v>
      </c>
      <c r="BO65" s="286">
        <f t="shared" si="51"/>
        <v>0</v>
      </c>
      <c r="BP65" s="286">
        <f t="shared" si="51"/>
        <v>0</v>
      </c>
      <c r="BQ65" s="286">
        <f t="shared" si="51"/>
        <v>0</v>
      </c>
    </row>
    <row r="66" spans="1:69" s="281" customFormat="1" ht="18" customHeight="1" outlineLevel="2">
      <c r="A66" s="287" t="s">
        <v>868</v>
      </c>
      <c r="B66" s="284">
        <f>'2-成本汇总（本期）'!BC30</f>
        <v>0</v>
      </c>
      <c r="C66" s="286">
        <f>$B$66*C38</f>
        <v>0</v>
      </c>
      <c r="D66" s="286">
        <f t="shared" ref="D66:AR66" si="52">$B$66*D38</f>
        <v>0</v>
      </c>
      <c r="E66" s="286">
        <f t="shared" si="52"/>
        <v>0</v>
      </c>
      <c r="F66" s="286">
        <f t="shared" si="52"/>
        <v>0</v>
      </c>
      <c r="G66" s="286">
        <f t="shared" si="52"/>
        <v>0</v>
      </c>
      <c r="H66" s="286">
        <f t="shared" si="52"/>
        <v>0</v>
      </c>
      <c r="I66" s="286">
        <f t="shared" si="52"/>
        <v>0</v>
      </c>
      <c r="J66" s="286">
        <f t="shared" si="52"/>
        <v>0</v>
      </c>
      <c r="K66" s="286">
        <f t="shared" si="52"/>
        <v>0</v>
      </c>
      <c r="L66" s="286">
        <f t="shared" si="52"/>
        <v>0</v>
      </c>
      <c r="M66" s="286">
        <f t="shared" si="52"/>
        <v>0</v>
      </c>
      <c r="N66" s="286">
        <f t="shared" si="52"/>
        <v>0</v>
      </c>
      <c r="O66" s="286">
        <f t="shared" si="52"/>
        <v>0</v>
      </c>
      <c r="P66" s="286">
        <f t="shared" si="52"/>
        <v>0</v>
      </c>
      <c r="Q66" s="286">
        <f t="shared" si="52"/>
        <v>0</v>
      </c>
      <c r="R66" s="286">
        <f t="shared" si="52"/>
        <v>0</v>
      </c>
      <c r="S66" s="286">
        <f t="shared" si="52"/>
        <v>0</v>
      </c>
      <c r="T66" s="286">
        <f t="shared" si="52"/>
        <v>0</v>
      </c>
      <c r="U66" s="286">
        <f t="shared" si="52"/>
        <v>0</v>
      </c>
      <c r="V66" s="286">
        <f t="shared" si="52"/>
        <v>0</v>
      </c>
      <c r="W66" s="286">
        <f t="shared" si="52"/>
        <v>0</v>
      </c>
      <c r="X66" s="286">
        <f t="shared" si="52"/>
        <v>0</v>
      </c>
      <c r="Y66" s="286">
        <f t="shared" si="52"/>
        <v>0</v>
      </c>
      <c r="Z66" s="286">
        <f t="shared" si="52"/>
        <v>0</v>
      </c>
      <c r="AA66" s="286">
        <f t="shared" si="52"/>
        <v>0</v>
      </c>
      <c r="AB66" s="286">
        <f t="shared" si="52"/>
        <v>0</v>
      </c>
      <c r="AC66" s="286">
        <f t="shared" si="52"/>
        <v>0</v>
      </c>
      <c r="AD66" s="286">
        <f t="shared" si="52"/>
        <v>0</v>
      </c>
      <c r="AE66" s="286">
        <f t="shared" si="52"/>
        <v>0</v>
      </c>
      <c r="AF66" s="286">
        <f t="shared" si="52"/>
        <v>0</v>
      </c>
      <c r="AG66" s="286">
        <f t="shared" si="52"/>
        <v>0</v>
      </c>
      <c r="AH66" s="286">
        <f t="shared" si="52"/>
        <v>0</v>
      </c>
      <c r="AI66" s="286">
        <f t="shared" si="52"/>
        <v>0</v>
      </c>
      <c r="AJ66" s="286">
        <f t="shared" si="52"/>
        <v>0</v>
      </c>
      <c r="AK66" s="286">
        <f t="shared" si="52"/>
        <v>0</v>
      </c>
      <c r="AL66" s="286">
        <f t="shared" si="52"/>
        <v>0</v>
      </c>
      <c r="AM66" s="286">
        <f t="shared" si="52"/>
        <v>0</v>
      </c>
      <c r="AN66" s="286">
        <f t="shared" si="52"/>
        <v>0</v>
      </c>
      <c r="AO66" s="286">
        <f t="shared" si="52"/>
        <v>0</v>
      </c>
      <c r="AP66" s="286">
        <f t="shared" si="52"/>
        <v>0</v>
      </c>
      <c r="AQ66" s="286">
        <f t="shared" si="52"/>
        <v>0</v>
      </c>
      <c r="AR66" s="286">
        <f t="shared" si="52"/>
        <v>0</v>
      </c>
      <c r="AS66" s="286">
        <f t="shared" ref="AS66:BQ66" si="53">$B$66*AS38</f>
        <v>0</v>
      </c>
      <c r="AT66" s="286">
        <f t="shared" si="53"/>
        <v>0</v>
      </c>
      <c r="AU66" s="286">
        <f t="shared" si="53"/>
        <v>0</v>
      </c>
      <c r="AV66" s="286">
        <f t="shared" si="53"/>
        <v>0</v>
      </c>
      <c r="AW66" s="286">
        <f t="shared" si="53"/>
        <v>0</v>
      </c>
      <c r="AX66" s="286">
        <f t="shared" si="53"/>
        <v>0</v>
      </c>
      <c r="AY66" s="286">
        <f t="shared" si="53"/>
        <v>0</v>
      </c>
      <c r="AZ66" s="286">
        <f t="shared" si="53"/>
        <v>0</v>
      </c>
      <c r="BA66" s="286">
        <f t="shared" si="53"/>
        <v>0</v>
      </c>
      <c r="BB66" s="286">
        <f t="shared" si="53"/>
        <v>0</v>
      </c>
      <c r="BC66" s="286">
        <f t="shared" si="53"/>
        <v>0</v>
      </c>
      <c r="BD66" s="286">
        <f t="shared" si="53"/>
        <v>0</v>
      </c>
      <c r="BE66" s="286">
        <f t="shared" si="53"/>
        <v>0</v>
      </c>
      <c r="BF66" s="286">
        <f t="shared" si="53"/>
        <v>0</v>
      </c>
      <c r="BG66" s="286">
        <f t="shared" si="53"/>
        <v>0</v>
      </c>
      <c r="BH66" s="286">
        <f t="shared" si="53"/>
        <v>0</v>
      </c>
      <c r="BI66" s="286">
        <f t="shared" si="53"/>
        <v>0</v>
      </c>
      <c r="BJ66" s="286">
        <f t="shared" si="53"/>
        <v>0</v>
      </c>
      <c r="BK66" s="286">
        <f t="shared" si="53"/>
        <v>0</v>
      </c>
      <c r="BL66" s="286">
        <f t="shared" si="53"/>
        <v>0</v>
      </c>
      <c r="BM66" s="286">
        <f t="shared" si="53"/>
        <v>0</v>
      </c>
      <c r="BN66" s="286">
        <f t="shared" si="53"/>
        <v>0</v>
      </c>
      <c r="BO66" s="286">
        <f t="shared" si="53"/>
        <v>0</v>
      </c>
      <c r="BP66" s="286">
        <f t="shared" si="53"/>
        <v>0</v>
      </c>
      <c r="BQ66" s="286">
        <f t="shared" si="53"/>
        <v>0</v>
      </c>
    </row>
    <row r="67" spans="1:69" s="281" customFormat="1" ht="18" customHeight="1" outlineLevel="2">
      <c r="A67" s="287" t="s">
        <v>869</v>
      </c>
      <c r="B67" s="284">
        <f>'2-成本汇总（本期）'!BC34</f>
        <v>0</v>
      </c>
      <c r="C67" s="286">
        <f>$B$67*C39</f>
        <v>0</v>
      </c>
      <c r="D67" s="286">
        <f t="shared" ref="D67:AR67" si="54">$B$67*D39</f>
        <v>0</v>
      </c>
      <c r="E67" s="286">
        <f t="shared" si="54"/>
        <v>0</v>
      </c>
      <c r="F67" s="286">
        <f t="shared" si="54"/>
        <v>0</v>
      </c>
      <c r="G67" s="286">
        <f t="shared" si="54"/>
        <v>0</v>
      </c>
      <c r="H67" s="286">
        <f t="shared" si="54"/>
        <v>0</v>
      </c>
      <c r="I67" s="286">
        <f t="shared" si="54"/>
        <v>0</v>
      </c>
      <c r="J67" s="286">
        <f t="shared" si="54"/>
        <v>0</v>
      </c>
      <c r="K67" s="286">
        <f t="shared" si="54"/>
        <v>0</v>
      </c>
      <c r="L67" s="286">
        <f t="shared" si="54"/>
        <v>0</v>
      </c>
      <c r="M67" s="286">
        <f t="shared" si="54"/>
        <v>0</v>
      </c>
      <c r="N67" s="286">
        <f t="shared" si="54"/>
        <v>0</v>
      </c>
      <c r="O67" s="286">
        <f t="shared" si="54"/>
        <v>0</v>
      </c>
      <c r="P67" s="286">
        <f t="shared" si="54"/>
        <v>0</v>
      </c>
      <c r="Q67" s="286">
        <f t="shared" si="54"/>
        <v>0</v>
      </c>
      <c r="R67" s="286">
        <f t="shared" si="54"/>
        <v>0</v>
      </c>
      <c r="S67" s="286">
        <f t="shared" si="54"/>
        <v>0</v>
      </c>
      <c r="T67" s="286">
        <f t="shared" si="54"/>
        <v>0</v>
      </c>
      <c r="U67" s="286">
        <f t="shared" si="54"/>
        <v>0</v>
      </c>
      <c r="V67" s="286">
        <f t="shared" si="54"/>
        <v>0</v>
      </c>
      <c r="W67" s="286">
        <f t="shared" si="54"/>
        <v>0</v>
      </c>
      <c r="X67" s="286">
        <f t="shared" si="54"/>
        <v>0</v>
      </c>
      <c r="Y67" s="286">
        <f t="shared" si="54"/>
        <v>0</v>
      </c>
      <c r="Z67" s="286">
        <f t="shared" si="54"/>
        <v>0</v>
      </c>
      <c r="AA67" s="286">
        <f t="shared" si="54"/>
        <v>0</v>
      </c>
      <c r="AB67" s="286">
        <f t="shared" si="54"/>
        <v>0</v>
      </c>
      <c r="AC67" s="286">
        <f t="shared" si="54"/>
        <v>0</v>
      </c>
      <c r="AD67" s="286">
        <f t="shared" si="54"/>
        <v>0</v>
      </c>
      <c r="AE67" s="286">
        <f t="shared" si="54"/>
        <v>0</v>
      </c>
      <c r="AF67" s="286">
        <f t="shared" si="54"/>
        <v>0</v>
      </c>
      <c r="AG67" s="286">
        <f t="shared" si="54"/>
        <v>0</v>
      </c>
      <c r="AH67" s="286">
        <f t="shared" si="54"/>
        <v>0</v>
      </c>
      <c r="AI67" s="286">
        <f t="shared" si="54"/>
        <v>0</v>
      </c>
      <c r="AJ67" s="286">
        <f t="shared" si="54"/>
        <v>0</v>
      </c>
      <c r="AK67" s="286">
        <f t="shared" si="54"/>
        <v>0</v>
      </c>
      <c r="AL67" s="286">
        <f t="shared" si="54"/>
        <v>0</v>
      </c>
      <c r="AM67" s="286">
        <f t="shared" si="54"/>
        <v>0</v>
      </c>
      <c r="AN67" s="286">
        <f t="shared" si="54"/>
        <v>0</v>
      </c>
      <c r="AO67" s="286">
        <f t="shared" si="54"/>
        <v>0</v>
      </c>
      <c r="AP67" s="286">
        <f t="shared" si="54"/>
        <v>0</v>
      </c>
      <c r="AQ67" s="286">
        <f t="shared" si="54"/>
        <v>0</v>
      </c>
      <c r="AR67" s="286">
        <f t="shared" si="54"/>
        <v>0</v>
      </c>
      <c r="AS67" s="286">
        <f t="shared" ref="AS67:BQ67" si="55">$B$67*AS39</f>
        <v>0</v>
      </c>
      <c r="AT67" s="286">
        <f t="shared" si="55"/>
        <v>0</v>
      </c>
      <c r="AU67" s="286">
        <f t="shared" si="55"/>
        <v>0</v>
      </c>
      <c r="AV67" s="286">
        <f t="shared" si="55"/>
        <v>0</v>
      </c>
      <c r="AW67" s="286">
        <f t="shared" si="55"/>
        <v>0</v>
      </c>
      <c r="AX67" s="286">
        <f t="shared" si="55"/>
        <v>0</v>
      </c>
      <c r="AY67" s="286">
        <f t="shared" si="55"/>
        <v>0</v>
      </c>
      <c r="AZ67" s="286">
        <f t="shared" si="55"/>
        <v>0</v>
      </c>
      <c r="BA67" s="286">
        <f t="shared" si="55"/>
        <v>0</v>
      </c>
      <c r="BB67" s="286">
        <f t="shared" si="55"/>
        <v>0</v>
      </c>
      <c r="BC67" s="286">
        <f t="shared" si="55"/>
        <v>0</v>
      </c>
      <c r="BD67" s="286">
        <f t="shared" si="55"/>
        <v>0</v>
      </c>
      <c r="BE67" s="286">
        <f t="shared" si="55"/>
        <v>0</v>
      </c>
      <c r="BF67" s="286">
        <f t="shared" si="55"/>
        <v>0</v>
      </c>
      <c r="BG67" s="286">
        <f t="shared" si="55"/>
        <v>0</v>
      </c>
      <c r="BH67" s="286">
        <f t="shared" si="55"/>
        <v>0</v>
      </c>
      <c r="BI67" s="286">
        <f t="shared" si="55"/>
        <v>0</v>
      </c>
      <c r="BJ67" s="286">
        <f t="shared" si="55"/>
        <v>0</v>
      </c>
      <c r="BK67" s="286">
        <f t="shared" si="55"/>
        <v>0</v>
      </c>
      <c r="BL67" s="286">
        <f t="shared" si="55"/>
        <v>0</v>
      </c>
      <c r="BM67" s="286">
        <f t="shared" si="55"/>
        <v>0</v>
      </c>
      <c r="BN67" s="286">
        <f t="shared" si="55"/>
        <v>0</v>
      </c>
      <c r="BO67" s="286">
        <f t="shared" si="55"/>
        <v>0</v>
      </c>
      <c r="BP67" s="286">
        <f t="shared" si="55"/>
        <v>0</v>
      </c>
      <c r="BQ67" s="286">
        <f t="shared" si="55"/>
        <v>0</v>
      </c>
    </row>
    <row r="68" spans="1:69" s="283" customFormat="1" ht="18" customHeight="1" outlineLevel="1">
      <c r="A68" s="284" t="s">
        <v>863</v>
      </c>
      <c r="B68" s="284">
        <f>SUM(C68:AR68)</f>
        <v>0</v>
      </c>
      <c r="C68" s="284">
        <f>SUM(C69:C74)</f>
        <v>0</v>
      </c>
      <c r="D68" s="284">
        <f t="shared" ref="D68:AR68" si="56">SUM(D69:D74)</f>
        <v>0</v>
      </c>
      <c r="E68" s="284">
        <f t="shared" si="56"/>
        <v>0</v>
      </c>
      <c r="F68" s="284">
        <f t="shared" si="56"/>
        <v>0</v>
      </c>
      <c r="G68" s="284">
        <f t="shared" si="56"/>
        <v>0</v>
      </c>
      <c r="H68" s="284">
        <f t="shared" si="56"/>
        <v>0</v>
      </c>
      <c r="I68" s="284">
        <f t="shared" si="56"/>
        <v>0</v>
      </c>
      <c r="J68" s="284">
        <f t="shared" si="56"/>
        <v>0</v>
      </c>
      <c r="K68" s="284">
        <f t="shared" si="56"/>
        <v>0</v>
      </c>
      <c r="L68" s="284">
        <f t="shared" si="56"/>
        <v>0</v>
      </c>
      <c r="M68" s="284">
        <f t="shared" si="56"/>
        <v>0</v>
      </c>
      <c r="N68" s="284">
        <f t="shared" si="56"/>
        <v>0</v>
      </c>
      <c r="O68" s="284">
        <f t="shared" si="56"/>
        <v>0</v>
      </c>
      <c r="P68" s="284">
        <f t="shared" si="56"/>
        <v>0</v>
      </c>
      <c r="Q68" s="284">
        <f t="shared" si="56"/>
        <v>0</v>
      </c>
      <c r="R68" s="284">
        <f t="shared" si="56"/>
        <v>0</v>
      </c>
      <c r="S68" s="284">
        <f t="shared" si="56"/>
        <v>0</v>
      </c>
      <c r="T68" s="284">
        <f t="shared" si="56"/>
        <v>0</v>
      </c>
      <c r="U68" s="284">
        <f t="shared" si="56"/>
        <v>0</v>
      </c>
      <c r="V68" s="284">
        <f t="shared" si="56"/>
        <v>0</v>
      </c>
      <c r="W68" s="284">
        <f t="shared" si="56"/>
        <v>0</v>
      </c>
      <c r="X68" s="284">
        <f t="shared" si="56"/>
        <v>0</v>
      </c>
      <c r="Y68" s="284">
        <f t="shared" si="56"/>
        <v>0</v>
      </c>
      <c r="Z68" s="284">
        <f t="shared" si="56"/>
        <v>0</v>
      </c>
      <c r="AA68" s="284">
        <f t="shared" si="56"/>
        <v>0</v>
      </c>
      <c r="AB68" s="284">
        <f t="shared" si="56"/>
        <v>0</v>
      </c>
      <c r="AC68" s="284">
        <f t="shared" si="56"/>
        <v>0</v>
      </c>
      <c r="AD68" s="284">
        <f t="shared" si="56"/>
        <v>0</v>
      </c>
      <c r="AE68" s="284">
        <f t="shared" si="56"/>
        <v>0</v>
      </c>
      <c r="AF68" s="284">
        <f t="shared" si="56"/>
        <v>0</v>
      </c>
      <c r="AG68" s="284">
        <f t="shared" si="56"/>
        <v>0</v>
      </c>
      <c r="AH68" s="284">
        <f t="shared" si="56"/>
        <v>0</v>
      </c>
      <c r="AI68" s="284">
        <f t="shared" si="56"/>
        <v>0</v>
      </c>
      <c r="AJ68" s="284">
        <f t="shared" si="56"/>
        <v>0</v>
      </c>
      <c r="AK68" s="284">
        <f t="shared" si="56"/>
        <v>0</v>
      </c>
      <c r="AL68" s="284">
        <f t="shared" si="56"/>
        <v>0</v>
      </c>
      <c r="AM68" s="284">
        <f t="shared" si="56"/>
        <v>0</v>
      </c>
      <c r="AN68" s="284">
        <f t="shared" si="56"/>
        <v>0</v>
      </c>
      <c r="AO68" s="284">
        <f t="shared" si="56"/>
        <v>0</v>
      </c>
      <c r="AP68" s="284">
        <f t="shared" si="56"/>
        <v>0</v>
      </c>
      <c r="AQ68" s="284">
        <f t="shared" si="56"/>
        <v>0</v>
      </c>
      <c r="AR68" s="284">
        <f t="shared" si="56"/>
        <v>0</v>
      </c>
      <c r="AS68" s="284">
        <f t="shared" ref="AS68:BQ68" si="57">SUM(AS69:AS74)</f>
        <v>0</v>
      </c>
      <c r="AT68" s="284">
        <f t="shared" si="57"/>
        <v>0</v>
      </c>
      <c r="AU68" s="284">
        <f t="shared" si="57"/>
        <v>0</v>
      </c>
      <c r="AV68" s="284">
        <f t="shared" si="57"/>
        <v>0</v>
      </c>
      <c r="AW68" s="284">
        <f t="shared" si="57"/>
        <v>0</v>
      </c>
      <c r="AX68" s="284">
        <f t="shared" si="57"/>
        <v>0</v>
      </c>
      <c r="AY68" s="284">
        <f t="shared" si="57"/>
        <v>0</v>
      </c>
      <c r="AZ68" s="284">
        <f t="shared" si="57"/>
        <v>0</v>
      </c>
      <c r="BA68" s="284">
        <f t="shared" si="57"/>
        <v>0</v>
      </c>
      <c r="BB68" s="284">
        <f t="shared" si="57"/>
        <v>0</v>
      </c>
      <c r="BC68" s="284">
        <f t="shared" si="57"/>
        <v>0</v>
      </c>
      <c r="BD68" s="284">
        <f t="shared" si="57"/>
        <v>0</v>
      </c>
      <c r="BE68" s="284">
        <f t="shared" si="57"/>
        <v>0</v>
      </c>
      <c r="BF68" s="284">
        <f t="shared" si="57"/>
        <v>0</v>
      </c>
      <c r="BG68" s="284">
        <f t="shared" si="57"/>
        <v>0</v>
      </c>
      <c r="BH68" s="284">
        <f t="shared" si="57"/>
        <v>0</v>
      </c>
      <c r="BI68" s="284">
        <f t="shared" si="57"/>
        <v>0</v>
      </c>
      <c r="BJ68" s="284">
        <f t="shared" si="57"/>
        <v>0</v>
      </c>
      <c r="BK68" s="284">
        <f t="shared" si="57"/>
        <v>0</v>
      </c>
      <c r="BL68" s="284">
        <f t="shared" si="57"/>
        <v>0</v>
      </c>
      <c r="BM68" s="284">
        <f t="shared" si="57"/>
        <v>0</v>
      </c>
      <c r="BN68" s="284">
        <f t="shared" si="57"/>
        <v>0</v>
      </c>
      <c r="BO68" s="284">
        <f t="shared" si="57"/>
        <v>0</v>
      </c>
      <c r="BP68" s="284">
        <f t="shared" si="57"/>
        <v>0</v>
      </c>
      <c r="BQ68" s="284">
        <f t="shared" si="57"/>
        <v>0</v>
      </c>
    </row>
    <row r="69" spans="1:69" s="281" customFormat="1" ht="18" customHeight="1" outlineLevel="2">
      <c r="A69" s="287" t="s">
        <v>864</v>
      </c>
      <c r="B69" s="284">
        <f>'3-成本汇总（本期）'!BI13</f>
        <v>0</v>
      </c>
      <c r="C69" s="286">
        <f>$B$69*C42</f>
        <v>0</v>
      </c>
      <c r="D69" s="286">
        <f t="shared" ref="D69:AR69" si="58">$B$69*D42</f>
        <v>0</v>
      </c>
      <c r="E69" s="286">
        <f t="shared" si="58"/>
        <v>0</v>
      </c>
      <c r="F69" s="286">
        <f t="shared" si="58"/>
        <v>0</v>
      </c>
      <c r="G69" s="286">
        <f t="shared" si="58"/>
        <v>0</v>
      </c>
      <c r="H69" s="286">
        <f t="shared" si="58"/>
        <v>0</v>
      </c>
      <c r="I69" s="286">
        <f t="shared" si="58"/>
        <v>0</v>
      </c>
      <c r="J69" s="286">
        <f t="shared" si="58"/>
        <v>0</v>
      </c>
      <c r="K69" s="286">
        <f t="shared" si="58"/>
        <v>0</v>
      </c>
      <c r="L69" s="286">
        <f t="shared" si="58"/>
        <v>0</v>
      </c>
      <c r="M69" s="286">
        <f t="shared" si="58"/>
        <v>0</v>
      </c>
      <c r="N69" s="286">
        <f t="shared" si="58"/>
        <v>0</v>
      </c>
      <c r="O69" s="286">
        <f t="shared" si="58"/>
        <v>0</v>
      </c>
      <c r="P69" s="286">
        <f t="shared" si="58"/>
        <v>0</v>
      </c>
      <c r="Q69" s="286">
        <f t="shared" si="58"/>
        <v>0</v>
      </c>
      <c r="R69" s="286">
        <f t="shared" si="58"/>
        <v>0</v>
      </c>
      <c r="S69" s="286">
        <f t="shared" si="58"/>
        <v>0</v>
      </c>
      <c r="T69" s="286">
        <f t="shared" si="58"/>
        <v>0</v>
      </c>
      <c r="U69" s="286">
        <f t="shared" si="58"/>
        <v>0</v>
      </c>
      <c r="V69" s="286">
        <f t="shared" si="58"/>
        <v>0</v>
      </c>
      <c r="W69" s="286">
        <f t="shared" si="58"/>
        <v>0</v>
      </c>
      <c r="X69" s="286">
        <f t="shared" si="58"/>
        <v>0</v>
      </c>
      <c r="Y69" s="286">
        <f t="shared" si="58"/>
        <v>0</v>
      </c>
      <c r="Z69" s="286">
        <f t="shared" si="58"/>
        <v>0</v>
      </c>
      <c r="AA69" s="286">
        <f t="shared" si="58"/>
        <v>0</v>
      </c>
      <c r="AB69" s="286">
        <f t="shared" si="58"/>
        <v>0</v>
      </c>
      <c r="AC69" s="286">
        <f t="shared" si="58"/>
        <v>0</v>
      </c>
      <c r="AD69" s="286">
        <f t="shared" si="58"/>
        <v>0</v>
      </c>
      <c r="AE69" s="286">
        <f t="shared" si="58"/>
        <v>0</v>
      </c>
      <c r="AF69" s="286">
        <f t="shared" si="58"/>
        <v>0</v>
      </c>
      <c r="AG69" s="286">
        <f t="shared" si="58"/>
        <v>0</v>
      </c>
      <c r="AH69" s="286">
        <f t="shared" si="58"/>
        <v>0</v>
      </c>
      <c r="AI69" s="286">
        <f t="shared" si="58"/>
        <v>0</v>
      </c>
      <c r="AJ69" s="286">
        <f t="shared" si="58"/>
        <v>0</v>
      </c>
      <c r="AK69" s="286">
        <f t="shared" si="58"/>
        <v>0</v>
      </c>
      <c r="AL69" s="286">
        <f t="shared" si="58"/>
        <v>0</v>
      </c>
      <c r="AM69" s="286">
        <f t="shared" si="58"/>
        <v>0</v>
      </c>
      <c r="AN69" s="286">
        <f t="shared" si="58"/>
        <v>0</v>
      </c>
      <c r="AO69" s="286">
        <f t="shared" si="58"/>
        <v>0</v>
      </c>
      <c r="AP69" s="286">
        <f t="shared" si="58"/>
        <v>0</v>
      </c>
      <c r="AQ69" s="286">
        <f t="shared" si="58"/>
        <v>0</v>
      </c>
      <c r="AR69" s="286">
        <f t="shared" si="58"/>
        <v>0</v>
      </c>
      <c r="AS69" s="286">
        <f t="shared" ref="AS69:BQ69" si="59">$B$69*AS42</f>
        <v>0</v>
      </c>
      <c r="AT69" s="286">
        <f t="shared" si="59"/>
        <v>0</v>
      </c>
      <c r="AU69" s="286">
        <f t="shared" si="59"/>
        <v>0</v>
      </c>
      <c r="AV69" s="286">
        <f t="shared" si="59"/>
        <v>0</v>
      </c>
      <c r="AW69" s="286">
        <f t="shared" si="59"/>
        <v>0</v>
      </c>
      <c r="AX69" s="286">
        <f t="shared" si="59"/>
        <v>0</v>
      </c>
      <c r="AY69" s="286">
        <f t="shared" si="59"/>
        <v>0</v>
      </c>
      <c r="AZ69" s="286">
        <f t="shared" si="59"/>
        <v>0</v>
      </c>
      <c r="BA69" s="286">
        <f t="shared" si="59"/>
        <v>0</v>
      </c>
      <c r="BB69" s="286">
        <f t="shared" si="59"/>
        <v>0</v>
      </c>
      <c r="BC69" s="286">
        <f t="shared" si="59"/>
        <v>0</v>
      </c>
      <c r="BD69" s="286">
        <f t="shared" si="59"/>
        <v>0</v>
      </c>
      <c r="BE69" s="286">
        <f t="shared" si="59"/>
        <v>0</v>
      </c>
      <c r="BF69" s="286">
        <f t="shared" si="59"/>
        <v>0</v>
      </c>
      <c r="BG69" s="286">
        <f t="shared" si="59"/>
        <v>0</v>
      </c>
      <c r="BH69" s="286">
        <f t="shared" si="59"/>
        <v>0</v>
      </c>
      <c r="BI69" s="286">
        <f t="shared" si="59"/>
        <v>0</v>
      </c>
      <c r="BJ69" s="286">
        <f t="shared" si="59"/>
        <v>0</v>
      </c>
      <c r="BK69" s="286">
        <f t="shared" si="59"/>
        <v>0</v>
      </c>
      <c r="BL69" s="286">
        <f t="shared" si="59"/>
        <v>0</v>
      </c>
      <c r="BM69" s="286">
        <f t="shared" si="59"/>
        <v>0</v>
      </c>
      <c r="BN69" s="286">
        <f t="shared" si="59"/>
        <v>0</v>
      </c>
      <c r="BO69" s="286">
        <f t="shared" si="59"/>
        <v>0</v>
      </c>
      <c r="BP69" s="286">
        <f t="shared" si="59"/>
        <v>0</v>
      </c>
      <c r="BQ69" s="286">
        <f t="shared" si="59"/>
        <v>0</v>
      </c>
    </row>
    <row r="70" spans="1:69" s="281" customFormat="1" ht="18" customHeight="1" outlineLevel="2">
      <c r="A70" s="287" t="s">
        <v>865</v>
      </c>
      <c r="B70" s="284">
        <f>'3-成本汇总（本期）'!BI18</f>
        <v>0</v>
      </c>
      <c r="C70" s="286">
        <f>$B$70*C43</f>
        <v>0</v>
      </c>
      <c r="D70" s="286">
        <f t="shared" ref="D70:AR70" si="60">$B$70*D43</f>
        <v>0</v>
      </c>
      <c r="E70" s="286">
        <f t="shared" si="60"/>
        <v>0</v>
      </c>
      <c r="F70" s="286">
        <f t="shared" si="60"/>
        <v>0</v>
      </c>
      <c r="G70" s="286">
        <f t="shared" si="60"/>
        <v>0</v>
      </c>
      <c r="H70" s="286">
        <f t="shared" si="60"/>
        <v>0</v>
      </c>
      <c r="I70" s="286">
        <f t="shared" si="60"/>
        <v>0</v>
      </c>
      <c r="J70" s="286">
        <f t="shared" si="60"/>
        <v>0</v>
      </c>
      <c r="K70" s="286">
        <f t="shared" si="60"/>
        <v>0</v>
      </c>
      <c r="L70" s="286">
        <f t="shared" si="60"/>
        <v>0</v>
      </c>
      <c r="M70" s="286">
        <f t="shared" si="60"/>
        <v>0</v>
      </c>
      <c r="N70" s="286">
        <f t="shared" si="60"/>
        <v>0</v>
      </c>
      <c r="O70" s="286">
        <f t="shared" si="60"/>
        <v>0</v>
      </c>
      <c r="P70" s="286">
        <f t="shared" si="60"/>
        <v>0</v>
      </c>
      <c r="Q70" s="286">
        <f t="shared" si="60"/>
        <v>0</v>
      </c>
      <c r="R70" s="286">
        <f t="shared" si="60"/>
        <v>0</v>
      </c>
      <c r="S70" s="286">
        <f t="shared" si="60"/>
        <v>0</v>
      </c>
      <c r="T70" s="286">
        <f t="shared" si="60"/>
        <v>0</v>
      </c>
      <c r="U70" s="286">
        <f t="shared" si="60"/>
        <v>0</v>
      </c>
      <c r="V70" s="286">
        <f t="shared" si="60"/>
        <v>0</v>
      </c>
      <c r="W70" s="286">
        <f t="shared" si="60"/>
        <v>0</v>
      </c>
      <c r="X70" s="286">
        <f t="shared" si="60"/>
        <v>0</v>
      </c>
      <c r="Y70" s="286">
        <f t="shared" si="60"/>
        <v>0</v>
      </c>
      <c r="Z70" s="286">
        <f t="shared" si="60"/>
        <v>0</v>
      </c>
      <c r="AA70" s="286">
        <f t="shared" si="60"/>
        <v>0</v>
      </c>
      <c r="AB70" s="286">
        <f t="shared" si="60"/>
        <v>0</v>
      </c>
      <c r="AC70" s="286">
        <f t="shared" si="60"/>
        <v>0</v>
      </c>
      <c r="AD70" s="286">
        <f t="shared" si="60"/>
        <v>0</v>
      </c>
      <c r="AE70" s="286">
        <f t="shared" si="60"/>
        <v>0</v>
      </c>
      <c r="AF70" s="286">
        <f t="shared" si="60"/>
        <v>0</v>
      </c>
      <c r="AG70" s="286">
        <f t="shared" si="60"/>
        <v>0</v>
      </c>
      <c r="AH70" s="286">
        <f t="shared" si="60"/>
        <v>0</v>
      </c>
      <c r="AI70" s="286">
        <f t="shared" si="60"/>
        <v>0</v>
      </c>
      <c r="AJ70" s="286">
        <f t="shared" si="60"/>
        <v>0</v>
      </c>
      <c r="AK70" s="286">
        <f t="shared" si="60"/>
        <v>0</v>
      </c>
      <c r="AL70" s="286">
        <f t="shared" si="60"/>
        <v>0</v>
      </c>
      <c r="AM70" s="286">
        <f t="shared" si="60"/>
        <v>0</v>
      </c>
      <c r="AN70" s="286">
        <f t="shared" si="60"/>
        <v>0</v>
      </c>
      <c r="AO70" s="286">
        <f t="shared" si="60"/>
        <v>0</v>
      </c>
      <c r="AP70" s="286">
        <f t="shared" si="60"/>
        <v>0</v>
      </c>
      <c r="AQ70" s="286">
        <f t="shared" si="60"/>
        <v>0</v>
      </c>
      <c r="AR70" s="286">
        <f t="shared" si="60"/>
        <v>0</v>
      </c>
      <c r="AS70" s="286">
        <f t="shared" ref="AS70:BQ70" si="61">$B$70*AS43</f>
        <v>0</v>
      </c>
      <c r="AT70" s="286">
        <f t="shared" si="61"/>
        <v>0</v>
      </c>
      <c r="AU70" s="286">
        <f t="shared" si="61"/>
        <v>0</v>
      </c>
      <c r="AV70" s="286">
        <f t="shared" si="61"/>
        <v>0</v>
      </c>
      <c r="AW70" s="286">
        <f t="shared" si="61"/>
        <v>0</v>
      </c>
      <c r="AX70" s="286">
        <f t="shared" si="61"/>
        <v>0</v>
      </c>
      <c r="AY70" s="286">
        <f t="shared" si="61"/>
        <v>0</v>
      </c>
      <c r="AZ70" s="286">
        <f t="shared" si="61"/>
        <v>0</v>
      </c>
      <c r="BA70" s="286">
        <f t="shared" si="61"/>
        <v>0</v>
      </c>
      <c r="BB70" s="286">
        <f t="shared" si="61"/>
        <v>0</v>
      </c>
      <c r="BC70" s="286">
        <f t="shared" si="61"/>
        <v>0</v>
      </c>
      <c r="BD70" s="286">
        <f t="shared" si="61"/>
        <v>0</v>
      </c>
      <c r="BE70" s="286">
        <f t="shared" si="61"/>
        <v>0</v>
      </c>
      <c r="BF70" s="286">
        <f t="shared" si="61"/>
        <v>0</v>
      </c>
      <c r="BG70" s="286">
        <f t="shared" si="61"/>
        <v>0</v>
      </c>
      <c r="BH70" s="286">
        <f t="shared" si="61"/>
        <v>0</v>
      </c>
      <c r="BI70" s="286">
        <f t="shared" si="61"/>
        <v>0</v>
      </c>
      <c r="BJ70" s="286">
        <f t="shared" si="61"/>
        <v>0</v>
      </c>
      <c r="BK70" s="286">
        <f t="shared" si="61"/>
        <v>0</v>
      </c>
      <c r="BL70" s="286">
        <f t="shared" si="61"/>
        <v>0</v>
      </c>
      <c r="BM70" s="286">
        <f t="shared" si="61"/>
        <v>0</v>
      </c>
      <c r="BN70" s="286">
        <f t="shared" si="61"/>
        <v>0</v>
      </c>
      <c r="BO70" s="286">
        <f t="shared" si="61"/>
        <v>0</v>
      </c>
      <c r="BP70" s="286">
        <f t="shared" si="61"/>
        <v>0</v>
      </c>
      <c r="BQ70" s="286">
        <f t="shared" si="61"/>
        <v>0</v>
      </c>
    </row>
    <row r="71" spans="1:69" s="281" customFormat="1" ht="18" customHeight="1" outlineLevel="2">
      <c r="A71" s="287" t="s">
        <v>866</v>
      </c>
      <c r="B71" s="284">
        <f>'3-成本汇总（本期）'!BI24</f>
        <v>0</v>
      </c>
      <c r="C71" s="286">
        <f>$B$71*C44</f>
        <v>0</v>
      </c>
      <c r="D71" s="286">
        <f t="shared" ref="D71:AR71" si="62">$B$71*D44</f>
        <v>0</v>
      </c>
      <c r="E71" s="286">
        <f t="shared" si="62"/>
        <v>0</v>
      </c>
      <c r="F71" s="286">
        <f t="shared" si="62"/>
        <v>0</v>
      </c>
      <c r="G71" s="286">
        <f t="shared" si="62"/>
        <v>0</v>
      </c>
      <c r="H71" s="286">
        <f t="shared" si="62"/>
        <v>0</v>
      </c>
      <c r="I71" s="286">
        <f t="shared" si="62"/>
        <v>0</v>
      </c>
      <c r="J71" s="286">
        <f t="shared" si="62"/>
        <v>0</v>
      </c>
      <c r="K71" s="286">
        <f t="shared" si="62"/>
        <v>0</v>
      </c>
      <c r="L71" s="286">
        <f t="shared" si="62"/>
        <v>0</v>
      </c>
      <c r="M71" s="286">
        <f t="shared" si="62"/>
        <v>0</v>
      </c>
      <c r="N71" s="286">
        <f t="shared" si="62"/>
        <v>0</v>
      </c>
      <c r="O71" s="286">
        <f t="shared" si="62"/>
        <v>0</v>
      </c>
      <c r="P71" s="286">
        <f t="shared" si="62"/>
        <v>0</v>
      </c>
      <c r="Q71" s="286">
        <f t="shared" si="62"/>
        <v>0</v>
      </c>
      <c r="R71" s="286">
        <f t="shared" si="62"/>
        <v>0</v>
      </c>
      <c r="S71" s="286">
        <f t="shared" si="62"/>
        <v>0</v>
      </c>
      <c r="T71" s="286">
        <f t="shared" si="62"/>
        <v>0</v>
      </c>
      <c r="U71" s="286">
        <f t="shared" si="62"/>
        <v>0</v>
      </c>
      <c r="V71" s="286">
        <f t="shared" si="62"/>
        <v>0</v>
      </c>
      <c r="W71" s="286">
        <f t="shared" si="62"/>
        <v>0</v>
      </c>
      <c r="X71" s="286">
        <f t="shared" si="62"/>
        <v>0</v>
      </c>
      <c r="Y71" s="286">
        <f t="shared" si="62"/>
        <v>0</v>
      </c>
      <c r="Z71" s="286">
        <f t="shared" si="62"/>
        <v>0</v>
      </c>
      <c r="AA71" s="286">
        <f t="shared" si="62"/>
        <v>0</v>
      </c>
      <c r="AB71" s="286">
        <f t="shared" si="62"/>
        <v>0</v>
      </c>
      <c r="AC71" s="286">
        <f t="shared" si="62"/>
        <v>0</v>
      </c>
      <c r="AD71" s="286">
        <f t="shared" si="62"/>
        <v>0</v>
      </c>
      <c r="AE71" s="286">
        <f t="shared" si="62"/>
        <v>0</v>
      </c>
      <c r="AF71" s="286">
        <f t="shared" si="62"/>
        <v>0</v>
      </c>
      <c r="AG71" s="286">
        <f t="shared" si="62"/>
        <v>0</v>
      </c>
      <c r="AH71" s="286">
        <f t="shared" si="62"/>
        <v>0</v>
      </c>
      <c r="AI71" s="286">
        <f t="shared" si="62"/>
        <v>0</v>
      </c>
      <c r="AJ71" s="286">
        <f t="shared" si="62"/>
        <v>0</v>
      </c>
      <c r="AK71" s="286">
        <f t="shared" si="62"/>
        <v>0</v>
      </c>
      <c r="AL71" s="286">
        <f t="shared" si="62"/>
        <v>0</v>
      </c>
      <c r="AM71" s="286">
        <f t="shared" si="62"/>
        <v>0</v>
      </c>
      <c r="AN71" s="286">
        <f t="shared" si="62"/>
        <v>0</v>
      </c>
      <c r="AO71" s="286">
        <f t="shared" si="62"/>
        <v>0</v>
      </c>
      <c r="AP71" s="286">
        <f t="shared" si="62"/>
        <v>0</v>
      </c>
      <c r="AQ71" s="286">
        <f t="shared" si="62"/>
        <v>0</v>
      </c>
      <c r="AR71" s="286">
        <f t="shared" si="62"/>
        <v>0</v>
      </c>
      <c r="AS71" s="286">
        <f t="shared" ref="AS71:BQ71" si="63">$B$71*AS44</f>
        <v>0</v>
      </c>
      <c r="AT71" s="286">
        <f t="shared" si="63"/>
        <v>0</v>
      </c>
      <c r="AU71" s="286">
        <f t="shared" si="63"/>
        <v>0</v>
      </c>
      <c r="AV71" s="286">
        <f t="shared" si="63"/>
        <v>0</v>
      </c>
      <c r="AW71" s="286">
        <f t="shared" si="63"/>
        <v>0</v>
      </c>
      <c r="AX71" s="286">
        <f t="shared" si="63"/>
        <v>0</v>
      </c>
      <c r="AY71" s="286">
        <f t="shared" si="63"/>
        <v>0</v>
      </c>
      <c r="AZ71" s="286">
        <f t="shared" si="63"/>
        <v>0</v>
      </c>
      <c r="BA71" s="286">
        <f t="shared" si="63"/>
        <v>0</v>
      </c>
      <c r="BB71" s="286">
        <f t="shared" si="63"/>
        <v>0</v>
      </c>
      <c r="BC71" s="286">
        <f t="shared" si="63"/>
        <v>0</v>
      </c>
      <c r="BD71" s="286">
        <f t="shared" si="63"/>
        <v>0</v>
      </c>
      <c r="BE71" s="286">
        <f t="shared" si="63"/>
        <v>0</v>
      </c>
      <c r="BF71" s="286">
        <f t="shared" si="63"/>
        <v>0</v>
      </c>
      <c r="BG71" s="286">
        <f t="shared" si="63"/>
        <v>0</v>
      </c>
      <c r="BH71" s="286">
        <f t="shared" si="63"/>
        <v>0</v>
      </c>
      <c r="BI71" s="286">
        <f t="shared" si="63"/>
        <v>0</v>
      </c>
      <c r="BJ71" s="286">
        <f t="shared" si="63"/>
        <v>0</v>
      </c>
      <c r="BK71" s="286">
        <f t="shared" si="63"/>
        <v>0</v>
      </c>
      <c r="BL71" s="286">
        <f t="shared" si="63"/>
        <v>0</v>
      </c>
      <c r="BM71" s="286">
        <f t="shared" si="63"/>
        <v>0</v>
      </c>
      <c r="BN71" s="286">
        <f t="shared" si="63"/>
        <v>0</v>
      </c>
      <c r="BO71" s="286">
        <f t="shared" si="63"/>
        <v>0</v>
      </c>
      <c r="BP71" s="286">
        <f t="shared" si="63"/>
        <v>0</v>
      </c>
      <c r="BQ71" s="286">
        <f t="shared" si="63"/>
        <v>0</v>
      </c>
    </row>
    <row r="72" spans="1:69" s="281" customFormat="1" ht="18" customHeight="1" outlineLevel="2">
      <c r="A72" s="287" t="s">
        <v>867</v>
      </c>
      <c r="B72" s="284">
        <f>'3-成本汇总（本期）'!BI25</f>
        <v>0</v>
      </c>
      <c r="C72" s="286">
        <f>$B$72*C45</f>
        <v>0</v>
      </c>
      <c r="D72" s="286">
        <f t="shared" ref="D72:AR72" si="64">$B$72*D45</f>
        <v>0</v>
      </c>
      <c r="E72" s="286">
        <f t="shared" si="64"/>
        <v>0</v>
      </c>
      <c r="F72" s="286">
        <f t="shared" si="64"/>
        <v>0</v>
      </c>
      <c r="G72" s="286">
        <f t="shared" si="64"/>
        <v>0</v>
      </c>
      <c r="H72" s="286">
        <f t="shared" si="64"/>
        <v>0</v>
      </c>
      <c r="I72" s="286">
        <f t="shared" si="64"/>
        <v>0</v>
      </c>
      <c r="J72" s="286">
        <f t="shared" si="64"/>
        <v>0</v>
      </c>
      <c r="K72" s="286">
        <f t="shared" si="64"/>
        <v>0</v>
      </c>
      <c r="L72" s="286">
        <f t="shared" si="64"/>
        <v>0</v>
      </c>
      <c r="M72" s="286">
        <f t="shared" si="64"/>
        <v>0</v>
      </c>
      <c r="N72" s="286">
        <f t="shared" si="64"/>
        <v>0</v>
      </c>
      <c r="O72" s="286">
        <f t="shared" si="64"/>
        <v>0</v>
      </c>
      <c r="P72" s="286">
        <f t="shared" si="64"/>
        <v>0</v>
      </c>
      <c r="Q72" s="286">
        <f t="shared" si="64"/>
        <v>0</v>
      </c>
      <c r="R72" s="286">
        <f t="shared" si="64"/>
        <v>0</v>
      </c>
      <c r="S72" s="286">
        <f t="shared" si="64"/>
        <v>0</v>
      </c>
      <c r="T72" s="286">
        <f t="shared" si="64"/>
        <v>0</v>
      </c>
      <c r="U72" s="286">
        <f t="shared" si="64"/>
        <v>0</v>
      </c>
      <c r="V72" s="286">
        <f t="shared" si="64"/>
        <v>0</v>
      </c>
      <c r="W72" s="286">
        <f t="shared" si="64"/>
        <v>0</v>
      </c>
      <c r="X72" s="286">
        <f t="shared" si="64"/>
        <v>0</v>
      </c>
      <c r="Y72" s="286">
        <f t="shared" si="64"/>
        <v>0</v>
      </c>
      <c r="Z72" s="286">
        <f t="shared" si="64"/>
        <v>0</v>
      </c>
      <c r="AA72" s="286">
        <f t="shared" si="64"/>
        <v>0</v>
      </c>
      <c r="AB72" s="286">
        <f t="shared" si="64"/>
        <v>0</v>
      </c>
      <c r="AC72" s="286">
        <f t="shared" si="64"/>
        <v>0</v>
      </c>
      <c r="AD72" s="286">
        <f t="shared" si="64"/>
        <v>0</v>
      </c>
      <c r="AE72" s="286">
        <f t="shared" si="64"/>
        <v>0</v>
      </c>
      <c r="AF72" s="286">
        <f t="shared" si="64"/>
        <v>0</v>
      </c>
      <c r="AG72" s="286">
        <f t="shared" si="64"/>
        <v>0</v>
      </c>
      <c r="AH72" s="286">
        <f t="shared" si="64"/>
        <v>0</v>
      </c>
      <c r="AI72" s="286">
        <f t="shared" si="64"/>
        <v>0</v>
      </c>
      <c r="AJ72" s="286">
        <f t="shared" si="64"/>
        <v>0</v>
      </c>
      <c r="AK72" s="286">
        <f t="shared" si="64"/>
        <v>0</v>
      </c>
      <c r="AL72" s="286">
        <f t="shared" si="64"/>
        <v>0</v>
      </c>
      <c r="AM72" s="286">
        <f t="shared" si="64"/>
        <v>0</v>
      </c>
      <c r="AN72" s="286">
        <f t="shared" si="64"/>
        <v>0</v>
      </c>
      <c r="AO72" s="286">
        <f t="shared" si="64"/>
        <v>0</v>
      </c>
      <c r="AP72" s="286">
        <f t="shared" si="64"/>
        <v>0</v>
      </c>
      <c r="AQ72" s="286">
        <f t="shared" si="64"/>
        <v>0</v>
      </c>
      <c r="AR72" s="286">
        <f t="shared" si="64"/>
        <v>0</v>
      </c>
      <c r="AS72" s="286">
        <f t="shared" ref="AS72:BQ72" si="65">$B$72*AS45</f>
        <v>0</v>
      </c>
      <c r="AT72" s="286">
        <f t="shared" si="65"/>
        <v>0</v>
      </c>
      <c r="AU72" s="286">
        <f t="shared" si="65"/>
        <v>0</v>
      </c>
      <c r="AV72" s="286">
        <f t="shared" si="65"/>
        <v>0</v>
      </c>
      <c r="AW72" s="286">
        <f t="shared" si="65"/>
        <v>0</v>
      </c>
      <c r="AX72" s="286">
        <f t="shared" si="65"/>
        <v>0</v>
      </c>
      <c r="AY72" s="286">
        <f t="shared" si="65"/>
        <v>0</v>
      </c>
      <c r="AZ72" s="286">
        <f t="shared" si="65"/>
        <v>0</v>
      </c>
      <c r="BA72" s="286">
        <f t="shared" si="65"/>
        <v>0</v>
      </c>
      <c r="BB72" s="286">
        <f t="shared" si="65"/>
        <v>0</v>
      </c>
      <c r="BC72" s="286">
        <f t="shared" si="65"/>
        <v>0</v>
      </c>
      <c r="BD72" s="286">
        <f t="shared" si="65"/>
        <v>0</v>
      </c>
      <c r="BE72" s="286">
        <f t="shared" si="65"/>
        <v>0</v>
      </c>
      <c r="BF72" s="286">
        <f t="shared" si="65"/>
        <v>0</v>
      </c>
      <c r="BG72" s="286">
        <f t="shared" si="65"/>
        <v>0</v>
      </c>
      <c r="BH72" s="286">
        <f t="shared" si="65"/>
        <v>0</v>
      </c>
      <c r="BI72" s="286">
        <f t="shared" si="65"/>
        <v>0</v>
      </c>
      <c r="BJ72" s="286">
        <f t="shared" si="65"/>
        <v>0</v>
      </c>
      <c r="BK72" s="286">
        <f t="shared" si="65"/>
        <v>0</v>
      </c>
      <c r="BL72" s="286">
        <f t="shared" si="65"/>
        <v>0</v>
      </c>
      <c r="BM72" s="286">
        <f t="shared" si="65"/>
        <v>0</v>
      </c>
      <c r="BN72" s="286">
        <f t="shared" si="65"/>
        <v>0</v>
      </c>
      <c r="BO72" s="286">
        <f t="shared" si="65"/>
        <v>0</v>
      </c>
      <c r="BP72" s="286">
        <f t="shared" si="65"/>
        <v>0</v>
      </c>
      <c r="BQ72" s="286">
        <f t="shared" si="65"/>
        <v>0</v>
      </c>
    </row>
    <row r="73" spans="1:69" s="281" customFormat="1" ht="18" customHeight="1" outlineLevel="2">
      <c r="A73" s="287" t="s">
        <v>868</v>
      </c>
      <c r="B73" s="284">
        <f>'3-成本汇总（本期）'!BI30</f>
        <v>0</v>
      </c>
      <c r="C73" s="286">
        <f>$B$73*C46</f>
        <v>0</v>
      </c>
      <c r="D73" s="286">
        <f t="shared" ref="D73:AR73" si="66">$B$73*D46</f>
        <v>0</v>
      </c>
      <c r="E73" s="286">
        <f t="shared" si="66"/>
        <v>0</v>
      </c>
      <c r="F73" s="286">
        <f t="shared" si="66"/>
        <v>0</v>
      </c>
      <c r="G73" s="286">
        <f t="shared" si="66"/>
        <v>0</v>
      </c>
      <c r="H73" s="286">
        <f t="shared" si="66"/>
        <v>0</v>
      </c>
      <c r="I73" s="286">
        <f t="shared" si="66"/>
        <v>0</v>
      </c>
      <c r="J73" s="286">
        <f t="shared" si="66"/>
        <v>0</v>
      </c>
      <c r="K73" s="286">
        <f t="shared" si="66"/>
        <v>0</v>
      </c>
      <c r="L73" s="286">
        <f t="shared" si="66"/>
        <v>0</v>
      </c>
      <c r="M73" s="286">
        <f t="shared" si="66"/>
        <v>0</v>
      </c>
      <c r="N73" s="286">
        <f t="shared" si="66"/>
        <v>0</v>
      </c>
      <c r="O73" s="286">
        <f t="shared" si="66"/>
        <v>0</v>
      </c>
      <c r="P73" s="286">
        <f t="shared" si="66"/>
        <v>0</v>
      </c>
      <c r="Q73" s="286">
        <f t="shared" si="66"/>
        <v>0</v>
      </c>
      <c r="R73" s="286">
        <f t="shared" si="66"/>
        <v>0</v>
      </c>
      <c r="S73" s="286">
        <f t="shared" si="66"/>
        <v>0</v>
      </c>
      <c r="T73" s="286">
        <f t="shared" si="66"/>
        <v>0</v>
      </c>
      <c r="U73" s="286">
        <f t="shared" si="66"/>
        <v>0</v>
      </c>
      <c r="V73" s="286">
        <f t="shared" si="66"/>
        <v>0</v>
      </c>
      <c r="W73" s="286">
        <f t="shared" si="66"/>
        <v>0</v>
      </c>
      <c r="X73" s="286">
        <f t="shared" si="66"/>
        <v>0</v>
      </c>
      <c r="Y73" s="286">
        <f t="shared" si="66"/>
        <v>0</v>
      </c>
      <c r="Z73" s="286">
        <f t="shared" si="66"/>
        <v>0</v>
      </c>
      <c r="AA73" s="286">
        <f t="shared" si="66"/>
        <v>0</v>
      </c>
      <c r="AB73" s="286">
        <f t="shared" si="66"/>
        <v>0</v>
      </c>
      <c r="AC73" s="286">
        <f t="shared" si="66"/>
        <v>0</v>
      </c>
      <c r="AD73" s="286">
        <f t="shared" si="66"/>
        <v>0</v>
      </c>
      <c r="AE73" s="286">
        <f t="shared" si="66"/>
        <v>0</v>
      </c>
      <c r="AF73" s="286">
        <f t="shared" si="66"/>
        <v>0</v>
      </c>
      <c r="AG73" s="286">
        <f t="shared" si="66"/>
        <v>0</v>
      </c>
      <c r="AH73" s="286">
        <f t="shared" si="66"/>
        <v>0</v>
      </c>
      <c r="AI73" s="286">
        <f t="shared" si="66"/>
        <v>0</v>
      </c>
      <c r="AJ73" s="286">
        <f t="shared" si="66"/>
        <v>0</v>
      </c>
      <c r="AK73" s="286">
        <f t="shared" si="66"/>
        <v>0</v>
      </c>
      <c r="AL73" s="286">
        <f t="shared" si="66"/>
        <v>0</v>
      </c>
      <c r="AM73" s="286">
        <f t="shared" si="66"/>
        <v>0</v>
      </c>
      <c r="AN73" s="286">
        <f t="shared" si="66"/>
        <v>0</v>
      </c>
      <c r="AO73" s="286">
        <f t="shared" si="66"/>
        <v>0</v>
      </c>
      <c r="AP73" s="286">
        <f t="shared" si="66"/>
        <v>0</v>
      </c>
      <c r="AQ73" s="286">
        <f t="shared" si="66"/>
        <v>0</v>
      </c>
      <c r="AR73" s="286">
        <f t="shared" si="66"/>
        <v>0</v>
      </c>
      <c r="AS73" s="286">
        <f t="shared" ref="AS73:BQ73" si="67">$B$73*AS46</f>
        <v>0</v>
      </c>
      <c r="AT73" s="286">
        <f t="shared" si="67"/>
        <v>0</v>
      </c>
      <c r="AU73" s="286">
        <f t="shared" si="67"/>
        <v>0</v>
      </c>
      <c r="AV73" s="286">
        <f t="shared" si="67"/>
        <v>0</v>
      </c>
      <c r="AW73" s="286">
        <f t="shared" si="67"/>
        <v>0</v>
      </c>
      <c r="AX73" s="286">
        <f t="shared" si="67"/>
        <v>0</v>
      </c>
      <c r="AY73" s="286">
        <f t="shared" si="67"/>
        <v>0</v>
      </c>
      <c r="AZ73" s="286">
        <f t="shared" si="67"/>
        <v>0</v>
      </c>
      <c r="BA73" s="286">
        <f t="shared" si="67"/>
        <v>0</v>
      </c>
      <c r="BB73" s="286">
        <f t="shared" si="67"/>
        <v>0</v>
      </c>
      <c r="BC73" s="286">
        <f t="shared" si="67"/>
        <v>0</v>
      </c>
      <c r="BD73" s="286">
        <f t="shared" si="67"/>
        <v>0</v>
      </c>
      <c r="BE73" s="286">
        <f t="shared" si="67"/>
        <v>0</v>
      </c>
      <c r="BF73" s="286">
        <f t="shared" si="67"/>
        <v>0</v>
      </c>
      <c r="BG73" s="286">
        <f t="shared" si="67"/>
        <v>0</v>
      </c>
      <c r="BH73" s="286">
        <f t="shared" si="67"/>
        <v>0</v>
      </c>
      <c r="BI73" s="286">
        <f t="shared" si="67"/>
        <v>0</v>
      </c>
      <c r="BJ73" s="286">
        <f t="shared" si="67"/>
        <v>0</v>
      </c>
      <c r="BK73" s="286">
        <f t="shared" si="67"/>
        <v>0</v>
      </c>
      <c r="BL73" s="286">
        <f t="shared" si="67"/>
        <v>0</v>
      </c>
      <c r="BM73" s="286">
        <f t="shared" si="67"/>
        <v>0</v>
      </c>
      <c r="BN73" s="286">
        <f t="shared" si="67"/>
        <v>0</v>
      </c>
      <c r="BO73" s="286">
        <f t="shared" si="67"/>
        <v>0</v>
      </c>
      <c r="BP73" s="286">
        <f t="shared" si="67"/>
        <v>0</v>
      </c>
      <c r="BQ73" s="286">
        <f t="shared" si="67"/>
        <v>0</v>
      </c>
    </row>
    <row r="74" spans="1:69" s="281" customFormat="1" ht="18" customHeight="1" outlineLevel="2">
      <c r="A74" s="287" t="s">
        <v>869</v>
      </c>
      <c r="B74" s="284">
        <f>'3-成本汇总（本期）'!BI34</f>
        <v>0</v>
      </c>
      <c r="C74" s="286">
        <f>$B$74*C47</f>
        <v>0</v>
      </c>
      <c r="D74" s="286">
        <f t="shared" ref="D74:AR74" si="68">$B$74*D47</f>
        <v>0</v>
      </c>
      <c r="E74" s="286">
        <f t="shared" si="68"/>
        <v>0</v>
      </c>
      <c r="F74" s="286">
        <f t="shared" si="68"/>
        <v>0</v>
      </c>
      <c r="G74" s="286">
        <f t="shared" si="68"/>
        <v>0</v>
      </c>
      <c r="H74" s="286">
        <f t="shared" si="68"/>
        <v>0</v>
      </c>
      <c r="I74" s="286">
        <f t="shared" si="68"/>
        <v>0</v>
      </c>
      <c r="J74" s="286">
        <f t="shared" si="68"/>
        <v>0</v>
      </c>
      <c r="K74" s="286">
        <f t="shared" si="68"/>
        <v>0</v>
      </c>
      <c r="L74" s="286">
        <f t="shared" si="68"/>
        <v>0</v>
      </c>
      <c r="M74" s="286">
        <f t="shared" si="68"/>
        <v>0</v>
      </c>
      <c r="N74" s="286">
        <f t="shared" si="68"/>
        <v>0</v>
      </c>
      <c r="O74" s="286">
        <f t="shared" si="68"/>
        <v>0</v>
      </c>
      <c r="P74" s="286">
        <f t="shared" si="68"/>
        <v>0</v>
      </c>
      <c r="Q74" s="286">
        <f t="shared" si="68"/>
        <v>0</v>
      </c>
      <c r="R74" s="286">
        <f t="shared" si="68"/>
        <v>0</v>
      </c>
      <c r="S74" s="286">
        <f t="shared" si="68"/>
        <v>0</v>
      </c>
      <c r="T74" s="286">
        <f t="shared" si="68"/>
        <v>0</v>
      </c>
      <c r="U74" s="286">
        <f t="shared" si="68"/>
        <v>0</v>
      </c>
      <c r="V74" s="286">
        <f t="shared" si="68"/>
        <v>0</v>
      </c>
      <c r="W74" s="286">
        <f t="shared" si="68"/>
        <v>0</v>
      </c>
      <c r="X74" s="286">
        <f t="shared" si="68"/>
        <v>0</v>
      </c>
      <c r="Y74" s="286">
        <f t="shared" si="68"/>
        <v>0</v>
      </c>
      <c r="Z74" s="286">
        <f t="shared" si="68"/>
        <v>0</v>
      </c>
      <c r="AA74" s="286">
        <f t="shared" si="68"/>
        <v>0</v>
      </c>
      <c r="AB74" s="286">
        <f t="shared" si="68"/>
        <v>0</v>
      </c>
      <c r="AC74" s="286">
        <f t="shared" si="68"/>
        <v>0</v>
      </c>
      <c r="AD74" s="286">
        <f t="shared" si="68"/>
        <v>0</v>
      </c>
      <c r="AE74" s="286">
        <f t="shared" si="68"/>
        <v>0</v>
      </c>
      <c r="AF74" s="286">
        <f t="shared" si="68"/>
        <v>0</v>
      </c>
      <c r="AG74" s="286">
        <f t="shared" si="68"/>
        <v>0</v>
      </c>
      <c r="AH74" s="286">
        <f t="shared" si="68"/>
        <v>0</v>
      </c>
      <c r="AI74" s="286">
        <f t="shared" si="68"/>
        <v>0</v>
      </c>
      <c r="AJ74" s="286">
        <f t="shared" si="68"/>
        <v>0</v>
      </c>
      <c r="AK74" s="286">
        <f t="shared" si="68"/>
        <v>0</v>
      </c>
      <c r="AL74" s="286">
        <f t="shared" si="68"/>
        <v>0</v>
      </c>
      <c r="AM74" s="286">
        <f t="shared" si="68"/>
        <v>0</v>
      </c>
      <c r="AN74" s="286">
        <f t="shared" si="68"/>
        <v>0</v>
      </c>
      <c r="AO74" s="286">
        <f t="shared" si="68"/>
        <v>0</v>
      </c>
      <c r="AP74" s="286">
        <f t="shared" si="68"/>
        <v>0</v>
      </c>
      <c r="AQ74" s="286">
        <f t="shared" si="68"/>
        <v>0</v>
      </c>
      <c r="AR74" s="286">
        <f t="shared" si="68"/>
        <v>0</v>
      </c>
      <c r="AS74" s="286">
        <f t="shared" ref="AS74:BQ74" si="69">$B$74*AS47</f>
        <v>0</v>
      </c>
      <c r="AT74" s="286">
        <f t="shared" si="69"/>
        <v>0</v>
      </c>
      <c r="AU74" s="286">
        <f t="shared" si="69"/>
        <v>0</v>
      </c>
      <c r="AV74" s="286">
        <f t="shared" si="69"/>
        <v>0</v>
      </c>
      <c r="AW74" s="286">
        <f t="shared" si="69"/>
        <v>0</v>
      </c>
      <c r="AX74" s="286">
        <f t="shared" si="69"/>
        <v>0</v>
      </c>
      <c r="AY74" s="286">
        <f t="shared" si="69"/>
        <v>0</v>
      </c>
      <c r="AZ74" s="286">
        <f t="shared" si="69"/>
        <v>0</v>
      </c>
      <c r="BA74" s="286">
        <f t="shared" si="69"/>
        <v>0</v>
      </c>
      <c r="BB74" s="286">
        <f t="shared" si="69"/>
        <v>0</v>
      </c>
      <c r="BC74" s="286">
        <f t="shared" si="69"/>
        <v>0</v>
      </c>
      <c r="BD74" s="286">
        <f t="shared" si="69"/>
        <v>0</v>
      </c>
      <c r="BE74" s="286">
        <f t="shared" si="69"/>
        <v>0</v>
      </c>
      <c r="BF74" s="286">
        <f t="shared" si="69"/>
        <v>0</v>
      </c>
      <c r="BG74" s="286">
        <f t="shared" si="69"/>
        <v>0</v>
      </c>
      <c r="BH74" s="286">
        <f t="shared" si="69"/>
        <v>0</v>
      </c>
      <c r="BI74" s="286">
        <f t="shared" si="69"/>
        <v>0</v>
      </c>
      <c r="BJ74" s="286">
        <f t="shared" si="69"/>
        <v>0</v>
      </c>
      <c r="BK74" s="286">
        <f t="shared" si="69"/>
        <v>0</v>
      </c>
      <c r="BL74" s="286">
        <f t="shared" si="69"/>
        <v>0</v>
      </c>
      <c r="BM74" s="286">
        <f t="shared" si="69"/>
        <v>0</v>
      </c>
      <c r="BN74" s="286">
        <f t="shared" si="69"/>
        <v>0</v>
      </c>
      <c r="BO74" s="286">
        <f t="shared" si="69"/>
        <v>0</v>
      </c>
      <c r="BP74" s="286">
        <f t="shared" si="69"/>
        <v>0</v>
      </c>
      <c r="BQ74" s="286">
        <f t="shared" si="69"/>
        <v>0</v>
      </c>
    </row>
    <row r="75" spans="1:69">
      <c r="AB75" s="2182">
        <f>AB53/$B$53</f>
        <v>3.6689117096504699E-3</v>
      </c>
      <c r="AC75" s="2182">
        <f t="shared" ref="AC75:BQ75" si="70">AC53/$B$53</f>
        <v>7.0067087853695233E-3</v>
      </c>
      <c r="AD75" s="2182">
        <f t="shared" si="70"/>
        <v>7.0067087853695233E-3</v>
      </c>
      <c r="AE75" s="2182">
        <f t="shared" si="70"/>
        <v>1.1803175037461432E-2</v>
      </c>
      <c r="AF75" s="2182">
        <f t="shared" si="70"/>
        <v>1.3637630892286664E-2</v>
      </c>
      <c r="AG75" s="2182">
        <f t="shared" si="70"/>
        <v>1.8434097144378572E-2</v>
      </c>
      <c r="AH75" s="2182">
        <f t="shared" si="70"/>
        <v>2.0268552999203809E-2</v>
      </c>
      <c r="AI75" s="2182">
        <f t="shared" si="70"/>
        <v>2.2885960281839757E-2</v>
      </c>
      <c r="AJ75" s="2182">
        <f t="shared" si="70"/>
        <v>2.7682426533931662E-2</v>
      </c>
      <c r="AK75" s="2182">
        <f t="shared" si="70"/>
        <v>3.5096300068659519E-2</v>
      </c>
      <c r="AL75" s="2182">
        <f t="shared" si="70"/>
        <v>4.0644436931198333E-2</v>
      </c>
      <c r="AM75" s="2182">
        <f t="shared" si="70"/>
        <v>5.211183286709116E-2</v>
      </c>
      <c r="AN75" s="2182">
        <f t="shared" si="70"/>
        <v>5.5838415562868705E-2</v>
      </c>
      <c r="AO75" s="2182">
        <f t="shared" si="70"/>
        <v>6.1109175413141606E-2</v>
      </c>
      <c r="AP75" s="2182">
        <f t="shared" si="70"/>
        <v>6.5905641665233522E-2</v>
      </c>
      <c r="AQ75" s="2182">
        <f t="shared" si="70"/>
        <v>6.9248329389553109E-2</v>
      </c>
      <c r="AR75" s="2182">
        <f t="shared" si="70"/>
        <v>6.1508231869494341E-2</v>
      </c>
      <c r="AS75" s="2182">
        <f t="shared" si="70"/>
        <v>6.1109533273169869E-2</v>
      </c>
      <c r="AT75" s="2182">
        <f t="shared" si="70"/>
        <v>5.2259544619913001E-2</v>
      </c>
      <c r="AU75" s="2182">
        <f t="shared" si="70"/>
        <v>4.7481457497120919E-2</v>
      </c>
      <c r="AV75" s="2182">
        <f t="shared" si="70"/>
        <v>3.783932015984387E-2</v>
      </c>
      <c r="AW75" s="2182">
        <f t="shared" si="70"/>
        <v>3.045672744247982E-2</v>
      </c>
      <c r="AX75" s="2182">
        <f t="shared" si="70"/>
        <v>3.0058028846155344E-2</v>
      </c>
      <c r="AY75" s="2182">
        <f t="shared" si="70"/>
        <v>2.1534622038257623E-2</v>
      </c>
      <c r="AZ75" s="2182">
        <f t="shared" si="70"/>
        <v>1.9700166183432389E-2</v>
      </c>
      <c r="BA75" s="2182">
        <f t="shared" si="70"/>
        <v>1.9700166183432389E-2</v>
      </c>
      <c r="BB75" s="2182">
        <f t="shared" si="70"/>
        <v>1.9700166183432389E-2</v>
      </c>
      <c r="BC75" s="2182">
        <f t="shared" si="70"/>
        <v>1.819682496253857E-2</v>
      </c>
      <c r="BD75" s="2182">
        <f t="shared" si="70"/>
        <v>1.819682496253857E-2</v>
      </c>
      <c r="BE75" s="2182">
        <f t="shared" si="70"/>
        <v>1.7087291689368705E-2</v>
      </c>
      <c r="BF75" s="2182">
        <f t="shared" si="70"/>
        <v>1.1181292164106935E-2</v>
      </c>
      <c r="BG75" s="2182">
        <f t="shared" si="70"/>
        <v>8.1655441451747648E-3</v>
      </c>
      <c r="BH75" s="2182">
        <f t="shared" si="70"/>
        <v>3.3690778930828584E-3</v>
      </c>
      <c r="BI75" s="2182">
        <f t="shared" si="70"/>
        <v>3.3690778930828584E-3</v>
      </c>
      <c r="BJ75" s="2182">
        <f t="shared" si="70"/>
        <v>3.3690778930828584E-3</v>
      </c>
      <c r="BK75" s="2182">
        <f t="shared" si="70"/>
        <v>2.2595446199129929E-3</v>
      </c>
      <c r="BL75" s="2182">
        <f t="shared" si="70"/>
        <v>1.1091754131416086E-3</v>
      </c>
      <c r="BM75" s="2182">
        <f t="shared" si="70"/>
        <v>0</v>
      </c>
      <c r="BN75" s="2182">
        <f t="shared" si="70"/>
        <v>0</v>
      </c>
      <c r="BO75" s="2182">
        <f t="shared" si="70"/>
        <v>0</v>
      </c>
      <c r="BP75" s="2182">
        <f t="shared" si="70"/>
        <v>0</v>
      </c>
      <c r="BQ75" s="2182">
        <f t="shared" si="70"/>
        <v>0</v>
      </c>
    </row>
  </sheetData>
  <protectedRanges>
    <protectedRange sqref="G8 E8" name="区域2_1_1_1_2_1_1_3_2_1_1"/>
    <protectedRange sqref="F7 D7" name="区域2_1_2_1_2_1_1_3_2_1_1"/>
    <protectedRange sqref="G9:G10 G7 E9:E10 E7" name="区域2_1_5_1_2_1_1_3_2_1_1"/>
    <protectedRange sqref="A23:DP23" name="区域2"/>
    <protectedRange sqref="B7:B8" name="区域2_1_2_1_2_1_1_3_2_1_1_1_1"/>
  </protectedRanges>
  <mergeCells count="7">
    <mergeCell ref="F1:G1"/>
    <mergeCell ref="F13:G13"/>
    <mergeCell ref="A1:A2"/>
    <mergeCell ref="B13:C13"/>
    <mergeCell ref="D13:E13"/>
    <mergeCell ref="B1:C1"/>
    <mergeCell ref="D1:E1"/>
  </mergeCells>
  <phoneticPr fontId="19"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7"/>
  <sheetViews>
    <sheetView zoomScale="85" zoomScaleNormal="85" workbookViewId="0">
      <pane xSplit="1" ySplit="2" topLeftCell="N3" activePane="bottomRight" state="frozen"/>
      <selection activeCell="E21" sqref="E21"/>
      <selection pane="topRight" activeCell="E21" sqref="E21"/>
      <selection pane="bottomLeft" activeCell="E21" sqref="E21"/>
      <selection pane="bottomRight" activeCell="Q26" sqref="Q26"/>
    </sheetView>
  </sheetViews>
  <sheetFormatPr defaultColWidth="9" defaultRowHeight="15.5"/>
  <cols>
    <col min="1" max="1" width="17.08203125" style="288" customWidth="1"/>
    <col min="2" max="3" width="13.33203125" style="288" customWidth="1"/>
    <col min="4" max="4" width="14.5" style="288" customWidth="1"/>
    <col min="5" max="9" width="14.08203125" style="288" customWidth="1"/>
    <col min="10" max="10" width="6.33203125" style="288" customWidth="1"/>
    <col min="11" max="11" width="13" style="288" customWidth="1"/>
    <col min="12" max="12" width="16.33203125" style="288" customWidth="1"/>
    <col min="13" max="13" width="14.1640625" style="288" customWidth="1"/>
    <col min="14" max="14" width="13.58203125" style="288" customWidth="1"/>
    <col min="15" max="18" width="14.1640625" style="288" customWidth="1"/>
    <col min="19" max="19" width="12.33203125" style="288" customWidth="1"/>
    <col min="20" max="20" width="11.6640625" style="288" customWidth="1"/>
    <col min="21" max="23" width="11.58203125" style="288" customWidth="1"/>
    <col min="24" max="256" width="9" style="288" customWidth="1"/>
  </cols>
  <sheetData>
    <row r="1" spans="1:21">
      <c r="A1" s="289"/>
      <c r="B1" s="290" t="s">
        <v>2034</v>
      </c>
      <c r="C1" s="290" t="s">
        <v>2034</v>
      </c>
      <c r="D1" s="290" t="s">
        <v>8</v>
      </c>
      <c r="E1" s="290" t="s">
        <v>2034</v>
      </c>
      <c r="F1" s="290" t="s">
        <v>2034</v>
      </c>
      <c r="G1" s="290" t="s">
        <v>2034</v>
      </c>
      <c r="H1" s="290" t="s">
        <v>2034</v>
      </c>
      <c r="I1" s="290" t="s">
        <v>2034</v>
      </c>
      <c r="J1" s="291"/>
      <c r="K1" s="290" t="s">
        <v>2042</v>
      </c>
      <c r="L1" s="290" t="s">
        <v>989</v>
      </c>
      <c r="M1" s="290" t="s">
        <v>2042</v>
      </c>
      <c r="N1" s="290" t="s">
        <v>2042</v>
      </c>
      <c r="O1" s="290" t="s">
        <v>2042</v>
      </c>
      <c r="P1" s="290" t="s">
        <v>2042</v>
      </c>
      <c r="Q1" s="290" t="s">
        <v>2042</v>
      </c>
      <c r="R1" s="290" t="s">
        <v>2042</v>
      </c>
      <c r="S1" s="290" t="s">
        <v>2042</v>
      </c>
      <c r="T1" s="2262" t="s">
        <v>2041</v>
      </c>
    </row>
    <row r="2" spans="1:21">
      <c r="A2" s="289"/>
      <c r="B2" s="289" t="str">
        <f>'成本汇总（分摊）'!E3</f>
        <v>车位</v>
      </c>
      <c r="C2" s="289" t="str">
        <f>'成本汇总（分摊）'!H3</f>
        <v>高层（27F）</v>
      </c>
      <c r="D2" s="289" t="str">
        <f>'成本汇总（分摊）'!K3</f>
        <v>人防车位</v>
      </c>
      <c r="E2" s="289" t="str">
        <f>'成本汇总（分摊）'!N3</f>
        <v>人才公寓26F（可售、T7）</v>
      </c>
      <c r="F2" s="289" t="str">
        <f>'成本汇总（分摊）'!Q3</f>
        <v>小高层（8~11F）</v>
      </c>
      <c r="G2" s="289" t="str">
        <f>'成本汇总（分摊）'!T3</f>
        <v>临街商业</v>
      </c>
      <c r="H2" s="289"/>
      <c r="I2" s="289"/>
      <c r="J2" s="292"/>
      <c r="K2" s="289" t="str">
        <f>B2</f>
        <v>车位</v>
      </c>
      <c r="L2" s="289" t="str">
        <f t="shared" ref="L2:R2" si="0">C2</f>
        <v>高层（27F）</v>
      </c>
      <c r="M2" s="289" t="str">
        <f t="shared" si="0"/>
        <v>人防车位</v>
      </c>
      <c r="N2" s="289" t="str">
        <f t="shared" si="0"/>
        <v>人才公寓26F（可售、T7）</v>
      </c>
      <c r="O2" s="289" t="str">
        <f t="shared" si="0"/>
        <v>小高层（8~11F）</v>
      </c>
      <c r="P2" s="289" t="str">
        <f t="shared" si="0"/>
        <v>临街商业</v>
      </c>
      <c r="Q2" s="289">
        <f t="shared" si="0"/>
        <v>0</v>
      </c>
      <c r="R2" s="289">
        <f t="shared" si="0"/>
        <v>0</v>
      </c>
      <c r="S2" s="290" t="s">
        <v>2036</v>
      </c>
      <c r="T2" s="2263"/>
    </row>
    <row r="3" spans="1:21">
      <c r="A3" s="289"/>
      <c r="B3" s="290" t="s">
        <v>2040</v>
      </c>
      <c r="C3" s="290" t="s">
        <v>2040</v>
      </c>
      <c r="D3" s="290" t="s">
        <v>2040</v>
      </c>
      <c r="E3" s="290" t="s">
        <v>2040</v>
      </c>
      <c r="F3" s="290" t="s">
        <v>2040</v>
      </c>
      <c r="G3" s="290" t="s">
        <v>2040</v>
      </c>
      <c r="H3" s="290" t="s">
        <v>2040</v>
      </c>
      <c r="I3" s="290" t="s">
        <v>2040</v>
      </c>
      <c r="J3" s="291"/>
      <c r="K3" s="290" t="s">
        <v>2040</v>
      </c>
      <c r="L3" s="290" t="s">
        <v>2040</v>
      </c>
      <c r="M3" s="290" t="s">
        <v>2040</v>
      </c>
      <c r="N3" s="290" t="s">
        <v>2040</v>
      </c>
      <c r="O3" s="290" t="s">
        <v>2040</v>
      </c>
      <c r="P3" s="290" t="s">
        <v>2040</v>
      </c>
      <c r="Q3" s="290" t="s">
        <v>2040</v>
      </c>
      <c r="R3" s="290" t="s">
        <v>2040</v>
      </c>
      <c r="S3" s="290" t="s">
        <v>2040</v>
      </c>
      <c r="T3" s="293"/>
    </row>
    <row r="4" spans="1:21">
      <c r="A4" s="294" t="s">
        <v>2039</v>
      </c>
      <c r="B4" s="295">
        <f>'成本汇总（分摊）'!AF6</f>
        <v>24565.840000000004</v>
      </c>
      <c r="C4" s="295">
        <f>'成本汇总（分摊）'!AI6</f>
        <v>43173.95</v>
      </c>
      <c r="D4" s="295">
        <f>'成本汇总（分摊）'!AL6</f>
        <v>9409.4599999999991</v>
      </c>
      <c r="E4" s="295">
        <f>'成本汇总（分摊）'!AO6</f>
        <v>0</v>
      </c>
      <c r="F4" s="295">
        <f>'成本汇总（分摊）'!AR6</f>
        <v>59174.38</v>
      </c>
      <c r="G4" s="295">
        <f>'成本汇总（分摊）'!AU5</f>
        <v>1058.93</v>
      </c>
      <c r="H4" s="295"/>
      <c r="I4" s="295"/>
      <c r="J4" s="296"/>
      <c r="K4" s="295">
        <f>B4</f>
        <v>24565.840000000004</v>
      </c>
      <c r="L4" s="295">
        <f t="shared" ref="L4:P4" si="1">C4</f>
        <v>43173.95</v>
      </c>
      <c r="M4" s="295">
        <f t="shared" si="1"/>
        <v>9409.4599999999991</v>
      </c>
      <c r="N4" s="295">
        <f t="shared" si="1"/>
        <v>0</v>
      </c>
      <c r="O4" s="295">
        <f t="shared" si="1"/>
        <v>59174.38</v>
      </c>
      <c r="P4" s="295">
        <f t="shared" si="1"/>
        <v>1058.93</v>
      </c>
      <c r="Q4" s="295"/>
      <c r="R4" s="295"/>
      <c r="S4" s="295">
        <f t="shared" ref="S4:S10" si="2">SUM(K4:R4)</f>
        <v>137382.56</v>
      </c>
      <c r="T4" s="294" t="s">
        <v>2033</v>
      </c>
    </row>
    <row r="5" spans="1:21">
      <c r="A5" s="297" t="str">
        <f>'成本汇总（分摊）'!D8</f>
        <v>土地及政府规费</v>
      </c>
      <c r="B5" s="298">
        <f>SUMIF('成本汇总（分摊）'!$D$8:$D$54,'1-成本过渡'!$A5,'成本汇总（分摊）'!F$8:F$54)</f>
        <v>0</v>
      </c>
      <c r="C5" s="298">
        <f>SUMIF('成本汇总（分摊）'!$D$8:$D$54,'1-成本过渡'!$A5,'成本汇总（分摊）'!I$8:I$54)</f>
        <v>2688.5506599092637</v>
      </c>
      <c r="D5" s="298">
        <f>SUMIF('成本汇总（分摊）'!$D$8:$D$54,'1-成本过渡'!$A5,'成本汇总（分摊）'!L$8:L$54)</f>
        <v>0</v>
      </c>
      <c r="E5" s="298">
        <f>SUMIF('成本汇总（分摊）'!$D$8:$D$54,'1-成本过渡'!$A5,'成本汇总（分摊）'!O$8:O$54)</f>
        <v>0</v>
      </c>
      <c r="F5" s="298">
        <f>SUMIF('成本汇总（分摊）'!$D$8:$D$54,'1-成本过渡'!$A5,'成本汇总（分摊）'!R$8:R$54)</f>
        <v>4065.0837514158497</v>
      </c>
      <c r="G5" s="298">
        <f>SUMIF('成本汇总（分摊）'!$D$8:$D$54,'1-成本过渡'!$A5,'成本汇总（分摊）'!U$8:U$54)</f>
        <v>7456.7641000853773</v>
      </c>
      <c r="H5" s="298"/>
      <c r="I5" s="298"/>
      <c r="J5" s="296"/>
      <c r="K5" s="298">
        <f>SUMIF('成本汇总（分摊）'!$D$8:$D$54,'1-成本过渡'!$A5,'成本汇总（分摊）'!AG$8:AG$54)</f>
        <v>0</v>
      </c>
      <c r="L5" s="298">
        <f>SUMIF('成本汇总（分摊）'!$D$8:$D$54,'1-成本过渡'!$A5,'成本汇总（分摊）'!AJ$8:AJ$54)</f>
        <v>11607.535176338954</v>
      </c>
      <c r="M5" s="298">
        <f>SUMIF('成本汇总（分摊）'!$D$8:$D$54,'1-成本过渡'!$A5,'成本汇总（分摊）'!AM$8:AM$54)</f>
        <v>0</v>
      </c>
      <c r="N5" s="298">
        <f>SUMIF('成本汇总（分摊）'!$D$8:$D$54,'1-成本过渡'!$A5,'成本汇总（分摊）'!AP$8:AP$54)</f>
        <v>0</v>
      </c>
      <c r="O5" s="298">
        <f>SUMIF('成本汇总（分摊）'!$D$8:$D$54,'1-成本过渡'!$A5,'成本汇总（分摊）'!AS$8:AS$54)</f>
        <v>24054.881063810702</v>
      </c>
      <c r="P5" s="298">
        <f>SUMIF('成本汇总（分摊）'!$D$8:$D$54,'1-成本过渡'!$A5,'成本汇总（分摊）'!AV$8:AV$54)</f>
        <v>789.61912085034089</v>
      </c>
      <c r="Q5" s="298"/>
      <c r="R5" s="298"/>
      <c r="S5" s="298">
        <f>SUM(K5:R5)</f>
        <v>36452.035361000002</v>
      </c>
      <c r="T5" s="298"/>
      <c r="U5" s="288">
        <f>S5+'2-成本过渡'!Q5+'3-成本过渡'!Q5</f>
        <v>36452.035361000002</v>
      </c>
    </row>
    <row r="6" spans="1:21">
      <c r="A6" s="294" t="str">
        <f>'成本汇总（分摊）'!D11</f>
        <v>配套及地下室工程费</v>
      </c>
      <c r="B6" s="295">
        <f>SUMIF('成本汇总（分摊）'!$D$8:$D$54,'1-成本过渡'!$A6,'成本汇总（分摊）'!F$8:F$54)</f>
        <v>0</v>
      </c>
      <c r="C6" s="295">
        <f>SUMIF('成本汇总（分摊）'!$D$8:$D$54,'1-成本过渡'!$A6,'成本汇总（分摊）'!I$8:I$54)</f>
        <v>1052.2520184147165</v>
      </c>
      <c r="D6" s="295">
        <f>SUMIF('成本汇总（分摊）'!$D$8:$D$54,'1-成本过渡'!$A6,'成本汇总（分摊）'!L$8:L$54)</f>
        <v>31.595355526523264</v>
      </c>
      <c r="E6" s="295">
        <f>SUMIF('成本汇总（分摊）'!$D$8:$D$54,'1-成本过渡'!$A6,'成本汇总（分摊）'!O$8:O$54)</f>
        <v>0</v>
      </c>
      <c r="F6" s="295">
        <f>SUMIF('成本汇总（分摊）'!$D$8:$D$54,'1-成本过渡'!$A6,'成本汇总（分摊）'!R$8:R$54)</f>
        <v>1052.2520184147165</v>
      </c>
      <c r="G6" s="295">
        <f>SUMIF('成本汇总（分摊）'!$D$8:$D$54,'1-成本过渡'!$A6,'成本汇总（分摊）'!U$8:U$54)</f>
        <v>1052.2520184147165</v>
      </c>
      <c r="H6" s="295"/>
      <c r="I6" s="295"/>
      <c r="J6" s="296"/>
      <c r="K6" s="299">
        <f>SUMIF('成本汇总（分摊）'!$D$8:$D$54,'1-成本过渡'!$A6,'成本汇总（分摊）'!AG$8:AG$54)</f>
        <v>0</v>
      </c>
      <c r="L6" s="299">
        <f>SUMIF('成本汇总（分摊）'!$D$8:$D$54,'1-成本过渡'!$A6,'成本汇总（分摊）'!AJ$8:AJ$54)</f>
        <v>4542.9876030436044</v>
      </c>
      <c r="M6" s="299">
        <f>SUMIF('成本汇总（分摊）'!$D$8:$D$54,'1-成本过渡'!$A6,'成本汇总（分摊）'!AM$8:AM$54)</f>
        <v>29.729523401259957</v>
      </c>
      <c r="N6" s="299">
        <f>SUMIF('成本汇总（分摊）'!$D$8:$D$54,'1-成本过渡'!$A6,'成本汇总（分摊）'!AP$8:AP$54)</f>
        <v>0</v>
      </c>
      <c r="O6" s="299">
        <f>SUMIF('成本汇总（分摊）'!$D$8:$D$54,'1-成本过渡'!$A6,'成本汇总（分摊）'!AS$8:AS$54)</f>
        <v>6226.6360793439426</v>
      </c>
      <c r="P6" s="299">
        <f>SUMIF('成本汇总（分摊）'!$D$8:$D$54,'1-成本过渡'!$A6,'成本汇总（分摊）'!AV$8:AV$54)</f>
        <v>111.42612298598958</v>
      </c>
      <c r="Q6" s="299"/>
      <c r="R6" s="299"/>
      <c r="S6" s="295">
        <f t="shared" si="2"/>
        <v>10910.779328774797</v>
      </c>
      <c r="T6" s="295"/>
      <c r="U6" s="288">
        <f>工程款付款计划!B53</f>
        <v>59476.924996999995</v>
      </c>
    </row>
    <row r="7" spans="1:21">
      <c r="A7" s="294" t="str">
        <f>'成本汇总（分摊）'!D16</f>
        <v>基建及管网工程费</v>
      </c>
      <c r="B7" s="295">
        <f>SUMIF('成本汇总（分摊）'!$D$8:$D$54,'1-成本过渡'!$A7,'成本汇总（分摊）'!F$8:F$54)</f>
        <v>814.89179663264167</v>
      </c>
      <c r="C7" s="295">
        <f>SUMIF('成本汇总（分摊）'!$D$8:$D$54,'1-成本过渡'!$A7,'成本汇总（分摊）'!I$8:I$54)</f>
        <v>2476.8161166197929</v>
      </c>
      <c r="D7" s="295">
        <f>SUMIF('成本汇总（分摊）'!$D$8:$D$54,'1-成本过渡'!$A7,'成本汇总（分摊）'!L$8:L$54)</f>
        <v>767.41200801342848</v>
      </c>
      <c r="E7" s="295">
        <f>SUMIF('成本汇总（分摊）'!$D$8:$D$54,'1-成本过渡'!$A7,'成本汇总（分摊）'!O$8:O$54)</f>
        <v>0</v>
      </c>
      <c r="F7" s="295">
        <f>SUMIF('成本汇总（分摊）'!$D$8:$D$54,'1-成本过渡'!$A7,'成本汇总（分摊）'!R$8:R$54)</f>
        <v>2491.4875838211274</v>
      </c>
      <c r="G7" s="295">
        <f>SUMIF('成本汇总（分摊）'!$D$8:$D$54,'1-成本过渡'!$A7,'成本汇总（分摊）'!U$8:U$54)</f>
        <v>3469.0312027703944</v>
      </c>
      <c r="H7" s="295"/>
      <c r="I7" s="295"/>
      <c r="J7" s="296"/>
      <c r="K7" s="299">
        <f>SUMIF('成本汇总（分摊）'!$D$8:$D$54,'1-成本过渡'!$A7,'成本汇总（分摊）'!AG$8:AG$54)</f>
        <v>2001.8501493390015</v>
      </c>
      <c r="L7" s="299">
        <f>SUMIF('成本汇总（分摊）'!$D$8:$D$54,'1-成本过渡'!$A7,'成本汇总（分摊）'!AJ$8:AJ$54)</f>
        <v>10693.393517813711</v>
      </c>
      <c r="M7" s="299">
        <f>SUMIF('成本汇总（分摊）'!$D$8:$D$54,'1-成本过渡'!$A7,'成本汇总（分摊）'!AM$8:AM$54)</f>
        <v>722.09325929220336</v>
      </c>
      <c r="N7" s="299">
        <f>SUMIF('成本汇总（分摊）'!$D$8:$D$54,'1-成本过渡'!$A7,'成本汇总（分摊）'!AP$8:AP$54)</f>
        <v>0</v>
      </c>
      <c r="O7" s="299">
        <f>SUMIF('成本汇总（分摊）'!$D$8:$D$54,'1-成本过渡'!$A7,'成本汇总（分摊）'!AS$8:AS$54)</f>
        <v>14743.223305031323</v>
      </c>
      <c r="P7" s="299">
        <f>SUMIF('成本汇总（分摊）'!$D$8:$D$54,'1-成本过渡'!$A7,'成本汇总（分摊）'!AV$8:AV$54)</f>
        <v>367.34612115496543</v>
      </c>
      <c r="Q7" s="299"/>
      <c r="R7" s="299"/>
      <c r="S7" s="295">
        <f t="shared" si="2"/>
        <v>28527.906352631202</v>
      </c>
      <c r="T7" s="295"/>
    </row>
    <row r="8" spans="1:21">
      <c r="A8" s="294" t="str">
        <f>'成本汇总（分摊）'!D26</f>
        <v>装饰及环保工程费</v>
      </c>
      <c r="B8" s="295">
        <f>SUMIF('成本汇总（分摊）'!$D$8:$D$54,'1-成本过渡'!$A8,'成本汇总（分摊）'!F$8:F$54)</f>
        <v>32.054554253501358</v>
      </c>
      <c r="C8" s="295">
        <f>SUMIF('成本汇总（分摊）'!$D$8:$D$54,'1-成本过渡'!$A8,'成本汇总（分摊）'!I$8:I$54)</f>
        <v>637.18619422128404</v>
      </c>
      <c r="D8" s="295">
        <f>SUMIF('成本汇总（分摊）'!$D$8:$D$54,'1-成本过渡'!$A8,'成本汇总（分摊）'!L$8:L$54)</f>
        <v>16.294873975456241</v>
      </c>
      <c r="E8" s="295">
        <f>SUMIF('成本汇总（分摊）'!$D$8:$D$54,'1-成本过渡'!$A8,'成本汇总（分摊）'!O$8:O$54)</f>
        <v>0</v>
      </c>
      <c r="F8" s="295">
        <f>SUMIF('成本汇总（分摊）'!$D$8:$D$54,'1-成本过渡'!$A8,'成本汇总（分摊）'!R$8:R$54)</f>
        <v>619.79239562797284</v>
      </c>
      <c r="G8" s="295">
        <f>SUMIF('成本汇总（分摊）'!$D$8:$D$54,'1-成本过渡'!$A8,'成本汇总（分摊）'!U$8:U$54)</f>
        <v>796.93106248760535</v>
      </c>
      <c r="H8" s="295"/>
      <c r="I8" s="295"/>
      <c r="J8" s="296"/>
      <c r="K8" s="299">
        <f>SUMIF('成本汇总（分摊）'!$D$8:$D$54,'1-成本过渡'!$A8,'成本汇总（分摊）'!AG$8:AG$54)</f>
        <v>78.744705106283391</v>
      </c>
      <c r="L8" s="299">
        <f>SUMIF('成本汇总（分摊）'!$D$8:$D$54,'1-成本过渡'!$A8,'成本汇总（分摊）'!AJ$8:AJ$54)</f>
        <v>2750.9844890000004</v>
      </c>
      <c r="M8" s="299">
        <f>SUMIF('成本汇总（分摊）'!$D$8:$D$54,'1-成本过渡'!$A8,'成本汇总（分摊）'!AM$8:AM$54)</f>
        <v>15.332596487709647</v>
      </c>
      <c r="N8" s="299">
        <f>SUMIF('成本汇总（分摊）'!$D$8:$D$54,'1-成本过渡'!$A8,'成本汇总（分摊）'!AP$8:AP$54)</f>
        <v>0</v>
      </c>
      <c r="O8" s="299">
        <f>SUMIF('成本汇总（分摊）'!$D$8:$D$54,'1-成本过渡'!$A8,'成本汇总（分摊）'!AS$8:AS$54)</f>
        <v>3667.5830740000001</v>
      </c>
      <c r="P8" s="299">
        <f>SUMIF('成本汇总（分摊）'!$D$8:$D$54,'1-成本过渡'!$A8,'成本汇总（分摊）'!AV$8:AV$54)</f>
        <v>84.389420999999999</v>
      </c>
      <c r="Q8" s="299"/>
      <c r="R8" s="299"/>
      <c r="S8" s="295">
        <f t="shared" si="2"/>
        <v>6597.0342855939934</v>
      </c>
      <c r="T8" s="295"/>
    </row>
    <row r="9" spans="1:21">
      <c r="A9" s="294" t="str">
        <f>'成本汇总（分摊）'!D31</f>
        <v>环境提升工程费</v>
      </c>
      <c r="B9" s="295">
        <f>SUMIF('成本汇总（分摊）'!$D$8:$D$54,'1-成本过渡'!$A9,'成本汇总（分摊）'!F$8:F$54)</f>
        <v>0</v>
      </c>
      <c r="C9" s="295">
        <f>SUMIF('成本汇总（分摊）'!$D$8:$D$54,'1-成本过渡'!$A9,'成本汇总（分摊）'!I$8:I$54)</f>
        <v>167.89220878034027</v>
      </c>
      <c r="D9" s="295">
        <f>SUMIF('成本汇总（分摊）'!$D$8:$D$54,'1-成本过渡'!$A9,'成本汇总（分摊）'!L$8:L$54)</f>
        <v>0</v>
      </c>
      <c r="E9" s="295">
        <f>SUMIF('成本汇总（分摊）'!$D$8:$D$54,'1-成本过渡'!$A9,'成本汇总（分摊）'!O$8:O$54)</f>
        <v>0</v>
      </c>
      <c r="F9" s="295">
        <f>SUMIF('成本汇总（分摊）'!$D$8:$D$54,'1-成本过渡'!$A9,'成本汇总（分摊）'!R$8:R$54)</f>
        <v>268.97188281105895</v>
      </c>
      <c r="G9" s="295">
        <f>SUMIF('成本汇总（分摊）'!$D$8:$D$54,'1-成本过渡'!$A9,'成本汇总（分摊）'!U$8:U$54)</f>
        <v>518.02506298901619</v>
      </c>
      <c r="H9" s="295"/>
      <c r="I9" s="295"/>
      <c r="J9" s="296"/>
      <c r="K9" s="299">
        <f>SUMIF('成本汇总（分摊）'!$D$8:$D$54,'1-成本过渡'!$A9,'成本汇总（分摊）'!AG$8:AG$54)</f>
        <v>0</v>
      </c>
      <c r="L9" s="299">
        <f>SUMIF('成本汇总（分摊）'!$D$8:$D$54,'1-成本过渡'!$A9,'成本汇总（分摊）'!AJ$8:AJ$54)</f>
        <v>724.85698272719708</v>
      </c>
      <c r="M9" s="299">
        <f>SUMIF('成本汇总（分摊）'!$D$8:$D$54,'1-成本过渡'!$A9,'成本汇总（分摊）'!AM$8:AM$54)</f>
        <v>0</v>
      </c>
      <c r="N9" s="299">
        <f>SUMIF('成本汇总（分摊）'!$D$8:$D$54,'1-成本过渡'!$A9,'成本汇总（分摊）'!AP$8:AP$54)</f>
        <v>0</v>
      </c>
      <c r="O9" s="299">
        <f>SUMIF('成本汇总（分摊）'!$D$8:$D$54,'1-成本过渡'!$A9,'成本汇总（分摊）'!AS$8:AS$54)</f>
        <v>1591.624440277707</v>
      </c>
      <c r="P9" s="299">
        <f>SUMIF('成本汇总（分摊）'!$D$8:$D$54,'1-成本过渡'!$A9,'成本汇总（分摊）'!AV$8:AV$54)</f>
        <v>54.855227995095895</v>
      </c>
      <c r="Q9" s="299"/>
      <c r="R9" s="299"/>
      <c r="S9" s="295">
        <f t="shared" si="2"/>
        <v>2371.3366510000001</v>
      </c>
      <c r="T9" s="295"/>
    </row>
    <row r="10" spans="1:21">
      <c r="A10" s="294" t="str">
        <f>'成本汇总（分摊）'!D35</f>
        <v>开发管理费</v>
      </c>
      <c r="B10" s="295">
        <f>SUMIF('成本汇总（分摊）'!$D$8:$D$54,'1-成本过渡'!$A10,'成本汇总（分摊）'!F$8:F$54)</f>
        <v>0</v>
      </c>
      <c r="C10" s="295">
        <f>SUMIF('成本汇总（分摊）'!$D$8:$D$54,'1-成本过渡'!$A10,'成本汇总（分摊）'!I$8:I$54)</f>
        <v>432.3396299254037</v>
      </c>
      <c r="D10" s="295">
        <f>SUMIF('成本汇总（分摊）'!$D$8:$D$54,'1-成本过渡'!$A10,'成本汇总（分摊）'!L$8:L$54)</f>
        <v>0</v>
      </c>
      <c r="E10" s="295">
        <f>SUMIF('成本汇总（分摊）'!$D$8:$D$54,'1-成本过渡'!$A10,'成本汇总（分摊）'!O$8:O$54)</f>
        <v>0</v>
      </c>
      <c r="F10" s="295">
        <f>SUMIF('成本汇总（分摊）'!$D$8:$D$54,'1-成本过渡'!$A10,'成本汇总（分摊）'!R$8:R$54)</f>
        <v>432.33962992540364</v>
      </c>
      <c r="G10" s="295">
        <f>SUMIF('成本汇总（分摊）'!$D$8:$D$54,'1-成本过渡'!$A10,'成本汇总（分摊）'!U$8:U$54)</f>
        <v>432.33962992540376</v>
      </c>
      <c r="H10" s="295"/>
      <c r="I10" s="295"/>
      <c r="J10" s="296"/>
      <c r="K10" s="299">
        <f>SUMIF('成本汇总（分摊）'!$D$8:$D$54,'1-成本过渡'!$A10,'成本汇总（分摊）'!AG$8:AG$54)</f>
        <v>0</v>
      </c>
      <c r="L10" s="299">
        <f>SUMIF('成本汇总（分摊）'!$D$8:$D$54,'1-成本过渡'!$A10,'成本汇总（分摊）'!AJ$8:AJ$54)</f>
        <v>1866.5809565417881</v>
      </c>
      <c r="M10" s="299">
        <f>SUMIF('成本汇总（分摊）'!$D$8:$D$54,'1-成本过渡'!$A10,'成本汇总（分摊）'!AM$8:AM$54)</f>
        <v>0</v>
      </c>
      <c r="N10" s="299">
        <f>SUMIF('成本汇总（分摊）'!$D$8:$D$54,'1-成本过渡'!$A10,'成本汇总（分摊）'!AP$8:AP$54)</f>
        <v>0</v>
      </c>
      <c r="O10" s="299">
        <f>SUMIF('成本汇总（分摊）'!$D$8:$D$54,'1-成本过渡'!$A10,'成本汇总（分摊）'!AS$8:AS$54)</f>
        <v>2558.3429550265205</v>
      </c>
      <c r="P10" s="299">
        <f>SUMIF('成本汇总（分摊）'!$D$8:$D$54,'1-成本过渡'!$A10,'成本汇总（分摊）'!AV$8:AV$54)</f>
        <v>45.781740431690778</v>
      </c>
      <c r="Q10" s="299"/>
      <c r="R10" s="299"/>
      <c r="S10" s="295">
        <f t="shared" si="2"/>
        <v>4470.7056519999996</v>
      </c>
      <c r="T10" s="295"/>
    </row>
    <row r="11" spans="1:21">
      <c r="A11" s="297" t="s">
        <v>2038</v>
      </c>
      <c r="B11" s="298">
        <f t="shared" ref="B11:G11" si="3">SUM(B6:B10)</f>
        <v>846.94635088614302</v>
      </c>
      <c r="C11" s="298">
        <f t="shared" si="3"/>
        <v>4766.4861679615369</v>
      </c>
      <c r="D11" s="298">
        <f>SUM(D6:D10)</f>
        <v>815.30223751540791</v>
      </c>
      <c r="E11" s="298">
        <f t="shared" si="3"/>
        <v>0</v>
      </c>
      <c r="F11" s="298">
        <f t="shared" si="3"/>
        <v>4864.8435106002789</v>
      </c>
      <c r="G11" s="298">
        <f t="shared" si="3"/>
        <v>6268.5789765871359</v>
      </c>
      <c r="H11" s="298"/>
      <c r="I11" s="298"/>
      <c r="J11" s="296"/>
      <c r="K11" s="298">
        <f t="shared" ref="K11:S11" si="4">SUM(K6:K10)</f>
        <v>2080.5948544452849</v>
      </c>
      <c r="L11" s="298">
        <f>SUM(L6:L10)</f>
        <v>20578.8035491263</v>
      </c>
      <c r="M11" s="298">
        <f t="shared" si="4"/>
        <v>767.15537918117298</v>
      </c>
      <c r="N11" s="298">
        <f t="shared" si="4"/>
        <v>0</v>
      </c>
      <c r="O11" s="298">
        <f t="shared" si="4"/>
        <v>28787.409853679492</v>
      </c>
      <c r="P11" s="298">
        <f t="shared" si="4"/>
        <v>663.79863356774172</v>
      </c>
      <c r="Q11" s="298"/>
      <c r="R11" s="298"/>
      <c r="S11" s="298">
        <f t="shared" si="4"/>
        <v>52877.762269999992</v>
      </c>
      <c r="T11" s="295"/>
    </row>
    <row r="12" spans="1:21">
      <c r="A12" s="300" t="str">
        <f>'成本汇总（分摊）'!D21</f>
        <v>室内精装修工程费</v>
      </c>
      <c r="B12" s="295">
        <f>SUMIF('成本汇总（分摊）'!$D$8:$D$54,'1-成本过渡'!$A12,'成本汇总（分摊）'!F$8:F$54)</f>
        <v>0</v>
      </c>
      <c r="C12" s="295">
        <f>SUMIF('成本汇总（分摊）'!$D$8:$D$54,'1-成本过渡'!$A12,'成本汇总（分摊）'!I$8:I$54)</f>
        <v>556.73110336209675</v>
      </c>
      <c r="D12" s="295">
        <f>SUMIF('成本汇总（分摊）'!$D$8:$D$54,'1-成本过渡'!$A12,'成本汇总（分摊）'!L$8:L$54)</f>
        <v>0</v>
      </c>
      <c r="E12" s="295">
        <f>SUMIF('成本汇总（分摊）'!$D$8:$D$54,'1-成本过渡'!$A12,'成本汇总（分摊）'!O$8:O$54)</f>
        <v>0</v>
      </c>
      <c r="F12" s="295">
        <f>SUMIF('成本汇总（分摊）'!$D$8:$D$54,'1-成本过渡'!$A12,'成本汇总（分摊）'!R$8:R$54)</f>
        <v>709.012015841991</v>
      </c>
      <c r="G12" s="295">
        <f>SUMIF('成本汇总（分摊）'!$D$8:$D$54,'1-成本过渡'!$A12,'成本汇总（分摊）'!U$8:U$54)</f>
        <v>0</v>
      </c>
      <c r="H12" s="295"/>
      <c r="I12" s="295"/>
      <c r="J12" s="296"/>
      <c r="K12" s="299">
        <f>SUMIF('成本汇总（分摊）'!$D$8:$D$54,'1-成本过渡'!$A12,'成本汇总（分摊）'!AG$8:AG$54)</f>
        <v>0</v>
      </c>
      <c r="L12" s="299">
        <f>SUMIF('成本汇总（分摊）'!$D$8:$D$54,'1-成本过渡'!$A12,'成本汇总（分摊）'!AJ$8:AJ$54)</f>
        <v>2403.6280819999993</v>
      </c>
      <c r="M12" s="299">
        <f>SUMIF('成本汇总（分摊）'!$D$8:$D$54,'1-成本过渡'!$A12,'成本汇总（分摊）'!AM$8:AM$54)</f>
        <v>0</v>
      </c>
      <c r="N12" s="299">
        <f>SUMIF('成本汇总（分摊）'!$D$8:$D$54,'1-成本过渡'!$A12,'成本汇总（分摊）'!AP$8:AP$54)</f>
        <v>0</v>
      </c>
      <c r="O12" s="299">
        <f>SUMIF('成本汇总（分摊）'!$D$8:$D$54,'1-成本过渡'!$A12,'成本汇总（分摊）'!AS$8:AS$54)</f>
        <v>4195.5346449999997</v>
      </c>
      <c r="P12" s="299">
        <f>SUMIF('成本汇总（分摊）'!$D$8:$D$54,'1-成本过渡'!$A12,'成本汇总（分摊）'!AV$8:AV$54)</f>
        <v>0</v>
      </c>
      <c r="Q12" s="299"/>
      <c r="R12" s="299"/>
      <c r="S12" s="295">
        <f>SUM(K12:R12)</f>
        <v>6599.162726999999</v>
      </c>
      <c r="T12" s="295"/>
    </row>
    <row r="13" spans="1:21">
      <c r="A13" s="297" t="s">
        <v>2037</v>
      </c>
      <c r="B13" s="298">
        <f t="shared" ref="B13:F13" si="5">B11+B12</f>
        <v>846.94635088614302</v>
      </c>
      <c r="C13" s="298">
        <f t="shared" si="5"/>
        <v>5323.2172713236341</v>
      </c>
      <c r="D13" s="298">
        <f>D11+D12</f>
        <v>815.30223751540791</v>
      </c>
      <c r="E13" s="298">
        <f t="shared" si="5"/>
        <v>0</v>
      </c>
      <c r="F13" s="298">
        <f t="shared" si="5"/>
        <v>5573.8555264422703</v>
      </c>
      <c r="G13" s="298">
        <f>G11+G12</f>
        <v>6268.5789765871359</v>
      </c>
      <c r="H13" s="298"/>
      <c r="I13" s="298"/>
      <c r="J13" s="296"/>
      <c r="K13" s="298">
        <f t="shared" ref="K13:P13" si="6">K11+K12</f>
        <v>2080.5948544452849</v>
      </c>
      <c r="L13" s="298">
        <f>L11+L12</f>
        <v>22982.431631126299</v>
      </c>
      <c r="M13" s="298">
        <f t="shared" si="6"/>
        <v>767.15537918117298</v>
      </c>
      <c r="N13" s="298">
        <f t="shared" si="6"/>
        <v>0</v>
      </c>
      <c r="O13" s="298">
        <f t="shared" si="6"/>
        <v>32982.944498679492</v>
      </c>
      <c r="P13" s="298">
        <f t="shared" si="6"/>
        <v>663.79863356774172</v>
      </c>
      <c r="Q13" s="298"/>
      <c r="R13" s="298"/>
      <c r="S13" s="298">
        <f>S11+S12</f>
        <v>59476.924996999995</v>
      </c>
      <c r="T13" s="295"/>
    </row>
    <row r="14" spans="1:21">
      <c r="A14" s="300" t="str">
        <f>'成本汇总（分摊）'!D44</f>
        <v>资本化利息</v>
      </c>
      <c r="B14" s="295">
        <f>SUMIF('成本汇总（分摊）'!$D$8:$D$54,'1-成本过渡'!$A14,'成本汇总（分摊）'!F$8:F$54)</f>
        <v>0</v>
      </c>
      <c r="C14" s="295">
        <f ca="1">SUMIF('成本汇总（分摊）'!$D$8:$D$54,'1-成本过渡'!$A14,'成本汇总（分摊）'!I$8:I$54)</f>
        <v>207.03296054841792</v>
      </c>
      <c r="D14" s="295">
        <f>SUMIF('成本汇总（分摊）'!$D$8:$D$54,'1-成本过渡'!$A14,'成本汇总（分摊）'!L$8:L$54)</f>
        <v>0</v>
      </c>
      <c r="E14" s="295">
        <f>SUMIF('成本汇总（分摊）'!$D$8:$D$54,'1-成本过渡'!$A14,'成本汇总（分摊）'!O$8:O$54)</f>
        <v>0</v>
      </c>
      <c r="F14" s="295">
        <f ca="1">SUMIF('成本汇总（分摊）'!$D$8:$D$54,'1-成本过渡'!$A14,'成本汇总（分摊）'!R$8:R$54)</f>
        <v>207.03296054841795</v>
      </c>
      <c r="G14" s="295">
        <f ca="1">SUMIF('成本汇总（分摊）'!$D$8:$D$54,'1-成本过渡'!$A14,'成本汇总（分摊）'!U$8:U$54)</f>
        <v>207.03296054841795</v>
      </c>
      <c r="H14" s="295"/>
      <c r="I14" s="295"/>
      <c r="J14" s="296"/>
      <c r="K14" s="299">
        <f>SUMIF('成本汇总（分摊）'!$D$8:$D$54,'1-成本过渡'!$A14,'成本汇总（分摊）'!AG$8:AG$54)</f>
        <v>0</v>
      </c>
      <c r="L14" s="299">
        <f ca="1">SUMIF('成本汇总（分摊）'!$D$8:$D$54,'1-成本过渡'!$A14,'成本汇总（分摊）'!AJ$8:AJ$54)</f>
        <v>893.84306870693683</v>
      </c>
      <c r="M14" s="299">
        <f>SUMIF('成本汇总（分摊）'!$D$8:$D$54,'1-成本过渡'!$A14,'成本汇总（分摊）'!AM$8:AM$54)</f>
        <v>0</v>
      </c>
      <c r="N14" s="299">
        <f ca="1">SUMIF('成本汇总（分摊）'!$D$8:$D$54,'1-成本过渡'!$A14,'成本汇总（分摊）'!AP$8:AP$54)</f>
        <v>0</v>
      </c>
      <c r="O14" s="299">
        <f ca="1">SUMIF('成本汇总（分摊）'!$D$8:$D$54,'1-成本过渡'!$A14,'成本汇总（分摊）'!AS$8:AS$54)</f>
        <v>1225.1047080017092</v>
      </c>
      <c r="P14" s="299">
        <f ca="1">SUMIF('成本汇总（分摊）'!$D$8:$D$54,'1-成本过渡'!$A14,'成本汇总（分摊）'!AV$8:AV$54)</f>
        <v>21.923341291353623</v>
      </c>
      <c r="Q14" s="299"/>
      <c r="R14" s="299"/>
      <c r="S14" s="295">
        <f ca="1">SUM(K14:R14)</f>
        <v>2140.8711179999996</v>
      </c>
      <c r="T14" s="295"/>
    </row>
    <row r="15" spans="1:21">
      <c r="A15" s="297" t="s">
        <v>2036</v>
      </c>
      <c r="B15" s="298">
        <f t="shared" ref="B15:E15" si="7">B5+B13+B14</f>
        <v>846.94635088614302</v>
      </c>
      <c r="C15" s="298">
        <f ca="1">C5+C13+C14</f>
        <v>8218.8008917813167</v>
      </c>
      <c r="D15" s="298">
        <f>D5+D13+D14</f>
        <v>815.30223751540791</v>
      </c>
      <c r="E15" s="298">
        <f t="shared" si="7"/>
        <v>0</v>
      </c>
      <c r="F15" s="298">
        <f ca="1">F5+F13+F14</f>
        <v>9845.972238406539</v>
      </c>
      <c r="G15" s="298">
        <f ca="1">G5+G13+G14</f>
        <v>13932.376037220933</v>
      </c>
      <c r="H15" s="298"/>
      <c r="I15" s="298"/>
      <c r="J15" s="296"/>
      <c r="K15" s="298">
        <f t="shared" ref="K15:S15" si="8">K5+K13+K14</f>
        <v>2080.5948544452849</v>
      </c>
      <c r="L15" s="298">
        <f ca="1">L5+L13+L14</f>
        <v>35483.809876172185</v>
      </c>
      <c r="M15" s="298">
        <f t="shared" si="8"/>
        <v>767.15537918117298</v>
      </c>
      <c r="N15" s="298">
        <f t="shared" ca="1" si="8"/>
        <v>0</v>
      </c>
      <c r="O15" s="298">
        <f t="shared" ca="1" si="8"/>
        <v>58262.930270491903</v>
      </c>
      <c r="P15" s="298">
        <f t="shared" ca="1" si="8"/>
        <v>1475.3410957094361</v>
      </c>
      <c r="Q15" s="298"/>
      <c r="R15" s="298"/>
      <c r="S15" s="298">
        <f t="shared" ca="1" si="8"/>
        <v>98069.831475999992</v>
      </c>
      <c r="T15" s="295"/>
    </row>
    <row r="16" spans="1:21">
      <c r="B16" s="288">
        <f>B15*B4</f>
        <v>20805948.54445285</v>
      </c>
      <c r="C16" s="288">
        <f ca="1">C15*C4</f>
        <v>354838098.76172197</v>
      </c>
      <c r="D16" s="288">
        <f t="shared" ref="D16:I16" si="9">D15*D4</f>
        <v>7671553.7918117298</v>
      </c>
      <c r="E16" s="288">
        <f t="shared" si="9"/>
        <v>0</v>
      </c>
      <c r="F16" s="288">
        <f t="shared" ca="1" si="9"/>
        <v>582629302.7049191</v>
      </c>
      <c r="G16" s="288">
        <f ca="1">G15*G4</f>
        <v>14753410.957094364</v>
      </c>
      <c r="H16" s="288">
        <f t="shared" si="9"/>
        <v>0</v>
      </c>
      <c r="I16" s="288">
        <f t="shared" si="9"/>
        <v>0</v>
      </c>
    </row>
    <row r="17" spans="1:29">
      <c r="A17" s="294" t="s">
        <v>2035</v>
      </c>
      <c r="B17" s="301" t="s">
        <v>2034</v>
      </c>
      <c r="J17" s="302"/>
    </row>
    <row r="18" spans="1:29">
      <c r="A18" s="295" t="str">
        <f>B2</f>
        <v>车位</v>
      </c>
      <c r="B18" s="189">
        <f>SUMIF($B$2:$I$2,A18,$B$15:$I$15)</f>
        <v>846.94635088614302</v>
      </c>
      <c r="C18" s="303"/>
      <c r="D18" s="303"/>
      <c r="J18" s="304"/>
    </row>
    <row r="19" spans="1:29">
      <c r="A19" s="295" t="str">
        <f>C2</f>
        <v>高层（27F）</v>
      </c>
      <c r="B19" s="189">
        <f t="shared" ref="B19:B25" ca="1" si="10">SUMIF($B$2:$I$2,A19,$B$15:$I$15)</f>
        <v>8218.8008917813167</v>
      </c>
      <c r="J19" s="304"/>
    </row>
    <row r="20" spans="1:29">
      <c r="A20" s="295" t="str">
        <f>+D2</f>
        <v>人防车位</v>
      </c>
      <c r="B20" s="189">
        <f t="shared" si="10"/>
        <v>815.30223751540791</v>
      </c>
      <c r="J20" s="304"/>
    </row>
    <row r="21" spans="1:29">
      <c r="A21" s="295" t="str">
        <f>E2</f>
        <v>人才公寓26F（可售、T7）</v>
      </c>
      <c r="B21" s="189">
        <f t="shared" si="10"/>
        <v>0</v>
      </c>
      <c r="S21" s="288">
        <f ca="1">S15+'2-成本过渡'!Q15+'3-成本过渡'!Q15</f>
        <v>98069.831475999992</v>
      </c>
      <c r="AC21" s="288" t="s">
        <v>2032</v>
      </c>
    </row>
    <row r="22" spans="1:29">
      <c r="A22" s="295" t="str">
        <f>F2</f>
        <v>小高层（8~11F）</v>
      </c>
      <c r="B22" s="189">
        <f t="shared" ca="1" si="10"/>
        <v>9845.972238406539</v>
      </c>
      <c r="E22" s="305"/>
      <c r="F22" s="305"/>
      <c r="J22" s="304"/>
    </row>
    <row r="23" spans="1:29">
      <c r="A23" s="295" t="str">
        <f>G2</f>
        <v>临街商业</v>
      </c>
      <c r="B23" s="189">
        <f t="shared" ca="1" si="10"/>
        <v>13932.376037220933</v>
      </c>
    </row>
    <row r="24" spans="1:29">
      <c r="A24" s="295">
        <f>H2</f>
        <v>0</v>
      </c>
      <c r="B24" s="190">
        <f t="shared" si="10"/>
        <v>0</v>
      </c>
    </row>
    <row r="25" spans="1:29">
      <c r="A25" s="295">
        <f>I2</f>
        <v>0</v>
      </c>
      <c r="B25" s="190">
        <f t="shared" si="10"/>
        <v>0</v>
      </c>
    </row>
    <row r="29" spans="1:29">
      <c r="A29" s="305"/>
      <c r="B29" s="305"/>
      <c r="C29" s="305"/>
      <c r="D29" s="305"/>
      <c r="G29" s="305"/>
      <c r="H29" s="305"/>
      <c r="I29" s="305"/>
      <c r="J29" s="305"/>
    </row>
    <row r="31" spans="1:29">
      <c r="E31" s="305"/>
      <c r="F31" s="305"/>
    </row>
    <row r="37" spans="1:10">
      <c r="A37" s="305"/>
      <c r="B37" s="305"/>
      <c r="C37" s="305"/>
      <c r="D37" s="305"/>
      <c r="G37" s="305"/>
      <c r="H37" s="305"/>
      <c r="I37" s="305"/>
      <c r="J37" s="305"/>
    </row>
  </sheetData>
  <mergeCells count="1">
    <mergeCell ref="T1:T2"/>
  </mergeCells>
  <phoneticPr fontId="19" type="noConversion"/>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CECFF"/>
    <outlinePr summaryBelow="0" summaryRight="0"/>
  </sheetPr>
  <dimension ref="B1:AA60"/>
  <sheetViews>
    <sheetView topLeftCell="A5" zoomScale="70" zoomScaleNormal="70" workbookViewId="0">
      <selection activeCell="H25" sqref="H25"/>
    </sheetView>
  </sheetViews>
  <sheetFormatPr defaultColWidth="10" defaultRowHeight="12" outlineLevelRow="1"/>
  <cols>
    <col min="1" max="1" width="1.6640625" style="1122" customWidth="1"/>
    <col min="2" max="2" width="4.33203125" style="1122" customWidth="1"/>
    <col min="3" max="3" width="30.6640625" style="1122" customWidth="1"/>
    <col min="4" max="4" width="11" style="1122" customWidth="1"/>
    <col min="5" max="5" width="8.08203125" style="1122" customWidth="1"/>
    <col min="6" max="6" width="13" style="1122" customWidth="1"/>
    <col min="7" max="9" width="11.58203125" style="1122" customWidth="1"/>
    <col min="10" max="13" width="11" style="1122" customWidth="1"/>
    <col min="14" max="14" width="13.33203125" style="1122" customWidth="1"/>
    <col min="15" max="15" width="8.33203125" style="1122" customWidth="1"/>
    <col min="16" max="16" width="10.08203125" style="1122" customWidth="1"/>
    <col min="17" max="17" width="7.33203125" style="1122" customWidth="1"/>
    <col min="18" max="18" width="12.33203125" style="1122" customWidth="1"/>
    <col min="19" max="19" width="8.6640625" style="1122" customWidth="1"/>
    <col min="20" max="20" width="10.08203125" style="1122" customWidth="1"/>
    <col min="21" max="21" width="10" style="1122"/>
    <col min="22" max="22" width="9.58203125" style="1123" customWidth="1"/>
    <col min="23" max="23" width="14.08203125" style="1122" customWidth="1"/>
    <col min="24" max="24" width="20.6640625" style="1122" customWidth="1"/>
    <col min="25" max="25" width="11.33203125" style="1122" customWidth="1"/>
    <col min="26" max="26" width="10.33203125" style="1122" customWidth="1"/>
    <col min="27" max="27" width="16.33203125" style="1122" customWidth="1"/>
    <col min="28" max="16384" width="10" style="1122"/>
  </cols>
  <sheetData>
    <row r="1" spans="2:23" ht="22.75" customHeight="1" thickBot="1">
      <c r="B1" s="2336" t="s">
        <v>3109</v>
      </c>
      <c r="C1" s="2336"/>
      <c r="D1" s="2336"/>
      <c r="E1" s="2336"/>
      <c r="F1" s="2336"/>
      <c r="G1" s="2336"/>
      <c r="H1" s="2336"/>
      <c r="I1" s="2336"/>
      <c r="J1" s="2336"/>
      <c r="K1" s="2336"/>
      <c r="L1" s="2336"/>
      <c r="M1" s="2336"/>
      <c r="N1" s="2336"/>
      <c r="O1" s="2336"/>
      <c r="P1" s="2336"/>
      <c r="Q1" s="2336"/>
      <c r="R1" s="2336"/>
      <c r="S1" s="2336"/>
    </row>
    <row r="2" spans="2:23" ht="15" customHeight="1">
      <c r="B2" s="2337" t="s">
        <v>1948</v>
      </c>
      <c r="C2" s="2338"/>
      <c r="D2" s="2339">
        <f>D51</f>
        <v>43229</v>
      </c>
      <c r="E2" s="2339"/>
      <c r="F2" s="1124" t="s">
        <v>111</v>
      </c>
      <c r="G2" s="2340" t="s">
        <v>1950</v>
      </c>
      <c r="H2" s="2340"/>
      <c r="I2" s="2341">
        <f>D2</f>
        <v>43229</v>
      </c>
      <c r="J2" s="2342"/>
      <c r="K2" s="1125" t="s">
        <v>111</v>
      </c>
      <c r="L2" s="1126" t="s">
        <v>38</v>
      </c>
      <c r="M2" s="2343">
        <f>H51</f>
        <v>138524.57999999999</v>
      </c>
      <c r="N2" s="2343"/>
      <c r="O2" s="1127" t="s">
        <v>111</v>
      </c>
    </row>
    <row r="3" spans="2:23" ht="15" customHeight="1">
      <c r="B3" s="2319" t="s">
        <v>12</v>
      </c>
      <c r="C3" s="2320"/>
      <c r="D3" s="2321">
        <f>G51</f>
        <v>8858.07</v>
      </c>
      <c r="E3" s="2321"/>
      <c r="F3" s="1128" t="s">
        <v>111</v>
      </c>
      <c r="G3" s="2322" t="s">
        <v>1951</v>
      </c>
      <c r="H3" s="2322"/>
      <c r="I3" s="2323">
        <f>IF(D3=0,"",IF(I2=0,"",D3/I2))</f>
        <v>0.20491036110018737</v>
      </c>
      <c r="J3" s="2324"/>
      <c r="K3" s="2325"/>
      <c r="L3" s="2210" t="s">
        <v>1952</v>
      </c>
      <c r="M3" s="2326">
        <v>0.3</v>
      </c>
      <c r="N3" s="2326"/>
      <c r="O3" s="2327"/>
      <c r="R3" s="1129"/>
      <c r="S3" s="1129"/>
      <c r="T3" s="1129"/>
      <c r="U3" s="1129"/>
    </row>
    <row r="4" spans="2:23" ht="15" customHeight="1">
      <c r="B4" s="2328" t="s">
        <v>202</v>
      </c>
      <c r="C4" s="2329"/>
      <c r="D4" s="2330">
        <f>H25+H31+H36</f>
        <v>104549.27999999998</v>
      </c>
      <c r="E4" s="2330"/>
      <c r="F4" s="1128" t="s">
        <v>111</v>
      </c>
      <c r="G4" s="2322" t="s">
        <v>134</v>
      </c>
      <c r="H4" s="2322"/>
      <c r="I4" s="2331">
        <f>IF(D4=0,"",IF(I2=0,"",D4/I2))</f>
        <v>2.4184986930070087</v>
      </c>
      <c r="J4" s="2332"/>
      <c r="K4" s="2333"/>
      <c r="L4" s="2210" t="s">
        <v>443</v>
      </c>
      <c r="M4" s="2334">
        <v>950</v>
      </c>
      <c r="N4" s="2335"/>
      <c r="O4" s="1130" t="s">
        <v>135</v>
      </c>
      <c r="R4" s="1129"/>
      <c r="S4" s="1129"/>
      <c r="T4" s="1129"/>
      <c r="U4" s="1129"/>
      <c r="W4" s="1129"/>
    </row>
    <row r="5" spans="2:23" s="1133" customFormat="1" ht="15" customHeight="1">
      <c r="B5" s="2303" t="s">
        <v>1957</v>
      </c>
      <c r="C5" s="2304"/>
      <c r="D5" s="2304" t="s">
        <v>552</v>
      </c>
      <c r="E5" s="2304"/>
      <c r="F5" s="2304" t="s">
        <v>553</v>
      </c>
      <c r="G5" s="2304"/>
      <c r="H5" s="2304"/>
      <c r="I5" s="1131"/>
      <c r="J5" s="1131"/>
      <c r="K5" s="2304"/>
      <c r="L5" s="2304"/>
      <c r="M5" s="1131"/>
      <c r="N5" s="1131"/>
      <c r="O5" s="1132"/>
      <c r="Q5" s="1122"/>
      <c r="R5" s="1129"/>
      <c r="S5" s="1129"/>
      <c r="T5" s="1129"/>
      <c r="U5" s="1129"/>
      <c r="W5" s="1129"/>
    </row>
    <row r="6" spans="2:23" s="1133" customFormat="1" ht="15" customHeight="1">
      <c r="B6" s="2315"/>
      <c r="C6" s="2315"/>
      <c r="D6" s="2316"/>
      <c r="E6" s="2316"/>
      <c r="F6" s="2316"/>
      <c r="G6" s="2316"/>
      <c r="H6" s="2316"/>
      <c r="I6" s="2316"/>
      <c r="J6" s="2316"/>
      <c r="K6" s="2317"/>
      <c r="L6" s="2318"/>
      <c r="M6" s="2301"/>
      <c r="N6" s="2301"/>
      <c r="O6" s="2302"/>
      <c r="Q6" s="2231"/>
      <c r="R6" s="1129"/>
      <c r="S6" s="1129"/>
      <c r="T6" s="1129"/>
      <c r="U6" s="1129"/>
      <c r="W6" s="1129"/>
    </row>
    <row r="7" spans="2:23" s="1133" customFormat="1" ht="15" customHeight="1">
      <c r="B7" s="2303" t="s">
        <v>3110</v>
      </c>
      <c r="C7" s="2304"/>
      <c r="D7" s="2210" t="s">
        <v>1963</v>
      </c>
      <c r="E7" s="2304" t="s">
        <v>1964</v>
      </c>
      <c r="F7" s="2304"/>
      <c r="G7" s="2212" t="s">
        <v>555</v>
      </c>
      <c r="H7" s="2210" t="s">
        <v>556</v>
      </c>
      <c r="I7" s="2210" t="s">
        <v>1967</v>
      </c>
      <c r="J7" s="2210" t="s">
        <v>1968</v>
      </c>
      <c r="K7" s="2305" t="s">
        <v>1969</v>
      </c>
      <c r="L7" s="2306"/>
      <c r="M7" s="2305" t="s">
        <v>3111</v>
      </c>
      <c r="N7" s="2306"/>
      <c r="O7" s="1134"/>
      <c r="P7" s="2215"/>
      <c r="Q7" s="2314"/>
      <c r="R7" s="2314"/>
      <c r="S7" s="2314"/>
      <c r="W7" s="1129"/>
    </row>
    <row r="8" spans="2:23" s="1133" customFormat="1" ht="15" customHeight="1" collapsed="1" thickBot="1">
      <c r="B8" s="2307">
        <f>D2-D3-B6</f>
        <v>34370.93</v>
      </c>
      <c r="C8" s="2308"/>
      <c r="D8" s="2213">
        <v>12968.7</v>
      </c>
      <c r="E8" s="2309"/>
      <c r="F8" s="2309"/>
      <c r="G8" s="2213">
        <f>B8-D8</f>
        <v>21402.23</v>
      </c>
      <c r="H8" s="1135"/>
      <c r="I8" s="1136"/>
      <c r="J8" s="2214"/>
      <c r="K8" s="2310"/>
      <c r="L8" s="2310"/>
      <c r="M8" s="2310"/>
      <c r="N8" s="2310"/>
      <c r="O8" s="1137"/>
    </row>
    <row r="9" spans="2:23" s="1133" customFormat="1" ht="12.75" hidden="1" customHeight="1" outlineLevel="1">
      <c r="B9" s="1138">
        <v>1</v>
      </c>
      <c r="C9" s="1139" t="s">
        <v>1971</v>
      </c>
      <c r="D9" s="1140"/>
      <c r="E9" s="1141"/>
      <c r="F9" s="1142"/>
      <c r="G9" s="1142"/>
      <c r="H9" s="1142"/>
      <c r="I9" s="1141"/>
      <c r="J9" s="1141"/>
      <c r="K9" s="1141"/>
      <c r="L9" s="1141"/>
      <c r="M9" s="1141"/>
      <c r="N9" s="1141"/>
      <c r="O9" s="1141"/>
      <c r="P9" s="1141"/>
      <c r="Q9" s="1143"/>
      <c r="R9" s="1143"/>
      <c r="S9" s="1143"/>
    </row>
    <row r="10" spans="2:23" s="1133" customFormat="1" ht="12.75" hidden="1" customHeight="1" outlineLevel="1">
      <c r="B10" s="1138">
        <v>2</v>
      </c>
      <c r="C10" s="1139" t="s">
        <v>1972</v>
      </c>
      <c r="D10" s="1140"/>
      <c r="E10" s="1141"/>
      <c r="F10" s="1142"/>
      <c r="G10" s="1142"/>
      <c r="H10" s="1142"/>
      <c r="I10" s="1141"/>
      <c r="J10" s="1141"/>
      <c r="K10" s="1141"/>
      <c r="L10" s="1141"/>
      <c r="M10" s="1141"/>
      <c r="N10" s="1141"/>
      <c r="O10" s="1141"/>
      <c r="P10" s="1141"/>
      <c r="Q10" s="1143"/>
      <c r="R10" s="1143"/>
      <c r="S10" s="1143"/>
    </row>
    <row r="11" spans="2:23" s="1133" customFormat="1" ht="12.75" hidden="1" customHeight="1" outlineLevel="1">
      <c r="B11" s="1138">
        <v>3</v>
      </c>
      <c r="C11" s="1139" t="s">
        <v>1973</v>
      </c>
      <c r="D11" s="1140"/>
      <c r="E11" s="1141"/>
      <c r="F11" s="1142"/>
      <c r="G11" s="1142"/>
      <c r="H11" s="1142"/>
      <c r="I11" s="1141"/>
      <c r="J11" s="1141"/>
      <c r="K11" s="1141"/>
      <c r="L11" s="1141"/>
      <c r="M11" s="1141"/>
      <c r="N11" s="1141"/>
      <c r="O11" s="1141"/>
      <c r="P11" s="1141"/>
      <c r="Q11" s="1143"/>
      <c r="R11" s="1143"/>
      <c r="S11" s="1143"/>
    </row>
    <row r="12" spans="2:23" s="1133" customFormat="1" ht="12.75" hidden="1" customHeight="1" outlineLevel="1">
      <c r="B12" s="1138">
        <v>4</v>
      </c>
      <c r="C12" s="1139" t="s">
        <v>1974</v>
      </c>
      <c r="D12" s="1140"/>
      <c r="E12" s="1141"/>
      <c r="F12" s="1142"/>
      <c r="G12" s="1142"/>
      <c r="H12" s="1142"/>
      <c r="I12" s="1141"/>
      <c r="J12" s="1141"/>
      <c r="K12" s="1141"/>
      <c r="L12" s="1141"/>
      <c r="M12" s="1141"/>
      <c r="N12" s="1141"/>
      <c r="O12" s="1141"/>
      <c r="P12" s="1141"/>
      <c r="Q12" s="1143"/>
      <c r="R12" s="1143"/>
      <c r="S12" s="1143"/>
    </row>
    <row r="13" spans="2:23" s="1133" customFormat="1" ht="12.75" hidden="1" customHeight="1" outlineLevel="1">
      <c r="B13" s="1138">
        <v>5</v>
      </c>
      <c r="C13" s="1139" t="s">
        <v>1975</v>
      </c>
      <c r="D13" s="1141"/>
      <c r="E13" s="1141"/>
      <c r="F13" s="1142"/>
      <c r="G13" s="1142"/>
      <c r="H13" s="1142"/>
      <c r="I13" s="1141"/>
      <c r="J13" s="1141"/>
      <c r="K13" s="1141"/>
      <c r="L13" s="1141"/>
      <c r="M13" s="1141"/>
      <c r="N13" s="1141"/>
      <c r="O13" s="1141"/>
      <c r="P13" s="1141"/>
      <c r="Q13" s="1143"/>
      <c r="R13" s="1143"/>
      <c r="S13" s="1143"/>
    </row>
    <row r="14" spans="2:23" s="1133" customFormat="1" ht="12.75" hidden="1" customHeight="1" outlineLevel="1">
      <c r="B14" s="1138">
        <v>6</v>
      </c>
      <c r="C14" s="1144" t="s">
        <v>1976</v>
      </c>
      <c r="D14" s="1141"/>
      <c r="E14" s="1141"/>
      <c r="F14" s="1142"/>
      <c r="G14" s="1142"/>
      <c r="H14" s="1142"/>
      <c r="I14" s="1141"/>
      <c r="J14" s="1141"/>
      <c r="K14" s="1141"/>
      <c r="L14" s="1141"/>
      <c r="M14" s="1141"/>
      <c r="N14" s="1141"/>
      <c r="O14" s="1141"/>
      <c r="P14" s="1141"/>
      <c r="Q14" s="1143"/>
      <c r="R14" s="1143"/>
      <c r="S14" s="1143"/>
    </row>
    <row r="15" spans="2:23" s="1133" customFormat="1" ht="12.75" hidden="1" customHeight="1" outlineLevel="1">
      <c r="B15" s="1138">
        <v>7</v>
      </c>
      <c r="C15" s="1139" t="s">
        <v>1977</v>
      </c>
      <c r="D15" s="1141"/>
      <c r="E15" s="1141"/>
      <c r="F15" s="1142"/>
      <c r="G15" s="1142"/>
      <c r="H15" s="1142"/>
      <c r="I15" s="1141"/>
      <c r="J15" s="1141"/>
      <c r="K15" s="1141"/>
      <c r="L15" s="1141"/>
      <c r="M15" s="1141"/>
      <c r="N15" s="1141"/>
      <c r="O15" s="1141"/>
      <c r="P15" s="1141"/>
      <c r="Q15" s="1143"/>
      <c r="R15" s="1143"/>
      <c r="S15" s="1143"/>
    </row>
    <row r="16" spans="2:23" s="1133" customFormat="1" ht="12.75" hidden="1" customHeight="1" outlineLevel="1">
      <c r="B16" s="1138">
        <v>8</v>
      </c>
      <c r="C16" s="1139" t="s">
        <v>1978</v>
      </c>
      <c r="D16" s="1141"/>
      <c r="E16" s="1141"/>
      <c r="F16" s="1142"/>
      <c r="G16" s="1142"/>
      <c r="H16" s="1142"/>
      <c r="I16" s="1141"/>
      <c r="J16" s="1141"/>
      <c r="K16" s="1141"/>
      <c r="L16" s="1141"/>
      <c r="M16" s="1141"/>
      <c r="N16" s="1141"/>
      <c r="O16" s="1141"/>
      <c r="P16" s="1141"/>
      <c r="Q16" s="1143"/>
      <c r="R16" s="1143"/>
      <c r="S16" s="1143"/>
    </row>
    <row r="17" spans="2:27" s="1133" customFormat="1" ht="15" customHeight="1">
      <c r="B17" s="1138"/>
      <c r="C17" s="1143" t="s">
        <v>1979</v>
      </c>
      <c r="D17" s="1141">
        <f>I2-D3-B6-B8-M8</f>
        <v>0</v>
      </c>
      <c r="E17" s="1139" t="s">
        <v>1980</v>
      </c>
      <c r="F17" s="1142"/>
      <c r="G17" s="1142"/>
      <c r="H17" s="1142"/>
      <c r="I17" s="1141"/>
      <c r="J17" s="1141" t="s">
        <v>4174</v>
      </c>
      <c r="K17" s="1141"/>
      <c r="L17" s="1141"/>
      <c r="M17" s="1141"/>
      <c r="N17" s="1141"/>
      <c r="O17" s="1141"/>
      <c r="P17" s="1141"/>
      <c r="Q17" s="1143"/>
      <c r="R17" s="1143"/>
      <c r="S17" s="1143"/>
    </row>
    <row r="18" spans="2:27" ht="15" customHeight="1" thickBot="1">
      <c r="B18" s="2311"/>
      <c r="C18" s="2312"/>
      <c r="D18" s="2312"/>
      <c r="E18" s="2312"/>
      <c r="F18" s="2312"/>
      <c r="G18" s="2312"/>
      <c r="H18" s="2312"/>
      <c r="I18" s="2312"/>
      <c r="J18" s="2312"/>
      <c r="K18" s="2312"/>
      <c r="L18" s="2312"/>
      <c r="M18" s="2312"/>
      <c r="N18" s="2312"/>
      <c r="O18" s="2312"/>
      <c r="P18" s="2312"/>
      <c r="Q18" s="2312"/>
      <c r="R18" s="2312"/>
      <c r="S18" s="2313"/>
      <c r="T18" s="1133"/>
    </row>
    <row r="19" spans="2:27" ht="34" customHeight="1">
      <c r="B19" s="2299" t="s">
        <v>1981</v>
      </c>
      <c r="C19" s="2300"/>
      <c r="D19" s="2211" t="s">
        <v>431</v>
      </c>
      <c r="E19" s="1145" t="s">
        <v>134</v>
      </c>
      <c r="F19" s="1145" t="s">
        <v>107</v>
      </c>
      <c r="G19" s="1145" t="s">
        <v>12</v>
      </c>
      <c r="H19" s="1145" t="s">
        <v>10</v>
      </c>
      <c r="I19" s="1145" t="s">
        <v>20</v>
      </c>
      <c r="J19" s="1145" t="s">
        <v>3112</v>
      </c>
      <c r="K19" s="1146" t="s">
        <v>3113</v>
      </c>
      <c r="L19" s="1146" t="s">
        <v>3114</v>
      </c>
      <c r="M19" s="1146" t="s">
        <v>3115</v>
      </c>
      <c r="N19" s="1146" t="s">
        <v>3116</v>
      </c>
      <c r="O19" s="1147" t="s">
        <v>1988</v>
      </c>
      <c r="P19" s="1145" t="s">
        <v>1989</v>
      </c>
      <c r="Q19" s="1148" t="s">
        <v>18</v>
      </c>
      <c r="R19" s="1148" t="s">
        <v>5</v>
      </c>
      <c r="S19" s="1148" t="s">
        <v>0</v>
      </c>
      <c r="T19" s="1145" t="s">
        <v>1993</v>
      </c>
      <c r="U19" s="1145" t="s">
        <v>1994</v>
      </c>
      <c r="V19" s="1149" t="s">
        <v>3117</v>
      </c>
    </row>
    <row r="20" spans="2:27" s="1159" customFormat="1" ht="16.25" customHeight="1">
      <c r="B20" s="2288" t="s">
        <v>1996</v>
      </c>
      <c r="C20" s="1150" t="s">
        <v>3118</v>
      </c>
      <c r="D20" s="2185">
        <f>地价分摊表!F58</f>
        <v>13214</v>
      </c>
      <c r="E20" s="2208">
        <f>+H20/D20</f>
        <v>3.267288481913122</v>
      </c>
      <c r="F20" s="2186">
        <v>4</v>
      </c>
      <c r="G20" s="2187">
        <v>2160</v>
      </c>
      <c r="H20" s="2187">
        <v>43173.95</v>
      </c>
      <c r="I20" s="2187">
        <f>H20</f>
        <v>43173.95</v>
      </c>
      <c r="J20" s="1151"/>
      <c r="K20" s="1152" t="s">
        <v>3119</v>
      </c>
      <c r="L20" s="1153"/>
      <c r="M20" s="1153"/>
      <c r="N20" s="1153"/>
      <c r="O20" s="2209">
        <v>0.31403373791930062</v>
      </c>
      <c r="P20" s="2208">
        <f>+H20/R20</f>
        <v>89.945729166666666</v>
      </c>
      <c r="Q20" s="2188">
        <v>12</v>
      </c>
      <c r="R20" s="2188">
        <v>480</v>
      </c>
      <c r="S20" s="2188">
        <v>240</v>
      </c>
      <c r="T20" s="1154">
        <v>2.9</v>
      </c>
      <c r="U20" s="1155"/>
      <c r="V20" s="2189">
        <f>U20/H20</f>
        <v>0</v>
      </c>
      <c r="W20" s="1156"/>
      <c r="X20" s="1157"/>
      <c r="Y20" s="1158"/>
      <c r="Z20" s="1158"/>
      <c r="AA20" s="1158"/>
    </row>
    <row r="21" spans="2:27" s="1159" customFormat="1" ht="16.25" customHeight="1">
      <c r="B21" s="2289"/>
      <c r="C21" s="1150"/>
      <c r="D21" s="2185"/>
      <c r="E21" s="2208"/>
      <c r="F21" s="2186"/>
      <c r="G21" s="2187"/>
      <c r="H21" s="2187"/>
      <c r="I21" s="2187"/>
      <c r="J21" s="1151"/>
      <c r="K21" s="1152"/>
      <c r="L21" s="1153"/>
      <c r="M21" s="1153"/>
      <c r="N21" s="1153"/>
      <c r="O21" s="2209"/>
      <c r="P21" s="2208"/>
      <c r="Q21" s="2188"/>
      <c r="R21" s="2188"/>
      <c r="S21" s="2188"/>
      <c r="T21" s="1154"/>
      <c r="U21" s="1155"/>
      <c r="V21" s="2189"/>
      <c r="W21" s="1156"/>
      <c r="X21" s="1157"/>
      <c r="Y21" s="1158"/>
      <c r="Z21" s="1158"/>
      <c r="AA21" s="1158"/>
    </row>
    <row r="22" spans="2:27" s="1159" customFormat="1" ht="16.25" customHeight="1">
      <c r="B22" s="2289"/>
      <c r="C22" s="1150" t="s">
        <v>3121</v>
      </c>
      <c r="D22" s="614"/>
      <c r="E22" s="2208"/>
      <c r="F22" s="2190"/>
      <c r="G22" s="2191"/>
      <c r="H22" s="2191"/>
      <c r="I22" s="2187"/>
      <c r="J22" s="1151"/>
      <c r="K22" s="1152"/>
      <c r="L22" s="1153"/>
      <c r="M22" s="1153"/>
      <c r="N22" s="1153"/>
      <c r="O22" s="2209"/>
      <c r="P22" s="2208"/>
      <c r="Q22" s="2188"/>
      <c r="R22" s="2188"/>
      <c r="S22" s="2188"/>
      <c r="T22" s="1154"/>
      <c r="U22" s="1160"/>
      <c r="V22" s="2189"/>
      <c r="W22" s="1156"/>
      <c r="X22" s="1157"/>
      <c r="Y22" s="1158"/>
      <c r="Z22" s="1158"/>
      <c r="AA22" s="1158"/>
    </row>
    <row r="23" spans="2:27" s="1159" customFormat="1" ht="16.25" customHeight="1">
      <c r="B23" s="2289"/>
      <c r="C23" s="1150"/>
      <c r="D23" s="614"/>
      <c r="E23" s="2208"/>
      <c r="F23" s="2192"/>
      <c r="G23" s="2193"/>
      <c r="H23" s="2193"/>
      <c r="I23" s="2193"/>
      <c r="J23" s="1161"/>
      <c r="K23" s="1153"/>
      <c r="L23" s="1153"/>
      <c r="M23" s="1153"/>
      <c r="N23" s="1153"/>
      <c r="O23" s="1162"/>
      <c r="P23" s="2208"/>
      <c r="Q23" s="362"/>
      <c r="R23" s="362"/>
      <c r="S23" s="362"/>
      <c r="T23" s="1154"/>
      <c r="U23" s="1160"/>
      <c r="V23" s="2189"/>
      <c r="W23" s="1156"/>
      <c r="X23" s="1163"/>
      <c r="Y23" s="1164"/>
      <c r="Z23" s="1165"/>
      <c r="AA23" s="1164"/>
    </row>
    <row r="24" spans="2:27" s="1159" customFormat="1" ht="16.25" customHeight="1">
      <c r="B24" s="2289"/>
      <c r="C24" s="1150" t="s">
        <v>3122</v>
      </c>
      <c r="D24" s="614">
        <f>地价分摊表!F61</f>
        <v>29015</v>
      </c>
      <c r="E24" s="2208">
        <f>+H24/D24</f>
        <v>2.0394409788040666</v>
      </c>
      <c r="F24" s="2190">
        <v>10</v>
      </c>
      <c r="G24" s="2191">
        <v>5428</v>
      </c>
      <c r="H24" s="2191">
        <v>59174.38</v>
      </c>
      <c r="I24" s="2191">
        <f>H24</f>
        <v>59174.38</v>
      </c>
      <c r="J24" s="1161"/>
      <c r="K24" s="1152" t="s">
        <v>3119</v>
      </c>
      <c r="L24" s="1153" t="s">
        <v>3120</v>
      </c>
      <c r="M24" s="1166"/>
      <c r="N24" s="1166"/>
      <c r="O24" s="1162"/>
      <c r="P24" s="2208">
        <f>+H24/R24</f>
        <v>117.1769900990099</v>
      </c>
      <c r="Q24" s="2188">
        <v>23</v>
      </c>
      <c r="R24" s="2188">
        <v>505</v>
      </c>
      <c r="S24" s="2188">
        <v>253</v>
      </c>
      <c r="T24" s="1154">
        <v>2.9</v>
      </c>
      <c r="U24" s="1155"/>
      <c r="V24" s="2189">
        <f t="shared" ref="V24" si="0">U24/H24</f>
        <v>0</v>
      </c>
      <c r="W24" s="1156"/>
      <c r="X24" s="1163"/>
      <c r="Y24" s="1164"/>
      <c r="Z24" s="1165"/>
      <c r="AA24" s="1164"/>
    </row>
    <row r="25" spans="2:27" ht="16.25" customHeight="1">
      <c r="B25" s="2290"/>
      <c r="C25" s="1167" t="s">
        <v>46</v>
      </c>
      <c r="D25" s="1168">
        <f>SUM(D20:D24)</f>
        <v>42229</v>
      </c>
      <c r="E25" s="1168">
        <f>H25/D25</f>
        <v>2.4236503350777898</v>
      </c>
      <c r="F25" s="1168">
        <f>SUM(F20:F24)</f>
        <v>14</v>
      </c>
      <c r="G25" s="1169">
        <f>SUM(G20:G24)</f>
        <v>7588</v>
      </c>
      <c r="H25" s="1169">
        <f>SUM(H20:H24)</f>
        <v>102348.32999999999</v>
      </c>
      <c r="I25" s="1169">
        <f>SUM(I20:I24)</f>
        <v>102348.32999999999</v>
      </c>
      <c r="J25" s="1169"/>
      <c r="K25" s="1168"/>
      <c r="L25" s="1168"/>
      <c r="M25" s="1168"/>
      <c r="N25" s="1168"/>
      <c r="O25" s="1168"/>
      <c r="P25" s="1168">
        <f>I25/R25</f>
        <v>103.90693401015227</v>
      </c>
      <c r="Q25" s="1168">
        <f>SUM(Q20:Q24)</f>
        <v>35</v>
      </c>
      <c r="R25" s="1168">
        <f>SUM(R20:R24)</f>
        <v>985</v>
      </c>
      <c r="S25" s="1168">
        <f>SUM(S20:S24)</f>
        <v>493</v>
      </c>
      <c r="T25" s="1168">
        <v>2.9</v>
      </c>
      <c r="U25" s="1168"/>
      <c r="V25" s="1170"/>
      <c r="W25" s="1168">
        <f>3600*R25</f>
        <v>3546000</v>
      </c>
      <c r="X25" s="1168">
        <f>+W25/H53</f>
        <v>33.917019801571094</v>
      </c>
      <c r="Y25" s="1164"/>
      <c r="Z25" s="1165"/>
      <c r="AA25" s="1164"/>
    </row>
    <row r="26" spans="2:27" s="1159" customFormat="1" ht="16.25" customHeight="1">
      <c r="B26" s="2288" t="s">
        <v>2001</v>
      </c>
      <c r="C26" s="1171" t="s">
        <v>3123</v>
      </c>
      <c r="D26" s="614">
        <f>地价分摊表!F60</f>
        <v>1000</v>
      </c>
      <c r="E26" s="2208">
        <f>+H26/D26</f>
        <v>1.0589300000000001</v>
      </c>
      <c r="F26" s="1160">
        <v>1</v>
      </c>
      <c r="G26" s="1172">
        <v>1058.9100000000001</v>
      </c>
      <c r="H26" s="1172">
        <v>1058.93</v>
      </c>
      <c r="I26" s="1172">
        <f>H26</f>
        <v>1058.93</v>
      </c>
      <c r="J26" s="1151"/>
      <c r="K26" s="1153"/>
      <c r="L26" s="1153"/>
      <c r="M26" s="1153"/>
      <c r="N26" s="1153"/>
      <c r="O26" s="1173"/>
      <c r="P26" s="2208">
        <f>+H26/R26</f>
        <v>32.088787878787883</v>
      </c>
      <c r="Q26" s="362">
        <v>1</v>
      </c>
      <c r="R26" s="1160">
        <v>33</v>
      </c>
      <c r="S26" s="362">
        <v>1</v>
      </c>
      <c r="T26" s="1174">
        <v>5.6</v>
      </c>
      <c r="U26" s="1175"/>
      <c r="V26" s="1176"/>
      <c r="X26" s="1163"/>
      <c r="Y26" s="1164"/>
      <c r="Z26" s="1165"/>
      <c r="AA26" s="1164"/>
    </row>
    <row r="27" spans="2:27" s="1159" customFormat="1" ht="16.25" customHeight="1">
      <c r="B27" s="2291"/>
      <c r="C27" s="1171"/>
      <c r="D27" s="2194"/>
      <c r="E27" s="2208"/>
      <c r="F27" s="1177"/>
      <c r="G27" s="1178"/>
      <c r="H27" s="1178"/>
      <c r="I27" s="2195"/>
      <c r="J27" s="1151"/>
      <c r="K27" s="1179"/>
      <c r="L27" s="1153"/>
      <c r="M27" s="1153"/>
      <c r="N27" s="1153"/>
      <c r="O27" s="1180"/>
      <c r="P27" s="1181"/>
      <c r="Q27" s="2196"/>
      <c r="R27" s="1177"/>
      <c r="S27" s="2196"/>
      <c r="T27" s="1174"/>
      <c r="U27" s="1175"/>
      <c r="V27" s="1176"/>
      <c r="X27" s="1163"/>
      <c r="Y27" s="1164"/>
      <c r="Z27" s="1165"/>
      <c r="AA27" s="1164"/>
    </row>
    <row r="28" spans="2:27" s="1159" customFormat="1" ht="16.25" customHeight="1">
      <c r="B28" s="2291"/>
      <c r="C28" s="1171"/>
      <c r="D28" s="614"/>
      <c r="E28" s="2208"/>
      <c r="F28" s="2197"/>
      <c r="G28" s="2198"/>
      <c r="H28" s="2198"/>
      <c r="I28" s="2195"/>
      <c r="J28" s="1151"/>
      <c r="K28" s="1153"/>
      <c r="L28" s="1153"/>
      <c r="M28" s="1153"/>
      <c r="N28" s="1153"/>
      <c r="O28" s="2199"/>
      <c r="P28" s="2208"/>
      <c r="Q28" s="2197"/>
      <c r="R28" s="1160"/>
      <c r="S28" s="2197"/>
      <c r="T28" s="1174"/>
      <c r="U28" s="1175"/>
      <c r="V28" s="1176"/>
      <c r="X28" s="1163"/>
      <c r="Y28" s="1164"/>
      <c r="Z28" s="1165"/>
      <c r="AA28" s="1164"/>
    </row>
    <row r="29" spans="2:27" s="1159" customFormat="1" ht="16.25" customHeight="1">
      <c r="B29" s="2291"/>
      <c r="C29" s="1171" t="s">
        <v>3124</v>
      </c>
      <c r="D29" s="2185"/>
      <c r="E29" s="2208"/>
      <c r="F29" s="1177"/>
      <c r="G29" s="1178"/>
      <c r="H29" s="1178"/>
      <c r="I29" s="2200"/>
      <c r="J29" s="1182"/>
      <c r="K29" s="1179"/>
      <c r="L29" s="1153"/>
      <c r="M29" s="1153"/>
      <c r="N29" s="1153"/>
      <c r="O29" s="1180"/>
      <c r="P29" s="1181"/>
      <c r="Q29" s="2196"/>
      <c r="R29" s="1178"/>
      <c r="S29" s="2196"/>
      <c r="T29" s="1183"/>
      <c r="U29" s="1175"/>
      <c r="V29" s="1176"/>
      <c r="X29" s="1163"/>
      <c r="Y29" s="1164"/>
      <c r="Z29" s="1165"/>
      <c r="AA29" s="1164"/>
    </row>
    <row r="30" spans="2:27" s="1159" customFormat="1" ht="16.25" customHeight="1">
      <c r="B30" s="2291"/>
      <c r="C30" s="1171" t="s">
        <v>1233</v>
      </c>
      <c r="D30" s="2201"/>
      <c r="E30" s="1184"/>
      <c r="F30" s="1185"/>
      <c r="G30" s="1186"/>
      <c r="H30" s="1187"/>
      <c r="I30" s="2195"/>
      <c r="J30" s="1151"/>
      <c r="K30" s="1153"/>
      <c r="L30" s="1153"/>
      <c r="M30" s="1153"/>
      <c r="N30" s="1153"/>
      <c r="O30" s="2199"/>
      <c r="P30" s="2208"/>
      <c r="Q30" s="1160">
        <v>0</v>
      </c>
      <c r="R30" s="2197"/>
      <c r="S30" s="2197"/>
      <c r="T30" s="1188"/>
      <c r="U30" s="1175"/>
      <c r="V30" s="1176"/>
      <c r="X30" s="1163"/>
      <c r="Y30" s="1164"/>
      <c r="Z30" s="1165"/>
      <c r="AA30" s="1164"/>
    </row>
    <row r="31" spans="2:27" ht="16.25" customHeight="1">
      <c r="B31" s="2292"/>
      <c r="C31" s="1167" t="s">
        <v>46</v>
      </c>
      <c r="D31" s="1168">
        <f>SUM(D26:D30)</f>
        <v>1000</v>
      </c>
      <c r="E31" s="1168">
        <f>H31/D31</f>
        <v>1.0589300000000001</v>
      </c>
      <c r="F31" s="1168">
        <f>SUM(F26:F30)</f>
        <v>1</v>
      </c>
      <c r="G31" s="1169">
        <f>SUM(G26:G30)</f>
        <v>1058.9100000000001</v>
      </c>
      <c r="H31" s="1169">
        <f>SUM(H26:H30)</f>
        <v>1058.93</v>
      </c>
      <c r="I31" s="1169">
        <f>SUM(I26:I30)</f>
        <v>1058.93</v>
      </c>
      <c r="J31" s="1169">
        <f>SUM(J26:J30)</f>
        <v>0</v>
      </c>
      <c r="K31" s="1168"/>
      <c r="L31" s="1168"/>
      <c r="M31" s="1168"/>
      <c r="N31" s="1168"/>
      <c r="O31" s="1168"/>
      <c r="P31" s="1168"/>
      <c r="Q31" s="1168">
        <f>SUM(Q26:Q30)</f>
        <v>1</v>
      </c>
      <c r="R31" s="1168">
        <f>SUM(R26:R30)</f>
        <v>33</v>
      </c>
      <c r="S31" s="1168">
        <f>SUM(S26:S30)</f>
        <v>1</v>
      </c>
      <c r="T31" s="1168"/>
      <c r="U31" s="1168"/>
      <c r="V31" s="1170"/>
    </row>
    <row r="32" spans="2:27" s="1159" customFormat="1" ht="16.25" customHeight="1">
      <c r="B32" s="2272"/>
      <c r="C32" s="1189" t="s">
        <v>1688</v>
      </c>
      <c r="D32" s="2185"/>
      <c r="E32" s="2208"/>
      <c r="F32" s="1185">
        <v>1</v>
      </c>
      <c r="G32" s="1190">
        <v>211.16</v>
      </c>
      <c r="H32" s="1190">
        <v>1142.02</v>
      </c>
      <c r="I32" s="1178"/>
      <c r="J32" s="1191"/>
      <c r="K32" s="1152" t="s">
        <v>3119</v>
      </c>
      <c r="L32" s="1192"/>
      <c r="M32" s="2202">
        <f>H32/H51</f>
        <v>8.2441686522348595E-3</v>
      </c>
      <c r="N32" s="1192"/>
      <c r="O32" s="2293"/>
      <c r="P32" s="2294"/>
      <c r="Q32" s="2295"/>
      <c r="R32" s="2295"/>
      <c r="S32" s="2295"/>
      <c r="T32" s="2295"/>
      <c r="U32" s="2295"/>
      <c r="V32" s="2296"/>
    </row>
    <row r="33" spans="2:22" s="1159" customFormat="1" ht="16.25" customHeight="1">
      <c r="B33" s="2272"/>
      <c r="C33" s="1189" t="s">
        <v>1688</v>
      </c>
      <c r="D33" s="2194"/>
      <c r="E33" s="2208"/>
      <c r="F33" s="1185"/>
      <c r="G33" s="1190"/>
      <c r="H33" s="1190"/>
      <c r="I33" s="1172"/>
      <c r="J33" s="1191"/>
      <c r="K33" s="1152" t="s">
        <v>3119</v>
      </c>
      <c r="L33" s="1192"/>
      <c r="M33" s="1192"/>
      <c r="N33" s="1192"/>
      <c r="O33" s="2293"/>
      <c r="P33" s="2216"/>
      <c r="Q33" s="2217"/>
      <c r="R33" s="2217"/>
      <c r="S33" s="2217"/>
      <c r="T33" s="2217" t="s">
        <v>3125</v>
      </c>
      <c r="U33" s="2217"/>
      <c r="V33" s="2218"/>
    </row>
    <row r="34" spans="2:22" s="1159" customFormat="1" ht="16.25" customHeight="1">
      <c r="B34" s="2272"/>
      <c r="C34" s="1189"/>
      <c r="D34" s="2185"/>
      <c r="E34" s="2208"/>
      <c r="F34" s="1160"/>
      <c r="G34" s="1172"/>
      <c r="H34" s="1172"/>
      <c r="I34" s="1172"/>
      <c r="J34" s="1191"/>
      <c r="K34" s="1153"/>
      <c r="L34" s="1192"/>
      <c r="M34" s="1192"/>
      <c r="N34" s="1192"/>
      <c r="O34" s="2293"/>
      <c r="P34" s="2216"/>
      <c r="Q34" s="2217"/>
      <c r="R34" s="2217"/>
      <c r="S34" s="2217"/>
      <c r="T34" s="2217"/>
      <c r="U34" s="2217"/>
      <c r="V34" s="2218"/>
    </row>
    <row r="35" spans="2:22" s="1159" customFormat="1" ht="16.25" customHeight="1">
      <c r="B35" s="2272"/>
      <c r="C35" s="1189"/>
      <c r="D35" s="2185"/>
      <c r="E35" s="2208"/>
      <c r="F35" s="1160"/>
      <c r="G35" s="1172"/>
      <c r="H35" s="1172"/>
      <c r="I35" s="1191"/>
      <c r="J35" s="1191"/>
      <c r="K35" s="1153"/>
      <c r="L35" s="1192"/>
      <c r="M35" s="1192"/>
      <c r="N35" s="1192"/>
      <c r="O35" s="2293"/>
      <c r="P35" s="2294"/>
      <c r="Q35" s="2295"/>
      <c r="R35" s="2295"/>
      <c r="S35" s="2295"/>
      <c r="T35" s="2295"/>
      <c r="U35" s="2295"/>
      <c r="V35" s="2296"/>
    </row>
    <row r="36" spans="2:22" ht="16.25" customHeight="1">
      <c r="B36" s="2272"/>
      <c r="C36" s="1167" t="s">
        <v>46</v>
      </c>
      <c r="D36" s="1168">
        <f>SUM(D32:D35)</f>
        <v>0</v>
      </c>
      <c r="E36" s="1168" t="e">
        <f>H36/D36</f>
        <v>#DIV/0!</v>
      </c>
      <c r="F36" s="1168">
        <f>SUM(F32:F35)</f>
        <v>1</v>
      </c>
      <c r="G36" s="1169">
        <f>SUM(G32:G35)</f>
        <v>211.16</v>
      </c>
      <c r="H36" s="1169">
        <f>SUM(H32:H35)</f>
        <v>1142.02</v>
      </c>
      <c r="I36" s="1169">
        <f>SUM(I32:I35)</f>
        <v>0</v>
      </c>
      <c r="J36" s="1169">
        <f>SUM(J32:J35)</f>
        <v>0</v>
      </c>
      <c r="K36" s="1168"/>
      <c r="L36" s="1168"/>
      <c r="M36" s="1168"/>
      <c r="N36" s="1168"/>
      <c r="O36" s="2293"/>
      <c r="P36" s="2285"/>
      <c r="Q36" s="2286"/>
      <c r="R36" s="2286"/>
      <c r="S36" s="2286"/>
      <c r="T36" s="2286"/>
      <c r="U36" s="2286"/>
      <c r="V36" s="2287"/>
    </row>
    <row r="37" spans="2:22" ht="16.25" customHeight="1">
      <c r="B37" s="1193"/>
      <c r="C37" s="1167" t="s">
        <v>2010</v>
      </c>
      <c r="D37" s="1194"/>
      <c r="E37" s="1195"/>
      <c r="F37" s="1196"/>
      <c r="G37" s="1169"/>
      <c r="H37" s="1169"/>
      <c r="I37" s="1169"/>
      <c r="J37" s="1169"/>
      <c r="K37" s="1168"/>
      <c r="L37" s="1168"/>
      <c r="M37" s="1168"/>
      <c r="N37" s="1168"/>
      <c r="O37" s="2293"/>
      <c r="P37" s="2285"/>
      <c r="Q37" s="2286"/>
      <c r="R37" s="2286"/>
      <c r="S37" s="2286"/>
      <c r="T37" s="2286"/>
      <c r="U37" s="2286"/>
      <c r="V37" s="2287"/>
    </row>
    <row r="38" spans="2:22" ht="16.25" customHeight="1">
      <c r="B38" s="1193"/>
      <c r="C38" s="1167" t="s">
        <v>2011</v>
      </c>
      <c r="D38" s="1194"/>
      <c r="E38" s="1195"/>
      <c r="F38" s="1196"/>
      <c r="G38" s="1169"/>
      <c r="H38" s="1169"/>
      <c r="I38" s="1169"/>
      <c r="J38" s="1169"/>
      <c r="K38" s="1168"/>
      <c r="L38" s="1168"/>
      <c r="M38" s="1168"/>
      <c r="N38" s="1168"/>
      <c r="O38" s="2293"/>
      <c r="P38" s="2285"/>
      <c r="Q38" s="2286"/>
      <c r="R38" s="2286"/>
      <c r="S38" s="2286"/>
      <c r="T38" s="2286"/>
      <c r="U38" s="2286"/>
      <c r="V38" s="2287"/>
    </row>
    <row r="39" spans="2:22" ht="24.75" customHeight="1">
      <c r="B39" s="2297"/>
      <c r="C39" s="2298"/>
      <c r="D39" s="1197"/>
      <c r="E39" s="1197" t="s">
        <v>1938</v>
      </c>
      <c r="F39" s="1197"/>
      <c r="G39" s="1198"/>
      <c r="H39" s="1198" t="s">
        <v>10</v>
      </c>
      <c r="I39" s="1198" t="s">
        <v>20</v>
      </c>
      <c r="J39" s="1198" t="s">
        <v>3112</v>
      </c>
      <c r="K39" s="1197"/>
      <c r="L39" s="1197"/>
      <c r="M39" s="1197"/>
      <c r="N39" s="1197"/>
      <c r="O39" s="2293"/>
      <c r="P39" s="2269"/>
      <c r="Q39" s="2270"/>
      <c r="R39" s="2270"/>
      <c r="S39" s="2270"/>
      <c r="T39" s="2270"/>
      <c r="U39" s="2270"/>
      <c r="V39" s="2271"/>
    </row>
    <row r="40" spans="2:22" ht="16.25" customHeight="1">
      <c r="B40" s="2272" t="s">
        <v>64</v>
      </c>
      <c r="C40" s="1199" t="s">
        <v>2017</v>
      </c>
      <c r="D40" s="1200"/>
      <c r="E40" s="1201"/>
      <c r="F40" s="1202"/>
      <c r="G40" s="1203"/>
      <c r="H40" s="1203"/>
      <c r="I40" s="1203"/>
      <c r="J40" s="1203"/>
      <c r="K40" s="1202"/>
      <c r="L40" s="1202"/>
      <c r="M40" s="1202"/>
      <c r="N40" s="1202"/>
      <c r="O40" s="2293"/>
      <c r="P40" s="2273" t="s">
        <v>2018</v>
      </c>
      <c r="Q40" s="2274"/>
      <c r="R40" s="2274"/>
      <c r="S40" s="2274"/>
      <c r="T40" s="2274"/>
      <c r="U40" s="2274"/>
      <c r="V40" s="2275"/>
    </row>
    <row r="41" spans="2:22" ht="16.25" customHeight="1" outlineLevel="1">
      <c r="B41" s="2272"/>
      <c r="C41" s="1204" t="s">
        <v>3126</v>
      </c>
      <c r="D41" s="1200"/>
      <c r="E41" s="1205">
        <v>280</v>
      </c>
      <c r="F41" s="2208">
        <f>H41/E41</f>
        <v>33.605214285714283</v>
      </c>
      <c r="G41" s="1172"/>
      <c r="H41" s="1190">
        <v>9409.4599999999991</v>
      </c>
      <c r="I41" s="1190">
        <f>+H41</f>
        <v>9409.4599999999991</v>
      </c>
      <c r="J41" s="1172"/>
      <c r="K41" s="1152" t="s">
        <v>3119</v>
      </c>
      <c r="L41" s="1202"/>
      <c r="M41" s="1202"/>
      <c r="N41" s="1202"/>
      <c r="O41" s="2293"/>
      <c r="P41" s="2276" t="s">
        <v>2020</v>
      </c>
      <c r="Q41" s="2277"/>
      <c r="R41" s="2277"/>
      <c r="S41" s="2277"/>
      <c r="T41" s="2277"/>
      <c r="U41" s="2277"/>
      <c r="V41" s="2278"/>
    </row>
    <row r="42" spans="2:22" s="1159" customFormat="1" ht="16.25" customHeight="1" outlineLevel="1">
      <c r="B42" s="2272"/>
      <c r="C42" s="1204" t="s">
        <v>3126</v>
      </c>
      <c r="D42" s="1206"/>
      <c r="E42" s="1205"/>
      <c r="F42" s="2208"/>
      <c r="G42" s="1172"/>
      <c r="H42" s="1190"/>
      <c r="I42" s="1190"/>
      <c r="J42" s="1172"/>
      <c r="K42" s="1152"/>
      <c r="L42" s="1202"/>
      <c r="M42" s="2208"/>
      <c r="N42" s="2208" t="s">
        <v>3127</v>
      </c>
      <c r="O42" s="2293"/>
      <c r="P42" s="2279" t="s">
        <v>2022</v>
      </c>
      <c r="Q42" s="2280"/>
      <c r="R42" s="2280"/>
      <c r="S42" s="2280"/>
      <c r="T42" s="2280"/>
      <c r="U42" s="2280"/>
      <c r="V42" s="2281"/>
    </row>
    <row r="43" spans="2:22" s="1159" customFormat="1" ht="16.25" customHeight="1">
      <c r="B43" s="2272"/>
      <c r="C43" s="1189" t="s">
        <v>940</v>
      </c>
      <c r="D43" s="1206"/>
      <c r="E43" s="1160"/>
      <c r="F43" s="2208"/>
      <c r="G43" s="1172"/>
      <c r="H43" s="1172"/>
      <c r="I43" s="1172"/>
      <c r="J43" s="1172"/>
      <c r="K43" s="2208"/>
      <c r="L43" s="2208"/>
      <c r="M43" s="2208"/>
      <c r="N43" s="2208"/>
      <c r="O43" s="2293"/>
      <c r="P43" s="2282" t="s">
        <v>2018</v>
      </c>
      <c r="Q43" s="2283"/>
      <c r="R43" s="2283"/>
      <c r="S43" s="2283"/>
      <c r="T43" s="2283"/>
      <c r="U43" s="2283"/>
      <c r="V43" s="2284"/>
    </row>
    <row r="44" spans="2:22" s="1159" customFormat="1" ht="16.25" customHeight="1" outlineLevel="1">
      <c r="B44" s="2272"/>
      <c r="C44" s="1204" t="s">
        <v>3128</v>
      </c>
      <c r="D44" s="2208"/>
      <c r="E44" s="1205">
        <v>759</v>
      </c>
      <c r="F44" s="2208">
        <f>H44/E44</f>
        <v>32.366060606060614</v>
      </c>
      <c r="G44" s="1172"/>
      <c r="H44" s="1190">
        <v>24565.840000000004</v>
      </c>
      <c r="I44" s="1190">
        <f>+H44</f>
        <v>24565.840000000004</v>
      </c>
      <c r="J44" s="1172"/>
      <c r="K44" s="1152" t="s">
        <v>3119</v>
      </c>
      <c r="L44" s="2208"/>
      <c r="M44" s="1207"/>
      <c r="N44" s="2208" t="s">
        <v>3127</v>
      </c>
      <c r="O44" s="2293"/>
      <c r="P44" s="2279" t="s">
        <v>2022</v>
      </c>
      <c r="Q44" s="2280"/>
      <c r="R44" s="2280"/>
      <c r="S44" s="2280"/>
      <c r="T44" s="2280"/>
      <c r="U44" s="2280"/>
      <c r="V44" s="2281"/>
    </row>
    <row r="45" spans="2:22" s="1159" customFormat="1" ht="16.25" customHeight="1" outlineLevel="1">
      <c r="B45" s="2272"/>
      <c r="C45" s="1204" t="s">
        <v>3128</v>
      </c>
      <c r="D45" s="2208"/>
      <c r="E45" s="1205"/>
      <c r="F45" s="2208"/>
      <c r="G45" s="1172"/>
      <c r="H45" s="1190"/>
      <c r="I45" s="1190"/>
      <c r="J45" s="1172"/>
      <c r="K45" s="1152"/>
      <c r="L45" s="2208"/>
      <c r="M45" s="1208"/>
      <c r="N45" s="2208"/>
      <c r="O45" s="2293"/>
      <c r="P45" s="2220"/>
      <c r="Q45" s="2221"/>
      <c r="R45" s="2221"/>
      <c r="S45" s="2221"/>
      <c r="T45" s="2221"/>
      <c r="U45" s="2221"/>
      <c r="V45" s="2218"/>
    </row>
    <row r="46" spans="2:22" s="1159" customFormat="1" ht="16.25" customHeight="1" outlineLevel="1">
      <c r="B46" s="2272"/>
      <c r="C46" s="1204" t="s">
        <v>2025</v>
      </c>
      <c r="D46" s="1206"/>
      <c r="E46" s="1172"/>
      <c r="F46" s="1172"/>
      <c r="G46" s="1172"/>
      <c r="H46" s="1172"/>
      <c r="I46" s="1172"/>
      <c r="J46" s="1172"/>
      <c r="K46" s="1153"/>
      <c r="L46" s="2208"/>
      <c r="M46" s="1208"/>
      <c r="N46" s="2208"/>
      <c r="O46" s="2293"/>
      <c r="P46" s="2279" t="s">
        <v>2020</v>
      </c>
      <c r="Q46" s="2280"/>
      <c r="R46" s="2280"/>
      <c r="S46" s="2280"/>
      <c r="T46" s="2280"/>
      <c r="U46" s="2280"/>
      <c r="V46" s="2281"/>
    </row>
    <row r="47" spans="2:22" s="1159" customFormat="1" ht="16.25" customHeight="1" outlineLevel="1">
      <c r="B47" s="2272"/>
      <c r="C47" s="1204" t="s">
        <v>3129</v>
      </c>
      <c r="D47" s="1206"/>
      <c r="E47" s="1160"/>
      <c r="F47" s="2208"/>
      <c r="G47" s="1172"/>
      <c r="H47" s="1172"/>
      <c r="I47" s="1172"/>
      <c r="J47" s="1172"/>
      <c r="K47" s="2208"/>
      <c r="L47" s="2208"/>
      <c r="M47" s="2208"/>
      <c r="N47" s="2208"/>
      <c r="O47" s="2293"/>
      <c r="P47" s="2220"/>
      <c r="Q47" s="2221"/>
      <c r="R47" s="2221"/>
      <c r="S47" s="2221"/>
      <c r="T47" s="2221"/>
      <c r="U47" s="2221"/>
      <c r="V47" s="2218"/>
    </row>
    <row r="48" spans="2:22" s="1159" customFormat="1" ht="16.25" customHeight="1" outlineLevel="1">
      <c r="B48" s="2272"/>
      <c r="C48" s="1189" t="s">
        <v>3130</v>
      </c>
      <c r="D48" s="1206"/>
      <c r="E48" s="2222">
        <v>116</v>
      </c>
      <c r="F48" s="2208"/>
      <c r="G48" s="1172"/>
      <c r="H48" s="1172"/>
      <c r="I48" s="1172"/>
      <c r="J48" s="1172"/>
      <c r="K48" s="1152" t="s">
        <v>3119</v>
      </c>
      <c r="L48" s="2208"/>
      <c r="M48" s="2208"/>
      <c r="N48" s="2208"/>
      <c r="O48" s="2293"/>
      <c r="P48" s="2220"/>
      <c r="Q48" s="2221"/>
      <c r="R48" s="2221"/>
      <c r="S48" s="2221"/>
      <c r="T48" s="2221"/>
      <c r="U48" s="2221"/>
      <c r="V48" s="2218"/>
    </row>
    <row r="49" spans="2:22" s="1159" customFormat="1" ht="16.25" customHeight="1" outlineLevel="1">
      <c r="B49" s="2272"/>
      <c r="C49" s="1189" t="s">
        <v>3130</v>
      </c>
      <c r="D49" s="1206"/>
      <c r="E49" s="1205"/>
      <c r="F49" s="2208"/>
      <c r="G49" s="1172"/>
      <c r="H49" s="1172"/>
      <c r="I49" s="1172"/>
      <c r="J49" s="1172"/>
      <c r="K49" s="1152"/>
      <c r="L49" s="2208"/>
      <c r="M49" s="2208"/>
      <c r="N49" s="2208"/>
      <c r="O49" s="2293"/>
      <c r="P49" s="2220"/>
      <c r="Q49" s="2221"/>
      <c r="R49" s="2221"/>
      <c r="S49" s="2221"/>
      <c r="T49" s="2221"/>
      <c r="U49" s="2221"/>
      <c r="V49" s="2218"/>
    </row>
    <row r="50" spans="2:22" ht="16.25" customHeight="1">
      <c r="B50" s="2272"/>
      <c r="C50" s="1167" t="s">
        <v>46</v>
      </c>
      <c r="D50" s="1168">
        <f>SUM(D40:D49)</f>
        <v>0</v>
      </c>
      <c r="E50" s="1168">
        <f>SUM(E40:E49)</f>
        <v>1155</v>
      </c>
      <c r="F50" s="1168">
        <f>H50/(E50-E48-E49)</f>
        <v>32.700000000000003</v>
      </c>
      <c r="G50" s="1169">
        <f>H50</f>
        <v>33975.300000000003</v>
      </c>
      <c r="H50" s="1169">
        <f>SUM(H40:H49)</f>
        <v>33975.300000000003</v>
      </c>
      <c r="I50" s="1169">
        <f>SUM(I40:I49)</f>
        <v>33975.300000000003</v>
      </c>
      <c r="J50" s="1169">
        <f>SUM(J40:J49)</f>
        <v>0</v>
      </c>
      <c r="K50" s="1168"/>
      <c r="L50" s="1168">
        <f>SUM(L41:L49)</f>
        <v>0</v>
      </c>
      <c r="M50" s="1168"/>
      <c r="N50" s="1168"/>
      <c r="O50" s="2219"/>
      <c r="P50" s="2285"/>
      <c r="Q50" s="2286"/>
      <c r="R50" s="2286"/>
      <c r="S50" s="2286"/>
      <c r="T50" s="2286"/>
      <c r="U50" s="2286"/>
      <c r="V50" s="2287"/>
    </row>
    <row r="51" spans="2:22" ht="16.25" customHeight="1" thickBot="1">
      <c r="B51" s="2264" t="s">
        <v>24</v>
      </c>
      <c r="C51" s="2265"/>
      <c r="D51" s="1209">
        <f>D25+D31+D36+D50</f>
        <v>43229</v>
      </c>
      <c r="E51" s="1210"/>
      <c r="F51" s="1211">
        <f>F25+F31+F36</f>
        <v>16</v>
      </c>
      <c r="G51" s="1212">
        <f>G25+G31+G36</f>
        <v>8858.07</v>
      </c>
      <c r="H51" s="1212">
        <f>H25+H31+H36+H50</f>
        <v>138524.57999999999</v>
      </c>
      <c r="I51" s="1213">
        <f>I25+I31+I36+I50</f>
        <v>137382.56</v>
      </c>
      <c r="J51" s="1213">
        <f>J25+J31+J36+J50</f>
        <v>0</v>
      </c>
      <c r="K51" s="1214"/>
      <c r="L51" s="1214"/>
      <c r="M51" s="1214"/>
      <c r="N51" s="1214"/>
      <c r="O51" s="1214"/>
      <c r="P51" s="2266"/>
      <c r="Q51" s="2267"/>
      <c r="R51" s="2267"/>
      <c r="S51" s="2267"/>
      <c r="T51" s="2267"/>
      <c r="U51" s="2267"/>
      <c r="V51" s="2268"/>
    </row>
    <row r="52" spans="2:22">
      <c r="E52" s="2203">
        <f>E48/E50</f>
        <v>0.10043290043290043</v>
      </c>
      <c r="F52" s="1129">
        <f>1164*0.12</f>
        <v>139.68</v>
      </c>
      <c r="H52" s="1215">
        <f>+E50/R25</f>
        <v>1.1725888324873097</v>
      </c>
    </row>
    <row r="53" spans="2:22">
      <c r="D53" s="1129"/>
      <c r="H53" s="1215">
        <f>+H51-H50</f>
        <v>104549.27999999998</v>
      </c>
    </row>
    <row r="54" spans="2:22" ht="12.5" thickBot="1">
      <c r="D54" s="1209">
        <f>+D51*2.4</f>
        <v>103749.59999999999</v>
      </c>
      <c r="H54" s="2203">
        <f>H25/H51</f>
        <v>0.73884598675556346</v>
      </c>
    </row>
    <row r="55" spans="2:22">
      <c r="D55" s="1129">
        <f>+H53-D54</f>
        <v>799.67999999999302</v>
      </c>
    </row>
    <row r="56" spans="2:22">
      <c r="H56" s="2204">
        <f>+H36/H51</f>
        <v>8.2441686522348595E-3</v>
      </c>
    </row>
    <row r="58" spans="2:22">
      <c r="F58" s="1129">
        <f>70000*(E41+E44-30)/(H41+H44)</f>
        <v>2078.8631741294407</v>
      </c>
    </row>
    <row r="59" spans="2:22">
      <c r="H59" s="1216">
        <f>9.31*H51</f>
        <v>1289663.8398</v>
      </c>
    </row>
    <row r="60" spans="2:22">
      <c r="F60" s="1129"/>
    </row>
  </sheetData>
  <autoFilter ref="A19:AA54"/>
  <mergeCells count="58">
    <mergeCell ref="B1:S1"/>
    <mergeCell ref="B2:C2"/>
    <mergeCell ref="D2:E2"/>
    <mergeCell ref="G2:H2"/>
    <mergeCell ref="I2:J2"/>
    <mergeCell ref="M2:N2"/>
    <mergeCell ref="B4:C4"/>
    <mergeCell ref="D4:E4"/>
    <mergeCell ref="G4:H4"/>
    <mergeCell ref="I4:K4"/>
    <mergeCell ref="M4:N4"/>
    <mergeCell ref="B3:C3"/>
    <mergeCell ref="D3:E3"/>
    <mergeCell ref="G3:H3"/>
    <mergeCell ref="I3:K3"/>
    <mergeCell ref="M3:O3"/>
    <mergeCell ref="B5:C5"/>
    <mergeCell ref="D5:E5"/>
    <mergeCell ref="F5:H5"/>
    <mergeCell ref="K5:L5"/>
    <mergeCell ref="B6:C6"/>
    <mergeCell ref="D6:E6"/>
    <mergeCell ref="F6:H6"/>
    <mergeCell ref="I6:J6"/>
    <mergeCell ref="K6:L6"/>
    <mergeCell ref="B19:C19"/>
    <mergeCell ref="M6:O6"/>
    <mergeCell ref="B7:C7"/>
    <mergeCell ref="E7:F7"/>
    <mergeCell ref="K7:L7"/>
    <mergeCell ref="M7:N7"/>
    <mergeCell ref="B8:C8"/>
    <mergeCell ref="E8:F8"/>
    <mergeCell ref="K8:L8"/>
    <mergeCell ref="M8:N8"/>
    <mergeCell ref="B18:S18"/>
    <mergeCell ref="Q7:S7"/>
    <mergeCell ref="B20:B25"/>
    <mergeCell ref="B26:B31"/>
    <mergeCell ref="B32:B36"/>
    <mergeCell ref="O32:O49"/>
    <mergeCell ref="P32:V32"/>
    <mergeCell ref="P35:V35"/>
    <mergeCell ref="P36:V36"/>
    <mergeCell ref="P37:V37"/>
    <mergeCell ref="P38:V38"/>
    <mergeCell ref="B39:C39"/>
    <mergeCell ref="B51:C51"/>
    <mergeCell ref="P51:V51"/>
    <mergeCell ref="P39:V39"/>
    <mergeCell ref="B40:B50"/>
    <mergeCell ref="P40:V40"/>
    <mergeCell ref="P41:V41"/>
    <mergeCell ref="P42:V42"/>
    <mergeCell ref="P43:V43"/>
    <mergeCell ref="P44:V44"/>
    <mergeCell ref="P46:V46"/>
    <mergeCell ref="P50:V50"/>
  </mergeCells>
  <phoneticPr fontId="19" type="noConversion"/>
  <printOptions horizontalCentered="1"/>
  <pageMargins left="0.74803149606299202" right="0.74803149606299202" top="0.78740157480314998" bottom="0.196850393700787" header="0.31496062992126" footer="0.31496062992126"/>
  <pageSetup paperSize="9" orientation="landscape" horizontalDpi="300" verticalDpi="300"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outlinePr summaryBelow="0" summaryRight="0"/>
  </sheetPr>
  <dimension ref="A1:ECO111"/>
  <sheetViews>
    <sheetView zoomScale="55" zoomScaleNormal="55" workbookViewId="0">
      <pane xSplit="4" ySplit="4" topLeftCell="AM29" activePane="bottomRight" state="frozen"/>
      <selection activeCell="D8" sqref="D8"/>
      <selection pane="topRight" activeCell="D8" sqref="D8"/>
      <selection pane="bottomLeft" activeCell="D8" sqref="D8"/>
      <selection pane="bottomRight" activeCell="BQ39" sqref="BQ39"/>
    </sheetView>
  </sheetViews>
  <sheetFormatPr defaultColWidth="10" defaultRowHeight="15.5" outlineLevelRow="1" outlineLevelCol="1"/>
  <cols>
    <col min="1" max="1" width="6.33203125" customWidth="1"/>
    <col min="2" max="2" width="14.6640625" customWidth="1"/>
    <col min="3" max="3" width="5.6640625" customWidth="1"/>
    <col min="4" max="4" width="24.6640625" customWidth="1"/>
    <col min="5" max="5" width="13.33203125" customWidth="1" collapsed="1"/>
    <col min="6" max="6" width="12.6640625" hidden="1" customWidth="1" outlineLevel="1"/>
    <col min="7" max="7" width="7.08203125" hidden="1" customWidth="1" outlineLevel="1"/>
    <col min="8" max="8" width="12.9140625" customWidth="1" collapsed="1"/>
    <col min="9" max="10" width="11.6640625" hidden="1" customWidth="1" outlineLevel="1"/>
    <col min="11" max="11" width="12.1640625" customWidth="1" collapsed="1"/>
    <col min="12" max="12" width="12.6640625" hidden="1" customWidth="1" outlineLevel="1"/>
    <col min="13" max="13" width="11.6640625" hidden="1" customWidth="1" outlineLevel="1"/>
    <col min="14" max="14" width="14.33203125" customWidth="1" collapsed="1"/>
    <col min="15" max="15" width="12.6640625" hidden="1" customWidth="1" outlineLevel="1"/>
    <col min="16" max="16" width="11.6640625" hidden="1" customWidth="1" outlineLevel="1"/>
    <col min="17" max="17" width="14.08203125" customWidth="1" collapsed="1"/>
    <col min="18" max="18" width="14.08203125" hidden="1" customWidth="1" outlineLevel="1"/>
    <col min="19" max="19" width="11.08203125" hidden="1" customWidth="1" outlineLevel="1"/>
    <col min="20" max="20" width="11.6640625" customWidth="1" collapsed="1"/>
    <col min="21" max="22" width="11.6640625" hidden="1" customWidth="1" outlineLevel="1"/>
    <col min="23" max="23" width="13" hidden="1" customWidth="1" collapsed="1"/>
    <col min="24" max="24" width="13" hidden="1" customWidth="1" outlineLevel="1"/>
    <col min="25" max="25" width="11.08203125" hidden="1" customWidth="1" outlineLevel="1"/>
    <col min="26" max="26" width="13" customWidth="1" collapsed="1"/>
    <col min="27" max="27" width="13" hidden="1" customWidth="1" outlineLevel="1"/>
    <col min="28" max="28" width="10.33203125" hidden="1" customWidth="1" outlineLevel="1"/>
    <col min="29" max="29" width="13" customWidth="1" collapsed="1"/>
    <col min="30" max="30" width="13" hidden="1" customWidth="1" outlineLevel="1"/>
    <col min="31" max="31" width="11" hidden="1" customWidth="1" outlineLevel="1"/>
    <col min="32" max="32" width="14.08203125" customWidth="1" collapsed="1"/>
    <col min="33" max="33" width="14.08203125" hidden="1" customWidth="1" outlineLevel="1"/>
    <col min="34" max="34" width="13" hidden="1" customWidth="1" outlineLevel="1"/>
    <col min="35" max="35" width="14.08203125" customWidth="1" collapsed="1"/>
    <col min="36" max="36" width="14.08203125" hidden="1" customWidth="1" outlineLevel="1"/>
    <col min="37" max="37" width="12.6640625" hidden="1" customWidth="1" outlineLevel="1"/>
    <col min="38" max="38" width="14.08203125" customWidth="1"/>
    <col min="39" max="39" width="14.08203125" customWidth="1" outlineLevel="1"/>
    <col min="40" max="40" width="12.6640625" customWidth="1" outlineLevel="1"/>
    <col min="41" max="41" width="12.6640625" customWidth="1" collapsed="1"/>
    <col min="42" max="43" width="12.6640625" hidden="1" customWidth="1" outlineLevel="1"/>
    <col min="44" max="44" width="13.6640625" customWidth="1" collapsed="1"/>
    <col min="45" max="45" width="13.6640625" hidden="1" customWidth="1" outlineLevel="1"/>
    <col min="46" max="46" width="12.6640625" hidden="1" customWidth="1" outlineLevel="1"/>
    <col min="47" max="47" width="12.6640625" customWidth="1" collapsed="1"/>
    <col min="48" max="49" width="12.6640625" hidden="1" customWidth="1" outlineLevel="1"/>
    <col min="50" max="52" width="12.6640625" hidden="1" customWidth="1"/>
    <col min="53" max="53" width="13" customWidth="1" collapsed="1"/>
    <col min="54" max="54" width="14.08203125" hidden="1" customWidth="1" outlineLevel="1"/>
    <col min="55" max="55" width="12.6640625" hidden="1" customWidth="1" outlineLevel="1"/>
    <col min="56" max="56" width="12.6640625" hidden="1" customWidth="1" collapsed="1"/>
    <col min="57" max="58" width="12.6640625" hidden="1" customWidth="1" outlineLevel="1"/>
    <col min="59" max="59" width="12.6640625" customWidth="1" collapsed="1"/>
    <col min="60" max="61" width="12.6640625" hidden="1" customWidth="1" outlineLevel="1"/>
    <col min="62" max="62" width="14.08203125" customWidth="1"/>
    <col min="63" max="63" width="15" customWidth="1" outlineLevel="1"/>
    <col min="64" max="64" width="14.08203125" customWidth="1" outlineLevel="1"/>
    <col min="65" max="65" width="16.33203125" customWidth="1"/>
    <col min="66" max="66" width="11.4140625" customWidth="1"/>
    <col min="67" max="67" width="11" customWidth="1"/>
    <col min="68" max="68" width="11.33203125" customWidth="1"/>
  </cols>
  <sheetData>
    <row r="1" spans="1:3473" ht="31.75" customHeight="1" thickBot="1">
      <c r="A1" s="1217" t="s">
        <v>787</v>
      </c>
      <c r="B1" s="1217"/>
      <c r="C1" s="1218" t="s">
        <v>987</v>
      </c>
      <c r="D1" s="1219"/>
      <c r="E1" s="1220"/>
      <c r="F1" s="1220"/>
      <c r="G1" s="1220"/>
      <c r="H1" s="1220"/>
      <c r="I1" s="1220"/>
      <c r="J1" s="1220"/>
      <c r="K1" s="1220"/>
      <c r="L1" s="1220"/>
      <c r="M1" s="1220"/>
      <c r="N1" s="1220"/>
      <c r="O1" s="1220"/>
      <c r="P1" s="1220"/>
      <c r="Q1" s="1220"/>
      <c r="R1" s="1220"/>
      <c r="S1" s="1220"/>
      <c r="T1" s="1220"/>
      <c r="U1" s="1220"/>
      <c r="V1" s="1220"/>
      <c r="W1" s="1220"/>
      <c r="X1" s="1220"/>
      <c r="Y1" s="1220"/>
      <c r="Z1" s="1220"/>
      <c r="AA1" s="1220"/>
      <c r="AB1" s="1220"/>
      <c r="AC1" s="1220"/>
      <c r="AD1" s="1220"/>
      <c r="AE1" s="1220"/>
      <c r="AF1" s="1220"/>
      <c r="AG1" s="1220"/>
      <c r="AH1" s="1220"/>
      <c r="AI1" s="1220"/>
      <c r="AJ1" s="1220"/>
      <c r="AK1" s="1220"/>
      <c r="AL1" s="1220"/>
      <c r="AM1" s="1220"/>
      <c r="AN1" s="1220"/>
      <c r="AO1" s="1220"/>
      <c r="AP1" s="1220"/>
      <c r="AQ1" s="1220"/>
      <c r="AR1" s="1220"/>
      <c r="AS1" s="1220"/>
      <c r="AT1" s="1220"/>
      <c r="AU1" s="1220"/>
      <c r="AV1" s="1220"/>
      <c r="AW1" s="1220"/>
      <c r="AX1" s="1220"/>
      <c r="AY1" s="1220"/>
      <c r="AZ1" s="1220"/>
      <c r="BA1" s="1220"/>
      <c r="BB1" s="1220"/>
      <c r="BC1" s="1220"/>
      <c r="BD1" s="1220"/>
      <c r="BE1" s="1220"/>
      <c r="BF1" s="1220"/>
      <c r="BG1" s="1220"/>
      <c r="BH1" s="1220"/>
      <c r="BI1" s="1220"/>
      <c r="BJ1" s="1220"/>
      <c r="BK1" s="1220"/>
      <c r="BL1" s="1220"/>
      <c r="BM1" s="1220"/>
      <c r="BN1" s="1221"/>
      <c r="BO1" s="1221"/>
      <c r="BP1" s="1221"/>
      <c r="BQ1" s="1221"/>
      <c r="BR1" s="1222"/>
      <c r="BS1" s="1222"/>
      <c r="BT1" s="1222"/>
      <c r="BU1" s="1222"/>
      <c r="BV1" s="1222"/>
      <c r="BW1" s="1222"/>
      <c r="BX1" s="1222"/>
      <c r="BY1" s="1222"/>
      <c r="BZ1" s="1222"/>
      <c r="CA1" s="1222"/>
      <c r="CB1" s="1222"/>
      <c r="CC1" s="1222"/>
      <c r="CD1" s="1222"/>
      <c r="CE1" s="1222"/>
      <c r="CF1" s="1222"/>
      <c r="CG1" s="1222"/>
      <c r="CH1" s="1222"/>
      <c r="CI1" s="1222"/>
      <c r="CJ1" s="1222"/>
      <c r="CK1" s="1222"/>
      <c r="CL1" s="1222"/>
      <c r="CM1" s="1222"/>
      <c r="CN1" s="1222"/>
      <c r="CO1" s="1222"/>
      <c r="CP1" s="1222"/>
      <c r="CQ1" s="1222"/>
      <c r="CR1" s="1222"/>
      <c r="CS1" s="1222"/>
      <c r="CT1" s="1222"/>
      <c r="CU1" s="1222"/>
      <c r="CV1" s="1222"/>
      <c r="CW1" s="1222"/>
      <c r="CX1" s="1222"/>
      <c r="CY1" s="1222"/>
      <c r="CZ1" s="1222"/>
      <c r="DA1" s="1222"/>
      <c r="DB1" s="1222"/>
      <c r="DC1" s="1222"/>
      <c r="DD1" s="1222"/>
      <c r="DE1" s="1222"/>
      <c r="DF1" s="1222"/>
      <c r="DG1" s="1222"/>
      <c r="DH1" s="1222"/>
      <c r="DI1" s="1222"/>
      <c r="DJ1" s="1222"/>
      <c r="DK1" s="1222"/>
      <c r="DL1" s="1222"/>
      <c r="DM1" s="1222"/>
      <c r="DN1" s="1222"/>
      <c r="DO1" s="1222"/>
      <c r="DP1" s="1222"/>
      <c r="DQ1" s="1222"/>
      <c r="DR1" s="1222"/>
      <c r="DS1" s="1222"/>
      <c r="DT1" s="1222"/>
      <c r="DU1" s="1222"/>
      <c r="DV1" s="1222"/>
      <c r="DW1" s="1222"/>
      <c r="DX1" s="1222"/>
      <c r="DY1" s="1222"/>
      <c r="DZ1" s="1222"/>
      <c r="EA1" s="1222"/>
      <c r="EB1" s="1222"/>
      <c r="EC1" s="1222"/>
      <c r="ED1" s="1222"/>
      <c r="EE1" s="1222"/>
      <c r="EF1" s="1222"/>
      <c r="EG1" s="1222"/>
      <c r="EH1" s="1222"/>
      <c r="EI1" s="1222"/>
      <c r="EJ1" s="1222"/>
      <c r="EK1" s="1222"/>
      <c r="EL1" s="1222"/>
      <c r="EM1" s="1222"/>
      <c r="EN1" s="1222"/>
      <c r="EO1" s="1222"/>
      <c r="EP1" s="1222"/>
      <c r="EQ1" s="1222"/>
      <c r="ER1" s="1222"/>
      <c r="ES1" s="1222"/>
      <c r="ET1" s="1222"/>
      <c r="EU1" s="1222"/>
      <c r="EV1" s="1222"/>
      <c r="EW1" s="1222"/>
      <c r="EX1" s="1222"/>
      <c r="EY1" s="1222"/>
      <c r="EZ1" s="1222"/>
      <c r="FA1" s="1222"/>
      <c r="FB1" s="1222"/>
      <c r="FC1" s="1222"/>
      <c r="FD1" s="1222"/>
      <c r="FE1" s="1222"/>
      <c r="FF1" s="1222"/>
      <c r="FG1" s="1222"/>
      <c r="FH1" s="1222"/>
      <c r="FI1" s="1222"/>
      <c r="FJ1" s="1222"/>
      <c r="FK1" s="1222"/>
      <c r="FL1" s="1222"/>
      <c r="FM1" s="1222"/>
      <c r="FN1" s="1222"/>
      <c r="FO1" s="1222"/>
      <c r="FP1" s="1222"/>
      <c r="FQ1" s="1222"/>
      <c r="FR1" s="1222"/>
      <c r="FS1" s="1222"/>
      <c r="FT1" s="1222"/>
      <c r="FU1" s="1222"/>
      <c r="FV1" s="1222"/>
      <c r="FW1" s="1222"/>
      <c r="FX1" s="1222"/>
      <c r="FY1" s="1222"/>
      <c r="FZ1" s="1222"/>
      <c r="GA1" s="1222"/>
      <c r="GB1" s="1222"/>
      <c r="GC1" s="1222"/>
      <c r="GD1" s="1222"/>
      <c r="GE1" s="1222"/>
      <c r="GF1" s="1222"/>
      <c r="GG1" s="1222"/>
      <c r="GH1" s="1222"/>
      <c r="GI1" s="1222"/>
      <c r="GJ1" s="1222"/>
      <c r="GK1" s="1222"/>
      <c r="GL1" s="1222"/>
      <c r="GM1" s="1222"/>
      <c r="GN1" s="1222"/>
      <c r="GO1" s="1222"/>
      <c r="GP1" s="1222"/>
      <c r="GQ1" s="1222"/>
      <c r="GR1" s="1222"/>
      <c r="GS1" s="1222"/>
      <c r="GT1" s="1222"/>
      <c r="GU1" s="1222"/>
      <c r="GV1" s="1222"/>
      <c r="GW1" s="1222"/>
      <c r="GX1" s="1222"/>
      <c r="GY1" s="1222"/>
      <c r="GZ1" s="1222"/>
      <c r="HA1" s="1222"/>
      <c r="HB1" s="1222"/>
      <c r="HC1" s="1222"/>
      <c r="HD1" s="1222"/>
      <c r="HE1" s="1222"/>
      <c r="HF1" s="1222"/>
      <c r="HG1" s="1222"/>
      <c r="HH1" s="1222"/>
      <c r="HI1" s="1222"/>
      <c r="HJ1" s="1222"/>
      <c r="HK1" s="1222"/>
      <c r="HL1" s="1222"/>
      <c r="HM1" s="1222"/>
      <c r="HN1" s="1222"/>
      <c r="HO1" s="1222"/>
      <c r="HP1" s="1222"/>
      <c r="HQ1" s="1222"/>
      <c r="HR1" s="1222"/>
      <c r="HS1" s="1222"/>
      <c r="HT1" s="1222"/>
      <c r="HU1" s="1222"/>
      <c r="HV1" s="1222"/>
      <c r="HW1" s="1222"/>
      <c r="HX1" s="1222"/>
      <c r="HY1" s="1222"/>
      <c r="HZ1" s="1222"/>
      <c r="IA1" s="1222"/>
      <c r="IB1" s="1222"/>
      <c r="IC1" s="1222"/>
      <c r="ID1" s="1222"/>
      <c r="IE1" s="1222"/>
      <c r="IF1" s="1222"/>
      <c r="IG1" s="1222"/>
      <c r="IH1" s="1222"/>
      <c r="II1" s="1222"/>
      <c r="IJ1" s="1222"/>
      <c r="IK1" s="1222"/>
      <c r="IL1" s="1222"/>
      <c r="IM1" s="1222"/>
      <c r="IN1" s="1222"/>
      <c r="IO1" s="1222"/>
      <c r="IP1" s="1222"/>
      <c r="IQ1" s="1222"/>
      <c r="IR1" s="1222"/>
      <c r="IS1" s="1222"/>
      <c r="IT1" s="1222"/>
      <c r="IU1" s="1222"/>
      <c r="IV1" s="1222"/>
      <c r="IW1" s="1222"/>
      <c r="IX1" s="1222"/>
      <c r="IY1" s="1222"/>
      <c r="IZ1" s="1222"/>
      <c r="JA1" s="1222"/>
      <c r="JB1" s="1222"/>
      <c r="JC1" s="1222"/>
      <c r="JD1" s="1222"/>
      <c r="JE1" s="1222"/>
      <c r="JF1" s="1222"/>
      <c r="JG1" s="1222"/>
      <c r="JH1" s="1222"/>
      <c r="JI1" s="1222"/>
      <c r="JJ1" s="1222"/>
      <c r="JK1" s="1222"/>
      <c r="JL1" s="1222"/>
      <c r="JM1" s="1222"/>
      <c r="JN1" s="1222"/>
      <c r="JO1" s="1222"/>
      <c r="JP1" s="1222"/>
      <c r="JQ1" s="1222"/>
      <c r="JR1" s="1222"/>
      <c r="JS1" s="1222"/>
      <c r="JT1" s="1222"/>
      <c r="JU1" s="1222"/>
      <c r="JV1" s="1222"/>
      <c r="JW1" s="1222"/>
      <c r="JX1" s="1222"/>
      <c r="JY1" s="1222"/>
      <c r="JZ1" s="1222"/>
      <c r="KA1" s="1222"/>
      <c r="KB1" s="1222"/>
      <c r="KC1" s="1222"/>
      <c r="KD1" s="1222"/>
      <c r="KE1" s="1222"/>
      <c r="KF1" s="1222"/>
      <c r="KG1" s="1222"/>
      <c r="KH1" s="1222"/>
      <c r="KI1" s="1222"/>
      <c r="KJ1" s="1222"/>
      <c r="KK1" s="1222"/>
      <c r="KL1" s="1222"/>
      <c r="KM1" s="1222"/>
      <c r="KN1" s="1222"/>
      <c r="KO1" s="1222"/>
      <c r="KP1" s="1222"/>
      <c r="KQ1" s="1222"/>
      <c r="KR1" s="1222"/>
      <c r="KS1" s="1222"/>
      <c r="KT1" s="1222"/>
      <c r="KU1" s="1222"/>
      <c r="KV1" s="1222"/>
      <c r="KW1" s="1222"/>
      <c r="KX1" s="1222"/>
      <c r="KY1" s="1222"/>
      <c r="KZ1" s="1222"/>
      <c r="LA1" s="1222"/>
      <c r="LB1" s="1222"/>
      <c r="LC1" s="1222"/>
      <c r="LD1" s="1222"/>
      <c r="LE1" s="1222"/>
      <c r="LF1" s="1222"/>
      <c r="LG1" s="1222"/>
      <c r="LH1" s="1222"/>
      <c r="LI1" s="1222"/>
      <c r="LJ1" s="1222"/>
      <c r="LK1" s="1222"/>
      <c r="LL1" s="1222"/>
      <c r="LM1" s="1222"/>
      <c r="LN1" s="1222"/>
      <c r="LO1" s="1222"/>
      <c r="LP1" s="1222"/>
      <c r="LQ1" s="1222"/>
      <c r="LR1" s="1222"/>
      <c r="LS1" s="1222"/>
      <c r="LT1" s="1222"/>
      <c r="LU1" s="1222"/>
      <c r="LV1" s="1222"/>
      <c r="LW1" s="1222"/>
      <c r="LX1" s="1222"/>
      <c r="LY1" s="1222"/>
      <c r="LZ1" s="1222"/>
      <c r="MA1" s="1222"/>
      <c r="MB1" s="1222"/>
      <c r="MC1" s="1222"/>
      <c r="MD1" s="1222"/>
      <c r="ME1" s="1222"/>
      <c r="MF1" s="1222"/>
      <c r="MG1" s="1222"/>
      <c r="MH1" s="1222"/>
      <c r="MI1" s="1222"/>
      <c r="MJ1" s="1222"/>
      <c r="MK1" s="1222"/>
      <c r="ML1" s="1222"/>
      <c r="MM1" s="1222"/>
      <c r="MN1" s="1222"/>
      <c r="MO1" s="1222"/>
      <c r="MP1" s="1222"/>
      <c r="MQ1" s="1222"/>
      <c r="MR1" s="1222"/>
      <c r="MS1" s="1222"/>
      <c r="MT1" s="1222"/>
      <c r="MU1" s="1222"/>
      <c r="MV1" s="1222"/>
      <c r="MW1" s="1222"/>
      <c r="MX1" s="1222"/>
      <c r="MY1" s="1222"/>
      <c r="MZ1" s="1222"/>
      <c r="NA1" s="1222"/>
      <c r="NB1" s="1222"/>
      <c r="NC1" s="1222"/>
      <c r="ND1" s="1222"/>
      <c r="NE1" s="1222"/>
      <c r="NF1" s="1222"/>
      <c r="NG1" s="1222"/>
      <c r="NH1" s="1222"/>
      <c r="NI1" s="1222"/>
      <c r="NJ1" s="1222"/>
      <c r="NK1" s="1222"/>
      <c r="NL1" s="1222"/>
      <c r="NM1" s="1222"/>
      <c r="NN1" s="1222"/>
      <c r="NO1" s="1222"/>
      <c r="NP1" s="1222"/>
      <c r="NQ1" s="1222"/>
      <c r="NR1" s="1222"/>
      <c r="NS1" s="1222"/>
      <c r="NT1" s="1222"/>
      <c r="NU1" s="1222"/>
      <c r="NV1" s="1222"/>
      <c r="NW1" s="1222"/>
      <c r="NX1" s="1222"/>
      <c r="NY1" s="1222"/>
      <c r="NZ1" s="1222"/>
      <c r="OA1" s="1222"/>
      <c r="OB1" s="1222"/>
      <c r="OC1" s="1222"/>
      <c r="OD1" s="1222"/>
      <c r="OE1" s="1222"/>
      <c r="OF1" s="1222"/>
      <c r="OG1" s="1222"/>
      <c r="OH1" s="1222"/>
      <c r="OI1" s="1222"/>
      <c r="OJ1" s="1222"/>
      <c r="OK1" s="1222"/>
      <c r="OL1" s="1222"/>
      <c r="OM1" s="1222"/>
      <c r="ON1" s="1222"/>
      <c r="OO1" s="1222"/>
      <c r="OP1" s="1222"/>
      <c r="OQ1" s="1222"/>
      <c r="OR1" s="1222"/>
      <c r="OS1" s="1222"/>
      <c r="OT1" s="1222"/>
      <c r="OU1" s="1222"/>
      <c r="OV1" s="1222"/>
      <c r="OW1" s="1222"/>
      <c r="OX1" s="1222"/>
      <c r="OY1" s="1222"/>
      <c r="OZ1" s="1222"/>
      <c r="PA1" s="1222"/>
      <c r="PB1" s="1222"/>
      <c r="PC1" s="1222"/>
      <c r="PD1" s="1222"/>
      <c r="PE1" s="1222"/>
      <c r="PF1" s="1222"/>
      <c r="PG1" s="1222"/>
      <c r="PH1" s="1222"/>
      <c r="PI1" s="1222"/>
      <c r="PJ1" s="1222"/>
      <c r="PK1" s="1222"/>
      <c r="PL1" s="1222"/>
      <c r="PM1" s="1222"/>
      <c r="PN1" s="1222"/>
      <c r="PO1" s="1222"/>
      <c r="PP1" s="1222"/>
      <c r="PQ1" s="1222"/>
      <c r="PR1" s="1222"/>
      <c r="PS1" s="1222"/>
      <c r="PT1" s="1222"/>
      <c r="PU1" s="1222"/>
      <c r="PV1" s="1222"/>
      <c r="PW1" s="1222"/>
      <c r="PX1" s="1222"/>
      <c r="PY1" s="1222"/>
      <c r="PZ1" s="1222"/>
      <c r="QA1" s="1222"/>
      <c r="QB1" s="1222"/>
      <c r="QC1" s="1222"/>
      <c r="QD1" s="1222"/>
      <c r="QE1" s="1222"/>
      <c r="QF1" s="1222"/>
      <c r="QG1" s="1222"/>
      <c r="QH1" s="1222"/>
      <c r="QI1" s="1222"/>
      <c r="QJ1" s="1222"/>
      <c r="QK1" s="1222"/>
      <c r="QL1" s="1222"/>
      <c r="QM1" s="1222"/>
      <c r="QN1" s="1222"/>
      <c r="QO1" s="1222"/>
      <c r="QP1" s="1222"/>
      <c r="QQ1" s="1222"/>
      <c r="QR1" s="1222"/>
      <c r="QS1" s="1222"/>
      <c r="QT1" s="1222"/>
      <c r="QU1" s="1222"/>
      <c r="QV1" s="1222"/>
      <c r="QW1" s="1222"/>
      <c r="QX1" s="1222"/>
      <c r="QY1" s="1222"/>
      <c r="QZ1" s="1222"/>
      <c r="RA1" s="1222"/>
      <c r="RB1" s="1222"/>
      <c r="RC1" s="1222"/>
      <c r="RD1" s="1222"/>
      <c r="RE1" s="1222"/>
      <c r="RF1" s="1222"/>
      <c r="RG1" s="1222"/>
      <c r="RH1" s="1222"/>
      <c r="RI1" s="1222"/>
      <c r="RJ1" s="1222"/>
      <c r="RK1" s="1222"/>
      <c r="RL1" s="1222"/>
      <c r="RM1" s="1222"/>
      <c r="RN1" s="1222"/>
      <c r="RO1" s="1222"/>
      <c r="RP1" s="1222"/>
      <c r="RQ1" s="1222"/>
      <c r="RR1" s="1222"/>
      <c r="RS1" s="1222"/>
      <c r="RT1" s="1222"/>
      <c r="RU1" s="1222"/>
      <c r="RV1" s="1222"/>
      <c r="RW1" s="1222"/>
      <c r="RX1" s="1222"/>
      <c r="RY1" s="1222"/>
      <c r="RZ1" s="1222"/>
      <c r="SA1" s="1222"/>
      <c r="SB1" s="1222"/>
      <c r="SC1" s="1222"/>
      <c r="SD1" s="1222"/>
      <c r="SE1" s="1222"/>
      <c r="SF1" s="1222"/>
      <c r="SG1" s="1222"/>
      <c r="SH1" s="1222"/>
      <c r="SI1" s="1222"/>
      <c r="SJ1" s="1222"/>
      <c r="SK1" s="1222"/>
      <c r="SL1" s="1222"/>
      <c r="SM1" s="1222"/>
      <c r="SN1" s="1222"/>
      <c r="SO1" s="1222"/>
      <c r="SP1" s="1222"/>
      <c r="SQ1" s="1222"/>
      <c r="SR1" s="1222"/>
      <c r="SS1" s="1222"/>
      <c r="ST1" s="1222"/>
      <c r="SU1" s="1222"/>
      <c r="SV1" s="1222"/>
      <c r="SW1" s="1222"/>
      <c r="SX1" s="1222"/>
      <c r="SY1" s="1222"/>
      <c r="SZ1" s="1222"/>
      <c r="TA1" s="1222"/>
      <c r="TB1" s="1222"/>
      <c r="TC1" s="1222"/>
      <c r="TD1" s="1222"/>
      <c r="TE1" s="1222"/>
      <c r="TF1" s="1222"/>
      <c r="TG1" s="1222"/>
      <c r="TH1" s="1222"/>
      <c r="TI1" s="1222"/>
      <c r="TJ1" s="1222"/>
      <c r="TK1" s="1222"/>
      <c r="TL1" s="1222"/>
      <c r="TM1" s="1222"/>
      <c r="TN1" s="1222"/>
      <c r="TO1" s="1222"/>
      <c r="TP1" s="1222"/>
      <c r="TQ1" s="1222"/>
      <c r="TR1" s="1222"/>
      <c r="TS1" s="1222"/>
      <c r="TT1" s="1222"/>
      <c r="TU1" s="1222"/>
      <c r="TV1" s="1222"/>
      <c r="TW1" s="1222"/>
      <c r="TX1" s="1222"/>
      <c r="TY1" s="1222"/>
      <c r="TZ1" s="1222"/>
      <c r="UA1" s="1222"/>
      <c r="UB1" s="1222"/>
      <c r="UC1" s="1222"/>
      <c r="UD1" s="1222"/>
      <c r="UE1" s="1222"/>
      <c r="UF1" s="1222"/>
      <c r="UG1" s="1222"/>
      <c r="UH1" s="1222"/>
      <c r="UI1" s="1222"/>
      <c r="UJ1" s="1222"/>
      <c r="UK1" s="1222"/>
      <c r="UL1" s="1222"/>
      <c r="UM1" s="1222"/>
      <c r="UN1" s="1222"/>
      <c r="UO1" s="1222"/>
      <c r="UP1" s="1222"/>
      <c r="UQ1" s="1222"/>
      <c r="UR1" s="1222"/>
      <c r="US1" s="1222"/>
      <c r="UT1" s="1222"/>
      <c r="UU1" s="1222"/>
      <c r="UV1" s="1222"/>
      <c r="UW1" s="1222"/>
      <c r="UX1" s="1222"/>
      <c r="UY1" s="1222"/>
      <c r="UZ1" s="1222"/>
      <c r="VA1" s="1222"/>
      <c r="VB1" s="1222"/>
      <c r="VC1" s="1222"/>
      <c r="VD1" s="1222"/>
      <c r="VE1" s="1222"/>
      <c r="VF1" s="1222"/>
      <c r="VG1" s="1222"/>
      <c r="VH1" s="1222"/>
      <c r="VI1" s="1222"/>
      <c r="VJ1" s="1222"/>
      <c r="VK1" s="1222"/>
      <c r="VL1" s="1222"/>
      <c r="VM1" s="1222"/>
      <c r="VN1" s="1222"/>
      <c r="VO1" s="1222"/>
      <c r="VP1" s="1222"/>
      <c r="VQ1" s="1222"/>
      <c r="VR1" s="1222"/>
      <c r="VS1" s="1222"/>
      <c r="VT1" s="1222"/>
      <c r="VU1" s="1222"/>
      <c r="VV1" s="1222"/>
      <c r="VW1" s="1222"/>
      <c r="VX1" s="1222"/>
      <c r="VY1" s="1222"/>
      <c r="VZ1" s="1222"/>
      <c r="WA1" s="1222"/>
      <c r="WB1" s="1222"/>
      <c r="WC1" s="1222"/>
      <c r="WD1" s="1222"/>
      <c r="WE1" s="1222"/>
      <c r="WF1" s="1222"/>
      <c r="WG1" s="1222"/>
      <c r="WH1" s="1222"/>
      <c r="WI1" s="1222"/>
      <c r="WJ1" s="1222"/>
      <c r="WK1" s="1222"/>
      <c r="WL1" s="1222"/>
      <c r="WM1" s="1222"/>
      <c r="WN1" s="1222"/>
      <c r="WO1" s="1222"/>
      <c r="WP1" s="1222"/>
      <c r="WQ1" s="1222"/>
      <c r="WR1" s="1222"/>
      <c r="WS1" s="1222"/>
      <c r="WT1" s="1222"/>
      <c r="WU1" s="1222"/>
      <c r="WV1" s="1222"/>
      <c r="WW1" s="1222"/>
      <c r="WX1" s="1222"/>
      <c r="WY1" s="1222"/>
      <c r="WZ1" s="1222"/>
      <c r="XA1" s="1222"/>
      <c r="XB1" s="1222"/>
      <c r="XC1" s="1222"/>
      <c r="XD1" s="1222"/>
      <c r="XE1" s="1222"/>
      <c r="XF1" s="1222"/>
      <c r="XG1" s="1222"/>
      <c r="XH1" s="1222"/>
      <c r="XI1" s="1222"/>
      <c r="XJ1" s="1222"/>
      <c r="XK1" s="1222"/>
      <c r="XL1" s="1222"/>
      <c r="XM1" s="1222"/>
      <c r="XN1" s="1222"/>
      <c r="XO1" s="1222"/>
      <c r="XP1" s="1222"/>
      <c r="XQ1" s="1222"/>
      <c r="XR1" s="1222"/>
      <c r="XS1" s="1222"/>
      <c r="XT1" s="1222"/>
      <c r="XU1" s="1222"/>
      <c r="XV1" s="1222"/>
      <c r="XW1" s="1222"/>
      <c r="XX1" s="1222"/>
      <c r="XY1" s="1222"/>
      <c r="XZ1" s="1222"/>
      <c r="YA1" s="1222"/>
      <c r="YB1" s="1222"/>
      <c r="YC1" s="1222"/>
      <c r="YD1" s="1222"/>
      <c r="YE1" s="1222"/>
      <c r="YF1" s="1222"/>
      <c r="YG1" s="1222"/>
      <c r="YH1" s="1222"/>
      <c r="YI1" s="1222"/>
      <c r="YJ1" s="1222"/>
      <c r="YK1" s="1222"/>
      <c r="YL1" s="1222"/>
      <c r="YM1" s="1222"/>
      <c r="YN1" s="1222"/>
      <c r="YO1" s="1222"/>
      <c r="YP1" s="1222"/>
      <c r="YQ1" s="1222"/>
      <c r="YR1" s="1222"/>
      <c r="YS1" s="1222"/>
      <c r="YT1" s="1222"/>
      <c r="YU1" s="1222"/>
      <c r="YV1" s="1222"/>
      <c r="YW1" s="1222"/>
      <c r="YX1" s="1222"/>
      <c r="YY1" s="1222"/>
      <c r="YZ1" s="1222"/>
      <c r="ZA1" s="1222"/>
      <c r="ZB1" s="1222"/>
      <c r="ZC1" s="1222"/>
      <c r="ZD1" s="1222"/>
      <c r="ZE1" s="1222"/>
      <c r="ZF1" s="1222"/>
      <c r="ZG1" s="1222"/>
      <c r="ZH1" s="1222"/>
      <c r="ZI1" s="1222"/>
      <c r="ZJ1" s="1222"/>
      <c r="ZK1" s="1222"/>
      <c r="ZL1" s="1222"/>
      <c r="ZM1" s="1222"/>
      <c r="ZN1" s="1222"/>
      <c r="ZO1" s="1222"/>
      <c r="ZP1" s="1222"/>
      <c r="ZQ1" s="1222"/>
      <c r="ZR1" s="1222"/>
      <c r="ZS1" s="1222"/>
      <c r="ZT1" s="1222"/>
      <c r="ZU1" s="1222"/>
      <c r="ZV1" s="1222"/>
      <c r="ZW1" s="1222"/>
      <c r="ZX1" s="1222"/>
      <c r="ZY1" s="1222"/>
      <c r="ZZ1" s="1222"/>
      <c r="AAA1" s="1222"/>
      <c r="AAB1" s="1222"/>
      <c r="AAC1" s="1222"/>
      <c r="AAD1" s="1222"/>
      <c r="AAE1" s="1222"/>
      <c r="AAF1" s="1222"/>
      <c r="AAG1" s="1222"/>
      <c r="AAH1" s="1222"/>
      <c r="AAI1" s="1222"/>
      <c r="AAJ1" s="1222"/>
      <c r="AAK1" s="1222"/>
      <c r="AAL1" s="1222"/>
      <c r="AAM1" s="1222"/>
      <c r="AAN1" s="1222"/>
      <c r="AAO1" s="1222"/>
      <c r="AAP1" s="1222"/>
      <c r="AAQ1" s="1222"/>
      <c r="AAR1" s="1222"/>
      <c r="AAS1" s="1222"/>
      <c r="AAT1" s="1222"/>
      <c r="AAU1" s="1222"/>
      <c r="AAV1" s="1222"/>
      <c r="AAW1" s="1222"/>
      <c r="AAX1" s="1222"/>
      <c r="AAY1" s="1222"/>
      <c r="AAZ1" s="1222"/>
      <c r="ABA1" s="1222"/>
      <c r="ABB1" s="1222"/>
      <c r="ABC1" s="1222"/>
      <c r="ABD1" s="1222"/>
      <c r="ABE1" s="1222"/>
      <c r="ABF1" s="1222"/>
      <c r="ABG1" s="1222"/>
      <c r="ABH1" s="1222"/>
      <c r="ABI1" s="1222"/>
      <c r="ABJ1" s="1222"/>
      <c r="ABK1" s="1222"/>
      <c r="ABL1" s="1222"/>
      <c r="ABM1" s="1222"/>
      <c r="ABN1" s="1222"/>
      <c r="ABO1" s="1222"/>
      <c r="ABP1" s="1222"/>
      <c r="ABQ1" s="1222"/>
      <c r="ABR1" s="1222"/>
      <c r="ABS1" s="1222"/>
      <c r="ABT1" s="1222"/>
      <c r="ABU1" s="1222"/>
      <c r="ABV1" s="1222"/>
      <c r="ABW1" s="1222"/>
      <c r="ABX1" s="1222"/>
      <c r="ABY1" s="1222"/>
      <c r="ABZ1" s="1222"/>
      <c r="ACA1" s="1222"/>
      <c r="ACB1" s="1222"/>
      <c r="ACC1" s="1222"/>
      <c r="ACD1" s="1222"/>
      <c r="ACE1" s="1222"/>
      <c r="ACF1" s="1222"/>
      <c r="ACG1" s="1222"/>
      <c r="ACH1" s="1222"/>
      <c r="ACI1" s="1222"/>
      <c r="ACJ1" s="1222"/>
      <c r="ACK1" s="1222"/>
      <c r="ACL1" s="1222"/>
      <c r="ACM1" s="1222"/>
      <c r="ACN1" s="1222"/>
      <c r="ACO1" s="1222"/>
      <c r="ACP1" s="1222"/>
      <c r="ACQ1" s="1222"/>
      <c r="ACR1" s="1222"/>
      <c r="ACS1" s="1222"/>
      <c r="ACT1" s="1222"/>
      <c r="ACU1" s="1222"/>
      <c r="ACV1" s="1222"/>
      <c r="ACW1" s="1222"/>
      <c r="ACX1" s="1222"/>
      <c r="ACY1" s="1222"/>
      <c r="ACZ1" s="1222"/>
      <c r="ADA1" s="1222"/>
      <c r="ADB1" s="1222"/>
      <c r="ADC1" s="1222"/>
      <c r="ADD1" s="1222"/>
      <c r="ADE1" s="1222"/>
      <c r="ADF1" s="1222"/>
      <c r="ADG1" s="1222"/>
      <c r="ADH1" s="1222"/>
      <c r="ADI1" s="1222"/>
      <c r="ADJ1" s="1222"/>
      <c r="ADK1" s="1222"/>
      <c r="ADL1" s="1222"/>
      <c r="ADM1" s="1222"/>
      <c r="ADN1" s="1222"/>
      <c r="ADO1" s="1222"/>
      <c r="ADP1" s="1222"/>
      <c r="ADQ1" s="1222"/>
      <c r="ADR1" s="1222"/>
      <c r="ADS1" s="1222"/>
      <c r="ADT1" s="1222"/>
      <c r="ADU1" s="1222"/>
      <c r="ADV1" s="1222"/>
      <c r="ADW1" s="1222"/>
      <c r="ADX1" s="1222"/>
      <c r="ADY1" s="1222"/>
      <c r="ADZ1" s="1222"/>
      <c r="AEA1" s="1222"/>
      <c r="AEB1" s="1222"/>
      <c r="AEC1" s="1222"/>
      <c r="AED1" s="1222"/>
      <c r="AEE1" s="1222"/>
      <c r="AEF1" s="1222"/>
      <c r="AEG1" s="1222"/>
      <c r="AEH1" s="1222"/>
      <c r="AEI1" s="1222"/>
      <c r="AEJ1" s="1222"/>
      <c r="AEK1" s="1222"/>
      <c r="AEL1" s="1222"/>
      <c r="AEM1" s="1222"/>
      <c r="AEN1" s="1222"/>
      <c r="AEO1" s="1222"/>
      <c r="AEP1" s="1222"/>
      <c r="AEQ1" s="1222"/>
      <c r="AER1" s="1222"/>
      <c r="AES1" s="1222"/>
      <c r="AET1" s="1222"/>
      <c r="AEU1" s="1222"/>
      <c r="AEV1" s="1222"/>
      <c r="AEW1" s="1222"/>
      <c r="AEX1" s="1222"/>
      <c r="AEY1" s="1222"/>
      <c r="AEZ1" s="1222"/>
      <c r="AFA1" s="1222"/>
      <c r="AFB1" s="1222"/>
      <c r="AFC1" s="1222"/>
      <c r="AFD1" s="1222"/>
      <c r="AFE1" s="1222"/>
      <c r="AFF1" s="1222"/>
      <c r="AFG1" s="1222"/>
      <c r="AFH1" s="1222"/>
      <c r="AFI1" s="1222"/>
      <c r="AFJ1" s="1222"/>
      <c r="AFK1" s="1222"/>
      <c r="AFL1" s="1222"/>
      <c r="AFM1" s="1222"/>
      <c r="AFN1" s="1222"/>
      <c r="AFO1" s="1222"/>
      <c r="AFP1" s="1222"/>
      <c r="AFQ1" s="1222"/>
      <c r="AFR1" s="1222"/>
      <c r="AFS1" s="1222"/>
      <c r="AFT1" s="1222"/>
      <c r="AFU1" s="1222"/>
      <c r="AFV1" s="1222"/>
      <c r="AFW1" s="1222"/>
      <c r="AFX1" s="1222"/>
      <c r="AFY1" s="1222"/>
      <c r="AFZ1" s="1222"/>
      <c r="AGA1" s="1222"/>
      <c r="AGB1" s="1222"/>
      <c r="AGC1" s="1222"/>
      <c r="AGD1" s="1222"/>
      <c r="AGE1" s="1222"/>
      <c r="AGF1" s="1222"/>
      <c r="AGG1" s="1222"/>
      <c r="AGH1" s="1222"/>
      <c r="AGI1" s="1222"/>
      <c r="AGJ1" s="1222"/>
      <c r="AGK1" s="1222"/>
      <c r="AGL1" s="1222"/>
      <c r="AGM1" s="1222"/>
      <c r="AGN1" s="1222"/>
      <c r="AGO1" s="1222"/>
      <c r="AGP1" s="1222"/>
      <c r="AGQ1" s="1222"/>
      <c r="AGR1" s="1222"/>
      <c r="AGS1" s="1222"/>
      <c r="AGT1" s="1222"/>
      <c r="AGU1" s="1222"/>
      <c r="AGV1" s="1222"/>
      <c r="AGW1" s="1222"/>
      <c r="AGX1" s="1222"/>
      <c r="AGY1" s="1222"/>
      <c r="AGZ1" s="1222"/>
      <c r="AHA1" s="1222"/>
      <c r="AHB1" s="1222"/>
      <c r="AHC1" s="1222"/>
      <c r="AHD1" s="1222"/>
      <c r="AHE1" s="1222"/>
      <c r="AHF1" s="1222"/>
      <c r="AHG1" s="1222"/>
      <c r="AHH1" s="1222"/>
      <c r="AHI1" s="1222"/>
      <c r="AHJ1" s="1222"/>
      <c r="AHK1" s="1222"/>
      <c r="AHL1" s="1222"/>
      <c r="AHM1" s="1222"/>
      <c r="AHN1" s="1222"/>
      <c r="AHO1" s="1222"/>
      <c r="AHP1" s="1222"/>
      <c r="AHQ1" s="1222"/>
      <c r="AHR1" s="1222"/>
      <c r="AHS1" s="1222"/>
      <c r="AHT1" s="1222"/>
      <c r="AHU1" s="1222"/>
      <c r="AHV1" s="1222"/>
      <c r="AHW1" s="1222"/>
      <c r="AHX1" s="1222"/>
      <c r="AHY1" s="1222"/>
      <c r="AHZ1" s="1222"/>
      <c r="AIA1" s="1222"/>
      <c r="AIB1" s="1222"/>
      <c r="AIC1" s="1222"/>
      <c r="AID1" s="1222"/>
      <c r="AIE1" s="1222"/>
      <c r="AIF1" s="1222"/>
      <c r="AIG1" s="1222"/>
      <c r="AIH1" s="1222"/>
      <c r="AII1" s="1222"/>
      <c r="AIJ1" s="1222"/>
      <c r="AIK1" s="1222"/>
      <c r="AIL1" s="1222"/>
      <c r="AIM1" s="1222"/>
      <c r="AIN1" s="1222"/>
      <c r="AIO1" s="1222"/>
      <c r="AIP1" s="1222"/>
      <c r="AIQ1" s="1222"/>
      <c r="AIR1" s="1222"/>
      <c r="AIS1" s="1222"/>
      <c r="AIT1" s="1222"/>
      <c r="AIU1" s="1222"/>
      <c r="AIV1" s="1222"/>
      <c r="AIW1" s="1222"/>
      <c r="AIX1" s="1222"/>
      <c r="AIY1" s="1222"/>
      <c r="AIZ1" s="1222"/>
      <c r="AJA1" s="1222"/>
      <c r="AJB1" s="1222"/>
      <c r="AJC1" s="1222"/>
      <c r="AJD1" s="1222"/>
      <c r="AJE1" s="1222"/>
      <c r="AJF1" s="1222"/>
      <c r="AJG1" s="1222"/>
      <c r="AJH1" s="1222"/>
      <c r="AJI1" s="1222"/>
      <c r="AJJ1" s="1222"/>
      <c r="AJK1" s="1222"/>
      <c r="AJL1" s="1222"/>
      <c r="AJM1" s="1222"/>
      <c r="AJN1" s="1222"/>
      <c r="AJO1" s="1222"/>
      <c r="AJP1" s="1222"/>
      <c r="AJQ1" s="1222"/>
      <c r="AJR1" s="1222"/>
      <c r="AJS1" s="1222"/>
      <c r="AJT1" s="1222"/>
      <c r="AJU1" s="1222"/>
      <c r="AJV1" s="1222"/>
      <c r="AJW1" s="1222"/>
      <c r="AJX1" s="1222"/>
      <c r="AJY1" s="1222"/>
      <c r="AJZ1" s="1222"/>
      <c r="AKA1" s="1222"/>
      <c r="AKB1" s="1222"/>
      <c r="AKC1" s="1222"/>
      <c r="AKD1" s="1222"/>
      <c r="AKE1" s="1222"/>
      <c r="AKF1" s="1222"/>
      <c r="AKG1" s="1222"/>
      <c r="AKH1" s="1222"/>
      <c r="AKI1" s="1222"/>
      <c r="AKJ1" s="1222"/>
      <c r="AKK1" s="1222"/>
      <c r="AKL1" s="1222"/>
      <c r="AKM1" s="1222"/>
      <c r="AKN1" s="1222"/>
      <c r="AKO1" s="1222"/>
      <c r="AKP1" s="1222"/>
      <c r="AKQ1" s="1222"/>
      <c r="AKR1" s="1222"/>
      <c r="AKS1" s="1222"/>
      <c r="AKT1" s="1222"/>
      <c r="AKU1" s="1222"/>
      <c r="AKV1" s="1222"/>
      <c r="AKW1" s="1222"/>
      <c r="AKX1" s="1222"/>
      <c r="AKY1" s="1222"/>
      <c r="AKZ1" s="1222"/>
      <c r="ALA1" s="1222"/>
      <c r="ALB1" s="1222"/>
      <c r="ALC1" s="1222"/>
      <c r="ALD1" s="1222"/>
      <c r="ALE1" s="1222"/>
      <c r="ALF1" s="1222"/>
      <c r="ALG1" s="1222"/>
      <c r="ALH1" s="1222"/>
      <c r="ALI1" s="1222"/>
      <c r="ALJ1" s="1222"/>
      <c r="ALK1" s="1222"/>
      <c r="ALL1" s="1222"/>
      <c r="ALM1" s="1222"/>
      <c r="ALN1" s="1222"/>
      <c r="ALO1" s="1222"/>
      <c r="ALP1" s="1222"/>
      <c r="ALQ1" s="1222"/>
      <c r="ALR1" s="1222"/>
      <c r="ALS1" s="1222"/>
      <c r="ALT1" s="1222"/>
      <c r="ALU1" s="1222"/>
      <c r="ALV1" s="1222"/>
      <c r="ALW1" s="1222"/>
      <c r="ALX1" s="1222"/>
      <c r="ALY1" s="1222"/>
      <c r="ALZ1" s="1222"/>
      <c r="AMA1" s="1222"/>
      <c r="AMB1" s="1222"/>
      <c r="AMC1" s="1222"/>
      <c r="AMD1" s="1222"/>
      <c r="AME1" s="1222"/>
      <c r="AMF1" s="1222"/>
      <c r="AMG1" s="1222"/>
      <c r="AMH1" s="1222"/>
      <c r="AMI1" s="1222"/>
      <c r="AMJ1" s="1222"/>
      <c r="AMK1" s="1222"/>
      <c r="AML1" s="1222"/>
      <c r="AMM1" s="1222"/>
      <c r="AMN1" s="1222"/>
      <c r="AMO1" s="1222"/>
      <c r="AMP1" s="1222"/>
      <c r="AMQ1" s="1222"/>
      <c r="AMR1" s="1222"/>
      <c r="AMS1" s="1222"/>
      <c r="AMT1" s="1222"/>
      <c r="AMU1" s="1222"/>
      <c r="AMV1" s="1222"/>
      <c r="AMW1" s="1222"/>
      <c r="AMX1" s="1222"/>
      <c r="AMY1" s="1222"/>
      <c r="AMZ1" s="1222"/>
      <c r="ANA1" s="1222"/>
      <c r="ANB1" s="1222"/>
      <c r="ANC1" s="1222"/>
      <c r="AND1" s="1222"/>
      <c r="ANE1" s="1222"/>
      <c r="ANF1" s="1222"/>
      <c r="ANG1" s="1222"/>
      <c r="ANH1" s="1222"/>
      <c r="ANI1" s="1222"/>
      <c r="ANJ1" s="1222"/>
      <c r="ANK1" s="1222"/>
      <c r="ANL1" s="1222"/>
      <c r="ANM1" s="1222"/>
      <c r="ANN1" s="1222"/>
      <c r="ANO1" s="1222"/>
      <c r="ANP1" s="1222"/>
      <c r="ANQ1" s="1222"/>
      <c r="ANR1" s="1222"/>
      <c r="ANS1" s="1222"/>
      <c r="ANT1" s="1222"/>
      <c r="ANU1" s="1222"/>
      <c r="ANV1" s="1222"/>
      <c r="ANW1" s="1222"/>
      <c r="ANX1" s="1222"/>
      <c r="ANY1" s="1222"/>
      <c r="ANZ1" s="1222"/>
      <c r="AOA1" s="1222"/>
      <c r="AOB1" s="1222"/>
      <c r="AOC1" s="1222"/>
      <c r="AOD1" s="1222"/>
      <c r="AOE1" s="1222"/>
      <c r="AOF1" s="1222"/>
      <c r="AOG1" s="1222"/>
      <c r="AOH1" s="1222"/>
      <c r="AOI1" s="1222"/>
      <c r="AOJ1" s="1222"/>
      <c r="AOK1" s="1222"/>
      <c r="AOL1" s="1222"/>
      <c r="AOM1" s="1222"/>
      <c r="AON1" s="1222"/>
      <c r="AOO1" s="1222"/>
      <c r="AOP1" s="1222"/>
      <c r="AOQ1" s="1222"/>
      <c r="AOR1" s="1222"/>
      <c r="AOS1" s="1222"/>
      <c r="AOT1" s="1222"/>
      <c r="AOU1" s="1222"/>
      <c r="AOV1" s="1222"/>
      <c r="AOW1" s="1222"/>
      <c r="AOX1" s="1222"/>
      <c r="AOY1" s="1222"/>
      <c r="AOZ1" s="1222"/>
      <c r="APA1" s="1222"/>
      <c r="APB1" s="1222"/>
      <c r="APC1" s="1222"/>
      <c r="APD1" s="1222"/>
      <c r="APE1" s="1222"/>
      <c r="APF1" s="1222"/>
      <c r="APG1" s="1222"/>
      <c r="APH1" s="1222"/>
      <c r="API1" s="1222"/>
      <c r="APJ1" s="1222"/>
      <c r="APK1" s="1222"/>
      <c r="APL1" s="1222"/>
      <c r="APM1" s="1222"/>
      <c r="APN1" s="1222"/>
      <c r="APO1" s="1222"/>
      <c r="APP1" s="1222"/>
      <c r="APQ1" s="1222"/>
      <c r="APR1" s="1222"/>
      <c r="APS1" s="1222"/>
      <c r="APT1" s="1222"/>
      <c r="APU1" s="1222"/>
      <c r="APV1" s="1222"/>
      <c r="APW1" s="1222"/>
      <c r="APX1" s="1222"/>
      <c r="APY1" s="1222"/>
      <c r="APZ1" s="1222"/>
      <c r="AQA1" s="1222"/>
      <c r="AQB1" s="1222"/>
      <c r="AQC1" s="1222"/>
      <c r="AQD1" s="1222"/>
      <c r="AQE1" s="1222"/>
      <c r="AQF1" s="1222"/>
      <c r="AQG1" s="1222"/>
      <c r="AQH1" s="1222"/>
      <c r="AQI1" s="1222"/>
      <c r="AQJ1" s="1222"/>
      <c r="AQK1" s="1222"/>
      <c r="AQL1" s="1222"/>
      <c r="AQM1" s="1222"/>
      <c r="AQN1" s="1222"/>
      <c r="AQO1" s="1222"/>
      <c r="AQP1" s="1222"/>
      <c r="AQQ1" s="1222"/>
      <c r="AQR1" s="1222"/>
      <c r="AQS1" s="1222"/>
      <c r="AQT1" s="1222"/>
      <c r="AQU1" s="1222"/>
      <c r="AQV1" s="1222"/>
      <c r="AQW1" s="1222"/>
      <c r="AQX1" s="1222"/>
      <c r="AQY1" s="1222"/>
      <c r="AQZ1" s="1222"/>
      <c r="ARA1" s="1222"/>
      <c r="ARB1" s="1222"/>
      <c r="ARC1" s="1222"/>
      <c r="ARD1" s="1222"/>
      <c r="ARE1" s="1222"/>
      <c r="ARF1" s="1222"/>
      <c r="ARG1" s="1222"/>
      <c r="ARH1" s="1222"/>
      <c r="ARI1" s="1222"/>
      <c r="ARJ1" s="1222"/>
      <c r="ARK1" s="1222"/>
      <c r="ARL1" s="1222"/>
      <c r="ARM1" s="1222"/>
      <c r="ARN1" s="1222"/>
      <c r="ARO1" s="1222"/>
      <c r="ARP1" s="1222"/>
      <c r="ARQ1" s="1222"/>
      <c r="ARR1" s="1222"/>
      <c r="ARS1" s="1222"/>
      <c r="ART1" s="1222"/>
      <c r="ARU1" s="1222"/>
      <c r="ARV1" s="1222"/>
      <c r="ARW1" s="1222"/>
      <c r="ARX1" s="1222"/>
      <c r="ARY1" s="1222"/>
      <c r="ARZ1" s="1222"/>
      <c r="ASA1" s="1222"/>
      <c r="ASB1" s="1222"/>
      <c r="ASC1" s="1222"/>
      <c r="ASD1" s="1222"/>
      <c r="ASE1" s="1222"/>
      <c r="ASF1" s="1222"/>
      <c r="ASG1" s="1222"/>
      <c r="ASH1" s="1222"/>
      <c r="ASI1" s="1222"/>
      <c r="ASJ1" s="1222"/>
      <c r="ASK1" s="1222"/>
      <c r="ASL1" s="1222"/>
      <c r="ASM1" s="1222"/>
      <c r="ASN1" s="1222"/>
      <c r="ASO1" s="1222"/>
      <c r="ASP1" s="1222"/>
      <c r="ASQ1" s="1222"/>
      <c r="ASR1" s="1222"/>
      <c r="ASS1" s="1222"/>
      <c r="AST1" s="1222"/>
      <c r="ASU1" s="1222"/>
      <c r="ASV1" s="1222"/>
      <c r="ASW1" s="1222"/>
      <c r="ASX1" s="1222"/>
      <c r="ASY1" s="1222"/>
      <c r="ASZ1" s="1222"/>
      <c r="ATA1" s="1222"/>
      <c r="ATB1" s="1222"/>
      <c r="ATC1" s="1222"/>
      <c r="ATD1" s="1222"/>
      <c r="ATE1" s="1222"/>
      <c r="ATF1" s="1222"/>
      <c r="ATG1" s="1222"/>
      <c r="ATH1" s="1222"/>
      <c r="ATI1" s="1222"/>
      <c r="ATJ1" s="1222"/>
      <c r="ATK1" s="1222"/>
      <c r="ATL1" s="1222"/>
      <c r="ATM1" s="1222"/>
      <c r="ATN1" s="1222"/>
      <c r="ATO1" s="1222"/>
      <c r="ATP1" s="1222"/>
      <c r="ATQ1" s="1222"/>
      <c r="ATR1" s="1222"/>
      <c r="ATS1" s="1222"/>
      <c r="ATT1" s="1222"/>
      <c r="ATU1" s="1222"/>
      <c r="ATV1" s="1222"/>
      <c r="ATW1" s="1222"/>
      <c r="ATX1" s="1222"/>
      <c r="ATY1" s="1222"/>
      <c r="ATZ1" s="1222"/>
      <c r="AUA1" s="1222"/>
      <c r="AUB1" s="1222"/>
      <c r="AUC1" s="1222"/>
      <c r="AUD1" s="1222"/>
      <c r="AUE1" s="1222"/>
      <c r="AUF1" s="1222"/>
      <c r="AUG1" s="1222"/>
      <c r="AUH1" s="1222"/>
      <c r="AUI1" s="1222"/>
      <c r="AUJ1" s="1222"/>
      <c r="AUK1" s="1222"/>
      <c r="AUL1" s="1222"/>
      <c r="AUM1" s="1222"/>
      <c r="AUN1" s="1222"/>
      <c r="AUO1" s="1222"/>
      <c r="AUP1" s="1222"/>
      <c r="AUQ1" s="1222"/>
      <c r="AUR1" s="1222"/>
      <c r="AUS1" s="1222"/>
      <c r="AUT1" s="1222"/>
      <c r="AUU1" s="1222"/>
      <c r="AUV1" s="1222"/>
      <c r="AUW1" s="1222"/>
      <c r="AUX1" s="1222"/>
      <c r="AUY1" s="1222"/>
      <c r="AUZ1" s="1222"/>
      <c r="AVA1" s="1222"/>
      <c r="AVB1" s="1222"/>
      <c r="AVC1" s="1222"/>
      <c r="AVD1" s="1222"/>
      <c r="AVE1" s="1222"/>
      <c r="AVF1" s="1222"/>
      <c r="AVG1" s="1222"/>
      <c r="AVH1" s="1222"/>
      <c r="AVI1" s="1222"/>
      <c r="AVJ1" s="1222"/>
      <c r="AVK1" s="1222"/>
      <c r="AVL1" s="1222"/>
      <c r="AVM1" s="1222"/>
      <c r="AVN1" s="1222"/>
      <c r="AVO1" s="1222"/>
      <c r="AVP1" s="1222"/>
      <c r="AVQ1" s="1222"/>
      <c r="AVR1" s="1222"/>
      <c r="AVS1" s="1222"/>
      <c r="AVT1" s="1222"/>
      <c r="AVU1" s="1222"/>
      <c r="AVV1" s="1222"/>
      <c r="AVW1" s="1222"/>
      <c r="AVX1" s="1222"/>
      <c r="AVY1" s="1222"/>
      <c r="AVZ1" s="1222"/>
      <c r="AWA1" s="1222"/>
      <c r="AWB1" s="1222"/>
      <c r="AWC1" s="1222"/>
      <c r="AWD1" s="1222"/>
      <c r="AWE1" s="1222"/>
      <c r="AWF1" s="1222"/>
      <c r="AWG1" s="1222"/>
      <c r="AWH1" s="1222"/>
      <c r="AWI1" s="1222"/>
      <c r="AWJ1" s="1222"/>
      <c r="AWK1" s="1222"/>
      <c r="AWL1" s="1222"/>
      <c r="AWM1" s="1222"/>
      <c r="AWN1" s="1222"/>
      <c r="AWO1" s="1222"/>
      <c r="AWP1" s="1222"/>
      <c r="AWQ1" s="1222"/>
      <c r="AWR1" s="1222"/>
      <c r="AWS1" s="1222"/>
      <c r="AWT1" s="1222"/>
      <c r="AWU1" s="1222"/>
      <c r="AWV1" s="1222"/>
      <c r="AWW1" s="1222"/>
      <c r="AWX1" s="1222"/>
      <c r="AWY1" s="1222"/>
      <c r="AWZ1" s="1222"/>
      <c r="AXA1" s="1222"/>
      <c r="AXB1" s="1222"/>
      <c r="AXC1" s="1222"/>
      <c r="AXD1" s="1222"/>
      <c r="AXE1" s="1222"/>
      <c r="AXF1" s="1222"/>
      <c r="AXG1" s="1222"/>
      <c r="AXH1" s="1222"/>
      <c r="AXI1" s="1222"/>
      <c r="AXJ1" s="1222"/>
      <c r="AXK1" s="1222"/>
      <c r="AXL1" s="1222"/>
      <c r="AXM1" s="1222"/>
      <c r="AXN1" s="1222"/>
      <c r="AXO1" s="1222"/>
      <c r="AXP1" s="1222"/>
      <c r="AXQ1" s="1222"/>
      <c r="AXR1" s="1222"/>
      <c r="AXS1" s="1222"/>
      <c r="AXT1" s="1222"/>
      <c r="AXU1" s="1222"/>
      <c r="AXV1" s="1222"/>
      <c r="AXW1" s="1222"/>
      <c r="AXX1" s="1222"/>
      <c r="AXY1" s="1222"/>
      <c r="AXZ1" s="1222"/>
      <c r="AYA1" s="1222"/>
      <c r="AYB1" s="1222"/>
      <c r="AYC1" s="1222"/>
      <c r="AYD1" s="1222"/>
      <c r="AYE1" s="1222"/>
      <c r="AYF1" s="1222"/>
      <c r="AYG1" s="1222"/>
      <c r="AYH1" s="1222"/>
      <c r="AYI1" s="1222"/>
      <c r="AYJ1" s="1222"/>
      <c r="AYK1" s="1222"/>
      <c r="AYL1" s="1222"/>
      <c r="AYM1" s="1222"/>
      <c r="AYN1" s="1222"/>
      <c r="AYO1" s="1222"/>
      <c r="AYP1" s="1222"/>
      <c r="AYQ1" s="1222"/>
      <c r="AYR1" s="1222"/>
      <c r="AYS1" s="1222"/>
      <c r="AYT1" s="1222"/>
      <c r="AYU1" s="1222"/>
      <c r="AYV1" s="1222"/>
      <c r="AYW1" s="1222"/>
      <c r="AYX1" s="1222"/>
      <c r="AYY1" s="1222"/>
      <c r="AYZ1" s="1222"/>
      <c r="AZA1" s="1222"/>
      <c r="AZB1" s="1222"/>
      <c r="AZC1" s="1222"/>
      <c r="AZD1" s="1222"/>
      <c r="AZE1" s="1222"/>
      <c r="AZF1" s="1222"/>
      <c r="AZG1" s="1222"/>
      <c r="AZH1" s="1222"/>
      <c r="AZI1" s="1222"/>
      <c r="AZJ1" s="1222"/>
      <c r="AZK1" s="1222"/>
      <c r="AZL1" s="1222"/>
      <c r="AZM1" s="1222"/>
      <c r="AZN1" s="1222"/>
      <c r="AZO1" s="1222"/>
      <c r="AZP1" s="1222"/>
      <c r="AZQ1" s="1222"/>
      <c r="AZR1" s="1222"/>
      <c r="AZS1" s="1222"/>
      <c r="AZT1" s="1222"/>
      <c r="AZU1" s="1222"/>
      <c r="AZV1" s="1222"/>
      <c r="AZW1" s="1222"/>
      <c r="AZX1" s="1222"/>
      <c r="AZY1" s="1222"/>
      <c r="AZZ1" s="1222"/>
      <c r="BAA1" s="1222"/>
      <c r="BAB1" s="1222"/>
      <c r="BAC1" s="1222"/>
      <c r="BAD1" s="1222"/>
      <c r="BAE1" s="1222"/>
      <c r="BAF1" s="1222"/>
      <c r="BAG1" s="1222"/>
      <c r="BAH1" s="1222"/>
      <c r="BAI1" s="1222"/>
      <c r="BAJ1" s="1222"/>
      <c r="BAK1" s="1222"/>
      <c r="BAL1" s="1222"/>
      <c r="BAM1" s="1222"/>
      <c r="BAN1" s="1222"/>
      <c r="BAO1" s="1222"/>
      <c r="BAP1" s="1222"/>
      <c r="BAQ1" s="1222"/>
      <c r="BAR1" s="1222"/>
      <c r="BAS1" s="1222"/>
      <c r="BAT1" s="1222"/>
      <c r="BAU1" s="1222"/>
      <c r="BAV1" s="1222"/>
      <c r="BAW1" s="1222"/>
      <c r="BAX1" s="1222"/>
      <c r="BAY1" s="1222"/>
      <c r="BAZ1" s="1222"/>
      <c r="BBA1" s="1222"/>
      <c r="BBB1" s="1222"/>
      <c r="BBC1" s="1222"/>
      <c r="BBD1" s="1222"/>
      <c r="BBE1" s="1222"/>
      <c r="BBF1" s="1222"/>
      <c r="BBG1" s="1222"/>
      <c r="BBH1" s="1222"/>
      <c r="BBI1" s="1222"/>
      <c r="BBJ1" s="1222"/>
      <c r="BBK1" s="1222"/>
      <c r="BBL1" s="1222"/>
      <c r="BBM1" s="1222"/>
      <c r="BBN1" s="1222"/>
      <c r="BBO1" s="1222"/>
      <c r="BBP1" s="1222"/>
      <c r="BBQ1" s="1222"/>
      <c r="BBR1" s="1222"/>
      <c r="BBS1" s="1222"/>
      <c r="BBT1" s="1222"/>
      <c r="BBU1" s="1222"/>
      <c r="BBV1" s="1222"/>
      <c r="BBW1" s="1222"/>
      <c r="BBX1" s="1222"/>
      <c r="BBY1" s="1222"/>
      <c r="BBZ1" s="1222"/>
      <c r="BCA1" s="1222"/>
      <c r="BCB1" s="1222"/>
      <c r="BCC1" s="1222"/>
      <c r="BCD1" s="1222"/>
      <c r="BCE1" s="1222"/>
      <c r="BCF1" s="1222"/>
      <c r="BCG1" s="1222"/>
      <c r="BCH1" s="1222"/>
      <c r="BCI1" s="1222"/>
      <c r="BCJ1" s="1222"/>
      <c r="BCK1" s="1222"/>
      <c r="BCL1" s="1222"/>
      <c r="BCM1" s="1222"/>
      <c r="BCN1" s="1222"/>
      <c r="BCO1" s="1222"/>
      <c r="BCP1" s="1222"/>
      <c r="BCQ1" s="1222"/>
      <c r="BCR1" s="1222"/>
      <c r="BCS1" s="1222"/>
      <c r="BCT1" s="1222"/>
      <c r="BCU1" s="1222"/>
      <c r="BCV1" s="1222"/>
      <c r="BCW1" s="1222"/>
      <c r="BCX1" s="1222"/>
      <c r="BCY1" s="1222"/>
      <c r="BCZ1" s="1222"/>
      <c r="BDA1" s="1222"/>
      <c r="BDB1" s="1222"/>
      <c r="BDC1" s="1222"/>
      <c r="BDD1" s="1222"/>
      <c r="BDE1" s="1222"/>
      <c r="BDF1" s="1222"/>
      <c r="BDG1" s="1222"/>
      <c r="BDH1" s="1222"/>
      <c r="BDI1" s="1222"/>
      <c r="BDJ1" s="1222"/>
      <c r="BDK1" s="1222"/>
      <c r="BDL1" s="1222"/>
      <c r="BDM1" s="1222"/>
      <c r="BDN1" s="1222"/>
      <c r="BDO1" s="1222"/>
      <c r="BDP1" s="1222"/>
      <c r="BDQ1" s="1222"/>
      <c r="BDR1" s="1222"/>
      <c r="BDS1" s="1222"/>
      <c r="BDT1" s="1222"/>
      <c r="BDU1" s="1222"/>
      <c r="BDV1" s="1222"/>
      <c r="BDW1" s="1222"/>
      <c r="BDX1" s="1222"/>
      <c r="BDY1" s="1222"/>
      <c r="BDZ1" s="1222"/>
      <c r="BEA1" s="1222"/>
      <c r="BEB1" s="1222"/>
      <c r="BEC1" s="1222"/>
      <c r="BED1" s="1222"/>
      <c r="BEE1" s="1222"/>
      <c r="BEF1" s="1222"/>
      <c r="BEG1" s="1222"/>
      <c r="BEH1" s="1222"/>
      <c r="BEI1" s="1222"/>
      <c r="BEJ1" s="1222"/>
      <c r="BEK1" s="1222"/>
      <c r="BEL1" s="1222"/>
      <c r="BEM1" s="1222"/>
      <c r="BEN1" s="1222"/>
      <c r="BEO1" s="1222"/>
      <c r="BEP1" s="1222"/>
      <c r="BEQ1" s="1222"/>
      <c r="BER1" s="1222"/>
      <c r="BES1" s="1222"/>
      <c r="BET1" s="1222"/>
      <c r="BEU1" s="1222"/>
      <c r="BEV1" s="1222"/>
      <c r="BEW1" s="1222"/>
      <c r="BEX1" s="1222"/>
      <c r="BEY1" s="1222"/>
      <c r="BEZ1" s="1222"/>
      <c r="BFA1" s="1222"/>
      <c r="BFB1" s="1222"/>
      <c r="BFC1" s="1222"/>
      <c r="BFD1" s="1222"/>
      <c r="BFE1" s="1222"/>
      <c r="BFF1" s="1222"/>
      <c r="BFG1" s="1222"/>
      <c r="BFH1" s="1222"/>
      <c r="BFI1" s="1222"/>
      <c r="BFJ1" s="1222"/>
      <c r="BFK1" s="1222"/>
      <c r="BFL1" s="1222"/>
      <c r="BFM1" s="1222"/>
      <c r="BFN1" s="1222"/>
      <c r="BFO1" s="1222"/>
      <c r="BFP1" s="1222"/>
      <c r="BFQ1" s="1222"/>
      <c r="BFR1" s="1222"/>
      <c r="BFS1" s="1222"/>
      <c r="BFT1" s="1222"/>
      <c r="BFU1" s="1222"/>
      <c r="BFV1" s="1222"/>
      <c r="BFW1" s="1222"/>
      <c r="BFX1" s="1222"/>
      <c r="BFY1" s="1222"/>
      <c r="BFZ1" s="1222"/>
      <c r="BGA1" s="1222"/>
      <c r="BGB1" s="1222"/>
      <c r="BGC1" s="1222"/>
      <c r="BGD1" s="1222"/>
      <c r="BGE1" s="1222"/>
      <c r="BGF1" s="1222"/>
      <c r="BGG1" s="1222"/>
      <c r="BGH1" s="1222"/>
      <c r="BGI1" s="1222"/>
      <c r="BGJ1" s="1222"/>
      <c r="BGK1" s="1222"/>
      <c r="BGL1" s="1222"/>
      <c r="BGM1" s="1222"/>
      <c r="BGN1" s="1222"/>
      <c r="BGO1" s="1222"/>
      <c r="BGP1" s="1222"/>
      <c r="BGQ1" s="1222"/>
      <c r="BGR1" s="1222"/>
      <c r="BGS1" s="1222"/>
      <c r="BGT1" s="1222"/>
      <c r="BGU1" s="1222"/>
      <c r="BGV1" s="1222"/>
      <c r="BGW1" s="1222"/>
      <c r="BGX1" s="1222"/>
      <c r="BGY1" s="1222"/>
      <c r="BGZ1" s="1222"/>
      <c r="BHA1" s="1222"/>
      <c r="BHB1" s="1222"/>
      <c r="BHC1" s="1222"/>
      <c r="BHD1" s="1222"/>
      <c r="BHE1" s="1222"/>
      <c r="BHF1" s="1222"/>
      <c r="BHG1" s="1222"/>
      <c r="BHH1" s="1222"/>
      <c r="BHI1" s="1222"/>
      <c r="BHJ1" s="1222"/>
      <c r="BHK1" s="1222"/>
      <c r="BHL1" s="1222"/>
      <c r="BHM1" s="1222"/>
      <c r="BHN1" s="1222"/>
      <c r="BHO1" s="1222"/>
      <c r="BHP1" s="1222"/>
      <c r="BHQ1" s="1222"/>
      <c r="BHR1" s="1222"/>
      <c r="BHS1" s="1222"/>
      <c r="BHT1" s="1222"/>
      <c r="BHU1" s="1222"/>
      <c r="BHV1" s="1222"/>
      <c r="BHW1" s="1222"/>
      <c r="BHX1" s="1222"/>
      <c r="BHY1" s="1222"/>
      <c r="BHZ1" s="1222"/>
      <c r="BIA1" s="1222"/>
      <c r="BIB1" s="1222"/>
      <c r="BIC1" s="1222"/>
      <c r="BID1" s="1222"/>
      <c r="BIE1" s="1222"/>
      <c r="BIF1" s="1222"/>
      <c r="BIG1" s="1222"/>
      <c r="BIH1" s="1222"/>
      <c r="BII1" s="1222"/>
      <c r="BIJ1" s="1222"/>
      <c r="BIK1" s="1222"/>
      <c r="BIL1" s="1222"/>
      <c r="BIM1" s="1222"/>
      <c r="BIN1" s="1222"/>
      <c r="BIO1" s="1222"/>
      <c r="BIP1" s="1222"/>
      <c r="BIQ1" s="1222"/>
      <c r="BIR1" s="1222"/>
      <c r="BIS1" s="1222"/>
      <c r="BIT1" s="1222"/>
      <c r="BIU1" s="1222"/>
      <c r="BIV1" s="1222"/>
      <c r="BIW1" s="1222"/>
      <c r="BIX1" s="1222"/>
      <c r="BIY1" s="1222"/>
      <c r="BIZ1" s="1222"/>
      <c r="BJA1" s="1222"/>
      <c r="BJB1" s="1222"/>
      <c r="BJC1" s="1222"/>
      <c r="BJD1" s="1222"/>
      <c r="BJE1" s="1222"/>
      <c r="BJF1" s="1222"/>
      <c r="BJG1" s="1222"/>
      <c r="BJH1" s="1222"/>
      <c r="BJI1" s="1222"/>
      <c r="BJJ1" s="1222"/>
      <c r="BJK1" s="1222"/>
      <c r="BJL1" s="1222"/>
      <c r="BJM1" s="1222"/>
      <c r="BJN1" s="1222"/>
      <c r="BJO1" s="1222"/>
      <c r="BJP1" s="1222"/>
      <c r="BJQ1" s="1222"/>
      <c r="BJR1" s="1222"/>
      <c r="BJS1" s="1222"/>
      <c r="BJT1" s="1222"/>
      <c r="BJU1" s="1222"/>
      <c r="BJV1" s="1222"/>
      <c r="BJW1" s="1222"/>
      <c r="BJX1" s="1222"/>
      <c r="BJY1" s="1222"/>
      <c r="BJZ1" s="1222"/>
      <c r="BKA1" s="1222"/>
      <c r="BKB1" s="1222"/>
      <c r="BKC1" s="1222"/>
      <c r="BKD1" s="1222"/>
      <c r="BKE1" s="1222"/>
      <c r="BKF1" s="1222"/>
      <c r="BKG1" s="1222"/>
      <c r="BKH1" s="1222"/>
      <c r="BKI1" s="1222"/>
      <c r="BKJ1" s="1222"/>
      <c r="BKK1" s="1222"/>
      <c r="BKL1" s="1222"/>
      <c r="BKM1" s="1222"/>
      <c r="BKN1" s="1222"/>
      <c r="BKO1" s="1222"/>
      <c r="BKP1" s="1222"/>
      <c r="BKQ1" s="1222"/>
      <c r="BKR1" s="1222"/>
      <c r="BKS1" s="1222"/>
      <c r="BKT1" s="1222"/>
      <c r="BKU1" s="1222"/>
      <c r="BKV1" s="1222"/>
      <c r="BKW1" s="1222"/>
      <c r="BKX1" s="1222"/>
      <c r="BKY1" s="1222"/>
      <c r="BKZ1" s="1222"/>
      <c r="BLA1" s="1222"/>
      <c r="BLB1" s="1222"/>
      <c r="BLC1" s="1222"/>
      <c r="BLD1" s="1222"/>
      <c r="BLE1" s="1222"/>
      <c r="BLF1" s="1222"/>
      <c r="BLG1" s="1222"/>
      <c r="BLH1" s="1222"/>
      <c r="BLI1" s="1222"/>
      <c r="BLJ1" s="1222"/>
      <c r="BLK1" s="1222"/>
      <c r="BLL1" s="1222"/>
      <c r="BLM1" s="1222"/>
      <c r="BLN1" s="1222"/>
      <c r="BLO1" s="1222"/>
      <c r="BLP1" s="1222"/>
      <c r="BLQ1" s="1222"/>
      <c r="BLR1" s="1222"/>
      <c r="BLS1" s="1222"/>
      <c r="BLT1" s="1222"/>
      <c r="BLU1" s="1222"/>
      <c r="BLV1" s="1222"/>
      <c r="BLW1" s="1222"/>
      <c r="BLX1" s="1222"/>
      <c r="BLY1" s="1222"/>
      <c r="BLZ1" s="1222"/>
      <c r="BMA1" s="1222"/>
      <c r="BMB1" s="1222"/>
      <c r="BMC1" s="1222"/>
      <c r="BMD1" s="1222"/>
      <c r="BME1" s="1222"/>
      <c r="BMF1" s="1222"/>
      <c r="BMG1" s="1222"/>
      <c r="BMH1" s="1222"/>
      <c r="BMI1" s="1222"/>
      <c r="BMJ1" s="1222"/>
      <c r="BMK1" s="1222"/>
      <c r="BML1" s="1222"/>
      <c r="BMM1" s="1222"/>
      <c r="BMN1" s="1222"/>
      <c r="BMO1" s="1222"/>
      <c r="BMP1" s="1222"/>
      <c r="BMQ1" s="1222"/>
      <c r="BMR1" s="1222"/>
      <c r="BMS1" s="1222"/>
      <c r="BMT1" s="1222"/>
      <c r="BMU1" s="1222"/>
      <c r="BMV1" s="1222"/>
      <c r="BMW1" s="1222"/>
      <c r="BMX1" s="1222"/>
      <c r="BMY1" s="1222"/>
      <c r="BMZ1" s="1222"/>
      <c r="BNA1" s="1222"/>
      <c r="BNB1" s="1222"/>
      <c r="BNC1" s="1222"/>
      <c r="BND1" s="1222"/>
      <c r="BNE1" s="1222"/>
      <c r="BNF1" s="1222"/>
      <c r="BNG1" s="1222"/>
      <c r="BNH1" s="1222"/>
      <c r="BNI1" s="1222"/>
      <c r="BNJ1" s="1222"/>
      <c r="BNK1" s="1222"/>
      <c r="BNL1" s="1222"/>
      <c r="BNM1" s="1222"/>
      <c r="BNN1" s="1222"/>
      <c r="BNO1" s="1222"/>
      <c r="BNP1" s="1222"/>
      <c r="BNQ1" s="1222"/>
      <c r="BNR1" s="1222"/>
      <c r="BNS1" s="1222"/>
      <c r="BNT1" s="1222"/>
      <c r="BNU1" s="1222"/>
      <c r="BNV1" s="1222"/>
      <c r="BNW1" s="1222"/>
      <c r="BNX1" s="1222"/>
      <c r="BNY1" s="1222"/>
      <c r="BNZ1" s="1222"/>
      <c r="BOA1" s="1222"/>
      <c r="BOB1" s="1222"/>
      <c r="BOC1" s="1222"/>
      <c r="BOD1" s="1222"/>
      <c r="BOE1" s="1222"/>
      <c r="BOF1" s="1222"/>
      <c r="BOG1" s="1222"/>
      <c r="BOH1" s="1222"/>
      <c r="BOI1" s="1222"/>
      <c r="BOJ1" s="1222"/>
      <c r="BOK1" s="1222"/>
      <c r="BOL1" s="1222"/>
      <c r="BOM1" s="1222"/>
      <c r="BON1" s="1222"/>
      <c r="BOO1" s="1222"/>
      <c r="BOP1" s="1222"/>
      <c r="BOQ1" s="1222"/>
      <c r="BOR1" s="1222"/>
      <c r="BOS1" s="1222"/>
      <c r="BOT1" s="1222"/>
      <c r="BOU1" s="1222"/>
      <c r="BOV1" s="1222"/>
      <c r="BOW1" s="1222"/>
      <c r="BOX1" s="1222"/>
      <c r="BOY1" s="1222"/>
      <c r="BOZ1" s="1222"/>
      <c r="BPA1" s="1222"/>
      <c r="BPB1" s="1222"/>
      <c r="BPC1" s="1222"/>
      <c r="BPD1" s="1222"/>
      <c r="BPE1" s="1222"/>
      <c r="BPF1" s="1222"/>
      <c r="BPG1" s="1222"/>
      <c r="BPH1" s="1222"/>
      <c r="BPI1" s="1222"/>
      <c r="BPJ1" s="1222"/>
      <c r="BPK1" s="1222"/>
      <c r="BPL1" s="1222"/>
      <c r="BPM1" s="1222"/>
      <c r="BPN1" s="1222"/>
      <c r="BPO1" s="1222"/>
      <c r="BPP1" s="1222"/>
      <c r="BPQ1" s="1222"/>
      <c r="BPR1" s="1222"/>
      <c r="BPS1" s="1222"/>
      <c r="BPT1" s="1222"/>
      <c r="BPU1" s="1222"/>
      <c r="BPV1" s="1222"/>
      <c r="BPW1" s="1222"/>
      <c r="BPX1" s="1222"/>
      <c r="BPY1" s="1222"/>
      <c r="BPZ1" s="1222"/>
      <c r="BQA1" s="1222"/>
      <c r="BQB1" s="1222"/>
      <c r="BQC1" s="1222"/>
      <c r="BQD1" s="1222"/>
      <c r="BQE1" s="1222"/>
      <c r="BQF1" s="1222"/>
      <c r="BQG1" s="1222"/>
      <c r="BQH1" s="1222"/>
      <c r="BQI1" s="1222"/>
      <c r="BQJ1" s="1222"/>
      <c r="BQK1" s="1222"/>
      <c r="BQL1" s="1222"/>
      <c r="BQM1" s="1222"/>
      <c r="BQN1" s="1222"/>
      <c r="BQO1" s="1222"/>
      <c r="BQP1" s="1222"/>
      <c r="BQQ1" s="1222"/>
      <c r="BQR1" s="1222"/>
      <c r="BQS1" s="1222"/>
      <c r="BQT1" s="1222"/>
      <c r="BQU1" s="1222"/>
      <c r="BQV1" s="1222"/>
      <c r="BQW1" s="1222"/>
      <c r="BQX1" s="1222"/>
      <c r="BQY1" s="1222"/>
      <c r="BQZ1" s="1222"/>
      <c r="BRA1" s="1222"/>
      <c r="BRB1" s="1222"/>
      <c r="BRC1" s="1222"/>
      <c r="BRD1" s="1222"/>
      <c r="BRE1" s="1222"/>
      <c r="BRF1" s="1222"/>
      <c r="BRG1" s="1222"/>
      <c r="BRH1" s="1222"/>
      <c r="BRI1" s="1222"/>
      <c r="BRJ1" s="1222"/>
      <c r="BRK1" s="1222"/>
      <c r="BRL1" s="1222"/>
      <c r="BRM1" s="1222"/>
      <c r="BRN1" s="1222"/>
      <c r="BRO1" s="1222"/>
      <c r="BRP1" s="1222"/>
      <c r="BRQ1" s="1222"/>
      <c r="BRR1" s="1222"/>
      <c r="BRS1" s="1222"/>
      <c r="BRT1" s="1222"/>
      <c r="BRU1" s="1222"/>
      <c r="BRV1" s="1222"/>
      <c r="BRW1" s="1222"/>
      <c r="BRX1" s="1222"/>
      <c r="BRY1" s="1222"/>
      <c r="BRZ1" s="1222"/>
      <c r="BSA1" s="1222"/>
      <c r="BSB1" s="1222"/>
      <c r="BSC1" s="1222"/>
      <c r="BSD1" s="1222"/>
      <c r="BSE1" s="1222"/>
      <c r="BSF1" s="1222"/>
      <c r="BSG1" s="1222"/>
      <c r="BSH1" s="1222"/>
      <c r="BSI1" s="1222"/>
      <c r="BSJ1" s="1222"/>
      <c r="BSK1" s="1222"/>
      <c r="BSL1" s="1222"/>
      <c r="BSM1" s="1222"/>
      <c r="BSN1" s="1222"/>
      <c r="BSO1" s="1222"/>
      <c r="BSP1" s="1222"/>
      <c r="BSQ1" s="1222"/>
      <c r="BSR1" s="1222"/>
      <c r="BSS1" s="1222"/>
      <c r="BST1" s="1222"/>
      <c r="BSU1" s="1222"/>
      <c r="BSV1" s="1222"/>
      <c r="BSW1" s="1222"/>
      <c r="BSX1" s="1222"/>
      <c r="BSY1" s="1222"/>
      <c r="BSZ1" s="1222"/>
      <c r="BTA1" s="1222"/>
      <c r="BTB1" s="1222"/>
      <c r="BTC1" s="1222"/>
      <c r="BTD1" s="1222"/>
      <c r="BTE1" s="1222"/>
      <c r="BTF1" s="1222"/>
      <c r="BTG1" s="1222"/>
      <c r="BTH1" s="1222"/>
      <c r="BTI1" s="1222"/>
      <c r="BTJ1" s="1222"/>
      <c r="BTK1" s="1222"/>
      <c r="BTL1" s="1222"/>
      <c r="BTM1" s="1222"/>
      <c r="BTN1" s="1222"/>
      <c r="BTO1" s="1222"/>
      <c r="BTP1" s="1222"/>
      <c r="BTQ1" s="1222"/>
      <c r="BTR1" s="1222"/>
      <c r="BTS1" s="1222"/>
      <c r="BTT1" s="1222"/>
      <c r="BTU1" s="1222"/>
      <c r="BTV1" s="1222"/>
      <c r="BTW1" s="1222"/>
      <c r="BTX1" s="1222"/>
      <c r="BTY1" s="1222"/>
      <c r="BTZ1" s="1222"/>
      <c r="BUA1" s="1222"/>
      <c r="BUB1" s="1222"/>
      <c r="BUC1" s="1222"/>
      <c r="BUD1" s="1222"/>
      <c r="BUE1" s="1222"/>
      <c r="BUF1" s="1222"/>
      <c r="BUG1" s="1222"/>
      <c r="BUH1" s="1222"/>
      <c r="BUI1" s="1222"/>
      <c r="BUJ1" s="1222"/>
      <c r="BUK1" s="1222"/>
      <c r="BUL1" s="1222"/>
      <c r="BUM1" s="1222"/>
      <c r="BUN1" s="1222"/>
      <c r="BUO1" s="1222"/>
      <c r="BUP1" s="1222"/>
      <c r="BUQ1" s="1222"/>
      <c r="BUR1" s="1222"/>
      <c r="BUS1" s="1222"/>
      <c r="BUT1" s="1222"/>
      <c r="BUU1" s="1222"/>
      <c r="BUV1" s="1222"/>
      <c r="BUW1" s="1222"/>
      <c r="BUX1" s="1222"/>
      <c r="BUY1" s="1222"/>
      <c r="BUZ1" s="1222"/>
      <c r="BVA1" s="1222"/>
      <c r="BVB1" s="1222"/>
      <c r="BVC1" s="1222"/>
      <c r="BVD1" s="1222"/>
      <c r="BVE1" s="1222"/>
      <c r="BVF1" s="1222"/>
      <c r="BVG1" s="1222"/>
      <c r="BVH1" s="1222"/>
      <c r="BVI1" s="1222"/>
      <c r="BVJ1" s="1222"/>
      <c r="BVK1" s="1222"/>
      <c r="BVL1" s="1222"/>
      <c r="BVM1" s="1222"/>
      <c r="BVN1" s="1222"/>
      <c r="BVO1" s="1222"/>
      <c r="BVP1" s="1222"/>
      <c r="BVQ1" s="1222"/>
      <c r="BVR1" s="1222"/>
      <c r="BVS1" s="1222"/>
      <c r="BVT1" s="1222"/>
      <c r="BVU1" s="1222"/>
      <c r="BVV1" s="1222"/>
      <c r="BVW1" s="1222"/>
      <c r="BVX1" s="1222"/>
      <c r="BVY1" s="1222"/>
      <c r="BVZ1" s="1222"/>
      <c r="BWA1" s="1222"/>
      <c r="BWB1" s="1222"/>
      <c r="BWC1" s="1222"/>
      <c r="BWD1" s="1222"/>
      <c r="BWE1" s="1222"/>
      <c r="BWF1" s="1222"/>
      <c r="BWG1" s="1222"/>
      <c r="BWH1" s="1222"/>
      <c r="BWI1" s="1222"/>
      <c r="BWJ1" s="1222"/>
      <c r="BWK1" s="1222"/>
      <c r="BWL1" s="1222"/>
      <c r="BWM1" s="1222"/>
      <c r="BWN1" s="1222"/>
      <c r="BWO1" s="1222"/>
      <c r="BWP1" s="1222"/>
      <c r="BWQ1" s="1222"/>
      <c r="BWR1" s="1222"/>
      <c r="BWS1" s="1222"/>
      <c r="BWT1" s="1222"/>
      <c r="BWU1" s="1222"/>
      <c r="BWV1" s="1222"/>
      <c r="BWW1" s="1222"/>
      <c r="BWX1" s="1222"/>
      <c r="BWY1" s="1222"/>
      <c r="BWZ1" s="1222"/>
      <c r="BXA1" s="1222"/>
      <c r="BXB1" s="1222"/>
      <c r="BXC1" s="1222"/>
      <c r="BXD1" s="1222"/>
      <c r="BXE1" s="1222"/>
      <c r="BXF1" s="1222"/>
      <c r="BXG1" s="1222"/>
      <c r="BXH1" s="1222"/>
      <c r="BXI1" s="1222"/>
      <c r="BXJ1" s="1222"/>
      <c r="BXK1" s="1222"/>
      <c r="BXL1" s="1222"/>
      <c r="BXM1" s="1222"/>
      <c r="BXN1" s="1222"/>
      <c r="BXO1" s="1222"/>
      <c r="BXP1" s="1222"/>
      <c r="BXQ1" s="1222"/>
      <c r="BXR1" s="1222"/>
      <c r="BXS1" s="1222"/>
      <c r="BXT1" s="1222"/>
      <c r="BXU1" s="1222"/>
      <c r="BXV1" s="1222"/>
      <c r="BXW1" s="1222"/>
      <c r="BXX1" s="1222"/>
      <c r="BXY1" s="1222"/>
      <c r="BXZ1" s="1222"/>
      <c r="BYA1" s="1222"/>
      <c r="BYB1" s="1222"/>
      <c r="BYC1" s="1222"/>
      <c r="BYD1" s="1222"/>
      <c r="BYE1" s="1222"/>
      <c r="BYF1" s="1222"/>
      <c r="BYG1" s="1222"/>
      <c r="BYH1" s="1222"/>
      <c r="BYI1" s="1222"/>
      <c r="BYJ1" s="1222"/>
      <c r="BYK1" s="1222"/>
      <c r="BYL1" s="1222"/>
      <c r="BYM1" s="1222"/>
      <c r="BYN1" s="1222"/>
      <c r="BYO1" s="1222"/>
      <c r="BYP1" s="1222"/>
      <c r="BYQ1" s="1222"/>
      <c r="BYR1" s="1222"/>
      <c r="BYS1" s="1222"/>
      <c r="BYT1" s="1222"/>
      <c r="BYU1" s="1222"/>
      <c r="BYV1" s="1222"/>
      <c r="BYW1" s="1222"/>
      <c r="BYX1" s="1222"/>
      <c r="BYY1" s="1222"/>
      <c r="BYZ1" s="1222"/>
      <c r="BZA1" s="1222"/>
      <c r="BZB1" s="1222"/>
      <c r="BZC1" s="1222"/>
      <c r="BZD1" s="1222"/>
      <c r="BZE1" s="1222"/>
      <c r="BZF1" s="1222"/>
      <c r="BZG1" s="1222"/>
      <c r="BZH1" s="1222"/>
      <c r="BZI1" s="1222"/>
      <c r="BZJ1" s="1222"/>
      <c r="BZK1" s="1222"/>
      <c r="BZL1" s="1222"/>
      <c r="BZM1" s="1222"/>
      <c r="BZN1" s="1222"/>
      <c r="BZO1" s="1222"/>
      <c r="BZP1" s="1222"/>
      <c r="BZQ1" s="1222"/>
      <c r="BZR1" s="1222"/>
      <c r="BZS1" s="1222"/>
      <c r="BZT1" s="1222"/>
      <c r="BZU1" s="1222"/>
      <c r="BZV1" s="1222"/>
      <c r="BZW1" s="1222"/>
      <c r="BZX1" s="1222"/>
      <c r="BZY1" s="1222"/>
      <c r="BZZ1" s="1222"/>
      <c r="CAA1" s="1222"/>
      <c r="CAB1" s="1222"/>
      <c r="CAC1" s="1222"/>
      <c r="CAD1" s="1222"/>
      <c r="CAE1" s="1222"/>
      <c r="CAF1" s="1222"/>
      <c r="CAG1" s="1222"/>
      <c r="CAH1" s="1222"/>
      <c r="CAI1" s="1222"/>
      <c r="CAJ1" s="1222"/>
      <c r="CAK1" s="1222"/>
      <c r="CAL1" s="1222"/>
      <c r="CAM1" s="1222"/>
      <c r="CAN1" s="1222"/>
      <c r="CAO1" s="1222"/>
      <c r="CAP1" s="1222"/>
      <c r="CAQ1" s="1222"/>
      <c r="CAR1" s="1222"/>
      <c r="CAS1" s="1222"/>
      <c r="CAT1" s="1222"/>
      <c r="CAU1" s="1222"/>
      <c r="CAV1" s="1222"/>
      <c r="CAW1" s="1222"/>
      <c r="CAX1" s="1222"/>
      <c r="CAY1" s="1222"/>
      <c r="CAZ1" s="1222"/>
      <c r="CBA1" s="1222"/>
      <c r="CBB1" s="1222"/>
      <c r="CBC1" s="1222"/>
      <c r="CBD1" s="1222"/>
      <c r="CBE1" s="1222"/>
      <c r="CBF1" s="1222"/>
      <c r="CBG1" s="1222"/>
      <c r="CBH1" s="1222"/>
      <c r="CBI1" s="1222"/>
      <c r="CBJ1" s="1222"/>
      <c r="CBK1" s="1222"/>
      <c r="CBL1" s="1222"/>
      <c r="CBM1" s="1222"/>
      <c r="CBN1" s="1222"/>
      <c r="CBO1" s="1222"/>
      <c r="CBP1" s="1222"/>
      <c r="CBQ1" s="1222"/>
      <c r="CBR1" s="1222"/>
      <c r="CBS1" s="1222"/>
      <c r="CBT1" s="1222"/>
      <c r="CBU1" s="1222"/>
      <c r="CBV1" s="1222"/>
      <c r="CBW1" s="1222"/>
      <c r="CBX1" s="1222"/>
      <c r="CBY1" s="1222"/>
      <c r="CBZ1" s="1222"/>
      <c r="CCA1" s="1222"/>
      <c r="CCB1" s="1222"/>
      <c r="CCC1" s="1222"/>
      <c r="CCD1" s="1222"/>
      <c r="CCE1" s="1222"/>
      <c r="CCF1" s="1222"/>
      <c r="CCG1" s="1222"/>
      <c r="CCH1" s="1222"/>
      <c r="CCI1" s="1222"/>
      <c r="CCJ1" s="1222"/>
      <c r="CCK1" s="1222"/>
      <c r="CCL1" s="1222"/>
      <c r="CCM1" s="1222"/>
      <c r="CCN1" s="1222"/>
      <c r="CCO1" s="1222"/>
      <c r="CCP1" s="1222"/>
      <c r="CCQ1" s="1222"/>
      <c r="CCR1" s="1222"/>
      <c r="CCS1" s="1222"/>
      <c r="CCT1" s="1222"/>
      <c r="CCU1" s="1222"/>
      <c r="CCV1" s="1222"/>
      <c r="CCW1" s="1222"/>
      <c r="CCX1" s="1222"/>
      <c r="CCY1" s="1222"/>
      <c r="CCZ1" s="1222"/>
      <c r="CDA1" s="1222"/>
      <c r="CDB1" s="1222"/>
      <c r="CDC1" s="1222"/>
      <c r="CDD1" s="1222"/>
      <c r="CDE1" s="1222"/>
      <c r="CDF1" s="1222"/>
      <c r="CDG1" s="1222"/>
      <c r="CDH1" s="1222"/>
      <c r="CDI1" s="1222"/>
      <c r="CDJ1" s="1222"/>
      <c r="CDK1" s="1222"/>
      <c r="CDL1" s="1222"/>
      <c r="CDM1" s="1222"/>
      <c r="CDN1" s="1222"/>
      <c r="CDO1" s="1222"/>
      <c r="CDP1" s="1222"/>
      <c r="CDQ1" s="1222"/>
      <c r="CDR1" s="1222"/>
      <c r="CDS1" s="1222"/>
      <c r="CDT1" s="1222"/>
      <c r="CDU1" s="1222"/>
      <c r="CDV1" s="1222"/>
      <c r="CDW1" s="1222"/>
      <c r="CDX1" s="1222"/>
      <c r="CDY1" s="1222"/>
      <c r="CDZ1" s="1222"/>
      <c r="CEA1" s="1222"/>
      <c r="CEB1" s="1222"/>
      <c r="CEC1" s="1222"/>
      <c r="CED1" s="1222"/>
      <c r="CEE1" s="1222"/>
      <c r="CEF1" s="1222"/>
      <c r="CEG1" s="1222"/>
      <c r="CEH1" s="1222"/>
      <c r="CEI1" s="1222"/>
      <c r="CEJ1" s="1222"/>
      <c r="CEK1" s="1222"/>
      <c r="CEL1" s="1222"/>
      <c r="CEM1" s="1222"/>
      <c r="CEN1" s="1222"/>
      <c r="CEO1" s="1222"/>
      <c r="CEP1" s="1222"/>
      <c r="CEQ1" s="1222"/>
      <c r="CER1" s="1222"/>
      <c r="CES1" s="1222"/>
      <c r="CET1" s="1222"/>
      <c r="CEU1" s="1222"/>
      <c r="CEV1" s="1222"/>
      <c r="CEW1" s="1222"/>
      <c r="CEX1" s="1222"/>
      <c r="CEY1" s="1222"/>
      <c r="CEZ1" s="1222"/>
      <c r="CFA1" s="1222"/>
      <c r="CFB1" s="1222"/>
      <c r="CFC1" s="1222"/>
      <c r="CFD1" s="1222"/>
      <c r="CFE1" s="1222"/>
      <c r="CFF1" s="1222"/>
      <c r="CFG1" s="1222"/>
      <c r="CFH1" s="1222"/>
      <c r="CFI1" s="1222"/>
      <c r="CFJ1" s="1222"/>
      <c r="CFK1" s="1222"/>
      <c r="CFL1" s="1222"/>
      <c r="CFM1" s="1222"/>
      <c r="CFN1" s="1222"/>
      <c r="CFO1" s="1222"/>
      <c r="CFP1" s="1222"/>
      <c r="CFQ1" s="1222"/>
      <c r="CFR1" s="1222"/>
      <c r="CFS1" s="1222"/>
      <c r="CFT1" s="1222"/>
      <c r="CFU1" s="1222"/>
      <c r="CFV1" s="1222"/>
      <c r="CFW1" s="1222"/>
      <c r="CFX1" s="1222"/>
      <c r="CFY1" s="1222"/>
      <c r="CFZ1" s="1222"/>
      <c r="CGA1" s="1222"/>
      <c r="CGB1" s="1222"/>
      <c r="CGC1" s="1222"/>
      <c r="CGD1" s="1222"/>
      <c r="CGE1" s="1222"/>
      <c r="CGF1" s="1222"/>
      <c r="CGG1" s="1222"/>
      <c r="CGH1" s="1222"/>
      <c r="CGI1" s="1222"/>
      <c r="CGJ1" s="1222"/>
      <c r="CGK1" s="1222"/>
      <c r="CGL1" s="1222"/>
      <c r="CGM1" s="1222"/>
      <c r="CGN1" s="1222"/>
      <c r="CGO1" s="1222"/>
      <c r="CGP1" s="1222"/>
      <c r="CGQ1" s="1222"/>
      <c r="CGR1" s="1222"/>
      <c r="CGS1" s="1222"/>
      <c r="CGT1" s="1222"/>
      <c r="CGU1" s="1222"/>
      <c r="CGV1" s="1222"/>
      <c r="CGW1" s="1222"/>
      <c r="CGX1" s="1222"/>
      <c r="CGY1" s="1222"/>
      <c r="CGZ1" s="1222"/>
      <c r="CHA1" s="1222"/>
      <c r="CHB1" s="1222"/>
      <c r="CHC1" s="1222"/>
      <c r="CHD1" s="1222"/>
      <c r="CHE1" s="1222"/>
      <c r="CHF1" s="1222"/>
      <c r="CHG1" s="1222"/>
      <c r="CHH1" s="1222"/>
      <c r="CHI1" s="1222"/>
      <c r="CHJ1" s="1222"/>
      <c r="CHK1" s="1222"/>
      <c r="CHL1" s="1222"/>
      <c r="CHM1" s="1222"/>
      <c r="CHN1" s="1222"/>
      <c r="CHO1" s="1222"/>
      <c r="CHP1" s="1222"/>
      <c r="CHQ1" s="1222"/>
      <c r="CHR1" s="1222"/>
      <c r="CHS1" s="1222"/>
      <c r="CHT1" s="1222"/>
      <c r="CHU1" s="1222"/>
      <c r="CHV1" s="1222"/>
      <c r="CHW1" s="1222"/>
      <c r="CHX1" s="1222"/>
      <c r="CHY1" s="1222"/>
      <c r="CHZ1" s="1222"/>
      <c r="CIA1" s="1222"/>
      <c r="CIB1" s="1222"/>
      <c r="CIC1" s="1222"/>
      <c r="CID1" s="1222"/>
      <c r="CIE1" s="1222"/>
      <c r="CIF1" s="1222"/>
      <c r="CIG1" s="1222"/>
      <c r="CIH1" s="1222"/>
      <c r="CII1" s="1222"/>
      <c r="CIJ1" s="1222"/>
      <c r="CIK1" s="1222"/>
      <c r="CIL1" s="1222"/>
      <c r="CIM1" s="1222"/>
      <c r="CIN1" s="1222"/>
      <c r="CIO1" s="1222"/>
      <c r="CIP1" s="1222"/>
      <c r="CIQ1" s="1222"/>
      <c r="CIR1" s="1222"/>
      <c r="CIS1" s="1222"/>
      <c r="CIT1" s="1222"/>
      <c r="CIU1" s="1222"/>
      <c r="CIV1" s="1222"/>
      <c r="CIW1" s="1222"/>
      <c r="CIX1" s="1222"/>
      <c r="CIY1" s="1222"/>
      <c r="CIZ1" s="1222"/>
      <c r="CJA1" s="1222"/>
      <c r="CJB1" s="1222"/>
      <c r="CJC1" s="1222"/>
      <c r="CJD1" s="1222"/>
      <c r="CJE1" s="1222"/>
      <c r="CJF1" s="1222"/>
      <c r="CJG1" s="1222"/>
      <c r="CJH1" s="1222"/>
      <c r="CJI1" s="1222"/>
      <c r="CJJ1" s="1222"/>
      <c r="CJK1" s="1222"/>
      <c r="CJL1" s="1222"/>
      <c r="CJM1" s="1222"/>
      <c r="CJN1" s="1222"/>
      <c r="CJO1" s="1222"/>
      <c r="CJP1" s="1222"/>
      <c r="CJQ1" s="1222"/>
      <c r="CJR1" s="1222"/>
      <c r="CJS1" s="1222"/>
      <c r="CJT1" s="1222"/>
      <c r="CJU1" s="1222"/>
      <c r="CJV1" s="1222"/>
      <c r="CJW1" s="1222"/>
      <c r="CJX1" s="1222"/>
      <c r="CJY1" s="1222"/>
      <c r="CJZ1" s="1222"/>
      <c r="CKA1" s="1222"/>
      <c r="CKB1" s="1222"/>
      <c r="CKC1" s="1222"/>
      <c r="CKD1" s="1222"/>
      <c r="CKE1" s="1222"/>
      <c r="CKF1" s="1222"/>
      <c r="CKG1" s="1222"/>
      <c r="CKH1" s="1222"/>
      <c r="CKI1" s="1222"/>
      <c r="CKJ1" s="1222"/>
      <c r="CKK1" s="1222"/>
      <c r="CKL1" s="1222"/>
      <c r="CKM1" s="1222"/>
      <c r="CKN1" s="1222"/>
      <c r="CKO1" s="1222"/>
      <c r="CKP1" s="1222"/>
      <c r="CKQ1" s="1222"/>
      <c r="CKR1" s="1222"/>
      <c r="CKS1" s="1222"/>
      <c r="CKT1" s="1222"/>
      <c r="CKU1" s="1222"/>
      <c r="CKV1" s="1222"/>
      <c r="CKW1" s="1222"/>
      <c r="CKX1" s="1222"/>
      <c r="CKY1" s="1222"/>
      <c r="CKZ1" s="1222"/>
      <c r="CLA1" s="1222"/>
      <c r="CLB1" s="1222"/>
      <c r="CLC1" s="1222"/>
      <c r="CLD1" s="1222"/>
      <c r="CLE1" s="1222"/>
      <c r="CLF1" s="1222"/>
      <c r="CLG1" s="1222"/>
      <c r="CLH1" s="1222"/>
      <c r="CLI1" s="1222"/>
      <c r="CLJ1" s="1222"/>
      <c r="CLK1" s="1222"/>
      <c r="CLL1" s="1222"/>
      <c r="CLM1" s="1222"/>
      <c r="CLN1" s="1222"/>
      <c r="CLO1" s="1222"/>
      <c r="CLP1" s="1222"/>
      <c r="CLQ1" s="1222"/>
      <c r="CLR1" s="1222"/>
      <c r="CLS1" s="1222"/>
      <c r="CLT1" s="1222"/>
      <c r="CLU1" s="1222"/>
      <c r="CLV1" s="1222"/>
      <c r="CLW1" s="1222"/>
      <c r="CLX1" s="1222"/>
      <c r="CLY1" s="1222"/>
      <c r="CLZ1" s="1222"/>
      <c r="CMA1" s="1222"/>
      <c r="CMB1" s="1222"/>
      <c r="CMC1" s="1222"/>
      <c r="CMD1" s="1222"/>
      <c r="CME1" s="1222"/>
      <c r="CMF1" s="1222"/>
      <c r="CMG1" s="1222"/>
      <c r="CMH1" s="1222"/>
      <c r="CMI1" s="1222"/>
      <c r="CMJ1" s="1222"/>
      <c r="CMK1" s="1222"/>
      <c r="CML1" s="1222"/>
      <c r="CMM1" s="1222"/>
      <c r="CMN1" s="1222"/>
      <c r="CMO1" s="1222"/>
      <c r="CMP1" s="1222"/>
      <c r="CMQ1" s="1222"/>
      <c r="CMR1" s="1222"/>
      <c r="CMS1" s="1222"/>
      <c r="CMT1" s="1222"/>
      <c r="CMU1" s="1222"/>
      <c r="CMV1" s="1222"/>
      <c r="CMW1" s="1222"/>
      <c r="CMX1" s="1222"/>
      <c r="CMY1" s="1222"/>
      <c r="CMZ1" s="1222"/>
      <c r="CNA1" s="1222"/>
      <c r="CNB1" s="1222"/>
      <c r="CNC1" s="1222"/>
      <c r="CND1" s="1222"/>
      <c r="CNE1" s="1222"/>
      <c r="CNF1" s="1222"/>
      <c r="CNG1" s="1222"/>
      <c r="CNH1" s="1222"/>
      <c r="CNI1" s="1222"/>
      <c r="CNJ1" s="1222"/>
      <c r="CNK1" s="1222"/>
      <c r="CNL1" s="1222"/>
      <c r="CNM1" s="1222"/>
      <c r="CNN1" s="1222"/>
      <c r="CNO1" s="1222"/>
      <c r="CNP1" s="1222"/>
      <c r="CNQ1" s="1222"/>
      <c r="CNR1" s="1222"/>
      <c r="CNS1" s="1222"/>
      <c r="CNT1" s="1222"/>
      <c r="CNU1" s="1222"/>
      <c r="CNV1" s="1222"/>
      <c r="CNW1" s="1222"/>
      <c r="CNX1" s="1222"/>
      <c r="CNY1" s="1222"/>
      <c r="CNZ1" s="1222"/>
      <c r="COA1" s="1222"/>
      <c r="COB1" s="1222"/>
      <c r="COC1" s="1222"/>
      <c r="COD1" s="1222"/>
      <c r="COE1" s="1222"/>
      <c r="COF1" s="1222"/>
      <c r="COG1" s="1222"/>
      <c r="COH1" s="1222"/>
      <c r="COI1" s="1222"/>
      <c r="COJ1" s="1222"/>
      <c r="COK1" s="1222"/>
      <c r="COL1" s="1222"/>
      <c r="COM1" s="1222"/>
      <c r="CON1" s="1222"/>
      <c r="COO1" s="1222"/>
      <c r="COP1" s="1222"/>
      <c r="COQ1" s="1222"/>
      <c r="COR1" s="1222"/>
      <c r="COS1" s="1222"/>
      <c r="COT1" s="1222"/>
      <c r="COU1" s="1222"/>
      <c r="COV1" s="1222"/>
      <c r="COW1" s="1222"/>
      <c r="COX1" s="1222"/>
      <c r="COY1" s="1222"/>
      <c r="COZ1" s="1222"/>
      <c r="CPA1" s="1222"/>
      <c r="CPB1" s="1222"/>
      <c r="CPC1" s="1222"/>
      <c r="CPD1" s="1222"/>
      <c r="CPE1" s="1222"/>
      <c r="CPF1" s="1222"/>
      <c r="CPG1" s="1222"/>
      <c r="CPH1" s="1222"/>
      <c r="CPI1" s="1222"/>
      <c r="CPJ1" s="1222"/>
      <c r="CPK1" s="1222"/>
      <c r="CPL1" s="1222"/>
      <c r="CPM1" s="1222"/>
      <c r="CPN1" s="1222"/>
      <c r="CPO1" s="1222"/>
      <c r="CPP1" s="1222"/>
      <c r="CPQ1" s="1222"/>
      <c r="CPR1" s="1222"/>
      <c r="CPS1" s="1222"/>
      <c r="CPT1" s="1222"/>
      <c r="CPU1" s="1222"/>
      <c r="CPV1" s="1222"/>
      <c r="CPW1" s="1222"/>
      <c r="CPX1" s="1222"/>
      <c r="CPY1" s="1222"/>
      <c r="CPZ1" s="1222"/>
      <c r="CQA1" s="1222"/>
      <c r="CQB1" s="1222"/>
      <c r="CQC1" s="1222"/>
      <c r="CQD1" s="1222"/>
      <c r="CQE1" s="1222"/>
      <c r="CQF1" s="1222"/>
      <c r="CQG1" s="1222"/>
      <c r="CQH1" s="1222"/>
      <c r="CQI1" s="1222"/>
      <c r="CQJ1" s="1222"/>
      <c r="CQK1" s="1222"/>
      <c r="CQL1" s="1222"/>
      <c r="CQM1" s="1222"/>
      <c r="CQN1" s="1222"/>
      <c r="CQO1" s="1222"/>
      <c r="CQP1" s="1222"/>
      <c r="CQQ1" s="1222"/>
      <c r="CQR1" s="1222"/>
      <c r="CQS1" s="1222"/>
      <c r="CQT1" s="1222"/>
      <c r="CQU1" s="1222"/>
      <c r="CQV1" s="1222"/>
      <c r="CQW1" s="1222"/>
      <c r="CQX1" s="1222"/>
      <c r="CQY1" s="1222"/>
      <c r="CQZ1" s="1222"/>
      <c r="CRA1" s="1222"/>
      <c r="CRB1" s="1222"/>
      <c r="CRC1" s="1222"/>
      <c r="CRD1" s="1222"/>
      <c r="CRE1" s="1222"/>
      <c r="CRF1" s="1222"/>
      <c r="CRG1" s="1222"/>
      <c r="CRH1" s="1222"/>
      <c r="CRI1" s="1222"/>
      <c r="CRJ1" s="1222"/>
      <c r="CRK1" s="1222"/>
      <c r="CRL1" s="1222"/>
      <c r="CRM1" s="1222"/>
      <c r="CRN1" s="1222"/>
      <c r="CRO1" s="1222"/>
      <c r="CRP1" s="1222"/>
      <c r="CRQ1" s="1222"/>
      <c r="CRR1" s="1222"/>
      <c r="CRS1" s="1222"/>
      <c r="CRT1" s="1222"/>
      <c r="CRU1" s="1222"/>
      <c r="CRV1" s="1222"/>
      <c r="CRW1" s="1222"/>
      <c r="CRX1" s="1222"/>
      <c r="CRY1" s="1222"/>
      <c r="CRZ1" s="1222"/>
      <c r="CSA1" s="1222"/>
      <c r="CSB1" s="1222"/>
      <c r="CSC1" s="1222"/>
      <c r="CSD1" s="1222"/>
      <c r="CSE1" s="1222"/>
      <c r="CSF1" s="1222"/>
      <c r="CSG1" s="1222"/>
      <c r="CSH1" s="1222"/>
      <c r="CSI1" s="1222"/>
      <c r="CSJ1" s="1222"/>
      <c r="CSK1" s="1222"/>
      <c r="CSL1" s="1222"/>
      <c r="CSM1" s="1222"/>
      <c r="CSN1" s="1222"/>
      <c r="CSO1" s="1222"/>
      <c r="CSP1" s="1222"/>
      <c r="CSQ1" s="1222"/>
      <c r="CSR1" s="1222"/>
      <c r="CSS1" s="1222"/>
      <c r="CST1" s="1222"/>
      <c r="CSU1" s="1222"/>
      <c r="CSV1" s="1222"/>
      <c r="CSW1" s="1222"/>
      <c r="CSX1" s="1222"/>
      <c r="CSY1" s="1222"/>
      <c r="CSZ1" s="1222"/>
      <c r="CTA1" s="1222"/>
      <c r="CTB1" s="1222"/>
      <c r="CTC1" s="1222"/>
      <c r="CTD1" s="1222"/>
      <c r="CTE1" s="1222"/>
      <c r="CTF1" s="1222"/>
      <c r="CTG1" s="1222"/>
      <c r="CTH1" s="1222"/>
      <c r="CTI1" s="1222"/>
      <c r="CTJ1" s="1222"/>
      <c r="CTK1" s="1222"/>
      <c r="CTL1" s="1222"/>
      <c r="CTM1" s="1222"/>
      <c r="CTN1" s="1222"/>
      <c r="CTO1" s="1222"/>
      <c r="CTP1" s="1222"/>
      <c r="CTQ1" s="1222"/>
      <c r="CTR1" s="1222"/>
      <c r="CTS1" s="1222"/>
      <c r="CTT1" s="1222"/>
      <c r="CTU1" s="1222"/>
      <c r="CTV1" s="1222"/>
      <c r="CTW1" s="1222"/>
      <c r="CTX1" s="1222"/>
      <c r="CTY1" s="1222"/>
      <c r="CTZ1" s="1222"/>
      <c r="CUA1" s="1222"/>
      <c r="CUB1" s="1222"/>
      <c r="CUC1" s="1222"/>
      <c r="CUD1" s="1222"/>
      <c r="CUE1" s="1222"/>
      <c r="CUF1" s="1222"/>
      <c r="CUG1" s="1222"/>
      <c r="CUH1" s="1222"/>
      <c r="CUI1" s="1222"/>
      <c r="CUJ1" s="1222"/>
      <c r="CUK1" s="1222"/>
      <c r="CUL1" s="1222"/>
      <c r="CUM1" s="1222"/>
      <c r="CUN1" s="1222"/>
      <c r="CUO1" s="1222"/>
      <c r="CUP1" s="1222"/>
      <c r="CUQ1" s="1222"/>
      <c r="CUR1" s="1222"/>
      <c r="CUS1" s="1222"/>
      <c r="CUT1" s="1222"/>
      <c r="CUU1" s="1222"/>
      <c r="CUV1" s="1222"/>
      <c r="CUW1" s="1222"/>
      <c r="CUX1" s="1222"/>
      <c r="CUY1" s="1222"/>
      <c r="CUZ1" s="1222"/>
      <c r="CVA1" s="1222"/>
      <c r="CVB1" s="1222"/>
      <c r="CVC1" s="1222"/>
      <c r="CVD1" s="1222"/>
      <c r="CVE1" s="1222"/>
      <c r="CVF1" s="1222"/>
      <c r="CVG1" s="1222"/>
      <c r="CVH1" s="1222"/>
      <c r="CVI1" s="1222"/>
      <c r="CVJ1" s="1222"/>
      <c r="CVK1" s="1222"/>
      <c r="CVL1" s="1222"/>
      <c r="CVM1" s="1222"/>
      <c r="CVN1" s="1222"/>
      <c r="CVO1" s="1222"/>
      <c r="CVP1" s="1222"/>
      <c r="CVQ1" s="1222"/>
      <c r="CVR1" s="1222"/>
      <c r="CVS1" s="1222"/>
      <c r="CVT1" s="1222"/>
      <c r="CVU1" s="1222"/>
      <c r="CVV1" s="1222"/>
      <c r="CVW1" s="1222"/>
      <c r="CVX1" s="1222"/>
      <c r="CVY1" s="1222"/>
      <c r="CVZ1" s="1222"/>
      <c r="CWA1" s="1222"/>
      <c r="CWB1" s="1222"/>
      <c r="CWC1" s="1222"/>
      <c r="CWD1" s="1222"/>
      <c r="CWE1" s="1222"/>
      <c r="CWF1" s="1222"/>
      <c r="CWG1" s="1222"/>
      <c r="CWH1" s="1222"/>
      <c r="CWI1" s="1222"/>
      <c r="CWJ1" s="1222"/>
      <c r="CWK1" s="1222"/>
      <c r="CWL1" s="1222"/>
      <c r="CWM1" s="1222"/>
      <c r="CWN1" s="1222"/>
      <c r="CWO1" s="1222"/>
      <c r="CWP1" s="1222"/>
      <c r="CWQ1" s="1222"/>
      <c r="CWR1" s="1222"/>
      <c r="CWS1" s="1222"/>
      <c r="CWT1" s="1222"/>
      <c r="CWU1" s="1222"/>
      <c r="CWV1" s="1222"/>
      <c r="CWW1" s="1222"/>
      <c r="CWX1" s="1222"/>
      <c r="CWY1" s="1222"/>
      <c r="CWZ1" s="1222"/>
      <c r="CXA1" s="1222"/>
      <c r="CXB1" s="1222"/>
      <c r="CXC1" s="1222"/>
      <c r="CXD1" s="1222"/>
      <c r="CXE1" s="1222"/>
      <c r="CXF1" s="1222"/>
      <c r="CXG1" s="1222"/>
      <c r="CXH1" s="1222"/>
      <c r="CXI1" s="1222"/>
      <c r="CXJ1" s="1222"/>
      <c r="CXK1" s="1222"/>
      <c r="CXL1" s="1222"/>
      <c r="CXM1" s="1222"/>
      <c r="CXN1" s="1222"/>
      <c r="CXO1" s="1222"/>
      <c r="CXP1" s="1222"/>
      <c r="CXQ1" s="1222"/>
      <c r="CXR1" s="1222"/>
      <c r="CXS1" s="1222"/>
      <c r="CXT1" s="1222"/>
      <c r="CXU1" s="1222"/>
      <c r="CXV1" s="1222"/>
      <c r="CXW1" s="1222"/>
      <c r="CXX1" s="1222"/>
      <c r="CXY1" s="1222"/>
      <c r="CXZ1" s="1222"/>
      <c r="CYA1" s="1222"/>
      <c r="CYB1" s="1222"/>
      <c r="CYC1" s="1222"/>
      <c r="CYD1" s="1222"/>
      <c r="CYE1" s="1222"/>
      <c r="CYF1" s="1222"/>
      <c r="CYG1" s="1222"/>
      <c r="CYH1" s="1222"/>
      <c r="CYI1" s="1222"/>
      <c r="CYJ1" s="1222"/>
      <c r="CYK1" s="1222"/>
      <c r="CYL1" s="1222"/>
      <c r="CYM1" s="1222"/>
      <c r="CYN1" s="1222"/>
      <c r="CYO1" s="1222"/>
      <c r="CYP1" s="1222"/>
      <c r="CYQ1" s="1222"/>
      <c r="CYR1" s="1222"/>
      <c r="CYS1" s="1222"/>
      <c r="CYT1" s="1222"/>
      <c r="CYU1" s="1222"/>
      <c r="CYV1" s="1222"/>
      <c r="CYW1" s="1222"/>
      <c r="CYX1" s="1222"/>
      <c r="CYY1" s="1222"/>
      <c r="CYZ1" s="1222"/>
      <c r="CZA1" s="1222"/>
      <c r="CZB1" s="1222"/>
      <c r="CZC1" s="1222"/>
      <c r="CZD1" s="1222"/>
      <c r="CZE1" s="1222"/>
      <c r="CZF1" s="1222"/>
      <c r="CZG1" s="1222"/>
      <c r="CZH1" s="1222"/>
      <c r="CZI1" s="1222"/>
      <c r="CZJ1" s="1222"/>
      <c r="CZK1" s="1222"/>
      <c r="CZL1" s="1222"/>
      <c r="CZM1" s="1222"/>
      <c r="CZN1" s="1222"/>
      <c r="CZO1" s="1222"/>
      <c r="CZP1" s="1222"/>
      <c r="CZQ1" s="1222"/>
      <c r="CZR1" s="1222"/>
      <c r="CZS1" s="1222"/>
      <c r="CZT1" s="1222"/>
      <c r="CZU1" s="1222"/>
      <c r="CZV1" s="1222"/>
      <c r="CZW1" s="1222"/>
      <c r="CZX1" s="1222"/>
      <c r="CZY1" s="1222"/>
      <c r="CZZ1" s="1222"/>
      <c r="DAA1" s="1222"/>
      <c r="DAB1" s="1222"/>
      <c r="DAC1" s="1222"/>
      <c r="DAD1" s="1222"/>
      <c r="DAE1" s="1222"/>
      <c r="DAF1" s="1222"/>
      <c r="DAG1" s="1222"/>
      <c r="DAH1" s="1222"/>
      <c r="DAI1" s="1222"/>
      <c r="DAJ1" s="1222"/>
      <c r="DAK1" s="1222"/>
      <c r="DAL1" s="1222"/>
      <c r="DAM1" s="1222"/>
      <c r="DAN1" s="1222"/>
      <c r="DAO1" s="1222"/>
      <c r="DAP1" s="1222"/>
      <c r="DAQ1" s="1222"/>
      <c r="DAR1" s="1222"/>
      <c r="DAS1" s="1222"/>
      <c r="DAT1" s="1222"/>
      <c r="DAU1" s="1222"/>
      <c r="DAV1" s="1222"/>
      <c r="DAW1" s="1222"/>
      <c r="DAX1" s="1222"/>
      <c r="DAY1" s="1222"/>
      <c r="DAZ1" s="1222"/>
      <c r="DBA1" s="1222"/>
      <c r="DBB1" s="1222"/>
      <c r="DBC1" s="1222"/>
      <c r="DBD1" s="1222"/>
      <c r="DBE1" s="1222"/>
      <c r="DBF1" s="1222"/>
      <c r="DBG1" s="1222"/>
      <c r="DBH1" s="1222"/>
      <c r="DBI1" s="1222"/>
      <c r="DBJ1" s="1222"/>
      <c r="DBK1" s="1222"/>
      <c r="DBL1" s="1222"/>
      <c r="DBM1" s="1222"/>
      <c r="DBN1" s="1222"/>
      <c r="DBO1" s="1222"/>
      <c r="DBP1" s="1222"/>
      <c r="DBQ1" s="1222"/>
      <c r="DBR1" s="1222"/>
      <c r="DBS1" s="1222"/>
      <c r="DBT1" s="1222"/>
      <c r="DBU1" s="1222"/>
      <c r="DBV1" s="1222"/>
      <c r="DBW1" s="1222"/>
      <c r="DBX1" s="1222"/>
      <c r="DBY1" s="1222"/>
      <c r="DBZ1" s="1222"/>
      <c r="DCA1" s="1222"/>
      <c r="DCB1" s="1222"/>
      <c r="DCC1" s="1222"/>
      <c r="DCD1" s="1222"/>
      <c r="DCE1" s="1222"/>
      <c r="DCF1" s="1222"/>
      <c r="DCG1" s="1222"/>
      <c r="DCH1" s="1222"/>
      <c r="DCI1" s="1222"/>
      <c r="DCJ1" s="1222"/>
      <c r="DCK1" s="1222"/>
      <c r="DCL1" s="1222"/>
      <c r="DCM1" s="1222"/>
      <c r="DCN1" s="1222"/>
      <c r="DCO1" s="1222"/>
      <c r="DCP1" s="1222"/>
      <c r="DCQ1" s="1222"/>
      <c r="DCR1" s="1222"/>
      <c r="DCS1" s="1222"/>
      <c r="DCT1" s="1222"/>
      <c r="DCU1" s="1222"/>
      <c r="DCV1" s="1222"/>
      <c r="DCW1" s="1222"/>
      <c r="DCX1" s="1222"/>
      <c r="DCY1" s="1222"/>
      <c r="DCZ1" s="1222"/>
      <c r="DDA1" s="1222"/>
      <c r="DDB1" s="1222"/>
      <c r="DDC1" s="1222"/>
      <c r="DDD1" s="1222"/>
      <c r="DDE1" s="1222"/>
      <c r="DDF1" s="1222"/>
      <c r="DDG1" s="1222"/>
      <c r="DDH1" s="1222"/>
      <c r="DDI1" s="1222"/>
      <c r="DDJ1" s="1222"/>
      <c r="DDK1" s="1222"/>
      <c r="DDL1" s="1222"/>
      <c r="DDM1" s="1222"/>
      <c r="DDN1" s="1222"/>
      <c r="DDO1" s="1222"/>
      <c r="DDP1" s="1222"/>
      <c r="DDQ1" s="1222"/>
      <c r="DDR1" s="1222"/>
      <c r="DDS1" s="1222"/>
      <c r="DDT1" s="1222"/>
      <c r="DDU1" s="1222"/>
      <c r="DDV1" s="1222"/>
      <c r="DDW1" s="1222"/>
      <c r="DDX1" s="1222"/>
      <c r="DDY1" s="1222"/>
      <c r="DDZ1" s="1222"/>
      <c r="DEA1" s="1222"/>
      <c r="DEB1" s="1222"/>
      <c r="DEC1" s="1222"/>
      <c r="DED1" s="1222"/>
      <c r="DEE1" s="1222"/>
      <c r="DEF1" s="1222"/>
      <c r="DEG1" s="1222"/>
      <c r="DEH1" s="1222"/>
      <c r="DEI1" s="1222"/>
      <c r="DEJ1" s="1222"/>
      <c r="DEK1" s="1222"/>
      <c r="DEL1" s="1222"/>
      <c r="DEM1" s="1222"/>
      <c r="DEN1" s="1222"/>
      <c r="DEO1" s="1222"/>
      <c r="DEP1" s="1222"/>
      <c r="DEQ1" s="1222"/>
      <c r="DER1" s="1222"/>
      <c r="DES1" s="1222"/>
      <c r="DET1" s="1222"/>
      <c r="DEU1" s="1222"/>
      <c r="DEV1" s="1222"/>
      <c r="DEW1" s="1222"/>
      <c r="DEX1" s="1222"/>
      <c r="DEY1" s="1222"/>
      <c r="DEZ1" s="1222"/>
      <c r="DFA1" s="1222"/>
      <c r="DFB1" s="1222"/>
      <c r="DFC1" s="1222"/>
      <c r="DFD1" s="1222"/>
      <c r="DFE1" s="1222"/>
      <c r="DFF1" s="1222"/>
      <c r="DFG1" s="1222"/>
      <c r="DFH1" s="1222"/>
      <c r="DFI1" s="1222"/>
      <c r="DFJ1" s="1222"/>
      <c r="DFK1" s="1222"/>
      <c r="DFL1" s="1222"/>
      <c r="DFM1" s="1222"/>
      <c r="DFN1" s="1222"/>
      <c r="DFO1" s="1222"/>
      <c r="DFP1" s="1222"/>
      <c r="DFQ1" s="1222"/>
      <c r="DFR1" s="1222"/>
      <c r="DFS1" s="1222"/>
      <c r="DFT1" s="1222"/>
      <c r="DFU1" s="1222"/>
      <c r="DFV1" s="1222"/>
      <c r="DFW1" s="1222"/>
      <c r="DFX1" s="1222"/>
      <c r="DFY1" s="1222"/>
      <c r="DFZ1" s="1222"/>
      <c r="DGA1" s="1222"/>
      <c r="DGB1" s="1222"/>
      <c r="DGC1" s="1222"/>
      <c r="DGD1" s="1222"/>
      <c r="DGE1" s="1222"/>
      <c r="DGF1" s="1222"/>
      <c r="DGG1" s="1222"/>
      <c r="DGH1" s="1222"/>
      <c r="DGI1" s="1222"/>
      <c r="DGJ1" s="1222"/>
      <c r="DGK1" s="1222"/>
      <c r="DGL1" s="1222"/>
      <c r="DGM1" s="1222"/>
      <c r="DGN1" s="1222"/>
      <c r="DGO1" s="1222"/>
      <c r="DGP1" s="1222"/>
      <c r="DGQ1" s="1222"/>
      <c r="DGR1" s="1222"/>
      <c r="DGS1" s="1222"/>
      <c r="DGT1" s="1222"/>
      <c r="DGU1" s="1222"/>
      <c r="DGV1" s="1222"/>
      <c r="DGW1" s="1222"/>
      <c r="DGX1" s="1222"/>
      <c r="DGY1" s="1222"/>
      <c r="DGZ1" s="1222"/>
      <c r="DHA1" s="1222"/>
      <c r="DHB1" s="1222"/>
      <c r="DHC1" s="1222"/>
      <c r="DHD1" s="1222"/>
      <c r="DHE1" s="1222"/>
      <c r="DHF1" s="1222"/>
      <c r="DHG1" s="1222"/>
      <c r="DHH1" s="1222"/>
      <c r="DHI1" s="1222"/>
      <c r="DHJ1" s="1222"/>
      <c r="DHK1" s="1222"/>
      <c r="DHL1" s="1222"/>
      <c r="DHM1" s="1222"/>
      <c r="DHN1" s="1222"/>
      <c r="DHO1" s="1222"/>
      <c r="DHP1" s="1222"/>
      <c r="DHQ1" s="1222"/>
      <c r="DHR1" s="1222"/>
      <c r="DHS1" s="1222"/>
      <c r="DHT1" s="1222"/>
      <c r="DHU1" s="1222"/>
      <c r="DHV1" s="1222"/>
      <c r="DHW1" s="1222"/>
      <c r="DHX1" s="1222"/>
      <c r="DHY1" s="1222"/>
      <c r="DHZ1" s="1222"/>
      <c r="DIA1" s="1222"/>
      <c r="DIB1" s="1222"/>
      <c r="DIC1" s="1222"/>
      <c r="DID1" s="1222"/>
      <c r="DIE1" s="1222"/>
      <c r="DIF1" s="1222"/>
      <c r="DIG1" s="1222"/>
      <c r="DIH1" s="1222"/>
      <c r="DII1" s="1222"/>
      <c r="DIJ1" s="1222"/>
      <c r="DIK1" s="1222"/>
      <c r="DIL1" s="1222"/>
      <c r="DIM1" s="1222"/>
      <c r="DIN1" s="1222"/>
      <c r="DIO1" s="1222"/>
      <c r="DIP1" s="1222"/>
      <c r="DIQ1" s="1222"/>
      <c r="DIR1" s="1222"/>
      <c r="DIS1" s="1222"/>
      <c r="DIT1" s="1222"/>
      <c r="DIU1" s="1222"/>
      <c r="DIV1" s="1222"/>
      <c r="DIW1" s="1222"/>
      <c r="DIX1" s="1222"/>
      <c r="DIY1" s="1222"/>
      <c r="DIZ1" s="1222"/>
      <c r="DJA1" s="1222"/>
      <c r="DJB1" s="1222"/>
      <c r="DJC1" s="1222"/>
      <c r="DJD1" s="1222"/>
      <c r="DJE1" s="1222"/>
      <c r="DJF1" s="1222"/>
      <c r="DJG1" s="1222"/>
      <c r="DJH1" s="1222"/>
      <c r="DJI1" s="1222"/>
      <c r="DJJ1" s="1222"/>
      <c r="DJK1" s="1222"/>
      <c r="DJL1" s="1222"/>
      <c r="DJM1" s="1222"/>
      <c r="DJN1" s="1222"/>
      <c r="DJO1" s="1222"/>
      <c r="DJP1" s="1222"/>
      <c r="DJQ1" s="1222"/>
      <c r="DJR1" s="1222"/>
      <c r="DJS1" s="1222"/>
      <c r="DJT1" s="1222"/>
      <c r="DJU1" s="1222"/>
      <c r="DJV1" s="1222"/>
      <c r="DJW1" s="1222"/>
      <c r="DJX1" s="1222"/>
      <c r="DJY1" s="1222"/>
      <c r="DJZ1" s="1222"/>
      <c r="DKA1" s="1222"/>
      <c r="DKB1" s="1222"/>
      <c r="DKC1" s="1222"/>
      <c r="DKD1" s="1222"/>
      <c r="DKE1" s="1222"/>
      <c r="DKF1" s="1222"/>
      <c r="DKG1" s="1222"/>
      <c r="DKH1" s="1222"/>
      <c r="DKI1" s="1222"/>
      <c r="DKJ1" s="1222"/>
      <c r="DKK1" s="1222"/>
      <c r="DKL1" s="1222"/>
      <c r="DKM1" s="1222"/>
      <c r="DKN1" s="1222"/>
      <c r="DKO1" s="1222"/>
      <c r="DKP1" s="1222"/>
      <c r="DKQ1" s="1222"/>
      <c r="DKR1" s="1222"/>
      <c r="DKS1" s="1222"/>
      <c r="DKT1" s="1222"/>
      <c r="DKU1" s="1222"/>
      <c r="DKV1" s="1222"/>
      <c r="DKW1" s="1222"/>
      <c r="DKX1" s="1222"/>
      <c r="DKY1" s="1222"/>
      <c r="DKZ1" s="1222"/>
      <c r="DLA1" s="1222"/>
      <c r="DLB1" s="1222"/>
      <c r="DLC1" s="1222"/>
      <c r="DLD1" s="1222"/>
      <c r="DLE1" s="1222"/>
      <c r="DLF1" s="1222"/>
      <c r="DLG1" s="1222"/>
      <c r="DLH1" s="1222"/>
      <c r="DLI1" s="1222"/>
      <c r="DLJ1" s="1222"/>
      <c r="DLK1" s="1222"/>
      <c r="DLL1" s="1222"/>
      <c r="DLM1" s="1222"/>
      <c r="DLN1" s="1222"/>
      <c r="DLO1" s="1222"/>
      <c r="DLP1" s="1222"/>
      <c r="DLQ1" s="1222"/>
      <c r="DLR1" s="1222"/>
      <c r="DLS1" s="1222"/>
      <c r="DLT1" s="1222"/>
      <c r="DLU1" s="1222"/>
      <c r="DLV1" s="1222"/>
      <c r="DLW1" s="1222"/>
      <c r="DLX1" s="1222"/>
      <c r="DLY1" s="1222"/>
      <c r="DLZ1" s="1222"/>
      <c r="DMA1" s="1222"/>
      <c r="DMB1" s="1222"/>
      <c r="DMC1" s="1222"/>
      <c r="DMD1" s="1222"/>
      <c r="DME1" s="1222"/>
      <c r="DMF1" s="1222"/>
      <c r="DMG1" s="1222"/>
      <c r="DMH1" s="1222"/>
      <c r="DMI1" s="1222"/>
      <c r="DMJ1" s="1222"/>
      <c r="DMK1" s="1222"/>
      <c r="DML1" s="1222"/>
      <c r="DMM1" s="1222"/>
      <c r="DMN1" s="1222"/>
      <c r="DMO1" s="1222"/>
      <c r="DMP1" s="1222"/>
      <c r="DMQ1" s="1222"/>
      <c r="DMR1" s="1222"/>
      <c r="DMS1" s="1222"/>
      <c r="DMT1" s="1222"/>
      <c r="DMU1" s="1222"/>
      <c r="DMV1" s="1222"/>
      <c r="DMW1" s="1222"/>
      <c r="DMX1" s="1222"/>
      <c r="DMY1" s="1222"/>
      <c r="DMZ1" s="1222"/>
      <c r="DNA1" s="1222"/>
      <c r="DNB1" s="1222"/>
      <c r="DNC1" s="1222"/>
      <c r="DND1" s="1222"/>
      <c r="DNE1" s="1222"/>
      <c r="DNF1" s="1222"/>
      <c r="DNG1" s="1222"/>
      <c r="DNH1" s="1222"/>
      <c r="DNI1" s="1222"/>
      <c r="DNJ1" s="1222"/>
      <c r="DNK1" s="1222"/>
      <c r="DNL1" s="1222"/>
      <c r="DNM1" s="1222"/>
      <c r="DNN1" s="1222"/>
      <c r="DNO1" s="1222"/>
      <c r="DNP1" s="1222"/>
      <c r="DNQ1" s="1222"/>
      <c r="DNR1" s="1222"/>
      <c r="DNS1" s="1222"/>
      <c r="DNT1" s="1222"/>
      <c r="DNU1" s="1222"/>
      <c r="DNV1" s="1222"/>
      <c r="DNW1" s="1222"/>
      <c r="DNX1" s="1222"/>
      <c r="DNY1" s="1222"/>
      <c r="DNZ1" s="1222"/>
      <c r="DOA1" s="1222"/>
      <c r="DOB1" s="1222"/>
      <c r="DOC1" s="1222"/>
      <c r="DOD1" s="1222"/>
      <c r="DOE1" s="1222"/>
      <c r="DOF1" s="1222"/>
      <c r="DOG1" s="1222"/>
      <c r="DOH1" s="1222"/>
      <c r="DOI1" s="1222"/>
      <c r="DOJ1" s="1222"/>
      <c r="DOK1" s="1222"/>
      <c r="DOL1" s="1222"/>
      <c r="DOM1" s="1222"/>
      <c r="DON1" s="1222"/>
      <c r="DOO1" s="1222"/>
      <c r="DOP1" s="1222"/>
      <c r="DOQ1" s="1222"/>
      <c r="DOR1" s="1222"/>
      <c r="DOS1" s="1222"/>
      <c r="DOT1" s="1222"/>
      <c r="DOU1" s="1222"/>
      <c r="DOV1" s="1222"/>
      <c r="DOW1" s="1222"/>
      <c r="DOX1" s="1222"/>
      <c r="DOY1" s="1222"/>
      <c r="DOZ1" s="1222"/>
      <c r="DPA1" s="1222"/>
      <c r="DPB1" s="1222"/>
      <c r="DPC1" s="1222"/>
      <c r="DPD1" s="1222"/>
      <c r="DPE1" s="1222"/>
      <c r="DPF1" s="1222"/>
      <c r="DPG1" s="1222"/>
      <c r="DPH1" s="1222"/>
      <c r="DPI1" s="1222"/>
      <c r="DPJ1" s="1222"/>
      <c r="DPK1" s="1222"/>
      <c r="DPL1" s="1222"/>
      <c r="DPM1" s="1222"/>
      <c r="DPN1" s="1222"/>
      <c r="DPO1" s="1222"/>
      <c r="DPP1" s="1222"/>
      <c r="DPQ1" s="1222"/>
      <c r="DPR1" s="1222"/>
      <c r="DPS1" s="1222"/>
      <c r="DPT1" s="1222"/>
      <c r="DPU1" s="1222"/>
      <c r="DPV1" s="1222"/>
      <c r="DPW1" s="1222"/>
      <c r="DPX1" s="1222"/>
      <c r="DPY1" s="1222"/>
      <c r="DPZ1" s="1222"/>
      <c r="DQA1" s="1222"/>
      <c r="DQB1" s="1222"/>
      <c r="DQC1" s="1222"/>
      <c r="DQD1" s="1222"/>
      <c r="DQE1" s="1222"/>
      <c r="DQF1" s="1222"/>
      <c r="DQG1" s="1222"/>
      <c r="DQH1" s="1222"/>
      <c r="DQI1" s="1222"/>
      <c r="DQJ1" s="1222"/>
      <c r="DQK1" s="1222"/>
      <c r="DQL1" s="1222"/>
      <c r="DQM1" s="1222"/>
      <c r="DQN1" s="1222"/>
      <c r="DQO1" s="1222"/>
      <c r="DQP1" s="1222"/>
      <c r="DQQ1" s="1222"/>
      <c r="DQR1" s="1222"/>
      <c r="DQS1" s="1222"/>
      <c r="DQT1" s="1222"/>
      <c r="DQU1" s="1222"/>
      <c r="DQV1" s="1222"/>
      <c r="DQW1" s="1222"/>
      <c r="DQX1" s="1222"/>
      <c r="DQY1" s="1222"/>
      <c r="DQZ1" s="1222"/>
      <c r="DRA1" s="1222"/>
      <c r="DRB1" s="1222"/>
      <c r="DRC1" s="1222"/>
      <c r="DRD1" s="1222"/>
      <c r="DRE1" s="1222"/>
      <c r="DRF1" s="1222"/>
      <c r="DRG1" s="1222"/>
      <c r="DRH1" s="1222"/>
      <c r="DRI1" s="1222"/>
      <c r="DRJ1" s="1222"/>
      <c r="DRK1" s="1222"/>
      <c r="DRL1" s="1222"/>
      <c r="DRM1" s="1222"/>
      <c r="DRN1" s="1222"/>
      <c r="DRO1" s="1222"/>
      <c r="DRP1" s="1222"/>
      <c r="DRQ1" s="1222"/>
      <c r="DRR1" s="1222"/>
      <c r="DRS1" s="1222"/>
      <c r="DRT1" s="1222"/>
      <c r="DRU1" s="1222"/>
      <c r="DRV1" s="1222"/>
      <c r="DRW1" s="1222"/>
      <c r="DRX1" s="1222"/>
      <c r="DRY1" s="1222"/>
      <c r="DRZ1" s="1222"/>
      <c r="DSA1" s="1222"/>
      <c r="DSB1" s="1222"/>
      <c r="DSC1" s="1222"/>
      <c r="DSD1" s="1222"/>
      <c r="DSE1" s="1222"/>
      <c r="DSF1" s="1222"/>
      <c r="DSG1" s="1222"/>
      <c r="DSH1" s="1222"/>
      <c r="DSI1" s="1222"/>
      <c r="DSJ1" s="1222"/>
      <c r="DSK1" s="1222"/>
      <c r="DSL1" s="1222"/>
      <c r="DSM1" s="1222"/>
      <c r="DSN1" s="1222"/>
      <c r="DSO1" s="1222"/>
      <c r="DSP1" s="1222"/>
      <c r="DSQ1" s="1222"/>
      <c r="DSR1" s="1222"/>
      <c r="DSS1" s="1222"/>
      <c r="DST1" s="1222"/>
      <c r="DSU1" s="1222"/>
      <c r="DSV1" s="1222"/>
      <c r="DSW1" s="1222"/>
      <c r="DSX1" s="1222"/>
      <c r="DSY1" s="1222"/>
      <c r="DSZ1" s="1222"/>
      <c r="DTA1" s="1222"/>
      <c r="DTB1" s="1222"/>
      <c r="DTC1" s="1222"/>
      <c r="DTD1" s="1222"/>
      <c r="DTE1" s="1222"/>
      <c r="DTF1" s="1222"/>
      <c r="DTG1" s="1222"/>
      <c r="DTH1" s="1222"/>
      <c r="DTI1" s="1222"/>
      <c r="DTJ1" s="1222"/>
      <c r="DTK1" s="1222"/>
      <c r="DTL1" s="1222"/>
      <c r="DTM1" s="1222"/>
      <c r="DTN1" s="1222"/>
      <c r="DTO1" s="1222"/>
      <c r="DTP1" s="1222"/>
      <c r="DTQ1" s="1222"/>
      <c r="DTR1" s="1222"/>
      <c r="DTS1" s="1222"/>
      <c r="DTT1" s="1222"/>
      <c r="DTU1" s="1222"/>
      <c r="DTV1" s="1222"/>
      <c r="DTW1" s="1222"/>
      <c r="DTX1" s="1222"/>
      <c r="DTY1" s="1222"/>
      <c r="DTZ1" s="1222"/>
      <c r="DUA1" s="1222"/>
      <c r="DUB1" s="1222"/>
      <c r="DUC1" s="1222"/>
      <c r="DUD1" s="1222"/>
      <c r="DUE1" s="1222"/>
      <c r="DUF1" s="1222"/>
      <c r="DUG1" s="1222"/>
      <c r="DUH1" s="1222"/>
      <c r="DUI1" s="1222"/>
      <c r="DUJ1" s="1222"/>
      <c r="DUK1" s="1222"/>
      <c r="DUL1" s="1222"/>
      <c r="DUM1" s="1222"/>
      <c r="DUN1" s="1222"/>
      <c r="DUO1" s="1222"/>
      <c r="DUP1" s="1222"/>
      <c r="DUQ1" s="1222"/>
      <c r="DUR1" s="1222"/>
      <c r="DUS1" s="1222"/>
      <c r="DUT1" s="1222"/>
      <c r="DUU1" s="1222"/>
      <c r="DUV1" s="1222"/>
      <c r="DUW1" s="1222"/>
      <c r="DUX1" s="1222"/>
      <c r="DUY1" s="1222"/>
      <c r="DUZ1" s="1222"/>
      <c r="DVA1" s="1222"/>
      <c r="DVB1" s="1222"/>
      <c r="DVC1" s="1222"/>
      <c r="DVD1" s="1222"/>
      <c r="DVE1" s="1222"/>
      <c r="DVF1" s="1222"/>
      <c r="DVG1" s="1222"/>
      <c r="DVH1" s="1222"/>
      <c r="DVI1" s="1222"/>
      <c r="DVJ1" s="1222"/>
      <c r="DVK1" s="1222"/>
      <c r="DVL1" s="1222"/>
      <c r="DVM1" s="1222"/>
      <c r="DVN1" s="1222"/>
      <c r="DVO1" s="1222"/>
      <c r="DVP1" s="1222"/>
      <c r="DVQ1" s="1222"/>
      <c r="DVR1" s="1222"/>
      <c r="DVS1" s="1222"/>
      <c r="DVT1" s="1222"/>
      <c r="DVU1" s="1222"/>
      <c r="DVV1" s="1222"/>
      <c r="DVW1" s="1222"/>
      <c r="DVX1" s="1222"/>
      <c r="DVY1" s="1222"/>
      <c r="DVZ1" s="1222"/>
      <c r="DWA1" s="1222"/>
      <c r="DWB1" s="1222"/>
      <c r="DWC1" s="1222"/>
      <c r="DWD1" s="1222"/>
      <c r="DWE1" s="1222"/>
      <c r="DWF1" s="1222"/>
      <c r="DWG1" s="1222"/>
      <c r="DWH1" s="1222"/>
      <c r="DWI1" s="1222"/>
      <c r="DWJ1" s="1222"/>
      <c r="DWK1" s="1222"/>
      <c r="DWL1" s="1222"/>
      <c r="DWM1" s="1222"/>
      <c r="DWN1" s="1222"/>
      <c r="DWO1" s="1222"/>
      <c r="DWP1" s="1222"/>
      <c r="DWQ1" s="1222"/>
      <c r="DWR1" s="1222"/>
      <c r="DWS1" s="1222"/>
      <c r="DWT1" s="1222"/>
      <c r="DWU1" s="1222"/>
      <c r="DWV1" s="1222"/>
      <c r="DWW1" s="1222"/>
      <c r="DWX1" s="1222"/>
      <c r="DWY1" s="1222"/>
      <c r="DWZ1" s="1222"/>
      <c r="DXA1" s="1222"/>
      <c r="DXB1" s="1222"/>
      <c r="DXC1" s="1222"/>
      <c r="DXD1" s="1222"/>
      <c r="DXE1" s="1222"/>
      <c r="DXF1" s="1222"/>
      <c r="DXG1" s="1222"/>
      <c r="DXH1" s="1222"/>
      <c r="DXI1" s="1222"/>
      <c r="DXJ1" s="1222"/>
      <c r="DXK1" s="1222"/>
      <c r="DXL1" s="1222"/>
      <c r="DXM1" s="1222"/>
      <c r="DXN1" s="1222"/>
      <c r="DXO1" s="1222"/>
      <c r="DXP1" s="1222"/>
      <c r="DXQ1" s="1222"/>
      <c r="DXR1" s="1222"/>
      <c r="DXS1" s="1222"/>
      <c r="DXT1" s="1222"/>
      <c r="DXU1" s="1222"/>
      <c r="DXV1" s="1222"/>
      <c r="DXW1" s="1222"/>
      <c r="DXX1" s="1222"/>
      <c r="DXY1" s="1222"/>
      <c r="DXZ1" s="1222"/>
      <c r="DYA1" s="1222"/>
      <c r="DYB1" s="1222"/>
      <c r="DYC1" s="1222"/>
      <c r="DYD1" s="1222"/>
      <c r="DYE1" s="1222"/>
      <c r="DYF1" s="1222"/>
      <c r="DYG1" s="1222"/>
      <c r="DYH1" s="1222"/>
      <c r="DYI1" s="1222"/>
      <c r="DYJ1" s="1222"/>
      <c r="DYK1" s="1222"/>
      <c r="DYL1" s="1222"/>
      <c r="DYM1" s="1222"/>
      <c r="DYN1" s="1222"/>
      <c r="DYO1" s="1222"/>
      <c r="DYP1" s="1222"/>
      <c r="DYQ1" s="1222"/>
      <c r="DYR1" s="1222"/>
      <c r="DYS1" s="1222"/>
      <c r="DYT1" s="1222"/>
      <c r="DYU1" s="1222"/>
      <c r="DYV1" s="1222"/>
      <c r="DYW1" s="1222"/>
      <c r="DYX1" s="1222"/>
      <c r="DYY1" s="1222"/>
      <c r="DYZ1" s="1222"/>
      <c r="DZA1" s="1222"/>
      <c r="DZB1" s="1222"/>
      <c r="DZC1" s="1222"/>
      <c r="DZD1" s="1222"/>
      <c r="DZE1" s="1222"/>
      <c r="DZF1" s="1222"/>
      <c r="DZG1" s="1222"/>
      <c r="DZH1" s="1222"/>
      <c r="DZI1" s="1222"/>
      <c r="DZJ1" s="1222"/>
      <c r="DZK1" s="1222"/>
      <c r="DZL1" s="1222"/>
      <c r="DZM1" s="1222"/>
      <c r="DZN1" s="1222"/>
      <c r="DZO1" s="1222"/>
      <c r="DZP1" s="1222"/>
      <c r="DZQ1" s="1222"/>
      <c r="DZR1" s="1222"/>
      <c r="DZS1" s="1222"/>
      <c r="DZT1" s="1222"/>
      <c r="DZU1" s="1222"/>
      <c r="DZV1" s="1222"/>
      <c r="DZW1" s="1222"/>
      <c r="DZX1" s="1222"/>
      <c r="DZY1" s="1222"/>
      <c r="DZZ1" s="1222"/>
      <c r="EAA1" s="1222"/>
      <c r="EAB1" s="1222"/>
      <c r="EAC1" s="1222"/>
      <c r="EAD1" s="1222"/>
      <c r="EAE1" s="1222"/>
      <c r="EAF1" s="1222"/>
      <c r="EAG1" s="1222"/>
      <c r="EAH1" s="1222"/>
      <c r="EAI1" s="1222"/>
      <c r="EAJ1" s="1222"/>
      <c r="EAK1" s="1222"/>
      <c r="EAL1" s="1222"/>
      <c r="EAM1" s="1222"/>
      <c r="EAN1" s="1222"/>
      <c r="EAO1" s="1222"/>
      <c r="EAP1" s="1222"/>
      <c r="EAQ1" s="1222"/>
      <c r="EAR1" s="1222"/>
      <c r="EAS1" s="1222"/>
      <c r="EAT1" s="1222"/>
      <c r="EAU1" s="1222"/>
      <c r="EAV1" s="1222"/>
      <c r="EAW1" s="1222"/>
      <c r="EAX1" s="1222"/>
      <c r="EAY1" s="1222"/>
      <c r="EAZ1" s="1222"/>
      <c r="EBA1" s="1222"/>
      <c r="EBB1" s="1222"/>
      <c r="EBC1" s="1222"/>
      <c r="EBD1" s="1222"/>
      <c r="EBE1" s="1222"/>
      <c r="EBF1" s="1222"/>
      <c r="EBG1" s="1222"/>
      <c r="EBH1" s="1222"/>
      <c r="EBI1" s="1222"/>
      <c r="EBJ1" s="1222"/>
      <c r="EBK1" s="1222"/>
      <c r="EBL1" s="1222"/>
      <c r="EBM1" s="1222"/>
      <c r="EBN1" s="1222"/>
      <c r="EBO1" s="1222"/>
      <c r="EBP1" s="1222"/>
      <c r="EBQ1" s="1222"/>
      <c r="EBR1" s="1222"/>
      <c r="EBS1" s="1222"/>
      <c r="EBT1" s="1222"/>
      <c r="EBU1" s="1222"/>
      <c r="EBV1" s="1222"/>
      <c r="EBW1" s="1222"/>
      <c r="EBX1" s="1222"/>
      <c r="EBY1" s="1222"/>
      <c r="EBZ1" s="1222"/>
      <c r="ECA1" s="1222"/>
      <c r="ECB1" s="1222"/>
      <c r="ECC1" s="1222"/>
      <c r="ECD1" s="1222"/>
      <c r="ECE1" s="1222"/>
      <c r="ECF1" s="1222"/>
      <c r="ECG1" s="1222"/>
      <c r="ECH1" s="1222"/>
      <c r="ECI1" s="1222"/>
      <c r="ECJ1" s="1222"/>
      <c r="ECK1" s="1222"/>
      <c r="ECL1" s="1222"/>
      <c r="ECM1" s="1222"/>
      <c r="ECN1" s="1222"/>
      <c r="ECO1" s="1222"/>
    </row>
    <row r="2" spans="1:3473" ht="22.25" customHeight="1">
      <c r="A2" s="1217"/>
      <c r="B2" s="2364" t="s">
        <v>3131</v>
      </c>
      <c r="C2" s="2366" t="s">
        <v>25</v>
      </c>
      <c r="D2" s="2368" t="s">
        <v>23</v>
      </c>
      <c r="E2" s="2370" t="s">
        <v>3132</v>
      </c>
      <c r="F2" s="2371"/>
      <c r="G2" s="2371"/>
      <c r="H2" s="2371"/>
      <c r="I2" s="2371"/>
      <c r="J2" s="2371"/>
      <c r="K2" s="2371"/>
      <c r="L2" s="2371"/>
      <c r="M2" s="2371"/>
      <c r="N2" s="2371"/>
      <c r="O2" s="2371"/>
      <c r="P2" s="2371"/>
      <c r="Q2" s="2371"/>
      <c r="R2" s="2371"/>
      <c r="S2" s="2371"/>
      <c r="T2" s="2371"/>
      <c r="U2" s="2371"/>
      <c r="V2" s="2371"/>
      <c r="W2" s="2371"/>
      <c r="X2" s="2371"/>
      <c r="Y2" s="2371"/>
      <c r="Z2" s="2371"/>
      <c r="AA2" s="2371"/>
      <c r="AB2" s="2371"/>
      <c r="AC2" s="2372"/>
      <c r="AD2" s="1223"/>
      <c r="AE2" s="1223"/>
      <c r="AF2" s="2373" t="s">
        <v>3133</v>
      </c>
      <c r="AG2" s="2374"/>
      <c r="AH2" s="2374"/>
      <c r="AI2" s="2374"/>
      <c r="AJ2" s="2374"/>
      <c r="AK2" s="2374"/>
      <c r="AL2" s="2374"/>
      <c r="AM2" s="2374"/>
      <c r="AN2" s="2374"/>
      <c r="AO2" s="2374"/>
      <c r="AP2" s="2374"/>
      <c r="AQ2" s="2374"/>
      <c r="AR2" s="2374"/>
      <c r="AS2" s="2374"/>
      <c r="AT2" s="2374"/>
      <c r="AU2" s="2374"/>
      <c r="AV2" s="2374"/>
      <c r="AW2" s="2374"/>
      <c r="AX2" s="2374"/>
      <c r="AY2" s="2374"/>
      <c r="AZ2" s="2374"/>
      <c r="BA2" s="2374"/>
      <c r="BB2" s="2374"/>
      <c r="BC2" s="2374"/>
      <c r="BD2" s="2374"/>
      <c r="BE2" s="2374"/>
      <c r="BF2" s="2374"/>
      <c r="BG2" s="2374"/>
      <c r="BH2" s="2374"/>
      <c r="BI2" s="2374"/>
      <c r="BJ2" s="2374"/>
      <c r="BK2" s="2374"/>
      <c r="BL2" s="2375"/>
      <c r="BM2" s="2376" t="s">
        <v>990</v>
      </c>
      <c r="BN2" s="1221"/>
      <c r="BO2" s="1221"/>
      <c r="BP2" s="1221"/>
      <c r="BQ2" s="1221"/>
      <c r="BR2" s="1222"/>
      <c r="BS2" s="1222"/>
      <c r="BT2" s="1222"/>
      <c r="BU2" s="1222"/>
      <c r="BV2" s="1222"/>
      <c r="BW2" s="1222"/>
      <c r="BX2" s="1222"/>
      <c r="BY2" s="1222"/>
      <c r="BZ2" s="1222"/>
      <c r="CA2" s="1222"/>
      <c r="CB2" s="1222"/>
      <c r="CC2" s="1222"/>
      <c r="CD2" s="1222"/>
      <c r="CE2" s="1222"/>
      <c r="CF2" s="1222"/>
      <c r="CG2" s="1222"/>
      <c r="CH2" s="1222"/>
      <c r="CI2" s="1222"/>
      <c r="CJ2" s="1222"/>
      <c r="CK2" s="1222"/>
      <c r="CL2" s="1222"/>
      <c r="CM2" s="1222"/>
      <c r="CN2" s="1222"/>
      <c r="CO2" s="1222"/>
      <c r="CP2" s="1222"/>
      <c r="CQ2" s="1222"/>
      <c r="CR2" s="1222"/>
      <c r="CS2" s="1222"/>
      <c r="CT2" s="1222"/>
      <c r="CU2" s="1222"/>
      <c r="CV2" s="1222"/>
      <c r="CW2" s="1222"/>
      <c r="CX2" s="1222"/>
      <c r="CY2" s="1222"/>
      <c r="CZ2" s="1222"/>
      <c r="DA2" s="1222"/>
      <c r="DB2" s="1222"/>
      <c r="DC2" s="1222"/>
      <c r="DD2" s="1222"/>
      <c r="DE2" s="1222"/>
      <c r="DF2" s="1222"/>
      <c r="DG2" s="1222"/>
      <c r="DH2" s="1222"/>
      <c r="DI2" s="1222"/>
      <c r="DJ2" s="1222"/>
      <c r="DK2" s="1222"/>
      <c r="DL2" s="1222"/>
      <c r="DM2" s="1222"/>
      <c r="DN2" s="1222"/>
      <c r="DO2" s="1222"/>
      <c r="DP2" s="1222"/>
      <c r="DQ2" s="1222"/>
      <c r="DR2" s="1222"/>
      <c r="DS2" s="1222"/>
      <c r="DT2" s="1222"/>
      <c r="DU2" s="1222"/>
      <c r="DV2" s="1222"/>
      <c r="DW2" s="1222"/>
      <c r="DX2" s="1222"/>
      <c r="DY2" s="1222"/>
      <c r="DZ2" s="1222"/>
      <c r="EA2" s="1222"/>
      <c r="EB2" s="1222"/>
      <c r="EC2" s="1222"/>
      <c r="ED2" s="1222"/>
      <c r="EE2" s="1222"/>
      <c r="EF2" s="1222"/>
      <c r="EG2" s="1222"/>
      <c r="EH2" s="1222"/>
      <c r="EI2" s="1222"/>
      <c r="EJ2" s="1222"/>
      <c r="EK2" s="1222"/>
      <c r="EL2" s="1222"/>
      <c r="EM2" s="1222"/>
      <c r="EN2" s="1222"/>
      <c r="EO2" s="1222"/>
      <c r="EP2" s="1222"/>
      <c r="EQ2" s="1222"/>
      <c r="ER2" s="1222"/>
      <c r="ES2" s="1222"/>
      <c r="ET2" s="1222"/>
      <c r="EU2" s="1222"/>
      <c r="EV2" s="1222"/>
      <c r="EW2" s="1222"/>
      <c r="EX2" s="1222"/>
      <c r="EY2" s="1222"/>
      <c r="EZ2" s="1222"/>
      <c r="FA2" s="1222"/>
      <c r="FB2" s="1222"/>
      <c r="FC2" s="1222"/>
      <c r="FD2" s="1222"/>
      <c r="FE2" s="1222"/>
      <c r="FF2" s="1222"/>
      <c r="FG2" s="1222"/>
      <c r="FH2" s="1222"/>
      <c r="FI2" s="1222"/>
      <c r="FJ2" s="1222"/>
      <c r="FK2" s="1222"/>
      <c r="FL2" s="1222"/>
      <c r="FM2" s="1222"/>
      <c r="FN2" s="1222"/>
      <c r="FO2" s="1222"/>
      <c r="FP2" s="1222"/>
      <c r="FQ2" s="1222"/>
      <c r="FR2" s="1222"/>
      <c r="FS2" s="1222"/>
      <c r="FT2" s="1222"/>
      <c r="FU2" s="1222"/>
      <c r="FV2" s="1222"/>
      <c r="FW2" s="1222"/>
      <c r="FX2" s="1222"/>
      <c r="FY2" s="1222"/>
      <c r="FZ2" s="1222"/>
      <c r="GA2" s="1222"/>
      <c r="GB2" s="1222"/>
      <c r="GC2" s="1222"/>
      <c r="GD2" s="1222"/>
      <c r="GE2" s="1222"/>
      <c r="GF2" s="1222"/>
      <c r="GG2" s="1222"/>
      <c r="GH2" s="1222"/>
      <c r="GI2" s="1222"/>
      <c r="GJ2" s="1222"/>
      <c r="GK2" s="1222"/>
      <c r="GL2" s="1222"/>
      <c r="GM2" s="1222"/>
      <c r="GN2" s="1222"/>
      <c r="GO2" s="1222"/>
      <c r="GP2" s="1222"/>
      <c r="GQ2" s="1222"/>
      <c r="GR2" s="1222"/>
      <c r="GS2" s="1222"/>
      <c r="GT2" s="1222"/>
      <c r="GU2" s="1222"/>
      <c r="GV2" s="1222"/>
      <c r="GW2" s="1222"/>
      <c r="GX2" s="1222"/>
      <c r="GY2" s="1222"/>
      <c r="GZ2" s="1222"/>
      <c r="HA2" s="1222"/>
      <c r="HB2" s="1222"/>
      <c r="HC2" s="1222"/>
      <c r="HD2" s="1222"/>
      <c r="HE2" s="1222"/>
      <c r="HF2" s="1222"/>
      <c r="HG2" s="1222"/>
      <c r="HH2" s="1222"/>
      <c r="HI2" s="1222"/>
      <c r="HJ2" s="1222"/>
      <c r="HK2" s="1222"/>
      <c r="HL2" s="1222"/>
      <c r="HM2" s="1222"/>
      <c r="HN2" s="1222"/>
      <c r="HO2" s="1222"/>
      <c r="HP2" s="1222"/>
      <c r="HQ2" s="1222"/>
      <c r="HR2" s="1222"/>
      <c r="HS2" s="1222"/>
      <c r="HT2" s="1222"/>
      <c r="HU2" s="1222"/>
      <c r="HV2" s="1222"/>
      <c r="HW2" s="1222"/>
      <c r="HX2" s="1222"/>
      <c r="HY2" s="1222"/>
      <c r="HZ2" s="1222"/>
      <c r="IA2" s="1222"/>
      <c r="IB2" s="1222"/>
      <c r="IC2" s="1222"/>
      <c r="ID2" s="1222"/>
      <c r="IE2" s="1222"/>
      <c r="IF2" s="1222"/>
      <c r="IG2" s="1222"/>
      <c r="IH2" s="1222"/>
      <c r="II2" s="1222"/>
      <c r="IJ2" s="1222"/>
      <c r="IK2" s="1222"/>
      <c r="IL2" s="1222"/>
      <c r="IM2" s="1222"/>
      <c r="IN2" s="1222"/>
      <c r="IO2" s="1222"/>
      <c r="IP2" s="1222"/>
      <c r="IQ2" s="1222"/>
      <c r="IR2" s="1222"/>
      <c r="IS2" s="1222"/>
      <c r="IT2" s="1222"/>
      <c r="IU2" s="1222"/>
      <c r="IV2" s="1222"/>
      <c r="IW2" s="1222"/>
      <c r="IX2" s="1222"/>
      <c r="IY2" s="1222"/>
      <c r="IZ2" s="1222"/>
      <c r="JA2" s="1222"/>
      <c r="JB2" s="1222"/>
      <c r="JC2" s="1222"/>
      <c r="JD2" s="1222"/>
      <c r="JE2" s="1222"/>
      <c r="JF2" s="1222"/>
      <c r="JG2" s="1222"/>
      <c r="JH2" s="1222"/>
      <c r="JI2" s="1222"/>
      <c r="JJ2" s="1222"/>
      <c r="JK2" s="1222"/>
      <c r="JL2" s="1222"/>
      <c r="JM2" s="1222"/>
      <c r="JN2" s="1222"/>
      <c r="JO2" s="1222"/>
      <c r="JP2" s="1222"/>
      <c r="JQ2" s="1222"/>
      <c r="JR2" s="1222"/>
      <c r="JS2" s="1222"/>
      <c r="JT2" s="1222"/>
      <c r="JU2" s="1222"/>
      <c r="JV2" s="1222"/>
      <c r="JW2" s="1222"/>
      <c r="JX2" s="1222"/>
      <c r="JY2" s="1222"/>
      <c r="JZ2" s="1222"/>
      <c r="KA2" s="1222"/>
      <c r="KB2" s="1222"/>
      <c r="KC2" s="1222"/>
      <c r="KD2" s="1222"/>
      <c r="KE2" s="1222"/>
      <c r="KF2" s="1222"/>
      <c r="KG2" s="1222"/>
      <c r="KH2" s="1222"/>
      <c r="KI2" s="1222"/>
      <c r="KJ2" s="1222"/>
      <c r="KK2" s="1222"/>
      <c r="KL2" s="1222"/>
      <c r="KM2" s="1222"/>
      <c r="KN2" s="1222"/>
      <c r="KO2" s="1222"/>
      <c r="KP2" s="1222"/>
      <c r="KQ2" s="1222"/>
      <c r="KR2" s="1222"/>
      <c r="KS2" s="1222"/>
      <c r="KT2" s="1222"/>
      <c r="KU2" s="1222"/>
      <c r="KV2" s="1222"/>
      <c r="KW2" s="1222"/>
      <c r="KX2" s="1222"/>
      <c r="KY2" s="1222"/>
      <c r="KZ2" s="1222"/>
      <c r="LA2" s="1222"/>
      <c r="LB2" s="1222"/>
      <c r="LC2" s="1222"/>
      <c r="LD2" s="1222"/>
      <c r="LE2" s="1222"/>
      <c r="LF2" s="1222"/>
      <c r="LG2" s="1222"/>
      <c r="LH2" s="1222"/>
      <c r="LI2" s="1222"/>
      <c r="LJ2" s="1222"/>
      <c r="LK2" s="1222"/>
      <c r="LL2" s="1222"/>
      <c r="LM2" s="1222"/>
      <c r="LN2" s="1222"/>
      <c r="LO2" s="1222"/>
      <c r="LP2" s="1222"/>
      <c r="LQ2" s="1222"/>
      <c r="LR2" s="1222"/>
      <c r="LS2" s="1222"/>
      <c r="LT2" s="1222"/>
      <c r="LU2" s="1222"/>
      <c r="LV2" s="1222"/>
      <c r="LW2" s="1222"/>
      <c r="LX2" s="1222"/>
      <c r="LY2" s="1222"/>
      <c r="LZ2" s="1222"/>
      <c r="MA2" s="1222"/>
      <c r="MB2" s="1222"/>
      <c r="MC2" s="1222"/>
      <c r="MD2" s="1222"/>
      <c r="ME2" s="1222"/>
      <c r="MF2" s="1222"/>
      <c r="MG2" s="1222"/>
      <c r="MH2" s="1222"/>
      <c r="MI2" s="1222"/>
      <c r="MJ2" s="1222"/>
      <c r="MK2" s="1222"/>
      <c r="ML2" s="1222"/>
      <c r="MM2" s="1222"/>
      <c r="MN2" s="1222"/>
      <c r="MO2" s="1222"/>
      <c r="MP2" s="1222"/>
      <c r="MQ2" s="1222"/>
      <c r="MR2" s="1222"/>
      <c r="MS2" s="1222"/>
      <c r="MT2" s="1222"/>
      <c r="MU2" s="1222"/>
      <c r="MV2" s="1222"/>
      <c r="MW2" s="1222"/>
      <c r="MX2" s="1222"/>
      <c r="MY2" s="1222"/>
      <c r="MZ2" s="1222"/>
      <c r="NA2" s="1222"/>
      <c r="NB2" s="1222"/>
      <c r="NC2" s="1222"/>
      <c r="ND2" s="1222"/>
      <c r="NE2" s="1222"/>
      <c r="NF2" s="1222"/>
      <c r="NG2" s="1222"/>
      <c r="NH2" s="1222"/>
      <c r="NI2" s="1222"/>
      <c r="NJ2" s="1222"/>
      <c r="NK2" s="1222"/>
      <c r="NL2" s="1222"/>
      <c r="NM2" s="1222"/>
      <c r="NN2" s="1222"/>
      <c r="NO2" s="1222"/>
      <c r="NP2" s="1222"/>
      <c r="NQ2" s="1222"/>
      <c r="NR2" s="1222"/>
      <c r="NS2" s="1222"/>
      <c r="NT2" s="1222"/>
      <c r="NU2" s="1222"/>
      <c r="NV2" s="1222"/>
      <c r="NW2" s="1222"/>
      <c r="NX2" s="1222"/>
      <c r="NY2" s="1222"/>
      <c r="NZ2" s="1222"/>
      <c r="OA2" s="1222"/>
      <c r="OB2" s="1222"/>
      <c r="OC2" s="1222"/>
      <c r="OD2" s="1222"/>
      <c r="OE2" s="1222"/>
      <c r="OF2" s="1222"/>
      <c r="OG2" s="1222"/>
      <c r="OH2" s="1222"/>
      <c r="OI2" s="1222"/>
      <c r="OJ2" s="1222"/>
      <c r="OK2" s="1222"/>
      <c r="OL2" s="1222"/>
      <c r="OM2" s="1222"/>
      <c r="ON2" s="1222"/>
      <c r="OO2" s="1222"/>
      <c r="OP2" s="1222"/>
      <c r="OQ2" s="1222"/>
      <c r="OR2" s="1222"/>
      <c r="OS2" s="1222"/>
      <c r="OT2" s="1222"/>
      <c r="OU2" s="1222"/>
      <c r="OV2" s="1222"/>
      <c r="OW2" s="1222"/>
      <c r="OX2" s="1222"/>
      <c r="OY2" s="1222"/>
      <c r="OZ2" s="1222"/>
      <c r="PA2" s="1222"/>
      <c r="PB2" s="1222"/>
      <c r="PC2" s="1222"/>
      <c r="PD2" s="1222"/>
      <c r="PE2" s="1222"/>
      <c r="PF2" s="1222"/>
      <c r="PG2" s="1222"/>
      <c r="PH2" s="1222"/>
      <c r="PI2" s="1222"/>
      <c r="PJ2" s="1222"/>
      <c r="PK2" s="1222"/>
      <c r="PL2" s="1222"/>
      <c r="PM2" s="1222"/>
      <c r="PN2" s="1222"/>
      <c r="PO2" s="1222"/>
      <c r="PP2" s="1222"/>
      <c r="PQ2" s="1222"/>
      <c r="PR2" s="1222"/>
      <c r="PS2" s="1222"/>
      <c r="PT2" s="1222"/>
      <c r="PU2" s="1222"/>
      <c r="PV2" s="1222"/>
      <c r="PW2" s="1222"/>
      <c r="PX2" s="1222"/>
      <c r="PY2" s="1222"/>
      <c r="PZ2" s="1222"/>
      <c r="QA2" s="1222"/>
      <c r="QB2" s="1222"/>
      <c r="QC2" s="1222"/>
      <c r="QD2" s="1222"/>
      <c r="QE2" s="1222"/>
      <c r="QF2" s="1222"/>
      <c r="QG2" s="1222"/>
      <c r="QH2" s="1222"/>
      <c r="QI2" s="1222"/>
      <c r="QJ2" s="1222"/>
      <c r="QK2" s="1222"/>
      <c r="QL2" s="1222"/>
      <c r="QM2" s="1222"/>
      <c r="QN2" s="1222"/>
      <c r="QO2" s="1222"/>
      <c r="QP2" s="1222"/>
      <c r="QQ2" s="1222"/>
      <c r="QR2" s="1222"/>
      <c r="QS2" s="1222"/>
      <c r="QT2" s="1222"/>
      <c r="QU2" s="1222"/>
      <c r="QV2" s="1222"/>
      <c r="QW2" s="1222"/>
      <c r="QX2" s="1222"/>
      <c r="QY2" s="1222"/>
      <c r="QZ2" s="1222"/>
      <c r="RA2" s="1222"/>
      <c r="RB2" s="1222"/>
      <c r="RC2" s="1222"/>
      <c r="RD2" s="1222"/>
      <c r="RE2" s="1222"/>
      <c r="RF2" s="1222"/>
      <c r="RG2" s="1222"/>
      <c r="RH2" s="1222"/>
      <c r="RI2" s="1222"/>
      <c r="RJ2" s="1222"/>
      <c r="RK2" s="1222"/>
      <c r="RL2" s="1222"/>
      <c r="RM2" s="1222"/>
      <c r="RN2" s="1222"/>
      <c r="RO2" s="1222"/>
      <c r="RP2" s="1222"/>
      <c r="RQ2" s="1222"/>
      <c r="RR2" s="1222"/>
      <c r="RS2" s="1222"/>
      <c r="RT2" s="1222"/>
      <c r="RU2" s="1222"/>
      <c r="RV2" s="1222"/>
      <c r="RW2" s="1222"/>
      <c r="RX2" s="1222"/>
      <c r="RY2" s="1222"/>
      <c r="RZ2" s="1222"/>
      <c r="SA2" s="1222"/>
      <c r="SB2" s="1222"/>
      <c r="SC2" s="1222"/>
      <c r="SD2" s="1222"/>
      <c r="SE2" s="1222"/>
      <c r="SF2" s="1222"/>
      <c r="SG2" s="1222"/>
      <c r="SH2" s="1222"/>
      <c r="SI2" s="1222"/>
      <c r="SJ2" s="1222"/>
      <c r="SK2" s="1222"/>
      <c r="SL2" s="1222"/>
      <c r="SM2" s="1222"/>
      <c r="SN2" s="1222"/>
      <c r="SO2" s="1222"/>
      <c r="SP2" s="1222"/>
      <c r="SQ2" s="1222"/>
      <c r="SR2" s="1222"/>
      <c r="SS2" s="1222"/>
      <c r="ST2" s="1222"/>
      <c r="SU2" s="1222"/>
      <c r="SV2" s="1222"/>
      <c r="SW2" s="1222"/>
      <c r="SX2" s="1222"/>
      <c r="SY2" s="1222"/>
      <c r="SZ2" s="1222"/>
      <c r="TA2" s="1222"/>
      <c r="TB2" s="1222"/>
      <c r="TC2" s="1222"/>
      <c r="TD2" s="1222"/>
      <c r="TE2" s="1222"/>
      <c r="TF2" s="1222"/>
      <c r="TG2" s="1222"/>
      <c r="TH2" s="1222"/>
      <c r="TI2" s="1222"/>
      <c r="TJ2" s="1222"/>
      <c r="TK2" s="1222"/>
      <c r="TL2" s="1222"/>
      <c r="TM2" s="1222"/>
      <c r="TN2" s="1222"/>
      <c r="TO2" s="1222"/>
      <c r="TP2" s="1222"/>
      <c r="TQ2" s="1222"/>
      <c r="TR2" s="1222"/>
      <c r="TS2" s="1222"/>
      <c r="TT2" s="1222"/>
      <c r="TU2" s="1222"/>
      <c r="TV2" s="1222"/>
      <c r="TW2" s="1222"/>
      <c r="TX2" s="1222"/>
      <c r="TY2" s="1222"/>
      <c r="TZ2" s="1222"/>
      <c r="UA2" s="1222"/>
      <c r="UB2" s="1222"/>
      <c r="UC2" s="1222"/>
      <c r="UD2" s="1222"/>
      <c r="UE2" s="1222"/>
      <c r="UF2" s="1222"/>
      <c r="UG2" s="1222"/>
      <c r="UH2" s="1222"/>
      <c r="UI2" s="1222"/>
      <c r="UJ2" s="1222"/>
      <c r="UK2" s="1222"/>
      <c r="UL2" s="1222"/>
      <c r="UM2" s="1222"/>
      <c r="UN2" s="1222"/>
      <c r="UO2" s="1222"/>
      <c r="UP2" s="1222"/>
      <c r="UQ2" s="1222"/>
      <c r="UR2" s="1222"/>
      <c r="US2" s="1222"/>
      <c r="UT2" s="1222"/>
      <c r="UU2" s="1222"/>
      <c r="UV2" s="1222"/>
      <c r="UW2" s="1222"/>
      <c r="UX2" s="1222"/>
      <c r="UY2" s="1222"/>
      <c r="UZ2" s="1222"/>
      <c r="VA2" s="1222"/>
      <c r="VB2" s="1222"/>
      <c r="VC2" s="1222"/>
      <c r="VD2" s="1222"/>
      <c r="VE2" s="1222"/>
      <c r="VF2" s="1222"/>
      <c r="VG2" s="1222"/>
      <c r="VH2" s="1222"/>
      <c r="VI2" s="1222"/>
      <c r="VJ2" s="1222"/>
      <c r="VK2" s="1222"/>
      <c r="VL2" s="1222"/>
      <c r="VM2" s="1222"/>
      <c r="VN2" s="1222"/>
      <c r="VO2" s="1222"/>
      <c r="VP2" s="1222"/>
      <c r="VQ2" s="1222"/>
      <c r="VR2" s="1222"/>
      <c r="VS2" s="1222"/>
      <c r="VT2" s="1222"/>
      <c r="VU2" s="1222"/>
      <c r="VV2" s="1222"/>
      <c r="VW2" s="1222"/>
      <c r="VX2" s="1222"/>
      <c r="VY2" s="1222"/>
      <c r="VZ2" s="1222"/>
      <c r="WA2" s="1222"/>
      <c r="WB2" s="1222"/>
      <c r="WC2" s="1222"/>
      <c r="WD2" s="1222"/>
      <c r="WE2" s="1222"/>
      <c r="WF2" s="1222"/>
      <c r="WG2" s="1222"/>
      <c r="WH2" s="1222"/>
      <c r="WI2" s="1222"/>
      <c r="WJ2" s="1222"/>
      <c r="WK2" s="1222"/>
      <c r="WL2" s="1222"/>
      <c r="WM2" s="1222"/>
      <c r="WN2" s="1222"/>
      <c r="WO2" s="1222"/>
      <c r="WP2" s="1222"/>
      <c r="WQ2" s="1222"/>
      <c r="WR2" s="1222"/>
      <c r="WS2" s="1222"/>
      <c r="WT2" s="1222"/>
      <c r="WU2" s="1222"/>
      <c r="WV2" s="1222"/>
      <c r="WW2" s="1222"/>
      <c r="WX2" s="1222"/>
      <c r="WY2" s="1222"/>
      <c r="WZ2" s="1222"/>
      <c r="XA2" s="1222"/>
      <c r="XB2" s="1222"/>
      <c r="XC2" s="1222"/>
      <c r="XD2" s="1222"/>
      <c r="XE2" s="1222"/>
      <c r="XF2" s="1222"/>
      <c r="XG2" s="1222"/>
      <c r="XH2" s="1222"/>
      <c r="XI2" s="1222"/>
      <c r="XJ2" s="1222"/>
      <c r="XK2" s="1222"/>
      <c r="XL2" s="1222"/>
      <c r="XM2" s="1222"/>
      <c r="XN2" s="1222"/>
      <c r="XO2" s="1222"/>
      <c r="XP2" s="1222"/>
      <c r="XQ2" s="1222"/>
      <c r="XR2" s="1222"/>
      <c r="XS2" s="1222"/>
      <c r="XT2" s="1222"/>
      <c r="XU2" s="1222"/>
      <c r="XV2" s="1222"/>
      <c r="XW2" s="1222"/>
      <c r="XX2" s="1222"/>
      <c r="XY2" s="1222"/>
      <c r="XZ2" s="1222"/>
      <c r="YA2" s="1222"/>
      <c r="YB2" s="1222"/>
      <c r="YC2" s="1222"/>
      <c r="YD2" s="1222"/>
      <c r="YE2" s="1222"/>
      <c r="YF2" s="1222"/>
      <c r="YG2" s="1222"/>
      <c r="YH2" s="1222"/>
      <c r="YI2" s="1222"/>
      <c r="YJ2" s="1222"/>
      <c r="YK2" s="1222"/>
      <c r="YL2" s="1222"/>
      <c r="YM2" s="1222"/>
      <c r="YN2" s="1222"/>
      <c r="YO2" s="1222"/>
      <c r="YP2" s="1222"/>
      <c r="YQ2" s="1222"/>
      <c r="YR2" s="1222"/>
      <c r="YS2" s="1222"/>
      <c r="YT2" s="1222"/>
      <c r="YU2" s="1222"/>
      <c r="YV2" s="1222"/>
      <c r="YW2" s="1222"/>
      <c r="YX2" s="1222"/>
      <c r="YY2" s="1222"/>
      <c r="YZ2" s="1222"/>
      <c r="ZA2" s="1222"/>
      <c r="ZB2" s="1222"/>
      <c r="ZC2" s="1222"/>
      <c r="ZD2" s="1222"/>
      <c r="ZE2" s="1222"/>
      <c r="ZF2" s="1222"/>
      <c r="ZG2" s="1222"/>
      <c r="ZH2" s="1222"/>
      <c r="ZI2" s="1222"/>
      <c r="ZJ2" s="1222"/>
      <c r="ZK2" s="1222"/>
      <c r="ZL2" s="1222"/>
      <c r="ZM2" s="1222"/>
      <c r="ZN2" s="1222"/>
      <c r="ZO2" s="1222"/>
      <c r="ZP2" s="1222"/>
      <c r="ZQ2" s="1222"/>
      <c r="ZR2" s="1222"/>
      <c r="ZS2" s="1222"/>
      <c r="ZT2" s="1222"/>
      <c r="ZU2" s="1222"/>
      <c r="ZV2" s="1222"/>
      <c r="ZW2" s="1222"/>
      <c r="ZX2" s="1222"/>
      <c r="ZY2" s="1222"/>
      <c r="ZZ2" s="1222"/>
      <c r="AAA2" s="1222"/>
      <c r="AAB2" s="1222"/>
      <c r="AAC2" s="1222"/>
      <c r="AAD2" s="1222"/>
      <c r="AAE2" s="1222"/>
      <c r="AAF2" s="1222"/>
      <c r="AAG2" s="1222"/>
      <c r="AAH2" s="1222"/>
      <c r="AAI2" s="1222"/>
      <c r="AAJ2" s="1222"/>
      <c r="AAK2" s="1222"/>
      <c r="AAL2" s="1222"/>
      <c r="AAM2" s="1222"/>
      <c r="AAN2" s="1222"/>
      <c r="AAO2" s="1222"/>
      <c r="AAP2" s="1222"/>
      <c r="AAQ2" s="1222"/>
      <c r="AAR2" s="1222"/>
      <c r="AAS2" s="1222"/>
      <c r="AAT2" s="1222"/>
      <c r="AAU2" s="1222"/>
      <c r="AAV2" s="1222"/>
      <c r="AAW2" s="1222"/>
      <c r="AAX2" s="1222"/>
      <c r="AAY2" s="1222"/>
      <c r="AAZ2" s="1222"/>
      <c r="ABA2" s="1222"/>
      <c r="ABB2" s="1222"/>
      <c r="ABC2" s="1222"/>
      <c r="ABD2" s="1222"/>
      <c r="ABE2" s="1222"/>
      <c r="ABF2" s="1222"/>
      <c r="ABG2" s="1222"/>
      <c r="ABH2" s="1222"/>
      <c r="ABI2" s="1222"/>
      <c r="ABJ2" s="1222"/>
      <c r="ABK2" s="1222"/>
      <c r="ABL2" s="1222"/>
      <c r="ABM2" s="1222"/>
      <c r="ABN2" s="1222"/>
      <c r="ABO2" s="1222"/>
      <c r="ABP2" s="1222"/>
      <c r="ABQ2" s="1222"/>
      <c r="ABR2" s="1222"/>
      <c r="ABS2" s="1222"/>
      <c r="ABT2" s="1222"/>
      <c r="ABU2" s="1222"/>
      <c r="ABV2" s="1222"/>
      <c r="ABW2" s="1222"/>
      <c r="ABX2" s="1222"/>
      <c r="ABY2" s="1222"/>
      <c r="ABZ2" s="1222"/>
      <c r="ACA2" s="1222"/>
      <c r="ACB2" s="1222"/>
      <c r="ACC2" s="1222"/>
      <c r="ACD2" s="1222"/>
      <c r="ACE2" s="1222"/>
      <c r="ACF2" s="1222"/>
      <c r="ACG2" s="1222"/>
      <c r="ACH2" s="1222"/>
      <c r="ACI2" s="1222"/>
      <c r="ACJ2" s="1222"/>
      <c r="ACK2" s="1222"/>
      <c r="ACL2" s="1222"/>
      <c r="ACM2" s="1222"/>
      <c r="ACN2" s="1222"/>
      <c r="ACO2" s="1222"/>
      <c r="ACP2" s="1222"/>
      <c r="ACQ2" s="1222"/>
      <c r="ACR2" s="1222"/>
      <c r="ACS2" s="1222"/>
      <c r="ACT2" s="1222"/>
      <c r="ACU2" s="1222"/>
      <c r="ACV2" s="1222"/>
      <c r="ACW2" s="1222"/>
      <c r="ACX2" s="1222"/>
      <c r="ACY2" s="1222"/>
      <c r="ACZ2" s="1222"/>
      <c r="ADA2" s="1222"/>
      <c r="ADB2" s="1222"/>
      <c r="ADC2" s="1222"/>
      <c r="ADD2" s="1222"/>
      <c r="ADE2" s="1222"/>
      <c r="ADF2" s="1222"/>
      <c r="ADG2" s="1222"/>
      <c r="ADH2" s="1222"/>
      <c r="ADI2" s="1222"/>
      <c r="ADJ2" s="1222"/>
      <c r="ADK2" s="1222"/>
      <c r="ADL2" s="1222"/>
      <c r="ADM2" s="1222"/>
      <c r="ADN2" s="1222"/>
      <c r="ADO2" s="1222"/>
      <c r="ADP2" s="1222"/>
      <c r="ADQ2" s="1222"/>
      <c r="ADR2" s="1222"/>
      <c r="ADS2" s="1222"/>
      <c r="ADT2" s="1222"/>
      <c r="ADU2" s="1222"/>
      <c r="ADV2" s="1222"/>
      <c r="ADW2" s="1222"/>
      <c r="ADX2" s="1222"/>
      <c r="ADY2" s="1222"/>
      <c r="ADZ2" s="1222"/>
      <c r="AEA2" s="1222"/>
      <c r="AEB2" s="1222"/>
      <c r="AEC2" s="1222"/>
      <c r="AED2" s="1222"/>
      <c r="AEE2" s="1222"/>
      <c r="AEF2" s="1222"/>
      <c r="AEG2" s="1222"/>
      <c r="AEH2" s="1222"/>
      <c r="AEI2" s="1222"/>
      <c r="AEJ2" s="1222"/>
      <c r="AEK2" s="1222"/>
      <c r="AEL2" s="1222"/>
      <c r="AEM2" s="1222"/>
      <c r="AEN2" s="1222"/>
      <c r="AEO2" s="1222"/>
      <c r="AEP2" s="1222"/>
      <c r="AEQ2" s="1222"/>
      <c r="AER2" s="1222"/>
      <c r="AES2" s="1222"/>
      <c r="AET2" s="1222"/>
      <c r="AEU2" s="1222"/>
      <c r="AEV2" s="1222"/>
      <c r="AEW2" s="1222"/>
      <c r="AEX2" s="1222"/>
      <c r="AEY2" s="1222"/>
      <c r="AEZ2" s="1222"/>
      <c r="AFA2" s="1222"/>
      <c r="AFB2" s="1222"/>
      <c r="AFC2" s="1222"/>
      <c r="AFD2" s="1222"/>
      <c r="AFE2" s="1222"/>
      <c r="AFF2" s="1222"/>
      <c r="AFG2" s="1222"/>
      <c r="AFH2" s="1222"/>
      <c r="AFI2" s="1222"/>
      <c r="AFJ2" s="1222"/>
      <c r="AFK2" s="1222"/>
      <c r="AFL2" s="1222"/>
      <c r="AFM2" s="1222"/>
      <c r="AFN2" s="1222"/>
      <c r="AFO2" s="1222"/>
      <c r="AFP2" s="1222"/>
      <c r="AFQ2" s="1222"/>
      <c r="AFR2" s="1222"/>
      <c r="AFS2" s="1222"/>
      <c r="AFT2" s="1222"/>
      <c r="AFU2" s="1222"/>
      <c r="AFV2" s="1222"/>
      <c r="AFW2" s="1222"/>
      <c r="AFX2" s="1222"/>
      <c r="AFY2" s="1222"/>
      <c r="AFZ2" s="1222"/>
      <c r="AGA2" s="1222"/>
      <c r="AGB2" s="1222"/>
      <c r="AGC2" s="1222"/>
      <c r="AGD2" s="1222"/>
      <c r="AGE2" s="1222"/>
      <c r="AGF2" s="1222"/>
      <c r="AGG2" s="1222"/>
      <c r="AGH2" s="1222"/>
      <c r="AGI2" s="1222"/>
      <c r="AGJ2" s="1222"/>
      <c r="AGK2" s="1222"/>
      <c r="AGL2" s="1222"/>
      <c r="AGM2" s="1222"/>
      <c r="AGN2" s="1222"/>
      <c r="AGO2" s="1222"/>
      <c r="AGP2" s="1222"/>
      <c r="AGQ2" s="1222"/>
      <c r="AGR2" s="1222"/>
      <c r="AGS2" s="1222"/>
      <c r="AGT2" s="1222"/>
      <c r="AGU2" s="1222"/>
      <c r="AGV2" s="1222"/>
      <c r="AGW2" s="1222"/>
      <c r="AGX2" s="1222"/>
      <c r="AGY2" s="1222"/>
      <c r="AGZ2" s="1222"/>
      <c r="AHA2" s="1222"/>
      <c r="AHB2" s="1222"/>
      <c r="AHC2" s="1222"/>
      <c r="AHD2" s="1222"/>
      <c r="AHE2" s="1222"/>
      <c r="AHF2" s="1222"/>
      <c r="AHG2" s="1222"/>
      <c r="AHH2" s="1222"/>
      <c r="AHI2" s="1222"/>
      <c r="AHJ2" s="1222"/>
      <c r="AHK2" s="1222"/>
      <c r="AHL2" s="1222"/>
      <c r="AHM2" s="1222"/>
      <c r="AHN2" s="1222"/>
      <c r="AHO2" s="1222"/>
      <c r="AHP2" s="1222"/>
      <c r="AHQ2" s="1222"/>
      <c r="AHR2" s="1222"/>
      <c r="AHS2" s="1222"/>
      <c r="AHT2" s="1222"/>
      <c r="AHU2" s="1222"/>
      <c r="AHV2" s="1222"/>
      <c r="AHW2" s="1222"/>
      <c r="AHX2" s="1222"/>
      <c r="AHY2" s="1222"/>
      <c r="AHZ2" s="1222"/>
      <c r="AIA2" s="1222"/>
      <c r="AIB2" s="1222"/>
      <c r="AIC2" s="1222"/>
      <c r="AID2" s="1222"/>
      <c r="AIE2" s="1222"/>
      <c r="AIF2" s="1222"/>
      <c r="AIG2" s="1222"/>
      <c r="AIH2" s="1222"/>
      <c r="AII2" s="1222"/>
      <c r="AIJ2" s="1222"/>
      <c r="AIK2" s="1222"/>
      <c r="AIL2" s="1222"/>
      <c r="AIM2" s="1222"/>
      <c r="AIN2" s="1222"/>
      <c r="AIO2" s="1222"/>
      <c r="AIP2" s="1222"/>
      <c r="AIQ2" s="1222"/>
      <c r="AIR2" s="1222"/>
      <c r="AIS2" s="1222"/>
      <c r="AIT2" s="1222"/>
      <c r="AIU2" s="1222"/>
      <c r="AIV2" s="1222"/>
      <c r="AIW2" s="1222"/>
      <c r="AIX2" s="1222"/>
      <c r="AIY2" s="1222"/>
      <c r="AIZ2" s="1222"/>
      <c r="AJA2" s="1222"/>
      <c r="AJB2" s="1222"/>
      <c r="AJC2" s="1222"/>
      <c r="AJD2" s="1222"/>
      <c r="AJE2" s="1222"/>
      <c r="AJF2" s="1222"/>
      <c r="AJG2" s="1222"/>
      <c r="AJH2" s="1222"/>
      <c r="AJI2" s="1222"/>
      <c r="AJJ2" s="1222"/>
      <c r="AJK2" s="1222"/>
      <c r="AJL2" s="1222"/>
      <c r="AJM2" s="1222"/>
      <c r="AJN2" s="1222"/>
      <c r="AJO2" s="1222"/>
      <c r="AJP2" s="1222"/>
      <c r="AJQ2" s="1222"/>
      <c r="AJR2" s="1222"/>
      <c r="AJS2" s="1222"/>
      <c r="AJT2" s="1222"/>
      <c r="AJU2" s="1222"/>
      <c r="AJV2" s="1222"/>
      <c r="AJW2" s="1222"/>
      <c r="AJX2" s="1222"/>
      <c r="AJY2" s="1222"/>
      <c r="AJZ2" s="1222"/>
      <c r="AKA2" s="1222"/>
      <c r="AKB2" s="1222"/>
      <c r="AKC2" s="1222"/>
      <c r="AKD2" s="1222"/>
      <c r="AKE2" s="1222"/>
      <c r="AKF2" s="1222"/>
      <c r="AKG2" s="1222"/>
      <c r="AKH2" s="1222"/>
      <c r="AKI2" s="1222"/>
      <c r="AKJ2" s="1222"/>
      <c r="AKK2" s="1222"/>
      <c r="AKL2" s="1222"/>
      <c r="AKM2" s="1222"/>
      <c r="AKN2" s="1222"/>
      <c r="AKO2" s="1222"/>
      <c r="AKP2" s="1222"/>
      <c r="AKQ2" s="1222"/>
      <c r="AKR2" s="1222"/>
      <c r="AKS2" s="1222"/>
      <c r="AKT2" s="1222"/>
      <c r="AKU2" s="1222"/>
      <c r="AKV2" s="1222"/>
      <c r="AKW2" s="1222"/>
      <c r="AKX2" s="1222"/>
      <c r="AKY2" s="1222"/>
      <c r="AKZ2" s="1222"/>
      <c r="ALA2" s="1222"/>
      <c r="ALB2" s="1222"/>
      <c r="ALC2" s="1222"/>
      <c r="ALD2" s="1222"/>
      <c r="ALE2" s="1222"/>
      <c r="ALF2" s="1222"/>
      <c r="ALG2" s="1222"/>
      <c r="ALH2" s="1222"/>
      <c r="ALI2" s="1222"/>
      <c r="ALJ2" s="1222"/>
      <c r="ALK2" s="1222"/>
      <c r="ALL2" s="1222"/>
      <c r="ALM2" s="1222"/>
      <c r="ALN2" s="1222"/>
      <c r="ALO2" s="1222"/>
      <c r="ALP2" s="1222"/>
      <c r="ALQ2" s="1222"/>
      <c r="ALR2" s="1222"/>
      <c r="ALS2" s="1222"/>
      <c r="ALT2" s="1222"/>
      <c r="ALU2" s="1222"/>
      <c r="ALV2" s="1222"/>
      <c r="ALW2" s="1222"/>
      <c r="ALX2" s="1222"/>
      <c r="ALY2" s="1222"/>
      <c r="ALZ2" s="1222"/>
      <c r="AMA2" s="1222"/>
      <c r="AMB2" s="1222"/>
      <c r="AMC2" s="1222"/>
      <c r="AMD2" s="1222"/>
      <c r="AME2" s="1222"/>
      <c r="AMF2" s="1222"/>
      <c r="AMG2" s="1222"/>
      <c r="AMH2" s="1222"/>
      <c r="AMI2" s="1222"/>
      <c r="AMJ2" s="1222"/>
      <c r="AMK2" s="1222"/>
      <c r="AML2" s="1222"/>
      <c r="AMM2" s="1222"/>
      <c r="AMN2" s="1222"/>
      <c r="AMO2" s="1222"/>
      <c r="AMP2" s="1222"/>
      <c r="AMQ2" s="1222"/>
      <c r="AMR2" s="1222"/>
      <c r="AMS2" s="1222"/>
      <c r="AMT2" s="1222"/>
      <c r="AMU2" s="1222"/>
      <c r="AMV2" s="1222"/>
      <c r="AMW2" s="1222"/>
      <c r="AMX2" s="1222"/>
      <c r="AMY2" s="1222"/>
      <c r="AMZ2" s="1222"/>
      <c r="ANA2" s="1222"/>
      <c r="ANB2" s="1222"/>
      <c r="ANC2" s="1222"/>
      <c r="AND2" s="1222"/>
      <c r="ANE2" s="1222"/>
      <c r="ANF2" s="1222"/>
      <c r="ANG2" s="1222"/>
      <c r="ANH2" s="1222"/>
      <c r="ANI2" s="1222"/>
      <c r="ANJ2" s="1222"/>
      <c r="ANK2" s="1222"/>
      <c r="ANL2" s="1222"/>
      <c r="ANM2" s="1222"/>
      <c r="ANN2" s="1222"/>
      <c r="ANO2" s="1222"/>
      <c r="ANP2" s="1222"/>
      <c r="ANQ2" s="1222"/>
      <c r="ANR2" s="1222"/>
      <c r="ANS2" s="1222"/>
      <c r="ANT2" s="1222"/>
      <c r="ANU2" s="1222"/>
      <c r="ANV2" s="1222"/>
      <c r="ANW2" s="1222"/>
      <c r="ANX2" s="1222"/>
      <c r="ANY2" s="1222"/>
      <c r="ANZ2" s="1222"/>
      <c r="AOA2" s="1222"/>
      <c r="AOB2" s="1222"/>
      <c r="AOC2" s="1222"/>
      <c r="AOD2" s="1222"/>
      <c r="AOE2" s="1222"/>
      <c r="AOF2" s="1222"/>
      <c r="AOG2" s="1222"/>
      <c r="AOH2" s="1222"/>
      <c r="AOI2" s="1222"/>
      <c r="AOJ2" s="1222"/>
      <c r="AOK2" s="1222"/>
      <c r="AOL2" s="1222"/>
      <c r="AOM2" s="1222"/>
      <c r="AON2" s="1222"/>
      <c r="AOO2" s="1222"/>
      <c r="AOP2" s="1222"/>
      <c r="AOQ2" s="1222"/>
      <c r="AOR2" s="1222"/>
      <c r="AOS2" s="1222"/>
      <c r="AOT2" s="1222"/>
      <c r="AOU2" s="1222"/>
      <c r="AOV2" s="1222"/>
      <c r="AOW2" s="1222"/>
      <c r="AOX2" s="1222"/>
      <c r="AOY2" s="1222"/>
      <c r="AOZ2" s="1222"/>
      <c r="APA2" s="1222"/>
      <c r="APB2" s="1222"/>
      <c r="APC2" s="1222"/>
      <c r="APD2" s="1222"/>
      <c r="APE2" s="1222"/>
      <c r="APF2" s="1222"/>
      <c r="APG2" s="1222"/>
      <c r="APH2" s="1222"/>
      <c r="API2" s="1222"/>
      <c r="APJ2" s="1222"/>
      <c r="APK2" s="1222"/>
      <c r="APL2" s="1222"/>
      <c r="APM2" s="1222"/>
      <c r="APN2" s="1222"/>
      <c r="APO2" s="1222"/>
      <c r="APP2" s="1222"/>
      <c r="APQ2" s="1222"/>
      <c r="APR2" s="1222"/>
      <c r="APS2" s="1222"/>
      <c r="APT2" s="1222"/>
      <c r="APU2" s="1222"/>
      <c r="APV2" s="1222"/>
      <c r="APW2" s="1222"/>
      <c r="APX2" s="1222"/>
      <c r="APY2" s="1222"/>
      <c r="APZ2" s="1222"/>
      <c r="AQA2" s="1222"/>
      <c r="AQB2" s="1222"/>
      <c r="AQC2" s="1222"/>
      <c r="AQD2" s="1222"/>
      <c r="AQE2" s="1222"/>
      <c r="AQF2" s="1222"/>
      <c r="AQG2" s="1222"/>
      <c r="AQH2" s="1222"/>
      <c r="AQI2" s="1222"/>
      <c r="AQJ2" s="1222"/>
      <c r="AQK2" s="1222"/>
      <c r="AQL2" s="1222"/>
      <c r="AQM2" s="1222"/>
      <c r="AQN2" s="1222"/>
      <c r="AQO2" s="1222"/>
      <c r="AQP2" s="1222"/>
      <c r="AQQ2" s="1222"/>
      <c r="AQR2" s="1222"/>
      <c r="AQS2" s="1222"/>
      <c r="AQT2" s="1222"/>
      <c r="AQU2" s="1222"/>
      <c r="AQV2" s="1222"/>
      <c r="AQW2" s="1222"/>
      <c r="AQX2" s="1222"/>
      <c r="AQY2" s="1222"/>
      <c r="AQZ2" s="1222"/>
      <c r="ARA2" s="1222"/>
      <c r="ARB2" s="1222"/>
      <c r="ARC2" s="1222"/>
      <c r="ARD2" s="1222"/>
      <c r="ARE2" s="1222"/>
      <c r="ARF2" s="1222"/>
      <c r="ARG2" s="1222"/>
      <c r="ARH2" s="1222"/>
      <c r="ARI2" s="1222"/>
      <c r="ARJ2" s="1222"/>
      <c r="ARK2" s="1222"/>
      <c r="ARL2" s="1222"/>
      <c r="ARM2" s="1222"/>
      <c r="ARN2" s="1222"/>
      <c r="ARO2" s="1222"/>
      <c r="ARP2" s="1222"/>
      <c r="ARQ2" s="1222"/>
      <c r="ARR2" s="1222"/>
      <c r="ARS2" s="1222"/>
      <c r="ART2" s="1222"/>
      <c r="ARU2" s="1222"/>
      <c r="ARV2" s="1222"/>
      <c r="ARW2" s="1222"/>
      <c r="ARX2" s="1222"/>
      <c r="ARY2" s="1222"/>
      <c r="ARZ2" s="1222"/>
      <c r="ASA2" s="1222"/>
      <c r="ASB2" s="1222"/>
      <c r="ASC2" s="1222"/>
      <c r="ASD2" s="1222"/>
      <c r="ASE2" s="1222"/>
      <c r="ASF2" s="1222"/>
      <c r="ASG2" s="1222"/>
      <c r="ASH2" s="1222"/>
      <c r="ASI2" s="1222"/>
      <c r="ASJ2" s="1222"/>
      <c r="ASK2" s="1222"/>
      <c r="ASL2" s="1222"/>
      <c r="ASM2" s="1222"/>
      <c r="ASN2" s="1222"/>
      <c r="ASO2" s="1222"/>
      <c r="ASP2" s="1222"/>
      <c r="ASQ2" s="1222"/>
      <c r="ASR2" s="1222"/>
      <c r="ASS2" s="1222"/>
      <c r="AST2" s="1222"/>
      <c r="ASU2" s="1222"/>
      <c r="ASV2" s="1222"/>
      <c r="ASW2" s="1222"/>
      <c r="ASX2" s="1222"/>
      <c r="ASY2" s="1222"/>
      <c r="ASZ2" s="1222"/>
      <c r="ATA2" s="1222"/>
      <c r="ATB2" s="1222"/>
      <c r="ATC2" s="1222"/>
      <c r="ATD2" s="1222"/>
      <c r="ATE2" s="1222"/>
      <c r="ATF2" s="1222"/>
      <c r="ATG2" s="1222"/>
      <c r="ATH2" s="1222"/>
      <c r="ATI2" s="1222"/>
      <c r="ATJ2" s="1222"/>
      <c r="ATK2" s="1222"/>
      <c r="ATL2" s="1222"/>
      <c r="ATM2" s="1222"/>
      <c r="ATN2" s="1222"/>
      <c r="ATO2" s="1222"/>
      <c r="ATP2" s="1222"/>
      <c r="ATQ2" s="1222"/>
      <c r="ATR2" s="1222"/>
      <c r="ATS2" s="1222"/>
      <c r="ATT2" s="1222"/>
      <c r="ATU2" s="1222"/>
      <c r="ATV2" s="1222"/>
      <c r="ATW2" s="1222"/>
      <c r="ATX2" s="1222"/>
      <c r="ATY2" s="1222"/>
      <c r="ATZ2" s="1222"/>
      <c r="AUA2" s="1222"/>
      <c r="AUB2" s="1222"/>
      <c r="AUC2" s="1222"/>
      <c r="AUD2" s="1222"/>
      <c r="AUE2" s="1222"/>
      <c r="AUF2" s="1222"/>
      <c r="AUG2" s="1222"/>
      <c r="AUH2" s="1222"/>
      <c r="AUI2" s="1222"/>
      <c r="AUJ2" s="1222"/>
      <c r="AUK2" s="1222"/>
      <c r="AUL2" s="1222"/>
      <c r="AUM2" s="1222"/>
      <c r="AUN2" s="1222"/>
      <c r="AUO2" s="1222"/>
      <c r="AUP2" s="1222"/>
      <c r="AUQ2" s="1222"/>
      <c r="AUR2" s="1222"/>
      <c r="AUS2" s="1222"/>
      <c r="AUT2" s="1222"/>
      <c r="AUU2" s="1222"/>
      <c r="AUV2" s="1222"/>
      <c r="AUW2" s="1222"/>
      <c r="AUX2" s="1222"/>
      <c r="AUY2" s="1222"/>
      <c r="AUZ2" s="1222"/>
      <c r="AVA2" s="1222"/>
      <c r="AVB2" s="1222"/>
      <c r="AVC2" s="1222"/>
      <c r="AVD2" s="1222"/>
      <c r="AVE2" s="1222"/>
      <c r="AVF2" s="1222"/>
      <c r="AVG2" s="1222"/>
      <c r="AVH2" s="1222"/>
      <c r="AVI2" s="1222"/>
      <c r="AVJ2" s="1222"/>
      <c r="AVK2" s="1222"/>
      <c r="AVL2" s="1222"/>
      <c r="AVM2" s="1222"/>
      <c r="AVN2" s="1222"/>
      <c r="AVO2" s="1222"/>
      <c r="AVP2" s="1222"/>
      <c r="AVQ2" s="1222"/>
      <c r="AVR2" s="1222"/>
      <c r="AVS2" s="1222"/>
      <c r="AVT2" s="1222"/>
      <c r="AVU2" s="1222"/>
      <c r="AVV2" s="1222"/>
      <c r="AVW2" s="1222"/>
      <c r="AVX2" s="1222"/>
      <c r="AVY2" s="1222"/>
      <c r="AVZ2" s="1222"/>
      <c r="AWA2" s="1222"/>
      <c r="AWB2" s="1222"/>
      <c r="AWC2" s="1222"/>
      <c r="AWD2" s="1222"/>
      <c r="AWE2" s="1222"/>
      <c r="AWF2" s="1222"/>
      <c r="AWG2" s="1222"/>
      <c r="AWH2" s="1222"/>
      <c r="AWI2" s="1222"/>
      <c r="AWJ2" s="1222"/>
      <c r="AWK2" s="1222"/>
      <c r="AWL2" s="1222"/>
      <c r="AWM2" s="1222"/>
      <c r="AWN2" s="1222"/>
      <c r="AWO2" s="1222"/>
      <c r="AWP2" s="1222"/>
      <c r="AWQ2" s="1222"/>
      <c r="AWR2" s="1222"/>
      <c r="AWS2" s="1222"/>
      <c r="AWT2" s="1222"/>
      <c r="AWU2" s="1222"/>
      <c r="AWV2" s="1222"/>
      <c r="AWW2" s="1222"/>
      <c r="AWX2" s="1222"/>
      <c r="AWY2" s="1222"/>
      <c r="AWZ2" s="1222"/>
      <c r="AXA2" s="1222"/>
      <c r="AXB2" s="1222"/>
      <c r="AXC2" s="1222"/>
      <c r="AXD2" s="1222"/>
      <c r="AXE2" s="1222"/>
      <c r="AXF2" s="1222"/>
      <c r="AXG2" s="1222"/>
      <c r="AXH2" s="1222"/>
      <c r="AXI2" s="1222"/>
      <c r="AXJ2" s="1222"/>
      <c r="AXK2" s="1222"/>
      <c r="AXL2" s="1222"/>
      <c r="AXM2" s="1222"/>
      <c r="AXN2" s="1222"/>
      <c r="AXO2" s="1222"/>
      <c r="AXP2" s="1222"/>
      <c r="AXQ2" s="1222"/>
      <c r="AXR2" s="1222"/>
      <c r="AXS2" s="1222"/>
      <c r="AXT2" s="1222"/>
      <c r="AXU2" s="1222"/>
      <c r="AXV2" s="1222"/>
      <c r="AXW2" s="1222"/>
      <c r="AXX2" s="1222"/>
      <c r="AXY2" s="1222"/>
      <c r="AXZ2" s="1222"/>
      <c r="AYA2" s="1222"/>
      <c r="AYB2" s="1222"/>
      <c r="AYC2" s="1222"/>
      <c r="AYD2" s="1222"/>
      <c r="AYE2" s="1222"/>
      <c r="AYF2" s="1222"/>
      <c r="AYG2" s="1222"/>
      <c r="AYH2" s="1222"/>
      <c r="AYI2" s="1222"/>
      <c r="AYJ2" s="1222"/>
      <c r="AYK2" s="1222"/>
      <c r="AYL2" s="1222"/>
      <c r="AYM2" s="1222"/>
      <c r="AYN2" s="1222"/>
      <c r="AYO2" s="1222"/>
      <c r="AYP2" s="1222"/>
      <c r="AYQ2" s="1222"/>
      <c r="AYR2" s="1222"/>
      <c r="AYS2" s="1222"/>
      <c r="AYT2" s="1222"/>
      <c r="AYU2" s="1222"/>
      <c r="AYV2" s="1222"/>
      <c r="AYW2" s="1222"/>
      <c r="AYX2" s="1222"/>
      <c r="AYY2" s="1222"/>
      <c r="AYZ2" s="1222"/>
      <c r="AZA2" s="1222"/>
      <c r="AZB2" s="1222"/>
      <c r="AZC2" s="1222"/>
      <c r="AZD2" s="1222"/>
      <c r="AZE2" s="1222"/>
      <c r="AZF2" s="1222"/>
      <c r="AZG2" s="1222"/>
      <c r="AZH2" s="1222"/>
      <c r="AZI2" s="1222"/>
      <c r="AZJ2" s="1222"/>
      <c r="AZK2" s="1222"/>
      <c r="AZL2" s="1222"/>
      <c r="AZM2" s="1222"/>
      <c r="AZN2" s="1222"/>
      <c r="AZO2" s="1222"/>
      <c r="AZP2" s="1222"/>
      <c r="AZQ2" s="1222"/>
      <c r="AZR2" s="1222"/>
      <c r="AZS2" s="1222"/>
      <c r="AZT2" s="1222"/>
      <c r="AZU2" s="1222"/>
      <c r="AZV2" s="1222"/>
      <c r="AZW2" s="1222"/>
      <c r="AZX2" s="1222"/>
      <c r="AZY2" s="1222"/>
      <c r="AZZ2" s="1222"/>
      <c r="BAA2" s="1222"/>
      <c r="BAB2" s="1222"/>
      <c r="BAC2" s="1222"/>
      <c r="BAD2" s="1222"/>
      <c r="BAE2" s="1222"/>
      <c r="BAF2" s="1222"/>
      <c r="BAG2" s="1222"/>
      <c r="BAH2" s="1222"/>
      <c r="BAI2" s="1222"/>
      <c r="BAJ2" s="1222"/>
      <c r="BAK2" s="1222"/>
      <c r="BAL2" s="1222"/>
      <c r="BAM2" s="1222"/>
      <c r="BAN2" s="1222"/>
      <c r="BAO2" s="1222"/>
      <c r="BAP2" s="1222"/>
      <c r="BAQ2" s="1222"/>
      <c r="BAR2" s="1222"/>
      <c r="BAS2" s="1222"/>
      <c r="BAT2" s="1222"/>
      <c r="BAU2" s="1222"/>
      <c r="BAV2" s="1222"/>
      <c r="BAW2" s="1222"/>
      <c r="BAX2" s="1222"/>
      <c r="BAY2" s="1222"/>
      <c r="BAZ2" s="1222"/>
      <c r="BBA2" s="1222"/>
      <c r="BBB2" s="1222"/>
      <c r="BBC2" s="1222"/>
      <c r="BBD2" s="1222"/>
      <c r="BBE2" s="1222"/>
      <c r="BBF2" s="1222"/>
      <c r="BBG2" s="1222"/>
      <c r="BBH2" s="1222"/>
      <c r="BBI2" s="1222"/>
      <c r="BBJ2" s="1222"/>
      <c r="BBK2" s="1222"/>
      <c r="BBL2" s="1222"/>
      <c r="BBM2" s="1222"/>
      <c r="BBN2" s="1222"/>
      <c r="BBO2" s="1222"/>
      <c r="BBP2" s="1222"/>
      <c r="BBQ2" s="1222"/>
      <c r="BBR2" s="1222"/>
      <c r="BBS2" s="1222"/>
      <c r="BBT2" s="1222"/>
      <c r="BBU2" s="1222"/>
      <c r="BBV2" s="1222"/>
      <c r="BBW2" s="1222"/>
      <c r="BBX2" s="1222"/>
      <c r="BBY2" s="1222"/>
      <c r="BBZ2" s="1222"/>
      <c r="BCA2" s="1222"/>
      <c r="BCB2" s="1222"/>
      <c r="BCC2" s="1222"/>
      <c r="BCD2" s="1222"/>
      <c r="BCE2" s="1222"/>
      <c r="BCF2" s="1222"/>
      <c r="BCG2" s="1222"/>
      <c r="BCH2" s="1222"/>
      <c r="BCI2" s="1222"/>
      <c r="BCJ2" s="1222"/>
      <c r="BCK2" s="1222"/>
      <c r="BCL2" s="1222"/>
      <c r="BCM2" s="1222"/>
      <c r="BCN2" s="1222"/>
      <c r="BCO2" s="1222"/>
      <c r="BCP2" s="1222"/>
      <c r="BCQ2" s="1222"/>
      <c r="BCR2" s="1222"/>
      <c r="BCS2" s="1222"/>
      <c r="BCT2" s="1222"/>
      <c r="BCU2" s="1222"/>
      <c r="BCV2" s="1222"/>
      <c r="BCW2" s="1222"/>
      <c r="BCX2" s="1222"/>
      <c r="BCY2" s="1222"/>
      <c r="BCZ2" s="1222"/>
      <c r="BDA2" s="1222"/>
      <c r="BDB2" s="1222"/>
      <c r="BDC2" s="1222"/>
      <c r="BDD2" s="1222"/>
      <c r="BDE2" s="1222"/>
      <c r="BDF2" s="1222"/>
      <c r="BDG2" s="1222"/>
      <c r="BDH2" s="1222"/>
      <c r="BDI2" s="1222"/>
      <c r="BDJ2" s="1222"/>
      <c r="BDK2" s="1222"/>
      <c r="BDL2" s="1222"/>
      <c r="BDM2" s="1222"/>
      <c r="BDN2" s="1222"/>
      <c r="BDO2" s="1222"/>
      <c r="BDP2" s="1222"/>
      <c r="BDQ2" s="1222"/>
      <c r="BDR2" s="1222"/>
      <c r="BDS2" s="1222"/>
      <c r="BDT2" s="1222"/>
      <c r="BDU2" s="1222"/>
      <c r="BDV2" s="1222"/>
      <c r="BDW2" s="1222"/>
      <c r="BDX2" s="1222"/>
      <c r="BDY2" s="1222"/>
      <c r="BDZ2" s="1222"/>
      <c r="BEA2" s="1222"/>
      <c r="BEB2" s="1222"/>
      <c r="BEC2" s="1222"/>
      <c r="BED2" s="1222"/>
      <c r="BEE2" s="1222"/>
      <c r="BEF2" s="1222"/>
      <c r="BEG2" s="1222"/>
      <c r="BEH2" s="1222"/>
      <c r="BEI2" s="1222"/>
      <c r="BEJ2" s="1222"/>
      <c r="BEK2" s="1222"/>
      <c r="BEL2" s="1222"/>
      <c r="BEM2" s="1222"/>
      <c r="BEN2" s="1222"/>
      <c r="BEO2" s="1222"/>
      <c r="BEP2" s="1222"/>
      <c r="BEQ2" s="1222"/>
      <c r="BER2" s="1222"/>
      <c r="BES2" s="1222"/>
      <c r="BET2" s="1222"/>
      <c r="BEU2" s="1222"/>
      <c r="BEV2" s="1222"/>
      <c r="BEW2" s="1222"/>
      <c r="BEX2" s="1222"/>
      <c r="BEY2" s="1222"/>
      <c r="BEZ2" s="1222"/>
      <c r="BFA2" s="1222"/>
      <c r="BFB2" s="1222"/>
      <c r="BFC2" s="1222"/>
      <c r="BFD2" s="1222"/>
      <c r="BFE2" s="1222"/>
      <c r="BFF2" s="1222"/>
      <c r="BFG2" s="1222"/>
      <c r="BFH2" s="1222"/>
      <c r="BFI2" s="1222"/>
      <c r="BFJ2" s="1222"/>
      <c r="BFK2" s="1222"/>
      <c r="BFL2" s="1222"/>
      <c r="BFM2" s="1222"/>
      <c r="BFN2" s="1222"/>
      <c r="BFO2" s="1222"/>
      <c r="BFP2" s="1222"/>
      <c r="BFQ2" s="1222"/>
      <c r="BFR2" s="1222"/>
      <c r="BFS2" s="1222"/>
      <c r="BFT2" s="1222"/>
      <c r="BFU2" s="1222"/>
      <c r="BFV2" s="1222"/>
      <c r="BFW2" s="1222"/>
      <c r="BFX2" s="1222"/>
      <c r="BFY2" s="1222"/>
      <c r="BFZ2" s="1222"/>
      <c r="BGA2" s="1222"/>
      <c r="BGB2" s="1222"/>
      <c r="BGC2" s="1222"/>
      <c r="BGD2" s="1222"/>
      <c r="BGE2" s="1222"/>
      <c r="BGF2" s="1222"/>
      <c r="BGG2" s="1222"/>
      <c r="BGH2" s="1222"/>
      <c r="BGI2" s="1222"/>
      <c r="BGJ2" s="1222"/>
      <c r="BGK2" s="1222"/>
      <c r="BGL2" s="1222"/>
      <c r="BGM2" s="1222"/>
      <c r="BGN2" s="1222"/>
      <c r="BGO2" s="1222"/>
      <c r="BGP2" s="1222"/>
      <c r="BGQ2" s="1222"/>
      <c r="BGR2" s="1222"/>
      <c r="BGS2" s="1222"/>
      <c r="BGT2" s="1222"/>
      <c r="BGU2" s="1222"/>
      <c r="BGV2" s="1222"/>
      <c r="BGW2" s="1222"/>
      <c r="BGX2" s="1222"/>
      <c r="BGY2" s="1222"/>
      <c r="BGZ2" s="1222"/>
      <c r="BHA2" s="1222"/>
      <c r="BHB2" s="1222"/>
      <c r="BHC2" s="1222"/>
      <c r="BHD2" s="1222"/>
      <c r="BHE2" s="1222"/>
      <c r="BHF2" s="1222"/>
      <c r="BHG2" s="1222"/>
      <c r="BHH2" s="1222"/>
      <c r="BHI2" s="1222"/>
      <c r="BHJ2" s="1222"/>
      <c r="BHK2" s="1222"/>
      <c r="BHL2" s="1222"/>
      <c r="BHM2" s="1222"/>
      <c r="BHN2" s="1222"/>
      <c r="BHO2" s="1222"/>
      <c r="BHP2" s="1222"/>
      <c r="BHQ2" s="1222"/>
      <c r="BHR2" s="1222"/>
      <c r="BHS2" s="1222"/>
      <c r="BHT2" s="1222"/>
      <c r="BHU2" s="1222"/>
      <c r="BHV2" s="1222"/>
      <c r="BHW2" s="1222"/>
      <c r="BHX2" s="1222"/>
      <c r="BHY2" s="1222"/>
      <c r="BHZ2" s="1222"/>
      <c r="BIA2" s="1222"/>
      <c r="BIB2" s="1222"/>
      <c r="BIC2" s="1222"/>
      <c r="BID2" s="1222"/>
      <c r="BIE2" s="1222"/>
      <c r="BIF2" s="1222"/>
      <c r="BIG2" s="1222"/>
      <c r="BIH2" s="1222"/>
      <c r="BII2" s="1222"/>
      <c r="BIJ2" s="1222"/>
      <c r="BIK2" s="1222"/>
      <c r="BIL2" s="1222"/>
      <c r="BIM2" s="1222"/>
      <c r="BIN2" s="1222"/>
      <c r="BIO2" s="1222"/>
      <c r="BIP2" s="1222"/>
      <c r="BIQ2" s="1222"/>
      <c r="BIR2" s="1222"/>
      <c r="BIS2" s="1222"/>
      <c r="BIT2" s="1222"/>
      <c r="BIU2" s="1222"/>
      <c r="BIV2" s="1222"/>
      <c r="BIW2" s="1222"/>
      <c r="BIX2" s="1222"/>
      <c r="BIY2" s="1222"/>
      <c r="BIZ2" s="1222"/>
      <c r="BJA2" s="1222"/>
      <c r="BJB2" s="1222"/>
      <c r="BJC2" s="1222"/>
      <c r="BJD2" s="1222"/>
      <c r="BJE2" s="1222"/>
      <c r="BJF2" s="1222"/>
      <c r="BJG2" s="1222"/>
      <c r="BJH2" s="1222"/>
      <c r="BJI2" s="1222"/>
      <c r="BJJ2" s="1222"/>
      <c r="BJK2" s="1222"/>
      <c r="BJL2" s="1222"/>
      <c r="BJM2" s="1222"/>
      <c r="BJN2" s="1222"/>
      <c r="BJO2" s="1222"/>
      <c r="BJP2" s="1222"/>
      <c r="BJQ2" s="1222"/>
      <c r="BJR2" s="1222"/>
      <c r="BJS2" s="1222"/>
      <c r="BJT2" s="1222"/>
      <c r="BJU2" s="1222"/>
      <c r="BJV2" s="1222"/>
      <c r="BJW2" s="1222"/>
      <c r="BJX2" s="1222"/>
      <c r="BJY2" s="1222"/>
      <c r="BJZ2" s="1222"/>
      <c r="BKA2" s="1222"/>
      <c r="BKB2" s="1222"/>
      <c r="BKC2" s="1222"/>
      <c r="BKD2" s="1222"/>
      <c r="BKE2" s="1222"/>
      <c r="BKF2" s="1222"/>
      <c r="BKG2" s="1222"/>
      <c r="BKH2" s="1222"/>
      <c r="BKI2" s="1222"/>
      <c r="BKJ2" s="1222"/>
      <c r="BKK2" s="1222"/>
      <c r="BKL2" s="1222"/>
      <c r="BKM2" s="1222"/>
      <c r="BKN2" s="1222"/>
      <c r="BKO2" s="1222"/>
      <c r="BKP2" s="1222"/>
      <c r="BKQ2" s="1222"/>
      <c r="BKR2" s="1222"/>
      <c r="BKS2" s="1222"/>
      <c r="BKT2" s="1222"/>
      <c r="BKU2" s="1222"/>
      <c r="BKV2" s="1222"/>
      <c r="BKW2" s="1222"/>
      <c r="BKX2" s="1222"/>
      <c r="BKY2" s="1222"/>
      <c r="BKZ2" s="1222"/>
      <c r="BLA2" s="1222"/>
      <c r="BLB2" s="1222"/>
      <c r="BLC2" s="1222"/>
      <c r="BLD2" s="1222"/>
      <c r="BLE2" s="1222"/>
      <c r="BLF2" s="1222"/>
      <c r="BLG2" s="1222"/>
      <c r="BLH2" s="1222"/>
      <c r="BLI2" s="1222"/>
      <c r="BLJ2" s="1222"/>
      <c r="BLK2" s="1222"/>
      <c r="BLL2" s="1222"/>
      <c r="BLM2" s="1222"/>
      <c r="BLN2" s="1222"/>
      <c r="BLO2" s="1222"/>
      <c r="BLP2" s="1222"/>
      <c r="BLQ2" s="1222"/>
      <c r="BLR2" s="1222"/>
      <c r="BLS2" s="1222"/>
      <c r="BLT2" s="1222"/>
      <c r="BLU2" s="1222"/>
      <c r="BLV2" s="1222"/>
      <c r="BLW2" s="1222"/>
      <c r="BLX2" s="1222"/>
      <c r="BLY2" s="1222"/>
      <c r="BLZ2" s="1222"/>
      <c r="BMA2" s="1222"/>
      <c r="BMB2" s="1222"/>
      <c r="BMC2" s="1222"/>
      <c r="BMD2" s="1222"/>
      <c r="BME2" s="1222"/>
      <c r="BMF2" s="1222"/>
      <c r="BMG2" s="1222"/>
      <c r="BMH2" s="1222"/>
      <c r="BMI2" s="1222"/>
      <c r="BMJ2" s="1222"/>
      <c r="BMK2" s="1222"/>
      <c r="BML2" s="1222"/>
      <c r="BMM2" s="1222"/>
      <c r="BMN2" s="1222"/>
      <c r="BMO2" s="1222"/>
      <c r="BMP2" s="1222"/>
      <c r="BMQ2" s="1222"/>
      <c r="BMR2" s="1222"/>
      <c r="BMS2" s="1222"/>
      <c r="BMT2" s="1222"/>
      <c r="BMU2" s="1222"/>
      <c r="BMV2" s="1222"/>
      <c r="BMW2" s="1222"/>
      <c r="BMX2" s="1222"/>
      <c r="BMY2" s="1222"/>
      <c r="BMZ2" s="1222"/>
      <c r="BNA2" s="1222"/>
      <c r="BNB2" s="1222"/>
      <c r="BNC2" s="1222"/>
      <c r="BND2" s="1222"/>
      <c r="BNE2" s="1222"/>
      <c r="BNF2" s="1222"/>
      <c r="BNG2" s="1222"/>
      <c r="BNH2" s="1222"/>
      <c r="BNI2" s="1222"/>
      <c r="BNJ2" s="1222"/>
      <c r="BNK2" s="1222"/>
      <c r="BNL2" s="1222"/>
      <c r="BNM2" s="1222"/>
      <c r="BNN2" s="1222"/>
      <c r="BNO2" s="1222"/>
      <c r="BNP2" s="1222"/>
      <c r="BNQ2" s="1222"/>
      <c r="BNR2" s="1222"/>
      <c r="BNS2" s="1222"/>
      <c r="BNT2" s="1222"/>
      <c r="BNU2" s="1222"/>
      <c r="BNV2" s="1222"/>
      <c r="BNW2" s="1222"/>
      <c r="BNX2" s="1222"/>
      <c r="BNY2" s="1222"/>
      <c r="BNZ2" s="1222"/>
      <c r="BOA2" s="1222"/>
      <c r="BOB2" s="1222"/>
      <c r="BOC2" s="1222"/>
      <c r="BOD2" s="1222"/>
      <c r="BOE2" s="1222"/>
      <c r="BOF2" s="1222"/>
      <c r="BOG2" s="1222"/>
      <c r="BOH2" s="1222"/>
      <c r="BOI2" s="1222"/>
      <c r="BOJ2" s="1222"/>
      <c r="BOK2" s="1222"/>
      <c r="BOL2" s="1222"/>
      <c r="BOM2" s="1222"/>
      <c r="BON2" s="1222"/>
      <c r="BOO2" s="1222"/>
      <c r="BOP2" s="1222"/>
      <c r="BOQ2" s="1222"/>
      <c r="BOR2" s="1222"/>
      <c r="BOS2" s="1222"/>
      <c r="BOT2" s="1222"/>
      <c r="BOU2" s="1222"/>
      <c r="BOV2" s="1222"/>
      <c r="BOW2" s="1222"/>
      <c r="BOX2" s="1222"/>
      <c r="BOY2" s="1222"/>
      <c r="BOZ2" s="1222"/>
      <c r="BPA2" s="1222"/>
      <c r="BPB2" s="1222"/>
      <c r="BPC2" s="1222"/>
      <c r="BPD2" s="1222"/>
      <c r="BPE2" s="1222"/>
      <c r="BPF2" s="1222"/>
      <c r="BPG2" s="1222"/>
      <c r="BPH2" s="1222"/>
      <c r="BPI2" s="1222"/>
      <c r="BPJ2" s="1222"/>
      <c r="BPK2" s="1222"/>
      <c r="BPL2" s="1222"/>
      <c r="BPM2" s="1222"/>
      <c r="BPN2" s="1222"/>
      <c r="BPO2" s="1222"/>
      <c r="BPP2" s="1222"/>
      <c r="BPQ2" s="1222"/>
      <c r="BPR2" s="1222"/>
      <c r="BPS2" s="1222"/>
      <c r="BPT2" s="1222"/>
      <c r="BPU2" s="1222"/>
      <c r="BPV2" s="1222"/>
      <c r="BPW2" s="1222"/>
      <c r="BPX2" s="1222"/>
      <c r="BPY2" s="1222"/>
      <c r="BPZ2" s="1222"/>
      <c r="BQA2" s="1222"/>
      <c r="BQB2" s="1222"/>
      <c r="BQC2" s="1222"/>
      <c r="BQD2" s="1222"/>
      <c r="BQE2" s="1222"/>
      <c r="BQF2" s="1222"/>
      <c r="BQG2" s="1222"/>
      <c r="BQH2" s="1222"/>
      <c r="BQI2" s="1222"/>
      <c r="BQJ2" s="1222"/>
      <c r="BQK2" s="1222"/>
      <c r="BQL2" s="1222"/>
      <c r="BQM2" s="1222"/>
      <c r="BQN2" s="1222"/>
      <c r="BQO2" s="1222"/>
      <c r="BQP2" s="1222"/>
      <c r="BQQ2" s="1222"/>
      <c r="BQR2" s="1222"/>
      <c r="BQS2" s="1222"/>
      <c r="BQT2" s="1222"/>
      <c r="BQU2" s="1222"/>
      <c r="BQV2" s="1222"/>
      <c r="BQW2" s="1222"/>
      <c r="BQX2" s="1222"/>
      <c r="BQY2" s="1222"/>
      <c r="BQZ2" s="1222"/>
      <c r="BRA2" s="1222"/>
      <c r="BRB2" s="1222"/>
      <c r="BRC2" s="1222"/>
      <c r="BRD2" s="1222"/>
      <c r="BRE2" s="1222"/>
      <c r="BRF2" s="1222"/>
      <c r="BRG2" s="1222"/>
      <c r="BRH2" s="1222"/>
      <c r="BRI2" s="1222"/>
      <c r="BRJ2" s="1222"/>
      <c r="BRK2" s="1222"/>
      <c r="BRL2" s="1222"/>
      <c r="BRM2" s="1222"/>
      <c r="BRN2" s="1222"/>
      <c r="BRO2" s="1222"/>
      <c r="BRP2" s="1222"/>
      <c r="BRQ2" s="1222"/>
      <c r="BRR2" s="1222"/>
      <c r="BRS2" s="1222"/>
      <c r="BRT2" s="1222"/>
      <c r="BRU2" s="1222"/>
      <c r="BRV2" s="1222"/>
      <c r="BRW2" s="1222"/>
      <c r="BRX2" s="1222"/>
      <c r="BRY2" s="1222"/>
      <c r="BRZ2" s="1222"/>
      <c r="BSA2" s="1222"/>
      <c r="BSB2" s="1222"/>
      <c r="BSC2" s="1222"/>
      <c r="BSD2" s="1222"/>
      <c r="BSE2" s="1222"/>
      <c r="BSF2" s="1222"/>
      <c r="BSG2" s="1222"/>
      <c r="BSH2" s="1222"/>
      <c r="BSI2" s="1222"/>
      <c r="BSJ2" s="1222"/>
      <c r="BSK2" s="1222"/>
      <c r="BSL2" s="1222"/>
      <c r="BSM2" s="1222"/>
      <c r="BSN2" s="1222"/>
      <c r="BSO2" s="1222"/>
      <c r="BSP2" s="1222"/>
      <c r="BSQ2" s="1222"/>
      <c r="BSR2" s="1222"/>
      <c r="BSS2" s="1222"/>
      <c r="BST2" s="1222"/>
      <c r="BSU2" s="1222"/>
      <c r="BSV2" s="1222"/>
      <c r="BSW2" s="1222"/>
      <c r="BSX2" s="1222"/>
      <c r="BSY2" s="1222"/>
      <c r="BSZ2" s="1222"/>
      <c r="BTA2" s="1222"/>
      <c r="BTB2" s="1222"/>
      <c r="BTC2" s="1222"/>
      <c r="BTD2" s="1222"/>
      <c r="BTE2" s="1222"/>
      <c r="BTF2" s="1222"/>
      <c r="BTG2" s="1222"/>
      <c r="BTH2" s="1222"/>
      <c r="BTI2" s="1222"/>
      <c r="BTJ2" s="1222"/>
      <c r="BTK2" s="1222"/>
      <c r="BTL2" s="1222"/>
      <c r="BTM2" s="1222"/>
      <c r="BTN2" s="1222"/>
      <c r="BTO2" s="1222"/>
      <c r="BTP2" s="1222"/>
      <c r="BTQ2" s="1222"/>
      <c r="BTR2" s="1222"/>
      <c r="BTS2" s="1222"/>
      <c r="BTT2" s="1222"/>
      <c r="BTU2" s="1222"/>
      <c r="BTV2" s="1222"/>
      <c r="BTW2" s="1222"/>
      <c r="BTX2" s="1222"/>
      <c r="BTY2" s="1222"/>
      <c r="BTZ2" s="1222"/>
      <c r="BUA2" s="1222"/>
      <c r="BUB2" s="1222"/>
      <c r="BUC2" s="1222"/>
      <c r="BUD2" s="1222"/>
      <c r="BUE2" s="1222"/>
      <c r="BUF2" s="1222"/>
      <c r="BUG2" s="1222"/>
      <c r="BUH2" s="1222"/>
      <c r="BUI2" s="1222"/>
      <c r="BUJ2" s="1222"/>
      <c r="BUK2" s="1222"/>
      <c r="BUL2" s="1222"/>
      <c r="BUM2" s="1222"/>
      <c r="BUN2" s="1222"/>
      <c r="BUO2" s="1222"/>
      <c r="BUP2" s="1222"/>
      <c r="BUQ2" s="1222"/>
      <c r="BUR2" s="1222"/>
      <c r="BUS2" s="1222"/>
      <c r="BUT2" s="1222"/>
      <c r="BUU2" s="1222"/>
      <c r="BUV2" s="1222"/>
      <c r="BUW2" s="1222"/>
      <c r="BUX2" s="1222"/>
      <c r="BUY2" s="1222"/>
      <c r="BUZ2" s="1222"/>
      <c r="BVA2" s="1222"/>
      <c r="BVB2" s="1222"/>
      <c r="BVC2" s="1222"/>
      <c r="BVD2" s="1222"/>
      <c r="BVE2" s="1222"/>
      <c r="BVF2" s="1222"/>
      <c r="BVG2" s="1222"/>
      <c r="BVH2" s="1222"/>
      <c r="BVI2" s="1222"/>
      <c r="BVJ2" s="1222"/>
      <c r="BVK2" s="1222"/>
      <c r="BVL2" s="1222"/>
      <c r="BVM2" s="1222"/>
      <c r="BVN2" s="1222"/>
      <c r="BVO2" s="1222"/>
      <c r="BVP2" s="1222"/>
      <c r="BVQ2" s="1222"/>
      <c r="BVR2" s="1222"/>
      <c r="BVS2" s="1222"/>
      <c r="BVT2" s="1222"/>
      <c r="BVU2" s="1222"/>
      <c r="BVV2" s="1222"/>
      <c r="BVW2" s="1222"/>
      <c r="BVX2" s="1222"/>
      <c r="BVY2" s="1222"/>
      <c r="BVZ2" s="1222"/>
      <c r="BWA2" s="1222"/>
      <c r="BWB2" s="1222"/>
      <c r="BWC2" s="1222"/>
      <c r="BWD2" s="1222"/>
      <c r="BWE2" s="1222"/>
      <c r="BWF2" s="1222"/>
      <c r="BWG2" s="1222"/>
      <c r="BWH2" s="1222"/>
      <c r="BWI2" s="1222"/>
      <c r="BWJ2" s="1222"/>
      <c r="BWK2" s="1222"/>
      <c r="BWL2" s="1222"/>
      <c r="BWM2" s="1222"/>
      <c r="BWN2" s="1222"/>
      <c r="BWO2" s="1222"/>
      <c r="BWP2" s="1222"/>
      <c r="BWQ2" s="1222"/>
      <c r="BWR2" s="1222"/>
      <c r="BWS2" s="1222"/>
      <c r="BWT2" s="1222"/>
      <c r="BWU2" s="1222"/>
      <c r="BWV2" s="1222"/>
      <c r="BWW2" s="1222"/>
      <c r="BWX2" s="1222"/>
      <c r="BWY2" s="1222"/>
      <c r="BWZ2" s="1222"/>
      <c r="BXA2" s="1222"/>
      <c r="BXB2" s="1222"/>
      <c r="BXC2" s="1222"/>
      <c r="BXD2" s="1222"/>
      <c r="BXE2" s="1222"/>
      <c r="BXF2" s="1222"/>
      <c r="BXG2" s="1222"/>
      <c r="BXH2" s="1222"/>
      <c r="BXI2" s="1222"/>
      <c r="BXJ2" s="1222"/>
      <c r="BXK2" s="1222"/>
      <c r="BXL2" s="1222"/>
      <c r="BXM2" s="1222"/>
      <c r="BXN2" s="1222"/>
      <c r="BXO2" s="1222"/>
      <c r="BXP2" s="1222"/>
      <c r="BXQ2" s="1222"/>
      <c r="BXR2" s="1222"/>
      <c r="BXS2" s="1222"/>
      <c r="BXT2" s="1222"/>
      <c r="BXU2" s="1222"/>
      <c r="BXV2" s="1222"/>
      <c r="BXW2" s="1222"/>
      <c r="BXX2" s="1222"/>
      <c r="BXY2" s="1222"/>
      <c r="BXZ2" s="1222"/>
      <c r="BYA2" s="1222"/>
      <c r="BYB2" s="1222"/>
      <c r="BYC2" s="1222"/>
      <c r="BYD2" s="1222"/>
      <c r="BYE2" s="1222"/>
      <c r="BYF2" s="1222"/>
      <c r="BYG2" s="1222"/>
      <c r="BYH2" s="1222"/>
      <c r="BYI2" s="1222"/>
      <c r="BYJ2" s="1222"/>
      <c r="BYK2" s="1222"/>
      <c r="BYL2" s="1222"/>
      <c r="BYM2" s="1222"/>
      <c r="BYN2" s="1222"/>
      <c r="BYO2" s="1222"/>
      <c r="BYP2" s="1222"/>
      <c r="BYQ2" s="1222"/>
      <c r="BYR2" s="1222"/>
      <c r="BYS2" s="1222"/>
      <c r="BYT2" s="1222"/>
      <c r="BYU2" s="1222"/>
      <c r="BYV2" s="1222"/>
      <c r="BYW2" s="1222"/>
      <c r="BYX2" s="1222"/>
      <c r="BYY2" s="1222"/>
      <c r="BYZ2" s="1222"/>
      <c r="BZA2" s="1222"/>
      <c r="BZB2" s="1222"/>
      <c r="BZC2" s="1222"/>
      <c r="BZD2" s="1222"/>
      <c r="BZE2" s="1222"/>
      <c r="BZF2" s="1222"/>
      <c r="BZG2" s="1222"/>
      <c r="BZH2" s="1222"/>
      <c r="BZI2" s="1222"/>
      <c r="BZJ2" s="1222"/>
      <c r="BZK2" s="1222"/>
      <c r="BZL2" s="1222"/>
      <c r="BZM2" s="1222"/>
      <c r="BZN2" s="1222"/>
      <c r="BZO2" s="1222"/>
      <c r="BZP2" s="1222"/>
      <c r="BZQ2" s="1222"/>
      <c r="BZR2" s="1222"/>
      <c r="BZS2" s="1222"/>
      <c r="BZT2" s="1222"/>
      <c r="BZU2" s="1222"/>
      <c r="BZV2" s="1222"/>
      <c r="BZW2" s="1222"/>
      <c r="BZX2" s="1222"/>
      <c r="BZY2" s="1222"/>
      <c r="BZZ2" s="1222"/>
      <c r="CAA2" s="1222"/>
      <c r="CAB2" s="1222"/>
      <c r="CAC2" s="1222"/>
      <c r="CAD2" s="1222"/>
      <c r="CAE2" s="1222"/>
      <c r="CAF2" s="1222"/>
      <c r="CAG2" s="1222"/>
      <c r="CAH2" s="1222"/>
      <c r="CAI2" s="1222"/>
      <c r="CAJ2" s="1222"/>
      <c r="CAK2" s="1222"/>
      <c r="CAL2" s="1222"/>
      <c r="CAM2" s="1222"/>
      <c r="CAN2" s="1222"/>
      <c r="CAO2" s="1222"/>
      <c r="CAP2" s="1222"/>
      <c r="CAQ2" s="1222"/>
      <c r="CAR2" s="1222"/>
      <c r="CAS2" s="1222"/>
      <c r="CAT2" s="1222"/>
      <c r="CAU2" s="1222"/>
      <c r="CAV2" s="1222"/>
      <c r="CAW2" s="1222"/>
      <c r="CAX2" s="1222"/>
      <c r="CAY2" s="1222"/>
      <c r="CAZ2" s="1222"/>
      <c r="CBA2" s="1222"/>
      <c r="CBB2" s="1222"/>
      <c r="CBC2" s="1222"/>
      <c r="CBD2" s="1222"/>
      <c r="CBE2" s="1222"/>
      <c r="CBF2" s="1222"/>
      <c r="CBG2" s="1222"/>
      <c r="CBH2" s="1222"/>
      <c r="CBI2" s="1222"/>
      <c r="CBJ2" s="1222"/>
      <c r="CBK2" s="1222"/>
      <c r="CBL2" s="1222"/>
      <c r="CBM2" s="1222"/>
      <c r="CBN2" s="1222"/>
      <c r="CBO2" s="1222"/>
      <c r="CBP2" s="1222"/>
      <c r="CBQ2" s="1222"/>
      <c r="CBR2" s="1222"/>
      <c r="CBS2" s="1222"/>
      <c r="CBT2" s="1222"/>
      <c r="CBU2" s="1222"/>
      <c r="CBV2" s="1222"/>
      <c r="CBW2" s="1222"/>
      <c r="CBX2" s="1222"/>
      <c r="CBY2" s="1222"/>
      <c r="CBZ2" s="1222"/>
      <c r="CCA2" s="1222"/>
      <c r="CCB2" s="1222"/>
      <c r="CCC2" s="1222"/>
      <c r="CCD2" s="1222"/>
      <c r="CCE2" s="1222"/>
      <c r="CCF2" s="1222"/>
      <c r="CCG2" s="1222"/>
      <c r="CCH2" s="1222"/>
      <c r="CCI2" s="1222"/>
      <c r="CCJ2" s="1222"/>
      <c r="CCK2" s="1222"/>
      <c r="CCL2" s="1222"/>
      <c r="CCM2" s="1222"/>
      <c r="CCN2" s="1222"/>
      <c r="CCO2" s="1222"/>
      <c r="CCP2" s="1222"/>
      <c r="CCQ2" s="1222"/>
      <c r="CCR2" s="1222"/>
      <c r="CCS2" s="1222"/>
      <c r="CCT2" s="1222"/>
      <c r="CCU2" s="1222"/>
      <c r="CCV2" s="1222"/>
      <c r="CCW2" s="1222"/>
      <c r="CCX2" s="1222"/>
      <c r="CCY2" s="1222"/>
      <c r="CCZ2" s="1222"/>
      <c r="CDA2" s="1222"/>
      <c r="CDB2" s="1222"/>
      <c r="CDC2" s="1222"/>
      <c r="CDD2" s="1222"/>
      <c r="CDE2" s="1222"/>
      <c r="CDF2" s="1222"/>
      <c r="CDG2" s="1222"/>
      <c r="CDH2" s="1222"/>
      <c r="CDI2" s="1222"/>
      <c r="CDJ2" s="1222"/>
      <c r="CDK2" s="1222"/>
      <c r="CDL2" s="1222"/>
      <c r="CDM2" s="1222"/>
      <c r="CDN2" s="1222"/>
      <c r="CDO2" s="1222"/>
      <c r="CDP2" s="1222"/>
      <c r="CDQ2" s="1222"/>
      <c r="CDR2" s="1222"/>
      <c r="CDS2" s="1222"/>
      <c r="CDT2" s="1222"/>
      <c r="CDU2" s="1222"/>
      <c r="CDV2" s="1222"/>
      <c r="CDW2" s="1222"/>
      <c r="CDX2" s="1222"/>
      <c r="CDY2" s="1222"/>
      <c r="CDZ2" s="1222"/>
      <c r="CEA2" s="1222"/>
      <c r="CEB2" s="1222"/>
      <c r="CEC2" s="1222"/>
      <c r="CED2" s="1222"/>
      <c r="CEE2" s="1222"/>
      <c r="CEF2" s="1222"/>
      <c r="CEG2" s="1222"/>
      <c r="CEH2" s="1222"/>
      <c r="CEI2" s="1222"/>
      <c r="CEJ2" s="1222"/>
      <c r="CEK2" s="1222"/>
      <c r="CEL2" s="1222"/>
      <c r="CEM2" s="1222"/>
      <c r="CEN2" s="1222"/>
      <c r="CEO2" s="1222"/>
      <c r="CEP2" s="1222"/>
      <c r="CEQ2" s="1222"/>
      <c r="CER2" s="1222"/>
      <c r="CES2" s="1222"/>
      <c r="CET2" s="1222"/>
      <c r="CEU2" s="1222"/>
      <c r="CEV2" s="1222"/>
      <c r="CEW2" s="1222"/>
      <c r="CEX2" s="1222"/>
      <c r="CEY2" s="1222"/>
      <c r="CEZ2" s="1222"/>
      <c r="CFA2" s="1222"/>
      <c r="CFB2" s="1222"/>
      <c r="CFC2" s="1222"/>
      <c r="CFD2" s="1222"/>
      <c r="CFE2" s="1222"/>
      <c r="CFF2" s="1222"/>
      <c r="CFG2" s="1222"/>
      <c r="CFH2" s="1222"/>
      <c r="CFI2" s="1222"/>
      <c r="CFJ2" s="1222"/>
      <c r="CFK2" s="1222"/>
      <c r="CFL2" s="1222"/>
      <c r="CFM2" s="1222"/>
      <c r="CFN2" s="1222"/>
      <c r="CFO2" s="1222"/>
      <c r="CFP2" s="1222"/>
      <c r="CFQ2" s="1222"/>
      <c r="CFR2" s="1222"/>
      <c r="CFS2" s="1222"/>
      <c r="CFT2" s="1222"/>
      <c r="CFU2" s="1222"/>
      <c r="CFV2" s="1222"/>
      <c r="CFW2" s="1222"/>
      <c r="CFX2" s="1222"/>
      <c r="CFY2" s="1222"/>
      <c r="CFZ2" s="1222"/>
      <c r="CGA2" s="1222"/>
      <c r="CGB2" s="1222"/>
      <c r="CGC2" s="1222"/>
      <c r="CGD2" s="1222"/>
      <c r="CGE2" s="1222"/>
      <c r="CGF2" s="1222"/>
      <c r="CGG2" s="1222"/>
      <c r="CGH2" s="1222"/>
      <c r="CGI2" s="1222"/>
      <c r="CGJ2" s="1222"/>
      <c r="CGK2" s="1222"/>
      <c r="CGL2" s="1222"/>
      <c r="CGM2" s="1222"/>
      <c r="CGN2" s="1222"/>
      <c r="CGO2" s="1222"/>
      <c r="CGP2" s="1222"/>
      <c r="CGQ2" s="1222"/>
      <c r="CGR2" s="1222"/>
      <c r="CGS2" s="1222"/>
      <c r="CGT2" s="1222"/>
      <c r="CGU2" s="1222"/>
      <c r="CGV2" s="1222"/>
      <c r="CGW2" s="1222"/>
      <c r="CGX2" s="1222"/>
      <c r="CGY2" s="1222"/>
      <c r="CGZ2" s="1222"/>
      <c r="CHA2" s="1222"/>
      <c r="CHB2" s="1222"/>
      <c r="CHC2" s="1222"/>
      <c r="CHD2" s="1222"/>
      <c r="CHE2" s="1222"/>
      <c r="CHF2" s="1222"/>
      <c r="CHG2" s="1222"/>
      <c r="CHH2" s="1222"/>
      <c r="CHI2" s="1222"/>
      <c r="CHJ2" s="1222"/>
      <c r="CHK2" s="1222"/>
      <c r="CHL2" s="1222"/>
      <c r="CHM2" s="1222"/>
      <c r="CHN2" s="1222"/>
      <c r="CHO2" s="1222"/>
      <c r="CHP2" s="1222"/>
      <c r="CHQ2" s="1222"/>
      <c r="CHR2" s="1222"/>
      <c r="CHS2" s="1222"/>
      <c r="CHT2" s="1222"/>
      <c r="CHU2" s="1222"/>
      <c r="CHV2" s="1222"/>
      <c r="CHW2" s="1222"/>
      <c r="CHX2" s="1222"/>
      <c r="CHY2" s="1222"/>
      <c r="CHZ2" s="1222"/>
      <c r="CIA2" s="1222"/>
      <c r="CIB2" s="1222"/>
      <c r="CIC2" s="1222"/>
      <c r="CID2" s="1222"/>
      <c r="CIE2" s="1222"/>
      <c r="CIF2" s="1222"/>
      <c r="CIG2" s="1222"/>
      <c r="CIH2" s="1222"/>
      <c r="CII2" s="1222"/>
      <c r="CIJ2" s="1222"/>
      <c r="CIK2" s="1222"/>
      <c r="CIL2" s="1222"/>
      <c r="CIM2" s="1222"/>
      <c r="CIN2" s="1222"/>
      <c r="CIO2" s="1222"/>
      <c r="CIP2" s="1222"/>
      <c r="CIQ2" s="1222"/>
      <c r="CIR2" s="1222"/>
      <c r="CIS2" s="1222"/>
      <c r="CIT2" s="1222"/>
      <c r="CIU2" s="1222"/>
      <c r="CIV2" s="1222"/>
      <c r="CIW2" s="1222"/>
      <c r="CIX2" s="1222"/>
      <c r="CIY2" s="1222"/>
      <c r="CIZ2" s="1222"/>
      <c r="CJA2" s="1222"/>
      <c r="CJB2" s="1222"/>
      <c r="CJC2" s="1222"/>
      <c r="CJD2" s="1222"/>
      <c r="CJE2" s="1222"/>
      <c r="CJF2" s="1222"/>
      <c r="CJG2" s="1222"/>
      <c r="CJH2" s="1222"/>
      <c r="CJI2" s="1222"/>
      <c r="CJJ2" s="1222"/>
      <c r="CJK2" s="1222"/>
      <c r="CJL2" s="1222"/>
      <c r="CJM2" s="1222"/>
      <c r="CJN2" s="1222"/>
      <c r="CJO2" s="1222"/>
      <c r="CJP2" s="1222"/>
      <c r="CJQ2" s="1222"/>
      <c r="CJR2" s="1222"/>
      <c r="CJS2" s="1222"/>
      <c r="CJT2" s="1222"/>
      <c r="CJU2" s="1222"/>
      <c r="CJV2" s="1222"/>
      <c r="CJW2" s="1222"/>
      <c r="CJX2" s="1222"/>
      <c r="CJY2" s="1222"/>
      <c r="CJZ2" s="1222"/>
      <c r="CKA2" s="1222"/>
      <c r="CKB2" s="1222"/>
      <c r="CKC2" s="1222"/>
      <c r="CKD2" s="1222"/>
      <c r="CKE2" s="1222"/>
      <c r="CKF2" s="1222"/>
      <c r="CKG2" s="1222"/>
      <c r="CKH2" s="1222"/>
      <c r="CKI2" s="1222"/>
      <c r="CKJ2" s="1222"/>
      <c r="CKK2" s="1222"/>
      <c r="CKL2" s="1222"/>
      <c r="CKM2" s="1222"/>
      <c r="CKN2" s="1222"/>
      <c r="CKO2" s="1222"/>
      <c r="CKP2" s="1222"/>
      <c r="CKQ2" s="1222"/>
      <c r="CKR2" s="1222"/>
      <c r="CKS2" s="1222"/>
      <c r="CKT2" s="1222"/>
      <c r="CKU2" s="1222"/>
      <c r="CKV2" s="1222"/>
      <c r="CKW2" s="1222"/>
      <c r="CKX2" s="1222"/>
      <c r="CKY2" s="1222"/>
      <c r="CKZ2" s="1222"/>
      <c r="CLA2" s="1222"/>
      <c r="CLB2" s="1222"/>
      <c r="CLC2" s="1222"/>
      <c r="CLD2" s="1222"/>
      <c r="CLE2" s="1222"/>
      <c r="CLF2" s="1222"/>
      <c r="CLG2" s="1222"/>
      <c r="CLH2" s="1222"/>
      <c r="CLI2" s="1222"/>
      <c r="CLJ2" s="1222"/>
      <c r="CLK2" s="1222"/>
      <c r="CLL2" s="1222"/>
      <c r="CLM2" s="1222"/>
      <c r="CLN2" s="1222"/>
      <c r="CLO2" s="1222"/>
      <c r="CLP2" s="1222"/>
      <c r="CLQ2" s="1222"/>
      <c r="CLR2" s="1222"/>
      <c r="CLS2" s="1222"/>
      <c r="CLT2" s="1222"/>
      <c r="CLU2" s="1222"/>
      <c r="CLV2" s="1222"/>
      <c r="CLW2" s="1222"/>
      <c r="CLX2" s="1222"/>
      <c r="CLY2" s="1222"/>
      <c r="CLZ2" s="1222"/>
      <c r="CMA2" s="1222"/>
      <c r="CMB2" s="1222"/>
      <c r="CMC2" s="1222"/>
      <c r="CMD2" s="1222"/>
      <c r="CME2" s="1222"/>
      <c r="CMF2" s="1222"/>
      <c r="CMG2" s="1222"/>
      <c r="CMH2" s="1222"/>
      <c r="CMI2" s="1222"/>
      <c r="CMJ2" s="1222"/>
      <c r="CMK2" s="1222"/>
      <c r="CML2" s="1222"/>
      <c r="CMM2" s="1222"/>
      <c r="CMN2" s="1222"/>
      <c r="CMO2" s="1222"/>
      <c r="CMP2" s="1222"/>
      <c r="CMQ2" s="1222"/>
      <c r="CMR2" s="1222"/>
      <c r="CMS2" s="1222"/>
      <c r="CMT2" s="1222"/>
      <c r="CMU2" s="1222"/>
      <c r="CMV2" s="1222"/>
      <c r="CMW2" s="1222"/>
      <c r="CMX2" s="1222"/>
      <c r="CMY2" s="1222"/>
      <c r="CMZ2" s="1222"/>
      <c r="CNA2" s="1222"/>
      <c r="CNB2" s="1222"/>
      <c r="CNC2" s="1222"/>
      <c r="CND2" s="1222"/>
      <c r="CNE2" s="1222"/>
      <c r="CNF2" s="1222"/>
      <c r="CNG2" s="1222"/>
      <c r="CNH2" s="1222"/>
      <c r="CNI2" s="1222"/>
      <c r="CNJ2" s="1222"/>
      <c r="CNK2" s="1222"/>
      <c r="CNL2" s="1222"/>
      <c r="CNM2" s="1222"/>
      <c r="CNN2" s="1222"/>
      <c r="CNO2" s="1222"/>
      <c r="CNP2" s="1222"/>
      <c r="CNQ2" s="1222"/>
      <c r="CNR2" s="1222"/>
      <c r="CNS2" s="1222"/>
      <c r="CNT2" s="1222"/>
      <c r="CNU2" s="1222"/>
      <c r="CNV2" s="1222"/>
      <c r="CNW2" s="1222"/>
      <c r="CNX2" s="1222"/>
      <c r="CNY2" s="1222"/>
      <c r="CNZ2" s="1222"/>
      <c r="COA2" s="1222"/>
      <c r="COB2" s="1222"/>
      <c r="COC2" s="1222"/>
      <c r="COD2" s="1222"/>
      <c r="COE2" s="1222"/>
      <c r="COF2" s="1222"/>
      <c r="COG2" s="1222"/>
      <c r="COH2" s="1222"/>
      <c r="COI2" s="1222"/>
      <c r="COJ2" s="1222"/>
      <c r="COK2" s="1222"/>
      <c r="COL2" s="1222"/>
      <c r="COM2" s="1222"/>
      <c r="CON2" s="1222"/>
      <c r="COO2" s="1222"/>
      <c r="COP2" s="1222"/>
      <c r="COQ2" s="1222"/>
      <c r="COR2" s="1222"/>
      <c r="COS2" s="1222"/>
      <c r="COT2" s="1222"/>
      <c r="COU2" s="1222"/>
      <c r="COV2" s="1222"/>
      <c r="COW2" s="1222"/>
      <c r="COX2" s="1222"/>
      <c r="COY2" s="1222"/>
      <c r="COZ2" s="1222"/>
      <c r="CPA2" s="1222"/>
      <c r="CPB2" s="1222"/>
      <c r="CPC2" s="1222"/>
      <c r="CPD2" s="1222"/>
      <c r="CPE2" s="1222"/>
      <c r="CPF2" s="1222"/>
      <c r="CPG2" s="1222"/>
      <c r="CPH2" s="1222"/>
      <c r="CPI2" s="1222"/>
      <c r="CPJ2" s="1222"/>
      <c r="CPK2" s="1222"/>
      <c r="CPL2" s="1222"/>
      <c r="CPM2" s="1222"/>
      <c r="CPN2" s="1222"/>
      <c r="CPO2" s="1222"/>
      <c r="CPP2" s="1222"/>
      <c r="CPQ2" s="1222"/>
      <c r="CPR2" s="1222"/>
      <c r="CPS2" s="1222"/>
      <c r="CPT2" s="1222"/>
      <c r="CPU2" s="1222"/>
      <c r="CPV2" s="1222"/>
      <c r="CPW2" s="1222"/>
      <c r="CPX2" s="1222"/>
      <c r="CPY2" s="1222"/>
      <c r="CPZ2" s="1222"/>
      <c r="CQA2" s="1222"/>
      <c r="CQB2" s="1222"/>
      <c r="CQC2" s="1222"/>
      <c r="CQD2" s="1222"/>
      <c r="CQE2" s="1222"/>
      <c r="CQF2" s="1222"/>
      <c r="CQG2" s="1222"/>
      <c r="CQH2" s="1222"/>
      <c r="CQI2" s="1222"/>
      <c r="CQJ2" s="1222"/>
      <c r="CQK2" s="1222"/>
      <c r="CQL2" s="1222"/>
      <c r="CQM2" s="1222"/>
      <c r="CQN2" s="1222"/>
      <c r="CQO2" s="1222"/>
      <c r="CQP2" s="1222"/>
      <c r="CQQ2" s="1222"/>
      <c r="CQR2" s="1222"/>
      <c r="CQS2" s="1222"/>
      <c r="CQT2" s="1222"/>
      <c r="CQU2" s="1222"/>
      <c r="CQV2" s="1222"/>
      <c r="CQW2" s="1222"/>
      <c r="CQX2" s="1222"/>
      <c r="CQY2" s="1222"/>
      <c r="CQZ2" s="1222"/>
      <c r="CRA2" s="1222"/>
      <c r="CRB2" s="1222"/>
      <c r="CRC2" s="1222"/>
      <c r="CRD2" s="1222"/>
      <c r="CRE2" s="1222"/>
      <c r="CRF2" s="1222"/>
      <c r="CRG2" s="1222"/>
      <c r="CRH2" s="1222"/>
      <c r="CRI2" s="1222"/>
      <c r="CRJ2" s="1222"/>
      <c r="CRK2" s="1222"/>
      <c r="CRL2" s="1222"/>
      <c r="CRM2" s="1222"/>
      <c r="CRN2" s="1222"/>
      <c r="CRO2" s="1222"/>
      <c r="CRP2" s="1222"/>
      <c r="CRQ2" s="1222"/>
      <c r="CRR2" s="1222"/>
      <c r="CRS2" s="1222"/>
      <c r="CRT2" s="1222"/>
      <c r="CRU2" s="1222"/>
      <c r="CRV2" s="1222"/>
      <c r="CRW2" s="1222"/>
      <c r="CRX2" s="1222"/>
      <c r="CRY2" s="1222"/>
      <c r="CRZ2" s="1222"/>
      <c r="CSA2" s="1222"/>
      <c r="CSB2" s="1222"/>
      <c r="CSC2" s="1222"/>
      <c r="CSD2" s="1222"/>
      <c r="CSE2" s="1222"/>
      <c r="CSF2" s="1222"/>
      <c r="CSG2" s="1222"/>
      <c r="CSH2" s="1222"/>
      <c r="CSI2" s="1222"/>
      <c r="CSJ2" s="1222"/>
      <c r="CSK2" s="1222"/>
      <c r="CSL2" s="1222"/>
      <c r="CSM2" s="1222"/>
      <c r="CSN2" s="1222"/>
      <c r="CSO2" s="1222"/>
      <c r="CSP2" s="1222"/>
      <c r="CSQ2" s="1222"/>
      <c r="CSR2" s="1222"/>
      <c r="CSS2" s="1222"/>
      <c r="CST2" s="1222"/>
      <c r="CSU2" s="1222"/>
      <c r="CSV2" s="1222"/>
      <c r="CSW2" s="1222"/>
      <c r="CSX2" s="1222"/>
      <c r="CSY2" s="1222"/>
      <c r="CSZ2" s="1222"/>
      <c r="CTA2" s="1222"/>
      <c r="CTB2" s="1222"/>
      <c r="CTC2" s="1222"/>
      <c r="CTD2" s="1222"/>
      <c r="CTE2" s="1222"/>
      <c r="CTF2" s="1222"/>
      <c r="CTG2" s="1222"/>
      <c r="CTH2" s="1222"/>
      <c r="CTI2" s="1222"/>
      <c r="CTJ2" s="1222"/>
      <c r="CTK2" s="1222"/>
      <c r="CTL2" s="1222"/>
      <c r="CTM2" s="1222"/>
      <c r="CTN2" s="1222"/>
      <c r="CTO2" s="1222"/>
      <c r="CTP2" s="1222"/>
      <c r="CTQ2" s="1222"/>
      <c r="CTR2" s="1222"/>
      <c r="CTS2" s="1222"/>
      <c r="CTT2" s="1222"/>
      <c r="CTU2" s="1222"/>
      <c r="CTV2" s="1222"/>
      <c r="CTW2" s="1222"/>
      <c r="CTX2" s="1222"/>
      <c r="CTY2" s="1222"/>
      <c r="CTZ2" s="1222"/>
      <c r="CUA2" s="1222"/>
      <c r="CUB2" s="1222"/>
      <c r="CUC2" s="1222"/>
      <c r="CUD2" s="1222"/>
      <c r="CUE2" s="1222"/>
      <c r="CUF2" s="1222"/>
      <c r="CUG2" s="1222"/>
      <c r="CUH2" s="1222"/>
      <c r="CUI2" s="1222"/>
      <c r="CUJ2" s="1222"/>
      <c r="CUK2" s="1222"/>
      <c r="CUL2" s="1222"/>
      <c r="CUM2" s="1222"/>
      <c r="CUN2" s="1222"/>
      <c r="CUO2" s="1222"/>
      <c r="CUP2" s="1222"/>
      <c r="CUQ2" s="1222"/>
      <c r="CUR2" s="1222"/>
      <c r="CUS2" s="1222"/>
      <c r="CUT2" s="1222"/>
      <c r="CUU2" s="1222"/>
      <c r="CUV2" s="1222"/>
      <c r="CUW2" s="1222"/>
      <c r="CUX2" s="1222"/>
      <c r="CUY2" s="1222"/>
      <c r="CUZ2" s="1222"/>
      <c r="CVA2" s="1222"/>
      <c r="CVB2" s="1222"/>
      <c r="CVC2" s="1222"/>
      <c r="CVD2" s="1222"/>
      <c r="CVE2" s="1222"/>
      <c r="CVF2" s="1222"/>
      <c r="CVG2" s="1222"/>
      <c r="CVH2" s="1222"/>
      <c r="CVI2" s="1222"/>
      <c r="CVJ2" s="1222"/>
      <c r="CVK2" s="1222"/>
      <c r="CVL2" s="1222"/>
      <c r="CVM2" s="1222"/>
      <c r="CVN2" s="1222"/>
      <c r="CVO2" s="1222"/>
      <c r="CVP2" s="1222"/>
      <c r="CVQ2" s="1222"/>
      <c r="CVR2" s="1222"/>
      <c r="CVS2" s="1222"/>
      <c r="CVT2" s="1222"/>
      <c r="CVU2" s="1222"/>
      <c r="CVV2" s="1222"/>
      <c r="CVW2" s="1222"/>
      <c r="CVX2" s="1222"/>
      <c r="CVY2" s="1222"/>
      <c r="CVZ2" s="1222"/>
      <c r="CWA2" s="1222"/>
      <c r="CWB2" s="1222"/>
      <c r="CWC2" s="1222"/>
      <c r="CWD2" s="1222"/>
      <c r="CWE2" s="1222"/>
      <c r="CWF2" s="1222"/>
      <c r="CWG2" s="1222"/>
      <c r="CWH2" s="1222"/>
      <c r="CWI2" s="1222"/>
      <c r="CWJ2" s="1222"/>
      <c r="CWK2" s="1222"/>
      <c r="CWL2" s="1222"/>
      <c r="CWM2" s="1222"/>
      <c r="CWN2" s="1222"/>
      <c r="CWO2" s="1222"/>
      <c r="CWP2" s="1222"/>
      <c r="CWQ2" s="1222"/>
      <c r="CWR2" s="1222"/>
      <c r="CWS2" s="1222"/>
      <c r="CWT2" s="1222"/>
      <c r="CWU2" s="1222"/>
      <c r="CWV2" s="1222"/>
      <c r="CWW2" s="1222"/>
      <c r="CWX2" s="1222"/>
      <c r="CWY2" s="1222"/>
      <c r="CWZ2" s="1222"/>
      <c r="CXA2" s="1222"/>
      <c r="CXB2" s="1222"/>
      <c r="CXC2" s="1222"/>
      <c r="CXD2" s="1222"/>
      <c r="CXE2" s="1222"/>
      <c r="CXF2" s="1222"/>
      <c r="CXG2" s="1222"/>
      <c r="CXH2" s="1222"/>
      <c r="CXI2" s="1222"/>
      <c r="CXJ2" s="1222"/>
      <c r="CXK2" s="1222"/>
      <c r="CXL2" s="1222"/>
      <c r="CXM2" s="1222"/>
      <c r="CXN2" s="1222"/>
      <c r="CXO2" s="1222"/>
      <c r="CXP2" s="1222"/>
      <c r="CXQ2" s="1222"/>
      <c r="CXR2" s="1222"/>
      <c r="CXS2" s="1222"/>
      <c r="CXT2" s="1222"/>
      <c r="CXU2" s="1222"/>
      <c r="CXV2" s="1222"/>
      <c r="CXW2" s="1222"/>
      <c r="CXX2" s="1222"/>
      <c r="CXY2" s="1222"/>
      <c r="CXZ2" s="1222"/>
      <c r="CYA2" s="1222"/>
      <c r="CYB2" s="1222"/>
      <c r="CYC2" s="1222"/>
      <c r="CYD2" s="1222"/>
      <c r="CYE2" s="1222"/>
      <c r="CYF2" s="1222"/>
      <c r="CYG2" s="1222"/>
      <c r="CYH2" s="1222"/>
      <c r="CYI2" s="1222"/>
      <c r="CYJ2" s="1222"/>
      <c r="CYK2" s="1222"/>
      <c r="CYL2" s="1222"/>
      <c r="CYM2" s="1222"/>
      <c r="CYN2" s="1222"/>
      <c r="CYO2" s="1222"/>
      <c r="CYP2" s="1222"/>
      <c r="CYQ2" s="1222"/>
      <c r="CYR2" s="1222"/>
      <c r="CYS2" s="1222"/>
      <c r="CYT2" s="1222"/>
      <c r="CYU2" s="1222"/>
      <c r="CYV2" s="1222"/>
      <c r="CYW2" s="1222"/>
      <c r="CYX2" s="1222"/>
      <c r="CYY2" s="1222"/>
      <c r="CYZ2" s="1222"/>
      <c r="CZA2" s="1222"/>
      <c r="CZB2" s="1222"/>
      <c r="CZC2" s="1222"/>
      <c r="CZD2" s="1222"/>
      <c r="CZE2" s="1222"/>
      <c r="CZF2" s="1222"/>
      <c r="CZG2" s="1222"/>
      <c r="CZH2" s="1222"/>
      <c r="CZI2" s="1222"/>
      <c r="CZJ2" s="1222"/>
      <c r="CZK2" s="1222"/>
      <c r="CZL2" s="1222"/>
      <c r="CZM2" s="1222"/>
      <c r="CZN2" s="1222"/>
      <c r="CZO2" s="1222"/>
      <c r="CZP2" s="1222"/>
      <c r="CZQ2" s="1222"/>
      <c r="CZR2" s="1222"/>
      <c r="CZS2" s="1222"/>
      <c r="CZT2" s="1222"/>
      <c r="CZU2" s="1222"/>
      <c r="CZV2" s="1222"/>
      <c r="CZW2" s="1222"/>
      <c r="CZX2" s="1222"/>
      <c r="CZY2" s="1222"/>
      <c r="CZZ2" s="1222"/>
      <c r="DAA2" s="1222"/>
      <c r="DAB2" s="1222"/>
      <c r="DAC2" s="1222"/>
      <c r="DAD2" s="1222"/>
      <c r="DAE2" s="1222"/>
      <c r="DAF2" s="1222"/>
      <c r="DAG2" s="1222"/>
      <c r="DAH2" s="1222"/>
      <c r="DAI2" s="1222"/>
      <c r="DAJ2" s="1222"/>
      <c r="DAK2" s="1222"/>
      <c r="DAL2" s="1222"/>
      <c r="DAM2" s="1222"/>
      <c r="DAN2" s="1222"/>
      <c r="DAO2" s="1222"/>
      <c r="DAP2" s="1222"/>
      <c r="DAQ2" s="1222"/>
      <c r="DAR2" s="1222"/>
      <c r="DAS2" s="1222"/>
      <c r="DAT2" s="1222"/>
      <c r="DAU2" s="1222"/>
      <c r="DAV2" s="1222"/>
      <c r="DAW2" s="1222"/>
      <c r="DAX2" s="1222"/>
      <c r="DAY2" s="1222"/>
      <c r="DAZ2" s="1222"/>
      <c r="DBA2" s="1222"/>
      <c r="DBB2" s="1222"/>
      <c r="DBC2" s="1222"/>
      <c r="DBD2" s="1222"/>
      <c r="DBE2" s="1222"/>
      <c r="DBF2" s="1222"/>
      <c r="DBG2" s="1222"/>
      <c r="DBH2" s="1222"/>
      <c r="DBI2" s="1222"/>
      <c r="DBJ2" s="1222"/>
      <c r="DBK2" s="1222"/>
      <c r="DBL2" s="1222"/>
      <c r="DBM2" s="1222"/>
      <c r="DBN2" s="1222"/>
      <c r="DBO2" s="1222"/>
      <c r="DBP2" s="1222"/>
      <c r="DBQ2" s="1222"/>
      <c r="DBR2" s="1222"/>
      <c r="DBS2" s="1222"/>
      <c r="DBT2" s="1222"/>
      <c r="DBU2" s="1222"/>
      <c r="DBV2" s="1222"/>
      <c r="DBW2" s="1222"/>
      <c r="DBX2" s="1222"/>
      <c r="DBY2" s="1222"/>
      <c r="DBZ2" s="1222"/>
      <c r="DCA2" s="1222"/>
      <c r="DCB2" s="1222"/>
      <c r="DCC2" s="1222"/>
      <c r="DCD2" s="1222"/>
      <c r="DCE2" s="1222"/>
      <c r="DCF2" s="1222"/>
      <c r="DCG2" s="1222"/>
      <c r="DCH2" s="1222"/>
      <c r="DCI2" s="1222"/>
      <c r="DCJ2" s="1222"/>
      <c r="DCK2" s="1222"/>
      <c r="DCL2" s="1222"/>
      <c r="DCM2" s="1222"/>
      <c r="DCN2" s="1222"/>
      <c r="DCO2" s="1222"/>
      <c r="DCP2" s="1222"/>
      <c r="DCQ2" s="1222"/>
      <c r="DCR2" s="1222"/>
      <c r="DCS2" s="1222"/>
      <c r="DCT2" s="1222"/>
      <c r="DCU2" s="1222"/>
      <c r="DCV2" s="1222"/>
      <c r="DCW2" s="1222"/>
      <c r="DCX2" s="1222"/>
      <c r="DCY2" s="1222"/>
      <c r="DCZ2" s="1222"/>
      <c r="DDA2" s="1222"/>
      <c r="DDB2" s="1222"/>
      <c r="DDC2" s="1222"/>
      <c r="DDD2" s="1222"/>
      <c r="DDE2" s="1222"/>
      <c r="DDF2" s="1222"/>
      <c r="DDG2" s="1222"/>
      <c r="DDH2" s="1222"/>
      <c r="DDI2" s="1222"/>
      <c r="DDJ2" s="1222"/>
      <c r="DDK2" s="1222"/>
      <c r="DDL2" s="1222"/>
      <c r="DDM2" s="1222"/>
      <c r="DDN2" s="1222"/>
      <c r="DDO2" s="1222"/>
      <c r="DDP2" s="1222"/>
      <c r="DDQ2" s="1222"/>
      <c r="DDR2" s="1222"/>
      <c r="DDS2" s="1222"/>
      <c r="DDT2" s="1222"/>
      <c r="DDU2" s="1222"/>
      <c r="DDV2" s="1222"/>
      <c r="DDW2" s="1222"/>
      <c r="DDX2" s="1222"/>
      <c r="DDY2" s="1222"/>
      <c r="DDZ2" s="1222"/>
      <c r="DEA2" s="1222"/>
      <c r="DEB2" s="1222"/>
      <c r="DEC2" s="1222"/>
      <c r="DED2" s="1222"/>
      <c r="DEE2" s="1222"/>
      <c r="DEF2" s="1222"/>
      <c r="DEG2" s="1222"/>
      <c r="DEH2" s="1222"/>
      <c r="DEI2" s="1222"/>
      <c r="DEJ2" s="1222"/>
      <c r="DEK2" s="1222"/>
      <c r="DEL2" s="1222"/>
      <c r="DEM2" s="1222"/>
      <c r="DEN2" s="1222"/>
      <c r="DEO2" s="1222"/>
      <c r="DEP2" s="1222"/>
      <c r="DEQ2" s="1222"/>
      <c r="DER2" s="1222"/>
      <c r="DES2" s="1222"/>
      <c r="DET2" s="1222"/>
      <c r="DEU2" s="1222"/>
      <c r="DEV2" s="1222"/>
      <c r="DEW2" s="1222"/>
      <c r="DEX2" s="1222"/>
      <c r="DEY2" s="1222"/>
      <c r="DEZ2" s="1222"/>
      <c r="DFA2" s="1222"/>
      <c r="DFB2" s="1222"/>
      <c r="DFC2" s="1222"/>
      <c r="DFD2" s="1222"/>
      <c r="DFE2" s="1222"/>
      <c r="DFF2" s="1222"/>
      <c r="DFG2" s="1222"/>
      <c r="DFH2" s="1222"/>
      <c r="DFI2" s="1222"/>
      <c r="DFJ2" s="1222"/>
      <c r="DFK2" s="1222"/>
      <c r="DFL2" s="1222"/>
      <c r="DFM2" s="1222"/>
      <c r="DFN2" s="1222"/>
      <c r="DFO2" s="1222"/>
      <c r="DFP2" s="1222"/>
      <c r="DFQ2" s="1222"/>
      <c r="DFR2" s="1222"/>
      <c r="DFS2" s="1222"/>
      <c r="DFT2" s="1222"/>
      <c r="DFU2" s="1222"/>
      <c r="DFV2" s="1222"/>
      <c r="DFW2" s="1222"/>
      <c r="DFX2" s="1222"/>
      <c r="DFY2" s="1222"/>
      <c r="DFZ2" s="1222"/>
      <c r="DGA2" s="1222"/>
      <c r="DGB2" s="1222"/>
      <c r="DGC2" s="1222"/>
      <c r="DGD2" s="1222"/>
      <c r="DGE2" s="1222"/>
      <c r="DGF2" s="1222"/>
      <c r="DGG2" s="1222"/>
      <c r="DGH2" s="1222"/>
      <c r="DGI2" s="1222"/>
      <c r="DGJ2" s="1222"/>
      <c r="DGK2" s="1222"/>
      <c r="DGL2" s="1222"/>
      <c r="DGM2" s="1222"/>
      <c r="DGN2" s="1222"/>
      <c r="DGO2" s="1222"/>
      <c r="DGP2" s="1222"/>
      <c r="DGQ2" s="1222"/>
      <c r="DGR2" s="1222"/>
      <c r="DGS2" s="1222"/>
      <c r="DGT2" s="1222"/>
      <c r="DGU2" s="1222"/>
      <c r="DGV2" s="1222"/>
      <c r="DGW2" s="1222"/>
      <c r="DGX2" s="1222"/>
      <c r="DGY2" s="1222"/>
      <c r="DGZ2" s="1222"/>
      <c r="DHA2" s="1222"/>
      <c r="DHB2" s="1222"/>
      <c r="DHC2" s="1222"/>
      <c r="DHD2" s="1222"/>
      <c r="DHE2" s="1222"/>
      <c r="DHF2" s="1222"/>
      <c r="DHG2" s="1222"/>
      <c r="DHH2" s="1222"/>
      <c r="DHI2" s="1222"/>
      <c r="DHJ2" s="1222"/>
      <c r="DHK2" s="1222"/>
      <c r="DHL2" s="1222"/>
      <c r="DHM2" s="1222"/>
      <c r="DHN2" s="1222"/>
      <c r="DHO2" s="1222"/>
      <c r="DHP2" s="1222"/>
      <c r="DHQ2" s="1222"/>
      <c r="DHR2" s="1222"/>
      <c r="DHS2" s="1222"/>
      <c r="DHT2" s="1222"/>
      <c r="DHU2" s="1222"/>
      <c r="DHV2" s="1222"/>
      <c r="DHW2" s="1222"/>
      <c r="DHX2" s="1222"/>
      <c r="DHY2" s="1222"/>
      <c r="DHZ2" s="1222"/>
      <c r="DIA2" s="1222"/>
      <c r="DIB2" s="1222"/>
      <c r="DIC2" s="1222"/>
      <c r="DID2" s="1222"/>
      <c r="DIE2" s="1222"/>
      <c r="DIF2" s="1222"/>
      <c r="DIG2" s="1222"/>
      <c r="DIH2" s="1222"/>
      <c r="DII2" s="1222"/>
      <c r="DIJ2" s="1222"/>
      <c r="DIK2" s="1222"/>
      <c r="DIL2" s="1222"/>
      <c r="DIM2" s="1222"/>
      <c r="DIN2" s="1222"/>
      <c r="DIO2" s="1222"/>
      <c r="DIP2" s="1222"/>
      <c r="DIQ2" s="1222"/>
      <c r="DIR2" s="1222"/>
      <c r="DIS2" s="1222"/>
      <c r="DIT2" s="1222"/>
      <c r="DIU2" s="1222"/>
      <c r="DIV2" s="1222"/>
      <c r="DIW2" s="1222"/>
      <c r="DIX2" s="1222"/>
      <c r="DIY2" s="1222"/>
      <c r="DIZ2" s="1222"/>
      <c r="DJA2" s="1222"/>
      <c r="DJB2" s="1222"/>
      <c r="DJC2" s="1222"/>
      <c r="DJD2" s="1222"/>
      <c r="DJE2" s="1222"/>
      <c r="DJF2" s="1222"/>
      <c r="DJG2" s="1222"/>
      <c r="DJH2" s="1222"/>
      <c r="DJI2" s="1222"/>
      <c r="DJJ2" s="1222"/>
      <c r="DJK2" s="1222"/>
      <c r="DJL2" s="1222"/>
      <c r="DJM2" s="1222"/>
      <c r="DJN2" s="1222"/>
      <c r="DJO2" s="1222"/>
      <c r="DJP2" s="1222"/>
      <c r="DJQ2" s="1222"/>
      <c r="DJR2" s="1222"/>
      <c r="DJS2" s="1222"/>
      <c r="DJT2" s="1222"/>
      <c r="DJU2" s="1222"/>
      <c r="DJV2" s="1222"/>
      <c r="DJW2" s="1222"/>
      <c r="DJX2" s="1222"/>
      <c r="DJY2" s="1222"/>
      <c r="DJZ2" s="1222"/>
      <c r="DKA2" s="1222"/>
      <c r="DKB2" s="1222"/>
      <c r="DKC2" s="1222"/>
      <c r="DKD2" s="1222"/>
      <c r="DKE2" s="1222"/>
      <c r="DKF2" s="1222"/>
      <c r="DKG2" s="1222"/>
      <c r="DKH2" s="1222"/>
      <c r="DKI2" s="1222"/>
      <c r="DKJ2" s="1222"/>
      <c r="DKK2" s="1222"/>
      <c r="DKL2" s="1222"/>
      <c r="DKM2" s="1222"/>
      <c r="DKN2" s="1222"/>
      <c r="DKO2" s="1222"/>
      <c r="DKP2" s="1222"/>
      <c r="DKQ2" s="1222"/>
      <c r="DKR2" s="1222"/>
      <c r="DKS2" s="1222"/>
      <c r="DKT2" s="1222"/>
      <c r="DKU2" s="1222"/>
      <c r="DKV2" s="1222"/>
      <c r="DKW2" s="1222"/>
      <c r="DKX2" s="1222"/>
      <c r="DKY2" s="1222"/>
      <c r="DKZ2" s="1222"/>
      <c r="DLA2" s="1222"/>
      <c r="DLB2" s="1222"/>
      <c r="DLC2" s="1222"/>
      <c r="DLD2" s="1222"/>
      <c r="DLE2" s="1222"/>
      <c r="DLF2" s="1222"/>
      <c r="DLG2" s="1222"/>
      <c r="DLH2" s="1222"/>
      <c r="DLI2" s="1222"/>
      <c r="DLJ2" s="1222"/>
      <c r="DLK2" s="1222"/>
      <c r="DLL2" s="1222"/>
      <c r="DLM2" s="1222"/>
      <c r="DLN2" s="1222"/>
      <c r="DLO2" s="1222"/>
      <c r="DLP2" s="1222"/>
      <c r="DLQ2" s="1222"/>
      <c r="DLR2" s="1222"/>
      <c r="DLS2" s="1222"/>
      <c r="DLT2" s="1222"/>
      <c r="DLU2" s="1222"/>
      <c r="DLV2" s="1222"/>
      <c r="DLW2" s="1222"/>
      <c r="DLX2" s="1222"/>
      <c r="DLY2" s="1222"/>
      <c r="DLZ2" s="1222"/>
      <c r="DMA2" s="1222"/>
      <c r="DMB2" s="1222"/>
      <c r="DMC2" s="1222"/>
      <c r="DMD2" s="1222"/>
      <c r="DME2" s="1222"/>
      <c r="DMF2" s="1222"/>
      <c r="DMG2" s="1222"/>
      <c r="DMH2" s="1222"/>
      <c r="DMI2" s="1222"/>
      <c r="DMJ2" s="1222"/>
      <c r="DMK2" s="1222"/>
      <c r="DML2" s="1222"/>
      <c r="DMM2" s="1222"/>
      <c r="DMN2" s="1222"/>
      <c r="DMO2" s="1222"/>
      <c r="DMP2" s="1222"/>
      <c r="DMQ2" s="1222"/>
      <c r="DMR2" s="1222"/>
      <c r="DMS2" s="1222"/>
      <c r="DMT2" s="1222"/>
      <c r="DMU2" s="1222"/>
      <c r="DMV2" s="1222"/>
      <c r="DMW2" s="1222"/>
      <c r="DMX2" s="1222"/>
      <c r="DMY2" s="1222"/>
      <c r="DMZ2" s="1222"/>
      <c r="DNA2" s="1222"/>
      <c r="DNB2" s="1222"/>
      <c r="DNC2" s="1222"/>
      <c r="DND2" s="1222"/>
      <c r="DNE2" s="1222"/>
      <c r="DNF2" s="1222"/>
      <c r="DNG2" s="1222"/>
      <c r="DNH2" s="1222"/>
      <c r="DNI2" s="1222"/>
      <c r="DNJ2" s="1222"/>
      <c r="DNK2" s="1222"/>
      <c r="DNL2" s="1222"/>
      <c r="DNM2" s="1222"/>
      <c r="DNN2" s="1222"/>
      <c r="DNO2" s="1222"/>
      <c r="DNP2" s="1222"/>
      <c r="DNQ2" s="1222"/>
      <c r="DNR2" s="1222"/>
      <c r="DNS2" s="1222"/>
      <c r="DNT2" s="1222"/>
      <c r="DNU2" s="1222"/>
      <c r="DNV2" s="1222"/>
      <c r="DNW2" s="1222"/>
      <c r="DNX2" s="1222"/>
      <c r="DNY2" s="1222"/>
      <c r="DNZ2" s="1222"/>
      <c r="DOA2" s="1222"/>
      <c r="DOB2" s="1222"/>
      <c r="DOC2" s="1222"/>
      <c r="DOD2" s="1222"/>
      <c r="DOE2" s="1222"/>
      <c r="DOF2" s="1222"/>
      <c r="DOG2" s="1222"/>
      <c r="DOH2" s="1222"/>
      <c r="DOI2" s="1222"/>
      <c r="DOJ2" s="1222"/>
      <c r="DOK2" s="1222"/>
      <c r="DOL2" s="1222"/>
      <c r="DOM2" s="1222"/>
      <c r="DON2" s="1222"/>
      <c r="DOO2" s="1222"/>
      <c r="DOP2" s="1222"/>
      <c r="DOQ2" s="1222"/>
      <c r="DOR2" s="1222"/>
      <c r="DOS2" s="1222"/>
      <c r="DOT2" s="1222"/>
      <c r="DOU2" s="1222"/>
      <c r="DOV2" s="1222"/>
      <c r="DOW2" s="1222"/>
      <c r="DOX2" s="1222"/>
      <c r="DOY2" s="1222"/>
      <c r="DOZ2" s="1222"/>
      <c r="DPA2" s="1222"/>
      <c r="DPB2" s="1222"/>
      <c r="DPC2" s="1222"/>
      <c r="DPD2" s="1222"/>
      <c r="DPE2" s="1222"/>
      <c r="DPF2" s="1222"/>
      <c r="DPG2" s="1222"/>
      <c r="DPH2" s="1222"/>
      <c r="DPI2" s="1222"/>
      <c r="DPJ2" s="1222"/>
      <c r="DPK2" s="1222"/>
      <c r="DPL2" s="1222"/>
      <c r="DPM2" s="1222"/>
      <c r="DPN2" s="1222"/>
      <c r="DPO2" s="1222"/>
      <c r="DPP2" s="1222"/>
      <c r="DPQ2" s="1222"/>
      <c r="DPR2" s="1222"/>
      <c r="DPS2" s="1222"/>
      <c r="DPT2" s="1222"/>
      <c r="DPU2" s="1222"/>
      <c r="DPV2" s="1222"/>
      <c r="DPW2" s="1222"/>
      <c r="DPX2" s="1222"/>
      <c r="DPY2" s="1222"/>
      <c r="DPZ2" s="1222"/>
      <c r="DQA2" s="1222"/>
      <c r="DQB2" s="1222"/>
      <c r="DQC2" s="1222"/>
      <c r="DQD2" s="1222"/>
      <c r="DQE2" s="1222"/>
      <c r="DQF2" s="1222"/>
      <c r="DQG2" s="1222"/>
      <c r="DQH2" s="1222"/>
      <c r="DQI2" s="1222"/>
      <c r="DQJ2" s="1222"/>
      <c r="DQK2" s="1222"/>
      <c r="DQL2" s="1222"/>
      <c r="DQM2" s="1222"/>
      <c r="DQN2" s="1222"/>
      <c r="DQO2" s="1222"/>
      <c r="DQP2" s="1222"/>
      <c r="DQQ2" s="1222"/>
      <c r="DQR2" s="1222"/>
      <c r="DQS2" s="1222"/>
      <c r="DQT2" s="1222"/>
      <c r="DQU2" s="1222"/>
      <c r="DQV2" s="1222"/>
      <c r="DQW2" s="1222"/>
      <c r="DQX2" s="1222"/>
      <c r="DQY2" s="1222"/>
      <c r="DQZ2" s="1222"/>
      <c r="DRA2" s="1222"/>
      <c r="DRB2" s="1222"/>
      <c r="DRC2" s="1222"/>
      <c r="DRD2" s="1222"/>
      <c r="DRE2" s="1222"/>
      <c r="DRF2" s="1222"/>
      <c r="DRG2" s="1222"/>
      <c r="DRH2" s="1222"/>
      <c r="DRI2" s="1222"/>
      <c r="DRJ2" s="1222"/>
      <c r="DRK2" s="1222"/>
      <c r="DRL2" s="1222"/>
      <c r="DRM2" s="1222"/>
      <c r="DRN2" s="1222"/>
      <c r="DRO2" s="1222"/>
      <c r="DRP2" s="1222"/>
      <c r="DRQ2" s="1222"/>
      <c r="DRR2" s="1222"/>
      <c r="DRS2" s="1222"/>
      <c r="DRT2" s="1222"/>
      <c r="DRU2" s="1222"/>
      <c r="DRV2" s="1222"/>
      <c r="DRW2" s="1222"/>
      <c r="DRX2" s="1222"/>
      <c r="DRY2" s="1222"/>
      <c r="DRZ2" s="1222"/>
      <c r="DSA2" s="1222"/>
      <c r="DSB2" s="1222"/>
      <c r="DSC2" s="1222"/>
      <c r="DSD2" s="1222"/>
      <c r="DSE2" s="1222"/>
      <c r="DSF2" s="1222"/>
      <c r="DSG2" s="1222"/>
      <c r="DSH2" s="1222"/>
      <c r="DSI2" s="1222"/>
      <c r="DSJ2" s="1222"/>
      <c r="DSK2" s="1222"/>
      <c r="DSL2" s="1222"/>
      <c r="DSM2" s="1222"/>
      <c r="DSN2" s="1222"/>
      <c r="DSO2" s="1222"/>
      <c r="DSP2" s="1222"/>
      <c r="DSQ2" s="1222"/>
      <c r="DSR2" s="1222"/>
      <c r="DSS2" s="1222"/>
      <c r="DST2" s="1222"/>
      <c r="DSU2" s="1222"/>
      <c r="DSV2" s="1222"/>
      <c r="DSW2" s="1222"/>
      <c r="DSX2" s="1222"/>
      <c r="DSY2" s="1222"/>
      <c r="DSZ2" s="1222"/>
      <c r="DTA2" s="1222"/>
      <c r="DTB2" s="1222"/>
      <c r="DTC2" s="1222"/>
      <c r="DTD2" s="1222"/>
      <c r="DTE2" s="1222"/>
      <c r="DTF2" s="1222"/>
      <c r="DTG2" s="1222"/>
      <c r="DTH2" s="1222"/>
      <c r="DTI2" s="1222"/>
      <c r="DTJ2" s="1222"/>
      <c r="DTK2" s="1222"/>
      <c r="DTL2" s="1222"/>
      <c r="DTM2" s="1222"/>
      <c r="DTN2" s="1222"/>
      <c r="DTO2" s="1222"/>
      <c r="DTP2" s="1222"/>
      <c r="DTQ2" s="1222"/>
      <c r="DTR2" s="1222"/>
      <c r="DTS2" s="1222"/>
      <c r="DTT2" s="1222"/>
      <c r="DTU2" s="1222"/>
      <c r="DTV2" s="1222"/>
      <c r="DTW2" s="1222"/>
      <c r="DTX2" s="1222"/>
      <c r="DTY2" s="1222"/>
      <c r="DTZ2" s="1222"/>
      <c r="DUA2" s="1222"/>
      <c r="DUB2" s="1222"/>
      <c r="DUC2" s="1222"/>
      <c r="DUD2" s="1222"/>
      <c r="DUE2" s="1222"/>
      <c r="DUF2" s="1222"/>
      <c r="DUG2" s="1222"/>
      <c r="DUH2" s="1222"/>
      <c r="DUI2" s="1222"/>
      <c r="DUJ2" s="1222"/>
      <c r="DUK2" s="1222"/>
      <c r="DUL2" s="1222"/>
      <c r="DUM2" s="1222"/>
      <c r="DUN2" s="1222"/>
      <c r="DUO2" s="1222"/>
      <c r="DUP2" s="1222"/>
      <c r="DUQ2" s="1222"/>
      <c r="DUR2" s="1222"/>
      <c r="DUS2" s="1222"/>
      <c r="DUT2" s="1222"/>
      <c r="DUU2" s="1222"/>
      <c r="DUV2" s="1222"/>
      <c r="DUW2" s="1222"/>
      <c r="DUX2" s="1222"/>
      <c r="DUY2" s="1222"/>
      <c r="DUZ2" s="1222"/>
      <c r="DVA2" s="1222"/>
      <c r="DVB2" s="1222"/>
      <c r="DVC2" s="1222"/>
      <c r="DVD2" s="1222"/>
      <c r="DVE2" s="1222"/>
      <c r="DVF2" s="1222"/>
      <c r="DVG2" s="1222"/>
      <c r="DVH2" s="1222"/>
      <c r="DVI2" s="1222"/>
      <c r="DVJ2" s="1222"/>
      <c r="DVK2" s="1222"/>
      <c r="DVL2" s="1222"/>
      <c r="DVM2" s="1222"/>
      <c r="DVN2" s="1222"/>
      <c r="DVO2" s="1222"/>
      <c r="DVP2" s="1222"/>
      <c r="DVQ2" s="1222"/>
      <c r="DVR2" s="1222"/>
      <c r="DVS2" s="1222"/>
      <c r="DVT2" s="1222"/>
      <c r="DVU2" s="1222"/>
      <c r="DVV2" s="1222"/>
      <c r="DVW2" s="1222"/>
      <c r="DVX2" s="1222"/>
      <c r="DVY2" s="1222"/>
      <c r="DVZ2" s="1222"/>
      <c r="DWA2" s="1222"/>
      <c r="DWB2" s="1222"/>
      <c r="DWC2" s="1222"/>
      <c r="DWD2" s="1222"/>
      <c r="DWE2" s="1222"/>
      <c r="DWF2" s="1222"/>
      <c r="DWG2" s="1222"/>
      <c r="DWH2" s="1222"/>
      <c r="DWI2" s="1222"/>
      <c r="DWJ2" s="1222"/>
      <c r="DWK2" s="1222"/>
      <c r="DWL2" s="1222"/>
      <c r="DWM2" s="1222"/>
      <c r="DWN2" s="1222"/>
      <c r="DWO2" s="1222"/>
      <c r="DWP2" s="1222"/>
      <c r="DWQ2" s="1222"/>
      <c r="DWR2" s="1222"/>
      <c r="DWS2" s="1222"/>
      <c r="DWT2" s="1222"/>
      <c r="DWU2" s="1222"/>
      <c r="DWV2" s="1222"/>
      <c r="DWW2" s="1222"/>
      <c r="DWX2" s="1222"/>
      <c r="DWY2" s="1222"/>
      <c r="DWZ2" s="1222"/>
      <c r="DXA2" s="1222"/>
      <c r="DXB2" s="1222"/>
      <c r="DXC2" s="1222"/>
      <c r="DXD2" s="1222"/>
      <c r="DXE2" s="1222"/>
      <c r="DXF2" s="1222"/>
      <c r="DXG2" s="1222"/>
      <c r="DXH2" s="1222"/>
      <c r="DXI2" s="1222"/>
      <c r="DXJ2" s="1222"/>
      <c r="DXK2" s="1222"/>
      <c r="DXL2" s="1222"/>
      <c r="DXM2" s="1222"/>
      <c r="DXN2" s="1222"/>
      <c r="DXO2" s="1222"/>
      <c r="DXP2" s="1222"/>
      <c r="DXQ2" s="1222"/>
      <c r="DXR2" s="1222"/>
      <c r="DXS2" s="1222"/>
      <c r="DXT2" s="1222"/>
      <c r="DXU2" s="1222"/>
      <c r="DXV2" s="1222"/>
      <c r="DXW2" s="1222"/>
      <c r="DXX2" s="1222"/>
      <c r="DXY2" s="1222"/>
      <c r="DXZ2" s="1222"/>
      <c r="DYA2" s="1222"/>
      <c r="DYB2" s="1222"/>
      <c r="DYC2" s="1222"/>
      <c r="DYD2" s="1222"/>
      <c r="DYE2" s="1222"/>
      <c r="DYF2" s="1222"/>
      <c r="DYG2" s="1222"/>
      <c r="DYH2" s="1222"/>
      <c r="DYI2" s="1222"/>
      <c r="DYJ2" s="1222"/>
      <c r="DYK2" s="1222"/>
      <c r="DYL2" s="1222"/>
      <c r="DYM2" s="1222"/>
      <c r="DYN2" s="1222"/>
      <c r="DYO2" s="1222"/>
      <c r="DYP2" s="1222"/>
      <c r="DYQ2" s="1222"/>
      <c r="DYR2" s="1222"/>
      <c r="DYS2" s="1222"/>
      <c r="DYT2" s="1222"/>
      <c r="DYU2" s="1222"/>
      <c r="DYV2" s="1222"/>
      <c r="DYW2" s="1222"/>
      <c r="DYX2" s="1222"/>
      <c r="DYY2" s="1222"/>
      <c r="DYZ2" s="1222"/>
      <c r="DZA2" s="1222"/>
      <c r="DZB2" s="1222"/>
      <c r="DZC2" s="1222"/>
      <c r="DZD2" s="1222"/>
      <c r="DZE2" s="1222"/>
      <c r="DZF2" s="1222"/>
      <c r="DZG2" s="1222"/>
      <c r="DZH2" s="1222"/>
      <c r="DZI2" s="1222"/>
      <c r="DZJ2" s="1222"/>
      <c r="DZK2" s="1222"/>
      <c r="DZL2" s="1222"/>
      <c r="DZM2" s="1222"/>
      <c r="DZN2" s="1222"/>
      <c r="DZO2" s="1222"/>
      <c r="DZP2" s="1222"/>
      <c r="DZQ2" s="1222"/>
      <c r="DZR2" s="1222"/>
      <c r="DZS2" s="1222"/>
      <c r="DZT2" s="1222"/>
      <c r="DZU2" s="1222"/>
      <c r="DZV2" s="1222"/>
      <c r="DZW2" s="1222"/>
      <c r="DZX2" s="1222"/>
      <c r="DZY2" s="1222"/>
      <c r="DZZ2" s="1222"/>
      <c r="EAA2" s="1222"/>
      <c r="EAB2" s="1222"/>
      <c r="EAC2" s="1222"/>
      <c r="EAD2" s="1222"/>
      <c r="EAE2" s="1222"/>
      <c r="EAF2" s="1222"/>
      <c r="EAG2" s="1222"/>
      <c r="EAH2" s="1222"/>
      <c r="EAI2" s="1222"/>
      <c r="EAJ2" s="1222"/>
      <c r="EAK2" s="1222"/>
      <c r="EAL2" s="1222"/>
      <c r="EAM2" s="1222"/>
      <c r="EAN2" s="1222"/>
      <c r="EAO2" s="1222"/>
      <c r="EAP2" s="1222"/>
      <c r="EAQ2" s="1222"/>
      <c r="EAR2" s="1222"/>
      <c r="EAS2" s="1222"/>
      <c r="EAT2" s="1222"/>
      <c r="EAU2" s="1222"/>
      <c r="EAV2" s="1222"/>
      <c r="EAW2" s="1222"/>
      <c r="EAX2" s="1222"/>
      <c r="EAY2" s="1222"/>
      <c r="EAZ2" s="1222"/>
      <c r="EBA2" s="1222"/>
      <c r="EBB2" s="1222"/>
      <c r="EBC2" s="1222"/>
      <c r="EBD2" s="1222"/>
      <c r="EBE2" s="1222"/>
      <c r="EBF2" s="1222"/>
      <c r="EBG2" s="1222"/>
      <c r="EBH2" s="1222"/>
      <c r="EBI2" s="1222"/>
      <c r="EBJ2" s="1222"/>
      <c r="EBK2" s="1222"/>
      <c r="EBL2" s="1222"/>
      <c r="EBM2" s="1222"/>
      <c r="EBN2" s="1222"/>
      <c r="EBO2" s="1222"/>
      <c r="EBP2" s="1222"/>
      <c r="EBQ2" s="1222"/>
      <c r="EBR2" s="1222"/>
      <c r="EBS2" s="1222"/>
      <c r="EBT2" s="1222"/>
      <c r="EBU2" s="1222"/>
      <c r="EBV2" s="1222"/>
      <c r="EBW2" s="1222"/>
      <c r="EBX2" s="1222"/>
      <c r="EBY2" s="1222"/>
      <c r="EBZ2" s="1222"/>
      <c r="ECA2" s="1222"/>
      <c r="ECB2" s="1222"/>
      <c r="ECC2" s="1222"/>
      <c r="ECD2" s="1222"/>
      <c r="ECE2" s="1222"/>
      <c r="ECF2" s="1222"/>
      <c r="ECG2" s="1222"/>
      <c r="ECH2" s="1222"/>
      <c r="ECI2" s="1222"/>
      <c r="ECJ2" s="1222"/>
      <c r="ECK2" s="1222"/>
      <c r="ECL2" s="1222"/>
      <c r="ECM2" s="1222"/>
      <c r="ECN2" s="1222"/>
      <c r="ECO2" s="1222"/>
    </row>
    <row r="3" spans="1:3473" s="1224" customFormat="1" ht="25.75" customHeight="1">
      <c r="B3" s="2365"/>
      <c r="C3" s="2367"/>
      <c r="D3" s="2369"/>
      <c r="E3" s="2361" t="s">
        <v>3134</v>
      </c>
      <c r="F3" s="2361"/>
      <c r="G3" s="2361"/>
      <c r="H3" s="2361" t="str">
        <f>+'全期规划指标 '!C20</f>
        <v>高层（27F）</v>
      </c>
      <c r="I3" s="2361"/>
      <c r="J3" s="2361"/>
      <c r="K3" s="2361" t="s">
        <v>3135</v>
      </c>
      <c r="L3" s="2361"/>
      <c r="M3" s="2361"/>
      <c r="N3" s="2361" t="str">
        <f>+'全期规划指标 '!C22</f>
        <v>人才公寓26F（可售、T7）</v>
      </c>
      <c r="O3" s="2361"/>
      <c r="P3" s="2361"/>
      <c r="Q3" s="2361" t="str">
        <f>'全期规划指标 '!C24</f>
        <v>小高层（8~11F）</v>
      </c>
      <c r="R3" s="2361"/>
      <c r="S3" s="2361"/>
      <c r="T3" s="2361" t="str">
        <f>'全期规划指标 '!C26</f>
        <v>临街商业</v>
      </c>
      <c r="U3" s="2361"/>
      <c r="V3" s="2361"/>
      <c r="W3" s="2361" t="s">
        <v>3136</v>
      </c>
      <c r="X3" s="2361"/>
      <c r="Y3" s="2361"/>
      <c r="Z3" s="2362" t="s">
        <v>992</v>
      </c>
      <c r="AA3" s="2362"/>
      <c r="AB3" s="2362"/>
      <c r="AC3" s="2361" t="s">
        <v>993</v>
      </c>
      <c r="AD3" s="2361"/>
      <c r="AE3" s="2361"/>
      <c r="AF3" s="2360" t="str">
        <f>E3</f>
        <v>车位</v>
      </c>
      <c r="AG3" s="2360"/>
      <c r="AH3" s="2360"/>
      <c r="AI3" s="2360" t="str">
        <f>H3</f>
        <v>高层（27F）</v>
      </c>
      <c r="AJ3" s="2360"/>
      <c r="AK3" s="2360"/>
      <c r="AL3" s="2360" t="str">
        <f>K3</f>
        <v>人防车位</v>
      </c>
      <c r="AM3" s="2360"/>
      <c r="AN3" s="2360"/>
      <c r="AO3" s="2360" t="str">
        <f>N3</f>
        <v>人才公寓26F（可售、T7）</v>
      </c>
      <c r="AP3" s="2360"/>
      <c r="AQ3" s="2360"/>
      <c r="AR3" s="2360" t="str">
        <f>Q3</f>
        <v>小高层（8~11F）</v>
      </c>
      <c r="AS3" s="2360"/>
      <c r="AT3" s="2360"/>
      <c r="AU3" s="2360" t="str">
        <f>T3</f>
        <v>临街商业</v>
      </c>
      <c r="AV3" s="2360"/>
      <c r="AW3" s="2360"/>
      <c r="AX3" s="2360"/>
      <c r="AY3" s="2360"/>
      <c r="AZ3" s="2360"/>
      <c r="BA3" s="2360" t="s">
        <v>3137</v>
      </c>
      <c r="BB3" s="2360"/>
      <c r="BC3" s="2360"/>
      <c r="BD3" s="2360" t="s">
        <v>3136</v>
      </c>
      <c r="BE3" s="2360"/>
      <c r="BF3" s="2360"/>
      <c r="BG3" s="2360" t="s">
        <v>3138</v>
      </c>
      <c r="BH3" s="2360"/>
      <c r="BI3" s="2360"/>
      <c r="BJ3" s="2360" t="s">
        <v>138</v>
      </c>
      <c r="BK3" s="2360"/>
      <c r="BL3" s="2360"/>
      <c r="BM3" s="2377"/>
      <c r="BN3" s="1225"/>
      <c r="BO3" s="1225"/>
      <c r="BP3" s="1225"/>
      <c r="BQ3" s="1225"/>
      <c r="BR3" s="1225"/>
      <c r="BS3" s="1225"/>
      <c r="BT3" s="1225"/>
      <c r="BU3" s="1225"/>
      <c r="BV3" s="1225"/>
      <c r="BW3" s="1225"/>
      <c r="BX3" s="1225"/>
      <c r="BY3" s="1225"/>
      <c r="BZ3" s="1225"/>
      <c r="CA3" s="1225"/>
      <c r="CB3" s="1225"/>
      <c r="CC3" s="1225"/>
      <c r="CD3" s="1225"/>
      <c r="CE3" s="1225"/>
      <c r="CF3" s="1225"/>
      <c r="CG3" s="1225"/>
      <c r="CH3" s="1225"/>
      <c r="CI3" s="1225"/>
      <c r="CJ3" s="1225"/>
      <c r="CK3" s="1225"/>
      <c r="CL3" s="1225"/>
      <c r="CM3" s="1225"/>
      <c r="CN3" s="1225"/>
      <c r="CO3" s="1225"/>
      <c r="CP3" s="1225"/>
      <c r="CQ3" s="1225"/>
      <c r="CR3" s="1225"/>
      <c r="CS3" s="1225"/>
      <c r="CT3" s="1225"/>
      <c r="CU3" s="1225"/>
      <c r="CV3" s="1225"/>
      <c r="CW3" s="1225"/>
      <c r="CX3" s="1225"/>
      <c r="CY3" s="1225"/>
      <c r="CZ3" s="1225"/>
      <c r="DA3" s="1225"/>
      <c r="DB3" s="1225"/>
      <c r="DC3" s="1225"/>
      <c r="DD3" s="1225"/>
      <c r="DE3" s="1225"/>
      <c r="DF3" s="1225"/>
      <c r="DG3" s="1225"/>
      <c r="DH3" s="1225"/>
      <c r="DI3" s="1225"/>
      <c r="DJ3" s="1225"/>
      <c r="DK3" s="1225"/>
      <c r="DL3" s="1225"/>
      <c r="DM3" s="1225"/>
      <c r="DN3" s="1225"/>
      <c r="DO3" s="1225"/>
      <c r="DP3" s="1225"/>
      <c r="DQ3" s="1225"/>
      <c r="DR3" s="1225"/>
      <c r="DS3" s="1225"/>
      <c r="DT3" s="1225"/>
      <c r="DU3" s="1225"/>
      <c r="DV3" s="1225"/>
      <c r="DW3" s="1225"/>
      <c r="DX3" s="1225"/>
      <c r="DY3" s="1225"/>
      <c r="DZ3" s="1225"/>
      <c r="EA3" s="1225"/>
      <c r="EB3" s="1225"/>
      <c r="EC3" s="1225"/>
      <c r="ED3" s="1225"/>
      <c r="EE3" s="1225"/>
      <c r="EF3" s="1225"/>
      <c r="EG3" s="1225"/>
      <c r="EH3" s="1225"/>
      <c r="EI3" s="1225"/>
      <c r="EJ3" s="1225"/>
      <c r="EK3" s="1225"/>
      <c r="EL3" s="1225"/>
      <c r="EM3" s="1225"/>
      <c r="EN3" s="1225"/>
      <c r="EO3" s="1225"/>
      <c r="EP3" s="1225"/>
      <c r="EQ3" s="1225"/>
      <c r="ER3" s="1225"/>
      <c r="ES3" s="1225"/>
      <c r="ET3" s="1225"/>
      <c r="EU3" s="1225"/>
      <c r="EV3" s="1225"/>
      <c r="EW3" s="1225"/>
      <c r="EX3" s="1225"/>
      <c r="EY3" s="1225"/>
      <c r="EZ3" s="1225"/>
      <c r="FA3" s="1225"/>
      <c r="FB3" s="1225"/>
      <c r="FC3" s="1225"/>
      <c r="FD3" s="1225"/>
      <c r="FE3" s="1225"/>
      <c r="FF3" s="1225"/>
      <c r="FG3" s="1225"/>
      <c r="FH3" s="1225"/>
      <c r="FI3" s="1225"/>
      <c r="FJ3" s="1225"/>
      <c r="FK3" s="1225"/>
      <c r="FL3" s="1225"/>
      <c r="FM3" s="1225"/>
      <c r="FN3" s="1225"/>
      <c r="FO3" s="1225"/>
      <c r="FP3" s="1225"/>
      <c r="FQ3" s="1225"/>
      <c r="FR3" s="1225"/>
      <c r="FS3" s="1225"/>
      <c r="FT3" s="1225"/>
      <c r="FU3" s="1225"/>
      <c r="FV3" s="1225"/>
      <c r="FW3" s="1225"/>
      <c r="FX3" s="1225"/>
      <c r="FY3" s="1225"/>
      <c r="FZ3" s="1225"/>
      <c r="GA3" s="1225"/>
      <c r="GB3" s="1225"/>
      <c r="GC3" s="1225"/>
      <c r="GD3" s="1225"/>
      <c r="GE3" s="1225"/>
      <c r="GF3" s="1225"/>
      <c r="GG3" s="1225"/>
      <c r="GH3" s="1225"/>
      <c r="GI3" s="1225"/>
      <c r="GJ3" s="1225"/>
      <c r="GK3" s="1225"/>
      <c r="GL3" s="1225"/>
      <c r="GM3" s="1225"/>
      <c r="GN3" s="1225"/>
      <c r="GO3" s="1225"/>
      <c r="GP3" s="1225"/>
      <c r="GQ3" s="1225"/>
      <c r="GR3" s="1225"/>
      <c r="GS3" s="1225"/>
      <c r="GT3" s="1225"/>
      <c r="GU3" s="1225"/>
      <c r="GV3" s="1225"/>
      <c r="GW3" s="1225"/>
      <c r="GX3" s="1225"/>
      <c r="GY3" s="1225"/>
      <c r="GZ3" s="1225"/>
      <c r="HA3" s="1225"/>
      <c r="HB3" s="1225"/>
      <c r="HC3" s="1225"/>
      <c r="HD3" s="1225"/>
      <c r="HE3" s="1225"/>
      <c r="HF3" s="1225"/>
      <c r="HG3" s="1225"/>
      <c r="HH3" s="1225"/>
      <c r="HI3" s="1225"/>
      <c r="HJ3" s="1225"/>
      <c r="HK3" s="1225"/>
      <c r="HL3" s="1225"/>
      <c r="HM3" s="1225"/>
      <c r="HN3" s="1225"/>
      <c r="HO3" s="1225"/>
      <c r="HP3" s="1225"/>
      <c r="HQ3" s="1225"/>
      <c r="HR3" s="1225"/>
      <c r="HS3" s="1225"/>
      <c r="HT3" s="1225"/>
      <c r="HU3" s="1225"/>
      <c r="HV3" s="1225"/>
      <c r="HW3" s="1225"/>
      <c r="HX3" s="1225"/>
      <c r="HY3" s="1225"/>
      <c r="HZ3" s="1225"/>
      <c r="IA3" s="1225"/>
      <c r="IB3" s="1225"/>
      <c r="IC3" s="1225"/>
      <c r="ID3" s="1225"/>
      <c r="IE3" s="1225"/>
      <c r="IF3" s="1225"/>
      <c r="IG3" s="1225"/>
      <c r="IH3" s="1225"/>
      <c r="II3" s="1225"/>
      <c r="IJ3" s="1225"/>
      <c r="IK3" s="1225"/>
      <c r="IL3" s="1225"/>
      <c r="IM3" s="1225"/>
      <c r="IN3" s="1225"/>
      <c r="IO3" s="1225"/>
      <c r="IP3" s="1225"/>
      <c r="IQ3" s="1225"/>
      <c r="IR3" s="1225"/>
      <c r="IS3" s="1225"/>
      <c r="IT3" s="1225"/>
      <c r="IU3" s="1225"/>
      <c r="IV3" s="1225"/>
      <c r="IW3" s="1225"/>
      <c r="IX3" s="1225"/>
      <c r="IY3" s="1225"/>
      <c r="IZ3" s="1225"/>
      <c r="JA3" s="1225"/>
      <c r="JB3" s="1225"/>
      <c r="JC3" s="1225"/>
      <c r="JD3" s="1225"/>
      <c r="JE3" s="1225"/>
      <c r="JF3" s="1225"/>
      <c r="JG3" s="1225"/>
      <c r="JH3" s="1225"/>
      <c r="JI3" s="1225"/>
      <c r="JJ3" s="1225"/>
      <c r="JK3" s="1225"/>
      <c r="JL3" s="1225"/>
      <c r="JM3" s="1225"/>
      <c r="JN3" s="1225"/>
      <c r="JO3" s="1225"/>
      <c r="JP3" s="1225"/>
      <c r="JQ3" s="1225"/>
      <c r="JR3" s="1225"/>
      <c r="JS3" s="1225"/>
      <c r="JT3" s="1225"/>
      <c r="JU3" s="1225"/>
      <c r="JV3" s="1225"/>
      <c r="JW3" s="1225"/>
      <c r="JX3" s="1225"/>
      <c r="JY3" s="1225"/>
      <c r="JZ3" s="1225"/>
      <c r="KA3" s="1225"/>
      <c r="KB3" s="1225"/>
      <c r="KC3" s="1225"/>
      <c r="KD3" s="1225"/>
      <c r="KE3" s="1225"/>
      <c r="KF3" s="1225"/>
      <c r="KG3" s="1225"/>
      <c r="KH3" s="1225"/>
      <c r="KI3" s="1225"/>
      <c r="KJ3" s="1225"/>
      <c r="KK3" s="1225"/>
      <c r="KL3" s="1225"/>
      <c r="KM3" s="1225"/>
      <c r="KN3" s="1225"/>
      <c r="KO3" s="1225"/>
      <c r="KP3" s="1225"/>
      <c r="KQ3" s="1225"/>
      <c r="KR3" s="1225"/>
      <c r="KS3" s="1225"/>
      <c r="KT3" s="1225"/>
      <c r="KU3" s="1225"/>
      <c r="KV3" s="1225"/>
      <c r="KW3" s="1225"/>
      <c r="KX3" s="1225"/>
      <c r="KY3" s="1225"/>
      <c r="KZ3" s="1225"/>
      <c r="LA3" s="1225"/>
      <c r="LB3" s="1225"/>
      <c r="LC3" s="1225"/>
      <c r="LD3" s="1225"/>
      <c r="LE3" s="1225"/>
      <c r="LF3" s="1225"/>
      <c r="LG3" s="1225"/>
      <c r="LH3" s="1225"/>
      <c r="LI3" s="1225"/>
      <c r="LJ3" s="1225"/>
      <c r="LK3" s="1225"/>
      <c r="LL3" s="1225"/>
      <c r="LM3" s="1225"/>
      <c r="LN3" s="1225"/>
      <c r="LO3" s="1225"/>
      <c r="LP3" s="1225"/>
      <c r="LQ3" s="1225"/>
      <c r="LR3" s="1225"/>
      <c r="LS3" s="1225"/>
      <c r="LT3" s="1225"/>
      <c r="LU3" s="1225"/>
      <c r="LV3" s="1225"/>
      <c r="LW3" s="1225"/>
      <c r="LX3" s="1225"/>
      <c r="LY3" s="1225"/>
      <c r="LZ3" s="1225"/>
      <c r="MA3" s="1225"/>
      <c r="MB3" s="1225"/>
      <c r="MC3" s="1225"/>
      <c r="MD3" s="1225"/>
      <c r="ME3" s="1225"/>
      <c r="MF3" s="1225"/>
      <c r="MG3" s="1225"/>
      <c r="MH3" s="1225"/>
      <c r="MI3" s="1225"/>
      <c r="MJ3" s="1225"/>
      <c r="MK3" s="1225"/>
      <c r="ML3" s="1225"/>
      <c r="MM3" s="1225"/>
      <c r="MN3" s="1225"/>
      <c r="MO3" s="1225"/>
      <c r="MP3" s="1225"/>
      <c r="MQ3" s="1225"/>
      <c r="MR3" s="1225"/>
      <c r="MS3" s="1225"/>
      <c r="MT3" s="1225"/>
      <c r="MU3" s="1225"/>
      <c r="MV3" s="1225"/>
      <c r="MW3" s="1225"/>
      <c r="MX3" s="1225"/>
      <c r="MY3" s="1225"/>
      <c r="MZ3" s="1225"/>
      <c r="NA3" s="1225"/>
      <c r="NB3" s="1225"/>
      <c r="NC3" s="1225"/>
      <c r="ND3" s="1225"/>
      <c r="NE3" s="1225"/>
      <c r="NF3" s="1225"/>
      <c r="NG3" s="1225"/>
      <c r="NH3" s="1225"/>
      <c r="NI3" s="1225"/>
      <c r="NJ3" s="1225"/>
      <c r="NK3" s="1225"/>
      <c r="NL3" s="1225"/>
      <c r="NM3" s="1225"/>
      <c r="NN3" s="1225"/>
      <c r="NO3" s="1225"/>
      <c r="NP3" s="1225"/>
      <c r="NQ3" s="1225"/>
      <c r="NR3" s="1225"/>
      <c r="NS3" s="1225"/>
      <c r="NT3" s="1225"/>
      <c r="NU3" s="1225"/>
      <c r="NV3" s="1225"/>
      <c r="NW3" s="1225"/>
      <c r="NX3" s="1225"/>
      <c r="NY3" s="1225"/>
      <c r="NZ3" s="1225"/>
      <c r="OA3" s="1225"/>
      <c r="OB3" s="1225"/>
      <c r="OC3" s="1225"/>
      <c r="OD3" s="1225"/>
      <c r="OE3" s="1225"/>
      <c r="OF3" s="1225"/>
      <c r="OG3" s="1225"/>
      <c r="OH3" s="1225"/>
      <c r="OI3" s="1225"/>
      <c r="OJ3" s="1225"/>
      <c r="OK3" s="1225"/>
      <c r="OL3" s="1225"/>
      <c r="OM3" s="1225"/>
      <c r="ON3" s="1225"/>
      <c r="OO3" s="1225"/>
      <c r="OP3" s="1225"/>
      <c r="OQ3" s="1225"/>
      <c r="OR3" s="1225"/>
      <c r="OS3" s="1225"/>
      <c r="OT3" s="1225"/>
      <c r="OU3" s="1225"/>
      <c r="OV3" s="1225"/>
      <c r="OW3" s="1225"/>
      <c r="OX3" s="1225"/>
      <c r="OY3" s="1225"/>
      <c r="OZ3" s="1225"/>
      <c r="PA3" s="1225"/>
      <c r="PB3" s="1225"/>
      <c r="PC3" s="1225"/>
      <c r="PD3" s="1225"/>
      <c r="PE3" s="1225"/>
      <c r="PF3" s="1225"/>
      <c r="PG3" s="1225"/>
      <c r="PH3" s="1225"/>
      <c r="PI3" s="1225"/>
      <c r="PJ3" s="1225"/>
      <c r="PK3" s="1225"/>
      <c r="PL3" s="1225"/>
      <c r="PM3" s="1225"/>
      <c r="PN3" s="1225"/>
      <c r="PO3" s="1225"/>
      <c r="PP3" s="1225"/>
      <c r="PQ3" s="1225"/>
      <c r="PR3" s="1225"/>
      <c r="PS3" s="1225"/>
      <c r="PT3" s="1225"/>
      <c r="PU3" s="1225"/>
      <c r="PV3" s="1225"/>
      <c r="PW3" s="1225"/>
      <c r="PX3" s="1225"/>
      <c r="PY3" s="1225"/>
      <c r="PZ3" s="1225"/>
      <c r="QA3" s="1225"/>
      <c r="QB3" s="1225"/>
      <c r="QC3" s="1225"/>
      <c r="QD3" s="1225"/>
      <c r="QE3" s="1225"/>
      <c r="QF3" s="1225"/>
      <c r="QG3" s="1225"/>
      <c r="QH3" s="1225"/>
      <c r="QI3" s="1225"/>
      <c r="QJ3" s="1225"/>
      <c r="QK3" s="1225"/>
      <c r="QL3" s="1225"/>
      <c r="QM3" s="1225"/>
      <c r="QN3" s="1225"/>
      <c r="QO3" s="1225"/>
      <c r="QP3" s="1225"/>
      <c r="QQ3" s="1225"/>
      <c r="QR3" s="1225"/>
      <c r="QS3" s="1225"/>
      <c r="QT3" s="1225"/>
      <c r="QU3" s="1225"/>
      <c r="QV3" s="1225"/>
      <c r="QW3" s="1225"/>
      <c r="QX3" s="1225"/>
      <c r="QY3" s="1225"/>
      <c r="QZ3" s="1225"/>
      <c r="RA3" s="1225"/>
      <c r="RB3" s="1225"/>
      <c r="RC3" s="1225"/>
      <c r="RD3" s="1225"/>
      <c r="RE3" s="1225"/>
      <c r="RF3" s="1225"/>
      <c r="RG3" s="1225"/>
      <c r="RH3" s="1225"/>
      <c r="RI3" s="1225"/>
      <c r="RJ3" s="1225"/>
      <c r="RK3" s="1225"/>
      <c r="RL3" s="1225"/>
      <c r="RM3" s="1225"/>
      <c r="RN3" s="1225"/>
      <c r="RO3" s="1225"/>
      <c r="RP3" s="1225"/>
      <c r="RQ3" s="1225"/>
      <c r="RR3" s="1225"/>
      <c r="RS3" s="1225"/>
      <c r="RT3" s="1225"/>
      <c r="RU3" s="1225"/>
      <c r="RV3" s="1225"/>
      <c r="RW3" s="1225"/>
      <c r="RX3" s="1225"/>
      <c r="RY3" s="1225"/>
      <c r="RZ3" s="1225"/>
      <c r="SA3" s="1225"/>
      <c r="SB3" s="1225"/>
      <c r="SC3" s="1225"/>
      <c r="SD3" s="1225"/>
      <c r="SE3" s="1225"/>
      <c r="SF3" s="1225"/>
      <c r="SG3" s="1225"/>
      <c r="SH3" s="1225"/>
      <c r="SI3" s="1225"/>
      <c r="SJ3" s="1225"/>
      <c r="SK3" s="1225"/>
      <c r="SL3" s="1225"/>
      <c r="SM3" s="1225"/>
      <c r="SN3" s="1225"/>
      <c r="SO3" s="1225"/>
      <c r="SP3" s="1225"/>
      <c r="SQ3" s="1225"/>
      <c r="SR3" s="1225"/>
      <c r="SS3" s="1225"/>
      <c r="ST3" s="1225"/>
      <c r="SU3" s="1225"/>
      <c r="SV3" s="1225"/>
      <c r="SW3" s="1225"/>
      <c r="SX3" s="1225"/>
      <c r="SY3" s="1225"/>
      <c r="SZ3" s="1225"/>
      <c r="TA3" s="1225"/>
      <c r="TB3" s="1225"/>
      <c r="TC3" s="1225"/>
      <c r="TD3" s="1225"/>
      <c r="TE3" s="1225"/>
      <c r="TF3" s="1225"/>
      <c r="TG3" s="1225"/>
      <c r="TH3" s="1225"/>
      <c r="TI3" s="1225"/>
      <c r="TJ3" s="1225"/>
      <c r="TK3" s="1225"/>
      <c r="TL3" s="1225"/>
      <c r="TM3" s="1225"/>
      <c r="TN3" s="1225"/>
      <c r="TO3" s="1225"/>
      <c r="TP3" s="1225"/>
      <c r="TQ3" s="1225"/>
      <c r="TR3" s="1225"/>
      <c r="TS3" s="1225"/>
      <c r="TT3" s="1225"/>
      <c r="TU3" s="1225"/>
      <c r="TV3" s="1225"/>
      <c r="TW3" s="1225"/>
      <c r="TX3" s="1225"/>
      <c r="TY3" s="1225"/>
      <c r="TZ3" s="1225"/>
      <c r="UA3" s="1225"/>
      <c r="UB3" s="1225"/>
      <c r="UC3" s="1225"/>
      <c r="UD3" s="1225"/>
      <c r="UE3" s="1225"/>
      <c r="UF3" s="1225"/>
      <c r="UG3" s="1225"/>
      <c r="UH3" s="1225"/>
      <c r="UI3" s="1225"/>
      <c r="UJ3" s="1225"/>
      <c r="UK3" s="1225"/>
      <c r="UL3" s="1225"/>
      <c r="UM3" s="1225"/>
      <c r="UN3" s="1225"/>
      <c r="UO3" s="1225"/>
      <c r="UP3" s="1225"/>
      <c r="UQ3" s="1225"/>
      <c r="UR3" s="1225"/>
      <c r="US3" s="1225"/>
      <c r="UT3" s="1225"/>
      <c r="UU3" s="1225"/>
      <c r="UV3" s="1225"/>
      <c r="UW3" s="1225"/>
      <c r="UX3" s="1225"/>
      <c r="UY3" s="1225"/>
      <c r="UZ3" s="1225"/>
      <c r="VA3" s="1225"/>
      <c r="VB3" s="1225"/>
      <c r="VC3" s="1225"/>
      <c r="VD3" s="1225"/>
      <c r="VE3" s="1225"/>
      <c r="VF3" s="1225"/>
      <c r="VG3" s="1225"/>
      <c r="VH3" s="1225"/>
      <c r="VI3" s="1225"/>
      <c r="VJ3" s="1225"/>
      <c r="VK3" s="1225"/>
      <c r="VL3" s="1225"/>
      <c r="VM3" s="1225"/>
      <c r="VN3" s="1225"/>
      <c r="VO3" s="1225"/>
      <c r="VP3" s="1225"/>
      <c r="VQ3" s="1225"/>
      <c r="VR3" s="1225"/>
      <c r="VS3" s="1225"/>
      <c r="VT3" s="1225"/>
      <c r="VU3" s="1225"/>
      <c r="VV3" s="1225"/>
      <c r="VW3" s="1225"/>
      <c r="VX3" s="1225"/>
      <c r="VY3" s="1225"/>
      <c r="VZ3" s="1225"/>
      <c r="WA3" s="1225"/>
      <c r="WB3" s="1225"/>
      <c r="WC3" s="1225"/>
      <c r="WD3" s="1225"/>
      <c r="WE3" s="1225"/>
      <c r="WF3" s="1225"/>
      <c r="WG3" s="1225"/>
      <c r="WH3" s="1225"/>
      <c r="WI3" s="1225"/>
      <c r="WJ3" s="1225"/>
      <c r="WK3" s="1225"/>
      <c r="WL3" s="1225"/>
      <c r="WM3" s="1225"/>
      <c r="WN3" s="1225"/>
      <c r="WO3" s="1225"/>
      <c r="WP3" s="1225"/>
      <c r="WQ3" s="1225"/>
      <c r="WR3" s="1225"/>
      <c r="WS3" s="1225"/>
      <c r="WT3" s="1225"/>
      <c r="WU3" s="1225"/>
      <c r="WV3" s="1225"/>
      <c r="WW3" s="1225"/>
      <c r="WX3" s="1225"/>
      <c r="WY3" s="1225"/>
      <c r="WZ3" s="1225"/>
      <c r="XA3" s="1225"/>
      <c r="XB3" s="1225"/>
      <c r="XC3" s="1225"/>
      <c r="XD3" s="1225"/>
      <c r="XE3" s="1225"/>
      <c r="XF3" s="1225"/>
      <c r="XG3" s="1225"/>
      <c r="XH3" s="1225"/>
      <c r="XI3" s="1225"/>
      <c r="XJ3" s="1225"/>
      <c r="XK3" s="1225"/>
      <c r="XL3" s="1225"/>
      <c r="XM3" s="1225"/>
      <c r="XN3" s="1225"/>
      <c r="XO3" s="1225"/>
      <c r="XP3" s="1225"/>
      <c r="XQ3" s="1225"/>
      <c r="XR3" s="1225"/>
      <c r="XS3" s="1225"/>
      <c r="XT3" s="1225"/>
      <c r="XU3" s="1225"/>
      <c r="XV3" s="1225"/>
      <c r="XW3" s="1225"/>
      <c r="XX3" s="1225"/>
      <c r="XY3" s="1225"/>
      <c r="XZ3" s="1225"/>
      <c r="YA3" s="1225"/>
      <c r="YB3" s="1225"/>
      <c r="YC3" s="1225"/>
      <c r="YD3" s="1225"/>
      <c r="YE3" s="1225"/>
      <c r="YF3" s="1225"/>
      <c r="YG3" s="1225"/>
      <c r="YH3" s="1225"/>
      <c r="YI3" s="1225"/>
      <c r="YJ3" s="1225"/>
      <c r="YK3" s="1225"/>
      <c r="YL3" s="1225"/>
      <c r="YM3" s="1225"/>
      <c r="YN3" s="1225"/>
      <c r="YO3" s="1225"/>
      <c r="YP3" s="1225"/>
      <c r="YQ3" s="1225"/>
      <c r="YR3" s="1225"/>
      <c r="YS3" s="1225"/>
      <c r="YT3" s="1225"/>
      <c r="YU3" s="1225"/>
      <c r="YV3" s="1225"/>
      <c r="YW3" s="1225"/>
      <c r="YX3" s="1225"/>
      <c r="YY3" s="1225"/>
      <c r="YZ3" s="1225"/>
      <c r="ZA3" s="1225"/>
      <c r="ZB3" s="1225"/>
      <c r="ZC3" s="1225"/>
      <c r="ZD3" s="1225"/>
      <c r="ZE3" s="1225"/>
      <c r="ZF3" s="1225"/>
      <c r="ZG3" s="1225"/>
      <c r="ZH3" s="1225"/>
      <c r="ZI3" s="1225"/>
      <c r="ZJ3" s="1225"/>
      <c r="ZK3" s="1225"/>
      <c r="ZL3" s="1225"/>
      <c r="ZM3" s="1225"/>
      <c r="ZN3" s="1225"/>
      <c r="ZO3" s="1225"/>
      <c r="ZP3" s="1225"/>
      <c r="ZQ3" s="1225"/>
      <c r="ZR3" s="1225"/>
      <c r="ZS3" s="1225"/>
      <c r="ZT3" s="1225"/>
      <c r="ZU3" s="1225"/>
      <c r="ZV3" s="1225"/>
      <c r="ZW3" s="1225"/>
      <c r="ZX3" s="1225"/>
      <c r="ZY3" s="1225"/>
      <c r="ZZ3" s="1225"/>
      <c r="AAA3" s="1225"/>
      <c r="AAB3" s="1225"/>
      <c r="AAC3" s="1225"/>
      <c r="AAD3" s="1225"/>
      <c r="AAE3" s="1225"/>
      <c r="AAF3" s="1225"/>
      <c r="AAG3" s="1225"/>
      <c r="AAH3" s="1225"/>
      <c r="AAI3" s="1225"/>
      <c r="AAJ3" s="1225"/>
      <c r="AAK3" s="1225"/>
      <c r="AAL3" s="1225"/>
      <c r="AAM3" s="1225"/>
      <c r="AAN3" s="1225"/>
      <c r="AAO3" s="1225"/>
      <c r="AAP3" s="1225"/>
      <c r="AAQ3" s="1225"/>
      <c r="AAR3" s="1225"/>
      <c r="AAS3" s="1225"/>
      <c r="AAT3" s="1225"/>
      <c r="AAU3" s="1225"/>
      <c r="AAV3" s="1225"/>
      <c r="AAW3" s="1225"/>
      <c r="AAX3" s="1225"/>
      <c r="AAY3" s="1225"/>
      <c r="AAZ3" s="1225"/>
      <c r="ABA3" s="1225"/>
      <c r="ABB3" s="1225"/>
      <c r="ABC3" s="1225"/>
      <c r="ABD3" s="1225"/>
      <c r="ABE3" s="1225"/>
      <c r="ABF3" s="1225"/>
      <c r="ABG3" s="1225"/>
      <c r="ABH3" s="1225"/>
      <c r="ABI3" s="1225"/>
      <c r="ABJ3" s="1225"/>
      <c r="ABK3" s="1225"/>
      <c r="ABL3" s="1225"/>
      <c r="ABM3" s="1225"/>
      <c r="ABN3" s="1225"/>
      <c r="ABO3" s="1225"/>
      <c r="ABP3" s="1225"/>
      <c r="ABQ3" s="1225"/>
      <c r="ABR3" s="1225"/>
      <c r="ABS3" s="1225"/>
      <c r="ABT3" s="1225"/>
      <c r="ABU3" s="1225"/>
      <c r="ABV3" s="1225"/>
      <c r="ABW3" s="1225"/>
      <c r="ABX3" s="1225"/>
      <c r="ABY3" s="1225"/>
      <c r="ABZ3" s="1225"/>
      <c r="ACA3" s="1225"/>
      <c r="ACB3" s="1225"/>
      <c r="ACC3" s="1225"/>
      <c r="ACD3" s="1225"/>
      <c r="ACE3" s="1225"/>
      <c r="ACF3" s="1225"/>
      <c r="ACG3" s="1225"/>
      <c r="ACH3" s="1225"/>
      <c r="ACI3" s="1225"/>
      <c r="ACJ3" s="1225"/>
      <c r="ACK3" s="1225"/>
      <c r="ACL3" s="1225"/>
      <c r="ACM3" s="1225"/>
      <c r="ACN3" s="1225"/>
      <c r="ACO3" s="1225"/>
      <c r="ACP3" s="1225"/>
      <c r="ACQ3" s="1225"/>
      <c r="ACR3" s="1225"/>
      <c r="ACS3" s="1225"/>
      <c r="ACT3" s="1225"/>
      <c r="ACU3" s="1225"/>
      <c r="ACV3" s="1225"/>
      <c r="ACW3" s="1225"/>
      <c r="ACX3" s="1225"/>
      <c r="ACY3" s="1225"/>
      <c r="ACZ3" s="1225"/>
      <c r="ADA3" s="1225"/>
      <c r="ADB3" s="1225"/>
      <c r="ADC3" s="1225"/>
      <c r="ADD3" s="1225"/>
      <c r="ADE3" s="1225"/>
      <c r="ADF3" s="1225"/>
      <c r="ADG3" s="1225"/>
      <c r="ADH3" s="1225"/>
      <c r="ADI3" s="1225"/>
      <c r="ADJ3" s="1225"/>
      <c r="ADK3" s="1225"/>
      <c r="ADL3" s="1225"/>
      <c r="ADM3" s="1225"/>
      <c r="ADN3" s="1225"/>
      <c r="ADO3" s="1225"/>
      <c r="ADP3" s="1225"/>
      <c r="ADQ3" s="1225"/>
      <c r="ADR3" s="1225"/>
      <c r="ADS3" s="1225"/>
      <c r="ADT3" s="1225"/>
      <c r="ADU3" s="1225"/>
      <c r="ADV3" s="1225"/>
      <c r="ADW3" s="1225"/>
      <c r="ADX3" s="1225"/>
      <c r="ADY3" s="1225"/>
      <c r="ADZ3" s="1225"/>
      <c r="AEA3" s="1225"/>
      <c r="AEB3" s="1225"/>
      <c r="AEC3" s="1225"/>
      <c r="AED3" s="1225"/>
      <c r="AEE3" s="1225"/>
      <c r="AEF3" s="1225"/>
      <c r="AEG3" s="1225"/>
      <c r="AEH3" s="1225"/>
      <c r="AEI3" s="1225"/>
      <c r="AEJ3" s="1225"/>
      <c r="AEK3" s="1225"/>
      <c r="AEL3" s="1225"/>
      <c r="AEM3" s="1225"/>
      <c r="AEN3" s="1225"/>
      <c r="AEO3" s="1225"/>
      <c r="AEP3" s="1225"/>
      <c r="AEQ3" s="1225"/>
      <c r="AER3" s="1225"/>
      <c r="AES3" s="1225"/>
      <c r="AET3" s="1225"/>
      <c r="AEU3" s="1225"/>
      <c r="AEV3" s="1225"/>
      <c r="AEW3" s="1225"/>
      <c r="AEX3" s="1225"/>
      <c r="AEY3" s="1225"/>
      <c r="AEZ3" s="1225"/>
      <c r="AFA3" s="1225"/>
      <c r="AFB3" s="1225"/>
      <c r="AFC3" s="1225"/>
      <c r="AFD3" s="1225"/>
      <c r="AFE3" s="1225"/>
      <c r="AFF3" s="1225"/>
      <c r="AFG3" s="1225"/>
      <c r="AFH3" s="1225"/>
      <c r="AFI3" s="1225"/>
      <c r="AFJ3" s="1225"/>
      <c r="AFK3" s="1225"/>
      <c r="AFL3" s="1225"/>
      <c r="AFM3" s="1225"/>
      <c r="AFN3" s="1225"/>
      <c r="AFO3" s="1225"/>
      <c r="AFP3" s="1225"/>
      <c r="AFQ3" s="1225"/>
      <c r="AFR3" s="1225"/>
      <c r="AFS3" s="1225"/>
      <c r="AFT3" s="1225"/>
      <c r="AFU3" s="1225"/>
      <c r="AFV3" s="1225"/>
      <c r="AFW3" s="1225"/>
      <c r="AFX3" s="1225"/>
      <c r="AFY3" s="1225"/>
      <c r="AFZ3" s="1225"/>
      <c r="AGA3" s="1225"/>
      <c r="AGB3" s="1225"/>
      <c r="AGC3" s="1225"/>
      <c r="AGD3" s="1225"/>
      <c r="AGE3" s="1225"/>
      <c r="AGF3" s="1225"/>
      <c r="AGG3" s="1225"/>
      <c r="AGH3" s="1225"/>
      <c r="AGI3" s="1225"/>
      <c r="AGJ3" s="1225"/>
      <c r="AGK3" s="1225"/>
      <c r="AGL3" s="1225"/>
      <c r="AGM3" s="1225"/>
      <c r="AGN3" s="1225"/>
      <c r="AGO3" s="1225"/>
      <c r="AGP3" s="1225"/>
      <c r="AGQ3" s="1225"/>
      <c r="AGR3" s="1225"/>
      <c r="AGS3" s="1225"/>
      <c r="AGT3" s="1225"/>
      <c r="AGU3" s="1225"/>
      <c r="AGV3" s="1225"/>
      <c r="AGW3" s="1225"/>
      <c r="AGX3" s="1225"/>
      <c r="AGY3" s="1225"/>
      <c r="AGZ3" s="1225"/>
      <c r="AHA3" s="1225"/>
      <c r="AHB3" s="1225"/>
      <c r="AHC3" s="1225"/>
      <c r="AHD3" s="1225"/>
      <c r="AHE3" s="1225"/>
      <c r="AHF3" s="1225"/>
      <c r="AHG3" s="1225"/>
      <c r="AHH3" s="1225"/>
      <c r="AHI3" s="1225"/>
      <c r="AHJ3" s="1225"/>
      <c r="AHK3" s="1225"/>
      <c r="AHL3" s="1225"/>
      <c r="AHM3" s="1225"/>
      <c r="AHN3" s="1225"/>
      <c r="AHO3" s="1225"/>
      <c r="AHP3" s="1225"/>
      <c r="AHQ3" s="1225"/>
      <c r="AHR3" s="1225"/>
      <c r="AHS3" s="1225"/>
      <c r="AHT3" s="1225"/>
      <c r="AHU3" s="1225"/>
      <c r="AHV3" s="1225"/>
      <c r="AHW3" s="1225"/>
      <c r="AHX3" s="1225"/>
      <c r="AHY3" s="1225"/>
      <c r="AHZ3" s="1225"/>
      <c r="AIA3" s="1225"/>
      <c r="AIB3" s="1225"/>
      <c r="AIC3" s="1225"/>
      <c r="AID3" s="1225"/>
      <c r="AIE3" s="1225"/>
      <c r="AIF3" s="1225"/>
      <c r="AIG3" s="1225"/>
      <c r="AIH3" s="1225"/>
      <c r="AII3" s="1225"/>
      <c r="AIJ3" s="1225"/>
      <c r="AIK3" s="1225"/>
      <c r="AIL3" s="1225"/>
      <c r="AIM3" s="1225"/>
      <c r="AIN3" s="1225"/>
      <c r="AIO3" s="1225"/>
      <c r="AIP3" s="1225"/>
      <c r="AIQ3" s="1225"/>
      <c r="AIR3" s="1225"/>
      <c r="AIS3" s="1225"/>
      <c r="AIT3" s="1225"/>
      <c r="AIU3" s="1225"/>
      <c r="AIV3" s="1225"/>
      <c r="AIW3" s="1225"/>
      <c r="AIX3" s="1225"/>
      <c r="AIY3" s="1225"/>
      <c r="AIZ3" s="1225"/>
      <c r="AJA3" s="1225"/>
      <c r="AJB3" s="1225"/>
      <c r="AJC3" s="1225"/>
      <c r="AJD3" s="1225"/>
      <c r="AJE3" s="1225"/>
      <c r="AJF3" s="1225"/>
      <c r="AJG3" s="1225"/>
      <c r="AJH3" s="1225"/>
      <c r="AJI3" s="1225"/>
      <c r="AJJ3" s="1225"/>
      <c r="AJK3" s="1225"/>
      <c r="AJL3" s="1225"/>
      <c r="AJM3" s="1225"/>
      <c r="AJN3" s="1225"/>
      <c r="AJO3" s="1225"/>
      <c r="AJP3" s="1225"/>
      <c r="AJQ3" s="1225"/>
      <c r="AJR3" s="1225"/>
      <c r="AJS3" s="1225"/>
      <c r="AJT3" s="1225"/>
      <c r="AJU3" s="1225"/>
      <c r="AJV3" s="1225"/>
      <c r="AJW3" s="1225"/>
      <c r="AJX3" s="1225"/>
      <c r="AJY3" s="1225"/>
      <c r="AJZ3" s="1225"/>
      <c r="AKA3" s="1225"/>
      <c r="AKB3" s="1225"/>
      <c r="AKC3" s="1225"/>
      <c r="AKD3" s="1225"/>
      <c r="AKE3" s="1225"/>
      <c r="AKF3" s="1225"/>
      <c r="AKG3" s="1225"/>
      <c r="AKH3" s="1225"/>
      <c r="AKI3" s="1225"/>
      <c r="AKJ3" s="1225"/>
      <c r="AKK3" s="1225"/>
      <c r="AKL3" s="1225"/>
      <c r="AKM3" s="1225"/>
      <c r="AKN3" s="1225"/>
      <c r="AKO3" s="1225"/>
      <c r="AKP3" s="1225"/>
      <c r="AKQ3" s="1225"/>
      <c r="AKR3" s="1225"/>
      <c r="AKS3" s="1225"/>
      <c r="AKT3" s="1225"/>
      <c r="AKU3" s="1225"/>
      <c r="AKV3" s="1225"/>
      <c r="AKW3" s="1225"/>
      <c r="AKX3" s="1225"/>
      <c r="AKY3" s="1225"/>
      <c r="AKZ3" s="1225"/>
      <c r="ALA3" s="1225"/>
      <c r="ALB3" s="1225"/>
      <c r="ALC3" s="1225"/>
      <c r="ALD3" s="1225"/>
      <c r="ALE3" s="1225"/>
      <c r="ALF3" s="1225"/>
      <c r="ALG3" s="1225"/>
      <c r="ALH3" s="1225"/>
      <c r="ALI3" s="1225"/>
      <c r="ALJ3" s="1225"/>
      <c r="ALK3" s="1225"/>
      <c r="ALL3" s="1225"/>
      <c r="ALM3" s="1225"/>
      <c r="ALN3" s="1225"/>
      <c r="ALO3" s="1225"/>
      <c r="ALP3" s="1225"/>
      <c r="ALQ3" s="1225"/>
      <c r="ALR3" s="1225"/>
      <c r="ALS3" s="1225"/>
      <c r="ALT3" s="1225"/>
      <c r="ALU3" s="1225"/>
      <c r="ALV3" s="1225"/>
      <c r="ALW3" s="1225"/>
      <c r="ALX3" s="1225"/>
      <c r="ALY3" s="1225"/>
      <c r="ALZ3" s="1225"/>
      <c r="AMA3" s="1225"/>
      <c r="AMB3" s="1225"/>
      <c r="AMC3" s="1225"/>
      <c r="AMD3" s="1225"/>
      <c r="AME3" s="1225"/>
      <c r="AMF3" s="1225"/>
      <c r="AMG3" s="1225"/>
      <c r="AMH3" s="1225"/>
      <c r="AMI3" s="1225"/>
      <c r="AMJ3" s="1225"/>
      <c r="AMK3" s="1225"/>
      <c r="AML3" s="1225"/>
      <c r="AMM3" s="1225"/>
      <c r="AMN3" s="1225"/>
      <c r="AMO3" s="1225"/>
      <c r="AMP3" s="1225"/>
      <c r="AMQ3" s="1225"/>
      <c r="AMR3" s="1225"/>
      <c r="AMS3" s="1225"/>
      <c r="AMT3" s="1225"/>
      <c r="AMU3" s="1225"/>
      <c r="AMV3" s="1225"/>
      <c r="AMW3" s="1225"/>
      <c r="AMX3" s="1225"/>
      <c r="AMY3" s="1225"/>
      <c r="AMZ3" s="1225"/>
      <c r="ANA3" s="1225"/>
      <c r="ANB3" s="1225"/>
      <c r="ANC3" s="1225"/>
      <c r="AND3" s="1225"/>
      <c r="ANE3" s="1225"/>
      <c r="ANF3" s="1225"/>
      <c r="ANG3" s="1225"/>
      <c r="ANH3" s="1225"/>
      <c r="ANI3" s="1225"/>
      <c r="ANJ3" s="1225"/>
      <c r="ANK3" s="1225"/>
      <c r="ANL3" s="1225"/>
      <c r="ANM3" s="1225"/>
      <c r="ANN3" s="1225"/>
      <c r="ANO3" s="1225"/>
      <c r="ANP3" s="1225"/>
      <c r="ANQ3" s="1225"/>
      <c r="ANR3" s="1225"/>
      <c r="ANS3" s="1225"/>
      <c r="ANT3" s="1225"/>
      <c r="ANU3" s="1225"/>
      <c r="ANV3" s="1225"/>
      <c r="ANW3" s="1225"/>
      <c r="ANX3" s="1225"/>
      <c r="ANY3" s="1225"/>
      <c r="ANZ3" s="1225"/>
      <c r="AOA3" s="1225"/>
      <c r="AOB3" s="1225"/>
      <c r="AOC3" s="1225"/>
      <c r="AOD3" s="1225"/>
      <c r="AOE3" s="1225"/>
      <c r="AOF3" s="1225"/>
      <c r="AOG3" s="1225"/>
      <c r="AOH3" s="1225"/>
      <c r="AOI3" s="1225"/>
      <c r="AOJ3" s="1225"/>
      <c r="AOK3" s="1225"/>
      <c r="AOL3" s="1225"/>
      <c r="AOM3" s="1225"/>
      <c r="AON3" s="1225"/>
      <c r="AOO3" s="1225"/>
      <c r="AOP3" s="1225"/>
      <c r="AOQ3" s="1225"/>
      <c r="AOR3" s="1225"/>
      <c r="AOS3" s="1225"/>
      <c r="AOT3" s="1225"/>
      <c r="AOU3" s="1225"/>
      <c r="AOV3" s="1225"/>
      <c r="AOW3" s="1225"/>
      <c r="AOX3" s="1225"/>
      <c r="AOY3" s="1225"/>
      <c r="AOZ3" s="1225"/>
      <c r="APA3" s="1225"/>
      <c r="APB3" s="1225"/>
      <c r="APC3" s="1225"/>
      <c r="APD3" s="1225"/>
      <c r="APE3" s="1225"/>
      <c r="APF3" s="1225"/>
      <c r="APG3" s="1225"/>
      <c r="APH3" s="1225"/>
      <c r="API3" s="1225"/>
      <c r="APJ3" s="1225"/>
      <c r="APK3" s="1225"/>
      <c r="APL3" s="1225"/>
      <c r="APM3" s="1225"/>
      <c r="APN3" s="1225"/>
      <c r="APO3" s="1225"/>
      <c r="APP3" s="1225"/>
      <c r="APQ3" s="1225"/>
      <c r="APR3" s="1225"/>
      <c r="APS3" s="1225"/>
      <c r="APT3" s="1225"/>
      <c r="APU3" s="1225"/>
      <c r="APV3" s="1225"/>
      <c r="APW3" s="1225"/>
      <c r="APX3" s="1225"/>
      <c r="APY3" s="1225"/>
      <c r="APZ3" s="1225"/>
      <c r="AQA3" s="1225"/>
      <c r="AQB3" s="1225"/>
      <c r="AQC3" s="1225"/>
      <c r="AQD3" s="1225"/>
      <c r="AQE3" s="1225"/>
      <c r="AQF3" s="1225"/>
      <c r="AQG3" s="1225"/>
      <c r="AQH3" s="1225"/>
      <c r="AQI3" s="1225"/>
      <c r="AQJ3" s="1225"/>
      <c r="AQK3" s="1225"/>
      <c r="AQL3" s="1225"/>
      <c r="AQM3" s="1225"/>
      <c r="AQN3" s="1225"/>
      <c r="AQO3" s="1225"/>
      <c r="AQP3" s="1225"/>
      <c r="AQQ3" s="1225"/>
      <c r="AQR3" s="1225"/>
      <c r="AQS3" s="1225"/>
      <c r="AQT3" s="1225"/>
      <c r="AQU3" s="1225"/>
      <c r="AQV3" s="1225"/>
      <c r="AQW3" s="1225"/>
      <c r="AQX3" s="1225"/>
      <c r="AQY3" s="1225"/>
      <c r="AQZ3" s="1225"/>
      <c r="ARA3" s="1225"/>
      <c r="ARB3" s="1225"/>
      <c r="ARC3" s="1225"/>
      <c r="ARD3" s="1225"/>
      <c r="ARE3" s="1225"/>
      <c r="ARF3" s="1225"/>
      <c r="ARG3" s="1225"/>
      <c r="ARH3" s="1225"/>
      <c r="ARI3" s="1225"/>
      <c r="ARJ3" s="1225"/>
      <c r="ARK3" s="1225"/>
      <c r="ARL3" s="1225"/>
      <c r="ARM3" s="1225"/>
      <c r="ARN3" s="1225"/>
      <c r="ARO3" s="1225"/>
      <c r="ARP3" s="1225"/>
      <c r="ARQ3" s="1225"/>
      <c r="ARR3" s="1225"/>
      <c r="ARS3" s="1225"/>
      <c r="ART3" s="1225"/>
      <c r="ARU3" s="1225"/>
      <c r="ARV3" s="1225"/>
      <c r="ARW3" s="1225"/>
      <c r="ARX3" s="1225"/>
      <c r="ARY3" s="1225"/>
      <c r="ARZ3" s="1225"/>
      <c r="ASA3" s="1225"/>
      <c r="ASB3" s="1225"/>
      <c r="ASC3" s="1225"/>
      <c r="ASD3" s="1225"/>
      <c r="ASE3" s="1225"/>
      <c r="ASF3" s="1225"/>
      <c r="ASG3" s="1225"/>
      <c r="ASH3" s="1225"/>
      <c r="ASI3" s="1225"/>
      <c r="ASJ3" s="1225"/>
      <c r="ASK3" s="1225"/>
      <c r="ASL3" s="1225"/>
      <c r="ASM3" s="1225"/>
      <c r="ASN3" s="1225"/>
      <c r="ASO3" s="1225"/>
      <c r="ASP3" s="1225"/>
      <c r="ASQ3" s="1225"/>
      <c r="ASR3" s="1225"/>
      <c r="ASS3" s="1225"/>
      <c r="AST3" s="1225"/>
      <c r="ASU3" s="1225"/>
      <c r="ASV3" s="1225"/>
      <c r="ASW3" s="1225"/>
      <c r="ASX3" s="1225"/>
      <c r="ASY3" s="1225"/>
      <c r="ASZ3" s="1225"/>
      <c r="ATA3" s="1225"/>
      <c r="ATB3" s="1225"/>
      <c r="ATC3" s="1225"/>
      <c r="ATD3" s="1225"/>
      <c r="ATE3" s="1225"/>
      <c r="ATF3" s="1225"/>
      <c r="ATG3" s="1225"/>
      <c r="ATH3" s="1225"/>
      <c r="ATI3" s="1225"/>
      <c r="ATJ3" s="1225"/>
      <c r="ATK3" s="1225"/>
      <c r="ATL3" s="1225"/>
      <c r="ATM3" s="1225"/>
      <c r="ATN3" s="1225"/>
      <c r="ATO3" s="1225"/>
      <c r="ATP3" s="1225"/>
      <c r="ATQ3" s="1225"/>
      <c r="ATR3" s="1225"/>
      <c r="ATS3" s="1225"/>
      <c r="ATT3" s="1225"/>
      <c r="ATU3" s="1225"/>
      <c r="ATV3" s="1225"/>
      <c r="ATW3" s="1225"/>
      <c r="ATX3" s="1225"/>
      <c r="ATY3" s="1225"/>
      <c r="ATZ3" s="1225"/>
      <c r="AUA3" s="1225"/>
      <c r="AUB3" s="1225"/>
      <c r="AUC3" s="1225"/>
      <c r="AUD3" s="1225"/>
      <c r="AUE3" s="1225"/>
      <c r="AUF3" s="1225"/>
      <c r="AUG3" s="1225"/>
      <c r="AUH3" s="1225"/>
      <c r="AUI3" s="1225"/>
      <c r="AUJ3" s="1225"/>
      <c r="AUK3" s="1225"/>
      <c r="AUL3" s="1225"/>
      <c r="AUM3" s="1225"/>
      <c r="AUN3" s="1225"/>
      <c r="AUO3" s="1225"/>
      <c r="AUP3" s="1225"/>
      <c r="AUQ3" s="1225"/>
      <c r="AUR3" s="1225"/>
      <c r="AUS3" s="1225"/>
      <c r="AUT3" s="1225"/>
      <c r="AUU3" s="1225"/>
      <c r="AUV3" s="1225"/>
      <c r="AUW3" s="1225"/>
      <c r="AUX3" s="1225"/>
      <c r="AUY3" s="1225"/>
      <c r="AUZ3" s="1225"/>
      <c r="AVA3" s="1225"/>
      <c r="AVB3" s="1225"/>
      <c r="AVC3" s="1225"/>
      <c r="AVD3" s="1225"/>
      <c r="AVE3" s="1225"/>
      <c r="AVF3" s="1225"/>
      <c r="AVG3" s="1225"/>
      <c r="AVH3" s="1225"/>
      <c r="AVI3" s="1225"/>
      <c r="AVJ3" s="1225"/>
      <c r="AVK3" s="1225"/>
      <c r="AVL3" s="1225"/>
      <c r="AVM3" s="1225"/>
      <c r="AVN3" s="1225"/>
      <c r="AVO3" s="1225"/>
      <c r="AVP3" s="1225"/>
      <c r="AVQ3" s="1225"/>
      <c r="AVR3" s="1225"/>
      <c r="AVS3" s="1225"/>
      <c r="AVT3" s="1225"/>
      <c r="AVU3" s="1225"/>
      <c r="AVV3" s="1225"/>
      <c r="AVW3" s="1225"/>
      <c r="AVX3" s="1225"/>
      <c r="AVY3" s="1225"/>
      <c r="AVZ3" s="1225"/>
      <c r="AWA3" s="1225"/>
      <c r="AWB3" s="1225"/>
      <c r="AWC3" s="1225"/>
      <c r="AWD3" s="1225"/>
      <c r="AWE3" s="1225"/>
      <c r="AWF3" s="1225"/>
      <c r="AWG3" s="1225"/>
      <c r="AWH3" s="1225"/>
      <c r="AWI3" s="1225"/>
      <c r="AWJ3" s="1225"/>
      <c r="AWK3" s="1225"/>
      <c r="AWL3" s="1225"/>
      <c r="AWM3" s="1225"/>
      <c r="AWN3" s="1225"/>
      <c r="AWO3" s="1225"/>
      <c r="AWP3" s="1225"/>
      <c r="AWQ3" s="1225"/>
      <c r="AWR3" s="1225"/>
      <c r="AWS3" s="1225"/>
      <c r="AWT3" s="1225"/>
      <c r="AWU3" s="1225"/>
      <c r="AWV3" s="1225"/>
      <c r="AWW3" s="1225"/>
      <c r="AWX3" s="1225"/>
      <c r="AWY3" s="1225"/>
      <c r="AWZ3" s="1225"/>
      <c r="AXA3" s="1225"/>
      <c r="AXB3" s="1225"/>
      <c r="AXC3" s="1225"/>
      <c r="AXD3" s="1225"/>
      <c r="AXE3" s="1225"/>
      <c r="AXF3" s="1225"/>
      <c r="AXG3" s="1225"/>
      <c r="AXH3" s="1225"/>
      <c r="AXI3" s="1225"/>
      <c r="AXJ3" s="1225"/>
      <c r="AXK3" s="1225"/>
      <c r="AXL3" s="1225"/>
      <c r="AXM3" s="1225"/>
      <c r="AXN3" s="1225"/>
      <c r="AXO3" s="1225"/>
      <c r="AXP3" s="1225"/>
      <c r="AXQ3" s="1225"/>
      <c r="AXR3" s="1225"/>
      <c r="AXS3" s="1225"/>
      <c r="AXT3" s="1225"/>
      <c r="AXU3" s="1225"/>
      <c r="AXV3" s="1225"/>
      <c r="AXW3" s="1225"/>
      <c r="AXX3" s="1225"/>
      <c r="AXY3" s="1225"/>
      <c r="AXZ3" s="1225"/>
      <c r="AYA3" s="1225"/>
      <c r="AYB3" s="1225"/>
      <c r="AYC3" s="1225"/>
      <c r="AYD3" s="1225"/>
      <c r="AYE3" s="1225"/>
      <c r="AYF3" s="1225"/>
      <c r="AYG3" s="1225"/>
      <c r="AYH3" s="1225"/>
      <c r="AYI3" s="1225"/>
      <c r="AYJ3" s="1225"/>
      <c r="AYK3" s="1225"/>
      <c r="AYL3" s="1225"/>
      <c r="AYM3" s="1225"/>
      <c r="AYN3" s="1225"/>
      <c r="AYO3" s="1225"/>
      <c r="AYP3" s="1225"/>
      <c r="AYQ3" s="1225"/>
      <c r="AYR3" s="1225"/>
      <c r="AYS3" s="1225"/>
      <c r="AYT3" s="1225"/>
      <c r="AYU3" s="1225"/>
      <c r="AYV3" s="1225"/>
      <c r="AYW3" s="1225"/>
      <c r="AYX3" s="1225"/>
      <c r="AYY3" s="1225"/>
      <c r="AYZ3" s="1225"/>
      <c r="AZA3" s="1225"/>
      <c r="AZB3" s="1225"/>
      <c r="AZC3" s="1225"/>
      <c r="AZD3" s="1225"/>
      <c r="AZE3" s="1225"/>
      <c r="AZF3" s="1225"/>
      <c r="AZG3" s="1225"/>
      <c r="AZH3" s="1225"/>
      <c r="AZI3" s="1225"/>
      <c r="AZJ3" s="1225"/>
      <c r="AZK3" s="1225"/>
      <c r="AZL3" s="1225"/>
      <c r="AZM3" s="1225"/>
      <c r="AZN3" s="1225"/>
      <c r="AZO3" s="1225"/>
      <c r="AZP3" s="1225"/>
      <c r="AZQ3" s="1225"/>
      <c r="AZR3" s="1225"/>
      <c r="AZS3" s="1225"/>
      <c r="AZT3" s="1225"/>
      <c r="AZU3" s="1225"/>
      <c r="AZV3" s="1225"/>
      <c r="AZW3" s="1225"/>
      <c r="AZX3" s="1225"/>
      <c r="AZY3" s="1225"/>
      <c r="AZZ3" s="1225"/>
      <c r="BAA3" s="1225"/>
      <c r="BAB3" s="1225"/>
      <c r="BAC3" s="1225"/>
      <c r="BAD3" s="1225"/>
      <c r="BAE3" s="1225"/>
      <c r="BAF3" s="1225"/>
      <c r="BAG3" s="1225"/>
      <c r="BAH3" s="1225"/>
      <c r="BAI3" s="1225"/>
      <c r="BAJ3" s="1225"/>
      <c r="BAK3" s="1225"/>
      <c r="BAL3" s="1225"/>
      <c r="BAM3" s="1225"/>
      <c r="BAN3" s="1225"/>
      <c r="BAO3" s="1225"/>
      <c r="BAP3" s="1225"/>
      <c r="BAQ3" s="1225"/>
      <c r="BAR3" s="1225"/>
      <c r="BAS3" s="1225"/>
      <c r="BAT3" s="1225"/>
      <c r="BAU3" s="1225"/>
      <c r="BAV3" s="1225"/>
      <c r="BAW3" s="1225"/>
      <c r="BAX3" s="1225"/>
      <c r="BAY3" s="1225"/>
      <c r="BAZ3" s="1225"/>
      <c r="BBA3" s="1225"/>
      <c r="BBB3" s="1225"/>
      <c r="BBC3" s="1225"/>
      <c r="BBD3" s="1225"/>
      <c r="BBE3" s="1225"/>
      <c r="BBF3" s="1225"/>
      <c r="BBG3" s="1225"/>
      <c r="BBH3" s="1225"/>
      <c r="BBI3" s="1225"/>
      <c r="BBJ3" s="1225"/>
      <c r="BBK3" s="1225"/>
      <c r="BBL3" s="1225"/>
      <c r="BBM3" s="1225"/>
      <c r="BBN3" s="1225"/>
      <c r="BBO3" s="1225"/>
      <c r="BBP3" s="1225"/>
      <c r="BBQ3" s="1225"/>
      <c r="BBR3" s="1225"/>
      <c r="BBS3" s="1225"/>
      <c r="BBT3" s="1225"/>
      <c r="BBU3" s="1225"/>
      <c r="BBV3" s="1225"/>
      <c r="BBW3" s="1225"/>
      <c r="BBX3" s="1225"/>
      <c r="BBY3" s="1225"/>
      <c r="BBZ3" s="1225"/>
      <c r="BCA3" s="1225"/>
      <c r="BCB3" s="1225"/>
      <c r="BCC3" s="1225"/>
      <c r="BCD3" s="1225"/>
      <c r="BCE3" s="1225"/>
      <c r="BCF3" s="1225"/>
      <c r="BCG3" s="1225"/>
      <c r="BCH3" s="1225"/>
      <c r="BCI3" s="1225"/>
      <c r="BCJ3" s="1225"/>
      <c r="BCK3" s="1225"/>
      <c r="BCL3" s="1225"/>
      <c r="BCM3" s="1225"/>
      <c r="BCN3" s="1225"/>
      <c r="BCO3" s="1225"/>
      <c r="BCP3" s="1225"/>
      <c r="BCQ3" s="1225"/>
      <c r="BCR3" s="1225"/>
      <c r="BCS3" s="1225"/>
      <c r="BCT3" s="1225"/>
      <c r="BCU3" s="1225"/>
      <c r="BCV3" s="1225"/>
      <c r="BCW3" s="1225"/>
      <c r="BCX3" s="1225"/>
      <c r="BCY3" s="1225"/>
      <c r="BCZ3" s="1225"/>
      <c r="BDA3" s="1225"/>
      <c r="BDB3" s="1225"/>
      <c r="BDC3" s="1225"/>
      <c r="BDD3" s="1225"/>
      <c r="BDE3" s="1225"/>
      <c r="BDF3" s="1225"/>
      <c r="BDG3" s="1225"/>
      <c r="BDH3" s="1225"/>
      <c r="BDI3" s="1225"/>
      <c r="BDJ3" s="1225"/>
      <c r="BDK3" s="1225"/>
      <c r="BDL3" s="1225"/>
      <c r="BDM3" s="1225"/>
      <c r="BDN3" s="1225"/>
      <c r="BDO3" s="1225"/>
      <c r="BDP3" s="1225"/>
      <c r="BDQ3" s="1225"/>
      <c r="BDR3" s="1225"/>
      <c r="BDS3" s="1225"/>
      <c r="BDT3" s="1225"/>
      <c r="BDU3" s="1225"/>
      <c r="BDV3" s="1225"/>
      <c r="BDW3" s="1225"/>
      <c r="BDX3" s="1225"/>
      <c r="BDY3" s="1225"/>
      <c r="BDZ3" s="1225"/>
      <c r="BEA3" s="1225"/>
      <c r="BEB3" s="1225"/>
      <c r="BEC3" s="1225"/>
      <c r="BED3" s="1225"/>
      <c r="BEE3" s="1225"/>
      <c r="BEF3" s="1225"/>
      <c r="BEG3" s="1225"/>
      <c r="BEH3" s="1225"/>
      <c r="BEI3" s="1225"/>
      <c r="BEJ3" s="1225"/>
      <c r="BEK3" s="1225"/>
      <c r="BEL3" s="1225"/>
      <c r="BEM3" s="1225"/>
      <c r="BEN3" s="1225"/>
      <c r="BEO3" s="1225"/>
      <c r="BEP3" s="1225"/>
      <c r="BEQ3" s="1225"/>
      <c r="BER3" s="1225"/>
      <c r="BES3" s="1225"/>
      <c r="BET3" s="1225"/>
      <c r="BEU3" s="1225"/>
      <c r="BEV3" s="1225"/>
      <c r="BEW3" s="1225"/>
      <c r="BEX3" s="1225"/>
      <c r="BEY3" s="1225"/>
      <c r="BEZ3" s="1225"/>
      <c r="BFA3" s="1225"/>
      <c r="BFB3" s="1225"/>
      <c r="BFC3" s="1225"/>
      <c r="BFD3" s="1225"/>
      <c r="BFE3" s="1225"/>
      <c r="BFF3" s="1225"/>
      <c r="BFG3" s="1225"/>
      <c r="BFH3" s="1225"/>
      <c r="BFI3" s="1225"/>
      <c r="BFJ3" s="1225"/>
      <c r="BFK3" s="1225"/>
      <c r="BFL3" s="1225"/>
      <c r="BFM3" s="1225"/>
      <c r="BFN3" s="1225"/>
      <c r="BFO3" s="1225"/>
      <c r="BFP3" s="1225"/>
      <c r="BFQ3" s="1225"/>
      <c r="BFR3" s="1225"/>
      <c r="BFS3" s="1225"/>
      <c r="BFT3" s="1225"/>
      <c r="BFU3" s="1225"/>
      <c r="BFV3" s="1225"/>
      <c r="BFW3" s="1225"/>
      <c r="BFX3" s="1225"/>
      <c r="BFY3" s="1225"/>
      <c r="BFZ3" s="1225"/>
      <c r="BGA3" s="1225"/>
      <c r="BGB3" s="1225"/>
      <c r="BGC3" s="1225"/>
      <c r="BGD3" s="1225"/>
      <c r="BGE3" s="1225"/>
      <c r="BGF3" s="1225"/>
      <c r="BGG3" s="1225"/>
      <c r="BGH3" s="1225"/>
      <c r="BGI3" s="1225"/>
      <c r="BGJ3" s="1225"/>
      <c r="BGK3" s="1225"/>
      <c r="BGL3" s="1225"/>
      <c r="BGM3" s="1225"/>
      <c r="BGN3" s="1225"/>
      <c r="BGO3" s="1225"/>
      <c r="BGP3" s="1225"/>
      <c r="BGQ3" s="1225"/>
      <c r="BGR3" s="1225"/>
      <c r="BGS3" s="1225"/>
      <c r="BGT3" s="1225"/>
      <c r="BGU3" s="1225"/>
      <c r="BGV3" s="1225"/>
      <c r="BGW3" s="1225"/>
      <c r="BGX3" s="1225"/>
      <c r="BGY3" s="1225"/>
      <c r="BGZ3" s="1225"/>
      <c r="BHA3" s="1225"/>
      <c r="BHB3" s="1225"/>
      <c r="BHC3" s="1225"/>
      <c r="BHD3" s="1225"/>
      <c r="BHE3" s="1225"/>
      <c r="BHF3" s="1225"/>
      <c r="BHG3" s="1225"/>
      <c r="BHH3" s="1225"/>
      <c r="BHI3" s="1225"/>
      <c r="BHJ3" s="1225"/>
      <c r="BHK3" s="1225"/>
      <c r="BHL3" s="1225"/>
      <c r="BHM3" s="1225"/>
      <c r="BHN3" s="1225"/>
      <c r="BHO3" s="1225"/>
      <c r="BHP3" s="1225"/>
      <c r="BHQ3" s="1225"/>
      <c r="BHR3" s="1225"/>
      <c r="BHS3" s="1225"/>
      <c r="BHT3" s="1225"/>
      <c r="BHU3" s="1225"/>
      <c r="BHV3" s="1225"/>
      <c r="BHW3" s="1225"/>
      <c r="BHX3" s="1225"/>
      <c r="BHY3" s="1225"/>
      <c r="BHZ3" s="1225"/>
      <c r="BIA3" s="1225"/>
      <c r="BIB3" s="1225"/>
      <c r="BIC3" s="1225"/>
      <c r="BID3" s="1225"/>
      <c r="BIE3" s="1225"/>
      <c r="BIF3" s="1225"/>
      <c r="BIG3" s="1225"/>
      <c r="BIH3" s="1225"/>
      <c r="BII3" s="1225"/>
      <c r="BIJ3" s="1225"/>
      <c r="BIK3" s="1225"/>
      <c r="BIL3" s="1225"/>
      <c r="BIM3" s="1225"/>
      <c r="BIN3" s="1225"/>
      <c r="BIO3" s="1225"/>
      <c r="BIP3" s="1225"/>
      <c r="BIQ3" s="1225"/>
      <c r="BIR3" s="1225"/>
      <c r="BIS3" s="1225"/>
      <c r="BIT3" s="1225"/>
      <c r="BIU3" s="1225"/>
      <c r="BIV3" s="1225"/>
      <c r="BIW3" s="1225"/>
      <c r="BIX3" s="1225"/>
      <c r="BIY3" s="1225"/>
      <c r="BIZ3" s="1225"/>
      <c r="BJA3" s="1225"/>
      <c r="BJB3" s="1225"/>
      <c r="BJC3" s="1225"/>
      <c r="BJD3" s="1225"/>
      <c r="BJE3" s="1225"/>
      <c r="BJF3" s="1225"/>
      <c r="BJG3" s="1225"/>
      <c r="BJH3" s="1225"/>
      <c r="BJI3" s="1225"/>
      <c r="BJJ3" s="1225"/>
      <c r="BJK3" s="1225"/>
      <c r="BJL3" s="1225"/>
      <c r="BJM3" s="1225"/>
      <c r="BJN3" s="1225"/>
      <c r="BJO3" s="1225"/>
      <c r="BJP3" s="1225"/>
      <c r="BJQ3" s="1225"/>
      <c r="BJR3" s="1225"/>
      <c r="BJS3" s="1225"/>
      <c r="BJT3" s="1225"/>
      <c r="BJU3" s="1225"/>
      <c r="BJV3" s="1225"/>
      <c r="BJW3" s="1225"/>
      <c r="BJX3" s="1225"/>
      <c r="BJY3" s="1225"/>
      <c r="BJZ3" s="1225"/>
      <c r="BKA3" s="1225"/>
      <c r="BKB3" s="1225"/>
      <c r="BKC3" s="1225"/>
      <c r="BKD3" s="1225"/>
      <c r="BKE3" s="1225"/>
      <c r="BKF3" s="1225"/>
      <c r="BKG3" s="1225"/>
      <c r="BKH3" s="1225"/>
      <c r="BKI3" s="1225"/>
      <c r="BKJ3" s="1225"/>
      <c r="BKK3" s="1225"/>
      <c r="BKL3" s="1225"/>
      <c r="BKM3" s="1225"/>
      <c r="BKN3" s="1225"/>
      <c r="BKO3" s="1225"/>
      <c r="BKP3" s="1225"/>
      <c r="BKQ3" s="1225"/>
      <c r="BKR3" s="1225"/>
      <c r="BKS3" s="1225"/>
      <c r="BKT3" s="1225"/>
      <c r="BKU3" s="1225"/>
      <c r="BKV3" s="1225"/>
      <c r="BKW3" s="1225"/>
      <c r="BKX3" s="1225"/>
      <c r="BKY3" s="1225"/>
      <c r="BKZ3" s="1225"/>
      <c r="BLA3" s="1225"/>
      <c r="BLB3" s="1225"/>
      <c r="BLC3" s="1225"/>
      <c r="BLD3" s="1225"/>
      <c r="BLE3" s="1225"/>
      <c r="BLF3" s="1225"/>
      <c r="BLG3" s="1225"/>
      <c r="BLH3" s="1225"/>
      <c r="BLI3" s="1225"/>
      <c r="BLJ3" s="1225"/>
      <c r="BLK3" s="1225"/>
      <c r="BLL3" s="1225"/>
      <c r="BLM3" s="1225"/>
      <c r="BLN3" s="1225"/>
      <c r="BLO3" s="1225"/>
      <c r="BLP3" s="1225"/>
      <c r="BLQ3" s="1225"/>
      <c r="BLR3" s="1225"/>
      <c r="BLS3" s="1225"/>
      <c r="BLT3" s="1225"/>
      <c r="BLU3" s="1225"/>
      <c r="BLV3" s="1225"/>
      <c r="BLW3" s="1225"/>
      <c r="BLX3" s="1225"/>
      <c r="BLY3" s="1225"/>
      <c r="BLZ3" s="1225"/>
      <c r="BMA3" s="1225"/>
      <c r="BMB3" s="1225"/>
      <c r="BMC3" s="1225"/>
      <c r="BMD3" s="1225"/>
      <c r="BME3" s="1225"/>
      <c r="BMF3" s="1225"/>
      <c r="BMG3" s="1225"/>
      <c r="BMH3" s="1225"/>
      <c r="BMI3" s="1225"/>
      <c r="BMJ3" s="1225"/>
      <c r="BMK3" s="1225"/>
      <c r="BML3" s="1225"/>
      <c r="BMM3" s="1225"/>
      <c r="BMN3" s="1225"/>
      <c r="BMO3" s="1225"/>
      <c r="BMP3" s="1225"/>
      <c r="BMQ3" s="1225"/>
      <c r="BMR3" s="1225"/>
      <c r="BMS3" s="1225"/>
      <c r="BMT3" s="1225"/>
      <c r="BMU3" s="1225"/>
      <c r="BMV3" s="1225"/>
      <c r="BMW3" s="1225"/>
      <c r="BMX3" s="1225"/>
      <c r="BMY3" s="1225"/>
      <c r="BMZ3" s="1225"/>
      <c r="BNA3" s="1225"/>
      <c r="BNB3" s="1225"/>
      <c r="BNC3" s="1225"/>
      <c r="BND3" s="1225"/>
      <c r="BNE3" s="1225"/>
      <c r="BNF3" s="1225"/>
      <c r="BNG3" s="1225"/>
      <c r="BNH3" s="1225"/>
      <c r="BNI3" s="1225"/>
      <c r="BNJ3" s="1225"/>
      <c r="BNK3" s="1225"/>
      <c r="BNL3" s="1225"/>
      <c r="BNM3" s="1225"/>
      <c r="BNN3" s="1225"/>
      <c r="BNO3" s="1225"/>
      <c r="BNP3" s="1225"/>
      <c r="BNQ3" s="1225"/>
      <c r="BNR3" s="1225"/>
      <c r="BNS3" s="1225"/>
      <c r="BNT3" s="1225"/>
      <c r="BNU3" s="1225"/>
      <c r="BNV3" s="1225"/>
      <c r="BNW3" s="1225"/>
      <c r="BNX3" s="1225"/>
      <c r="BNY3" s="1225"/>
      <c r="BNZ3" s="1225"/>
      <c r="BOA3" s="1225"/>
      <c r="BOB3" s="1225"/>
      <c r="BOC3" s="1225"/>
      <c r="BOD3" s="1225"/>
      <c r="BOE3" s="1225"/>
      <c r="BOF3" s="1225"/>
      <c r="BOG3" s="1225"/>
      <c r="BOH3" s="1225"/>
      <c r="BOI3" s="1225"/>
      <c r="BOJ3" s="1225"/>
      <c r="BOK3" s="1225"/>
      <c r="BOL3" s="1225"/>
      <c r="BOM3" s="1225"/>
      <c r="BON3" s="1225"/>
      <c r="BOO3" s="1225"/>
      <c r="BOP3" s="1225"/>
      <c r="BOQ3" s="1225"/>
      <c r="BOR3" s="1225"/>
      <c r="BOS3" s="1225"/>
      <c r="BOT3" s="1225"/>
      <c r="BOU3" s="1225"/>
      <c r="BOV3" s="1225"/>
      <c r="BOW3" s="1225"/>
      <c r="BOX3" s="1225"/>
      <c r="BOY3" s="1225"/>
      <c r="BOZ3" s="1225"/>
      <c r="BPA3" s="1225"/>
      <c r="BPB3" s="1225"/>
      <c r="BPC3" s="1225"/>
      <c r="BPD3" s="1225"/>
      <c r="BPE3" s="1225"/>
      <c r="BPF3" s="1225"/>
      <c r="BPG3" s="1225"/>
      <c r="BPH3" s="1225"/>
      <c r="BPI3" s="1225"/>
      <c r="BPJ3" s="1225"/>
      <c r="BPK3" s="1225"/>
      <c r="BPL3" s="1225"/>
      <c r="BPM3" s="1225"/>
      <c r="BPN3" s="1225"/>
      <c r="BPO3" s="1225"/>
      <c r="BPP3" s="1225"/>
      <c r="BPQ3" s="1225"/>
      <c r="BPR3" s="1225"/>
      <c r="BPS3" s="1225"/>
      <c r="BPT3" s="1225"/>
      <c r="BPU3" s="1225"/>
      <c r="BPV3" s="1225"/>
      <c r="BPW3" s="1225"/>
      <c r="BPX3" s="1225"/>
      <c r="BPY3" s="1225"/>
      <c r="BPZ3" s="1225"/>
      <c r="BQA3" s="1225"/>
      <c r="BQB3" s="1225"/>
      <c r="BQC3" s="1225"/>
      <c r="BQD3" s="1225"/>
      <c r="BQE3" s="1225"/>
      <c r="BQF3" s="1225"/>
      <c r="BQG3" s="1225"/>
      <c r="BQH3" s="1225"/>
      <c r="BQI3" s="1225"/>
      <c r="BQJ3" s="1225"/>
      <c r="BQK3" s="1225"/>
      <c r="BQL3" s="1225"/>
      <c r="BQM3" s="1225"/>
      <c r="BQN3" s="1225"/>
      <c r="BQO3" s="1225"/>
      <c r="BQP3" s="1225"/>
      <c r="BQQ3" s="1225"/>
      <c r="BQR3" s="1225"/>
      <c r="BQS3" s="1225"/>
      <c r="BQT3" s="1225"/>
      <c r="BQU3" s="1225"/>
      <c r="BQV3" s="1225"/>
      <c r="BQW3" s="1225"/>
      <c r="BQX3" s="1225"/>
      <c r="BQY3" s="1225"/>
      <c r="BQZ3" s="1225"/>
      <c r="BRA3" s="1225"/>
      <c r="BRB3" s="1225"/>
      <c r="BRC3" s="1225"/>
      <c r="BRD3" s="1225"/>
      <c r="BRE3" s="1225"/>
      <c r="BRF3" s="1225"/>
      <c r="BRG3" s="1225"/>
      <c r="BRH3" s="1225"/>
      <c r="BRI3" s="1225"/>
      <c r="BRJ3" s="1225"/>
      <c r="BRK3" s="1225"/>
      <c r="BRL3" s="1225"/>
      <c r="BRM3" s="1225"/>
      <c r="BRN3" s="1225"/>
      <c r="BRO3" s="1225"/>
      <c r="BRP3" s="1225"/>
      <c r="BRQ3" s="1225"/>
      <c r="BRR3" s="1225"/>
      <c r="BRS3" s="1225"/>
      <c r="BRT3" s="1225"/>
      <c r="BRU3" s="1225"/>
      <c r="BRV3" s="1225"/>
      <c r="BRW3" s="1225"/>
      <c r="BRX3" s="1225"/>
      <c r="BRY3" s="1225"/>
      <c r="BRZ3" s="1225"/>
      <c r="BSA3" s="1225"/>
      <c r="BSB3" s="1225"/>
      <c r="BSC3" s="1225"/>
      <c r="BSD3" s="1225"/>
      <c r="BSE3" s="1225"/>
      <c r="BSF3" s="1225"/>
      <c r="BSG3" s="1225"/>
      <c r="BSH3" s="1225"/>
      <c r="BSI3" s="1225"/>
      <c r="BSJ3" s="1225"/>
      <c r="BSK3" s="1225"/>
      <c r="BSL3" s="1225"/>
      <c r="BSM3" s="1225"/>
      <c r="BSN3" s="1225"/>
      <c r="BSO3" s="1225"/>
      <c r="BSP3" s="1225"/>
      <c r="BSQ3" s="1225"/>
      <c r="BSR3" s="1225"/>
      <c r="BSS3" s="1225"/>
      <c r="BST3" s="1225"/>
      <c r="BSU3" s="1225"/>
      <c r="BSV3" s="1225"/>
      <c r="BSW3" s="1225"/>
      <c r="BSX3" s="1225"/>
      <c r="BSY3" s="1225"/>
      <c r="BSZ3" s="1225"/>
      <c r="BTA3" s="1225"/>
      <c r="BTB3" s="1225"/>
      <c r="BTC3" s="1225"/>
      <c r="BTD3" s="1225"/>
      <c r="BTE3" s="1225"/>
      <c r="BTF3" s="1225"/>
      <c r="BTG3" s="1225"/>
      <c r="BTH3" s="1225"/>
      <c r="BTI3" s="1225"/>
      <c r="BTJ3" s="1225"/>
      <c r="BTK3" s="1225"/>
      <c r="BTL3" s="1225"/>
      <c r="BTM3" s="1225"/>
      <c r="BTN3" s="1225"/>
      <c r="BTO3" s="1225"/>
      <c r="BTP3" s="1225"/>
      <c r="BTQ3" s="1225"/>
      <c r="BTR3" s="1225"/>
      <c r="BTS3" s="1225"/>
      <c r="BTT3" s="1225"/>
      <c r="BTU3" s="1225"/>
      <c r="BTV3" s="1225"/>
      <c r="BTW3" s="1225"/>
      <c r="BTX3" s="1225"/>
      <c r="BTY3" s="1225"/>
      <c r="BTZ3" s="1225"/>
      <c r="BUA3" s="1225"/>
      <c r="BUB3" s="1225"/>
      <c r="BUC3" s="1225"/>
      <c r="BUD3" s="1225"/>
      <c r="BUE3" s="1225"/>
      <c r="BUF3" s="1225"/>
      <c r="BUG3" s="1225"/>
      <c r="BUH3" s="1225"/>
      <c r="BUI3" s="1225"/>
      <c r="BUJ3" s="1225"/>
      <c r="BUK3" s="1225"/>
      <c r="BUL3" s="1225"/>
      <c r="BUM3" s="1225"/>
      <c r="BUN3" s="1225"/>
      <c r="BUO3" s="1225"/>
      <c r="BUP3" s="1225"/>
      <c r="BUQ3" s="1225"/>
      <c r="BUR3" s="1225"/>
      <c r="BUS3" s="1225"/>
      <c r="BUT3" s="1225"/>
      <c r="BUU3" s="1225"/>
      <c r="BUV3" s="1225"/>
      <c r="BUW3" s="1225"/>
      <c r="BUX3" s="1225"/>
      <c r="BUY3" s="1225"/>
      <c r="BUZ3" s="1225"/>
      <c r="BVA3" s="1225"/>
      <c r="BVB3" s="1225"/>
      <c r="BVC3" s="1225"/>
      <c r="BVD3" s="1225"/>
      <c r="BVE3" s="1225"/>
      <c r="BVF3" s="1225"/>
      <c r="BVG3" s="1225"/>
      <c r="BVH3" s="1225"/>
      <c r="BVI3" s="1225"/>
      <c r="BVJ3" s="1225"/>
      <c r="BVK3" s="1225"/>
      <c r="BVL3" s="1225"/>
      <c r="BVM3" s="1225"/>
      <c r="BVN3" s="1225"/>
      <c r="BVO3" s="1225"/>
      <c r="BVP3" s="1225"/>
      <c r="BVQ3" s="1225"/>
      <c r="BVR3" s="1225"/>
      <c r="BVS3" s="1225"/>
      <c r="BVT3" s="1225"/>
      <c r="BVU3" s="1225"/>
      <c r="BVV3" s="1225"/>
      <c r="BVW3" s="1225"/>
      <c r="BVX3" s="1225"/>
      <c r="BVY3" s="1225"/>
      <c r="BVZ3" s="1225"/>
      <c r="BWA3" s="1225"/>
      <c r="BWB3" s="1225"/>
      <c r="BWC3" s="1225"/>
      <c r="BWD3" s="1225"/>
      <c r="BWE3" s="1225"/>
      <c r="BWF3" s="1225"/>
      <c r="BWG3" s="1225"/>
      <c r="BWH3" s="1225"/>
      <c r="BWI3" s="1225"/>
      <c r="BWJ3" s="1225"/>
      <c r="BWK3" s="1225"/>
      <c r="BWL3" s="1225"/>
      <c r="BWM3" s="1225"/>
      <c r="BWN3" s="1225"/>
      <c r="BWO3" s="1225"/>
      <c r="BWP3" s="1225"/>
      <c r="BWQ3" s="1225"/>
      <c r="BWR3" s="1225"/>
      <c r="BWS3" s="1225"/>
      <c r="BWT3" s="1225"/>
      <c r="BWU3" s="1225"/>
      <c r="BWV3" s="1225"/>
      <c r="BWW3" s="1225"/>
      <c r="BWX3" s="1225"/>
      <c r="BWY3" s="1225"/>
      <c r="BWZ3" s="1225"/>
      <c r="BXA3" s="1225"/>
      <c r="BXB3" s="1225"/>
      <c r="BXC3" s="1225"/>
      <c r="BXD3" s="1225"/>
      <c r="BXE3" s="1225"/>
      <c r="BXF3" s="1225"/>
      <c r="BXG3" s="1225"/>
      <c r="BXH3" s="1225"/>
      <c r="BXI3" s="1225"/>
      <c r="BXJ3" s="1225"/>
      <c r="BXK3" s="1225"/>
      <c r="BXL3" s="1225"/>
      <c r="BXM3" s="1225"/>
      <c r="BXN3" s="1225"/>
      <c r="BXO3" s="1225"/>
      <c r="BXP3" s="1225"/>
      <c r="BXQ3" s="1225"/>
      <c r="BXR3" s="1225"/>
      <c r="BXS3" s="1225"/>
      <c r="BXT3" s="1225"/>
      <c r="BXU3" s="1225"/>
      <c r="BXV3" s="1225"/>
      <c r="BXW3" s="1225"/>
      <c r="BXX3" s="1225"/>
      <c r="BXY3" s="1225"/>
      <c r="BXZ3" s="1225"/>
      <c r="BYA3" s="1225"/>
      <c r="BYB3" s="1225"/>
      <c r="BYC3" s="1225"/>
      <c r="BYD3" s="1225"/>
      <c r="BYE3" s="1225"/>
      <c r="BYF3" s="1225"/>
      <c r="BYG3" s="1225"/>
      <c r="BYH3" s="1225"/>
      <c r="BYI3" s="1225"/>
      <c r="BYJ3" s="1225"/>
      <c r="BYK3" s="1225"/>
      <c r="BYL3" s="1225"/>
      <c r="BYM3" s="1225"/>
      <c r="BYN3" s="1225"/>
      <c r="BYO3" s="1225"/>
      <c r="BYP3" s="1225"/>
      <c r="BYQ3" s="1225"/>
      <c r="BYR3" s="1225"/>
      <c r="BYS3" s="1225"/>
      <c r="BYT3" s="1225"/>
      <c r="BYU3" s="1225"/>
      <c r="BYV3" s="1225"/>
      <c r="BYW3" s="1225"/>
      <c r="BYX3" s="1225"/>
      <c r="BYY3" s="1225"/>
      <c r="BYZ3" s="1225"/>
      <c r="BZA3" s="1225"/>
      <c r="BZB3" s="1225"/>
      <c r="BZC3" s="1225"/>
      <c r="BZD3" s="1225"/>
      <c r="BZE3" s="1225"/>
      <c r="BZF3" s="1225"/>
      <c r="BZG3" s="1225"/>
      <c r="BZH3" s="1225"/>
      <c r="BZI3" s="1225"/>
      <c r="BZJ3" s="1225"/>
      <c r="BZK3" s="1225"/>
      <c r="BZL3" s="1225"/>
      <c r="BZM3" s="1225"/>
      <c r="BZN3" s="1225"/>
      <c r="BZO3" s="1225"/>
      <c r="BZP3" s="1225"/>
      <c r="BZQ3" s="1225"/>
      <c r="BZR3" s="1225"/>
      <c r="BZS3" s="1225"/>
      <c r="BZT3" s="1225"/>
      <c r="BZU3" s="1225"/>
      <c r="BZV3" s="1225"/>
      <c r="BZW3" s="1225"/>
      <c r="BZX3" s="1225"/>
      <c r="BZY3" s="1225"/>
      <c r="BZZ3" s="1225"/>
      <c r="CAA3" s="1225"/>
      <c r="CAB3" s="1225"/>
      <c r="CAC3" s="1225"/>
      <c r="CAD3" s="1225"/>
      <c r="CAE3" s="1225"/>
      <c r="CAF3" s="1225"/>
      <c r="CAG3" s="1225"/>
      <c r="CAH3" s="1225"/>
      <c r="CAI3" s="1225"/>
      <c r="CAJ3" s="1225"/>
      <c r="CAK3" s="1225"/>
      <c r="CAL3" s="1225"/>
      <c r="CAM3" s="1225"/>
      <c r="CAN3" s="1225"/>
      <c r="CAO3" s="1225"/>
      <c r="CAP3" s="1225"/>
      <c r="CAQ3" s="1225"/>
      <c r="CAR3" s="1225"/>
      <c r="CAS3" s="1225"/>
      <c r="CAT3" s="1225"/>
      <c r="CAU3" s="1225"/>
      <c r="CAV3" s="1225"/>
      <c r="CAW3" s="1225"/>
      <c r="CAX3" s="1225"/>
      <c r="CAY3" s="1225"/>
      <c r="CAZ3" s="1225"/>
      <c r="CBA3" s="1225"/>
      <c r="CBB3" s="1225"/>
      <c r="CBC3" s="1225"/>
      <c r="CBD3" s="1225"/>
      <c r="CBE3" s="1225"/>
      <c r="CBF3" s="1225"/>
      <c r="CBG3" s="1225"/>
      <c r="CBH3" s="1225"/>
      <c r="CBI3" s="1225"/>
      <c r="CBJ3" s="1225"/>
      <c r="CBK3" s="1225"/>
      <c r="CBL3" s="1225"/>
      <c r="CBM3" s="1225"/>
      <c r="CBN3" s="1225"/>
      <c r="CBO3" s="1225"/>
      <c r="CBP3" s="1225"/>
      <c r="CBQ3" s="1225"/>
      <c r="CBR3" s="1225"/>
      <c r="CBS3" s="1225"/>
      <c r="CBT3" s="1225"/>
      <c r="CBU3" s="1225"/>
      <c r="CBV3" s="1225"/>
      <c r="CBW3" s="1225"/>
      <c r="CBX3" s="1225"/>
      <c r="CBY3" s="1225"/>
      <c r="CBZ3" s="1225"/>
      <c r="CCA3" s="1225"/>
      <c r="CCB3" s="1225"/>
      <c r="CCC3" s="1225"/>
      <c r="CCD3" s="1225"/>
      <c r="CCE3" s="1225"/>
      <c r="CCF3" s="1225"/>
      <c r="CCG3" s="1225"/>
      <c r="CCH3" s="1225"/>
      <c r="CCI3" s="1225"/>
      <c r="CCJ3" s="1225"/>
      <c r="CCK3" s="1225"/>
      <c r="CCL3" s="1225"/>
      <c r="CCM3" s="1225"/>
      <c r="CCN3" s="1225"/>
      <c r="CCO3" s="1225"/>
      <c r="CCP3" s="1225"/>
      <c r="CCQ3" s="1225"/>
      <c r="CCR3" s="1225"/>
      <c r="CCS3" s="1225"/>
      <c r="CCT3" s="1225"/>
      <c r="CCU3" s="1225"/>
      <c r="CCV3" s="1225"/>
      <c r="CCW3" s="1225"/>
      <c r="CCX3" s="1225"/>
      <c r="CCY3" s="1225"/>
      <c r="CCZ3" s="1225"/>
      <c r="CDA3" s="1225"/>
      <c r="CDB3" s="1225"/>
      <c r="CDC3" s="1225"/>
      <c r="CDD3" s="1225"/>
      <c r="CDE3" s="1225"/>
      <c r="CDF3" s="1225"/>
      <c r="CDG3" s="1225"/>
      <c r="CDH3" s="1225"/>
      <c r="CDI3" s="1225"/>
      <c r="CDJ3" s="1225"/>
      <c r="CDK3" s="1225"/>
      <c r="CDL3" s="1225"/>
      <c r="CDM3" s="1225"/>
      <c r="CDN3" s="1225"/>
      <c r="CDO3" s="1225"/>
      <c r="CDP3" s="1225"/>
      <c r="CDQ3" s="1225"/>
      <c r="CDR3" s="1225"/>
      <c r="CDS3" s="1225"/>
      <c r="CDT3" s="1225"/>
      <c r="CDU3" s="1225"/>
      <c r="CDV3" s="1225"/>
      <c r="CDW3" s="1225"/>
      <c r="CDX3" s="1225"/>
      <c r="CDY3" s="1225"/>
      <c r="CDZ3" s="1225"/>
      <c r="CEA3" s="1225"/>
      <c r="CEB3" s="1225"/>
      <c r="CEC3" s="1225"/>
      <c r="CED3" s="1225"/>
      <c r="CEE3" s="1225"/>
      <c r="CEF3" s="1225"/>
      <c r="CEG3" s="1225"/>
      <c r="CEH3" s="1225"/>
      <c r="CEI3" s="1225"/>
      <c r="CEJ3" s="1225"/>
      <c r="CEK3" s="1225"/>
      <c r="CEL3" s="1225"/>
      <c r="CEM3" s="1225"/>
      <c r="CEN3" s="1225"/>
      <c r="CEO3" s="1225"/>
      <c r="CEP3" s="1225"/>
      <c r="CEQ3" s="1225"/>
      <c r="CER3" s="1225"/>
      <c r="CES3" s="1225"/>
      <c r="CET3" s="1225"/>
      <c r="CEU3" s="1225"/>
      <c r="CEV3" s="1225"/>
      <c r="CEW3" s="1225"/>
      <c r="CEX3" s="1225"/>
      <c r="CEY3" s="1225"/>
      <c r="CEZ3" s="1225"/>
      <c r="CFA3" s="1225"/>
      <c r="CFB3" s="1225"/>
      <c r="CFC3" s="1225"/>
      <c r="CFD3" s="1225"/>
      <c r="CFE3" s="1225"/>
      <c r="CFF3" s="1225"/>
      <c r="CFG3" s="1225"/>
      <c r="CFH3" s="1225"/>
      <c r="CFI3" s="1225"/>
      <c r="CFJ3" s="1225"/>
      <c r="CFK3" s="1225"/>
      <c r="CFL3" s="1225"/>
      <c r="CFM3" s="1225"/>
      <c r="CFN3" s="1225"/>
      <c r="CFO3" s="1225"/>
      <c r="CFP3" s="1225"/>
      <c r="CFQ3" s="1225"/>
      <c r="CFR3" s="1225"/>
      <c r="CFS3" s="1225"/>
      <c r="CFT3" s="1225"/>
      <c r="CFU3" s="1225"/>
      <c r="CFV3" s="1225"/>
      <c r="CFW3" s="1225"/>
      <c r="CFX3" s="1225"/>
      <c r="CFY3" s="1225"/>
      <c r="CFZ3" s="1225"/>
      <c r="CGA3" s="1225"/>
      <c r="CGB3" s="1225"/>
      <c r="CGC3" s="1225"/>
      <c r="CGD3" s="1225"/>
      <c r="CGE3" s="1225"/>
      <c r="CGF3" s="1225"/>
      <c r="CGG3" s="1225"/>
      <c r="CGH3" s="1225"/>
      <c r="CGI3" s="1225"/>
      <c r="CGJ3" s="1225"/>
      <c r="CGK3" s="1225"/>
      <c r="CGL3" s="1225"/>
      <c r="CGM3" s="1225"/>
      <c r="CGN3" s="1225"/>
      <c r="CGO3" s="1225"/>
      <c r="CGP3" s="1225"/>
      <c r="CGQ3" s="1225"/>
      <c r="CGR3" s="1225"/>
      <c r="CGS3" s="1225"/>
      <c r="CGT3" s="1225"/>
      <c r="CGU3" s="1225"/>
      <c r="CGV3" s="1225"/>
      <c r="CGW3" s="1225"/>
      <c r="CGX3" s="1225"/>
      <c r="CGY3" s="1225"/>
      <c r="CGZ3" s="1225"/>
      <c r="CHA3" s="1225"/>
      <c r="CHB3" s="1225"/>
      <c r="CHC3" s="1225"/>
      <c r="CHD3" s="1225"/>
      <c r="CHE3" s="1225"/>
      <c r="CHF3" s="1225"/>
      <c r="CHG3" s="1225"/>
      <c r="CHH3" s="1225"/>
      <c r="CHI3" s="1225"/>
      <c r="CHJ3" s="1225"/>
      <c r="CHK3" s="1225"/>
      <c r="CHL3" s="1225"/>
      <c r="CHM3" s="1225"/>
      <c r="CHN3" s="1225"/>
      <c r="CHO3" s="1225"/>
      <c r="CHP3" s="1225"/>
      <c r="CHQ3" s="1225"/>
      <c r="CHR3" s="1225"/>
      <c r="CHS3" s="1225"/>
      <c r="CHT3" s="1225"/>
      <c r="CHU3" s="1225"/>
      <c r="CHV3" s="1225"/>
      <c r="CHW3" s="1225"/>
      <c r="CHX3" s="1225"/>
      <c r="CHY3" s="1225"/>
      <c r="CHZ3" s="1225"/>
      <c r="CIA3" s="1225"/>
      <c r="CIB3" s="1225"/>
      <c r="CIC3" s="1225"/>
      <c r="CID3" s="1225"/>
      <c r="CIE3" s="1225"/>
      <c r="CIF3" s="1225"/>
      <c r="CIG3" s="1225"/>
      <c r="CIH3" s="1225"/>
      <c r="CII3" s="1225"/>
      <c r="CIJ3" s="1225"/>
      <c r="CIK3" s="1225"/>
      <c r="CIL3" s="1225"/>
      <c r="CIM3" s="1225"/>
      <c r="CIN3" s="1225"/>
      <c r="CIO3" s="1225"/>
      <c r="CIP3" s="1225"/>
      <c r="CIQ3" s="1225"/>
      <c r="CIR3" s="1225"/>
      <c r="CIS3" s="1225"/>
      <c r="CIT3" s="1225"/>
      <c r="CIU3" s="1225"/>
      <c r="CIV3" s="1225"/>
      <c r="CIW3" s="1225"/>
      <c r="CIX3" s="1225"/>
      <c r="CIY3" s="1225"/>
      <c r="CIZ3" s="1225"/>
      <c r="CJA3" s="1225"/>
      <c r="CJB3" s="1225"/>
      <c r="CJC3" s="1225"/>
      <c r="CJD3" s="1225"/>
      <c r="CJE3" s="1225"/>
      <c r="CJF3" s="1225"/>
      <c r="CJG3" s="1225"/>
      <c r="CJH3" s="1225"/>
      <c r="CJI3" s="1225"/>
      <c r="CJJ3" s="1225"/>
      <c r="CJK3" s="1225"/>
      <c r="CJL3" s="1225"/>
      <c r="CJM3" s="1225"/>
      <c r="CJN3" s="1225"/>
      <c r="CJO3" s="1225"/>
      <c r="CJP3" s="1225"/>
      <c r="CJQ3" s="1225"/>
      <c r="CJR3" s="1225"/>
      <c r="CJS3" s="1225"/>
      <c r="CJT3" s="1225"/>
      <c r="CJU3" s="1225"/>
      <c r="CJV3" s="1225"/>
      <c r="CJW3" s="1225"/>
      <c r="CJX3" s="1225"/>
      <c r="CJY3" s="1225"/>
      <c r="CJZ3" s="1225"/>
      <c r="CKA3" s="1225"/>
      <c r="CKB3" s="1225"/>
      <c r="CKC3" s="1225"/>
      <c r="CKD3" s="1225"/>
      <c r="CKE3" s="1225"/>
      <c r="CKF3" s="1225"/>
      <c r="CKG3" s="1225"/>
      <c r="CKH3" s="1225"/>
      <c r="CKI3" s="1225"/>
      <c r="CKJ3" s="1225"/>
      <c r="CKK3" s="1225"/>
      <c r="CKL3" s="1225"/>
      <c r="CKM3" s="1225"/>
      <c r="CKN3" s="1225"/>
      <c r="CKO3" s="1225"/>
      <c r="CKP3" s="1225"/>
      <c r="CKQ3" s="1225"/>
      <c r="CKR3" s="1225"/>
      <c r="CKS3" s="1225"/>
      <c r="CKT3" s="1225"/>
      <c r="CKU3" s="1225"/>
      <c r="CKV3" s="1225"/>
      <c r="CKW3" s="1225"/>
      <c r="CKX3" s="1225"/>
      <c r="CKY3" s="1225"/>
      <c r="CKZ3" s="1225"/>
      <c r="CLA3" s="1225"/>
      <c r="CLB3" s="1225"/>
      <c r="CLC3" s="1225"/>
      <c r="CLD3" s="1225"/>
      <c r="CLE3" s="1225"/>
      <c r="CLF3" s="1225"/>
      <c r="CLG3" s="1225"/>
      <c r="CLH3" s="1225"/>
      <c r="CLI3" s="1225"/>
      <c r="CLJ3" s="1225"/>
      <c r="CLK3" s="1225"/>
      <c r="CLL3" s="1225"/>
      <c r="CLM3" s="1225"/>
      <c r="CLN3" s="1225"/>
      <c r="CLO3" s="1225"/>
      <c r="CLP3" s="1225"/>
      <c r="CLQ3" s="1225"/>
      <c r="CLR3" s="1225"/>
      <c r="CLS3" s="1225"/>
      <c r="CLT3" s="1225"/>
      <c r="CLU3" s="1225"/>
      <c r="CLV3" s="1225"/>
      <c r="CLW3" s="1225"/>
      <c r="CLX3" s="1225"/>
      <c r="CLY3" s="1225"/>
      <c r="CLZ3" s="1225"/>
      <c r="CMA3" s="1225"/>
      <c r="CMB3" s="1225"/>
      <c r="CMC3" s="1225"/>
      <c r="CMD3" s="1225"/>
      <c r="CME3" s="1225"/>
      <c r="CMF3" s="1225"/>
      <c r="CMG3" s="1225"/>
      <c r="CMH3" s="1225"/>
      <c r="CMI3" s="1225"/>
      <c r="CMJ3" s="1225"/>
      <c r="CMK3" s="1225"/>
      <c r="CML3" s="1225"/>
      <c r="CMM3" s="1225"/>
      <c r="CMN3" s="1225"/>
      <c r="CMO3" s="1225"/>
      <c r="CMP3" s="1225"/>
      <c r="CMQ3" s="1225"/>
      <c r="CMR3" s="1225"/>
      <c r="CMS3" s="1225"/>
      <c r="CMT3" s="1225"/>
      <c r="CMU3" s="1225"/>
      <c r="CMV3" s="1225"/>
      <c r="CMW3" s="1225"/>
      <c r="CMX3" s="1225"/>
      <c r="CMY3" s="1225"/>
      <c r="CMZ3" s="1225"/>
      <c r="CNA3" s="1225"/>
      <c r="CNB3" s="1225"/>
      <c r="CNC3" s="1225"/>
      <c r="CND3" s="1225"/>
      <c r="CNE3" s="1225"/>
      <c r="CNF3" s="1225"/>
      <c r="CNG3" s="1225"/>
      <c r="CNH3" s="1225"/>
      <c r="CNI3" s="1225"/>
      <c r="CNJ3" s="1225"/>
      <c r="CNK3" s="1225"/>
      <c r="CNL3" s="1225"/>
      <c r="CNM3" s="1225"/>
      <c r="CNN3" s="1225"/>
      <c r="CNO3" s="1225"/>
      <c r="CNP3" s="1225"/>
      <c r="CNQ3" s="1225"/>
      <c r="CNR3" s="1225"/>
      <c r="CNS3" s="1225"/>
      <c r="CNT3" s="1225"/>
      <c r="CNU3" s="1225"/>
      <c r="CNV3" s="1225"/>
      <c r="CNW3" s="1225"/>
      <c r="CNX3" s="1225"/>
      <c r="CNY3" s="1225"/>
      <c r="CNZ3" s="1225"/>
      <c r="COA3" s="1225"/>
      <c r="COB3" s="1225"/>
      <c r="COC3" s="1225"/>
      <c r="COD3" s="1225"/>
      <c r="COE3" s="1225"/>
      <c r="COF3" s="1225"/>
      <c r="COG3" s="1225"/>
      <c r="COH3" s="1225"/>
      <c r="COI3" s="1225"/>
      <c r="COJ3" s="1225"/>
      <c r="COK3" s="1225"/>
      <c r="COL3" s="1225"/>
      <c r="COM3" s="1225"/>
      <c r="CON3" s="1225"/>
      <c r="COO3" s="1225"/>
      <c r="COP3" s="1225"/>
      <c r="COQ3" s="1225"/>
      <c r="COR3" s="1225"/>
      <c r="COS3" s="1225"/>
      <c r="COT3" s="1225"/>
      <c r="COU3" s="1225"/>
      <c r="COV3" s="1225"/>
      <c r="COW3" s="1225"/>
      <c r="COX3" s="1225"/>
      <c r="COY3" s="1225"/>
      <c r="COZ3" s="1225"/>
      <c r="CPA3" s="1225"/>
      <c r="CPB3" s="1225"/>
      <c r="CPC3" s="1225"/>
      <c r="CPD3" s="1225"/>
      <c r="CPE3" s="1225"/>
      <c r="CPF3" s="1225"/>
      <c r="CPG3" s="1225"/>
      <c r="CPH3" s="1225"/>
      <c r="CPI3" s="1225"/>
      <c r="CPJ3" s="1225"/>
      <c r="CPK3" s="1225"/>
      <c r="CPL3" s="1225"/>
      <c r="CPM3" s="1225"/>
      <c r="CPN3" s="1225"/>
      <c r="CPO3" s="1225"/>
      <c r="CPP3" s="1225"/>
      <c r="CPQ3" s="1225"/>
      <c r="CPR3" s="1225"/>
      <c r="CPS3" s="1225"/>
      <c r="CPT3" s="1225"/>
      <c r="CPU3" s="1225"/>
      <c r="CPV3" s="1225"/>
      <c r="CPW3" s="1225"/>
      <c r="CPX3" s="1225"/>
      <c r="CPY3" s="1225"/>
      <c r="CPZ3" s="1225"/>
      <c r="CQA3" s="1225"/>
      <c r="CQB3" s="1225"/>
      <c r="CQC3" s="1225"/>
      <c r="CQD3" s="1225"/>
      <c r="CQE3" s="1225"/>
      <c r="CQF3" s="1225"/>
      <c r="CQG3" s="1225"/>
      <c r="CQH3" s="1225"/>
      <c r="CQI3" s="1225"/>
      <c r="CQJ3" s="1225"/>
      <c r="CQK3" s="1225"/>
      <c r="CQL3" s="1225"/>
      <c r="CQM3" s="1225"/>
      <c r="CQN3" s="1225"/>
      <c r="CQO3" s="1225"/>
      <c r="CQP3" s="1225"/>
      <c r="CQQ3" s="1225"/>
      <c r="CQR3" s="1225"/>
      <c r="CQS3" s="1225"/>
      <c r="CQT3" s="1225"/>
      <c r="CQU3" s="1225"/>
      <c r="CQV3" s="1225"/>
      <c r="CQW3" s="1225"/>
      <c r="CQX3" s="1225"/>
      <c r="CQY3" s="1225"/>
      <c r="CQZ3" s="1225"/>
      <c r="CRA3" s="1225"/>
      <c r="CRB3" s="1225"/>
      <c r="CRC3" s="1225"/>
      <c r="CRD3" s="1225"/>
      <c r="CRE3" s="1225"/>
      <c r="CRF3" s="1225"/>
      <c r="CRG3" s="1225"/>
      <c r="CRH3" s="1225"/>
      <c r="CRI3" s="1225"/>
      <c r="CRJ3" s="1225"/>
      <c r="CRK3" s="1225"/>
      <c r="CRL3" s="1225"/>
      <c r="CRM3" s="1225"/>
      <c r="CRN3" s="1225"/>
      <c r="CRO3" s="1225"/>
      <c r="CRP3" s="1225"/>
      <c r="CRQ3" s="1225"/>
      <c r="CRR3" s="1225"/>
      <c r="CRS3" s="1225"/>
      <c r="CRT3" s="1225"/>
      <c r="CRU3" s="1225"/>
      <c r="CRV3" s="1225"/>
      <c r="CRW3" s="1225"/>
      <c r="CRX3" s="1225"/>
      <c r="CRY3" s="1225"/>
      <c r="CRZ3" s="1225"/>
      <c r="CSA3" s="1225"/>
      <c r="CSB3" s="1225"/>
      <c r="CSC3" s="1225"/>
      <c r="CSD3" s="1225"/>
      <c r="CSE3" s="1225"/>
      <c r="CSF3" s="1225"/>
      <c r="CSG3" s="1225"/>
      <c r="CSH3" s="1225"/>
      <c r="CSI3" s="1225"/>
      <c r="CSJ3" s="1225"/>
      <c r="CSK3" s="1225"/>
      <c r="CSL3" s="1225"/>
      <c r="CSM3" s="1225"/>
      <c r="CSN3" s="1225"/>
      <c r="CSO3" s="1225"/>
      <c r="CSP3" s="1225"/>
      <c r="CSQ3" s="1225"/>
      <c r="CSR3" s="1225"/>
      <c r="CSS3" s="1225"/>
      <c r="CST3" s="1225"/>
      <c r="CSU3" s="1225"/>
      <c r="CSV3" s="1225"/>
      <c r="CSW3" s="1225"/>
      <c r="CSX3" s="1225"/>
      <c r="CSY3" s="1225"/>
      <c r="CSZ3" s="1225"/>
      <c r="CTA3" s="1225"/>
      <c r="CTB3" s="1225"/>
      <c r="CTC3" s="1225"/>
      <c r="CTD3" s="1225"/>
      <c r="CTE3" s="1225"/>
      <c r="CTF3" s="1225"/>
      <c r="CTG3" s="1225"/>
      <c r="CTH3" s="1225"/>
      <c r="CTI3" s="1225"/>
      <c r="CTJ3" s="1225"/>
      <c r="CTK3" s="1225"/>
      <c r="CTL3" s="1225"/>
      <c r="CTM3" s="1225"/>
      <c r="CTN3" s="1225"/>
      <c r="CTO3" s="1225"/>
      <c r="CTP3" s="1225"/>
      <c r="CTQ3" s="1225"/>
      <c r="CTR3" s="1225"/>
      <c r="CTS3" s="1225"/>
      <c r="CTT3" s="1225"/>
      <c r="CTU3" s="1225"/>
      <c r="CTV3" s="1225"/>
      <c r="CTW3" s="1225"/>
      <c r="CTX3" s="1225"/>
      <c r="CTY3" s="1225"/>
      <c r="CTZ3" s="1225"/>
      <c r="CUA3" s="1225"/>
      <c r="CUB3" s="1225"/>
      <c r="CUC3" s="1225"/>
      <c r="CUD3" s="1225"/>
      <c r="CUE3" s="1225"/>
      <c r="CUF3" s="1225"/>
      <c r="CUG3" s="1225"/>
      <c r="CUH3" s="1225"/>
      <c r="CUI3" s="1225"/>
      <c r="CUJ3" s="1225"/>
      <c r="CUK3" s="1225"/>
      <c r="CUL3" s="1225"/>
      <c r="CUM3" s="1225"/>
      <c r="CUN3" s="1225"/>
      <c r="CUO3" s="1225"/>
      <c r="CUP3" s="1225"/>
      <c r="CUQ3" s="1225"/>
      <c r="CUR3" s="1225"/>
      <c r="CUS3" s="1225"/>
      <c r="CUT3" s="1225"/>
      <c r="CUU3" s="1225"/>
      <c r="CUV3" s="1225"/>
      <c r="CUW3" s="1225"/>
      <c r="CUX3" s="1225"/>
      <c r="CUY3" s="1225"/>
      <c r="CUZ3" s="1225"/>
      <c r="CVA3" s="1225"/>
      <c r="CVB3" s="1225"/>
      <c r="CVC3" s="1225"/>
      <c r="CVD3" s="1225"/>
      <c r="CVE3" s="1225"/>
      <c r="CVF3" s="1225"/>
      <c r="CVG3" s="1225"/>
      <c r="CVH3" s="1225"/>
      <c r="CVI3" s="1225"/>
      <c r="CVJ3" s="1225"/>
      <c r="CVK3" s="1225"/>
      <c r="CVL3" s="1225"/>
      <c r="CVM3" s="1225"/>
      <c r="CVN3" s="1225"/>
      <c r="CVO3" s="1225"/>
      <c r="CVP3" s="1225"/>
      <c r="CVQ3" s="1225"/>
      <c r="CVR3" s="1225"/>
      <c r="CVS3" s="1225"/>
      <c r="CVT3" s="1225"/>
      <c r="CVU3" s="1225"/>
      <c r="CVV3" s="1225"/>
      <c r="CVW3" s="1225"/>
      <c r="CVX3" s="1225"/>
      <c r="CVY3" s="1225"/>
      <c r="CVZ3" s="1225"/>
      <c r="CWA3" s="1225"/>
      <c r="CWB3" s="1225"/>
      <c r="CWC3" s="1225"/>
      <c r="CWD3" s="1225"/>
      <c r="CWE3" s="1225"/>
      <c r="CWF3" s="1225"/>
      <c r="CWG3" s="1225"/>
      <c r="CWH3" s="1225"/>
      <c r="CWI3" s="1225"/>
      <c r="CWJ3" s="1225"/>
      <c r="CWK3" s="1225"/>
      <c r="CWL3" s="1225"/>
      <c r="CWM3" s="1225"/>
      <c r="CWN3" s="1225"/>
      <c r="CWO3" s="1225"/>
      <c r="CWP3" s="1225"/>
      <c r="CWQ3" s="1225"/>
      <c r="CWR3" s="1225"/>
      <c r="CWS3" s="1225"/>
      <c r="CWT3" s="1225"/>
      <c r="CWU3" s="1225"/>
      <c r="CWV3" s="1225"/>
      <c r="CWW3" s="1225"/>
      <c r="CWX3" s="1225"/>
      <c r="CWY3" s="1225"/>
      <c r="CWZ3" s="1225"/>
      <c r="CXA3" s="1225"/>
      <c r="CXB3" s="1225"/>
      <c r="CXC3" s="1225"/>
      <c r="CXD3" s="1225"/>
      <c r="CXE3" s="1225"/>
      <c r="CXF3" s="1225"/>
      <c r="CXG3" s="1225"/>
      <c r="CXH3" s="1225"/>
      <c r="CXI3" s="1225"/>
      <c r="CXJ3" s="1225"/>
      <c r="CXK3" s="1225"/>
      <c r="CXL3" s="1225"/>
      <c r="CXM3" s="1225"/>
      <c r="CXN3" s="1225"/>
      <c r="CXO3" s="1225"/>
      <c r="CXP3" s="1225"/>
      <c r="CXQ3" s="1225"/>
      <c r="CXR3" s="1225"/>
      <c r="CXS3" s="1225"/>
      <c r="CXT3" s="1225"/>
      <c r="CXU3" s="1225"/>
      <c r="CXV3" s="1225"/>
      <c r="CXW3" s="1225"/>
      <c r="CXX3" s="1225"/>
      <c r="CXY3" s="1225"/>
      <c r="CXZ3" s="1225"/>
      <c r="CYA3" s="1225"/>
      <c r="CYB3" s="1225"/>
      <c r="CYC3" s="1225"/>
      <c r="CYD3" s="1225"/>
      <c r="CYE3" s="1225"/>
      <c r="CYF3" s="1225"/>
      <c r="CYG3" s="1225"/>
      <c r="CYH3" s="1225"/>
      <c r="CYI3" s="1225"/>
      <c r="CYJ3" s="1225"/>
      <c r="CYK3" s="1225"/>
      <c r="CYL3" s="1225"/>
      <c r="CYM3" s="1225"/>
      <c r="CYN3" s="1225"/>
      <c r="CYO3" s="1225"/>
      <c r="CYP3" s="1225"/>
      <c r="CYQ3" s="1225"/>
      <c r="CYR3" s="1225"/>
      <c r="CYS3" s="1225"/>
      <c r="CYT3" s="1225"/>
      <c r="CYU3" s="1225"/>
      <c r="CYV3" s="1225"/>
      <c r="CYW3" s="1225"/>
      <c r="CYX3" s="1225"/>
      <c r="CYY3" s="1225"/>
      <c r="CYZ3" s="1225"/>
      <c r="CZA3" s="1225"/>
      <c r="CZB3" s="1225"/>
      <c r="CZC3" s="1225"/>
      <c r="CZD3" s="1225"/>
      <c r="CZE3" s="1225"/>
      <c r="CZF3" s="1225"/>
      <c r="CZG3" s="1225"/>
      <c r="CZH3" s="1225"/>
      <c r="CZI3" s="1225"/>
      <c r="CZJ3" s="1225"/>
      <c r="CZK3" s="1225"/>
      <c r="CZL3" s="1225"/>
      <c r="CZM3" s="1225"/>
      <c r="CZN3" s="1225"/>
      <c r="CZO3" s="1225"/>
      <c r="CZP3" s="1225"/>
      <c r="CZQ3" s="1225"/>
      <c r="CZR3" s="1225"/>
      <c r="CZS3" s="1225"/>
      <c r="CZT3" s="1225"/>
      <c r="CZU3" s="1225"/>
      <c r="CZV3" s="1225"/>
      <c r="CZW3" s="1225"/>
      <c r="CZX3" s="1225"/>
      <c r="CZY3" s="1225"/>
      <c r="CZZ3" s="1225"/>
      <c r="DAA3" s="1225"/>
      <c r="DAB3" s="1225"/>
      <c r="DAC3" s="1225"/>
      <c r="DAD3" s="1225"/>
      <c r="DAE3" s="1225"/>
      <c r="DAF3" s="1225"/>
      <c r="DAG3" s="1225"/>
      <c r="DAH3" s="1225"/>
      <c r="DAI3" s="1225"/>
      <c r="DAJ3" s="1225"/>
      <c r="DAK3" s="1225"/>
      <c r="DAL3" s="1225"/>
      <c r="DAM3" s="1225"/>
      <c r="DAN3" s="1225"/>
      <c r="DAO3" s="1225"/>
      <c r="DAP3" s="1225"/>
      <c r="DAQ3" s="1225"/>
      <c r="DAR3" s="1225"/>
      <c r="DAS3" s="1225"/>
      <c r="DAT3" s="1225"/>
      <c r="DAU3" s="1225"/>
      <c r="DAV3" s="1225"/>
      <c r="DAW3" s="1225"/>
      <c r="DAX3" s="1225"/>
      <c r="DAY3" s="1225"/>
      <c r="DAZ3" s="1225"/>
      <c r="DBA3" s="1225"/>
      <c r="DBB3" s="1225"/>
      <c r="DBC3" s="1225"/>
      <c r="DBD3" s="1225"/>
      <c r="DBE3" s="1225"/>
      <c r="DBF3" s="1225"/>
      <c r="DBG3" s="1225"/>
      <c r="DBH3" s="1225"/>
      <c r="DBI3" s="1225"/>
      <c r="DBJ3" s="1225"/>
      <c r="DBK3" s="1225"/>
      <c r="DBL3" s="1225"/>
      <c r="DBM3" s="1225"/>
      <c r="DBN3" s="1225"/>
      <c r="DBO3" s="1225"/>
      <c r="DBP3" s="1225"/>
      <c r="DBQ3" s="1225"/>
      <c r="DBR3" s="1225"/>
      <c r="DBS3" s="1225"/>
      <c r="DBT3" s="1225"/>
      <c r="DBU3" s="1225"/>
      <c r="DBV3" s="1225"/>
      <c r="DBW3" s="1225"/>
      <c r="DBX3" s="1225"/>
      <c r="DBY3" s="1225"/>
      <c r="DBZ3" s="1225"/>
      <c r="DCA3" s="1225"/>
      <c r="DCB3" s="1225"/>
      <c r="DCC3" s="1225"/>
      <c r="DCD3" s="1225"/>
      <c r="DCE3" s="1225"/>
      <c r="DCF3" s="1225"/>
      <c r="DCG3" s="1225"/>
      <c r="DCH3" s="1225"/>
      <c r="DCI3" s="1225"/>
      <c r="DCJ3" s="1225"/>
      <c r="DCK3" s="1225"/>
      <c r="DCL3" s="1225"/>
      <c r="DCM3" s="1225"/>
      <c r="DCN3" s="1225"/>
      <c r="DCO3" s="1225"/>
      <c r="DCP3" s="1225"/>
      <c r="DCQ3" s="1225"/>
      <c r="DCR3" s="1225"/>
      <c r="DCS3" s="1225"/>
      <c r="DCT3" s="1225"/>
      <c r="DCU3" s="1225"/>
      <c r="DCV3" s="1225"/>
      <c r="DCW3" s="1225"/>
      <c r="DCX3" s="1225"/>
      <c r="DCY3" s="1225"/>
      <c r="DCZ3" s="1225"/>
      <c r="DDA3" s="1225"/>
      <c r="DDB3" s="1225"/>
      <c r="DDC3" s="1225"/>
      <c r="DDD3" s="1225"/>
      <c r="DDE3" s="1225"/>
      <c r="DDF3" s="1225"/>
      <c r="DDG3" s="1225"/>
      <c r="DDH3" s="1225"/>
      <c r="DDI3" s="1225"/>
      <c r="DDJ3" s="1225"/>
      <c r="DDK3" s="1225"/>
      <c r="DDL3" s="1225"/>
      <c r="DDM3" s="1225"/>
      <c r="DDN3" s="1225"/>
      <c r="DDO3" s="1225"/>
      <c r="DDP3" s="1225"/>
      <c r="DDQ3" s="1225"/>
      <c r="DDR3" s="1225"/>
      <c r="DDS3" s="1225"/>
      <c r="DDT3" s="1225"/>
      <c r="DDU3" s="1225"/>
      <c r="DDV3" s="1225"/>
      <c r="DDW3" s="1225"/>
      <c r="DDX3" s="1225"/>
      <c r="DDY3" s="1225"/>
      <c r="DDZ3" s="1225"/>
      <c r="DEA3" s="1225"/>
      <c r="DEB3" s="1225"/>
      <c r="DEC3" s="1225"/>
      <c r="DED3" s="1225"/>
      <c r="DEE3" s="1225"/>
      <c r="DEF3" s="1225"/>
      <c r="DEG3" s="1225"/>
      <c r="DEH3" s="1225"/>
      <c r="DEI3" s="1225"/>
      <c r="DEJ3" s="1225"/>
      <c r="DEK3" s="1225"/>
      <c r="DEL3" s="1225"/>
      <c r="DEM3" s="1225"/>
      <c r="DEN3" s="1225"/>
      <c r="DEO3" s="1225"/>
      <c r="DEP3" s="1225"/>
      <c r="DEQ3" s="1225"/>
      <c r="DER3" s="1225"/>
      <c r="DES3" s="1225"/>
      <c r="DET3" s="1225"/>
      <c r="DEU3" s="1225"/>
      <c r="DEV3" s="1225"/>
      <c r="DEW3" s="1225"/>
      <c r="DEX3" s="1225"/>
      <c r="DEY3" s="1225"/>
      <c r="DEZ3" s="1225"/>
      <c r="DFA3" s="1225"/>
      <c r="DFB3" s="1225"/>
      <c r="DFC3" s="1225"/>
      <c r="DFD3" s="1225"/>
      <c r="DFE3" s="1225"/>
      <c r="DFF3" s="1225"/>
      <c r="DFG3" s="1225"/>
      <c r="DFH3" s="1225"/>
      <c r="DFI3" s="1225"/>
      <c r="DFJ3" s="1225"/>
      <c r="DFK3" s="1225"/>
      <c r="DFL3" s="1225"/>
      <c r="DFM3" s="1225"/>
      <c r="DFN3" s="1225"/>
      <c r="DFO3" s="1225"/>
      <c r="DFP3" s="1225"/>
      <c r="DFQ3" s="1225"/>
      <c r="DFR3" s="1225"/>
      <c r="DFS3" s="1225"/>
      <c r="DFT3" s="1225"/>
      <c r="DFU3" s="1225"/>
      <c r="DFV3" s="1225"/>
      <c r="DFW3" s="1225"/>
      <c r="DFX3" s="1225"/>
      <c r="DFY3" s="1225"/>
      <c r="DFZ3" s="1225"/>
      <c r="DGA3" s="1225"/>
      <c r="DGB3" s="1225"/>
      <c r="DGC3" s="1225"/>
      <c r="DGD3" s="1225"/>
      <c r="DGE3" s="1225"/>
      <c r="DGF3" s="1225"/>
      <c r="DGG3" s="1225"/>
      <c r="DGH3" s="1225"/>
      <c r="DGI3" s="1225"/>
      <c r="DGJ3" s="1225"/>
      <c r="DGK3" s="1225"/>
      <c r="DGL3" s="1225"/>
      <c r="DGM3" s="1225"/>
      <c r="DGN3" s="1225"/>
      <c r="DGO3" s="1225"/>
      <c r="DGP3" s="1225"/>
      <c r="DGQ3" s="1225"/>
      <c r="DGR3" s="1225"/>
      <c r="DGS3" s="1225"/>
      <c r="DGT3" s="1225"/>
      <c r="DGU3" s="1225"/>
      <c r="DGV3" s="1225"/>
      <c r="DGW3" s="1225"/>
      <c r="DGX3" s="1225"/>
      <c r="DGY3" s="1225"/>
      <c r="DGZ3" s="1225"/>
      <c r="DHA3" s="1225"/>
      <c r="DHB3" s="1225"/>
      <c r="DHC3" s="1225"/>
      <c r="DHD3" s="1225"/>
      <c r="DHE3" s="1225"/>
      <c r="DHF3" s="1225"/>
      <c r="DHG3" s="1225"/>
      <c r="DHH3" s="1225"/>
      <c r="DHI3" s="1225"/>
      <c r="DHJ3" s="1225"/>
      <c r="DHK3" s="1225"/>
      <c r="DHL3" s="1225"/>
      <c r="DHM3" s="1225"/>
      <c r="DHN3" s="1225"/>
      <c r="DHO3" s="1225"/>
      <c r="DHP3" s="1225"/>
      <c r="DHQ3" s="1225"/>
      <c r="DHR3" s="1225"/>
      <c r="DHS3" s="1225"/>
      <c r="DHT3" s="1225"/>
      <c r="DHU3" s="1225"/>
      <c r="DHV3" s="1225"/>
      <c r="DHW3" s="1225"/>
      <c r="DHX3" s="1225"/>
      <c r="DHY3" s="1225"/>
      <c r="DHZ3" s="1225"/>
      <c r="DIA3" s="1225"/>
      <c r="DIB3" s="1225"/>
      <c r="DIC3" s="1225"/>
      <c r="DID3" s="1225"/>
      <c r="DIE3" s="1225"/>
      <c r="DIF3" s="1225"/>
      <c r="DIG3" s="1225"/>
      <c r="DIH3" s="1225"/>
      <c r="DII3" s="1225"/>
      <c r="DIJ3" s="1225"/>
      <c r="DIK3" s="1225"/>
      <c r="DIL3" s="1225"/>
      <c r="DIM3" s="1225"/>
      <c r="DIN3" s="1225"/>
      <c r="DIO3" s="1225"/>
      <c r="DIP3" s="1225"/>
      <c r="DIQ3" s="1225"/>
      <c r="DIR3" s="1225"/>
      <c r="DIS3" s="1225"/>
      <c r="DIT3" s="1225"/>
      <c r="DIU3" s="1225"/>
      <c r="DIV3" s="1225"/>
      <c r="DIW3" s="1225"/>
      <c r="DIX3" s="1225"/>
      <c r="DIY3" s="1225"/>
      <c r="DIZ3" s="1225"/>
      <c r="DJA3" s="1225"/>
      <c r="DJB3" s="1225"/>
      <c r="DJC3" s="1225"/>
      <c r="DJD3" s="1225"/>
      <c r="DJE3" s="1225"/>
      <c r="DJF3" s="1225"/>
      <c r="DJG3" s="1225"/>
      <c r="DJH3" s="1225"/>
      <c r="DJI3" s="1225"/>
      <c r="DJJ3" s="1225"/>
      <c r="DJK3" s="1225"/>
      <c r="DJL3" s="1225"/>
      <c r="DJM3" s="1225"/>
      <c r="DJN3" s="1225"/>
      <c r="DJO3" s="1225"/>
      <c r="DJP3" s="1225"/>
      <c r="DJQ3" s="1225"/>
      <c r="DJR3" s="1225"/>
      <c r="DJS3" s="1225"/>
      <c r="DJT3" s="1225"/>
      <c r="DJU3" s="1225"/>
      <c r="DJV3" s="1225"/>
      <c r="DJW3" s="1225"/>
      <c r="DJX3" s="1225"/>
      <c r="DJY3" s="1225"/>
      <c r="DJZ3" s="1225"/>
      <c r="DKA3" s="1225"/>
      <c r="DKB3" s="1225"/>
      <c r="DKC3" s="1225"/>
      <c r="DKD3" s="1225"/>
      <c r="DKE3" s="1225"/>
      <c r="DKF3" s="1225"/>
      <c r="DKG3" s="1225"/>
      <c r="DKH3" s="1225"/>
      <c r="DKI3" s="1225"/>
      <c r="DKJ3" s="1225"/>
      <c r="DKK3" s="1225"/>
      <c r="DKL3" s="1225"/>
      <c r="DKM3" s="1225"/>
      <c r="DKN3" s="1225"/>
      <c r="DKO3" s="1225"/>
      <c r="DKP3" s="1225"/>
      <c r="DKQ3" s="1225"/>
      <c r="DKR3" s="1225"/>
      <c r="DKS3" s="1225"/>
      <c r="DKT3" s="1225"/>
      <c r="DKU3" s="1225"/>
      <c r="DKV3" s="1225"/>
      <c r="DKW3" s="1225"/>
      <c r="DKX3" s="1225"/>
      <c r="DKY3" s="1225"/>
      <c r="DKZ3" s="1225"/>
      <c r="DLA3" s="1225"/>
      <c r="DLB3" s="1225"/>
      <c r="DLC3" s="1225"/>
      <c r="DLD3" s="1225"/>
      <c r="DLE3" s="1225"/>
      <c r="DLF3" s="1225"/>
      <c r="DLG3" s="1225"/>
      <c r="DLH3" s="1225"/>
      <c r="DLI3" s="1225"/>
      <c r="DLJ3" s="1225"/>
      <c r="DLK3" s="1225"/>
      <c r="DLL3" s="1225"/>
      <c r="DLM3" s="1225"/>
      <c r="DLN3" s="1225"/>
      <c r="DLO3" s="1225"/>
      <c r="DLP3" s="1225"/>
      <c r="DLQ3" s="1225"/>
      <c r="DLR3" s="1225"/>
      <c r="DLS3" s="1225"/>
      <c r="DLT3" s="1225"/>
      <c r="DLU3" s="1225"/>
      <c r="DLV3" s="1225"/>
      <c r="DLW3" s="1225"/>
      <c r="DLX3" s="1225"/>
      <c r="DLY3" s="1225"/>
      <c r="DLZ3" s="1225"/>
      <c r="DMA3" s="1225"/>
      <c r="DMB3" s="1225"/>
      <c r="DMC3" s="1225"/>
      <c r="DMD3" s="1225"/>
      <c r="DME3" s="1225"/>
      <c r="DMF3" s="1225"/>
      <c r="DMG3" s="1225"/>
      <c r="DMH3" s="1225"/>
      <c r="DMI3" s="1225"/>
      <c r="DMJ3" s="1225"/>
      <c r="DMK3" s="1225"/>
      <c r="DML3" s="1225"/>
      <c r="DMM3" s="1225"/>
      <c r="DMN3" s="1225"/>
      <c r="DMO3" s="1225"/>
      <c r="DMP3" s="1225"/>
      <c r="DMQ3" s="1225"/>
      <c r="DMR3" s="1225"/>
      <c r="DMS3" s="1225"/>
      <c r="DMT3" s="1225"/>
      <c r="DMU3" s="1225"/>
      <c r="DMV3" s="1225"/>
      <c r="DMW3" s="1225"/>
      <c r="DMX3" s="1225"/>
      <c r="DMY3" s="1225"/>
      <c r="DMZ3" s="1225"/>
      <c r="DNA3" s="1225"/>
      <c r="DNB3" s="1225"/>
      <c r="DNC3" s="1225"/>
      <c r="DND3" s="1225"/>
      <c r="DNE3" s="1225"/>
      <c r="DNF3" s="1225"/>
      <c r="DNG3" s="1225"/>
      <c r="DNH3" s="1225"/>
      <c r="DNI3" s="1225"/>
      <c r="DNJ3" s="1225"/>
      <c r="DNK3" s="1225"/>
      <c r="DNL3" s="1225"/>
      <c r="DNM3" s="1225"/>
      <c r="DNN3" s="1225"/>
      <c r="DNO3" s="1225"/>
      <c r="DNP3" s="1225"/>
      <c r="DNQ3" s="1225"/>
      <c r="DNR3" s="1225"/>
      <c r="DNS3" s="1225"/>
      <c r="DNT3" s="1225"/>
      <c r="DNU3" s="1225"/>
      <c r="DNV3" s="1225"/>
      <c r="DNW3" s="1225"/>
      <c r="DNX3" s="1225"/>
      <c r="DNY3" s="1225"/>
      <c r="DNZ3" s="1225"/>
      <c r="DOA3" s="1225"/>
      <c r="DOB3" s="1225"/>
      <c r="DOC3" s="1225"/>
      <c r="DOD3" s="1225"/>
      <c r="DOE3" s="1225"/>
      <c r="DOF3" s="1225"/>
      <c r="DOG3" s="1225"/>
      <c r="DOH3" s="1225"/>
      <c r="DOI3" s="1225"/>
      <c r="DOJ3" s="1225"/>
      <c r="DOK3" s="1225"/>
      <c r="DOL3" s="1225"/>
      <c r="DOM3" s="1225"/>
      <c r="DON3" s="1225"/>
      <c r="DOO3" s="1225"/>
      <c r="DOP3" s="1225"/>
      <c r="DOQ3" s="1225"/>
      <c r="DOR3" s="1225"/>
      <c r="DOS3" s="1225"/>
      <c r="DOT3" s="1225"/>
      <c r="DOU3" s="1225"/>
      <c r="DOV3" s="1225"/>
      <c r="DOW3" s="1225"/>
      <c r="DOX3" s="1225"/>
      <c r="DOY3" s="1225"/>
      <c r="DOZ3" s="1225"/>
      <c r="DPA3" s="1225"/>
      <c r="DPB3" s="1225"/>
      <c r="DPC3" s="1225"/>
      <c r="DPD3" s="1225"/>
      <c r="DPE3" s="1225"/>
      <c r="DPF3" s="1225"/>
      <c r="DPG3" s="1225"/>
      <c r="DPH3" s="1225"/>
      <c r="DPI3" s="1225"/>
      <c r="DPJ3" s="1225"/>
      <c r="DPK3" s="1225"/>
      <c r="DPL3" s="1225"/>
      <c r="DPM3" s="1225"/>
      <c r="DPN3" s="1225"/>
      <c r="DPO3" s="1225"/>
      <c r="DPP3" s="1225"/>
      <c r="DPQ3" s="1225"/>
      <c r="DPR3" s="1225"/>
      <c r="DPS3" s="1225"/>
      <c r="DPT3" s="1225"/>
      <c r="DPU3" s="1225"/>
      <c r="DPV3" s="1225"/>
      <c r="DPW3" s="1225"/>
      <c r="DPX3" s="1225"/>
      <c r="DPY3" s="1225"/>
      <c r="DPZ3" s="1225"/>
      <c r="DQA3" s="1225"/>
      <c r="DQB3" s="1225"/>
      <c r="DQC3" s="1225"/>
      <c r="DQD3" s="1225"/>
      <c r="DQE3" s="1225"/>
      <c r="DQF3" s="1225"/>
      <c r="DQG3" s="1225"/>
      <c r="DQH3" s="1225"/>
      <c r="DQI3" s="1225"/>
      <c r="DQJ3" s="1225"/>
      <c r="DQK3" s="1225"/>
      <c r="DQL3" s="1225"/>
      <c r="DQM3" s="1225"/>
      <c r="DQN3" s="1225"/>
      <c r="DQO3" s="1225"/>
      <c r="DQP3" s="1225"/>
      <c r="DQQ3" s="1225"/>
      <c r="DQR3" s="1225"/>
      <c r="DQS3" s="1225"/>
      <c r="DQT3" s="1225"/>
      <c r="DQU3" s="1225"/>
      <c r="DQV3" s="1225"/>
      <c r="DQW3" s="1225"/>
      <c r="DQX3" s="1225"/>
      <c r="DQY3" s="1225"/>
      <c r="DQZ3" s="1225"/>
      <c r="DRA3" s="1225"/>
      <c r="DRB3" s="1225"/>
      <c r="DRC3" s="1225"/>
      <c r="DRD3" s="1225"/>
      <c r="DRE3" s="1225"/>
      <c r="DRF3" s="1225"/>
      <c r="DRG3" s="1225"/>
      <c r="DRH3" s="1225"/>
      <c r="DRI3" s="1225"/>
      <c r="DRJ3" s="1225"/>
      <c r="DRK3" s="1225"/>
      <c r="DRL3" s="1225"/>
      <c r="DRM3" s="1225"/>
      <c r="DRN3" s="1225"/>
      <c r="DRO3" s="1225"/>
      <c r="DRP3" s="1225"/>
      <c r="DRQ3" s="1225"/>
      <c r="DRR3" s="1225"/>
      <c r="DRS3" s="1225"/>
      <c r="DRT3" s="1225"/>
      <c r="DRU3" s="1225"/>
      <c r="DRV3" s="1225"/>
      <c r="DRW3" s="1225"/>
      <c r="DRX3" s="1225"/>
      <c r="DRY3" s="1225"/>
      <c r="DRZ3" s="1225"/>
      <c r="DSA3" s="1225"/>
      <c r="DSB3" s="1225"/>
      <c r="DSC3" s="1225"/>
      <c r="DSD3" s="1225"/>
      <c r="DSE3" s="1225"/>
      <c r="DSF3" s="1225"/>
      <c r="DSG3" s="1225"/>
      <c r="DSH3" s="1225"/>
      <c r="DSI3" s="1225"/>
      <c r="DSJ3" s="1225"/>
      <c r="DSK3" s="1225"/>
      <c r="DSL3" s="1225"/>
      <c r="DSM3" s="1225"/>
      <c r="DSN3" s="1225"/>
      <c r="DSO3" s="1225"/>
      <c r="DSP3" s="1225"/>
      <c r="DSQ3" s="1225"/>
      <c r="DSR3" s="1225"/>
      <c r="DSS3" s="1225"/>
      <c r="DST3" s="1225"/>
      <c r="DSU3" s="1225"/>
      <c r="DSV3" s="1225"/>
      <c r="DSW3" s="1225"/>
      <c r="DSX3" s="1225"/>
      <c r="DSY3" s="1225"/>
      <c r="DSZ3" s="1225"/>
      <c r="DTA3" s="1225"/>
      <c r="DTB3" s="1225"/>
      <c r="DTC3" s="1225"/>
      <c r="DTD3" s="1225"/>
      <c r="DTE3" s="1225"/>
      <c r="DTF3" s="1225"/>
      <c r="DTG3" s="1225"/>
      <c r="DTH3" s="1225"/>
      <c r="DTI3" s="1225"/>
      <c r="DTJ3" s="1225"/>
      <c r="DTK3" s="1225"/>
      <c r="DTL3" s="1225"/>
      <c r="DTM3" s="1225"/>
      <c r="DTN3" s="1225"/>
      <c r="DTO3" s="1225"/>
      <c r="DTP3" s="1225"/>
      <c r="DTQ3" s="1225"/>
      <c r="DTR3" s="1225"/>
      <c r="DTS3" s="1225"/>
      <c r="DTT3" s="1225"/>
      <c r="DTU3" s="1225"/>
      <c r="DTV3" s="1225"/>
      <c r="DTW3" s="1225"/>
      <c r="DTX3" s="1225"/>
      <c r="DTY3" s="1225"/>
      <c r="DTZ3" s="1225"/>
      <c r="DUA3" s="1225"/>
      <c r="DUB3" s="1225"/>
      <c r="DUC3" s="1225"/>
      <c r="DUD3" s="1225"/>
      <c r="DUE3" s="1225"/>
      <c r="DUF3" s="1225"/>
      <c r="DUG3" s="1225"/>
      <c r="DUH3" s="1225"/>
      <c r="DUI3" s="1225"/>
      <c r="DUJ3" s="1225"/>
      <c r="DUK3" s="1225"/>
      <c r="DUL3" s="1225"/>
      <c r="DUM3" s="1225"/>
      <c r="DUN3" s="1225"/>
      <c r="DUO3" s="1225"/>
      <c r="DUP3" s="1225"/>
      <c r="DUQ3" s="1225"/>
      <c r="DUR3" s="1225"/>
      <c r="DUS3" s="1225"/>
      <c r="DUT3" s="1225"/>
      <c r="DUU3" s="1225"/>
      <c r="DUV3" s="1225"/>
      <c r="DUW3" s="1225"/>
      <c r="DUX3" s="1225"/>
      <c r="DUY3" s="1225"/>
      <c r="DUZ3" s="1225"/>
      <c r="DVA3" s="1225"/>
      <c r="DVB3" s="1225"/>
      <c r="DVC3" s="1225"/>
      <c r="DVD3" s="1225"/>
      <c r="DVE3" s="1225"/>
      <c r="DVF3" s="1225"/>
      <c r="DVG3" s="1225"/>
      <c r="DVH3" s="1225"/>
      <c r="DVI3" s="1225"/>
      <c r="DVJ3" s="1225"/>
      <c r="DVK3" s="1225"/>
      <c r="DVL3" s="1225"/>
      <c r="DVM3" s="1225"/>
      <c r="DVN3" s="1225"/>
      <c r="DVO3" s="1225"/>
      <c r="DVP3" s="1225"/>
      <c r="DVQ3" s="1225"/>
      <c r="DVR3" s="1225"/>
      <c r="DVS3" s="1225"/>
      <c r="DVT3" s="1225"/>
      <c r="DVU3" s="1225"/>
      <c r="DVV3" s="1225"/>
      <c r="DVW3" s="1225"/>
      <c r="DVX3" s="1225"/>
      <c r="DVY3" s="1225"/>
      <c r="DVZ3" s="1225"/>
      <c r="DWA3" s="1225"/>
      <c r="DWB3" s="1225"/>
      <c r="DWC3" s="1225"/>
      <c r="DWD3" s="1225"/>
      <c r="DWE3" s="1225"/>
      <c r="DWF3" s="1225"/>
      <c r="DWG3" s="1225"/>
      <c r="DWH3" s="1225"/>
      <c r="DWI3" s="1225"/>
      <c r="DWJ3" s="1225"/>
      <c r="DWK3" s="1225"/>
      <c r="DWL3" s="1225"/>
      <c r="DWM3" s="1225"/>
      <c r="DWN3" s="1225"/>
      <c r="DWO3" s="1225"/>
      <c r="DWP3" s="1225"/>
      <c r="DWQ3" s="1225"/>
      <c r="DWR3" s="1225"/>
      <c r="DWS3" s="1225"/>
      <c r="DWT3" s="1225"/>
      <c r="DWU3" s="1225"/>
      <c r="DWV3" s="1225"/>
      <c r="DWW3" s="1225"/>
      <c r="DWX3" s="1225"/>
      <c r="DWY3" s="1225"/>
      <c r="DWZ3" s="1225"/>
      <c r="DXA3" s="1225"/>
      <c r="DXB3" s="1225"/>
      <c r="DXC3" s="1225"/>
      <c r="DXD3" s="1225"/>
      <c r="DXE3" s="1225"/>
      <c r="DXF3" s="1225"/>
      <c r="DXG3" s="1225"/>
      <c r="DXH3" s="1225"/>
      <c r="DXI3" s="1225"/>
      <c r="DXJ3" s="1225"/>
      <c r="DXK3" s="1225"/>
      <c r="DXL3" s="1225"/>
      <c r="DXM3" s="1225"/>
      <c r="DXN3" s="1225"/>
      <c r="DXO3" s="1225"/>
      <c r="DXP3" s="1225"/>
      <c r="DXQ3" s="1225"/>
      <c r="DXR3" s="1225"/>
      <c r="DXS3" s="1225"/>
      <c r="DXT3" s="1225"/>
      <c r="DXU3" s="1225"/>
      <c r="DXV3" s="1225"/>
      <c r="DXW3" s="1225"/>
      <c r="DXX3" s="1225"/>
      <c r="DXY3" s="1225"/>
      <c r="DXZ3" s="1225"/>
      <c r="DYA3" s="1225"/>
      <c r="DYB3" s="1225"/>
      <c r="DYC3" s="1225"/>
      <c r="DYD3" s="1225"/>
      <c r="DYE3" s="1225"/>
      <c r="DYF3" s="1225"/>
      <c r="DYG3" s="1225"/>
      <c r="DYH3" s="1225"/>
      <c r="DYI3" s="1225"/>
      <c r="DYJ3" s="1225"/>
      <c r="DYK3" s="1225"/>
      <c r="DYL3" s="1225"/>
      <c r="DYM3" s="1225"/>
      <c r="DYN3" s="1225"/>
      <c r="DYO3" s="1225"/>
      <c r="DYP3" s="1225"/>
      <c r="DYQ3" s="1225"/>
      <c r="DYR3" s="1225"/>
      <c r="DYS3" s="1225"/>
      <c r="DYT3" s="1225"/>
      <c r="DYU3" s="1225"/>
      <c r="DYV3" s="1225"/>
      <c r="DYW3" s="1225"/>
      <c r="DYX3" s="1225"/>
      <c r="DYY3" s="1225"/>
      <c r="DYZ3" s="1225"/>
      <c r="DZA3" s="1225"/>
      <c r="DZB3" s="1225"/>
      <c r="DZC3" s="1225"/>
      <c r="DZD3" s="1225"/>
      <c r="DZE3" s="1225"/>
      <c r="DZF3" s="1225"/>
      <c r="DZG3" s="1225"/>
      <c r="DZH3" s="1225"/>
      <c r="DZI3" s="1225"/>
      <c r="DZJ3" s="1225"/>
      <c r="DZK3" s="1225"/>
      <c r="DZL3" s="1225"/>
      <c r="DZM3" s="1225"/>
      <c r="DZN3" s="1225"/>
      <c r="DZO3" s="1225"/>
      <c r="DZP3" s="1225"/>
      <c r="DZQ3" s="1225"/>
      <c r="DZR3" s="1225"/>
      <c r="DZS3" s="1225"/>
      <c r="DZT3" s="1225"/>
      <c r="DZU3" s="1225"/>
      <c r="DZV3" s="1225"/>
      <c r="DZW3" s="1225"/>
      <c r="DZX3" s="1225"/>
      <c r="DZY3" s="1225"/>
      <c r="DZZ3" s="1225"/>
      <c r="EAA3" s="1225"/>
      <c r="EAB3" s="1225"/>
      <c r="EAC3" s="1225"/>
      <c r="EAD3" s="1225"/>
      <c r="EAE3" s="1225"/>
      <c r="EAF3" s="1225"/>
      <c r="EAG3" s="1225"/>
      <c r="EAH3" s="1225"/>
      <c r="EAI3" s="1225"/>
      <c r="EAJ3" s="1225"/>
      <c r="EAK3" s="1225"/>
      <c r="EAL3" s="1225"/>
      <c r="EAM3" s="1225"/>
      <c r="EAN3" s="1225"/>
      <c r="EAO3" s="1225"/>
      <c r="EAP3" s="1225"/>
      <c r="EAQ3" s="1225"/>
      <c r="EAR3" s="1225"/>
      <c r="EAS3" s="1225"/>
      <c r="EAT3" s="1225"/>
      <c r="EAU3" s="1225"/>
      <c r="EAV3" s="1225"/>
      <c r="EAW3" s="1225"/>
      <c r="EAX3" s="1225"/>
      <c r="EAY3" s="1225"/>
      <c r="EAZ3" s="1225"/>
      <c r="EBA3" s="1225"/>
      <c r="EBB3" s="1225"/>
      <c r="EBC3" s="1225"/>
      <c r="EBD3" s="1225"/>
      <c r="EBE3" s="1225"/>
      <c r="EBF3" s="1225"/>
      <c r="EBG3" s="1225"/>
      <c r="EBH3" s="1225"/>
      <c r="EBI3" s="1225"/>
      <c r="EBJ3" s="1225"/>
      <c r="EBK3" s="1225"/>
      <c r="EBL3" s="1225"/>
      <c r="EBM3" s="1225"/>
      <c r="EBN3" s="1225"/>
      <c r="EBO3" s="1225"/>
      <c r="EBP3" s="1225"/>
      <c r="EBQ3" s="1225"/>
      <c r="EBR3" s="1225"/>
      <c r="EBS3" s="1225"/>
      <c r="EBT3" s="1225"/>
      <c r="EBU3" s="1225"/>
      <c r="EBV3" s="1225"/>
      <c r="EBW3" s="1225"/>
      <c r="EBX3" s="1225"/>
      <c r="EBY3" s="1225"/>
      <c r="EBZ3" s="1225"/>
      <c r="ECA3" s="1225"/>
      <c r="ECB3" s="1225"/>
      <c r="ECC3" s="1225"/>
      <c r="ECD3" s="1225"/>
      <c r="ECE3" s="1225"/>
      <c r="ECF3" s="1225"/>
      <c r="ECG3" s="1225"/>
      <c r="ECH3" s="1225"/>
      <c r="ECI3" s="1225"/>
      <c r="ECJ3" s="1225"/>
      <c r="ECK3" s="1225"/>
      <c r="ECL3" s="1225"/>
      <c r="ECM3" s="1225"/>
      <c r="ECN3" s="1225"/>
      <c r="ECO3" s="1225"/>
    </row>
    <row r="4" spans="1:3473" s="1224" customFormat="1" ht="28.25" customHeight="1">
      <c r="B4" s="2365"/>
      <c r="C4" s="2367"/>
      <c r="D4" s="2369"/>
      <c r="E4" s="1226" t="s">
        <v>3139</v>
      </c>
      <c r="F4" s="1226" t="s">
        <v>3140</v>
      </c>
      <c r="G4" s="1226" t="s">
        <v>472</v>
      </c>
      <c r="H4" s="1226" t="s">
        <v>3139</v>
      </c>
      <c r="I4" s="1226" t="s">
        <v>3140</v>
      </c>
      <c r="J4" s="1226" t="s">
        <v>472</v>
      </c>
      <c r="K4" s="1226" t="s">
        <v>3139</v>
      </c>
      <c r="L4" s="1226" t="s">
        <v>3140</v>
      </c>
      <c r="M4" s="1226" t="s">
        <v>472</v>
      </c>
      <c r="N4" s="1226" t="s">
        <v>3139</v>
      </c>
      <c r="O4" s="1226" t="s">
        <v>3140</v>
      </c>
      <c r="P4" s="1226" t="s">
        <v>472</v>
      </c>
      <c r="Q4" s="1226" t="s">
        <v>3139</v>
      </c>
      <c r="R4" s="1226" t="s">
        <v>3140</v>
      </c>
      <c r="S4" s="1226" t="s">
        <v>472</v>
      </c>
      <c r="T4" s="1226" t="s">
        <v>3139</v>
      </c>
      <c r="U4" s="1226" t="s">
        <v>3140</v>
      </c>
      <c r="V4" s="1226" t="s">
        <v>472</v>
      </c>
      <c r="W4" s="1226" t="s">
        <v>3139</v>
      </c>
      <c r="X4" s="1226" t="s">
        <v>3140</v>
      </c>
      <c r="Y4" s="1226" t="s">
        <v>472</v>
      </c>
      <c r="Z4" s="1226" t="s">
        <v>3139</v>
      </c>
      <c r="AA4" s="1226" t="s">
        <v>3140</v>
      </c>
      <c r="AB4" s="1226" t="s">
        <v>472</v>
      </c>
      <c r="AC4" s="1226" t="s">
        <v>3139</v>
      </c>
      <c r="AD4" s="1226" t="s">
        <v>3140</v>
      </c>
      <c r="AE4" s="1226" t="s">
        <v>472</v>
      </c>
      <c r="AF4" s="1227" t="s">
        <v>3141</v>
      </c>
      <c r="AG4" s="1227" t="s">
        <v>3142</v>
      </c>
      <c r="AH4" s="1227" t="s">
        <v>3143</v>
      </c>
      <c r="AI4" s="1227" t="s">
        <v>3144</v>
      </c>
      <c r="AJ4" s="1227" t="s">
        <v>3142</v>
      </c>
      <c r="AK4" s="1227" t="s">
        <v>3143</v>
      </c>
      <c r="AL4" s="1227" t="s">
        <v>3144</v>
      </c>
      <c r="AM4" s="1227" t="s">
        <v>3142</v>
      </c>
      <c r="AN4" s="1227" t="s">
        <v>3143</v>
      </c>
      <c r="AO4" s="1227" t="s">
        <v>3141</v>
      </c>
      <c r="AP4" s="1227" t="s">
        <v>3142</v>
      </c>
      <c r="AQ4" s="1227" t="s">
        <v>3143</v>
      </c>
      <c r="AR4" s="1227" t="s">
        <v>3141</v>
      </c>
      <c r="AS4" s="1227" t="s">
        <v>3142</v>
      </c>
      <c r="AT4" s="1227" t="s">
        <v>3143</v>
      </c>
      <c r="AU4" s="1227" t="s">
        <v>3141</v>
      </c>
      <c r="AV4" s="1227" t="s">
        <v>3142</v>
      </c>
      <c r="AW4" s="1227" t="s">
        <v>3143</v>
      </c>
      <c r="AX4" s="1227" t="s">
        <v>3141</v>
      </c>
      <c r="AY4" s="1227" t="s">
        <v>3142</v>
      </c>
      <c r="AZ4" s="1227" t="s">
        <v>3143</v>
      </c>
      <c r="BA4" s="1227" t="s">
        <v>3141</v>
      </c>
      <c r="BB4" s="1227" t="s">
        <v>3142</v>
      </c>
      <c r="BC4" s="1227" t="s">
        <v>3143</v>
      </c>
      <c r="BD4" s="1227" t="s">
        <v>3141</v>
      </c>
      <c r="BE4" s="1227" t="s">
        <v>3142</v>
      </c>
      <c r="BF4" s="1227" t="s">
        <v>3143</v>
      </c>
      <c r="BG4" s="1227" t="s">
        <v>3141</v>
      </c>
      <c r="BH4" s="1227" t="s">
        <v>3142</v>
      </c>
      <c r="BI4" s="1227" t="s">
        <v>3143</v>
      </c>
      <c r="BJ4" s="1227" t="s">
        <v>3141</v>
      </c>
      <c r="BK4" s="1227" t="s">
        <v>3142</v>
      </c>
      <c r="BL4" s="1227" t="s">
        <v>3143</v>
      </c>
      <c r="BM4" s="1228"/>
      <c r="BN4" s="1225"/>
      <c r="BO4" s="1225"/>
      <c r="BP4" s="1225"/>
      <c r="BQ4" s="1225"/>
      <c r="BR4" s="1225"/>
      <c r="BS4" s="1225"/>
      <c r="BT4" s="1225"/>
      <c r="BU4" s="1225"/>
      <c r="BV4" s="1225"/>
      <c r="BW4" s="1225"/>
      <c r="BX4" s="1225"/>
      <c r="BY4" s="1225"/>
      <c r="BZ4" s="1225"/>
      <c r="CA4" s="1225"/>
      <c r="CB4" s="1225"/>
      <c r="CC4" s="1225"/>
      <c r="CD4" s="1225"/>
      <c r="CE4" s="1225"/>
      <c r="CF4" s="1225"/>
      <c r="CG4" s="1225"/>
      <c r="CH4" s="1225"/>
      <c r="CI4" s="1225"/>
      <c r="CJ4" s="1225"/>
      <c r="CK4" s="1225"/>
      <c r="CL4" s="1225"/>
      <c r="CM4" s="1225"/>
      <c r="CN4" s="1225"/>
      <c r="CO4" s="1225"/>
      <c r="CP4" s="1225"/>
      <c r="CQ4" s="1225"/>
      <c r="CR4" s="1225"/>
      <c r="CS4" s="1225"/>
      <c r="CT4" s="1225"/>
      <c r="CU4" s="1225"/>
      <c r="CV4" s="1225"/>
      <c r="CW4" s="1225"/>
      <c r="CX4" s="1225"/>
      <c r="CY4" s="1225"/>
      <c r="CZ4" s="1225"/>
      <c r="DA4" s="1225"/>
      <c r="DB4" s="1225"/>
      <c r="DC4" s="1225"/>
      <c r="DD4" s="1225"/>
      <c r="DE4" s="1225"/>
      <c r="DF4" s="1225"/>
      <c r="DG4" s="1225"/>
      <c r="DH4" s="1225"/>
      <c r="DI4" s="1225"/>
      <c r="DJ4" s="1225"/>
      <c r="DK4" s="1225"/>
      <c r="DL4" s="1225"/>
      <c r="DM4" s="1225"/>
      <c r="DN4" s="1225"/>
      <c r="DO4" s="1225"/>
      <c r="DP4" s="1225"/>
      <c r="DQ4" s="1225"/>
      <c r="DR4" s="1225"/>
      <c r="DS4" s="1225"/>
      <c r="DT4" s="1225"/>
      <c r="DU4" s="1225"/>
      <c r="DV4" s="1225"/>
      <c r="DW4" s="1225"/>
      <c r="DX4" s="1225"/>
      <c r="DY4" s="1225"/>
      <c r="DZ4" s="1225"/>
      <c r="EA4" s="1225"/>
      <c r="EB4" s="1225"/>
      <c r="EC4" s="1225"/>
      <c r="ED4" s="1225"/>
      <c r="EE4" s="1225"/>
      <c r="EF4" s="1225"/>
      <c r="EG4" s="1225"/>
      <c r="EH4" s="1225"/>
      <c r="EI4" s="1225"/>
      <c r="EJ4" s="1225"/>
      <c r="EK4" s="1225"/>
      <c r="EL4" s="1225"/>
      <c r="EM4" s="1225"/>
      <c r="EN4" s="1225"/>
      <c r="EO4" s="1225"/>
      <c r="EP4" s="1225"/>
      <c r="EQ4" s="1225"/>
      <c r="ER4" s="1225"/>
      <c r="ES4" s="1225"/>
      <c r="ET4" s="1225"/>
      <c r="EU4" s="1225"/>
      <c r="EV4" s="1225"/>
      <c r="EW4" s="1225"/>
      <c r="EX4" s="1225"/>
      <c r="EY4" s="1225"/>
      <c r="EZ4" s="1225"/>
      <c r="FA4" s="1225"/>
      <c r="FB4" s="1225"/>
      <c r="FC4" s="1225"/>
      <c r="FD4" s="1225"/>
      <c r="FE4" s="1225"/>
      <c r="FF4" s="1225"/>
      <c r="FG4" s="1225"/>
      <c r="FH4" s="1225"/>
      <c r="FI4" s="1225"/>
      <c r="FJ4" s="1225"/>
      <c r="FK4" s="1225"/>
      <c r="FL4" s="1225"/>
      <c r="FM4" s="1225"/>
      <c r="FN4" s="1225"/>
      <c r="FO4" s="1225"/>
      <c r="FP4" s="1225"/>
      <c r="FQ4" s="1225"/>
      <c r="FR4" s="1225"/>
      <c r="FS4" s="1225"/>
      <c r="FT4" s="1225"/>
      <c r="FU4" s="1225"/>
      <c r="FV4" s="1225"/>
      <c r="FW4" s="1225"/>
      <c r="FX4" s="1225"/>
      <c r="FY4" s="1225"/>
      <c r="FZ4" s="1225"/>
      <c r="GA4" s="1225"/>
      <c r="GB4" s="1225"/>
      <c r="GC4" s="1225"/>
      <c r="GD4" s="1225"/>
      <c r="GE4" s="1225"/>
      <c r="GF4" s="1225"/>
      <c r="GG4" s="1225"/>
      <c r="GH4" s="1225"/>
      <c r="GI4" s="1225"/>
      <c r="GJ4" s="1225"/>
      <c r="GK4" s="1225"/>
      <c r="GL4" s="1225"/>
      <c r="GM4" s="1225"/>
      <c r="GN4" s="1225"/>
      <c r="GO4" s="1225"/>
      <c r="GP4" s="1225"/>
      <c r="GQ4" s="1225"/>
      <c r="GR4" s="1225"/>
      <c r="GS4" s="1225"/>
      <c r="GT4" s="1225"/>
      <c r="GU4" s="1225"/>
      <c r="GV4" s="1225"/>
      <c r="GW4" s="1225"/>
      <c r="GX4" s="1225"/>
      <c r="GY4" s="1225"/>
      <c r="GZ4" s="1225"/>
      <c r="HA4" s="1225"/>
      <c r="HB4" s="1225"/>
      <c r="HC4" s="1225"/>
      <c r="HD4" s="1225"/>
      <c r="HE4" s="1225"/>
      <c r="HF4" s="1225"/>
      <c r="HG4" s="1225"/>
      <c r="HH4" s="1225"/>
      <c r="HI4" s="1225"/>
      <c r="HJ4" s="1225"/>
      <c r="HK4" s="1225"/>
      <c r="HL4" s="1225"/>
      <c r="HM4" s="1225"/>
      <c r="HN4" s="1225"/>
      <c r="HO4" s="1225"/>
      <c r="HP4" s="1225"/>
      <c r="HQ4" s="1225"/>
      <c r="HR4" s="1225"/>
      <c r="HS4" s="1225"/>
      <c r="HT4" s="1225"/>
      <c r="HU4" s="1225"/>
      <c r="HV4" s="1225"/>
      <c r="HW4" s="1225"/>
      <c r="HX4" s="1225"/>
      <c r="HY4" s="1225"/>
      <c r="HZ4" s="1225"/>
      <c r="IA4" s="1225"/>
      <c r="IB4" s="1225"/>
      <c r="IC4" s="1225"/>
      <c r="ID4" s="1225"/>
      <c r="IE4" s="1225"/>
      <c r="IF4" s="1225"/>
      <c r="IG4" s="1225"/>
      <c r="IH4" s="1225"/>
      <c r="II4" s="1225"/>
      <c r="IJ4" s="1225"/>
      <c r="IK4" s="1225"/>
      <c r="IL4" s="1225"/>
      <c r="IM4" s="1225"/>
      <c r="IN4" s="1225"/>
      <c r="IO4" s="1225"/>
      <c r="IP4" s="1225"/>
      <c r="IQ4" s="1225"/>
      <c r="IR4" s="1225"/>
      <c r="IS4" s="1225"/>
      <c r="IT4" s="1225"/>
      <c r="IU4" s="1225"/>
      <c r="IV4" s="1225"/>
      <c r="IW4" s="1225"/>
      <c r="IX4" s="1225"/>
      <c r="IY4" s="1225"/>
      <c r="IZ4" s="1225"/>
      <c r="JA4" s="1225"/>
      <c r="JB4" s="1225"/>
      <c r="JC4" s="1225"/>
      <c r="JD4" s="1225"/>
      <c r="JE4" s="1225"/>
      <c r="JF4" s="1225"/>
      <c r="JG4" s="1225"/>
      <c r="JH4" s="1225"/>
      <c r="JI4" s="1225"/>
      <c r="JJ4" s="1225"/>
      <c r="JK4" s="1225"/>
      <c r="JL4" s="1225"/>
      <c r="JM4" s="1225"/>
      <c r="JN4" s="1225"/>
      <c r="JO4" s="1225"/>
      <c r="JP4" s="1225"/>
      <c r="JQ4" s="1225"/>
      <c r="JR4" s="1225"/>
      <c r="JS4" s="1225"/>
      <c r="JT4" s="1225"/>
      <c r="JU4" s="1225"/>
      <c r="JV4" s="1225"/>
      <c r="JW4" s="1225"/>
      <c r="JX4" s="1225"/>
      <c r="JY4" s="1225"/>
      <c r="JZ4" s="1225"/>
      <c r="KA4" s="1225"/>
      <c r="KB4" s="1225"/>
      <c r="KC4" s="1225"/>
      <c r="KD4" s="1225"/>
      <c r="KE4" s="1225"/>
      <c r="KF4" s="1225"/>
      <c r="KG4" s="1225"/>
      <c r="KH4" s="1225"/>
      <c r="KI4" s="1225"/>
      <c r="KJ4" s="1225"/>
      <c r="KK4" s="1225"/>
      <c r="KL4" s="1225"/>
      <c r="KM4" s="1225"/>
      <c r="KN4" s="1225"/>
      <c r="KO4" s="1225"/>
      <c r="KP4" s="1225"/>
      <c r="KQ4" s="1225"/>
      <c r="KR4" s="1225"/>
      <c r="KS4" s="1225"/>
      <c r="KT4" s="1225"/>
      <c r="KU4" s="1225"/>
      <c r="KV4" s="1225"/>
      <c r="KW4" s="1225"/>
      <c r="KX4" s="1225"/>
      <c r="KY4" s="1225"/>
      <c r="KZ4" s="1225"/>
      <c r="LA4" s="1225"/>
      <c r="LB4" s="1225"/>
      <c r="LC4" s="1225"/>
      <c r="LD4" s="1225"/>
      <c r="LE4" s="1225"/>
      <c r="LF4" s="1225"/>
      <c r="LG4" s="1225"/>
      <c r="LH4" s="1225"/>
      <c r="LI4" s="1225"/>
      <c r="LJ4" s="1225"/>
      <c r="LK4" s="1225"/>
      <c r="LL4" s="1225"/>
      <c r="LM4" s="1225"/>
      <c r="LN4" s="1225"/>
      <c r="LO4" s="1225"/>
      <c r="LP4" s="1225"/>
      <c r="LQ4" s="1225"/>
      <c r="LR4" s="1225"/>
      <c r="LS4" s="1225"/>
      <c r="LT4" s="1225"/>
      <c r="LU4" s="1225"/>
      <c r="LV4" s="1225"/>
      <c r="LW4" s="1225"/>
      <c r="LX4" s="1225"/>
      <c r="LY4" s="1225"/>
      <c r="LZ4" s="1225"/>
      <c r="MA4" s="1225"/>
      <c r="MB4" s="1225"/>
      <c r="MC4" s="1225"/>
      <c r="MD4" s="1225"/>
      <c r="ME4" s="1225"/>
      <c r="MF4" s="1225"/>
      <c r="MG4" s="1225"/>
      <c r="MH4" s="1225"/>
      <c r="MI4" s="1225"/>
      <c r="MJ4" s="1225"/>
      <c r="MK4" s="1225"/>
      <c r="ML4" s="1225"/>
      <c r="MM4" s="1225"/>
      <c r="MN4" s="1225"/>
      <c r="MO4" s="1225"/>
      <c r="MP4" s="1225"/>
      <c r="MQ4" s="1225"/>
      <c r="MR4" s="1225"/>
      <c r="MS4" s="1225"/>
      <c r="MT4" s="1225"/>
      <c r="MU4" s="1225"/>
      <c r="MV4" s="1225"/>
      <c r="MW4" s="1225"/>
      <c r="MX4" s="1225"/>
      <c r="MY4" s="1225"/>
      <c r="MZ4" s="1225"/>
      <c r="NA4" s="1225"/>
      <c r="NB4" s="1225"/>
      <c r="NC4" s="1225"/>
      <c r="ND4" s="1225"/>
      <c r="NE4" s="1225"/>
      <c r="NF4" s="1225"/>
      <c r="NG4" s="1225"/>
      <c r="NH4" s="1225"/>
      <c r="NI4" s="1225"/>
      <c r="NJ4" s="1225"/>
      <c r="NK4" s="1225"/>
      <c r="NL4" s="1225"/>
      <c r="NM4" s="1225"/>
      <c r="NN4" s="1225"/>
      <c r="NO4" s="1225"/>
      <c r="NP4" s="1225"/>
      <c r="NQ4" s="1225"/>
      <c r="NR4" s="1225"/>
      <c r="NS4" s="1225"/>
      <c r="NT4" s="1225"/>
      <c r="NU4" s="1225"/>
      <c r="NV4" s="1225"/>
      <c r="NW4" s="1225"/>
      <c r="NX4" s="1225"/>
      <c r="NY4" s="1225"/>
      <c r="NZ4" s="1225"/>
      <c r="OA4" s="1225"/>
      <c r="OB4" s="1225"/>
      <c r="OC4" s="1225"/>
      <c r="OD4" s="1225"/>
      <c r="OE4" s="1225"/>
      <c r="OF4" s="1225"/>
      <c r="OG4" s="1225"/>
      <c r="OH4" s="1225"/>
      <c r="OI4" s="1225"/>
      <c r="OJ4" s="1225"/>
      <c r="OK4" s="1225"/>
      <c r="OL4" s="1225"/>
      <c r="OM4" s="1225"/>
      <c r="ON4" s="1225"/>
      <c r="OO4" s="1225"/>
      <c r="OP4" s="1225"/>
      <c r="OQ4" s="1225"/>
      <c r="OR4" s="1225"/>
      <c r="OS4" s="1225"/>
      <c r="OT4" s="1225"/>
      <c r="OU4" s="1225"/>
      <c r="OV4" s="1225"/>
      <c r="OW4" s="1225"/>
      <c r="OX4" s="1225"/>
      <c r="OY4" s="1225"/>
      <c r="OZ4" s="1225"/>
      <c r="PA4" s="1225"/>
      <c r="PB4" s="1225"/>
      <c r="PC4" s="1225"/>
      <c r="PD4" s="1225"/>
      <c r="PE4" s="1225"/>
      <c r="PF4" s="1225"/>
      <c r="PG4" s="1225"/>
      <c r="PH4" s="1225"/>
      <c r="PI4" s="1225"/>
      <c r="PJ4" s="1225"/>
      <c r="PK4" s="1225"/>
      <c r="PL4" s="1225"/>
      <c r="PM4" s="1225"/>
      <c r="PN4" s="1225"/>
      <c r="PO4" s="1225"/>
      <c r="PP4" s="1225"/>
      <c r="PQ4" s="1225"/>
      <c r="PR4" s="1225"/>
      <c r="PS4" s="1225"/>
      <c r="PT4" s="1225"/>
      <c r="PU4" s="1225"/>
      <c r="PV4" s="1225"/>
      <c r="PW4" s="1225"/>
      <c r="PX4" s="1225"/>
      <c r="PY4" s="1225"/>
      <c r="PZ4" s="1225"/>
      <c r="QA4" s="1225"/>
      <c r="QB4" s="1225"/>
      <c r="QC4" s="1225"/>
      <c r="QD4" s="1225"/>
      <c r="QE4" s="1225"/>
      <c r="QF4" s="1225"/>
      <c r="QG4" s="1225"/>
      <c r="QH4" s="1225"/>
      <c r="QI4" s="1225"/>
      <c r="QJ4" s="1225"/>
      <c r="QK4" s="1225"/>
      <c r="QL4" s="1225"/>
      <c r="QM4" s="1225"/>
      <c r="QN4" s="1225"/>
      <c r="QO4" s="1225"/>
      <c r="QP4" s="1225"/>
      <c r="QQ4" s="1225"/>
      <c r="QR4" s="1225"/>
      <c r="QS4" s="1225"/>
      <c r="QT4" s="1225"/>
      <c r="QU4" s="1225"/>
      <c r="QV4" s="1225"/>
      <c r="QW4" s="1225"/>
      <c r="QX4" s="1225"/>
      <c r="QY4" s="1225"/>
      <c r="QZ4" s="1225"/>
      <c r="RA4" s="1225"/>
      <c r="RB4" s="1225"/>
      <c r="RC4" s="1225"/>
      <c r="RD4" s="1225"/>
      <c r="RE4" s="1225"/>
      <c r="RF4" s="1225"/>
      <c r="RG4" s="1225"/>
      <c r="RH4" s="1225"/>
      <c r="RI4" s="1225"/>
      <c r="RJ4" s="1225"/>
      <c r="RK4" s="1225"/>
      <c r="RL4" s="1225"/>
      <c r="RM4" s="1225"/>
      <c r="RN4" s="1225"/>
      <c r="RO4" s="1225"/>
      <c r="RP4" s="1225"/>
      <c r="RQ4" s="1225"/>
      <c r="RR4" s="1225"/>
      <c r="RS4" s="1225"/>
      <c r="RT4" s="1225"/>
      <c r="RU4" s="1225"/>
      <c r="RV4" s="1225"/>
      <c r="RW4" s="1225"/>
      <c r="RX4" s="1225"/>
      <c r="RY4" s="1225"/>
      <c r="RZ4" s="1225"/>
      <c r="SA4" s="1225"/>
      <c r="SB4" s="1225"/>
      <c r="SC4" s="1225"/>
      <c r="SD4" s="1225"/>
      <c r="SE4" s="1225"/>
      <c r="SF4" s="1225"/>
      <c r="SG4" s="1225"/>
      <c r="SH4" s="1225"/>
      <c r="SI4" s="1225"/>
      <c r="SJ4" s="1225"/>
      <c r="SK4" s="1225"/>
      <c r="SL4" s="1225"/>
      <c r="SM4" s="1225"/>
      <c r="SN4" s="1225"/>
      <c r="SO4" s="1225"/>
      <c r="SP4" s="1225"/>
      <c r="SQ4" s="1225"/>
      <c r="SR4" s="1225"/>
      <c r="SS4" s="1225"/>
      <c r="ST4" s="1225"/>
      <c r="SU4" s="1225"/>
      <c r="SV4" s="1225"/>
      <c r="SW4" s="1225"/>
      <c r="SX4" s="1225"/>
      <c r="SY4" s="1225"/>
      <c r="SZ4" s="1225"/>
      <c r="TA4" s="1225"/>
      <c r="TB4" s="1225"/>
      <c r="TC4" s="1225"/>
      <c r="TD4" s="1225"/>
      <c r="TE4" s="1225"/>
      <c r="TF4" s="1225"/>
      <c r="TG4" s="1225"/>
      <c r="TH4" s="1225"/>
      <c r="TI4" s="1225"/>
      <c r="TJ4" s="1225"/>
      <c r="TK4" s="1225"/>
      <c r="TL4" s="1225"/>
      <c r="TM4" s="1225"/>
      <c r="TN4" s="1225"/>
      <c r="TO4" s="1225"/>
      <c r="TP4" s="1225"/>
      <c r="TQ4" s="1225"/>
      <c r="TR4" s="1225"/>
      <c r="TS4" s="1225"/>
      <c r="TT4" s="1225"/>
      <c r="TU4" s="1225"/>
      <c r="TV4" s="1225"/>
      <c r="TW4" s="1225"/>
      <c r="TX4" s="1225"/>
      <c r="TY4" s="1225"/>
      <c r="TZ4" s="1225"/>
      <c r="UA4" s="1225"/>
      <c r="UB4" s="1225"/>
      <c r="UC4" s="1225"/>
      <c r="UD4" s="1225"/>
      <c r="UE4" s="1225"/>
      <c r="UF4" s="1225"/>
      <c r="UG4" s="1225"/>
      <c r="UH4" s="1225"/>
      <c r="UI4" s="1225"/>
      <c r="UJ4" s="1225"/>
      <c r="UK4" s="1225"/>
      <c r="UL4" s="1225"/>
      <c r="UM4" s="1225"/>
      <c r="UN4" s="1225"/>
      <c r="UO4" s="1225"/>
      <c r="UP4" s="1225"/>
      <c r="UQ4" s="1225"/>
      <c r="UR4" s="1225"/>
      <c r="US4" s="1225"/>
      <c r="UT4" s="1225"/>
      <c r="UU4" s="1225"/>
      <c r="UV4" s="1225"/>
      <c r="UW4" s="1225"/>
      <c r="UX4" s="1225"/>
      <c r="UY4" s="1225"/>
      <c r="UZ4" s="1225"/>
      <c r="VA4" s="1225"/>
      <c r="VB4" s="1225"/>
      <c r="VC4" s="1225"/>
      <c r="VD4" s="1225"/>
      <c r="VE4" s="1225"/>
      <c r="VF4" s="1225"/>
      <c r="VG4" s="1225"/>
      <c r="VH4" s="1225"/>
      <c r="VI4" s="1225"/>
      <c r="VJ4" s="1225"/>
      <c r="VK4" s="1225"/>
      <c r="VL4" s="1225"/>
      <c r="VM4" s="1225"/>
      <c r="VN4" s="1225"/>
      <c r="VO4" s="1225"/>
      <c r="VP4" s="1225"/>
      <c r="VQ4" s="1225"/>
      <c r="VR4" s="1225"/>
      <c r="VS4" s="1225"/>
      <c r="VT4" s="1225"/>
      <c r="VU4" s="1225"/>
      <c r="VV4" s="1225"/>
      <c r="VW4" s="1225"/>
      <c r="VX4" s="1225"/>
      <c r="VY4" s="1225"/>
      <c r="VZ4" s="1225"/>
      <c r="WA4" s="1225"/>
      <c r="WB4" s="1225"/>
      <c r="WC4" s="1225"/>
      <c r="WD4" s="1225"/>
      <c r="WE4" s="1225"/>
      <c r="WF4" s="1225"/>
      <c r="WG4" s="1225"/>
      <c r="WH4" s="1225"/>
      <c r="WI4" s="1225"/>
      <c r="WJ4" s="1225"/>
      <c r="WK4" s="1225"/>
      <c r="WL4" s="1225"/>
      <c r="WM4" s="1225"/>
      <c r="WN4" s="1225"/>
      <c r="WO4" s="1225"/>
      <c r="WP4" s="1225"/>
      <c r="WQ4" s="1225"/>
      <c r="WR4" s="1225"/>
      <c r="WS4" s="1225"/>
      <c r="WT4" s="1225"/>
      <c r="WU4" s="1225"/>
      <c r="WV4" s="1225"/>
      <c r="WW4" s="1225"/>
      <c r="WX4" s="1225"/>
      <c r="WY4" s="1225"/>
      <c r="WZ4" s="1225"/>
      <c r="XA4" s="1225"/>
      <c r="XB4" s="1225"/>
      <c r="XC4" s="1225"/>
      <c r="XD4" s="1225"/>
      <c r="XE4" s="1225"/>
      <c r="XF4" s="1225"/>
      <c r="XG4" s="1225"/>
      <c r="XH4" s="1225"/>
      <c r="XI4" s="1225"/>
      <c r="XJ4" s="1225"/>
      <c r="XK4" s="1225"/>
      <c r="XL4" s="1225"/>
      <c r="XM4" s="1225"/>
      <c r="XN4" s="1225"/>
      <c r="XO4" s="1225"/>
      <c r="XP4" s="1225"/>
      <c r="XQ4" s="1225"/>
      <c r="XR4" s="1225"/>
      <c r="XS4" s="1225"/>
      <c r="XT4" s="1225"/>
      <c r="XU4" s="1225"/>
      <c r="XV4" s="1225"/>
      <c r="XW4" s="1225"/>
      <c r="XX4" s="1225"/>
      <c r="XY4" s="1225"/>
      <c r="XZ4" s="1225"/>
      <c r="YA4" s="1225"/>
      <c r="YB4" s="1225"/>
      <c r="YC4" s="1225"/>
      <c r="YD4" s="1225"/>
      <c r="YE4" s="1225"/>
      <c r="YF4" s="1225"/>
      <c r="YG4" s="1225"/>
      <c r="YH4" s="1225"/>
      <c r="YI4" s="1225"/>
      <c r="YJ4" s="1225"/>
      <c r="YK4" s="1225"/>
      <c r="YL4" s="1225"/>
      <c r="YM4" s="1225"/>
      <c r="YN4" s="1225"/>
      <c r="YO4" s="1225"/>
      <c r="YP4" s="1225"/>
      <c r="YQ4" s="1225"/>
      <c r="YR4" s="1225"/>
      <c r="YS4" s="1225"/>
      <c r="YT4" s="1225"/>
      <c r="YU4" s="1225"/>
      <c r="YV4" s="1225"/>
      <c r="YW4" s="1225"/>
      <c r="YX4" s="1225"/>
      <c r="YY4" s="1225"/>
      <c r="YZ4" s="1225"/>
      <c r="ZA4" s="1225"/>
      <c r="ZB4" s="1225"/>
      <c r="ZC4" s="1225"/>
      <c r="ZD4" s="1225"/>
      <c r="ZE4" s="1225"/>
      <c r="ZF4" s="1225"/>
      <c r="ZG4" s="1225"/>
      <c r="ZH4" s="1225"/>
      <c r="ZI4" s="1225"/>
      <c r="ZJ4" s="1225"/>
      <c r="ZK4" s="1225"/>
      <c r="ZL4" s="1225"/>
      <c r="ZM4" s="1225"/>
      <c r="ZN4" s="1225"/>
      <c r="ZO4" s="1225"/>
      <c r="ZP4" s="1225"/>
      <c r="ZQ4" s="1225"/>
      <c r="ZR4" s="1225"/>
      <c r="ZS4" s="1225"/>
      <c r="ZT4" s="1225"/>
      <c r="ZU4" s="1225"/>
      <c r="ZV4" s="1225"/>
      <c r="ZW4" s="1225"/>
      <c r="ZX4" s="1225"/>
      <c r="ZY4" s="1225"/>
      <c r="ZZ4" s="1225"/>
      <c r="AAA4" s="1225"/>
      <c r="AAB4" s="1225"/>
      <c r="AAC4" s="1225"/>
      <c r="AAD4" s="1225"/>
      <c r="AAE4" s="1225"/>
      <c r="AAF4" s="1225"/>
      <c r="AAG4" s="1225"/>
      <c r="AAH4" s="1225"/>
      <c r="AAI4" s="1225"/>
      <c r="AAJ4" s="1225"/>
      <c r="AAK4" s="1225"/>
      <c r="AAL4" s="1225"/>
      <c r="AAM4" s="1225"/>
      <c r="AAN4" s="1225"/>
      <c r="AAO4" s="1225"/>
      <c r="AAP4" s="1225"/>
      <c r="AAQ4" s="1225"/>
      <c r="AAR4" s="1225"/>
      <c r="AAS4" s="1225"/>
      <c r="AAT4" s="1225"/>
      <c r="AAU4" s="1225"/>
      <c r="AAV4" s="1225"/>
      <c r="AAW4" s="1225"/>
      <c r="AAX4" s="1225"/>
      <c r="AAY4" s="1225"/>
      <c r="AAZ4" s="1225"/>
      <c r="ABA4" s="1225"/>
      <c r="ABB4" s="1225"/>
      <c r="ABC4" s="1225"/>
      <c r="ABD4" s="1225"/>
      <c r="ABE4" s="1225"/>
      <c r="ABF4" s="1225"/>
      <c r="ABG4" s="1225"/>
      <c r="ABH4" s="1225"/>
      <c r="ABI4" s="1225"/>
      <c r="ABJ4" s="1225"/>
      <c r="ABK4" s="1225"/>
      <c r="ABL4" s="1225"/>
      <c r="ABM4" s="1225"/>
      <c r="ABN4" s="1225"/>
      <c r="ABO4" s="1225"/>
      <c r="ABP4" s="1225"/>
      <c r="ABQ4" s="1225"/>
      <c r="ABR4" s="1225"/>
      <c r="ABS4" s="1225"/>
      <c r="ABT4" s="1225"/>
      <c r="ABU4" s="1225"/>
      <c r="ABV4" s="1225"/>
      <c r="ABW4" s="1225"/>
      <c r="ABX4" s="1225"/>
      <c r="ABY4" s="1225"/>
      <c r="ABZ4" s="1225"/>
      <c r="ACA4" s="1225"/>
      <c r="ACB4" s="1225"/>
      <c r="ACC4" s="1225"/>
      <c r="ACD4" s="1225"/>
      <c r="ACE4" s="1225"/>
      <c r="ACF4" s="1225"/>
      <c r="ACG4" s="1225"/>
      <c r="ACH4" s="1225"/>
      <c r="ACI4" s="1225"/>
      <c r="ACJ4" s="1225"/>
      <c r="ACK4" s="1225"/>
      <c r="ACL4" s="1225"/>
      <c r="ACM4" s="1225"/>
      <c r="ACN4" s="1225"/>
      <c r="ACO4" s="1225"/>
      <c r="ACP4" s="1225"/>
      <c r="ACQ4" s="1225"/>
      <c r="ACR4" s="1225"/>
      <c r="ACS4" s="1225"/>
      <c r="ACT4" s="1225"/>
      <c r="ACU4" s="1225"/>
      <c r="ACV4" s="1225"/>
      <c r="ACW4" s="1225"/>
      <c r="ACX4" s="1225"/>
      <c r="ACY4" s="1225"/>
      <c r="ACZ4" s="1225"/>
      <c r="ADA4" s="1225"/>
      <c r="ADB4" s="1225"/>
      <c r="ADC4" s="1225"/>
      <c r="ADD4" s="1225"/>
      <c r="ADE4" s="1225"/>
      <c r="ADF4" s="1225"/>
      <c r="ADG4" s="1225"/>
      <c r="ADH4" s="1225"/>
      <c r="ADI4" s="1225"/>
      <c r="ADJ4" s="1225"/>
      <c r="ADK4" s="1225"/>
      <c r="ADL4" s="1225"/>
      <c r="ADM4" s="1225"/>
      <c r="ADN4" s="1225"/>
      <c r="ADO4" s="1225"/>
      <c r="ADP4" s="1225"/>
      <c r="ADQ4" s="1225"/>
      <c r="ADR4" s="1225"/>
      <c r="ADS4" s="1225"/>
      <c r="ADT4" s="1225"/>
      <c r="ADU4" s="1225"/>
      <c r="ADV4" s="1225"/>
      <c r="ADW4" s="1225"/>
      <c r="ADX4" s="1225"/>
      <c r="ADY4" s="1225"/>
      <c r="ADZ4" s="1225"/>
      <c r="AEA4" s="1225"/>
      <c r="AEB4" s="1225"/>
      <c r="AEC4" s="1225"/>
      <c r="AED4" s="1225"/>
      <c r="AEE4" s="1225"/>
      <c r="AEF4" s="1225"/>
      <c r="AEG4" s="1225"/>
      <c r="AEH4" s="1225"/>
      <c r="AEI4" s="1225"/>
      <c r="AEJ4" s="1225"/>
      <c r="AEK4" s="1225"/>
      <c r="AEL4" s="1225"/>
      <c r="AEM4" s="1225"/>
      <c r="AEN4" s="1225"/>
      <c r="AEO4" s="1225"/>
      <c r="AEP4" s="1225"/>
      <c r="AEQ4" s="1225"/>
      <c r="AER4" s="1225"/>
      <c r="AES4" s="1225"/>
      <c r="AET4" s="1225"/>
      <c r="AEU4" s="1225"/>
      <c r="AEV4" s="1225"/>
      <c r="AEW4" s="1225"/>
      <c r="AEX4" s="1225"/>
      <c r="AEY4" s="1225"/>
      <c r="AEZ4" s="1225"/>
      <c r="AFA4" s="1225"/>
      <c r="AFB4" s="1225"/>
      <c r="AFC4" s="1225"/>
      <c r="AFD4" s="1225"/>
      <c r="AFE4" s="1225"/>
      <c r="AFF4" s="1225"/>
      <c r="AFG4" s="1225"/>
      <c r="AFH4" s="1225"/>
      <c r="AFI4" s="1225"/>
      <c r="AFJ4" s="1225"/>
      <c r="AFK4" s="1225"/>
      <c r="AFL4" s="1225"/>
      <c r="AFM4" s="1225"/>
      <c r="AFN4" s="1225"/>
      <c r="AFO4" s="1225"/>
      <c r="AFP4" s="1225"/>
      <c r="AFQ4" s="1225"/>
      <c r="AFR4" s="1225"/>
      <c r="AFS4" s="1225"/>
      <c r="AFT4" s="1225"/>
      <c r="AFU4" s="1225"/>
      <c r="AFV4" s="1225"/>
      <c r="AFW4" s="1225"/>
      <c r="AFX4" s="1225"/>
      <c r="AFY4" s="1225"/>
      <c r="AFZ4" s="1225"/>
      <c r="AGA4" s="1225"/>
      <c r="AGB4" s="1225"/>
      <c r="AGC4" s="1225"/>
      <c r="AGD4" s="1225"/>
      <c r="AGE4" s="1225"/>
      <c r="AGF4" s="1225"/>
      <c r="AGG4" s="1225"/>
      <c r="AGH4" s="1225"/>
      <c r="AGI4" s="1225"/>
      <c r="AGJ4" s="1225"/>
      <c r="AGK4" s="1225"/>
      <c r="AGL4" s="1225"/>
      <c r="AGM4" s="1225"/>
      <c r="AGN4" s="1225"/>
      <c r="AGO4" s="1225"/>
      <c r="AGP4" s="1225"/>
      <c r="AGQ4" s="1225"/>
      <c r="AGR4" s="1225"/>
      <c r="AGS4" s="1225"/>
      <c r="AGT4" s="1225"/>
      <c r="AGU4" s="1225"/>
      <c r="AGV4" s="1225"/>
      <c r="AGW4" s="1225"/>
      <c r="AGX4" s="1225"/>
      <c r="AGY4" s="1225"/>
      <c r="AGZ4" s="1225"/>
      <c r="AHA4" s="1225"/>
      <c r="AHB4" s="1225"/>
      <c r="AHC4" s="1225"/>
      <c r="AHD4" s="1225"/>
      <c r="AHE4" s="1225"/>
      <c r="AHF4" s="1225"/>
      <c r="AHG4" s="1225"/>
      <c r="AHH4" s="1225"/>
      <c r="AHI4" s="1225"/>
      <c r="AHJ4" s="1225"/>
      <c r="AHK4" s="1225"/>
      <c r="AHL4" s="1225"/>
      <c r="AHM4" s="1225"/>
      <c r="AHN4" s="1225"/>
      <c r="AHO4" s="1225"/>
      <c r="AHP4" s="1225"/>
      <c r="AHQ4" s="1225"/>
      <c r="AHR4" s="1225"/>
      <c r="AHS4" s="1225"/>
      <c r="AHT4" s="1225"/>
      <c r="AHU4" s="1225"/>
      <c r="AHV4" s="1225"/>
      <c r="AHW4" s="1225"/>
      <c r="AHX4" s="1225"/>
      <c r="AHY4" s="1225"/>
      <c r="AHZ4" s="1225"/>
      <c r="AIA4" s="1225"/>
      <c r="AIB4" s="1225"/>
      <c r="AIC4" s="1225"/>
      <c r="AID4" s="1225"/>
      <c r="AIE4" s="1225"/>
      <c r="AIF4" s="1225"/>
      <c r="AIG4" s="1225"/>
      <c r="AIH4" s="1225"/>
      <c r="AII4" s="1225"/>
      <c r="AIJ4" s="1225"/>
      <c r="AIK4" s="1225"/>
      <c r="AIL4" s="1225"/>
      <c r="AIM4" s="1225"/>
      <c r="AIN4" s="1225"/>
      <c r="AIO4" s="1225"/>
      <c r="AIP4" s="1225"/>
      <c r="AIQ4" s="1225"/>
      <c r="AIR4" s="1225"/>
      <c r="AIS4" s="1225"/>
      <c r="AIT4" s="1225"/>
      <c r="AIU4" s="1225"/>
      <c r="AIV4" s="1225"/>
      <c r="AIW4" s="1225"/>
      <c r="AIX4" s="1225"/>
      <c r="AIY4" s="1225"/>
      <c r="AIZ4" s="1225"/>
      <c r="AJA4" s="1225"/>
      <c r="AJB4" s="1225"/>
      <c r="AJC4" s="1225"/>
      <c r="AJD4" s="1225"/>
      <c r="AJE4" s="1225"/>
      <c r="AJF4" s="1225"/>
      <c r="AJG4" s="1225"/>
      <c r="AJH4" s="1225"/>
      <c r="AJI4" s="1225"/>
      <c r="AJJ4" s="1225"/>
      <c r="AJK4" s="1225"/>
      <c r="AJL4" s="1225"/>
      <c r="AJM4" s="1225"/>
      <c r="AJN4" s="1225"/>
      <c r="AJO4" s="1225"/>
      <c r="AJP4" s="1225"/>
      <c r="AJQ4" s="1225"/>
      <c r="AJR4" s="1225"/>
      <c r="AJS4" s="1225"/>
      <c r="AJT4" s="1225"/>
      <c r="AJU4" s="1225"/>
      <c r="AJV4" s="1225"/>
      <c r="AJW4" s="1225"/>
      <c r="AJX4" s="1225"/>
      <c r="AJY4" s="1225"/>
      <c r="AJZ4" s="1225"/>
      <c r="AKA4" s="1225"/>
      <c r="AKB4" s="1225"/>
      <c r="AKC4" s="1225"/>
      <c r="AKD4" s="1225"/>
      <c r="AKE4" s="1225"/>
      <c r="AKF4" s="1225"/>
      <c r="AKG4" s="1225"/>
      <c r="AKH4" s="1225"/>
      <c r="AKI4" s="1225"/>
      <c r="AKJ4" s="1225"/>
      <c r="AKK4" s="1225"/>
      <c r="AKL4" s="1225"/>
      <c r="AKM4" s="1225"/>
      <c r="AKN4" s="1225"/>
      <c r="AKO4" s="1225"/>
      <c r="AKP4" s="1225"/>
      <c r="AKQ4" s="1225"/>
      <c r="AKR4" s="1225"/>
      <c r="AKS4" s="1225"/>
      <c r="AKT4" s="1225"/>
      <c r="AKU4" s="1225"/>
      <c r="AKV4" s="1225"/>
      <c r="AKW4" s="1225"/>
      <c r="AKX4" s="1225"/>
      <c r="AKY4" s="1225"/>
      <c r="AKZ4" s="1225"/>
      <c r="ALA4" s="1225"/>
      <c r="ALB4" s="1225"/>
      <c r="ALC4" s="1225"/>
      <c r="ALD4" s="1225"/>
      <c r="ALE4" s="1225"/>
      <c r="ALF4" s="1225"/>
      <c r="ALG4" s="1225"/>
      <c r="ALH4" s="1225"/>
      <c r="ALI4" s="1225"/>
      <c r="ALJ4" s="1225"/>
      <c r="ALK4" s="1225"/>
      <c r="ALL4" s="1225"/>
      <c r="ALM4" s="1225"/>
      <c r="ALN4" s="1225"/>
      <c r="ALO4" s="1225"/>
      <c r="ALP4" s="1225"/>
      <c r="ALQ4" s="1225"/>
      <c r="ALR4" s="1225"/>
      <c r="ALS4" s="1225"/>
      <c r="ALT4" s="1225"/>
      <c r="ALU4" s="1225"/>
      <c r="ALV4" s="1225"/>
      <c r="ALW4" s="1225"/>
      <c r="ALX4" s="1225"/>
      <c r="ALY4" s="1225"/>
      <c r="ALZ4" s="1225"/>
      <c r="AMA4" s="1225"/>
      <c r="AMB4" s="1225"/>
      <c r="AMC4" s="1225"/>
      <c r="AMD4" s="1225"/>
      <c r="AME4" s="1225"/>
      <c r="AMF4" s="1225"/>
      <c r="AMG4" s="1225"/>
      <c r="AMH4" s="1225"/>
      <c r="AMI4" s="1225"/>
      <c r="AMJ4" s="1225"/>
      <c r="AMK4" s="1225"/>
      <c r="AML4" s="1225"/>
      <c r="AMM4" s="1225"/>
      <c r="AMN4" s="1225"/>
      <c r="AMO4" s="1225"/>
      <c r="AMP4" s="1225"/>
      <c r="AMQ4" s="1225"/>
      <c r="AMR4" s="1225"/>
      <c r="AMS4" s="1225"/>
      <c r="AMT4" s="1225"/>
      <c r="AMU4" s="1225"/>
      <c r="AMV4" s="1225"/>
      <c r="AMW4" s="1225"/>
      <c r="AMX4" s="1225"/>
      <c r="AMY4" s="1225"/>
      <c r="AMZ4" s="1225"/>
      <c r="ANA4" s="1225"/>
      <c r="ANB4" s="1225"/>
      <c r="ANC4" s="1225"/>
      <c r="AND4" s="1225"/>
      <c r="ANE4" s="1225"/>
      <c r="ANF4" s="1225"/>
      <c r="ANG4" s="1225"/>
      <c r="ANH4" s="1225"/>
      <c r="ANI4" s="1225"/>
      <c r="ANJ4" s="1225"/>
      <c r="ANK4" s="1225"/>
      <c r="ANL4" s="1225"/>
      <c r="ANM4" s="1225"/>
      <c r="ANN4" s="1225"/>
      <c r="ANO4" s="1225"/>
      <c r="ANP4" s="1225"/>
      <c r="ANQ4" s="1225"/>
      <c r="ANR4" s="1225"/>
      <c r="ANS4" s="1225"/>
      <c r="ANT4" s="1225"/>
      <c r="ANU4" s="1225"/>
      <c r="ANV4" s="1225"/>
      <c r="ANW4" s="1225"/>
      <c r="ANX4" s="1225"/>
      <c r="ANY4" s="1225"/>
      <c r="ANZ4" s="1225"/>
      <c r="AOA4" s="1225"/>
      <c r="AOB4" s="1225"/>
      <c r="AOC4" s="1225"/>
      <c r="AOD4" s="1225"/>
      <c r="AOE4" s="1225"/>
      <c r="AOF4" s="1225"/>
      <c r="AOG4" s="1225"/>
      <c r="AOH4" s="1225"/>
      <c r="AOI4" s="1225"/>
      <c r="AOJ4" s="1225"/>
      <c r="AOK4" s="1225"/>
      <c r="AOL4" s="1225"/>
      <c r="AOM4" s="1225"/>
      <c r="AON4" s="1225"/>
      <c r="AOO4" s="1225"/>
      <c r="AOP4" s="1225"/>
      <c r="AOQ4" s="1225"/>
      <c r="AOR4" s="1225"/>
      <c r="AOS4" s="1225"/>
      <c r="AOT4" s="1225"/>
      <c r="AOU4" s="1225"/>
      <c r="AOV4" s="1225"/>
      <c r="AOW4" s="1225"/>
      <c r="AOX4" s="1225"/>
      <c r="AOY4" s="1225"/>
      <c r="AOZ4" s="1225"/>
      <c r="APA4" s="1225"/>
      <c r="APB4" s="1225"/>
      <c r="APC4" s="1225"/>
      <c r="APD4" s="1225"/>
      <c r="APE4" s="1225"/>
      <c r="APF4" s="1225"/>
      <c r="APG4" s="1225"/>
      <c r="APH4" s="1225"/>
      <c r="API4" s="1225"/>
      <c r="APJ4" s="1225"/>
      <c r="APK4" s="1225"/>
      <c r="APL4" s="1225"/>
      <c r="APM4" s="1225"/>
      <c r="APN4" s="1225"/>
      <c r="APO4" s="1225"/>
      <c r="APP4" s="1225"/>
      <c r="APQ4" s="1225"/>
      <c r="APR4" s="1225"/>
      <c r="APS4" s="1225"/>
      <c r="APT4" s="1225"/>
      <c r="APU4" s="1225"/>
      <c r="APV4" s="1225"/>
      <c r="APW4" s="1225"/>
      <c r="APX4" s="1225"/>
      <c r="APY4" s="1225"/>
      <c r="APZ4" s="1225"/>
      <c r="AQA4" s="1225"/>
      <c r="AQB4" s="1225"/>
      <c r="AQC4" s="1225"/>
      <c r="AQD4" s="1225"/>
      <c r="AQE4" s="1225"/>
      <c r="AQF4" s="1225"/>
      <c r="AQG4" s="1225"/>
      <c r="AQH4" s="1225"/>
      <c r="AQI4" s="1225"/>
      <c r="AQJ4" s="1225"/>
      <c r="AQK4" s="1225"/>
      <c r="AQL4" s="1225"/>
      <c r="AQM4" s="1225"/>
      <c r="AQN4" s="1225"/>
      <c r="AQO4" s="1225"/>
      <c r="AQP4" s="1225"/>
      <c r="AQQ4" s="1225"/>
      <c r="AQR4" s="1225"/>
      <c r="AQS4" s="1225"/>
      <c r="AQT4" s="1225"/>
      <c r="AQU4" s="1225"/>
      <c r="AQV4" s="1225"/>
      <c r="AQW4" s="1225"/>
      <c r="AQX4" s="1225"/>
      <c r="AQY4" s="1225"/>
      <c r="AQZ4" s="1225"/>
      <c r="ARA4" s="1225"/>
      <c r="ARB4" s="1225"/>
      <c r="ARC4" s="1225"/>
      <c r="ARD4" s="1225"/>
      <c r="ARE4" s="1225"/>
      <c r="ARF4" s="1225"/>
      <c r="ARG4" s="1225"/>
      <c r="ARH4" s="1225"/>
      <c r="ARI4" s="1225"/>
      <c r="ARJ4" s="1225"/>
      <c r="ARK4" s="1225"/>
      <c r="ARL4" s="1225"/>
      <c r="ARM4" s="1225"/>
      <c r="ARN4" s="1225"/>
      <c r="ARO4" s="1225"/>
      <c r="ARP4" s="1225"/>
      <c r="ARQ4" s="1225"/>
      <c r="ARR4" s="1225"/>
      <c r="ARS4" s="1225"/>
      <c r="ART4" s="1225"/>
      <c r="ARU4" s="1225"/>
      <c r="ARV4" s="1225"/>
      <c r="ARW4" s="1225"/>
      <c r="ARX4" s="1225"/>
      <c r="ARY4" s="1225"/>
      <c r="ARZ4" s="1225"/>
      <c r="ASA4" s="1225"/>
      <c r="ASB4" s="1225"/>
      <c r="ASC4" s="1225"/>
      <c r="ASD4" s="1225"/>
      <c r="ASE4" s="1225"/>
      <c r="ASF4" s="1225"/>
      <c r="ASG4" s="1225"/>
      <c r="ASH4" s="1225"/>
      <c r="ASI4" s="1225"/>
      <c r="ASJ4" s="1225"/>
      <c r="ASK4" s="1225"/>
      <c r="ASL4" s="1225"/>
      <c r="ASM4" s="1225"/>
      <c r="ASN4" s="1225"/>
      <c r="ASO4" s="1225"/>
      <c r="ASP4" s="1225"/>
      <c r="ASQ4" s="1225"/>
      <c r="ASR4" s="1225"/>
      <c r="ASS4" s="1225"/>
      <c r="AST4" s="1225"/>
      <c r="ASU4" s="1225"/>
      <c r="ASV4" s="1225"/>
      <c r="ASW4" s="1225"/>
      <c r="ASX4" s="1225"/>
      <c r="ASY4" s="1225"/>
      <c r="ASZ4" s="1225"/>
      <c r="ATA4" s="1225"/>
      <c r="ATB4" s="1225"/>
      <c r="ATC4" s="1225"/>
      <c r="ATD4" s="1225"/>
      <c r="ATE4" s="1225"/>
      <c r="ATF4" s="1225"/>
      <c r="ATG4" s="1225"/>
      <c r="ATH4" s="1225"/>
      <c r="ATI4" s="1225"/>
      <c r="ATJ4" s="1225"/>
      <c r="ATK4" s="1225"/>
      <c r="ATL4" s="1225"/>
      <c r="ATM4" s="1225"/>
      <c r="ATN4" s="1225"/>
      <c r="ATO4" s="1225"/>
      <c r="ATP4" s="1225"/>
      <c r="ATQ4" s="1225"/>
      <c r="ATR4" s="1225"/>
      <c r="ATS4" s="1225"/>
      <c r="ATT4" s="1225"/>
      <c r="ATU4" s="1225"/>
      <c r="ATV4" s="1225"/>
      <c r="ATW4" s="1225"/>
      <c r="ATX4" s="1225"/>
      <c r="ATY4" s="1225"/>
      <c r="ATZ4" s="1225"/>
      <c r="AUA4" s="1225"/>
      <c r="AUB4" s="1225"/>
      <c r="AUC4" s="1225"/>
      <c r="AUD4" s="1225"/>
      <c r="AUE4" s="1225"/>
      <c r="AUF4" s="1225"/>
      <c r="AUG4" s="1225"/>
      <c r="AUH4" s="1225"/>
      <c r="AUI4" s="1225"/>
      <c r="AUJ4" s="1225"/>
      <c r="AUK4" s="1225"/>
      <c r="AUL4" s="1225"/>
      <c r="AUM4" s="1225"/>
      <c r="AUN4" s="1225"/>
      <c r="AUO4" s="1225"/>
      <c r="AUP4" s="1225"/>
      <c r="AUQ4" s="1225"/>
      <c r="AUR4" s="1225"/>
      <c r="AUS4" s="1225"/>
      <c r="AUT4" s="1225"/>
      <c r="AUU4" s="1225"/>
      <c r="AUV4" s="1225"/>
      <c r="AUW4" s="1225"/>
      <c r="AUX4" s="1225"/>
      <c r="AUY4" s="1225"/>
      <c r="AUZ4" s="1225"/>
      <c r="AVA4" s="1225"/>
      <c r="AVB4" s="1225"/>
      <c r="AVC4" s="1225"/>
      <c r="AVD4" s="1225"/>
      <c r="AVE4" s="1225"/>
      <c r="AVF4" s="1225"/>
      <c r="AVG4" s="1225"/>
      <c r="AVH4" s="1225"/>
      <c r="AVI4" s="1225"/>
      <c r="AVJ4" s="1225"/>
      <c r="AVK4" s="1225"/>
      <c r="AVL4" s="1225"/>
      <c r="AVM4" s="1225"/>
      <c r="AVN4" s="1225"/>
      <c r="AVO4" s="1225"/>
      <c r="AVP4" s="1225"/>
      <c r="AVQ4" s="1225"/>
      <c r="AVR4" s="1225"/>
      <c r="AVS4" s="1225"/>
      <c r="AVT4" s="1225"/>
      <c r="AVU4" s="1225"/>
      <c r="AVV4" s="1225"/>
      <c r="AVW4" s="1225"/>
      <c r="AVX4" s="1225"/>
      <c r="AVY4" s="1225"/>
      <c r="AVZ4" s="1225"/>
      <c r="AWA4" s="1225"/>
      <c r="AWB4" s="1225"/>
      <c r="AWC4" s="1225"/>
      <c r="AWD4" s="1225"/>
      <c r="AWE4" s="1225"/>
      <c r="AWF4" s="1225"/>
      <c r="AWG4" s="1225"/>
      <c r="AWH4" s="1225"/>
      <c r="AWI4" s="1225"/>
      <c r="AWJ4" s="1225"/>
      <c r="AWK4" s="1225"/>
      <c r="AWL4" s="1225"/>
      <c r="AWM4" s="1225"/>
      <c r="AWN4" s="1225"/>
      <c r="AWO4" s="1225"/>
      <c r="AWP4" s="1225"/>
      <c r="AWQ4" s="1225"/>
      <c r="AWR4" s="1225"/>
      <c r="AWS4" s="1225"/>
      <c r="AWT4" s="1225"/>
      <c r="AWU4" s="1225"/>
      <c r="AWV4" s="1225"/>
      <c r="AWW4" s="1225"/>
      <c r="AWX4" s="1225"/>
      <c r="AWY4" s="1225"/>
      <c r="AWZ4" s="1225"/>
      <c r="AXA4" s="1225"/>
      <c r="AXB4" s="1225"/>
      <c r="AXC4" s="1225"/>
      <c r="AXD4" s="1225"/>
      <c r="AXE4" s="1225"/>
      <c r="AXF4" s="1225"/>
      <c r="AXG4" s="1225"/>
      <c r="AXH4" s="1225"/>
      <c r="AXI4" s="1225"/>
      <c r="AXJ4" s="1225"/>
      <c r="AXK4" s="1225"/>
      <c r="AXL4" s="1225"/>
      <c r="AXM4" s="1225"/>
      <c r="AXN4" s="1225"/>
      <c r="AXO4" s="1225"/>
      <c r="AXP4" s="1225"/>
      <c r="AXQ4" s="1225"/>
      <c r="AXR4" s="1225"/>
      <c r="AXS4" s="1225"/>
      <c r="AXT4" s="1225"/>
      <c r="AXU4" s="1225"/>
      <c r="AXV4" s="1225"/>
      <c r="AXW4" s="1225"/>
      <c r="AXX4" s="1225"/>
      <c r="AXY4" s="1225"/>
      <c r="AXZ4" s="1225"/>
      <c r="AYA4" s="1225"/>
      <c r="AYB4" s="1225"/>
      <c r="AYC4" s="1225"/>
      <c r="AYD4" s="1225"/>
      <c r="AYE4" s="1225"/>
      <c r="AYF4" s="1225"/>
      <c r="AYG4" s="1225"/>
      <c r="AYH4" s="1225"/>
      <c r="AYI4" s="1225"/>
      <c r="AYJ4" s="1225"/>
      <c r="AYK4" s="1225"/>
      <c r="AYL4" s="1225"/>
      <c r="AYM4" s="1225"/>
      <c r="AYN4" s="1225"/>
      <c r="AYO4" s="1225"/>
      <c r="AYP4" s="1225"/>
      <c r="AYQ4" s="1225"/>
      <c r="AYR4" s="1225"/>
      <c r="AYS4" s="1225"/>
      <c r="AYT4" s="1225"/>
      <c r="AYU4" s="1225"/>
      <c r="AYV4" s="1225"/>
      <c r="AYW4" s="1225"/>
      <c r="AYX4" s="1225"/>
      <c r="AYY4" s="1225"/>
      <c r="AYZ4" s="1225"/>
      <c r="AZA4" s="1225"/>
      <c r="AZB4" s="1225"/>
      <c r="AZC4" s="1225"/>
      <c r="AZD4" s="1225"/>
      <c r="AZE4" s="1225"/>
      <c r="AZF4" s="1225"/>
      <c r="AZG4" s="1225"/>
      <c r="AZH4" s="1225"/>
      <c r="AZI4" s="1225"/>
      <c r="AZJ4" s="1225"/>
      <c r="AZK4" s="1225"/>
      <c r="AZL4" s="1225"/>
      <c r="AZM4" s="1225"/>
      <c r="AZN4" s="1225"/>
      <c r="AZO4" s="1225"/>
      <c r="AZP4" s="1225"/>
      <c r="AZQ4" s="1225"/>
      <c r="AZR4" s="1225"/>
      <c r="AZS4" s="1225"/>
      <c r="AZT4" s="1225"/>
      <c r="AZU4" s="1225"/>
      <c r="AZV4" s="1225"/>
      <c r="AZW4" s="1225"/>
      <c r="AZX4" s="1225"/>
      <c r="AZY4" s="1225"/>
      <c r="AZZ4" s="1225"/>
      <c r="BAA4" s="1225"/>
      <c r="BAB4" s="1225"/>
      <c r="BAC4" s="1225"/>
      <c r="BAD4" s="1225"/>
      <c r="BAE4" s="1225"/>
      <c r="BAF4" s="1225"/>
      <c r="BAG4" s="1225"/>
      <c r="BAH4" s="1225"/>
      <c r="BAI4" s="1225"/>
      <c r="BAJ4" s="1225"/>
      <c r="BAK4" s="1225"/>
      <c r="BAL4" s="1225"/>
      <c r="BAM4" s="1225"/>
      <c r="BAN4" s="1225"/>
      <c r="BAO4" s="1225"/>
      <c r="BAP4" s="1225"/>
      <c r="BAQ4" s="1225"/>
      <c r="BAR4" s="1225"/>
      <c r="BAS4" s="1225"/>
      <c r="BAT4" s="1225"/>
      <c r="BAU4" s="1225"/>
      <c r="BAV4" s="1225"/>
      <c r="BAW4" s="1225"/>
      <c r="BAX4" s="1225"/>
      <c r="BAY4" s="1225"/>
      <c r="BAZ4" s="1225"/>
      <c r="BBA4" s="1225"/>
      <c r="BBB4" s="1225"/>
      <c r="BBC4" s="1225"/>
      <c r="BBD4" s="1225"/>
      <c r="BBE4" s="1225"/>
      <c r="BBF4" s="1225"/>
      <c r="BBG4" s="1225"/>
      <c r="BBH4" s="1225"/>
      <c r="BBI4" s="1225"/>
      <c r="BBJ4" s="1225"/>
      <c r="BBK4" s="1225"/>
      <c r="BBL4" s="1225"/>
      <c r="BBM4" s="1225"/>
      <c r="BBN4" s="1225"/>
      <c r="BBO4" s="1225"/>
      <c r="BBP4" s="1225"/>
      <c r="BBQ4" s="1225"/>
      <c r="BBR4" s="1225"/>
      <c r="BBS4" s="1225"/>
      <c r="BBT4" s="1225"/>
      <c r="BBU4" s="1225"/>
      <c r="BBV4" s="1225"/>
      <c r="BBW4" s="1225"/>
      <c r="BBX4" s="1225"/>
      <c r="BBY4" s="1225"/>
      <c r="BBZ4" s="1225"/>
      <c r="BCA4" s="1225"/>
      <c r="BCB4" s="1225"/>
      <c r="BCC4" s="1225"/>
      <c r="BCD4" s="1225"/>
      <c r="BCE4" s="1225"/>
      <c r="BCF4" s="1225"/>
      <c r="BCG4" s="1225"/>
      <c r="BCH4" s="1225"/>
      <c r="BCI4" s="1225"/>
      <c r="BCJ4" s="1225"/>
      <c r="BCK4" s="1225"/>
      <c r="BCL4" s="1225"/>
      <c r="BCM4" s="1225"/>
      <c r="BCN4" s="1225"/>
      <c r="BCO4" s="1225"/>
      <c r="BCP4" s="1225"/>
      <c r="BCQ4" s="1225"/>
      <c r="BCR4" s="1225"/>
      <c r="BCS4" s="1225"/>
      <c r="BCT4" s="1225"/>
      <c r="BCU4" s="1225"/>
      <c r="BCV4" s="1225"/>
      <c r="BCW4" s="1225"/>
      <c r="BCX4" s="1225"/>
      <c r="BCY4" s="1225"/>
      <c r="BCZ4" s="1225"/>
      <c r="BDA4" s="1225"/>
      <c r="BDB4" s="1225"/>
      <c r="BDC4" s="1225"/>
      <c r="BDD4" s="1225"/>
      <c r="BDE4" s="1225"/>
      <c r="BDF4" s="1225"/>
      <c r="BDG4" s="1225"/>
      <c r="BDH4" s="1225"/>
      <c r="BDI4" s="1225"/>
      <c r="BDJ4" s="1225"/>
      <c r="BDK4" s="1225"/>
      <c r="BDL4" s="1225"/>
      <c r="BDM4" s="1225"/>
      <c r="BDN4" s="1225"/>
      <c r="BDO4" s="1225"/>
      <c r="BDP4" s="1225"/>
      <c r="BDQ4" s="1225"/>
      <c r="BDR4" s="1225"/>
      <c r="BDS4" s="1225"/>
      <c r="BDT4" s="1225"/>
      <c r="BDU4" s="1225"/>
      <c r="BDV4" s="1225"/>
      <c r="BDW4" s="1225"/>
      <c r="BDX4" s="1225"/>
      <c r="BDY4" s="1225"/>
      <c r="BDZ4" s="1225"/>
      <c r="BEA4" s="1225"/>
      <c r="BEB4" s="1225"/>
      <c r="BEC4" s="1225"/>
      <c r="BED4" s="1225"/>
      <c r="BEE4" s="1225"/>
      <c r="BEF4" s="1225"/>
      <c r="BEG4" s="1225"/>
      <c r="BEH4" s="1225"/>
      <c r="BEI4" s="1225"/>
      <c r="BEJ4" s="1225"/>
      <c r="BEK4" s="1225"/>
      <c r="BEL4" s="1225"/>
      <c r="BEM4" s="1225"/>
      <c r="BEN4" s="1225"/>
      <c r="BEO4" s="1225"/>
      <c r="BEP4" s="1225"/>
      <c r="BEQ4" s="1225"/>
      <c r="BER4" s="1225"/>
      <c r="BES4" s="1225"/>
      <c r="BET4" s="1225"/>
      <c r="BEU4" s="1225"/>
      <c r="BEV4" s="1225"/>
      <c r="BEW4" s="1225"/>
      <c r="BEX4" s="1225"/>
      <c r="BEY4" s="1225"/>
      <c r="BEZ4" s="1225"/>
      <c r="BFA4" s="1225"/>
      <c r="BFB4" s="1225"/>
      <c r="BFC4" s="1225"/>
      <c r="BFD4" s="1225"/>
      <c r="BFE4" s="1225"/>
      <c r="BFF4" s="1225"/>
      <c r="BFG4" s="1225"/>
      <c r="BFH4" s="1225"/>
      <c r="BFI4" s="1225"/>
      <c r="BFJ4" s="1225"/>
      <c r="BFK4" s="1225"/>
      <c r="BFL4" s="1225"/>
      <c r="BFM4" s="1225"/>
      <c r="BFN4" s="1225"/>
      <c r="BFO4" s="1225"/>
      <c r="BFP4" s="1225"/>
      <c r="BFQ4" s="1225"/>
      <c r="BFR4" s="1225"/>
      <c r="BFS4" s="1225"/>
      <c r="BFT4" s="1225"/>
      <c r="BFU4" s="1225"/>
      <c r="BFV4" s="1225"/>
      <c r="BFW4" s="1225"/>
      <c r="BFX4" s="1225"/>
      <c r="BFY4" s="1225"/>
      <c r="BFZ4" s="1225"/>
      <c r="BGA4" s="1225"/>
      <c r="BGB4" s="1225"/>
      <c r="BGC4" s="1225"/>
      <c r="BGD4" s="1225"/>
      <c r="BGE4" s="1225"/>
      <c r="BGF4" s="1225"/>
      <c r="BGG4" s="1225"/>
      <c r="BGH4" s="1225"/>
      <c r="BGI4" s="1225"/>
      <c r="BGJ4" s="1225"/>
      <c r="BGK4" s="1225"/>
      <c r="BGL4" s="1225"/>
      <c r="BGM4" s="1225"/>
      <c r="BGN4" s="1225"/>
      <c r="BGO4" s="1225"/>
      <c r="BGP4" s="1225"/>
      <c r="BGQ4" s="1225"/>
      <c r="BGR4" s="1225"/>
      <c r="BGS4" s="1225"/>
      <c r="BGT4" s="1225"/>
      <c r="BGU4" s="1225"/>
      <c r="BGV4" s="1225"/>
      <c r="BGW4" s="1225"/>
      <c r="BGX4" s="1225"/>
      <c r="BGY4" s="1225"/>
      <c r="BGZ4" s="1225"/>
      <c r="BHA4" s="1225"/>
      <c r="BHB4" s="1225"/>
      <c r="BHC4" s="1225"/>
      <c r="BHD4" s="1225"/>
      <c r="BHE4" s="1225"/>
      <c r="BHF4" s="1225"/>
      <c r="BHG4" s="1225"/>
      <c r="BHH4" s="1225"/>
      <c r="BHI4" s="1225"/>
      <c r="BHJ4" s="1225"/>
      <c r="BHK4" s="1225"/>
      <c r="BHL4" s="1225"/>
      <c r="BHM4" s="1225"/>
      <c r="BHN4" s="1225"/>
      <c r="BHO4" s="1225"/>
      <c r="BHP4" s="1225"/>
      <c r="BHQ4" s="1225"/>
      <c r="BHR4" s="1225"/>
      <c r="BHS4" s="1225"/>
      <c r="BHT4" s="1225"/>
      <c r="BHU4" s="1225"/>
      <c r="BHV4" s="1225"/>
      <c r="BHW4" s="1225"/>
      <c r="BHX4" s="1225"/>
      <c r="BHY4" s="1225"/>
      <c r="BHZ4" s="1225"/>
      <c r="BIA4" s="1225"/>
      <c r="BIB4" s="1225"/>
      <c r="BIC4" s="1225"/>
      <c r="BID4" s="1225"/>
      <c r="BIE4" s="1225"/>
      <c r="BIF4" s="1225"/>
      <c r="BIG4" s="1225"/>
      <c r="BIH4" s="1225"/>
      <c r="BII4" s="1225"/>
      <c r="BIJ4" s="1225"/>
      <c r="BIK4" s="1225"/>
      <c r="BIL4" s="1225"/>
      <c r="BIM4" s="1225"/>
      <c r="BIN4" s="1225"/>
      <c r="BIO4" s="1225"/>
      <c r="BIP4" s="1225"/>
      <c r="BIQ4" s="1225"/>
      <c r="BIR4" s="1225"/>
      <c r="BIS4" s="1225"/>
      <c r="BIT4" s="1225"/>
      <c r="BIU4" s="1225"/>
      <c r="BIV4" s="1225"/>
      <c r="BIW4" s="1225"/>
      <c r="BIX4" s="1225"/>
      <c r="BIY4" s="1225"/>
      <c r="BIZ4" s="1225"/>
      <c r="BJA4" s="1225"/>
      <c r="BJB4" s="1225"/>
      <c r="BJC4" s="1225"/>
      <c r="BJD4" s="1225"/>
      <c r="BJE4" s="1225"/>
      <c r="BJF4" s="1225"/>
      <c r="BJG4" s="1225"/>
      <c r="BJH4" s="1225"/>
      <c r="BJI4" s="1225"/>
      <c r="BJJ4" s="1225"/>
      <c r="BJK4" s="1225"/>
      <c r="BJL4" s="1225"/>
      <c r="BJM4" s="1225"/>
      <c r="BJN4" s="1225"/>
      <c r="BJO4" s="1225"/>
      <c r="BJP4" s="1225"/>
      <c r="BJQ4" s="1225"/>
      <c r="BJR4" s="1225"/>
      <c r="BJS4" s="1225"/>
      <c r="BJT4" s="1225"/>
      <c r="BJU4" s="1225"/>
      <c r="BJV4" s="1225"/>
      <c r="BJW4" s="1225"/>
      <c r="BJX4" s="1225"/>
      <c r="BJY4" s="1225"/>
      <c r="BJZ4" s="1225"/>
      <c r="BKA4" s="1225"/>
      <c r="BKB4" s="1225"/>
      <c r="BKC4" s="1225"/>
      <c r="BKD4" s="1225"/>
      <c r="BKE4" s="1225"/>
      <c r="BKF4" s="1225"/>
      <c r="BKG4" s="1225"/>
      <c r="BKH4" s="1225"/>
      <c r="BKI4" s="1225"/>
      <c r="BKJ4" s="1225"/>
      <c r="BKK4" s="1225"/>
      <c r="BKL4" s="1225"/>
      <c r="BKM4" s="1225"/>
      <c r="BKN4" s="1225"/>
      <c r="BKO4" s="1225"/>
      <c r="BKP4" s="1225"/>
      <c r="BKQ4" s="1225"/>
      <c r="BKR4" s="1225"/>
      <c r="BKS4" s="1225"/>
      <c r="BKT4" s="1225"/>
      <c r="BKU4" s="1225"/>
      <c r="BKV4" s="1225"/>
      <c r="BKW4" s="1225"/>
      <c r="BKX4" s="1225"/>
      <c r="BKY4" s="1225"/>
      <c r="BKZ4" s="1225"/>
      <c r="BLA4" s="1225"/>
      <c r="BLB4" s="1225"/>
      <c r="BLC4" s="1225"/>
      <c r="BLD4" s="1225"/>
      <c r="BLE4" s="1225"/>
      <c r="BLF4" s="1225"/>
      <c r="BLG4" s="1225"/>
      <c r="BLH4" s="1225"/>
      <c r="BLI4" s="1225"/>
      <c r="BLJ4" s="1225"/>
      <c r="BLK4" s="1225"/>
      <c r="BLL4" s="1225"/>
      <c r="BLM4" s="1225"/>
      <c r="BLN4" s="1225"/>
      <c r="BLO4" s="1225"/>
      <c r="BLP4" s="1225"/>
      <c r="BLQ4" s="1225"/>
      <c r="BLR4" s="1225"/>
      <c r="BLS4" s="1225"/>
      <c r="BLT4" s="1225"/>
      <c r="BLU4" s="1225"/>
      <c r="BLV4" s="1225"/>
      <c r="BLW4" s="1225"/>
      <c r="BLX4" s="1225"/>
      <c r="BLY4" s="1225"/>
      <c r="BLZ4" s="1225"/>
      <c r="BMA4" s="1225"/>
      <c r="BMB4" s="1225"/>
      <c r="BMC4" s="1225"/>
      <c r="BMD4" s="1225"/>
      <c r="BME4" s="1225"/>
      <c r="BMF4" s="1225"/>
      <c r="BMG4" s="1225"/>
      <c r="BMH4" s="1225"/>
      <c r="BMI4" s="1225"/>
      <c r="BMJ4" s="1225"/>
      <c r="BMK4" s="1225"/>
      <c r="BML4" s="1225"/>
      <c r="BMM4" s="1225"/>
      <c r="BMN4" s="1225"/>
      <c r="BMO4" s="1225"/>
      <c r="BMP4" s="1225"/>
      <c r="BMQ4" s="1225"/>
      <c r="BMR4" s="1225"/>
      <c r="BMS4" s="1225"/>
      <c r="BMT4" s="1225"/>
      <c r="BMU4" s="1225"/>
      <c r="BMV4" s="1225"/>
      <c r="BMW4" s="1225"/>
      <c r="BMX4" s="1225"/>
      <c r="BMY4" s="1225"/>
      <c r="BMZ4" s="1225"/>
      <c r="BNA4" s="1225"/>
      <c r="BNB4" s="1225"/>
      <c r="BNC4" s="1225"/>
      <c r="BND4" s="1225"/>
      <c r="BNE4" s="1225"/>
      <c r="BNF4" s="1225"/>
      <c r="BNG4" s="1225"/>
      <c r="BNH4" s="1225"/>
      <c r="BNI4" s="1225"/>
      <c r="BNJ4" s="1225"/>
      <c r="BNK4" s="1225"/>
      <c r="BNL4" s="1225"/>
      <c r="BNM4" s="1225"/>
      <c r="BNN4" s="1225"/>
      <c r="BNO4" s="1225"/>
      <c r="BNP4" s="1225"/>
      <c r="BNQ4" s="1225"/>
      <c r="BNR4" s="1225"/>
      <c r="BNS4" s="1225"/>
      <c r="BNT4" s="1225"/>
      <c r="BNU4" s="1225"/>
      <c r="BNV4" s="1225"/>
      <c r="BNW4" s="1225"/>
      <c r="BNX4" s="1225"/>
      <c r="BNY4" s="1225"/>
      <c r="BNZ4" s="1225"/>
      <c r="BOA4" s="1225"/>
      <c r="BOB4" s="1225"/>
      <c r="BOC4" s="1225"/>
      <c r="BOD4" s="1225"/>
      <c r="BOE4" s="1225"/>
      <c r="BOF4" s="1225"/>
      <c r="BOG4" s="1225"/>
      <c r="BOH4" s="1225"/>
      <c r="BOI4" s="1225"/>
      <c r="BOJ4" s="1225"/>
      <c r="BOK4" s="1225"/>
      <c r="BOL4" s="1225"/>
      <c r="BOM4" s="1225"/>
      <c r="BON4" s="1225"/>
      <c r="BOO4" s="1225"/>
      <c r="BOP4" s="1225"/>
      <c r="BOQ4" s="1225"/>
      <c r="BOR4" s="1225"/>
      <c r="BOS4" s="1225"/>
      <c r="BOT4" s="1225"/>
      <c r="BOU4" s="1225"/>
      <c r="BOV4" s="1225"/>
      <c r="BOW4" s="1225"/>
      <c r="BOX4" s="1225"/>
      <c r="BOY4" s="1225"/>
      <c r="BOZ4" s="1225"/>
      <c r="BPA4" s="1225"/>
      <c r="BPB4" s="1225"/>
      <c r="BPC4" s="1225"/>
      <c r="BPD4" s="1225"/>
      <c r="BPE4" s="1225"/>
      <c r="BPF4" s="1225"/>
      <c r="BPG4" s="1225"/>
      <c r="BPH4" s="1225"/>
      <c r="BPI4" s="1225"/>
      <c r="BPJ4" s="1225"/>
      <c r="BPK4" s="1225"/>
      <c r="BPL4" s="1225"/>
      <c r="BPM4" s="1225"/>
      <c r="BPN4" s="1225"/>
      <c r="BPO4" s="1225"/>
      <c r="BPP4" s="1225"/>
      <c r="BPQ4" s="1225"/>
      <c r="BPR4" s="1225"/>
      <c r="BPS4" s="1225"/>
      <c r="BPT4" s="1225"/>
      <c r="BPU4" s="1225"/>
      <c r="BPV4" s="1225"/>
      <c r="BPW4" s="1225"/>
      <c r="BPX4" s="1225"/>
      <c r="BPY4" s="1225"/>
      <c r="BPZ4" s="1225"/>
      <c r="BQA4" s="1225"/>
      <c r="BQB4" s="1225"/>
      <c r="BQC4" s="1225"/>
      <c r="BQD4" s="1225"/>
      <c r="BQE4" s="1225"/>
      <c r="BQF4" s="1225"/>
      <c r="BQG4" s="1225"/>
      <c r="BQH4" s="1225"/>
      <c r="BQI4" s="1225"/>
      <c r="BQJ4" s="1225"/>
      <c r="BQK4" s="1225"/>
      <c r="BQL4" s="1225"/>
      <c r="BQM4" s="1225"/>
      <c r="BQN4" s="1225"/>
      <c r="BQO4" s="1225"/>
      <c r="BQP4" s="1225"/>
      <c r="BQQ4" s="1225"/>
      <c r="BQR4" s="1225"/>
      <c r="BQS4" s="1225"/>
      <c r="BQT4" s="1225"/>
      <c r="BQU4" s="1225"/>
      <c r="BQV4" s="1225"/>
      <c r="BQW4" s="1225"/>
      <c r="BQX4" s="1225"/>
      <c r="BQY4" s="1225"/>
      <c r="BQZ4" s="1225"/>
      <c r="BRA4" s="1225"/>
      <c r="BRB4" s="1225"/>
      <c r="BRC4" s="1225"/>
      <c r="BRD4" s="1225"/>
      <c r="BRE4" s="1225"/>
      <c r="BRF4" s="1225"/>
      <c r="BRG4" s="1225"/>
      <c r="BRH4" s="1225"/>
      <c r="BRI4" s="1225"/>
      <c r="BRJ4" s="1225"/>
      <c r="BRK4" s="1225"/>
      <c r="BRL4" s="1225"/>
      <c r="BRM4" s="1225"/>
      <c r="BRN4" s="1225"/>
      <c r="BRO4" s="1225"/>
      <c r="BRP4" s="1225"/>
      <c r="BRQ4" s="1225"/>
      <c r="BRR4" s="1225"/>
      <c r="BRS4" s="1225"/>
      <c r="BRT4" s="1225"/>
      <c r="BRU4" s="1225"/>
      <c r="BRV4" s="1225"/>
      <c r="BRW4" s="1225"/>
      <c r="BRX4" s="1225"/>
      <c r="BRY4" s="1225"/>
      <c r="BRZ4" s="1225"/>
      <c r="BSA4" s="1225"/>
      <c r="BSB4" s="1225"/>
      <c r="BSC4" s="1225"/>
      <c r="BSD4" s="1225"/>
      <c r="BSE4" s="1225"/>
      <c r="BSF4" s="1225"/>
      <c r="BSG4" s="1225"/>
      <c r="BSH4" s="1225"/>
      <c r="BSI4" s="1225"/>
      <c r="BSJ4" s="1225"/>
      <c r="BSK4" s="1225"/>
      <c r="BSL4" s="1225"/>
      <c r="BSM4" s="1225"/>
      <c r="BSN4" s="1225"/>
      <c r="BSO4" s="1225"/>
      <c r="BSP4" s="1225"/>
      <c r="BSQ4" s="1225"/>
      <c r="BSR4" s="1225"/>
      <c r="BSS4" s="1225"/>
      <c r="BST4" s="1225"/>
      <c r="BSU4" s="1225"/>
      <c r="BSV4" s="1225"/>
      <c r="BSW4" s="1225"/>
      <c r="BSX4" s="1225"/>
      <c r="BSY4" s="1225"/>
      <c r="BSZ4" s="1225"/>
      <c r="BTA4" s="1225"/>
      <c r="BTB4" s="1225"/>
      <c r="BTC4" s="1225"/>
      <c r="BTD4" s="1225"/>
      <c r="BTE4" s="1225"/>
      <c r="BTF4" s="1225"/>
      <c r="BTG4" s="1225"/>
      <c r="BTH4" s="1225"/>
      <c r="BTI4" s="1225"/>
      <c r="BTJ4" s="1225"/>
      <c r="BTK4" s="1225"/>
      <c r="BTL4" s="1225"/>
      <c r="BTM4" s="1225"/>
      <c r="BTN4" s="1225"/>
      <c r="BTO4" s="1225"/>
      <c r="BTP4" s="1225"/>
      <c r="BTQ4" s="1225"/>
      <c r="BTR4" s="1225"/>
      <c r="BTS4" s="1225"/>
      <c r="BTT4" s="1225"/>
      <c r="BTU4" s="1225"/>
      <c r="BTV4" s="1225"/>
      <c r="BTW4" s="1225"/>
      <c r="BTX4" s="1225"/>
      <c r="BTY4" s="1225"/>
      <c r="BTZ4" s="1225"/>
      <c r="BUA4" s="1225"/>
      <c r="BUB4" s="1225"/>
      <c r="BUC4" s="1225"/>
      <c r="BUD4" s="1225"/>
      <c r="BUE4" s="1225"/>
      <c r="BUF4" s="1225"/>
      <c r="BUG4" s="1225"/>
      <c r="BUH4" s="1225"/>
      <c r="BUI4" s="1225"/>
      <c r="BUJ4" s="1225"/>
      <c r="BUK4" s="1225"/>
      <c r="BUL4" s="1225"/>
      <c r="BUM4" s="1225"/>
      <c r="BUN4" s="1225"/>
      <c r="BUO4" s="1225"/>
      <c r="BUP4" s="1225"/>
      <c r="BUQ4" s="1225"/>
      <c r="BUR4" s="1225"/>
      <c r="BUS4" s="1225"/>
      <c r="BUT4" s="1225"/>
      <c r="BUU4" s="1225"/>
      <c r="BUV4" s="1225"/>
      <c r="BUW4" s="1225"/>
      <c r="BUX4" s="1225"/>
      <c r="BUY4" s="1225"/>
      <c r="BUZ4" s="1225"/>
      <c r="BVA4" s="1225"/>
      <c r="BVB4" s="1225"/>
      <c r="BVC4" s="1225"/>
      <c r="BVD4" s="1225"/>
      <c r="BVE4" s="1225"/>
      <c r="BVF4" s="1225"/>
      <c r="BVG4" s="1225"/>
      <c r="BVH4" s="1225"/>
      <c r="BVI4" s="1225"/>
      <c r="BVJ4" s="1225"/>
      <c r="BVK4" s="1225"/>
      <c r="BVL4" s="1225"/>
      <c r="BVM4" s="1225"/>
      <c r="BVN4" s="1225"/>
      <c r="BVO4" s="1225"/>
      <c r="BVP4" s="1225"/>
      <c r="BVQ4" s="1225"/>
      <c r="BVR4" s="1225"/>
      <c r="BVS4" s="1225"/>
      <c r="BVT4" s="1225"/>
      <c r="BVU4" s="1225"/>
      <c r="BVV4" s="1225"/>
      <c r="BVW4" s="1225"/>
      <c r="BVX4" s="1225"/>
      <c r="BVY4" s="1225"/>
      <c r="BVZ4" s="1225"/>
      <c r="BWA4" s="1225"/>
      <c r="BWB4" s="1225"/>
      <c r="BWC4" s="1225"/>
      <c r="BWD4" s="1225"/>
      <c r="BWE4" s="1225"/>
      <c r="BWF4" s="1225"/>
      <c r="BWG4" s="1225"/>
      <c r="BWH4" s="1225"/>
      <c r="BWI4" s="1225"/>
      <c r="BWJ4" s="1225"/>
      <c r="BWK4" s="1225"/>
      <c r="BWL4" s="1225"/>
      <c r="BWM4" s="1225"/>
      <c r="BWN4" s="1225"/>
      <c r="BWO4" s="1225"/>
      <c r="BWP4" s="1225"/>
      <c r="BWQ4" s="1225"/>
      <c r="BWR4" s="1225"/>
      <c r="BWS4" s="1225"/>
      <c r="BWT4" s="1225"/>
      <c r="BWU4" s="1225"/>
      <c r="BWV4" s="1225"/>
      <c r="BWW4" s="1225"/>
      <c r="BWX4" s="1225"/>
      <c r="BWY4" s="1225"/>
      <c r="BWZ4" s="1225"/>
      <c r="BXA4" s="1225"/>
      <c r="BXB4" s="1225"/>
      <c r="BXC4" s="1225"/>
      <c r="BXD4" s="1225"/>
      <c r="BXE4" s="1225"/>
      <c r="BXF4" s="1225"/>
      <c r="BXG4" s="1225"/>
      <c r="BXH4" s="1225"/>
      <c r="BXI4" s="1225"/>
      <c r="BXJ4" s="1225"/>
      <c r="BXK4" s="1225"/>
      <c r="BXL4" s="1225"/>
      <c r="BXM4" s="1225"/>
      <c r="BXN4" s="1225"/>
      <c r="BXO4" s="1225"/>
      <c r="BXP4" s="1225"/>
      <c r="BXQ4" s="1225"/>
      <c r="BXR4" s="1225"/>
      <c r="BXS4" s="1225"/>
      <c r="BXT4" s="1225"/>
      <c r="BXU4" s="1225"/>
      <c r="BXV4" s="1225"/>
      <c r="BXW4" s="1225"/>
      <c r="BXX4" s="1225"/>
      <c r="BXY4" s="1225"/>
      <c r="BXZ4" s="1225"/>
      <c r="BYA4" s="1225"/>
      <c r="BYB4" s="1225"/>
      <c r="BYC4" s="1225"/>
      <c r="BYD4" s="1225"/>
      <c r="BYE4" s="1225"/>
      <c r="BYF4" s="1225"/>
      <c r="BYG4" s="1225"/>
      <c r="BYH4" s="1225"/>
      <c r="BYI4" s="1225"/>
      <c r="BYJ4" s="1225"/>
      <c r="BYK4" s="1225"/>
      <c r="BYL4" s="1225"/>
      <c r="BYM4" s="1225"/>
      <c r="BYN4" s="1225"/>
      <c r="BYO4" s="1225"/>
      <c r="BYP4" s="1225"/>
      <c r="BYQ4" s="1225"/>
      <c r="BYR4" s="1225"/>
      <c r="BYS4" s="1225"/>
      <c r="BYT4" s="1225"/>
      <c r="BYU4" s="1225"/>
      <c r="BYV4" s="1225"/>
      <c r="BYW4" s="1225"/>
      <c r="BYX4" s="1225"/>
      <c r="BYY4" s="1225"/>
      <c r="BYZ4" s="1225"/>
      <c r="BZA4" s="1225"/>
      <c r="BZB4" s="1225"/>
      <c r="BZC4" s="1225"/>
      <c r="BZD4" s="1225"/>
      <c r="BZE4" s="1225"/>
      <c r="BZF4" s="1225"/>
      <c r="BZG4" s="1225"/>
      <c r="BZH4" s="1225"/>
      <c r="BZI4" s="1225"/>
      <c r="BZJ4" s="1225"/>
      <c r="BZK4" s="1225"/>
      <c r="BZL4" s="1225"/>
      <c r="BZM4" s="1225"/>
      <c r="BZN4" s="1225"/>
      <c r="BZO4" s="1225"/>
      <c r="BZP4" s="1225"/>
      <c r="BZQ4" s="1225"/>
      <c r="BZR4" s="1225"/>
      <c r="BZS4" s="1225"/>
      <c r="BZT4" s="1225"/>
      <c r="BZU4" s="1225"/>
      <c r="BZV4" s="1225"/>
      <c r="BZW4" s="1225"/>
      <c r="BZX4" s="1225"/>
      <c r="BZY4" s="1225"/>
      <c r="BZZ4" s="1225"/>
      <c r="CAA4" s="1225"/>
      <c r="CAB4" s="1225"/>
      <c r="CAC4" s="1225"/>
      <c r="CAD4" s="1225"/>
      <c r="CAE4" s="1225"/>
      <c r="CAF4" s="1225"/>
      <c r="CAG4" s="1225"/>
      <c r="CAH4" s="1225"/>
      <c r="CAI4" s="1225"/>
      <c r="CAJ4" s="1225"/>
      <c r="CAK4" s="1225"/>
      <c r="CAL4" s="1225"/>
      <c r="CAM4" s="1225"/>
      <c r="CAN4" s="1225"/>
      <c r="CAO4" s="1225"/>
      <c r="CAP4" s="1225"/>
      <c r="CAQ4" s="1225"/>
      <c r="CAR4" s="1225"/>
      <c r="CAS4" s="1225"/>
      <c r="CAT4" s="1225"/>
      <c r="CAU4" s="1225"/>
      <c r="CAV4" s="1225"/>
      <c r="CAW4" s="1225"/>
      <c r="CAX4" s="1225"/>
      <c r="CAY4" s="1225"/>
      <c r="CAZ4" s="1225"/>
      <c r="CBA4" s="1225"/>
      <c r="CBB4" s="1225"/>
      <c r="CBC4" s="1225"/>
      <c r="CBD4" s="1225"/>
      <c r="CBE4" s="1225"/>
      <c r="CBF4" s="1225"/>
      <c r="CBG4" s="1225"/>
      <c r="CBH4" s="1225"/>
      <c r="CBI4" s="1225"/>
      <c r="CBJ4" s="1225"/>
      <c r="CBK4" s="1225"/>
      <c r="CBL4" s="1225"/>
      <c r="CBM4" s="1225"/>
      <c r="CBN4" s="1225"/>
      <c r="CBO4" s="1225"/>
      <c r="CBP4" s="1225"/>
      <c r="CBQ4" s="1225"/>
      <c r="CBR4" s="1225"/>
      <c r="CBS4" s="1225"/>
      <c r="CBT4" s="1225"/>
      <c r="CBU4" s="1225"/>
      <c r="CBV4" s="1225"/>
      <c r="CBW4" s="1225"/>
      <c r="CBX4" s="1225"/>
      <c r="CBY4" s="1225"/>
      <c r="CBZ4" s="1225"/>
      <c r="CCA4" s="1225"/>
      <c r="CCB4" s="1225"/>
      <c r="CCC4" s="1225"/>
      <c r="CCD4" s="1225"/>
      <c r="CCE4" s="1225"/>
      <c r="CCF4" s="1225"/>
      <c r="CCG4" s="1225"/>
      <c r="CCH4" s="1225"/>
      <c r="CCI4" s="1225"/>
      <c r="CCJ4" s="1225"/>
      <c r="CCK4" s="1225"/>
      <c r="CCL4" s="1225"/>
      <c r="CCM4" s="1225"/>
      <c r="CCN4" s="1225"/>
      <c r="CCO4" s="1225"/>
      <c r="CCP4" s="1225"/>
      <c r="CCQ4" s="1225"/>
      <c r="CCR4" s="1225"/>
      <c r="CCS4" s="1225"/>
      <c r="CCT4" s="1225"/>
      <c r="CCU4" s="1225"/>
      <c r="CCV4" s="1225"/>
      <c r="CCW4" s="1225"/>
      <c r="CCX4" s="1225"/>
      <c r="CCY4" s="1225"/>
      <c r="CCZ4" s="1225"/>
      <c r="CDA4" s="1225"/>
      <c r="CDB4" s="1225"/>
      <c r="CDC4" s="1225"/>
      <c r="CDD4" s="1225"/>
      <c r="CDE4" s="1225"/>
      <c r="CDF4" s="1225"/>
      <c r="CDG4" s="1225"/>
      <c r="CDH4" s="1225"/>
      <c r="CDI4" s="1225"/>
      <c r="CDJ4" s="1225"/>
      <c r="CDK4" s="1225"/>
      <c r="CDL4" s="1225"/>
      <c r="CDM4" s="1225"/>
      <c r="CDN4" s="1225"/>
      <c r="CDO4" s="1225"/>
      <c r="CDP4" s="1225"/>
      <c r="CDQ4" s="1225"/>
      <c r="CDR4" s="1225"/>
      <c r="CDS4" s="1225"/>
      <c r="CDT4" s="1225"/>
      <c r="CDU4" s="1225"/>
      <c r="CDV4" s="1225"/>
      <c r="CDW4" s="1225"/>
      <c r="CDX4" s="1225"/>
      <c r="CDY4" s="1225"/>
      <c r="CDZ4" s="1225"/>
      <c r="CEA4" s="1225"/>
      <c r="CEB4" s="1225"/>
      <c r="CEC4" s="1225"/>
      <c r="CED4" s="1225"/>
      <c r="CEE4" s="1225"/>
      <c r="CEF4" s="1225"/>
      <c r="CEG4" s="1225"/>
      <c r="CEH4" s="1225"/>
      <c r="CEI4" s="1225"/>
      <c r="CEJ4" s="1225"/>
      <c r="CEK4" s="1225"/>
      <c r="CEL4" s="1225"/>
      <c r="CEM4" s="1225"/>
      <c r="CEN4" s="1225"/>
      <c r="CEO4" s="1225"/>
      <c r="CEP4" s="1225"/>
      <c r="CEQ4" s="1225"/>
      <c r="CER4" s="1225"/>
      <c r="CES4" s="1225"/>
      <c r="CET4" s="1225"/>
      <c r="CEU4" s="1225"/>
      <c r="CEV4" s="1225"/>
      <c r="CEW4" s="1225"/>
      <c r="CEX4" s="1225"/>
      <c r="CEY4" s="1225"/>
      <c r="CEZ4" s="1225"/>
      <c r="CFA4" s="1225"/>
      <c r="CFB4" s="1225"/>
      <c r="CFC4" s="1225"/>
      <c r="CFD4" s="1225"/>
      <c r="CFE4" s="1225"/>
      <c r="CFF4" s="1225"/>
      <c r="CFG4" s="1225"/>
      <c r="CFH4" s="1225"/>
      <c r="CFI4" s="1225"/>
      <c r="CFJ4" s="1225"/>
      <c r="CFK4" s="1225"/>
      <c r="CFL4" s="1225"/>
      <c r="CFM4" s="1225"/>
      <c r="CFN4" s="1225"/>
      <c r="CFO4" s="1225"/>
      <c r="CFP4" s="1225"/>
      <c r="CFQ4" s="1225"/>
      <c r="CFR4" s="1225"/>
      <c r="CFS4" s="1225"/>
      <c r="CFT4" s="1225"/>
      <c r="CFU4" s="1225"/>
      <c r="CFV4" s="1225"/>
      <c r="CFW4" s="1225"/>
      <c r="CFX4" s="1225"/>
      <c r="CFY4" s="1225"/>
      <c r="CFZ4" s="1225"/>
      <c r="CGA4" s="1225"/>
      <c r="CGB4" s="1225"/>
      <c r="CGC4" s="1225"/>
      <c r="CGD4" s="1225"/>
      <c r="CGE4" s="1225"/>
      <c r="CGF4" s="1225"/>
      <c r="CGG4" s="1225"/>
      <c r="CGH4" s="1225"/>
      <c r="CGI4" s="1225"/>
      <c r="CGJ4" s="1225"/>
      <c r="CGK4" s="1225"/>
      <c r="CGL4" s="1225"/>
      <c r="CGM4" s="1225"/>
      <c r="CGN4" s="1225"/>
      <c r="CGO4" s="1225"/>
      <c r="CGP4" s="1225"/>
      <c r="CGQ4" s="1225"/>
      <c r="CGR4" s="1225"/>
      <c r="CGS4" s="1225"/>
      <c r="CGT4" s="1225"/>
      <c r="CGU4" s="1225"/>
      <c r="CGV4" s="1225"/>
      <c r="CGW4" s="1225"/>
      <c r="CGX4" s="1225"/>
      <c r="CGY4" s="1225"/>
      <c r="CGZ4" s="1225"/>
      <c r="CHA4" s="1225"/>
      <c r="CHB4" s="1225"/>
      <c r="CHC4" s="1225"/>
      <c r="CHD4" s="1225"/>
      <c r="CHE4" s="1225"/>
      <c r="CHF4" s="1225"/>
      <c r="CHG4" s="1225"/>
      <c r="CHH4" s="1225"/>
      <c r="CHI4" s="1225"/>
      <c r="CHJ4" s="1225"/>
      <c r="CHK4" s="1225"/>
      <c r="CHL4" s="1225"/>
      <c r="CHM4" s="1225"/>
      <c r="CHN4" s="1225"/>
      <c r="CHO4" s="1225"/>
      <c r="CHP4" s="1225"/>
      <c r="CHQ4" s="1225"/>
      <c r="CHR4" s="1225"/>
      <c r="CHS4" s="1225"/>
      <c r="CHT4" s="1225"/>
      <c r="CHU4" s="1225"/>
      <c r="CHV4" s="1225"/>
      <c r="CHW4" s="1225"/>
      <c r="CHX4" s="1225"/>
      <c r="CHY4" s="1225"/>
      <c r="CHZ4" s="1225"/>
      <c r="CIA4" s="1225"/>
      <c r="CIB4" s="1225"/>
      <c r="CIC4" s="1225"/>
      <c r="CID4" s="1225"/>
      <c r="CIE4" s="1225"/>
      <c r="CIF4" s="1225"/>
      <c r="CIG4" s="1225"/>
      <c r="CIH4" s="1225"/>
      <c r="CII4" s="1225"/>
      <c r="CIJ4" s="1225"/>
      <c r="CIK4" s="1225"/>
      <c r="CIL4" s="1225"/>
      <c r="CIM4" s="1225"/>
      <c r="CIN4" s="1225"/>
      <c r="CIO4" s="1225"/>
      <c r="CIP4" s="1225"/>
      <c r="CIQ4" s="1225"/>
      <c r="CIR4" s="1225"/>
      <c r="CIS4" s="1225"/>
      <c r="CIT4" s="1225"/>
      <c r="CIU4" s="1225"/>
      <c r="CIV4" s="1225"/>
      <c r="CIW4" s="1225"/>
      <c r="CIX4" s="1225"/>
      <c r="CIY4" s="1225"/>
      <c r="CIZ4" s="1225"/>
      <c r="CJA4" s="1225"/>
      <c r="CJB4" s="1225"/>
      <c r="CJC4" s="1225"/>
      <c r="CJD4" s="1225"/>
      <c r="CJE4" s="1225"/>
      <c r="CJF4" s="1225"/>
      <c r="CJG4" s="1225"/>
      <c r="CJH4" s="1225"/>
      <c r="CJI4" s="1225"/>
      <c r="CJJ4" s="1225"/>
      <c r="CJK4" s="1225"/>
      <c r="CJL4" s="1225"/>
      <c r="CJM4" s="1225"/>
      <c r="CJN4" s="1225"/>
      <c r="CJO4" s="1225"/>
      <c r="CJP4" s="1225"/>
      <c r="CJQ4" s="1225"/>
      <c r="CJR4" s="1225"/>
      <c r="CJS4" s="1225"/>
      <c r="CJT4" s="1225"/>
      <c r="CJU4" s="1225"/>
      <c r="CJV4" s="1225"/>
      <c r="CJW4" s="1225"/>
      <c r="CJX4" s="1225"/>
      <c r="CJY4" s="1225"/>
      <c r="CJZ4" s="1225"/>
      <c r="CKA4" s="1225"/>
      <c r="CKB4" s="1225"/>
      <c r="CKC4" s="1225"/>
      <c r="CKD4" s="1225"/>
      <c r="CKE4" s="1225"/>
      <c r="CKF4" s="1225"/>
      <c r="CKG4" s="1225"/>
      <c r="CKH4" s="1225"/>
      <c r="CKI4" s="1225"/>
      <c r="CKJ4" s="1225"/>
      <c r="CKK4" s="1225"/>
      <c r="CKL4" s="1225"/>
      <c r="CKM4" s="1225"/>
      <c r="CKN4" s="1225"/>
      <c r="CKO4" s="1225"/>
      <c r="CKP4" s="1225"/>
      <c r="CKQ4" s="1225"/>
      <c r="CKR4" s="1225"/>
      <c r="CKS4" s="1225"/>
      <c r="CKT4" s="1225"/>
      <c r="CKU4" s="1225"/>
      <c r="CKV4" s="1225"/>
      <c r="CKW4" s="1225"/>
      <c r="CKX4" s="1225"/>
      <c r="CKY4" s="1225"/>
      <c r="CKZ4" s="1225"/>
      <c r="CLA4" s="1225"/>
      <c r="CLB4" s="1225"/>
      <c r="CLC4" s="1225"/>
      <c r="CLD4" s="1225"/>
      <c r="CLE4" s="1225"/>
      <c r="CLF4" s="1225"/>
      <c r="CLG4" s="1225"/>
      <c r="CLH4" s="1225"/>
      <c r="CLI4" s="1225"/>
      <c r="CLJ4" s="1225"/>
      <c r="CLK4" s="1225"/>
      <c r="CLL4" s="1225"/>
      <c r="CLM4" s="1225"/>
      <c r="CLN4" s="1225"/>
      <c r="CLO4" s="1225"/>
      <c r="CLP4" s="1225"/>
      <c r="CLQ4" s="1225"/>
      <c r="CLR4" s="1225"/>
      <c r="CLS4" s="1225"/>
      <c r="CLT4" s="1225"/>
      <c r="CLU4" s="1225"/>
      <c r="CLV4" s="1225"/>
      <c r="CLW4" s="1225"/>
      <c r="CLX4" s="1225"/>
      <c r="CLY4" s="1225"/>
      <c r="CLZ4" s="1225"/>
      <c r="CMA4" s="1225"/>
      <c r="CMB4" s="1225"/>
      <c r="CMC4" s="1225"/>
      <c r="CMD4" s="1225"/>
      <c r="CME4" s="1225"/>
      <c r="CMF4" s="1225"/>
      <c r="CMG4" s="1225"/>
      <c r="CMH4" s="1225"/>
      <c r="CMI4" s="1225"/>
      <c r="CMJ4" s="1225"/>
      <c r="CMK4" s="1225"/>
      <c r="CML4" s="1225"/>
      <c r="CMM4" s="1225"/>
      <c r="CMN4" s="1225"/>
      <c r="CMO4" s="1225"/>
      <c r="CMP4" s="1225"/>
      <c r="CMQ4" s="1225"/>
      <c r="CMR4" s="1225"/>
      <c r="CMS4" s="1225"/>
      <c r="CMT4" s="1225"/>
      <c r="CMU4" s="1225"/>
      <c r="CMV4" s="1225"/>
      <c r="CMW4" s="1225"/>
      <c r="CMX4" s="1225"/>
      <c r="CMY4" s="1225"/>
      <c r="CMZ4" s="1225"/>
      <c r="CNA4" s="1225"/>
      <c r="CNB4" s="1225"/>
      <c r="CNC4" s="1225"/>
      <c r="CND4" s="1225"/>
      <c r="CNE4" s="1225"/>
      <c r="CNF4" s="1225"/>
      <c r="CNG4" s="1225"/>
      <c r="CNH4" s="1225"/>
      <c r="CNI4" s="1225"/>
      <c r="CNJ4" s="1225"/>
      <c r="CNK4" s="1225"/>
      <c r="CNL4" s="1225"/>
      <c r="CNM4" s="1225"/>
      <c r="CNN4" s="1225"/>
      <c r="CNO4" s="1225"/>
      <c r="CNP4" s="1225"/>
      <c r="CNQ4" s="1225"/>
      <c r="CNR4" s="1225"/>
      <c r="CNS4" s="1225"/>
      <c r="CNT4" s="1225"/>
      <c r="CNU4" s="1225"/>
      <c r="CNV4" s="1225"/>
      <c r="CNW4" s="1225"/>
      <c r="CNX4" s="1225"/>
      <c r="CNY4" s="1225"/>
      <c r="CNZ4" s="1225"/>
      <c r="COA4" s="1225"/>
      <c r="COB4" s="1225"/>
      <c r="COC4" s="1225"/>
      <c r="COD4" s="1225"/>
      <c r="COE4" s="1225"/>
      <c r="COF4" s="1225"/>
      <c r="COG4" s="1225"/>
      <c r="COH4" s="1225"/>
      <c r="COI4" s="1225"/>
      <c r="COJ4" s="1225"/>
      <c r="COK4" s="1225"/>
      <c r="COL4" s="1225"/>
      <c r="COM4" s="1225"/>
      <c r="CON4" s="1225"/>
      <c r="COO4" s="1225"/>
      <c r="COP4" s="1225"/>
      <c r="COQ4" s="1225"/>
      <c r="COR4" s="1225"/>
      <c r="COS4" s="1225"/>
      <c r="COT4" s="1225"/>
      <c r="COU4" s="1225"/>
      <c r="COV4" s="1225"/>
      <c r="COW4" s="1225"/>
      <c r="COX4" s="1225"/>
      <c r="COY4" s="1225"/>
      <c r="COZ4" s="1225"/>
      <c r="CPA4" s="1225"/>
      <c r="CPB4" s="1225"/>
      <c r="CPC4" s="1225"/>
      <c r="CPD4" s="1225"/>
      <c r="CPE4" s="1225"/>
      <c r="CPF4" s="1225"/>
      <c r="CPG4" s="1225"/>
      <c r="CPH4" s="1225"/>
      <c r="CPI4" s="1225"/>
      <c r="CPJ4" s="1225"/>
      <c r="CPK4" s="1225"/>
      <c r="CPL4" s="1225"/>
      <c r="CPM4" s="1225"/>
      <c r="CPN4" s="1225"/>
      <c r="CPO4" s="1225"/>
      <c r="CPP4" s="1225"/>
      <c r="CPQ4" s="1225"/>
      <c r="CPR4" s="1225"/>
      <c r="CPS4" s="1225"/>
      <c r="CPT4" s="1225"/>
      <c r="CPU4" s="1225"/>
      <c r="CPV4" s="1225"/>
      <c r="CPW4" s="1225"/>
      <c r="CPX4" s="1225"/>
      <c r="CPY4" s="1225"/>
      <c r="CPZ4" s="1225"/>
      <c r="CQA4" s="1225"/>
      <c r="CQB4" s="1225"/>
      <c r="CQC4" s="1225"/>
      <c r="CQD4" s="1225"/>
      <c r="CQE4" s="1225"/>
      <c r="CQF4" s="1225"/>
      <c r="CQG4" s="1225"/>
      <c r="CQH4" s="1225"/>
      <c r="CQI4" s="1225"/>
      <c r="CQJ4" s="1225"/>
      <c r="CQK4" s="1225"/>
      <c r="CQL4" s="1225"/>
      <c r="CQM4" s="1225"/>
      <c r="CQN4" s="1225"/>
      <c r="CQO4" s="1225"/>
      <c r="CQP4" s="1225"/>
      <c r="CQQ4" s="1225"/>
      <c r="CQR4" s="1225"/>
      <c r="CQS4" s="1225"/>
      <c r="CQT4" s="1225"/>
      <c r="CQU4" s="1225"/>
      <c r="CQV4" s="1225"/>
      <c r="CQW4" s="1225"/>
      <c r="CQX4" s="1225"/>
      <c r="CQY4" s="1225"/>
      <c r="CQZ4" s="1225"/>
      <c r="CRA4" s="1225"/>
      <c r="CRB4" s="1225"/>
      <c r="CRC4" s="1225"/>
      <c r="CRD4" s="1225"/>
      <c r="CRE4" s="1225"/>
      <c r="CRF4" s="1225"/>
      <c r="CRG4" s="1225"/>
      <c r="CRH4" s="1225"/>
      <c r="CRI4" s="1225"/>
      <c r="CRJ4" s="1225"/>
      <c r="CRK4" s="1225"/>
      <c r="CRL4" s="1225"/>
      <c r="CRM4" s="1225"/>
      <c r="CRN4" s="1225"/>
      <c r="CRO4" s="1225"/>
      <c r="CRP4" s="1225"/>
      <c r="CRQ4" s="1225"/>
      <c r="CRR4" s="1225"/>
      <c r="CRS4" s="1225"/>
      <c r="CRT4" s="1225"/>
      <c r="CRU4" s="1225"/>
      <c r="CRV4" s="1225"/>
      <c r="CRW4" s="1225"/>
      <c r="CRX4" s="1225"/>
      <c r="CRY4" s="1225"/>
      <c r="CRZ4" s="1225"/>
      <c r="CSA4" s="1225"/>
      <c r="CSB4" s="1225"/>
      <c r="CSC4" s="1225"/>
      <c r="CSD4" s="1225"/>
      <c r="CSE4" s="1225"/>
      <c r="CSF4" s="1225"/>
      <c r="CSG4" s="1225"/>
      <c r="CSH4" s="1225"/>
      <c r="CSI4" s="1225"/>
      <c r="CSJ4" s="1225"/>
      <c r="CSK4" s="1225"/>
      <c r="CSL4" s="1225"/>
      <c r="CSM4" s="1225"/>
      <c r="CSN4" s="1225"/>
      <c r="CSO4" s="1225"/>
      <c r="CSP4" s="1225"/>
      <c r="CSQ4" s="1225"/>
      <c r="CSR4" s="1225"/>
      <c r="CSS4" s="1225"/>
      <c r="CST4" s="1225"/>
      <c r="CSU4" s="1225"/>
      <c r="CSV4" s="1225"/>
      <c r="CSW4" s="1225"/>
      <c r="CSX4" s="1225"/>
      <c r="CSY4" s="1225"/>
      <c r="CSZ4" s="1225"/>
      <c r="CTA4" s="1225"/>
      <c r="CTB4" s="1225"/>
      <c r="CTC4" s="1225"/>
      <c r="CTD4" s="1225"/>
      <c r="CTE4" s="1225"/>
      <c r="CTF4" s="1225"/>
      <c r="CTG4" s="1225"/>
      <c r="CTH4" s="1225"/>
      <c r="CTI4" s="1225"/>
      <c r="CTJ4" s="1225"/>
      <c r="CTK4" s="1225"/>
      <c r="CTL4" s="1225"/>
      <c r="CTM4" s="1225"/>
      <c r="CTN4" s="1225"/>
      <c r="CTO4" s="1225"/>
      <c r="CTP4" s="1225"/>
      <c r="CTQ4" s="1225"/>
      <c r="CTR4" s="1225"/>
      <c r="CTS4" s="1225"/>
      <c r="CTT4" s="1225"/>
      <c r="CTU4" s="1225"/>
      <c r="CTV4" s="1225"/>
      <c r="CTW4" s="1225"/>
      <c r="CTX4" s="1225"/>
      <c r="CTY4" s="1225"/>
      <c r="CTZ4" s="1225"/>
      <c r="CUA4" s="1225"/>
      <c r="CUB4" s="1225"/>
      <c r="CUC4" s="1225"/>
      <c r="CUD4" s="1225"/>
      <c r="CUE4" s="1225"/>
      <c r="CUF4" s="1225"/>
      <c r="CUG4" s="1225"/>
      <c r="CUH4" s="1225"/>
      <c r="CUI4" s="1225"/>
      <c r="CUJ4" s="1225"/>
      <c r="CUK4" s="1225"/>
      <c r="CUL4" s="1225"/>
      <c r="CUM4" s="1225"/>
      <c r="CUN4" s="1225"/>
      <c r="CUO4" s="1225"/>
      <c r="CUP4" s="1225"/>
      <c r="CUQ4" s="1225"/>
      <c r="CUR4" s="1225"/>
      <c r="CUS4" s="1225"/>
      <c r="CUT4" s="1225"/>
      <c r="CUU4" s="1225"/>
      <c r="CUV4" s="1225"/>
      <c r="CUW4" s="1225"/>
      <c r="CUX4" s="1225"/>
      <c r="CUY4" s="1225"/>
      <c r="CUZ4" s="1225"/>
      <c r="CVA4" s="1225"/>
      <c r="CVB4" s="1225"/>
      <c r="CVC4" s="1225"/>
      <c r="CVD4" s="1225"/>
      <c r="CVE4" s="1225"/>
      <c r="CVF4" s="1225"/>
      <c r="CVG4" s="1225"/>
      <c r="CVH4" s="1225"/>
      <c r="CVI4" s="1225"/>
      <c r="CVJ4" s="1225"/>
      <c r="CVK4" s="1225"/>
      <c r="CVL4" s="1225"/>
      <c r="CVM4" s="1225"/>
      <c r="CVN4" s="1225"/>
      <c r="CVO4" s="1225"/>
      <c r="CVP4" s="1225"/>
      <c r="CVQ4" s="1225"/>
      <c r="CVR4" s="1225"/>
      <c r="CVS4" s="1225"/>
      <c r="CVT4" s="1225"/>
      <c r="CVU4" s="1225"/>
      <c r="CVV4" s="1225"/>
      <c r="CVW4" s="1225"/>
      <c r="CVX4" s="1225"/>
      <c r="CVY4" s="1225"/>
      <c r="CVZ4" s="1225"/>
      <c r="CWA4" s="1225"/>
      <c r="CWB4" s="1225"/>
      <c r="CWC4" s="1225"/>
      <c r="CWD4" s="1225"/>
      <c r="CWE4" s="1225"/>
      <c r="CWF4" s="1225"/>
      <c r="CWG4" s="1225"/>
      <c r="CWH4" s="1225"/>
      <c r="CWI4" s="1225"/>
      <c r="CWJ4" s="1225"/>
      <c r="CWK4" s="1225"/>
      <c r="CWL4" s="1225"/>
      <c r="CWM4" s="1225"/>
      <c r="CWN4" s="1225"/>
      <c r="CWO4" s="1225"/>
      <c r="CWP4" s="1225"/>
      <c r="CWQ4" s="1225"/>
      <c r="CWR4" s="1225"/>
      <c r="CWS4" s="1225"/>
      <c r="CWT4" s="1225"/>
      <c r="CWU4" s="1225"/>
      <c r="CWV4" s="1225"/>
      <c r="CWW4" s="1225"/>
      <c r="CWX4" s="1225"/>
      <c r="CWY4" s="1225"/>
      <c r="CWZ4" s="1225"/>
      <c r="CXA4" s="1225"/>
      <c r="CXB4" s="1225"/>
      <c r="CXC4" s="1225"/>
      <c r="CXD4" s="1225"/>
      <c r="CXE4" s="1225"/>
      <c r="CXF4" s="1225"/>
      <c r="CXG4" s="1225"/>
      <c r="CXH4" s="1225"/>
      <c r="CXI4" s="1225"/>
      <c r="CXJ4" s="1225"/>
      <c r="CXK4" s="1225"/>
      <c r="CXL4" s="1225"/>
      <c r="CXM4" s="1225"/>
      <c r="CXN4" s="1225"/>
      <c r="CXO4" s="1225"/>
      <c r="CXP4" s="1225"/>
      <c r="CXQ4" s="1225"/>
      <c r="CXR4" s="1225"/>
      <c r="CXS4" s="1225"/>
      <c r="CXT4" s="1225"/>
      <c r="CXU4" s="1225"/>
      <c r="CXV4" s="1225"/>
      <c r="CXW4" s="1225"/>
      <c r="CXX4" s="1225"/>
      <c r="CXY4" s="1225"/>
      <c r="CXZ4" s="1225"/>
      <c r="CYA4" s="1225"/>
      <c r="CYB4" s="1225"/>
      <c r="CYC4" s="1225"/>
      <c r="CYD4" s="1225"/>
      <c r="CYE4" s="1225"/>
      <c r="CYF4" s="1225"/>
      <c r="CYG4" s="1225"/>
      <c r="CYH4" s="1225"/>
      <c r="CYI4" s="1225"/>
      <c r="CYJ4" s="1225"/>
      <c r="CYK4" s="1225"/>
      <c r="CYL4" s="1225"/>
      <c r="CYM4" s="1225"/>
      <c r="CYN4" s="1225"/>
      <c r="CYO4" s="1225"/>
      <c r="CYP4" s="1225"/>
      <c r="CYQ4" s="1225"/>
      <c r="CYR4" s="1225"/>
      <c r="CYS4" s="1225"/>
      <c r="CYT4" s="1225"/>
      <c r="CYU4" s="1225"/>
      <c r="CYV4" s="1225"/>
      <c r="CYW4" s="1225"/>
      <c r="CYX4" s="1225"/>
      <c r="CYY4" s="1225"/>
      <c r="CYZ4" s="1225"/>
      <c r="CZA4" s="1225"/>
      <c r="CZB4" s="1225"/>
      <c r="CZC4" s="1225"/>
      <c r="CZD4" s="1225"/>
      <c r="CZE4" s="1225"/>
      <c r="CZF4" s="1225"/>
      <c r="CZG4" s="1225"/>
      <c r="CZH4" s="1225"/>
      <c r="CZI4" s="1225"/>
      <c r="CZJ4" s="1225"/>
      <c r="CZK4" s="1225"/>
      <c r="CZL4" s="1225"/>
      <c r="CZM4" s="1225"/>
      <c r="CZN4" s="1225"/>
      <c r="CZO4" s="1225"/>
      <c r="CZP4" s="1225"/>
      <c r="CZQ4" s="1225"/>
      <c r="CZR4" s="1225"/>
      <c r="CZS4" s="1225"/>
      <c r="CZT4" s="1225"/>
      <c r="CZU4" s="1225"/>
      <c r="CZV4" s="1225"/>
      <c r="CZW4" s="1225"/>
      <c r="CZX4" s="1225"/>
      <c r="CZY4" s="1225"/>
      <c r="CZZ4" s="1225"/>
      <c r="DAA4" s="1225"/>
      <c r="DAB4" s="1225"/>
      <c r="DAC4" s="1225"/>
      <c r="DAD4" s="1225"/>
      <c r="DAE4" s="1225"/>
      <c r="DAF4" s="1225"/>
      <c r="DAG4" s="1225"/>
      <c r="DAH4" s="1225"/>
      <c r="DAI4" s="1225"/>
      <c r="DAJ4" s="1225"/>
      <c r="DAK4" s="1225"/>
      <c r="DAL4" s="1225"/>
      <c r="DAM4" s="1225"/>
      <c r="DAN4" s="1225"/>
      <c r="DAO4" s="1225"/>
      <c r="DAP4" s="1225"/>
      <c r="DAQ4" s="1225"/>
      <c r="DAR4" s="1225"/>
      <c r="DAS4" s="1225"/>
      <c r="DAT4" s="1225"/>
      <c r="DAU4" s="1225"/>
      <c r="DAV4" s="1225"/>
      <c r="DAW4" s="1225"/>
      <c r="DAX4" s="1225"/>
      <c r="DAY4" s="1225"/>
      <c r="DAZ4" s="1225"/>
      <c r="DBA4" s="1225"/>
      <c r="DBB4" s="1225"/>
      <c r="DBC4" s="1225"/>
      <c r="DBD4" s="1225"/>
      <c r="DBE4" s="1225"/>
      <c r="DBF4" s="1225"/>
      <c r="DBG4" s="1225"/>
      <c r="DBH4" s="1225"/>
      <c r="DBI4" s="1225"/>
      <c r="DBJ4" s="1225"/>
      <c r="DBK4" s="1225"/>
      <c r="DBL4" s="1225"/>
      <c r="DBM4" s="1225"/>
      <c r="DBN4" s="1225"/>
      <c r="DBO4" s="1225"/>
      <c r="DBP4" s="1225"/>
      <c r="DBQ4" s="1225"/>
      <c r="DBR4" s="1225"/>
      <c r="DBS4" s="1225"/>
      <c r="DBT4" s="1225"/>
      <c r="DBU4" s="1225"/>
      <c r="DBV4" s="1225"/>
      <c r="DBW4" s="1225"/>
      <c r="DBX4" s="1225"/>
      <c r="DBY4" s="1225"/>
      <c r="DBZ4" s="1225"/>
      <c r="DCA4" s="1225"/>
      <c r="DCB4" s="1225"/>
      <c r="DCC4" s="1225"/>
      <c r="DCD4" s="1225"/>
      <c r="DCE4" s="1225"/>
      <c r="DCF4" s="1225"/>
      <c r="DCG4" s="1225"/>
      <c r="DCH4" s="1225"/>
      <c r="DCI4" s="1225"/>
      <c r="DCJ4" s="1225"/>
      <c r="DCK4" s="1225"/>
      <c r="DCL4" s="1225"/>
      <c r="DCM4" s="1225"/>
      <c r="DCN4" s="1225"/>
      <c r="DCO4" s="1225"/>
      <c r="DCP4" s="1225"/>
      <c r="DCQ4" s="1225"/>
      <c r="DCR4" s="1225"/>
      <c r="DCS4" s="1225"/>
      <c r="DCT4" s="1225"/>
      <c r="DCU4" s="1225"/>
      <c r="DCV4" s="1225"/>
      <c r="DCW4" s="1225"/>
      <c r="DCX4" s="1225"/>
      <c r="DCY4" s="1225"/>
      <c r="DCZ4" s="1225"/>
      <c r="DDA4" s="1225"/>
      <c r="DDB4" s="1225"/>
      <c r="DDC4" s="1225"/>
      <c r="DDD4" s="1225"/>
      <c r="DDE4" s="1225"/>
      <c r="DDF4" s="1225"/>
      <c r="DDG4" s="1225"/>
      <c r="DDH4" s="1225"/>
      <c r="DDI4" s="1225"/>
      <c r="DDJ4" s="1225"/>
      <c r="DDK4" s="1225"/>
      <c r="DDL4" s="1225"/>
      <c r="DDM4" s="1225"/>
      <c r="DDN4" s="1225"/>
      <c r="DDO4" s="1225"/>
      <c r="DDP4" s="1225"/>
      <c r="DDQ4" s="1225"/>
      <c r="DDR4" s="1225"/>
      <c r="DDS4" s="1225"/>
      <c r="DDT4" s="1225"/>
      <c r="DDU4" s="1225"/>
      <c r="DDV4" s="1225"/>
      <c r="DDW4" s="1225"/>
      <c r="DDX4" s="1225"/>
      <c r="DDY4" s="1225"/>
      <c r="DDZ4" s="1225"/>
      <c r="DEA4" s="1225"/>
      <c r="DEB4" s="1225"/>
      <c r="DEC4" s="1225"/>
      <c r="DED4" s="1225"/>
      <c r="DEE4" s="1225"/>
      <c r="DEF4" s="1225"/>
      <c r="DEG4" s="1225"/>
      <c r="DEH4" s="1225"/>
      <c r="DEI4" s="1225"/>
      <c r="DEJ4" s="1225"/>
      <c r="DEK4" s="1225"/>
      <c r="DEL4" s="1225"/>
      <c r="DEM4" s="1225"/>
      <c r="DEN4" s="1225"/>
      <c r="DEO4" s="1225"/>
      <c r="DEP4" s="1225"/>
      <c r="DEQ4" s="1225"/>
      <c r="DER4" s="1225"/>
      <c r="DES4" s="1225"/>
      <c r="DET4" s="1225"/>
      <c r="DEU4" s="1225"/>
      <c r="DEV4" s="1225"/>
      <c r="DEW4" s="1225"/>
      <c r="DEX4" s="1225"/>
      <c r="DEY4" s="1225"/>
      <c r="DEZ4" s="1225"/>
      <c r="DFA4" s="1225"/>
      <c r="DFB4" s="1225"/>
      <c r="DFC4" s="1225"/>
      <c r="DFD4" s="1225"/>
      <c r="DFE4" s="1225"/>
      <c r="DFF4" s="1225"/>
      <c r="DFG4" s="1225"/>
      <c r="DFH4" s="1225"/>
      <c r="DFI4" s="1225"/>
      <c r="DFJ4" s="1225"/>
      <c r="DFK4" s="1225"/>
      <c r="DFL4" s="1225"/>
      <c r="DFM4" s="1225"/>
      <c r="DFN4" s="1225"/>
      <c r="DFO4" s="1225"/>
      <c r="DFP4" s="1225"/>
      <c r="DFQ4" s="1225"/>
      <c r="DFR4" s="1225"/>
      <c r="DFS4" s="1225"/>
      <c r="DFT4" s="1225"/>
      <c r="DFU4" s="1225"/>
      <c r="DFV4" s="1225"/>
      <c r="DFW4" s="1225"/>
      <c r="DFX4" s="1225"/>
      <c r="DFY4" s="1225"/>
      <c r="DFZ4" s="1225"/>
      <c r="DGA4" s="1225"/>
      <c r="DGB4" s="1225"/>
      <c r="DGC4" s="1225"/>
      <c r="DGD4" s="1225"/>
      <c r="DGE4" s="1225"/>
      <c r="DGF4" s="1225"/>
      <c r="DGG4" s="1225"/>
      <c r="DGH4" s="1225"/>
      <c r="DGI4" s="1225"/>
      <c r="DGJ4" s="1225"/>
      <c r="DGK4" s="1225"/>
      <c r="DGL4" s="1225"/>
      <c r="DGM4" s="1225"/>
      <c r="DGN4" s="1225"/>
      <c r="DGO4" s="1225"/>
      <c r="DGP4" s="1225"/>
      <c r="DGQ4" s="1225"/>
      <c r="DGR4" s="1225"/>
      <c r="DGS4" s="1225"/>
      <c r="DGT4" s="1225"/>
      <c r="DGU4" s="1225"/>
      <c r="DGV4" s="1225"/>
      <c r="DGW4" s="1225"/>
      <c r="DGX4" s="1225"/>
      <c r="DGY4" s="1225"/>
      <c r="DGZ4" s="1225"/>
      <c r="DHA4" s="1225"/>
      <c r="DHB4" s="1225"/>
      <c r="DHC4" s="1225"/>
      <c r="DHD4" s="1225"/>
      <c r="DHE4" s="1225"/>
      <c r="DHF4" s="1225"/>
      <c r="DHG4" s="1225"/>
      <c r="DHH4" s="1225"/>
      <c r="DHI4" s="1225"/>
      <c r="DHJ4" s="1225"/>
      <c r="DHK4" s="1225"/>
      <c r="DHL4" s="1225"/>
      <c r="DHM4" s="1225"/>
      <c r="DHN4" s="1225"/>
      <c r="DHO4" s="1225"/>
      <c r="DHP4" s="1225"/>
      <c r="DHQ4" s="1225"/>
      <c r="DHR4" s="1225"/>
      <c r="DHS4" s="1225"/>
      <c r="DHT4" s="1225"/>
      <c r="DHU4" s="1225"/>
      <c r="DHV4" s="1225"/>
      <c r="DHW4" s="1225"/>
      <c r="DHX4" s="1225"/>
      <c r="DHY4" s="1225"/>
      <c r="DHZ4" s="1225"/>
      <c r="DIA4" s="1225"/>
      <c r="DIB4" s="1225"/>
      <c r="DIC4" s="1225"/>
      <c r="DID4" s="1225"/>
      <c r="DIE4" s="1225"/>
      <c r="DIF4" s="1225"/>
      <c r="DIG4" s="1225"/>
      <c r="DIH4" s="1225"/>
      <c r="DII4" s="1225"/>
      <c r="DIJ4" s="1225"/>
      <c r="DIK4" s="1225"/>
      <c r="DIL4" s="1225"/>
      <c r="DIM4" s="1225"/>
      <c r="DIN4" s="1225"/>
      <c r="DIO4" s="1225"/>
      <c r="DIP4" s="1225"/>
      <c r="DIQ4" s="1225"/>
      <c r="DIR4" s="1225"/>
      <c r="DIS4" s="1225"/>
      <c r="DIT4" s="1225"/>
      <c r="DIU4" s="1225"/>
      <c r="DIV4" s="1225"/>
      <c r="DIW4" s="1225"/>
      <c r="DIX4" s="1225"/>
      <c r="DIY4" s="1225"/>
      <c r="DIZ4" s="1225"/>
      <c r="DJA4" s="1225"/>
      <c r="DJB4" s="1225"/>
      <c r="DJC4" s="1225"/>
      <c r="DJD4" s="1225"/>
      <c r="DJE4" s="1225"/>
      <c r="DJF4" s="1225"/>
      <c r="DJG4" s="1225"/>
      <c r="DJH4" s="1225"/>
      <c r="DJI4" s="1225"/>
      <c r="DJJ4" s="1225"/>
      <c r="DJK4" s="1225"/>
      <c r="DJL4" s="1225"/>
      <c r="DJM4" s="1225"/>
      <c r="DJN4" s="1225"/>
      <c r="DJO4" s="1225"/>
      <c r="DJP4" s="1225"/>
      <c r="DJQ4" s="1225"/>
      <c r="DJR4" s="1225"/>
      <c r="DJS4" s="1225"/>
      <c r="DJT4" s="1225"/>
      <c r="DJU4" s="1225"/>
      <c r="DJV4" s="1225"/>
      <c r="DJW4" s="1225"/>
      <c r="DJX4" s="1225"/>
      <c r="DJY4" s="1225"/>
      <c r="DJZ4" s="1225"/>
      <c r="DKA4" s="1225"/>
      <c r="DKB4" s="1225"/>
      <c r="DKC4" s="1225"/>
      <c r="DKD4" s="1225"/>
      <c r="DKE4" s="1225"/>
      <c r="DKF4" s="1225"/>
      <c r="DKG4" s="1225"/>
      <c r="DKH4" s="1225"/>
      <c r="DKI4" s="1225"/>
      <c r="DKJ4" s="1225"/>
      <c r="DKK4" s="1225"/>
      <c r="DKL4" s="1225"/>
      <c r="DKM4" s="1225"/>
      <c r="DKN4" s="1225"/>
      <c r="DKO4" s="1225"/>
      <c r="DKP4" s="1225"/>
      <c r="DKQ4" s="1225"/>
      <c r="DKR4" s="1225"/>
      <c r="DKS4" s="1225"/>
      <c r="DKT4" s="1225"/>
      <c r="DKU4" s="1225"/>
      <c r="DKV4" s="1225"/>
      <c r="DKW4" s="1225"/>
      <c r="DKX4" s="1225"/>
      <c r="DKY4" s="1225"/>
      <c r="DKZ4" s="1225"/>
      <c r="DLA4" s="1225"/>
      <c r="DLB4" s="1225"/>
      <c r="DLC4" s="1225"/>
      <c r="DLD4" s="1225"/>
      <c r="DLE4" s="1225"/>
      <c r="DLF4" s="1225"/>
      <c r="DLG4" s="1225"/>
      <c r="DLH4" s="1225"/>
      <c r="DLI4" s="1225"/>
      <c r="DLJ4" s="1225"/>
      <c r="DLK4" s="1225"/>
      <c r="DLL4" s="1225"/>
      <c r="DLM4" s="1225"/>
      <c r="DLN4" s="1225"/>
      <c r="DLO4" s="1225"/>
      <c r="DLP4" s="1225"/>
      <c r="DLQ4" s="1225"/>
      <c r="DLR4" s="1225"/>
      <c r="DLS4" s="1225"/>
      <c r="DLT4" s="1225"/>
      <c r="DLU4" s="1225"/>
      <c r="DLV4" s="1225"/>
      <c r="DLW4" s="1225"/>
      <c r="DLX4" s="1225"/>
      <c r="DLY4" s="1225"/>
      <c r="DLZ4" s="1225"/>
      <c r="DMA4" s="1225"/>
      <c r="DMB4" s="1225"/>
      <c r="DMC4" s="1225"/>
      <c r="DMD4" s="1225"/>
      <c r="DME4" s="1225"/>
      <c r="DMF4" s="1225"/>
      <c r="DMG4" s="1225"/>
      <c r="DMH4" s="1225"/>
      <c r="DMI4" s="1225"/>
      <c r="DMJ4" s="1225"/>
      <c r="DMK4" s="1225"/>
      <c r="DML4" s="1225"/>
      <c r="DMM4" s="1225"/>
      <c r="DMN4" s="1225"/>
      <c r="DMO4" s="1225"/>
      <c r="DMP4" s="1225"/>
      <c r="DMQ4" s="1225"/>
      <c r="DMR4" s="1225"/>
      <c r="DMS4" s="1225"/>
      <c r="DMT4" s="1225"/>
      <c r="DMU4" s="1225"/>
      <c r="DMV4" s="1225"/>
      <c r="DMW4" s="1225"/>
      <c r="DMX4" s="1225"/>
      <c r="DMY4" s="1225"/>
      <c r="DMZ4" s="1225"/>
      <c r="DNA4" s="1225"/>
      <c r="DNB4" s="1225"/>
      <c r="DNC4" s="1225"/>
      <c r="DND4" s="1225"/>
      <c r="DNE4" s="1225"/>
      <c r="DNF4" s="1225"/>
      <c r="DNG4" s="1225"/>
      <c r="DNH4" s="1225"/>
      <c r="DNI4" s="1225"/>
      <c r="DNJ4" s="1225"/>
      <c r="DNK4" s="1225"/>
      <c r="DNL4" s="1225"/>
      <c r="DNM4" s="1225"/>
      <c r="DNN4" s="1225"/>
      <c r="DNO4" s="1225"/>
      <c r="DNP4" s="1225"/>
      <c r="DNQ4" s="1225"/>
      <c r="DNR4" s="1225"/>
      <c r="DNS4" s="1225"/>
      <c r="DNT4" s="1225"/>
      <c r="DNU4" s="1225"/>
      <c r="DNV4" s="1225"/>
      <c r="DNW4" s="1225"/>
      <c r="DNX4" s="1225"/>
      <c r="DNY4" s="1225"/>
      <c r="DNZ4" s="1225"/>
      <c r="DOA4" s="1225"/>
      <c r="DOB4" s="1225"/>
      <c r="DOC4" s="1225"/>
      <c r="DOD4" s="1225"/>
      <c r="DOE4" s="1225"/>
      <c r="DOF4" s="1225"/>
      <c r="DOG4" s="1225"/>
      <c r="DOH4" s="1225"/>
      <c r="DOI4" s="1225"/>
      <c r="DOJ4" s="1225"/>
      <c r="DOK4" s="1225"/>
      <c r="DOL4" s="1225"/>
      <c r="DOM4" s="1225"/>
      <c r="DON4" s="1225"/>
      <c r="DOO4" s="1225"/>
      <c r="DOP4" s="1225"/>
      <c r="DOQ4" s="1225"/>
      <c r="DOR4" s="1225"/>
      <c r="DOS4" s="1225"/>
      <c r="DOT4" s="1225"/>
      <c r="DOU4" s="1225"/>
      <c r="DOV4" s="1225"/>
      <c r="DOW4" s="1225"/>
      <c r="DOX4" s="1225"/>
      <c r="DOY4" s="1225"/>
      <c r="DOZ4" s="1225"/>
      <c r="DPA4" s="1225"/>
      <c r="DPB4" s="1225"/>
      <c r="DPC4" s="1225"/>
      <c r="DPD4" s="1225"/>
      <c r="DPE4" s="1225"/>
      <c r="DPF4" s="1225"/>
      <c r="DPG4" s="1225"/>
      <c r="DPH4" s="1225"/>
      <c r="DPI4" s="1225"/>
      <c r="DPJ4" s="1225"/>
      <c r="DPK4" s="1225"/>
      <c r="DPL4" s="1225"/>
      <c r="DPM4" s="1225"/>
      <c r="DPN4" s="1225"/>
      <c r="DPO4" s="1225"/>
      <c r="DPP4" s="1225"/>
      <c r="DPQ4" s="1225"/>
      <c r="DPR4" s="1225"/>
      <c r="DPS4" s="1225"/>
      <c r="DPT4" s="1225"/>
      <c r="DPU4" s="1225"/>
      <c r="DPV4" s="1225"/>
      <c r="DPW4" s="1225"/>
      <c r="DPX4" s="1225"/>
      <c r="DPY4" s="1225"/>
      <c r="DPZ4" s="1225"/>
      <c r="DQA4" s="1225"/>
      <c r="DQB4" s="1225"/>
      <c r="DQC4" s="1225"/>
      <c r="DQD4" s="1225"/>
      <c r="DQE4" s="1225"/>
      <c r="DQF4" s="1225"/>
      <c r="DQG4" s="1225"/>
      <c r="DQH4" s="1225"/>
      <c r="DQI4" s="1225"/>
      <c r="DQJ4" s="1225"/>
      <c r="DQK4" s="1225"/>
      <c r="DQL4" s="1225"/>
      <c r="DQM4" s="1225"/>
      <c r="DQN4" s="1225"/>
      <c r="DQO4" s="1225"/>
      <c r="DQP4" s="1225"/>
      <c r="DQQ4" s="1225"/>
      <c r="DQR4" s="1225"/>
      <c r="DQS4" s="1225"/>
      <c r="DQT4" s="1225"/>
      <c r="DQU4" s="1225"/>
      <c r="DQV4" s="1225"/>
      <c r="DQW4" s="1225"/>
      <c r="DQX4" s="1225"/>
      <c r="DQY4" s="1225"/>
      <c r="DQZ4" s="1225"/>
      <c r="DRA4" s="1225"/>
      <c r="DRB4" s="1225"/>
      <c r="DRC4" s="1225"/>
      <c r="DRD4" s="1225"/>
      <c r="DRE4" s="1225"/>
      <c r="DRF4" s="1225"/>
      <c r="DRG4" s="1225"/>
      <c r="DRH4" s="1225"/>
      <c r="DRI4" s="1225"/>
      <c r="DRJ4" s="1225"/>
      <c r="DRK4" s="1225"/>
      <c r="DRL4" s="1225"/>
      <c r="DRM4" s="1225"/>
      <c r="DRN4" s="1225"/>
      <c r="DRO4" s="1225"/>
      <c r="DRP4" s="1225"/>
      <c r="DRQ4" s="1225"/>
      <c r="DRR4" s="1225"/>
      <c r="DRS4" s="1225"/>
      <c r="DRT4" s="1225"/>
      <c r="DRU4" s="1225"/>
      <c r="DRV4" s="1225"/>
      <c r="DRW4" s="1225"/>
      <c r="DRX4" s="1225"/>
      <c r="DRY4" s="1225"/>
      <c r="DRZ4" s="1225"/>
      <c r="DSA4" s="1225"/>
      <c r="DSB4" s="1225"/>
      <c r="DSC4" s="1225"/>
      <c r="DSD4" s="1225"/>
      <c r="DSE4" s="1225"/>
      <c r="DSF4" s="1225"/>
      <c r="DSG4" s="1225"/>
      <c r="DSH4" s="1225"/>
      <c r="DSI4" s="1225"/>
      <c r="DSJ4" s="1225"/>
      <c r="DSK4" s="1225"/>
      <c r="DSL4" s="1225"/>
      <c r="DSM4" s="1225"/>
      <c r="DSN4" s="1225"/>
      <c r="DSO4" s="1225"/>
      <c r="DSP4" s="1225"/>
      <c r="DSQ4" s="1225"/>
      <c r="DSR4" s="1225"/>
      <c r="DSS4" s="1225"/>
      <c r="DST4" s="1225"/>
      <c r="DSU4" s="1225"/>
      <c r="DSV4" s="1225"/>
      <c r="DSW4" s="1225"/>
      <c r="DSX4" s="1225"/>
      <c r="DSY4" s="1225"/>
      <c r="DSZ4" s="1225"/>
      <c r="DTA4" s="1225"/>
      <c r="DTB4" s="1225"/>
      <c r="DTC4" s="1225"/>
      <c r="DTD4" s="1225"/>
      <c r="DTE4" s="1225"/>
      <c r="DTF4" s="1225"/>
      <c r="DTG4" s="1225"/>
      <c r="DTH4" s="1225"/>
      <c r="DTI4" s="1225"/>
      <c r="DTJ4" s="1225"/>
      <c r="DTK4" s="1225"/>
      <c r="DTL4" s="1225"/>
      <c r="DTM4" s="1225"/>
      <c r="DTN4" s="1225"/>
      <c r="DTO4" s="1225"/>
      <c r="DTP4" s="1225"/>
      <c r="DTQ4" s="1225"/>
      <c r="DTR4" s="1225"/>
      <c r="DTS4" s="1225"/>
      <c r="DTT4" s="1225"/>
      <c r="DTU4" s="1225"/>
      <c r="DTV4" s="1225"/>
      <c r="DTW4" s="1225"/>
      <c r="DTX4" s="1225"/>
      <c r="DTY4" s="1225"/>
      <c r="DTZ4" s="1225"/>
      <c r="DUA4" s="1225"/>
      <c r="DUB4" s="1225"/>
      <c r="DUC4" s="1225"/>
      <c r="DUD4" s="1225"/>
      <c r="DUE4" s="1225"/>
      <c r="DUF4" s="1225"/>
      <c r="DUG4" s="1225"/>
      <c r="DUH4" s="1225"/>
      <c r="DUI4" s="1225"/>
      <c r="DUJ4" s="1225"/>
      <c r="DUK4" s="1225"/>
      <c r="DUL4" s="1225"/>
      <c r="DUM4" s="1225"/>
      <c r="DUN4" s="1225"/>
      <c r="DUO4" s="1225"/>
      <c r="DUP4" s="1225"/>
      <c r="DUQ4" s="1225"/>
      <c r="DUR4" s="1225"/>
      <c r="DUS4" s="1225"/>
      <c r="DUT4" s="1225"/>
      <c r="DUU4" s="1225"/>
      <c r="DUV4" s="1225"/>
      <c r="DUW4" s="1225"/>
      <c r="DUX4" s="1225"/>
      <c r="DUY4" s="1225"/>
      <c r="DUZ4" s="1225"/>
      <c r="DVA4" s="1225"/>
      <c r="DVB4" s="1225"/>
      <c r="DVC4" s="1225"/>
      <c r="DVD4" s="1225"/>
      <c r="DVE4" s="1225"/>
      <c r="DVF4" s="1225"/>
      <c r="DVG4" s="1225"/>
      <c r="DVH4" s="1225"/>
      <c r="DVI4" s="1225"/>
      <c r="DVJ4" s="1225"/>
      <c r="DVK4" s="1225"/>
      <c r="DVL4" s="1225"/>
      <c r="DVM4" s="1225"/>
      <c r="DVN4" s="1225"/>
      <c r="DVO4" s="1225"/>
      <c r="DVP4" s="1225"/>
      <c r="DVQ4" s="1225"/>
      <c r="DVR4" s="1225"/>
      <c r="DVS4" s="1225"/>
      <c r="DVT4" s="1225"/>
      <c r="DVU4" s="1225"/>
      <c r="DVV4" s="1225"/>
      <c r="DVW4" s="1225"/>
      <c r="DVX4" s="1225"/>
      <c r="DVY4" s="1225"/>
      <c r="DVZ4" s="1225"/>
      <c r="DWA4" s="1225"/>
      <c r="DWB4" s="1225"/>
      <c r="DWC4" s="1225"/>
      <c r="DWD4" s="1225"/>
      <c r="DWE4" s="1225"/>
      <c r="DWF4" s="1225"/>
      <c r="DWG4" s="1225"/>
      <c r="DWH4" s="1225"/>
      <c r="DWI4" s="1225"/>
      <c r="DWJ4" s="1225"/>
      <c r="DWK4" s="1225"/>
      <c r="DWL4" s="1225"/>
      <c r="DWM4" s="1225"/>
      <c r="DWN4" s="1225"/>
      <c r="DWO4" s="1225"/>
      <c r="DWP4" s="1225"/>
      <c r="DWQ4" s="1225"/>
      <c r="DWR4" s="1225"/>
      <c r="DWS4" s="1225"/>
      <c r="DWT4" s="1225"/>
      <c r="DWU4" s="1225"/>
      <c r="DWV4" s="1225"/>
      <c r="DWW4" s="1225"/>
      <c r="DWX4" s="1225"/>
      <c r="DWY4" s="1225"/>
      <c r="DWZ4" s="1225"/>
      <c r="DXA4" s="1225"/>
      <c r="DXB4" s="1225"/>
      <c r="DXC4" s="1225"/>
      <c r="DXD4" s="1225"/>
      <c r="DXE4" s="1225"/>
      <c r="DXF4" s="1225"/>
      <c r="DXG4" s="1225"/>
      <c r="DXH4" s="1225"/>
      <c r="DXI4" s="1225"/>
      <c r="DXJ4" s="1225"/>
      <c r="DXK4" s="1225"/>
      <c r="DXL4" s="1225"/>
      <c r="DXM4" s="1225"/>
      <c r="DXN4" s="1225"/>
      <c r="DXO4" s="1225"/>
      <c r="DXP4" s="1225"/>
      <c r="DXQ4" s="1225"/>
      <c r="DXR4" s="1225"/>
      <c r="DXS4" s="1225"/>
      <c r="DXT4" s="1225"/>
      <c r="DXU4" s="1225"/>
      <c r="DXV4" s="1225"/>
      <c r="DXW4" s="1225"/>
      <c r="DXX4" s="1225"/>
      <c r="DXY4" s="1225"/>
      <c r="DXZ4" s="1225"/>
      <c r="DYA4" s="1225"/>
      <c r="DYB4" s="1225"/>
      <c r="DYC4" s="1225"/>
      <c r="DYD4" s="1225"/>
      <c r="DYE4" s="1225"/>
      <c r="DYF4" s="1225"/>
      <c r="DYG4" s="1225"/>
      <c r="DYH4" s="1225"/>
      <c r="DYI4" s="1225"/>
      <c r="DYJ4" s="1225"/>
      <c r="DYK4" s="1225"/>
      <c r="DYL4" s="1225"/>
      <c r="DYM4" s="1225"/>
      <c r="DYN4" s="1225"/>
      <c r="DYO4" s="1225"/>
      <c r="DYP4" s="1225"/>
      <c r="DYQ4" s="1225"/>
      <c r="DYR4" s="1225"/>
      <c r="DYS4" s="1225"/>
      <c r="DYT4" s="1225"/>
      <c r="DYU4" s="1225"/>
      <c r="DYV4" s="1225"/>
      <c r="DYW4" s="1225"/>
      <c r="DYX4" s="1225"/>
      <c r="DYY4" s="1225"/>
      <c r="DYZ4" s="1225"/>
      <c r="DZA4" s="1225"/>
      <c r="DZB4" s="1225"/>
      <c r="DZC4" s="1225"/>
      <c r="DZD4" s="1225"/>
      <c r="DZE4" s="1225"/>
      <c r="DZF4" s="1225"/>
      <c r="DZG4" s="1225"/>
      <c r="DZH4" s="1225"/>
      <c r="DZI4" s="1225"/>
      <c r="DZJ4" s="1225"/>
      <c r="DZK4" s="1225"/>
      <c r="DZL4" s="1225"/>
      <c r="DZM4" s="1225"/>
      <c r="DZN4" s="1225"/>
      <c r="DZO4" s="1225"/>
      <c r="DZP4" s="1225"/>
      <c r="DZQ4" s="1225"/>
      <c r="DZR4" s="1225"/>
      <c r="DZS4" s="1225"/>
      <c r="DZT4" s="1225"/>
      <c r="DZU4" s="1225"/>
      <c r="DZV4" s="1225"/>
      <c r="DZW4" s="1225"/>
      <c r="DZX4" s="1225"/>
      <c r="DZY4" s="1225"/>
      <c r="DZZ4" s="1225"/>
      <c r="EAA4" s="1225"/>
      <c r="EAB4" s="1225"/>
      <c r="EAC4" s="1225"/>
      <c r="EAD4" s="1225"/>
      <c r="EAE4" s="1225"/>
      <c r="EAF4" s="1225"/>
      <c r="EAG4" s="1225"/>
      <c r="EAH4" s="1225"/>
      <c r="EAI4" s="1225"/>
      <c r="EAJ4" s="1225"/>
      <c r="EAK4" s="1225"/>
      <c r="EAL4" s="1225"/>
      <c r="EAM4" s="1225"/>
      <c r="EAN4" s="1225"/>
      <c r="EAO4" s="1225"/>
      <c r="EAP4" s="1225"/>
      <c r="EAQ4" s="1225"/>
      <c r="EAR4" s="1225"/>
      <c r="EAS4" s="1225"/>
      <c r="EAT4" s="1225"/>
      <c r="EAU4" s="1225"/>
      <c r="EAV4" s="1225"/>
      <c r="EAW4" s="1225"/>
      <c r="EAX4" s="1225"/>
      <c r="EAY4" s="1225"/>
      <c r="EAZ4" s="1225"/>
      <c r="EBA4" s="1225"/>
      <c r="EBB4" s="1225"/>
      <c r="EBC4" s="1225"/>
      <c r="EBD4" s="1225"/>
      <c r="EBE4" s="1225"/>
      <c r="EBF4" s="1225"/>
      <c r="EBG4" s="1225"/>
      <c r="EBH4" s="1225"/>
      <c r="EBI4" s="1225"/>
      <c r="EBJ4" s="1225"/>
      <c r="EBK4" s="1225"/>
      <c r="EBL4" s="1225"/>
      <c r="EBM4" s="1225"/>
      <c r="EBN4" s="1225"/>
      <c r="EBO4" s="1225"/>
      <c r="EBP4" s="1225"/>
      <c r="EBQ4" s="1225"/>
      <c r="EBR4" s="1225"/>
      <c r="EBS4" s="1225"/>
      <c r="EBT4" s="1225"/>
      <c r="EBU4" s="1225"/>
      <c r="EBV4" s="1225"/>
      <c r="EBW4" s="1225"/>
      <c r="EBX4" s="1225"/>
      <c r="EBY4" s="1225"/>
      <c r="EBZ4" s="1225"/>
      <c r="ECA4" s="1225"/>
      <c r="ECB4" s="1225"/>
      <c r="ECC4" s="1225"/>
      <c r="ECD4" s="1225"/>
      <c r="ECE4" s="1225"/>
      <c r="ECF4" s="1225"/>
      <c r="ECG4" s="1225"/>
      <c r="ECH4" s="1225"/>
      <c r="ECI4" s="1225"/>
      <c r="ECJ4" s="1225"/>
      <c r="ECK4" s="1225"/>
      <c r="ECL4" s="1225"/>
      <c r="ECM4" s="1225"/>
      <c r="ECN4" s="1225"/>
      <c r="ECO4" s="1225"/>
    </row>
    <row r="5" spans="1:3473" s="1224" customFormat="1" ht="16.25" customHeight="1">
      <c r="B5" s="1229"/>
      <c r="C5" s="1230"/>
      <c r="D5" s="1231" t="s">
        <v>10</v>
      </c>
      <c r="E5" s="1232" t="s">
        <v>473</v>
      </c>
      <c r="F5" s="1232" t="s">
        <v>473</v>
      </c>
      <c r="G5" s="1232" t="s">
        <v>473</v>
      </c>
      <c r="H5" s="1232" t="s">
        <v>473</v>
      </c>
      <c r="I5" s="1232" t="s">
        <v>473</v>
      </c>
      <c r="J5" s="1232" t="s">
        <v>473</v>
      </c>
      <c r="K5" s="1232" t="s">
        <v>473</v>
      </c>
      <c r="L5" s="1232" t="s">
        <v>473</v>
      </c>
      <c r="M5" s="1232" t="s">
        <v>473</v>
      </c>
      <c r="N5" s="1232" t="s">
        <v>473</v>
      </c>
      <c r="O5" s="1232" t="s">
        <v>473</v>
      </c>
      <c r="P5" s="1232" t="s">
        <v>473</v>
      </c>
      <c r="Q5" s="1232" t="s">
        <v>473</v>
      </c>
      <c r="R5" s="1232" t="s">
        <v>473</v>
      </c>
      <c r="S5" s="1232" t="s">
        <v>473</v>
      </c>
      <c r="T5" s="1232" t="s">
        <v>473</v>
      </c>
      <c r="U5" s="1232" t="s">
        <v>473</v>
      </c>
      <c r="V5" s="1232" t="s">
        <v>473</v>
      </c>
      <c r="W5" s="1232" t="s">
        <v>473</v>
      </c>
      <c r="X5" s="1232" t="s">
        <v>473</v>
      </c>
      <c r="Y5" s="1232" t="s">
        <v>473</v>
      </c>
      <c r="Z5" s="1232" t="s">
        <v>473</v>
      </c>
      <c r="AA5" s="1232" t="s">
        <v>473</v>
      </c>
      <c r="AB5" s="1232" t="s">
        <v>473</v>
      </c>
      <c r="AC5" s="1232" t="s">
        <v>473</v>
      </c>
      <c r="AD5" s="1232" t="s">
        <v>473</v>
      </c>
      <c r="AE5" s="1232" t="s">
        <v>473</v>
      </c>
      <c r="AF5" s="1233">
        <f>'全期规划指标 '!H44+'全期规划指标 '!H45</f>
        <v>24565.840000000004</v>
      </c>
      <c r="AG5" s="1234">
        <f>+AF5</f>
        <v>24565.840000000004</v>
      </c>
      <c r="AH5" s="1234">
        <f>+AF5</f>
        <v>24565.840000000004</v>
      </c>
      <c r="AI5" s="1234">
        <f>+'全期规划指标 '!H20+'全期规划指标 '!H21</f>
        <v>43173.95</v>
      </c>
      <c r="AJ5" s="1234">
        <f>+AI5</f>
        <v>43173.95</v>
      </c>
      <c r="AK5" s="1234">
        <f>+AI5</f>
        <v>43173.95</v>
      </c>
      <c r="AL5" s="1234">
        <f>'全期规划指标 '!H41+'全期规划指标 '!H42</f>
        <v>9409.4599999999991</v>
      </c>
      <c r="AM5" s="1234">
        <f>+AL5</f>
        <v>9409.4599999999991</v>
      </c>
      <c r="AN5" s="1234">
        <f>+AL5</f>
        <v>9409.4599999999991</v>
      </c>
      <c r="AO5" s="1234">
        <f>+'全期规划指标 '!H22</f>
        <v>0</v>
      </c>
      <c r="AP5" s="1234">
        <f>+AO5</f>
        <v>0</v>
      </c>
      <c r="AQ5" s="1234">
        <f>+AP5</f>
        <v>0</v>
      </c>
      <c r="AR5" s="1234">
        <f>+'全期规划指标 '!H24</f>
        <v>59174.38</v>
      </c>
      <c r="AS5" s="1234">
        <f>+AR5</f>
        <v>59174.38</v>
      </c>
      <c r="AT5" s="1234">
        <f>+AR5</f>
        <v>59174.38</v>
      </c>
      <c r="AU5" s="1234">
        <f>'全期规划指标 '!H26</f>
        <v>1058.93</v>
      </c>
      <c r="AV5" s="1234">
        <f>AU5</f>
        <v>1058.93</v>
      </c>
      <c r="AW5" s="1234">
        <f>AV5</f>
        <v>1058.93</v>
      </c>
      <c r="AX5" s="1234"/>
      <c r="AY5" s="1234"/>
      <c r="AZ5" s="1234"/>
      <c r="BA5" s="1234">
        <f t="shared" ref="BA5:BB7" si="0">AF5+AI5+AL5+AO5+AR5+AU5+AX5</f>
        <v>137382.56</v>
      </c>
      <c r="BB5" s="1234">
        <f t="shared" si="0"/>
        <v>137382.56</v>
      </c>
      <c r="BC5" s="1234">
        <f>AH5+AK5+AN5+AQ5+AT5+AZ5+AW5</f>
        <v>137382.56</v>
      </c>
      <c r="BD5" s="1234"/>
      <c r="BE5" s="1234"/>
      <c r="BF5" s="1234"/>
      <c r="BG5" s="1234">
        <f>BD5</f>
        <v>0</v>
      </c>
      <c r="BH5" s="1234">
        <f t="shared" ref="BH5:BI7" si="1">BE5</f>
        <v>0</v>
      </c>
      <c r="BI5" s="1234">
        <f t="shared" si="1"/>
        <v>0</v>
      </c>
      <c r="BJ5" s="1234">
        <f>BA5+BG5</f>
        <v>137382.56</v>
      </c>
      <c r="BK5" s="1235">
        <f>BJ5</f>
        <v>137382.56</v>
      </c>
      <c r="BL5" s="1235">
        <f>BJ5</f>
        <v>137382.56</v>
      </c>
      <c r="BM5" s="1236"/>
      <c r="BN5" s="1225"/>
      <c r="BO5" s="1225"/>
      <c r="BP5" s="1225"/>
      <c r="BQ5" s="1225"/>
      <c r="BR5" s="1225"/>
      <c r="BS5" s="1225"/>
      <c r="BT5" s="1225"/>
      <c r="BU5" s="1225"/>
      <c r="BV5" s="1225"/>
      <c r="BW5" s="1225"/>
      <c r="BX5" s="1225"/>
      <c r="BY5" s="1225"/>
      <c r="BZ5" s="1225"/>
      <c r="CA5" s="1225"/>
      <c r="CB5" s="1225"/>
      <c r="CC5" s="1225"/>
      <c r="CD5" s="1225"/>
      <c r="CE5" s="1225"/>
      <c r="CF5" s="1225"/>
      <c r="CG5" s="1225"/>
      <c r="CH5" s="1225"/>
      <c r="CI5" s="1225"/>
      <c r="CJ5" s="1225"/>
      <c r="CK5" s="1225"/>
      <c r="CL5" s="1225"/>
      <c r="CM5" s="1225"/>
      <c r="CN5" s="1225"/>
      <c r="CO5" s="1225"/>
      <c r="CP5" s="1225"/>
      <c r="CQ5" s="1225"/>
      <c r="CR5" s="1225"/>
      <c r="CS5" s="1225"/>
      <c r="CT5" s="1225"/>
      <c r="CU5" s="1225"/>
      <c r="CV5" s="1225"/>
      <c r="CW5" s="1225"/>
      <c r="CX5" s="1225"/>
      <c r="CY5" s="1225"/>
      <c r="CZ5" s="1225"/>
      <c r="DA5" s="1225"/>
      <c r="DB5" s="1225"/>
      <c r="DC5" s="1225"/>
      <c r="DD5" s="1225"/>
      <c r="DE5" s="1225"/>
      <c r="DF5" s="1225"/>
      <c r="DG5" s="1225"/>
      <c r="DH5" s="1225"/>
      <c r="DI5" s="1225"/>
      <c r="DJ5" s="1225"/>
      <c r="DK5" s="1225"/>
      <c r="DL5" s="1225"/>
      <c r="DM5" s="1225"/>
      <c r="DN5" s="1225"/>
      <c r="DO5" s="1225"/>
      <c r="DP5" s="1225"/>
      <c r="DQ5" s="1225"/>
      <c r="DR5" s="1225"/>
      <c r="DS5" s="1225"/>
      <c r="DT5" s="1225"/>
      <c r="DU5" s="1225"/>
      <c r="DV5" s="1225"/>
      <c r="DW5" s="1225"/>
      <c r="DX5" s="1225"/>
      <c r="DY5" s="1225"/>
      <c r="DZ5" s="1225"/>
      <c r="EA5" s="1225"/>
      <c r="EB5" s="1225"/>
      <c r="EC5" s="1225"/>
      <c r="ED5" s="1225"/>
      <c r="EE5" s="1225"/>
      <c r="EF5" s="1225"/>
      <c r="EG5" s="1225"/>
      <c r="EH5" s="1225"/>
      <c r="EI5" s="1225"/>
      <c r="EJ5" s="1225"/>
      <c r="EK5" s="1225"/>
      <c r="EL5" s="1225"/>
      <c r="EM5" s="1225"/>
      <c r="EN5" s="1225"/>
      <c r="EO5" s="1225"/>
      <c r="EP5" s="1225"/>
      <c r="EQ5" s="1225"/>
      <c r="ER5" s="1225"/>
      <c r="ES5" s="1225"/>
      <c r="ET5" s="1225"/>
      <c r="EU5" s="1225"/>
      <c r="EV5" s="1225"/>
      <c r="EW5" s="1225"/>
      <c r="EX5" s="1225"/>
      <c r="EY5" s="1225"/>
      <c r="EZ5" s="1225"/>
      <c r="FA5" s="1225"/>
      <c r="FB5" s="1225"/>
      <c r="FC5" s="1225"/>
      <c r="FD5" s="1225"/>
      <c r="FE5" s="1225"/>
      <c r="FF5" s="1225"/>
      <c r="FG5" s="1225"/>
      <c r="FH5" s="1225"/>
      <c r="FI5" s="1225"/>
      <c r="FJ5" s="1225"/>
      <c r="FK5" s="1225"/>
      <c r="FL5" s="1225"/>
      <c r="FM5" s="1225"/>
      <c r="FN5" s="1225"/>
      <c r="FO5" s="1225"/>
      <c r="FP5" s="1225"/>
      <c r="FQ5" s="1225"/>
      <c r="FR5" s="1225"/>
      <c r="FS5" s="1225"/>
      <c r="FT5" s="1225"/>
      <c r="FU5" s="1225"/>
      <c r="FV5" s="1225"/>
      <c r="FW5" s="1225"/>
      <c r="FX5" s="1225"/>
      <c r="FY5" s="1225"/>
      <c r="FZ5" s="1225"/>
      <c r="GA5" s="1225"/>
      <c r="GB5" s="1225"/>
      <c r="GC5" s="1225"/>
      <c r="GD5" s="1225"/>
      <c r="GE5" s="1225"/>
      <c r="GF5" s="1225"/>
      <c r="GG5" s="1225"/>
      <c r="GH5" s="1225"/>
      <c r="GI5" s="1225"/>
      <c r="GJ5" s="1225"/>
      <c r="GK5" s="1225"/>
      <c r="GL5" s="1225"/>
      <c r="GM5" s="1225"/>
      <c r="GN5" s="1225"/>
      <c r="GO5" s="1225"/>
      <c r="GP5" s="1225"/>
      <c r="GQ5" s="1225"/>
      <c r="GR5" s="1225"/>
      <c r="GS5" s="1225"/>
      <c r="GT5" s="1225"/>
      <c r="GU5" s="1225"/>
      <c r="GV5" s="1225"/>
      <c r="GW5" s="1225"/>
      <c r="GX5" s="1225"/>
      <c r="GY5" s="1225"/>
      <c r="GZ5" s="1225"/>
      <c r="HA5" s="1225"/>
      <c r="HB5" s="1225"/>
      <c r="HC5" s="1225"/>
      <c r="HD5" s="1225"/>
      <c r="HE5" s="1225"/>
      <c r="HF5" s="1225"/>
      <c r="HG5" s="1225"/>
      <c r="HH5" s="1225"/>
      <c r="HI5" s="1225"/>
      <c r="HJ5" s="1225"/>
      <c r="HK5" s="1225"/>
      <c r="HL5" s="1225"/>
      <c r="HM5" s="1225"/>
      <c r="HN5" s="1225"/>
      <c r="HO5" s="1225"/>
      <c r="HP5" s="1225"/>
      <c r="HQ5" s="1225"/>
      <c r="HR5" s="1225"/>
      <c r="HS5" s="1225"/>
      <c r="HT5" s="1225"/>
      <c r="HU5" s="1225"/>
      <c r="HV5" s="1225"/>
      <c r="HW5" s="1225"/>
      <c r="HX5" s="1225"/>
      <c r="HY5" s="1225"/>
      <c r="HZ5" s="1225"/>
      <c r="IA5" s="1225"/>
      <c r="IB5" s="1225"/>
      <c r="IC5" s="1225"/>
      <c r="ID5" s="1225"/>
      <c r="IE5" s="1225"/>
      <c r="IF5" s="1225"/>
      <c r="IG5" s="1225"/>
      <c r="IH5" s="1225"/>
      <c r="II5" s="1225"/>
      <c r="IJ5" s="1225"/>
      <c r="IK5" s="1225"/>
      <c r="IL5" s="1225"/>
      <c r="IM5" s="1225"/>
      <c r="IN5" s="1225"/>
      <c r="IO5" s="1225"/>
      <c r="IP5" s="1225"/>
      <c r="IQ5" s="1225"/>
      <c r="IR5" s="1225"/>
      <c r="IS5" s="1225"/>
      <c r="IT5" s="1225"/>
      <c r="IU5" s="1225"/>
      <c r="IV5" s="1225"/>
      <c r="IW5" s="1225"/>
      <c r="IX5" s="1225"/>
      <c r="IY5" s="1225"/>
      <c r="IZ5" s="1225"/>
      <c r="JA5" s="1225"/>
      <c r="JB5" s="1225"/>
      <c r="JC5" s="1225"/>
      <c r="JD5" s="1225"/>
      <c r="JE5" s="1225"/>
      <c r="JF5" s="1225"/>
      <c r="JG5" s="1225"/>
      <c r="JH5" s="1225"/>
      <c r="JI5" s="1225"/>
      <c r="JJ5" s="1225"/>
      <c r="JK5" s="1225"/>
      <c r="JL5" s="1225"/>
      <c r="JM5" s="1225"/>
      <c r="JN5" s="1225"/>
      <c r="JO5" s="1225"/>
      <c r="JP5" s="1225"/>
      <c r="JQ5" s="1225"/>
      <c r="JR5" s="1225"/>
      <c r="JS5" s="1225"/>
      <c r="JT5" s="1225"/>
      <c r="JU5" s="1225"/>
      <c r="JV5" s="1225"/>
      <c r="JW5" s="1225"/>
      <c r="JX5" s="1225"/>
      <c r="JY5" s="1225"/>
      <c r="JZ5" s="1225"/>
      <c r="KA5" s="1225"/>
      <c r="KB5" s="1225"/>
      <c r="KC5" s="1225"/>
      <c r="KD5" s="1225"/>
      <c r="KE5" s="1225"/>
      <c r="KF5" s="1225"/>
      <c r="KG5" s="1225"/>
      <c r="KH5" s="1225"/>
      <c r="KI5" s="1225"/>
      <c r="KJ5" s="1225"/>
      <c r="KK5" s="1225"/>
      <c r="KL5" s="1225"/>
      <c r="KM5" s="1225"/>
      <c r="KN5" s="1225"/>
      <c r="KO5" s="1225"/>
      <c r="KP5" s="1225"/>
      <c r="KQ5" s="1225"/>
      <c r="KR5" s="1225"/>
      <c r="KS5" s="1225"/>
      <c r="KT5" s="1225"/>
      <c r="KU5" s="1225"/>
      <c r="KV5" s="1225"/>
      <c r="KW5" s="1225"/>
      <c r="KX5" s="1225"/>
      <c r="KY5" s="1225"/>
      <c r="KZ5" s="1225"/>
      <c r="LA5" s="1225"/>
      <c r="LB5" s="1225"/>
      <c r="LC5" s="1225"/>
      <c r="LD5" s="1225"/>
      <c r="LE5" s="1225"/>
      <c r="LF5" s="1225"/>
      <c r="LG5" s="1225"/>
      <c r="LH5" s="1225"/>
      <c r="LI5" s="1225"/>
      <c r="LJ5" s="1225"/>
      <c r="LK5" s="1225"/>
      <c r="LL5" s="1225"/>
      <c r="LM5" s="1225"/>
      <c r="LN5" s="1225"/>
      <c r="LO5" s="1225"/>
      <c r="LP5" s="1225"/>
      <c r="LQ5" s="1225"/>
      <c r="LR5" s="1225"/>
      <c r="LS5" s="1225"/>
      <c r="LT5" s="1225"/>
      <c r="LU5" s="1225"/>
      <c r="LV5" s="1225"/>
      <c r="LW5" s="1225"/>
      <c r="LX5" s="1225"/>
      <c r="LY5" s="1225"/>
      <c r="LZ5" s="1225"/>
      <c r="MA5" s="1225"/>
      <c r="MB5" s="1225"/>
      <c r="MC5" s="1225"/>
      <c r="MD5" s="1225"/>
      <c r="ME5" s="1225"/>
      <c r="MF5" s="1225"/>
      <c r="MG5" s="1225"/>
      <c r="MH5" s="1225"/>
      <c r="MI5" s="1225"/>
      <c r="MJ5" s="1225"/>
      <c r="MK5" s="1225"/>
      <c r="ML5" s="1225"/>
      <c r="MM5" s="1225"/>
      <c r="MN5" s="1225"/>
      <c r="MO5" s="1225"/>
      <c r="MP5" s="1225"/>
      <c r="MQ5" s="1225"/>
      <c r="MR5" s="1225"/>
      <c r="MS5" s="1225"/>
      <c r="MT5" s="1225"/>
      <c r="MU5" s="1225"/>
      <c r="MV5" s="1225"/>
      <c r="MW5" s="1225"/>
      <c r="MX5" s="1225"/>
      <c r="MY5" s="1225"/>
      <c r="MZ5" s="1225"/>
      <c r="NA5" s="1225"/>
      <c r="NB5" s="1225"/>
      <c r="NC5" s="1225"/>
      <c r="ND5" s="1225"/>
      <c r="NE5" s="1225"/>
      <c r="NF5" s="1225"/>
      <c r="NG5" s="1225"/>
      <c r="NH5" s="1225"/>
      <c r="NI5" s="1225"/>
      <c r="NJ5" s="1225"/>
      <c r="NK5" s="1225"/>
      <c r="NL5" s="1225"/>
      <c r="NM5" s="1225"/>
      <c r="NN5" s="1225"/>
      <c r="NO5" s="1225"/>
      <c r="NP5" s="1225"/>
      <c r="NQ5" s="1225"/>
      <c r="NR5" s="1225"/>
      <c r="NS5" s="1225"/>
      <c r="NT5" s="1225"/>
      <c r="NU5" s="1225"/>
      <c r="NV5" s="1225"/>
      <c r="NW5" s="1225"/>
      <c r="NX5" s="1225"/>
      <c r="NY5" s="1225"/>
      <c r="NZ5" s="1225"/>
      <c r="OA5" s="1225"/>
      <c r="OB5" s="1225"/>
      <c r="OC5" s="1225"/>
      <c r="OD5" s="1225"/>
      <c r="OE5" s="1225"/>
      <c r="OF5" s="1225"/>
      <c r="OG5" s="1225"/>
      <c r="OH5" s="1225"/>
      <c r="OI5" s="1225"/>
      <c r="OJ5" s="1225"/>
      <c r="OK5" s="1225"/>
      <c r="OL5" s="1225"/>
      <c r="OM5" s="1225"/>
      <c r="ON5" s="1225"/>
      <c r="OO5" s="1225"/>
      <c r="OP5" s="1225"/>
      <c r="OQ5" s="1225"/>
      <c r="OR5" s="1225"/>
      <c r="OS5" s="1225"/>
      <c r="OT5" s="1225"/>
      <c r="OU5" s="1225"/>
      <c r="OV5" s="1225"/>
      <c r="OW5" s="1225"/>
      <c r="OX5" s="1225"/>
      <c r="OY5" s="1225"/>
      <c r="OZ5" s="1225"/>
      <c r="PA5" s="1225"/>
      <c r="PB5" s="1225"/>
      <c r="PC5" s="1225"/>
      <c r="PD5" s="1225"/>
      <c r="PE5" s="1225"/>
      <c r="PF5" s="1225"/>
      <c r="PG5" s="1225"/>
      <c r="PH5" s="1225"/>
      <c r="PI5" s="1225"/>
      <c r="PJ5" s="1225"/>
      <c r="PK5" s="1225"/>
      <c r="PL5" s="1225"/>
      <c r="PM5" s="1225"/>
      <c r="PN5" s="1225"/>
      <c r="PO5" s="1225"/>
      <c r="PP5" s="1225"/>
      <c r="PQ5" s="1225"/>
      <c r="PR5" s="1225"/>
      <c r="PS5" s="1225"/>
      <c r="PT5" s="1225"/>
      <c r="PU5" s="1225"/>
      <c r="PV5" s="1225"/>
      <c r="PW5" s="1225"/>
      <c r="PX5" s="1225"/>
      <c r="PY5" s="1225"/>
      <c r="PZ5" s="1225"/>
      <c r="QA5" s="1225"/>
      <c r="QB5" s="1225"/>
      <c r="QC5" s="1225"/>
      <c r="QD5" s="1225"/>
      <c r="QE5" s="1225"/>
      <c r="QF5" s="1225"/>
      <c r="QG5" s="1225"/>
      <c r="QH5" s="1225"/>
      <c r="QI5" s="1225"/>
      <c r="QJ5" s="1225"/>
      <c r="QK5" s="1225"/>
      <c r="QL5" s="1225"/>
      <c r="QM5" s="1225"/>
      <c r="QN5" s="1225"/>
      <c r="QO5" s="1225"/>
      <c r="QP5" s="1225"/>
      <c r="QQ5" s="1225"/>
      <c r="QR5" s="1225"/>
      <c r="QS5" s="1225"/>
      <c r="QT5" s="1225"/>
      <c r="QU5" s="1225"/>
      <c r="QV5" s="1225"/>
      <c r="QW5" s="1225"/>
      <c r="QX5" s="1225"/>
      <c r="QY5" s="1225"/>
      <c r="QZ5" s="1225"/>
      <c r="RA5" s="1225"/>
      <c r="RB5" s="1225"/>
      <c r="RC5" s="1225"/>
      <c r="RD5" s="1225"/>
      <c r="RE5" s="1225"/>
      <c r="RF5" s="1225"/>
      <c r="RG5" s="1225"/>
      <c r="RH5" s="1225"/>
      <c r="RI5" s="1225"/>
      <c r="RJ5" s="1225"/>
      <c r="RK5" s="1225"/>
      <c r="RL5" s="1225"/>
      <c r="RM5" s="1225"/>
      <c r="RN5" s="1225"/>
      <c r="RO5" s="1225"/>
      <c r="RP5" s="1225"/>
      <c r="RQ5" s="1225"/>
      <c r="RR5" s="1225"/>
      <c r="RS5" s="1225"/>
      <c r="RT5" s="1225"/>
      <c r="RU5" s="1225"/>
      <c r="RV5" s="1225"/>
      <c r="RW5" s="1225"/>
      <c r="RX5" s="1225"/>
      <c r="RY5" s="1225"/>
      <c r="RZ5" s="1225"/>
      <c r="SA5" s="1225"/>
      <c r="SB5" s="1225"/>
      <c r="SC5" s="1225"/>
      <c r="SD5" s="1225"/>
      <c r="SE5" s="1225"/>
      <c r="SF5" s="1225"/>
      <c r="SG5" s="1225"/>
      <c r="SH5" s="1225"/>
      <c r="SI5" s="1225"/>
      <c r="SJ5" s="1225"/>
      <c r="SK5" s="1225"/>
      <c r="SL5" s="1225"/>
      <c r="SM5" s="1225"/>
      <c r="SN5" s="1225"/>
      <c r="SO5" s="1225"/>
      <c r="SP5" s="1225"/>
      <c r="SQ5" s="1225"/>
      <c r="SR5" s="1225"/>
      <c r="SS5" s="1225"/>
      <c r="ST5" s="1225"/>
      <c r="SU5" s="1225"/>
      <c r="SV5" s="1225"/>
      <c r="SW5" s="1225"/>
      <c r="SX5" s="1225"/>
      <c r="SY5" s="1225"/>
      <c r="SZ5" s="1225"/>
      <c r="TA5" s="1225"/>
      <c r="TB5" s="1225"/>
      <c r="TC5" s="1225"/>
      <c r="TD5" s="1225"/>
      <c r="TE5" s="1225"/>
      <c r="TF5" s="1225"/>
      <c r="TG5" s="1225"/>
      <c r="TH5" s="1225"/>
      <c r="TI5" s="1225"/>
      <c r="TJ5" s="1225"/>
      <c r="TK5" s="1225"/>
      <c r="TL5" s="1225"/>
      <c r="TM5" s="1225"/>
      <c r="TN5" s="1225"/>
      <c r="TO5" s="1225"/>
      <c r="TP5" s="1225"/>
      <c r="TQ5" s="1225"/>
      <c r="TR5" s="1225"/>
      <c r="TS5" s="1225"/>
      <c r="TT5" s="1225"/>
      <c r="TU5" s="1225"/>
      <c r="TV5" s="1225"/>
      <c r="TW5" s="1225"/>
      <c r="TX5" s="1225"/>
      <c r="TY5" s="1225"/>
      <c r="TZ5" s="1225"/>
      <c r="UA5" s="1225"/>
      <c r="UB5" s="1225"/>
      <c r="UC5" s="1225"/>
      <c r="UD5" s="1225"/>
      <c r="UE5" s="1225"/>
      <c r="UF5" s="1225"/>
      <c r="UG5" s="1225"/>
      <c r="UH5" s="1225"/>
      <c r="UI5" s="1225"/>
      <c r="UJ5" s="1225"/>
      <c r="UK5" s="1225"/>
      <c r="UL5" s="1225"/>
      <c r="UM5" s="1225"/>
      <c r="UN5" s="1225"/>
      <c r="UO5" s="1225"/>
      <c r="UP5" s="1225"/>
      <c r="UQ5" s="1225"/>
      <c r="UR5" s="1225"/>
      <c r="US5" s="1225"/>
      <c r="UT5" s="1225"/>
      <c r="UU5" s="1225"/>
      <c r="UV5" s="1225"/>
      <c r="UW5" s="1225"/>
      <c r="UX5" s="1225"/>
      <c r="UY5" s="1225"/>
      <c r="UZ5" s="1225"/>
      <c r="VA5" s="1225"/>
      <c r="VB5" s="1225"/>
      <c r="VC5" s="1225"/>
      <c r="VD5" s="1225"/>
      <c r="VE5" s="1225"/>
      <c r="VF5" s="1225"/>
      <c r="VG5" s="1225"/>
      <c r="VH5" s="1225"/>
      <c r="VI5" s="1225"/>
      <c r="VJ5" s="1225"/>
      <c r="VK5" s="1225"/>
      <c r="VL5" s="1225"/>
      <c r="VM5" s="1225"/>
      <c r="VN5" s="1225"/>
      <c r="VO5" s="1225"/>
      <c r="VP5" s="1225"/>
      <c r="VQ5" s="1225"/>
      <c r="VR5" s="1225"/>
      <c r="VS5" s="1225"/>
      <c r="VT5" s="1225"/>
      <c r="VU5" s="1225"/>
      <c r="VV5" s="1225"/>
      <c r="VW5" s="1225"/>
      <c r="VX5" s="1225"/>
      <c r="VY5" s="1225"/>
      <c r="VZ5" s="1225"/>
      <c r="WA5" s="1225"/>
      <c r="WB5" s="1225"/>
      <c r="WC5" s="1225"/>
      <c r="WD5" s="1225"/>
      <c r="WE5" s="1225"/>
      <c r="WF5" s="1225"/>
      <c r="WG5" s="1225"/>
      <c r="WH5" s="1225"/>
      <c r="WI5" s="1225"/>
      <c r="WJ5" s="1225"/>
      <c r="WK5" s="1225"/>
      <c r="WL5" s="1225"/>
      <c r="WM5" s="1225"/>
      <c r="WN5" s="1225"/>
      <c r="WO5" s="1225"/>
      <c r="WP5" s="1225"/>
      <c r="WQ5" s="1225"/>
      <c r="WR5" s="1225"/>
      <c r="WS5" s="1225"/>
      <c r="WT5" s="1225"/>
      <c r="WU5" s="1225"/>
      <c r="WV5" s="1225"/>
      <c r="WW5" s="1225"/>
      <c r="WX5" s="1225"/>
      <c r="WY5" s="1225"/>
      <c r="WZ5" s="1225"/>
      <c r="XA5" s="1225"/>
      <c r="XB5" s="1225"/>
      <c r="XC5" s="1225"/>
      <c r="XD5" s="1225"/>
      <c r="XE5" s="1225"/>
      <c r="XF5" s="1225"/>
      <c r="XG5" s="1225"/>
      <c r="XH5" s="1225"/>
      <c r="XI5" s="1225"/>
      <c r="XJ5" s="1225"/>
      <c r="XK5" s="1225"/>
      <c r="XL5" s="1225"/>
      <c r="XM5" s="1225"/>
      <c r="XN5" s="1225"/>
      <c r="XO5" s="1225"/>
      <c r="XP5" s="1225"/>
      <c r="XQ5" s="1225"/>
      <c r="XR5" s="1225"/>
      <c r="XS5" s="1225"/>
      <c r="XT5" s="1225"/>
      <c r="XU5" s="1225"/>
      <c r="XV5" s="1225"/>
      <c r="XW5" s="1225"/>
      <c r="XX5" s="1225"/>
      <c r="XY5" s="1225"/>
      <c r="XZ5" s="1225"/>
      <c r="YA5" s="1225"/>
      <c r="YB5" s="1225"/>
      <c r="YC5" s="1225"/>
      <c r="YD5" s="1225"/>
      <c r="YE5" s="1225"/>
      <c r="YF5" s="1225"/>
      <c r="YG5" s="1225"/>
      <c r="YH5" s="1225"/>
      <c r="YI5" s="1225"/>
      <c r="YJ5" s="1225"/>
      <c r="YK5" s="1225"/>
      <c r="YL5" s="1225"/>
      <c r="YM5" s="1225"/>
      <c r="YN5" s="1225"/>
      <c r="YO5" s="1225"/>
      <c r="YP5" s="1225"/>
      <c r="YQ5" s="1225"/>
      <c r="YR5" s="1225"/>
      <c r="YS5" s="1225"/>
      <c r="YT5" s="1225"/>
      <c r="YU5" s="1225"/>
      <c r="YV5" s="1225"/>
      <c r="YW5" s="1225"/>
      <c r="YX5" s="1225"/>
      <c r="YY5" s="1225"/>
      <c r="YZ5" s="1225"/>
      <c r="ZA5" s="1225"/>
      <c r="ZB5" s="1225"/>
      <c r="ZC5" s="1225"/>
      <c r="ZD5" s="1225"/>
      <c r="ZE5" s="1225"/>
      <c r="ZF5" s="1225"/>
      <c r="ZG5" s="1225"/>
      <c r="ZH5" s="1225"/>
      <c r="ZI5" s="1225"/>
      <c r="ZJ5" s="1225"/>
      <c r="ZK5" s="1225"/>
      <c r="ZL5" s="1225"/>
      <c r="ZM5" s="1225"/>
      <c r="ZN5" s="1225"/>
      <c r="ZO5" s="1225"/>
      <c r="ZP5" s="1225"/>
      <c r="ZQ5" s="1225"/>
      <c r="ZR5" s="1225"/>
      <c r="ZS5" s="1225"/>
      <c r="ZT5" s="1225"/>
      <c r="ZU5" s="1225"/>
      <c r="ZV5" s="1225"/>
      <c r="ZW5" s="1225"/>
      <c r="ZX5" s="1225"/>
      <c r="ZY5" s="1225"/>
      <c r="ZZ5" s="1225"/>
      <c r="AAA5" s="1225"/>
      <c r="AAB5" s="1225"/>
      <c r="AAC5" s="1225"/>
      <c r="AAD5" s="1225"/>
      <c r="AAE5" s="1225"/>
      <c r="AAF5" s="1225"/>
      <c r="AAG5" s="1225"/>
      <c r="AAH5" s="1225"/>
      <c r="AAI5" s="1225"/>
      <c r="AAJ5" s="1225"/>
      <c r="AAK5" s="1225"/>
      <c r="AAL5" s="1225"/>
      <c r="AAM5" s="1225"/>
      <c r="AAN5" s="1225"/>
      <c r="AAO5" s="1225"/>
      <c r="AAP5" s="1225"/>
      <c r="AAQ5" s="1225"/>
      <c r="AAR5" s="1225"/>
      <c r="AAS5" s="1225"/>
      <c r="AAT5" s="1225"/>
      <c r="AAU5" s="1225"/>
      <c r="AAV5" s="1225"/>
      <c r="AAW5" s="1225"/>
      <c r="AAX5" s="1225"/>
      <c r="AAY5" s="1225"/>
      <c r="AAZ5" s="1225"/>
      <c r="ABA5" s="1225"/>
      <c r="ABB5" s="1225"/>
      <c r="ABC5" s="1225"/>
      <c r="ABD5" s="1225"/>
      <c r="ABE5" s="1225"/>
      <c r="ABF5" s="1225"/>
      <c r="ABG5" s="1225"/>
      <c r="ABH5" s="1225"/>
      <c r="ABI5" s="1225"/>
      <c r="ABJ5" s="1225"/>
      <c r="ABK5" s="1225"/>
      <c r="ABL5" s="1225"/>
      <c r="ABM5" s="1225"/>
      <c r="ABN5" s="1225"/>
      <c r="ABO5" s="1225"/>
      <c r="ABP5" s="1225"/>
      <c r="ABQ5" s="1225"/>
      <c r="ABR5" s="1225"/>
      <c r="ABS5" s="1225"/>
      <c r="ABT5" s="1225"/>
      <c r="ABU5" s="1225"/>
      <c r="ABV5" s="1225"/>
      <c r="ABW5" s="1225"/>
      <c r="ABX5" s="1225"/>
      <c r="ABY5" s="1225"/>
      <c r="ABZ5" s="1225"/>
      <c r="ACA5" s="1225"/>
      <c r="ACB5" s="1225"/>
      <c r="ACC5" s="1225"/>
      <c r="ACD5" s="1225"/>
      <c r="ACE5" s="1225"/>
      <c r="ACF5" s="1225"/>
      <c r="ACG5" s="1225"/>
      <c r="ACH5" s="1225"/>
      <c r="ACI5" s="1225"/>
      <c r="ACJ5" s="1225"/>
      <c r="ACK5" s="1225"/>
      <c r="ACL5" s="1225"/>
      <c r="ACM5" s="1225"/>
      <c r="ACN5" s="1225"/>
      <c r="ACO5" s="1225"/>
      <c r="ACP5" s="1225"/>
      <c r="ACQ5" s="1225"/>
      <c r="ACR5" s="1225"/>
      <c r="ACS5" s="1225"/>
      <c r="ACT5" s="1225"/>
      <c r="ACU5" s="1225"/>
      <c r="ACV5" s="1225"/>
      <c r="ACW5" s="1225"/>
      <c r="ACX5" s="1225"/>
      <c r="ACY5" s="1225"/>
      <c r="ACZ5" s="1225"/>
      <c r="ADA5" s="1225"/>
      <c r="ADB5" s="1225"/>
      <c r="ADC5" s="1225"/>
      <c r="ADD5" s="1225"/>
      <c r="ADE5" s="1225"/>
      <c r="ADF5" s="1225"/>
      <c r="ADG5" s="1225"/>
      <c r="ADH5" s="1225"/>
      <c r="ADI5" s="1225"/>
      <c r="ADJ5" s="1225"/>
      <c r="ADK5" s="1225"/>
      <c r="ADL5" s="1225"/>
      <c r="ADM5" s="1225"/>
      <c r="ADN5" s="1225"/>
      <c r="ADO5" s="1225"/>
      <c r="ADP5" s="1225"/>
      <c r="ADQ5" s="1225"/>
      <c r="ADR5" s="1225"/>
      <c r="ADS5" s="1225"/>
      <c r="ADT5" s="1225"/>
      <c r="ADU5" s="1225"/>
      <c r="ADV5" s="1225"/>
      <c r="ADW5" s="1225"/>
      <c r="ADX5" s="1225"/>
      <c r="ADY5" s="1225"/>
      <c r="ADZ5" s="1225"/>
      <c r="AEA5" s="1225"/>
      <c r="AEB5" s="1225"/>
      <c r="AEC5" s="1225"/>
      <c r="AED5" s="1225"/>
      <c r="AEE5" s="1225"/>
      <c r="AEF5" s="1225"/>
      <c r="AEG5" s="1225"/>
      <c r="AEH5" s="1225"/>
      <c r="AEI5" s="1225"/>
      <c r="AEJ5" s="1225"/>
      <c r="AEK5" s="1225"/>
      <c r="AEL5" s="1225"/>
      <c r="AEM5" s="1225"/>
      <c r="AEN5" s="1225"/>
      <c r="AEO5" s="1225"/>
      <c r="AEP5" s="1225"/>
      <c r="AEQ5" s="1225"/>
      <c r="AER5" s="1225"/>
      <c r="AES5" s="1225"/>
      <c r="AET5" s="1225"/>
      <c r="AEU5" s="1225"/>
      <c r="AEV5" s="1225"/>
      <c r="AEW5" s="1225"/>
      <c r="AEX5" s="1225"/>
      <c r="AEY5" s="1225"/>
      <c r="AEZ5" s="1225"/>
      <c r="AFA5" s="1225"/>
      <c r="AFB5" s="1225"/>
      <c r="AFC5" s="1225"/>
      <c r="AFD5" s="1225"/>
      <c r="AFE5" s="1225"/>
      <c r="AFF5" s="1225"/>
      <c r="AFG5" s="1225"/>
      <c r="AFH5" s="1225"/>
      <c r="AFI5" s="1225"/>
      <c r="AFJ5" s="1225"/>
      <c r="AFK5" s="1225"/>
      <c r="AFL5" s="1225"/>
      <c r="AFM5" s="1225"/>
      <c r="AFN5" s="1225"/>
      <c r="AFO5" s="1225"/>
      <c r="AFP5" s="1225"/>
      <c r="AFQ5" s="1225"/>
      <c r="AFR5" s="1225"/>
      <c r="AFS5" s="1225"/>
      <c r="AFT5" s="1225"/>
      <c r="AFU5" s="1225"/>
      <c r="AFV5" s="1225"/>
      <c r="AFW5" s="1225"/>
      <c r="AFX5" s="1225"/>
      <c r="AFY5" s="1225"/>
      <c r="AFZ5" s="1225"/>
      <c r="AGA5" s="1225"/>
      <c r="AGB5" s="1225"/>
      <c r="AGC5" s="1225"/>
      <c r="AGD5" s="1225"/>
      <c r="AGE5" s="1225"/>
      <c r="AGF5" s="1225"/>
      <c r="AGG5" s="1225"/>
      <c r="AGH5" s="1225"/>
      <c r="AGI5" s="1225"/>
      <c r="AGJ5" s="1225"/>
      <c r="AGK5" s="1225"/>
      <c r="AGL5" s="1225"/>
      <c r="AGM5" s="1225"/>
      <c r="AGN5" s="1225"/>
      <c r="AGO5" s="1225"/>
      <c r="AGP5" s="1225"/>
      <c r="AGQ5" s="1225"/>
      <c r="AGR5" s="1225"/>
      <c r="AGS5" s="1225"/>
      <c r="AGT5" s="1225"/>
      <c r="AGU5" s="1225"/>
      <c r="AGV5" s="1225"/>
      <c r="AGW5" s="1225"/>
      <c r="AGX5" s="1225"/>
      <c r="AGY5" s="1225"/>
      <c r="AGZ5" s="1225"/>
      <c r="AHA5" s="1225"/>
      <c r="AHB5" s="1225"/>
      <c r="AHC5" s="1225"/>
      <c r="AHD5" s="1225"/>
      <c r="AHE5" s="1225"/>
      <c r="AHF5" s="1225"/>
      <c r="AHG5" s="1225"/>
      <c r="AHH5" s="1225"/>
      <c r="AHI5" s="1225"/>
      <c r="AHJ5" s="1225"/>
      <c r="AHK5" s="1225"/>
      <c r="AHL5" s="1225"/>
      <c r="AHM5" s="1225"/>
      <c r="AHN5" s="1225"/>
      <c r="AHO5" s="1225"/>
      <c r="AHP5" s="1225"/>
      <c r="AHQ5" s="1225"/>
      <c r="AHR5" s="1225"/>
      <c r="AHS5" s="1225"/>
      <c r="AHT5" s="1225"/>
      <c r="AHU5" s="1225"/>
      <c r="AHV5" s="1225"/>
      <c r="AHW5" s="1225"/>
      <c r="AHX5" s="1225"/>
      <c r="AHY5" s="1225"/>
      <c r="AHZ5" s="1225"/>
      <c r="AIA5" s="1225"/>
      <c r="AIB5" s="1225"/>
      <c r="AIC5" s="1225"/>
      <c r="AID5" s="1225"/>
      <c r="AIE5" s="1225"/>
      <c r="AIF5" s="1225"/>
      <c r="AIG5" s="1225"/>
      <c r="AIH5" s="1225"/>
      <c r="AII5" s="1225"/>
      <c r="AIJ5" s="1225"/>
      <c r="AIK5" s="1225"/>
      <c r="AIL5" s="1225"/>
      <c r="AIM5" s="1225"/>
      <c r="AIN5" s="1225"/>
      <c r="AIO5" s="1225"/>
      <c r="AIP5" s="1225"/>
      <c r="AIQ5" s="1225"/>
      <c r="AIR5" s="1225"/>
      <c r="AIS5" s="1225"/>
      <c r="AIT5" s="1225"/>
      <c r="AIU5" s="1225"/>
      <c r="AIV5" s="1225"/>
      <c r="AIW5" s="1225"/>
      <c r="AIX5" s="1225"/>
      <c r="AIY5" s="1225"/>
      <c r="AIZ5" s="1225"/>
      <c r="AJA5" s="1225"/>
      <c r="AJB5" s="1225"/>
      <c r="AJC5" s="1225"/>
      <c r="AJD5" s="1225"/>
      <c r="AJE5" s="1225"/>
      <c r="AJF5" s="1225"/>
      <c r="AJG5" s="1225"/>
      <c r="AJH5" s="1225"/>
      <c r="AJI5" s="1225"/>
      <c r="AJJ5" s="1225"/>
      <c r="AJK5" s="1225"/>
      <c r="AJL5" s="1225"/>
      <c r="AJM5" s="1225"/>
      <c r="AJN5" s="1225"/>
      <c r="AJO5" s="1225"/>
      <c r="AJP5" s="1225"/>
      <c r="AJQ5" s="1225"/>
      <c r="AJR5" s="1225"/>
      <c r="AJS5" s="1225"/>
      <c r="AJT5" s="1225"/>
      <c r="AJU5" s="1225"/>
      <c r="AJV5" s="1225"/>
      <c r="AJW5" s="1225"/>
      <c r="AJX5" s="1225"/>
      <c r="AJY5" s="1225"/>
      <c r="AJZ5" s="1225"/>
      <c r="AKA5" s="1225"/>
      <c r="AKB5" s="1225"/>
      <c r="AKC5" s="1225"/>
      <c r="AKD5" s="1225"/>
      <c r="AKE5" s="1225"/>
      <c r="AKF5" s="1225"/>
      <c r="AKG5" s="1225"/>
      <c r="AKH5" s="1225"/>
      <c r="AKI5" s="1225"/>
      <c r="AKJ5" s="1225"/>
      <c r="AKK5" s="1225"/>
      <c r="AKL5" s="1225"/>
      <c r="AKM5" s="1225"/>
      <c r="AKN5" s="1225"/>
      <c r="AKO5" s="1225"/>
      <c r="AKP5" s="1225"/>
      <c r="AKQ5" s="1225"/>
      <c r="AKR5" s="1225"/>
      <c r="AKS5" s="1225"/>
      <c r="AKT5" s="1225"/>
      <c r="AKU5" s="1225"/>
      <c r="AKV5" s="1225"/>
      <c r="AKW5" s="1225"/>
      <c r="AKX5" s="1225"/>
      <c r="AKY5" s="1225"/>
      <c r="AKZ5" s="1225"/>
      <c r="ALA5" s="1225"/>
      <c r="ALB5" s="1225"/>
      <c r="ALC5" s="1225"/>
      <c r="ALD5" s="1225"/>
      <c r="ALE5" s="1225"/>
      <c r="ALF5" s="1225"/>
      <c r="ALG5" s="1225"/>
      <c r="ALH5" s="1225"/>
      <c r="ALI5" s="1225"/>
      <c r="ALJ5" s="1225"/>
      <c r="ALK5" s="1225"/>
      <c r="ALL5" s="1225"/>
      <c r="ALM5" s="1225"/>
      <c r="ALN5" s="1225"/>
      <c r="ALO5" s="1225"/>
      <c r="ALP5" s="1225"/>
      <c r="ALQ5" s="1225"/>
      <c r="ALR5" s="1225"/>
      <c r="ALS5" s="1225"/>
      <c r="ALT5" s="1225"/>
      <c r="ALU5" s="1225"/>
      <c r="ALV5" s="1225"/>
      <c r="ALW5" s="1225"/>
      <c r="ALX5" s="1225"/>
      <c r="ALY5" s="1225"/>
      <c r="ALZ5" s="1225"/>
      <c r="AMA5" s="1225"/>
      <c r="AMB5" s="1225"/>
      <c r="AMC5" s="1225"/>
      <c r="AMD5" s="1225"/>
      <c r="AME5" s="1225"/>
      <c r="AMF5" s="1225"/>
      <c r="AMG5" s="1225"/>
      <c r="AMH5" s="1225"/>
      <c r="AMI5" s="1225"/>
      <c r="AMJ5" s="1225"/>
      <c r="AMK5" s="1225"/>
      <c r="AML5" s="1225"/>
      <c r="AMM5" s="1225"/>
      <c r="AMN5" s="1225"/>
      <c r="AMO5" s="1225"/>
      <c r="AMP5" s="1225"/>
      <c r="AMQ5" s="1225"/>
      <c r="AMR5" s="1225"/>
      <c r="AMS5" s="1225"/>
      <c r="AMT5" s="1225"/>
      <c r="AMU5" s="1225"/>
      <c r="AMV5" s="1225"/>
      <c r="AMW5" s="1225"/>
      <c r="AMX5" s="1225"/>
      <c r="AMY5" s="1225"/>
      <c r="AMZ5" s="1225"/>
      <c r="ANA5" s="1225"/>
      <c r="ANB5" s="1225"/>
      <c r="ANC5" s="1225"/>
      <c r="AND5" s="1225"/>
      <c r="ANE5" s="1225"/>
      <c r="ANF5" s="1225"/>
      <c r="ANG5" s="1225"/>
      <c r="ANH5" s="1225"/>
      <c r="ANI5" s="1225"/>
      <c r="ANJ5" s="1225"/>
      <c r="ANK5" s="1225"/>
      <c r="ANL5" s="1225"/>
      <c r="ANM5" s="1225"/>
      <c r="ANN5" s="1225"/>
      <c r="ANO5" s="1225"/>
      <c r="ANP5" s="1225"/>
      <c r="ANQ5" s="1225"/>
      <c r="ANR5" s="1225"/>
      <c r="ANS5" s="1225"/>
      <c r="ANT5" s="1225"/>
      <c r="ANU5" s="1225"/>
      <c r="ANV5" s="1225"/>
      <c r="ANW5" s="1225"/>
      <c r="ANX5" s="1225"/>
      <c r="ANY5" s="1225"/>
      <c r="ANZ5" s="1225"/>
      <c r="AOA5" s="1225"/>
      <c r="AOB5" s="1225"/>
      <c r="AOC5" s="1225"/>
      <c r="AOD5" s="1225"/>
      <c r="AOE5" s="1225"/>
      <c r="AOF5" s="1225"/>
      <c r="AOG5" s="1225"/>
      <c r="AOH5" s="1225"/>
      <c r="AOI5" s="1225"/>
      <c r="AOJ5" s="1225"/>
      <c r="AOK5" s="1225"/>
      <c r="AOL5" s="1225"/>
      <c r="AOM5" s="1225"/>
      <c r="AON5" s="1225"/>
      <c r="AOO5" s="1225"/>
      <c r="AOP5" s="1225"/>
      <c r="AOQ5" s="1225"/>
      <c r="AOR5" s="1225"/>
      <c r="AOS5" s="1225"/>
      <c r="AOT5" s="1225"/>
      <c r="AOU5" s="1225"/>
      <c r="AOV5" s="1225"/>
      <c r="AOW5" s="1225"/>
      <c r="AOX5" s="1225"/>
      <c r="AOY5" s="1225"/>
      <c r="AOZ5" s="1225"/>
      <c r="APA5" s="1225"/>
      <c r="APB5" s="1225"/>
      <c r="APC5" s="1225"/>
      <c r="APD5" s="1225"/>
      <c r="APE5" s="1225"/>
      <c r="APF5" s="1225"/>
      <c r="APG5" s="1225"/>
      <c r="APH5" s="1225"/>
      <c r="API5" s="1225"/>
      <c r="APJ5" s="1225"/>
      <c r="APK5" s="1225"/>
      <c r="APL5" s="1225"/>
      <c r="APM5" s="1225"/>
      <c r="APN5" s="1225"/>
      <c r="APO5" s="1225"/>
      <c r="APP5" s="1225"/>
      <c r="APQ5" s="1225"/>
      <c r="APR5" s="1225"/>
      <c r="APS5" s="1225"/>
      <c r="APT5" s="1225"/>
      <c r="APU5" s="1225"/>
      <c r="APV5" s="1225"/>
      <c r="APW5" s="1225"/>
      <c r="APX5" s="1225"/>
      <c r="APY5" s="1225"/>
      <c r="APZ5" s="1225"/>
      <c r="AQA5" s="1225"/>
      <c r="AQB5" s="1225"/>
      <c r="AQC5" s="1225"/>
      <c r="AQD5" s="1225"/>
      <c r="AQE5" s="1225"/>
      <c r="AQF5" s="1225"/>
      <c r="AQG5" s="1225"/>
      <c r="AQH5" s="1225"/>
      <c r="AQI5" s="1225"/>
      <c r="AQJ5" s="1225"/>
      <c r="AQK5" s="1225"/>
      <c r="AQL5" s="1225"/>
      <c r="AQM5" s="1225"/>
      <c r="AQN5" s="1225"/>
      <c r="AQO5" s="1225"/>
      <c r="AQP5" s="1225"/>
      <c r="AQQ5" s="1225"/>
      <c r="AQR5" s="1225"/>
      <c r="AQS5" s="1225"/>
      <c r="AQT5" s="1225"/>
      <c r="AQU5" s="1225"/>
      <c r="AQV5" s="1225"/>
      <c r="AQW5" s="1225"/>
      <c r="AQX5" s="1225"/>
      <c r="AQY5" s="1225"/>
      <c r="AQZ5" s="1225"/>
      <c r="ARA5" s="1225"/>
      <c r="ARB5" s="1225"/>
      <c r="ARC5" s="1225"/>
      <c r="ARD5" s="1225"/>
      <c r="ARE5" s="1225"/>
      <c r="ARF5" s="1225"/>
      <c r="ARG5" s="1225"/>
      <c r="ARH5" s="1225"/>
      <c r="ARI5" s="1225"/>
      <c r="ARJ5" s="1225"/>
      <c r="ARK5" s="1225"/>
      <c r="ARL5" s="1225"/>
      <c r="ARM5" s="1225"/>
      <c r="ARN5" s="1225"/>
      <c r="ARO5" s="1225"/>
      <c r="ARP5" s="1225"/>
      <c r="ARQ5" s="1225"/>
      <c r="ARR5" s="1225"/>
      <c r="ARS5" s="1225"/>
      <c r="ART5" s="1225"/>
      <c r="ARU5" s="1225"/>
      <c r="ARV5" s="1225"/>
      <c r="ARW5" s="1225"/>
      <c r="ARX5" s="1225"/>
      <c r="ARY5" s="1225"/>
      <c r="ARZ5" s="1225"/>
      <c r="ASA5" s="1225"/>
      <c r="ASB5" s="1225"/>
      <c r="ASC5" s="1225"/>
      <c r="ASD5" s="1225"/>
      <c r="ASE5" s="1225"/>
      <c r="ASF5" s="1225"/>
      <c r="ASG5" s="1225"/>
      <c r="ASH5" s="1225"/>
      <c r="ASI5" s="1225"/>
      <c r="ASJ5" s="1225"/>
      <c r="ASK5" s="1225"/>
      <c r="ASL5" s="1225"/>
      <c r="ASM5" s="1225"/>
      <c r="ASN5" s="1225"/>
      <c r="ASO5" s="1225"/>
      <c r="ASP5" s="1225"/>
      <c r="ASQ5" s="1225"/>
      <c r="ASR5" s="1225"/>
      <c r="ASS5" s="1225"/>
      <c r="AST5" s="1225"/>
      <c r="ASU5" s="1225"/>
      <c r="ASV5" s="1225"/>
      <c r="ASW5" s="1225"/>
      <c r="ASX5" s="1225"/>
      <c r="ASY5" s="1225"/>
      <c r="ASZ5" s="1225"/>
      <c r="ATA5" s="1225"/>
      <c r="ATB5" s="1225"/>
      <c r="ATC5" s="1225"/>
      <c r="ATD5" s="1225"/>
      <c r="ATE5" s="1225"/>
      <c r="ATF5" s="1225"/>
      <c r="ATG5" s="1225"/>
      <c r="ATH5" s="1225"/>
      <c r="ATI5" s="1225"/>
      <c r="ATJ5" s="1225"/>
      <c r="ATK5" s="1225"/>
      <c r="ATL5" s="1225"/>
      <c r="ATM5" s="1225"/>
      <c r="ATN5" s="1225"/>
      <c r="ATO5" s="1225"/>
      <c r="ATP5" s="1225"/>
      <c r="ATQ5" s="1225"/>
      <c r="ATR5" s="1225"/>
      <c r="ATS5" s="1225"/>
      <c r="ATT5" s="1225"/>
      <c r="ATU5" s="1225"/>
      <c r="ATV5" s="1225"/>
      <c r="ATW5" s="1225"/>
      <c r="ATX5" s="1225"/>
      <c r="ATY5" s="1225"/>
      <c r="ATZ5" s="1225"/>
      <c r="AUA5" s="1225"/>
      <c r="AUB5" s="1225"/>
      <c r="AUC5" s="1225"/>
      <c r="AUD5" s="1225"/>
      <c r="AUE5" s="1225"/>
      <c r="AUF5" s="1225"/>
      <c r="AUG5" s="1225"/>
      <c r="AUH5" s="1225"/>
      <c r="AUI5" s="1225"/>
      <c r="AUJ5" s="1225"/>
      <c r="AUK5" s="1225"/>
      <c r="AUL5" s="1225"/>
      <c r="AUM5" s="1225"/>
      <c r="AUN5" s="1225"/>
      <c r="AUO5" s="1225"/>
      <c r="AUP5" s="1225"/>
      <c r="AUQ5" s="1225"/>
      <c r="AUR5" s="1225"/>
      <c r="AUS5" s="1225"/>
      <c r="AUT5" s="1225"/>
      <c r="AUU5" s="1225"/>
      <c r="AUV5" s="1225"/>
      <c r="AUW5" s="1225"/>
      <c r="AUX5" s="1225"/>
      <c r="AUY5" s="1225"/>
      <c r="AUZ5" s="1225"/>
      <c r="AVA5" s="1225"/>
      <c r="AVB5" s="1225"/>
      <c r="AVC5" s="1225"/>
      <c r="AVD5" s="1225"/>
      <c r="AVE5" s="1225"/>
      <c r="AVF5" s="1225"/>
      <c r="AVG5" s="1225"/>
      <c r="AVH5" s="1225"/>
      <c r="AVI5" s="1225"/>
      <c r="AVJ5" s="1225"/>
      <c r="AVK5" s="1225"/>
      <c r="AVL5" s="1225"/>
      <c r="AVM5" s="1225"/>
      <c r="AVN5" s="1225"/>
      <c r="AVO5" s="1225"/>
      <c r="AVP5" s="1225"/>
      <c r="AVQ5" s="1225"/>
      <c r="AVR5" s="1225"/>
      <c r="AVS5" s="1225"/>
      <c r="AVT5" s="1225"/>
      <c r="AVU5" s="1225"/>
      <c r="AVV5" s="1225"/>
      <c r="AVW5" s="1225"/>
      <c r="AVX5" s="1225"/>
      <c r="AVY5" s="1225"/>
      <c r="AVZ5" s="1225"/>
      <c r="AWA5" s="1225"/>
      <c r="AWB5" s="1225"/>
      <c r="AWC5" s="1225"/>
      <c r="AWD5" s="1225"/>
      <c r="AWE5" s="1225"/>
      <c r="AWF5" s="1225"/>
      <c r="AWG5" s="1225"/>
      <c r="AWH5" s="1225"/>
      <c r="AWI5" s="1225"/>
      <c r="AWJ5" s="1225"/>
      <c r="AWK5" s="1225"/>
      <c r="AWL5" s="1225"/>
      <c r="AWM5" s="1225"/>
      <c r="AWN5" s="1225"/>
      <c r="AWO5" s="1225"/>
      <c r="AWP5" s="1225"/>
      <c r="AWQ5" s="1225"/>
      <c r="AWR5" s="1225"/>
      <c r="AWS5" s="1225"/>
      <c r="AWT5" s="1225"/>
      <c r="AWU5" s="1225"/>
      <c r="AWV5" s="1225"/>
      <c r="AWW5" s="1225"/>
      <c r="AWX5" s="1225"/>
      <c r="AWY5" s="1225"/>
      <c r="AWZ5" s="1225"/>
      <c r="AXA5" s="1225"/>
      <c r="AXB5" s="1225"/>
      <c r="AXC5" s="1225"/>
      <c r="AXD5" s="1225"/>
      <c r="AXE5" s="1225"/>
      <c r="AXF5" s="1225"/>
      <c r="AXG5" s="1225"/>
      <c r="AXH5" s="1225"/>
      <c r="AXI5" s="1225"/>
      <c r="AXJ5" s="1225"/>
      <c r="AXK5" s="1225"/>
      <c r="AXL5" s="1225"/>
      <c r="AXM5" s="1225"/>
      <c r="AXN5" s="1225"/>
      <c r="AXO5" s="1225"/>
      <c r="AXP5" s="1225"/>
      <c r="AXQ5" s="1225"/>
      <c r="AXR5" s="1225"/>
      <c r="AXS5" s="1225"/>
      <c r="AXT5" s="1225"/>
      <c r="AXU5" s="1225"/>
      <c r="AXV5" s="1225"/>
      <c r="AXW5" s="1225"/>
      <c r="AXX5" s="1225"/>
      <c r="AXY5" s="1225"/>
      <c r="AXZ5" s="1225"/>
      <c r="AYA5" s="1225"/>
      <c r="AYB5" s="1225"/>
      <c r="AYC5" s="1225"/>
      <c r="AYD5" s="1225"/>
      <c r="AYE5" s="1225"/>
      <c r="AYF5" s="1225"/>
      <c r="AYG5" s="1225"/>
      <c r="AYH5" s="1225"/>
      <c r="AYI5" s="1225"/>
      <c r="AYJ5" s="1225"/>
      <c r="AYK5" s="1225"/>
      <c r="AYL5" s="1225"/>
      <c r="AYM5" s="1225"/>
      <c r="AYN5" s="1225"/>
      <c r="AYO5" s="1225"/>
      <c r="AYP5" s="1225"/>
      <c r="AYQ5" s="1225"/>
      <c r="AYR5" s="1225"/>
      <c r="AYS5" s="1225"/>
      <c r="AYT5" s="1225"/>
      <c r="AYU5" s="1225"/>
      <c r="AYV5" s="1225"/>
      <c r="AYW5" s="1225"/>
      <c r="AYX5" s="1225"/>
      <c r="AYY5" s="1225"/>
      <c r="AYZ5" s="1225"/>
      <c r="AZA5" s="1225"/>
      <c r="AZB5" s="1225"/>
      <c r="AZC5" s="1225"/>
      <c r="AZD5" s="1225"/>
      <c r="AZE5" s="1225"/>
      <c r="AZF5" s="1225"/>
      <c r="AZG5" s="1225"/>
      <c r="AZH5" s="1225"/>
      <c r="AZI5" s="1225"/>
      <c r="AZJ5" s="1225"/>
      <c r="AZK5" s="1225"/>
      <c r="AZL5" s="1225"/>
      <c r="AZM5" s="1225"/>
      <c r="AZN5" s="1225"/>
      <c r="AZO5" s="1225"/>
      <c r="AZP5" s="1225"/>
      <c r="AZQ5" s="1225"/>
      <c r="AZR5" s="1225"/>
      <c r="AZS5" s="1225"/>
      <c r="AZT5" s="1225"/>
      <c r="AZU5" s="1225"/>
      <c r="AZV5" s="1225"/>
      <c r="AZW5" s="1225"/>
      <c r="AZX5" s="1225"/>
      <c r="AZY5" s="1225"/>
      <c r="AZZ5" s="1225"/>
      <c r="BAA5" s="1225"/>
      <c r="BAB5" s="1225"/>
      <c r="BAC5" s="1225"/>
      <c r="BAD5" s="1225"/>
      <c r="BAE5" s="1225"/>
      <c r="BAF5" s="1225"/>
      <c r="BAG5" s="1225"/>
      <c r="BAH5" s="1225"/>
      <c r="BAI5" s="1225"/>
      <c r="BAJ5" s="1225"/>
      <c r="BAK5" s="1225"/>
      <c r="BAL5" s="1225"/>
      <c r="BAM5" s="1225"/>
      <c r="BAN5" s="1225"/>
      <c r="BAO5" s="1225"/>
      <c r="BAP5" s="1225"/>
      <c r="BAQ5" s="1225"/>
      <c r="BAR5" s="1225"/>
      <c r="BAS5" s="1225"/>
      <c r="BAT5" s="1225"/>
      <c r="BAU5" s="1225"/>
      <c r="BAV5" s="1225"/>
      <c r="BAW5" s="1225"/>
      <c r="BAX5" s="1225"/>
      <c r="BAY5" s="1225"/>
      <c r="BAZ5" s="1225"/>
      <c r="BBA5" s="1225"/>
      <c r="BBB5" s="1225"/>
      <c r="BBC5" s="1225"/>
      <c r="BBD5" s="1225"/>
      <c r="BBE5" s="1225"/>
      <c r="BBF5" s="1225"/>
      <c r="BBG5" s="1225"/>
      <c r="BBH5" s="1225"/>
      <c r="BBI5" s="1225"/>
      <c r="BBJ5" s="1225"/>
      <c r="BBK5" s="1225"/>
      <c r="BBL5" s="1225"/>
      <c r="BBM5" s="1225"/>
      <c r="BBN5" s="1225"/>
      <c r="BBO5" s="1225"/>
      <c r="BBP5" s="1225"/>
      <c r="BBQ5" s="1225"/>
      <c r="BBR5" s="1225"/>
      <c r="BBS5" s="1225"/>
      <c r="BBT5" s="1225"/>
      <c r="BBU5" s="1225"/>
      <c r="BBV5" s="1225"/>
      <c r="BBW5" s="1225"/>
      <c r="BBX5" s="1225"/>
      <c r="BBY5" s="1225"/>
      <c r="BBZ5" s="1225"/>
      <c r="BCA5" s="1225"/>
      <c r="BCB5" s="1225"/>
      <c r="BCC5" s="1225"/>
      <c r="BCD5" s="1225"/>
      <c r="BCE5" s="1225"/>
      <c r="BCF5" s="1225"/>
      <c r="BCG5" s="1225"/>
      <c r="BCH5" s="1225"/>
      <c r="BCI5" s="1225"/>
      <c r="BCJ5" s="1225"/>
      <c r="BCK5" s="1225"/>
      <c r="BCL5" s="1225"/>
      <c r="BCM5" s="1225"/>
      <c r="BCN5" s="1225"/>
      <c r="BCO5" s="1225"/>
      <c r="BCP5" s="1225"/>
      <c r="BCQ5" s="1225"/>
      <c r="BCR5" s="1225"/>
      <c r="BCS5" s="1225"/>
      <c r="BCT5" s="1225"/>
      <c r="BCU5" s="1225"/>
      <c r="BCV5" s="1225"/>
      <c r="BCW5" s="1225"/>
      <c r="BCX5" s="1225"/>
      <c r="BCY5" s="1225"/>
      <c r="BCZ5" s="1225"/>
      <c r="BDA5" s="1225"/>
      <c r="BDB5" s="1225"/>
      <c r="BDC5" s="1225"/>
      <c r="BDD5" s="1225"/>
      <c r="BDE5" s="1225"/>
      <c r="BDF5" s="1225"/>
      <c r="BDG5" s="1225"/>
      <c r="BDH5" s="1225"/>
      <c r="BDI5" s="1225"/>
      <c r="BDJ5" s="1225"/>
      <c r="BDK5" s="1225"/>
      <c r="BDL5" s="1225"/>
      <c r="BDM5" s="1225"/>
      <c r="BDN5" s="1225"/>
      <c r="BDO5" s="1225"/>
      <c r="BDP5" s="1225"/>
      <c r="BDQ5" s="1225"/>
      <c r="BDR5" s="1225"/>
      <c r="BDS5" s="1225"/>
      <c r="BDT5" s="1225"/>
      <c r="BDU5" s="1225"/>
      <c r="BDV5" s="1225"/>
      <c r="BDW5" s="1225"/>
      <c r="BDX5" s="1225"/>
      <c r="BDY5" s="1225"/>
      <c r="BDZ5" s="1225"/>
      <c r="BEA5" s="1225"/>
      <c r="BEB5" s="1225"/>
      <c r="BEC5" s="1225"/>
      <c r="BED5" s="1225"/>
      <c r="BEE5" s="1225"/>
      <c r="BEF5" s="1225"/>
      <c r="BEG5" s="1225"/>
      <c r="BEH5" s="1225"/>
      <c r="BEI5" s="1225"/>
      <c r="BEJ5" s="1225"/>
      <c r="BEK5" s="1225"/>
      <c r="BEL5" s="1225"/>
      <c r="BEM5" s="1225"/>
      <c r="BEN5" s="1225"/>
      <c r="BEO5" s="1225"/>
      <c r="BEP5" s="1225"/>
      <c r="BEQ5" s="1225"/>
      <c r="BER5" s="1225"/>
      <c r="BES5" s="1225"/>
      <c r="BET5" s="1225"/>
      <c r="BEU5" s="1225"/>
      <c r="BEV5" s="1225"/>
      <c r="BEW5" s="1225"/>
      <c r="BEX5" s="1225"/>
      <c r="BEY5" s="1225"/>
      <c r="BEZ5" s="1225"/>
      <c r="BFA5" s="1225"/>
      <c r="BFB5" s="1225"/>
      <c r="BFC5" s="1225"/>
      <c r="BFD5" s="1225"/>
      <c r="BFE5" s="1225"/>
      <c r="BFF5" s="1225"/>
      <c r="BFG5" s="1225"/>
      <c r="BFH5" s="1225"/>
      <c r="BFI5" s="1225"/>
      <c r="BFJ5" s="1225"/>
      <c r="BFK5" s="1225"/>
      <c r="BFL5" s="1225"/>
      <c r="BFM5" s="1225"/>
      <c r="BFN5" s="1225"/>
      <c r="BFO5" s="1225"/>
      <c r="BFP5" s="1225"/>
      <c r="BFQ5" s="1225"/>
      <c r="BFR5" s="1225"/>
      <c r="BFS5" s="1225"/>
      <c r="BFT5" s="1225"/>
      <c r="BFU5" s="1225"/>
      <c r="BFV5" s="1225"/>
      <c r="BFW5" s="1225"/>
      <c r="BFX5" s="1225"/>
      <c r="BFY5" s="1225"/>
      <c r="BFZ5" s="1225"/>
      <c r="BGA5" s="1225"/>
      <c r="BGB5" s="1225"/>
      <c r="BGC5" s="1225"/>
      <c r="BGD5" s="1225"/>
      <c r="BGE5" s="1225"/>
      <c r="BGF5" s="1225"/>
      <c r="BGG5" s="1225"/>
      <c r="BGH5" s="1225"/>
      <c r="BGI5" s="1225"/>
      <c r="BGJ5" s="1225"/>
      <c r="BGK5" s="1225"/>
      <c r="BGL5" s="1225"/>
      <c r="BGM5" s="1225"/>
      <c r="BGN5" s="1225"/>
      <c r="BGO5" s="1225"/>
      <c r="BGP5" s="1225"/>
      <c r="BGQ5" s="1225"/>
      <c r="BGR5" s="1225"/>
      <c r="BGS5" s="1225"/>
      <c r="BGT5" s="1225"/>
      <c r="BGU5" s="1225"/>
      <c r="BGV5" s="1225"/>
      <c r="BGW5" s="1225"/>
      <c r="BGX5" s="1225"/>
      <c r="BGY5" s="1225"/>
      <c r="BGZ5" s="1225"/>
      <c r="BHA5" s="1225"/>
      <c r="BHB5" s="1225"/>
      <c r="BHC5" s="1225"/>
      <c r="BHD5" s="1225"/>
      <c r="BHE5" s="1225"/>
      <c r="BHF5" s="1225"/>
      <c r="BHG5" s="1225"/>
      <c r="BHH5" s="1225"/>
      <c r="BHI5" s="1225"/>
      <c r="BHJ5" s="1225"/>
      <c r="BHK5" s="1225"/>
      <c r="BHL5" s="1225"/>
      <c r="BHM5" s="1225"/>
      <c r="BHN5" s="1225"/>
      <c r="BHO5" s="1225"/>
      <c r="BHP5" s="1225"/>
      <c r="BHQ5" s="1225"/>
      <c r="BHR5" s="1225"/>
      <c r="BHS5" s="1225"/>
      <c r="BHT5" s="1225"/>
      <c r="BHU5" s="1225"/>
      <c r="BHV5" s="1225"/>
      <c r="BHW5" s="1225"/>
      <c r="BHX5" s="1225"/>
      <c r="BHY5" s="1225"/>
      <c r="BHZ5" s="1225"/>
      <c r="BIA5" s="1225"/>
      <c r="BIB5" s="1225"/>
      <c r="BIC5" s="1225"/>
      <c r="BID5" s="1225"/>
      <c r="BIE5" s="1225"/>
      <c r="BIF5" s="1225"/>
      <c r="BIG5" s="1225"/>
      <c r="BIH5" s="1225"/>
      <c r="BII5" s="1225"/>
      <c r="BIJ5" s="1225"/>
      <c r="BIK5" s="1225"/>
      <c r="BIL5" s="1225"/>
      <c r="BIM5" s="1225"/>
      <c r="BIN5" s="1225"/>
      <c r="BIO5" s="1225"/>
      <c r="BIP5" s="1225"/>
      <c r="BIQ5" s="1225"/>
      <c r="BIR5" s="1225"/>
      <c r="BIS5" s="1225"/>
      <c r="BIT5" s="1225"/>
      <c r="BIU5" s="1225"/>
      <c r="BIV5" s="1225"/>
      <c r="BIW5" s="1225"/>
      <c r="BIX5" s="1225"/>
      <c r="BIY5" s="1225"/>
      <c r="BIZ5" s="1225"/>
      <c r="BJA5" s="1225"/>
      <c r="BJB5" s="1225"/>
      <c r="BJC5" s="1225"/>
      <c r="BJD5" s="1225"/>
      <c r="BJE5" s="1225"/>
      <c r="BJF5" s="1225"/>
      <c r="BJG5" s="1225"/>
      <c r="BJH5" s="1225"/>
      <c r="BJI5" s="1225"/>
      <c r="BJJ5" s="1225"/>
      <c r="BJK5" s="1225"/>
      <c r="BJL5" s="1225"/>
      <c r="BJM5" s="1225"/>
      <c r="BJN5" s="1225"/>
      <c r="BJO5" s="1225"/>
      <c r="BJP5" s="1225"/>
      <c r="BJQ5" s="1225"/>
      <c r="BJR5" s="1225"/>
      <c r="BJS5" s="1225"/>
      <c r="BJT5" s="1225"/>
      <c r="BJU5" s="1225"/>
      <c r="BJV5" s="1225"/>
      <c r="BJW5" s="1225"/>
      <c r="BJX5" s="1225"/>
      <c r="BJY5" s="1225"/>
      <c r="BJZ5" s="1225"/>
      <c r="BKA5" s="1225"/>
      <c r="BKB5" s="1225"/>
      <c r="BKC5" s="1225"/>
      <c r="BKD5" s="1225"/>
      <c r="BKE5" s="1225"/>
      <c r="BKF5" s="1225"/>
      <c r="BKG5" s="1225"/>
      <c r="BKH5" s="1225"/>
      <c r="BKI5" s="1225"/>
      <c r="BKJ5" s="1225"/>
      <c r="BKK5" s="1225"/>
      <c r="BKL5" s="1225"/>
      <c r="BKM5" s="1225"/>
      <c r="BKN5" s="1225"/>
      <c r="BKO5" s="1225"/>
      <c r="BKP5" s="1225"/>
      <c r="BKQ5" s="1225"/>
      <c r="BKR5" s="1225"/>
      <c r="BKS5" s="1225"/>
      <c r="BKT5" s="1225"/>
      <c r="BKU5" s="1225"/>
      <c r="BKV5" s="1225"/>
      <c r="BKW5" s="1225"/>
      <c r="BKX5" s="1225"/>
      <c r="BKY5" s="1225"/>
      <c r="BKZ5" s="1225"/>
      <c r="BLA5" s="1225"/>
      <c r="BLB5" s="1225"/>
      <c r="BLC5" s="1225"/>
      <c r="BLD5" s="1225"/>
      <c r="BLE5" s="1225"/>
      <c r="BLF5" s="1225"/>
      <c r="BLG5" s="1225"/>
      <c r="BLH5" s="1225"/>
      <c r="BLI5" s="1225"/>
      <c r="BLJ5" s="1225"/>
      <c r="BLK5" s="1225"/>
      <c r="BLL5" s="1225"/>
      <c r="BLM5" s="1225"/>
      <c r="BLN5" s="1225"/>
      <c r="BLO5" s="1225"/>
      <c r="BLP5" s="1225"/>
      <c r="BLQ5" s="1225"/>
      <c r="BLR5" s="1225"/>
      <c r="BLS5" s="1225"/>
      <c r="BLT5" s="1225"/>
      <c r="BLU5" s="1225"/>
      <c r="BLV5" s="1225"/>
      <c r="BLW5" s="1225"/>
      <c r="BLX5" s="1225"/>
      <c r="BLY5" s="1225"/>
      <c r="BLZ5" s="1225"/>
      <c r="BMA5" s="1225"/>
      <c r="BMB5" s="1225"/>
      <c r="BMC5" s="1225"/>
      <c r="BMD5" s="1225"/>
      <c r="BME5" s="1225"/>
      <c r="BMF5" s="1225"/>
      <c r="BMG5" s="1225"/>
      <c r="BMH5" s="1225"/>
      <c r="BMI5" s="1225"/>
      <c r="BMJ5" s="1225"/>
      <c r="BMK5" s="1225"/>
      <c r="BML5" s="1225"/>
      <c r="BMM5" s="1225"/>
      <c r="BMN5" s="1225"/>
      <c r="BMO5" s="1225"/>
      <c r="BMP5" s="1225"/>
      <c r="BMQ5" s="1225"/>
      <c r="BMR5" s="1225"/>
      <c r="BMS5" s="1225"/>
      <c r="BMT5" s="1225"/>
      <c r="BMU5" s="1225"/>
      <c r="BMV5" s="1225"/>
      <c r="BMW5" s="1225"/>
      <c r="BMX5" s="1225"/>
      <c r="BMY5" s="1225"/>
      <c r="BMZ5" s="1225"/>
      <c r="BNA5" s="1225"/>
      <c r="BNB5" s="1225"/>
      <c r="BNC5" s="1225"/>
      <c r="BND5" s="1225"/>
      <c r="BNE5" s="1225"/>
      <c r="BNF5" s="1225"/>
      <c r="BNG5" s="1225"/>
      <c r="BNH5" s="1225"/>
      <c r="BNI5" s="1225"/>
      <c r="BNJ5" s="1225"/>
      <c r="BNK5" s="1225"/>
      <c r="BNL5" s="1225"/>
      <c r="BNM5" s="1225"/>
      <c r="BNN5" s="1225"/>
      <c r="BNO5" s="1225"/>
      <c r="BNP5" s="1225"/>
      <c r="BNQ5" s="1225"/>
      <c r="BNR5" s="1225"/>
      <c r="BNS5" s="1225"/>
      <c r="BNT5" s="1225"/>
      <c r="BNU5" s="1225"/>
      <c r="BNV5" s="1225"/>
      <c r="BNW5" s="1225"/>
      <c r="BNX5" s="1225"/>
      <c r="BNY5" s="1225"/>
      <c r="BNZ5" s="1225"/>
      <c r="BOA5" s="1225"/>
      <c r="BOB5" s="1225"/>
      <c r="BOC5" s="1225"/>
      <c r="BOD5" s="1225"/>
      <c r="BOE5" s="1225"/>
      <c r="BOF5" s="1225"/>
      <c r="BOG5" s="1225"/>
      <c r="BOH5" s="1225"/>
      <c r="BOI5" s="1225"/>
      <c r="BOJ5" s="1225"/>
      <c r="BOK5" s="1225"/>
      <c r="BOL5" s="1225"/>
      <c r="BOM5" s="1225"/>
      <c r="BON5" s="1225"/>
      <c r="BOO5" s="1225"/>
      <c r="BOP5" s="1225"/>
      <c r="BOQ5" s="1225"/>
      <c r="BOR5" s="1225"/>
      <c r="BOS5" s="1225"/>
      <c r="BOT5" s="1225"/>
      <c r="BOU5" s="1225"/>
      <c r="BOV5" s="1225"/>
      <c r="BOW5" s="1225"/>
      <c r="BOX5" s="1225"/>
      <c r="BOY5" s="1225"/>
      <c r="BOZ5" s="1225"/>
      <c r="BPA5" s="1225"/>
      <c r="BPB5" s="1225"/>
      <c r="BPC5" s="1225"/>
      <c r="BPD5" s="1225"/>
      <c r="BPE5" s="1225"/>
      <c r="BPF5" s="1225"/>
      <c r="BPG5" s="1225"/>
      <c r="BPH5" s="1225"/>
      <c r="BPI5" s="1225"/>
      <c r="BPJ5" s="1225"/>
      <c r="BPK5" s="1225"/>
      <c r="BPL5" s="1225"/>
      <c r="BPM5" s="1225"/>
      <c r="BPN5" s="1225"/>
      <c r="BPO5" s="1225"/>
      <c r="BPP5" s="1225"/>
      <c r="BPQ5" s="1225"/>
      <c r="BPR5" s="1225"/>
      <c r="BPS5" s="1225"/>
      <c r="BPT5" s="1225"/>
      <c r="BPU5" s="1225"/>
      <c r="BPV5" s="1225"/>
      <c r="BPW5" s="1225"/>
      <c r="BPX5" s="1225"/>
      <c r="BPY5" s="1225"/>
      <c r="BPZ5" s="1225"/>
      <c r="BQA5" s="1225"/>
      <c r="BQB5" s="1225"/>
      <c r="BQC5" s="1225"/>
      <c r="BQD5" s="1225"/>
      <c r="BQE5" s="1225"/>
      <c r="BQF5" s="1225"/>
      <c r="BQG5" s="1225"/>
      <c r="BQH5" s="1225"/>
      <c r="BQI5" s="1225"/>
      <c r="BQJ5" s="1225"/>
      <c r="BQK5" s="1225"/>
      <c r="BQL5" s="1225"/>
      <c r="BQM5" s="1225"/>
      <c r="BQN5" s="1225"/>
      <c r="BQO5" s="1225"/>
      <c r="BQP5" s="1225"/>
      <c r="BQQ5" s="1225"/>
      <c r="BQR5" s="1225"/>
      <c r="BQS5" s="1225"/>
      <c r="BQT5" s="1225"/>
      <c r="BQU5" s="1225"/>
      <c r="BQV5" s="1225"/>
      <c r="BQW5" s="1225"/>
      <c r="BQX5" s="1225"/>
      <c r="BQY5" s="1225"/>
      <c r="BQZ5" s="1225"/>
      <c r="BRA5" s="1225"/>
      <c r="BRB5" s="1225"/>
      <c r="BRC5" s="1225"/>
      <c r="BRD5" s="1225"/>
      <c r="BRE5" s="1225"/>
      <c r="BRF5" s="1225"/>
      <c r="BRG5" s="1225"/>
      <c r="BRH5" s="1225"/>
      <c r="BRI5" s="1225"/>
      <c r="BRJ5" s="1225"/>
      <c r="BRK5" s="1225"/>
      <c r="BRL5" s="1225"/>
      <c r="BRM5" s="1225"/>
      <c r="BRN5" s="1225"/>
      <c r="BRO5" s="1225"/>
      <c r="BRP5" s="1225"/>
      <c r="BRQ5" s="1225"/>
      <c r="BRR5" s="1225"/>
      <c r="BRS5" s="1225"/>
      <c r="BRT5" s="1225"/>
      <c r="BRU5" s="1225"/>
      <c r="BRV5" s="1225"/>
      <c r="BRW5" s="1225"/>
      <c r="BRX5" s="1225"/>
      <c r="BRY5" s="1225"/>
      <c r="BRZ5" s="1225"/>
      <c r="BSA5" s="1225"/>
      <c r="BSB5" s="1225"/>
      <c r="BSC5" s="1225"/>
      <c r="BSD5" s="1225"/>
      <c r="BSE5" s="1225"/>
      <c r="BSF5" s="1225"/>
      <c r="BSG5" s="1225"/>
      <c r="BSH5" s="1225"/>
      <c r="BSI5" s="1225"/>
      <c r="BSJ5" s="1225"/>
      <c r="BSK5" s="1225"/>
      <c r="BSL5" s="1225"/>
      <c r="BSM5" s="1225"/>
      <c r="BSN5" s="1225"/>
      <c r="BSO5" s="1225"/>
      <c r="BSP5" s="1225"/>
      <c r="BSQ5" s="1225"/>
      <c r="BSR5" s="1225"/>
      <c r="BSS5" s="1225"/>
      <c r="BST5" s="1225"/>
      <c r="BSU5" s="1225"/>
      <c r="BSV5" s="1225"/>
      <c r="BSW5" s="1225"/>
      <c r="BSX5" s="1225"/>
      <c r="BSY5" s="1225"/>
      <c r="BSZ5" s="1225"/>
      <c r="BTA5" s="1225"/>
      <c r="BTB5" s="1225"/>
      <c r="BTC5" s="1225"/>
      <c r="BTD5" s="1225"/>
      <c r="BTE5" s="1225"/>
      <c r="BTF5" s="1225"/>
      <c r="BTG5" s="1225"/>
      <c r="BTH5" s="1225"/>
      <c r="BTI5" s="1225"/>
      <c r="BTJ5" s="1225"/>
      <c r="BTK5" s="1225"/>
      <c r="BTL5" s="1225"/>
      <c r="BTM5" s="1225"/>
      <c r="BTN5" s="1225"/>
      <c r="BTO5" s="1225"/>
      <c r="BTP5" s="1225"/>
      <c r="BTQ5" s="1225"/>
      <c r="BTR5" s="1225"/>
      <c r="BTS5" s="1225"/>
      <c r="BTT5" s="1225"/>
      <c r="BTU5" s="1225"/>
      <c r="BTV5" s="1225"/>
      <c r="BTW5" s="1225"/>
      <c r="BTX5" s="1225"/>
      <c r="BTY5" s="1225"/>
      <c r="BTZ5" s="1225"/>
      <c r="BUA5" s="1225"/>
      <c r="BUB5" s="1225"/>
      <c r="BUC5" s="1225"/>
      <c r="BUD5" s="1225"/>
      <c r="BUE5" s="1225"/>
      <c r="BUF5" s="1225"/>
      <c r="BUG5" s="1225"/>
      <c r="BUH5" s="1225"/>
      <c r="BUI5" s="1225"/>
      <c r="BUJ5" s="1225"/>
      <c r="BUK5" s="1225"/>
      <c r="BUL5" s="1225"/>
      <c r="BUM5" s="1225"/>
      <c r="BUN5" s="1225"/>
      <c r="BUO5" s="1225"/>
      <c r="BUP5" s="1225"/>
      <c r="BUQ5" s="1225"/>
      <c r="BUR5" s="1225"/>
      <c r="BUS5" s="1225"/>
      <c r="BUT5" s="1225"/>
      <c r="BUU5" s="1225"/>
      <c r="BUV5" s="1225"/>
      <c r="BUW5" s="1225"/>
      <c r="BUX5" s="1225"/>
      <c r="BUY5" s="1225"/>
      <c r="BUZ5" s="1225"/>
      <c r="BVA5" s="1225"/>
      <c r="BVB5" s="1225"/>
      <c r="BVC5" s="1225"/>
      <c r="BVD5" s="1225"/>
      <c r="BVE5" s="1225"/>
      <c r="BVF5" s="1225"/>
      <c r="BVG5" s="1225"/>
      <c r="BVH5" s="1225"/>
      <c r="BVI5" s="1225"/>
      <c r="BVJ5" s="1225"/>
      <c r="BVK5" s="1225"/>
      <c r="BVL5" s="1225"/>
      <c r="BVM5" s="1225"/>
      <c r="BVN5" s="1225"/>
      <c r="BVO5" s="1225"/>
      <c r="BVP5" s="1225"/>
      <c r="BVQ5" s="1225"/>
      <c r="BVR5" s="1225"/>
      <c r="BVS5" s="1225"/>
      <c r="BVT5" s="1225"/>
      <c r="BVU5" s="1225"/>
      <c r="BVV5" s="1225"/>
      <c r="BVW5" s="1225"/>
      <c r="BVX5" s="1225"/>
      <c r="BVY5" s="1225"/>
      <c r="BVZ5" s="1225"/>
      <c r="BWA5" s="1225"/>
      <c r="BWB5" s="1225"/>
      <c r="BWC5" s="1225"/>
      <c r="BWD5" s="1225"/>
      <c r="BWE5" s="1225"/>
      <c r="BWF5" s="1225"/>
      <c r="BWG5" s="1225"/>
      <c r="BWH5" s="1225"/>
      <c r="BWI5" s="1225"/>
      <c r="BWJ5" s="1225"/>
      <c r="BWK5" s="1225"/>
      <c r="BWL5" s="1225"/>
      <c r="BWM5" s="1225"/>
      <c r="BWN5" s="1225"/>
      <c r="BWO5" s="1225"/>
      <c r="BWP5" s="1225"/>
      <c r="BWQ5" s="1225"/>
      <c r="BWR5" s="1225"/>
      <c r="BWS5" s="1225"/>
      <c r="BWT5" s="1225"/>
      <c r="BWU5" s="1225"/>
      <c r="BWV5" s="1225"/>
      <c r="BWW5" s="1225"/>
      <c r="BWX5" s="1225"/>
      <c r="BWY5" s="1225"/>
      <c r="BWZ5" s="1225"/>
      <c r="BXA5" s="1225"/>
      <c r="BXB5" s="1225"/>
      <c r="BXC5" s="1225"/>
      <c r="BXD5" s="1225"/>
      <c r="BXE5" s="1225"/>
      <c r="BXF5" s="1225"/>
      <c r="BXG5" s="1225"/>
      <c r="BXH5" s="1225"/>
      <c r="BXI5" s="1225"/>
      <c r="BXJ5" s="1225"/>
      <c r="BXK5" s="1225"/>
      <c r="BXL5" s="1225"/>
      <c r="BXM5" s="1225"/>
      <c r="BXN5" s="1225"/>
      <c r="BXO5" s="1225"/>
      <c r="BXP5" s="1225"/>
      <c r="BXQ5" s="1225"/>
      <c r="BXR5" s="1225"/>
      <c r="BXS5" s="1225"/>
      <c r="BXT5" s="1225"/>
      <c r="BXU5" s="1225"/>
      <c r="BXV5" s="1225"/>
      <c r="BXW5" s="1225"/>
      <c r="BXX5" s="1225"/>
      <c r="BXY5" s="1225"/>
      <c r="BXZ5" s="1225"/>
      <c r="BYA5" s="1225"/>
      <c r="BYB5" s="1225"/>
      <c r="BYC5" s="1225"/>
      <c r="BYD5" s="1225"/>
      <c r="BYE5" s="1225"/>
      <c r="BYF5" s="1225"/>
      <c r="BYG5" s="1225"/>
      <c r="BYH5" s="1225"/>
      <c r="BYI5" s="1225"/>
      <c r="BYJ5" s="1225"/>
      <c r="BYK5" s="1225"/>
      <c r="BYL5" s="1225"/>
      <c r="BYM5" s="1225"/>
      <c r="BYN5" s="1225"/>
      <c r="BYO5" s="1225"/>
      <c r="BYP5" s="1225"/>
      <c r="BYQ5" s="1225"/>
      <c r="BYR5" s="1225"/>
      <c r="BYS5" s="1225"/>
      <c r="BYT5" s="1225"/>
      <c r="BYU5" s="1225"/>
      <c r="BYV5" s="1225"/>
      <c r="BYW5" s="1225"/>
      <c r="BYX5" s="1225"/>
      <c r="BYY5" s="1225"/>
      <c r="BYZ5" s="1225"/>
      <c r="BZA5" s="1225"/>
      <c r="BZB5" s="1225"/>
      <c r="BZC5" s="1225"/>
      <c r="BZD5" s="1225"/>
      <c r="BZE5" s="1225"/>
      <c r="BZF5" s="1225"/>
      <c r="BZG5" s="1225"/>
      <c r="BZH5" s="1225"/>
      <c r="BZI5" s="1225"/>
      <c r="BZJ5" s="1225"/>
      <c r="BZK5" s="1225"/>
      <c r="BZL5" s="1225"/>
      <c r="BZM5" s="1225"/>
      <c r="BZN5" s="1225"/>
      <c r="BZO5" s="1225"/>
      <c r="BZP5" s="1225"/>
      <c r="BZQ5" s="1225"/>
      <c r="BZR5" s="1225"/>
      <c r="BZS5" s="1225"/>
      <c r="BZT5" s="1225"/>
      <c r="BZU5" s="1225"/>
      <c r="BZV5" s="1225"/>
      <c r="BZW5" s="1225"/>
      <c r="BZX5" s="1225"/>
      <c r="BZY5" s="1225"/>
      <c r="BZZ5" s="1225"/>
      <c r="CAA5" s="1225"/>
      <c r="CAB5" s="1225"/>
      <c r="CAC5" s="1225"/>
      <c r="CAD5" s="1225"/>
      <c r="CAE5" s="1225"/>
      <c r="CAF5" s="1225"/>
      <c r="CAG5" s="1225"/>
      <c r="CAH5" s="1225"/>
      <c r="CAI5" s="1225"/>
      <c r="CAJ5" s="1225"/>
      <c r="CAK5" s="1225"/>
      <c r="CAL5" s="1225"/>
      <c r="CAM5" s="1225"/>
      <c r="CAN5" s="1225"/>
      <c r="CAO5" s="1225"/>
      <c r="CAP5" s="1225"/>
      <c r="CAQ5" s="1225"/>
      <c r="CAR5" s="1225"/>
      <c r="CAS5" s="1225"/>
      <c r="CAT5" s="1225"/>
      <c r="CAU5" s="1225"/>
      <c r="CAV5" s="1225"/>
      <c r="CAW5" s="1225"/>
      <c r="CAX5" s="1225"/>
      <c r="CAY5" s="1225"/>
      <c r="CAZ5" s="1225"/>
      <c r="CBA5" s="1225"/>
      <c r="CBB5" s="1225"/>
      <c r="CBC5" s="1225"/>
      <c r="CBD5" s="1225"/>
      <c r="CBE5" s="1225"/>
      <c r="CBF5" s="1225"/>
      <c r="CBG5" s="1225"/>
      <c r="CBH5" s="1225"/>
      <c r="CBI5" s="1225"/>
      <c r="CBJ5" s="1225"/>
      <c r="CBK5" s="1225"/>
      <c r="CBL5" s="1225"/>
      <c r="CBM5" s="1225"/>
      <c r="CBN5" s="1225"/>
      <c r="CBO5" s="1225"/>
      <c r="CBP5" s="1225"/>
      <c r="CBQ5" s="1225"/>
      <c r="CBR5" s="1225"/>
      <c r="CBS5" s="1225"/>
      <c r="CBT5" s="1225"/>
      <c r="CBU5" s="1225"/>
      <c r="CBV5" s="1225"/>
      <c r="CBW5" s="1225"/>
      <c r="CBX5" s="1225"/>
      <c r="CBY5" s="1225"/>
      <c r="CBZ5" s="1225"/>
      <c r="CCA5" s="1225"/>
      <c r="CCB5" s="1225"/>
      <c r="CCC5" s="1225"/>
      <c r="CCD5" s="1225"/>
      <c r="CCE5" s="1225"/>
      <c r="CCF5" s="1225"/>
      <c r="CCG5" s="1225"/>
      <c r="CCH5" s="1225"/>
      <c r="CCI5" s="1225"/>
      <c r="CCJ5" s="1225"/>
      <c r="CCK5" s="1225"/>
      <c r="CCL5" s="1225"/>
      <c r="CCM5" s="1225"/>
      <c r="CCN5" s="1225"/>
      <c r="CCO5" s="1225"/>
      <c r="CCP5" s="1225"/>
      <c r="CCQ5" s="1225"/>
      <c r="CCR5" s="1225"/>
      <c r="CCS5" s="1225"/>
      <c r="CCT5" s="1225"/>
      <c r="CCU5" s="1225"/>
      <c r="CCV5" s="1225"/>
      <c r="CCW5" s="1225"/>
      <c r="CCX5" s="1225"/>
      <c r="CCY5" s="1225"/>
      <c r="CCZ5" s="1225"/>
      <c r="CDA5" s="1225"/>
      <c r="CDB5" s="1225"/>
      <c r="CDC5" s="1225"/>
      <c r="CDD5" s="1225"/>
      <c r="CDE5" s="1225"/>
      <c r="CDF5" s="1225"/>
      <c r="CDG5" s="1225"/>
      <c r="CDH5" s="1225"/>
      <c r="CDI5" s="1225"/>
      <c r="CDJ5" s="1225"/>
      <c r="CDK5" s="1225"/>
      <c r="CDL5" s="1225"/>
      <c r="CDM5" s="1225"/>
      <c r="CDN5" s="1225"/>
      <c r="CDO5" s="1225"/>
      <c r="CDP5" s="1225"/>
      <c r="CDQ5" s="1225"/>
      <c r="CDR5" s="1225"/>
      <c r="CDS5" s="1225"/>
      <c r="CDT5" s="1225"/>
      <c r="CDU5" s="1225"/>
      <c r="CDV5" s="1225"/>
      <c r="CDW5" s="1225"/>
      <c r="CDX5" s="1225"/>
      <c r="CDY5" s="1225"/>
      <c r="CDZ5" s="1225"/>
      <c r="CEA5" s="1225"/>
      <c r="CEB5" s="1225"/>
      <c r="CEC5" s="1225"/>
      <c r="CED5" s="1225"/>
      <c r="CEE5" s="1225"/>
      <c r="CEF5" s="1225"/>
      <c r="CEG5" s="1225"/>
      <c r="CEH5" s="1225"/>
      <c r="CEI5" s="1225"/>
      <c r="CEJ5" s="1225"/>
      <c r="CEK5" s="1225"/>
      <c r="CEL5" s="1225"/>
      <c r="CEM5" s="1225"/>
      <c r="CEN5" s="1225"/>
      <c r="CEO5" s="1225"/>
      <c r="CEP5" s="1225"/>
      <c r="CEQ5" s="1225"/>
      <c r="CER5" s="1225"/>
      <c r="CES5" s="1225"/>
      <c r="CET5" s="1225"/>
      <c r="CEU5" s="1225"/>
      <c r="CEV5" s="1225"/>
      <c r="CEW5" s="1225"/>
      <c r="CEX5" s="1225"/>
      <c r="CEY5" s="1225"/>
      <c r="CEZ5" s="1225"/>
      <c r="CFA5" s="1225"/>
      <c r="CFB5" s="1225"/>
      <c r="CFC5" s="1225"/>
      <c r="CFD5" s="1225"/>
      <c r="CFE5" s="1225"/>
      <c r="CFF5" s="1225"/>
      <c r="CFG5" s="1225"/>
      <c r="CFH5" s="1225"/>
      <c r="CFI5" s="1225"/>
      <c r="CFJ5" s="1225"/>
      <c r="CFK5" s="1225"/>
      <c r="CFL5" s="1225"/>
      <c r="CFM5" s="1225"/>
      <c r="CFN5" s="1225"/>
      <c r="CFO5" s="1225"/>
      <c r="CFP5" s="1225"/>
      <c r="CFQ5" s="1225"/>
      <c r="CFR5" s="1225"/>
      <c r="CFS5" s="1225"/>
      <c r="CFT5" s="1225"/>
      <c r="CFU5" s="1225"/>
      <c r="CFV5" s="1225"/>
      <c r="CFW5" s="1225"/>
      <c r="CFX5" s="1225"/>
      <c r="CFY5" s="1225"/>
      <c r="CFZ5" s="1225"/>
      <c r="CGA5" s="1225"/>
      <c r="CGB5" s="1225"/>
      <c r="CGC5" s="1225"/>
      <c r="CGD5" s="1225"/>
      <c r="CGE5" s="1225"/>
      <c r="CGF5" s="1225"/>
      <c r="CGG5" s="1225"/>
      <c r="CGH5" s="1225"/>
      <c r="CGI5" s="1225"/>
      <c r="CGJ5" s="1225"/>
      <c r="CGK5" s="1225"/>
      <c r="CGL5" s="1225"/>
      <c r="CGM5" s="1225"/>
      <c r="CGN5" s="1225"/>
      <c r="CGO5" s="1225"/>
      <c r="CGP5" s="1225"/>
      <c r="CGQ5" s="1225"/>
      <c r="CGR5" s="1225"/>
      <c r="CGS5" s="1225"/>
      <c r="CGT5" s="1225"/>
      <c r="CGU5" s="1225"/>
      <c r="CGV5" s="1225"/>
      <c r="CGW5" s="1225"/>
      <c r="CGX5" s="1225"/>
      <c r="CGY5" s="1225"/>
      <c r="CGZ5" s="1225"/>
      <c r="CHA5" s="1225"/>
      <c r="CHB5" s="1225"/>
      <c r="CHC5" s="1225"/>
      <c r="CHD5" s="1225"/>
      <c r="CHE5" s="1225"/>
      <c r="CHF5" s="1225"/>
      <c r="CHG5" s="1225"/>
      <c r="CHH5" s="1225"/>
      <c r="CHI5" s="1225"/>
      <c r="CHJ5" s="1225"/>
      <c r="CHK5" s="1225"/>
      <c r="CHL5" s="1225"/>
      <c r="CHM5" s="1225"/>
      <c r="CHN5" s="1225"/>
      <c r="CHO5" s="1225"/>
      <c r="CHP5" s="1225"/>
      <c r="CHQ5" s="1225"/>
      <c r="CHR5" s="1225"/>
      <c r="CHS5" s="1225"/>
      <c r="CHT5" s="1225"/>
      <c r="CHU5" s="1225"/>
      <c r="CHV5" s="1225"/>
      <c r="CHW5" s="1225"/>
      <c r="CHX5" s="1225"/>
      <c r="CHY5" s="1225"/>
      <c r="CHZ5" s="1225"/>
      <c r="CIA5" s="1225"/>
      <c r="CIB5" s="1225"/>
      <c r="CIC5" s="1225"/>
      <c r="CID5" s="1225"/>
      <c r="CIE5" s="1225"/>
      <c r="CIF5" s="1225"/>
      <c r="CIG5" s="1225"/>
      <c r="CIH5" s="1225"/>
      <c r="CII5" s="1225"/>
      <c r="CIJ5" s="1225"/>
      <c r="CIK5" s="1225"/>
      <c r="CIL5" s="1225"/>
      <c r="CIM5" s="1225"/>
      <c r="CIN5" s="1225"/>
      <c r="CIO5" s="1225"/>
      <c r="CIP5" s="1225"/>
      <c r="CIQ5" s="1225"/>
      <c r="CIR5" s="1225"/>
      <c r="CIS5" s="1225"/>
      <c r="CIT5" s="1225"/>
      <c r="CIU5" s="1225"/>
      <c r="CIV5" s="1225"/>
      <c r="CIW5" s="1225"/>
      <c r="CIX5" s="1225"/>
      <c r="CIY5" s="1225"/>
      <c r="CIZ5" s="1225"/>
      <c r="CJA5" s="1225"/>
      <c r="CJB5" s="1225"/>
      <c r="CJC5" s="1225"/>
      <c r="CJD5" s="1225"/>
      <c r="CJE5" s="1225"/>
      <c r="CJF5" s="1225"/>
      <c r="CJG5" s="1225"/>
      <c r="CJH5" s="1225"/>
      <c r="CJI5" s="1225"/>
      <c r="CJJ5" s="1225"/>
      <c r="CJK5" s="1225"/>
      <c r="CJL5" s="1225"/>
      <c r="CJM5" s="1225"/>
      <c r="CJN5" s="1225"/>
      <c r="CJO5" s="1225"/>
      <c r="CJP5" s="1225"/>
      <c r="CJQ5" s="1225"/>
      <c r="CJR5" s="1225"/>
      <c r="CJS5" s="1225"/>
      <c r="CJT5" s="1225"/>
      <c r="CJU5" s="1225"/>
      <c r="CJV5" s="1225"/>
      <c r="CJW5" s="1225"/>
      <c r="CJX5" s="1225"/>
      <c r="CJY5" s="1225"/>
      <c r="CJZ5" s="1225"/>
      <c r="CKA5" s="1225"/>
      <c r="CKB5" s="1225"/>
      <c r="CKC5" s="1225"/>
      <c r="CKD5" s="1225"/>
      <c r="CKE5" s="1225"/>
      <c r="CKF5" s="1225"/>
      <c r="CKG5" s="1225"/>
      <c r="CKH5" s="1225"/>
      <c r="CKI5" s="1225"/>
      <c r="CKJ5" s="1225"/>
      <c r="CKK5" s="1225"/>
      <c r="CKL5" s="1225"/>
      <c r="CKM5" s="1225"/>
      <c r="CKN5" s="1225"/>
      <c r="CKO5" s="1225"/>
      <c r="CKP5" s="1225"/>
      <c r="CKQ5" s="1225"/>
      <c r="CKR5" s="1225"/>
      <c r="CKS5" s="1225"/>
      <c r="CKT5" s="1225"/>
      <c r="CKU5" s="1225"/>
      <c r="CKV5" s="1225"/>
      <c r="CKW5" s="1225"/>
      <c r="CKX5" s="1225"/>
      <c r="CKY5" s="1225"/>
      <c r="CKZ5" s="1225"/>
      <c r="CLA5" s="1225"/>
      <c r="CLB5" s="1225"/>
      <c r="CLC5" s="1225"/>
      <c r="CLD5" s="1225"/>
      <c r="CLE5" s="1225"/>
      <c r="CLF5" s="1225"/>
      <c r="CLG5" s="1225"/>
      <c r="CLH5" s="1225"/>
      <c r="CLI5" s="1225"/>
      <c r="CLJ5" s="1225"/>
      <c r="CLK5" s="1225"/>
      <c r="CLL5" s="1225"/>
      <c r="CLM5" s="1225"/>
      <c r="CLN5" s="1225"/>
      <c r="CLO5" s="1225"/>
      <c r="CLP5" s="1225"/>
      <c r="CLQ5" s="1225"/>
      <c r="CLR5" s="1225"/>
      <c r="CLS5" s="1225"/>
      <c r="CLT5" s="1225"/>
      <c r="CLU5" s="1225"/>
      <c r="CLV5" s="1225"/>
      <c r="CLW5" s="1225"/>
      <c r="CLX5" s="1225"/>
      <c r="CLY5" s="1225"/>
      <c r="CLZ5" s="1225"/>
      <c r="CMA5" s="1225"/>
      <c r="CMB5" s="1225"/>
      <c r="CMC5" s="1225"/>
      <c r="CMD5" s="1225"/>
      <c r="CME5" s="1225"/>
      <c r="CMF5" s="1225"/>
      <c r="CMG5" s="1225"/>
      <c r="CMH5" s="1225"/>
      <c r="CMI5" s="1225"/>
      <c r="CMJ5" s="1225"/>
      <c r="CMK5" s="1225"/>
      <c r="CML5" s="1225"/>
      <c r="CMM5" s="1225"/>
      <c r="CMN5" s="1225"/>
      <c r="CMO5" s="1225"/>
      <c r="CMP5" s="1225"/>
      <c r="CMQ5" s="1225"/>
      <c r="CMR5" s="1225"/>
      <c r="CMS5" s="1225"/>
      <c r="CMT5" s="1225"/>
      <c r="CMU5" s="1225"/>
      <c r="CMV5" s="1225"/>
      <c r="CMW5" s="1225"/>
      <c r="CMX5" s="1225"/>
      <c r="CMY5" s="1225"/>
      <c r="CMZ5" s="1225"/>
      <c r="CNA5" s="1225"/>
      <c r="CNB5" s="1225"/>
      <c r="CNC5" s="1225"/>
      <c r="CND5" s="1225"/>
      <c r="CNE5" s="1225"/>
      <c r="CNF5" s="1225"/>
      <c r="CNG5" s="1225"/>
      <c r="CNH5" s="1225"/>
      <c r="CNI5" s="1225"/>
      <c r="CNJ5" s="1225"/>
      <c r="CNK5" s="1225"/>
      <c r="CNL5" s="1225"/>
      <c r="CNM5" s="1225"/>
      <c r="CNN5" s="1225"/>
      <c r="CNO5" s="1225"/>
      <c r="CNP5" s="1225"/>
      <c r="CNQ5" s="1225"/>
      <c r="CNR5" s="1225"/>
      <c r="CNS5" s="1225"/>
      <c r="CNT5" s="1225"/>
      <c r="CNU5" s="1225"/>
      <c r="CNV5" s="1225"/>
      <c r="CNW5" s="1225"/>
      <c r="CNX5" s="1225"/>
      <c r="CNY5" s="1225"/>
      <c r="CNZ5" s="1225"/>
      <c r="COA5" s="1225"/>
      <c r="COB5" s="1225"/>
      <c r="COC5" s="1225"/>
      <c r="COD5" s="1225"/>
      <c r="COE5" s="1225"/>
      <c r="COF5" s="1225"/>
      <c r="COG5" s="1225"/>
      <c r="COH5" s="1225"/>
      <c r="COI5" s="1225"/>
      <c r="COJ5" s="1225"/>
      <c r="COK5" s="1225"/>
      <c r="COL5" s="1225"/>
      <c r="COM5" s="1225"/>
      <c r="CON5" s="1225"/>
      <c r="COO5" s="1225"/>
      <c r="COP5" s="1225"/>
      <c r="COQ5" s="1225"/>
      <c r="COR5" s="1225"/>
      <c r="COS5" s="1225"/>
      <c r="COT5" s="1225"/>
      <c r="COU5" s="1225"/>
      <c r="COV5" s="1225"/>
      <c r="COW5" s="1225"/>
      <c r="COX5" s="1225"/>
      <c r="COY5" s="1225"/>
      <c r="COZ5" s="1225"/>
      <c r="CPA5" s="1225"/>
      <c r="CPB5" s="1225"/>
      <c r="CPC5" s="1225"/>
      <c r="CPD5" s="1225"/>
      <c r="CPE5" s="1225"/>
      <c r="CPF5" s="1225"/>
      <c r="CPG5" s="1225"/>
      <c r="CPH5" s="1225"/>
      <c r="CPI5" s="1225"/>
      <c r="CPJ5" s="1225"/>
      <c r="CPK5" s="1225"/>
      <c r="CPL5" s="1225"/>
      <c r="CPM5" s="1225"/>
      <c r="CPN5" s="1225"/>
      <c r="CPO5" s="1225"/>
      <c r="CPP5" s="1225"/>
      <c r="CPQ5" s="1225"/>
      <c r="CPR5" s="1225"/>
      <c r="CPS5" s="1225"/>
      <c r="CPT5" s="1225"/>
      <c r="CPU5" s="1225"/>
      <c r="CPV5" s="1225"/>
      <c r="CPW5" s="1225"/>
      <c r="CPX5" s="1225"/>
      <c r="CPY5" s="1225"/>
      <c r="CPZ5" s="1225"/>
      <c r="CQA5" s="1225"/>
      <c r="CQB5" s="1225"/>
      <c r="CQC5" s="1225"/>
      <c r="CQD5" s="1225"/>
      <c r="CQE5" s="1225"/>
      <c r="CQF5" s="1225"/>
      <c r="CQG5" s="1225"/>
      <c r="CQH5" s="1225"/>
      <c r="CQI5" s="1225"/>
      <c r="CQJ5" s="1225"/>
      <c r="CQK5" s="1225"/>
      <c r="CQL5" s="1225"/>
      <c r="CQM5" s="1225"/>
      <c r="CQN5" s="1225"/>
      <c r="CQO5" s="1225"/>
      <c r="CQP5" s="1225"/>
      <c r="CQQ5" s="1225"/>
      <c r="CQR5" s="1225"/>
      <c r="CQS5" s="1225"/>
      <c r="CQT5" s="1225"/>
      <c r="CQU5" s="1225"/>
      <c r="CQV5" s="1225"/>
      <c r="CQW5" s="1225"/>
      <c r="CQX5" s="1225"/>
      <c r="CQY5" s="1225"/>
      <c r="CQZ5" s="1225"/>
      <c r="CRA5" s="1225"/>
      <c r="CRB5" s="1225"/>
      <c r="CRC5" s="1225"/>
      <c r="CRD5" s="1225"/>
      <c r="CRE5" s="1225"/>
      <c r="CRF5" s="1225"/>
      <c r="CRG5" s="1225"/>
      <c r="CRH5" s="1225"/>
      <c r="CRI5" s="1225"/>
      <c r="CRJ5" s="1225"/>
      <c r="CRK5" s="1225"/>
      <c r="CRL5" s="1225"/>
      <c r="CRM5" s="1225"/>
      <c r="CRN5" s="1225"/>
      <c r="CRO5" s="1225"/>
      <c r="CRP5" s="1225"/>
      <c r="CRQ5" s="1225"/>
      <c r="CRR5" s="1225"/>
      <c r="CRS5" s="1225"/>
      <c r="CRT5" s="1225"/>
      <c r="CRU5" s="1225"/>
      <c r="CRV5" s="1225"/>
      <c r="CRW5" s="1225"/>
      <c r="CRX5" s="1225"/>
      <c r="CRY5" s="1225"/>
      <c r="CRZ5" s="1225"/>
      <c r="CSA5" s="1225"/>
      <c r="CSB5" s="1225"/>
      <c r="CSC5" s="1225"/>
      <c r="CSD5" s="1225"/>
      <c r="CSE5" s="1225"/>
      <c r="CSF5" s="1225"/>
      <c r="CSG5" s="1225"/>
      <c r="CSH5" s="1225"/>
      <c r="CSI5" s="1225"/>
      <c r="CSJ5" s="1225"/>
      <c r="CSK5" s="1225"/>
      <c r="CSL5" s="1225"/>
      <c r="CSM5" s="1225"/>
      <c r="CSN5" s="1225"/>
      <c r="CSO5" s="1225"/>
      <c r="CSP5" s="1225"/>
      <c r="CSQ5" s="1225"/>
      <c r="CSR5" s="1225"/>
      <c r="CSS5" s="1225"/>
      <c r="CST5" s="1225"/>
      <c r="CSU5" s="1225"/>
      <c r="CSV5" s="1225"/>
      <c r="CSW5" s="1225"/>
      <c r="CSX5" s="1225"/>
      <c r="CSY5" s="1225"/>
      <c r="CSZ5" s="1225"/>
      <c r="CTA5" s="1225"/>
      <c r="CTB5" s="1225"/>
      <c r="CTC5" s="1225"/>
      <c r="CTD5" s="1225"/>
      <c r="CTE5" s="1225"/>
      <c r="CTF5" s="1225"/>
      <c r="CTG5" s="1225"/>
      <c r="CTH5" s="1225"/>
      <c r="CTI5" s="1225"/>
      <c r="CTJ5" s="1225"/>
      <c r="CTK5" s="1225"/>
      <c r="CTL5" s="1225"/>
      <c r="CTM5" s="1225"/>
      <c r="CTN5" s="1225"/>
      <c r="CTO5" s="1225"/>
      <c r="CTP5" s="1225"/>
      <c r="CTQ5" s="1225"/>
      <c r="CTR5" s="1225"/>
      <c r="CTS5" s="1225"/>
      <c r="CTT5" s="1225"/>
      <c r="CTU5" s="1225"/>
      <c r="CTV5" s="1225"/>
      <c r="CTW5" s="1225"/>
      <c r="CTX5" s="1225"/>
      <c r="CTY5" s="1225"/>
      <c r="CTZ5" s="1225"/>
      <c r="CUA5" s="1225"/>
      <c r="CUB5" s="1225"/>
      <c r="CUC5" s="1225"/>
      <c r="CUD5" s="1225"/>
      <c r="CUE5" s="1225"/>
      <c r="CUF5" s="1225"/>
      <c r="CUG5" s="1225"/>
      <c r="CUH5" s="1225"/>
      <c r="CUI5" s="1225"/>
      <c r="CUJ5" s="1225"/>
      <c r="CUK5" s="1225"/>
      <c r="CUL5" s="1225"/>
      <c r="CUM5" s="1225"/>
      <c r="CUN5" s="1225"/>
      <c r="CUO5" s="1225"/>
      <c r="CUP5" s="1225"/>
      <c r="CUQ5" s="1225"/>
      <c r="CUR5" s="1225"/>
      <c r="CUS5" s="1225"/>
      <c r="CUT5" s="1225"/>
      <c r="CUU5" s="1225"/>
      <c r="CUV5" s="1225"/>
      <c r="CUW5" s="1225"/>
      <c r="CUX5" s="1225"/>
      <c r="CUY5" s="1225"/>
      <c r="CUZ5" s="1225"/>
      <c r="CVA5" s="1225"/>
      <c r="CVB5" s="1225"/>
      <c r="CVC5" s="1225"/>
      <c r="CVD5" s="1225"/>
      <c r="CVE5" s="1225"/>
      <c r="CVF5" s="1225"/>
      <c r="CVG5" s="1225"/>
      <c r="CVH5" s="1225"/>
      <c r="CVI5" s="1225"/>
      <c r="CVJ5" s="1225"/>
      <c r="CVK5" s="1225"/>
      <c r="CVL5" s="1225"/>
      <c r="CVM5" s="1225"/>
      <c r="CVN5" s="1225"/>
      <c r="CVO5" s="1225"/>
      <c r="CVP5" s="1225"/>
      <c r="CVQ5" s="1225"/>
      <c r="CVR5" s="1225"/>
      <c r="CVS5" s="1225"/>
      <c r="CVT5" s="1225"/>
      <c r="CVU5" s="1225"/>
      <c r="CVV5" s="1225"/>
      <c r="CVW5" s="1225"/>
      <c r="CVX5" s="1225"/>
      <c r="CVY5" s="1225"/>
      <c r="CVZ5" s="1225"/>
      <c r="CWA5" s="1225"/>
      <c r="CWB5" s="1225"/>
      <c r="CWC5" s="1225"/>
      <c r="CWD5" s="1225"/>
      <c r="CWE5" s="1225"/>
      <c r="CWF5" s="1225"/>
      <c r="CWG5" s="1225"/>
      <c r="CWH5" s="1225"/>
      <c r="CWI5" s="1225"/>
      <c r="CWJ5" s="1225"/>
      <c r="CWK5" s="1225"/>
      <c r="CWL5" s="1225"/>
      <c r="CWM5" s="1225"/>
      <c r="CWN5" s="1225"/>
      <c r="CWO5" s="1225"/>
      <c r="CWP5" s="1225"/>
      <c r="CWQ5" s="1225"/>
      <c r="CWR5" s="1225"/>
      <c r="CWS5" s="1225"/>
      <c r="CWT5" s="1225"/>
      <c r="CWU5" s="1225"/>
      <c r="CWV5" s="1225"/>
      <c r="CWW5" s="1225"/>
      <c r="CWX5" s="1225"/>
      <c r="CWY5" s="1225"/>
      <c r="CWZ5" s="1225"/>
      <c r="CXA5" s="1225"/>
      <c r="CXB5" s="1225"/>
      <c r="CXC5" s="1225"/>
      <c r="CXD5" s="1225"/>
      <c r="CXE5" s="1225"/>
      <c r="CXF5" s="1225"/>
      <c r="CXG5" s="1225"/>
      <c r="CXH5" s="1225"/>
      <c r="CXI5" s="1225"/>
      <c r="CXJ5" s="1225"/>
      <c r="CXK5" s="1225"/>
      <c r="CXL5" s="1225"/>
      <c r="CXM5" s="1225"/>
      <c r="CXN5" s="1225"/>
      <c r="CXO5" s="1225"/>
      <c r="CXP5" s="1225"/>
      <c r="CXQ5" s="1225"/>
      <c r="CXR5" s="1225"/>
      <c r="CXS5" s="1225"/>
      <c r="CXT5" s="1225"/>
      <c r="CXU5" s="1225"/>
      <c r="CXV5" s="1225"/>
      <c r="CXW5" s="1225"/>
      <c r="CXX5" s="1225"/>
      <c r="CXY5" s="1225"/>
      <c r="CXZ5" s="1225"/>
      <c r="CYA5" s="1225"/>
      <c r="CYB5" s="1225"/>
      <c r="CYC5" s="1225"/>
      <c r="CYD5" s="1225"/>
      <c r="CYE5" s="1225"/>
      <c r="CYF5" s="1225"/>
      <c r="CYG5" s="1225"/>
      <c r="CYH5" s="1225"/>
      <c r="CYI5" s="1225"/>
      <c r="CYJ5" s="1225"/>
      <c r="CYK5" s="1225"/>
      <c r="CYL5" s="1225"/>
      <c r="CYM5" s="1225"/>
      <c r="CYN5" s="1225"/>
      <c r="CYO5" s="1225"/>
      <c r="CYP5" s="1225"/>
      <c r="CYQ5" s="1225"/>
      <c r="CYR5" s="1225"/>
      <c r="CYS5" s="1225"/>
      <c r="CYT5" s="1225"/>
      <c r="CYU5" s="1225"/>
      <c r="CYV5" s="1225"/>
      <c r="CYW5" s="1225"/>
      <c r="CYX5" s="1225"/>
      <c r="CYY5" s="1225"/>
      <c r="CYZ5" s="1225"/>
      <c r="CZA5" s="1225"/>
      <c r="CZB5" s="1225"/>
      <c r="CZC5" s="1225"/>
      <c r="CZD5" s="1225"/>
      <c r="CZE5" s="1225"/>
      <c r="CZF5" s="1225"/>
      <c r="CZG5" s="1225"/>
      <c r="CZH5" s="1225"/>
      <c r="CZI5" s="1225"/>
      <c r="CZJ5" s="1225"/>
      <c r="CZK5" s="1225"/>
      <c r="CZL5" s="1225"/>
      <c r="CZM5" s="1225"/>
      <c r="CZN5" s="1225"/>
      <c r="CZO5" s="1225"/>
      <c r="CZP5" s="1225"/>
      <c r="CZQ5" s="1225"/>
      <c r="CZR5" s="1225"/>
      <c r="CZS5" s="1225"/>
      <c r="CZT5" s="1225"/>
      <c r="CZU5" s="1225"/>
      <c r="CZV5" s="1225"/>
      <c r="CZW5" s="1225"/>
      <c r="CZX5" s="1225"/>
      <c r="CZY5" s="1225"/>
      <c r="CZZ5" s="1225"/>
      <c r="DAA5" s="1225"/>
      <c r="DAB5" s="1225"/>
      <c r="DAC5" s="1225"/>
      <c r="DAD5" s="1225"/>
      <c r="DAE5" s="1225"/>
      <c r="DAF5" s="1225"/>
      <c r="DAG5" s="1225"/>
      <c r="DAH5" s="1225"/>
      <c r="DAI5" s="1225"/>
      <c r="DAJ5" s="1225"/>
      <c r="DAK5" s="1225"/>
      <c r="DAL5" s="1225"/>
      <c r="DAM5" s="1225"/>
      <c r="DAN5" s="1225"/>
      <c r="DAO5" s="1225"/>
      <c r="DAP5" s="1225"/>
      <c r="DAQ5" s="1225"/>
      <c r="DAR5" s="1225"/>
      <c r="DAS5" s="1225"/>
      <c r="DAT5" s="1225"/>
      <c r="DAU5" s="1225"/>
      <c r="DAV5" s="1225"/>
      <c r="DAW5" s="1225"/>
      <c r="DAX5" s="1225"/>
      <c r="DAY5" s="1225"/>
      <c r="DAZ5" s="1225"/>
      <c r="DBA5" s="1225"/>
      <c r="DBB5" s="1225"/>
      <c r="DBC5" s="1225"/>
      <c r="DBD5" s="1225"/>
      <c r="DBE5" s="1225"/>
      <c r="DBF5" s="1225"/>
      <c r="DBG5" s="1225"/>
      <c r="DBH5" s="1225"/>
      <c r="DBI5" s="1225"/>
      <c r="DBJ5" s="1225"/>
      <c r="DBK5" s="1225"/>
      <c r="DBL5" s="1225"/>
      <c r="DBM5" s="1225"/>
      <c r="DBN5" s="1225"/>
      <c r="DBO5" s="1225"/>
      <c r="DBP5" s="1225"/>
      <c r="DBQ5" s="1225"/>
      <c r="DBR5" s="1225"/>
      <c r="DBS5" s="1225"/>
      <c r="DBT5" s="1225"/>
      <c r="DBU5" s="1225"/>
      <c r="DBV5" s="1225"/>
      <c r="DBW5" s="1225"/>
      <c r="DBX5" s="1225"/>
      <c r="DBY5" s="1225"/>
      <c r="DBZ5" s="1225"/>
      <c r="DCA5" s="1225"/>
      <c r="DCB5" s="1225"/>
      <c r="DCC5" s="1225"/>
      <c r="DCD5" s="1225"/>
      <c r="DCE5" s="1225"/>
      <c r="DCF5" s="1225"/>
      <c r="DCG5" s="1225"/>
      <c r="DCH5" s="1225"/>
      <c r="DCI5" s="1225"/>
      <c r="DCJ5" s="1225"/>
      <c r="DCK5" s="1225"/>
      <c r="DCL5" s="1225"/>
      <c r="DCM5" s="1225"/>
      <c r="DCN5" s="1225"/>
      <c r="DCO5" s="1225"/>
      <c r="DCP5" s="1225"/>
      <c r="DCQ5" s="1225"/>
      <c r="DCR5" s="1225"/>
      <c r="DCS5" s="1225"/>
      <c r="DCT5" s="1225"/>
      <c r="DCU5" s="1225"/>
      <c r="DCV5" s="1225"/>
      <c r="DCW5" s="1225"/>
      <c r="DCX5" s="1225"/>
      <c r="DCY5" s="1225"/>
      <c r="DCZ5" s="1225"/>
      <c r="DDA5" s="1225"/>
      <c r="DDB5" s="1225"/>
      <c r="DDC5" s="1225"/>
      <c r="DDD5" s="1225"/>
      <c r="DDE5" s="1225"/>
      <c r="DDF5" s="1225"/>
      <c r="DDG5" s="1225"/>
      <c r="DDH5" s="1225"/>
      <c r="DDI5" s="1225"/>
      <c r="DDJ5" s="1225"/>
      <c r="DDK5" s="1225"/>
      <c r="DDL5" s="1225"/>
      <c r="DDM5" s="1225"/>
      <c r="DDN5" s="1225"/>
      <c r="DDO5" s="1225"/>
      <c r="DDP5" s="1225"/>
      <c r="DDQ5" s="1225"/>
      <c r="DDR5" s="1225"/>
      <c r="DDS5" s="1225"/>
      <c r="DDT5" s="1225"/>
      <c r="DDU5" s="1225"/>
      <c r="DDV5" s="1225"/>
      <c r="DDW5" s="1225"/>
      <c r="DDX5" s="1225"/>
      <c r="DDY5" s="1225"/>
      <c r="DDZ5" s="1225"/>
      <c r="DEA5" s="1225"/>
      <c r="DEB5" s="1225"/>
      <c r="DEC5" s="1225"/>
      <c r="DED5" s="1225"/>
      <c r="DEE5" s="1225"/>
      <c r="DEF5" s="1225"/>
      <c r="DEG5" s="1225"/>
      <c r="DEH5" s="1225"/>
      <c r="DEI5" s="1225"/>
      <c r="DEJ5" s="1225"/>
      <c r="DEK5" s="1225"/>
      <c r="DEL5" s="1225"/>
      <c r="DEM5" s="1225"/>
      <c r="DEN5" s="1225"/>
      <c r="DEO5" s="1225"/>
      <c r="DEP5" s="1225"/>
      <c r="DEQ5" s="1225"/>
      <c r="DER5" s="1225"/>
      <c r="DES5" s="1225"/>
      <c r="DET5" s="1225"/>
      <c r="DEU5" s="1225"/>
      <c r="DEV5" s="1225"/>
      <c r="DEW5" s="1225"/>
      <c r="DEX5" s="1225"/>
      <c r="DEY5" s="1225"/>
      <c r="DEZ5" s="1225"/>
      <c r="DFA5" s="1225"/>
      <c r="DFB5" s="1225"/>
      <c r="DFC5" s="1225"/>
      <c r="DFD5" s="1225"/>
      <c r="DFE5" s="1225"/>
      <c r="DFF5" s="1225"/>
      <c r="DFG5" s="1225"/>
      <c r="DFH5" s="1225"/>
      <c r="DFI5" s="1225"/>
      <c r="DFJ5" s="1225"/>
      <c r="DFK5" s="1225"/>
      <c r="DFL5" s="1225"/>
      <c r="DFM5" s="1225"/>
      <c r="DFN5" s="1225"/>
      <c r="DFO5" s="1225"/>
      <c r="DFP5" s="1225"/>
      <c r="DFQ5" s="1225"/>
      <c r="DFR5" s="1225"/>
      <c r="DFS5" s="1225"/>
      <c r="DFT5" s="1225"/>
      <c r="DFU5" s="1225"/>
      <c r="DFV5" s="1225"/>
      <c r="DFW5" s="1225"/>
      <c r="DFX5" s="1225"/>
      <c r="DFY5" s="1225"/>
      <c r="DFZ5" s="1225"/>
      <c r="DGA5" s="1225"/>
      <c r="DGB5" s="1225"/>
      <c r="DGC5" s="1225"/>
      <c r="DGD5" s="1225"/>
      <c r="DGE5" s="1225"/>
      <c r="DGF5" s="1225"/>
      <c r="DGG5" s="1225"/>
      <c r="DGH5" s="1225"/>
      <c r="DGI5" s="1225"/>
      <c r="DGJ5" s="1225"/>
      <c r="DGK5" s="1225"/>
      <c r="DGL5" s="1225"/>
      <c r="DGM5" s="1225"/>
      <c r="DGN5" s="1225"/>
      <c r="DGO5" s="1225"/>
      <c r="DGP5" s="1225"/>
      <c r="DGQ5" s="1225"/>
      <c r="DGR5" s="1225"/>
      <c r="DGS5" s="1225"/>
      <c r="DGT5" s="1225"/>
      <c r="DGU5" s="1225"/>
      <c r="DGV5" s="1225"/>
      <c r="DGW5" s="1225"/>
      <c r="DGX5" s="1225"/>
      <c r="DGY5" s="1225"/>
      <c r="DGZ5" s="1225"/>
      <c r="DHA5" s="1225"/>
      <c r="DHB5" s="1225"/>
      <c r="DHC5" s="1225"/>
      <c r="DHD5" s="1225"/>
      <c r="DHE5" s="1225"/>
      <c r="DHF5" s="1225"/>
      <c r="DHG5" s="1225"/>
      <c r="DHH5" s="1225"/>
      <c r="DHI5" s="1225"/>
      <c r="DHJ5" s="1225"/>
      <c r="DHK5" s="1225"/>
      <c r="DHL5" s="1225"/>
      <c r="DHM5" s="1225"/>
      <c r="DHN5" s="1225"/>
      <c r="DHO5" s="1225"/>
      <c r="DHP5" s="1225"/>
      <c r="DHQ5" s="1225"/>
      <c r="DHR5" s="1225"/>
      <c r="DHS5" s="1225"/>
      <c r="DHT5" s="1225"/>
      <c r="DHU5" s="1225"/>
      <c r="DHV5" s="1225"/>
      <c r="DHW5" s="1225"/>
      <c r="DHX5" s="1225"/>
      <c r="DHY5" s="1225"/>
      <c r="DHZ5" s="1225"/>
      <c r="DIA5" s="1225"/>
      <c r="DIB5" s="1225"/>
      <c r="DIC5" s="1225"/>
      <c r="DID5" s="1225"/>
      <c r="DIE5" s="1225"/>
      <c r="DIF5" s="1225"/>
      <c r="DIG5" s="1225"/>
      <c r="DIH5" s="1225"/>
      <c r="DII5" s="1225"/>
      <c r="DIJ5" s="1225"/>
      <c r="DIK5" s="1225"/>
      <c r="DIL5" s="1225"/>
      <c r="DIM5" s="1225"/>
      <c r="DIN5" s="1225"/>
      <c r="DIO5" s="1225"/>
      <c r="DIP5" s="1225"/>
      <c r="DIQ5" s="1225"/>
      <c r="DIR5" s="1225"/>
      <c r="DIS5" s="1225"/>
      <c r="DIT5" s="1225"/>
      <c r="DIU5" s="1225"/>
      <c r="DIV5" s="1225"/>
      <c r="DIW5" s="1225"/>
      <c r="DIX5" s="1225"/>
      <c r="DIY5" s="1225"/>
      <c r="DIZ5" s="1225"/>
      <c r="DJA5" s="1225"/>
      <c r="DJB5" s="1225"/>
      <c r="DJC5" s="1225"/>
      <c r="DJD5" s="1225"/>
      <c r="DJE5" s="1225"/>
      <c r="DJF5" s="1225"/>
      <c r="DJG5" s="1225"/>
      <c r="DJH5" s="1225"/>
      <c r="DJI5" s="1225"/>
      <c r="DJJ5" s="1225"/>
      <c r="DJK5" s="1225"/>
      <c r="DJL5" s="1225"/>
      <c r="DJM5" s="1225"/>
      <c r="DJN5" s="1225"/>
      <c r="DJO5" s="1225"/>
      <c r="DJP5" s="1225"/>
      <c r="DJQ5" s="1225"/>
      <c r="DJR5" s="1225"/>
      <c r="DJS5" s="1225"/>
      <c r="DJT5" s="1225"/>
      <c r="DJU5" s="1225"/>
      <c r="DJV5" s="1225"/>
      <c r="DJW5" s="1225"/>
      <c r="DJX5" s="1225"/>
      <c r="DJY5" s="1225"/>
      <c r="DJZ5" s="1225"/>
      <c r="DKA5" s="1225"/>
      <c r="DKB5" s="1225"/>
      <c r="DKC5" s="1225"/>
      <c r="DKD5" s="1225"/>
      <c r="DKE5" s="1225"/>
      <c r="DKF5" s="1225"/>
      <c r="DKG5" s="1225"/>
      <c r="DKH5" s="1225"/>
      <c r="DKI5" s="1225"/>
      <c r="DKJ5" s="1225"/>
      <c r="DKK5" s="1225"/>
      <c r="DKL5" s="1225"/>
      <c r="DKM5" s="1225"/>
      <c r="DKN5" s="1225"/>
      <c r="DKO5" s="1225"/>
      <c r="DKP5" s="1225"/>
      <c r="DKQ5" s="1225"/>
      <c r="DKR5" s="1225"/>
      <c r="DKS5" s="1225"/>
      <c r="DKT5" s="1225"/>
      <c r="DKU5" s="1225"/>
      <c r="DKV5" s="1225"/>
      <c r="DKW5" s="1225"/>
      <c r="DKX5" s="1225"/>
      <c r="DKY5" s="1225"/>
      <c r="DKZ5" s="1225"/>
      <c r="DLA5" s="1225"/>
      <c r="DLB5" s="1225"/>
      <c r="DLC5" s="1225"/>
      <c r="DLD5" s="1225"/>
      <c r="DLE5" s="1225"/>
      <c r="DLF5" s="1225"/>
      <c r="DLG5" s="1225"/>
      <c r="DLH5" s="1225"/>
      <c r="DLI5" s="1225"/>
      <c r="DLJ5" s="1225"/>
      <c r="DLK5" s="1225"/>
      <c r="DLL5" s="1225"/>
      <c r="DLM5" s="1225"/>
      <c r="DLN5" s="1225"/>
      <c r="DLO5" s="1225"/>
      <c r="DLP5" s="1225"/>
      <c r="DLQ5" s="1225"/>
      <c r="DLR5" s="1225"/>
      <c r="DLS5" s="1225"/>
      <c r="DLT5" s="1225"/>
      <c r="DLU5" s="1225"/>
      <c r="DLV5" s="1225"/>
      <c r="DLW5" s="1225"/>
      <c r="DLX5" s="1225"/>
      <c r="DLY5" s="1225"/>
      <c r="DLZ5" s="1225"/>
      <c r="DMA5" s="1225"/>
      <c r="DMB5" s="1225"/>
      <c r="DMC5" s="1225"/>
      <c r="DMD5" s="1225"/>
      <c r="DME5" s="1225"/>
      <c r="DMF5" s="1225"/>
      <c r="DMG5" s="1225"/>
      <c r="DMH5" s="1225"/>
      <c r="DMI5" s="1225"/>
      <c r="DMJ5" s="1225"/>
      <c r="DMK5" s="1225"/>
      <c r="DML5" s="1225"/>
      <c r="DMM5" s="1225"/>
      <c r="DMN5" s="1225"/>
      <c r="DMO5" s="1225"/>
      <c r="DMP5" s="1225"/>
      <c r="DMQ5" s="1225"/>
      <c r="DMR5" s="1225"/>
      <c r="DMS5" s="1225"/>
      <c r="DMT5" s="1225"/>
      <c r="DMU5" s="1225"/>
      <c r="DMV5" s="1225"/>
      <c r="DMW5" s="1225"/>
      <c r="DMX5" s="1225"/>
      <c r="DMY5" s="1225"/>
      <c r="DMZ5" s="1225"/>
      <c r="DNA5" s="1225"/>
      <c r="DNB5" s="1225"/>
      <c r="DNC5" s="1225"/>
      <c r="DND5" s="1225"/>
      <c r="DNE5" s="1225"/>
      <c r="DNF5" s="1225"/>
      <c r="DNG5" s="1225"/>
      <c r="DNH5" s="1225"/>
      <c r="DNI5" s="1225"/>
      <c r="DNJ5" s="1225"/>
      <c r="DNK5" s="1225"/>
      <c r="DNL5" s="1225"/>
      <c r="DNM5" s="1225"/>
      <c r="DNN5" s="1225"/>
      <c r="DNO5" s="1225"/>
      <c r="DNP5" s="1225"/>
      <c r="DNQ5" s="1225"/>
      <c r="DNR5" s="1225"/>
      <c r="DNS5" s="1225"/>
      <c r="DNT5" s="1225"/>
      <c r="DNU5" s="1225"/>
      <c r="DNV5" s="1225"/>
      <c r="DNW5" s="1225"/>
      <c r="DNX5" s="1225"/>
      <c r="DNY5" s="1225"/>
      <c r="DNZ5" s="1225"/>
      <c r="DOA5" s="1225"/>
      <c r="DOB5" s="1225"/>
      <c r="DOC5" s="1225"/>
      <c r="DOD5" s="1225"/>
      <c r="DOE5" s="1225"/>
      <c r="DOF5" s="1225"/>
      <c r="DOG5" s="1225"/>
      <c r="DOH5" s="1225"/>
      <c r="DOI5" s="1225"/>
      <c r="DOJ5" s="1225"/>
      <c r="DOK5" s="1225"/>
      <c r="DOL5" s="1225"/>
      <c r="DOM5" s="1225"/>
      <c r="DON5" s="1225"/>
      <c r="DOO5" s="1225"/>
      <c r="DOP5" s="1225"/>
      <c r="DOQ5" s="1225"/>
      <c r="DOR5" s="1225"/>
      <c r="DOS5" s="1225"/>
      <c r="DOT5" s="1225"/>
      <c r="DOU5" s="1225"/>
      <c r="DOV5" s="1225"/>
      <c r="DOW5" s="1225"/>
      <c r="DOX5" s="1225"/>
      <c r="DOY5" s="1225"/>
      <c r="DOZ5" s="1225"/>
      <c r="DPA5" s="1225"/>
      <c r="DPB5" s="1225"/>
      <c r="DPC5" s="1225"/>
      <c r="DPD5" s="1225"/>
      <c r="DPE5" s="1225"/>
      <c r="DPF5" s="1225"/>
      <c r="DPG5" s="1225"/>
      <c r="DPH5" s="1225"/>
      <c r="DPI5" s="1225"/>
      <c r="DPJ5" s="1225"/>
      <c r="DPK5" s="1225"/>
      <c r="DPL5" s="1225"/>
      <c r="DPM5" s="1225"/>
      <c r="DPN5" s="1225"/>
      <c r="DPO5" s="1225"/>
      <c r="DPP5" s="1225"/>
      <c r="DPQ5" s="1225"/>
      <c r="DPR5" s="1225"/>
      <c r="DPS5" s="1225"/>
      <c r="DPT5" s="1225"/>
      <c r="DPU5" s="1225"/>
      <c r="DPV5" s="1225"/>
      <c r="DPW5" s="1225"/>
      <c r="DPX5" s="1225"/>
      <c r="DPY5" s="1225"/>
      <c r="DPZ5" s="1225"/>
      <c r="DQA5" s="1225"/>
      <c r="DQB5" s="1225"/>
      <c r="DQC5" s="1225"/>
      <c r="DQD5" s="1225"/>
      <c r="DQE5" s="1225"/>
      <c r="DQF5" s="1225"/>
      <c r="DQG5" s="1225"/>
      <c r="DQH5" s="1225"/>
      <c r="DQI5" s="1225"/>
      <c r="DQJ5" s="1225"/>
      <c r="DQK5" s="1225"/>
      <c r="DQL5" s="1225"/>
      <c r="DQM5" s="1225"/>
      <c r="DQN5" s="1225"/>
      <c r="DQO5" s="1225"/>
      <c r="DQP5" s="1225"/>
      <c r="DQQ5" s="1225"/>
      <c r="DQR5" s="1225"/>
      <c r="DQS5" s="1225"/>
      <c r="DQT5" s="1225"/>
      <c r="DQU5" s="1225"/>
      <c r="DQV5" s="1225"/>
      <c r="DQW5" s="1225"/>
      <c r="DQX5" s="1225"/>
      <c r="DQY5" s="1225"/>
      <c r="DQZ5" s="1225"/>
      <c r="DRA5" s="1225"/>
      <c r="DRB5" s="1225"/>
      <c r="DRC5" s="1225"/>
      <c r="DRD5" s="1225"/>
      <c r="DRE5" s="1225"/>
      <c r="DRF5" s="1225"/>
      <c r="DRG5" s="1225"/>
      <c r="DRH5" s="1225"/>
      <c r="DRI5" s="1225"/>
      <c r="DRJ5" s="1225"/>
      <c r="DRK5" s="1225"/>
      <c r="DRL5" s="1225"/>
      <c r="DRM5" s="1225"/>
      <c r="DRN5" s="1225"/>
      <c r="DRO5" s="1225"/>
      <c r="DRP5" s="1225"/>
      <c r="DRQ5" s="1225"/>
      <c r="DRR5" s="1225"/>
      <c r="DRS5" s="1225"/>
      <c r="DRT5" s="1225"/>
      <c r="DRU5" s="1225"/>
      <c r="DRV5" s="1225"/>
      <c r="DRW5" s="1225"/>
      <c r="DRX5" s="1225"/>
      <c r="DRY5" s="1225"/>
      <c r="DRZ5" s="1225"/>
      <c r="DSA5" s="1225"/>
      <c r="DSB5" s="1225"/>
      <c r="DSC5" s="1225"/>
      <c r="DSD5" s="1225"/>
      <c r="DSE5" s="1225"/>
      <c r="DSF5" s="1225"/>
      <c r="DSG5" s="1225"/>
      <c r="DSH5" s="1225"/>
      <c r="DSI5" s="1225"/>
      <c r="DSJ5" s="1225"/>
      <c r="DSK5" s="1225"/>
      <c r="DSL5" s="1225"/>
      <c r="DSM5" s="1225"/>
      <c r="DSN5" s="1225"/>
      <c r="DSO5" s="1225"/>
      <c r="DSP5" s="1225"/>
      <c r="DSQ5" s="1225"/>
      <c r="DSR5" s="1225"/>
      <c r="DSS5" s="1225"/>
      <c r="DST5" s="1225"/>
      <c r="DSU5" s="1225"/>
      <c r="DSV5" s="1225"/>
      <c r="DSW5" s="1225"/>
      <c r="DSX5" s="1225"/>
      <c r="DSY5" s="1225"/>
      <c r="DSZ5" s="1225"/>
      <c r="DTA5" s="1225"/>
      <c r="DTB5" s="1225"/>
      <c r="DTC5" s="1225"/>
      <c r="DTD5" s="1225"/>
      <c r="DTE5" s="1225"/>
      <c r="DTF5" s="1225"/>
      <c r="DTG5" s="1225"/>
      <c r="DTH5" s="1225"/>
      <c r="DTI5" s="1225"/>
      <c r="DTJ5" s="1225"/>
      <c r="DTK5" s="1225"/>
      <c r="DTL5" s="1225"/>
      <c r="DTM5" s="1225"/>
      <c r="DTN5" s="1225"/>
      <c r="DTO5" s="1225"/>
      <c r="DTP5" s="1225"/>
      <c r="DTQ5" s="1225"/>
      <c r="DTR5" s="1225"/>
      <c r="DTS5" s="1225"/>
      <c r="DTT5" s="1225"/>
      <c r="DTU5" s="1225"/>
      <c r="DTV5" s="1225"/>
      <c r="DTW5" s="1225"/>
      <c r="DTX5" s="1225"/>
      <c r="DTY5" s="1225"/>
      <c r="DTZ5" s="1225"/>
      <c r="DUA5" s="1225"/>
      <c r="DUB5" s="1225"/>
      <c r="DUC5" s="1225"/>
      <c r="DUD5" s="1225"/>
      <c r="DUE5" s="1225"/>
      <c r="DUF5" s="1225"/>
      <c r="DUG5" s="1225"/>
      <c r="DUH5" s="1225"/>
      <c r="DUI5" s="1225"/>
      <c r="DUJ5" s="1225"/>
      <c r="DUK5" s="1225"/>
      <c r="DUL5" s="1225"/>
      <c r="DUM5" s="1225"/>
      <c r="DUN5" s="1225"/>
      <c r="DUO5" s="1225"/>
      <c r="DUP5" s="1225"/>
      <c r="DUQ5" s="1225"/>
      <c r="DUR5" s="1225"/>
      <c r="DUS5" s="1225"/>
      <c r="DUT5" s="1225"/>
      <c r="DUU5" s="1225"/>
      <c r="DUV5" s="1225"/>
      <c r="DUW5" s="1225"/>
      <c r="DUX5" s="1225"/>
      <c r="DUY5" s="1225"/>
      <c r="DUZ5" s="1225"/>
      <c r="DVA5" s="1225"/>
      <c r="DVB5" s="1225"/>
      <c r="DVC5" s="1225"/>
      <c r="DVD5" s="1225"/>
      <c r="DVE5" s="1225"/>
      <c r="DVF5" s="1225"/>
      <c r="DVG5" s="1225"/>
      <c r="DVH5" s="1225"/>
      <c r="DVI5" s="1225"/>
      <c r="DVJ5" s="1225"/>
      <c r="DVK5" s="1225"/>
      <c r="DVL5" s="1225"/>
      <c r="DVM5" s="1225"/>
      <c r="DVN5" s="1225"/>
      <c r="DVO5" s="1225"/>
      <c r="DVP5" s="1225"/>
      <c r="DVQ5" s="1225"/>
      <c r="DVR5" s="1225"/>
      <c r="DVS5" s="1225"/>
      <c r="DVT5" s="1225"/>
      <c r="DVU5" s="1225"/>
      <c r="DVV5" s="1225"/>
      <c r="DVW5" s="1225"/>
      <c r="DVX5" s="1225"/>
      <c r="DVY5" s="1225"/>
      <c r="DVZ5" s="1225"/>
      <c r="DWA5" s="1225"/>
      <c r="DWB5" s="1225"/>
      <c r="DWC5" s="1225"/>
      <c r="DWD5" s="1225"/>
      <c r="DWE5" s="1225"/>
      <c r="DWF5" s="1225"/>
      <c r="DWG5" s="1225"/>
      <c r="DWH5" s="1225"/>
      <c r="DWI5" s="1225"/>
      <c r="DWJ5" s="1225"/>
      <c r="DWK5" s="1225"/>
      <c r="DWL5" s="1225"/>
      <c r="DWM5" s="1225"/>
      <c r="DWN5" s="1225"/>
      <c r="DWO5" s="1225"/>
      <c r="DWP5" s="1225"/>
      <c r="DWQ5" s="1225"/>
      <c r="DWR5" s="1225"/>
      <c r="DWS5" s="1225"/>
      <c r="DWT5" s="1225"/>
      <c r="DWU5" s="1225"/>
      <c r="DWV5" s="1225"/>
      <c r="DWW5" s="1225"/>
      <c r="DWX5" s="1225"/>
      <c r="DWY5" s="1225"/>
      <c r="DWZ5" s="1225"/>
      <c r="DXA5" s="1225"/>
      <c r="DXB5" s="1225"/>
      <c r="DXC5" s="1225"/>
      <c r="DXD5" s="1225"/>
      <c r="DXE5" s="1225"/>
      <c r="DXF5" s="1225"/>
      <c r="DXG5" s="1225"/>
      <c r="DXH5" s="1225"/>
      <c r="DXI5" s="1225"/>
      <c r="DXJ5" s="1225"/>
      <c r="DXK5" s="1225"/>
      <c r="DXL5" s="1225"/>
      <c r="DXM5" s="1225"/>
      <c r="DXN5" s="1225"/>
      <c r="DXO5" s="1225"/>
      <c r="DXP5" s="1225"/>
      <c r="DXQ5" s="1225"/>
      <c r="DXR5" s="1225"/>
      <c r="DXS5" s="1225"/>
      <c r="DXT5" s="1225"/>
      <c r="DXU5" s="1225"/>
      <c r="DXV5" s="1225"/>
      <c r="DXW5" s="1225"/>
      <c r="DXX5" s="1225"/>
      <c r="DXY5" s="1225"/>
      <c r="DXZ5" s="1225"/>
      <c r="DYA5" s="1225"/>
      <c r="DYB5" s="1225"/>
      <c r="DYC5" s="1225"/>
      <c r="DYD5" s="1225"/>
      <c r="DYE5" s="1225"/>
      <c r="DYF5" s="1225"/>
      <c r="DYG5" s="1225"/>
      <c r="DYH5" s="1225"/>
      <c r="DYI5" s="1225"/>
      <c r="DYJ5" s="1225"/>
      <c r="DYK5" s="1225"/>
      <c r="DYL5" s="1225"/>
      <c r="DYM5" s="1225"/>
      <c r="DYN5" s="1225"/>
      <c r="DYO5" s="1225"/>
      <c r="DYP5" s="1225"/>
      <c r="DYQ5" s="1225"/>
      <c r="DYR5" s="1225"/>
      <c r="DYS5" s="1225"/>
      <c r="DYT5" s="1225"/>
      <c r="DYU5" s="1225"/>
      <c r="DYV5" s="1225"/>
      <c r="DYW5" s="1225"/>
      <c r="DYX5" s="1225"/>
      <c r="DYY5" s="1225"/>
      <c r="DYZ5" s="1225"/>
      <c r="DZA5" s="1225"/>
      <c r="DZB5" s="1225"/>
      <c r="DZC5" s="1225"/>
      <c r="DZD5" s="1225"/>
      <c r="DZE5" s="1225"/>
      <c r="DZF5" s="1225"/>
      <c r="DZG5" s="1225"/>
      <c r="DZH5" s="1225"/>
      <c r="DZI5" s="1225"/>
      <c r="DZJ5" s="1225"/>
      <c r="DZK5" s="1225"/>
      <c r="DZL5" s="1225"/>
      <c r="DZM5" s="1225"/>
      <c r="DZN5" s="1225"/>
      <c r="DZO5" s="1225"/>
      <c r="DZP5" s="1225"/>
      <c r="DZQ5" s="1225"/>
      <c r="DZR5" s="1225"/>
      <c r="DZS5" s="1225"/>
      <c r="DZT5" s="1225"/>
      <c r="DZU5" s="1225"/>
      <c r="DZV5" s="1225"/>
      <c r="DZW5" s="1225"/>
      <c r="DZX5" s="1225"/>
      <c r="DZY5" s="1225"/>
      <c r="DZZ5" s="1225"/>
      <c r="EAA5" s="1225"/>
      <c r="EAB5" s="1225"/>
      <c r="EAC5" s="1225"/>
      <c r="EAD5" s="1225"/>
      <c r="EAE5" s="1225"/>
      <c r="EAF5" s="1225"/>
      <c r="EAG5" s="1225"/>
      <c r="EAH5" s="1225"/>
      <c r="EAI5" s="1225"/>
      <c r="EAJ5" s="1225"/>
      <c r="EAK5" s="1225"/>
      <c r="EAL5" s="1225"/>
      <c r="EAM5" s="1225"/>
      <c r="EAN5" s="1225"/>
      <c r="EAO5" s="1225"/>
      <c r="EAP5" s="1225"/>
      <c r="EAQ5" s="1225"/>
      <c r="EAR5" s="1225"/>
      <c r="EAS5" s="1225"/>
      <c r="EAT5" s="1225"/>
      <c r="EAU5" s="1225"/>
      <c r="EAV5" s="1225"/>
      <c r="EAW5" s="1225"/>
      <c r="EAX5" s="1225"/>
      <c r="EAY5" s="1225"/>
      <c r="EAZ5" s="1225"/>
      <c r="EBA5" s="1225"/>
      <c r="EBB5" s="1225"/>
      <c r="EBC5" s="1225"/>
      <c r="EBD5" s="1225"/>
      <c r="EBE5" s="1225"/>
      <c r="EBF5" s="1225"/>
      <c r="EBG5" s="1225"/>
      <c r="EBH5" s="1225"/>
      <c r="EBI5" s="1225"/>
      <c r="EBJ5" s="1225"/>
      <c r="EBK5" s="1225"/>
      <c r="EBL5" s="1225"/>
      <c r="EBM5" s="1225"/>
      <c r="EBN5" s="1225"/>
      <c r="EBO5" s="1225"/>
      <c r="EBP5" s="1225"/>
      <c r="EBQ5" s="1225"/>
      <c r="EBR5" s="1225"/>
      <c r="EBS5" s="1225"/>
      <c r="EBT5" s="1225"/>
      <c r="EBU5" s="1225"/>
      <c r="EBV5" s="1225"/>
      <c r="EBW5" s="1225"/>
      <c r="EBX5" s="1225"/>
      <c r="EBY5" s="1225"/>
      <c r="EBZ5" s="1225"/>
      <c r="ECA5" s="1225"/>
      <c r="ECB5" s="1225"/>
      <c r="ECC5" s="1225"/>
      <c r="ECD5" s="1225"/>
      <c r="ECE5" s="1225"/>
      <c r="ECF5" s="1225"/>
      <c r="ECG5" s="1225"/>
      <c r="ECH5" s="1225"/>
      <c r="ECI5" s="1225"/>
      <c r="ECJ5" s="1225"/>
      <c r="ECK5" s="1225"/>
      <c r="ECL5" s="1225"/>
      <c r="ECM5" s="1225"/>
      <c r="ECN5" s="1225"/>
      <c r="ECO5" s="1225"/>
    </row>
    <row r="6" spans="1:3473" s="1224" customFormat="1" ht="16.25" customHeight="1">
      <c r="B6" s="1229"/>
      <c r="C6" s="1230"/>
      <c r="D6" s="1231" t="s">
        <v>474</v>
      </c>
      <c r="E6" s="1232" t="s">
        <v>473</v>
      </c>
      <c r="F6" s="1232" t="s">
        <v>473</v>
      </c>
      <c r="G6" s="1232" t="s">
        <v>473</v>
      </c>
      <c r="H6" s="1232" t="s">
        <v>473</v>
      </c>
      <c r="I6" s="1232" t="s">
        <v>473</v>
      </c>
      <c r="J6" s="1232" t="s">
        <v>473</v>
      </c>
      <c r="K6" s="1232" t="s">
        <v>473</v>
      </c>
      <c r="L6" s="1232" t="s">
        <v>473</v>
      </c>
      <c r="M6" s="1232" t="s">
        <v>473</v>
      </c>
      <c r="N6" s="1232" t="s">
        <v>473</v>
      </c>
      <c r="O6" s="1232" t="s">
        <v>473</v>
      </c>
      <c r="P6" s="1232" t="s">
        <v>473</v>
      </c>
      <c r="Q6" s="1232" t="s">
        <v>473</v>
      </c>
      <c r="R6" s="1232" t="s">
        <v>473</v>
      </c>
      <c r="S6" s="1232" t="s">
        <v>473</v>
      </c>
      <c r="T6" s="1232" t="s">
        <v>473</v>
      </c>
      <c r="U6" s="1232" t="s">
        <v>473</v>
      </c>
      <c r="V6" s="1232" t="s">
        <v>473</v>
      </c>
      <c r="W6" s="1232" t="s">
        <v>473</v>
      </c>
      <c r="X6" s="1232" t="s">
        <v>473</v>
      </c>
      <c r="Y6" s="1232" t="s">
        <v>473</v>
      </c>
      <c r="Z6" s="1232" t="s">
        <v>473</v>
      </c>
      <c r="AA6" s="1232" t="s">
        <v>473</v>
      </c>
      <c r="AB6" s="1232" t="s">
        <v>473</v>
      </c>
      <c r="AC6" s="1232" t="s">
        <v>473</v>
      </c>
      <c r="AD6" s="1232" t="s">
        <v>473</v>
      </c>
      <c r="AE6" s="1232" t="s">
        <v>473</v>
      </c>
      <c r="AF6" s="1233">
        <f>'全期规划指标 '!I44+'全期规划指标 '!I45</f>
        <v>24565.840000000004</v>
      </c>
      <c r="AG6" s="1234">
        <f>+AF6</f>
        <v>24565.840000000004</v>
      </c>
      <c r="AH6" s="1234">
        <f>+AF6</f>
        <v>24565.840000000004</v>
      </c>
      <c r="AI6" s="1234">
        <f>+'全期规划指标 '!I20+'全期规划指标 '!I21</f>
        <v>43173.95</v>
      </c>
      <c r="AJ6" s="1234">
        <f>+AI6</f>
        <v>43173.95</v>
      </c>
      <c r="AK6" s="1234">
        <f>+AI6</f>
        <v>43173.95</v>
      </c>
      <c r="AL6" s="1234">
        <f>'全期规划指标 '!I41+'全期规划指标 '!I42</f>
        <v>9409.4599999999991</v>
      </c>
      <c r="AM6" s="1234">
        <f>+AL6</f>
        <v>9409.4599999999991</v>
      </c>
      <c r="AN6" s="1234">
        <f>+AL6</f>
        <v>9409.4599999999991</v>
      </c>
      <c r="AO6" s="1234">
        <f>+'全期规划指标 '!I22</f>
        <v>0</v>
      </c>
      <c r="AP6" s="1234">
        <f t="shared" ref="AP6:AQ7" si="2">+AO6</f>
        <v>0</v>
      </c>
      <c r="AQ6" s="1234">
        <f t="shared" si="2"/>
        <v>0</v>
      </c>
      <c r="AR6" s="1234">
        <f>+'全期规划指标 '!I24</f>
        <v>59174.38</v>
      </c>
      <c r="AS6" s="1234">
        <f>+AR6</f>
        <v>59174.38</v>
      </c>
      <c r="AT6" s="1234">
        <f>+AR6</f>
        <v>59174.38</v>
      </c>
      <c r="AU6" s="1234">
        <f>AU5</f>
        <v>1058.93</v>
      </c>
      <c r="AV6" s="1234">
        <f>AV5</f>
        <v>1058.93</v>
      </c>
      <c r="AW6" s="1234">
        <f>AW5</f>
        <v>1058.93</v>
      </c>
      <c r="AX6" s="1234"/>
      <c r="AY6" s="1234"/>
      <c r="AZ6" s="1234"/>
      <c r="BA6" s="1234">
        <f t="shared" si="0"/>
        <v>137382.56</v>
      </c>
      <c r="BB6" s="1234">
        <f>AG6+AJ6+AM6+AP6+AS6+AV6+AY6</f>
        <v>137382.56</v>
      </c>
      <c r="BC6" s="1234">
        <f>AH6+AK6+AN6+AQ6+AT6+AZ6+AW6</f>
        <v>137382.56</v>
      </c>
      <c r="BD6" s="1234"/>
      <c r="BE6" s="1234"/>
      <c r="BF6" s="1234"/>
      <c r="BG6" s="1234">
        <f t="shared" ref="BG6:BG7" si="3">BD6</f>
        <v>0</v>
      </c>
      <c r="BH6" s="1234">
        <f t="shared" si="1"/>
        <v>0</v>
      </c>
      <c r="BI6" s="1234">
        <f t="shared" si="1"/>
        <v>0</v>
      </c>
      <c r="BJ6" s="1234">
        <f>BA6+BG6</f>
        <v>137382.56</v>
      </c>
      <c r="BK6" s="1235">
        <f>BJ6</f>
        <v>137382.56</v>
      </c>
      <c r="BL6" s="1235">
        <f>BJ6</f>
        <v>137382.56</v>
      </c>
      <c r="BM6" s="1236"/>
      <c r="BN6" s="1225"/>
      <c r="BO6" s="1225"/>
      <c r="BP6" s="1225"/>
      <c r="BQ6" s="1225"/>
      <c r="BR6" s="1225"/>
      <c r="BS6" s="1225"/>
      <c r="BT6" s="1225"/>
      <c r="BU6" s="1225"/>
      <c r="BV6" s="1225"/>
      <c r="BW6" s="1225"/>
      <c r="BX6" s="1225"/>
      <c r="BY6" s="1225"/>
      <c r="BZ6" s="1225"/>
      <c r="CA6" s="1225"/>
      <c r="CB6" s="1225"/>
      <c r="CC6" s="1225"/>
      <c r="CD6" s="1225"/>
      <c r="CE6" s="1225"/>
      <c r="CF6" s="1225"/>
      <c r="CG6" s="1225"/>
      <c r="CH6" s="1225"/>
      <c r="CI6" s="1225"/>
      <c r="CJ6" s="1225"/>
      <c r="CK6" s="1225"/>
      <c r="CL6" s="1225"/>
      <c r="CM6" s="1225"/>
      <c r="CN6" s="1225"/>
      <c r="CO6" s="1225"/>
      <c r="CP6" s="1225"/>
      <c r="CQ6" s="1225"/>
      <c r="CR6" s="1225"/>
      <c r="CS6" s="1225"/>
      <c r="CT6" s="1225"/>
      <c r="CU6" s="1225"/>
      <c r="CV6" s="1225"/>
      <c r="CW6" s="1225"/>
      <c r="CX6" s="1225"/>
      <c r="CY6" s="1225"/>
      <c r="CZ6" s="1225"/>
      <c r="DA6" s="1225"/>
      <c r="DB6" s="1225"/>
      <c r="DC6" s="1225"/>
      <c r="DD6" s="1225"/>
      <c r="DE6" s="1225"/>
      <c r="DF6" s="1225"/>
      <c r="DG6" s="1225"/>
      <c r="DH6" s="1225"/>
      <c r="DI6" s="1225"/>
      <c r="DJ6" s="1225"/>
      <c r="DK6" s="1225"/>
      <c r="DL6" s="1225"/>
      <c r="DM6" s="1225"/>
      <c r="DN6" s="1225"/>
      <c r="DO6" s="1225"/>
      <c r="DP6" s="1225"/>
      <c r="DQ6" s="1225"/>
      <c r="DR6" s="1225"/>
      <c r="DS6" s="1225"/>
      <c r="DT6" s="1225"/>
      <c r="DU6" s="1225"/>
      <c r="DV6" s="1225"/>
      <c r="DW6" s="1225"/>
      <c r="DX6" s="1225"/>
      <c r="DY6" s="1225"/>
      <c r="DZ6" s="1225"/>
      <c r="EA6" s="1225"/>
      <c r="EB6" s="1225"/>
      <c r="EC6" s="1225"/>
      <c r="ED6" s="1225"/>
      <c r="EE6" s="1225"/>
      <c r="EF6" s="1225"/>
      <c r="EG6" s="1225"/>
      <c r="EH6" s="1225"/>
      <c r="EI6" s="1225"/>
      <c r="EJ6" s="1225"/>
      <c r="EK6" s="1225"/>
      <c r="EL6" s="1225"/>
      <c r="EM6" s="1225"/>
      <c r="EN6" s="1225"/>
      <c r="EO6" s="1225"/>
      <c r="EP6" s="1225"/>
      <c r="EQ6" s="1225"/>
      <c r="ER6" s="1225"/>
      <c r="ES6" s="1225"/>
      <c r="ET6" s="1225"/>
      <c r="EU6" s="1225"/>
      <c r="EV6" s="1225"/>
      <c r="EW6" s="1225"/>
      <c r="EX6" s="1225"/>
      <c r="EY6" s="1225"/>
      <c r="EZ6" s="1225"/>
      <c r="FA6" s="1225"/>
      <c r="FB6" s="1225"/>
      <c r="FC6" s="1225"/>
      <c r="FD6" s="1225"/>
      <c r="FE6" s="1225"/>
      <c r="FF6" s="1225"/>
      <c r="FG6" s="1225"/>
      <c r="FH6" s="1225"/>
      <c r="FI6" s="1225"/>
      <c r="FJ6" s="1225"/>
      <c r="FK6" s="1225"/>
      <c r="FL6" s="1225"/>
      <c r="FM6" s="1225"/>
      <c r="FN6" s="1225"/>
      <c r="FO6" s="1225"/>
      <c r="FP6" s="1225"/>
      <c r="FQ6" s="1225"/>
      <c r="FR6" s="1225"/>
      <c r="FS6" s="1225"/>
      <c r="FT6" s="1225"/>
      <c r="FU6" s="1225"/>
      <c r="FV6" s="1225"/>
      <c r="FW6" s="1225"/>
      <c r="FX6" s="1225"/>
      <c r="FY6" s="1225"/>
      <c r="FZ6" s="1225"/>
      <c r="GA6" s="1225"/>
      <c r="GB6" s="1225"/>
      <c r="GC6" s="1225"/>
      <c r="GD6" s="1225"/>
      <c r="GE6" s="1225"/>
      <c r="GF6" s="1225"/>
      <c r="GG6" s="1225"/>
      <c r="GH6" s="1225"/>
      <c r="GI6" s="1225"/>
      <c r="GJ6" s="1225"/>
      <c r="GK6" s="1225"/>
      <c r="GL6" s="1225"/>
      <c r="GM6" s="1225"/>
      <c r="GN6" s="1225"/>
      <c r="GO6" s="1225"/>
      <c r="GP6" s="1225"/>
      <c r="GQ6" s="1225"/>
      <c r="GR6" s="1225"/>
      <c r="GS6" s="1225"/>
      <c r="GT6" s="1225"/>
      <c r="GU6" s="1225"/>
      <c r="GV6" s="1225"/>
      <c r="GW6" s="1225"/>
      <c r="GX6" s="1225"/>
      <c r="GY6" s="1225"/>
      <c r="GZ6" s="1225"/>
      <c r="HA6" s="1225"/>
      <c r="HB6" s="1225"/>
      <c r="HC6" s="1225"/>
      <c r="HD6" s="1225"/>
      <c r="HE6" s="1225"/>
      <c r="HF6" s="1225"/>
      <c r="HG6" s="1225"/>
      <c r="HH6" s="1225"/>
      <c r="HI6" s="1225"/>
      <c r="HJ6" s="1225"/>
      <c r="HK6" s="1225"/>
      <c r="HL6" s="1225"/>
      <c r="HM6" s="1225"/>
      <c r="HN6" s="1225"/>
      <c r="HO6" s="1225"/>
      <c r="HP6" s="1225"/>
      <c r="HQ6" s="1225"/>
      <c r="HR6" s="1225"/>
      <c r="HS6" s="1225"/>
      <c r="HT6" s="1225"/>
      <c r="HU6" s="1225"/>
      <c r="HV6" s="1225"/>
      <c r="HW6" s="1225"/>
      <c r="HX6" s="1225"/>
      <c r="HY6" s="1225"/>
      <c r="HZ6" s="1225"/>
      <c r="IA6" s="1225"/>
      <c r="IB6" s="1225"/>
      <c r="IC6" s="1225"/>
      <c r="ID6" s="1225"/>
      <c r="IE6" s="1225"/>
      <c r="IF6" s="1225"/>
      <c r="IG6" s="1225"/>
      <c r="IH6" s="1225"/>
      <c r="II6" s="1225"/>
      <c r="IJ6" s="1225"/>
      <c r="IK6" s="1225"/>
      <c r="IL6" s="1225"/>
      <c r="IM6" s="1225"/>
      <c r="IN6" s="1225"/>
      <c r="IO6" s="1225"/>
      <c r="IP6" s="1225"/>
      <c r="IQ6" s="1225"/>
      <c r="IR6" s="1225"/>
      <c r="IS6" s="1225"/>
      <c r="IT6" s="1225"/>
      <c r="IU6" s="1225"/>
      <c r="IV6" s="1225"/>
      <c r="IW6" s="1225"/>
      <c r="IX6" s="1225"/>
      <c r="IY6" s="1225"/>
      <c r="IZ6" s="1225"/>
      <c r="JA6" s="1225"/>
      <c r="JB6" s="1225"/>
      <c r="JC6" s="1225"/>
      <c r="JD6" s="1225"/>
      <c r="JE6" s="1225"/>
      <c r="JF6" s="1225"/>
      <c r="JG6" s="1225"/>
      <c r="JH6" s="1225"/>
      <c r="JI6" s="1225"/>
      <c r="JJ6" s="1225"/>
      <c r="JK6" s="1225"/>
      <c r="JL6" s="1225"/>
      <c r="JM6" s="1225"/>
      <c r="JN6" s="1225"/>
      <c r="JO6" s="1225"/>
      <c r="JP6" s="1225"/>
      <c r="JQ6" s="1225"/>
      <c r="JR6" s="1225"/>
      <c r="JS6" s="1225"/>
      <c r="JT6" s="1225"/>
      <c r="JU6" s="1225"/>
      <c r="JV6" s="1225"/>
      <c r="JW6" s="1225"/>
      <c r="JX6" s="1225"/>
      <c r="JY6" s="1225"/>
      <c r="JZ6" s="1225"/>
      <c r="KA6" s="1225"/>
      <c r="KB6" s="1225"/>
      <c r="KC6" s="1225"/>
      <c r="KD6" s="1225"/>
      <c r="KE6" s="1225"/>
      <c r="KF6" s="1225"/>
      <c r="KG6" s="1225"/>
      <c r="KH6" s="1225"/>
      <c r="KI6" s="1225"/>
      <c r="KJ6" s="1225"/>
      <c r="KK6" s="1225"/>
      <c r="KL6" s="1225"/>
      <c r="KM6" s="1225"/>
      <c r="KN6" s="1225"/>
      <c r="KO6" s="1225"/>
      <c r="KP6" s="1225"/>
      <c r="KQ6" s="1225"/>
      <c r="KR6" s="1225"/>
      <c r="KS6" s="1225"/>
      <c r="KT6" s="1225"/>
      <c r="KU6" s="1225"/>
      <c r="KV6" s="1225"/>
      <c r="KW6" s="1225"/>
      <c r="KX6" s="1225"/>
      <c r="KY6" s="1225"/>
      <c r="KZ6" s="1225"/>
      <c r="LA6" s="1225"/>
      <c r="LB6" s="1225"/>
      <c r="LC6" s="1225"/>
      <c r="LD6" s="1225"/>
      <c r="LE6" s="1225"/>
      <c r="LF6" s="1225"/>
      <c r="LG6" s="1225"/>
      <c r="LH6" s="1225"/>
      <c r="LI6" s="1225"/>
      <c r="LJ6" s="1225"/>
      <c r="LK6" s="1225"/>
      <c r="LL6" s="1225"/>
      <c r="LM6" s="1225"/>
      <c r="LN6" s="1225"/>
      <c r="LO6" s="1225"/>
      <c r="LP6" s="1225"/>
      <c r="LQ6" s="1225"/>
      <c r="LR6" s="1225"/>
      <c r="LS6" s="1225"/>
      <c r="LT6" s="1225"/>
      <c r="LU6" s="1225"/>
      <c r="LV6" s="1225"/>
      <c r="LW6" s="1225"/>
      <c r="LX6" s="1225"/>
      <c r="LY6" s="1225"/>
      <c r="LZ6" s="1225"/>
      <c r="MA6" s="1225"/>
      <c r="MB6" s="1225"/>
      <c r="MC6" s="1225"/>
      <c r="MD6" s="1225"/>
      <c r="ME6" s="1225"/>
      <c r="MF6" s="1225"/>
      <c r="MG6" s="1225"/>
      <c r="MH6" s="1225"/>
      <c r="MI6" s="1225"/>
      <c r="MJ6" s="1225"/>
      <c r="MK6" s="1225"/>
      <c r="ML6" s="1225"/>
      <c r="MM6" s="1225"/>
      <c r="MN6" s="1225"/>
      <c r="MO6" s="1225"/>
      <c r="MP6" s="1225"/>
      <c r="MQ6" s="1225"/>
      <c r="MR6" s="1225"/>
      <c r="MS6" s="1225"/>
      <c r="MT6" s="1225"/>
      <c r="MU6" s="1225"/>
      <c r="MV6" s="1225"/>
      <c r="MW6" s="1225"/>
      <c r="MX6" s="1225"/>
      <c r="MY6" s="1225"/>
      <c r="MZ6" s="1225"/>
      <c r="NA6" s="1225"/>
      <c r="NB6" s="1225"/>
      <c r="NC6" s="1225"/>
      <c r="ND6" s="1225"/>
      <c r="NE6" s="1225"/>
      <c r="NF6" s="1225"/>
      <c r="NG6" s="1225"/>
      <c r="NH6" s="1225"/>
      <c r="NI6" s="1225"/>
      <c r="NJ6" s="1225"/>
      <c r="NK6" s="1225"/>
      <c r="NL6" s="1225"/>
      <c r="NM6" s="1225"/>
      <c r="NN6" s="1225"/>
      <c r="NO6" s="1225"/>
      <c r="NP6" s="1225"/>
      <c r="NQ6" s="1225"/>
      <c r="NR6" s="1225"/>
      <c r="NS6" s="1225"/>
      <c r="NT6" s="1225"/>
      <c r="NU6" s="1225"/>
      <c r="NV6" s="1225"/>
      <c r="NW6" s="1225"/>
      <c r="NX6" s="1225"/>
      <c r="NY6" s="1225"/>
      <c r="NZ6" s="1225"/>
      <c r="OA6" s="1225"/>
      <c r="OB6" s="1225"/>
      <c r="OC6" s="1225"/>
      <c r="OD6" s="1225"/>
      <c r="OE6" s="1225"/>
      <c r="OF6" s="1225"/>
      <c r="OG6" s="1225"/>
      <c r="OH6" s="1225"/>
      <c r="OI6" s="1225"/>
      <c r="OJ6" s="1225"/>
      <c r="OK6" s="1225"/>
      <c r="OL6" s="1225"/>
      <c r="OM6" s="1225"/>
      <c r="ON6" s="1225"/>
      <c r="OO6" s="1225"/>
      <c r="OP6" s="1225"/>
      <c r="OQ6" s="1225"/>
      <c r="OR6" s="1225"/>
      <c r="OS6" s="1225"/>
      <c r="OT6" s="1225"/>
      <c r="OU6" s="1225"/>
      <c r="OV6" s="1225"/>
      <c r="OW6" s="1225"/>
      <c r="OX6" s="1225"/>
      <c r="OY6" s="1225"/>
      <c r="OZ6" s="1225"/>
      <c r="PA6" s="1225"/>
      <c r="PB6" s="1225"/>
      <c r="PC6" s="1225"/>
      <c r="PD6" s="1225"/>
      <c r="PE6" s="1225"/>
      <c r="PF6" s="1225"/>
      <c r="PG6" s="1225"/>
      <c r="PH6" s="1225"/>
      <c r="PI6" s="1225"/>
      <c r="PJ6" s="1225"/>
      <c r="PK6" s="1225"/>
      <c r="PL6" s="1225"/>
      <c r="PM6" s="1225"/>
      <c r="PN6" s="1225"/>
      <c r="PO6" s="1225"/>
      <c r="PP6" s="1225"/>
      <c r="PQ6" s="1225"/>
      <c r="PR6" s="1225"/>
      <c r="PS6" s="1225"/>
      <c r="PT6" s="1225"/>
      <c r="PU6" s="1225"/>
      <c r="PV6" s="1225"/>
      <c r="PW6" s="1225"/>
      <c r="PX6" s="1225"/>
      <c r="PY6" s="1225"/>
      <c r="PZ6" s="1225"/>
      <c r="QA6" s="1225"/>
      <c r="QB6" s="1225"/>
      <c r="QC6" s="1225"/>
      <c r="QD6" s="1225"/>
      <c r="QE6" s="1225"/>
      <c r="QF6" s="1225"/>
      <c r="QG6" s="1225"/>
      <c r="QH6" s="1225"/>
      <c r="QI6" s="1225"/>
      <c r="QJ6" s="1225"/>
      <c r="QK6" s="1225"/>
      <c r="QL6" s="1225"/>
      <c r="QM6" s="1225"/>
      <c r="QN6" s="1225"/>
      <c r="QO6" s="1225"/>
      <c r="QP6" s="1225"/>
      <c r="QQ6" s="1225"/>
      <c r="QR6" s="1225"/>
      <c r="QS6" s="1225"/>
      <c r="QT6" s="1225"/>
      <c r="QU6" s="1225"/>
      <c r="QV6" s="1225"/>
      <c r="QW6" s="1225"/>
      <c r="QX6" s="1225"/>
      <c r="QY6" s="1225"/>
      <c r="QZ6" s="1225"/>
      <c r="RA6" s="1225"/>
      <c r="RB6" s="1225"/>
      <c r="RC6" s="1225"/>
      <c r="RD6" s="1225"/>
      <c r="RE6" s="1225"/>
      <c r="RF6" s="1225"/>
      <c r="RG6" s="1225"/>
      <c r="RH6" s="1225"/>
      <c r="RI6" s="1225"/>
      <c r="RJ6" s="1225"/>
      <c r="RK6" s="1225"/>
      <c r="RL6" s="1225"/>
      <c r="RM6" s="1225"/>
      <c r="RN6" s="1225"/>
      <c r="RO6" s="1225"/>
      <c r="RP6" s="1225"/>
      <c r="RQ6" s="1225"/>
      <c r="RR6" s="1225"/>
      <c r="RS6" s="1225"/>
      <c r="RT6" s="1225"/>
      <c r="RU6" s="1225"/>
      <c r="RV6" s="1225"/>
      <c r="RW6" s="1225"/>
      <c r="RX6" s="1225"/>
      <c r="RY6" s="1225"/>
      <c r="RZ6" s="1225"/>
      <c r="SA6" s="1225"/>
      <c r="SB6" s="1225"/>
      <c r="SC6" s="1225"/>
      <c r="SD6" s="1225"/>
      <c r="SE6" s="1225"/>
      <c r="SF6" s="1225"/>
      <c r="SG6" s="1225"/>
      <c r="SH6" s="1225"/>
      <c r="SI6" s="1225"/>
      <c r="SJ6" s="1225"/>
      <c r="SK6" s="1225"/>
      <c r="SL6" s="1225"/>
      <c r="SM6" s="1225"/>
      <c r="SN6" s="1225"/>
      <c r="SO6" s="1225"/>
      <c r="SP6" s="1225"/>
      <c r="SQ6" s="1225"/>
      <c r="SR6" s="1225"/>
      <c r="SS6" s="1225"/>
      <c r="ST6" s="1225"/>
      <c r="SU6" s="1225"/>
      <c r="SV6" s="1225"/>
      <c r="SW6" s="1225"/>
      <c r="SX6" s="1225"/>
      <c r="SY6" s="1225"/>
      <c r="SZ6" s="1225"/>
      <c r="TA6" s="1225"/>
      <c r="TB6" s="1225"/>
      <c r="TC6" s="1225"/>
      <c r="TD6" s="1225"/>
      <c r="TE6" s="1225"/>
      <c r="TF6" s="1225"/>
      <c r="TG6" s="1225"/>
      <c r="TH6" s="1225"/>
      <c r="TI6" s="1225"/>
      <c r="TJ6" s="1225"/>
      <c r="TK6" s="1225"/>
      <c r="TL6" s="1225"/>
      <c r="TM6" s="1225"/>
      <c r="TN6" s="1225"/>
      <c r="TO6" s="1225"/>
      <c r="TP6" s="1225"/>
      <c r="TQ6" s="1225"/>
      <c r="TR6" s="1225"/>
      <c r="TS6" s="1225"/>
      <c r="TT6" s="1225"/>
      <c r="TU6" s="1225"/>
      <c r="TV6" s="1225"/>
      <c r="TW6" s="1225"/>
      <c r="TX6" s="1225"/>
      <c r="TY6" s="1225"/>
      <c r="TZ6" s="1225"/>
      <c r="UA6" s="1225"/>
      <c r="UB6" s="1225"/>
      <c r="UC6" s="1225"/>
      <c r="UD6" s="1225"/>
      <c r="UE6" s="1225"/>
      <c r="UF6" s="1225"/>
      <c r="UG6" s="1225"/>
      <c r="UH6" s="1225"/>
      <c r="UI6" s="1225"/>
      <c r="UJ6" s="1225"/>
      <c r="UK6" s="1225"/>
      <c r="UL6" s="1225"/>
      <c r="UM6" s="1225"/>
      <c r="UN6" s="1225"/>
      <c r="UO6" s="1225"/>
      <c r="UP6" s="1225"/>
      <c r="UQ6" s="1225"/>
      <c r="UR6" s="1225"/>
      <c r="US6" s="1225"/>
      <c r="UT6" s="1225"/>
      <c r="UU6" s="1225"/>
      <c r="UV6" s="1225"/>
      <c r="UW6" s="1225"/>
      <c r="UX6" s="1225"/>
      <c r="UY6" s="1225"/>
      <c r="UZ6" s="1225"/>
      <c r="VA6" s="1225"/>
      <c r="VB6" s="1225"/>
      <c r="VC6" s="1225"/>
      <c r="VD6" s="1225"/>
      <c r="VE6" s="1225"/>
      <c r="VF6" s="1225"/>
      <c r="VG6" s="1225"/>
      <c r="VH6" s="1225"/>
      <c r="VI6" s="1225"/>
      <c r="VJ6" s="1225"/>
      <c r="VK6" s="1225"/>
      <c r="VL6" s="1225"/>
      <c r="VM6" s="1225"/>
      <c r="VN6" s="1225"/>
      <c r="VO6" s="1225"/>
      <c r="VP6" s="1225"/>
      <c r="VQ6" s="1225"/>
      <c r="VR6" s="1225"/>
      <c r="VS6" s="1225"/>
      <c r="VT6" s="1225"/>
      <c r="VU6" s="1225"/>
      <c r="VV6" s="1225"/>
      <c r="VW6" s="1225"/>
      <c r="VX6" s="1225"/>
      <c r="VY6" s="1225"/>
      <c r="VZ6" s="1225"/>
      <c r="WA6" s="1225"/>
      <c r="WB6" s="1225"/>
      <c r="WC6" s="1225"/>
      <c r="WD6" s="1225"/>
      <c r="WE6" s="1225"/>
      <c r="WF6" s="1225"/>
      <c r="WG6" s="1225"/>
      <c r="WH6" s="1225"/>
      <c r="WI6" s="1225"/>
      <c r="WJ6" s="1225"/>
      <c r="WK6" s="1225"/>
      <c r="WL6" s="1225"/>
      <c r="WM6" s="1225"/>
      <c r="WN6" s="1225"/>
      <c r="WO6" s="1225"/>
      <c r="WP6" s="1225"/>
      <c r="WQ6" s="1225"/>
      <c r="WR6" s="1225"/>
      <c r="WS6" s="1225"/>
      <c r="WT6" s="1225"/>
      <c r="WU6" s="1225"/>
      <c r="WV6" s="1225"/>
      <c r="WW6" s="1225"/>
      <c r="WX6" s="1225"/>
      <c r="WY6" s="1225"/>
      <c r="WZ6" s="1225"/>
      <c r="XA6" s="1225"/>
      <c r="XB6" s="1225"/>
      <c r="XC6" s="1225"/>
      <c r="XD6" s="1225"/>
      <c r="XE6" s="1225"/>
      <c r="XF6" s="1225"/>
      <c r="XG6" s="1225"/>
      <c r="XH6" s="1225"/>
      <c r="XI6" s="1225"/>
      <c r="XJ6" s="1225"/>
      <c r="XK6" s="1225"/>
      <c r="XL6" s="1225"/>
      <c r="XM6" s="1225"/>
      <c r="XN6" s="1225"/>
      <c r="XO6" s="1225"/>
      <c r="XP6" s="1225"/>
      <c r="XQ6" s="1225"/>
      <c r="XR6" s="1225"/>
      <c r="XS6" s="1225"/>
      <c r="XT6" s="1225"/>
      <c r="XU6" s="1225"/>
      <c r="XV6" s="1225"/>
      <c r="XW6" s="1225"/>
      <c r="XX6" s="1225"/>
      <c r="XY6" s="1225"/>
      <c r="XZ6" s="1225"/>
      <c r="YA6" s="1225"/>
      <c r="YB6" s="1225"/>
      <c r="YC6" s="1225"/>
      <c r="YD6" s="1225"/>
      <c r="YE6" s="1225"/>
      <c r="YF6" s="1225"/>
      <c r="YG6" s="1225"/>
      <c r="YH6" s="1225"/>
      <c r="YI6" s="1225"/>
      <c r="YJ6" s="1225"/>
      <c r="YK6" s="1225"/>
      <c r="YL6" s="1225"/>
      <c r="YM6" s="1225"/>
      <c r="YN6" s="1225"/>
      <c r="YO6" s="1225"/>
      <c r="YP6" s="1225"/>
      <c r="YQ6" s="1225"/>
      <c r="YR6" s="1225"/>
      <c r="YS6" s="1225"/>
      <c r="YT6" s="1225"/>
      <c r="YU6" s="1225"/>
      <c r="YV6" s="1225"/>
      <c r="YW6" s="1225"/>
      <c r="YX6" s="1225"/>
      <c r="YY6" s="1225"/>
      <c r="YZ6" s="1225"/>
      <c r="ZA6" s="1225"/>
      <c r="ZB6" s="1225"/>
      <c r="ZC6" s="1225"/>
      <c r="ZD6" s="1225"/>
      <c r="ZE6" s="1225"/>
      <c r="ZF6" s="1225"/>
      <c r="ZG6" s="1225"/>
      <c r="ZH6" s="1225"/>
      <c r="ZI6" s="1225"/>
      <c r="ZJ6" s="1225"/>
      <c r="ZK6" s="1225"/>
      <c r="ZL6" s="1225"/>
      <c r="ZM6" s="1225"/>
      <c r="ZN6" s="1225"/>
      <c r="ZO6" s="1225"/>
      <c r="ZP6" s="1225"/>
      <c r="ZQ6" s="1225"/>
      <c r="ZR6" s="1225"/>
      <c r="ZS6" s="1225"/>
      <c r="ZT6" s="1225"/>
      <c r="ZU6" s="1225"/>
      <c r="ZV6" s="1225"/>
      <c r="ZW6" s="1225"/>
      <c r="ZX6" s="1225"/>
      <c r="ZY6" s="1225"/>
      <c r="ZZ6" s="1225"/>
      <c r="AAA6" s="1225"/>
      <c r="AAB6" s="1225"/>
      <c r="AAC6" s="1225"/>
      <c r="AAD6" s="1225"/>
      <c r="AAE6" s="1225"/>
      <c r="AAF6" s="1225"/>
      <c r="AAG6" s="1225"/>
      <c r="AAH6" s="1225"/>
      <c r="AAI6" s="1225"/>
      <c r="AAJ6" s="1225"/>
      <c r="AAK6" s="1225"/>
      <c r="AAL6" s="1225"/>
      <c r="AAM6" s="1225"/>
      <c r="AAN6" s="1225"/>
      <c r="AAO6" s="1225"/>
      <c r="AAP6" s="1225"/>
      <c r="AAQ6" s="1225"/>
      <c r="AAR6" s="1225"/>
      <c r="AAS6" s="1225"/>
      <c r="AAT6" s="1225"/>
      <c r="AAU6" s="1225"/>
      <c r="AAV6" s="1225"/>
      <c r="AAW6" s="1225"/>
      <c r="AAX6" s="1225"/>
      <c r="AAY6" s="1225"/>
      <c r="AAZ6" s="1225"/>
      <c r="ABA6" s="1225"/>
      <c r="ABB6" s="1225"/>
      <c r="ABC6" s="1225"/>
      <c r="ABD6" s="1225"/>
      <c r="ABE6" s="1225"/>
      <c r="ABF6" s="1225"/>
      <c r="ABG6" s="1225"/>
      <c r="ABH6" s="1225"/>
      <c r="ABI6" s="1225"/>
      <c r="ABJ6" s="1225"/>
      <c r="ABK6" s="1225"/>
      <c r="ABL6" s="1225"/>
      <c r="ABM6" s="1225"/>
      <c r="ABN6" s="1225"/>
      <c r="ABO6" s="1225"/>
      <c r="ABP6" s="1225"/>
      <c r="ABQ6" s="1225"/>
      <c r="ABR6" s="1225"/>
      <c r="ABS6" s="1225"/>
      <c r="ABT6" s="1225"/>
      <c r="ABU6" s="1225"/>
      <c r="ABV6" s="1225"/>
      <c r="ABW6" s="1225"/>
      <c r="ABX6" s="1225"/>
      <c r="ABY6" s="1225"/>
      <c r="ABZ6" s="1225"/>
      <c r="ACA6" s="1225"/>
      <c r="ACB6" s="1225"/>
      <c r="ACC6" s="1225"/>
      <c r="ACD6" s="1225"/>
      <c r="ACE6" s="1225"/>
      <c r="ACF6" s="1225"/>
      <c r="ACG6" s="1225"/>
      <c r="ACH6" s="1225"/>
      <c r="ACI6" s="1225"/>
      <c r="ACJ6" s="1225"/>
      <c r="ACK6" s="1225"/>
      <c r="ACL6" s="1225"/>
      <c r="ACM6" s="1225"/>
      <c r="ACN6" s="1225"/>
      <c r="ACO6" s="1225"/>
      <c r="ACP6" s="1225"/>
      <c r="ACQ6" s="1225"/>
      <c r="ACR6" s="1225"/>
      <c r="ACS6" s="1225"/>
      <c r="ACT6" s="1225"/>
      <c r="ACU6" s="1225"/>
      <c r="ACV6" s="1225"/>
      <c r="ACW6" s="1225"/>
      <c r="ACX6" s="1225"/>
      <c r="ACY6" s="1225"/>
      <c r="ACZ6" s="1225"/>
      <c r="ADA6" s="1225"/>
      <c r="ADB6" s="1225"/>
      <c r="ADC6" s="1225"/>
      <c r="ADD6" s="1225"/>
      <c r="ADE6" s="1225"/>
      <c r="ADF6" s="1225"/>
      <c r="ADG6" s="1225"/>
      <c r="ADH6" s="1225"/>
      <c r="ADI6" s="1225"/>
      <c r="ADJ6" s="1225"/>
      <c r="ADK6" s="1225"/>
      <c r="ADL6" s="1225"/>
      <c r="ADM6" s="1225"/>
      <c r="ADN6" s="1225"/>
      <c r="ADO6" s="1225"/>
      <c r="ADP6" s="1225"/>
      <c r="ADQ6" s="1225"/>
      <c r="ADR6" s="1225"/>
      <c r="ADS6" s="1225"/>
      <c r="ADT6" s="1225"/>
      <c r="ADU6" s="1225"/>
      <c r="ADV6" s="1225"/>
      <c r="ADW6" s="1225"/>
      <c r="ADX6" s="1225"/>
      <c r="ADY6" s="1225"/>
      <c r="ADZ6" s="1225"/>
      <c r="AEA6" s="1225"/>
      <c r="AEB6" s="1225"/>
      <c r="AEC6" s="1225"/>
      <c r="AED6" s="1225"/>
      <c r="AEE6" s="1225"/>
      <c r="AEF6" s="1225"/>
      <c r="AEG6" s="1225"/>
      <c r="AEH6" s="1225"/>
      <c r="AEI6" s="1225"/>
      <c r="AEJ6" s="1225"/>
      <c r="AEK6" s="1225"/>
      <c r="AEL6" s="1225"/>
      <c r="AEM6" s="1225"/>
      <c r="AEN6" s="1225"/>
      <c r="AEO6" s="1225"/>
      <c r="AEP6" s="1225"/>
      <c r="AEQ6" s="1225"/>
      <c r="AER6" s="1225"/>
      <c r="AES6" s="1225"/>
      <c r="AET6" s="1225"/>
      <c r="AEU6" s="1225"/>
      <c r="AEV6" s="1225"/>
      <c r="AEW6" s="1225"/>
      <c r="AEX6" s="1225"/>
      <c r="AEY6" s="1225"/>
      <c r="AEZ6" s="1225"/>
      <c r="AFA6" s="1225"/>
      <c r="AFB6" s="1225"/>
      <c r="AFC6" s="1225"/>
      <c r="AFD6" s="1225"/>
      <c r="AFE6" s="1225"/>
      <c r="AFF6" s="1225"/>
      <c r="AFG6" s="1225"/>
      <c r="AFH6" s="1225"/>
      <c r="AFI6" s="1225"/>
      <c r="AFJ6" s="1225"/>
      <c r="AFK6" s="1225"/>
      <c r="AFL6" s="1225"/>
      <c r="AFM6" s="1225"/>
      <c r="AFN6" s="1225"/>
      <c r="AFO6" s="1225"/>
      <c r="AFP6" s="1225"/>
      <c r="AFQ6" s="1225"/>
      <c r="AFR6" s="1225"/>
      <c r="AFS6" s="1225"/>
      <c r="AFT6" s="1225"/>
      <c r="AFU6" s="1225"/>
      <c r="AFV6" s="1225"/>
      <c r="AFW6" s="1225"/>
      <c r="AFX6" s="1225"/>
      <c r="AFY6" s="1225"/>
      <c r="AFZ6" s="1225"/>
      <c r="AGA6" s="1225"/>
      <c r="AGB6" s="1225"/>
      <c r="AGC6" s="1225"/>
      <c r="AGD6" s="1225"/>
      <c r="AGE6" s="1225"/>
      <c r="AGF6" s="1225"/>
      <c r="AGG6" s="1225"/>
      <c r="AGH6" s="1225"/>
      <c r="AGI6" s="1225"/>
      <c r="AGJ6" s="1225"/>
      <c r="AGK6" s="1225"/>
      <c r="AGL6" s="1225"/>
      <c r="AGM6" s="1225"/>
      <c r="AGN6" s="1225"/>
      <c r="AGO6" s="1225"/>
      <c r="AGP6" s="1225"/>
      <c r="AGQ6" s="1225"/>
      <c r="AGR6" s="1225"/>
      <c r="AGS6" s="1225"/>
      <c r="AGT6" s="1225"/>
      <c r="AGU6" s="1225"/>
      <c r="AGV6" s="1225"/>
      <c r="AGW6" s="1225"/>
      <c r="AGX6" s="1225"/>
      <c r="AGY6" s="1225"/>
      <c r="AGZ6" s="1225"/>
      <c r="AHA6" s="1225"/>
      <c r="AHB6" s="1225"/>
      <c r="AHC6" s="1225"/>
      <c r="AHD6" s="1225"/>
      <c r="AHE6" s="1225"/>
      <c r="AHF6" s="1225"/>
      <c r="AHG6" s="1225"/>
      <c r="AHH6" s="1225"/>
      <c r="AHI6" s="1225"/>
      <c r="AHJ6" s="1225"/>
      <c r="AHK6" s="1225"/>
      <c r="AHL6" s="1225"/>
      <c r="AHM6" s="1225"/>
      <c r="AHN6" s="1225"/>
      <c r="AHO6" s="1225"/>
      <c r="AHP6" s="1225"/>
      <c r="AHQ6" s="1225"/>
      <c r="AHR6" s="1225"/>
      <c r="AHS6" s="1225"/>
      <c r="AHT6" s="1225"/>
      <c r="AHU6" s="1225"/>
      <c r="AHV6" s="1225"/>
      <c r="AHW6" s="1225"/>
      <c r="AHX6" s="1225"/>
      <c r="AHY6" s="1225"/>
      <c r="AHZ6" s="1225"/>
      <c r="AIA6" s="1225"/>
      <c r="AIB6" s="1225"/>
      <c r="AIC6" s="1225"/>
      <c r="AID6" s="1225"/>
      <c r="AIE6" s="1225"/>
      <c r="AIF6" s="1225"/>
      <c r="AIG6" s="1225"/>
      <c r="AIH6" s="1225"/>
      <c r="AII6" s="1225"/>
      <c r="AIJ6" s="1225"/>
      <c r="AIK6" s="1225"/>
      <c r="AIL6" s="1225"/>
      <c r="AIM6" s="1225"/>
      <c r="AIN6" s="1225"/>
      <c r="AIO6" s="1225"/>
      <c r="AIP6" s="1225"/>
      <c r="AIQ6" s="1225"/>
      <c r="AIR6" s="1225"/>
      <c r="AIS6" s="1225"/>
      <c r="AIT6" s="1225"/>
      <c r="AIU6" s="1225"/>
      <c r="AIV6" s="1225"/>
      <c r="AIW6" s="1225"/>
      <c r="AIX6" s="1225"/>
      <c r="AIY6" s="1225"/>
      <c r="AIZ6" s="1225"/>
      <c r="AJA6" s="1225"/>
      <c r="AJB6" s="1225"/>
      <c r="AJC6" s="1225"/>
      <c r="AJD6" s="1225"/>
      <c r="AJE6" s="1225"/>
      <c r="AJF6" s="1225"/>
      <c r="AJG6" s="1225"/>
      <c r="AJH6" s="1225"/>
      <c r="AJI6" s="1225"/>
      <c r="AJJ6" s="1225"/>
      <c r="AJK6" s="1225"/>
      <c r="AJL6" s="1225"/>
      <c r="AJM6" s="1225"/>
      <c r="AJN6" s="1225"/>
      <c r="AJO6" s="1225"/>
      <c r="AJP6" s="1225"/>
      <c r="AJQ6" s="1225"/>
      <c r="AJR6" s="1225"/>
      <c r="AJS6" s="1225"/>
      <c r="AJT6" s="1225"/>
      <c r="AJU6" s="1225"/>
      <c r="AJV6" s="1225"/>
      <c r="AJW6" s="1225"/>
      <c r="AJX6" s="1225"/>
      <c r="AJY6" s="1225"/>
      <c r="AJZ6" s="1225"/>
      <c r="AKA6" s="1225"/>
      <c r="AKB6" s="1225"/>
      <c r="AKC6" s="1225"/>
      <c r="AKD6" s="1225"/>
      <c r="AKE6" s="1225"/>
      <c r="AKF6" s="1225"/>
      <c r="AKG6" s="1225"/>
      <c r="AKH6" s="1225"/>
      <c r="AKI6" s="1225"/>
      <c r="AKJ6" s="1225"/>
      <c r="AKK6" s="1225"/>
      <c r="AKL6" s="1225"/>
      <c r="AKM6" s="1225"/>
      <c r="AKN6" s="1225"/>
      <c r="AKO6" s="1225"/>
      <c r="AKP6" s="1225"/>
      <c r="AKQ6" s="1225"/>
      <c r="AKR6" s="1225"/>
      <c r="AKS6" s="1225"/>
      <c r="AKT6" s="1225"/>
      <c r="AKU6" s="1225"/>
      <c r="AKV6" s="1225"/>
      <c r="AKW6" s="1225"/>
      <c r="AKX6" s="1225"/>
      <c r="AKY6" s="1225"/>
      <c r="AKZ6" s="1225"/>
      <c r="ALA6" s="1225"/>
      <c r="ALB6" s="1225"/>
      <c r="ALC6" s="1225"/>
      <c r="ALD6" s="1225"/>
      <c r="ALE6" s="1225"/>
      <c r="ALF6" s="1225"/>
      <c r="ALG6" s="1225"/>
      <c r="ALH6" s="1225"/>
      <c r="ALI6" s="1225"/>
      <c r="ALJ6" s="1225"/>
      <c r="ALK6" s="1225"/>
      <c r="ALL6" s="1225"/>
      <c r="ALM6" s="1225"/>
      <c r="ALN6" s="1225"/>
      <c r="ALO6" s="1225"/>
      <c r="ALP6" s="1225"/>
      <c r="ALQ6" s="1225"/>
      <c r="ALR6" s="1225"/>
      <c r="ALS6" s="1225"/>
      <c r="ALT6" s="1225"/>
      <c r="ALU6" s="1225"/>
      <c r="ALV6" s="1225"/>
      <c r="ALW6" s="1225"/>
      <c r="ALX6" s="1225"/>
      <c r="ALY6" s="1225"/>
      <c r="ALZ6" s="1225"/>
      <c r="AMA6" s="1225"/>
      <c r="AMB6" s="1225"/>
      <c r="AMC6" s="1225"/>
      <c r="AMD6" s="1225"/>
      <c r="AME6" s="1225"/>
      <c r="AMF6" s="1225"/>
      <c r="AMG6" s="1225"/>
      <c r="AMH6" s="1225"/>
      <c r="AMI6" s="1225"/>
      <c r="AMJ6" s="1225"/>
      <c r="AMK6" s="1225"/>
      <c r="AML6" s="1225"/>
      <c r="AMM6" s="1225"/>
      <c r="AMN6" s="1225"/>
      <c r="AMO6" s="1225"/>
      <c r="AMP6" s="1225"/>
      <c r="AMQ6" s="1225"/>
      <c r="AMR6" s="1225"/>
      <c r="AMS6" s="1225"/>
      <c r="AMT6" s="1225"/>
      <c r="AMU6" s="1225"/>
      <c r="AMV6" s="1225"/>
      <c r="AMW6" s="1225"/>
      <c r="AMX6" s="1225"/>
      <c r="AMY6" s="1225"/>
      <c r="AMZ6" s="1225"/>
      <c r="ANA6" s="1225"/>
      <c r="ANB6" s="1225"/>
      <c r="ANC6" s="1225"/>
      <c r="AND6" s="1225"/>
      <c r="ANE6" s="1225"/>
      <c r="ANF6" s="1225"/>
      <c r="ANG6" s="1225"/>
      <c r="ANH6" s="1225"/>
      <c r="ANI6" s="1225"/>
      <c r="ANJ6" s="1225"/>
      <c r="ANK6" s="1225"/>
      <c r="ANL6" s="1225"/>
      <c r="ANM6" s="1225"/>
      <c r="ANN6" s="1225"/>
      <c r="ANO6" s="1225"/>
      <c r="ANP6" s="1225"/>
      <c r="ANQ6" s="1225"/>
      <c r="ANR6" s="1225"/>
      <c r="ANS6" s="1225"/>
      <c r="ANT6" s="1225"/>
      <c r="ANU6" s="1225"/>
      <c r="ANV6" s="1225"/>
      <c r="ANW6" s="1225"/>
      <c r="ANX6" s="1225"/>
      <c r="ANY6" s="1225"/>
      <c r="ANZ6" s="1225"/>
      <c r="AOA6" s="1225"/>
      <c r="AOB6" s="1225"/>
      <c r="AOC6" s="1225"/>
      <c r="AOD6" s="1225"/>
      <c r="AOE6" s="1225"/>
      <c r="AOF6" s="1225"/>
      <c r="AOG6" s="1225"/>
      <c r="AOH6" s="1225"/>
      <c r="AOI6" s="1225"/>
      <c r="AOJ6" s="1225"/>
      <c r="AOK6" s="1225"/>
      <c r="AOL6" s="1225"/>
      <c r="AOM6" s="1225"/>
      <c r="AON6" s="1225"/>
      <c r="AOO6" s="1225"/>
      <c r="AOP6" s="1225"/>
      <c r="AOQ6" s="1225"/>
      <c r="AOR6" s="1225"/>
      <c r="AOS6" s="1225"/>
      <c r="AOT6" s="1225"/>
      <c r="AOU6" s="1225"/>
      <c r="AOV6" s="1225"/>
      <c r="AOW6" s="1225"/>
      <c r="AOX6" s="1225"/>
      <c r="AOY6" s="1225"/>
      <c r="AOZ6" s="1225"/>
      <c r="APA6" s="1225"/>
      <c r="APB6" s="1225"/>
      <c r="APC6" s="1225"/>
      <c r="APD6" s="1225"/>
      <c r="APE6" s="1225"/>
      <c r="APF6" s="1225"/>
      <c r="APG6" s="1225"/>
      <c r="APH6" s="1225"/>
      <c r="API6" s="1225"/>
      <c r="APJ6" s="1225"/>
      <c r="APK6" s="1225"/>
      <c r="APL6" s="1225"/>
      <c r="APM6" s="1225"/>
      <c r="APN6" s="1225"/>
      <c r="APO6" s="1225"/>
      <c r="APP6" s="1225"/>
      <c r="APQ6" s="1225"/>
      <c r="APR6" s="1225"/>
      <c r="APS6" s="1225"/>
      <c r="APT6" s="1225"/>
      <c r="APU6" s="1225"/>
      <c r="APV6" s="1225"/>
      <c r="APW6" s="1225"/>
      <c r="APX6" s="1225"/>
      <c r="APY6" s="1225"/>
      <c r="APZ6" s="1225"/>
      <c r="AQA6" s="1225"/>
      <c r="AQB6" s="1225"/>
      <c r="AQC6" s="1225"/>
      <c r="AQD6" s="1225"/>
      <c r="AQE6" s="1225"/>
      <c r="AQF6" s="1225"/>
      <c r="AQG6" s="1225"/>
      <c r="AQH6" s="1225"/>
      <c r="AQI6" s="1225"/>
      <c r="AQJ6" s="1225"/>
      <c r="AQK6" s="1225"/>
      <c r="AQL6" s="1225"/>
      <c r="AQM6" s="1225"/>
      <c r="AQN6" s="1225"/>
      <c r="AQO6" s="1225"/>
      <c r="AQP6" s="1225"/>
      <c r="AQQ6" s="1225"/>
      <c r="AQR6" s="1225"/>
      <c r="AQS6" s="1225"/>
      <c r="AQT6" s="1225"/>
      <c r="AQU6" s="1225"/>
      <c r="AQV6" s="1225"/>
      <c r="AQW6" s="1225"/>
      <c r="AQX6" s="1225"/>
      <c r="AQY6" s="1225"/>
      <c r="AQZ6" s="1225"/>
      <c r="ARA6" s="1225"/>
      <c r="ARB6" s="1225"/>
      <c r="ARC6" s="1225"/>
      <c r="ARD6" s="1225"/>
      <c r="ARE6" s="1225"/>
      <c r="ARF6" s="1225"/>
      <c r="ARG6" s="1225"/>
      <c r="ARH6" s="1225"/>
      <c r="ARI6" s="1225"/>
      <c r="ARJ6" s="1225"/>
      <c r="ARK6" s="1225"/>
      <c r="ARL6" s="1225"/>
      <c r="ARM6" s="1225"/>
      <c r="ARN6" s="1225"/>
      <c r="ARO6" s="1225"/>
      <c r="ARP6" s="1225"/>
      <c r="ARQ6" s="1225"/>
      <c r="ARR6" s="1225"/>
      <c r="ARS6" s="1225"/>
      <c r="ART6" s="1225"/>
      <c r="ARU6" s="1225"/>
      <c r="ARV6" s="1225"/>
      <c r="ARW6" s="1225"/>
      <c r="ARX6" s="1225"/>
      <c r="ARY6" s="1225"/>
      <c r="ARZ6" s="1225"/>
      <c r="ASA6" s="1225"/>
      <c r="ASB6" s="1225"/>
      <c r="ASC6" s="1225"/>
      <c r="ASD6" s="1225"/>
      <c r="ASE6" s="1225"/>
      <c r="ASF6" s="1225"/>
      <c r="ASG6" s="1225"/>
      <c r="ASH6" s="1225"/>
      <c r="ASI6" s="1225"/>
      <c r="ASJ6" s="1225"/>
      <c r="ASK6" s="1225"/>
      <c r="ASL6" s="1225"/>
      <c r="ASM6" s="1225"/>
      <c r="ASN6" s="1225"/>
      <c r="ASO6" s="1225"/>
      <c r="ASP6" s="1225"/>
      <c r="ASQ6" s="1225"/>
      <c r="ASR6" s="1225"/>
      <c r="ASS6" s="1225"/>
      <c r="AST6" s="1225"/>
      <c r="ASU6" s="1225"/>
      <c r="ASV6" s="1225"/>
      <c r="ASW6" s="1225"/>
      <c r="ASX6" s="1225"/>
      <c r="ASY6" s="1225"/>
      <c r="ASZ6" s="1225"/>
      <c r="ATA6" s="1225"/>
      <c r="ATB6" s="1225"/>
      <c r="ATC6" s="1225"/>
      <c r="ATD6" s="1225"/>
      <c r="ATE6" s="1225"/>
      <c r="ATF6" s="1225"/>
      <c r="ATG6" s="1225"/>
      <c r="ATH6" s="1225"/>
      <c r="ATI6" s="1225"/>
      <c r="ATJ6" s="1225"/>
      <c r="ATK6" s="1225"/>
      <c r="ATL6" s="1225"/>
      <c r="ATM6" s="1225"/>
      <c r="ATN6" s="1225"/>
      <c r="ATO6" s="1225"/>
      <c r="ATP6" s="1225"/>
      <c r="ATQ6" s="1225"/>
      <c r="ATR6" s="1225"/>
      <c r="ATS6" s="1225"/>
      <c r="ATT6" s="1225"/>
      <c r="ATU6" s="1225"/>
      <c r="ATV6" s="1225"/>
      <c r="ATW6" s="1225"/>
      <c r="ATX6" s="1225"/>
      <c r="ATY6" s="1225"/>
      <c r="ATZ6" s="1225"/>
      <c r="AUA6" s="1225"/>
      <c r="AUB6" s="1225"/>
      <c r="AUC6" s="1225"/>
      <c r="AUD6" s="1225"/>
      <c r="AUE6" s="1225"/>
      <c r="AUF6" s="1225"/>
      <c r="AUG6" s="1225"/>
      <c r="AUH6" s="1225"/>
      <c r="AUI6" s="1225"/>
      <c r="AUJ6" s="1225"/>
      <c r="AUK6" s="1225"/>
      <c r="AUL6" s="1225"/>
      <c r="AUM6" s="1225"/>
      <c r="AUN6" s="1225"/>
      <c r="AUO6" s="1225"/>
      <c r="AUP6" s="1225"/>
      <c r="AUQ6" s="1225"/>
      <c r="AUR6" s="1225"/>
      <c r="AUS6" s="1225"/>
      <c r="AUT6" s="1225"/>
      <c r="AUU6" s="1225"/>
      <c r="AUV6" s="1225"/>
      <c r="AUW6" s="1225"/>
      <c r="AUX6" s="1225"/>
      <c r="AUY6" s="1225"/>
      <c r="AUZ6" s="1225"/>
      <c r="AVA6" s="1225"/>
      <c r="AVB6" s="1225"/>
      <c r="AVC6" s="1225"/>
      <c r="AVD6" s="1225"/>
      <c r="AVE6" s="1225"/>
      <c r="AVF6" s="1225"/>
      <c r="AVG6" s="1225"/>
      <c r="AVH6" s="1225"/>
      <c r="AVI6" s="1225"/>
      <c r="AVJ6" s="1225"/>
      <c r="AVK6" s="1225"/>
      <c r="AVL6" s="1225"/>
      <c r="AVM6" s="1225"/>
      <c r="AVN6" s="1225"/>
      <c r="AVO6" s="1225"/>
      <c r="AVP6" s="1225"/>
      <c r="AVQ6" s="1225"/>
      <c r="AVR6" s="1225"/>
      <c r="AVS6" s="1225"/>
      <c r="AVT6" s="1225"/>
      <c r="AVU6" s="1225"/>
      <c r="AVV6" s="1225"/>
      <c r="AVW6" s="1225"/>
      <c r="AVX6" s="1225"/>
      <c r="AVY6" s="1225"/>
      <c r="AVZ6" s="1225"/>
      <c r="AWA6" s="1225"/>
      <c r="AWB6" s="1225"/>
      <c r="AWC6" s="1225"/>
      <c r="AWD6" s="1225"/>
      <c r="AWE6" s="1225"/>
      <c r="AWF6" s="1225"/>
      <c r="AWG6" s="1225"/>
      <c r="AWH6" s="1225"/>
      <c r="AWI6" s="1225"/>
      <c r="AWJ6" s="1225"/>
      <c r="AWK6" s="1225"/>
      <c r="AWL6" s="1225"/>
      <c r="AWM6" s="1225"/>
      <c r="AWN6" s="1225"/>
      <c r="AWO6" s="1225"/>
      <c r="AWP6" s="1225"/>
      <c r="AWQ6" s="1225"/>
      <c r="AWR6" s="1225"/>
      <c r="AWS6" s="1225"/>
      <c r="AWT6" s="1225"/>
      <c r="AWU6" s="1225"/>
      <c r="AWV6" s="1225"/>
      <c r="AWW6" s="1225"/>
      <c r="AWX6" s="1225"/>
      <c r="AWY6" s="1225"/>
      <c r="AWZ6" s="1225"/>
      <c r="AXA6" s="1225"/>
      <c r="AXB6" s="1225"/>
      <c r="AXC6" s="1225"/>
      <c r="AXD6" s="1225"/>
      <c r="AXE6" s="1225"/>
      <c r="AXF6" s="1225"/>
      <c r="AXG6" s="1225"/>
      <c r="AXH6" s="1225"/>
      <c r="AXI6" s="1225"/>
      <c r="AXJ6" s="1225"/>
      <c r="AXK6" s="1225"/>
      <c r="AXL6" s="1225"/>
      <c r="AXM6" s="1225"/>
      <c r="AXN6" s="1225"/>
      <c r="AXO6" s="1225"/>
      <c r="AXP6" s="1225"/>
      <c r="AXQ6" s="1225"/>
      <c r="AXR6" s="1225"/>
      <c r="AXS6" s="1225"/>
      <c r="AXT6" s="1225"/>
      <c r="AXU6" s="1225"/>
      <c r="AXV6" s="1225"/>
      <c r="AXW6" s="1225"/>
      <c r="AXX6" s="1225"/>
      <c r="AXY6" s="1225"/>
      <c r="AXZ6" s="1225"/>
      <c r="AYA6" s="1225"/>
      <c r="AYB6" s="1225"/>
      <c r="AYC6" s="1225"/>
      <c r="AYD6" s="1225"/>
      <c r="AYE6" s="1225"/>
      <c r="AYF6" s="1225"/>
      <c r="AYG6" s="1225"/>
      <c r="AYH6" s="1225"/>
      <c r="AYI6" s="1225"/>
      <c r="AYJ6" s="1225"/>
      <c r="AYK6" s="1225"/>
      <c r="AYL6" s="1225"/>
      <c r="AYM6" s="1225"/>
      <c r="AYN6" s="1225"/>
      <c r="AYO6" s="1225"/>
      <c r="AYP6" s="1225"/>
      <c r="AYQ6" s="1225"/>
      <c r="AYR6" s="1225"/>
      <c r="AYS6" s="1225"/>
      <c r="AYT6" s="1225"/>
      <c r="AYU6" s="1225"/>
      <c r="AYV6" s="1225"/>
      <c r="AYW6" s="1225"/>
      <c r="AYX6" s="1225"/>
      <c r="AYY6" s="1225"/>
      <c r="AYZ6" s="1225"/>
      <c r="AZA6" s="1225"/>
      <c r="AZB6" s="1225"/>
      <c r="AZC6" s="1225"/>
      <c r="AZD6" s="1225"/>
      <c r="AZE6" s="1225"/>
      <c r="AZF6" s="1225"/>
      <c r="AZG6" s="1225"/>
      <c r="AZH6" s="1225"/>
      <c r="AZI6" s="1225"/>
      <c r="AZJ6" s="1225"/>
      <c r="AZK6" s="1225"/>
      <c r="AZL6" s="1225"/>
      <c r="AZM6" s="1225"/>
      <c r="AZN6" s="1225"/>
      <c r="AZO6" s="1225"/>
      <c r="AZP6" s="1225"/>
      <c r="AZQ6" s="1225"/>
      <c r="AZR6" s="1225"/>
      <c r="AZS6" s="1225"/>
      <c r="AZT6" s="1225"/>
      <c r="AZU6" s="1225"/>
      <c r="AZV6" s="1225"/>
      <c r="AZW6" s="1225"/>
      <c r="AZX6" s="1225"/>
      <c r="AZY6" s="1225"/>
      <c r="AZZ6" s="1225"/>
      <c r="BAA6" s="1225"/>
      <c r="BAB6" s="1225"/>
      <c r="BAC6" s="1225"/>
      <c r="BAD6" s="1225"/>
      <c r="BAE6" s="1225"/>
      <c r="BAF6" s="1225"/>
      <c r="BAG6" s="1225"/>
      <c r="BAH6" s="1225"/>
      <c r="BAI6" s="1225"/>
      <c r="BAJ6" s="1225"/>
      <c r="BAK6" s="1225"/>
      <c r="BAL6" s="1225"/>
      <c r="BAM6" s="1225"/>
      <c r="BAN6" s="1225"/>
      <c r="BAO6" s="1225"/>
      <c r="BAP6" s="1225"/>
      <c r="BAQ6" s="1225"/>
      <c r="BAR6" s="1225"/>
      <c r="BAS6" s="1225"/>
      <c r="BAT6" s="1225"/>
      <c r="BAU6" s="1225"/>
      <c r="BAV6" s="1225"/>
      <c r="BAW6" s="1225"/>
      <c r="BAX6" s="1225"/>
      <c r="BAY6" s="1225"/>
      <c r="BAZ6" s="1225"/>
      <c r="BBA6" s="1225"/>
      <c r="BBB6" s="1225"/>
      <c r="BBC6" s="1225"/>
      <c r="BBD6" s="1225"/>
      <c r="BBE6" s="1225"/>
      <c r="BBF6" s="1225"/>
      <c r="BBG6" s="1225"/>
      <c r="BBH6" s="1225"/>
      <c r="BBI6" s="1225"/>
      <c r="BBJ6" s="1225"/>
      <c r="BBK6" s="1225"/>
      <c r="BBL6" s="1225"/>
      <c r="BBM6" s="1225"/>
      <c r="BBN6" s="1225"/>
      <c r="BBO6" s="1225"/>
      <c r="BBP6" s="1225"/>
      <c r="BBQ6" s="1225"/>
      <c r="BBR6" s="1225"/>
      <c r="BBS6" s="1225"/>
      <c r="BBT6" s="1225"/>
      <c r="BBU6" s="1225"/>
      <c r="BBV6" s="1225"/>
      <c r="BBW6" s="1225"/>
      <c r="BBX6" s="1225"/>
      <c r="BBY6" s="1225"/>
      <c r="BBZ6" s="1225"/>
      <c r="BCA6" s="1225"/>
      <c r="BCB6" s="1225"/>
      <c r="BCC6" s="1225"/>
      <c r="BCD6" s="1225"/>
      <c r="BCE6" s="1225"/>
      <c r="BCF6" s="1225"/>
      <c r="BCG6" s="1225"/>
      <c r="BCH6" s="1225"/>
      <c r="BCI6" s="1225"/>
      <c r="BCJ6" s="1225"/>
      <c r="BCK6" s="1225"/>
      <c r="BCL6" s="1225"/>
      <c r="BCM6" s="1225"/>
      <c r="BCN6" s="1225"/>
      <c r="BCO6" s="1225"/>
      <c r="BCP6" s="1225"/>
      <c r="BCQ6" s="1225"/>
      <c r="BCR6" s="1225"/>
      <c r="BCS6" s="1225"/>
      <c r="BCT6" s="1225"/>
      <c r="BCU6" s="1225"/>
      <c r="BCV6" s="1225"/>
      <c r="BCW6" s="1225"/>
      <c r="BCX6" s="1225"/>
      <c r="BCY6" s="1225"/>
      <c r="BCZ6" s="1225"/>
      <c r="BDA6" s="1225"/>
      <c r="BDB6" s="1225"/>
      <c r="BDC6" s="1225"/>
      <c r="BDD6" s="1225"/>
      <c r="BDE6" s="1225"/>
      <c r="BDF6" s="1225"/>
      <c r="BDG6" s="1225"/>
      <c r="BDH6" s="1225"/>
      <c r="BDI6" s="1225"/>
      <c r="BDJ6" s="1225"/>
      <c r="BDK6" s="1225"/>
      <c r="BDL6" s="1225"/>
      <c r="BDM6" s="1225"/>
      <c r="BDN6" s="1225"/>
      <c r="BDO6" s="1225"/>
      <c r="BDP6" s="1225"/>
      <c r="BDQ6" s="1225"/>
      <c r="BDR6" s="1225"/>
      <c r="BDS6" s="1225"/>
      <c r="BDT6" s="1225"/>
      <c r="BDU6" s="1225"/>
      <c r="BDV6" s="1225"/>
      <c r="BDW6" s="1225"/>
      <c r="BDX6" s="1225"/>
      <c r="BDY6" s="1225"/>
      <c r="BDZ6" s="1225"/>
      <c r="BEA6" s="1225"/>
      <c r="BEB6" s="1225"/>
      <c r="BEC6" s="1225"/>
      <c r="BED6" s="1225"/>
      <c r="BEE6" s="1225"/>
      <c r="BEF6" s="1225"/>
      <c r="BEG6" s="1225"/>
      <c r="BEH6" s="1225"/>
      <c r="BEI6" s="1225"/>
      <c r="BEJ6" s="1225"/>
      <c r="BEK6" s="1225"/>
      <c r="BEL6" s="1225"/>
      <c r="BEM6" s="1225"/>
      <c r="BEN6" s="1225"/>
      <c r="BEO6" s="1225"/>
      <c r="BEP6" s="1225"/>
      <c r="BEQ6" s="1225"/>
      <c r="BER6" s="1225"/>
      <c r="BES6" s="1225"/>
      <c r="BET6" s="1225"/>
      <c r="BEU6" s="1225"/>
      <c r="BEV6" s="1225"/>
      <c r="BEW6" s="1225"/>
      <c r="BEX6" s="1225"/>
      <c r="BEY6" s="1225"/>
      <c r="BEZ6" s="1225"/>
      <c r="BFA6" s="1225"/>
      <c r="BFB6" s="1225"/>
      <c r="BFC6" s="1225"/>
      <c r="BFD6" s="1225"/>
      <c r="BFE6" s="1225"/>
      <c r="BFF6" s="1225"/>
      <c r="BFG6" s="1225"/>
      <c r="BFH6" s="1225"/>
      <c r="BFI6" s="1225"/>
      <c r="BFJ6" s="1225"/>
      <c r="BFK6" s="1225"/>
      <c r="BFL6" s="1225"/>
      <c r="BFM6" s="1225"/>
      <c r="BFN6" s="1225"/>
      <c r="BFO6" s="1225"/>
      <c r="BFP6" s="1225"/>
      <c r="BFQ6" s="1225"/>
      <c r="BFR6" s="1225"/>
      <c r="BFS6" s="1225"/>
      <c r="BFT6" s="1225"/>
      <c r="BFU6" s="1225"/>
      <c r="BFV6" s="1225"/>
      <c r="BFW6" s="1225"/>
      <c r="BFX6" s="1225"/>
      <c r="BFY6" s="1225"/>
      <c r="BFZ6" s="1225"/>
      <c r="BGA6" s="1225"/>
      <c r="BGB6" s="1225"/>
      <c r="BGC6" s="1225"/>
      <c r="BGD6" s="1225"/>
      <c r="BGE6" s="1225"/>
      <c r="BGF6" s="1225"/>
      <c r="BGG6" s="1225"/>
      <c r="BGH6" s="1225"/>
      <c r="BGI6" s="1225"/>
      <c r="BGJ6" s="1225"/>
      <c r="BGK6" s="1225"/>
      <c r="BGL6" s="1225"/>
      <c r="BGM6" s="1225"/>
      <c r="BGN6" s="1225"/>
      <c r="BGO6" s="1225"/>
      <c r="BGP6" s="1225"/>
      <c r="BGQ6" s="1225"/>
      <c r="BGR6" s="1225"/>
      <c r="BGS6" s="1225"/>
      <c r="BGT6" s="1225"/>
      <c r="BGU6" s="1225"/>
      <c r="BGV6" s="1225"/>
      <c r="BGW6" s="1225"/>
      <c r="BGX6" s="1225"/>
      <c r="BGY6" s="1225"/>
      <c r="BGZ6" s="1225"/>
      <c r="BHA6" s="1225"/>
      <c r="BHB6" s="1225"/>
      <c r="BHC6" s="1225"/>
      <c r="BHD6" s="1225"/>
      <c r="BHE6" s="1225"/>
      <c r="BHF6" s="1225"/>
      <c r="BHG6" s="1225"/>
      <c r="BHH6" s="1225"/>
      <c r="BHI6" s="1225"/>
      <c r="BHJ6" s="1225"/>
      <c r="BHK6" s="1225"/>
      <c r="BHL6" s="1225"/>
      <c r="BHM6" s="1225"/>
      <c r="BHN6" s="1225"/>
      <c r="BHO6" s="1225"/>
      <c r="BHP6" s="1225"/>
      <c r="BHQ6" s="1225"/>
      <c r="BHR6" s="1225"/>
      <c r="BHS6" s="1225"/>
      <c r="BHT6" s="1225"/>
      <c r="BHU6" s="1225"/>
      <c r="BHV6" s="1225"/>
      <c r="BHW6" s="1225"/>
      <c r="BHX6" s="1225"/>
      <c r="BHY6" s="1225"/>
      <c r="BHZ6" s="1225"/>
      <c r="BIA6" s="1225"/>
      <c r="BIB6" s="1225"/>
      <c r="BIC6" s="1225"/>
      <c r="BID6" s="1225"/>
      <c r="BIE6" s="1225"/>
      <c r="BIF6" s="1225"/>
      <c r="BIG6" s="1225"/>
      <c r="BIH6" s="1225"/>
      <c r="BII6" s="1225"/>
      <c r="BIJ6" s="1225"/>
      <c r="BIK6" s="1225"/>
      <c r="BIL6" s="1225"/>
      <c r="BIM6" s="1225"/>
      <c r="BIN6" s="1225"/>
      <c r="BIO6" s="1225"/>
      <c r="BIP6" s="1225"/>
      <c r="BIQ6" s="1225"/>
      <c r="BIR6" s="1225"/>
      <c r="BIS6" s="1225"/>
      <c r="BIT6" s="1225"/>
      <c r="BIU6" s="1225"/>
      <c r="BIV6" s="1225"/>
      <c r="BIW6" s="1225"/>
      <c r="BIX6" s="1225"/>
      <c r="BIY6" s="1225"/>
      <c r="BIZ6" s="1225"/>
      <c r="BJA6" s="1225"/>
      <c r="BJB6" s="1225"/>
      <c r="BJC6" s="1225"/>
      <c r="BJD6" s="1225"/>
      <c r="BJE6" s="1225"/>
      <c r="BJF6" s="1225"/>
      <c r="BJG6" s="1225"/>
      <c r="BJH6" s="1225"/>
      <c r="BJI6" s="1225"/>
      <c r="BJJ6" s="1225"/>
      <c r="BJK6" s="1225"/>
      <c r="BJL6" s="1225"/>
      <c r="BJM6" s="1225"/>
      <c r="BJN6" s="1225"/>
      <c r="BJO6" s="1225"/>
      <c r="BJP6" s="1225"/>
      <c r="BJQ6" s="1225"/>
      <c r="BJR6" s="1225"/>
      <c r="BJS6" s="1225"/>
      <c r="BJT6" s="1225"/>
      <c r="BJU6" s="1225"/>
      <c r="BJV6" s="1225"/>
      <c r="BJW6" s="1225"/>
      <c r="BJX6" s="1225"/>
      <c r="BJY6" s="1225"/>
      <c r="BJZ6" s="1225"/>
      <c r="BKA6" s="1225"/>
      <c r="BKB6" s="1225"/>
      <c r="BKC6" s="1225"/>
      <c r="BKD6" s="1225"/>
      <c r="BKE6" s="1225"/>
      <c r="BKF6" s="1225"/>
      <c r="BKG6" s="1225"/>
      <c r="BKH6" s="1225"/>
      <c r="BKI6" s="1225"/>
      <c r="BKJ6" s="1225"/>
      <c r="BKK6" s="1225"/>
      <c r="BKL6" s="1225"/>
      <c r="BKM6" s="1225"/>
      <c r="BKN6" s="1225"/>
      <c r="BKO6" s="1225"/>
      <c r="BKP6" s="1225"/>
      <c r="BKQ6" s="1225"/>
      <c r="BKR6" s="1225"/>
      <c r="BKS6" s="1225"/>
      <c r="BKT6" s="1225"/>
      <c r="BKU6" s="1225"/>
      <c r="BKV6" s="1225"/>
      <c r="BKW6" s="1225"/>
      <c r="BKX6" s="1225"/>
      <c r="BKY6" s="1225"/>
      <c r="BKZ6" s="1225"/>
      <c r="BLA6" s="1225"/>
      <c r="BLB6" s="1225"/>
      <c r="BLC6" s="1225"/>
      <c r="BLD6" s="1225"/>
      <c r="BLE6" s="1225"/>
      <c r="BLF6" s="1225"/>
      <c r="BLG6" s="1225"/>
      <c r="BLH6" s="1225"/>
      <c r="BLI6" s="1225"/>
      <c r="BLJ6" s="1225"/>
      <c r="BLK6" s="1225"/>
      <c r="BLL6" s="1225"/>
      <c r="BLM6" s="1225"/>
      <c r="BLN6" s="1225"/>
      <c r="BLO6" s="1225"/>
      <c r="BLP6" s="1225"/>
      <c r="BLQ6" s="1225"/>
      <c r="BLR6" s="1225"/>
      <c r="BLS6" s="1225"/>
      <c r="BLT6" s="1225"/>
      <c r="BLU6" s="1225"/>
      <c r="BLV6" s="1225"/>
      <c r="BLW6" s="1225"/>
      <c r="BLX6" s="1225"/>
      <c r="BLY6" s="1225"/>
      <c r="BLZ6" s="1225"/>
      <c r="BMA6" s="1225"/>
      <c r="BMB6" s="1225"/>
      <c r="BMC6" s="1225"/>
      <c r="BMD6" s="1225"/>
      <c r="BME6" s="1225"/>
      <c r="BMF6" s="1225"/>
      <c r="BMG6" s="1225"/>
      <c r="BMH6" s="1225"/>
      <c r="BMI6" s="1225"/>
      <c r="BMJ6" s="1225"/>
      <c r="BMK6" s="1225"/>
      <c r="BML6" s="1225"/>
      <c r="BMM6" s="1225"/>
      <c r="BMN6" s="1225"/>
      <c r="BMO6" s="1225"/>
      <c r="BMP6" s="1225"/>
      <c r="BMQ6" s="1225"/>
      <c r="BMR6" s="1225"/>
      <c r="BMS6" s="1225"/>
      <c r="BMT6" s="1225"/>
      <c r="BMU6" s="1225"/>
      <c r="BMV6" s="1225"/>
      <c r="BMW6" s="1225"/>
      <c r="BMX6" s="1225"/>
      <c r="BMY6" s="1225"/>
      <c r="BMZ6" s="1225"/>
      <c r="BNA6" s="1225"/>
      <c r="BNB6" s="1225"/>
      <c r="BNC6" s="1225"/>
      <c r="BND6" s="1225"/>
      <c r="BNE6" s="1225"/>
      <c r="BNF6" s="1225"/>
      <c r="BNG6" s="1225"/>
      <c r="BNH6" s="1225"/>
      <c r="BNI6" s="1225"/>
      <c r="BNJ6" s="1225"/>
      <c r="BNK6" s="1225"/>
      <c r="BNL6" s="1225"/>
      <c r="BNM6" s="1225"/>
      <c r="BNN6" s="1225"/>
      <c r="BNO6" s="1225"/>
      <c r="BNP6" s="1225"/>
      <c r="BNQ6" s="1225"/>
      <c r="BNR6" s="1225"/>
      <c r="BNS6" s="1225"/>
      <c r="BNT6" s="1225"/>
      <c r="BNU6" s="1225"/>
      <c r="BNV6" s="1225"/>
      <c r="BNW6" s="1225"/>
      <c r="BNX6" s="1225"/>
      <c r="BNY6" s="1225"/>
      <c r="BNZ6" s="1225"/>
      <c r="BOA6" s="1225"/>
      <c r="BOB6" s="1225"/>
      <c r="BOC6" s="1225"/>
      <c r="BOD6" s="1225"/>
      <c r="BOE6" s="1225"/>
      <c r="BOF6" s="1225"/>
      <c r="BOG6" s="1225"/>
      <c r="BOH6" s="1225"/>
      <c r="BOI6" s="1225"/>
      <c r="BOJ6" s="1225"/>
      <c r="BOK6" s="1225"/>
      <c r="BOL6" s="1225"/>
      <c r="BOM6" s="1225"/>
      <c r="BON6" s="1225"/>
      <c r="BOO6" s="1225"/>
      <c r="BOP6" s="1225"/>
      <c r="BOQ6" s="1225"/>
      <c r="BOR6" s="1225"/>
      <c r="BOS6" s="1225"/>
      <c r="BOT6" s="1225"/>
      <c r="BOU6" s="1225"/>
      <c r="BOV6" s="1225"/>
      <c r="BOW6" s="1225"/>
      <c r="BOX6" s="1225"/>
      <c r="BOY6" s="1225"/>
      <c r="BOZ6" s="1225"/>
      <c r="BPA6" s="1225"/>
      <c r="BPB6" s="1225"/>
      <c r="BPC6" s="1225"/>
      <c r="BPD6" s="1225"/>
      <c r="BPE6" s="1225"/>
      <c r="BPF6" s="1225"/>
      <c r="BPG6" s="1225"/>
      <c r="BPH6" s="1225"/>
      <c r="BPI6" s="1225"/>
      <c r="BPJ6" s="1225"/>
      <c r="BPK6" s="1225"/>
      <c r="BPL6" s="1225"/>
      <c r="BPM6" s="1225"/>
      <c r="BPN6" s="1225"/>
      <c r="BPO6" s="1225"/>
      <c r="BPP6" s="1225"/>
      <c r="BPQ6" s="1225"/>
      <c r="BPR6" s="1225"/>
      <c r="BPS6" s="1225"/>
      <c r="BPT6" s="1225"/>
      <c r="BPU6" s="1225"/>
      <c r="BPV6" s="1225"/>
      <c r="BPW6" s="1225"/>
      <c r="BPX6" s="1225"/>
      <c r="BPY6" s="1225"/>
      <c r="BPZ6" s="1225"/>
      <c r="BQA6" s="1225"/>
      <c r="BQB6" s="1225"/>
      <c r="BQC6" s="1225"/>
      <c r="BQD6" s="1225"/>
      <c r="BQE6" s="1225"/>
      <c r="BQF6" s="1225"/>
      <c r="BQG6" s="1225"/>
      <c r="BQH6" s="1225"/>
      <c r="BQI6" s="1225"/>
      <c r="BQJ6" s="1225"/>
      <c r="BQK6" s="1225"/>
      <c r="BQL6" s="1225"/>
      <c r="BQM6" s="1225"/>
      <c r="BQN6" s="1225"/>
      <c r="BQO6" s="1225"/>
      <c r="BQP6" s="1225"/>
      <c r="BQQ6" s="1225"/>
      <c r="BQR6" s="1225"/>
      <c r="BQS6" s="1225"/>
      <c r="BQT6" s="1225"/>
      <c r="BQU6" s="1225"/>
      <c r="BQV6" s="1225"/>
      <c r="BQW6" s="1225"/>
      <c r="BQX6" s="1225"/>
      <c r="BQY6" s="1225"/>
      <c r="BQZ6" s="1225"/>
      <c r="BRA6" s="1225"/>
      <c r="BRB6" s="1225"/>
      <c r="BRC6" s="1225"/>
      <c r="BRD6" s="1225"/>
      <c r="BRE6" s="1225"/>
      <c r="BRF6" s="1225"/>
      <c r="BRG6" s="1225"/>
      <c r="BRH6" s="1225"/>
      <c r="BRI6" s="1225"/>
      <c r="BRJ6" s="1225"/>
      <c r="BRK6" s="1225"/>
      <c r="BRL6" s="1225"/>
      <c r="BRM6" s="1225"/>
      <c r="BRN6" s="1225"/>
      <c r="BRO6" s="1225"/>
      <c r="BRP6" s="1225"/>
      <c r="BRQ6" s="1225"/>
      <c r="BRR6" s="1225"/>
      <c r="BRS6" s="1225"/>
      <c r="BRT6" s="1225"/>
      <c r="BRU6" s="1225"/>
      <c r="BRV6" s="1225"/>
      <c r="BRW6" s="1225"/>
      <c r="BRX6" s="1225"/>
      <c r="BRY6" s="1225"/>
      <c r="BRZ6" s="1225"/>
      <c r="BSA6" s="1225"/>
      <c r="BSB6" s="1225"/>
      <c r="BSC6" s="1225"/>
      <c r="BSD6" s="1225"/>
      <c r="BSE6" s="1225"/>
      <c r="BSF6" s="1225"/>
      <c r="BSG6" s="1225"/>
      <c r="BSH6" s="1225"/>
      <c r="BSI6" s="1225"/>
      <c r="BSJ6" s="1225"/>
      <c r="BSK6" s="1225"/>
      <c r="BSL6" s="1225"/>
      <c r="BSM6" s="1225"/>
      <c r="BSN6" s="1225"/>
      <c r="BSO6" s="1225"/>
      <c r="BSP6" s="1225"/>
      <c r="BSQ6" s="1225"/>
      <c r="BSR6" s="1225"/>
      <c r="BSS6" s="1225"/>
      <c r="BST6" s="1225"/>
      <c r="BSU6" s="1225"/>
      <c r="BSV6" s="1225"/>
      <c r="BSW6" s="1225"/>
      <c r="BSX6" s="1225"/>
      <c r="BSY6" s="1225"/>
      <c r="BSZ6" s="1225"/>
      <c r="BTA6" s="1225"/>
      <c r="BTB6" s="1225"/>
      <c r="BTC6" s="1225"/>
      <c r="BTD6" s="1225"/>
      <c r="BTE6" s="1225"/>
      <c r="BTF6" s="1225"/>
      <c r="BTG6" s="1225"/>
      <c r="BTH6" s="1225"/>
      <c r="BTI6" s="1225"/>
      <c r="BTJ6" s="1225"/>
      <c r="BTK6" s="1225"/>
      <c r="BTL6" s="1225"/>
      <c r="BTM6" s="1225"/>
      <c r="BTN6" s="1225"/>
      <c r="BTO6" s="1225"/>
      <c r="BTP6" s="1225"/>
      <c r="BTQ6" s="1225"/>
      <c r="BTR6" s="1225"/>
      <c r="BTS6" s="1225"/>
      <c r="BTT6" s="1225"/>
      <c r="BTU6" s="1225"/>
      <c r="BTV6" s="1225"/>
      <c r="BTW6" s="1225"/>
      <c r="BTX6" s="1225"/>
      <c r="BTY6" s="1225"/>
      <c r="BTZ6" s="1225"/>
      <c r="BUA6" s="1225"/>
      <c r="BUB6" s="1225"/>
      <c r="BUC6" s="1225"/>
      <c r="BUD6" s="1225"/>
      <c r="BUE6" s="1225"/>
      <c r="BUF6" s="1225"/>
      <c r="BUG6" s="1225"/>
      <c r="BUH6" s="1225"/>
      <c r="BUI6" s="1225"/>
      <c r="BUJ6" s="1225"/>
      <c r="BUK6" s="1225"/>
      <c r="BUL6" s="1225"/>
      <c r="BUM6" s="1225"/>
      <c r="BUN6" s="1225"/>
      <c r="BUO6" s="1225"/>
      <c r="BUP6" s="1225"/>
      <c r="BUQ6" s="1225"/>
      <c r="BUR6" s="1225"/>
      <c r="BUS6" s="1225"/>
      <c r="BUT6" s="1225"/>
      <c r="BUU6" s="1225"/>
      <c r="BUV6" s="1225"/>
      <c r="BUW6" s="1225"/>
      <c r="BUX6" s="1225"/>
      <c r="BUY6" s="1225"/>
      <c r="BUZ6" s="1225"/>
      <c r="BVA6" s="1225"/>
      <c r="BVB6" s="1225"/>
      <c r="BVC6" s="1225"/>
      <c r="BVD6" s="1225"/>
      <c r="BVE6" s="1225"/>
      <c r="BVF6" s="1225"/>
      <c r="BVG6" s="1225"/>
      <c r="BVH6" s="1225"/>
      <c r="BVI6" s="1225"/>
      <c r="BVJ6" s="1225"/>
      <c r="BVK6" s="1225"/>
      <c r="BVL6" s="1225"/>
      <c r="BVM6" s="1225"/>
      <c r="BVN6" s="1225"/>
      <c r="BVO6" s="1225"/>
      <c r="BVP6" s="1225"/>
      <c r="BVQ6" s="1225"/>
      <c r="BVR6" s="1225"/>
      <c r="BVS6" s="1225"/>
      <c r="BVT6" s="1225"/>
      <c r="BVU6" s="1225"/>
      <c r="BVV6" s="1225"/>
      <c r="BVW6" s="1225"/>
      <c r="BVX6" s="1225"/>
      <c r="BVY6" s="1225"/>
      <c r="BVZ6" s="1225"/>
      <c r="BWA6" s="1225"/>
      <c r="BWB6" s="1225"/>
      <c r="BWC6" s="1225"/>
      <c r="BWD6" s="1225"/>
      <c r="BWE6" s="1225"/>
      <c r="BWF6" s="1225"/>
      <c r="BWG6" s="1225"/>
      <c r="BWH6" s="1225"/>
      <c r="BWI6" s="1225"/>
      <c r="BWJ6" s="1225"/>
      <c r="BWK6" s="1225"/>
      <c r="BWL6" s="1225"/>
      <c r="BWM6" s="1225"/>
      <c r="BWN6" s="1225"/>
      <c r="BWO6" s="1225"/>
      <c r="BWP6" s="1225"/>
      <c r="BWQ6" s="1225"/>
      <c r="BWR6" s="1225"/>
      <c r="BWS6" s="1225"/>
      <c r="BWT6" s="1225"/>
      <c r="BWU6" s="1225"/>
      <c r="BWV6" s="1225"/>
      <c r="BWW6" s="1225"/>
      <c r="BWX6" s="1225"/>
      <c r="BWY6" s="1225"/>
      <c r="BWZ6" s="1225"/>
      <c r="BXA6" s="1225"/>
      <c r="BXB6" s="1225"/>
      <c r="BXC6" s="1225"/>
      <c r="BXD6" s="1225"/>
      <c r="BXE6" s="1225"/>
      <c r="BXF6" s="1225"/>
      <c r="BXG6" s="1225"/>
      <c r="BXH6" s="1225"/>
      <c r="BXI6" s="1225"/>
      <c r="BXJ6" s="1225"/>
      <c r="BXK6" s="1225"/>
      <c r="BXL6" s="1225"/>
      <c r="BXM6" s="1225"/>
      <c r="BXN6" s="1225"/>
      <c r="BXO6" s="1225"/>
      <c r="BXP6" s="1225"/>
      <c r="BXQ6" s="1225"/>
      <c r="BXR6" s="1225"/>
      <c r="BXS6" s="1225"/>
      <c r="BXT6" s="1225"/>
      <c r="BXU6" s="1225"/>
      <c r="BXV6" s="1225"/>
      <c r="BXW6" s="1225"/>
      <c r="BXX6" s="1225"/>
      <c r="BXY6" s="1225"/>
      <c r="BXZ6" s="1225"/>
      <c r="BYA6" s="1225"/>
      <c r="BYB6" s="1225"/>
      <c r="BYC6" s="1225"/>
      <c r="BYD6" s="1225"/>
      <c r="BYE6" s="1225"/>
      <c r="BYF6" s="1225"/>
      <c r="BYG6" s="1225"/>
      <c r="BYH6" s="1225"/>
      <c r="BYI6" s="1225"/>
      <c r="BYJ6" s="1225"/>
      <c r="BYK6" s="1225"/>
      <c r="BYL6" s="1225"/>
      <c r="BYM6" s="1225"/>
      <c r="BYN6" s="1225"/>
      <c r="BYO6" s="1225"/>
      <c r="BYP6" s="1225"/>
      <c r="BYQ6" s="1225"/>
      <c r="BYR6" s="1225"/>
      <c r="BYS6" s="1225"/>
      <c r="BYT6" s="1225"/>
      <c r="BYU6" s="1225"/>
      <c r="BYV6" s="1225"/>
      <c r="BYW6" s="1225"/>
      <c r="BYX6" s="1225"/>
      <c r="BYY6" s="1225"/>
      <c r="BYZ6" s="1225"/>
      <c r="BZA6" s="1225"/>
      <c r="BZB6" s="1225"/>
      <c r="BZC6" s="1225"/>
      <c r="BZD6" s="1225"/>
      <c r="BZE6" s="1225"/>
      <c r="BZF6" s="1225"/>
      <c r="BZG6" s="1225"/>
      <c r="BZH6" s="1225"/>
      <c r="BZI6" s="1225"/>
      <c r="BZJ6" s="1225"/>
      <c r="BZK6" s="1225"/>
      <c r="BZL6" s="1225"/>
      <c r="BZM6" s="1225"/>
      <c r="BZN6" s="1225"/>
      <c r="BZO6" s="1225"/>
      <c r="BZP6" s="1225"/>
      <c r="BZQ6" s="1225"/>
      <c r="BZR6" s="1225"/>
      <c r="BZS6" s="1225"/>
      <c r="BZT6" s="1225"/>
      <c r="BZU6" s="1225"/>
      <c r="BZV6" s="1225"/>
      <c r="BZW6" s="1225"/>
      <c r="BZX6" s="1225"/>
      <c r="BZY6" s="1225"/>
      <c r="BZZ6" s="1225"/>
      <c r="CAA6" s="1225"/>
      <c r="CAB6" s="1225"/>
      <c r="CAC6" s="1225"/>
      <c r="CAD6" s="1225"/>
      <c r="CAE6" s="1225"/>
      <c r="CAF6" s="1225"/>
      <c r="CAG6" s="1225"/>
      <c r="CAH6" s="1225"/>
      <c r="CAI6" s="1225"/>
      <c r="CAJ6" s="1225"/>
      <c r="CAK6" s="1225"/>
      <c r="CAL6" s="1225"/>
      <c r="CAM6" s="1225"/>
      <c r="CAN6" s="1225"/>
      <c r="CAO6" s="1225"/>
      <c r="CAP6" s="1225"/>
      <c r="CAQ6" s="1225"/>
      <c r="CAR6" s="1225"/>
      <c r="CAS6" s="1225"/>
      <c r="CAT6" s="1225"/>
      <c r="CAU6" s="1225"/>
      <c r="CAV6" s="1225"/>
      <c r="CAW6" s="1225"/>
      <c r="CAX6" s="1225"/>
      <c r="CAY6" s="1225"/>
      <c r="CAZ6" s="1225"/>
      <c r="CBA6" s="1225"/>
      <c r="CBB6" s="1225"/>
      <c r="CBC6" s="1225"/>
      <c r="CBD6" s="1225"/>
      <c r="CBE6" s="1225"/>
      <c r="CBF6" s="1225"/>
      <c r="CBG6" s="1225"/>
      <c r="CBH6" s="1225"/>
      <c r="CBI6" s="1225"/>
      <c r="CBJ6" s="1225"/>
      <c r="CBK6" s="1225"/>
      <c r="CBL6" s="1225"/>
      <c r="CBM6" s="1225"/>
      <c r="CBN6" s="1225"/>
      <c r="CBO6" s="1225"/>
      <c r="CBP6" s="1225"/>
      <c r="CBQ6" s="1225"/>
      <c r="CBR6" s="1225"/>
      <c r="CBS6" s="1225"/>
      <c r="CBT6" s="1225"/>
      <c r="CBU6" s="1225"/>
      <c r="CBV6" s="1225"/>
      <c r="CBW6" s="1225"/>
      <c r="CBX6" s="1225"/>
      <c r="CBY6" s="1225"/>
      <c r="CBZ6" s="1225"/>
      <c r="CCA6" s="1225"/>
      <c r="CCB6" s="1225"/>
      <c r="CCC6" s="1225"/>
      <c r="CCD6" s="1225"/>
      <c r="CCE6" s="1225"/>
      <c r="CCF6" s="1225"/>
      <c r="CCG6" s="1225"/>
      <c r="CCH6" s="1225"/>
      <c r="CCI6" s="1225"/>
      <c r="CCJ6" s="1225"/>
      <c r="CCK6" s="1225"/>
      <c r="CCL6" s="1225"/>
      <c r="CCM6" s="1225"/>
      <c r="CCN6" s="1225"/>
      <c r="CCO6" s="1225"/>
      <c r="CCP6" s="1225"/>
      <c r="CCQ6" s="1225"/>
      <c r="CCR6" s="1225"/>
      <c r="CCS6" s="1225"/>
      <c r="CCT6" s="1225"/>
      <c r="CCU6" s="1225"/>
      <c r="CCV6" s="1225"/>
      <c r="CCW6" s="1225"/>
      <c r="CCX6" s="1225"/>
      <c r="CCY6" s="1225"/>
      <c r="CCZ6" s="1225"/>
      <c r="CDA6" s="1225"/>
      <c r="CDB6" s="1225"/>
      <c r="CDC6" s="1225"/>
      <c r="CDD6" s="1225"/>
      <c r="CDE6" s="1225"/>
      <c r="CDF6" s="1225"/>
      <c r="CDG6" s="1225"/>
      <c r="CDH6" s="1225"/>
      <c r="CDI6" s="1225"/>
      <c r="CDJ6" s="1225"/>
      <c r="CDK6" s="1225"/>
      <c r="CDL6" s="1225"/>
      <c r="CDM6" s="1225"/>
      <c r="CDN6" s="1225"/>
      <c r="CDO6" s="1225"/>
      <c r="CDP6" s="1225"/>
      <c r="CDQ6" s="1225"/>
      <c r="CDR6" s="1225"/>
      <c r="CDS6" s="1225"/>
      <c r="CDT6" s="1225"/>
      <c r="CDU6" s="1225"/>
      <c r="CDV6" s="1225"/>
      <c r="CDW6" s="1225"/>
      <c r="CDX6" s="1225"/>
      <c r="CDY6" s="1225"/>
      <c r="CDZ6" s="1225"/>
      <c r="CEA6" s="1225"/>
      <c r="CEB6" s="1225"/>
      <c r="CEC6" s="1225"/>
      <c r="CED6" s="1225"/>
      <c r="CEE6" s="1225"/>
      <c r="CEF6" s="1225"/>
      <c r="CEG6" s="1225"/>
      <c r="CEH6" s="1225"/>
      <c r="CEI6" s="1225"/>
      <c r="CEJ6" s="1225"/>
      <c r="CEK6" s="1225"/>
      <c r="CEL6" s="1225"/>
      <c r="CEM6" s="1225"/>
      <c r="CEN6" s="1225"/>
      <c r="CEO6" s="1225"/>
      <c r="CEP6" s="1225"/>
      <c r="CEQ6" s="1225"/>
      <c r="CER6" s="1225"/>
      <c r="CES6" s="1225"/>
      <c r="CET6" s="1225"/>
      <c r="CEU6" s="1225"/>
      <c r="CEV6" s="1225"/>
      <c r="CEW6" s="1225"/>
      <c r="CEX6" s="1225"/>
      <c r="CEY6" s="1225"/>
      <c r="CEZ6" s="1225"/>
      <c r="CFA6" s="1225"/>
      <c r="CFB6" s="1225"/>
      <c r="CFC6" s="1225"/>
      <c r="CFD6" s="1225"/>
      <c r="CFE6" s="1225"/>
      <c r="CFF6" s="1225"/>
      <c r="CFG6" s="1225"/>
      <c r="CFH6" s="1225"/>
      <c r="CFI6" s="1225"/>
      <c r="CFJ6" s="1225"/>
      <c r="CFK6" s="1225"/>
      <c r="CFL6" s="1225"/>
      <c r="CFM6" s="1225"/>
      <c r="CFN6" s="1225"/>
      <c r="CFO6" s="1225"/>
      <c r="CFP6" s="1225"/>
      <c r="CFQ6" s="1225"/>
      <c r="CFR6" s="1225"/>
      <c r="CFS6" s="1225"/>
      <c r="CFT6" s="1225"/>
      <c r="CFU6" s="1225"/>
      <c r="CFV6" s="1225"/>
      <c r="CFW6" s="1225"/>
      <c r="CFX6" s="1225"/>
      <c r="CFY6" s="1225"/>
      <c r="CFZ6" s="1225"/>
      <c r="CGA6" s="1225"/>
      <c r="CGB6" s="1225"/>
      <c r="CGC6" s="1225"/>
      <c r="CGD6" s="1225"/>
      <c r="CGE6" s="1225"/>
      <c r="CGF6" s="1225"/>
      <c r="CGG6" s="1225"/>
      <c r="CGH6" s="1225"/>
      <c r="CGI6" s="1225"/>
      <c r="CGJ6" s="1225"/>
      <c r="CGK6" s="1225"/>
      <c r="CGL6" s="1225"/>
      <c r="CGM6" s="1225"/>
      <c r="CGN6" s="1225"/>
      <c r="CGO6" s="1225"/>
      <c r="CGP6" s="1225"/>
      <c r="CGQ6" s="1225"/>
      <c r="CGR6" s="1225"/>
      <c r="CGS6" s="1225"/>
      <c r="CGT6" s="1225"/>
      <c r="CGU6" s="1225"/>
      <c r="CGV6" s="1225"/>
      <c r="CGW6" s="1225"/>
      <c r="CGX6" s="1225"/>
      <c r="CGY6" s="1225"/>
      <c r="CGZ6" s="1225"/>
      <c r="CHA6" s="1225"/>
      <c r="CHB6" s="1225"/>
      <c r="CHC6" s="1225"/>
      <c r="CHD6" s="1225"/>
      <c r="CHE6" s="1225"/>
      <c r="CHF6" s="1225"/>
      <c r="CHG6" s="1225"/>
      <c r="CHH6" s="1225"/>
      <c r="CHI6" s="1225"/>
      <c r="CHJ6" s="1225"/>
      <c r="CHK6" s="1225"/>
      <c r="CHL6" s="1225"/>
      <c r="CHM6" s="1225"/>
      <c r="CHN6" s="1225"/>
      <c r="CHO6" s="1225"/>
      <c r="CHP6" s="1225"/>
      <c r="CHQ6" s="1225"/>
      <c r="CHR6" s="1225"/>
      <c r="CHS6" s="1225"/>
      <c r="CHT6" s="1225"/>
      <c r="CHU6" s="1225"/>
      <c r="CHV6" s="1225"/>
      <c r="CHW6" s="1225"/>
      <c r="CHX6" s="1225"/>
      <c r="CHY6" s="1225"/>
      <c r="CHZ6" s="1225"/>
      <c r="CIA6" s="1225"/>
      <c r="CIB6" s="1225"/>
      <c r="CIC6" s="1225"/>
      <c r="CID6" s="1225"/>
      <c r="CIE6" s="1225"/>
      <c r="CIF6" s="1225"/>
      <c r="CIG6" s="1225"/>
      <c r="CIH6" s="1225"/>
      <c r="CII6" s="1225"/>
      <c r="CIJ6" s="1225"/>
      <c r="CIK6" s="1225"/>
      <c r="CIL6" s="1225"/>
      <c r="CIM6" s="1225"/>
      <c r="CIN6" s="1225"/>
      <c r="CIO6" s="1225"/>
      <c r="CIP6" s="1225"/>
      <c r="CIQ6" s="1225"/>
      <c r="CIR6" s="1225"/>
      <c r="CIS6" s="1225"/>
      <c r="CIT6" s="1225"/>
      <c r="CIU6" s="1225"/>
      <c r="CIV6" s="1225"/>
      <c r="CIW6" s="1225"/>
      <c r="CIX6" s="1225"/>
      <c r="CIY6" s="1225"/>
      <c r="CIZ6" s="1225"/>
      <c r="CJA6" s="1225"/>
      <c r="CJB6" s="1225"/>
      <c r="CJC6" s="1225"/>
      <c r="CJD6" s="1225"/>
      <c r="CJE6" s="1225"/>
      <c r="CJF6" s="1225"/>
      <c r="CJG6" s="1225"/>
      <c r="CJH6" s="1225"/>
      <c r="CJI6" s="1225"/>
      <c r="CJJ6" s="1225"/>
      <c r="CJK6" s="1225"/>
      <c r="CJL6" s="1225"/>
      <c r="CJM6" s="1225"/>
      <c r="CJN6" s="1225"/>
      <c r="CJO6" s="1225"/>
      <c r="CJP6" s="1225"/>
      <c r="CJQ6" s="1225"/>
      <c r="CJR6" s="1225"/>
      <c r="CJS6" s="1225"/>
      <c r="CJT6" s="1225"/>
      <c r="CJU6" s="1225"/>
      <c r="CJV6" s="1225"/>
      <c r="CJW6" s="1225"/>
      <c r="CJX6" s="1225"/>
      <c r="CJY6" s="1225"/>
      <c r="CJZ6" s="1225"/>
      <c r="CKA6" s="1225"/>
      <c r="CKB6" s="1225"/>
      <c r="CKC6" s="1225"/>
      <c r="CKD6" s="1225"/>
      <c r="CKE6" s="1225"/>
      <c r="CKF6" s="1225"/>
      <c r="CKG6" s="1225"/>
      <c r="CKH6" s="1225"/>
      <c r="CKI6" s="1225"/>
      <c r="CKJ6" s="1225"/>
      <c r="CKK6" s="1225"/>
      <c r="CKL6" s="1225"/>
      <c r="CKM6" s="1225"/>
      <c r="CKN6" s="1225"/>
      <c r="CKO6" s="1225"/>
      <c r="CKP6" s="1225"/>
      <c r="CKQ6" s="1225"/>
      <c r="CKR6" s="1225"/>
      <c r="CKS6" s="1225"/>
      <c r="CKT6" s="1225"/>
      <c r="CKU6" s="1225"/>
      <c r="CKV6" s="1225"/>
      <c r="CKW6" s="1225"/>
      <c r="CKX6" s="1225"/>
      <c r="CKY6" s="1225"/>
      <c r="CKZ6" s="1225"/>
      <c r="CLA6" s="1225"/>
      <c r="CLB6" s="1225"/>
      <c r="CLC6" s="1225"/>
      <c r="CLD6" s="1225"/>
      <c r="CLE6" s="1225"/>
      <c r="CLF6" s="1225"/>
      <c r="CLG6" s="1225"/>
      <c r="CLH6" s="1225"/>
      <c r="CLI6" s="1225"/>
      <c r="CLJ6" s="1225"/>
      <c r="CLK6" s="1225"/>
      <c r="CLL6" s="1225"/>
      <c r="CLM6" s="1225"/>
      <c r="CLN6" s="1225"/>
      <c r="CLO6" s="1225"/>
      <c r="CLP6" s="1225"/>
      <c r="CLQ6" s="1225"/>
      <c r="CLR6" s="1225"/>
      <c r="CLS6" s="1225"/>
      <c r="CLT6" s="1225"/>
      <c r="CLU6" s="1225"/>
      <c r="CLV6" s="1225"/>
      <c r="CLW6" s="1225"/>
      <c r="CLX6" s="1225"/>
      <c r="CLY6" s="1225"/>
      <c r="CLZ6" s="1225"/>
      <c r="CMA6" s="1225"/>
      <c r="CMB6" s="1225"/>
      <c r="CMC6" s="1225"/>
      <c r="CMD6" s="1225"/>
      <c r="CME6" s="1225"/>
      <c r="CMF6" s="1225"/>
      <c r="CMG6" s="1225"/>
      <c r="CMH6" s="1225"/>
      <c r="CMI6" s="1225"/>
      <c r="CMJ6" s="1225"/>
      <c r="CMK6" s="1225"/>
      <c r="CML6" s="1225"/>
      <c r="CMM6" s="1225"/>
      <c r="CMN6" s="1225"/>
      <c r="CMO6" s="1225"/>
      <c r="CMP6" s="1225"/>
      <c r="CMQ6" s="1225"/>
      <c r="CMR6" s="1225"/>
      <c r="CMS6" s="1225"/>
      <c r="CMT6" s="1225"/>
      <c r="CMU6" s="1225"/>
      <c r="CMV6" s="1225"/>
      <c r="CMW6" s="1225"/>
      <c r="CMX6" s="1225"/>
      <c r="CMY6" s="1225"/>
      <c r="CMZ6" s="1225"/>
      <c r="CNA6" s="1225"/>
      <c r="CNB6" s="1225"/>
      <c r="CNC6" s="1225"/>
      <c r="CND6" s="1225"/>
      <c r="CNE6" s="1225"/>
      <c r="CNF6" s="1225"/>
      <c r="CNG6" s="1225"/>
      <c r="CNH6" s="1225"/>
      <c r="CNI6" s="1225"/>
      <c r="CNJ6" s="1225"/>
      <c r="CNK6" s="1225"/>
      <c r="CNL6" s="1225"/>
      <c r="CNM6" s="1225"/>
      <c r="CNN6" s="1225"/>
      <c r="CNO6" s="1225"/>
      <c r="CNP6" s="1225"/>
      <c r="CNQ6" s="1225"/>
      <c r="CNR6" s="1225"/>
      <c r="CNS6" s="1225"/>
      <c r="CNT6" s="1225"/>
      <c r="CNU6" s="1225"/>
      <c r="CNV6" s="1225"/>
      <c r="CNW6" s="1225"/>
      <c r="CNX6" s="1225"/>
      <c r="CNY6" s="1225"/>
      <c r="CNZ6" s="1225"/>
      <c r="COA6" s="1225"/>
      <c r="COB6" s="1225"/>
      <c r="COC6" s="1225"/>
      <c r="COD6" s="1225"/>
      <c r="COE6" s="1225"/>
      <c r="COF6" s="1225"/>
      <c r="COG6" s="1225"/>
      <c r="COH6" s="1225"/>
      <c r="COI6" s="1225"/>
      <c r="COJ6" s="1225"/>
      <c r="COK6" s="1225"/>
      <c r="COL6" s="1225"/>
      <c r="COM6" s="1225"/>
      <c r="CON6" s="1225"/>
      <c r="COO6" s="1225"/>
      <c r="COP6" s="1225"/>
      <c r="COQ6" s="1225"/>
      <c r="COR6" s="1225"/>
      <c r="COS6" s="1225"/>
      <c r="COT6" s="1225"/>
      <c r="COU6" s="1225"/>
      <c r="COV6" s="1225"/>
      <c r="COW6" s="1225"/>
      <c r="COX6" s="1225"/>
      <c r="COY6" s="1225"/>
      <c r="COZ6" s="1225"/>
      <c r="CPA6" s="1225"/>
      <c r="CPB6" s="1225"/>
      <c r="CPC6" s="1225"/>
      <c r="CPD6" s="1225"/>
      <c r="CPE6" s="1225"/>
      <c r="CPF6" s="1225"/>
      <c r="CPG6" s="1225"/>
      <c r="CPH6" s="1225"/>
      <c r="CPI6" s="1225"/>
      <c r="CPJ6" s="1225"/>
      <c r="CPK6" s="1225"/>
      <c r="CPL6" s="1225"/>
      <c r="CPM6" s="1225"/>
      <c r="CPN6" s="1225"/>
      <c r="CPO6" s="1225"/>
      <c r="CPP6" s="1225"/>
      <c r="CPQ6" s="1225"/>
      <c r="CPR6" s="1225"/>
      <c r="CPS6" s="1225"/>
      <c r="CPT6" s="1225"/>
      <c r="CPU6" s="1225"/>
      <c r="CPV6" s="1225"/>
      <c r="CPW6" s="1225"/>
      <c r="CPX6" s="1225"/>
      <c r="CPY6" s="1225"/>
      <c r="CPZ6" s="1225"/>
      <c r="CQA6" s="1225"/>
      <c r="CQB6" s="1225"/>
      <c r="CQC6" s="1225"/>
      <c r="CQD6" s="1225"/>
      <c r="CQE6" s="1225"/>
      <c r="CQF6" s="1225"/>
      <c r="CQG6" s="1225"/>
      <c r="CQH6" s="1225"/>
      <c r="CQI6" s="1225"/>
      <c r="CQJ6" s="1225"/>
      <c r="CQK6" s="1225"/>
      <c r="CQL6" s="1225"/>
      <c r="CQM6" s="1225"/>
      <c r="CQN6" s="1225"/>
      <c r="CQO6" s="1225"/>
      <c r="CQP6" s="1225"/>
      <c r="CQQ6" s="1225"/>
      <c r="CQR6" s="1225"/>
      <c r="CQS6" s="1225"/>
      <c r="CQT6" s="1225"/>
      <c r="CQU6" s="1225"/>
      <c r="CQV6" s="1225"/>
      <c r="CQW6" s="1225"/>
      <c r="CQX6" s="1225"/>
      <c r="CQY6" s="1225"/>
      <c r="CQZ6" s="1225"/>
      <c r="CRA6" s="1225"/>
      <c r="CRB6" s="1225"/>
      <c r="CRC6" s="1225"/>
      <c r="CRD6" s="1225"/>
      <c r="CRE6" s="1225"/>
      <c r="CRF6" s="1225"/>
      <c r="CRG6" s="1225"/>
      <c r="CRH6" s="1225"/>
      <c r="CRI6" s="1225"/>
      <c r="CRJ6" s="1225"/>
      <c r="CRK6" s="1225"/>
      <c r="CRL6" s="1225"/>
      <c r="CRM6" s="1225"/>
      <c r="CRN6" s="1225"/>
      <c r="CRO6" s="1225"/>
      <c r="CRP6" s="1225"/>
      <c r="CRQ6" s="1225"/>
      <c r="CRR6" s="1225"/>
      <c r="CRS6" s="1225"/>
      <c r="CRT6" s="1225"/>
      <c r="CRU6" s="1225"/>
      <c r="CRV6" s="1225"/>
      <c r="CRW6" s="1225"/>
      <c r="CRX6" s="1225"/>
      <c r="CRY6" s="1225"/>
      <c r="CRZ6" s="1225"/>
      <c r="CSA6" s="1225"/>
      <c r="CSB6" s="1225"/>
      <c r="CSC6" s="1225"/>
      <c r="CSD6" s="1225"/>
      <c r="CSE6" s="1225"/>
      <c r="CSF6" s="1225"/>
      <c r="CSG6" s="1225"/>
      <c r="CSH6" s="1225"/>
      <c r="CSI6" s="1225"/>
      <c r="CSJ6" s="1225"/>
      <c r="CSK6" s="1225"/>
      <c r="CSL6" s="1225"/>
      <c r="CSM6" s="1225"/>
      <c r="CSN6" s="1225"/>
      <c r="CSO6" s="1225"/>
      <c r="CSP6" s="1225"/>
      <c r="CSQ6" s="1225"/>
      <c r="CSR6" s="1225"/>
      <c r="CSS6" s="1225"/>
      <c r="CST6" s="1225"/>
      <c r="CSU6" s="1225"/>
      <c r="CSV6" s="1225"/>
      <c r="CSW6" s="1225"/>
      <c r="CSX6" s="1225"/>
      <c r="CSY6" s="1225"/>
      <c r="CSZ6" s="1225"/>
      <c r="CTA6" s="1225"/>
      <c r="CTB6" s="1225"/>
      <c r="CTC6" s="1225"/>
      <c r="CTD6" s="1225"/>
      <c r="CTE6" s="1225"/>
      <c r="CTF6" s="1225"/>
      <c r="CTG6" s="1225"/>
      <c r="CTH6" s="1225"/>
      <c r="CTI6" s="1225"/>
      <c r="CTJ6" s="1225"/>
      <c r="CTK6" s="1225"/>
      <c r="CTL6" s="1225"/>
      <c r="CTM6" s="1225"/>
      <c r="CTN6" s="1225"/>
      <c r="CTO6" s="1225"/>
      <c r="CTP6" s="1225"/>
      <c r="CTQ6" s="1225"/>
      <c r="CTR6" s="1225"/>
      <c r="CTS6" s="1225"/>
      <c r="CTT6" s="1225"/>
      <c r="CTU6" s="1225"/>
      <c r="CTV6" s="1225"/>
      <c r="CTW6" s="1225"/>
      <c r="CTX6" s="1225"/>
      <c r="CTY6" s="1225"/>
      <c r="CTZ6" s="1225"/>
      <c r="CUA6" s="1225"/>
      <c r="CUB6" s="1225"/>
      <c r="CUC6" s="1225"/>
      <c r="CUD6" s="1225"/>
      <c r="CUE6" s="1225"/>
      <c r="CUF6" s="1225"/>
      <c r="CUG6" s="1225"/>
      <c r="CUH6" s="1225"/>
      <c r="CUI6" s="1225"/>
      <c r="CUJ6" s="1225"/>
      <c r="CUK6" s="1225"/>
      <c r="CUL6" s="1225"/>
      <c r="CUM6" s="1225"/>
      <c r="CUN6" s="1225"/>
      <c r="CUO6" s="1225"/>
      <c r="CUP6" s="1225"/>
      <c r="CUQ6" s="1225"/>
      <c r="CUR6" s="1225"/>
      <c r="CUS6" s="1225"/>
      <c r="CUT6" s="1225"/>
      <c r="CUU6" s="1225"/>
      <c r="CUV6" s="1225"/>
      <c r="CUW6" s="1225"/>
      <c r="CUX6" s="1225"/>
      <c r="CUY6" s="1225"/>
      <c r="CUZ6" s="1225"/>
      <c r="CVA6" s="1225"/>
      <c r="CVB6" s="1225"/>
      <c r="CVC6" s="1225"/>
      <c r="CVD6" s="1225"/>
      <c r="CVE6" s="1225"/>
      <c r="CVF6" s="1225"/>
      <c r="CVG6" s="1225"/>
      <c r="CVH6" s="1225"/>
      <c r="CVI6" s="1225"/>
      <c r="CVJ6" s="1225"/>
      <c r="CVK6" s="1225"/>
      <c r="CVL6" s="1225"/>
      <c r="CVM6" s="1225"/>
      <c r="CVN6" s="1225"/>
      <c r="CVO6" s="1225"/>
      <c r="CVP6" s="1225"/>
      <c r="CVQ6" s="1225"/>
      <c r="CVR6" s="1225"/>
      <c r="CVS6" s="1225"/>
      <c r="CVT6" s="1225"/>
      <c r="CVU6" s="1225"/>
      <c r="CVV6" s="1225"/>
      <c r="CVW6" s="1225"/>
      <c r="CVX6" s="1225"/>
      <c r="CVY6" s="1225"/>
      <c r="CVZ6" s="1225"/>
      <c r="CWA6" s="1225"/>
      <c r="CWB6" s="1225"/>
      <c r="CWC6" s="1225"/>
      <c r="CWD6" s="1225"/>
      <c r="CWE6" s="1225"/>
      <c r="CWF6" s="1225"/>
      <c r="CWG6" s="1225"/>
      <c r="CWH6" s="1225"/>
      <c r="CWI6" s="1225"/>
      <c r="CWJ6" s="1225"/>
      <c r="CWK6" s="1225"/>
      <c r="CWL6" s="1225"/>
      <c r="CWM6" s="1225"/>
      <c r="CWN6" s="1225"/>
      <c r="CWO6" s="1225"/>
      <c r="CWP6" s="1225"/>
      <c r="CWQ6" s="1225"/>
      <c r="CWR6" s="1225"/>
      <c r="CWS6" s="1225"/>
      <c r="CWT6" s="1225"/>
      <c r="CWU6" s="1225"/>
      <c r="CWV6" s="1225"/>
      <c r="CWW6" s="1225"/>
      <c r="CWX6" s="1225"/>
      <c r="CWY6" s="1225"/>
      <c r="CWZ6" s="1225"/>
      <c r="CXA6" s="1225"/>
      <c r="CXB6" s="1225"/>
      <c r="CXC6" s="1225"/>
      <c r="CXD6" s="1225"/>
      <c r="CXE6" s="1225"/>
      <c r="CXF6" s="1225"/>
      <c r="CXG6" s="1225"/>
      <c r="CXH6" s="1225"/>
      <c r="CXI6" s="1225"/>
      <c r="CXJ6" s="1225"/>
      <c r="CXK6" s="1225"/>
      <c r="CXL6" s="1225"/>
      <c r="CXM6" s="1225"/>
      <c r="CXN6" s="1225"/>
      <c r="CXO6" s="1225"/>
      <c r="CXP6" s="1225"/>
      <c r="CXQ6" s="1225"/>
      <c r="CXR6" s="1225"/>
      <c r="CXS6" s="1225"/>
      <c r="CXT6" s="1225"/>
      <c r="CXU6" s="1225"/>
      <c r="CXV6" s="1225"/>
      <c r="CXW6" s="1225"/>
      <c r="CXX6" s="1225"/>
      <c r="CXY6" s="1225"/>
      <c r="CXZ6" s="1225"/>
      <c r="CYA6" s="1225"/>
      <c r="CYB6" s="1225"/>
      <c r="CYC6" s="1225"/>
      <c r="CYD6" s="1225"/>
      <c r="CYE6" s="1225"/>
      <c r="CYF6" s="1225"/>
      <c r="CYG6" s="1225"/>
      <c r="CYH6" s="1225"/>
      <c r="CYI6" s="1225"/>
      <c r="CYJ6" s="1225"/>
      <c r="CYK6" s="1225"/>
      <c r="CYL6" s="1225"/>
      <c r="CYM6" s="1225"/>
      <c r="CYN6" s="1225"/>
      <c r="CYO6" s="1225"/>
      <c r="CYP6" s="1225"/>
      <c r="CYQ6" s="1225"/>
      <c r="CYR6" s="1225"/>
      <c r="CYS6" s="1225"/>
      <c r="CYT6" s="1225"/>
      <c r="CYU6" s="1225"/>
      <c r="CYV6" s="1225"/>
      <c r="CYW6" s="1225"/>
      <c r="CYX6" s="1225"/>
      <c r="CYY6" s="1225"/>
      <c r="CYZ6" s="1225"/>
      <c r="CZA6" s="1225"/>
      <c r="CZB6" s="1225"/>
      <c r="CZC6" s="1225"/>
      <c r="CZD6" s="1225"/>
      <c r="CZE6" s="1225"/>
      <c r="CZF6" s="1225"/>
      <c r="CZG6" s="1225"/>
      <c r="CZH6" s="1225"/>
      <c r="CZI6" s="1225"/>
      <c r="CZJ6" s="1225"/>
      <c r="CZK6" s="1225"/>
      <c r="CZL6" s="1225"/>
      <c r="CZM6" s="1225"/>
      <c r="CZN6" s="1225"/>
      <c r="CZO6" s="1225"/>
      <c r="CZP6" s="1225"/>
      <c r="CZQ6" s="1225"/>
      <c r="CZR6" s="1225"/>
      <c r="CZS6" s="1225"/>
      <c r="CZT6" s="1225"/>
      <c r="CZU6" s="1225"/>
      <c r="CZV6" s="1225"/>
      <c r="CZW6" s="1225"/>
      <c r="CZX6" s="1225"/>
      <c r="CZY6" s="1225"/>
      <c r="CZZ6" s="1225"/>
      <c r="DAA6" s="1225"/>
      <c r="DAB6" s="1225"/>
      <c r="DAC6" s="1225"/>
      <c r="DAD6" s="1225"/>
      <c r="DAE6" s="1225"/>
      <c r="DAF6" s="1225"/>
      <c r="DAG6" s="1225"/>
      <c r="DAH6" s="1225"/>
      <c r="DAI6" s="1225"/>
      <c r="DAJ6" s="1225"/>
      <c r="DAK6" s="1225"/>
      <c r="DAL6" s="1225"/>
      <c r="DAM6" s="1225"/>
      <c r="DAN6" s="1225"/>
      <c r="DAO6" s="1225"/>
      <c r="DAP6" s="1225"/>
      <c r="DAQ6" s="1225"/>
      <c r="DAR6" s="1225"/>
      <c r="DAS6" s="1225"/>
      <c r="DAT6" s="1225"/>
      <c r="DAU6" s="1225"/>
      <c r="DAV6" s="1225"/>
      <c r="DAW6" s="1225"/>
      <c r="DAX6" s="1225"/>
      <c r="DAY6" s="1225"/>
      <c r="DAZ6" s="1225"/>
      <c r="DBA6" s="1225"/>
      <c r="DBB6" s="1225"/>
      <c r="DBC6" s="1225"/>
      <c r="DBD6" s="1225"/>
      <c r="DBE6" s="1225"/>
      <c r="DBF6" s="1225"/>
      <c r="DBG6" s="1225"/>
      <c r="DBH6" s="1225"/>
      <c r="DBI6" s="1225"/>
      <c r="DBJ6" s="1225"/>
      <c r="DBK6" s="1225"/>
      <c r="DBL6" s="1225"/>
      <c r="DBM6" s="1225"/>
      <c r="DBN6" s="1225"/>
      <c r="DBO6" s="1225"/>
      <c r="DBP6" s="1225"/>
      <c r="DBQ6" s="1225"/>
      <c r="DBR6" s="1225"/>
      <c r="DBS6" s="1225"/>
      <c r="DBT6" s="1225"/>
      <c r="DBU6" s="1225"/>
      <c r="DBV6" s="1225"/>
      <c r="DBW6" s="1225"/>
      <c r="DBX6" s="1225"/>
      <c r="DBY6" s="1225"/>
      <c r="DBZ6" s="1225"/>
      <c r="DCA6" s="1225"/>
      <c r="DCB6" s="1225"/>
      <c r="DCC6" s="1225"/>
      <c r="DCD6" s="1225"/>
      <c r="DCE6" s="1225"/>
      <c r="DCF6" s="1225"/>
      <c r="DCG6" s="1225"/>
      <c r="DCH6" s="1225"/>
      <c r="DCI6" s="1225"/>
      <c r="DCJ6" s="1225"/>
      <c r="DCK6" s="1225"/>
      <c r="DCL6" s="1225"/>
      <c r="DCM6" s="1225"/>
      <c r="DCN6" s="1225"/>
      <c r="DCO6" s="1225"/>
      <c r="DCP6" s="1225"/>
      <c r="DCQ6" s="1225"/>
      <c r="DCR6" s="1225"/>
      <c r="DCS6" s="1225"/>
      <c r="DCT6" s="1225"/>
      <c r="DCU6" s="1225"/>
      <c r="DCV6" s="1225"/>
      <c r="DCW6" s="1225"/>
      <c r="DCX6" s="1225"/>
      <c r="DCY6" s="1225"/>
      <c r="DCZ6" s="1225"/>
      <c r="DDA6" s="1225"/>
      <c r="DDB6" s="1225"/>
      <c r="DDC6" s="1225"/>
      <c r="DDD6" s="1225"/>
      <c r="DDE6" s="1225"/>
      <c r="DDF6" s="1225"/>
      <c r="DDG6" s="1225"/>
      <c r="DDH6" s="1225"/>
      <c r="DDI6" s="1225"/>
      <c r="DDJ6" s="1225"/>
      <c r="DDK6" s="1225"/>
      <c r="DDL6" s="1225"/>
      <c r="DDM6" s="1225"/>
      <c r="DDN6" s="1225"/>
      <c r="DDO6" s="1225"/>
      <c r="DDP6" s="1225"/>
      <c r="DDQ6" s="1225"/>
      <c r="DDR6" s="1225"/>
      <c r="DDS6" s="1225"/>
      <c r="DDT6" s="1225"/>
      <c r="DDU6" s="1225"/>
      <c r="DDV6" s="1225"/>
      <c r="DDW6" s="1225"/>
      <c r="DDX6" s="1225"/>
      <c r="DDY6" s="1225"/>
      <c r="DDZ6" s="1225"/>
      <c r="DEA6" s="1225"/>
      <c r="DEB6" s="1225"/>
      <c r="DEC6" s="1225"/>
      <c r="DED6" s="1225"/>
      <c r="DEE6" s="1225"/>
      <c r="DEF6" s="1225"/>
      <c r="DEG6" s="1225"/>
      <c r="DEH6" s="1225"/>
      <c r="DEI6" s="1225"/>
      <c r="DEJ6" s="1225"/>
      <c r="DEK6" s="1225"/>
      <c r="DEL6" s="1225"/>
      <c r="DEM6" s="1225"/>
      <c r="DEN6" s="1225"/>
      <c r="DEO6" s="1225"/>
      <c r="DEP6" s="1225"/>
      <c r="DEQ6" s="1225"/>
      <c r="DER6" s="1225"/>
      <c r="DES6" s="1225"/>
      <c r="DET6" s="1225"/>
      <c r="DEU6" s="1225"/>
      <c r="DEV6" s="1225"/>
      <c r="DEW6" s="1225"/>
      <c r="DEX6" s="1225"/>
      <c r="DEY6" s="1225"/>
      <c r="DEZ6" s="1225"/>
      <c r="DFA6" s="1225"/>
      <c r="DFB6" s="1225"/>
      <c r="DFC6" s="1225"/>
      <c r="DFD6" s="1225"/>
      <c r="DFE6" s="1225"/>
      <c r="DFF6" s="1225"/>
      <c r="DFG6" s="1225"/>
      <c r="DFH6" s="1225"/>
      <c r="DFI6" s="1225"/>
      <c r="DFJ6" s="1225"/>
      <c r="DFK6" s="1225"/>
      <c r="DFL6" s="1225"/>
      <c r="DFM6" s="1225"/>
      <c r="DFN6" s="1225"/>
      <c r="DFO6" s="1225"/>
      <c r="DFP6" s="1225"/>
      <c r="DFQ6" s="1225"/>
      <c r="DFR6" s="1225"/>
      <c r="DFS6" s="1225"/>
      <c r="DFT6" s="1225"/>
      <c r="DFU6" s="1225"/>
      <c r="DFV6" s="1225"/>
      <c r="DFW6" s="1225"/>
      <c r="DFX6" s="1225"/>
      <c r="DFY6" s="1225"/>
      <c r="DFZ6" s="1225"/>
      <c r="DGA6" s="1225"/>
      <c r="DGB6" s="1225"/>
      <c r="DGC6" s="1225"/>
      <c r="DGD6" s="1225"/>
      <c r="DGE6" s="1225"/>
      <c r="DGF6" s="1225"/>
      <c r="DGG6" s="1225"/>
      <c r="DGH6" s="1225"/>
      <c r="DGI6" s="1225"/>
      <c r="DGJ6" s="1225"/>
      <c r="DGK6" s="1225"/>
      <c r="DGL6" s="1225"/>
      <c r="DGM6" s="1225"/>
      <c r="DGN6" s="1225"/>
      <c r="DGO6" s="1225"/>
      <c r="DGP6" s="1225"/>
      <c r="DGQ6" s="1225"/>
      <c r="DGR6" s="1225"/>
      <c r="DGS6" s="1225"/>
      <c r="DGT6" s="1225"/>
      <c r="DGU6" s="1225"/>
      <c r="DGV6" s="1225"/>
      <c r="DGW6" s="1225"/>
      <c r="DGX6" s="1225"/>
      <c r="DGY6" s="1225"/>
      <c r="DGZ6" s="1225"/>
      <c r="DHA6" s="1225"/>
      <c r="DHB6" s="1225"/>
      <c r="DHC6" s="1225"/>
      <c r="DHD6" s="1225"/>
      <c r="DHE6" s="1225"/>
      <c r="DHF6" s="1225"/>
      <c r="DHG6" s="1225"/>
      <c r="DHH6" s="1225"/>
      <c r="DHI6" s="1225"/>
      <c r="DHJ6" s="1225"/>
      <c r="DHK6" s="1225"/>
      <c r="DHL6" s="1225"/>
      <c r="DHM6" s="1225"/>
      <c r="DHN6" s="1225"/>
      <c r="DHO6" s="1225"/>
      <c r="DHP6" s="1225"/>
      <c r="DHQ6" s="1225"/>
      <c r="DHR6" s="1225"/>
      <c r="DHS6" s="1225"/>
      <c r="DHT6" s="1225"/>
      <c r="DHU6" s="1225"/>
      <c r="DHV6" s="1225"/>
      <c r="DHW6" s="1225"/>
      <c r="DHX6" s="1225"/>
      <c r="DHY6" s="1225"/>
      <c r="DHZ6" s="1225"/>
      <c r="DIA6" s="1225"/>
      <c r="DIB6" s="1225"/>
      <c r="DIC6" s="1225"/>
      <c r="DID6" s="1225"/>
      <c r="DIE6" s="1225"/>
      <c r="DIF6" s="1225"/>
      <c r="DIG6" s="1225"/>
      <c r="DIH6" s="1225"/>
      <c r="DII6" s="1225"/>
      <c r="DIJ6" s="1225"/>
      <c r="DIK6" s="1225"/>
      <c r="DIL6" s="1225"/>
      <c r="DIM6" s="1225"/>
      <c r="DIN6" s="1225"/>
      <c r="DIO6" s="1225"/>
      <c r="DIP6" s="1225"/>
      <c r="DIQ6" s="1225"/>
      <c r="DIR6" s="1225"/>
      <c r="DIS6" s="1225"/>
      <c r="DIT6" s="1225"/>
      <c r="DIU6" s="1225"/>
      <c r="DIV6" s="1225"/>
      <c r="DIW6" s="1225"/>
      <c r="DIX6" s="1225"/>
      <c r="DIY6" s="1225"/>
      <c r="DIZ6" s="1225"/>
      <c r="DJA6" s="1225"/>
      <c r="DJB6" s="1225"/>
      <c r="DJC6" s="1225"/>
      <c r="DJD6" s="1225"/>
      <c r="DJE6" s="1225"/>
      <c r="DJF6" s="1225"/>
      <c r="DJG6" s="1225"/>
      <c r="DJH6" s="1225"/>
      <c r="DJI6" s="1225"/>
      <c r="DJJ6" s="1225"/>
      <c r="DJK6" s="1225"/>
      <c r="DJL6" s="1225"/>
      <c r="DJM6" s="1225"/>
      <c r="DJN6" s="1225"/>
      <c r="DJO6" s="1225"/>
      <c r="DJP6" s="1225"/>
      <c r="DJQ6" s="1225"/>
      <c r="DJR6" s="1225"/>
      <c r="DJS6" s="1225"/>
      <c r="DJT6" s="1225"/>
      <c r="DJU6" s="1225"/>
      <c r="DJV6" s="1225"/>
      <c r="DJW6" s="1225"/>
      <c r="DJX6" s="1225"/>
      <c r="DJY6" s="1225"/>
      <c r="DJZ6" s="1225"/>
      <c r="DKA6" s="1225"/>
      <c r="DKB6" s="1225"/>
      <c r="DKC6" s="1225"/>
      <c r="DKD6" s="1225"/>
      <c r="DKE6" s="1225"/>
      <c r="DKF6" s="1225"/>
      <c r="DKG6" s="1225"/>
      <c r="DKH6" s="1225"/>
      <c r="DKI6" s="1225"/>
      <c r="DKJ6" s="1225"/>
      <c r="DKK6" s="1225"/>
      <c r="DKL6" s="1225"/>
      <c r="DKM6" s="1225"/>
      <c r="DKN6" s="1225"/>
      <c r="DKO6" s="1225"/>
      <c r="DKP6" s="1225"/>
      <c r="DKQ6" s="1225"/>
      <c r="DKR6" s="1225"/>
      <c r="DKS6" s="1225"/>
      <c r="DKT6" s="1225"/>
      <c r="DKU6" s="1225"/>
      <c r="DKV6" s="1225"/>
      <c r="DKW6" s="1225"/>
      <c r="DKX6" s="1225"/>
      <c r="DKY6" s="1225"/>
      <c r="DKZ6" s="1225"/>
      <c r="DLA6" s="1225"/>
      <c r="DLB6" s="1225"/>
      <c r="DLC6" s="1225"/>
      <c r="DLD6" s="1225"/>
      <c r="DLE6" s="1225"/>
      <c r="DLF6" s="1225"/>
      <c r="DLG6" s="1225"/>
      <c r="DLH6" s="1225"/>
      <c r="DLI6" s="1225"/>
      <c r="DLJ6" s="1225"/>
      <c r="DLK6" s="1225"/>
      <c r="DLL6" s="1225"/>
      <c r="DLM6" s="1225"/>
      <c r="DLN6" s="1225"/>
      <c r="DLO6" s="1225"/>
      <c r="DLP6" s="1225"/>
      <c r="DLQ6" s="1225"/>
      <c r="DLR6" s="1225"/>
      <c r="DLS6" s="1225"/>
      <c r="DLT6" s="1225"/>
      <c r="DLU6" s="1225"/>
      <c r="DLV6" s="1225"/>
      <c r="DLW6" s="1225"/>
      <c r="DLX6" s="1225"/>
      <c r="DLY6" s="1225"/>
      <c r="DLZ6" s="1225"/>
      <c r="DMA6" s="1225"/>
      <c r="DMB6" s="1225"/>
      <c r="DMC6" s="1225"/>
      <c r="DMD6" s="1225"/>
      <c r="DME6" s="1225"/>
      <c r="DMF6" s="1225"/>
      <c r="DMG6" s="1225"/>
      <c r="DMH6" s="1225"/>
      <c r="DMI6" s="1225"/>
      <c r="DMJ6" s="1225"/>
      <c r="DMK6" s="1225"/>
      <c r="DML6" s="1225"/>
      <c r="DMM6" s="1225"/>
      <c r="DMN6" s="1225"/>
      <c r="DMO6" s="1225"/>
      <c r="DMP6" s="1225"/>
      <c r="DMQ6" s="1225"/>
      <c r="DMR6" s="1225"/>
      <c r="DMS6" s="1225"/>
      <c r="DMT6" s="1225"/>
      <c r="DMU6" s="1225"/>
      <c r="DMV6" s="1225"/>
      <c r="DMW6" s="1225"/>
      <c r="DMX6" s="1225"/>
      <c r="DMY6" s="1225"/>
      <c r="DMZ6" s="1225"/>
      <c r="DNA6" s="1225"/>
      <c r="DNB6" s="1225"/>
      <c r="DNC6" s="1225"/>
      <c r="DND6" s="1225"/>
      <c r="DNE6" s="1225"/>
      <c r="DNF6" s="1225"/>
      <c r="DNG6" s="1225"/>
      <c r="DNH6" s="1225"/>
      <c r="DNI6" s="1225"/>
      <c r="DNJ6" s="1225"/>
      <c r="DNK6" s="1225"/>
      <c r="DNL6" s="1225"/>
      <c r="DNM6" s="1225"/>
      <c r="DNN6" s="1225"/>
      <c r="DNO6" s="1225"/>
      <c r="DNP6" s="1225"/>
      <c r="DNQ6" s="1225"/>
      <c r="DNR6" s="1225"/>
      <c r="DNS6" s="1225"/>
      <c r="DNT6" s="1225"/>
      <c r="DNU6" s="1225"/>
      <c r="DNV6" s="1225"/>
      <c r="DNW6" s="1225"/>
      <c r="DNX6" s="1225"/>
      <c r="DNY6" s="1225"/>
      <c r="DNZ6" s="1225"/>
      <c r="DOA6" s="1225"/>
      <c r="DOB6" s="1225"/>
      <c r="DOC6" s="1225"/>
      <c r="DOD6" s="1225"/>
      <c r="DOE6" s="1225"/>
      <c r="DOF6" s="1225"/>
      <c r="DOG6" s="1225"/>
      <c r="DOH6" s="1225"/>
      <c r="DOI6" s="1225"/>
      <c r="DOJ6" s="1225"/>
      <c r="DOK6" s="1225"/>
      <c r="DOL6" s="1225"/>
      <c r="DOM6" s="1225"/>
      <c r="DON6" s="1225"/>
      <c r="DOO6" s="1225"/>
      <c r="DOP6" s="1225"/>
      <c r="DOQ6" s="1225"/>
      <c r="DOR6" s="1225"/>
      <c r="DOS6" s="1225"/>
      <c r="DOT6" s="1225"/>
      <c r="DOU6" s="1225"/>
      <c r="DOV6" s="1225"/>
      <c r="DOW6" s="1225"/>
      <c r="DOX6" s="1225"/>
      <c r="DOY6" s="1225"/>
      <c r="DOZ6" s="1225"/>
      <c r="DPA6" s="1225"/>
      <c r="DPB6" s="1225"/>
      <c r="DPC6" s="1225"/>
      <c r="DPD6" s="1225"/>
      <c r="DPE6" s="1225"/>
      <c r="DPF6" s="1225"/>
      <c r="DPG6" s="1225"/>
      <c r="DPH6" s="1225"/>
      <c r="DPI6" s="1225"/>
      <c r="DPJ6" s="1225"/>
      <c r="DPK6" s="1225"/>
      <c r="DPL6" s="1225"/>
      <c r="DPM6" s="1225"/>
      <c r="DPN6" s="1225"/>
      <c r="DPO6" s="1225"/>
      <c r="DPP6" s="1225"/>
      <c r="DPQ6" s="1225"/>
      <c r="DPR6" s="1225"/>
      <c r="DPS6" s="1225"/>
      <c r="DPT6" s="1225"/>
      <c r="DPU6" s="1225"/>
      <c r="DPV6" s="1225"/>
      <c r="DPW6" s="1225"/>
      <c r="DPX6" s="1225"/>
      <c r="DPY6" s="1225"/>
      <c r="DPZ6" s="1225"/>
      <c r="DQA6" s="1225"/>
      <c r="DQB6" s="1225"/>
      <c r="DQC6" s="1225"/>
      <c r="DQD6" s="1225"/>
      <c r="DQE6" s="1225"/>
      <c r="DQF6" s="1225"/>
      <c r="DQG6" s="1225"/>
      <c r="DQH6" s="1225"/>
      <c r="DQI6" s="1225"/>
      <c r="DQJ6" s="1225"/>
      <c r="DQK6" s="1225"/>
      <c r="DQL6" s="1225"/>
      <c r="DQM6" s="1225"/>
      <c r="DQN6" s="1225"/>
      <c r="DQO6" s="1225"/>
      <c r="DQP6" s="1225"/>
      <c r="DQQ6" s="1225"/>
      <c r="DQR6" s="1225"/>
      <c r="DQS6" s="1225"/>
      <c r="DQT6" s="1225"/>
      <c r="DQU6" s="1225"/>
      <c r="DQV6" s="1225"/>
      <c r="DQW6" s="1225"/>
      <c r="DQX6" s="1225"/>
      <c r="DQY6" s="1225"/>
      <c r="DQZ6" s="1225"/>
      <c r="DRA6" s="1225"/>
      <c r="DRB6" s="1225"/>
      <c r="DRC6" s="1225"/>
      <c r="DRD6" s="1225"/>
      <c r="DRE6" s="1225"/>
      <c r="DRF6" s="1225"/>
      <c r="DRG6" s="1225"/>
      <c r="DRH6" s="1225"/>
      <c r="DRI6" s="1225"/>
      <c r="DRJ6" s="1225"/>
      <c r="DRK6" s="1225"/>
      <c r="DRL6" s="1225"/>
      <c r="DRM6" s="1225"/>
      <c r="DRN6" s="1225"/>
      <c r="DRO6" s="1225"/>
      <c r="DRP6" s="1225"/>
      <c r="DRQ6" s="1225"/>
      <c r="DRR6" s="1225"/>
      <c r="DRS6" s="1225"/>
      <c r="DRT6" s="1225"/>
      <c r="DRU6" s="1225"/>
      <c r="DRV6" s="1225"/>
      <c r="DRW6" s="1225"/>
      <c r="DRX6" s="1225"/>
      <c r="DRY6" s="1225"/>
      <c r="DRZ6" s="1225"/>
      <c r="DSA6" s="1225"/>
      <c r="DSB6" s="1225"/>
      <c r="DSC6" s="1225"/>
      <c r="DSD6" s="1225"/>
      <c r="DSE6" s="1225"/>
      <c r="DSF6" s="1225"/>
      <c r="DSG6" s="1225"/>
      <c r="DSH6" s="1225"/>
      <c r="DSI6" s="1225"/>
      <c r="DSJ6" s="1225"/>
      <c r="DSK6" s="1225"/>
      <c r="DSL6" s="1225"/>
      <c r="DSM6" s="1225"/>
      <c r="DSN6" s="1225"/>
      <c r="DSO6" s="1225"/>
      <c r="DSP6" s="1225"/>
      <c r="DSQ6" s="1225"/>
      <c r="DSR6" s="1225"/>
      <c r="DSS6" s="1225"/>
      <c r="DST6" s="1225"/>
      <c r="DSU6" s="1225"/>
      <c r="DSV6" s="1225"/>
      <c r="DSW6" s="1225"/>
      <c r="DSX6" s="1225"/>
      <c r="DSY6" s="1225"/>
      <c r="DSZ6" s="1225"/>
      <c r="DTA6" s="1225"/>
      <c r="DTB6" s="1225"/>
      <c r="DTC6" s="1225"/>
      <c r="DTD6" s="1225"/>
      <c r="DTE6" s="1225"/>
      <c r="DTF6" s="1225"/>
      <c r="DTG6" s="1225"/>
      <c r="DTH6" s="1225"/>
      <c r="DTI6" s="1225"/>
      <c r="DTJ6" s="1225"/>
      <c r="DTK6" s="1225"/>
      <c r="DTL6" s="1225"/>
      <c r="DTM6" s="1225"/>
      <c r="DTN6" s="1225"/>
      <c r="DTO6" s="1225"/>
      <c r="DTP6" s="1225"/>
      <c r="DTQ6" s="1225"/>
      <c r="DTR6" s="1225"/>
      <c r="DTS6" s="1225"/>
      <c r="DTT6" s="1225"/>
      <c r="DTU6" s="1225"/>
      <c r="DTV6" s="1225"/>
      <c r="DTW6" s="1225"/>
      <c r="DTX6" s="1225"/>
      <c r="DTY6" s="1225"/>
      <c r="DTZ6" s="1225"/>
      <c r="DUA6" s="1225"/>
      <c r="DUB6" s="1225"/>
      <c r="DUC6" s="1225"/>
      <c r="DUD6" s="1225"/>
      <c r="DUE6" s="1225"/>
      <c r="DUF6" s="1225"/>
      <c r="DUG6" s="1225"/>
      <c r="DUH6" s="1225"/>
      <c r="DUI6" s="1225"/>
      <c r="DUJ6" s="1225"/>
      <c r="DUK6" s="1225"/>
      <c r="DUL6" s="1225"/>
      <c r="DUM6" s="1225"/>
      <c r="DUN6" s="1225"/>
      <c r="DUO6" s="1225"/>
      <c r="DUP6" s="1225"/>
      <c r="DUQ6" s="1225"/>
      <c r="DUR6" s="1225"/>
      <c r="DUS6" s="1225"/>
      <c r="DUT6" s="1225"/>
      <c r="DUU6" s="1225"/>
      <c r="DUV6" s="1225"/>
      <c r="DUW6" s="1225"/>
      <c r="DUX6" s="1225"/>
      <c r="DUY6" s="1225"/>
      <c r="DUZ6" s="1225"/>
      <c r="DVA6" s="1225"/>
      <c r="DVB6" s="1225"/>
      <c r="DVC6" s="1225"/>
      <c r="DVD6" s="1225"/>
      <c r="DVE6" s="1225"/>
      <c r="DVF6" s="1225"/>
      <c r="DVG6" s="1225"/>
      <c r="DVH6" s="1225"/>
      <c r="DVI6" s="1225"/>
      <c r="DVJ6" s="1225"/>
      <c r="DVK6" s="1225"/>
      <c r="DVL6" s="1225"/>
      <c r="DVM6" s="1225"/>
      <c r="DVN6" s="1225"/>
      <c r="DVO6" s="1225"/>
      <c r="DVP6" s="1225"/>
      <c r="DVQ6" s="1225"/>
      <c r="DVR6" s="1225"/>
      <c r="DVS6" s="1225"/>
      <c r="DVT6" s="1225"/>
      <c r="DVU6" s="1225"/>
      <c r="DVV6" s="1225"/>
      <c r="DVW6" s="1225"/>
      <c r="DVX6" s="1225"/>
      <c r="DVY6" s="1225"/>
      <c r="DVZ6" s="1225"/>
      <c r="DWA6" s="1225"/>
      <c r="DWB6" s="1225"/>
      <c r="DWC6" s="1225"/>
      <c r="DWD6" s="1225"/>
      <c r="DWE6" s="1225"/>
      <c r="DWF6" s="1225"/>
      <c r="DWG6" s="1225"/>
      <c r="DWH6" s="1225"/>
      <c r="DWI6" s="1225"/>
      <c r="DWJ6" s="1225"/>
      <c r="DWK6" s="1225"/>
      <c r="DWL6" s="1225"/>
      <c r="DWM6" s="1225"/>
      <c r="DWN6" s="1225"/>
      <c r="DWO6" s="1225"/>
      <c r="DWP6" s="1225"/>
      <c r="DWQ6" s="1225"/>
      <c r="DWR6" s="1225"/>
      <c r="DWS6" s="1225"/>
      <c r="DWT6" s="1225"/>
      <c r="DWU6" s="1225"/>
      <c r="DWV6" s="1225"/>
      <c r="DWW6" s="1225"/>
      <c r="DWX6" s="1225"/>
      <c r="DWY6" s="1225"/>
      <c r="DWZ6" s="1225"/>
      <c r="DXA6" s="1225"/>
      <c r="DXB6" s="1225"/>
      <c r="DXC6" s="1225"/>
      <c r="DXD6" s="1225"/>
      <c r="DXE6" s="1225"/>
      <c r="DXF6" s="1225"/>
      <c r="DXG6" s="1225"/>
      <c r="DXH6" s="1225"/>
      <c r="DXI6" s="1225"/>
      <c r="DXJ6" s="1225"/>
      <c r="DXK6" s="1225"/>
      <c r="DXL6" s="1225"/>
      <c r="DXM6" s="1225"/>
      <c r="DXN6" s="1225"/>
      <c r="DXO6" s="1225"/>
      <c r="DXP6" s="1225"/>
      <c r="DXQ6" s="1225"/>
      <c r="DXR6" s="1225"/>
      <c r="DXS6" s="1225"/>
      <c r="DXT6" s="1225"/>
      <c r="DXU6" s="1225"/>
      <c r="DXV6" s="1225"/>
      <c r="DXW6" s="1225"/>
      <c r="DXX6" s="1225"/>
      <c r="DXY6" s="1225"/>
      <c r="DXZ6" s="1225"/>
      <c r="DYA6" s="1225"/>
      <c r="DYB6" s="1225"/>
      <c r="DYC6" s="1225"/>
      <c r="DYD6" s="1225"/>
      <c r="DYE6" s="1225"/>
      <c r="DYF6" s="1225"/>
      <c r="DYG6" s="1225"/>
      <c r="DYH6" s="1225"/>
      <c r="DYI6" s="1225"/>
      <c r="DYJ6" s="1225"/>
      <c r="DYK6" s="1225"/>
      <c r="DYL6" s="1225"/>
      <c r="DYM6" s="1225"/>
      <c r="DYN6" s="1225"/>
      <c r="DYO6" s="1225"/>
      <c r="DYP6" s="1225"/>
      <c r="DYQ6" s="1225"/>
      <c r="DYR6" s="1225"/>
      <c r="DYS6" s="1225"/>
      <c r="DYT6" s="1225"/>
      <c r="DYU6" s="1225"/>
      <c r="DYV6" s="1225"/>
      <c r="DYW6" s="1225"/>
      <c r="DYX6" s="1225"/>
      <c r="DYY6" s="1225"/>
      <c r="DYZ6" s="1225"/>
      <c r="DZA6" s="1225"/>
      <c r="DZB6" s="1225"/>
      <c r="DZC6" s="1225"/>
      <c r="DZD6" s="1225"/>
      <c r="DZE6" s="1225"/>
      <c r="DZF6" s="1225"/>
      <c r="DZG6" s="1225"/>
      <c r="DZH6" s="1225"/>
      <c r="DZI6" s="1225"/>
      <c r="DZJ6" s="1225"/>
      <c r="DZK6" s="1225"/>
      <c r="DZL6" s="1225"/>
      <c r="DZM6" s="1225"/>
      <c r="DZN6" s="1225"/>
      <c r="DZO6" s="1225"/>
      <c r="DZP6" s="1225"/>
      <c r="DZQ6" s="1225"/>
      <c r="DZR6" s="1225"/>
      <c r="DZS6" s="1225"/>
      <c r="DZT6" s="1225"/>
      <c r="DZU6" s="1225"/>
      <c r="DZV6" s="1225"/>
      <c r="DZW6" s="1225"/>
      <c r="DZX6" s="1225"/>
      <c r="DZY6" s="1225"/>
      <c r="DZZ6" s="1225"/>
      <c r="EAA6" s="1225"/>
      <c r="EAB6" s="1225"/>
      <c r="EAC6" s="1225"/>
      <c r="EAD6" s="1225"/>
      <c r="EAE6" s="1225"/>
      <c r="EAF6" s="1225"/>
      <c r="EAG6" s="1225"/>
      <c r="EAH6" s="1225"/>
      <c r="EAI6" s="1225"/>
      <c r="EAJ6" s="1225"/>
      <c r="EAK6" s="1225"/>
      <c r="EAL6" s="1225"/>
      <c r="EAM6" s="1225"/>
      <c r="EAN6" s="1225"/>
      <c r="EAO6" s="1225"/>
      <c r="EAP6" s="1225"/>
      <c r="EAQ6" s="1225"/>
      <c r="EAR6" s="1225"/>
      <c r="EAS6" s="1225"/>
      <c r="EAT6" s="1225"/>
      <c r="EAU6" s="1225"/>
      <c r="EAV6" s="1225"/>
      <c r="EAW6" s="1225"/>
      <c r="EAX6" s="1225"/>
      <c r="EAY6" s="1225"/>
      <c r="EAZ6" s="1225"/>
      <c r="EBA6" s="1225"/>
      <c r="EBB6" s="1225"/>
      <c r="EBC6" s="1225"/>
      <c r="EBD6" s="1225"/>
      <c r="EBE6" s="1225"/>
      <c r="EBF6" s="1225"/>
      <c r="EBG6" s="1225"/>
      <c r="EBH6" s="1225"/>
      <c r="EBI6" s="1225"/>
      <c r="EBJ6" s="1225"/>
      <c r="EBK6" s="1225"/>
      <c r="EBL6" s="1225"/>
      <c r="EBM6" s="1225"/>
      <c r="EBN6" s="1225"/>
      <c r="EBO6" s="1225"/>
      <c r="EBP6" s="1225"/>
      <c r="EBQ6" s="1225"/>
      <c r="EBR6" s="1225"/>
      <c r="EBS6" s="1225"/>
      <c r="EBT6" s="1225"/>
      <c r="EBU6" s="1225"/>
      <c r="EBV6" s="1225"/>
      <c r="EBW6" s="1225"/>
      <c r="EBX6" s="1225"/>
      <c r="EBY6" s="1225"/>
      <c r="EBZ6" s="1225"/>
      <c r="ECA6" s="1225"/>
      <c r="ECB6" s="1225"/>
      <c r="ECC6" s="1225"/>
      <c r="ECD6" s="1225"/>
      <c r="ECE6" s="1225"/>
      <c r="ECF6" s="1225"/>
      <c r="ECG6" s="1225"/>
      <c r="ECH6" s="1225"/>
      <c r="ECI6" s="1225"/>
      <c r="ECJ6" s="1225"/>
      <c r="ECK6" s="1225"/>
      <c r="ECL6" s="1225"/>
      <c r="ECM6" s="1225"/>
      <c r="ECN6" s="1225"/>
      <c r="ECO6" s="1225"/>
    </row>
    <row r="7" spans="1:3473" s="1224" customFormat="1" ht="16.25" customHeight="1">
      <c r="B7" s="1229"/>
      <c r="C7" s="1230"/>
      <c r="D7" s="1231" t="s">
        <v>431</v>
      </c>
      <c r="E7" s="1232" t="s">
        <v>473</v>
      </c>
      <c r="F7" s="1232" t="s">
        <v>473</v>
      </c>
      <c r="G7" s="1232" t="s">
        <v>473</v>
      </c>
      <c r="H7" s="1232" t="s">
        <v>473</v>
      </c>
      <c r="I7" s="1232" t="s">
        <v>473</v>
      </c>
      <c r="J7" s="1232" t="s">
        <v>473</v>
      </c>
      <c r="K7" s="1232" t="s">
        <v>473</v>
      </c>
      <c r="L7" s="1232" t="s">
        <v>473</v>
      </c>
      <c r="M7" s="1232" t="s">
        <v>473</v>
      </c>
      <c r="N7" s="1232" t="s">
        <v>473</v>
      </c>
      <c r="O7" s="1232" t="s">
        <v>473</v>
      </c>
      <c r="P7" s="1232" t="s">
        <v>473</v>
      </c>
      <c r="Q7" s="1232" t="s">
        <v>473</v>
      </c>
      <c r="R7" s="1232" t="s">
        <v>473</v>
      </c>
      <c r="S7" s="1232" t="s">
        <v>473</v>
      </c>
      <c r="T7" s="1232" t="s">
        <v>473</v>
      </c>
      <c r="U7" s="1232" t="s">
        <v>473</v>
      </c>
      <c r="V7" s="1232" t="s">
        <v>473</v>
      </c>
      <c r="W7" s="1232" t="s">
        <v>473</v>
      </c>
      <c r="X7" s="1232" t="s">
        <v>473</v>
      </c>
      <c r="Y7" s="1232" t="s">
        <v>473</v>
      </c>
      <c r="Z7" s="1232" t="s">
        <v>473</v>
      </c>
      <c r="AA7" s="1232" t="s">
        <v>473</v>
      </c>
      <c r="AB7" s="1232" t="s">
        <v>473</v>
      </c>
      <c r="AC7" s="1232" t="s">
        <v>473</v>
      </c>
      <c r="AD7" s="1232" t="s">
        <v>473</v>
      </c>
      <c r="AE7" s="1232" t="s">
        <v>473</v>
      </c>
      <c r="AF7" s="1233">
        <v>0</v>
      </c>
      <c r="AG7" s="1234">
        <f>AF7</f>
        <v>0</v>
      </c>
      <c r="AH7" s="1234">
        <f>AG7</f>
        <v>0</v>
      </c>
      <c r="AI7" s="1234">
        <f>+'全期规划指标 '!D20+'全期规划指标 '!D21</f>
        <v>13214</v>
      </c>
      <c r="AJ7" s="1234">
        <f>+AI7</f>
        <v>13214</v>
      </c>
      <c r="AK7" s="1234">
        <f>+AI7</f>
        <v>13214</v>
      </c>
      <c r="AL7" s="1234">
        <v>0</v>
      </c>
      <c r="AM7" s="1234">
        <v>0</v>
      </c>
      <c r="AN7" s="1234">
        <v>0</v>
      </c>
      <c r="AO7" s="1234">
        <f>+'全期规划指标 '!D22</f>
        <v>0</v>
      </c>
      <c r="AP7" s="1234">
        <f t="shared" si="2"/>
        <v>0</v>
      </c>
      <c r="AQ7" s="1234">
        <f t="shared" si="2"/>
        <v>0</v>
      </c>
      <c r="AR7" s="1234">
        <f>+'全期规划指标 '!D24</f>
        <v>29015</v>
      </c>
      <c r="AS7" s="1234">
        <f>+AR7</f>
        <v>29015</v>
      </c>
      <c r="AT7" s="1234">
        <f>+AR7</f>
        <v>29015</v>
      </c>
      <c r="AU7" s="1234">
        <f>'全期规划指标 '!D26</f>
        <v>1000</v>
      </c>
      <c r="AV7" s="1234">
        <f>AU7</f>
        <v>1000</v>
      </c>
      <c r="AW7" s="1234">
        <f>AV7</f>
        <v>1000</v>
      </c>
      <c r="AX7" s="1234"/>
      <c r="AY7" s="1234"/>
      <c r="AZ7" s="1234"/>
      <c r="BA7" s="1234">
        <f t="shared" si="0"/>
        <v>43229</v>
      </c>
      <c r="BB7" s="1234">
        <f t="shared" si="0"/>
        <v>43229</v>
      </c>
      <c r="BC7" s="1234">
        <f>AH7+AK7+AN7+AQ7+AT7+AZ7+AW7</f>
        <v>43229</v>
      </c>
      <c r="BD7" s="1234"/>
      <c r="BE7" s="1234"/>
      <c r="BF7" s="1234"/>
      <c r="BG7" s="1234">
        <f t="shared" si="3"/>
        <v>0</v>
      </c>
      <c r="BH7" s="1234">
        <f t="shared" si="1"/>
        <v>0</v>
      </c>
      <c r="BI7" s="1234">
        <f t="shared" si="1"/>
        <v>0</v>
      </c>
      <c r="BJ7" s="1234">
        <f>BA7+BG7</f>
        <v>43229</v>
      </c>
      <c r="BK7" s="1235">
        <f>BJ7</f>
        <v>43229</v>
      </c>
      <c r="BL7" s="1235">
        <f>BJ7</f>
        <v>43229</v>
      </c>
      <c r="BM7" s="1236"/>
      <c r="BN7" s="1225" t="s">
        <v>3145</v>
      </c>
      <c r="BO7" s="1225"/>
      <c r="BP7" s="1225"/>
      <c r="BQ7" s="1225"/>
      <c r="BR7" s="1225"/>
      <c r="BS7" s="1225"/>
      <c r="BT7" s="1225"/>
      <c r="BU7" s="1225"/>
      <c r="BV7" s="1225"/>
      <c r="BW7" s="1225"/>
      <c r="BX7" s="1225"/>
      <c r="BY7" s="1225"/>
      <c r="BZ7" s="1225"/>
      <c r="CA7" s="1225"/>
      <c r="CB7" s="1225"/>
      <c r="CC7" s="1225"/>
      <c r="CD7" s="1225"/>
      <c r="CE7" s="1225"/>
      <c r="CF7" s="1225"/>
      <c r="CG7" s="1225"/>
      <c r="CH7" s="1225"/>
      <c r="CI7" s="1225"/>
      <c r="CJ7" s="1225"/>
      <c r="CK7" s="1225"/>
      <c r="CL7" s="1225"/>
      <c r="CM7" s="1225"/>
      <c r="CN7" s="1225"/>
      <c r="CO7" s="1225"/>
      <c r="CP7" s="1225"/>
      <c r="CQ7" s="1225"/>
      <c r="CR7" s="1225"/>
      <c r="CS7" s="1225"/>
      <c r="CT7" s="1225"/>
      <c r="CU7" s="1225"/>
      <c r="CV7" s="1225"/>
      <c r="CW7" s="1225"/>
      <c r="CX7" s="1225"/>
      <c r="CY7" s="1225"/>
      <c r="CZ7" s="1225"/>
      <c r="DA7" s="1225"/>
      <c r="DB7" s="1225"/>
      <c r="DC7" s="1225"/>
      <c r="DD7" s="1225"/>
      <c r="DE7" s="1225"/>
      <c r="DF7" s="1225"/>
      <c r="DG7" s="1225"/>
      <c r="DH7" s="1225"/>
      <c r="DI7" s="1225"/>
      <c r="DJ7" s="1225"/>
      <c r="DK7" s="1225"/>
      <c r="DL7" s="1225"/>
      <c r="DM7" s="1225"/>
      <c r="DN7" s="1225"/>
      <c r="DO7" s="1225"/>
      <c r="DP7" s="1225"/>
      <c r="DQ7" s="1225"/>
      <c r="DR7" s="1225"/>
      <c r="DS7" s="1225"/>
      <c r="DT7" s="1225"/>
      <c r="DU7" s="1225"/>
      <c r="DV7" s="1225"/>
      <c r="DW7" s="1225"/>
      <c r="DX7" s="1225"/>
      <c r="DY7" s="1225"/>
      <c r="DZ7" s="1225"/>
      <c r="EA7" s="1225"/>
      <c r="EB7" s="1225"/>
      <c r="EC7" s="1225"/>
      <c r="ED7" s="1225"/>
      <c r="EE7" s="1225"/>
      <c r="EF7" s="1225"/>
      <c r="EG7" s="1225"/>
      <c r="EH7" s="1225"/>
      <c r="EI7" s="1225"/>
      <c r="EJ7" s="1225"/>
      <c r="EK7" s="1225"/>
      <c r="EL7" s="1225"/>
      <c r="EM7" s="1225"/>
      <c r="EN7" s="1225"/>
      <c r="EO7" s="1225"/>
      <c r="EP7" s="1225"/>
      <c r="EQ7" s="1225"/>
      <c r="ER7" s="1225"/>
      <c r="ES7" s="1225"/>
      <c r="ET7" s="1225"/>
      <c r="EU7" s="1225"/>
      <c r="EV7" s="1225"/>
      <c r="EW7" s="1225"/>
      <c r="EX7" s="1225"/>
      <c r="EY7" s="1225"/>
      <c r="EZ7" s="1225"/>
      <c r="FA7" s="1225"/>
      <c r="FB7" s="1225"/>
      <c r="FC7" s="1225"/>
      <c r="FD7" s="1225"/>
      <c r="FE7" s="1225"/>
      <c r="FF7" s="1225"/>
      <c r="FG7" s="1225"/>
      <c r="FH7" s="1225"/>
      <c r="FI7" s="1225"/>
      <c r="FJ7" s="1225"/>
      <c r="FK7" s="1225"/>
      <c r="FL7" s="1225"/>
      <c r="FM7" s="1225"/>
      <c r="FN7" s="1225"/>
      <c r="FO7" s="1225"/>
      <c r="FP7" s="1225"/>
      <c r="FQ7" s="1225"/>
      <c r="FR7" s="1225"/>
      <c r="FS7" s="1225"/>
      <c r="FT7" s="1225"/>
      <c r="FU7" s="1225"/>
      <c r="FV7" s="1225"/>
      <c r="FW7" s="1225"/>
      <c r="FX7" s="1225"/>
      <c r="FY7" s="1225"/>
      <c r="FZ7" s="1225"/>
      <c r="GA7" s="1225"/>
      <c r="GB7" s="1225"/>
      <c r="GC7" s="1225"/>
      <c r="GD7" s="1225"/>
      <c r="GE7" s="1225"/>
      <c r="GF7" s="1225"/>
      <c r="GG7" s="1225"/>
      <c r="GH7" s="1225"/>
      <c r="GI7" s="1225"/>
      <c r="GJ7" s="1225"/>
      <c r="GK7" s="1225"/>
      <c r="GL7" s="1225"/>
      <c r="GM7" s="1225"/>
      <c r="GN7" s="1225"/>
      <c r="GO7" s="1225"/>
      <c r="GP7" s="1225"/>
      <c r="GQ7" s="1225"/>
      <c r="GR7" s="1225"/>
      <c r="GS7" s="1225"/>
      <c r="GT7" s="1225"/>
      <c r="GU7" s="1225"/>
      <c r="GV7" s="1225"/>
      <c r="GW7" s="1225"/>
      <c r="GX7" s="1225"/>
      <c r="GY7" s="1225"/>
      <c r="GZ7" s="1225"/>
      <c r="HA7" s="1225"/>
      <c r="HB7" s="1225"/>
      <c r="HC7" s="1225"/>
      <c r="HD7" s="1225"/>
      <c r="HE7" s="1225"/>
      <c r="HF7" s="1225"/>
      <c r="HG7" s="1225"/>
      <c r="HH7" s="1225"/>
      <c r="HI7" s="1225"/>
      <c r="HJ7" s="1225"/>
      <c r="HK7" s="1225"/>
      <c r="HL7" s="1225"/>
      <c r="HM7" s="1225"/>
      <c r="HN7" s="1225"/>
      <c r="HO7" s="1225"/>
      <c r="HP7" s="1225"/>
      <c r="HQ7" s="1225"/>
      <c r="HR7" s="1225"/>
      <c r="HS7" s="1225"/>
      <c r="HT7" s="1225"/>
      <c r="HU7" s="1225"/>
      <c r="HV7" s="1225"/>
      <c r="HW7" s="1225"/>
      <c r="HX7" s="1225"/>
      <c r="HY7" s="1225"/>
      <c r="HZ7" s="1225"/>
      <c r="IA7" s="1225"/>
      <c r="IB7" s="1225"/>
      <c r="IC7" s="1225"/>
      <c r="ID7" s="1225"/>
      <c r="IE7" s="1225"/>
      <c r="IF7" s="1225"/>
      <c r="IG7" s="1225"/>
      <c r="IH7" s="1225"/>
      <c r="II7" s="1225"/>
      <c r="IJ7" s="1225"/>
      <c r="IK7" s="1225"/>
      <c r="IL7" s="1225"/>
      <c r="IM7" s="1225"/>
      <c r="IN7" s="1225"/>
      <c r="IO7" s="1225"/>
      <c r="IP7" s="1225"/>
      <c r="IQ7" s="1225"/>
      <c r="IR7" s="1225"/>
      <c r="IS7" s="1225"/>
      <c r="IT7" s="1225"/>
      <c r="IU7" s="1225"/>
      <c r="IV7" s="1225"/>
      <c r="IW7" s="1225"/>
      <c r="IX7" s="1225"/>
      <c r="IY7" s="1225"/>
      <c r="IZ7" s="1225"/>
      <c r="JA7" s="1225"/>
      <c r="JB7" s="1225"/>
      <c r="JC7" s="1225"/>
      <c r="JD7" s="1225"/>
      <c r="JE7" s="1225"/>
      <c r="JF7" s="1225"/>
      <c r="JG7" s="1225"/>
      <c r="JH7" s="1225"/>
      <c r="JI7" s="1225"/>
      <c r="JJ7" s="1225"/>
      <c r="JK7" s="1225"/>
      <c r="JL7" s="1225"/>
      <c r="JM7" s="1225"/>
      <c r="JN7" s="1225"/>
      <c r="JO7" s="1225"/>
      <c r="JP7" s="1225"/>
      <c r="JQ7" s="1225"/>
      <c r="JR7" s="1225"/>
      <c r="JS7" s="1225"/>
      <c r="JT7" s="1225"/>
      <c r="JU7" s="1225"/>
      <c r="JV7" s="1225"/>
      <c r="JW7" s="1225"/>
      <c r="JX7" s="1225"/>
      <c r="JY7" s="1225"/>
      <c r="JZ7" s="1225"/>
      <c r="KA7" s="1225"/>
      <c r="KB7" s="1225"/>
      <c r="KC7" s="1225"/>
      <c r="KD7" s="1225"/>
      <c r="KE7" s="1225"/>
      <c r="KF7" s="1225"/>
      <c r="KG7" s="1225"/>
      <c r="KH7" s="1225"/>
      <c r="KI7" s="1225"/>
      <c r="KJ7" s="1225"/>
      <c r="KK7" s="1225"/>
      <c r="KL7" s="1225"/>
      <c r="KM7" s="1225"/>
      <c r="KN7" s="1225"/>
      <c r="KO7" s="1225"/>
      <c r="KP7" s="1225"/>
      <c r="KQ7" s="1225"/>
      <c r="KR7" s="1225"/>
      <c r="KS7" s="1225"/>
      <c r="KT7" s="1225"/>
      <c r="KU7" s="1225"/>
      <c r="KV7" s="1225"/>
      <c r="KW7" s="1225"/>
      <c r="KX7" s="1225"/>
      <c r="KY7" s="1225"/>
      <c r="KZ7" s="1225"/>
      <c r="LA7" s="1225"/>
      <c r="LB7" s="1225"/>
      <c r="LC7" s="1225"/>
      <c r="LD7" s="1225"/>
      <c r="LE7" s="1225"/>
      <c r="LF7" s="1225"/>
      <c r="LG7" s="1225"/>
      <c r="LH7" s="1225"/>
      <c r="LI7" s="1225"/>
      <c r="LJ7" s="1225"/>
      <c r="LK7" s="1225"/>
      <c r="LL7" s="1225"/>
      <c r="LM7" s="1225"/>
      <c r="LN7" s="1225"/>
      <c r="LO7" s="1225"/>
      <c r="LP7" s="1225"/>
      <c r="LQ7" s="1225"/>
      <c r="LR7" s="1225"/>
      <c r="LS7" s="1225"/>
      <c r="LT7" s="1225"/>
      <c r="LU7" s="1225"/>
      <c r="LV7" s="1225"/>
      <c r="LW7" s="1225"/>
      <c r="LX7" s="1225"/>
      <c r="LY7" s="1225"/>
      <c r="LZ7" s="1225"/>
      <c r="MA7" s="1225"/>
      <c r="MB7" s="1225"/>
      <c r="MC7" s="1225"/>
      <c r="MD7" s="1225"/>
      <c r="ME7" s="1225"/>
      <c r="MF7" s="1225"/>
      <c r="MG7" s="1225"/>
      <c r="MH7" s="1225"/>
      <c r="MI7" s="1225"/>
      <c r="MJ7" s="1225"/>
      <c r="MK7" s="1225"/>
      <c r="ML7" s="1225"/>
      <c r="MM7" s="1225"/>
      <c r="MN7" s="1225"/>
      <c r="MO7" s="1225"/>
      <c r="MP7" s="1225"/>
      <c r="MQ7" s="1225"/>
      <c r="MR7" s="1225"/>
      <c r="MS7" s="1225"/>
      <c r="MT7" s="1225"/>
      <c r="MU7" s="1225"/>
      <c r="MV7" s="1225"/>
      <c r="MW7" s="1225"/>
      <c r="MX7" s="1225"/>
      <c r="MY7" s="1225"/>
      <c r="MZ7" s="1225"/>
      <c r="NA7" s="1225"/>
      <c r="NB7" s="1225"/>
      <c r="NC7" s="1225"/>
      <c r="ND7" s="1225"/>
      <c r="NE7" s="1225"/>
      <c r="NF7" s="1225"/>
      <c r="NG7" s="1225"/>
      <c r="NH7" s="1225"/>
      <c r="NI7" s="1225"/>
      <c r="NJ7" s="1225"/>
      <c r="NK7" s="1225"/>
      <c r="NL7" s="1225"/>
      <c r="NM7" s="1225"/>
      <c r="NN7" s="1225"/>
      <c r="NO7" s="1225"/>
      <c r="NP7" s="1225"/>
      <c r="NQ7" s="1225"/>
      <c r="NR7" s="1225"/>
      <c r="NS7" s="1225"/>
      <c r="NT7" s="1225"/>
      <c r="NU7" s="1225"/>
      <c r="NV7" s="1225"/>
      <c r="NW7" s="1225"/>
      <c r="NX7" s="1225"/>
      <c r="NY7" s="1225"/>
      <c r="NZ7" s="1225"/>
      <c r="OA7" s="1225"/>
      <c r="OB7" s="1225"/>
      <c r="OC7" s="1225"/>
      <c r="OD7" s="1225"/>
      <c r="OE7" s="1225"/>
      <c r="OF7" s="1225"/>
      <c r="OG7" s="1225"/>
      <c r="OH7" s="1225"/>
      <c r="OI7" s="1225"/>
      <c r="OJ7" s="1225"/>
      <c r="OK7" s="1225"/>
      <c r="OL7" s="1225"/>
      <c r="OM7" s="1225"/>
      <c r="ON7" s="1225"/>
      <c r="OO7" s="1225"/>
      <c r="OP7" s="1225"/>
      <c r="OQ7" s="1225"/>
      <c r="OR7" s="1225"/>
      <c r="OS7" s="1225"/>
      <c r="OT7" s="1225"/>
      <c r="OU7" s="1225"/>
      <c r="OV7" s="1225"/>
      <c r="OW7" s="1225"/>
      <c r="OX7" s="1225"/>
      <c r="OY7" s="1225"/>
      <c r="OZ7" s="1225"/>
      <c r="PA7" s="1225"/>
      <c r="PB7" s="1225"/>
      <c r="PC7" s="1225"/>
      <c r="PD7" s="1225"/>
      <c r="PE7" s="1225"/>
      <c r="PF7" s="1225"/>
      <c r="PG7" s="1225"/>
      <c r="PH7" s="1225"/>
      <c r="PI7" s="1225"/>
      <c r="PJ7" s="1225"/>
      <c r="PK7" s="1225"/>
      <c r="PL7" s="1225"/>
      <c r="PM7" s="1225"/>
      <c r="PN7" s="1225"/>
      <c r="PO7" s="1225"/>
      <c r="PP7" s="1225"/>
      <c r="PQ7" s="1225"/>
      <c r="PR7" s="1225"/>
      <c r="PS7" s="1225"/>
      <c r="PT7" s="1225"/>
      <c r="PU7" s="1225"/>
      <c r="PV7" s="1225"/>
      <c r="PW7" s="1225"/>
      <c r="PX7" s="1225"/>
      <c r="PY7" s="1225"/>
      <c r="PZ7" s="1225"/>
      <c r="QA7" s="1225"/>
      <c r="QB7" s="1225"/>
      <c r="QC7" s="1225"/>
      <c r="QD7" s="1225"/>
      <c r="QE7" s="1225"/>
      <c r="QF7" s="1225"/>
      <c r="QG7" s="1225"/>
      <c r="QH7" s="1225"/>
      <c r="QI7" s="1225"/>
      <c r="QJ7" s="1225"/>
      <c r="QK7" s="1225"/>
      <c r="QL7" s="1225"/>
      <c r="QM7" s="1225"/>
      <c r="QN7" s="1225"/>
      <c r="QO7" s="1225"/>
      <c r="QP7" s="1225"/>
      <c r="QQ7" s="1225"/>
      <c r="QR7" s="1225"/>
      <c r="QS7" s="1225"/>
      <c r="QT7" s="1225"/>
      <c r="QU7" s="1225"/>
      <c r="QV7" s="1225"/>
      <c r="QW7" s="1225"/>
      <c r="QX7" s="1225"/>
      <c r="QY7" s="1225"/>
      <c r="QZ7" s="1225"/>
      <c r="RA7" s="1225"/>
      <c r="RB7" s="1225"/>
      <c r="RC7" s="1225"/>
      <c r="RD7" s="1225"/>
      <c r="RE7" s="1225"/>
      <c r="RF7" s="1225"/>
      <c r="RG7" s="1225"/>
      <c r="RH7" s="1225"/>
      <c r="RI7" s="1225"/>
      <c r="RJ7" s="1225"/>
      <c r="RK7" s="1225"/>
      <c r="RL7" s="1225"/>
      <c r="RM7" s="1225"/>
      <c r="RN7" s="1225"/>
      <c r="RO7" s="1225"/>
      <c r="RP7" s="1225"/>
      <c r="RQ7" s="1225"/>
      <c r="RR7" s="1225"/>
      <c r="RS7" s="1225"/>
      <c r="RT7" s="1225"/>
      <c r="RU7" s="1225"/>
      <c r="RV7" s="1225"/>
      <c r="RW7" s="1225"/>
      <c r="RX7" s="1225"/>
      <c r="RY7" s="1225"/>
      <c r="RZ7" s="1225"/>
      <c r="SA7" s="1225"/>
      <c r="SB7" s="1225"/>
      <c r="SC7" s="1225"/>
      <c r="SD7" s="1225"/>
      <c r="SE7" s="1225"/>
      <c r="SF7" s="1225"/>
      <c r="SG7" s="1225"/>
      <c r="SH7" s="1225"/>
      <c r="SI7" s="1225"/>
      <c r="SJ7" s="1225"/>
      <c r="SK7" s="1225"/>
      <c r="SL7" s="1225"/>
      <c r="SM7" s="1225"/>
      <c r="SN7" s="1225"/>
      <c r="SO7" s="1225"/>
      <c r="SP7" s="1225"/>
      <c r="SQ7" s="1225"/>
      <c r="SR7" s="1225"/>
      <c r="SS7" s="1225"/>
      <c r="ST7" s="1225"/>
      <c r="SU7" s="1225"/>
      <c r="SV7" s="1225"/>
      <c r="SW7" s="1225"/>
      <c r="SX7" s="1225"/>
      <c r="SY7" s="1225"/>
      <c r="SZ7" s="1225"/>
      <c r="TA7" s="1225"/>
      <c r="TB7" s="1225"/>
      <c r="TC7" s="1225"/>
      <c r="TD7" s="1225"/>
      <c r="TE7" s="1225"/>
      <c r="TF7" s="1225"/>
      <c r="TG7" s="1225"/>
      <c r="TH7" s="1225"/>
      <c r="TI7" s="1225"/>
      <c r="TJ7" s="1225"/>
      <c r="TK7" s="1225"/>
      <c r="TL7" s="1225"/>
      <c r="TM7" s="1225"/>
      <c r="TN7" s="1225"/>
      <c r="TO7" s="1225"/>
      <c r="TP7" s="1225"/>
      <c r="TQ7" s="1225"/>
      <c r="TR7" s="1225"/>
      <c r="TS7" s="1225"/>
      <c r="TT7" s="1225"/>
      <c r="TU7" s="1225"/>
      <c r="TV7" s="1225"/>
      <c r="TW7" s="1225"/>
      <c r="TX7" s="1225"/>
      <c r="TY7" s="1225"/>
      <c r="TZ7" s="1225"/>
      <c r="UA7" s="1225"/>
      <c r="UB7" s="1225"/>
      <c r="UC7" s="1225"/>
      <c r="UD7" s="1225"/>
      <c r="UE7" s="1225"/>
      <c r="UF7" s="1225"/>
      <c r="UG7" s="1225"/>
      <c r="UH7" s="1225"/>
      <c r="UI7" s="1225"/>
      <c r="UJ7" s="1225"/>
      <c r="UK7" s="1225"/>
      <c r="UL7" s="1225"/>
      <c r="UM7" s="1225"/>
      <c r="UN7" s="1225"/>
      <c r="UO7" s="1225"/>
      <c r="UP7" s="1225"/>
      <c r="UQ7" s="1225"/>
      <c r="UR7" s="1225"/>
      <c r="US7" s="1225"/>
      <c r="UT7" s="1225"/>
      <c r="UU7" s="1225"/>
      <c r="UV7" s="1225"/>
      <c r="UW7" s="1225"/>
      <c r="UX7" s="1225"/>
      <c r="UY7" s="1225"/>
      <c r="UZ7" s="1225"/>
      <c r="VA7" s="1225"/>
      <c r="VB7" s="1225"/>
      <c r="VC7" s="1225"/>
      <c r="VD7" s="1225"/>
      <c r="VE7" s="1225"/>
      <c r="VF7" s="1225"/>
      <c r="VG7" s="1225"/>
      <c r="VH7" s="1225"/>
      <c r="VI7" s="1225"/>
      <c r="VJ7" s="1225"/>
      <c r="VK7" s="1225"/>
      <c r="VL7" s="1225"/>
      <c r="VM7" s="1225"/>
      <c r="VN7" s="1225"/>
      <c r="VO7" s="1225"/>
      <c r="VP7" s="1225"/>
      <c r="VQ7" s="1225"/>
      <c r="VR7" s="1225"/>
      <c r="VS7" s="1225"/>
      <c r="VT7" s="1225"/>
      <c r="VU7" s="1225"/>
      <c r="VV7" s="1225"/>
      <c r="VW7" s="1225"/>
      <c r="VX7" s="1225"/>
      <c r="VY7" s="1225"/>
      <c r="VZ7" s="1225"/>
      <c r="WA7" s="1225"/>
      <c r="WB7" s="1225"/>
      <c r="WC7" s="1225"/>
      <c r="WD7" s="1225"/>
      <c r="WE7" s="1225"/>
      <c r="WF7" s="1225"/>
      <c r="WG7" s="1225"/>
      <c r="WH7" s="1225"/>
      <c r="WI7" s="1225"/>
      <c r="WJ7" s="1225"/>
      <c r="WK7" s="1225"/>
      <c r="WL7" s="1225"/>
      <c r="WM7" s="1225"/>
      <c r="WN7" s="1225"/>
      <c r="WO7" s="1225"/>
      <c r="WP7" s="1225"/>
      <c r="WQ7" s="1225"/>
      <c r="WR7" s="1225"/>
      <c r="WS7" s="1225"/>
      <c r="WT7" s="1225"/>
      <c r="WU7" s="1225"/>
      <c r="WV7" s="1225"/>
      <c r="WW7" s="1225"/>
      <c r="WX7" s="1225"/>
      <c r="WY7" s="1225"/>
      <c r="WZ7" s="1225"/>
      <c r="XA7" s="1225"/>
      <c r="XB7" s="1225"/>
      <c r="XC7" s="1225"/>
      <c r="XD7" s="1225"/>
      <c r="XE7" s="1225"/>
      <c r="XF7" s="1225"/>
      <c r="XG7" s="1225"/>
      <c r="XH7" s="1225"/>
      <c r="XI7" s="1225"/>
      <c r="XJ7" s="1225"/>
      <c r="XK7" s="1225"/>
      <c r="XL7" s="1225"/>
      <c r="XM7" s="1225"/>
      <c r="XN7" s="1225"/>
      <c r="XO7" s="1225"/>
      <c r="XP7" s="1225"/>
      <c r="XQ7" s="1225"/>
      <c r="XR7" s="1225"/>
      <c r="XS7" s="1225"/>
      <c r="XT7" s="1225"/>
      <c r="XU7" s="1225"/>
      <c r="XV7" s="1225"/>
      <c r="XW7" s="1225"/>
      <c r="XX7" s="1225"/>
      <c r="XY7" s="1225"/>
      <c r="XZ7" s="1225"/>
      <c r="YA7" s="1225"/>
      <c r="YB7" s="1225"/>
      <c r="YC7" s="1225"/>
      <c r="YD7" s="1225"/>
      <c r="YE7" s="1225"/>
      <c r="YF7" s="1225"/>
      <c r="YG7" s="1225"/>
      <c r="YH7" s="1225"/>
      <c r="YI7" s="1225"/>
      <c r="YJ7" s="1225"/>
      <c r="YK7" s="1225"/>
      <c r="YL7" s="1225"/>
      <c r="YM7" s="1225"/>
      <c r="YN7" s="1225"/>
      <c r="YO7" s="1225"/>
      <c r="YP7" s="1225"/>
      <c r="YQ7" s="1225"/>
      <c r="YR7" s="1225"/>
      <c r="YS7" s="1225"/>
      <c r="YT7" s="1225"/>
      <c r="YU7" s="1225"/>
      <c r="YV7" s="1225"/>
      <c r="YW7" s="1225"/>
      <c r="YX7" s="1225"/>
      <c r="YY7" s="1225"/>
      <c r="YZ7" s="1225"/>
      <c r="ZA7" s="1225"/>
      <c r="ZB7" s="1225"/>
      <c r="ZC7" s="1225"/>
      <c r="ZD7" s="1225"/>
      <c r="ZE7" s="1225"/>
      <c r="ZF7" s="1225"/>
      <c r="ZG7" s="1225"/>
      <c r="ZH7" s="1225"/>
      <c r="ZI7" s="1225"/>
      <c r="ZJ7" s="1225"/>
      <c r="ZK7" s="1225"/>
      <c r="ZL7" s="1225"/>
      <c r="ZM7" s="1225"/>
      <c r="ZN7" s="1225"/>
      <c r="ZO7" s="1225"/>
      <c r="ZP7" s="1225"/>
      <c r="ZQ7" s="1225"/>
      <c r="ZR7" s="1225"/>
      <c r="ZS7" s="1225"/>
      <c r="ZT7" s="1225"/>
      <c r="ZU7" s="1225"/>
      <c r="ZV7" s="1225"/>
      <c r="ZW7" s="1225"/>
      <c r="ZX7" s="1225"/>
      <c r="ZY7" s="1225"/>
      <c r="ZZ7" s="1225"/>
      <c r="AAA7" s="1225"/>
      <c r="AAB7" s="1225"/>
      <c r="AAC7" s="1225"/>
      <c r="AAD7" s="1225"/>
      <c r="AAE7" s="1225"/>
      <c r="AAF7" s="1225"/>
      <c r="AAG7" s="1225"/>
      <c r="AAH7" s="1225"/>
      <c r="AAI7" s="1225"/>
      <c r="AAJ7" s="1225"/>
      <c r="AAK7" s="1225"/>
      <c r="AAL7" s="1225"/>
      <c r="AAM7" s="1225"/>
      <c r="AAN7" s="1225"/>
      <c r="AAO7" s="1225"/>
      <c r="AAP7" s="1225"/>
      <c r="AAQ7" s="1225"/>
      <c r="AAR7" s="1225"/>
      <c r="AAS7" s="1225"/>
      <c r="AAT7" s="1225"/>
      <c r="AAU7" s="1225"/>
      <c r="AAV7" s="1225"/>
      <c r="AAW7" s="1225"/>
      <c r="AAX7" s="1225"/>
      <c r="AAY7" s="1225"/>
      <c r="AAZ7" s="1225"/>
      <c r="ABA7" s="1225"/>
      <c r="ABB7" s="1225"/>
      <c r="ABC7" s="1225"/>
      <c r="ABD7" s="1225"/>
      <c r="ABE7" s="1225"/>
      <c r="ABF7" s="1225"/>
      <c r="ABG7" s="1225"/>
      <c r="ABH7" s="1225"/>
      <c r="ABI7" s="1225"/>
      <c r="ABJ7" s="1225"/>
      <c r="ABK7" s="1225"/>
      <c r="ABL7" s="1225"/>
      <c r="ABM7" s="1225"/>
      <c r="ABN7" s="1225"/>
      <c r="ABO7" s="1225"/>
      <c r="ABP7" s="1225"/>
      <c r="ABQ7" s="1225"/>
      <c r="ABR7" s="1225"/>
      <c r="ABS7" s="1225"/>
      <c r="ABT7" s="1225"/>
      <c r="ABU7" s="1225"/>
      <c r="ABV7" s="1225"/>
      <c r="ABW7" s="1225"/>
      <c r="ABX7" s="1225"/>
      <c r="ABY7" s="1225"/>
      <c r="ABZ7" s="1225"/>
      <c r="ACA7" s="1225"/>
      <c r="ACB7" s="1225"/>
      <c r="ACC7" s="1225"/>
      <c r="ACD7" s="1225"/>
      <c r="ACE7" s="1225"/>
      <c r="ACF7" s="1225"/>
      <c r="ACG7" s="1225"/>
      <c r="ACH7" s="1225"/>
      <c r="ACI7" s="1225"/>
      <c r="ACJ7" s="1225"/>
      <c r="ACK7" s="1225"/>
      <c r="ACL7" s="1225"/>
      <c r="ACM7" s="1225"/>
      <c r="ACN7" s="1225"/>
      <c r="ACO7" s="1225"/>
      <c r="ACP7" s="1225"/>
      <c r="ACQ7" s="1225"/>
      <c r="ACR7" s="1225"/>
      <c r="ACS7" s="1225"/>
      <c r="ACT7" s="1225"/>
      <c r="ACU7" s="1225"/>
      <c r="ACV7" s="1225"/>
      <c r="ACW7" s="1225"/>
      <c r="ACX7" s="1225"/>
      <c r="ACY7" s="1225"/>
      <c r="ACZ7" s="1225"/>
      <c r="ADA7" s="1225"/>
      <c r="ADB7" s="1225"/>
      <c r="ADC7" s="1225"/>
      <c r="ADD7" s="1225"/>
      <c r="ADE7" s="1225"/>
      <c r="ADF7" s="1225"/>
      <c r="ADG7" s="1225"/>
      <c r="ADH7" s="1225"/>
      <c r="ADI7" s="1225"/>
      <c r="ADJ7" s="1225"/>
      <c r="ADK7" s="1225"/>
      <c r="ADL7" s="1225"/>
      <c r="ADM7" s="1225"/>
      <c r="ADN7" s="1225"/>
      <c r="ADO7" s="1225"/>
      <c r="ADP7" s="1225"/>
      <c r="ADQ7" s="1225"/>
      <c r="ADR7" s="1225"/>
      <c r="ADS7" s="1225"/>
      <c r="ADT7" s="1225"/>
      <c r="ADU7" s="1225"/>
      <c r="ADV7" s="1225"/>
      <c r="ADW7" s="1225"/>
      <c r="ADX7" s="1225"/>
      <c r="ADY7" s="1225"/>
      <c r="ADZ7" s="1225"/>
      <c r="AEA7" s="1225"/>
      <c r="AEB7" s="1225"/>
      <c r="AEC7" s="1225"/>
      <c r="AED7" s="1225"/>
      <c r="AEE7" s="1225"/>
      <c r="AEF7" s="1225"/>
      <c r="AEG7" s="1225"/>
      <c r="AEH7" s="1225"/>
      <c r="AEI7" s="1225"/>
      <c r="AEJ7" s="1225"/>
      <c r="AEK7" s="1225"/>
      <c r="AEL7" s="1225"/>
      <c r="AEM7" s="1225"/>
      <c r="AEN7" s="1225"/>
      <c r="AEO7" s="1225"/>
      <c r="AEP7" s="1225"/>
      <c r="AEQ7" s="1225"/>
      <c r="AER7" s="1225"/>
      <c r="AES7" s="1225"/>
      <c r="AET7" s="1225"/>
      <c r="AEU7" s="1225"/>
      <c r="AEV7" s="1225"/>
      <c r="AEW7" s="1225"/>
      <c r="AEX7" s="1225"/>
      <c r="AEY7" s="1225"/>
      <c r="AEZ7" s="1225"/>
      <c r="AFA7" s="1225"/>
      <c r="AFB7" s="1225"/>
      <c r="AFC7" s="1225"/>
      <c r="AFD7" s="1225"/>
      <c r="AFE7" s="1225"/>
      <c r="AFF7" s="1225"/>
      <c r="AFG7" s="1225"/>
      <c r="AFH7" s="1225"/>
      <c r="AFI7" s="1225"/>
      <c r="AFJ7" s="1225"/>
      <c r="AFK7" s="1225"/>
      <c r="AFL7" s="1225"/>
      <c r="AFM7" s="1225"/>
      <c r="AFN7" s="1225"/>
      <c r="AFO7" s="1225"/>
      <c r="AFP7" s="1225"/>
      <c r="AFQ7" s="1225"/>
      <c r="AFR7" s="1225"/>
      <c r="AFS7" s="1225"/>
      <c r="AFT7" s="1225"/>
      <c r="AFU7" s="1225"/>
      <c r="AFV7" s="1225"/>
      <c r="AFW7" s="1225"/>
      <c r="AFX7" s="1225"/>
      <c r="AFY7" s="1225"/>
      <c r="AFZ7" s="1225"/>
      <c r="AGA7" s="1225"/>
      <c r="AGB7" s="1225"/>
      <c r="AGC7" s="1225"/>
      <c r="AGD7" s="1225"/>
      <c r="AGE7" s="1225"/>
      <c r="AGF7" s="1225"/>
      <c r="AGG7" s="1225"/>
      <c r="AGH7" s="1225"/>
      <c r="AGI7" s="1225"/>
      <c r="AGJ7" s="1225"/>
      <c r="AGK7" s="1225"/>
      <c r="AGL7" s="1225"/>
      <c r="AGM7" s="1225"/>
      <c r="AGN7" s="1225"/>
      <c r="AGO7" s="1225"/>
      <c r="AGP7" s="1225"/>
      <c r="AGQ7" s="1225"/>
      <c r="AGR7" s="1225"/>
      <c r="AGS7" s="1225"/>
      <c r="AGT7" s="1225"/>
      <c r="AGU7" s="1225"/>
      <c r="AGV7" s="1225"/>
      <c r="AGW7" s="1225"/>
      <c r="AGX7" s="1225"/>
      <c r="AGY7" s="1225"/>
      <c r="AGZ7" s="1225"/>
      <c r="AHA7" s="1225"/>
      <c r="AHB7" s="1225"/>
      <c r="AHC7" s="1225"/>
      <c r="AHD7" s="1225"/>
      <c r="AHE7" s="1225"/>
      <c r="AHF7" s="1225"/>
      <c r="AHG7" s="1225"/>
      <c r="AHH7" s="1225"/>
      <c r="AHI7" s="1225"/>
      <c r="AHJ7" s="1225"/>
      <c r="AHK7" s="1225"/>
      <c r="AHL7" s="1225"/>
      <c r="AHM7" s="1225"/>
      <c r="AHN7" s="1225"/>
      <c r="AHO7" s="1225"/>
      <c r="AHP7" s="1225"/>
      <c r="AHQ7" s="1225"/>
      <c r="AHR7" s="1225"/>
      <c r="AHS7" s="1225"/>
      <c r="AHT7" s="1225"/>
      <c r="AHU7" s="1225"/>
      <c r="AHV7" s="1225"/>
      <c r="AHW7" s="1225"/>
      <c r="AHX7" s="1225"/>
      <c r="AHY7" s="1225"/>
      <c r="AHZ7" s="1225"/>
      <c r="AIA7" s="1225"/>
      <c r="AIB7" s="1225"/>
      <c r="AIC7" s="1225"/>
      <c r="AID7" s="1225"/>
      <c r="AIE7" s="1225"/>
      <c r="AIF7" s="1225"/>
      <c r="AIG7" s="1225"/>
      <c r="AIH7" s="1225"/>
      <c r="AII7" s="1225"/>
      <c r="AIJ7" s="1225"/>
      <c r="AIK7" s="1225"/>
      <c r="AIL7" s="1225"/>
      <c r="AIM7" s="1225"/>
      <c r="AIN7" s="1225"/>
      <c r="AIO7" s="1225"/>
      <c r="AIP7" s="1225"/>
      <c r="AIQ7" s="1225"/>
      <c r="AIR7" s="1225"/>
      <c r="AIS7" s="1225"/>
      <c r="AIT7" s="1225"/>
      <c r="AIU7" s="1225"/>
      <c r="AIV7" s="1225"/>
      <c r="AIW7" s="1225"/>
      <c r="AIX7" s="1225"/>
      <c r="AIY7" s="1225"/>
      <c r="AIZ7" s="1225"/>
      <c r="AJA7" s="1225"/>
      <c r="AJB7" s="1225"/>
      <c r="AJC7" s="1225"/>
      <c r="AJD7" s="1225"/>
      <c r="AJE7" s="1225"/>
      <c r="AJF7" s="1225"/>
      <c r="AJG7" s="1225"/>
      <c r="AJH7" s="1225"/>
      <c r="AJI7" s="1225"/>
      <c r="AJJ7" s="1225"/>
      <c r="AJK7" s="1225"/>
      <c r="AJL7" s="1225"/>
      <c r="AJM7" s="1225"/>
      <c r="AJN7" s="1225"/>
      <c r="AJO7" s="1225"/>
      <c r="AJP7" s="1225"/>
      <c r="AJQ7" s="1225"/>
      <c r="AJR7" s="1225"/>
      <c r="AJS7" s="1225"/>
      <c r="AJT7" s="1225"/>
      <c r="AJU7" s="1225"/>
      <c r="AJV7" s="1225"/>
      <c r="AJW7" s="1225"/>
      <c r="AJX7" s="1225"/>
      <c r="AJY7" s="1225"/>
      <c r="AJZ7" s="1225"/>
      <c r="AKA7" s="1225"/>
      <c r="AKB7" s="1225"/>
      <c r="AKC7" s="1225"/>
      <c r="AKD7" s="1225"/>
      <c r="AKE7" s="1225"/>
      <c r="AKF7" s="1225"/>
      <c r="AKG7" s="1225"/>
      <c r="AKH7" s="1225"/>
      <c r="AKI7" s="1225"/>
      <c r="AKJ7" s="1225"/>
      <c r="AKK7" s="1225"/>
      <c r="AKL7" s="1225"/>
      <c r="AKM7" s="1225"/>
      <c r="AKN7" s="1225"/>
      <c r="AKO7" s="1225"/>
      <c r="AKP7" s="1225"/>
      <c r="AKQ7" s="1225"/>
      <c r="AKR7" s="1225"/>
      <c r="AKS7" s="1225"/>
      <c r="AKT7" s="1225"/>
      <c r="AKU7" s="1225"/>
      <c r="AKV7" s="1225"/>
      <c r="AKW7" s="1225"/>
      <c r="AKX7" s="1225"/>
      <c r="AKY7" s="1225"/>
      <c r="AKZ7" s="1225"/>
      <c r="ALA7" s="1225"/>
      <c r="ALB7" s="1225"/>
      <c r="ALC7" s="1225"/>
      <c r="ALD7" s="1225"/>
      <c r="ALE7" s="1225"/>
      <c r="ALF7" s="1225"/>
      <c r="ALG7" s="1225"/>
      <c r="ALH7" s="1225"/>
      <c r="ALI7" s="1225"/>
      <c r="ALJ7" s="1225"/>
      <c r="ALK7" s="1225"/>
      <c r="ALL7" s="1225"/>
      <c r="ALM7" s="1225"/>
      <c r="ALN7" s="1225"/>
      <c r="ALO7" s="1225"/>
      <c r="ALP7" s="1225"/>
      <c r="ALQ7" s="1225"/>
      <c r="ALR7" s="1225"/>
      <c r="ALS7" s="1225"/>
      <c r="ALT7" s="1225"/>
      <c r="ALU7" s="1225"/>
      <c r="ALV7" s="1225"/>
      <c r="ALW7" s="1225"/>
      <c r="ALX7" s="1225"/>
      <c r="ALY7" s="1225"/>
      <c r="ALZ7" s="1225"/>
      <c r="AMA7" s="1225"/>
      <c r="AMB7" s="1225"/>
      <c r="AMC7" s="1225"/>
      <c r="AMD7" s="1225"/>
      <c r="AME7" s="1225"/>
      <c r="AMF7" s="1225"/>
      <c r="AMG7" s="1225"/>
      <c r="AMH7" s="1225"/>
      <c r="AMI7" s="1225"/>
      <c r="AMJ7" s="1225"/>
      <c r="AMK7" s="1225"/>
      <c r="AML7" s="1225"/>
      <c r="AMM7" s="1225"/>
      <c r="AMN7" s="1225"/>
      <c r="AMO7" s="1225"/>
      <c r="AMP7" s="1225"/>
      <c r="AMQ7" s="1225"/>
      <c r="AMR7" s="1225"/>
      <c r="AMS7" s="1225"/>
      <c r="AMT7" s="1225"/>
      <c r="AMU7" s="1225"/>
      <c r="AMV7" s="1225"/>
      <c r="AMW7" s="1225"/>
      <c r="AMX7" s="1225"/>
      <c r="AMY7" s="1225"/>
      <c r="AMZ7" s="1225"/>
      <c r="ANA7" s="1225"/>
      <c r="ANB7" s="1225"/>
      <c r="ANC7" s="1225"/>
      <c r="AND7" s="1225"/>
      <c r="ANE7" s="1225"/>
      <c r="ANF7" s="1225"/>
      <c r="ANG7" s="1225"/>
      <c r="ANH7" s="1225"/>
      <c r="ANI7" s="1225"/>
      <c r="ANJ7" s="1225"/>
      <c r="ANK7" s="1225"/>
      <c r="ANL7" s="1225"/>
      <c r="ANM7" s="1225"/>
      <c r="ANN7" s="1225"/>
      <c r="ANO7" s="1225"/>
      <c r="ANP7" s="1225"/>
      <c r="ANQ7" s="1225"/>
      <c r="ANR7" s="1225"/>
      <c r="ANS7" s="1225"/>
      <c r="ANT7" s="1225"/>
      <c r="ANU7" s="1225"/>
      <c r="ANV7" s="1225"/>
      <c r="ANW7" s="1225"/>
      <c r="ANX7" s="1225"/>
      <c r="ANY7" s="1225"/>
      <c r="ANZ7" s="1225"/>
      <c r="AOA7" s="1225"/>
      <c r="AOB7" s="1225"/>
      <c r="AOC7" s="1225"/>
      <c r="AOD7" s="1225"/>
      <c r="AOE7" s="1225"/>
      <c r="AOF7" s="1225"/>
      <c r="AOG7" s="1225"/>
      <c r="AOH7" s="1225"/>
      <c r="AOI7" s="1225"/>
      <c r="AOJ7" s="1225"/>
      <c r="AOK7" s="1225"/>
      <c r="AOL7" s="1225"/>
      <c r="AOM7" s="1225"/>
      <c r="AON7" s="1225"/>
      <c r="AOO7" s="1225"/>
      <c r="AOP7" s="1225"/>
      <c r="AOQ7" s="1225"/>
      <c r="AOR7" s="1225"/>
      <c r="AOS7" s="1225"/>
      <c r="AOT7" s="1225"/>
      <c r="AOU7" s="1225"/>
      <c r="AOV7" s="1225"/>
      <c r="AOW7" s="1225"/>
      <c r="AOX7" s="1225"/>
      <c r="AOY7" s="1225"/>
      <c r="AOZ7" s="1225"/>
      <c r="APA7" s="1225"/>
      <c r="APB7" s="1225"/>
      <c r="APC7" s="1225"/>
      <c r="APD7" s="1225"/>
      <c r="APE7" s="1225"/>
      <c r="APF7" s="1225"/>
      <c r="APG7" s="1225"/>
      <c r="APH7" s="1225"/>
      <c r="API7" s="1225"/>
      <c r="APJ7" s="1225"/>
      <c r="APK7" s="1225"/>
      <c r="APL7" s="1225"/>
      <c r="APM7" s="1225"/>
      <c r="APN7" s="1225"/>
      <c r="APO7" s="1225"/>
      <c r="APP7" s="1225"/>
      <c r="APQ7" s="1225"/>
      <c r="APR7" s="1225"/>
      <c r="APS7" s="1225"/>
      <c r="APT7" s="1225"/>
      <c r="APU7" s="1225"/>
      <c r="APV7" s="1225"/>
      <c r="APW7" s="1225"/>
      <c r="APX7" s="1225"/>
      <c r="APY7" s="1225"/>
      <c r="APZ7" s="1225"/>
      <c r="AQA7" s="1225"/>
      <c r="AQB7" s="1225"/>
      <c r="AQC7" s="1225"/>
      <c r="AQD7" s="1225"/>
      <c r="AQE7" s="1225"/>
      <c r="AQF7" s="1225"/>
      <c r="AQG7" s="1225"/>
      <c r="AQH7" s="1225"/>
      <c r="AQI7" s="1225"/>
      <c r="AQJ7" s="1225"/>
      <c r="AQK7" s="1225"/>
      <c r="AQL7" s="1225"/>
      <c r="AQM7" s="1225"/>
      <c r="AQN7" s="1225"/>
      <c r="AQO7" s="1225"/>
      <c r="AQP7" s="1225"/>
      <c r="AQQ7" s="1225"/>
      <c r="AQR7" s="1225"/>
      <c r="AQS7" s="1225"/>
      <c r="AQT7" s="1225"/>
      <c r="AQU7" s="1225"/>
      <c r="AQV7" s="1225"/>
      <c r="AQW7" s="1225"/>
      <c r="AQX7" s="1225"/>
      <c r="AQY7" s="1225"/>
      <c r="AQZ7" s="1225"/>
      <c r="ARA7" s="1225"/>
      <c r="ARB7" s="1225"/>
      <c r="ARC7" s="1225"/>
      <c r="ARD7" s="1225"/>
      <c r="ARE7" s="1225"/>
      <c r="ARF7" s="1225"/>
      <c r="ARG7" s="1225"/>
      <c r="ARH7" s="1225"/>
      <c r="ARI7" s="1225"/>
      <c r="ARJ7" s="1225"/>
      <c r="ARK7" s="1225"/>
      <c r="ARL7" s="1225"/>
      <c r="ARM7" s="1225"/>
      <c r="ARN7" s="1225"/>
      <c r="ARO7" s="1225"/>
      <c r="ARP7" s="1225"/>
      <c r="ARQ7" s="1225"/>
      <c r="ARR7" s="1225"/>
      <c r="ARS7" s="1225"/>
      <c r="ART7" s="1225"/>
      <c r="ARU7" s="1225"/>
      <c r="ARV7" s="1225"/>
      <c r="ARW7" s="1225"/>
      <c r="ARX7" s="1225"/>
      <c r="ARY7" s="1225"/>
      <c r="ARZ7" s="1225"/>
      <c r="ASA7" s="1225"/>
      <c r="ASB7" s="1225"/>
      <c r="ASC7" s="1225"/>
      <c r="ASD7" s="1225"/>
      <c r="ASE7" s="1225"/>
      <c r="ASF7" s="1225"/>
      <c r="ASG7" s="1225"/>
      <c r="ASH7" s="1225"/>
      <c r="ASI7" s="1225"/>
      <c r="ASJ7" s="1225"/>
      <c r="ASK7" s="1225"/>
      <c r="ASL7" s="1225"/>
      <c r="ASM7" s="1225"/>
      <c r="ASN7" s="1225"/>
      <c r="ASO7" s="1225"/>
      <c r="ASP7" s="1225"/>
      <c r="ASQ7" s="1225"/>
      <c r="ASR7" s="1225"/>
      <c r="ASS7" s="1225"/>
      <c r="AST7" s="1225"/>
      <c r="ASU7" s="1225"/>
      <c r="ASV7" s="1225"/>
      <c r="ASW7" s="1225"/>
      <c r="ASX7" s="1225"/>
      <c r="ASY7" s="1225"/>
      <c r="ASZ7" s="1225"/>
      <c r="ATA7" s="1225"/>
      <c r="ATB7" s="1225"/>
      <c r="ATC7" s="1225"/>
      <c r="ATD7" s="1225"/>
      <c r="ATE7" s="1225"/>
      <c r="ATF7" s="1225"/>
      <c r="ATG7" s="1225"/>
      <c r="ATH7" s="1225"/>
      <c r="ATI7" s="1225"/>
      <c r="ATJ7" s="1225"/>
      <c r="ATK7" s="1225"/>
      <c r="ATL7" s="1225"/>
      <c r="ATM7" s="1225"/>
      <c r="ATN7" s="1225"/>
      <c r="ATO7" s="1225"/>
      <c r="ATP7" s="1225"/>
      <c r="ATQ7" s="1225"/>
      <c r="ATR7" s="1225"/>
      <c r="ATS7" s="1225"/>
      <c r="ATT7" s="1225"/>
      <c r="ATU7" s="1225"/>
      <c r="ATV7" s="1225"/>
      <c r="ATW7" s="1225"/>
      <c r="ATX7" s="1225"/>
      <c r="ATY7" s="1225"/>
      <c r="ATZ7" s="1225"/>
      <c r="AUA7" s="1225"/>
      <c r="AUB7" s="1225"/>
      <c r="AUC7" s="1225"/>
      <c r="AUD7" s="1225"/>
      <c r="AUE7" s="1225"/>
      <c r="AUF7" s="1225"/>
      <c r="AUG7" s="1225"/>
      <c r="AUH7" s="1225"/>
      <c r="AUI7" s="1225"/>
      <c r="AUJ7" s="1225"/>
      <c r="AUK7" s="1225"/>
      <c r="AUL7" s="1225"/>
      <c r="AUM7" s="1225"/>
      <c r="AUN7" s="1225"/>
      <c r="AUO7" s="1225"/>
      <c r="AUP7" s="1225"/>
      <c r="AUQ7" s="1225"/>
      <c r="AUR7" s="1225"/>
      <c r="AUS7" s="1225"/>
      <c r="AUT7" s="1225"/>
      <c r="AUU7" s="1225"/>
      <c r="AUV7" s="1225"/>
      <c r="AUW7" s="1225"/>
      <c r="AUX7" s="1225"/>
      <c r="AUY7" s="1225"/>
      <c r="AUZ7" s="1225"/>
      <c r="AVA7" s="1225"/>
      <c r="AVB7" s="1225"/>
      <c r="AVC7" s="1225"/>
      <c r="AVD7" s="1225"/>
      <c r="AVE7" s="1225"/>
      <c r="AVF7" s="1225"/>
      <c r="AVG7" s="1225"/>
      <c r="AVH7" s="1225"/>
      <c r="AVI7" s="1225"/>
      <c r="AVJ7" s="1225"/>
      <c r="AVK7" s="1225"/>
      <c r="AVL7" s="1225"/>
      <c r="AVM7" s="1225"/>
      <c r="AVN7" s="1225"/>
      <c r="AVO7" s="1225"/>
      <c r="AVP7" s="1225"/>
      <c r="AVQ7" s="1225"/>
      <c r="AVR7" s="1225"/>
      <c r="AVS7" s="1225"/>
      <c r="AVT7" s="1225"/>
      <c r="AVU7" s="1225"/>
      <c r="AVV7" s="1225"/>
      <c r="AVW7" s="1225"/>
      <c r="AVX7" s="1225"/>
      <c r="AVY7" s="1225"/>
      <c r="AVZ7" s="1225"/>
      <c r="AWA7" s="1225"/>
      <c r="AWB7" s="1225"/>
      <c r="AWC7" s="1225"/>
      <c r="AWD7" s="1225"/>
      <c r="AWE7" s="1225"/>
      <c r="AWF7" s="1225"/>
      <c r="AWG7" s="1225"/>
      <c r="AWH7" s="1225"/>
      <c r="AWI7" s="1225"/>
      <c r="AWJ7" s="1225"/>
      <c r="AWK7" s="1225"/>
      <c r="AWL7" s="1225"/>
      <c r="AWM7" s="1225"/>
      <c r="AWN7" s="1225"/>
      <c r="AWO7" s="1225"/>
      <c r="AWP7" s="1225"/>
      <c r="AWQ7" s="1225"/>
      <c r="AWR7" s="1225"/>
      <c r="AWS7" s="1225"/>
      <c r="AWT7" s="1225"/>
      <c r="AWU7" s="1225"/>
      <c r="AWV7" s="1225"/>
      <c r="AWW7" s="1225"/>
      <c r="AWX7" s="1225"/>
      <c r="AWY7" s="1225"/>
      <c r="AWZ7" s="1225"/>
      <c r="AXA7" s="1225"/>
      <c r="AXB7" s="1225"/>
      <c r="AXC7" s="1225"/>
      <c r="AXD7" s="1225"/>
      <c r="AXE7" s="1225"/>
      <c r="AXF7" s="1225"/>
      <c r="AXG7" s="1225"/>
      <c r="AXH7" s="1225"/>
      <c r="AXI7" s="1225"/>
      <c r="AXJ7" s="1225"/>
      <c r="AXK7" s="1225"/>
      <c r="AXL7" s="1225"/>
      <c r="AXM7" s="1225"/>
      <c r="AXN7" s="1225"/>
      <c r="AXO7" s="1225"/>
      <c r="AXP7" s="1225"/>
      <c r="AXQ7" s="1225"/>
      <c r="AXR7" s="1225"/>
      <c r="AXS7" s="1225"/>
      <c r="AXT7" s="1225"/>
      <c r="AXU7" s="1225"/>
      <c r="AXV7" s="1225"/>
      <c r="AXW7" s="1225"/>
      <c r="AXX7" s="1225"/>
      <c r="AXY7" s="1225"/>
      <c r="AXZ7" s="1225"/>
      <c r="AYA7" s="1225"/>
      <c r="AYB7" s="1225"/>
      <c r="AYC7" s="1225"/>
      <c r="AYD7" s="1225"/>
      <c r="AYE7" s="1225"/>
      <c r="AYF7" s="1225"/>
      <c r="AYG7" s="1225"/>
      <c r="AYH7" s="1225"/>
      <c r="AYI7" s="1225"/>
      <c r="AYJ7" s="1225"/>
      <c r="AYK7" s="1225"/>
      <c r="AYL7" s="1225"/>
      <c r="AYM7" s="1225"/>
      <c r="AYN7" s="1225"/>
      <c r="AYO7" s="1225"/>
      <c r="AYP7" s="1225"/>
      <c r="AYQ7" s="1225"/>
      <c r="AYR7" s="1225"/>
      <c r="AYS7" s="1225"/>
      <c r="AYT7" s="1225"/>
      <c r="AYU7" s="1225"/>
      <c r="AYV7" s="1225"/>
      <c r="AYW7" s="1225"/>
      <c r="AYX7" s="1225"/>
      <c r="AYY7" s="1225"/>
      <c r="AYZ7" s="1225"/>
      <c r="AZA7" s="1225"/>
      <c r="AZB7" s="1225"/>
      <c r="AZC7" s="1225"/>
      <c r="AZD7" s="1225"/>
      <c r="AZE7" s="1225"/>
      <c r="AZF7" s="1225"/>
      <c r="AZG7" s="1225"/>
      <c r="AZH7" s="1225"/>
      <c r="AZI7" s="1225"/>
      <c r="AZJ7" s="1225"/>
      <c r="AZK7" s="1225"/>
      <c r="AZL7" s="1225"/>
      <c r="AZM7" s="1225"/>
      <c r="AZN7" s="1225"/>
      <c r="AZO7" s="1225"/>
      <c r="AZP7" s="1225"/>
      <c r="AZQ7" s="1225"/>
      <c r="AZR7" s="1225"/>
      <c r="AZS7" s="1225"/>
      <c r="AZT7" s="1225"/>
      <c r="AZU7" s="1225"/>
      <c r="AZV7" s="1225"/>
      <c r="AZW7" s="1225"/>
      <c r="AZX7" s="1225"/>
      <c r="AZY7" s="1225"/>
      <c r="AZZ7" s="1225"/>
      <c r="BAA7" s="1225"/>
      <c r="BAB7" s="1225"/>
      <c r="BAC7" s="1225"/>
      <c r="BAD7" s="1225"/>
      <c r="BAE7" s="1225"/>
      <c r="BAF7" s="1225"/>
      <c r="BAG7" s="1225"/>
      <c r="BAH7" s="1225"/>
      <c r="BAI7" s="1225"/>
      <c r="BAJ7" s="1225"/>
      <c r="BAK7" s="1225"/>
      <c r="BAL7" s="1225"/>
      <c r="BAM7" s="1225"/>
      <c r="BAN7" s="1225"/>
      <c r="BAO7" s="1225"/>
      <c r="BAP7" s="1225"/>
      <c r="BAQ7" s="1225"/>
      <c r="BAR7" s="1225"/>
      <c r="BAS7" s="1225"/>
      <c r="BAT7" s="1225"/>
      <c r="BAU7" s="1225"/>
      <c r="BAV7" s="1225"/>
      <c r="BAW7" s="1225"/>
      <c r="BAX7" s="1225"/>
      <c r="BAY7" s="1225"/>
      <c r="BAZ7" s="1225"/>
      <c r="BBA7" s="1225"/>
      <c r="BBB7" s="1225"/>
      <c r="BBC7" s="1225"/>
      <c r="BBD7" s="1225"/>
      <c r="BBE7" s="1225"/>
      <c r="BBF7" s="1225"/>
      <c r="BBG7" s="1225"/>
      <c r="BBH7" s="1225"/>
      <c r="BBI7" s="1225"/>
      <c r="BBJ7" s="1225"/>
      <c r="BBK7" s="1225"/>
      <c r="BBL7" s="1225"/>
      <c r="BBM7" s="1225"/>
      <c r="BBN7" s="1225"/>
      <c r="BBO7" s="1225"/>
      <c r="BBP7" s="1225"/>
      <c r="BBQ7" s="1225"/>
      <c r="BBR7" s="1225"/>
      <c r="BBS7" s="1225"/>
      <c r="BBT7" s="1225"/>
      <c r="BBU7" s="1225"/>
      <c r="BBV7" s="1225"/>
      <c r="BBW7" s="1225"/>
      <c r="BBX7" s="1225"/>
      <c r="BBY7" s="1225"/>
      <c r="BBZ7" s="1225"/>
      <c r="BCA7" s="1225"/>
      <c r="BCB7" s="1225"/>
      <c r="BCC7" s="1225"/>
      <c r="BCD7" s="1225"/>
      <c r="BCE7" s="1225"/>
      <c r="BCF7" s="1225"/>
      <c r="BCG7" s="1225"/>
      <c r="BCH7" s="1225"/>
      <c r="BCI7" s="1225"/>
      <c r="BCJ7" s="1225"/>
      <c r="BCK7" s="1225"/>
      <c r="BCL7" s="1225"/>
      <c r="BCM7" s="1225"/>
      <c r="BCN7" s="1225"/>
      <c r="BCO7" s="1225"/>
      <c r="BCP7" s="1225"/>
      <c r="BCQ7" s="1225"/>
      <c r="BCR7" s="1225"/>
      <c r="BCS7" s="1225"/>
      <c r="BCT7" s="1225"/>
      <c r="BCU7" s="1225"/>
      <c r="BCV7" s="1225"/>
      <c r="BCW7" s="1225"/>
      <c r="BCX7" s="1225"/>
      <c r="BCY7" s="1225"/>
      <c r="BCZ7" s="1225"/>
      <c r="BDA7" s="1225"/>
      <c r="BDB7" s="1225"/>
      <c r="BDC7" s="1225"/>
      <c r="BDD7" s="1225"/>
      <c r="BDE7" s="1225"/>
      <c r="BDF7" s="1225"/>
      <c r="BDG7" s="1225"/>
      <c r="BDH7" s="1225"/>
      <c r="BDI7" s="1225"/>
      <c r="BDJ7" s="1225"/>
      <c r="BDK7" s="1225"/>
      <c r="BDL7" s="1225"/>
      <c r="BDM7" s="1225"/>
      <c r="BDN7" s="1225"/>
      <c r="BDO7" s="1225"/>
      <c r="BDP7" s="1225"/>
      <c r="BDQ7" s="1225"/>
      <c r="BDR7" s="1225"/>
      <c r="BDS7" s="1225"/>
      <c r="BDT7" s="1225"/>
      <c r="BDU7" s="1225"/>
      <c r="BDV7" s="1225"/>
      <c r="BDW7" s="1225"/>
      <c r="BDX7" s="1225"/>
      <c r="BDY7" s="1225"/>
      <c r="BDZ7" s="1225"/>
      <c r="BEA7" s="1225"/>
      <c r="BEB7" s="1225"/>
      <c r="BEC7" s="1225"/>
      <c r="BED7" s="1225"/>
      <c r="BEE7" s="1225"/>
      <c r="BEF7" s="1225"/>
      <c r="BEG7" s="1225"/>
      <c r="BEH7" s="1225"/>
      <c r="BEI7" s="1225"/>
      <c r="BEJ7" s="1225"/>
      <c r="BEK7" s="1225"/>
      <c r="BEL7" s="1225"/>
      <c r="BEM7" s="1225"/>
      <c r="BEN7" s="1225"/>
      <c r="BEO7" s="1225"/>
      <c r="BEP7" s="1225"/>
      <c r="BEQ7" s="1225"/>
      <c r="BER7" s="1225"/>
      <c r="BES7" s="1225"/>
      <c r="BET7" s="1225"/>
      <c r="BEU7" s="1225"/>
      <c r="BEV7" s="1225"/>
      <c r="BEW7" s="1225"/>
      <c r="BEX7" s="1225"/>
      <c r="BEY7" s="1225"/>
      <c r="BEZ7" s="1225"/>
      <c r="BFA7" s="1225"/>
      <c r="BFB7" s="1225"/>
      <c r="BFC7" s="1225"/>
      <c r="BFD7" s="1225"/>
      <c r="BFE7" s="1225"/>
      <c r="BFF7" s="1225"/>
      <c r="BFG7" s="1225"/>
      <c r="BFH7" s="1225"/>
      <c r="BFI7" s="1225"/>
      <c r="BFJ7" s="1225"/>
      <c r="BFK7" s="1225"/>
      <c r="BFL7" s="1225"/>
      <c r="BFM7" s="1225"/>
      <c r="BFN7" s="1225"/>
      <c r="BFO7" s="1225"/>
      <c r="BFP7" s="1225"/>
      <c r="BFQ7" s="1225"/>
      <c r="BFR7" s="1225"/>
      <c r="BFS7" s="1225"/>
      <c r="BFT7" s="1225"/>
      <c r="BFU7" s="1225"/>
      <c r="BFV7" s="1225"/>
      <c r="BFW7" s="1225"/>
      <c r="BFX7" s="1225"/>
      <c r="BFY7" s="1225"/>
      <c r="BFZ7" s="1225"/>
      <c r="BGA7" s="1225"/>
      <c r="BGB7" s="1225"/>
      <c r="BGC7" s="1225"/>
      <c r="BGD7" s="1225"/>
      <c r="BGE7" s="1225"/>
      <c r="BGF7" s="1225"/>
      <c r="BGG7" s="1225"/>
      <c r="BGH7" s="1225"/>
      <c r="BGI7" s="1225"/>
      <c r="BGJ7" s="1225"/>
      <c r="BGK7" s="1225"/>
      <c r="BGL7" s="1225"/>
      <c r="BGM7" s="1225"/>
      <c r="BGN7" s="1225"/>
      <c r="BGO7" s="1225"/>
      <c r="BGP7" s="1225"/>
      <c r="BGQ7" s="1225"/>
      <c r="BGR7" s="1225"/>
      <c r="BGS7" s="1225"/>
      <c r="BGT7" s="1225"/>
      <c r="BGU7" s="1225"/>
      <c r="BGV7" s="1225"/>
      <c r="BGW7" s="1225"/>
      <c r="BGX7" s="1225"/>
      <c r="BGY7" s="1225"/>
      <c r="BGZ7" s="1225"/>
      <c r="BHA7" s="1225"/>
      <c r="BHB7" s="1225"/>
      <c r="BHC7" s="1225"/>
      <c r="BHD7" s="1225"/>
      <c r="BHE7" s="1225"/>
      <c r="BHF7" s="1225"/>
      <c r="BHG7" s="1225"/>
      <c r="BHH7" s="1225"/>
      <c r="BHI7" s="1225"/>
      <c r="BHJ7" s="1225"/>
      <c r="BHK7" s="1225"/>
      <c r="BHL7" s="1225"/>
      <c r="BHM7" s="1225"/>
      <c r="BHN7" s="1225"/>
      <c r="BHO7" s="1225"/>
      <c r="BHP7" s="1225"/>
      <c r="BHQ7" s="1225"/>
      <c r="BHR7" s="1225"/>
      <c r="BHS7" s="1225"/>
      <c r="BHT7" s="1225"/>
      <c r="BHU7" s="1225"/>
      <c r="BHV7" s="1225"/>
      <c r="BHW7" s="1225"/>
      <c r="BHX7" s="1225"/>
      <c r="BHY7" s="1225"/>
      <c r="BHZ7" s="1225"/>
      <c r="BIA7" s="1225"/>
      <c r="BIB7" s="1225"/>
      <c r="BIC7" s="1225"/>
      <c r="BID7" s="1225"/>
      <c r="BIE7" s="1225"/>
      <c r="BIF7" s="1225"/>
      <c r="BIG7" s="1225"/>
      <c r="BIH7" s="1225"/>
      <c r="BII7" s="1225"/>
      <c r="BIJ7" s="1225"/>
      <c r="BIK7" s="1225"/>
      <c r="BIL7" s="1225"/>
      <c r="BIM7" s="1225"/>
      <c r="BIN7" s="1225"/>
      <c r="BIO7" s="1225"/>
      <c r="BIP7" s="1225"/>
      <c r="BIQ7" s="1225"/>
      <c r="BIR7" s="1225"/>
      <c r="BIS7" s="1225"/>
      <c r="BIT7" s="1225"/>
      <c r="BIU7" s="1225"/>
      <c r="BIV7" s="1225"/>
      <c r="BIW7" s="1225"/>
      <c r="BIX7" s="1225"/>
      <c r="BIY7" s="1225"/>
      <c r="BIZ7" s="1225"/>
      <c r="BJA7" s="1225"/>
      <c r="BJB7" s="1225"/>
      <c r="BJC7" s="1225"/>
      <c r="BJD7" s="1225"/>
      <c r="BJE7" s="1225"/>
      <c r="BJF7" s="1225"/>
      <c r="BJG7" s="1225"/>
      <c r="BJH7" s="1225"/>
      <c r="BJI7" s="1225"/>
      <c r="BJJ7" s="1225"/>
      <c r="BJK7" s="1225"/>
      <c r="BJL7" s="1225"/>
      <c r="BJM7" s="1225"/>
      <c r="BJN7" s="1225"/>
      <c r="BJO7" s="1225"/>
      <c r="BJP7" s="1225"/>
      <c r="BJQ7" s="1225"/>
      <c r="BJR7" s="1225"/>
      <c r="BJS7" s="1225"/>
      <c r="BJT7" s="1225"/>
      <c r="BJU7" s="1225"/>
      <c r="BJV7" s="1225"/>
      <c r="BJW7" s="1225"/>
      <c r="BJX7" s="1225"/>
      <c r="BJY7" s="1225"/>
      <c r="BJZ7" s="1225"/>
      <c r="BKA7" s="1225"/>
      <c r="BKB7" s="1225"/>
      <c r="BKC7" s="1225"/>
      <c r="BKD7" s="1225"/>
      <c r="BKE7" s="1225"/>
      <c r="BKF7" s="1225"/>
      <c r="BKG7" s="1225"/>
      <c r="BKH7" s="1225"/>
      <c r="BKI7" s="1225"/>
      <c r="BKJ7" s="1225"/>
      <c r="BKK7" s="1225"/>
      <c r="BKL7" s="1225"/>
      <c r="BKM7" s="1225"/>
      <c r="BKN7" s="1225"/>
      <c r="BKO7" s="1225"/>
      <c r="BKP7" s="1225"/>
      <c r="BKQ7" s="1225"/>
      <c r="BKR7" s="1225"/>
      <c r="BKS7" s="1225"/>
      <c r="BKT7" s="1225"/>
      <c r="BKU7" s="1225"/>
      <c r="BKV7" s="1225"/>
      <c r="BKW7" s="1225"/>
      <c r="BKX7" s="1225"/>
      <c r="BKY7" s="1225"/>
      <c r="BKZ7" s="1225"/>
      <c r="BLA7" s="1225"/>
      <c r="BLB7" s="1225"/>
      <c r="BLC7" s="1225"/>
      <c r="BLD7" s="1225"/>
      <c r="BLE7" s="1225"/>
      <c r="BLF7" s="1225"/>
      <c r="BLG7" s="1225"/>
      <c r="BLH7" s="1225"/>
      <c r="BLI7" s="1225"/>
      <c r="BLJ7" s="1225"/>
      <c r="BLK7" s="1225"/>
      <c r="BLL7" s="1225"/>
      <c r="BLM7" s="1225"/>
      <c r="BLN7" s="1225"/>
      <c r="BLO7" s="1225"/>
      <c r="BLP7" s="1225"/>
      <c r="BLQ7" s="1225"/>
      <c r="BLR7" s="1225"/>
      <c r="BLS7" s="1225"/>
      <c r="BLT7" s="1225"/>
      <c r="BLU7" s="1225"/>
      <c r="BLV7" s="1225"/>
      <c r="BLW7" s="1225"/>
      <c r="BLX7" s="1225"/>
      <c r="BLY7" s="1225"/>
      <c r="BLZ7" s="1225"/>
      <c r="BMA7" s="1225"/>
      <c r="BMB7" s="1225"/>
      <c r="BMC7" s="1225"/>
      <c r="BMD7" s="1225"/>
      <c r="BME7" s="1225"/>
      <c r="BMF7" s="1225"/>
      <c r="BMG7" s="1225"/>
      <c r="BMH7" s="1225"/>
      <c r="BMI7" s="1225"/>
      <c r="BMJ7" s="1225"/>
      <c r="BMK7" s="1225"/>
      <c r="BML7" s="1225"/>
      <c r="BMM7" s="1225"/>
      <c r="BMN7" s="1225"/>
      <c r="BMO7" s="1225"/>
      <c r="BMP7" s="1225"/>
      <c r="BMQ7" s="1225"/>
      <c r="BMR7" s="1225"/>
      <c r="BMS7" s="1225"/>
      <c r="BMT7" s="1225"/>
      <c r="BMU7" s="1225"/>
      <c r="BMV7" s="1225"/>
      <c r="BMW7" s="1225"/>
      <c r="BMX7" s="1225"/>
      <c r="BMY7" s="1225"/>
      <c r="BMZ7" s="1225"/>
      <c r="BNA7" s="1225"/>
      <c r="BNB7" s="1225"/>
      <c r="BNC7" s="1225"/>
      <c r="BND7" s="1225"/>
      <c r="BNE7" s="1225"/>
      <c r="BNF7" s="1225"/>
      <c r="BNG7" s="1225"/>
      <c r="BNH7" s="1225"/>
      <c r="BNI7" s="1225"/>
      <c r="BNJ7" s="1225"/>
      <c r="BNK7" s="1225"/>
      <c r="BNL7" s="1225"/>
      <c r="BNM7" s="1225"/>
      <c r="BNN7" s="1225"/>
      <c r="BNO7" s="1225"/>
      <c r="BNP7" s="1225"/>
      <c r="BNQ7" s="1225"/>
      <c r="BNR7" s="1225"/>
      <c r="BNS7" s="1225"/>
      <c r="BNT7" s="1225"/>
      <c r="BNU7" s="1225"/>
      <c r="BNV7" s="1225"/>
      <c r="BNW7" s="1225"/>
      <c r="BNX7" s="1225"/>
      <c r="BNY7" s="1225"/>
      <c r="BNZ7" s="1225"/>
      <c r="BOA7" s="1225"/>
      <c r="BOB7" s="1225"/>
      <c r="BOC7" s="1225"/>
      <c r="BOD7" s="1225"/>
      <c r="BOE7" s="1225"/>
      <c r="BOF7" s="1225"/>
      <c r="BOG7" s="1225"/>
      <c r="BOH7" s="1225"/>
      <c r="BOI7" s="1225"/>
      <c r="BOJ7" s="1225"/>
      <c r="BOK7" s="1225"/>
      <c r="BOL7" s="1225"/>
      <c r="BOM7" s="1225"/>
      <c r="BON7" s="1225"/>
      <c r="BOO7" s="1225"/>
      <c r="BOP7" s="1225"/>
      <c r="BOQ7" s="1225"/>
      <c r="BOR7" s="1225"/>
      <c r="BOS7" s="1225"/>
      <c r="BOT7" s="1225"/>
      <c r="BOU7" s="1225"/>
      <c r="BOV7" s="1225"/>
      <c r="BOW7" s="1225"/>
      <c r="BOX7" s="1225"/>
      <c r="BOY7" s="1225"/>
      <c r="BOZ7" s="1225"/>
      <c r="BPA7" s="1225"/>
      <c r="BPB7" s="1225"/>
      <c r="BPC7" s="1225"/>
      <c r="BPD7" s="1225"/>
      <c r="BPE7" s="1225"/>
      <c r="BPF7" s="1225"/>
      <c r="BPG7" s="1225"/>
      <c r="BPH7" s="1225"/>
      <c r="BPI7" s="1225"/>
      <c r="BPJ7" s="1225"/>
      <c r="BPK7" s="1225"/>
      <c r="BPL7" s="1225"/>
      <c r="BPM7" s="1225"/>
      <c r="BPN7" s="1225"/>
      <c r="BPO7" s="1225"/>
      <c r="BPP7" s="1225"/>
      <c r="BPQ7" s="1225"/>
      <c r="BPR7" s="1225"/>
      <c r="BPS7" s="1225"/>
      <c r="BPT7" s="1225"/>
      <c r="BPU7" s="1225"/>
      <c r="BPV7" s="1225"/>
      <c r="BPW7" s="1225"/>
      <c r="BPX7" s="1225"/>
      <c r="BPY7" s="1225"/>
      <c r="BPZ7" s="1225"/>
      <c r="BQA7" s="1225"/>
      <c r="BQB7" s="1225"/>
      <c r="BQC7" s="1225"/>
      <c r="BQD7" s="1225"/>
      <c r="BQE7" s="1225"/>
      <c r="BQF7" s="1225"/>
      <c r="BQG7" s="1225"/>
      <c r="BQH7" s="1225"/>
      <c r="BQI7" s="1225"/>
      <c r="BQJ7" s="1225"/>
      <c r="BQK7" s="1225"/>
      <c r="BQL7" s="1225"/>
      <c r="BQM7" s="1225"/>
      <c r="BQN7" s="1225"/>
      <c r="BQO7" s="1225"/>
      <c r="BQP7" s="1225"/>
      <c r="BQQ7" s="1225"/>
      <c r="BQR7" s="1225"/>
      <c r="BQS7" s="1225"/>
      <c r="BQT7" s="1225"/>
      <c r="BQU7" s="1225"/>
      <c r="BQV7" s="1225"/>
      <c r="BQW7" s="1225"/>
      <c r="BQX7" s="1225"/>
      <c r="BQY7" s="1225"/>
      <c r="BQZ7" s="1225"/>
      <c r="BRA7" s="1225"/>
      <c r="BRB7" s="1225"/>
      <c r="BRC7" s="1225"/>
      <c r="BRD7" s="1225"/>
      <c r="BRE7" s="1225"/>
      <c r="BRF7" s="1225"/>
      <c r="BRG7" s="1225"/>
      <c r="BRH7" s="1225"/>
      <c r="BRI7" s="1225"/>
      <c r="BRJ7" s="1225"/>
      <c r="BRK7" s="1225"/>
      <c r="BRL7" s="1225"/>
      <c r="BRM7" s="1225"/>
      <c r="BRN7" s="1225"/>
      <c r="BRO7" s="1225"/>
      <c r="BRP7" s="1225"/>
      <c r="BRQ7" s="1225"/>
      <c r="BRR7" s="1225"/>
      <c r="BRS7" s="1225"/>
      <c r="BRT7" s="1225"/>
      <c r="BRU7" s="1225"/>
      <c r="BRV7" s="1225"/>
      <c r="BRW7" s="1225"/>
      <c r="BRX7" s="1225"/>
      <c r="BRY7" s="1225"/>
      <c r="BRZ7" s="1225"/>
      <c r="BSA7" s="1225"/>
      <c r="BSB7" s="1225"/>
      <c r="BSC7" s="1225"/>
      <c r="BSD7" s="1225"/>
      <c r="BSE7" s="1225"/>
      <c r="BSF7" s="1225"/>
      <c r="BSG7" s="1225"/>
      <c r="BSH7" s="1225"/>
      <c r="BSI7" s="1225"/>
      <c r="BSJ7" s="1225"/>
      <c r="BSK7" s="1225"/>
      <c r="BSL7" s="1225"/>
      <c r="BSM7" s="1225"/>
      <c r="BSN7" s="1225"/>
      <c r="BSO7" s="1225"/>
      <c r="BSP7" s="1225"/>
      <c r="BSQ7" s="1225"/>
      <c r="BSR7" s="1225"/>
      <c r="BSS7" s="1225"/>
      <c r="BST7" s="1225"/>
      <c r="BSU7" s="1225"/>
      <c r="BSV7" s="1225"/>
      <c r="BSW7" s="1225"/>
      <c r="BSX7" s="1225"/>
      <c r="BSY7" s="1225"/>
      <c r="BSZ7" s="1225"/>
      <c r="BTA7" s="1225"/>
      <c r="BTB7" s="1225"/>
      <c r="BTC7" s="1225"/>
      <c r="BTD7" s="1225"/>
      <c r="BTE7" s="1225"/>
      <c r="BTF7" s="1225"/>
      <c r="BTG7" s="1225"/>
      <c r="BTH7" s="1225"/>
      <c r="BTI7" s="1225"/>
      <c r="BTJ7" s="1225"/>
      <c r="BTK7" s="1225"/>
      <c r="BTL7" s="1225"/>
      <c r="BTM7" s="1225"/>
      <c r="BTN7" s="1225"/>
      <c r="BTO7" s="1225"/>
      <c r="BTP7" s="1225"/>
      <c r="BTQ7" s="1225"/>
      <c r="BTR7" s="1225"/>
      <c r="BTS7" s="1225"/>
      <c r="BTT7" s="1225"/>
      <c r="BTU7" s="1225"/>
      <c r="BTV7" s="1225"/>
      <c r="BTW7" s="1225"/>
      <c r="BTX7" s="1225"/>
      <c r="BTY7" s="1225"/>
      <c r="BTZ7" s="1225"/>
      <c r="BUA7" s="1225"/>
      <c r="BUB7" s="1225"/>
      <c r="BUC7" s="1225"/>
      <c r="BUD7" s="1225"/>
      <c r="BUE7" s="1225"/>
      <c r="BUF7" s="1225"/>
      <c r="BUG7" s="1225"/>
      <c r="BUH7" s="1225"/>
      <c r="BUI7" s="1225"/>
      <c r="BUJ7" s="1225"/>
      <c r="BUK7" s="1225"/>
      <c r="BUL7" s="1225"/>
      <c r="BUM7" s="1225"/>
      <c r="BUN7" s="1225"/>
      <c r="BUO7" s="1225"/>
      <c r="BUP7" s="1225"/>
      <c r="BUQ7" s="1225"/>
      <c r="BUR7" s="1225"/>
      <c r="BUS7" s="1225"/>
      <c r="BUT7" s="1225"/>
      <c r="BUU7" s="1225"/>
      <c r="BUV7" s="1225"/>
      <c r="BUW7" s="1225"/>
      <c r="BUX7" s="1225"/>
      <c r="BUY7" s="1225"/>
      <c r="BUZ7" s="1225"/>
      <c r="BVA7" s="1225"/>
      <c r="BVB7" s="1225"/>
      <c r="BVC7" s="1225"/>
      <c r="BVD7" s="1225"/>
      <c r="BVE7" s="1225"/>
      <c r="BVF7" s="1225"/>
      <c r="BVG7" s="1225"/>
      <c r="BVH7" s="1225"/>
      <c r="BVI7" s="1225"/>
      <c r="BVJ7" s="1225"/>
      <c r="BVK7" s="1225"/>
      <c r="BVL7" s="1225"/>
      <c r="BVM7" s="1225"/>
      <c r="BVN7" s="1225"/>
      <c r="BVO7" s="1225"/>
      <c r="BVP7" s="1225"/>
      <c r="BVQ7" s="1225"/>
      <c r="BVR7" s="1225"/>
      <c r="BVS7" s="1225"/>
      <c r="BVT7" s="1225"/>
      <c r="BVU7" s="1225"/>
      <c r="BVV7" s="1225"/>
      <c r="BVW7" s="1225"/>
      <c r="BVX7" s="1225"/>
      <c r="BVY7" s="1225"/>
      <c r="BVZ7" s="1225"/>
      <c r="BWA7" s="1225"/>
      <c r="BWB7" s="1225"/>
      <c r="BWC7" s="1225"/>
      <c r="BWD7" s="1225"/>
      <c r="BWE7" s="1225"/>
      <c r="BWF7" s="1225"/>
      <c r="BWG7" s="1225"/>
      <c r="BWH7" s="1225"/>
      <c r="BWI7" s="1225"/>
      <c r="BWJ7" s="1225"/>
      <c r="BWK7" s="1225"/>
      <c r="BWL7" s="1225"/>
      <c r="BWM7" s="1225"/>
      <c r="BWN7" s="1225"/>
      <c r="BWO7" s="1225"/>
      <c r="BWP7" s="1225"/>
      <c r="BWQ7" s="1225"/>
      <c r="BWR7" s="1225"/>
      <c r="BWS7" s="1225"/>
      <c r="BWT7" s="1225"/>
      <c r="BWU7" s="1225"/>
      <c r="BWV7" s="1225"/>
      <c r="BWW7" s="1225"/>
      <c r="BWX7" s="1225"/>
      <c r="BWY7" s="1225"/>
      <c r="BWZ7" s="1225"/>
      <c r="BXA7" s="1225"/>
      <c r="BXB7" s="1225"/>
      <c r="BXC7" s="1225"/>
      <c r="BXD7" s="1225"/>
      <c r="BXE7" s="1225"/>
      <c r="BXF7" s="1225"/>
      <c r="BXG7" s="1225"/>
      <c r="BXH7" s="1225"/>
      <c r="BXI7" s="1225"/>
      <c r="BXJ7" s="1225"/>
      <c r="BXK7" s="1225"/>
      <c r="BXL7" s="1225"/>
      <c r="BXM7" s="1225"/>
      <c r="BXN7" s="1225"/>
      <c r="BXO7" s="1225"/>
      <c r="BXP7" s="1225"/>
      <c r="BXQ7" s="1225"/>
      <c r="BXR7" s="1225"/>
      <c r="BXS7" s="1225"/>
      <c r="BXT7" s="1225"/>
      <c r="BXU7" s="1225"/>
      <c r="BXV7" s="1225"/>
      <c r="BXW7" s="1225"/>
      <c r="BXX7" s="1225"/>
      <c r="BXY7" s="1225"/>
      <c r="BXZ7" s="1225"/>
      <c r="BYA7" s="1225"/>
      <c r="BYB7" s="1225"/>
      <c r="BYC7" s="1225"/>
      <c r="BYD7" s="1225"/>
      <c r="BYE7" s="1225"/>
      <c r="BYF7" s="1225"/>
      <c r="BYG7" s="1225"/>
      <c r="BYH7" s="1225"/>
      <c r="BYI7" s="1225"/>
      <c r="BYJ7" s="1225"/>
      <c r="BYK7" s="1225"/>
      <c r="BYL7" s="1225"/>
      <c r="BYM7" s="1225"/>
      <c r="BYN7" s="1225"/>
      <c r="BYO7" s="1225"/>
      <c r="BYP7" s="1225"/>
      <c r="BYQ7" s="1225"/>
      <c r="BYR7" s="1225"/>
      <c r="BYS7" s="1225"/>
      <c r="BYT7" s="1225"/>
      <c r="BYU7" s="1225"/>
      <c r="BYV7" s="1225"/>
      <c r="BYW7" s="1225"/>
      <c r="BYX7" s="1225"/>
      <c r="BYY7" s="1225"/>
      <c r="BYZ7" s="1225"/>
      <c r="BZA7" s="1225"/>
      <c r="BZB7" s="1225"/>
      <c r="BZC7" s="1225"/>
      <c r="BZD7" s="1225"/>
      <c r="BZE7" s="1225"/>
      <c r="BZF7" s="1225"/>
      <c r="BZG7" s="1225"/>
      <c r="BZH7" s="1225"/>
      <c r="BZI7" s="1225"/>
      <c r="BZJ7" s="1225"/>
      <c r="BZK7" s="1225"/>
      <c r="BZL7" s="1225"/>
      <c r="BZM7" s="1225"/>
      <c r="BZN7" s="1225"/>
      <c r="BZO7" s="1225"/>
      <c r="BZP7" s="1225"/>
      <c r="BZQ7" s="1225"/>
      <c r="BZR7" s="1225"/>
      <c r="BZS7" s="1225"/>
      <c r="BZT7" s="1225"/>
      <c r="BZU7" s="1225"/>
      <c r="BZV7" s="1225"/>
      <c r="BZW7" s="1225"/>
      <c r="BZX7" s="1225"/>
      <c r="BZY7" s="1225"/>
      <c r="BZZ7" s="1225"/>
      <c r="CAA7" s="1225"/>
      <c r="CAB7" s="1225"/>
      <c r="CAC7" s="1225"/>
      <c r="CAD7" s="1225"/>
      <c r="CAE7" s="1225"/>
      <c r="CAF7" s="1225"/>
      <c r="CAG7" s="1225"/>
      <c r="CAH7" s="1225"/>
      <c r="CAI7" s="1225"/>
      <c r="CAJ7" s="1225"/>
      <c r="CAK7" s="1225"/>
      <c r="CAL7" s="1225"/>
      <c r="CAM7" s="1225"/>
      <c r="CAN7" s="1225"/>
      <c r="CAO7" s="1225"/>
      <c r="CAP7" s="1225"/>
      <c r="CAQ7" s="1225"/>
      <c r="CAR7" s="1225"/>
      <c r="CAS7" s="1225"/>
      <c r="CAT7" s="1225"/>
      <c r="CAU7" s="1225"/>
      <c r="CAV7" s="1225"/>
      <c r="CAW7" s="1225"/>
      <c r="CAX7" s="1225"/>
      <c r="CAY7" s="1225"/>
      <c r="CAZ7" s="1225"/>
      <c r="CBA7" s="1225"/>
      <c r="CBB7" s="1225"/>
      <c r="CBC7" s="1225"/>
      <c r="CBD7" s="1225"/>
      <c r="CBE7" s="1225"/>
      <c r="CBF7" s="1225"/>
      <c r="CBG7" s="1225"/>
      <c r="CBH7" s="1225"/>
      <c r="CBI7" s="1225"/>
      <c r="CBJ7" s="1225"/>
      <c r="CBK7" s="1225"/>
      <c r="CBL7" s="1225"/>
      <c r="CBM7" s="1225"/>
      <c r="CBN7" s="1225"/>
      <c r="CBO7" s="1225"/>
      <c r="CBP7" s="1225"/>
      <c r="CBQ7" s="1225"/>
      <c r="CBR7" s="1225"/>
      <c r="CBS7" s="1225"/>
      <c r="CBT7" s="1225"/>
      <c r="CBU7" s="1225"/>
      <c r="CBV7" s="1225"/>
      <c r="CBW7" s="1225"/>
      <c r="CBX7" s="1225"/>
      <c r="CBY7" s="1225"/>
      <c r="CBZ7" s="1225"/>
      <c r="CCA7" s="1225"/>
      <c r="CCB7" s="1225"/>
      <c r="CCC7" s="1225"/>
      <c r="CCD7" s="1225"/>
      <c r="CCE7" s="1225"/>
      <c r="CCF7" s="1225"/>
      <c r="CCG7" s="1225"/>
      <c r="CCH7" s="1225"/>
      <c r="CCI7" s="1225"/>
      <c r="CCJ7" s="1225"/>
      <c r="CCK7" s="1225"/>
      <c r="CCL7" s="1225"/>
      <c r="CCM7" s="1225"/>
      <c r="CCN7" s="1225"/>
      <c r="CCO7" s="1225"/>
      <c r="CCP7" s="1225"/>
      <c r="CCQ7" s="1225"/>
      <c r="CCR7" s="1225"/>
      <c r="CCS7" s="1225"/>
      <c r="CCT7" s="1225"/>
      <c r="CCU7" s="1225"/>
      <c r="CCV7" s="1225"/>
      <c r="CCW7" s="1225"/>
      <c r="CCX7" s="1225"/>
      <c r="CCY7" s="1225"/>
      <c r="CCZ7" s="1225"/>
      <c r="CDA7" s="1225"/>
      <c r="CDB7" s="1225"/>
      <c r="CDC7" s="1225"/>
      <c r="CDD7" s="1225"/>
      <c r="CDE7" s="1225"/>
      <c r="CDF7" s="1225"/>
      <c r="CDG7" s="1225"/>
      <c r="CDH7" s="1225"/>
      <c r="CDI7" s="1225"/>
      <c r="CDJ7" s="1225"/>
      <c r="CDK7" s="1225"/>
      <c r="CDL7" s="1225"/>
      <c r="CDM7" s="1225"/>
      <c r="CDN7" s="1225"/>
      <c r="CDO7" s="1225"/>
      <c r="CDP7" s="1225"/>
      <c r="CDQ7" s="1225"/>
      <c r="CDR7" s="1225"/>
      <c r="CDS7" s="1225"/>
      <c r="CDT7" s="1225"/>
      <c r="CDU7" s="1225"/>
      <c r="CDV7" s="1225"/>
      <c r="CDW7" s="1225"/>
      <c r="CDX7" s="1225"/>
      <c r="CDY7" s="1225"/>
      <c r="CDZ7" s="1225"/>
      <c r="CEA7" s="1225"/>
      <c r="CEB7" s="1225"/>
      <c r="CEC7" s="1225"/>
      <c r="CED7" s="1225"/>
      <c r="CEE7" s="1225"/>
      <c r="CEF7" s="1225"/>
      <c r="CEG7" s="1225"/>
      <c r="CEH7" s="1225"/>
      <c r="CEI7" s="1225"/>
      <c r="CEJ7" s="1225"/>
      <c r="CEK7" s="1225"/>
      <c r="CEL7" s="1225"/>
      <c r="CEM7" s="1225"/>
      <c r="CEN7" s="1225"/>
      <c r="CEO7" s="1225"/>
      <c r="CEP7" s="1225"/>
      <c r="CEQ7" s="1225"/>
      <c r="CER7" s="1225"/>
      <c r="CES7" s="1225"/>
      <c r="CET7" s="1225"/>
      <c r="CEU7" s="1225"/>
      <c r="CEV7" s="1225"/>
      <c r="CEW7" s="1225"/>
      <c r="CEX7" s="1225"/>
      <c r="CEY7" s="1225"/>
      <c r="CEZ7" s="1225"/>
      <c r="CFA7" s="1225"/>
      <c r="CFB7" s="1225"/>
      <c r="CFC7" s="1225"/>
      <c r="CFD7" s="1225"/>
      <c r="CFE7" s="1225"/>
      <c r="CFF7" s="1225"/>
      <c r="CFG7" s="1225"/>
      <c r="CFH7" s="1225"/>
      <c r="CFI7" s="1225"/>
      <c r="CFJ7" s="1225"/>
      <c r="CFK7" s="1225"/>
      <c r="CFL7" s="1225"/>
      <c r="CFM7" s="1225"/>
      <c r="CFN7" s="1225"/>
      <c r="CFO7" s="1225"/>
      <c r="CFP7" s="1225"/>
      <c r="CFQ7" s="1225"/>
      <c r="CFR7" s="1225"/>
      <c r="CFS7" s="1225"/>
      <c r="CFT7" s="1225"/>
      <c r="CFU7" s="1225"/>
      <c r="CFV7" s="1225"/>
      <c r="CFW7" s="1225"/>
      <c r="CFX7" s="1225"/>
      <c r="CFY7" s="1225"/>
      <c r="CFZ7" s="1225"/>
      <c r="CGA7" s="1225"/>
      <c r="CGB7" s="1225"/>
      <c r="CGC7" s="1225"/>
      <c r="CGD7" s="1225"/>
      <c r="CGE7" s="1225"/>
      <c r="CGF7" s="1225"/>
      <c r="CGG7" s="1225"/>
      <c r="CGH7" s="1225"/>
      <c r="CGI7" s="1225"/>
      <c r="CGJ7" s="1225"/>
      <c r="CGK7" s="1225"/>
      <c r="CGL7" s="1225"/>
      <c r="CGM7" s="1225"/>
      <c r="CGN7" s="1225"/>
      <c r="CGO7" s="1225"/>
      <c r="CGP7" s="1225"/>
      <c r="CGQ7" s="1225"/>
      <c r="CGR7" s="1225"/>
      <c r="CGS7" s="1225"/>
      <c r="CGT7" s="1225"/>
      <c r="CGU7" s="1225"/>
      <c r="CGV7" s="1225"/>
      <c r="CGW7" s="1225"/>
      <c r="CGX7" s="1225"/>
      <c r="CGY7" s="1225"/>
      <c r="CGZ7" s="1225"/>
      <c r="CHA7" s="1225"/>
      <c r="CHB7" s="1225"/>
      <c r="CHC7" s="1225"/>
      <c r="CHD7" s="1225"/>
      <c r="CHE7" s="1225"/>
      <c r="CHF7" s="1225"/>
      <c r="CHG7" s="1225"/>
      <c r="CHH7" s="1225"/>
      <c r="CHI7" s="1225"/>
      <c r="CHJ7" s="1225"/>
      <c r="CHK7" s="1225"/>
      <c r="CHL7" s="1225"/>
      <c r="CHM7" s="1225"/>
      <c r="CHN7" s="1225"/>
      <c r="CHO7" s="1225"/>
      <c r="CHP7" s="1225"/>
      <c r="CHQ7" s="1225"/>
      <c r="CHR7" s="1225"/>
      <c r="CHS7" s="1225"/>
      <c r="CHT7" s="1225"/>
      <c r="CHU7" s="1225"/>
      <c r="CHV7" s="1225"/>
      <c r="CHW7" s="1225"/>
      <c r="CHX7" s="1225"/>
      <c r="CHY7" s="1225"/>
      <c r="CHZ7" s="1225"/>
      <c r="CIA7" s="1225"/>
      <c r="CIB7" s="1225"/>
      <c r="CIC7" s="1225"/>
      <c r="CID7" s="1225"/>
      <c r="CIE7" s="1225"/>
      <c r="CIF7" s="1225"/>
      <c r="CIG7" s="1225"/>
      <c r="CIH7" s="1225"/>
      <c r="CII7" s="1225"/>
      <c r="CIJ7" s="1225"/>
      <c r="CIK7" s="1225"/>
      <c r="CIL7" s="1225"/>
      <c r="CIM7" s="1225"/>
      <c r="CIN7" s="1225"/>
      <c r="CIO7" s="1225"/>
      <c r="CIP7" s="1225"/>
      <c r="CIQ7" s="1225"/>
      <c r="CIR7" s="1225"/>
      <c r="CIS7" s="1225"/>
      <c r="CIT7" s="1225"/>
      <c r="CIU7" s="1225"/>
      <c r="CIV7" s="1225"/>
      <c r="CIW7" s="1225"/>
      <c r="CIX7" s="1225"/>
      <c r="CIY7" s="1225"/>
      <c r="CIZ7" s="1225"/>
      <c r="CJA7" s="1225"/>
      <c r="CJB7" s="1225"/>
      <c r="CJC7" s="1225"/>
      <c r="CJD7" s="1225"/>
      <c r="CJE7" s="1225"/>
      <c r="CJF7" s="1225"/>
      <c r="CJG7" s="1225"/>
      <c r="CJH7" s="1225"/>
      <c r="CJI7" s="1225"/>
      <c r="CJJ7" s="1225"/>
      <c r="CJK7" s="1225"/>
      <c r="CJL7" s="1225"/>
      <c r="CJM7" s="1225"/>
      <c r="CJN7" s="1225"/>
      <c r="CJO7" s="1225"/>
      <c r="CJP7" s="1225"/>
      <c r="CJQ7" s="1225"/>
      <c r="CJR7" s="1225"/>
      <c r="CJS7" s="1225"/>
      <c r="CJT7" s="1225"/>
      <c r="CJU7" s="1225"/>
      <c r="CJV7" s="1225"/>
      <c r="CJW7" s="1225"/>
      <c r="CJX7" s="1225"/>
      <c r="CJY7" s="1225"/>
      <c r="CJZ7" s="1225"/>
      <c r="CKA7" s="1225"/>
      <c r="CKB7" s="1225"/>
      <c r="CKC7" s="1225"/>
      <c r="CKD7" s="1225"/>
      <c r="CKE7" s="1225"/>
      <c r="CKF7" s="1225"/>
      <c r="CKG7" s="1225"/>
      <c r="CKH7" s="1225"/>
      <c r="CKI7" s="1225"/>
      <c r="CKJ7" s="1225"/>
      <c r="CKK7" s="1225"/>
      <c r="CKL7" s="1225"/>
      <c r="CKM7" s="1225"/>
      <c r="CKN7" s="1225"/>
      <c r="CKO7" s="1225"/>
      <c r="CKP7" s="1225"/>
      <c r="CKQ7" s="1225"/>
      <c r="CKR7" s="1225"/>
      <c r="CKS7" s="1225"/>
      <c r="CKT7" s="1225"/>
      <c r="CKU7" s="1225"/>
      <c r="CKV7" s="1225"/>
      <c r="CKW7" s="1225"/>
      <c r="CKX7" s="1225"/>
      <c r="CKY7" s="1225"/>
      <c r="CKZ7" s="1225"/>
      <c r="CLA7" s="1225"/>
      <c r="CLB7" s="1225"/>
      <c r="CLC7" s="1225"/>
      <c r="CLD7" s="1225"/>
      <c r="CLE7" s="1225"/>
      <c r="CLF7" s="1225"/>
      <c r="CLG7" s="1225"/>
      <c r="CLH7" s="1225"/>
      <c r="CLI7" s="1225"/>
      <c r="CLJ7" s="1225"/>
      <c r="CLK7" s="1225"/>
      <c r="CLL7" s="1225"/>
      <c r="CLM7" s="1225"/>
      <c r="CLN7" s="1225"/>
      <c r="CLO7" s="1225"/>
      <c r="CLP7" s="1225"/>
      <c r="CLQ7" s="1225"/>
      <c r="CLR7" s="1225"/>
      <c r="CLS7" s="1225"/>
      <c r="CLT7" s="1225"/>
      <c r="CLU7" s="1225"/>
      <c r="CLV7" s="1225"/>
      <c r="CLW7" s="1225"/>
      <c r="CLX7" s="1225"/>
      <c r="CLY7" s="1225"/>
      <c r="CLZ7" s="1225"/>
      <c r="CMA7" s="1225"/>
      <c r="CMB7" s="1225"/>
      <c r="CMC7" s="1225"/>
      <c r="CMD7" s="1225"/>
      <c r="CME7" s="1225"/>
      <c r="CMF7" s="1225"/>
      <c r="CMG7" s="1225"/>
      <c r="CMH7" s="1225"/>
      <c r="CMI7" s="1225"/>
      <c r="CMJ7" s="1225"/>
      <c r="CMK7" s="1225"/>
      <c r="CML7" s="1225"/>
      <c r="CMM7" s="1225"/>
      <c r="CMN7" s="1225"/>
      <c r="CMO7" s="1225"/>
      <c r="CMP7" s="1225"/>
      <c r="CMQ7" s="1225"/>
      <c r="CMR7" s="1225"/>
      <c r="CMS7" s="1225"/>
      <c r="CMT7" s="1225"/>
      <c r="CMU7" s="1225"/>
      <c r="CMV7" s="1225"/>
      <c r="CMW7" s="1225"/>
      <c r="CMX7" s="1225"/>
      <c r="CMY7" s="1225"/>
      <c r="CMZ7" s="1225"/>
      <c r="CNA7" s="1225"/>
      <c r="CNB7" s="1225"/>
      <c r="CNC7" s="1225"/>
      <c r="CND7" s="1225"/>
      <c r="CNE7" s="1225"/>
      <c r="CNF7" s="1225"/>
      <c r="CNG7" s="1225"/>
      <c r="CNH7" s="1225"/>
      <c r="CNI7" s="1225"/>
      <c r="CNJ7" s="1225"/>
      <c r="CNK7" s="1225"/>
      <c r="CNL7" s="1225"/>
      <c r="CNM7" s="1225"/>
      <c r="CNN7" s="1225"/>
      <c r="CNO7" s="1225"/>
      <c r="CNP7" s="1225"/>
      <c r="CNQ7" s="1225"/>
      <c r="CNR7" s="1225"/>
      <c r="CNS7" s="1225"/>
      <c r="CNT7" s="1225"/>
      <c r="CNU7" s="1225"/>
      <c r="CNV7" s="1225"/>
      <c r="CNW7" s="1225"/>
      <c r="CNX7" s="1225"/>
      <c r="CNY7" s="1225"/>
      <c r="CNZ7" s="1225"/>
      <c r="COA7" s="1225"/>
      <c r="COB7" s="1225"/>
      <c r="COC7" s="1225"/>
      <c r="COD7" s="1225"/>
      <c r="COE7" s="1225"/>
      <c r="COF7" s="1225"/>
      <c r="COG7" s="1225"/>
      <c r="COH7" s="1225"/>
      <c r="COI7" s="1225"/>
      <c r="COJ7" s="1225"/>
      <c r="COK7" s="1225"/>
      <c r="COL7" s="1225"/>
      <c r="COM7" s="1225"/>
      <c r="CON7" s="1225"/>
      <c r="COO7" s="1225"/>
      <c r="COP7" s="1225"/>
      <c r="COQ7" s="1225"/>
      <c r="COR7" s="1225"/>
      <c r="COS7" s="1225"/>
      <c r="COT7" s="1225"/>
      <c r="COU7" s="1225"/>
      <c r="COV7" s="1225"/>
      <c r="COW7" s="1225"/>
      <c r="COX7" s="1225"/>
      <c r="COY7" s="1225"/>
      <c r="COZ7" s="1225"/>
      <c r="CPA7" s="1225"/>
      <c r="CPB7" s="1225"/>
      <c r="CPC7" s="1225"/>
      <c r="CPD7" s="1225"/>
      <c r="CPE7" s="1225"/>
      <c r="CPF7" s="1225"/>
      <c r="CPG7" s="1225"/>
      <c r="CPH7" s="1225"/>
      <c r="CPI7" s="1225"/>
      <c r="CPJ7" s="1225"/>
      <c r="CPK7" s="1225"/>
      <c r="CPL7" s="1225"/>
      <c r="CPM7" s="1225"/>
      <c r="CPN7" s="1225"/>
      <c r="CPO7" s="1225"/>
      <c r="CPP7" s="1225"/>
      <c r="CPQ7" s="1225"/>
      <c r="CPR7" s="1225"/>
      <c r="CPS7" s="1225"/>
      <c r="CPT7" s="1225"/>
      <c r="CPU7" s="1225"/>
      <c r="CPV7" s="1225"/>
      <c r="CPW7" s="1225"/>
      <c r="CPX7" s="1225"/>
      <c r="CPY7" s="1225"/>
      <c r="CPZ7" s="1225"/>
      <c r="CQA7" s="1225"/>
      <c r="CQB7" s="1225"/>
      <c r="CQC7" s="1225"/>
      <c r="CQD7" s="1225"/>
      <c r="CQE7" s="1225"/>
      <c r="CQF7" s="1225"/>
      <c r="CQG7" s="1225"/>
      <c r="CQH7" s="1225"/>
      <c r="CQI7" s="1225"/>
      <c r="CQJ7" s="1225"/>
      <c r="CQK7" s="1225"/>
      <c r="CQL7" s="1225"/>
      <c r="CQM7" s="1225"/>
      <c r="CQN7" s="1225"/>
      <c r="CQO7" s="1225"/>
      <c r="CQP7" s="1225"/>
      <c r="CQQ7" s="1225"/>
      <c r="CQR7" s="1225"/>
      <c r="CQS7" s="1225"/>
      <c r="CQT7" s="1225"/>
      <c r="CQU7" s="1225"/>
      <c r="CQV7" s="1225"/>
      <c r="CQW7" s="1225"/>
      <c r="CQX7" s="1225"/>
      <c r="CQY7" s="1225"/>
      <c r="CQZ7" s="1225"/>
      <c r="CRA7" s="1225"/>
      <c r="CRB7" s="1225"/>
      <c r="CRC7" s="1225"/>
      <c r="CRD7" s="1225"/>
      <c r="CRE7" s="1225"/>
      <c r="CRF7" s="1225"/>
      <c r="CRG7" s="1225"/>
      <c r="CRH7" s="1225"/>
      <c r="CRI7" s="1225"/>
      <c r="CRJ7" s="1225"/>
      <c r="CRK7" s="1225"/>
      <c r="CRL7" s="1225"/>
      <c r="CRM7" s="1225"/>
      <c r="CRN7" s="1225"/>
      <c r="CRO7" s="1225"/>
      <c r="CRP7" s="1225"/>
      <c r="CRQ7" s="1225"/>
      <c r="CRR7" s="1225"/>
      <c r="CRS7" s="1225"/>
      <c r="CRT7" s="1225"/>
      <c r="CRU7" s="1225"/>
      <c r="CRV7" s="1225"/>
      <c r="CRW7" s="1225"/>
      <c r="CRX7" s="1225"/>
      <c r="CRY7" s="1225"/>
      <c r="CRZ7" s="1225"/>
      <c r="CSA7" s="1225"/>
      <c r="CSB7" s="1225"/>
      <c r="CSC7" s="1225"/>
      <c r="CSD7" s="1225"/>
      <c r="CSE7" s="1225"/>
      <c r="CSF7" s="1225"/>
      <c r="CSG7" s="1225"/>
      <c r="CSH7" s="1225"/>
      <c r="CSI7" s="1225"/>
      <c r="CSJ7" s="1225"/>
      <c r="CSK7" s="1225"/>
      <c r="CSL7" s="1225"/>
      <c r="CSM7" s="1225"/>
      <c r="CSN7" s="1225"/>
      <c r="CSO7" s="1225"/>
      <c r="CSP7" s="1225"/>
      <c r="CSQ7" s="1225"/>
      <c r="CSR7" s="1225"/>
      <c r="CSS7" s="1225"/>
      <c r="CST7" s="1225"/>
      <c r="CSU7" s="1225"/>
      <c r="CSV7" s="1225"/>
      <c r="CSW7" s="1225"/>
      <c r="CSX7" s="1225"/>
      <c r="CSY7" s="1225"/>
      <c r="CSZ7" s="1225"/>
      <c r="CTA7" s="1225"/>
      <c r="CTB7" s="1225"/>
      <c r="CTC7" s="1225"/>
      <c r="CTD7" s="1225"/>
      <c r="CTE7" s="1225"/>
      <c r="CTF7" s="1225"/>
      <c r="CTG7" s="1225"/>
      <c r="CTH7" s="1225"/>
      <c r="CTI7" s="1225"/>
      <c r="CTJ7" s="1225"/>
      <c r="CTK7" s="1225"/>
      <c r="CTL7" s="1225"/>
      <c r="CTM7" s="1225"/>
      <c r="CTN7" s="1225"/>
      <c r="CTO7" s="1225"/>
      <c r="CTP7" s="1225"/>
      <c r="CTQ7" s="1225"/>
      <c r="CTR7" s="1225"/>
      <c r="CTS7" s="1225"/>
      <c r="CTT7" s="1225"/>
      <c r="CTU7" s="1225"/>
      <c r="CTV7" s="1225"/>
      <c r="CTW7" s="1225"/>
      <c r="CTX7" s="1225"/>
      <c r="CTY7" s="1225"/>
      <c r="CTZ7" s="1225"/>
      <c r="CUA7" s="1225"/>
      <c r="CUB7" s="1225"/>
      <c r="CUC7" s="1225"/>
      <c r="CUD7" s="1225"/>
      <c r="CUE7" s="1225"/>
      <c r="CUF7" s="1225"/>
      <c r="CUG7" s="1225"/>
      <c r="CUH7" s="1225"/>
      <c r="CUI7" s="1225"/>
      <c r="CUJ7" s="1225"/>
      <c r="CUK7" s="1225"/>
      <c r="CUL7" s="1225"/>
      <c r="CUM7" s="1225"/>
      <c r="CUN7" s="1225"/>
      <c r="CUO7" s="1225"/>
      <c r="CUP7" s="1225"/>
      <c r="CUQ7" s="1225"/>
      <c r="CUR7" s="1225"/>
      <c r="CUS7" s="1225"/>
      <c r="CUT7" s="1225"/>
      <c r="CUU7" s="1225"/>
      <c r="CUV7" s="1225"/>
      <c r="CUW7" s="1225"/>
      <c r="CUX7" s="1225"/>
      <c r="CUY7" s="1225"/>
      <c r="CUZ7" s="1225"/>
      <c r="CVA7" s="1225"/>
      <c r="CVB7" s="1225"/>
      <c r="CVC7" s="1225"/>
      <c r="CVD7" s="1225"/>
      <c r="CVE7" s="1225"/>
      <c r="CVF7" s="1225"/>
      <c r="CVG7" s="1225"/>
      <c r="CVH7" s="1225"/>
      <c r="CVI7" s="1225"/>
      <c r="CVJ7" s="1225"/>
      <c r="CVK7" s="1225"/>
      <c r="CVL7" s="1225"/>
      <c r="CVM7" s="1225"/>
      <c r="CVN7" s="1225"/>
      <c r="CVO7" s="1225"/>
      <c r="CVP7" s="1225"/>
      <c r="CVQ7" s="1225"/>
      <c r="CVR7" s="1225"/>
      <c r="CVS7" s="1225"/>
      <c r="CVT7" s="1225"/>
      <c r="CVU7" s="1225"/>
      <c r="CVV7" s="1225"/>
      <c r="CVW7" s="1225"/>
      <c r="CVX7" s="1225"/>
      <c r="CVY7" s="1225"/>
      <c r="CVZ7" s="1225"/>
      <c r="CWA7" s="1225"/>
      <c r="CWB7" s="1225"/>
      <c r="CWC7" s="1225"/>
      <c r="CWD7" s="1225"/>
      <c r="CWE7" s="1225"/>
      <c r="CWF7" s="1225"/>
      <c r="CWG7" s="1225"/>
      <c r="CWH7" s="1225"/>
      <c r="CWI7" s="1225"/>
      <c r="CWJ7" s="1225"/>
      <c r="CWK7" s="1225"/>
      <c r="CWL7" s="1225"/>
      <c r="CWM7" s="1225"/>
      <c r="CWN7" s="1225"/>
      <c r="CWO7" s="1225"/>
      <c r="CWP7" s="1225"/>
      <c r="CWQ7" s="1225"/>
      <c r="CWR7" s="1225"/>
      <c r="CWS7" s="1225"/>
      <c r="CWT7" s="1225"/>
      <c r="CWU7" s="1225"/>
      <c r="CWV7" s="1225"/>
      <c r="CWW7" s="1225"/>
      <c r="CWX7" s="1225"/>
      <c r="CWY7" s="1225"/>
      <c r="CWZ7" s="1225"/>
      <c r="CXA7" s="1225"/>
      <c r="CXB7" s="1225"/>
      <c r="CXC7" s="1225"/>
      <c r="CXD7" s="1225"/>
      <c r="CXE7" s="1225"/>
      <c r="CXF7" s="1225"/>
      <c r="CXG7" s="1225"/>
      <c r="CXH7" s="1225"/>
      <c r="CXI7" s="1225"/>
      <c r="CXJ7" s="1225"/>
      <c r="CXK7" s="1225"/>
      <c r="CXL7" s="1225"/>
      <c r="CXM7" s="1225"/>
      <c r="CXN7" s="1225"/>
      <c r="CXO7" s="1225"/>
      <c r="CXP7" s="1225"/>
      <c r="CXQ7" s="1225"/>
      <c r="CXR7" s="1225"/>
      <c r="CXS7" s="1225"/>
      <c r="CXT7" s="1225"/>
      <c r="CXU7" s="1225"/>
      <c r="CXV7" s="1225"/>
      <c r="CXW7" s="1225"/>
      <c r="CXX7" s="1225"/>
      <c r="CXY7" s="1225"/>
      <c r="CXZ7" s="1225"/>
      <c r="CYA7" s="1225"/>
      <c r="CYB7" s="1225"/>
      <c r="CYC7" s="1225"/>
      <c r="CYD7" s="1225"/>
      <c r="CYE7" s="1225"/>
      <c r="CYF7" s="1225"/>
      <c r="CYG7" s="1225"/>
      <c r="CYH7" s="1225"/>
      <c r="CYI7" s="1225"/>
      <c r="CYJ7" s="1225"/>
      <c r="CYK7" s="1225"/>
      <c r="CYL7" s="1225"/>
      <c r="CYM7" s="1225"/>
      <c r="CYN7" s="1225"/>
      <c r="CYO7" s="1225"/>
      <c r="CYP7" s="1225"/>
      <c r="CYQ7" s="1225"/>
      <c r="CYR7" s="1225"/>
      <c r="CYS7" s="1225"/>
      <c r="CYT7" s="1225"/>
      <c r="CYU7" s="1225"/>
      <c r="CYV7" s="1225"/>
      <c r="CYW7" s="1225"/>
      <c r="CYX7" s="1225"/>
      <c r="CYY7" s="1225"/>
      <c r="CYZ7" s="1225"/>
      <c r="CZA7" s="1225"/>
      <c r="CZB7" s="1225"/>
      <c r="CZC7" s="1225"/>
      <c r="CZD7" s="1225"/>
      <c r="CZE7" s="1225"/>
      <c r="CZF7" s="1225"/>
      <c r="CZG7" s="1225"/>
      <c r="CZH7" s="1225"/>
      <c r="CZI7" s="1225"/>
      <c r="CZJ7" s="1225"/>
      <c r="CZK7" s="1225"/>
      <c r="CZL7" s="1225"/>
      <c r="CZM7" s="1225"/>
      <c r="CZN7" s="1225"/>
      <c r="CZO7" s="1225"/>
      <c r="CZP7" s="1225"/>
      <c r="CZQ7" s="1225"/>
      <c r="CZR7" s="1225"/>
      <c r="CZS7" s="1225"/>
      <c r="CZT7" s="1225"/>
      <c r="CZU7" s="1225"/>
      <c r="CZV7" s="1225"/>
      <c r="CZW7" s="1225"/>
      <c r="CZX7" s="1225"/>
      <c r="CZY7" s="1225"/>
      <c r="CZZ7" s="1225"/>
      <c r="DAA7" s="1225"/>
      <c r="DAB7" s="1225"/>
      <c r="DAC7" s="1225"/>
      <c r="DAD7" s="1225"/>
      <c r="DAE7" s="1225"/>
      <c r="DAF7" s="1225"/>
      <c r="DAG7" s="1225"/>
      <c r="DAH7" s="1225"/>
      <c r="DAI7" s="1225"/>
      <c r="DAJ7" s="1225"/>
      <c r="DAK7" s="1225"/>
      <c r="DAL7" s="1225"/>
      <c r="DAM7" s="1225"/>
      <c r="DAN7" s="1225"/>
      <c r="DAO7" s="1225"/>
      <c r="DAP7" s="1225"/>
      <c r="DAQ7" s="1225"/>
      <c r="DAR7" s="1225"/>
      <c r="DAS7" s="1225"/>
      <c r="DAT7" s="1225"/>
      <c r="DAU7" s="1225"/>
      <c r="DAV7" s="1225"/>
      <c r="DAW7" s="1225"/>
      <c r="DAX7" s="1225"/>
      <c r="DAY7" s="1225"/>
      <c r="DAZ7" s="1225"/>
      <c r="DBA7" s="1225"/>
      <c r="DBB7" s="1225"/>
      <c r="DBC7" s="1225"/>
      <c r="DBD7" s="1225"/>
      <c r="DBE7" s="1225"/>
      <c r="DBF7" s="1225"/>
      <c r="DBG7" s="1225"/>
      <c r="DBH7" s="1225"/>
      <c r="DBI7" s="1225"/>
      <c r="DBJ7" s="1225"/>
      <c r="DBK7" s="1225"/>
      <c r="DBL7" s="1225"/>
      <c r="DBM7" s="1225"/>
      <c r="DBN7" s="1225"/>
      <c r="DBO7" s="1225"/>
      <c r="DBP7" s="1225"/>
      <c r="DBQ7" s="1225"/>
      <c r="DBR7" s="1225"/>
      <c r="DBS7" s="1225"/>
      <c r="DBT7" s="1225"/>
      <c r="DBU7" s="1225"/>
      <c r="DBV7" s="1225"/>
      <c r="DBW7" s="1225"/>
      <c r="DBX7" s="1225"/>
      <c r="DBY7" s="1225"/>
      <c r="DBZ7" s="1225"/>
      <c r="DCA7" s="1225"/>
      <c r="DCB7" s="1225"/>
      <c r="DCC7" s="1225"/>
      <c r="DCD7" s="1225"/>
      <c r="DCE7" s="1225"/>
      <c r="DCF7" s="1225"/>
      <c r="DCG7" s="1225"/>
      <c r="DCH7" s="1225"/>
      <c r="DCI7" s="1225"/>
      <c r="DCJ7" s="1225"/>
      <c r="DCK7" s="1225"/>
      <c r="DCL7" s="1225"/>
      <c r="DCM7" s="1225"/>
      <c r="DCN7" s="1225"/>
      <c r="DCO7" s="1225"/>
      <c r="DCP7" s="1225"/>
      <c r="DCQ7" s="1225"/>
      <c r="DCR7" s="1225"/>
      <c r="DCS7" s="1225"/>
      <c r="DCT7" s="1225"/>
      <c r="DCU7" s="1225"/>
      <c r="DCV7" s="1225"/>
      <c r="DCW7" s="1225"/>
      <c r="DCX7" s="1225"/>
      <c r="DCY7" s="1225"/>
      <c r="DCZ7" s="1225"/>
      <c r="DDA7" s="1225"/>
      <c r="DDB7" s="1225"/>
      <c r="DDC7" s="1225"/>
      <c r="DDD7" s="1225"/>
      <c r="DDE7" s="1225"/>
      <c r="DDF7" s="1225"/>
      <c r="DDG7" s="1225"/>
      <c r="DDH7" s="1225"/>
      <c r="DDI7" s="1225"/>
      <c r="DDJ7" s="1225"/>
      <c r="DDK7" s="1225"/>
      <c r="DDL7" s="1225"/>
      <c r="DDM7" s="1225"/>
      <c r="DDN7" s="1225"/>
      <c r="DDO7" s="1225"/>
      <c r="DDP7" s="1225"/>
      <c r="DDQ7" s="1225"/>
      <c r="DDR7" s="1225"/>
      <c r="DDS7" s="1225"/>
      <c r="DDT7" s="1225"/>
      <c r="DDU7" s="1225"/>
      <c r="DDV7" s="1225"/>
      <c r="DDW7" s="1225"/>
      <c r="DDX7" s="1225"/>
      <c r="DDY7" s="1225"/>
      <c r="DDZ7" s="1225"/>
      <c r="DEA7" s="1225"/>
      <c r="DEB7" s="1225"/>
      <c r="DEC7" s="1225"/>
      <c r="DED7" s="1225"/>
      <c r="DEE7" s="1225"/>
      <c r="DEF7" s="1225"/>
      <c r="DEG7" s="1225"/>
      <c r="DEH7" s="1225"/>
      <c r="DEI7" s="1225"/>
      <c r="DEJ7" s="1225"/>
      <c r="DEK7" s="1225"/>
      <c r="DEL7" s="1225"/>
      <c r="DEM7" s="1225"/>
      <c r="DEN7" s="1225"/>
      <c r="DEO7" s="1225"/>
      <c r="DEP7" s="1225"/>
      <c r="DEQ7" s="1225"/>
      <c r="DER7" s="1225"/>
      <c r="DES7" s="1225"/>
      <c r="DET7" s="1225"/>
      <c r="DEU7" s="1225"/>
      <c r="DEV7" s="1225"/>
      <c r="DEW7" s="1225"/>
      <c r="DEX7" s="1225"/>
      <c r="DEY7" s="1225"/>
      <c r="DEZ7" s="1225"/>
      <c r="DFA7" s="1225"/>
      <c r="DFB7" s="1225"/>
      <c r="DFC7" s="1225"/>
      <c r="DFD7" s="1225"/>
      <c r="DFE7" s="1225"/>
      <c r="DFF7" s="1225"/>
      <c r="DFG7" s="1225"/>
      <c r="DFH7" s="1225"/>
      <c r="DFI7" s="1225"/>
      <c r="DFJ7" s="1225"/>
      <c r="DFK7" s="1225"/>
      <c r="DFL7" s="1225"/>
      <c r="DFM7" s="1225"/>
      <c r="DFN7" s="1225"/>
      <c r="DFO7" s="1225"/>
      <c r="DFP7" s="1225"/>
      <c r="DFQ7" s="1225"/>
      <c r="DFR7" s="1225"/>
      <c r="DFS7" s="1225"/>
      <c r="DFT7" s="1225"/>
      <c r="DFU7" s="1225"/>
      <c r="DFV7" s="1225"/>
      <c r="DFW7" s="1225"/>
      <c r="DFX7" s="1225"/>
      <c r="DFY7" s="1225"/>
      <c r="DFZ7" s="1225"/>
      <c r="DGA7" s="1225"/>
      <c r="DGB7" s="1225"/>
      <c r="DGC7" s="1225"/>
      <c r="DGD7" s="1225"/>
      <c r="DGE7" s="1225"/>
      <c r="DGF7" s="1225"/>
      <c r="DGG7" s="1225"/>
      <c r="DGH7" s="1225"/>
      <c r="DGI7" s="1225"/>
      <c r="DGJ7" s="1225"/>
      <c r="DGK7" s="1225"/>
      <c r="DGL7" s="1225"/>
      <c r="DGM7" s="1225"/>
      <c r="DGN7" s="1225"/>
      <c r="DGO7" s="1225"/>
      <c r="DGP7" s="1225"/>
      <c r="DGQ7" s="1225"/>
      <c r="DGR7" s="1225"/>
      <c r="DGS7" s="1225"/>
      <c r="DGT7" s="1225"/>
      <c r="DGU7" s="1225"/>
      <c r="DGV7" s="1225"/>
      <c r="DGW7" s="1225"/>
      <c r="DGX7" s="1225"/>
      <c r="DGY7" s="1225"/>
      <c r="DGZ7" s="1225"/>
      <c r="DHA7" s="1225"/>
      <c r="DHB7" s="1225"/>
      <c r="DHC7" s="1225"/>
      <c r="DHD7" s="1225"/>
      <c r="DHE7" s="1225"/>
      <c r="DHF7" s="1225"/>
      <c r="DHG7" s="1225"/>
      <c r="DHH7" s="1225"/>
      <c r="DHI7" s="1225"/>
      <c r="DHJ7" s="1225"/>
      <c r="DHK7" s="1225"/>
      <c r="DHL7" s="1225"/>
      <c r="DHM7" s="1225"/>
      <c r="DHN7" s="1225"/>
      <c r="DHO7" s="1225"/>
      <c r="DHP7" s="1225"/>
      <c r="DHQ7" s="1225"/>
      <c r="DHR7" s="1225"/>
      <c r="DHS7" s="1225"/>
      <c r="DHT7" s="1225"/>
      <c r="DHU7" s="1225"/>
      <c r="DHV7" s="1225"/>
      <c r="DHW7" s="1225"/>
      <c r="DHX7" s="1225"/>
      <c r="DHY7" s="1225"/>
      <c r="DHZ7" s="1225"/>
      <c r="DIA7" s="1225"/>
      <c r="DIB7" s="1225"/>
      <c r="DIC7" s="1225"/>
      <c r="DID7" s="1225"/>
      <c r="DIE7" s="1225"/>
      <c r="DIF7" s="1225"/>
      <c r="DIG7" s="1225"/>
      <c r="DIH7" s="1225"/>
      <c r="DII7" s="1225"/>
      <c r="DIJ7" s="1225"/>
      <c r="DIK7" s="1225"/>
      <c r="DIL7" s="1225"/>
      <c r="DIM7" s="1225"/>
      <c r="DIN7" s="1225"/>
      <c r="DIO7" s="1225"/>
      <c r="DIP7" s="1225"/>
      <c r="DIQ7" s="1225"/>
      <c r="DIR7" s="1225"/>
      <c r="DIS7" s="1225"/>
      <c r="DIT7" s="1225"/>
      <c r="DIU7" s="1225"/>
      <c r="DIV7" s="1225"/>
      <c r="DIW7" s="1225"/>
      <c r="DIX7" s="1225"/>
      <c r="DIY7" s="1225"/>
      <c r="DIZ7" s="1225"/>
      <c r="DJA7" s="1225"/>
      <c r="DJB7" s="1225"/>
      <c r="DJC7" s="1225"/>
      <c r="DJD7" s="1225"/>
      <c r="DJE7" s="1225"/>
      <c r="DJF7" s="1225"/>
      <c r="DJG7" s="1225"/>
      <c r="DJH7" s="1225"/>
      <c r="DJI7" s="1225"/>
      <c r="DJJ7" s="1225"/>
      <c r="DJK7" s="1225"/>
      <c r="DJL7" s="1225"/>
      <c r="DJM7" s="1225"/>
      <c r="DJN7" s="1225"/>
      <c r="DJO7" s="1225"/>
      <c r="DJP7" s="1225"/>
      <c r="DJQ7" s="1225"/>
      <c r="DJR7" s="1225"/>
      <c r="DJS7" s="1225"/>
      <c r="DJT7" s="1225"/>
      <c r="DJU7" s="1225"/>
      <c r="DJV7" s="1225"/>
      <c r="DJW7" s="1225"/>
      <c r="DJX7" s="1225"/>
      <c r="DJY7" s="1225"/>
      <c r="DJZ7" s="1225"/>
      <c r="DKA7" s="1225"/>
      <c r="DKB7" s="1225"/>
      <c r="DKC7" s="1225"/>
      <c r="DKD7" s="1225"/>
      <c r="DKE7" s="1225"/>
      <c r="DKF7" s="1225"/>
      <c r="DKG7" s="1225"/>
      <c r="DKH7" s="1225"/>
      <c r="DKI7" s="1225"/>
      <c r="DKJ7" s="1225"/>
      <c r="DKK7" s="1225"/>
      <c r="DKL7" s="1225"/>
      <c r="DKM7" s="1225"/>
      <c r="DKN7" s="1225"/>
      <c r="DKO7" s="1225"/>
      <c r="DKP7" s="1225"/>
      <c r="DKQ7" s="1225"/>
      <c r="DKR7" s="1225"/>
      <c r="DKS7" s="1225"/>
      <c r="DKT7" s="1225"/>
      <c r="DKU7" s="1225"/>
      <c r="DKV7" s="1225"/>
      <c r="DKW7" s="1225"/>
      <c r="DKX7" s="1225"/>
      <c r="DKY7" s="1225"/>
      <c r="DKZ7" s="1225"/>
      <c r="DLA7" s="1225"/>
      <c r="DLB7" s="1225"/>
      <c r="DLC7" s="1225"/>
      <c r="DLD7" s="1225"/>
      <c r="DLE7" s="1225"/>
      <c r="DLF7" s="1225"/>
      <c r="DLG7" s="1225"/>
      <c r="DLH7" s="1225"/>
      <c r="DLI7" s="1225"/>
      <c r="DLJ7" s="1225"/>
      <c r="DLK7" s="1225"/>
      <c r="DLL7" s="1225"/>
      <c r="DLM7" s="1225"/>
      <c r="DLN7" s="1225"/>
      <c r="DLO7" s="1225"/>
      <c r="DLP7" s="1225"/>
      <c r="DLQ7" s="1225"/>
      <c r="DLR7" s="1225"/>
      <c r="DLS7" s="1225"/>
      <c r="DLT7" s="1225"/>
      <c r="DLU7" s="1225"/>
      <c r="DLV7" s="1225"/>
      <c r="DLW7" s="1225"/>
      <c r="DLX7" s="1225"/>
      <c r="DLY7" s="1225"/>
      <c r="DLZ7" s="1225"/>
      <c r="DMA7" s="1225"/>
      <c r="DMB7" s="1225"/>
      <c r="DMC7" s="1225"/>
      <c r="DMD7" s="1225"/>
      <c r="DME7" s="1225"/>
      <c r="DMF7" s="1225"/>
      <c r="DMG7" s="1225"/>
      <c r="DMH7" s="1225"/>
      <c r="DMI7" s="1225"/>
      <c r="DMJ7" s="1225"/>
      <c r="DMK7" s="1225"/>
      <c r="DML7" s="1225"/>
      <c r="DMM7" s="1225"/>
      <c r="DMN7" s="1225"/>
      <c r="DMO7" s="1225"/>
      <c r="DMP7" s="1225"/>
      <c r="DMQ7" s="1225"/>
      <c r="DMR7" s="1225"/>
      <c r="DMS7" s="1225"/>
      <c r="DMT7" s="1225"/>
      <c r="DMU7" s="1225"/>
      <c r="DMV7" s="1225"/>
      <c r="DMW7" s="1225"/>
      <c r="DMX7" s="1225"/>
      <c r="DMY7" s="1225"/>
      <c r="DMZ7" s="1225"/>
      <c r="DNA7" s="1225"/>
      <c r="DNB7" s="1225"/>
      <c r="DNC7" s="1225"/>
      <c r="DND7" s="1225"/>
      <c r="DNE7" s="1225"/>
      <c r="DNF7" s="1225"/>
      <c r="DNG7" s="1225"/>
      <c r="DNH7" s="1225"/>
      <c r="DNI7" s="1225"/>
      <c r="DNJ7" s="1225"/>
      <c r="DNK7" s="1225"/>
      <c r="DNL7" s="1225"/>
      <c r="DNM7" s="1225"/>
      <c r="DNN7" s="1225"/>
      <c r="DNO7" s="1225"/>
      <c r="DNP7" s="1225"/>
      <c r="DNQ7" s="1225"/>
      <c r="DNR7" s="1225"/>
      <c r="DNS7" s="1225"/>
      <c r="DNT7" s="1225"/>
      <c r="DNU7" s="1225"/>
      <c r="DNV7" s="1225"/>
      <c r="DNW7" s="1225"/>
      <c r="DNX7" s="1225"/>
      <c r="DNY7" s="1225"/>
      <c r="DNZ7" s="1225"/>
      <c r="DOA7" s="1225"/>
      <c r="DOB7" s="1225"/>
      <c r="DOC7" s="1225"/>
      <c r="DOD7" s="1225"/>
      <c r="DOE7" s="1225"/>
      <c r="DOF7" s="1225"/>
      <c r="DOG7" s="1225"/>
      <c r="DOH7" s="1225"/>
      <c r="DOI7" s="1225"/>
      <c r="DOJ7" s="1225"/>
      <c r="DOK7" s="1225"/>
      <c r="DOL7" s="1225"/>
      <c r="DOM7" s="1225"/>
      <c r="DON7" s="1225"/>
      <c r="DOO7" s="1225"/>
      <c r="DOP7" s="1225"/>
      <c r="DOQ7" s="1225"/>
      <c r="DOR7" s="1225"/>
      <c r="DOS7" s="1225"/>
      <c r="DOT7" s="1225"/>
      <c r="DOU7" s="1225"/>
      <c r="DOV7" s="1225"/>
      <c r="DOW7" s="1225"/>
      <c r="DOX7" s="1225"/>
      <c r="DOY7" s="1225"/>
      <c r="DOZ7" s="1225"/>
      <c r="DPA7" s="1225"/>
      <c r="DPB7" s="1225"/>
      <c r="DPC7" s="1225"/>
      <c r="DPD7" s="1225"/>
      <c r="DPE7" s="1225"/>
      <c r="DPF7" s="1225"/>
      <c r="DPG7" s="1225"/>
      <c r="DPH7" s="1225"/>
      <c r="DPI7" s="1225"/>
      <c r="DPJ7" s="1225"/>
      <c r="DPK7" s="1225"/>
      <c r="DPL7" s="1225"/>
      <c r="DPM7" s="1225"/>
      <c r="DPN7" s="1225"/>
      <c r="DPO7" s="1225"/>
      <c r="DPP7" s="1225"/>
      <c r="DPQ7" s="1225"/>
      <c r="DPR7" s="1225"/>
      <c r="DPS7" s="1225"/>
      <c r="DPT7" s="1225"/>
      <c r="DPU7" s="1225"/>
      <c r="DPV7" s="1225"/>
      <c r="DPW7" s="1225"/>
      <c r="DPX7" s="1225"/>
      <c r="DPY7" s="1225"/>
      <c r="DPZ7" s="1225"/>
      <c r="DQA7" s="1225"/>
      <c r="DQB7" s="1225"/>
      <c r="DQC7" s="1225"/>
      <c r="DQD7" s="1225"/>
      <c r="DQE7" s="1225"/>
      <c r="DQF7" s="1225"/>
      <c r="DQG7" s="1225"/>
      <c r="DQH7" s="1225"/>
      <c r="DQI7" s="1225"/>
      <c r="DQJ7" s="1225"/>
      <c r="DQK7" s="1225"/>
      <c r="DQL7" s="1225"/>
      <c r="DQM7" s="1225"/>
      <c r="DQN7" s="1225"/>
      <c r="DQO7" s="1225"/>
      <c r="DQP7" s="1225"/>
      <c r="DQQ7" s="1225"/>
      <c r="DQR7" s="1225"/>
      <c r="DQS7" s="1225"/>
      <c r="DQT7" s="1225"/>
      <c r="DQU7" s="1225"/>
      <c r="DQV7" s="1225"/>
      <c r="DQW7" s="1225"/>
      <c r="DQX7" s="1225"/>
      <c r="DQY7" s="1225"/>
      <c r="DQZ7" s="1225"/>
      <c r="DRA7" s="1225"/>
      <c r="DRB7" s="1225"/>
      <c r="DRC7" s="1225"/>
      <c r="DRD7" s="1225"/>
      <c r="DRE7" s="1225"/>
      <c r="DRF7" s="1225"/>
      <c r="DRG7" s="1225"/>
      <c r="DRH7" s="1225"/>
      <c r="DRI7" s="1225"/>
      <c r="DRJ7" s="1225"/>
      <c r="DRK7" s="1225"/>
      <c r="DRL7" s="1225"/>
      <c r="DRM7" s="1225"/>
      <c r="DRN7" s="1225"/>
      <c r="DRO7" s="1225"/>
      <c r="DRP7" s="1225"/>
      <c r="DRQ7" s="1225"/>
      <c r="DRR7" s="1225"/>
      <c r="DRS7" s="1225"/>
      <c r="DRT7" s="1225"/>
      <c r="DRU7" s="1225"/>
      <c r="DRV7" s="1225"/>
      <c r="DRW7" s="1225"/>
      <c r="DRX7" s="1225"/>
      <c r="DRY7" s="1225"/>
      <c r="DRZ7" s="1225"/>
      <c r="DSA7" s="1225"/>
      <c r="DSB7" s="1225"/>
      <c r="DSC7" s="1225"/>
      <c r="DSD7" s="1225"/>
      <c r="DSE7" s="1225"/>
      <c r="DSF7" s="1225"/>
      <c r="DSG7" s="1225"/>
      <c r="DSH7" s="1225"/>
      <c r="DSI7" s="1225"/>
      <c r="DSJ7" s="1225"/>
      <c r="DSK7" s="1225"/>
      <c r="DSL7" s="1225"/>
      <c r="DSM7" s="1225"/>
      <c r="DSN7" s="1225"/>
      <c r="DSO7" s="1225"/>
      <c r="DSP7" s="1225"/>
      <c r="DSQ7" s="1225"/>
      <c r="DSR7" s="1225"/>
      <c r="DSS7" s="1225"/>
      <c r="DST7" s="1225"/>
      <c r="DSU7" s="1225"/>
      <c r="DSV7" s="1225"/>
      <c r="DSW7" s="1225"/>
      <c r="DSX7" s="1225"/>
      <c r="DSY7" s="1225"/>
      <c r="DSZ7" s="1225"/>
      <c r="DTA7" s="1225"/>
      <c r="DTB7" s="1225"/>
      <c r="DTC7" s="1225"/>
      <c r="DTD7" s="1225"/>
      <c r="DTE7" s="1225"/>
      <c r="DTF7" s="1225"/>
      <c r="DTG7" s="1225"/>
      <c r="DTH7" s="1225"/>
      <c r="DTI7" s="1225"/>
      <c r="DTJ7" s="1225"/>
      <c r="DTK7" s="1225"/>
      <c r="DTL7" s="1225"/>
      <c r="DTM7" s="1225"/>
      <c r="DTN7" s="1225"/>
      <c r="DTO7" s="1225"/>
      <c r="DTP7" s="1225"/>
      <c r="DTQ7" s="1225"/>
      <c r="DTR7" s="1225"/>
      <c r="DTS7" s="1225"/>
      <c r="DTT7" s="1225"/>
      <c r="DTU7" s="1225"/>
      <c r="DTV7" s="1225"/>
      <c r="DTW7" s="1225"/>
      <c r="DTX7" s="1225"/>
      <c r="DTY7" s="1225"/>
      <c r="DTZ7" s="1225"/>
      <c r="DUA7" s="1225"/>
      <c r="DUB7" s="1225"/>
      <c r="DUC7" s="1225"/>
      <c r="DUD7" s="1225"/>
      <c r="DUE7" s="1225"/>
      <c r="DUF7" s="1225"/>
      <c r="DUG7" s="1225"/>
      <c r="DUH7" s="1225"/>
      <c r="DUI7" s="1225"/>
      <c r="DUJ7" s="1225"/>
      <c r="DUK7" s="1225"/>
      <c r="DUL7" s="1225"/>
      <c r="DUM7" s="1225"/>
      <c r="DUN7" s="1225"/>
      <c r="DUO7" s="1225"/>
      <c r="DUP7" s="1225"/>
      <c r="DUQ7" s="1225"/>
      <c r="DUR7" s="1225"/>
      <c r="DUS7" s="1225"/>
      <c r="DUT7" s="1225"/>
      <c r="DUU7" s="1225"/>
      <c r="DUV7" s="1225"/>
      <c r="DUW7" s="1225"/>
      <c r="DUX7" s="1225"/>
      <c r="DUY7" s="1225"/>
      <c r="DUZ7" s="1225"/>
      <c r="DVA7" s="1225"/>
      <c r="DVB7" s="1225"/>
      <c r="DVC7" s="1225"/>
      <c r="DVD7" s="1225"/>
      <c r="DVE7" s="1225"/>
      <c r="DVF7" s="1225"/>
      <c r="DVG7" s="1225"/>
      <c r="DVH7" s="1225"/>
      <c r="DVI7" s="1225"/>
      <c r="DVJ7" s="1225"/>
      <c r="DVK7" s="1225"/>
      <c r="DVL7" s="1225"/>
      <c r="DVM7" s="1225"/>
      <c r="DVN7" s="1225"/>
      <c r="DVO7" s="1225"/>
      <c r="DVP7" s="1225"/>
      <c r="DVQ7" s="1225"/>
      <c r="DVR7" s="1225"/>
      <c r="DVS7" s="1225"/>
      <c r="DVT7" s="1225"/>
      <c r="DVU7" s="1225"/>
      <c r="DVV7" s="1225"/>
      <c r="DVW7" s="1225"/>
      <c r="DVX7" s="1225"/>
      <c r="DVY7" s="1225"/>
      <c r="DVZ7" s="1225"/>
      <c r="DWA7" s="1225"/>
      <c r="DWB7" s="1225"/>
      <c r="DWC7" s="1225"/>
      <c r="DWD7" s="1225"/>
      <c r="DWE7" s="1225"/>
      <c r="DWF7" s="1225"/>
      <c r="DWG7" s="1225"/>
      <c r="DWH7" s="1225"/>
      <c r="DWI7" s="1225"/>
      <c r="DWJ7" s="1225"/>
      <c r="DWK7" s="1225"/>
      <c r="DWL7" s="1225"/>
      <c r="DWM7" s="1225"/>
      <c r="DWN7" s="1225"/>
      <c r="DWO7" s="1225"/>
      <c r="DWP7" s="1225"/>
      <c r="DWQ7" s="1225"/>
      <c r="DWR7" s="1225"/>
      <c r="DWS7" s="1225"/>
      <c r="DWT7" s="1225"/>
      <c r="DWU7" s="1225"/>
      <c r="DWV7" s="1225"/>
      <c r="DWW7" s="1225"/>
      <c r="DWX7" s="1225"/>
      <c r="DWY7" s="1225"/>
      <c r="DWZ7" s="1225"/>
      <c r="DXA7" s="1225"/>
      <c r="DXB7" s="1225"/>
      <c r="DXC7" s="1225"/>
      <c r="DXD7" s="1225"/>
      <c r="DXE7" s="1225"/>
      <c r="DXF7" s="1225"/>
      <c r="DXG7" s="1225"/>
      <c r="DXH7" s="1225"/>
      <c r="DXI7" s="1225"/>
      <c r="DXJ7" s="1225"/>
      <c r="DXK7" s="1225"/>
      <c r="DXL7" s="1225"/>
      <c r="DXM7" s="1225"/>
      <c r="DXN7" s="1225"/>
      <c r="DXO7" s="1225"/>
      <c r="DXP7" s="1225"/>
      <c r="DXQ7" s="1225"/>
      <c r="DXR7" s="1225"/>
      <c r="DXS7" s="1225"/>
      <c r="DXT7" s="1225"/>
      <c r="DXU7" s="1225"/>
      <c r="DXV7" s="1225"/>
      <c r="DXW7" s="1225"/>
      <c r="DXX7" s="1225"/>
      <c r="DXY7" s="1225"/>
      <c r="DXZ7" s="1225"/>
      <c r="DYA7" s="1225"/>
      <c r="DYB7" s="1225"/>
      <c r="DYC7" s="1225"/>
      <c r="DYD7" s="1225"/>
      <c r="DYE7" s="1225"/>
      <c r="DYF7" s="1225"/>
      <c r="DYG7" s="1225"/>
      <c r="DYH7" s="1225"/>
      <c r="DYI7" s="1225"/>
      <c r="DYJ7" s="1225"/>
      <c r="DYK7" s="1225"/>
      <c r="DYL7" s="1225"/>
      <c r="DYM7" s="1225"/>
      <c r="DYN7" s="1225"/>
      <c r="DYO7" s="1225"/>
      <c r="DYP7" s="1225"/>
      <c r="DYQ7" s="1225"/>
      <c r="DYR7" s="1225"/>
      <c r="DYS7" s="1225"/>
      <c r="DYT7" s="1225"/>
      <c r="DYU7" s="1225"/>
      <c r="DYV7" s="1225"/>
      <c r="DYW7" s="1225"/>
      <c r="DYX7" s="1225"/>
      <c r="DYY7" s="1225"/>
      <c r="DYZ7" s="1225"/>
      <c r="DZA7" s="1225"/>
      <c r="DZB7" s="1225"/>
      <c r="DZC7" s="1225"/>
      <c r="DZD7" s="1225"/>
      <c r="DZE7" s="1225"/>
      <c r="DZF7" s="1225"/>
      <c r="DZG7" s="1225"/>
      <c r="DZH7" s="1225"/>
      <c r="DZI7" s="1225"/>
      <c r="DZJ7" s="1225"/>
      <c r="DZK7" s="1225"/>
      <c r="DZL7" s="1225"/>
      <c r="DZM7" s="1225"/>
      <c r="DZN7" s="1225"/>
      <c r="DZO7" s="1225"/>
      <c r="DZP7" s="1225"/>
      <c r="DZQ7" s="1225"/>
      <c r="DZR7" s="1225"/>
      <c r="DZS7" s="1225"/>
      <c r="DZT7" s="1225"/>
      <c r="DZU7" s="1225"/>
      <c r="DZV7" s="1225"/>
      <c r="DZW7" s="1225"/>
      <c r="DZX7" s="1225"/>
      <c r="DZY7" s="1225"/>
      <c r="DZZ7" s="1225"/>
      <c r="EAA7" s="1225"/>
      <c r="EAB7" s="1225"/>
      <c r="EAC7" s="1225"/>
      <c r="EAD7" s="1225"/>
      <c r="EAE7" s="1225"/>
      <c r="EAF7" s="1225"/>
      <c r="EAG7" s="1225"/>
      <c r="EAH7" s="1225"/>
      <c r="EAI7" s="1225"/>
      <c r="EAJ7" s="1225"/>
      <c r="EAK7" s="1225"/>
      <c r="EAL7" s="1225"/>
      <c r="EAM7" s="1225"/>
      <c r="EAN7" s="1225"/>
      <c r="EAO7" s="1225"/>
      <c r="EAP7" s="1225"/>
      <c r="EAQ7" s="1225"/>
      <c r="EAR7" s="1225"/>
      <c r="EAS7" s="1225"/>
      <c r="EAT7" s="1225"/>
      <c r="EAU7" s="1225"/>
      <c r="EAV7" s="1225"/>
      <c r="EAW7" s="1225"/>
      <c r="EAX7" s="1225"/>
      <c r="EAY7" s="1225"/>
      <c r="EAZ7" s="1225"/>
      <c r="EBA7" s="1225"/>
      <c r="EBB7" s="1225"/>
      <c r="EBC7" s="1225"/>
      <c r="EBD7" s="1225"/>
      <c r="EBE7" s="1225"/>
      <c r="EBF7" s="1225"/>
      <c r="EBG7" s="1225"/>
      <c r="EBH7" s="1225"/>
      <c r="EBI7" s="1225"/>
      <c r="EBJ7" s="1225"/>
      <c r="EBK7" s="1225"/>
      <c r="EBL7" s="1225"/>
      <c r="EBM7" s="1225"/>
      <c r="EBN7" s="1225"/>
      <c r="EBO7" s="1225"/>
      <c r="EBP7" s="1225"/>
      <c r="EBQ7" s="1225"/>
      <c r="EBR7" s="1225"/>
      <c r="EBS7" s="1225"/>
      <c r="EBT7" s="1225"/>
      <c r="EBU7" s="1225"/>
      <c r="EBV7" s="1225"/>
      <c r="EBW7" s="1225"/>
      <c r="EBX7" s="1225"/>
      <c r="EBY7" s="1225"/>
      <c r="EBZ7" s="1225"/>
      <c r="ECA7" s="1225"/>
      <c r="ECB7" s="1225"/>
      <c r="ECC7" s="1225"/>
      <c r="ECD7" s="1225"/>
      <c r="ECE7" s="1225"/>
      <c r="ECF7" s="1225"/>
      <c r="ECG7" s="1225"/>
      <c r="ECH7" s="1225"/>
      <c r="ECI7" s="1225"/>
      <c r="ECJ7" s="1225"/>
      <c r="ECK7" s="1225"/>
      <c r="ECL7" s="1225"/>
      <c r="ECM7" s="1225"/>
      <c r="ECN7" s="1225"/>
      <c r="ECO7" s="1225"/>
    </row>
    <row r="8" spans="1:3473" s="1237" customFormat="1" ht="13">
      <c r="B8" s="1238">
        <v>5001.01</v>
      </c>
      <c r="C8" s="1239" t="s">
        <v>26</v>
      </c>
      <c r="D8" s="1240" t="s">
        <v>475</v>
      </c>
      <c r="E8" s="1241">
        <f t="shared" ref="E8:R23" si="4">IF(AF$6=0,"",AF8*10000/AF$6)</f>
        <v>0</v>
      </c>
      <c r="F8" s="1241">
        <f t="shared" si="4"/>
        <v>0</v>
      </c>
      <c r="G8" s="1241">
        <f t="shared" si="4"/>
        <v>0</v>
      </c>
      <c r="H8" s="1241">
        <f t="shared" si="4"/>
        <v>2887.7531604594087</v>
      </c>
      <c r="I8" s="1241">
        <f t="shared" si="4"/>
        <v>2688.5506599092637</v>
      </c>
      <c r="J8" s="1241">
        <f t="shared" si="4"/>
        <v>199.20250055014469</v>
      </c>
      <c r="K8" s="1241">
        <f t="shared" si="4"/>
        <v>0</v>
      </c>
      <c r="L8" s="1241">
        <f t="shared" si="4"/>
        <v>0</v>
      </c>
      <c r="M8" s="1241">
        <f t="shared" si="4"/>
        <v>0</v>
      </c>
      <c r="N8" s="1241" t="str">
        <f t="shared" si="4"/>
        <v/>
      </c>
      <c r="O8" s="1241" t="str">
        <f t="shared" si="4"/>
        <v/>
      </c>
      <c r="P8" s="1241" t="str">
        <f t="shared" si="4"/>
        <v/>
      </c>
      <c r="Q8" s="1241">
        <f t="shared" si="4"/>
        <v>4383.4716940226053</v>
      </c>
      <c r="R8" s="1241">
        <f>IF(AS$6=0,"",AS8*10000/AS$6)</f>
        <v>4065.0837514158497</v>
      </c>
      <c r="S8" s="1241">
        <f>IF(AT$6=0,"",AT8*10000/AT$6)</f>
        <v>318.38794260675576</v>
      </c>
      <c r="T8" s="1241">
        <f t="shared" ref="T8:U49" si="5">IF(AU$6=0,"",AU8*10000/AU$6)</f>
        <v>8068.8165569454486</v>
      </c>
      <c r="U8" s="1241">
        <f>IF(AV$6=0,"",AV8*10000/AV$6)</f>
        <v>7456.7641000853773</v>
      </c>
      <c r="V8" s="1241">
        <f>IF(AW$6=0,"",AW8*10000/AW$6)</f>
        <v>612.05245686007129</v>
      </c>
      <c r="W8" s="1241" t="str">
        <f>IF(BD$6=0,"",BD8*10000/BD$6)</f>
        <v/>
      </c>
      <c r="X8" s="1241" t="str">
        <f>IF(BE$6=0,"",BE8*10000/BE$6)</f>
        <v/>
      </c>
      <c r="Y8" s="1241" t="str">
        <f>IF(BF$6=0,"",BF8*10000/BF$6)</f>
        <v/>
      </c>
      <c r="Z8" s="1242">
        <f>IF(BJ$6=0,"",BJ8*10000/BJ$6)</f>
        <v>2857.7807999792703</v>
      </c>
      <c r="AA8" s="1242">
        <f>IF(BK$6=0,"",BK8*10000/BK$6)</f>
        <v>2653.3233447535117</v>
      </c>
      <c r="AB8" s="1242">
        <f>IF(BL$6=0,"",BL8*10000/BL$6)</f>
        <v>204.45745522575868</v>
      </c>
      <c r="AC8" s="1242">
        <f t="shared" ref="AC8:AE8" si="6">IF(BJ$6=0,"",BJ8*10000/(BJ$6-AF$6-AL$6))</f>
        <v>3796.7280268329328</v>
      </c>
      <c r="AD8" s="1243">
        <f t="shared" si="6"/>
        <v>3525.0944044934563</v>
      </c>
      <c r="AE8" s="1243">
        <f t="shared" si="6"/>
        <v>271.63362233947697</v>
      </c>
      <c r="AF8" s="1244">
        <f>SUM(AF9:AF10)</f>
        <v>0</v>
      </c>
      <c r="AG8" s="1245">
        <f t="shared" ref="AG8:BL8" si="7">SUM(AG9:AG10)</f>
        <v>0</v>
      </c>
      <c r="AH8" s="1245">
        <f t="shared" si="7"/>
        <v>0</v>
      </c>
      <c r="AI8" s="1245">
        <f t="shared" si="7"/>
        <v>12467.571056201647</v>
      </c>
      <c r="AJ8" s="1245">
        <f t="shared" si="7"/>
        <v>11607.535176338954</v>
      </c>
      <c r="AK8" s="1245">
        <f t="shared" si="7"/>
        <v>860.03587986269179</v>
      </c>
      <c r="AL8" s="1245">
        <f t="shared" si="7"/>
        <v>0</v>
      </c>
      <c r="AM8" s="1245">
        <f t="shared" si="7"/>
        <v>0</v>
      </c>
      <c r="AN8" s="1245">
        <f t="shared" si="7"/>
        <v>0</v>
      </c>
      <c r="AO8" s="1245">
        <f t="shared" si="7"/>
        <v>0</v>
      </c>
      <c r="AP8" s="1245">
        <f t="shared" si="7"/>
        <v>0</v>
      </c>
      <c r="AQ8" s="1245">
        <f t="shared" si="7"/>
        <v>0</v>
      </c>
      <c r="AR8" s="1245">
        <f t="shared" si="7"/>
        <v>25938.921974133737</v>
      </c>
      <c r="AS8" s="1245">
        <f t="shared" si="7"/>
        <v>24054.881063810702</v>
      </c>
      <c r="AT8" s="1245">
        <f t="shared" si="7"/>
        <v>1884.0409103230352</v>
      </c>
      <c r="AU8" s="1245">
        <f t="shared" si="7"/>
        <v>854.43119166462441</v>
      </c>
      <c r="AV8" s="1245">
        <f t="shared" si="7"/>
        <v>789.61912085034089</v>
      </c>
      <c r="AW8" s="1245">
        <f t="shared" si="7"/>
        <v>64.81207081428353</v>
      </c>
      <c r="AX8" s="1245"/>
      <c r="AY8" s="1245"/>
      <c r="AZ8" s="1245"/>
      <c r="BA8" s="1245">
        <f>SUM(BA9:BA10)</f>
        <v>39260.924222000009</v>
      </c>
      <c r="BB8" s="1245">
        <f t="shared" si="7"/>
        <v>36452.035360999995</v>
      </c>
      <c r="BC8" s="1245">
        <f t="shared" si="7"/>
        <v>2808.8888610000104</v>
      </c>
      <c r="BD8" s="1245">
        <f t="shared" si="7"/>
        <v>0</v>
      </c>
      <c r="BE8" s="1245">
        <f t="shared" si="7"/>
        <v>0</v>
      </c>
      <c r="BF8" s="1245">
        <f t="shared" si="7"/>
        <v>0</v>
      </c>
      <c r="BG8" s="1245">
        <f t="shared" si="7"/>
        <v>0</v>
      </c>
      <c r="BH8" s="1245">
        <f t="shared" si="7"/>
        <v>0</v>
      </c>
      <c r="BI8" s="1245">
        <f t="shared" si="7"/>
        <v>0</v>
      </c>
      <c r="BJ8" s="1245">
        <f t="shared" si="7"/>
        <v>39260.924222000009</v>
      </c>
      <c r="BK8" s="1245">
        <f t="shared" si="7"/>
        <v>36452.035361000002</v>
      </c>
      <c r="BL8" s="1245">
        <f t="shared" si="7"/>
        <v>2808.8888610000104</v>
      </c>
      <c r="BM8" s="1246"/>
      <c r="BN8" s="1225">
        <f>BG8+BA8-BJ8</f>
        <v>0</v>
      </c>
      <c r="BO8" s="1225">
        <f>AF8+AI8+AL8+AO8+AR8+AU8-BA8+AX8</f>
        <v>0</v>
      </c>
      <c r="BP8" s="1225">
        <f>BG8-BD8</f>
        <v>0</v>
      </c>
      <c r="BQ8" s="1247"/>
      <c r="BR8" s="1247"/>
      <c r="BS8" s="1247"/>
      <c r="BT8" s="1247"/>
      <c r="BU8" s="1247"/>
      <c r="BV8" s="1247"/>
      <c r="BW8" s="1247"/>
      <c r="BX8" s="1247"/>
      <c r="BY8" s="1247"/>
      <c r="BZ8" s="1247"/>
      <c r="CA8" s="1247"/>
      <c r="CB8" s="1247"/>
      <c r="CC8" s="1247"/>
      <c r="CD8" s="1247"/>
      <c r="CE8" s="1247"/>
      <c r="CF8" s="1247"/>
      <c r="CG8" s="1247"/>
      <c r="CH8" s="1247"/>
      <c r="CI8" s="1247"/>
      <c r="CJ8" s="1247"/>
      <c r="CK8" s="1247"/>
      <c r="CL8" s="1247"/>
      <c r="CM8" s="1247"/>
      <c r="CN8" s="1247"/>
      <c r="CO8" s="1247"/>
      <c r="CP8" s="1247"/>
      <c r="CQ8" s="1247"/>
      <c r="CR8" s="1247"/>
      <c r="CS8" s="1247"/>
      <c r="CT8" s="1247"/>
      <c r="CU8" s="1247"/>
      <c r="CV8" s="1247"/>
      <c r="CW8" s="1247"/>
      <c r="CX8" s="1247"/>
      <c r="CY8" s="1247"/>
      <c r="CZ8" s="1247"/>
      <c r="DA8" s="1247"/>
      <c r="DB8" s="1247"/>
      <c r="DC8" s="1247"/>
      <c r="DD8" s="1247"/>
      <c r="DE8" s="1247"/>
      <c r="DF8" s="1247"/>
      <c r="DG8" s="1247"/>
      <c r="DH8" s="1247"/>
      <c r="DI8" s="1247"/>
      <c r="DJ8" s="1247"/>
      <c r="DK8" s="1247"/>
      <c r="DL8" s="1247"/>
      <c r="DM8" s="1247"/>
      <c r="DN8" s="1247"/>
      <c r="DO8" s="1247"/>
      <c r="DP8" s="1247"/>
      <c r="DQ8" s="1247"/>
      <c r="DR8" s="1247"/>
      <c r="DS8" s="1247"/>
      <c r="DT8" s="1247"/>
      <c r="DU8" s="1247"/>
      <c r="DV8" s="1247"/>
      <c r="DW8" s="1247"/>
      <c r="DX8" s="1247"/>
      <c r="DY8" s="1247"/>
      <c r="DZ8" s="1247"/>
      <c r="EA8" s="1247"/>
      <c r="EB8" s="1247"/>
      <c r="EC8" s="1247"/>
      <c r="ED8" s="1247"/>
      <c r="EE8" s="1247"/>
      <c r="EF8" s="1247"/>
      <c r="EG8" s="1247"/>
      <c r="EH8" s="1247"/>
      <c r="EI8" s="1247"/>
      <c r="EJ8" s="1247"/>
      <c r="EK8" s="1247"/>
      <c r="EL8" s="1247"/>
      <c r="EM8" s="1247"/>
      <c r="EN8" s="1247"/>
      <c r="EO8" s="1247"/>
      <c r="EP8" s="1247"/>
      <c r="EQ8" s="1247"/>
      <c r="ER8" s="1247"/>
      <c r="ES8" s="1247"/>
      <c r="ET8" s="1247"/>
      <c r="EU8" s="1247"/>
      <c r="EV8" s="1247"/>
      <c r="EW8" s="1247"/>
      <c r="EX8" s="1247"/>
      <c r="EY8" s="1247"/>
      <c r="EZ8" s="1247"/>
      <c r="FA8" s="1247"/>
      <c r="FB8" s="1247"/>
      <c r="FC8" s="1247"/>
      <c r="FD8" s="1247"/>
      <c r="FE8" s="1247"/>
      <c r="FF8" s="1247"/>
      <c r="FG8" s="1247"/>
      <c r="FH8" s="1247"/>
      <c r="FI8" s="1247"/>
      <c r="FJ8" s="1247"/>
      <c r="FK8" s="1247"/>
      <c r="FL8" s="1247"/>
      <c r="FM8" s="1247"/>
      <c r="FN8" s="1247"/>
      <c r="FO8" s="1247"/>
      <c r="FP8" s="1247"/>
      <c r="FQ8" s="1247"/>
      <c r="FR8" s="1247"/>
      <c r="FS8" s="1247"/>
      <c r="FT8" s="1247"/>
      <c r="FU8" s="1247"/>
      <c r="FV8" s="1247"/>
      <c r="FW8" s="1247"/>
      <c r="FX8" s="1247"/>
      <c r="FY8" s="1247"/>
      <c r="FZ8" s="1247"/>
      <c r="GA8" s="1247"/>
      <c r="GB8" s="1247"/>
      <c r="GC8" s="1247"/>
      <c r="GD8" s="1247"/>
      <c r="GE8" s="1247"/>
      <c r="GF8" s="1247"/>
      <c r="GG8" s="1247"/>
      <c r="GH8" s="1247"/>
      <c r="GI8" s="1247"/>
      <c r="GJ8" s="1247"/>
      <c r="GK8" s="1247"/>
      <c r="GL8" s="1247"/>
      <c r="GM8" s="1247"/>
      <c r="GN8" s="1247"/>
      <c r="GO8" s="1247"/>
      <c r="GP8" s="1247"/>
      <c r="GQ8" s="1247"/>
      <c r="GR8" s="1247"/>
      <c r="GS8" s="1247"/>
      <c r="GT8" s="1247"/>
      <c r="GU8" s="1247"/>
      <c r="GV8" s="1247"/>
      <c r="GW8" s="1247"/>
      <c r="GX8" s="1247"/>
      <c r="GY8" s="1247"/>
      <c r="GZ8" s="1247"/>
      <c r="HA8" s="1247"/>
      <c r="HB8" s="1247"/>
      <c r="HC8" s="1247"/>
      <c r="HD8" s="1247"/>
      <c r="HE8" s="1247"/>
      <c r="HF8" s="1247"/>
      <c r="HG8" s="1247"/>
      <c r="HH8" s="1247"/>
      <c r="HI8" s="1247"/>
      <c r="HJ8" s="1247"/>
      <c r="HK8" s="1247"/>
      <c r="HL8" s="1247"/>
      <c r="HM8" s="1247"/>
      <c r="HN8" s="1247"/>
      <c r="HO8" s="1247"/>
      <c r="HP8" s="1247"/>
      <c r="HQ8" s="1247"/>
      <c r="HR8" s="1247"/>
      <c r="HS8" s="1247"/>
      <c r="HT8" s="1247"/>
      <c r="HU8" s="1247"/>
      <c r="HV8" s="1247"/>
      <c r="HW8" s="1247"/>
      <c r="HX8" s="1247"/>
      <c r="HY8" s="1247"/>
      <c r="HZ8" s="1247"/>
      <c r="IA8" s="1247"/>
      <c r="IB8" s="1247"/>
      <c r="IC8" s="1247"/>
      <c r="ID8" s="1247"/>
      <c r="IE8" s="1247"/>
      <c r="IF8" s="1247"/>
      <c r="IG8" s="1247"/>
      <c r="IH8" s="1247"/>
      <c r="II8" s="1247"/>
      <c r="IJ8" s="1247"/>
      <c r="IK8" s="1247"/>
      <c r="IL8" s="1247"/>
      <c r="IM8" s="1247"/>
      <c r="IN8" s="1247"/>
      <c r="IO8" s="1247"/>
      <c r="IP8" s="1247"/>
      <c r="IQ8" s="1247"/>
      <c r="IR8" s="1247"/>
      <c r="IS8" s="1247"/>
      <c r="IT8" s="1247"/>
      <c r="IU8" s="1247"/>
      <c r="IV8" s="1247"/>
      <c r="IW8" s="1247"/>
      <c r="IX8" s="1247"/>
      <c r="IY8" s="1247"/>
      <c r="IZ8" s="1247"/>
      <c r="JA8" s="1247"/>
      <c r="JB8" s="1247"/>
      <c r="JC8" s="1247"/>
      <c r="JD8" s="1247"/>
      <c r="JE8" s="1247"/>
      <c r="JF8" s="1247"/>
      <c r="JG8" s="1247"/>
      <c r="JH8" s="1247"/>
      <c r="JI8" s="1247"/>
      <c r="JJ8" s="1247"/>
      <c r="JK8" s="1247"/>
      <c r="JL8" s="1247"/>
      <c r="JM8" s="1247"/>
      <c r="JN8" s="1247"/>
      <c r="JO8" s="1247"/>
      <c r="JP8" s="1247"/>
      <c r="JQ8" s="1247"/>
      <c r="JR8" s="1247"/>
      <c r="JS8" s="1247"/>
      <c r="JT8" s="1247"/>
      <c r="JU8" s="1247"/>
      <c r="JV8" s="1247"/>
      <c r="JW8" s="1247"/>
      <c r="JX8" s="1247"/>
      <c r="JY8" s="1247"/>
      <c r="JZ8" s="1247"/>
      <c r="KA8" s="1247"/>
      <c r="KB8" s="1247"/>
      <c r="KC8" s="1247"/>
      <c r="KD8" s="1247"/>
      <c r="KE8" s="1247"/>
      <c r="KF8" s="1247"/>
      <c r="KG8" s="1247"/>
      <c r="KH8" s="1247"/>
      <c r="KI8" s="1247"/>
      <c r="KJ8" s="1247"/>
      <c r="KK8" s="1247"/>
      <c r="KL8" s="1247"/>
      <c r="KM8" s="1247"/>
      <c r="KN8" s="1247"/>
      <c r="KO8" s="1247"/>
      <c r="KP8" s="1247"/>
      <c r="KQ8" s="1247"/>
      <c r="KR8" s="1247"/>
      <c r="KS8" s="1247"/>
      <c r="KT8" s="1247"/>
      <c r="KU8" s="1247"/>
      <c r="KV8" s="1247"/>
      <c r="KW8" s="1247"/>
      <c r="KX8" s="1247"/>
      <c r="KY8" s="1247"/>
      <c r="KZ8" s="1247"/>
      <c r="LA8" s="1247"/>
      <c r="LB8" s="1247"/>
      <c r="LC8" s="1247"/>
      <c r="LD8" s="1247"/>
      <c r="LE8" s="1247"/>
      <c r="LF8" s="1247"/>
      <c r="LG8" s="1247"/>
      <c r="LH8" s="1247"/>
      <c r="LI8" s="1247"/>
      <c r="LJ8" s="1247"/>
      <c r="LK8" s="1247"/>
      <c r="LL8" s="1247"/>
      <c r="LM8" s="1247"/>
      <c r="LN8" s="1247"/>
      <c r="LO8" s="1247"/>
      <c r="LP8" s="1247"/>
      <c r="LQ8" s="1247"/>
      <c r="LR8" s="1247"/>
      <c r="LS8" s="1247"/>
      <c r="LT8" s="1247"/>
      <c r="LU8" s="1247"/>
      <c r="LV8" s="1247"/>
      <c r="LW8" s="1247"/>
      <c r="LX8" s="1247"/>
      <c r="LY8" s="1247"/>
      <c r="LZ8" s="1247"/>
      <c r="MA8" s="1247"/>
      <c r="MB8" s="1247"/>
      <c r="MC8" s="1247"/>
      <c r="MD8" s="1247"/>
      <c r="ME8" s="1247"/>
      <c r="MF8" s="1247"/>
      <c r="MG8" s="1247"/>
      <c r="MH8" s="1247"/>
      <c r="MI8" s="1247"/>
      <c r="MJ8" s="1247"/>
      <c r="MK8" s="1247"/>
      <c r="ML8" s="1247"/>
      <c r="MM8" s="1247"/>
      <c r="MN8" s="1247"/>
      <c r="MO8" s="1247"/>
      <c r="MP8" s="1247"/>
      <c r="MQ8" s="1247"/>
      <c r="MR8" s="1247"/>
      <c r="MS8" s="1247"/>
      <c r="MT8" s="1247"/>
      <c r="MU8" s="1247"/>
      <c r="MV8" s="1247"/>
      <c r="MW8" s="1247"/>
      <c r="MX8" s="1247"/>
      <c r="MY8" s="1247"/>
      <c r="MZ8" s="1247"/>
      <c r="NA8" s="1247"/>
      <c r="NB8" s="1247"/>
      <c r="NC8" s="1247"/>
      <c r="ND8" s="1247"/>
      <c r="NE8" s="1247"/>
      <c r="NF8" s="1247"/>
      <c r="NG8" s="1247"/>
      <c r="NH8" s="1247"/>
      <c r="NI8" s="1247"/>
      <c r="NJ8" s="1247"/>
      <c r="NK8" s="1247"/>
      <c r="NL8" s="1247"/>
      <c r="NM8" s="1247"/>
      <c r="NN8" s="1247"/>
      <c r="NO8" s="1247"/>
      <c r="NP8" s="1247"/>
      <c r="NQ8" s="1247"/>
      <c r="NR8" s="1247"/>
      <c r="NS8" s="1247"/>
      <c r="NT8" s="1247"/>
      <c r="NU8" s="1247"/>
      <c r="NV8" s="1247"/>
      <c r="NW8" s="1247"/>
      <c r="NX8" s="1247"/>
      <c r="NY8" s="1247"/>
      <c r="NZ8" s="1247"/>
      <c r="OA8" s="1247"/>
      <c r="OB8" s="1247"/>
      <c r="OC8" s="1247"/>
      <c r="OD8" s="1247"/>
      <c r="OE8" s="1247"/>
      <c r="OF8" s="1247"/>
      <c r="OG8" s="1247"/>
      <c r="OH8" s="1247"/>
      <c r="OI8" s="1247"/>
      <c r="OJ8" s="1247"/>
      <c r="OK8" s="1247"/>
      <c r="OL8" s="1247"/>
      <c r="OM8" s="1247"/>
      <c r="ON8" s="1247"/>
      <c r="OO8" s="1247"/>
      <c r="OP8" s="1247"/>
      <c r="OQ8" s="1247"/>
      <c r="OR8" s="1247"/>
      <c r="OS8" s="1247"/>
      <c r="OT8" s="1247"/>
      <c r="OU8" s="1247"/>
      <c r="OV8" s="1247"/>
      <c r="OW8" s="1247"/>
      <c r="OX8" s="1247"/>
      <c r="OY8" s="1247"/>
      <c r="OZ8" s="1247"/>
      <c r="PA8" s="1247"/>
      <c r="PB8" s="1247"/>
      <c r="PC8" s="1247"/>
      <c r="PD8" s="1247"/>
      <c r="PE8" s="1247"/>
      <c r="PF8" s="1247"/>
      <c r="PG8" s="1247"/>
      <c r="PH8" s="1247"/>
      <c r="PI8" s="1247"/>
      <c r="PJ8" s="1247"/>
      <c r="PK8" s="1247"/>
      <c r="PL8" s="1247"/>
      <c r="PM8" s="1247"/>
      <c r="PN8" s="1247"/>
      <c r="PO8" s="1247"/>
      <c r="PP8" s="1247"/>
      <c r="PQ8" s="1247"/>
      <c r="PR8" s="1247"/>
      <c r="PS8" s="1247"/>
      <c r="PT8" s="1247"/>
      <c r="PU8" s="1247"/>
      <c r="PV8" s="1247"/>
      <c r="PW8" s="1247"/>
      <c r="PX8" s="1247"/>
      <c r="PY8" s="1247"/>
      <c r="PZ8" s="1247"/>
      <c r="QA8" s="1247"/>
      <c r="QB8" s="1247"/>
      <c r="QC8" s="1247"/>
      <c r="QD8" s="1247"/>
      <c r="QE8" s="1247"/>
      <c r="QF8" s="1247"/>
      <c r="QG8" s="1247"/>
      <c r="QH8" s="1247"/>
      <c r="QI8" s="1247"/>
      <c r="QJ8" s="1247"/>
      <c r="QK8" s="1247"/>
      <c r="QL8" s="1247"/>
      <c r="QM8" s="1247"/>
      <c r="QN8" s="1247"/>
      <c r="QO8" s="1247"/>
      <c r="QP8" s="1247"/>
      <c r="QQ8" s="1247"/>
      <c r="QR8" s="1247"/>
      <c r="QS8" s="1247"/>
      <c r="QT8" s="1247"/>
      <c r="QU8" s="1247"/>
      <c r="QV8" s="1247"/>
      <c r="QW8" s="1247"/>
      <c r="QX8" s="1247"/>
      <c r="QY8" s="1247"/>
      <c r="QZ8" s="1247"/>
      <c r="RA8" s="1247"/>
      <c r="RB8" s="1247"/>
      <c r="RC8" s="1247"/>
      <c r="RD8" s="1247"/>
      <c r="RE8" s="1247"/>
      <c r="RF8" s="1247"/>
      <c r="RG8" s="1247"/>
      <c r="RH8" s="1247"/>
      <c r="RI8" s="1247"/>
      <c r="RJ8" s="1247"/>
      <c r="RK8" s="1247"/>
      <c r="RL8" s="1247"/>
      <c r="RM8" s="1247"/>
      <c r="RN8" s="1247"/>
      <c r="RO8" s="1247"/>
      <c r="RP8" s="1247"/>
      <c r="RQ8" s="1247"/>
      <c r="RR8" s="1247"/>
      <c r="RS8" s="1247"/>
      <c r="RT8" s="1247"/>
      <c r="RU8" s="1247"/>
      <c r="RV8" s="1247"/>
      <c r="RW8" s="1247"/>
      <c r="RX8" s="1247"/>
      <c r="RY8" s="1247"/>
      <c r="RZ8" s="1247"/>
      <c r="SA8" s="1247"/>
      <c r="SB8" s="1247"/>
      <c r="SC8" s="1247"/>
      <c r="SD8" s="1247"/>
      <c r="SE8" s="1247"/>
      <c r="SF8" s="1247"/>
      <c r="SG8" s="1247"/>
      <c r="SH8" s="1247"/>
      <c r="SI8" s="1247"/>
      <c r="SJ8" s="1247"/>
      <c r="SK8" s="1247"/>
      <c r="SL8" s="1247"/>
      <c r="SM8" s="1247"/>
      <c r="SN8" s="1247"/>
      <c r="SO8" s="1247"/>
      <c r="SP8" s="1247"/>
      <c r="SQ8" s="1247"/>
      <c r="SR8" s="1247"/>
      <c r="SS8" s="1247"/>
      <c r="ST8" s="1247"/>
      <c r="SU8" s="1247"/>
      <c r="SV8" s="1247"/>
      <c r="SW8" s="1247"/>
      <c r="SX8" s="1247"/>
      <c r="SY8" s="1247"/>
      <c r="SZ8" s="1247"/>
      <c r="TA8" s="1247"/>
      <c r="TB8" s="1247"/>
      <c r="TC8" s="1247"/>
      <c r="TD8" s="1247"/>
      <c r="TE8" s="1247"/>
      <c r="TF8" s="1247"/>
      <c r="TG8" s="1247"/>
      <c r="TH8" s="1247"/>
      <c r="TI8" s="1247"/>
      <c r="TJ8" s="1247"/>
      <c r="TK8" s="1247"/>
      <c r="TL8" s="1247"/>
      <c r="TM8" s="1247"/>
      <c r="TN8" s="1247"/>
      <c r="TO8" s="1247"/>
      <c r="TP8" s="1247"/>
      <c r="TQ8" s="1247"/>
      <c r="TR8" s="1247"/>
      <c r="TS8" s="1247"/>
      <c r="TT8" s="1247"/>
      <c r="TU8" s="1247"/>
      <c r="TV8" s="1247"/>
      <c r="TW8" s="1247"/>
      <c r="TX8" s="1247"/>
      <c r="TY8" s="1247"/>
      <c r="TZ8" s="1247"/>
      <c r="UA8" s="1247"/>
      <c r="UB8" s="1247"/>
      <c r="UC8" s="1247"/>
      <c r="UD8" s="1247"/>
      <c r="UE8" s="1247"/>
      <c r="UF8" s="1247"/>
      <c r="UG8" s="1247"/>
      <c r="UH8" s="1247"/>
      <c r="UI8" s="1247"/>
      <c r="UJ8" s="1247"/>
      <c r="UK8" s="1247"/>
      <c r="UL8" s="1247"/>
      <c r="UM8" s="1247"/>
      <c r="UN8" s="1247"/>
      <c r="UO8" s="1247"/>
      <c r="UP8" s="1247"/>
      <c r="UQ8" s="1247"/>
      <c r="UR8" s="1247"/>
      <c r="US8" s="1247"/>
      <c r="UT8" s="1247"/>
      <c r="UU8" s="1247"/>
      <c r="UV8" s="1247"/>
      <c r="UW8" s="1247"/>
      <c r="UX8" s="1247"/>
      <c r="UY8" s="1247"/>
      <c r="UZ8" s="1247"/>
      <c r="VA8" s="1247"/>
      <c r="VB8" s="1247"/>
      <c r="VC8" s="1247"/>
      <c r="VD8" s="1247"/>
      <c r="VE8" s="1247"/>
      <c r="VF8" s="1247"/>
      <c r="VG8" s="1247"/>
      <c r="VH8" s="1247"/>
      <c r="VI8" s="1247"/>
      <c r="VJ8" s="1247"/>
      <c r="VK8" s="1247"/>
      <c r="VL8" s="1247"/>
      <c r="VM8" s="1247"/>
      <c r="VN8" s="1247"/>
      <c r="VO8" s="1247"/>
      <c r="VP8" s="1247"/>
      <c r="VQ8" s="1247"/>
      <c r="VR8" s="1247"/>
      <c r="VS8" s="1247"/>
      <c r="VT8" s="1247"/>
      <c r="VU8" s="1247"/>
      <c r="VV8" s="1247"/>
      <c r="VW8" s="1247"/>
      <c r="VX8" s="1247"/>
      <c r="VY8" s="1247"/>
      <c r="VZ8" s="1247"/>
      <c r="WA8" s="1247"/>
      <c r="WB8" s="1247"/>
      <c r="WC8" s="1247"/>
      <c r="WD8" s="1247"/>
      <c r="WE8" s="1247"/>
      <c r="WF8" s="1247"/>
      <c r="WG8" s="1247"/>
      <c r="WH8" s="1247"/>
      <c r="WI8" s="1247"/>
      <c r="WJ8" s="1247"/>
      <c r="WK8" s="1247"/>
      <c r="WL8" s="1247"/>
      <c r="WM8" s="1247"/>
      <c r="WN8" s="1247"/>
      <c r="WO8" s="1247"/>
      <c r="WP8" s="1247"/>
      <c r="WQ8" s="1247"/>
      <c r="WR8" s="1247"/>
      <c r="WS8" s="1247"/>
      <c r="WT8" s="1247"/>
      <c r="WU8" s="1247"/>
      <c r="WV8" s="1247"/>
      <c r="WW8" s="1247"/>
      <c r="WX8" s="1247"/>
      <c r="WY8" s="1247"/>
      <c r="WZ8" s="1247"/>
      <c r="XA8" s="1247"/>
      <c r="XB8" s="1247"/>
      <c r="XC8" s="1247"/>
      <c r="XD8" s="1247"/>
      <c r="XE8" s="1247"/>
      <c r="XF8" s="1247"/>
      <c r="XG8" s="1247"/>
      <c r="XH8" s="1247"/>
      <c r="XI8" s="1247"/>
      <c r="XJ8" s="1247"/>
      <c r="XK8" s="1247"/>
      <c r="XL8" s="1247"/>
      <c r="XM8" s="1247"/>
      <c r="XN8" s="1247"/>
      <c r="XO8" s="1247"/>
      <c r="XP8" s="1247"/>
      <c r="XQ8" s="1247"/>
      <c r="XR8" s="1247"/>
      <c r="XS8" s="1247"/>
      <c r="XT8" s="1247"/>
      <c r="XU8" s="1247"/>
      <c r="XV8" s="1247"/>
      <c r="XW8" s="1247"/>
      <c r="XX8" s="1247"/>
      <c r="XY8" s="1247"/>
      <c r="XZ8" s="1247"/>
      <c r="YA8" s="1247"/>
      <c r="YB8" s="1247"/>
      <c r="YC8" s="1247"/>
      <c r="YD8" s="1247"/>
      <c r="YE8" s="1247"/>
      <c r="YF8" s="1247"/>
      <c r="YG8" s="1247"/>
      <c r="YH8" s="1247"/>
      <c r="YI8" s="1247"/>
      <c r="YJ8" s="1247"/>
      <c r="YK8" s="1247"/>
      <c r="YL8" s="1247"/>
      <c r="YM8" s="1247"/>
      <c r="YN8" s="1247"/>
      <c r="YO8" s="1247"/>
      <c r="YP8" s="1247"/>
      <c r="YQ8" s="1247"/>
      <c r="YR8" s="1247"/>
      <c r="YS8" s="1247"/>
      <c r="YT8" s="1247"/>
      <c r="YU8" s="1247"/>
      <c r="YV8" s="1247"/>
      <c r="YW8" s="1247"/>
      <c r="YX8" s="1247"/>
      <c r="YY8" s="1247"/>
      <c r="YZ8" s="1247"/>
      <c r="ZA8" s="1247"/>
      <c r="ZB8" s="1247"/>
      <c r="ZC8" s="1247"/>
      <c r="ZD8" s="1247"/>
      <c r="ZE8" s="1247"/>
      <c r="ZF8" s="1247"/>
      <c r="ZG8" s="1247"/>
      <c r="ZH8" s="1247"/>
      <c r="ZI8" s="1247"/>
      <c r="ZJ8" s="1247"/>
      <c r="ZK8" s="1247"/>
      <c r="ZL8" s="1247"/>
      <c r="ZM8" s="1247"/>
      <c r="ZN8" s="1247"/>
      <c r="ZO8" s="1247"/>
      <c r="ZP8" s="1247"/>
      <c r="ZQ8" s="1247"/>
      <c r="ZR8" s="1247"/>
      <c r="ZS8" s="1247"/>
      <c r="ZT8" s="1247"/>
      <c r="ZU8" s="1247"/>
      <c r="ZV8" s="1247"/>
      <c r="ZW8" s="1247"/>
      <c r="ZX8" s="1247"/>
      <c r="ZY8" s="1247"/>
      <c r="ZZ8" s="1247"/>
      <c r="AAA8" s="1247"/>
      <c r="AAB8" s="1247"/>
      <c r="AAC8" s="1247"/>
      <c r="AAD8" s="1247"/>
      <c r="AAE8" s="1247"/>
      <c r="AAF8" s="1247"/>
      <c r="AAG8" s="1247"/>
      <c r="AAH8" s="1247"/>
      <c r="AAI8" s="1247"/>
      <c r="AAJ8" s="1247"/>
      <c r="AAK8" s="1247"/>
      <c r="AAL8" s="1247"/>
      <c r="AAM8" s="1247"/>
      <c r="AAN8" s="1247"/>
      <c r="AAO8" s="1247"/>
      <c r="AAP8" s="1247"/>
      <c r="AAQ8" s="1247"/>
      <c r="AAR8" s="1247"/>
      <c r="AAS8" s="1247"/>
      <c r="AAT8" s="1247"/>
      <c r="AAU8" s="1247"/>
      <c r="AAV8" s="1247"/>
      <c r="AAW8" s="1247"/>
      <c r="AAX8" s="1247"/>
      <c r="AAY8" s="1247"/>
      <c r="AAZ8" s="1247"/>
      <c r="ABA8" s="1247"/>
      <c r="ABB8" s="1247"/>
      <c r="ABC8" s="1247"/>
      <c r="ABD8" s="1247"/>
      <c r="ABE8" s="1247"/>
      <c r="ABF8" s="1247"/>
      <c r="ABG8" s="1247"/>
      <c r="ABH8" s="1247"/>
      <c r="ABI8" s="1247"/>
      <c r="ABJ8" s="1247"/>
      <c r="ABK8" s="1247"/>
      <c r="ABL8" s="1247"/>
      <c r="ABM8" s="1247"/>
      <c r="ABN8" s="1247"/>
      <c r="ABO8" s="1247"/>
      <c r="ABP8" s="1247"/>
      <c r="ABQ8" s="1247"/>
      <c r="ABR8" s="1247"/>
      <c r="ABS8" s="1247"/>
      <c r="ABT8" s="1247"/>
      <c r="ABU8" s="1247"/>
      <c r="ABV8" s="1247"/>
      <c r="ABW8" s="1247"/>
      <c r="ABX8" s="1247"/>
      <c r="ABY8" s="1247"/>
      <c r="ABZ8" s="1247"/>
      <c r="ACA8" s="1247"/>
      <c r="ACB8" s="1247"/>
      <c r="ACC8" s="1247"/>
      <c r="ACD8" s="1247"/>
      <c r="ACE8" s="1247"/>
      <c r="ACF8" s="1247"/>
      <c r="ACG8" s="1247"/>
      <c r="ACH8" s="1247"/>
      <c r="ACI8" s="1247"/>
      <c r="ACJ8" s="1247"/>
      <c r="ACK8" s="1247"/>
      <c r="ACL8" s="1247"/>
      <c r="ACM8" s="1247"/>
      <c r="ACN8" s="1247"/>
      <c r="ACO8" s="1247"/>
      <c r="ACP8" s="1247"/>
      <c r="ACQ8" s="1247"/>
      <c r="ACR8" s="1247"/>
      <c r="ACS8" s="1247"/>
      <c r="ACT8" s="1247"/>
      <c r="ACU8" s="1247"/>
      <c r="ACV8" s="1247"/>
      <c r="ACW8" s="1247"/>
      <c r="ACX8" s="1247"/>
      <c r="ACY8" s="1247"/>
      <c r="ACZ8" s="1247"/>
      <c r="ADA8" s="1247"/>
      <c r="ADB8" s="1247"/>
      <c r="ADC8" s="1247"/>
      <c r="ADD8" s="1247"/>
      <c r="ADE8" s="1247"/>
      <c r="ADF8" s="1247"/>
      <c r="ADG8" s="1247"/>
      <c r="ADH8" s="1247"/>
      <c r="ADI8" s="1247"/>
      <c r="ADJ8" s="1247"/>
      <c r="ADK8" s="1247"/>
      <c r="ADL8" s="1247"/>
      <c r="ADM8" s="1247"/>
      <c r="ADN8" s="1247"/>
      <c r="ADO8" s="1247"/>
      <c r="ADP8" s="1247"/>
      <c r="ADQ8" s="1247"/>
      <c r="ADR8" s="1247"/>
      <c r="ADS8" s="1247"/>
      <c r="ADT8" s="1247"/>
      <c r="ADU8" s="1247"/>
      <c r="ADV8" s="1247"/>
      <c r="ADW8" s="1247"/>
      <c r="ADX8" s="1247"/>
      <c r="ADY8" s="1247"/>
      <c r="ADZ8" s="1247"/>
      <c r="AEA8" s="1247"/>
      <c r="AEB8" s="1247"/>
      <c r="AEC8" s="1247"/>
      <c r="AED8" s="1247"/>
      <c r="AEE8" s="1247"/>
      <c r="AEF8" s="1247"/>
      <c r="AEG8" s="1247"/>
      <c r="AEH8" s="1247"/>
      <c r="AEI8" s="1247"/>
      <c r="AEJ8" s="1247"/>
      <c r="AEK8" s="1247"/>
      <c r="AEL8" s="1247"/>
      <c r="AEM8" s="1247"/>
      <c r="AEN8" s="1247"/>
      <c r="AEO8" s="1247"/>
      <c r="AEP8" s="1247"/>
      <c r="AEQ8" s="1247"/>
      <c r="AER8" s="1247"/>
      <c r="AES8" s="1247"/>
      <c r="AET8" s="1247"/>
      <c r="AEU8" s="1247"/>
      <c r="AEV8" s="1247"/>
      <c r="AEW8" s="1247"/>
      <c r="AEX8" s="1247"/>
      <c r="AEY8" s="1247"/>
      <c r="AEZ8" s="1247"/>
      <c r="AFA8" s="1247"/>
      <c r="AFB8" s="1247"/>
      <c r="AFC8" s="1247"/>
      <c r="AFD8" s="1247"/>
      <c r="AFE8" s="1247"/>
      <c r="AFF8" s="1247"/>
      <c r="AFG8" s="1247"/>
      <c r="AFH8" s="1247"/>
      <c r="AFI8" s="1247"/>
      <c r="AFJ8" s="1247"/>
      <c r="AFK8" s="1247"/>
      <c r="AFL8" s="1247"/>
      <c r="AFM8" s="1247"/>
      <c r="AFN8" s="1247"/>
      <c r="AFO8" s="1247"/>
      <c r="AFP8" s="1247"/>
      <c r="AFQ8" s="1247"/>
      <c r="AFR8" s="1247"/>
      <c r="AFS8" s="1247"/>
      <c r="AFT8" s="1247"/>
      <c r="AFU8" s="1247"/>
      <c r="AFV8" s="1247"/>
      <c r="AFW8" s="1247"/>
      <c r="AFX8" s="1247"/>
      <c r="AFY8" s="1247"/>
      <c r="AFZ8" s="1247"/>
      <c r="AGA8" s="1247"/>
      <c r="AGB8" s="1247"/>
      <c r="AGC8" s="1247"/>
      <c r="AGD8" s="1247"/>
      <c r="AGE8" s="1247"/>
      <c r="AGF8" s="1247"/>
      <c r="AGG8" s="1247"/>
      <c r="AGH8" s="1247"/>
      <c r="AGI8" s="1247"/>
      <c r="AGJ8" s="1247"/>
      <c r="AGK8" s="1247"/>
      <c r="AGL8" s="1247"/>
      <c r="AGM8" s="1247"/>
      <c r="AGN8" s="1247"/>
      <c r="AGO8" s="1247"/>
      <c r="AGP8" s="1247"/>
      <c r="AGQ8" s="1247"/>
      <c r="AGR8" s="1247"/>
      <c r="AGS8" s="1247"/>
      <c r="AGT8" s="1247"/>
      <c r="AGU8" s="1247"/>
      <c r="AGV8" s="1247"/>
      <c r="AGW8" s="1247"/>
      <c r="AGX8" s="1247"/>
      <c r="AGY8" s="1247"/>
      <c r="AGZ8" s="1247"/>
      <c r="AHA8" s="1247"/>
      <c r="AHB8" s="1247"/>
      <c r="AHC8" s="1247"/>
      <c r="AHD8" s="1247"/>
      <c r="AHE8" s="1247"/>
      <c r="AHF8" s="1247"/>
      <c r="AHG8" s="1247"/>
      <c r="AHH8" s="1247"/>
      <c r="AHI8" s="1247"/>
      <c r="AHJ8" s="1247"/>
      <c r="AHK8" s="1247"/>
      <c r="AHL8" s="1247"/>
      <c r="AHM8" s="1247"/>
      <c r="AHN8" s="1247"/>
      <c r="AHO8" s="1247"/>
      <c r="AHP8" s="1247"/>
      <c r="AHQ8" s="1247"/>
      <c r="AHR8" s="1247"/>
      <c r="AHS8" s="1247"/>
      <c r="AHT8" s="1247"/>
      <c r="AHU8" s="1247"/>
      <c r="AHV8" s="1247"/>
      <c r="AHW8" s="1247"/>
      <c r="AHX8" s="1247"/>
      <c r="AHY8" s="1247"/>
      <c r="AHZ8" s="1247"/>
      <c r="AIA8" s="1247"/>
      <c r="AIB8" s="1247"/>
      <c r="AIC8" s="1247"/>
      <c r="AID8" s="1247"/>
      <c r="AIE8" s="1247"/>
      <c r="AIF8" s="1247"/>
      <c r="AIG8" s="1247"/>
      <c r="AIH8" s="1247"/>
      <c r="AII8" s="1247"/>
      <c r="AIJ8" s="1247"/>
      <c r="AIK8" s="1247"/>
      <c r="AIL8" s="1247"/>
      <c r="AIM8" s="1247"/>
      <c r="AIN8" s="1247"/>
      <c r="AIO8" s="1247"/>
      <c r="AIP8" s="1247"/>
      <c r="AIQ8" s="1247"/>
      <c r="AIR8" s="1247"/>
      <c r="AIS8" s="1247"/>
      <c r="AIT8" s="1247"/>
      <c r="AIU8" s="1247"/>
      <c r="AIV8" s="1247"/>
      <c r="AIW8" s="1247"/>
      <c r="AIX8" s="1247"/>
      <c r="AIY8" s="1247"/>
      <c r="AIZ8" s="1247"/>
      <c r="AJA8" s="1247"/>
      <c r="AJB8" s="1247"/>
      <c r="AJC8" s="1247"/>
      <c r="AJD8" s="1247"/>
      <c r="AJE8" s="1247"/>
      <c r="AJF8" s="1247"/>
      <c r="AJG8" s="1247"/>
      <c r="AJH8" s="1247"/>
      <c r="AJI8" s="1247"/>
      <c r="AJJ8" s="1247"/>
      <c r="AJK8" s="1247"/>
      <c r="AJL8" s="1247"/>
      <c r="AJM8" s="1247"/>
      <c r="AJN8" s="1247"/>
      <c r="AJO8" s="1247"/>
      <c r="AJP8" s="1247"/>
      <c r="AJQ8" s="1247"/>
      <c r="AJR8" s="1247"/>
      <c r="AJS8" s="1247"/>
      <c r="AJT8" s="1247"/>
      <c r="AJU8" s="1247"/>
      <c r="AJV8" s="1247"/>
      <c r="AJW8" s="1247"/>
      <c r="AJX8" s="1247"/>
      <c r="AJY8" s="1247"/>
      <c r="AJZ8" s="1247"/>
      <c r="AKA8" s="1247"/>
      <c r="AKB8" s="1247"/>
      <c r="AKC8" s="1247"/>
      <c r="AKD8" s="1247"/>
      <c r="AKE8" s="1247"/>
      <c r="AKF8" s="1247"/>
      <c r="AKG8" s="1247"/>
      <c r="AKH8" s="1247"/>
      <c r="AKI8" s="1247"/>
      <c r="AKJ8" s="1247"/>
      <c r="AKK8" s="1247"/>
      <c r="AKL8" s="1247"/>
      <c r="AKM8" s="1247"/>
      <c r="AKN8" s="1247"/>
      <c r="AKO8" s="1247"/>
      <c r="AKP8" s="1247"/>
      <c r="AKQ8" s="1247"/>
      <c r="AKR8" s="1247"/>
      <c r="AKS8" s="1247"/>
      <c r="AKT8" s="1247"/>
      <c r="AKU8" s="1247"/>
      <c r="AKV8" s="1247"/>
      <c r="AKW8" s="1247"/>
      <c r="AKX8" s="1247"/>
      <c r="AKY8" s="1247"/>
      <c r="AKZ8" s="1247"/>
      <c r="ALA8" s="1247"/>
      <c r="ALB8" s="1247"/>
      <c r="ALC8" s="1247"/>
      <c r="ALD8" s="1247"/>
      <c r="ALE8" s="1247"/>
      <c r="ALF8" s="1247"/>
      <c r="ALG8" s="1247"/>
      <c r="ALH8" s="1247"/>
      <c r="ALI8" s="1247"/>
      <c r="ALJ8" s="1247"/>
      <c r="ALK8" s="1247"/>
      <c r="ALL8" s="1247"/>
      <c r="ALM8" s="1247"/>
      <c r="ALN8" s="1247"/>
      <c r="ALO8" s="1247"/>
      <c r="ALP8" s="1247"/>
      <c r="ALQ8" s="1247"/>
      <c r="ALR8" s="1247"/>
      <c r="ALS8" s="1247"/>
      <c r="ALT8" s="1247"/>
      <c r="ALU8" s="1247"/>
      <c r="ALV8" s="1247"/>
      <c r="ALW8" s="1247"/>
      <c r="ALX8" s="1247"/>
      <c r="ALY8" s="1247"/>
      <c r="ALZ8" s="1247"/>
      <c r="AMA8" s="1247"/>
      <c r="AMB8" s="1247"/>
      <c r="AMC8" s="1247"/>
      <c r="AMD8" s="1247"/>
      <c r="AME8" s="1247"/>
      <c r="AMF8" s="1247"/>
      <c r="AMG8" s="1247"/>
      <c r="AMH8" s="1247"/>
      <c r="AMI8" s="1247"/>
      <c r="AMJ8" s="1247"/>
      <c r="AMK8" s="1247"/>
      <c r="AML8" s="1247"/>
      <c r="AMM8" s="1247"/>
      <c r="AMN8" s="1247"/>
      <c r="AMO8" s="1247"/>
      <c r="AMP8" s="1247"/>
      <c r="AMQ8" s="1247"/>
      <c r="AMR8" s="1247"/>
      <c r="AMS8" s="1247"/>
      <c r="AMT8" s="1247"/>
      <c r="AMU8" s="1247"/>
      <c r="AMV8" s="1247"/>
      <c r="AMW8" s="1247"/>
      <c r="AMX8" s="1247"/>
      <c r="AMY8" s="1247"/>
      <c r="AMZ8" s="1247"/>
      <c r="ANA8" s="1247"/>
      <c r="ANB8" s="1247"/>
      <c r="ANC8" s="1247"/>
      <c r="AND8" s="1247"/>
      <c r="ANE8" s="1247"/>
      <c r="ANF8" s="1247"/>
      <c r="ANG8" s="1247"/>
      <c r="ANH8" s="1247"/>
      <c r="ANI8" s="1247"/>
      <c r="ANJ8" s="1247"/>
      <c r="ANK8" s="1247"/>
      <c r="ANL8" s="1247"/>
      <c r="ANM8" s="1247"/>
      <c r="ANN8" s="1247"/>
      <c r="ANO8" s="1247"/>
      <c r="ANP8" s="1247"/>
      <c r="ANQ8" s="1247"/>
      <c r="ANR8" s="1247"/>
      <c r="ANS8" s="1247"/>
      <c r="ANT8" s="1247"/>
      <c r="ANU8" s="1247"/>
      <c r="ANV8" s="1247"/>
      <c r="ANW8" s="1247"/>
      <c r="ANX8" s="1247"/>
      <c r="ANY8" s="1247"/>
      <c r="ANZ8" s="1247"/>
      <c r="AOA8" s="1247"/>
      <c r="AOB8" s="1247"/>
      <c r="AOC8" s="1247"/>
      <c r="AOD8" s="1247"/>
      <c r="AOE8" s="1247"/>
      <c r="AOF8" s="1247"/>
      <c r="AOG8" s="1247"/>
      <c r="AOH8" s="1247"/>
      <c r="AOI8" s="1247"/>
      <c r="AOJ8" s="1247"/>
      <c r="AOK8" s="1247"/>
      <c r="AOL8" s="1247"/>
      <c r="AOM8" s="1247"/>
      <c r="AON8" s="1247"/>
      <c r="AOO8" s="1247"/>
      <c r="AOP8" s="1247"/>
      <c r="AOQ8" s="1247"/>
      <c r="AOR8" s="1247"/>
      <c r="AOS8" s="1247"/>
      <c r="AOT8" s="1247"/>
      <c r="AOU8" s="1247"/>
      <c r="AOV8" s="1247"/>
      <c r="AOW8" s="1247"/>
      <c r="AOX8" s="1247"/>
      <c r="AOY8" s="1247"/>
      <c r="AOZ8" s="1247"/>
      <c r="APA8" s="1247"/>
      <c r="APB8" s="1247"/>
      <c r="APC8" s="1247"/>
      <c r="APD8" s="1247"/>
      <c r="APE8" s="1247"/>
      <c r="APF8" s="1247"/>
      <c r="APG8" s="1247"/>
      <c r="APH8" s="1247"/>
      <c r="API8" s="1247"/>
      <c r="APJ8" s="1247"/>
      <c r="APK8" s="1247"/>
      <c r="APL8" s="1247"/>
      <c r="APM8" s="1247"/>
      <c r="APN8" s="1247"/>
      <c r="APO8" s="1247"/>
      <c r="APP8" s="1247"/>
      <c r="APQ8" s="1247"/>
      <c r="APR8" s="1247"/>
      <c r="APS8" s="1247"/>
      <c r="APT8" s="1247"/>
      <c r="APU8" s="1247"/>
      <c r="APV8" s="1247"/>
      <c r="APW8" s="1247"/>
      <c r="APX8" s="1247"/>
      <c r="APY8" s="1247"/>
      <c r="APZ8" s="1247"/>
      <c r="AQA8" s="1247"/>
      <c r="AQB8" s="1247"/>
      <c r="AQC8" s="1247"/>
      <c r="AQD8" s="1247"/>
      <c r="AQE8" s="1247"/>
      <c r="AQF8" s="1247"/>
      <c r="AQG8" s="1247"/>
      <c r="AQH8" s="1247"/>
      <c r="AQI8" s="1247"/>
      <c r="AQJ8" s="1247"/>
      <c r="AQK8" s="1247"/>
      <c r="AQL8" s="1247"/>
      <c r="AQM8" s="1247"/>
      <c r="AQN8" s="1247"/>
      <c r="AQO8" s="1247"/>
      <c r="AQP8" s="1247"/>
      <c r="AQQ8" s="1247"/>
      <c r="AQR8" s="1247"/>
      <c r="AQS8" s="1247"/>
      <c r="AQT8" s="1247"/>
      <c r="AQU8" s="1247"/>
      <c r="AQV8" s="1247"/>
      <c r="AQW8" s="1247"/>
      <c r="AQX8" s="1247"/>
      <c r="AQY8" s="1247"/>
      <c r="AQZ8" s="1247"/>
      <c r="ARA8" s="1247"/>
      <c r="ARB8" s="1247"/>
      <c r="ARC8" s="1247"/>
      <c r="ARD8" s="1247"/>
      <c r="ARE8" s="1247"/>
      <c r="ARF8" s="1247"/>
      <c r="ARG8" s="1247"/>
      <c r="ARH8" s="1247"/>
      <c r="ARI8" s="1247"/>
      <c r="ARJ8" s="1247"/>
      <c r="ARK8" s="1247"/>
      <c r="ARL8" s="1247"/>
      <c r="ARM8" s="1247"/>
      <c r="ARN8" s="1247"/>
      <c r="ARO8" s="1247"/>
      <c r="ARP8" s="1247"/>
      <c r="ARQ8" s="1247"/>
      <c r="ARR8" s="1247"/>
      <c r="ARS8" s="1247"/>
      <c r="ART8" s="1247"/>
      <c r="ARU8" s="1247"/>
      <c r="ARV8" s="1247"/>
      <c r="ARW8" s="1247"/>
      <c r="ARX8" s="1247"/>
      <c r="ARY8" s="1247"/>
      <c r="ARZ8" s="1247"/>
      <c r="ASA8" s="1247"/>
      <c r="ASB8" s="1247"/>
      <c r="ASC8" s="1247"/>
      <c r="ASD8" s="1247"/>
      <c r="ASE8" s="1247"/>
      <c r="ASF8" s="1247"/>
      <c r="ASG8" s="1247"/>
      <c r="ASH8" s="1247"/>
      <c r="ASI8" s="1247"/>
      <c r="ASJ8" s="1247"/>
      <c r="ASK8" s="1247"/>
      <c r="ASL8" s="1247"/>
      <c r="ASM8" s="1247"/>
      <c r="ASN8" s="1247"/>
      <c r="ASO8" s="1247"/>
      <c r="ASP8" s="1247"/>
      <c r="ASQ8" s="1247"/>
      <c r="ASR8" s="1247"/>
      <c r="ASS8" s="1247"/>
      <c r="AST8" s="1247"/>
      <c r="ASU8" s="1247"/>
      <c r="ASV8" s="1247"/>
      <c r="ASW8" s="1247"/>
      <c r="ASX8" s="1247"/>
      <c r="ASY8" s="1247"/>
      <c r="ASZ8" s="1247"/>
      <c r="ATA8" s="1247"/>
      <c r="ATB8" s="1247"/>
      <c r="ATC8" s="1247"/>
      <c r="ATD8" s="1247"/>
      <c r="ATE8" s="1247"/>
      <c r="ATF8" s="1247"/>
      <c r="ATG8" s="1247"/>
      <c r="ATH8" s="1247"/>
      <c r="ATI8" s="1247"/>
      <c r="ATJ8" s="1247"/>
      <c r="ATK8" s="1247"/>
      <c r="ATL8" s="1247"/>
      <c r="ATM8" s="1247"/>
      <c r="ATN8" s="1247"/>
      <c r="ATO8" s="1247"/>
      <c r="ATP8" s="1247"/>
      <c r="ATQ8" s="1247"/>
      <c r="ATR8" s="1247"/>
      <c r="ATS8" s="1247"/>
      <c r="ATT8" s="1247"/>
      <c r="ATU8" s="1247"/>
      <c r="ATV8" s="1247"/>
      <c r="ATW8" s="1247"/>
      <c r="ATX8" s="1247"/>
      <c r="ATY8" s="1247"/>
      <c r="ATZ8" s="1247"/>
      <c r="AUA8" s="1247"/>
      <c r="AUB8" s="1247"/>
      <c r="AUC8" s="1247"/>
      <c r="AUD8" s="1247"/>
      <c r="AUE8" s="1247"/>
      <c r="AUF8" s="1247"/>
      <c r="AUG8" s="1247"/>
      <c r="AUH8" s="1247"/>
      <c r="AUI8" s="1247"/>
      <c r="AUJ8" s="1247"/>
      <c r="AUK8" s="1247"/>
      <c r="AUL8" s="1247"/>
      <c r="AUM8" s="1247"/>
      <c r="AUN8" s="1247"/>
      <c r="AUO8" s="1247"/>
      <c r="AUP8" s="1247"/>
      <c r="AUQ8" s="1247"/>
      <c r="AUR8" s="1247"/>
      <c r="AUS8" s="1247"/>
      <c r="AUT8" s="1247"/>
      <c r="AUU8" s="1247"/>
      <c r="AUV8" s="1247"/>
      <c r="AUW8" s="1247"/>
      <c r="AUX8" s="1247"/>
      <c r="AUY8" s="1247"/>
      <c r="AUZ8" s="1247"/>
      <c r="AVA8" s="1247"/>
      <c r="AVB8" s="1247"/>
      <c r="AVC8" s="1247"/>
      <c r="AVD8" s="1247"/>
      <c r="AVE8" s="1247"/>
      <c r="AVF8" s="1247"/>
      <c r="AVG8" s="1247"/>
      <c r="AVH8" s="1247"/>
      <c r="AVI8" s="1247"/>
      <c r="AVJ8" s="1247"/>
      <c r="AVK8" s="1247"/>
      <c r="AVL8" s="1247"/>
      <c r="AVM8" s="1247"/>
      <c r="AVN8" s="1247"/>
      <c r="AVO8" s="1247"/>
      <c r="AVP8" s="1247"/>
      <c r="AVQ8" s="1247"/>
      <c r="AVR8" s="1247"/>
      <c r="AVS8" s="1247"/>
      <c r="AVT8" s="1247"/>
      <c r="AVU8" s="1247"/>
      <c r="AVV8" s="1247"/>
      <c r="AVW8" s="1247"/>
      <c r="AVX8" s="1247"/>
      <c r="AVY8" s="1247"/>
      <c r="AVZ8" s="1247"/>
      <c r="AWA8" s="1247"/>
      <c r="AWB8" s="1247"/>
      <c r="AWC8" s="1247"/>
      <c r="AWD8" s="1247"/>
      <c r="AWE8" s="1247"/>
      <c r="AWF8" s="1247"/>
      <c r="AWG8" s="1247"/>
      <c r="AWH8" s="1247"/>
      <c r="AWI8" s="1247"/>
      <c r="AWJ8" s="1247"/>
      <c r="AWK8" s="1247"/>
      <c r="AWL8" s="1247"/>
      <c r="AWM8" s="1247"/>
      <c r="AWN8" s="1247"/>
      <c r="AWO8" s="1247"/>
      <c r="AWP8" s="1247"/>
      <c r="AWQ8" s="1247"/>
      <c r="AWR8" s="1247"/>
      <c r="AWS8" s="1247"/>
      <c r="AWT8" s="1247"/>
      <c r="AWU8" s="1247"/>
      <c r="AWV8" s="1247"/>
      <c r="AWW8" s="1247"/>
      <c r="AWX8" s="1247"/>
      <c r="AWY8" s="1247"/>
      <c r="AWZ8" s="1247"/>
      <c r="AXA8" s="1247"/>
      <c r="AXB8" s="1247"/>
      <c r="AXC8" s="1247"/>
      <c r="AXD8" s="1247"/>
      <c r="AXE8" s="1247"/>
      <c r="AXF8" s="1247"/>
      <c r="AXG8" s="1247"/>
      <c r="AXH8" s="1247"/>
      <c r="AXI8" s="1247"/>
      <c r="AXJ8" s="1247"/>
      <c r="AXK8" s="1247"/>
      <c r="AXL8" s="1247"/>
      <c r="AXM8" s="1247"/>
      <c r="AXN8" s="1247"/>
      <c r="AXO8" s="1247"/>
      <c r="AXP8" s="1247"/>
      <c r="AXQ8" s="1247"/>
      <c r="AXR8" s="1247"/>
      <c r="AXS8" s="1247"/>
      <c r="AXT8" s="1247"/>
      <c r="AXU8" s="1247"/>
      <c r="AXV8" s="1247"/>
      <c r="AXW8" s="1247"/>
      <c r="AXX8" s="1247"/>
      <c r="AXY8" s="1247"/>
      <c r="AXZ8" s="1247"/>
      <c r="AYA8" s="1247"/>
      <c r="AYB8" s="1247"/>
      <c r="AYC8" s="1247"/>
      <c r="AYD8" s="1247"/>
      <c r="AYE8" s="1247"/>
      <c r="AYF8" s="1247"/>
      <c r="AYG8" s="1247"/>
      <c r="AYH8" s="1247"/>
      <c r="AYI8" s="1247"/>
      <c r="AYJ8" s="1247"/>
      <c r="AYK8" s="1247"/>
      <c r="AYL8" s="1247"/>
      <c r="AYM8" s="1247"/>
      <c r="AYN8" s="1247"/>
      <c r="AYO8" s="1247"/>
      <c r="AYP8" s="1247"/>
      <c r="AYQ8" s="1247"/>
      <c r="AYR8" s="1247"/>
      <c r="AYS8" s="1247"/>
      <c r="AYT8" s="1247"/>
      <c r="AYU8" s="1247"/>
      <c r="AYV8" s="1247"/>
      <c r="AYW8" s="1247"/>
      <c r="AYX8" s="1247"/>
      <c r="AYY8" s="1247"/>
      <c r="AYZ8" s="1247"/>
      <c r="AZA8" s="1247"/>
      <c r="AZB8" s="1247"/>
      <c r="AZC8" s="1247"/>
      <c r="AZD8" s="1247"/>
      <c r="AZE8" s="1247"/>
      <c r="AZF8" s="1247"/>
      <c r="AZG8" s="1247"/>
      <c r="AZH8" s="1247"/>
      <c r="AZI8" s="1247"/>
      <c r="AZJ8" s="1247"/>
      <c r="AZK8" s="1247"/>
      <c r="AZL8" s="1247"/>
      <c r="AZM8" s="1247"/>
      <c r="AZN8" s="1247"/>
      <c r="AZO8" s="1247"/>
      <c r="AZP8" s="1247"/>
      <c r="AZQ8" s="1247"/>
      <c r="AZR8" s="1247"/>
      <c r="AZS8" s="1247"/>
      <c r="AZT8" s="1247"/>
      <c r="AZU8" s="1247"/>
      <c r="AZV8" s="1247"/>
      <c r="AZW8" s="1247"/>
      <c r="AZX8" s="1247"/>
      <c r="AZY8" s="1247"/>
      <c r="AZZ8" s="1247"/>
      <c r="BAA8" s="1247"/>
      <c r="BAB8" s="1247"/>
      <c r="BAC8" s="1247"/>
      <c r="BAD8" s="1247"/>
      <c r="BAE8" s="1247"/>
      <c r="BAF8" s="1247"/>
      <c r="BAG8" s="1247"/>
      <c r="BAH8" s="1247"/>
      <c r="BAI8" s="1247"/>
      <c r="BAJ8" s="1247"/>
      <c r="BAK8" s="1247"/>
      <c r="BAL8" s="1247"/>
      <c r="BAM8" s="1247"/>
      <c r="BAN8" s="1247"/>
      <c r="BAO8" s="1247"/>
      <c r="BAP8" s="1247"/>
      <c r="BAQ8" s="1247"/>
      <c r="BAR8" s="1247"/>
      <c r="BAS8" s="1247"/>
      <c r="BAT8" s="1247"/>
      <c r="BAU8" s="1247"/>
      <c r="BAV8" s="1247"/>
      <c r="BAW8" s="1247"/>
      <c r="BAX8" s="1247"/>
      <c r="BAY8" s="1247"/>
      <c r="BAZ8" s="1247"/>
      <c r="BBA8" s="1247"/>
      <c r="BBB8" s="1247"/>
      <c r="BBC8" s="1247"/>
      <c r="BBD8" s="1247"/>
      <c r="BBE8" s="1247"/>
      <c r="BBF8" s="1247"/>
      <c r="BBG8" s="1247"/>
      <c r="BBH8" s="1247"/>
      <c r="BBI8" s="1247"/>
      <c r="BBJ8" s="1247"/>
      <c r="BBK8" s="1247"/>
      <c r="BBL8" s="1247"/>
      <c r="BBM8" s="1247"/>
      <c r="BBN8" s="1247"/>
      <c r="BBO8" s="1247"/>
      <c r="BBP8" s="1247"/>
      <c r="BBQ8" s="1247"/>
      <c r="BBR8" s="1247"/>
      <c r="BBS8" s="1247"/>
      <c r="BBT8" s="1247"/>
      <c r="BBU8" s="1247"/>
      <c r="BBV8" s="1247"/>
      <c r="BBW8" s="1247"/>
      <c r="BBX8" s="1247"/>
      <c r="BBY8" s="1247"/>
      <c r="BBZ8" s="1247"/>
      <c r="BCA8" s="1247"/>
      <c r="BCB8" s="1247"/>
      <c r="BCC8" s="1247"/>
      <c r="BCD8" s="1247"/>
      <c r="BCE8" s="1247"/>
      <c r="BCF8" s="1247"/>
      <c r="BCG8" s="1247"/>
      <c r="BCH8" s="1247"/>
      <c r="BCI8" s="1247"/>
      <c r="BCJ8" s="1247"/>
      <c r="BCK8" s="1247"/>
      <c r="BCL8" s="1247"/>
      <c r="BCM8" s="1247"/>
      <c r="BCN8" s="1247"/>
      <c r="BCO8" s="1247"/>
      <c r="BCP8" s="1247"/>
      <c r="BCQ8" s="1247"/>
      <c r="BCR8" s="1247"/>
      <c r="BCS8" s="1247"/>
      <c r="BCT8" s="1247"/>
      <c r="BCU8" s="1247"/>
      <c r="BCV8" s="1247"/>
      <c r="BCW8" s="1247"/>
      <c r="BCX8" s="1247"/>
      <c r="BCY8" s="1247"/>
      <c r="BCZ8" s="1247"/>
      <c r="BDA8" s="1247"/>
      <c r="BDB8" s="1247"/>
      <c r="BDC8" s="1247"/>
      <c r="BDD8" s="1247"/>
      <c r="BDE8" s="1247"/>
      <c r="BDF8" s="1247"/>
      <c r="BDG8" s="1247"/>
      <c r="BDH8" s="1247"/>
      <c r="BDI8" s="1247"/>
      <c r="BDJ8" s="1247"/>
      <c r="BDK8" s="1247"/>
      <c r="BDL8" s="1247"/>
      <c r="BDM8" s="1247"/>
      <c r="BDN8" s="1247"/>
      <c r="BDO8" s="1247"/>
      <c r="BDP8" s="1247"/>
      <c r="BDQ8" s="1247"/>
      <c r="BDR8" s="1247"/>
      <c r="BDS8" s="1247"/>
      <c r="BDT8" s="1247"/>
      <c r="BDU8" s="1247"/>
      <c r="BDV8" s="1247"/>
      <c r="BDW8" s="1247"/>
      <c r="BDX8" s="1247"/>
      <c r="BDY8" s="1247"/>
      <c r="BDZ8" s="1247"/>
      <c r="BEA8" s="1247"/>
      <c r="BEB8" s="1247"/>
      <c r="BEC8" s="1247"/>
      <c r="BED8" s="1247"/>
      <c r="BEE8" s="1247"/>
      <c r="BEF8" s="1247"/>
      <c r="BEG8" s="1247"/>
      <c r="BEH8" s="1247"/>
      <c r="BEI8" s="1247"/>
      <c r="BEJ8" s="1247"/>
      <c r="BEK8" s="1247"/>
      <c r="BEL8" s="1247"/>
      <c r="BEM8" s="1247"/>
      <c r="BEN8" s="1247"/>
      <c r="BEO8" s="1247"/>
      <c r="BEP8" s="1247"/>
      <c r="BEQ8" s="1247"/>
      <c r="BER8" s="1247"/>
      <c r="BES8" s="1247"/>
      <c r="BET8" s="1247"/>
      <c r="BEU8" s="1247"/>
      <c r="BEV8" s="1247"/>
      <c r="BEW8" s="1247"/>
      <c r="BEX8" s="1247"/>
      <c r="BEY8" s="1247"/>
      <c r="BEZ8" s="1247"/>
      <c r="BFA8" s="1247"/>
      <c r="BFB8" s="1247"/>
      <c r="BFC8" s="1247"/>
      <c r="BFD8" s="1247"/>
      <c r="BFE8" s="1247"/>
      <c r="BFF8" s="1247"/>
      <c r="BFG8" s="1247"/>
      <c r="BFH8" s="1247"/>
      <c r="BFI8" s="1247"/>
      <c r="BFJ8" s="1247"/>
      <c r="BFK8" s="1247"/>
      <c r="BFL8" s="1247"/>
      <c r="BFM8" s="1247"/>
      <c r="BFN8" s="1247"/>
      <c r="BFO8" s="1247"/>
      <c r="BFP8" s="1247"/>
      <c r="BFQ8" s="1247"/>
      <c r="BFR8" s="1247"/>
      <c r="BFS8" s="1247"/>
      <c r="BFT8" s="1247"/>
      <c r="BFU8" s="1247"/>
      <c r="BFV8" s="1247"/>
      <c r="BFW8" s="1247"/>
      <c r="BFX8" s="1247"/>
      <c r="BFY8" s="1247"/>
      <c r="BFZ8" s="1247"/>
      <c r="BGA8" s="1247"/>
      <c r="BGB8" s="1247"/>
      <c r="BGC8" s="1247"/>
      <c r="BGD8" s="1247"/>
      <c r="BGE8" s="1247"/>
      <c r="BGF8" s="1247"/>
      <c r="BGG8" s="1247"/>
      <c r="BGH8" s="1247"/>
      <c r="BGI8" s="1247"/>
      <c r="BGJ8" s="1247"/>
      <c r="BGK8" s="1247"/>
      <c r="BGL8" s="1247"/>
      <c r="BGM8" s="1247"/>
      <c r="BGN8" s="1247"/>
      <c r="BGO8" s="1247"/>
      <c r="BGP8" s="1247"/>
      <c r="BGQ8" s="1247"/>
      <c r="BGR8" s="1247"/>
      <c r="BGS8" s="1247"/>
      <c r="BGT8" s="1247"/>
      <c r="BGU8" s="1247"/>
      <c r="BGV8" s="1247"/>
      <c r="BGW8" s="1247"/>
      <c r="BGX8" s="1247"/>
      <c r="BGY8" s="1247"/>
      <c r="BGZ8" s="1247"/>
      <c r="BHA8" s="1247"/>
      <c r="BHB8" s="1247"/>
      <c r="BHC8" s="1247"/>
      <c r="BHD8" s="1247"/>
      <c r="BHE8" s="1247"/>
      <c r="BHF8" s="1247"/>
      <c r="BHG8" s="1247"/>
      <c r="BHH8" s="1247"/>
      <c r="BHI8" s="1247"/>
      <c r="BHJ8" s="1247"/>
      <c r="BHK8" s="1247"/>
      <c r="BHL8" s="1247"/>
      <c r="BHM8" s="1247"/>
      <c r="BHN8" s="1247"/>
      <c r="BHO8" s="1247"/>
      <c r="BHP8" s="1247"/>
      <c r="BHQ8" s="1247"/>
      <c r="BHR8" s="1247"/>
      <c r="BHS8" s="1247"/>
      <c r="BHT8" s="1247"/>
      <c r="BHU8" s="1247"/>
      <c r="BHV8" s="1247"/>
      <c r="BHW8" s="1247"/>
      <c r="BHX8" s="1247"/>
      <c r="BHY8" s="1247"/>
      <c r="BHZ8" s="1247"/>
      <c r="BIA8" s="1247"/>
      <c r="BIB8" s="1247"/>
      <c r="BIC8" s="1247"/>
      <c r="BID8" s="1247"/>
      <c r="BIE8" s="1247"/>
      <c r="BIF8" s="1247"/>
      <c r="BIG8" s="1247"/>
      <c r="BIH8" s="1247"/>
      <c r="BII8" s="1247"/>
      <c r="BIJ8" s="1247"/>
      <c r="BIK8" s="1247"/>
      <c r="BIL8" s="1247"/>
      <c r="BIM8" s="1247"/>
      <c r="BIN8" s="1247"/>
      <c r="BIO8" s="1247"/>
      <c r="BIP8" s="1247"/>
      <c r="BIQ8" s="1247"/>
      <c r="BIR8" s="1247"/>
      <c r="BIS8" s="1247"/>
      <c r="BIT8" s="1247"/>
      <c r="BIU8" s="1247"/>
      <c r="BIV8" s="1247"/>
      <c r="BIW8" s="1247"/>
      <c r="BIX8" s="1247"/>
      <c r="BIY8" s="1247"/>
      <c r="BIZ8" s="1247"/>
      <c r="BJA8" s="1247"/>
      <c r="BJB8" s="1247"/>
      <c r="BJC8" s="1247"/>
      <c r="BJD8" s="1247"/>
      <c r="BJE8" s="1247"/>
      <c r="BJF8" s="1247"/>
      <c r="BJG8" s="1247"/>
      <c r="BJH8" s="1247"/>
      <c r="BJI8" s="1247"/>
      <c r="BJJ8" s="1247"/>
      <c r="BJK8" s="1247"/>
      <c r="BJL8" s="1247"/>
      <c r="BJM8" s="1247"/>
      <c r="BJN8" s="1247"/>
      <c r="BJO8" s="1247"/>
      <c r="BJP8" s="1247"/>
      <c r="BJQ8" s="1247"/>
      <c r="BJR8" s="1247"/>
      <c r="BJS8" s="1247"/>
      <c r="BJT8" s="1247"/>
      <c r="BJU8" s="1247"/>
      <c r="BJV8" s="1247"/>
      <c r="BJW8" s="1247"/>
      <c r="BJX8" s="1247"/>
      <c r="BJY8" s="1247"/>
      <c r="BJZ8" s="1247"/>
      <c r="BKA8" s="1247"/>
      <c r="BKB8" s="1247"/>
      <c r="BKC8" s="1247"/>
      <c r="BKD8" s="1247"/>
      <c r="BKE8" s="1247"/>
      <c r="BKF8" s="1247"/>
      <c r="BKG8" s="1247"/>
      <c r="BKH8" s="1247"/>
      <c r="BKI8" s="1247"/>
      <c r="BKJ8" s="1247"/>
      <c r="BKK8" s="1247"/>
      <c r="BKL8" s="1247"/>
      <c r="BKM8" s="1247"/>
      <c r="BKN8" s="1247"/>
      <c r="BKO8" s="1247"/>
      <c r="BKP8" s="1247"/>
      <c r="BKQ8" s="1247"/>
      <c r="BKR8" s="1247"/>
      <c r="BKS8" s="1247"/>
      <c r="BKT8" s="1247"/>
      <c r="BKU8" s="1247"/>
      <c r="BKV8" s="1247"/>
      <c r="BKW8" s="1247"/>
      <c r="BKX8" s="1247"/>
      <c r="BKY8" s="1247"/>
      <c r="BKZ8" s="1247"/>
      <c r="BLA8" s="1247"/>
      <c r="BLB8" s="1247"/>
      <c r="BLC8" s="1247"/>
      <c r="BLD8" s="1247"/>
      <c r="BLE8" s="1247"/>
      <c r="BLF8" s="1247"/>
      <c r="BLG8" s="1247"/>
      <c r="BLH8" s="1247"/>
      <c r="BLI8" s="1247"/>
      <c r="BLJ8" s="1247"/>
      <c r="BLK8" s="1247"/>
      <c r="BLL8" s="1247"/>
      <c r="BLM8" s="1247"/>
      <c r="BLN8" s="1247"/>
      <c r="BLO8" s="1247"/>
      <c r="BLP8" s="1247"/>
      <c r="BLQ8" s="1247"/>
      <c r="BLR8" s="1247"/>
      <c r="BLS8" s="1247"/>
      <c r="BLT8" s="1247"/>
      <c r="BLU8" s="1247"/>
      <c r="BLV8" s="1247"/>
      <c r="BLW8" s="1247"/>
      <c r="BLX8" s="1247"/>
      <c r="BLY8" s="1247"/>
      <c r="BLZ8" s="1247"/>
      <c r="BMA8" s="1247"/>
      <c r="BMB8" s="1247"/>
      <c r="BMC8" s="1247"/>
      <c r="BMD8" s="1247"/>
      <c r="BME8" s="1247"/>
      <c r="BMF8" s="1247"/>
      <c r="BMG8" s="1247"/>
      <c r="BMH8" s="1247"/>
      <c r="BMI8" s="1247"/>
      <c r="BMJ8" s="1247"/>
      <c r="BMK8" s="1247"/>
      <c r="BML8" s="1247"/>
      <c r="BMM8" s="1247"/>
      <c r="BMN8" s="1247"/>
      <c r="BMO8" s="1247"/>
      <c r="BMP8" s="1247"/>
      <c r="BMQ8" s="1247"/>
      <c r="BMR8" s="1247"/>
      <c r="BMS8" s="1247"/>
      <c r="BMT8" s="1247"/>
      <c r="BMU8" s="1247"/>
      <c r="BMV8" s="1247"/>
      <c r="BMW8" s="1247"/>
      <c r="BMX8" s="1247"/>
      <c r="BMY8" s="1247"/>
      <c r="BMZ8" s="1247"/>
      <c r="BNA8" s="1247"/>
      <c r="BNB8" s="1247"/>
      <c r="BNC8" s="1247"/>
      <c r="BND8" s="1247"/>
      <c r="BNE8" s="1247"/>
      <c r="BNF8" s="1247"/>
      <c r="BNG8" s="1247"/>
      <c r="BNH8" s="1247"/>
      <c r="BNI8" s="1247"/>
      <c r="BNJ8" s="1247"/>
      <c r="BNK8" s="1247"/>
      <c r="BNL8" s="1247"/>
      <c r="BNM8" s="1247"/>
      <c r="BNN8" s="1247"/>
      <c r="BNO8" s="1247"/>
      <c r="BNP8" s="1247"/>
      <c r="BNQ8" s="1247"/>
      <c r="BNR8" s="1247"/>
      <c r="BNS8" s="1247"/>
      <c r="BNT8" s="1247"/>
      <c r="BNU8" s="1247"/>
      <c r="BNV8" s="1247"/>
      <c r="BNW8" s="1247"/>
      <c r="BNX8" s="1247"/>
      <c r="BNY8" s="1247"/>
      <c r="BNZ8" s="1247"/>
      <c r="BOA8" s="1247"/>
      <c r="BOB8" s="1247"/>
      <c r="BOC8" s="1247"/>
      <c r="BOD8" s="1247"/>
      <c r="BOE8" s="1247"/>
      <c r="BOF8" s="1247"/>
      <c r="BOG8" s="1247"/>
      <c r="BOH8" s="1247"/>
      <c r="BOI8" s="1247"/>
      <c r="BOJ8" s="1247"/>
      <c r="BOK8" s="1247"/>
      <c r="BOL8" s="1247"/>
      <c r="BOM8" s="1247"/>
      <c r="BON8" s="1247"/>
      <c r="BOO8" s="1247"/>
      <c r="BOP8" s="1247"/>
      <c r="BOQ8" s="1247"/>
      <c r="BOR8" s="1247"/>
      <c r="BOS8" s="1247"/>
      <c r="BOT8" s="1247"/>
      <c r="BOU8" s="1247"/>
      <c r="BOV8" s="1247"/>
      <c r="BOW8" s="1247"/>
      <c r="BOX8" s="1247"/>
      <c r="BOY8" s="1247"/>
      <c r="BOZ8" s="1247"/>
      <c r="BPA8" s="1247"/>
      <c r="BPB8" s="1247"/>
      <c r="BPC8" s="1247"/>
      <c r="BPD8" s="1247"/>
      <c r="BPE8" s="1247"/>
      <c r="BPF8" s="1247"/>
      <c r="BPG8" s="1247"/>
      <c r="BPH8" s="1247"/>
      <c r="BPI8" s="1247"/>
      <c r="BPJ8" s="1247"/>
      <c r="BPK8" s="1247"/>
      <c r="BPL8" s="1247"/>
      <c r="BPM8" s="1247"/>
      <c r="BPN8" s="1247"/>
      <c r="BPO8" s="1247"/>
      <c r="BPP8" s="1247"/>
      <c r="BPQ8" s="1247"/>
      <c r="BPR8" s="1247"/>
      <c r="BPS8" s="1247"/>
      <c r="BPT8" s="1247"/>
      <c r="BPU8" s="1247"/>
      <c r="BPV8" s="1247"/>
      <c r="BPW8" s="1247"/>
      <c r="BPX8" s="1247"/>
      <c r="BPY8" s="1247"/>
      <c r="BPZ8" s="1247"/>
      <c r="BQA8" s="1247"/>
      <c r="BQB8" s="1247"/>
      <c r="BQC8" s="1247"/>
      <c r="BQD8" s="1247"/>
      <c r="BQE8" s="1247"/>
      <c r="BQF8" s="1247"/>
      <c r="BQG8" s="1247"/>
      <c r="BQH8" s="1247"/>
      <c r="BQI8" s="1247"/>
      <c r="BQJ8" s="1247"/>
      <c r="BQK8" s="1247"/>
      <c r="BQL8" s="1247"/>
      <c r="BQM8" s="1247"/>
      <c r="BQN8" s="1247"/>
      <c r="BQO8" s="1247"/>
      <c r="BQP8" s="1247"/>
      <c r="BQQ8" s="1247"/>
      <c r="BQR8" s="1247"/>
      <c r="BQS8" s="1247"/>
      <c r="BQT8" s="1247"/>
      <c r="BQU8" s="1247"/>
      <c r="BQV8" s="1247"/>
      <c r="BQW8" s="1247"/>
      <c r="BQX8" s="1247"/>
      <c r="BQY8" s="1247"/>
      <c r="BQZ8" s="1247"/>
      <c r="BRA8" s="1247"/>
      <c r="BRB8" s="1247"/>
      <c r="BRC8" s="1247"/>
      <c r="BRD8" s="1247"/>
      <c r="BRE8" s="1247"/>
      <c r="BRF8" s="1247"/>
      <c r="BRG8" s="1247"/>
      <c r="BRH8" s="1247"/>
      <c r="BRI8" s="1247"/>
      <c r="BRJ8" s="1247"/>
      <c r="BRK8" s="1247"/>
      <c r="BRL8" s="1247"/>
      <c r="BRM8" s="1247"/>
      <c r="BRN8" s="1247"/>
      <c r="BRO8" s="1247"/>
      <c r="BRP8" s="1247"/>
      <c r="BRQ8" s="1247"/>
      <c r="BRR8" s="1247"/>
      <c r="BRS8" s="1247"/>
      <c r="BRT8" s="1247"/>
      <c r="BRU8" s="1247"/>
      <c r="BRV8" s="1247"/>
      <c r="BRW8" s="1247"/>
      <c r="BRX8" s="1247"/>
      <c r="BRY8" s="1247"/>
      <c r="BRZ8" s="1247"/>
      <c r="BSA8" s="1247"/>
      <c r="BSB8" s="1247"/>
      <c r="BSC8" s="1247"/>
      <c r="BSD8" s="1247"/>
      <c r="BSE8" s="1247"/>
      <c r="BSF8" s="1247"/>
      <c r="BSG8" s="1247"/>
      <c r="BSH8" s="1247"/>
      <c r="BSI8" s="1247"/>
      <c r="BSJ8" s="1247"/>
      <c r="BSK8" s="1247"/>
      <c r="BSL8" s="1247"/>
      <c r="BSM8" s="1247"/>
      <c r="BSN8" s="1247"/>
      <c r="BSO8" s="1247"/>
      <c r="BSP8" s="1247"/>
      <c r="BSQ8" s="1247"/>
      <c r="BSR8" s="1247"/>
      <c r="BSS8" s="1247"/>
      <c r="BST8" s="1247"/>
      <c r="BSU8" s="1247"/>
      <c r="BSV8" s="1247"/>
      <c r="BSW8" s="1247"/>
      <c r="BSX8" s="1247"/>
      <c r="BSY8" s="1247"/>
      <c r="BSZ8" s="1247"/>
      <c r="BTA8" s="1247"/>
      <c r="BTB8" s="1247"/>
      <c r="BTC8" s="1247"/>
      <c r="BTD8" s="1247"/>
      <c r="BTE8" s="1247"/>
      <c r="BTF8" s="1247"/>
      <c r="BTG8" s="1247"/>
      <c r="BTH8" s="1247"/>
      <c r="BTI8" s="1247"/>
      <c r="BTJ8" s="1247"/>
      <c r="BTK8" s="1247"/>
      <c r="BTL8" s="1247"/>
      <c r="BTM8" s="1247"/>
      <c r="BTN8" s="1247"/>
      <c r="BTO8" s="1247"/>
      <c r="BTP8" s="1247"/>
      <c r="BTQ8" s="1247"/>
      <c r="BTR8" s="1247"/>
      <c r="BTS8" s="1247"/>
      <c r="BTT8" s="1247"/>
      <c r="BTU8" s="1247"/>
      <c r="BTV8" s="1247"/>
      <c r="BTW8" s="1247"/>
      <c r="BTX8" s="1247"/>
      <c r="BTY8" s="1247"/>
      <c r="BTZ8" s="1247"/>
      <c r="BUA8" s="1247"/>
      <c r="BUB8" s="1247"/>
      <c r="BUC8" s="1247"/>
      <c r="BUD8" s="1247"/>
      <c r="BUE8" s="1247"/>
      <c r="BUF8" s="1247"/>
      <c r="BUG8" s="1247"/>
      <c r="BUH8" s="1247"/>
      <c r="BUI8" s="1247"/>
      <c r="BUJ8" s="1247"/>
      <c r="BUK8" s="1247"/>
      <c r="BUL8" s="1247"/>
      <c r="BUM8" s="1247"/>
      <c r="BUN8" s="1247"/>
      <c r="BUO8" s="1247"/>
      <c r="BUP8" s="1247"/>
      <c r="BUQ8" s="1247"/>
      <c r="BUR8" s="1247"/>
      <c r="BUS8" s="1247"/>
      <c r="BUT8" s="1247"/>
      <c r="BUU8" s="1247"/>
      <c r="BUV8" s="1247"/>
      <c r="BUW8" s="1247"/>
      <c r="BUX8" s="1247"/>
      <c r="BUY8" s="1247"/>
      <c r="BUZ8" s="1247"/>
      <c r="BVA8" s="1247"/>
      <c r="BVB8" s="1247"/>
      <c r="BVC8" s="1247"/>
      <c r="BVD8" s="1247"/>
      <c r="BVE8" s="1247"/>
      <c r="BVF8" s="1247"/>
      <c r="BVG8" s="1247"/>
      <c r="BVH8" s="1247"/>
      <c r="BVI8" s="1247"/>
      <c r="BVJ8" s="1247"/>
      <c r="BVK8" s="1247"/>
      <c r="BVL8" s="1247"/>
      <c r="BVM8" s="1247"/>
      <c r="BVN8" s="1247"/>
      <c r="BVO8" s="1247"/>
      <c r="BVP8" s="1247"/>
      <c r="BVQ8" s="1247"/>
      <c r="BVR8" s="1247"/>
      <c r="BVS8" s="1247"/>
      <c r="BVT8" s="1247"/>
      <c r="BVU8" s="1247"/>
      <c r="BVV8" s="1247"/>
      <c r="BVW8" s="1247"/>
      <c r="BVX8" s="1247"/>
      <c r="BVY8" s="1247"/>
      <c r="BVZ8" s="1247"/>
      <c r="BWA8" s="1247"/>
      <c r="BWB8" s="1247"/>
      <c r="BWC8" s="1247"/>
      <c r="BWD8" s="1247"/>
      <c r="BWE8" s="1247"/>
      <c r="BWF8" s="1247"/>
      <c r="BWG8" s="1247"/>
      <c r="BWH8" s="1247"/>
      <c r="BWI8" s="1247"/>
      <c r="BWJ8" s="1247"/>
      <c r="BWK8" s="1247"/>
      <c r="BWL8" s="1247"/>
      <c r="BWM8" s="1247"/>
      <c r="BWN8" s="1247"/>
      <c r="BWO8" s="1247"/>
      <c r="BWP8" s="1247"/>
      <c r="BWQ8" s="1247"/>
      <c r="BWR8" s="1247"/>
      <c r="BWS8" s="1247"/>
      <c r="BWT8" s="1247"/>
      <c r="BWU8" s="1247"/>
      <c r="BWV8" s="1247"/>
      <c r="BWW8" s="1247"/>
      <c r="BWX8" s="1247"/>
      <c r="BWY8" s="1247"/>
      <c r="BWZ8" s="1247"/>
      <c r="BXA8" s="1247"/>
      <c r="BXB8" s="1247"/>
      <c r="BXC8" s="1247"/>
      <c r="BXD8" s="1247"/>
      <c r="BXE8" s="1247"/>
      <c r="BXF8" s="1247"/>
      <c r="BXG8" s="1247"/>
      <c r="BXH8" s="1247"/>
      <c r="BXI8" s="1247"/>
      <c r="BXJ8" s="1247"/>
      <c r="BXK8" s="1247"/>
      <c r="BXL8" s="1247"/>
      <c r="BXM8" s="1247"/>
      <c r="BXN8" s="1247"/>
      <c r="BXO8" s="1247"/>
      <c r="BXP8" s="1247"/>
      <c r="BXQ8" s="1247"/>
      <c r="BXR8" s="1247"/>
      <c r="BXS8" s="1247"/>
      <c r="BXT8" s="1247"/>
      <c r="BXU8" s="1247"/>
      <c r="BXV8" s="1247"/>
      <c r="BXW8" s="1247"/>
      <c r="BXX8" s="1247"/>
      <c r="BXY8" s="1247"/>
      <c r="BXZ8" s="1247"/>
      <c r="BYA8" s="1247"/>
      <c r="BYB8" s="1247"/>
      <c r="BYC8" s="1247"/>
      <c r="BYD8" s="1247"/>
      <c r="BYE8" s="1247"/>
      <c r="BYF8" s="1247"/>
      <c r="BYG8" s="1247"/>
      <c r="BYH8" s="1247"/>
      <c r="BYI8" s="1247"/>
      <c r="BYJ8" s="1247"/>
      <c r="BYK8" s="1247"/>
      <c r="BYL8" s="1247"/>
      <c r="BYM8" s="1247"/>
      <c r="BYN8" s="1247"/>
      <c r="BYO8" s="1247"/>
      <c r="BYP8" s="1247"/>
      <c r="BYQ8" s="1247"/>
      <c r="BYR8" s="1247"/>
      <c r="BYS8" s="1247"/>
      <c r="BYT8" s="1247"/>
      <c r="BYU8" s="1247"/>
      <c r="BYV8" s="1247"/>
      <c r="BYW8" s="1247"/>
      <c r="BYX8" s="1247"/>
      <c r="BYY8" s="1247"/>
      <c r="BYZ8" s="1247"/>
      <c r="BZA8" s="1247"/>
      <c r="BZB8" s="1247"/>
      <c r="BZC8" s="1247"/>
      <c r="BZD8" s="1247"/>
      <c r="BZE8" s="1247"/>
      <c r="BZF8" s="1247"/>
      <c r="BZG8" s="1247"/>
      <c r="BZH8" s="1247"/>
      <c r="BZI8" s="1247"/>
      <c r="BZJ8" s="1247"/>
      <c r="BZK8" s="1247"/>
      <c r="BZL8" s="1247"/>
      <c r="BZM8" s="1247"/>
      <c r="BZN8" s="1247"/>
      <c r="BZO8" s="1247"/>
      <c r="BZP8" s="1247"/>
      <c r="BZQ8" s="1247"/>
      <c r="BZR8" s="1247"/>
      <c r="BZS8" s="1247"/>
      <c r="BZT8" s="1247"/>
      <c r="BZU8" s="1247"/>
      <c r="BZV8" s="1247"/>
      <c r="BZW8" s="1247"/>
      <c r="BZX8" s="1247"/>
      <c r="BZY8" s="1247"/>
      <c r="BZZ8" s="1247"/>
      <c r="CAA8" s="1247"/>
      <c r="CAB8" s="1247"/>
      <c r="CAC8" s="1247"/>
      <c r="CAD8" s="1247"/>
      <c r="CAE8" s="1247"/>
      <c r="CAF8" s="1247"/>
      <c r="CAG8" s="1247"/>
      <c r="CAH8" s="1247"/>
      <c r="CAI8" s="1247"/>
      <c r="CAJ8" s="1247"/>
      <c r="CAK8" s="1247"/>
      <c r="CAL8" s="1247"/>
      <c r="CAM8" s="1247"/>
      <c r="CAN8" s="1247"/>
      <c r="CAO8" s="1247"/>
      <c r="CAP8" s="1247"/>
      <c r="CAQ8" s="1247"/>
      <c r="CAR8" s="1247"/>
      <c r="CAS8" s="1247"/>
      <c r="CAT8" s="1247"/>
      <c r="CAU8" s="1247"/>
      <c r="CAV8" s="1247"/>
      <c r="CAW8" s="1247"/>
      <c r="CAX8" s="1247"/>
      <c r="CAY8" s="1247"/>
      <c r="CAZ8" s="1247"/>
      <c r="CBA8" s="1247"/>
      <c r="CBB8" s="1247"/>
      <c r="CBC8" s="1247"/>
      <c r="CBD8" s="1247"/>
      <c r="CBE8" s="1247"/>
      <c r="CBF8" s="1247"/>
      <c r="CBG8" s="1247"/>
      <c r="CBH8" s="1247"/>
      <c r="CBI8" s="1247"/>
      <c r="CBJ8" s="1247"/>
      <c r="CBK8" s="1247"/>
      <c r="CBL8" s="1247"/>
      <c r="CBM8" s="1247"/>
      <c r="CBN8" s="1247"/>
      <c r="CBO8" s="1247"/>
      <c r="CBP8" s="1247"/>
      <c r="CBQ8" s="1247"/>
      <c r="CBR8" s="1247"/>
      <c r="CBS8" s="1247"/>
      <c r="CBT8" s="1247"/>
      <c r="CBU8" s="1247"/>
      <c r="CBV8" s="1247"/>
      <c r="CBW8" s="1247"/>
      <c r="CBX8" s="1247"/>
      <c r="CBY8" s="1247"/>
      <c r="CBZ8" s="1247"/>
      <c r="CCA8" s="1247"/>
      <c r="CCB8" s="1247"/>
      <c r="CCC8" s="1247"/>
      <c r="CCD8" s="1247"/>
      <c r="CCE8" s="1247"/>
      <c r="CCF8" s="1247"/>
      <c r="CCG8" s="1247"/>
      <c r="CCH8" s="1247"/>
      <c r="CCI8" s="1247"/>
      <c r="CCJ8" s="1247"/>
      <c r="CCK8" s="1247"/>
      <c r="CCL8" s="1247"/>
      <c r="CCM8" s="1247"/>
      <c r="CCN8" s="1247"/>
      <c r="CCO8" s="1247"/>
      <c r="CCP8" s="1247"/>
      <c r="CCQ8" s="1247"/>
      <c r="CCR8" s="1247"/>
      <c r="CCS8" s="1247"/>
      <c r="CCT8" s="1247"/>
      <c r="CCU8" s="1247"/>
      <c r="CCV8" s="1247"/>
      <c r="CCW8" s="1247"/>
      <c r="CCX8" s="1247"/>
      <c r="CCY8" s="1247"/>
      <c r="CCZ8" s="1247"/>
      <c r="CDA8" s="1247"/>
      <c r="CDB8" s="1247"/>
      <c r="CDC8" s="1247"/>
      <c r="CDD8" s="1247"/>
      <c r="CDE8" s="1247"/>
      <c r="CDF8" s="1247"/>
      <c r="CDG8" s="1247"/>
      <c r="CDH8" s="1247"/>
      <c r="CDI8" s="1247"/>
      <c r="CDJ8" s="1247"/>
      <c r="CDK8" s="1247"/>
      <c r="CDL8" s="1247"/>
      <c r="CDM8" s="1247"/>
      <c r="CDN8" s="1247"/>
      <c r="CDO8" s="1247"/>
      <c r="CDP8" s="1247"/>
      <c r="CDQ8" s="1247"/>
      <c r="CDR8" s="1247"/>
      <c r="CDS8" s="1247"/>
      <c r="CDT8" s="1247"/>
      <c r="CDU8" s="1247"/>
      <c r="CDV8" s="1247"/>
      <c r="CDW8" s="1247"/>
      <c r="CDX8" s="1247"/>
      <c r="CDY8" s="1247"/>
      <c r="CDZ8" s="1247"/>
      <c r="CEA8" s="1247"/>
      <c r="CEB8" s="1247"/>
      <c r="CEC8" s="1247"/>
      <c r="CED8" s="1247"/>
      <c r="CEE8" s="1247"/>
      <c r="CEF8" s="1247"/>
      <c r="CEG8" s="1247"/>
      <c r="CEH8" s="1247"/>
      <c r="CEI8" s="1247"/>
      <c r="CEJ8" s="1247"/>
      <c r="CEK8" s="1247"/>
      <c r="CEL8" s="1247"/>
      <c r="CEM8" s="1247"/>
      <c r="CEN8" s="1247"/>
      <c r="CEO8" s="1247"/>
      <c r="CEP8" s="1247"/>
      <c r="CEQ8" s="1247"/>
      <c r="CER8" s="1247"/>
      <c r="CES8" s="1247"/>
      <c r="CET8" s="1247"/>
      <c r="CEU8" s="1247"/>
      <c r="CEV8" s="1247"/>
      <c r="CEW8" s="1247"/>
      <c r="CEX8" s="1247"/>
      <c r="CEY8" s="1247"/>
      <c r="CEZ8" s="1247"/>
      <c r="CFA8" s="1247"/>
      <c r="CFB8" s="1247"/>
      <c r="CFC8" s="1247"/>
      <c r="CFD8" s="1247"/>
      <c r="CFE8" s="1247"/>
      <c r="CFF8" s="1247"/>
      <c r="CFG8" s="1247"/>
      <c r="CFH8" s="1247"/>
      <c r="CFI8" s="1247"/>
      <c r="CFJ8" s="1247"/>
      <c r="CFK8" s="1247"/>
      <c r="CFL8" s="1247"/>
      <c r="CFM8" s="1247"/>
      <c r="CFN8" s="1247"/>
      <c r="CFO8" s="1247"/>
      <c r="CFP8" s="1247"/>
      <c r="CFQ8" s="1247"/>
      <c r="CFR8" s="1247"/>
      <c r="CFS8" s="1247"/>
      <c r="CFT8" s="1247"/>
      <c r="CFU8" s="1247"/>
      <c r="CFV8" s="1247"/>
      <c r="CFW8" s="1247"/>
      <c r="CFX8" s="1247"/>
      <c r="CFY8" s="1247"/>
      <c r="CFZ8" s="1247"/>
      <c r="CGA8" s="1247"/>
      <c r="CGB8" s="1247"/>
      <c r="CGC8" s="1247"/>
      <c r="CGD8" s="1247"/>
      <c r="CGE8" s="1247"/>
      <c r="CGF8" s="1247"/>
      <c r="CGG8" s="1247"/>
      <c r="CGH8" s="1247"/>
      <c r="CGI8" s="1247"/>
      <c r="CGJ8" s="1247"/>
      <c r="CGK8" s="1247"/>
      <c r="CGL8" s="1247"/>
      <c r="CGM8" s="1247"/>
      <c r="CGN8" s="1247"/>
      <c r="CGO8" s="1247"/>
      <c r="CGP8" s="1247"/>
      <c r="CGQ8" s="1247"/>
      <c r="CGR8" s="1247"/>
      <c r="CGS8" s="1247"/>
      <c r="CGT8" s="1247"/>
      <c r="CGU8" s="1247"/>
      <c r="CGV8" s="1247"/>
      <c r="CGW8" s="1247"/>
      <c r="CGX8" s="1247"/>
      <c r="CGY8" s="1247"/>
      <c r="CGZ8" s="1247"/>
      <c r="CHA8" s="1247"/>
      <c r="CHB8" s="1247"/>
      <c r="CHC8" s="1247"/>
      <c r="CHD8" s="1247"/>
      <c r="CHE8" s="1247"/>
      <c r="CHF8" s="1247"/>
      <c r="CHG8" s="1247"/>
      <c r="CHH8" s="1247"/>
      <c r="CHI8" s="1247"/>
      <c r="CHJ8" s="1247"/>
      <c r="CHK8" s="1247"/>
      <c r="CHL8" s="1247"/>
      <c r="CHM8" s="1247"/>
      <c r="CHN8" s="1247"/>
      <c r="CHO8" s="1247"/>
      <c r="CHP8" s="1247"/>
      <c r="CHQ8" s="1247"/>
      <c r="CHR8" s="1247"/>
      <c r="CHS8" s="1247"/>
      <c r="CHT8" s="1247"/>
      <c r="CHU8" s="1247"/>
      <c r="CHV8" s="1247"/>
      <c r="CHW8" s="1247"/>
      <c r="CHX8" s="1247"/>
      <c r="CHY8" s="1247"/>
      <c r="CHZ8" s="1247"/>
      <c r="CIA8" s="1247"/>
      <c r="CIB8" s="1247"/>
      <c r="CIC8" s="1247"/>
      <c r="CID8" s="1247"/>
      <c r="CIE8" s="1247"/>
      <c r="CIF8" s="1247"/>
      <c r="CIG8" s="1247"/>
      <c r="CIH8" s="1247"/>
      <c r="CII8" s="1247"/>
      <c r="CIJ8" s="1247"/>
      <c r="CIK8" s="1247"/>
      <c r="CIL8" s="1247"/>
      <c r="CIM8" s="1247"/>
      <c r="CIN8" s="1247"/>
      <c r="CIO8" s="1247"/>
      <c r="CIP8" s="1247"/>
      <c r="CIQ8" s="1247"/>
      <c r="CIR8" s="1247"/>
      <c r="CIS8" s="1247"/>
      <c r="CIT8" s="1247"/>
      <c r="CIU8" s="1247"/>
      <c r="CIV8" s="1247"/>
      <c r="CIW8" s="1247"/>
      <c r="CIX8" s="1247"/>
      <c r="CIY8" s="1247"/>
      <c r="CIZ8" s="1247"/>
      <c r="CJA8" s="1247"/>
      <c r="CJB8" s="1247"/>
      <c r="CJC8" s="1247"/>
      <c r="CJD8" s="1247"/>
      <c r="CJE8" s="1247"/>
      <c r="CJF8" s="1247"/>
      <c r="CJG8" s="1247"/>
      <c r="CJH8" s="1247"/>
      <c r="CJI8" s="1247"/>
      <c r="CJJ8" s="1247"/>
      <c r="CJK8" s="1247"/>
      <c r="CJL8" s="1247"/>
      <c r="CJM8" s="1247"/>
      <c r="CJN8" s="1247"/>
      <c r="CJO8" s="1247"/>
      <c r="CJP8" s="1247"/>
      <c r="CJQ8" s="1247"/>
      <c r="CJR8" s="1247"/>
      <c r="CJS8" s="1247"/>
      <c r="CJT8" s="1247"/>
      <c r="CJU8" s="1247"/>
      <c r="CJV8" s="1247"/>
      <c r="CJW8" s="1247"/>
      <c r="CJX8" s="1247"/>
      <c r="CJY8" s="1247"/>
      <c r="CJZ8" s="1247"/>
      <c r="CKA8" s="1247"/>
      <c r="CKB8" s="1247"/>
      <c r="CKC8" s="1247"/>
      <c r="CKD8" s="1247"/>
      <c r="CKE8" s="1247"/>
      <c r="CKF8" s="1247"/>
      <c r="CKG8" s="1247"/>
      <c r="CKH8" s="1247"/>
      <c r="CKI8" s="1247"/>
      <c r="CKJ8" s="1247"/>
      <c r="CKK8" s="1247"/>
      <c r="CKL8" s="1247"/>
      <c r="CKM8" s="1247"/>
      <c r="CKN8" s="1247"/>
      <c r="CKO8" s="1247"/>
      <c r="CKP8" s="1247"/>
      <c r="CKQ8" s="1247"/>
      <c r="CKR8" s="1247"/>
      <c r="CKS8" s="1247"/>
      <c r="CKT8" s="1247"/>
      <c r="CKU8" s="1247"/>
      <c r="CKV8" s="1247"/>
      <c r="CKW8" s="1247"/>
      <c r="CKX8" s="1247"/>
      <c r="CKY8" s="1247"/>
      <c r="CKZ8" s="1247"/>
      <c r="CLA8" s="1247"/>
      <c r="CLB8" s="1247"/>
      <c r="CLC8" s="1247"/>
      <c r="CLD8" s="1247"/>
      <c r="CLE8" s="1247"/>
      <c r="CLF8" s="1247"/>
      <c r="CLG8" s="1247"/>
      <c r="CLH8" s="1247"/>
      <c r="CLI8" s="1247"/>
      <c r="CLJ8" s="1247"/>
      <c r="CLK8" s="1247"/>
      <c r="CLL8" s="1247"/>
      <c r="CLM8" s="1247"/>
      <c r="CLN8" s="1247"/>
      <c r="CLO8" s="1247"/>
      <c r="CLP8" s="1247"/>
      <c r="CLQ8" s="1247"/>
      <c r="CLR8" s="1247"/>
      <c r="CLS8" s="1247"/>
      <c r="CLT8" s="1247"/>
      <c r="CLU8" s="1247"/>
      <c r="CLV8" s="1247"/>
      <c r="CLW8" s="1247"/>
      <c r="CLX8" s="1247"/>
      <c r="CLY8" s="1247"/>
      <c r="CLZ8" s="1247"/>
      <c r="CMA8" s="1247"/>
      <c r="CMB8" s="1247"/>
      <c r="CMC8" s="1247"/>
      <c r="CMD8" s="1247"/>
      <c r="CME8" s="1247"/>
      <c r="CMF8" s="1247"/>
      <c r="CMG8" s="1247"/>
      <c r="CMH8" s="1247"/>
      <c r="CMI8" s="1247"/>
      <c r="CMJ8" s="1247"/>
      <c r="CMK8" s="1247"/>
      <c r="CML8" s="1247"/>
      <c r="CMM8" s="1247"/>
      <c r="CMN8" s="1247"/>
      <c r="CMO8" s="1247"/>
      <c r="CMP8" s="1247"/>
      <c r="CMQ8" s="1247"/>
      <c r="CMR8" s="1247"/>
      <c r="CMS8" s="1247"/>
      <c r="CMT8" s="1247"/>
      <c r="CMU8" s="1247"/>
      <c r="CMV8" s="1247"/>
      <c r="CMW8" s="1247"/>
      <c r="CMX8" s="1247"/>
      <c r="CMY8" s="1247"/>
      <c r="CMZ8" s="1247"/>
      <c r="CNA8" s="1247"/>
      <c r="CNB8" s="1247"/>
      <c r="CNC8" s="1247"/>
      <c r="CND8" s="1247"/>
      <c r="CNE8" s="1247"/>
      <c r="CNF8" s="1247"/>
      <c r="CNG8" s="1247"/>
      <c r="CNH8" s="1247"/>
      <c r="CNI8" s="1247"/>
      <c r="CNJ8" s="1247"/>
      <c r="CNK8" s="1247"/>
      <c r="CNL8" s="1247"/>
      <c r="CNM8" s="1247"/>
      <c r="CNN8" s="1247"/>
      <c r="CNO8" s="1247"/>
      <c r="CNP8" s="1247"/>
      <c r="CNQ8" s="1247"/>
      <c r="CNR8" s="1247"/>
      <c r="CNS8" s="1247"/>
      <c r="CNT8" s="1247"/>
      <c r="CNU8" s="1247"/>
      <c r="CNV8" s="1247"/>
      <c r="CNW8" s="1247"/>
      <c r="CNX8" s="1247"/>
      <c r="CNY8" s="1247"/>
      <c r="CNZ8" s="1247"/>
      <c r="COA8" s="1247"/>
      <c r="COB8" s="1247"/>
      <c r="COC8" s="1247"/>
      <c r="COD8" s="1247"/>
      <c r="COE8" s="1247"/>
      <c r="COF8" s="1247"/>
      <c r="COG8" s="1247"/>
      <c r="COH8" s="1247"/>
      <c r="COI8" s="1247"/>
      <c r="COJ8" s="1247"/>
      <c r="COK8" s="1247"/>
      <c r="COL8" s="1247"/>
      <c r="COM8" s="1247"/>
      <c r="CON8" s="1247"/>
      <c r="COO8" s="1247"/>
      <c r="COP8" s="1247"/>
      <c r="COQ8" s="1247"/>
      <c r="COR8" s="1247"/>
      <c r="COS8" s="1247"/>
      <c r="COT8" s="1247"/>
      <c r="COU8" s="1247"/>
      <c r="COV8" s="1247"/>
      <c r="COW8" s="1247"/>
      <c r="COX8" s="1247"/>
      <c r="COY8" s="1247"/>
      <c r="COZ8" s="1247"/>
      <c r="CPA8" s="1247"/>
      <c r="CPB8" s="1247"/>
      <c r="CPC8" s="1247"/>
      <c r="CPD8" s="1247"/>
      <c r="CPE8" s="1247"/>
      <c r="CPF8" s="1247"/>
      <c r="CPG8" s="1247"/>
      <c r="CPH8" s="1247"/>
      <c r="CPI8" s="1247"/>
      <c r="CPJ8" s="1247"/>
      <c r="CPK8" s="1247"/>
      <c r="CPL8" s="1247"/>
      <c r="CPM8" s="1247"/>
      <c r="CPN8" s="1247"/>
      <c r="CPO8" s="1247"/>
      <c r="CPP8" s="1247"/>
      <c r="CPQ8" s="1247"/>
      <c r="CPR8" s="1247"/>
      <c r="CPS8" s="1247"/>
      <c r="CPT8" s="1247"/>
      <c r="CPU8" s="1247"/>
      <c r="CPV8" s="1247"/>
      <c r="CPW8" s="1247"/>
      <c r="CPX8" s="1247"/>
      <c r="CPY8" s="1247"/>
      <c r="CPZ8" s="1247"/>
      <c r="CQA8" s="1247"/>
      <c r="CQB8" s="1247"/>
      <c r="CQC8" s="1247"/>
      <c r="CQD8" s="1247"/>
      <c r="CQE8" s="1247"/>
      <c r="CQF8" s="1247"/>
      <c r="CQG8" s="1247"/>
      <c r="CQH8" s="1247"/>
      <c r="CQI8" s="1247"/>
      <c r="CQJ8" s="1247"/>
      <c r="CQK8" s="1247"/>
      <c r="CQL8" s="1247"/>
      <c r="CQM8" s="1247"/>
      <c r="CQN8" s="1247"/>
      <c r="CQO8" s="1247"/>
      <c r="CQP8" s="1247"/>
      <c r="CQQ8" s="1247"/>
      <c r="CQR8" s="1247"/>
      <c r="CQS8" s="1247"/>
      <c r="CQT8" s="1247"/>
      <c r="CQU8" s="1247"/>
      <c r="CQV8" s="1247"/>
      <c r="CQW8" s="1247"/>
      <c r="CQX8" s="1247"/>
      <c r="CQY8" s="1247"/>
      <c r="CQZ8" s="1247"/>
      <c r="CRA8" s="1247"/>
      <c r="CRB8" s="1247"/>
      <c r="CRC8" s="1247"/>
      <c r="CRD8" s="1247"/>
      <c r="CRE8" s="1247"/>
      <c r="CRF8" s="1247"/>
      <c r="CRG8" s="1247"/>
      <c r="CRH8" s="1247"/>
      <c r="CRI8" s="1247"/>
      <c r="CRJ8" s="1247"/>
      <c r="CRK8" s="1247"/>
      <c r="CRL8" s="1247"/>
      <c r="CRM8" s="1247"/>
      <c r="CRN8" s="1247"/>
      <c r="CRO8" s="1247"/>
      <c r="CRP8" s="1247"/>
      <c r="CRQ8" s="1247"/>
      <c r="CRR8" s="1247"/>
      <c r="CRS8" s="1247"/>
      <c r="CRT8" s="1247"/>
      <c r="CRU8" s="1247"/>
      <c r="CRV8" s="1247"/>
      <c r="CRW8" s="1247"/>
      <c r="CRX8" s="1247"/>
      <c r="CRY8" s="1247"/>
      <c r="CRZ8" s="1247"/>
      <c r="CSA8" s="1247"/>
      <c r="CSB8" s="1247"/>
      <c r="CSC8" s="1247"/>
      <c r="CSD8" s="1247"/>
      <c r="CSE8" s="1247"/>
      <c r="CSF8" s="1247"/>
      <c r="CSG8" s="1247"/>
      <c r="CSH8" s="1247"/>
      <c r="CSI8" s="1247"/>
      <c r="CSJ8" s="1247"/>
      <c r="CSK8" s="1247"/>
      <c r="CSL8" s="1247"/>
      <c r="CSM8" s="1247"/>
      <c r="CSN8" s="1247"/>
      <c r="CSO8" s="1247"/>
      <c r="CSP8" s="1247"/>
      <c r="CSQ8" s="1247"/>
      <c r="CSR8" s="1247"/>
      <c r="CSS8" s="1247"/>
      <c r="CST8" s="1247"/>
      <c r="CSU8" s="1247"/>
      <c r="CSV8" s="1247"/>
      <c r="CSW8" s="1247"/>
      <c r="CSX8" s="1247"/>
      <c r="CSY8" s="1247"/>
      <c r="CSZ8" s="1247"/>
      <c r="CTA8" s="1247"/>
      <c r="CTB8" s="1247"/>
      <c r="CTC8" s="1247"/>
      <c r="CTD8" s="1247"/>
      <c r="CTE8" s="1247"/>
      <c r="CTF8" s="1247"/>
      <c r="CTG8" s="1247"/>
      <c r="CTH8" s="1247"/>
      <c r="CTI8" s="1247"/>
      <c r="CTJ8" s="1247"/>
      <c r="CTK8" s="1247"/>
      <c r="CTL8" s="1247"/>
      <c r="CTM8" s="1247"/>
      <c r="CTN8" s="1247"/>
      <c r="CTO8" s="1247"/>
      <c r="CTP8" s="1247"/>
      <c r="CTQ8" s="1247"/>
      <c r="CTR8" s="1247"/>
      <c r="CTS8" s="1247"/>
      <c r="CTT8" s="1247"/>
      <c r="CTU8" s="1247"/>
      <c r="CTV8" s="1247"/>
      <c r="CTW8" s="1247"/>
      <c r="CTX8" s="1247"/>
      <c r="CTY8" s="1247"/>
      <c r="CTZ8" s="1247"/>
      <c r="CUA8" s="1247"/>
      <c r="CUB8" s="1247"/>
      <c r="CUC8" s="1247"/>
      <c r="CUD8" s="1247"/>
      <c r="CUE8" s="1247"/>
      <c r="CUF8" s="1247"/>
      <c r="CUG8" s="1247"/>
      <c r="CUH8" s="1247"/>
      <c r="CUI8" s="1247"/>
      <c r="CUJ8" s="1247"/>
      <c r="CUK8" s="1247"/>
      <c r="CUL8" s="1247"/>
      <c r="CUM8" s="1247"/>
      <c r="CUN8" s="1247"/>
      <c r="CUO8" s="1247"/>
      <c r="CUP8" s="1247"/>
      <c r="CUQ8" s="1247"/>
      <c r="CUR8" s="1247"/>
      <c r="CUS8" s="1247"/>
      <c r="CUT8" s="1247"/>
      <c r="CUU8" s="1247"/>
      <c r="CUV8" s="1247"/>
      <c r="CUW8" s="1247"/>
      <c r="CUX8" s="1247"/>
      <c r="CUY8" s="1247"/>
      <c r="CUZ8" s="1247"/>
      <c r="CVA8" s="1247"/>
      <c r="CVB8" s="1247"/>
      <c r="CVC8" s="1247"/>
      <c r="CVD8" s="1247"/>
      <c r="CVE8" s="1247"/>
      <c r="CVF8" s="1247"/>
      <c r="CVG8" s="1247"/>
      <c r="CVH8" s="1247"/>
      <c r="CVI8" s="1247"/>
      <c r="CVJ8" s="1247"/>
      <c r="CVK8" s="1247"/>
      <c r="CVL8" s="1247"/>
      <c r="CVM8" s="1247"/>
      <c r="CVN8" s="1247"/>
      <c r="CVO8" s="1247"/>
      <c r="CVP8" s="1247"/>
      <c r="CVQ8" s="1247"/>
      <c r="CVR8" s="1247"/>
      <c r="CVS8" s="1247"/>
      <c r="CVT8" s="1247"/>
      <c r="CVU8" s="1247"/>
      <c r="CVV8" s="1247"/>
      <c r="CVW8" s="1247"/>
      <c r="CVX8" s="1247"/>
      <c r="CVY8" s="1247"/>
      <c r="CVZ8" s="1247"/>
      <c r="CWA8" s="1247"/>
      <c r="CWB8" s="1247"/>
      <c r="CWC8" s="1247"/>
      <c r="CWD8" s="1247"/>
      <c r="CWE8" s="1247"/>
      <c r="CWF8" s="1247"/>
      <c r="CWG8" s="1247"/>
      <c r="CWH8" s="1247"/>
      <c r="CWI8" s="1247"/>
      <c r="CWJ8" s="1247"/>
      <c r="CWK8" s="1247"/>
      <c r="CWL8" s="1247"/>
      <c r="CWM8" s="1247"/>
      <c r="CWN8" s="1247"/>
      <c r="CWO8" s="1247"/>
      <c r="CWP8" s="1247"/>
      <c r="CWQ8" s="1247"/>
      <c r="CWR8" s="1247"/>
      <c r="CWS8" s="1247"/>
      <c r="CWT8" s="1247"/>
      <c r="CWU8" s="1247"/>
      <c r="CWV8" s="1247"/>
      <c r="CWW8" s="1247"/>
      <c r="CWX8" s="1247"/>
      <c r="CWY8" s="1247"/>
      <c r="CWZ8" s="1247"/>
      <c r="CXA8" s="1247"/>
      <c r="CXB8" s="1247"/>
      <c r="CXC8" s="1247"/>
      <c r="CXD8" s="1247"/>
      <c r="CXE8" s="1247"/>
      <c r="CXF8" s="1247"/>
      <c r="CXG8" s="1247"/>
      <c r="CXH8" s="1247"/>
      <c r="CXI8" s="1247"/>
      <c r="CXJ8" s="1247"/>
      <c r="CXK8" s="1247"/>
      <c r="CXL8" s="1247"/>
      <c r="CXM8" s="1247"/>
      <c r="CXN8" s="1247"/>
      <c r="CXO8" s="1247"/>
      <c r="CXP8" s="1247"/>
      <c r="CXQ8" s="1247"/>
      <c r="CXR8" s="1247"/>
      <c r="CXS8" s="1247"/>
      <c r="CXT8" s="1247"/>
      <c r="CXU8" s="1247"/>
      <c r="CXV8" s="1247"/>
      <c r="CXW8" s="1247"/>
      <c r="CXX8" s="1247"/>
      <c r="CXY8" s="1247"/>
      <c r="CXZ8" s="1247"/>
      <c r="CYA8" s="1247"/>
      <c r="CYB8" s="1247"/>
      <c r="CYC8" s="1247"/>
      <c r="CYD8" s="1247"/>
      <c r="CYE8" s="1247"/>
      <c r="CYF8" s="1247"/>
      <c r="CYG8" s="1247"/>
      <c r="CYH8" s="1247"/>
      <c r="CYI8" s="1247"/>
      <c r="CYJ8" s="1247"/>
      <c r="CYK8" s="1247"/>
      <c r="CYL8" s="1247"/>
      <c r="CYM8" s="1247"/>
      <c r="CYN8" s="1247"/>
      <c r="CYO8" s="1247"/>
      <c r="CYP8" s="1247"/>
      <c r="CYQ8" s="1247"/>
      <c r="CYR8" s="1247"/>
      <c r="CYS8" s="1247"/>
      <c r="CYT8" s="1247"/>
      <c r="CYU8" s="1247"/>
      <c r="CYV8" s="1247"/>
      <c r="CYW8" s="1247"/>
      <c r="CYX8" s="1247"/>
      <c r="CYY8" s="1247"/>
      <c r="CYZ8" s="1247"/>
      <c r="CZA8" s="1247"/>
      <c r="CZB8" s="1247"/>
      <c r="CZC8" s="1247"/>
      <c r="CZD8" s="1247"/>
      <c r="CZE8" s="1247"/>
      <c r="CZF8" s="1247"/>
      <c r="CZG8" s="1247"/>
      <c r="CZH8" s="1247"/>
      <c r="CZI8" s="1247"/>
      <c r="CZJ8" s="1247"/>
      <c r="CZK8" s="1247"/>
      <c r="CZL8" s="1247"/>
      <c r="CZM8" s="1247"/>
      <c r="CZN8" s="1247"/>
      <c r="CZO8" s="1247"/>
      <c r="CZP8" s="1247"/>
      <c r="CZQ8" s="1247"/>
      <c r="CZR8" s="1247"/>
      <c r="CZS8" s="1247"/>
      <c r="CZT8" s="1247"/>
      <c r="CZU8" s="1247"/>
      <c r="CZV8" s="1247"/>
      <c r="CZW8" s="1247"/>
      <c r="CZX8" s="1247"/>
      <c r="CZY8" s="1247"/>
      <c r="CZZ8" s="1247"/>
      <c r="DAA8" s="1247"/>
      <c r="DAB8" s="1247"/>
      <c r="DAC8" s="1247"/>
      <c r="DAD8" s="1247"/>
      <c r="DAE8" s="1247"/>
      <c r="DAF8" s="1247"/>
      <c r="DAG8" s="1247"/>
      <c r="DAH8" s="1247"/>
      <c r="DAI8" s="1247"/>
      <c r="DAJ8" s="1247"/>
      <c r="DAK8" s="1247"/>
      <c r="DAL8" s="1247"/>
      <c r="DAM8" s="1247"/>
      <c r="DAN8" s="1247"/>
      <c r="DAO8" s="1247"/>
      <c r="DAP8" s="1247"/>
      <c r="DAQ8" s="1247"/>
      <c r="DAR8" s="1247"/>
      <c r="DAS8" s="1247"/>
      <c r="DAT8" s="1247"/>
      <c r="DAU8" s="1247"/>
      <c r="DAV8" s="1247"/>
      <c r="DAW8" s="1247"/>
      <c r="DAX8" s="1247"/>
      <c r="DAY8" s="1247"/>
      <c r="DAZ8" s="1247"/>
      <c r="DBA8" s="1247"/>
      <c r="DBB8" s="1247"/>
      <c r="DBC8" s="1247"/>
      <c r="DBD8" s="1247"/>
      <c r="DBE8" s="1247"/>
      <c r="DBF8" s="1247"/>
      <c r="DBG8" s="1247"/>
      <c r="DBH8" s="1247"/>
      <c r="DBI8" s="1247"/>
      <c r="DBJ8" s="1247"/>
      <c r="DBK8" s="1247"/>
      <c r="DBL8" s="1247"/>
      <c r="DBM8" s="1247"/>
      <c r="DBN8" s="1247"/>
      <c r="DBO8" s="1247"/>
      <c r="DBP8" s="1247"/>
      <c r="DBQ8" s="1247"/>
      <c r="DBR8" s="1247"/>
      <c r="DBS8" s="1247"/>
      <c r="DBT8" s="1247"/>
      <c r="DBU8" s="1247"/>
      <c r="DBV8" s="1247"/>
      <c r="DBW8" s="1247"/>
      <c r="DBX8" s="1247"/>
      <c r="DBY8" s="1247"/>
      <c r="DBZ8" s="1247"/>
      <c r="DCA8" s="1247"/>
      <c r="DCB8" s="1247"/>
      <c r="DCC8" s="1247"/>
      <c r="DCD8" s="1247"/>
      <c r="DCE8" s="1247"/>
      <c r="DCF8" s="1247"/>
      <c r="DCG8" s="1247"/>
      <c r="DCH8" s="1247"/>
      <c r="DCI8" s="1247"/>
      <c r="DCJ8" s="1247"/>
      <c r="DCK8" s="1247"/>
      <c r="DCL8" s="1247"/>
      <c r="DCM8" s="1247"/>
      <c r="DCN8" s="1247"/>
      <c r="DCO8" s="1247"/>
      <c r="DCP8" s="1247"/>
      <c r="DCQ8" s="1247"/>
      <c r="DCR8" s="1247"/>
      <c r="DCS8" s="1247"/>
      <c r="DCT8" s="1247"/>
      <c r="DCU8" s="1247"/>
      <c r="DCV8" s="1247"/>
      <c r="DCW8" s="1247"/>
      <c r="DCX8" s="1247"/>
      <c r="DCY8" s="1247"/>
      <c r="DCZ8" s="1247"/>
      <c r="DDA8" s="1247"/>
      <c r="DDB8" s="1247"/>
      <c r="DDC8" s="1247"/>
      <c r="DDD8" s="1247"/>
      <c r="DDE8" s="1247"/>
      <c r="DDF8" s="1247"/>
      <c r="DDG8" s="1247"/>
      <c r="DDH8" s="1247"/>
      <c r="DDI8" s="1247"/>
      <c r="DDJ8" s="1247"/>
      <c r="DDK8" s="1247"/>
      <c r="DDL8" s="1247"/>
      <c r="DDM8" s="1247"/>
      <c r="DDN8" s="1247"/>
      <c r="DDO8" s="1247"/>
      <c r="DDP8" s="1247"/>
      <c r="DDQ8" s="1247"/>
      <c r="DDR8" s="1247"/>
      <c r="DDS8" s="1247"/>
      <c r="DDT8" s="1247"/>
      <c r="DDU8" s="1247"/>
      <c r="DDV8" s="1247"/>
      <c r="DDW8" s="1247"/>
      <c r="DDX8" s="1247"/>
      <c r="DDY8" s="1247"/>
      <c r="DDZ8" s="1247"/>
      <c r="DEA8" s="1247"/>
      <c r="DEB8" s="1247"/>
      <c r="DEC8" s="1247"/>
      <c r="DED8" s="1247"/>
      <c r="DEE8" s="1247"/>
      <c r="DEF8" s="1247"/>
      <c r="DEG8" s="1247"/>
      <c r="DEH8" s="1247"/>
      <c r="DEI8" s="1247"/>
      <c r="DEJ8" s="1247"/>
      <c r="DEK8" s="1247"/>
      <c r="DEL8" s="1247"/>
      <c r="DEM8" s="1247"/>
      <c r="DEN8" s="1247"/>
      <c r="DEO8" s="1247"/>
      <c r="DEP8" s="1247"/>
      <c r="DEQ8" s="1247"/>
      <c r="DER8" s="1247"/>
      <c r="DES8" s="1247"/>
      <c r="DET8" s="1247"/>
      <c r="DEU8" s="1247"/>
      <c r="DEV8" s="1247"/>
      <c r="DEW8" s="1247"/>
      <c r="DEX8" s="1247"/>
      <c r="DEY8" s="1247"/>
      <c r="DEZ8" s="1247"/>
      <c r="DFA8" s="1247"/>
      <c r="DFB8" s="1247"/>
      <c r="DFC8" s="1247"/>
      <c r="DFD8" s="1247"/>
      <c r="DFE8" s="1247"/>
      <c r="DFF8" s="1247"/>
      <c r="DFG8" s="1247"/>
      <c r="DFH8" s="1247"/>
      <c r="DFI8" s="1247"/>
      <c r="DFJ8" s="1247"/>
      <c r="DFK8" s="1247"/>
      <c r="DFL8" s="1247"/>
      <c r="DFM8" s="1247"/>
      <c r="DFN8" s="1247"/>
      <c r="DFO8" s="1247"/>
      <c r="DFP8" s="1247"/>
      <c r="DFQ8" s="1247"/>
      <c r="DFR8" s="1247"/>
      <c r="DFS8" s="1247"/>
      <c r="DFT8" s="1247"/>
      <c r="DFU8" s="1247"/>
      <c r="DFV8" s="1247"/>
      <c r="DFW8" s="1247"/>
      <c r="DFX8" s="1247"/>
      <c r="DFY8" s="1247"/>
      <c r="DFZ8" s="1247"/>
      <c r="DGA8" s="1247"/>
      <c r="DGB8" s="1247"/>
      <c r="DGC8" s="1247"/>
      <c r="DGD8" s="1247"/>
      <c r="DGE8" s="1247"/>
      <c r="DGF8" s="1247"/>
      <c r="DGG8" s="1247"/>
      <c r="DGH8" s="1247"/>
      <c r="DGI8" s="1247"/>
      <c r="DGJ8" s="1247"/>
      <c r="DGK8" s="1247"/>
      <c r="DGL8" s="1247"/>
      <c r="DGM8" s="1247"/>
      <c r="DGN8" s="1247"/>
      <c r="DGO8" s="1247"/>
      <c r="DGP8" s="1247"/>
      <c r="DGQ8" s="1247"/>
      <c r="DGR8" s="1247"/>
      <c r="DGS8" s="1247"/>
      <c r="DGT8" s="1247"/>
      <c r="DGU8" s="1247"/>
      <c r="DGV8" s="1247"/>
      <c r="DGW8" s="1247"/>
      <c r="DGX8" s="1247"/>
      <c r="DGY8" s="1247"/>
      <c r="DGZ8" s="1247"/>
      <c r="DHA8" s="1247"/>
      <c r="DHB8" s="1247"/>
      <c r="DHC8" s="1247"/>
      <c r="DHD8" s="1247"/>
      <c r="DHE8" s="1247"/>
      <c r="DHF8" s="1247"/>
      <c r="DHG8" s="1247"/>
      <c r="DHH8" s="1247"/>
      <c r="DHI8" s="1247"/>
      <c r="DHJ8" s="1247"/>
      <c r="DHK8" s="1247"/>
      <c r="DHL8" s="1247"/>
      <c r="DHM8" s="1247"/>
      <c r="DHN8" s="1247"/>
      <c r="DHO8" s="1247"/>
      <c r="DHP8" s="1247"/>
      <c r="DHQ8" s="1247"/>
      <c r="DHR8" s="1247"/>
      <c r="DHS8" s="1247"/>
      <c r="DHT8" s="1247"/>
      <c r="DHU8" s="1247"/>
      <c r="DHV8" s="1247"/>
      <c r="DHW8" s="1247"/>
      <c r="DHX8" s="1247"/>
      <c r="DHY8" s="1247"/>
      <c r="DHZ8" s="1247"/>
      <c r="DIA8" s="1247"/>
      <c r="DIB8" s="1247"/>
      <c r="DIC8" s="1247"/>
      <c r="DID8" s="1247"/>
      <c r="DIE8" s="1247"/>
      <c r="DIF8" s="1247"/>
      <c r="DIG8" s="1247"/>
      <c r="DIH8" s="1247"/>
      <c r="DII8" s="1247"/>
      <c r="DIJ8" s="1247"/>
      <c r="DIK8" s="1247"/>
      <c r="DIL8" s="1247"/>
      <c r="DIM8" s="1247"/>
      <c r="DIN8" s="1247"/>
      <c r="DIO8" s="1247"/>
      <c r="DIP8" s="1247"/>
      <c r="DIQ8" s="1247"/>
      <c r="DIR8" s="1247"/>
      <c r="DIS8" s="1247"/>
      <c r="DIT8" s="1247"/>
      <c r="DIU8" s="1247"/>
      <c r="DIV8" s="1247"/>
      <c r="DIW8" s="1247"/>
      <c r="DIX8" s="1247"/>
      <c r="DIY8" s="1247"/>
      <c r="DIZ8" s="1247"/>
      <c r="DJA8" s="1247"/>
      <c r="DJB8" s="1247"/>
      <c r="DJC8" s="1247"/>
      <c r="DJD8" s="1247"/>
      <c r="DJE8" s="1247"/>
      <c r="DJF8" s="1247"/>
      <c r="DJG8" s="1247"/>
      <c r="DJH8" s="1247"/>
      <c r="DJI8" s="1247"/>
      <c r="DJJ8" s="1247"/>
      <c r="DJK8" s="1247"/>
      <c r="DJL8" s="1247"/>
      <c r="DJM8" s="1247"/>
      <c r="DJN8" s="1247"/>
      <c r="DJO8" s="1247"/>
      <c r="DJP8" s="1247"/>
      <c r="DJQ8" s="1247"/>
      <c r="DJR8" s="1247"/>
      <c r="DJS8" s="1247"/>
      <c r="DJT8" s="1247"/>
      <c r="DJU8" s="1247"/>
      <c r="DJV8" s="1247"/>
      <c r="DJW8" s="1247"/>
      <c r="DJX8" s="1247"/>
      <c r="DJY8" s="1247"/>
      <c r="DJZ8" s="1247"/>
      <c r="DKA8" s="1247"/>
      <c r="DKB8" s="1247"/>
      <c r="DKC8" s="1247"/>
      <c r="DKD8" s="1247"/>
      <c r="DKE8" s="1247"/>
      <c r="DKF8" s="1247"/>
      <c r="DKG8" s="1247"/>
      <c r="DKH8" s="1247"/>
      <c r="DKI8" s="1247"/>
      <c r="DKJ8" s="1247"/>
      <c r="DKK8" s="1247"/>
      <c r="DKL8" s="1247"/>
      <c r="DKM8" s="1247"/>
      <c r="DKN8" s="1247"/>
      <c r="DKO8" s="1247"/>
      <c r="DKP8" s="1247"/>
      <c r="DKQ8" s="1247"/>
      <c r="DKR8" s="1247"/>
      <c r="DKS8" s="1247"/>
      <c r="DKT8" s="1247"/>
      <c r="DKU8" s="1247"/>
      <c r="DKV8" s="1247"/>
      <c r="DKW8" s="1247"/>
      <c r="DKX8" s="1247"/>
      <c r="DKY8" s="1247"/>
      <c r="DKZ8" s="1247"/>
      <c r="DLA8" s="1247"/>
      <c r="DLB8" s="1247"/>
      <c r="DLC8" s="1247"/>
      <c r="DLD8" s="1247"/>
      <c r="DLE8" s="1247"/>
      <c r="DLF8" s="1247"/>
      <c r="DLG8" s="1247"/>
      <c r="DLH8" s="1247"/>
      <c r="DLI8" s="1247"/>
      <c r="DLJ8" s="1247"/>
      <c r="DLK8" s="1247"/>
      <c r="DLL8" s="1247"/>
      <c r="DLM8" s="1247"/>
      <c r="DLN8" s="1247"/>
      <c r="DLO8" s="1247"/>
      <c r="DLP8" s="1247"/>
      <c r="DLQ8" s="1247"/>
      <c r="DLR8" s="1247"/>
      <c r="DLS8" s="1247"/>
      <c r="DLT8" s="1247"/>
      <c r="DLU8" s="1247"/>
      <c r="DLV8" s="1247"/>
      <c r="DLW8" s="1247"/>
      <c r="DLX8" s="1247"/>
      <c r="DLY8" s="1247"/>
      <c r="DLZ8" s="1247"/>
      <c r="DMA8" s="1247"/>
      <c r="DMB8" s="1247"/>
      <c r="DMC8" s="1247"/>
      <c r="DMD8" s="1247"/>
      <c r="DME8" s="1247"/>
      <c r="DMF8" s="1247"/>
      <c r="DMG8" s="1247"/>
      <c r="DMH8" s="1247"/>
      <c r="DMI8" s="1247"/>
      <c r="DMJ8" s="1247"/>
      <c r="DMK8" s="1247"/>
      <c r="DML8" s="1247"/>
      <c r="DMM8" s="1247"/>
      <c r="DMN8" s="1247"/>
      <c r="DMO8" s="1247"/>
      <c r="DMP8" s="1247"/>
      <c r="DMQ8" s="1247"/>
      <c r="DMR8" s="1247"/>
      <c r="DMS8" s="1247"/>
      <c r="DMT8" s="1247"/>
      <c r="DMU8" s="1247"/>
      <c r="DMV8" s="1247"/>
      <c r="DMW8" s="1247"/>
      <c r="DMX8" s="1247"/>
      <c r="DMY8" s="1247"/>
      <c r="DMZ8" s="1247"/>
      <c r="DNA8" s="1247"/>
      <c r="DNB8" s="1247"/>
      <c r="DNC8" s="1247"/>
      <c r="DND8" s="1247"/>
      <c r="DNE8" s="1247"/>
      <c r="DNF8" s="1247"/>
      <c r="DNG8" s="1247"/>
      <c r="DNH8" s="1247"/>
      <c r="DNI8" s="1247"/>
      <c r="DNJ8" s="1247"/>
      <c r="DNK8" s="1247"/>
      <c r="DNL8" s="1247"/>
      <c r="DNM8" s="1247"/>
      <c r="DNN8" s="1247"/>
      <c r="DNO8" s="1247"/>
      <c r="DNP8" s="1247"/>
      <c r="DNQ8" s="1247"/>
      <c r="DNR8" s="1247"/>
      <c r="DNS8" s="1247"/>
      <c r="DNT8" s="1247"/>
      <c r="DNU8" s="1247"/>
      <c r="DNV8" s="1247"/>
      <c r="DNW8" s="1247"/>
      <c r="DNX8" s="1247"/>
      <c r="DNY8" s="1247"/>
      <c r="DNZ8" s="1247"/>
      <c r="DOA8" s="1247"/>
      <c r="DOB8" s="1247"/>
      <c r="DOC8" s="1247"/>
      <c r="DOD8" s="1247"/>
      <c r="DOE8" s="1247"/>
      <c r="DOF8" s="1247"/>
      <c r="DOG8" s="1247"/>
      <c r="DOH8" s="1247"/>
      <c r="DOI8" s="1247"/>
      <c r="DOJ8" s="1247"/>
      <c r="DOK8" s="1247"/>
      <c r="DOL8" s="1247"/>
      <c r="DOM8" s="1247"/>
      <c r="DON8" s="1247"/>
      <c r="DOO8" s="1247"/>
      <c r="DOP8" s="1247"/>
      <c r="DOQ8" s="1247"/>
      <c r="DOR8" s="1247"/>
      <c r="DOS8" s="1247"/>
      <c r="DOT8" s="1247"/>
      <c r="DOU8" s="1247"/>
      <c r="DOV8" s="1247"/>
      <c r="DOW8" s="1247"/>
      <c r="DOX8" s="1247"/>
      <c r="DOY8" s="1247"/>
      <c r="DOZ8" s="1247"/>
      <c r="DPA8" s="1247"/>
      <c r="DPB8" s="1247"/>
      <c r="DPC8" s="1247"/>
      <c r="DPD8" s="1247"/>
      <c r="DPE8" s="1247"/>
      <c r="DPF8" s="1247"/>
      <c r="DPG8" s="1247"/>
      <c r="DPH8" s="1247"/>
      <c r="DPI8" s="1247"/>
      <c r="DPJ8" s="1247"/>
      <c r="DPK8" s="1247"/>
      <c r="DPL8" s="1247"/>
      <c r="DPM8" s="1247"/>
      <c r="DPN8" s="1247"/>
      <c r="DPO8" s="1247"/>
      <c r="DPP8" s="1247"/>
      <c r="DPQ8" s="1247"/>
      <c r="DPR8" s="1247"/>
      <c r="DPS8" s="1247"/>
      <c r="DPT8" s="1247"/>
      <c r="DPU8" s="1247"/>
      <c r="DPV8" s="1247"/>
      <c r="DPW8" s="1247"/>
      <c r="DPX8" s="1247"/>
      <c r="DPY8" s="1247"/>
      <c r="DPZ8" s="1247"/>
      <c r="DQA8" s="1247"/>
      <c r="DQB8" s="1247"/>
      <c r="DQC8" s="1247"/>
      <c r="DQD8" s="1247"/>
      <c r="DQE8" s="1247"/>
      <c r="DQF8" s="1247"/>
      <c r="DQG8" s="1247"/>
      <c r="DQH8" s="1247"/>
      <c r="DQI8" s="1247"/>
      <c r="DQJ8" s="1247"/>
      <c r="DQK8" s="1247"/>
      <c r="DQL8" s="1247"/>
      <c r="DQM8" s="1247"/>
      <c r="DQN8" s="1247"/>
      <c r="DQO8" s="1247"/>
      <c r="DQP8" s="1247"/>
      <c r="DQQ8" s="1247"/>
      <c r="DQR8" s="1247"/>
      <c r="DQS8" s="1247"/>
      <c r="DQT8" s="1247"/>
      <c r="DQU8" s="1247"/>
      <c r="DQV8" s="1247"/>
      <c r="DQW8" s="1247"/>
      <c r="DQX8" s="1247"/>
      <c r="DQY8" s="1247"/>
      <c r="DQZ8" s="1247"/>
      <c r="DRA8" s="1247"/>
      <c r="DRB8" s="1247"/>
      <c r="DRC8" s="1247"/>
      <c r="DRD8" s="1247"/>
      <c r="DRE8" s="1247"/>
      <c r="DRF8" s="1247"/>
      <c r="DRG8" s="1247"/>
      <c r="DRH8" s="1247"/>
      <c r="DRI8" s="1247"/>
      <c r="DRJ8" s="1247"/>
      <c r="DRK8" s="1247"/>
      <c r="DRL8" s="1247"/>
      <c r="DRM8" s="1247"/>
      <c r="DRN8" s="1247"/>
      <c r="DRO8" s="1247"/>
      <c r="DRP8" s="1247"/>
      <c r="DRQ8" s="1247"/>
      <c r="DRR8" s="1247"/>
      <c r="DRS8" s="1247"/>
      <c r="DRT8" s="1247"/>
      <c r="DRU8" s="1247"/>
      <c r="DRV8" s="1247"/>
      <c r="DRW8" s="1247"/>
      <c r="DRX8" s="1247"/>
      <c r="DRY8" s="1247"/>
      <c r="DRZ8" s="1247"/>
      <c r="DSA8" s="1247"/>
      <c r="DSB8" s="1247"/>
      <c r="DSC8" s="1247"/>
      <c r="DSD8" s="1247"/>
      <c r="DSE8" s="1247"/>
      <c r="DSF8" s="1247"/>
      <c r="DSG8" s="1247"/>
      <c r="DSH8" s="1247"/>
      <c r="DSI8" s="1247"/>
      <c r="DSJ8" s="1247"/>
      <c r="DSK8" s="1247"/>
      <c r="DSL8" s="1247"/>
      <c r="DSM8" s="1247"/>
      <c r="DSN8" s="1247"/>
      <c r="DSO8" s="1247"/>
      <c r="DSP8" s="1247"/>
      <c r="DSQ8" s="1247"/>
      <c r="DSR8" s="1247"/>
      <c r="DSS8" s="1247"/>
      <c r="DST8" s="1247"/>
      <c r="DSU8" s="1247"/>
      <c r="DSV8" s="1247"/>
      <c r="DSW8" s="1247"/>
      <c r="DSX8" s="1247"/>
      <c r="DSY8" s="1247"/>
      <c r="DSZ8" s="1247"/>
      <c r="DTA8" s="1247"/>
      <c r="DTB8" s="1247"/>
      <c r="DTC8" s="1247"/>
      <c r="DTD8" s="1247"/>
      <c r="DTE8" s="1247"/>
      <c r="DTF8" s="1247"/>
      <c r="DTG8" s="1247"/>
      <c r="DTH8" s="1247"/>
      <c r="DTI8" s="1247"/>
      <c r="DTJ8" s="1247"/>
      <c r="DTK8" s="1247"/>
      <c r="DTL8" s="1247"/>
      <c r="DTM8" s="1247"/>
      <c r="DTN8" s="1247"/>
      <c r="DTO8" s="1247"/>
      <c r="DTP8" s="1247"/>
      <c r="DTQ8" s="1247"/>
      <c r="DTR8" s="1247"/>
      <c r="DTS8" s="1247"/>
      <c r="DTT8" s="1247"/>
      <c r="DTU8" s="1247"/>
      <c r="DTV8" s="1247"/>
      <c r="DTW8" s="1247"/>
      <c r="DTX8" s="1247"/>
      <c r="DTY8" s="1247"/>
      <c r="DTZ8" s="1247"/>
      <c r="DUA8" s="1247"/>
      <c r="DUB8" s="1247"/>
      <c r="DUC8" s="1247"/>
      <c r="DUD8" s="1247"/>
      <c r="DUE8" s="1247"/>
      <c r="DUF8" s="1247"/>
      <c r="DUG8" s="1247"/>
      <c r="DUH8" s="1247"/>
      <c r="DUI8" s="1247"/>
      <c r="DUJ8" s="1247"/>
      <c r="DUK8" s="1247"/>
      <c r="DUL8" s="1247"/>
      <c r="DUM8" s="1247"/>
      <c r="DUN8" s="1247"/>
      <c r="DUO8" s="1247"/>
      <c r="DUP8" s="1247"/>
      <c r="DUQ8" s="1247"/>
      <c r="DUR8" s="1247"/>
      <c r="DUS8" s="1247"/>
      <c r="DUT8" s="1247"/>
      <c r="DUU8" s="1247"/>
      <c r="DUV8" s="1247"/>
      <c r="DUW8" s="1247"/>
      <c r="DUX8" s="1247"/>
      <c r="DUY8" s="1247"/>
      <c r="DUZ8" s="1247"/>
      <c r="DVA8" s="1247"/>
      <c r="DVB8" s="1247"/>
      <c r="DVC8" s="1247"/>
      <c r="DVD8" s="1247"/>
      <c r="DVE8" s="1247"/>
      <c r="DVF8" s="1247"/>
      <c r="DVG8" s="1247"/>
      <c r="DVH8" s="1247"/>
      <c r="DVI8" s="1247"/>
      <c r="DVJ8" s="1247"/>
      <c r="DVK8" s="1247"/>
      <c r="DVL8" s="1247"/>
      <c r="DVM8" s="1247"/>
      <c r="DVN8" s="1247"/>
      <c r="DVO8" s="1247"/>
      <c r="DVP8" s="1247"/>
      <c r="DVQ8" s="1247"/>
      <c r="DVR8" s="1247"/>
      <c r="DVS8" s="1247"/>
      <c r="DVT8" s="1247"/>
      <c r="DVU8" s="1247"/>
      <c r="DVV8" s="1247"/>
      <c r="DVW8" s="1247"/>
      <c r="DVX8" s="1247"/>
      <c r="DVY8" s="1247"/>
      <c r="DVZ8" s="1247"/>
      <c r="DWA8" s="1247"/>
      <c r="DWB8" s="1247"/>
      <c r="DWC8" s="1247"/>
      <c r="DWD8" s="1247"/>
      <c r="DWE8" s="1247"/>
      <c r="DWF8" s="1247"/>
      <c r="DWG8" s="1247"/>
      <c r="DWH8" s="1247"/>
      <c r="DWI8" s="1247"/>
      <c r="DWJ8" s="1247"/>
      <c r="DWK8" s="1247"/>
      <c r="DWL8" s="1247"/>
      <c r="DWM8" s="1247"/>
      <c r="DWN8" s="1247"/>
      <c r="DWO8" s="1247"/>
      <c r="DWP8" s="1247"/>
      <c r="DWQ8" s="1247"/>
      <c r="DWR8" s="1247"/>
      <c r="DWS8" s="1247"/>
      <c r="DWT8" s="1247"/>
      <c r="DWU8" s="1247"/>
      <c r="DWV8" s="1247"/>
      <c r="DWW8" s="1247"/>
      <c r="DWX8" s="1247"/>
      <c r="DWY8" s="1247"/>
      <c r="DWZ8" s="1247"/>
      <c r="DXA8" s="1247"/>
      <c r="DXB8" s="1247"/>
      <c r="DXC8" s="1247"/>
      <c r="DXD8" s="1247"/>
      <c r="DXE8" s="1247"/>
      <c r="DXF8" s="1247"/>
      <c r="DXG8" s="1247"/>
      <c r="DXH8" s="1247"/>
      <c r="DXI8" s="1247"/>
      <c r="DXJ8" s="1247"/>
      <c r="DXK8" s="1247"/>
      <c r="DXL8" s="1247"/>
      <c r="DXM8" s="1247"/>
      <c r="DXN8" s="1247"/>
      <c r="DXO8" s="1247"/>
      <c r="DXP8" s="1247"/>
      <c r="DXQ8" s="1247"/>
      <c r="DXR8" s="1247"/>
      <c r="DXS8" s="1247"/>
      <c r="DXT8" s="1247"/>
      <c r="DXU8" s="1247"/>
      <c r="DXV8" s="1247"/>
      <c r="DXW8" s="1247"/>
      <c r="DXX8" s="1247"/>
      <c r="DXY8" s="1247"/>
      <c r="DXZ8" s="1247"/>
      <c r="DYA8" s="1247"/>
      <c r="DYB8" s="1247"/>
      <c r="DYC8" s="1247"/>
      <c r="DYD8" s="1247"/>
      <c r="DYE8" s="1247"/>
      <c r="DYF8" s="1247"/>
      <c r="DYG8" s="1247"/>
      <c r="DYH8" s="1247"/>
      <c r="DYI8" s="1247"/>
      <c r="DYJ8" s="1247"/>
      <c r="DYK8" s="1247"/>
      <c r="DYL8" s="1247"/>
      <c r="DYM8" s="1247"/>
      <c r="DYN8" s="1247"/>
      <c r="DYO8" s="1247"/>
      <c r="DYP8" s="1247"/>
      <c r="DYQ8" s="1247"/>
      <c r="DYR8" s="1247"/>
      <c r="DYS8" s="1247"/>
      <c r="DYT8" s="1247"/>
      <c r="DYU8" s="1247"/>
      <c r="DYV8" s="1247"/>
      <c r="DYW8" s="1247"/>
      <c r="DYX8" s="1247"/>
      <c r="DYY8" s="1247"/>
      <c r="DYZ8" s="1247"/>
      <c r="DZA8" s="1247"/>
      <c r="DZB8" s="1247"/>
      <c r="DZC8" s="1247"/>
      <c r="DZD8" s="1247"/>
      <c r="DZE8" s="1247"/>
      <c r="DZF8" s="1247"/>
      <c r="DZG8" s="1247"/>
      <c r="DZH8" s="1247"/>
      <c r="DZI8" s="1247"/>
      <c r="DZJ8" s="1247"/>
      <c r="DZK8" s="1247"/>
      <c r="DZL8" s="1247"/>
      <c r="DZM8" s="1247"/>
      <c r="DZN8" s="1247"/>
      <c r="DZO8" s="1247"/>
      <c r="DZP8" s="1247"/>
      <c r="DZQ8" s="1247"/>
      <c r="DZR8" s="1247"/>
      <c r="DZS8" s="1247"/>
      <c r="DZT8" s="1247"/>
      <c r="DZU8" s="1247"/>
      <c r="DZV8" s="1247"/>
      <c r="DZW8" s="1247"/>
      <c r="DZX8" s="1247"/>
      <c r="DZY8" s="1247"/>
      <c r="DZZ8" s="1247"/>
      <c r="EAA8" s="1247"/>
      <c r="EAB8" s="1247"/>
      <c r="EAC8" s="1247"/>
      <c r="EAD8" s="1247"/>
      <c r="EAE8" s="1247"/>
      <c r="EAF8" s="1247"/>
      <c r="EAG8" s="1247"/>
      <c r="EAH8" s="1247"/>
      <c r="EAI8" s="1247"/>
      <c r="EAJ8" s="1247"/>
      <c r="EAK8" s="1247"/>
      <c r="EAL8" s="1247"/>
      <c r="EAM8" s="1247"/>
      <c r="EAN8" s="1247"/>
      <c r="EAO8" s="1247"/>
      <c r="EAP8" s="1247"/>
      <c r="EAQ8" s="1247"/>
      <c r="EAR8" s="1247"/>
      <c r="EAS8" s="1247"/>
      <c r="EAT8" s="1247"/>
      <c r="EAU8" s="1247"/>
      <c r="EAV8" s="1247"/>
      <c r="EAW8" s="1247"/>
      <c r="EAX8" s="1247"/>
      <c r="EAY8" s="1247"/>
      <c r="EAZ8" s="1247"/>
      <c r="EBA8" s="1247"/>
      <c r="EBB8" s="1247"/>
      <c r="EBC8" s="1247"/>
      <c r="EBD8" s="1247"/>
      <c r="EBE8" s="1247"/>
      <c r="EBF8" s="1247"/>
      <c r="EBG8" s="1247"/>
      <c r="EBH8" s="1247"/>
      <c r="EBI8" s="1247"/>
      <c r="EBJ8" s="1247"/>
      <c r="EBK8" s="1247"/>
      <c r="EBL8" s="1247"/>
      <c r="EBM8" s="1247"/>
      <c r="EBN8" s="1247"/>
      <c r="EBO8" s="1247"/>
      <c r="EBP8" s="1247"/>
      <c r="EBQ8" s="1247"/>
      <c r="EBR8" s="1247"/>
      <c r="EBS8" s="1247"/>
      <c r="EBT8" s="1247"/>
      <c r="EBU8" s="1247"/>
      <c r="EBV8" s="1247"/>
      <c r="EBW8" s="1247"/>
      <c r="EBX8" s="1247"/>
      <c r="EBY8" s="1247"/>
      <c r="EBZ8" s="1247"/>
      <c r="ECA8" s="1247"/>
      <c r="ECB8" s="1247"/>
      <c r="ECC8" s="1247"/>
      <c r="ECD8" s="1247"/>
      <c r="ECE8" s="1247"/>
      <c r="ECF8" s="1247"/>
      <c r="ECG8" s="1247"/>
      <c r="ECH8" s="1247"/>
      <c r="ECI8" s="1247"/>
      <c r="ECJ8" s="1247"/>
      <c r="ECK8" s="1247"/>
      <c r="ECL8" s="1247"/>
      <c r="ECM8" s="1247"/>
      <c r="ECN8" s="1247"/>
      <c r="ECO8" s="1247"/>
    </row>
    <row r="9" spans="1:3473" s="1248" customFormat="1" ht="13" outlineLevel="1">
      <c r="B9" s="1249" t="s">
        <v>476</v>
      </c>
      <c r="C9" s="1250">
        <v>1</v>
      </c>
      <c r="D9" s="1251" t="s">
        <v>376</v>
      </c>
      <c r="E9" s="1252">
        <f t="shared" si="4"/>
        <v>0</v>
      </c>
      <c r="F9" s="1252">
        <f t="shared" si="4"/>
        <v>0</v>
      </c>
      <c r="G9" s="1252">
        <f t="shared" si="4"/>
        <v>0</v>
      </c>
      <c r="H9" s="1252">
        <f t="shared" si="4"/>
        <v>2484.3717663483953</v>
      </c>
      <c r="I9" s="1252">
        <f t="shared" si="4"/>
        <v>2286.4060792482928</v>
      </c>
      <c r="J9" s="1252">
        <f t="shared" si="4"/>
        <v>197.96568710010257</v>
      </c>
      <c r="K9" s="1252">
        <f t="shared" si="4"/>
        <v>0</v>
      </c>
      <c r="L9" s="1252">
        <f>IF(AM$6=0,"",AM9*10000/AM$6)</f>
        <v>0</v>
      </c>
      <c r="M9" s="1252">
        <f t="shared" si="4"/>
        <v>0</v>
      </c>
      <c r="N9" s="1252" t="str">
        <f t="shared" si="4"/>
        <v/>
      </c>
      <c r="O9" s="1252" t="str">
        <f t="shared" si="4"/>
        <v/>
      </c>
      <c r="P9" s="1252" t="str">
        <f t="shared" si="4"/>
        <v/>
      </c>
      <c r="Q9" s="1252">
        <f t="shared" si="4"/>
        <v>3980.0902999115924</v>
      </c>
      <c r="R9" s="1252">
        <f>IF(AS$6=0,"",AS9*10000/AS$6)</f>
        <v>3662.9391707548789</v>
      </c>
      <c r="S9" s="1252">
        <f t="shared" ref="S9:S49" si="8">IF(AT$6=0,"",AT9*10000/AT$6)</f>
        <v>317.15112915671358</v>
      </c>
      <c r="T9" s="1252">
        <f t="shared" si="5"/>
        <v>7665.4351628344357</v>
      </c>
      <c r="U9" s="1252">
        <f>IF(AV$6=0,"",AV9*10000/AV$6)</f>
        <v>7054.6195194244065</v>
      </c>
      <c r="V9" s="1252">
        <f t="shared" ref="V9:V49" si="9">IF(AW$6=0,"",AW9*10000/AW$6)</f>
        <v>610.81564341002911</v>
      </c>
      <c r="W9" s="1253" t="str">
        <f t="shared" ref="W9:Y49" si="10">IF(BD$6=0,"",BD9*10000/BD$6)</f>
        <v/>
      </c>
      <c r="X9" s="1252" t="str">
        <f t="shared" si="10"/>
        <v/>
      </c>
      <c r="Y9" s="1252" t="str">
        <f t="shared" si="10"/>
        <v/>
      </c>
      <c r="Z9" s="1252">
        <f t="shared" ref="Z9:AB38" si="11">IF(BJ$6=0,"",BJ9*10000/BJ$6)</f>
        <v>2554.1573655346074</v>
      </c>
      <c r="AA9" s="1252">
        <f t="shared" si="11"/>
        <v>2350.6308544548883</v>
      </c>
      <c r="AB9" s="1252">
        <f t="shared" si="11"/>
        <v>203.52651107971857</v>
      </c>
      <c r="AC9" s="1252">
        <f>IF(BJ$6=0,"",BJ9*10000/(BJ$6-AF$6-AL$6))</f>
        <v>3393.3466327219198</v>
      </c>
      <c r="AD9" s="1252">
        <f>IF(BK$6=0,"",BK9*10000/(BK$6-AG$6-AM$6))</f>
        <v>3122.9498238324845</v>
      </c>
      <c r="AE9" s="1252">
        <f>IF(BL$6=0,"",BL9*10000/(BL$6-AH$6-AN$6))</f>
        <v>270.39680888943485</v>
      </c>
      <c r="AF9" s="1254"/>
      <c r="AG9" s="1255"/>
      <c r="AH9" s="1255"/>
      <c r="AI9" s="1256">
        <f>+地价分摊表!H58+地价分摊表!H63</f>
        <v>10726.014242173729</v>
      </c>
      <c r="AJ9" s="1256">
        <f>+地价分摊表!J58+地价分摊表!J63</f>
        <v>9871.3181745161819</v>
      </c>
      <c r="AK9" s="1256">
        <f>+AI9-AJ9</f>
        <v>854.69606765754725</v>
      </c>
      <c r="AL9" s="1256">
        <v>0</v>
      </c>
      <c r="AM9" s="1257">
        <v>0</v>
      </c>
      <c r="AN9" s="1257">
        <v>0</v>
      </c>
      <c r="AO9" s="1256">
        <f>+地价分摊表!H59</f>
        <v>0</v>
      </c>
      <c r="AP9" s="1257">
        <f>+地价分摊表!J59</f>
        <v>0</v>
      </c>
      <c r="AQ9" s="1257">
        <f>AO9-AP9</f>
        <v>0</v>
      </c>
      <c r="AR9" s="1256">
        <f>+地价分摊表!H61</f>
        <v>23551.937584128253</v>
      </c>
      <c r="AS9" s="1256">
        <f>+地价分摊表!J61</f>
        <v>21675.215440713408</v>
      </c>
      <c r="AT9" s="1257">
        <f>AR9-AS9</f>
        <v>1876.722143414845</v>
      </c>
      <c r="AU9" s="1257">
        <f>地价分摊表!H60</f>
        <v>811.71592569802692</v>
      </c>
      <c r="AV9" s="1257">
        <f>+地价分摊表!J60</f>
        <v>747.0348247704087</v>
      </c>
      <c r="AW9" s="1257">
        <f>AU9-AV9</f>
        <v>64.681100927618218</v>
      </c>
      <c r="AX9" s="1257"/>
      <c r="AY9" s="1257"/>
      <c r="AZ9" s="1257"/>
      <c r="BA9" s="1257">
        <f>BB9+BC9</f>
        <v>35089.667752000008</v>
      </c>
      <c r="BB9" s="1257">
        <f>AG9+AJ9+AM9+AP9+AS9+AV9+AY9</f>
        <v>32293.568439999999</v>
      </c>
      <c r="BC9" s="1257">
        <f>AH9+AK9+AN9+AQ9+AT9+AW9+AZ9</f>
        <v>2796.0993120000103</v>
      </c>
      <c r="BD9" s="1257">
        <v>0</v>
      </c>
      <c r="BE9" s="1257">
        <v>0</v>
      </c>
      <c r="BF9" s="1257">
        <f>+BD9-BE9</f>
        <v>0</v>
      </c>
      <c r="BG9" s="1256">
        <v>0</v>
      </c>
      <c r="BH9" s="1257">
        <v>0</v>
      </c>
      <c r="BI9" s="1257">
        <v>0</v>
      </c>
      <c r="BJ9" s="1257">
        <f>BA9+BG9</f>
        <v>35089.667752000008</v>
      </c>
      <c r="BK9" s="1257">
        <f>BB9+BH9</f>
        <v>32293.568439999999</v>
      </c>
      <c r="BL9" s="1257">
        <f>BC9+BI9</f>
        <v>2796.0993120000103</v>
      </c>
      <c r="BM9" s="1258" t="s">
        <v>1003</v>
      </c>
      <c r="BN9" s="1225">
        <f t="shared" ref="BN9:BN49" si="12">BG9+BA9-BJ9</f>
        <v>0</v>
      </c>
      <c r="BO9" s="1225">
        <f t="shared" ref="BO9:BO49" si="13">AF9+AI9+AL9+AO9+AR9+AU9-BA9+AX9</f>
        <v>7.2759576141834259E-12</v>
      </c>
      <c r="BP9" s="1225">
        <f t="shared" ref="BP9:BP49" si="14">BG9-BD9</f>
        <v>0</v>
      </c>
      <c r="BQ9" s="1225"/>
      <c r="BR9" s="1221"/>
      <c r="BS9" s="1221"/>
      <c r="BT9" s="1221"/>
      <c r="BU9" s="1221"/>
      <c r="BV9" s="1221"/>
      <c r="BW9" s="1221"/>
      <c r="BX9" s="1221"/>
      <c r="BY9" s="1221"/>
      <c r="BZ9" s="1221"/>
      <c r="CA9" s="1221"/>
      <c r="CB9" s="1221"/>
      <c r="CC9" s="1221"/>
      <c r="CD9" s="1221"/>
      <c r="CE9" s="1221"/>
      <c r="CF9" s="1221"/>
      <c r="CG9" s="1221"/>
      <c r="CH9" s="1221"/>
      <c r="CI9" s="1221"/>
      <c r="CJ9" s="1221"/>
      <c r="CK9" s="1221"/>
      <c r="CL9" s="1221"/>
      <c r="CM9" s="1221"/>
      <c r="CN9" s="1221"/>
      <c r="CO9" s="1221"/>
      <c r="CP9" s="1221"/>
      <c r="CQ9" s="1221"/>
      <c r="CR9" s="1221"/>
      <c r="CS9" s="1221"/>
      <c r="CT9" s="1221"/>
      <c r="CU9" s="1221"/>
      <c r="CV9" s="1221"/>
      <c r="CW9" s="1221"/>
      <c r="CX9" s="1221"/>
      <c r="CY9" s="1221"/>
      <c r="CZ9" s="1221"/>
      <c r="DA9" s="1221"/>
      <c r="DB9" s="1221"/>
      <c r="DC9" s="1221"/>
      <c r="DD9" s="1221"/>
      <c r="DE9" s="1221"/>
      <c r="DF9" s="1221"/>
      <c r="DG9" s="1221"/>
      <c r="DH9" s="1221"/>
      <c r="DI9" s="1221"/>
      <c r="DJ9" s="1221"/>
      <c r="DK9" s="1221"/>
      <c r="DL9" s="1221"/>
      <c r="DM9" s="1221"/>
      <c r="DN9" s="1221"/>
      <c r="DO9" s="1221"/>
      <c r="DP9" s="1221"/>
      <c r="DQ9" s="1221"/>
      <c r="DR9" s="1221"/>
      <c r="DS9" s="1221"/>
      <c r="DT9" s="1221"/>
      <c r="DU9" s="1221"/>
      <c r="DV9" s="1221"/>
      <c r="DW9" s="1221"/>
      <c r="DX9" s="1221"/>
      <c r="DY9" s="1221"/>
      <c r="DZ9" s="1221"/>
      <c r="EA9" s="1221"/>
      <c r="EB9" s="1221"/>
      <c r="EC9" s="1221"/>
      <c r="ED9" s="1221"/>
      <c r="EE9" s="1221"/>
      <c r="EF9" s="1221"/>
      <c r="EG9" s="1221"/>
      <c r="EH9" s="1221"/>
      <c r="EI9" s="1221"/>
      <c r="EJ9" s="1221"/>
      <c r="EK9" s="1221"/>
      <c r="EL9" s="1221"/>
      <c r="EM9" s="1221"/>
      <c r="EN9" s="1221"/>
      <c r="EO9" s="1221"/>
      <c r="EP9" s="1221"/>
      <c r="EQ9" s="1221"/>
      <c r="ER9" s="1221"/>
      <c r="ES9" s="1221"/>
      <c r="ET9" s="1221"/>
      <c r="EU9" s="1221"/>
      <c r="EV9" s="1221"/>
      <c r="EW9" s="1221"/>
      <c r="EX9" s="1221"/>
      <c r="EY9" s="1221"/>
      <c r="EZ9" s="1221"/>
      <c r="FA9" s="1221"/>
      <c r="FB9" s="1221"/>
      <c r="FC9" s="1221"/>
      <c r="FD9" s="1221"/>
      <c r="FE9" s="1221"/>
      <c r="FF9" s="1221"/>
      <c r="FG9" s="1221"/>
      <c r="FH9" s="1221"/>
      <c r="FI9" s="1221"/>
      <c r="FJ9" s="1221"/>
      <c r="FK9" s="1221"/>
      <c r="FL9" s="1221"/>
      <c r="FM9" s="1221"/>
      <c r="FN9" s="1221"/>
      <c r="FO9" s="1221"/>
      <c r="FP9" s="1221"/>
      <c r="FQ9" s="1221"/>
      <c r="FR9" s="1221"/>
      <c r="FS9" s="1221"/>
      <c r="FT9" s="1221"/>
      <c r="FU9" s="1221"/>
      <c r="FV9" s="1221"/>
      <c r="FW9" s="1221"/>
      <c r="FX9" s="1221"/>
      <c r="FY9" s="1221"/>
      <c r="FZ9" s="1221"/>
      <c r="GA9" s="1221"/>
      <c r="GB9" s="1221"/>
      <c r="GC9" s="1221"/>
      <c r="GD9" s="1221"/>
      <c r="GE9" s="1221"/>
      <c r="GF9" s="1221"/>
      <c r="GG9" s="1221"/>
      <c r="GH9" s="1221"/>
      <c r="GI9" s="1221"/>
      <c r="GJ9" s="1221"/>
      <c r="GK9" s="1221"/>
      <c r="GL9" s="1221"/>
      <c r="GM9" s="1221"/>
      <c r="GN9" s="1221"/>
      <c r="GO9" s="1221"/>
      <c r="GP9" s="1221"/>
      <c r="GQ9" s="1221"/>
      <c r="GR9" s="1221"/>
      <c r="GS9" s="1221"/>
      <c r="GT9" s="1221"/>
      <c r="GU9" s="1221"/>
      <c r="GV9" s="1221"/>
      <c r="GW9" s="1221"/>
      <c r="GX9" s="1221"/>
      <c r="GY9" s="1221"/>
      <c r="GZ9" s="1221"/>
      <c r="HA9" s="1221"/>
      <c r="HB9" s="1221"/>
      <c r="HC9" s="1221"/>
      <c r="HD9" s="1221"/>
      <c r="HE9" s="1221"/>
      <c r="HF9" s="1221"/>
      <c r="HG9" s="1221"/>
      <c r="HH9" s="1221"/>
      <c r="HI9" s="1221"/>
      <c r="HJ9" s="1221"/>
      <c r="HK9" s="1221"/>
      <c r="HL9" s="1221"/>
      <c r="HM9" s="1221"/>
      <c r="HN9" s="1221"/>
      <c r="HO9" s="1221"/>
      <c r="HP9" s="1221"/>
      <c r="HQ9" s="1221"/>
      <c r="HR9" s="1221"/>
      <c r="HS9" s="1221"/>
      <c r="HT9" s="1221"/>
      <c r="HU9" s="1221"/>
      <c r="HV9" s="1221"/>
      <c r="HW9" s="1221"/>
      <c r="HX9" s="1221"/>
      <c r="HY9" s="1221"/>
      <c r="HZ9" s="1221"/>
      <c r="IA9" s="1221"/>
      <c r="IB9" s="1221"/>
      <c r="IC9" s="1221"/>
      <c r="ID9" s="1221"/>
      <c r="IE9" s="1221"/>
      <c r="IF9" s="1221"/>
      <c r="IG9" s="1221"/>
      <c r="IH9" s="1221"/>
      <c r="II9" s="1221"/>
      <c r="IJ9" s="1221"/>
      <c r="IK9" s="1221"/>
      <c r="IL9" s="1221"/>
      <c r="IM9" s="1221"/>
      <c r="IN9" s="1221"/>
      <c r="IO9" s="1221"/>
      <c r="IP9" s="1221"/>
      <c r="IQ9" s="1221"/>
      <c r="IR9" s="1221"/>
      <c r="IS9" s="1221"/>
      <c r="IT9" s="1221"/>
      <c r="IU9" s="1221"/>
      <c r="IV9" s="1221"/>
      <c r="IW9" s="1221"/>
      <c r="IX9" s="1221"/>
      <c r="IY9" s="1221"/>
      <c r="IZ9" s="1221"/>
      <c r="JA9" s="1221"/>
      <c r="JB9" s="1221"/>
      <c r="JC9" s="1221"/>
      <c r="JD9" s="1221"/>
      <c r="JE9" s="1221"/>
      <c r="JF9" s="1221"/>
      <c r="JG9" s="1221"/>
      <c r="JH9" s="1221"/>
      <c r="JI9" s="1221"/>
      <c r="JJ9" s="1221"/>
      <c r="JK9" s="1221"/>
      <c r="JL9" s="1221"/>
      <c r="JM9" s="1221"/>
      <c r="JN9" s="1221"/>
      <c r="JO9" s="1221"/>
      <c r="JP9" s="1221"/>
      <c r="JQ9" s="1221"/>
      <c r="JR9" s="1221"/>
      <c r="JS9" s="1221"/>
      <c r="JT9" s="1221"/>
      <c r="JU9" s="1221"/>
      <c r="JV9" s="1221"/>
      <c r="JW9" s="1221"/>
      <c r="JX9" s="1221"/>
      <c r="JY9" s="1221"/>
      <c r="JZ9" s="1221"/>
      <c r="KA9" s="1221"/>
      <c r="KB9" s="1221"/>
      <c r="KC9" s="1221"/>
      <c r="KD9" s="1221"/>
      <c r="KE9" s="1221"/>
      <c r="KF9" s="1221"/>
      <c r="KG9" s="1221"/>
      <c r="KH9" s="1221"/>
      <c r="KI9" s="1221"/>
      <c r="KJ9" s="1221"/>
      <c r="KK9" s="1221"/>
      <c r="KL9" s="1221"/>
      <c r="KM9" s="1221"/>
      <c r="KN9" s="1221"/>
      <c r="KO9" s="1221"/>
      <c r="KP9" s="1221"/>
      <c r="KQ9" s="1221"/>
      <c r="KR9" s="1221"/>
      <c r="KS9" s="1221"/>
      <c r="KT9" s="1221"/>
      <c r="KU9" s="1221"/>
      <c r="KV9" s="1221"/>
      <c r="KW9" s="1221"/>
      <c r="KX9" s="1221"/>
      <c r="KY9" s="1221"/>
      <c r="KZ9" s="1221"/>
      <c r="LA9" s="1221"/>
      <c r="LB9" s="1221"/>
      <c r="LC9" s="1221"/>
      <c r="LD9" s="1221"/>
      <c r="LE9" s="1221"/>
      <c r="LF9" s="1221"/>
      <c r="LG9" s="1221"/>
      <c r="LH9" s="1221"/>
      <c r="LI9" s="1221"/>
      <c r="LJ9" s="1221"/>
      <c r="LK9" s="1221"/>
      <c r="LL9" s="1221"/>
      <c r="LM9" s="1221"/>
      <c r="LN9" s="1221"/>
      <c r="LO9" s="1221"/>
      <c r="LP9" s="1221"/>
      <c r="LQ9" s="1221"/>
      <c r="LR9" s="1221"/>
      <c r="LS9" s="1221"/>
      <c r="LT9" s="1221"/>
      <c r="LU9" s="1221"/>
      <c r="LV9" s="1221"/>
      <c r="LW9" s="1221"/>
      <c r="LX9" s="1221"/>
      <c r="LY9" s="1221"/>
      <c r="LZ9" s="1221"/>
      <c r="MA9" s="1221"/>
      <c r="MB9" s="1221"/>
      <c r="MC9" s="1221"/>
      <c r="MD9" s="1221"/>
      <c r="ME9" s="1221"/>
      <c r="MF9" s="1221"/>
      <c r="MG9" s="1221"/>
      <c r="MH9" s="1221"/>
      <c r="MI9" s="1221"/>
      <c r="MJ9" s="1221"/>
      <c r="MK9" s="1221"/>
      <c r="ML9" s="1221"/>
      <c r="MM9" s="1221"/>
      <c r="MN9" s="1221"/>
      <c r="MO9" s="1221"/>
      <c r="MP9" s="1221"/>
      <c r="MQ9" s="1221"/>
      <c r="MR9" s="1221"/>
      <c r="MS9" s="1221"/>
      <c r="MT9" s="1221"/>
      <c r="MU9" s="1221"/>
      <c r="MV9" s="1221"/>
      <c r="MW9" s="1221"/>
      <c r="MX9" s="1221"/>
      <c r="MY9" s="1221"/>
      <c r="MZ9" s="1221"/>
      <c r="NA9" s="1221"/>
      <c r="NB9" s="1221"/>
      <c r="NC9" s="1221"/>
      <c r="ND9" s="1221"/>
      <c r="NE9" s="1221"/>
      <c r="NF9" s="1221"/>
      <c r="NG9" s="1221"/>
      <c r="NH9" s="1221"/>
      <c r="NI9" s="1221"/>
      <c r="NJ9" s="1221"/>
      <c r="NK9" s="1221"/>
      <c r="NL9" s="1221"/>
      <c r="NM9" s="1221"/>
      <c r="NN9" s="1221"/>
      <c r="NO9" s="1221"/>
      <c r="NP9" s="1221"/>
      <c r="NQ9" s="1221"/>
      <c r="NR9" s="1221"/>
      <c r="NS9" s="1221"/>
      <c r="NT9" s="1221"/>
      <c r="NU9" s="1221"/>
      <c r="NV9" s="1221"/>
      <c r="NW9" s="1221"/>
      <c r="NX9" s="1221"/>
      <c r="NY9" s="1221"/>
      <c r="NZ9" s="1221"/>
      <c r="OA9" s="1221"/>
      <c r="OB9" s="1221"/>
      <c r="OC9" s="1221"/>
      <c r="OD9" s="1221"/>
      <c r="OE9" s="1221"/>
      <c r="OF9" s="1221"/>
      <c r="OG9" s="1221"/>
      <c r="OH9" s="1221"/>
      <c r="OI9" s="1221"/>
      <c r="OJ9" s="1221"/>
      <c r="OK9" s="1221"/>
      <c r="OL9" s="1221"/>
      <c r="OM9" s="1221"/>
      <c r="ON9" s="1221"/>
      <c r="OO9" s="1221"/>
      <c r="OP9" s="1221"/>
      <c r="OQ9" s="1221"/>
      <c r="OR9" s="1221"/>
      <c r="OS9" s="1221"/>
      <c r="OT9" s="1221"/>
      <c r="OU9" s="1221"/>
      <c r="OV9" s="1221"/>
      <c r="OW9" s="1221"/>
      <c r="OX9" s="1221"/>
      <c r="OY9" s="1221"/>
      <c r="OZ9" s="1221"/>
      <c r="PA9" s="1221"/>
      <c r="PB9" s="1221"/>
      <c r="PC9" s="1221"/>
      <c r="PD9" s="1221"/>
      <c r="PE9" s="1221"/>
      <c r="PF9" s="1221"/>
      <c r="PG9" s="1221"/>
      <c r="PH9" s="1221"/>
      <c r="PI9" s="1221"/>
      <c r="PJ9" s="1221"/>
      <c r="PK9" s="1221"/>
      <c r="PL9" s="1221"/>
      <c r="PM9" s="1221"/>
      <c r="PN9" s="1221"/>
      <c r="PO9" s="1221"/>
      <c r="PP9" s="1221"/>
      <c r="PQ9" s="1221"/>
      <c r="PR9" s="1221"/>
      <c r="PS9" s="1221"/>
      <c r="PT9" s="1221"/>
      <c r="PU9" s="1221"/>
      <c r="PV9" s="1221"/>
      <c r="PW9" s="1221"/>
      <c r="PX9" s="1221"/>
      <c r="PY9" s="1221"/>
      <c r="PZ9" s="1221"/>
      <c r="QA9" s="1221"/>
      <c r="QB9" s="1221"/>
      <c r="QC9" s="1221"/>
      <c r="QD9" s="1221"/>
      <c r="QE9" s="1221"/>
      <c r="QF9" s="1221"/>
      <c r="QG9" s="1221"/>
      <c r="QH9" s="1221"/>
      <c r="QI9" s="1221"/>
      <c r="QJ9" s="1221"/>
      <c r="QK9" s="1221"/>
      <c r="QL9" s="1221"/>
      <c r="QM9" s="1221"/>
      <c r="QN9" s="1221"/>
      <c r="QO9" s="1221"/>
      <c r="QP9" s="1221"/>
      <c r="QQ9" s="1221"/>
      <c r="QR9" s="1221"/>
      <c r="QS9" s="1221"/>
      <c r="QT9" s="1221"/>
      <c r="QU9" s="1221"/>
      <c r="QV9" s="1221"/>
      <c r="QW9" s="1221"/>
      <c r="QX9" s="1221"/>
      <c r="QY9" s="1221"/>
      <c r="QZ9" s="1221"/>
      <c r="RA9" s="1221"/>
      <c r="RB9" s="1221"/>
      <c r="RC9" s="1221"/>
      <c r="RD9" s="1221"/>
      <c r="RE9" s="1221"/>
      <c r="RF9" s="1221"/>
      <c r="RG9" s="1221"/>
      <c r="RH9" s="1221"/>
      <c r="RI9" s="1221"/>
      <c r="RJ9" s="1221"/>
      <c r="RK9" s="1221"/>
      <c r="RL9" s="1221"/>
      <c r="RM9" s="1221"/>
      <c r="RN9" s="1221"/>
      <c r="RO9" s="1221"/>
      <c r="RP9" s="1221"/>
      <c r="RQ9" s="1221"/>
      <c r="RR9" s="1221"/>
      <c r="RS9" s="1221"/>
      <c r="RT9" s="1221"/>
      <c r="RU9" s="1221"/>
      <c r="RV9" s="1221"/>
      <c r="RW9" s="1221"/>
      <c r="RX9" s="1221"/>
      <c r="RY9" s="1221"/>
      <c r="RZ9" s="1221"/>
      <c r="SA9" s="1221"/>
      <c r="SB9" s="1221"/>
      <c r="SC9" s="1221"/>
      <c r="SD9" s="1221"/>
      <c r="SE9" s="1221"/>
      <c r="SF9" s="1221"/>
      <c r="SG9" s="1221"/>
      <c r="SH9" s="1221"/>
      <c r="SI9" s="1221"/>
      <c r="SJ9" s="1221"/>
      <c r="SK9" s="1221"/>
      <c r="SL9" s="1221"/>
      <c r="SM9" s="1221"/>
      <c r="SN9" s="1221"/>
      <c r="SO9" s="1221"/>
      <c r="SP9" s="1221"/>
      <c r="SQ9" s="1221"/>
      <c r="SR9" s="1221"/>
      <c r="SS9" s="1221"/>
      <c r="ST9" s="1221"/>
      <c r="SU9" s="1221"/>
      <c r="SV9" s="1221"/>
      <c r="SW9" s="1221"/>
      <c r="SX9" s="1221"/>
      <c r="SY9" s="1221"/>
      <c r="SZ9" s="1221"/>
      <c r="TA9" s="1221"/>
      <c r="TB9" s="1221"/>
      <c r="TC9" s="1221"/>
      <c r="TD9" s="1221"/>
      <c r="TE9" s="1221"/>
      <c r="TF9" s="1221"/>
      <c r="TG9" s="1221"/>
      <c r="TH9" s="1221"/>
      <c r="TI9" s="1221"/>
      <c r="TJ9" s="1221"/>
      <c r="TK9" s="1221"/>
      <c r="TL9" s="1221"/>
      <c r="TM9" s="1221"/>
      <c r="TN9" s="1221"/>
      <c r="TO9" s="1221"/>
      <c r="TP9" s="1221"/>
      <c r="TQ9" s="1221"/>
      <c r="TR9" s="1221"/>
      <c r="TS9" s="1221"/>
      <c r="TT9" s="1221"/>
      <c r="TU9" s="1221"/>
      <c r="TV9" s="1221"/>
      <c r="TW9" s="1221"/>
      <c r="TX9" s="1221"/>
      <c r="TY9" s="1221"/>
      <c r="TZ9" s="1221"/>
      <c r="UA9" s="1221"/>
      <c r="UB9" s="1221"/>
      <c r="UC9" s="1221"/>
      <c r="UD9" s="1221"/>
      <c r="UE9" s="1221"/>
      <c r="UF9" s="1221"/>
      <c r="UG9" s="1221"/>
      <c r="UH9" s="1221"/>
      <c r="UI9" s="1221"/>
      <c r="UJ9" s="1221"/>
      <c r="UK9" s="1221"/>
      <c r="UL9" s="1221"/>
      <c r="UM9" s="1221"/>
      <c r="UN9" s="1221"/>
      <c r="UO9" s="1221"/>
      <c r="UP9" s="1221"/>
      <c r="UQ9" s="1221"/>
      <c r="UR9" s="1221"/>
      <c r="US9" s="1221"/>
      <c r="UT9" s="1221"/>
      <c r="UU9" s="1221"/>
      <c r="UV9" s="1221"/>
      <c r="UW9" s="1221"/>
      <c r="UX9" s="1221"/>
      <c r="UY9" s="1221"/>
      <c r="UZ9" s="1221"/>
      <c r="VA9" s="1221"/>
      <c r="VB9" s="1221"/>
      <c r="VC9" s="1221"/>
      <c r="VD9" s="1221"/>
      <c r="VE9" s="1221"/>
      <c r="VF9" s="1221"/>
      <c r="VG9" s="1221"/>
      <c r="VH9" s="1221"/>
      <c r="VI9" s="1221"/>
      <c r="VJ9" s="1221"/>
      <c r="VK9" s="1221"/>
      <c r="VL9" s="1221"/>
      <c r="VM9" s="1221"/>
      <c r="VN9" s="1221"/>
      <c r="VO9" s="1221"/>
      <c r="VP9" s="1221"/>
      <c r="VQ9" s="1221"/>
      <c r="VR9" s="1221"/>
      <c r="VS9" s="1221"/>
      <c r="VT9" s="1221"/>
      <c r="VU9" s="1221"/>
      <c r="VV9" s="1221"/>
      <c r="VW9" s="1221"/>
      <c r="VX9" s="1221"/>
      <c r="VY9" s="1221"/>
      <c r="VZ9" s="1221"/>
      <c r="WA9" s="1221"/>
      <c r="WB9" s="1221"/>
      <c r="WC9" s="1221"/>
      <c r="WD9" s="1221"/>
      <c r="WE9" s="1221"/>
      <c r="WF9" s="1221"/>
      <c r="WG9" s="1221"/>
      <c r="WH9" s="1221"/>
      <c r="WI9" s="1221"/>
      <c r="WJ9" s="1221"/>
      <c r="WK9" s="1221"/>
      <c r="WL9" s="1221"/>
      <c r="WM9" s="1221"/>
      <c r="WN9" s="1221"/>
      <c r="WO9" s="1221"/>
      <c r="WP9" s="1221"/>
      <c r="WQ9" s="1221"/>
      <c r="WR9" s="1221"/>
      <c r="WS9" s="1221"/>
      <c r="WT9" s="1221"/>
      <c r="WU9" s="1221"/>
      <c r="WV9" s="1221"/>
      <c r="WW9" s="1221"/>
      <c r="WX9" s="1221"/>
      <c r="WY9" s="1221"/>
      <c r="WZ9" s="1221"/>
      <c r="XA9" s="1221"/>
      <c r="XB9" s="1221"/>
      <c r="XC9" s="1221"/>
      <c r="XD9" s="1221"/>
      <c r="XE9" s="1221"/>
      <c r="XF9" s="1221"/>
      <c r="XG9" s="1221"/>
      <c r="XH9" s="1221"/>
      <c r="XI9" s="1221"/>
      <c r="XJ9" s="1221"/>
      <c r="XK9" s="1221"/>
      <c r="XL9" s="1221"/>
      <c r="XM9" s="1221"/>
      <c r="XN9" s="1221"/>
      <c r="XO9" s="1221"/>
      <c r="XP9" s="1221"/>
      <c r="XQ9" s="1221"/>
      <c r="XR9" s="1221"/>
      <c r="XS9" s="1221"/>
      <c r="XT9" s="1221"/>
      <c r="XU9" s="1221"/>
      <c r="XV9" s="1221"/>
      <c r="XW9" s="1221"/>
      <c r="XX9" s="1221"/>
      <c r="XY9" s="1221"/>
      <c r="XZ9" s="1221"/>
      <c r="YA9" s="1221"/>
      <c r="YB9" s="1221"/>
      <c r="YC9" s="1221"/>
      <c r="YD9" s="1221"/>
      <c r="YE9" s="1221"/>
      <c r="YF9" s="1221"/>
      <c r="YG9" s="1221"/>
      <c r="YH9" s="1221"/>
      <c r="YI9" s="1221"/>
      <c r="YJ9" s="1221"/>
      <c r="YK9" s="1221"/>
      <c r="YL9" s="1221"/>
      <c r="YM9" s="1221"/>
      <c r="YN9" s="1221"/>
      <c r="YO9" s="1221"/>
      <c r="YP9" s="1221"/>
      <c r="YQ9" s="1221"/>
      <c r="YR9" s="1221"/>
      <c r="YS9" s="1221"/>
      <c r="YT9" s="1221"/>
      <c r="YU9" s="1221"/>
      <c r="YV9" s="1221"/>
      <c r="YW9" s="1221"/>
      <c r="YX9" s="1221"/>
      <c r="YY9" s="1221"/>
      <c r="YZ9" s="1221"/>
      <c r="ZA9" s="1221"/>
      <c r="ZB9" s="1221"/>
      <c r="ZC9" s="1221"/>
      <c r="ZD9" s="1221"/>
      <c r="ZE9" s="1221"/>
      <c r="ZF9" s="1221"/>
      <c r="ZG9" s="1221"/>
      <c r="ZH9" s="1221"/>
      <c r="ZI9" s="1221"/>
      <c r="ZJ9" s="1221"/>
      <c r="ZK9" s="1221"/>
      <c r="ZL9" s="1221"/>
      <c r="ZM9" s="1221"/>
      <c r="ZN9" s="1221"/>
      <c r="ZO9" s="1221"/>
      <c r="ZP9" s="1221"/>
      <c r="ZQ9" s="1221"/>
      <c r="ZR9" s="1221"/>
      <c r="ZS9" s="1221"/>
      <c r="ZT9" s="1221"/>
      <c r="ZU9" s="1221"/>
      <c r="ZV9" s="1221"/>
      <c r="ZW9" s="1221"/>
      <c r="ZX9" s="1221"/>
      <c r="ZY9" s="1221"/>
      <c r="ZZ9" s="1221"/>
      <c r="AAA9" s="1221"/>
      <c r="AAB9" s="1221"/>
      <c r="AAC9" s="1221"/>
      <c r="AAD9" s="1221"/>
      <c r="AAE9" s="1221"/>
      <c r="AAF9" s="1221"/>
      <c r="AAG9" s="1221"/>
      <c r="AAH9" s="1221"/>
      <c r="AAI9" s="1221"/>
      <c r="AAJ9" s="1221"/>
      <c r="AAK9" s="1221"/>
      <c r="AAL9" s="1221"/>
      <c r="AAM9" s="1221"/>
      <c r="AAN9" s="1221"/>
      <c r="AAO9" s="1221"/>
      <c r="AAP9" s="1221"/>
      <c r="AAQ9" s="1221"/>
      <c r="AAR9" s="1221"/>
      <c r="AAS9" s="1221"/>
      <c r="AAT9" s="1221"/>
      <c r="AAU9" s="1221"/>
      <c r="AAV9" s="1221"/>
      <c r="AAW9" s="1221"/>
      <c r="AAX9" s="1221"/>
      <c r="AAY9" s="1221"/>
      <c r="AAZ9" s="1221"/>
      <c r="ABA9" s="1221"/>
      <c r="ABB9" s="1221"/>
      <c r="ABC9" s="1221"/>
      <c r="ABD9" s="1221"/>
      <c r="ABE9" s="1221"/>
      <c r="ABF9" s="1221"/>
      <c r="ABG9" s="1221"/>
      <c r="ABH9" s="1221"/>
      <c r="ABI9" s="1221"/>
      <c r="ABJ9" s="1221"/>
      <c r="ABK9" s="1221"/>
      <c r="ABL9" s="1221"/>
      <c r="ABM9" s="1221"/>
      <c r="ABN9" s="1221"/>
      <c r="ABO9" s="1221"/>
      <c r="ABP9" s="1221"/>
      <c r="ABQ9" s="1221"/>
      <c r="ABR9" s="1221"/>
      <c r="ABS9" s="1221"/>
      <c r="ABT9" s="1221"/>
      <c r="ABU9" s="1221"/>
      <c r="ABV9" s="1221"/>
      <c r="ABW9" s="1221"/>
      <c r="ABX9" s="1221"/>
      <c r="ABY9" s="1221"/>
      <c r="ABZ9" s="1221"/>
      <c r="ACA9" s="1221"/>
      <c r="ACB9" s="1221"/>
      <c r="ACC9" s="1221"/>
      <c r="ACD9" s="1221"/>
      <c r="ACE9" s="1221"/>
      <c r="ACF9" s="1221"/>
      <c r="ACG9" s="1221"/>
      <c r="ACH9" s="1221"/>
      <c r="ACI9" s="1221"/>
      <c r="ACJ9" s="1221"/>
      <c r="ACK9" s="1221"/>
      <c r="ACL9" s="1221"/>
      <c r="ACM9" s="1221"/>
      <c r="ACN9" s="1221"/>
      <c r="ACO9" s="1221"/>
      <c r="ACP9" s="1221"/>
      <c r="ACQ9" s="1221"/>
      <c r="ACR9" s="1221"/>
      <c r="ACS9" s="1221"/>
      <c r="ACT9" s="1221"/>
      <c r="ACU9" s="1221"/>
      <c r="ACV9" s="1221"/>
      <c r="ACW9" s="1221"/>
      <c r="ACX9" s="1221"/>
      <c r="ACY9" s="1221"/>
      <c r="ACZ9" s="1221"/>
      <c r="ADA9" s="1221"/>
      <c r="ADB9" s="1221"/>
      <c r="ADC9" s="1221"/>
      <c r="ADD9" s="1221"/>
      <c r="ADE9" s="1221"/>
      <c r="ADF9" s="1221"/>
      <c r="ADG9" s="1221"/>
      <c r="ADH9" s="1221"/>
      <c r="ADI9" s="1221"/>
      <c r="ADJ9" s="1221"/>
      <c r="ADK9" s="1221"/>
      <c r="ADL9" s="1221"/>
      <c r="ADM9" s="1221"/>
      <c r="ADN9" s="1221"/>
      <c r="ADO9" s="1221"/>
      <c r="ADP9" s="1221"/>
      <c r="ADQ9" s="1221"/>
      <c r="ADR9" s="1221"/>
      <c r="ADS9" s="1221"/>
      <c r="ADT9" s="1221"/>
      <c r="ADU9" s="1221"/>
      <c r="ADV9" s="1221"/>
      <c r="ADW9" s="1221"/>
      <c r="ADX9" s="1221"/>
      <c r="ADY9" s="1221"/>
      <c r="ADZ9" s="1221"/>
      <c r="AEA9" s="1221"/>
      <c r="AEB9" s="1221"/>
      <c r="AEC9" s="1221"/>
      <c r="AED9" s="1221"/>
      <c r="AEE9" s="1221"/>
      <c r="AEF9" s="1221"/>
      <c r="AEG9" s="1221"/>
      <c r="AEH9" s="1221"/>
      <c r="AEI9" s="1221"/>
      <c r="AEJ9" s="1221"/>
      <c r="AEK9" s="1221"/>
      <c r="AEL9" s="1221"/>
      <c r="AEM9" s="1221"/>
      <c r="AEN9" s="1221"/>
      <c r="AEO9" s="1221"/>
      <c r="AEP9" s="1221"/>
      <c r="AEQ9" s="1221"/>
      <c r="AER9" s="1221"/>
      <c r="AES9" s="1221"/>
      <c r="AET9" s="1221"/>
      <c r="AEU9" s="1221"/>
      <c r="AEV9" s="1221"/>
      <c r="AEW9" s="1221"/>
      <c r="AEX9" s="1221"/>
      <c r="AEY9" s="1221"/>
      <c r="AEZ9" s="1221"/>
      <c r="AFA9" s="1221"/>
      <c r="AFB9" s="1221"/>
      <c r="AFC9" s="1221"/>
      <c r="AFD9" s="1221"/>
      <c r="AFE9" s="1221"/>
      <c r="AFF9" s="1221"/>
      <c r="AFG9" s="1221"/>
      <c r="AFH9" s="1221"/>
      <c r="AFI9" s="1221"/>
      <c r="AFJ9" s="1221"/>
      <c r="AFK9" s="1221"/>
      <c r="AFL9" s="1221"/>
      <c r="AFM9" s="1221"/>
      <c r="AFN9" s="1221"/>
      <c r="AFO9" s="1221"/>
      <c r="AFP9" s="1221"/>
      <c r="AFQ9" s="1221"/>
      <c r="AFR9" s="1221"/>
      <c r="AFS9" s="1221"/>
      <c r="AFT9" s="1221"/>
      <c r="AFU9" s="1221"/>
      <c r="AFV9" s="1221"/>
      <c r="AFW9" s="1221"/>
      <c r="AFX9" s="1221"/>
      <c r="AFY9" s="1221"/>
      <c r="AFZ9" s="1221"/>
      <c r="AGA9" s="1221"/>
      <c r="AGB9" s="1221"/>
      <c r="AGC9" s="1221"/>
      <c r="AGD9" s="1221"/>
      <c r="AGE9" s="1221"/>
      <c r="AGF9" s="1221"/>
      <c r="AGG9" s="1221"/>
      <c r="AGH9" s="1221"/>
      <c r="AGI9" s="1221"/>
      <c r="AGJ9" s="1221"/>
      <c r="AGK9" s="1221"/>
      <c r="AGL9" s="1221"/>
      <c r="AGM9" s="1221"/>
      <c r="AGN9" s="1221"/>
      <c r="AGO9" s="1221"/>
      <c r="AGP9" s="1221"/>
      <c r="AGQ9" s="1221"/>
      <c r="AGR9" s="1221"/>
      <c r="AGS9" s="1221"/>
      <c r="AGT9" s="1221"/>
      <c r="AGU9" s="1221"/>
      <c r="AGV9" s="1221"/>
      <c r="AGW9" s="1221"/>
      <c r="AGX9" s="1221"/>
      <c r="AGY9" s="1221"/>
      <c r="AGZ9" s="1221"/>
      <c r="AHA9" s="1221"/>
      <c r="AHB9" s="1221"/>
      <c r="AHC9" s="1221"/>
      <c r="AHD9" s="1221"/>
      <c r="AHE9" s="1221"/>
      <c r="AHF9" s="1221"/>
      <c r="AHG9" s="1221"/>
      <c r="AHH9" s="1221"/>
      <c r="AHI9" s="1221"/>
      <c r="AHJ9" s="1221"/>
      <c r="AHK9" s="1221"/>
      <c r="AHL9" s="1221"/>
      <c r="AHM9" s="1221"/>
      <c r="AHN9" s="1221"/>
      <c r="AHO9" s="1221"/>
      <c r="AHP9" s="1221"/>
      <c r="AHQ9" s="1221"/>
      <c r="AHR9" s="1221"/>
      <c r="AHS9" s="1221"/>
      <c r="AHT9" s="1221"/>
      <c r="AHU9" s="1221"/>
      <c r="AHV9" s="1221"/>
      <c r="AHW9" s="1221"/>
      <c r="AHX9" s="1221"/>
      <c r="AHY9" s="1221"/>
      <c r="AHZ9" s="1221"/>
      <c r="AIA9" s="1221"/>
      <c r="AIB9" s="1221"/>
      <c r="AIC9" s="1221"/>
      <c r="AID9" s="1221"/>
      <c r="AIE9" s="1221"/>
      <c r="AIF9" s="1221"/>
      <c r="AIG9" s="1221"/>
      <c r="AIH9" s="1221"/>
      <c r="AII9" s="1221"/>
      <c r="AIJ9" s="1221"/>
      <c r="AIK9" s="1221"/>
      <c r="AIL9" s="1221"/>
      <c r="AIM9" s="1221"/>
      <c r="AIN9" s="1221"/>
      <c r="AIO9" s="1221"/>
      <c r="AIP9" s="1221"/>
      <c r="AIQ9" s="1221"/>
      <c r="AIR9" s="1221"/>
      <c r="AIS9" s="1221"/>
      <c r="AIT9" s="1221"/>
      <c r="AIU9" s="1221"/>
      <c r="AIV9" s="1221"/>
      <c r="AIW9" s="1221"/>
      <c r="AIX9" s="1221"/>
      <c r="AIY9" s="1221"/>
      <c r="AIZ9" s="1221"/>
      <c r="AJA9" s="1221"/>
      <c r="AJB9" s="1221"/>
      <c r="AJC9" s="1221"/>
      <c r="AJD9" s="1221"/>
      <c r="AJE9" s="1221"/>
      <c r="AJF9" s="1221"/>
      <c r="AJG9" s="1221"/>
      <c r="AJH9" s="1221"/>
      <c r="AJI9" s="1221"/>
      <c r="AJJ9" s="1221"/>
      <c r="AJK9" s="1221"/>
      <c r="AJL9" s="1221"/>
      <c r="AJM9" s="1221"/>
      <c r="AJN9" s="1221"/>
      <c r="AJO9" s="1221"/>
      <c r="AJP9" s="1221"/>
      <c r="AJQ9" s="1221"/>
      <c r="AJR9" s="1221"/>
      <c r="AJS9" s="1221"/>
      <c r="AJT9" s="1221"/>
      <c r="AJU9" s="1221"/>
      <c r="AJV9" s="1221"/>
      <c r="AJW9" s="1221"/>
      <c r="AJX9" s="1221"/>
      <c r="AJY9" s="1221"/>
      <c r="AJZ9" s="1221"/>
      <c r="AKA9" s="1221"/>
      <c r="AKB9" s="1221"/>
      <c r="AKC9" s="1221"/>
      <c r="AKD9" s="1221"/>
      <c r="AKE9" s="1221"/>
      <c r="AKF9" s="1221"/>
      <c r="AKG9" s="1221"/>
      <c r="AKH9" s="1221"/>
      <c r="AKI9" s="1221"/>
      <c r="AKJ9" s="1221"/>
      <c r="AKK9" s="1221"/>
      <c r="AKL9" s="1221"/>
      <c r="AKM9" s="1221"/>
      <c r="AKN9" s="1221"/>
      <c r="AKO9" s="1221"/>
      <c r="AKP9" s="1221"/>
      <c r="AKQ9" s="1221"/>
      <c r="AKR9" s="1221"/>
      <c r="AKS9" s="1221"/>
      <c r="AKT9" s="1221"/>
      <c r="AKU9" s="1221"/>
      <c r="AKV9" s="1221"/>
      <c r="AKW9" s="1221"/>
      <c r="AKX9" s="1221"/>
      <c r="AKY9" s="1221"/>
      <c r="AKZ9" s="1221"/>
      <c r="ALA9" s="1221"/>
      <c r="ALB9" s="1221"/>
      <c r="ALC9" s="1221"/>
      <c r="ALD9" s="1221"/>
      <c r="ALE9" s="1221"/>
      <c r="ALF9" s="1221"/>
      <c r="ALG9" s="1221"/>
      <c r="ALH9" s="1221"/>
      <c r="ALI9" s="1221"/>
      <c r="ALJ9" s="1221"/>
      <c r="ALK9" s="1221"/>
      <c r="ALL9" s="1221"/>
      <c r="ALM9" s="1221"/>
      <c r="ALN9" s="1221"/>
      <c r="ALO9" s="1221"/>
      <c r="ALP9" s="1221"/>
      <c r="ALQ9" s="1221"/>
      <c r="ALR9" s="1221"/>
      <c r="ALS9" s="1221"/>
      <c r="ALT9" s="1221"/>
      <c r="ALU9" s="1221"/>
      <c r="ALV9" s="1221"/>
      <c r="ALW9" s="1221"/>
      <c r="ALX9" s="1221"/>
      <c r="ALY9" s="1221"/>
      <c r="ALZ9" s="1221"/>
      <c r="AMA9" s="1221"/>
      <c r="AMB9" s="1221"/>
      <c r="AMC9" s="1221"/>
      <c r="AMD9" s="1221"/>
      <c r="AME9" s="1221"/>
      <c r="AMF9" s="1221"/>
      <c r="AMG9" s="1221"/>
      <c r="AMH9" s="1221"/>
      <c r="AMI9" s="1221"/>
      <c r="AMJ9" s="1221"/>
      <c r="AMK9" s="1221"/>
      <c r="AML9" s="1221"/>
      <c r="AMM9" s="1221"/>
      <c r="AMN9" s="1221"/>
      <c r="AMO9" s="1221"/>
      <c r="AMP9" s="1221"/>
      <c r="AMQ9" s="1221"/>
      <c r="AMR9" s="1221"/>
      <c r="AMS9" s="1221"/>
      <c r="AMT9" s="1221"/>
      <c r="AMU9" s="1221"/>
      <c r="AMV9" s="1221"/>
      <c r="AMW9" s="1221"/>
      <c r="AMX9" s="1221"/>
      <c r="AMY9" s="1221"/>
      <c r="AMZ9" s="1221"/>
      <c r="ANA9" s="1221"/>
      <c r="ANB9" s="1221"/>
      <c r="ANC9" s="1221"/>
      <c r="AND9" s="1221"/>
      <c r="ANE9" s="1221"/>
      <c r="ANF9" s="1221"/>
      <c r="ANG9" s="1221"/>
      <c r="ANH9" s="1221"/>
      <c r="ANI9" s="1221"/>
      <c r="ANJ9" s="1221"/>
      <c r="ANK9" s="1221"/>
      <c r="ANL9" s="1221"/>
      <c r="ANM9" s="1221"/>
      <c r="ANN9" s="1221"/>
      <c r="ANO9" s="1221"/>
      <c r="ANP9" s="1221"/>
      <c r="ANQ9" s="1221"/>
      <c r="ANR9" s="1221"/>
      <c r="ANS9" s="1221"/>
      <c r="ANT9" s="1221"/>
      <c r="ANU9" s="1221"/>
      <c r="ANV9" s="1221"/>
      <c r="ANW9" s="1221"/>
      <c r="ANX9" s="1221"/>
      <c r="ANY9" s="1221"/>
      <c r="ANZ9" s="1221"/>
      <c r="AOA9" s="1221"/>
      <c r="AOB9" s="1221"/>
      <c r="AOC9" s="1221"/>
      <c r="AOD9" s="1221"/>
      <c r="AOE9" s="1221"/>
      <c r="AOF9" s="1221"/>
      <c r="AOG9" s="1221"/>
      <c r="AOH9" s="1221"/>
      <c r="AOI9" s="1221"/>
      <c r="AOJ9" s="1221"/>
      <c r="AOK9" s="1221"/>
      <c r="AOL9" s="1221"/>
      <c r="AOM9" s="1221"/>
      <c r="AON9" s="1221"/>
      <c r="AOO9" s="1221"/>
      <c r="AOP9" s="1221"/>
      <c r="AOQ9" s="1221"/>
      <c r="AOR9" s="1221"/>
      <c r="AOS9" s="1221"/>
      <c r="AOT9" s="1221"/>
      <c r="AOU9" s="1221"/>
      <c r="AOV9" s="1221"/>
      <c r="AOW9" s="1221"/>
      <c r="AOX9" s="1221"/>
      <c r="AOY9" s="1221"/>
      <c r="AOZ9" s="1221"/>
      <c r="APA9" s="1221"/>
      <c r="APB9" s="1221"/>
      <c r="APC9" s="1221"/>
      <c r="APD9" s="1221"/>
      <c r="APE9" s="1221"/>
      <c r="APF9" s="1221"/>
      <c r="APG9" s="1221"/>
      <c r="APH9" s="1221"/>
      <c r="API9" s="1221"/>
      <c r="APJ9" s="1221"/>
      <c r="APK9" s="1221"/>
      <c r="APL9" s="1221"/>
      <c r="APM9" s="1221"/>
      <c r="APN9" s="1221"/>
      <c r="APO9" s="1221"/>
      <c r="APP9" s="1221"/>
      <c r="APQ9" s="1221"/>
      <c r="APR9" s="1221"/>
      <c r="APS9" s="1221"/>
      <c r="APT9" s="1221"/>
      <c r="APU9" s="1221"/>
      <c r="APV9" s="1221"/>
      <c r="APW9" s="1221"/>
      <c r="APX9" s="1221"/>
      <c r="APY9" s="1221"/>
      <c r="APZ9" s="1221"/>
      <c r="AQA9" s="1221"/>
      <c r="AQB9" s="1221"/>
      <c r="AQC9" s="1221"/>
      <c r="AQD9" s="1221"/>
      <c r="AQE9" s="1221"/>
      <c r="AQF9" s="1221"/>
      <c r="AQG9" s="1221"/>
      <c r="AQH9" s="1221"/>
      <c r="AQI9" s="1221"/>
      <c r="AQJ9" s="1221"/>
      <c r="AQK9" s="1221"/>
      <c r="AQL9" s="1221"/>
      <c r="AQM9" s="1221"/>
      <c r="AQN9" s="1221"/>
      <c r="AQO9" s="1221"/>
      <c r="AQP9" s="1221"/>
      <c r="AQQ9" s="1221"/>
      <c r="AQR9" s="1221"/>
      <c r="AQS9" s="1221"/>
      <c r="AQT9" s="1221"/>
      <c r="AQU9" s="1221"/>
      <c r="AQV9" s="1221"/>
      <c r="AQW9" s="1221"/>
      <c r="AQX9" s="1221"/>
      <c r="AQY9" s="1221"/>
      <c r="AQZ9" s="1221"/>
      <c r="ARA9" s="1221"/>
      <c r="ARB9" s="1221"/>
      <c r="ARC9" s="1221"/>
      <c r="ARD9" s="1221"/>
      <c r="ARE9" s="1221"/>
      <c r="ARF9" s="1221"/>
      <c r="ARG9" s="1221"/>
      <c r="ARH9" s="1221"/>
      <c r="ARI9" s="1221"/>
      <c r="ARJ9" s="1221"/>
      <c r="ARK9" s="1221"/>
      <c r="ARL9" s="1221"/>
      <c r="ARM9" s="1221"/>
      <c r="ARN9" s="1221"/>
      <c r="ARO9" s="1221"/>
      <c r="ARP9" s="1221"/>
      <c r="ARQ9" s="1221"/>
      <c r="ARR9" s="1221"/>
      <c r="ARS9" s="1221"/>
      <c r="ART9" s="1221"/>
      <c r="ARU9" s="1221"/>
      <c r="ARV9" s="1221"/>
      <c r="ARW9" s="1221"/>
      <c r="ARX9" s="1221"/>
      <c r="ARY9" s="1221"/>
      <c r="ARZ9" s="1221"/>
      <c r="ASA9" s="1221"/>
      <c r="ASB9" s="1221"/>
      <c r="ASC9" s="1221"/>
      <c r="ASD9" s="1221"/>
      <c r="ASE9" s="1221"/>
      <c r="ASF9" s="1221"/>
      <c r="ASG9" s="1221"/>
      <c r="ASH9" s="1221"/>
      <c r="ASI9" s="1221"/>
      <c r="ASJ9" s="1221"/>
      <c r="ASK9" s="1221"/>
      <c r="ASL9" s="1221"/>
      <c r="ASM9" s="1221"/>
      <c r="ASN9" s="1221"/>
      <c r="ASO9" s="1221"/>
      <c r="ASP9" s="1221"/>
      <c r="ASQ9" s="1221"/>
      <c r="ASR9" s="1221"/>
      <c r="ASS9" s="1221"/>
      <c r="AST9" s="1221"/>
      <c r="ASU9" s="1221"/>
      <c r="ASV9" s="1221"/>
      <c r="ASW9" s="1221"/>
      <c r="ASX9" s="1221"/>
      <c r="ASY9" s="1221"/>
      <c r="ASZ9" s="1221"/>
      <c r="ATA9" s="1221"/>
      <c r="ATB9" s="1221"/>
      <c r="ATC9" s="1221"/>
      <c r="ATD9" s="1221"/>
      <c r="ATE9" s="1221"/>
      <c r="ATF9" s="1221"/>
      <c r="ATG9" s="1221"/>
      <c r="ATH9" s="1221"/>
      <c r="ATI9" s="1221"/>
      <c r="ATJ9" s="1221"/>
      <c r="ATK9" s="1221"/>
      <c r="ATL9" s="1221"/>
      <c r="ATM9" s="1221"/>
      <c r="ATN9" s="1221"/>
      <c r="ATO9" s="1221"/>
      <c r="ATP9" s="1221"/>
      <c r="ATQ9" s="1221"/>
      <c r="ATR9" s="1221"/>
      <c r="ATS9" s="1221"/>
      <c r="ATT9" s="1221"/>
      <c r="ATU9" s="1221"/>
      <c r="ATV9" s="1221"/>
      <c r="ATW9" s="1221"/>
      <c r="ATX9" s="1221"/>
      <c r="ATY9" s="1221"/>
      <c r="ATZ9" s="1221"/>
      <c r="AUA9" s="1221"/>
      <c r="AUB9" s="1221"/>
      <c r="AUC9" s="1221"/>
      <c r="AUD9" s="1221"/>
      <c r="AUE9" s="1221"/>
      <c r="AUF9" s="1221"/>
      <c r="AUG9" s="1221"/>
      <c r="AUH9" s="1221"/>
      <c r="AUI9" s="1221"/>
      <c r="AUJ9" s="1221"/>
      <c r="AUK9" s="1221"/>
      <c r="AUL9" s="1221"/>
      <c r="AUM9" s="1221"/>
      <c r="AUN9" s="1221"/>
      <c r="AUO9" s="1221"/>
      <c r="AUP9" s="1221"/>
      <c r="AUQ9" s="1221"/>
      <c r="AUR9" s="1221"/>
      <c r="AUS9" s="1221"/>
      <c r="AUT9" s="1221"/>
      <c r="AUU9" s="1221"/>
      <c r="AUV9" s="1221"/>
      <c r="AUW9" s="1221"/>
      <c r="AUX9" s="1221"/>
      <c r="AUY9" s="1221"/>
      <c r="AUZ9" s="1221"/>
      <c r="AVA9" s="1221"/>
      <c r="AVB9" s="1221"/>
      <c r="AVC9" s="1221"/>
      <c r="AVD9" s="1221"/>
      <c r="AVE9" s="1221"/>
      <c r="AVF9" s="1221"/>
      <c r="AVG9" s="1221"/>
      <c r="AVH9" s="1221"/>
      <c r="AVI9" s="1221"/>
      <c r="AVJ9" s="1221"/>
      <c r="AVK9" s="1221"/>
      <c r="AVL9" s="1221"/>
      <c r="AVM9" s="1221"/>
      <c r="AVN9" s="1221"/>
      <c r="AVO9" s="1221"/>
      <c r="AVP9" s="1221"/>
      <c r="AVQ9" s="1221"/>
      <c r="AVR9" s="1221"/>
      <c r="AVS9" s="1221"/>
      <c r="AVT9" s="1221"/>
      <c r="AVU9" s="1221"/>
      <c r="AVV9" s="1221"/>
      <c r="AVW9" s="1221"/>
      <c r="AVX9" s="1221"/>
      <c r="AVY9" s="1221"/>
      <c r="AVZ9" s="1221"/>
      <c r="AWA9" s="1221"/>
      <c r="AWB9" s="1221"/>
      <c r="AWC9" s="1221"/>
      <c r="AWD9" s="1221"/>
      <c r="AWE9" s="1221"/>
      <c r="AWF9" s="1221"/>
      <c r="AWG9" s="1221"/>
      <c r="AWH9" s="1221"/>
      <c r="AWI9" s="1221"/>
      <c r="AWJ9" s="1221"/>
      <c r="AWK9" s="1221"/>
      <c r="AWL9" s="1221"/>
      <c r="AWM9" s="1221"/>
      <c r="AWN9" s="1221"/>
      <c r="AWO9" s="1221"/>
      <c r="AWP9" s="1221"/>
      <c r="AWQ9" s="1221"/>
      <c r="AWR9" s="1221"/>
      <c r="AWS9" s="1221"/>
      <c r="AWT9" s="1221"/>
      <c r="AWU9" s="1221"/>
      <c r="AWV9" s="1221"/>
      <c r="AWW9" s="1221"/>
      <c r="AWX9" s="1221"/>
      <c r="AWY9" s="1221"/>
      <c r="AWZ9" s="1221"/>
      <c r="AXA9" s="1221"/>
      <c r="AXB9" s="1221"/>
      <c r="AXC9" s="1221"/>
      <c r="AXD9" s="1221"/>
      <c r="AXE9" s="1221"/>
      <c r="AXF9" s="1221"/>
      <c r="AXG9" s="1221"/>
      <c r="AXH9" s="1221"/>
      <c r="AXI9" s="1221"/>
      <c r="AXJ9" s="1221"/>
      <c r="AXK9" s="1221"/>
      <c r="AXL9" s="1221"/>
      <c r="AXM9" s="1221"/>
      <c r="AXN9" s="1221"/>
      <c r="AXO9" s="1221"/>
      <c r="AXP9" s="1221"/>
      <c r="AXQ9" s="1221"/>
      <c r="AXR9" s="1221"/>
      <c r="AXS9" s="1221"/>
      <c r="AXT9" s="1221"/>
      <c r="AXU9" s="1221"/>
      <c r="AXV9" s="1221"/>
      <c r="AXW9" s="1221"/>
      <c r="AXX9" s="1221"/>
      <c r="AXY9" s="1221"/>
      <c r="AXZ9" s="1221"/>
      <c r="AYA9" s="1221"/>
      <c r="AYB9" s="1221"/>
      <c r="AYC9" s="1221"/>
      <c r="AYD9" s="1221"/>
      <c r="AYE9" s="1221"/>
      <c r="AYF9" s="1221"/>
      <c r="AYG9" s="1221"/>
      <c r="AYH9" s="1221"/>
      <c r="AYI9" s="1221"/>
      <c r="AYJ9" s="1221"/>
      <c r="AYK9" s="1221"/>
      <c r="AYL9" s="1221"/>
      <c r="AYM9" s="1221"/>
      <c r="AYN9" s="1221"/>
      <c r="AYO9" s="1221"/>
      <c r="AYP9" s="1221"/>
      <c r="AYQ9" s="1221"/>
      <c r="AYR9" s="1221"/>
      <c r="AYS9" s="1221"/>
      <c r="AYT9" s="1221"/>
      <c r="AYU9" s="1221"/>
      <c r="AYV9" s="1221"/>
      <c r="AYW9" s="1221"/>
      <c r="AYX9" s="1221"/>
      <c r="AYY9" s="1221"/>
      <c r="AYZ9" s="1221"/>
      <c r="AZA9" s="1221"/>
      <c r="AZB9" s="1221"/>
      <c r="AZC9" s="1221"/>
      <c r="AZD9" s="1221"/>
      <c r="AZE9" s="1221"/>
      <c r="AZF9" s="1221"/>
      <c r="AZG9" s="1221"/>
      <c r="AZH9" s="1221"/>
      <c r="AZI9" s="1221"/>
      <c r="AZJ9" s="1221"/>
      <c r="AZK9" s="1221"/>
      <c r="AZL9" s="1221"/>
      <c r="AZM9" s="1221"/>
      <c r="AZN9" s="1221"/>
      <c r="AZO9" s="1221"/>
      <c r="AZP9" s="1221"/>
      <c r="AZQ9" s="1221"/>
      <c r="AZR9" s="1221"/>
      <c r="AZS9" s="1221"/>
      <c r="AZT9" s="1221"/>
      <c r="AZU9" s="1221"/>
      <c r="AZV9" s="1221"/>
      <c r="AZW9" s="1221"/>
      <c r="AZX9" s="1221"/>
      <c r="AZY9" s="1221"/>
      <c r="AZZ9" s="1221"/>
      <c r="BAA9" s="1221"/>
      <c r="BAB9" s="1221"/>
      <c r="BAC9" s="1221"/>
      <c r="BAD9" s="1221"/>
      <c r="BAE9" s="1221"/>
      <c r="BAF9" s="1221"/>
      <c r="BAG9" s="1221"/>
      <c r="BAH9" s="1221"/>
      <c r="BAI9" s="1221"/>
      <c r="BAJ9" s="1221"/>
      <c r="BAK9" s="1221"/>
      <c r="BAL9" s="1221"/>
      <c r="BAM9" s="1221"/>
      <c r="BAN9" s="1221"/>
      <c r="BAO9" s="1221"/>
      <c r="BAP9" s="1221"/>
      <c r="BAQ9" s="1221"/>
      <c r="BAR9" s="1221"/>
      <c r="BAS9" s="1221"/>
      <c r="BAT9" s="1221"/>
      <c r="BAU9" s="1221"/>
      <c r="BAV9" s="1221"/>
      <c r="BAW9" s="1221"/>
      <c r="BAX9" s="1221"/>
      <c r="BAY9" s="1221"/>
      <c r="BAZ9" s="1221"/>
      <c r="BBA9" s="1221"/>
      <c r="BBB9" s="1221"/>
      <c r="BBC9" s="1221"/>
      <c r="BBD9" s="1221"/>
      <c r="BBE9" s="1221"/>
      <c r="BBF9" s="1221"/>
      <c r="BBG9" s="1221"/>
      <c r="BBH9" s="1221"/>
      <c r="BBI9" s="1221"/>
      <c r="BBJ9" s="1221"/>
      <c r="BBK9" s="1221"/>
      <c r="BBL9" s="1221"/>
      <c r="BBM9" s="1221"/>
      <c r="BBN9" s="1221"/>
      <c r="BBO9" s="1221"/>
      <c r="BBP9" s="1221"/>
      <c r="BBQ9" s="1221"/>
      <c r="BBR9" s="1221"/>
      <c r="BBS9" s="1221"/>
      <c r="BBT9" s="1221"/>
      <c r="BBU9" s="1221"/>
      <c r="BBV9" s="1221"/>
      <c r="BBW9" s="1221"/>
      <c r="BBX9" s="1221"/>
      <c r="BBY9" s="1221"/>
      <c r="BBZ9" s="1221"/>
      <c r="BCA9" s="1221"/>
      <c r="BCB9" s="1221"/>
      <c r="BCC9" s="1221"/>
      <c r="BCD9" s="1221"/>
      <c r="BCE9" s="1221"/>
      <c r="BCF9" s="1221"/>
      <c r="BCG9" s="1221"/>
      <c r="BCH9" s="1221"/>
      <c r="BCI9" s="1221"/>
      <c r="BCJ9" s="1221"/>
      <c r="BCK9" s="1221"/>
      <c r="BCL9" s="1221"/>
      <c r="BCM9" s="1221"/>
      <c r="BCN9" s="1221"/>
      <c r="BCO9" s="1221"/>
      <c r="BCP9" s="1221"/>
      <c r="BCQ9" s="1221"/>
      <c r="BCR9" s="1221"/>
      <c r="BCS9" s="1221"/>
      <c r="BCT9" s="1221"/>
      <c r="BCU9" s="1221"/>
      <c r="BCV9" s="1221"/>
      <c r="BCW9" s="1221"/>
      <c r="BCX9" s="1221"/>
      <c r="BCY9" s="1221"/>
      <c r="BCZ9" s="1221"/>
      <c r="BDA9" s="1221"/>
      <c r="BDB9" s="1221"/>
      <c r="BDC9" s="1221"/>
      <c r="BDD9" s="1221"/>
      <c r="BDE9" s="1221"/>
      <c r="BDF9" s="1221"/>
      <c r="BDG9" s="1221"/>
      <c r="BDH9" s="1221"/>
      <c r="BDI9" s="1221"/>
      <c r="BDJ9" s="1221"/>
      <c r="BDK9" s="1221"/>
      <c r="BDL9" s="1221"/>
      <c r="BDM9" s="1221"/>
      <c r="BDN9" s="1221"/>
      <c r="BDO9" s="1221"/>
      <c r="BDP9" s="1221"/>
      <c r="BDQ9" s="1221"/>
      <c r="BDR9" s="1221"/>
      <c r="BDS9" s="1221"/>
      <c r="BDT9" s="1221"/>
      <c r="BDU9" s="1221"/>
      <c r="BDV9" s="1221"/>
      <c r="BDW9" s="1221"/>
      <c r="BDX9" s="1221"/>
      <c r="BDY9" s="1221"/>
      <c r="BDZ9" s="1221"/>
      <c r="BEA9" s="1221"/>
      <c r="BEB9" s="1221"/>
      <c r="BEC9" s="1221"/>
      <c r="BED9" s="1221"/>
      <c r="BEE9" s="1221"/>
      <c r="BEF9" s="1221"/>
      <c r="BEG9" s="1221"/>
      <c r="BEH9" s="1221"/>
      <c r="BEI9" s="1221"/>
      <c r="BEJ9" s="1221"/>
      <c r="BEK9" s="1221"/>
      <c r="BEL9" s="1221"/>
      <c r="BEM9" s="1221"/>
      <c r="BEN9" s="1221"/>
      <c r="BEO9" s="1221"/>
      <c r="BEP9" s="1221"/>
      <c r="BEQ9" s="1221"/>
      <c r="BER9" s="1221"/>
      <c r="BES9" s="1221"/>
      <c r="BET9" s="1221"/>
      <c r="BEU9" s="1221"/>
      <c r="BEV9" s="1221"/>
      <c r="BEW9" s="1221"/>
      <c r="BEX9" s="1221"/>
      <c r="BEY9" s="1221"/>
      <c r="BEZ9" s="1221"/>
      <c r="BFA9" s="1221"/>
      <c r="BFB9" s="1221"/>
      <c r="BFC9" s="1221"/>
      <c r="BFD9" s="1221"/>
      <c r="BFE9" s="1221"/>
      <c r="BFF9" s="1221"/>
      <c r="BFG9" s="1221"/>
      <c r="BFH9" s="1221"/>
      <c r="BFI9" s="1221"/>
      <c r="BFJ9" s="1221"/>
      <c r="BFK9" s="1221"/>
      <c r="BFL9" s="1221"/>
      <c r="BFM9" s="1221"/>
      <c r="BFN9" s="1221"/>
      <c r="BFO9" s="1221"/>
      <c r="BFP9" s="1221"/>
      <c r="BFQ9" s="1221"/>
      <c r="BFR9" s="1221"/>
      <c r="BFS9" s="1221"/>
      <c r="BFT9" s="1221"/>
      <c r="BFU9" s="1221"/>
      <c r="BFV9" s="1221"/>
      <c r="BFW9" s="1221"/>
      <c r="BFX9" s="1221"/>
      <c r="BFY9" s="1221"/>
      <c r="BFZ9" s="1221"/>
      <c r="BGA9" s="1221"/>
      <c r="BGB9" s="1221"/>
      <c r="BGC9" s="1221"/>
      <c r="BGD9" s="1221"/>
      <c r="BGE9" s="1221"/>
      <c r="BGF9" s="1221"/>
      <c r="BGG9" s="1221"/>
      <c r="BGH9" s="1221"/>
      <c r="BGI9" s="1221"/>
      <c r="BGJ9" s="1221"/>
      <c r="BGK9" s="1221"/>
      <c r="BGL9" s="1221"/>
      <c r="BGM9" s="1221"/>
      <c r="BGN9" s="1221"/>
      <c r="BGO9" s="1221"/>
      <c r="BGP9" s="1221"/>
      <c r="BGQ9" s="1221"/>
      <c r="BGR9" s="1221"/>
      <c r="BGS9" s="1221"/>
      <c r="BGT9" s="1221"/>
      <c r="BGU9" s="1221"/>
      <c r="BGV9" s="1221"/>
      <c r="BGW9" s="1221"/>
      <c r="BGX9" s="1221"/>
      <c r="BGY9" s="1221"/>
      <c r="BGZ9" s="1221"/>
      <c r="BHA9" s="1221"/>
      <c r="BHB9" s="1221"/>
      <c r="BHC9" s="1221"/>
      <c r="BHD9" s="1221"/>
      <c r="BHE9" s="1221"/>
      <c r="BHF9" s="1221"/>
      <c r="BHG9" s="1221"/>
      <c r="BHH9" s="1221"/>
      <c r="BHI9" s="1221"/>
      <c r="BHJ9" s="1221"/>
      <c r="BHK9" s="1221"/>
      <c r="BHL9" s="1221"/>
      <c r="BHM9" s="1221"/>
      <c r="BHN9" s="1221"/>
      <c r="BHO9" s="1221"/>
      <c r="BHP9" s="1221"/>
      <c r="BHQ9" s="1221"/>
      <c r="BHR9" s="1221"/>
      <c r="BHS9" s="1221"/>
      <c r="BHT9" s="1221"/>
      <c r="BHU9" s="1221"/>
      <c r="BHV9" s="1221"/>
      <c r="BHW9" s="1221"/>
      <c r="BHX9" s="1221"/>
      <c r="BHY9" s="1221"/>
      <c r="BHZ9" s="1221"/>
      <c r="BIA9" s="1221"/>
      <c r="BIB9" s="1221"/>
      <c r="BIC9" s="1221"/>
      <c r="BID9" s="1221"/>
      <c r="BIE9" s="1221"/>
      <c r="BIF9" s="1221"/>
      <c r="BIG9" s="1221"/>
      <c r="BIH9" s="1221"/>
      <c r="BII9" s="1221"/>
      <c r="BIJ9" s="1221"/>
      <c r="BIK9" s="1221"/>
      <c r="BIL9" s="1221"/>
      <c r="BIM9" s="1221"/>
      <c r="BIN9" s="1221"/>
      <c r="BIO9" s="1221"/>
      <c r="BIP9" s="1221"/>
      <c r="BIQ9" s="1221"/>
      <c r="BIR9" s="1221"/>
      <c r="BIS9" s="1221"/>
      <c r="BIT9" s="1221"/>
      <c r="BIU9" s="1221"/>
      <c r="BIV9" s="1221"/>
      <c r="BIW9" s="1221"/>
      <c r="BIX9" s="1221"/>
      <c r="BIY9" s="1221"/>
      <c r="BIZ9" s="1221"/>
      <c r="BJA9" s="1221"/>
      <c r="BJB9" s="1221"/>
      <c r="BJC9" s="1221"/>
      <c r="BJD9" s="1221"/>
      <c r="BJE9" s="1221"/>
      <c r="BJF9" s="1221"/>
      <c r="BJG9" s="1221"/>
      <c r="BJH9" s="1221"/>
      <c r="BJI9" s="1221"/>
      <c r="BJJ9" s="1221"/>
      <c r="BJK9" s="1221"/>
      <c r="BJL9" s="1221"/>
      <c r="BJM9" s="1221"/>
      <c r="BJN9" s="1221"/>
      <c r="BJO9" s="1221"/>
      <c r="BJP9" s="1221"/>
      <c r="BJQ9" s="1221"/>
      <c r="BJR9" s="1221"/>
      <c r="BJS9" s="1221"/>
      <c r="BJT9" s="1221"/>
      <c r="BJU9" s="1221"/>
      <c r="BJV9" s="1221"/>
      <c r="BJW9" s="1221"/>
      <c r="BJX9" s="1221"/>
      <c r="BJY9" s="1221"/>
      <c r="BJZ9" s="1221"/>
      <c r="BKA9" s="1221"/>
      <c r="BKB9" s="1221"/>
      <c r="BKC9" s="1221"/>
      <c r="BKD9" s="1221"/>
      <c r="BKE9" s="1221"/>
      <c r="BKF9" s="1221"/>
      <c r="BKG9" s="1221"/>
      <c r="BKH9" s="1221"/>
      <c r="BKI9" s="1221"/>
      <c r="BKJ9" s="1221"/>
      <c r="BKK9" s="1221"/>
      <c r="BKL9" s="1221"/>
      <c r="BKM9" s="1221"/>
      <c r="BKN9" s="1221"/>
      <c r="BKO9" s="1221"/>
      <c r="BKP9" s="1221"/>
      <c r="BKQ9" s="1221"/>
      <c r="BKR9" s="1221"/>
      <c r="BKS9" s="1221"/>
      <c r="BKT9" s="1221"/>
      <c r="BKU9" s="1221"/>
      <c r="BKV9" s="1221"/>
      <c r="BKW9" s="1221"/>
      <c r="BKX9" s="1221"/>
      <c r="BKY9" s="1221"/>
      <c r="BKZ9" s="1221"/>
      <c r="BLA9" s="1221"/>
      <c r="BLB9" s="1221"/>
      <c r="BLC9" s="1221"/>
      <c r="BLD9" s="1221"/>
      <c r="BLE9" s="1221"/>
      <c r="BLF9" s="1221"/>
      <c r="BLG9" s="1221"/>
      <c r="BLH9" s="1221"/>
      <c r="BLI9" s="1221"/>
      <c r="BLJ9" s="1221"/>
      <c r="BLK9" s="1221"/>
      <c r="BLL9" s="1221"/>
      <c r="BLM9" s="1221"/>
      <c r="BLN9" s="1221"/>
      <c r="BLO9" s="1221"/>
      <c r="BLP9" s="1221"/>
      <c r="BLQ9" s="1221"/>
      <c r="BLR9" s="1221"/>
      <c r="BLS9" s="1221"/>
      <c r="BLT9" s="1221"/>
      <c r="BLU9" s="1221"/>
      <c r="BLV9" s="1221"/>
      <c r="BLW9" s="1221"/>
      <c r="BLX9" s="1221"/>
      <c r="BLY9" s="1221"/>
      <c r="BLZ9" s="1221"/>
      <c r="BMA9" s="1221"/>
      <c r="BMB9" s="1221"/>
      <c r="BMC9" s="1221"/>
      <c r="BMD9" s="1221"/>
      <c r="BME9" s="1221"/>
      <c r="BMF9" s="1221"/>
      <c r="BMG9" s="1221"/>
      <c r="BMH9" s="1221"/>
      <c r="BMI9" s="1221"/>
      <c r="BMJ9" s="1221"/>
      <c r="BMK9" s="1221"/>
      <c r="BML9" s="1221"/>
      <c r="BMM9" s="1221"/>
      <c r="BMN9" s="1221"/>
      <c r="BMO9" s="1221"/>
      <c r="BMP9" s="1221"/>
      <c r="BMQ9" s="1221"/>
      <c r="BMR9" s="1221"/>
      <c r="BMS9" s="1221"/>
      <c r="BMT9" s="1221"/>
      <c r="BMU9" s="1221"/>
      <c r="BMV9" s="1221"/>
      <c r="BMW9" s="1221"/>
      <c r="BMX9" s="1221"/>
      <c r="BMY9" s="1221"/>
      <c r="BMZ9" s="1221"/>
      <c r="BNA9" s="1221"/>
      <c r="BNB9" s="1221"/>
      <c r="BNC9" s="1221"/>
      <c r="BND9" s="1221"/>
      <c r="BNE9" s="1221"/>
      <c r="BNF9" s="1221"/>
      <c r="BNG9" s="1221"/>
      <c r="BNH9" s="1221"/>
      <c r="BNI9" s="1221"/>
      <c r="BNJ9" s="1221"/>
      <c r="BNK9" s="1221"/>
      <c r="BNL9" s="1221"/>
      <c r="BNM9" s="1221"/>
      <c r="BNN9" s="1221"/>
      <c r="BNO9" s="1221"/>
      <c r="BNP9" s="1221"/>
      <c r="BNQ9" s="1221"/>
      <c r="BNR9" s="1221"/>
      <c r="BNS9" s="1221"/>
      <c r="BNT9" s="1221"/>
      <c r="BNU9" s="1221"/>
      <c r="BNV9" s="1221"/>
      <c r="BNW9" s="1221"/>
      <c r="BNX9" s="1221"/>
      <c r="BNY9" s="1221"/>
      <c r="BNZ9" s="1221"/>
      <c r="BOA9" s="1221"/>
      <c r="BOB9" s="1221"/>
      <c r="BOC9" s="1221"/>
      <c r="BOD9" s="1221"/>
      <c r="BOE9" s="1221"/>
      <c r="BOF9" s="1221"/>
      <c r="BOG9" s="1221"/>
      <c r="BOH9" s="1221"/>
      <c r="BOI9" s="1221"/>
      <c r="BOJ9" s="1221"/>
      <c r="BOK9" s="1221"/>
      <c r="BOL9" s="1221"/>
      <c r="BOM9" s="1221"/>
      <c r="BON9" s="1221"/>
      <c r="BOO9" s="1221"/>
      <c r="BOP9" s="1221"/>
      <c r="BOQ9" s="1221"/>
      <c r="BOR9" s="1221"/>
      <c r="BOS9" s="1221"/>
      <c r="BOT9" s="1221"/>
      <c r="BOU9" s="1221"/>
      <c r="BOV9" s="1221"/>
      <c r="BOW9" s="1221"/>
      <c r="BOX9" s="1221"/>
      <c r="BOY9" s="1221"/>
      <c r="BOZ9" s="1221"/>
      <c r="BPA9" s="1221"/>
      <c r="BPB9" s="1221"/>
      <c r="BPC9" s="1221"/>
      <c r="BPD9" s="1221"/>
      <c r="BPE9" s="1221"/>
      <c r="BPF9" s="1221"/>
      <c r="BPG9" s="1221"/>
      <c r="BPH9" s="1221"/>
      <c r="BPI9" s="1221"/>
      <c r="BPJ9" s="1221"/>
      <c r="BPK9" s="1221"/>
      <c r="BPL9" s="1221"/>
      <c r="BPM9" s="1221"/>
      <c r="BPN9" s="1221"/>
      <c r="BPO9" s="1221"/>
      <c r="BPP9" s="1221"/>
      <c r="BPQ9" s="1221"/>
      <c r="BPR9" s="1221"/>
      <c r="BPS9" s="1221"/>
      <c r="BPT9" s="1221"/>
      <c r="BPU9" s="1221"/>
      <c r="BPV9" s="1221"/>
      <c r="BPW9" s="1221"/>
      <c r="BPX9" s="1221"/>
      <c r="BPY9" s="1221"/>
      <c r="BPZ9" s="1221"/>
      <c r="BQA9" s="1221"/>
      <c r="BQB9" s="1221"/>
      <c r="BQC9" s="1221"/>
      <c r="BQD9" s="1221"/>
      <c r="BQE9" s="1221"/>
      <c r="BQF9" s="1221"/>
      <c r="BQG9" s="1221"/>
      <c r="BQH9" s="1221"/>
      <c r="BQI9" s="1221"/>
      <c r="BQJ9" s="1221"/>
      <c r="BQK9" s="1221"/>
      <c r="BQL9" s="1221"/>
      <c r="BQM9" s="1221"/>
      <c r="BQN9" s="1221"/>
      <c r="BQO9" s="1221"/>
      <c r="BQP9" s="1221"/>
      <c r="BQQ9" s="1221"/>
      <c r="BQR9" s="1221"/>
      <c r="BQS9" s="1221"/>
      <c r="BQT9" s="1221"/>
      <c r="BQU9" s="1221"/>
      <c r="BQV9" s="1221"/>
      <c r="BQW9" s="1221"/>
      <c r="BQX9" s="1221"/>
      <c r="BQY9" s="1221"/>
      <c r="BQZ9" s="1221"/>
      <c r="BRA9" s="1221"/>
      <c r="BRB9" s="1221"/>
      <c r="BRC9" s="1221"/>
      <c r="BRD9" s="1221"/>
      <c r="BRE9" s="1221"/>
      <c r="BRF9" s="1221"/>
      <c r="BRG9" s="1221"/>
      <c r="BRH9" s="1221"/>
      <c r="BRI9" s="1221"/>
      <c r="BRJ9" s="1221"/>
      <c r="BRK9" s="1221"/>
      <c r="BRL9" s="1221"/>
      <c r="BRM9" s="1221"/>
      <c r="BRN9" s="1221"/>
      <c r="BRO9" s="1221"/>
      <c r="BRP9" s="1221"/>
      <c r="BRQ9" s="1221"/>
      <c r="BRR9" s="1221"/>
      <c r="BRS9" s="1221"/>
      <c r="BRT9" s="1221"/>
      <c r="BRU9" s="1221"/>
      <c r="BRV9" s="1221"/>
      <c r="BRW9" s="1221"/>
      <c r="BRX9" s="1221"/>
      <c r="BRY9" s="1221"/>
      <c r="BRZ9" s="1221"/>
      <c r="BSA9" s="1221"/>
      <c r="BSB9" s="1221"/>
      <c r="BSC9" s="1221"/>
      <c r="BSD9" s="1221"/>
      <c r="BSE9" s="1221"/>
      <c r="BSF9" s="1221"/>
      <c r="BSG9" s="1221"/>
      <c r="BSH9" s="1221"/>
      <c r="BSI9" s="1221"/>
      <c r="BSJ9" s="1221"/>
      <c r="BSK9" s="1221"/>
      <c r="BSL9" s="1221"/>
      <c r="BSM9" s="1221"/>
      <c r="BSN9" s="1221"/>
      <c r="BSO9" s="1221"/>
      <c r="BSP9" s="1221"/>
      <c r="BSQ9" s="1221"/>
      <c r="BSR9" s="1221"/>
      <c r="BSS9" s="1221"/>
      <c r="BST9" s="1221"/>
      <c r="BSU9" s="1221"/>
      <c r="BSV9" s="1221"/>
      <c r="BSW9" s="1221"/>
      <c r="BSX9" s="1221"/>
      <c r="BSY9" s="1221"/>
      <c r="BSZ9" s="1221"/>
      <c r="BTA9" s="1221"/>
      <c r="BTB9" s="1221"/>
      <c r="BTC9" s="1221"/>
      <c r="BTD9" s="1221"/>
      <c r="BTE9" s="1221"/>
      <c r="BTF9" s="1221"/>
      <c r="BTG9" s="1221"/>
      <c r="BTH9" s="1221"/>
      <c r="BTI9" s="1221"/>
      <c r="BTJ9" s="1221"/>
      <c r="BTK9" s="1221"/>
      <c r="BTL9" s="1221"/>
      <c r="BTM9" s="1221"/>
      <c r="BTN9" s="1221"/>
      <c r="BTO9" s="1221"/>
      <c r="BTP9" s="1221"/>
      <c r="BTQ9" s="1221"/>
      <c r="BTR9" s="1221"/>
      <c r="BTS9" s="1221"/>
      <c r="BTT9" s="1221"/>
      <c r="BTU9" s="1221"/>
      <c r="BTV9" s="1221"/>
      <c r="BTW9" s="1221"/>
      <c r="BTX9" s="1221"/>
      <c r="BTY9" s="1221"/>
      <c r="BTZ9" s="1221"/>
      <c r="BUA9" s="1221"/>
      <c r="BUB9" s="1221"/>
      <c r="BUC9" s="1221"/>
      <c r="BUD9" s="1221"/>
      <c r="BUE9" s="1221"/>
      <c r="BUF9" s="1221"/>
      <c r="BUG9" s="1221"/>
      <c r="BUH9" s="1221"/>
      <c r="BUI9" s="1221"/>
      <c r="BUJ9" s="1221"/>
      <c r="BUK9" s="1221"/>
      <c r="BUL9" s="1221"/>
      <c r="BUM9" s="1221"/>
      <c r="BUN9" s="1221"/>
      <c r="BUO9" s="1221"/>
      <c r="BUP9" s="1221"/>
      <c r="BUQ9" s="1221"/>
      <c r="BUR9" s="1221"/>
      <c r="BUS9" s="1221"/>
      <c r="BUT9" s="1221"/>
      <c r="BUU9" s="1221"/>
      <c r="BUV9" s="1221"/>
      <c r="BUW9" s="1221"/>
      <c r="BUX9" s="1221"/>
      <c r="BUY9" s="1221"/>
      <c r="BUZ9" s="1221"/>
      <c r="BVA9" s="1221"/>
      <c r="BVB9" s="1221"/>
      <c r="BVC9" s="1221"/>
      <c r="BVD9" s="1221"/>
      <c r="BVE9" s="1221"/>
      <c r="BVF9" s="1221"/>
      <c r="BVG9" s="1221"/>
      <c r="BVH9" s="1221"/>
      <c r="BVI9" s="1221"/>
      <c r="BVJ9" s="1221"/>
      <c r="BVK9" s="1221"/>
      <c r="BVL9" s="1221"/>
      <c r="BVM9" s="1221"/>
      <c r="BVN9" s="1221"/>
      <c r="BVO9" s="1221"/>
      <c r="BVP9" s="1221"/>
      <c r="BVQ9" s="1221"/>
      <c r="BVR9" s="1221"/>
      <c r="BVS9" s="1221"/>
      <c r="BVT9" s="1221"/>
      <c r="BVU9" s="1221"/>
      <c r="BVV9" s="1221"/>
      <c r="BVW9" s="1221"/>
      <c r="BVX9" s="1221"/>
      <c r="BVY9" s="1221"/>
      <c r="BVZ9" s="1221"/>
      <c r="BWA9" s="1221"/>
      <c r="BWB9" s="1221"/>
      <c r="BWC9" s="1221"/>
      <c r="BWD9" s="1221"/>
      <c r="BWE9" s="1221"/>
      <c r="BWF9" s="1221"/>
      <c r="BWG9" s="1221"/>
      <c r="BWH9" s="1221"/>
      <c r="BWI9" s="1221"/>
      <c r="BWJ9" s="1221"/>
      <c r="BWK9" s="1221"/>
      <c r="BWL9" s="1221"/>
      <c r="BWM9" s="1221"/>
      <c r="BWN9" s="1221"/>
      <c r="BWO9" s="1221"/>
      <c r="BWP9" s="1221"/>
      <c r="BWQ9" s="1221"/>
      <c r="BWR9" s="1221"/>
      <c r="BWS9" s="1221"/>
      <c r="BWT9" s="1221"/>
      <c r="BWU9" s="1221"/>
      <c r="BWV9" s="1221"/>
      <c r="BWW9" s="1221"/>
      <c r="BWX9" s="1221"/>
      <c r="BWY9" s="1221"/>
      <c r="BWZ9" s="1221"/>
      <c r="BXA9" s="1221"/>
      <c r="BXB9" s="1221"/>
      <c r="BXC9" s="1221"/>
      <c r="BXD9" s="1221"/>
      <c r="BXE9" s="1221"/>
      <c r="BXF9" s="1221"/>
      <c r="BXG9" s="1221"/>
      <c r="BXH9" s="1221"/>
      <c r="BXI9" s="1221"/>
      <c r="BXJ9" s="1221"/>
      <c r="BXK9" s="1221"/>
      <c r="BXL9" s="1221"/>
      <c r="BXM9" s="1221"/>
      <c r="BXN9" s="1221"/>
      <c r="BXO9" s="1221"/>
      <c r="BXP9" s="1221"/>
      <c r="BXQ9" s="1221"/>
      <c r="BXR9" s="1221"/>
      <c r="BXS9" s="1221"/>
      <c r="BXT9" s="1221"/>
      <c r="BXU9" s="1221"/>
      <c r="BXV9" s="1221"/>
      <c r="BXW9" s="1221"/>
      <c r="BXX9" s="1221"/>
      <c r="BXY9" s="1221"/>
      <c r="BXZ9" s="1221"/>
      <c r="BYA9" s="1221"/>
      <c r="BYB9" s="1221"/>
      <c r="BYC9" s="1221"/>
      <c r="BYD9" s="1221"/>
      <c r="BYE9" s="1221"/>
      <c r="BYF9" s="1221"/>
      <c r="BYG9" s="1221"/>
      <c r="BYH9" s="1221"/>
      <c r="BYI9" s="1221"/>
      <c r="BYJ9" s="1221"/>
      <c r="BYK9" s="1221"/>
      <c r="BYL9" s="1221"/>
      <c r="BYM9" s="1221"/>
      <c r="BYN9" s="1221"/>
      <c r="BYO9" s="1221"/>
      <c r="BYP9" s="1221"/>
      <c r="BYQ9" s="1221"/>
      <c r="BYR9" s="1221"/>
      <c r="BYS9" s="1221"/>
      <c r="BYT9" s="1221"/>
      <c r="BYU9" s="1221"/>
      <c r="BYV9" s="1221"/>
      <c r="BYW9" s="1221"/>
      <c r="BYX9" s="1221"/>
      <c r="BYY9" s="1221"/>
      <c r="BYZ9" s="1221"/>
      <c r="BZA9" s="1221"/>
      <c r="BZB9" s="1221"/>
      <c r="BZC9" s="1221"/>
      <c r="BZD9" s="1221"/>
      <c r="BZE9" s="1221"/>
      <c r="BZF9" s="1221"/>
      <c r="BZG9" s="1221"/>
      <c r="BZH9" s="1221"/>
      <c r="BZI9" s="1221"/>
      <c r="BZJ9" s="1221"/>
      <c r="BZK9" s="1221"/>
      <c r="BZL9" s="1221"/>
      <c r="BZM9" s="1221"/>
      <c r="BZN9" s="1221"/>
      <c r="BZO9" s="1221"/>
      <c r="BZP9" s="1221"/>
      <c r="BZQ9" s="1221"/>
      <c r="BZR9" s="1221"/>
      <c r="BZS9" s="1221"/>
      <c r="BZT9" s="1221"/>
      <c r="BZU9" s="1221"/>
      <c r="BZV9" s="1221"/>
      <c r="BZW9" s="1221"/>
      <c r="BZX9" s="1221"/>
      <c r="BZY9" s="1221"/>
      <c r="BZZ9" s="1221"/>
      <c r="CAA9" s="1221"/>
      <c r="CAB9" s="1221"/>
      <c r="CAC9" s="1221"/>
      <c r="CAD9" s="1221"/>
      <c r="CAE9" s="1221"/>
      <c r="CAF9" s="1221"/>
      <c r="CAG9" s="1221"/>
      <c r="CAH9" s="1221"/>
      <c r="CAI9" s="1221"/>
      <c r="CAJ9" s="1221"/>
      <c r="CAK9" s="1221"/>
      <c r="CAL9" s="1221"/>
      <c r="CAM9" s="1221"/>
      <c r="CAN9" s="1221"/>
      <c r="CAO9" s="1221"/>
      <c r="CAP9" s="1221"/>
      <c r="CAQ9" s="1221"/>
      <c r="CAR9" s="1221"/>
      <c r="CAS9" s="1221"/>
      <c r="CAT9" s="1221"/>
      <c r="CAU9" s="1221"/>
      <c r="CAV9" s="1221"/>
      <c r="CAW9" s="1221"/>
      <c r="CAX9" s="1221"/>
      <c r="CAY9" s="1221"/>
      <c r="CAZ9" s="1221"/>
      <c r="CBA9" s="1221"/>
      <c r="CBB9" s="1221"/>
      <c r="CBC9" s="1221"/>
      <c r="CBD9" s="1221"/>
      <c r="CBE9" s="1221"/>
      <c r="CBF9" s="1221"/>
      <c r="CBG9" s="1221"/>
      <c r="CBH9" s="1221"/>
      <c r="CBI9" s="1221"/>
      <c r="CBJ9" s="1221"/>
      <c r="CBK9" s="1221"/>
      <c r="CBL9" s="1221"/>
      <c r="CBM9" s="1221"/>
      <c r="CBN9" s="1221"/>
      <c r="CBO9" s="1221"/>
      <c r="CBP9" s="1221"/>
      <c r="CBQ9" s="1221"/>
      <c r="CBR9" s="1221"/>
      <c r="CBS9" s="1221"/>
      <c r="CBT9" s="1221"/>
      <c r="CBU9" s="1221"/>
      <c r="CBV9" s="1221"/>
      <c r="CBW9" s="1221"/>
      <c r="CBX9" s="1221"/>
      <c r="CBY9" s="1221"/>
      <c r="CBZ9" s="1221"/>
      <c r="CCA9" s="1221"/>
      <c r="CCB9" s="1221"/>
      <c r="CCC9" s="1221"/>
      <c r="CCD9" s="1221"/>
      <c r="CCE9" s="1221"/>
      <c r="CCF9" s="1221"/>
      <c r="CCG9" s="1221"/>
      <c r="CCH9" s="1221"/>
      <c r="CCI9" s="1221"/>
      <c r="CCJ9" s="1221"/>
      <c r="CCK9" s="1221"/>
      <c r="CCL9" s="1221"/>
      <c r="CCM9" s="1221"/>
      <c r="CCN9" s="1221"/>
      <c r="CCO9" s="1221"/>
      <c r="CCP9" s="1221"/>
      <c r="CCQ9" s="1221"/>
      <c r="CCR9" s="1221"/>
      <c r="CCS9" s="1221"/>
      <c r="CCT9" s="1221"/>
      <c r="CCU9" s="1221"/>
      <c r="CCV9" s="1221"/>
      <c r="CCW9" s="1221"/>
      <c r="CCX9" s="1221"/>
      <c r="CCY9" s="1221"/>
      <c r="CCZ9" s="1221"/>
      <c r="CDA9" s="1221"/>
      <c r="CDB9" s="1221"/>
      <c r="CDC9" s="1221"/>
      <c r="CDD9" s="1221"/>
      <c r="CDE9" s="1221"/>
      <c r="CDF9" s="1221"/>
      <c r="CDG9" s="1221"/>
      <c r="CDH9" s="1221"/>
      <c r="CDI9" s="1221"/>
      <c r="CDJ9" s="1221"/>
      <c r="CDK9" s="1221"/>
      <c r="CDL9" s="1221"/>
      <c r="CDM9" s="1221"/>
      <c r="CDN9" s="1221"/>
      <c r="CDO9" s="1221"/>
      <c r="CDP9" s="1221"/>
      <c r="CDQ9" s="1221"/>
      <c r="CDR9" s="1221"/>
      <c r="CDS9" s="1221"/>
      <c r="CDT9" s="1221"/>
      <c r="CDU9" s="1221"/>
      <c r="CDV9" s="1221"/>
      <c r="CDW9" s="1221"/>
      <c r="CDX9" s="1221"/>
      <c r="CDY9" s="1221"/>
      <c r="CDZ9" s="1221"/>
      <c r="CEA9" s="1221"/>
      <c r="CEB9" s="1221"/>
      <c r="CEC9" s="1221"/>
      <c r="CED9" s="1221"/>
      <c r="CEE9" s="1221"/>
      <c r="CEF9" s="1221"/>
      <c r="CEG9" s="1221"/>
      <c r="CEH9" s="1221"/>
      <c r="CEI9" s="1221"/>
      <c r="CEJ9" s="1221"/>
      <c r="CEK9" s="1221"/>
      <c r="CEL9" s="1221"/>
      <c r="CEM9" s="1221"/>
      <c r="CEN9" s="1221"/>
      <c r="CEO9" s="1221"/>
      <c r="CEP9" s="1221"/>
      <c r="CEQ9" s="1221"/>
      <c r="CER9" s="1221"/>
      <c r="CES9" s="1221"/>
      <c r="CET9" s="1221"/>
      <c r="CEU9" s="1221"/>
      <c r="CEV9" s="1221"/>
      <c r="CEW9" s="1221"/>
      <c r="CEX9" s="1221"/>
      <c r="CEY9" s="1221"/>
      <c r="CEZ9" s="1221"/>
      <c r="CFA9" s="1221"/>
      <c r="CFB9" s="1221"/>
      <c r="CFC9" s="1221"/>
      <c r="CFD9" s="1221"/>
      <c r="CFE9" s="1221"/>
      <c r="CFF9" s="1221"/>
      <c r="CFG9" s="1221"/>
      <c r="CFH9" s="1221"/>
      <c r="CFI9" s="1221"/>
      <c r="CFJ9" s="1221"/>
      <c r="CFK9" s="1221"/>
      <c r="CFL9" s="1221"/>
      <c r="CFM9" s="1221"/>
      <c r="CFN9" s="1221"/>
      <c r="CFO9" s="1221"/>
      <c r="CFP9" s="1221"/>
      <c r="CFQ9" s="1221"/>
      <c r="CFR9" s="1221"/>
      <c r="CFS9" s="1221"/>
      <c r="CFT9" s="1221"/>
      <c r="CFU9" s="1221"/>
      <c r="CFV9" s="1221"/>
      <c r="CFW9" s="1221"/>
      <c r="CFX9" s="1221"/>
      <c r="CFY9" s="1221"/>
      <c r="CFZ9" s="1221"/>
      <c r="CGA9" s="1221"/>
      <c r="CGB9" s="1221"/>
      <c r="CGC9" s="1221"/>
      <c r="CGD9" s="1221"/>
      <c r="CGE9" s="1221"/>
      <c r="CGF9" s="1221"/>
      <c r="CGG9" s="1221"/>
      <c r="CGH9" s="1221"/>
      <c r="CGI9" s="1221"/>
      <c r="CGJ9" s="1221"/>
      <c r="CGK9" s="1221"/>
      <c r="CGL9" s="1221"/>
      <c r="CGM9" s="1221"/>
      <c r="CGN9" s="1221"/>
      <c r="CGO9" s="1221"/>
      <c r="CGP9" s="1221"/>
      <c r="CGQ9" s="1221"/>
      <c r="CGR9" s="1221"/>
      <c r="CGS9" s="1221"/>
      <c r="CGT9" s="1221"/>
      <c r="CGU9" s="1221"/>
      <c r="CGV9" s="1221"/>
      <c r="CGW9" s="1221"/>
      <c r="CGX9" s="1221"/>
      <c r="CGY9" s="1221"/>
      <c r="CGZ9" s="1221"/>
      <c r="CHA9" s="1221"/>
      <c r="CHB9" s="1221"/>
      <c r="CHC9" s="1221"/>
      <c r="CHD9" s="1221"/>
      <c r="CHE9" s="1221"/>
      <c r="CHF9" s="1221"/>
      <c r="CHG9" s="1221"/>
      <c r="CHH9" s="1221"/>
      <c r="CHI9" s="1221"/>
      <c r="CHJ9" s="1221"/>
      <c r="CHK9" s="1221"/>
      <c r="CHL9" s="1221"/>
      <c r="CHM9" s="1221"/>
      <c r="CHN9" s="1221"/>
      <c r="CHO9" s="1221"/>
      <c r="CHP9" s="1221"/>
      <c r="CHQ9" s="1221"/>
      <c r="CHR9" s="1221"/>
      <c r="CHS9" s="1221"/>
      <c r="CHT9" s="1221"/>
      <c r="CHU9" s="1221"/>
      <c r="CHV9" s="1221"/>
      <c r="CHW9" s="1221"/>
      <c r="CHX9" s="1221"/>
      <c r="CHY9" s="1221"/>
      <c r="CHZ9" s="1221"/>
      <c r="CIA9" s="1221"/>
      <c r="CIB9" s="1221"/>
      <c r="CIC9" s="1221"/>
      <c r="CID9" s="1221"/>
      <c r="CIE9" s="1221"/>
      <c r="CIF9" s="1221"/>
      <c r="CIG9" s="1221"/>
      <c r="CIH9" s="1221"/>
      <c r="CII9" s="1221"/>
      <c r="CIJ9" s="1221"/>
      <c r="CIK9" s="1221"/>
      <c r="CIL9" s="1221"/>
      <c r="CIM9" s="1221"/>
      <c r="CIN9" s="1221"/>
      <c r="CIO9" s="1221"/>
      <c r="CIP9" s="1221"/>
      <c r="CIQ9" s="1221"/>
      <c r="CIR9" s="1221"/>
      <c r="CIS9" s="1221"/>
      <c r="CIT9" s="1221"/>
      <c r="CIU9" s="1221"/>
      <c r="CIV9" s="1221"/>
      <c r="CIW9" s="1221"/>
      <c r="CIX9" s="1221"/>
      <c r="CIY9" s="1221"/>
      <c r="CIZ9" s="1221"/>
      <c r="CJA9" s="1221"/>
      <c r="CJB9" s="1221"/>
      <c r="CJC9" s="1221"/>
      <c r="CJD9" s="1221"/>
      <c r="CJE9" s="1221"/>
      <c r="CJF9" s="1221"/>
      <c r="CJG9" s="1221"/>
      <c r="CJH9" s="1221"/>
      <c r="CJI9" s="1221"/>
      <c r="CJJ9" s="1221"/>
      <c r="CJK9" s="1221"/>
      <c r="CJL9" s="1221"/>
      <c r="CJM9" s="1221"/>
      <c r="CJN9" s="1221"/>
      <c r="CJO9" s="1221"/>
      <c r="CJP9" s="1221"/>
      <c r="CJQ9" s="1221"/>
      <c r="CJR9" s="1221"/>
      <c r="CJS9" s="1221"/>
      <c r="CJT9" s="1221"/>
      <c r="CJU9" s="1221"/>
      <c r="CJV9" s="1221"/>
      <c r="CJW9" s="1221"/>
      <c r="CJX9" s="1221"/>
      <c r="CJY9" s="1221"/>
      <c r="CJZ9" s="1221"/>
      <c r="CKA9" s="1221"/>
      <c r="CKB9" s="1221"/>
      <c r="CKC9" s="1221"/>
      <c r="CKD9" s="1221"/>
      <c r="CKE9" s="1221"/>
      <c r="CKF9" s="1221"/>
      <c r="CKG9" s="1221"/>
      <c r="CKH9" s="1221"/>
      <c r="CKI9" s="1221"/>
      <c r="CKJ9" s="1221"/>
      <c r="CKK9" s="1221"/>
      <c r="CKL9" s="1221"/>
      <c r="CKM9" s="1221"/>
      <c r="CKN9" s="1221"/>
      <c r="CKO9" s="1221"/>
      <c r="CKP9" s="1221"/>
      <c r="CKQ9" s="1221"/>
      <c r="CKR9" s="1221"/>
      <c r="CKS9" s="1221"/>
      <c r="CKT9" s="1221"/>
      <c r="CKU9" s="1221"/>
      <c r="CKV9" s="1221"/>
      <c r="CKW9" s="1221"/>
      <c r="CKX9" s="1221"/>
      <c r="CKY9" s="1221"/>
      <c r="CKZ9" s="1221"/>
      <c r="CLA9" s="1221"/>
      <c r="CLB9" s="1221"/>
      <c r="CLC9" s="1221"/>
      <c r="CLD9" s="1221"/>
      <c r="CLE9" s="1221"/>
      <c r="CLF9" s="1221"/>
      <c r="CLG9" s="1221"/>
      <c r="CLH9" s="1221"/>
      <c r="CLI9" s="1221"/>
      <c r="CLJ9" s="1221"/>
      <c r="CLK9" s="1221"/>
      <c r="CLL9" s="1221"/>
      <c r="CLM9" s="1221"/>
      <c r="CLN9" s="1221"/>
      <c r="CLO9" s="1221"/>
      <c r="CLP9" s="1221"/>
      <c r="CLQ9" s="1221"/>
      <c r="CLR9" s="1221"/>
      <c r="CLS9" s="1221"/>
      <c r="CLT9" s="1221"/>
      <c r="CLU9" s="1221"/>
      <c r="CLV9" s="1221"/>
      <c r="CLW9" s="1221"/>
      <c r="CLX9" s="1221"/>
      <c r="CLY9" s="1221"/>
      <c r="CLZ9" s="1221"/>
      <c r="CMA9" s="1221"/>
      <c r="CMB9" s="1221"/>
      <c r="CMC9" s="1221"/>
      <c r="CMD9" s="1221"/>
      <c r="CME9" s="1221"/>
      <c r="CMF9" s="1221"/>
      <c r="CMG9" s="1221"/>
      <c r="CMH9" s="1221"/>
      <c r="CMI9" s="1221"/>
      <c r="CMJ9" s="1221"/>
      <c r="CMK9" s="1221"/>
      <c r="CML9" s="1221"/>
      <c r="CMM9" s="1221"/>
      <c r="CMN9" s="1221"/>
      <c r="CMO9" s="1221"/>
      <c r="CMP9" s="1221"/>
      <c r="CMQ9" s="1221"/>
      <c r="CMR9" s="1221"/>
      <c r="CMS9" s="1221"/>
      <c r="CMT9" s="1221"/>
      <c r="CMU9" s="1221"/>
      <c r="CMV9" s="1221"/>
      <c r="CMW9" s="1221"/>
      <c r="CMX9" s="1221"/>
      <c r="CMY9" s="1221"/>
      <c r="CMZ9" s="1221"/>
      <c r="CNA9" s="1221"/>
      <c r="CNB9" s="1221"/>
      <c r="CNC9" s="1221"/>
      <c r="CND9" s="1221"/>
      <c r="CNE9" s="1221"/>
      <c r="CNF9" s="1221"/>
      <c r="CNG9" s="1221"/>
      <c r="CNH9" s="1221"/>
      <c r="CNI9" s="1221"/>
      <c r="CNJ9" s="1221"/>
      <c r="CNK9" s="1221"/>
      <c r="CNL9" s="1221"/>
      <c r="CNM9" s="1221"/>
      <c r="CNN9" s="1221"/>
      <c r="CNO9" s="1221"/>
      <c r="CNP9" s="1221"/>
      <c r="CNQ9" s="1221"/>
      <c r="CNR9" s="1221"/>
      <c r="CNS9" s="1221"/>
      <c r="CNT9" s="1221"/>
      <c r="CNU9" s="1221"/>
      <c r="CNV9" s="1221"/>
      <c r="CNW9" s="1221"/>
      <c r="CNX9" s="1221"/>
      <c r="CNY9" s="1221"/>
      <c r="CNZ9" s="1221"/>
      <c r="COA9" s="1221"/>
      <c r="COB9" s="1221"/>
      <c r="COC9" s="1221"/>
      <c r="COD9" s="1221"/>
      <c r="COE9" s="1221"/>
      <c r="COF9" s="1221"/>
      <c r="COG9" s="1221"/>
      <c r="COH9" s="1221"/>
      <c r="COI9" s="1221"/>
      <c r="COJ9" s="1221"/>
      <c r="COK9" s="1221"/>
      <c r="COL9" s="1221"/>
      <c r="COM9" s="1221"/>
      <c r="CON9" s="1221"/>
      <c r="COO9" s="1221"/>
      <c r="COP9" s="1221"/>
      <c r="COQ9" s="1221"/>
      <c r="COR9" s="1221"/>
      <c r="COS9" s="1221"/>
      <c r="COT9" s="1221"/>
      <c r="COU9" s="1221"/>
      <c r="COV9" s="1221"/>
      <c r="COW9" s="1221"/>
      <c r="COX9" s="1221"/>
      <c r="COY9" s="1221"/>
      <c r="COZ9" s="1221"/>
      <c r="CPA9" s="1221"/>
      <c r="CPB9" s="1221"/>
      <c r="CPC9" s="1221"/>
      <c r="CPD9" s="1221"/>
      <c r="CPE9" s="1221"/>
      <c r="CPF9" s="1221"/>
      <c r="CPG9" s="1221"/>
      <c r="CPH9" s="1221"/>
      <c r="CPI9" s="1221"/>
      <c r="CPJ9" s="1221"/>
      <c r="CPK9" s="1221"/>
      <c r="CPL9" s="1221"/>
      <c r="CPM9" s="1221"/>
      <c r="CPN9" s="1221"/>
      <c r="CPO9" s="1221"/>
      <c r="CPP9" s="1221"/>
      <c r="CPQ9" s="1221"/>
      <c r="CPR9" s="1221"/>
      <c r="CPS9" s="1221"/>
      <c r="CPT9" s="1221"/>
      <c r="CPU9" s="1221"/>
      <c r="CPV9" s="1221"/>
      <c r="CPW9" s="1221"/>
      <c r="CPX9" s="1221"/>
      <c r="CPY9" s="1221"/>
      <c r="CPZ9" s="1221"/>
      <c r="CQA9" s="1221"/>
      <c r="CQB9" s="1221"/>
      <c r="CQC9" s="1221"/>
      <c r="CQD9" s="1221"/>
      <c r="CQE9" s="1221"/>
      <c r="CQF9" s="1221"/>
      <c r="CQG9" s="1221"/>
      <c r="CQH9" s="1221"/>
      <c r="CQI9" s="1221"/>
      <c r="CQJ9" s="1221"/>
      <c r="CQK9" s="1221"/>
      <c r="CQL9" s="1221"/>
      <c r="CQM9" s="1221"/>
      <c r="CQN9" s="1221"/>
      <c r="CQO9" s="1221"/>
      <c r="CQP9" s="1221"/>
      <c r="CQQ9" s="1221"/>
      <c r="CQR9" s="1221"/>
      <c r="CQS9" s="1221"/>
      <c r="CQT9" s="1221"/>
      <c r="CQU9" s="1221"/>
      <c r="CQV9" s="1221"/>
      <c r="CQW9" s="1221"/>
      <c r="CQX9" s="1221"/>
      <c r="CQY9" s="1221"/>
      <c r="CQZ9" s="1221"/>
      <c r="CRA9" s="1221"/>
      <c r="CRB9" s="1221"/>
      <c r="CRC9" s="1221"/>
      <c r="CRD9" s="1221"/>
      <c r="CRE9" s="1221"/>
      <c r="CRF9" s="1221"/>
      <c r="CRG9" s="1221"/>
      <c r="CRH9" s="1221"/>
      <c r="CRI9" s="1221"/>
      <c r="CRJ9" s="1221"/>
      <c r="CRK9" s="1221"/>
      <c r="CRL9" s="1221"/>
      <c r="CRM9" s="1221"/>
      <c r="CRN9" s="1221"/>
      <c r="CRO9" s="1221"/>
      <c r="CRP9" s="1221"/>
      <c r="CRQ9" s="1221"/>
      <c r="CRR9" s="1221"/>
      <c r="CRS9" s="1221"/>
      <c r="CRT9" s="1221"/>
      <c r="CRU9" s="1221"/>
      <c r="CRV9" s="1221"/>
      <c r="CRW9" s="1221"/>
      <c r="CRX9" s="1221"/>
      <c r="CRY9" s="1221"/>
      <c r="CRZ9" s="1221"/>
      <c r="CSA9" s="1221"/>
      <c r="CSB9" s="1221"/>
      <c r="CSC9" s="1221"/>
      <c r="CSD9" s="1221"/>
      <c r="CSE9" s="1221"/>
      <c r="CSF9" s="1221"/>
      <c r="CSG9" s="1221"/>
      <c r="CSH9" s="1221"/>
      <c r="CSI9" s="1221"/>
      <c r="CSJ9" s="1221"/>
      <c r="CSK9" s="1221"/>
      <c r="CSL9" s="1221"/>
      <c r="CSM9" s="1221"/>
      <c r="CSN9" s="1221"/>
      <c r="CSO9" s="1221"/>
      <c r="CSP9" s="1221"/>
      <c r="CSQ9" s="1221"/>
      <c r="CSR9" s="1221"/>
      <c r="CSS9" s="1221"/>
      <c r="CST9" s="1221"/>
      <c r="CSU9" s="1221"/>
      <c r="CSV9" s="1221"/>
      <c r="CSW9" s="1221"/>
      <c r="CSX9" s="1221"/>
      <c r="CSY9" s="1221"/>
      <c r="CSZ9" s="1221"/>
      <c r="CTA9" s="1221"/>
      <c r="CTB9" s="1221"/>
      <c r="CTC9" s="1221"/>
      <c r="CTD9" s="1221"/>
      <c r="CTE9" s="1221"/>
      <c r="CTF9" s="1221"/>
      <c r="CTG9" s="1221"/>
      <c r="CTH9" s="1221"/>
      <c r="CTI9" s="1221"/>
      <c r="CTJ9" s="1221"/>
      <c r="CTK9" s="1221"/>
      <c r="CTL9" s="1221"/>
      <c r="CTM9" s="1221"/>
      <c r="CTN9" s="1221"/>
      <c r="CTO9" s="1221"/>
      <c r="CTP9" s="1221"/>
      <c r="CTQ9" s="1221"/>
      <c r="CTR9" s="1221"/>
      <c r="CTS9" s="1221"/>
      <c r="CTT9" s="1221"/>
      <c r="CTU9" s="1221"/>
      <c r="CTV9" s="1221"/>
      <c r="CTW9" s="1221"/>
      <c r="CTX9" s="1221"/>
      <c r="CTY9" s="1221"/>
      <c r="CTZ9" s="1221"/>
      <c r="CUA9" s="1221"/>
      <c r="CUB9" s="1221"/>
      <c r="CUC9" s="1221"/>
      <c r="CUD9" s="1221"/>
      <c r="CUE9" s="1221"/>
      <c r="CUF9" s="1221"/>
      <c r="CUG9" s="1221"/>
      <c r="CUH9" s="1221"/>
      <c r="CUI9" s="1221"/>
      <c r="CUJ9" s="1221"/>
      <c r="CUK9" s="1221"/>
      <c r="CUL9" s="1221"/>
      <c r="CUM9" s="1221"/>
      <c r="CUN9" s="1221"/>
      <c r="CUO9" s="1221"/>
      <c r="CUP9" s="1221"/>
      <c r="CUQ9" s="1221"/>
      <c r="CUR9" s="1221"/>
      <c r="CUS9" s="1221"/>
      <c r="CUT9" s="1221"/>
      <c r="CUU9" s="1221"/>
      <c r="CUV9" s="1221"/>
      <c r="CUW9" s="1221"/>
      <c r="CUX9" s="1221"/>
      <c r="CUY9" s="1221"/>
      <c r="CUZ9" s="1221"/>
      <c r="CVA9" s="1221"/>
      <c r="CVB9" s="1221"/>
      <c r="CVC9" s="1221"/>
      <c r="CVD9" s="1221"/>
      <c r="CVE9" s="1221"/>
      <c r="CVF9" s="1221"/>
      <c r="CVG9" s="1221"/>
      <c r="CVH9" s="1221"/>
      <c r="CVI9" s="1221"/>
      <c r="CVJ9" s="1221"/>
      <c r="CVK9" s="1221"/>
      <c r="CVL9" s="1221"/>
      <c r="CVM9" s="1221"/>
      <c r="CVN9" s="1221"/>
      <c r="CVO9" s="1221"/>
      <c r="CVP9" s="1221"/>
      <c r="CVQ9" s="1221"/>
      <c r="CVR9" s="1221"/>
      <c r="CVS9" s="1221"/>
      <c r="CVT9" s="1221"/>
      <c r="CVU9" s="1221"/>
      <c r="CVV9" s="1221"/>
      <c r="CVW9" s="1221"/>
      <c r="CVX9" s="1221"/>
      <c r="CVY9" s="1221"/>
      <c r="CVZ9" s="1221"/>
      <c r="CWA9" s="1221"/>
      <c r="CWB9" s="1221"/>
      <c r="CWC9" s="1221"/>
      <c r="CWD9" s="1221"/>
      <c r="CWE9" s="1221"/>
      <c r="CWF9" s="1221"/>
      <c r="CWG9" s="1221"/>
      <c r="CWH9" s="1221"/>
      <c r="CWI9" s="1221"/>
      <c r="CWJ9" s="1221"/>
      <c r="CWK9" s="1221"/>
      <c r="CWL9" s="1221"/>
      <c r="CWM9" s="1221"/>
      <c r="CWN9" s="1221"/>
      <c r="CWO9" s="1221"/>
      <c r="CWP9" s="1221"/>
      <c r="CWQ9" s="1221"/>
      <c r="CWR9" s="1221"/>
      <c r="CWS9" s="1221"/>
      <c r="CWT9" s="1221"/>
      <c r="CWU9" s="1221"/>
      <c r="CWV9" s="1221"/>
      <c r="CWW9" s="1221"/>
      <c r="CWX9" s="1221"/>
      <c r="CWY9" s="1221"/>
      <c r="CWZ9" s="1221"/>
      <c r="CXA9" s="1221"/>
      <c r="CXB9" s="1221"/>
      <c r="CXC9" s="1221"/>
      <c r="CXD9" s="1221"/>
      <c r="CXE9" s="1221"/>
      <c r="CXF9" s="1221"/>
      <c r="CXG9" s="1221"/>
      <c r="CXH9" s="1221"/>
      <c r="CXI9" s="1221"/>
      <c r="CXJ9" s="1221"/>
      <c r="CXK9" s="1221"/>
      <c r="CXL9" s="1221"/>
      <c r="CXM9" s="1221"/>
      <c r="CXN9" s="1221"/>
      <c r="CXO9" s="1221"/>
      <c r="CXP9" s="1221"/>
      <c r="CXQ9" s="1221"/>
      <c r="CXR9" s="1221"/>
      <c r="CXS9" s="1221"/>
      <c r="CXT9" s="1221"/>
      <c r="CXU9" s="1221"/>
      <c r="CXV9" s="1221"/>
      <c r="CXW9" s="1221"/>
      <c r="CXX9" s="1221"/>
      <c r="CXY9" s="1221"/>
      <c r="CXZ9" s="1221"/>
      <c r="CYA9" s="1221"/>
      <c r="CYB9" s="1221"/>
      <c r="CYC9" s="1221"/>
      <c r="CYD9" s="1221"/>
      <c r="CYE9" s="1221"/>
      <c r="CYF9" s="1221"/>
      <c r="CYG9" s="1221"/>
      <c r="CYH9" s="1221"/>
      <c r="CYI9" s="1221"/>
      <c r="CYJ9" s="1221"/>
      <c r="CYK9" s="1221"/>
      <c r="CYL9" s="1221"/>
      <c r="CYM9" s="1221"/>
      <c r="CYN9" s="1221"/>
      <c r="CYO9" s="1221"/>
      <c r="CYP9" s="1221"/>
      <c r="CYQ9" s="1221"/>
      <c r="CYR9" s="1221"/>
      <c r="CYS9" s="1221"/>
      <c r="CYT9" s="1221"/>
      <c r="CYU9" s="1221"/>
      <c r="CYV9" s="1221"/>
      <c r="CYW9" s="1221"/>
      <c r="CYX9" s="1221"/>
      <c r="CYY9" s="1221"/>
      <c r="CYZ9" s="1221"/>
      <c r="CZA9" s="1221"/>
      <c r="CZB9" s="1221"/>
      <c r="CZC9" s="1221"/>
      <c r="CZD9" s="1221"/>
      <c r="CZE9" s="1221"/>
      <c r="CZF9" s="1221"/>
      <c r="CZG9" s="1221"/>
      <c r="CZH9" s="1221"/>
      <c r="CZI9" s="1221"/>
      <c r="CZJ9" s="1221"/>
      <c r="CZK9" s="1221"/>
      <c r="CZL9" s="1221"/>
      <c r="CZM9" s="1221"/>
      <c r="CZN9" s="1221"/>
      <c r="CZO9" s="1221"/>
      <c r="CZP9" s="1221"/>
      <c r="CZQ9" s="1221"/>
      <c r="CZR9" s="1221"/>
      <c r="CZS9" s="1221"/>
      <c r="CZT9" s="1221"/>
      <c r="CZU9" s="1221"/>
      <c r="CZV9" s="1221"/>
      <c r="CZW9" s="1221"/>
      <c r="CZX9" s="1221"/>
      <c r="CZY9" s="1221"/>
      <c r="CZZ9" s="1221"/>
      <c r="DAA9" s="1221"/>
      <c r="DAB9" s="1221"/>
      <c r="DAC9" s="1221"/>
      <c r="DAD9" s="1221"/>
      <c r="DAE9" s="1221"/>
      <c r="DAF9" s="1221"/>
      <c r="DAG9" s="1221"/>
      <c r="DAH9" s="1221"/>
      <c r="DAI9" s="1221"/>
      <c r="DAJ9" s="1221"/>
      <c r="DAK9" s="1221"/>
      <c r="DAL9" s="1221"/>
      <c r="DAM9" s="1221"/>
      <c r="DAN9" s="1221"/>
      <c r="DAO9" s="1221"/>
      <c r="DAP9" s="1221"/>
      <c r="DAQ9" s="1221"/>
      <c r="DAR9" s="1221"/>
      <c r="DAS9" s="1221"/>
      <c r="DAT9" s="1221"/>
      <c r="DAU9" s="1221"/>
      <c r="DAV9" s="1221"/>
      <c r="DAW9" s="1221"/>
      <c r="DAX9" s="1221"/>
      <c r="DAY9" s="1221"/>
      <c r="DAZ9" s="1221"/>
      <c r="DBA9" s="1221"/>
      <c r="DBB9" s="1221"/>
      <c r="DBC9" s="1221"/>
      <c r="DBD9" s="1221"/>
      <c r="DBE9" s="1221"/>
      <c r="DBF9" s="1221"/>
      <c r="DBG9" s="1221"/>
      <c r="DBH9" s="1221"/>
      <c r="DBI9" s="1221"/>
      <c r="DBJ9" s="1221"/>
      <c r="DBK9" s="1221"/>
      <c r="DBL9" s="1221"/>
      <c r="DBM9" s="1221"/>
      <c r="DBN9" s="1221"/>
      <c r="DBO9" s="1221"/>
      <c r="DBP9" s="1221"/>
      <c r="DBQ9" s="1221"/>
      <c r="DBR9" s="1221"/>
      <c r="DBS9" s="1221"/>
      <c r="DBT9" s="1221"/>
      <c r="DBU9" s="1221"/>
      <c r="DBV9" s="1221"/>
      <c r="DBW9" s="1221"/>
      <c r="DBX9" s="1221"/>
      <c r="DBY9" s="1221"/>
      <c r="DBZ9" s="1221"/>
      <c r="DCA9" s="1221"/>
      <c r="DCB9" s="1221"/>
      <c r="DCC9" s="1221"/>
      <c r="DCD9" s="1221"/>
      <c r="DCE9" s="1221"/>
      <c r="DCF9" s="1221"/>
      <c r="DCG9" s="1221"/>
      <c r="DCH9" s="1221"/>
      <c r="DCI9" s="1221"/>
      <c r="DCJ9" s="1221"/>
      <c r="DCK9" s="1221"/>
      <c r="DCL9" s="1221"/>
      <c r="DCM9" s="1221"/>
      <c r="DCN9" s="1221"/>
      <c r="DCO9" s="1221"/>
      <c r="DCP9" s="1221"/>
      <c r="DCQ9" s="1221"/>
      <c r="DCR9" s="1221"/>
      <c r="DCS9" s="1221"/>
      <c r="DCT9" s="1221"/>
      <c r="DCU9" s="1221"/>
      <c r="DCV9" s="1221"/>
      <c r="DCW9" s="1221"/>
      <c r="DCX9" s="1221"/>
      <c r="DCY9" s="1221"/>
      <c r="DCZ9" s="1221"/>
      <c r="DDA9" s="1221"/>
      <c r="DDB9" s="1221"/>
      <c r="DDC9" s="1221"/>
      <c r="DDD9" s="1221"/>
      <c r="DDE9" s="1221"/>
      <c r="DDF9" s="1221"/>
      <c r="DDG9" s="1221"/>
      <c r="DDH9" s="1221"/>
      <c r="DDI9" s="1221"/>
      <c r="DDJ9" s="1221"/>
      <c r="DDK9" s="1221"/>
      <c r="DDL9" s="1221"/>
      <c r="DDM9" s="1221"/>
      <c r="DDN9" s="1221"/>
      <c r="DDO9" s="1221"/>
      <c r="DDP9" s="1221"/>
      <c r="DDQ9" s="1221"/>
      <c r="DDR9" s="1221"/>
      <c r="DDS9" s="1221"/>
      <c r="DDT9" s="1221"/>
      <c r="DDU9" s="1221"/>
      <c r="DDV9" s="1221"/>
      <c r="DDW9" s="1221"/>
      <c r="DDX9" s="1221"/>
      <c r="DDY9" s="1221"/>
      <c r="DDZ9" s="1221"/>
      <c r="DEA9" s="1221"/>
      <c r="DEB9" s="1221"/>
      <c r="DEC9" s="1221"/>
      <c r="DED9" s="1221"/>
      <c r="DEE9" s="1221"/>
      <c r="DEF9" s="1221"/>
      <c r="DEG9" s="1221"/>
      <c r="DEH9" s="1221"/>
      <c r="DEI9" s="1221"/>
      <c r="DEJ9" s="1221"/>
      <c r="DEK9" s="1221"/>
      <c r="DEL9" s="1221"/>
      <c r="DEM9" s="1221"/>
      <c r="DEN9" s="1221"/>
      <c r="DEO9" s="1221"/>
      <c r="DEP9" s="1221"/>
      <c r="DEQ9" s="1221"/>
      <c r="DER9" s="1221"/>
      <c r="DES9" s="1221"/>
      <c r="DET9" s="1221"/>
      <c r="DEU9" s="1221"/>
      <c r="DEV9" s="1221"/>
      <c r="DEW9" s="1221"/>
      <c r="DEX9" s="1221"/>
      <c r="DEY9" s="1221"/>
      <c r="DEZ9" s="1221"/>
      <c r="DFA9" s="1221"/>
      <c r="DFB9" s="1221"/>
      <c r="DFC9" s="1221"/>
      <c r="DFD9" s="1221"/>
      <c r="DFE9" s="1221"/>
      <c r="DFF9" s="1221"/>
      <c r="DFG9" s="1221"/>
      <c r="DFH9" s="1221"/>
      <c r="DFI9" s="1221"/>
      <c r="DFJ9" s="1221"/>
      <c r="DFK9" s="1221"/>
      <c r="DFL9" s="1221"/>
      <c r="DFM9" s="1221"/>
      <c r="DFN9" s="1221"/>
      <c r="DFO9" s="1221"/>
      <c r="DFP9" s="1221"/>
      <c r="DFQ9" s="1221"/>
      <c r="DFR9" s="1221"/>
      <c r="DFS9" s="1221"/>
      <c r="DFT9" s="1221"/>
      <c r="DFU9" s="1221"/>
      <c r="DFV9" s="1221"/>
      <c r="DFW9" s="1221"/>
      <c r="DFX9" s="1221"/>
      <c r="DFY9" s="1221"/>
      <c r="DFZ9" s="1221"/>
      <c r="DGA9" s="1221"/>
      <c r="DGB9" s="1221"/>
      <c r="DGC9" s="1221"/>
      <c r="DGD9" s="1221"/>
      <c r="DGE9" s="1221"/>
      <c r="DGF9" s="1221"/>
      <c r="DGG9" s="1221"/>
      <c r="DGH9" s="1221"/>
      <c r="DGI9" s="1221"/>
      <c r="DGJ9" s="1221"/>
      <c r="DGK9" s="1221"/>
      <c r="DGL9" s="1221"/>
      <c r="DGM9" s="1221"/>
      <c r="DGN9" s="1221"/>
      <c r="DGO9" s="1221"/>
      <c r="DGP9" s="1221"/>
      <c r="DGQ9" s="1221"/>
      <c r="DGR9" s="1221"/>
      <c r="DGS9" s="1221"/>
      <c r="DGT9" s="1221"/>
      <c r="DGU9" s="1221"/>
      <c r="DGV9" s="1221"/>
      <c r="DGW9" s="1221"/>
      <c r="DGX9" s="1221"/>
      <c r="DGY9" s="1221"/>
      <c r="DGZ9" s="1221"/>
      <c r="DHA9" s="1221"/>
      <c r="DHB9" s="1221"/>
      <c r="DHC9" s="1221"/>
      <c r="DHD9" s="1221"/>
      <c r="DHE9" s="1221"/>
      <c r="DHF9" s="1221"/>
      <c r="DHG9" s="1221"/>
      <c r="DHH9" s="1221"/>
      <c r="DHI9" s="1221"/>
      <c r="DHJ9" s="1221"/>
      <c r="DHK9" s="1221"/>
      <c r="DHL9" s="1221"/>
      <c r="DHM9" s="1221"/>
      <c r="DHN9" s="1221"/>
      <c r="DHO9" s="1221"/>
      <c r="DHP9" s="1221"/>
      <c r="DHQ9" s="1221"/>
      <c r="DHR9" s="1221"/>
      <c r="DHS9" s="1221"/>
      <c r="DHT9" s="1221"/>
      <c r="DHU9" s="1221"/>
      <c r="DHV9" s="1221"/>
      <c r="DHW9" s="1221"/>
      <c r="DHX9" s="1221"/>
      <c r="DHY9" s="1221"/>
      <c r="DHZ9" s="1221"/>
      <c r="DIA9" s="1221"/>
      <c r="DIB9" s="1221"/>
      <c r="DIC9" s="1221"/>
      <c r="DID9" s="1221"/>
      <c r="DIE9" s="1221"/>
      <c r="DIF9" s="1221"/>
      <c r="DIG9" s="1221"/>
      <c r="DIH9" s="1221"/>
      <c r="DII9" s="1221"/>
      <c r="DIJ9" s="1221"/>
      <c r="DIK9" s="1221"/>
      <c r="DIL9" s="1221"/>
      <c r="DIM9" s="1221"/>
      <c r="DIN9" s="1221"/>
      <c r="DIO9" s="1221"/>
      <c r="DIP9" s="1221"/>
      <c r="DIQ9" s="1221"/>
      <c r="DIR9" s="1221"/>
      <c r="DIS9" s="1221"/>
      <c r="DIT9" s="1221"/>
      <c r="DIU9" s="1221"/>
      <c r="DIV9" s="1221"/>
      <c r="DIW9" s="1221"/>
      <c r="DIX9" s="1221"/>
      <c r="DIY9" s="1221"/>
      <c r="DIZ9" s="1221"/>
      <c r="DJA9" s="1221"/>
      <c r="DJB9" s="1221"/>
      <c r="DJC9" s="1221"/>
      <c r="DJD9" s="1221"/>
      <c r="DJE9" s="1221"/>
      <c r="DJF9" s="1221"/>
      <c r="DJG9" s="1221"/>
      <c r="DJH9" s="1221"/>
      <c r="DJI9" s="1221"/>
      <c r="DJJ9" s="1221"/>
      <c r="DJK9" s="1221"/>
      <c r="DJL9" s="1221"/>
      <c r="DJM9" s="1221"/>
      <c r="DJN9" s="1221"/>
      <c r="DJO9" s="1221"/>
      <c r="DJP9" s="1221"/>
      <c r="DJQ9" s="1221"/>
      <c r="DJR9" s="1221"/>
      <c r="DJS9" s="1221"/>
      <c r="DJT9" s="1221"/>
      <c r="DJU9" s="1221"/>
      <c r="DJV9" s="1221"/>
      <c r="DJW9" s="1221"/>
      <c r="DJX9" s="1221"/>
      <c r="DJY9" s="1221"/>
      <c r="DJZ9" s="1221"/>
      <c r="DKA9" s="1221"/>
      <c r="DKB9" s="1221"/>
      <c r="DKC9" s="1221"/>
      <c r="DKD9" s="1221"/>
      <c r="DKE9" s="1221"/>
      <c r="DKF9" s="1221"/>
      <c r="DKG9" s="1221"/>
      <c r="DKH9" s="1221"/>
      <c r="DKI9" s="1221"/>
      <c r="DKJ9" s="1221"/>
      <c r="DKK9" s="1221"/>
      <c r="DKL9" s="1221"/>
      <c r="DKM9" s="1221"/>
      <c r="DKN9" s="1221"/>
      <c r="DKO9" s="1221"/>
      <c r="DKP9" s="1221"/>
      <c r="DKQ9" s="1221"/>
      <c r="DKR9" s="1221"/>
      <c r="DKS9" s="1221"/>
      <c r="DKT9" s="1221"/>
      <c r="DKU9" s="1221"/>
      <c r="DKV9" s="1221"/>
      <c r="DKW9" s="1221"/>
      <c r="DKX9" s="1221"/>
      <c r="DKY9" s="1221"/>
      <c r="DKZ9" s="1221"/>
      <c r="DLA9" s="1221"/>
      <c r="DLB9" s="1221"/>
      <c r="DLC9" s="1221"/>
      <c r="DLD9" s="1221"/>
      <c r="DLE9" s="1221"/>
      <c r="DLF9" s="1221"/>
      <c r="DLG9" s="1221"/>
      <c r="DLH9" s="1221"/>
      <c r="DLI9" s="1221"/>
      <c r="DLJ9" s="1221"/>
      <c r="DLK9" s="1221"/>
      <c r="DLL9" s="1221"/>
      <c r="DLM9" s="1221"/>
      <c r="DLN9" s="1221"/>
      <c r="DLO9" s="1221"/>
      <c r="DLP9" s="1221"/>
      <c r="DLQ9" s="1221"/>
      <c r="DLR9" s="1221"/>
      <c r="DLS9" s="1221"/>
      <c r="DLT9" s="1221"/>
      <c r="DLU9" s="1221"/>
      <c r="DLV9" s="1221"/>
      <c r="DLW9" s="1221"/>
      <c r="DLX9" s="1221"/>
      <c r="DLY9" s="1221"/>
      <c r="DLZ9" s="1221"/>
      <c r="DMA9" s="1221"/>
      <c r="DMB9" s="1221"/>
      <c r="DMC9" s="1221"/>
      <c r="DMD9" s="1221"/>
      <c r="DME9" s="1221"/>
      <c r="DMF9" s="1221"/>
      <c r="DMG9" s="1221"/>
      <c r="DMH9" s="1221"/>
      <c r="DMI9" s="1221"/>
      <c r="DMJ9" s="1221"/>
      <c r="DMK9" s="1221"/>
      <c r="DML9" s="1221"/>
      <c r="DMM9" s="1221"/>
      <c r="DMN9" s="1221"/>
      <c r="DMO9" s="1221"/>
      <c r="DMP9" s="1221"/>
      <c r="DMQ9" s="1221"/>
      <c r="DMR9" s="1221"/>
      <c r="DMS9" s="1221"/>
      <c r="DMT9" s="1221"/>
      <c r="DMU9" s="1221"/>
      <c r="DMV9" s="1221"/>
      <c r="DMW9" s="1221"/>
      <c r="DMX9" s="1221"/>
      <c r="DMY9" s="1221"/>
      <c r="DMZ9" s="1221"/>
      <c r="DNA9" s="1221"/>
      <c r="DNB9" s="1221"/>
      <c r="DNC9" s="1221"/>
      <c r="DND9" s="1221"/>
      <c r="DNE9" s="1221"/>
      <c r="DNF9" s="1221"/>
      <c r="DNG9" s="1221"/>
      <c r="DNH9" s="1221"/>
      <c r="DNI9" s="1221"/>
      <c r="DNJ9" s="1221"/>
      <c r="DNK9" s="1221"/>
      <c r="DNL9" s="1221"/>
      <c r="DNM9" s="1221"/>
      <c r="DNN9" s="1221"/>
      <c r="DNO9" s="1221"/>
      <c r="DNP9" s="1221"/>
      <c r="DNQ9" s="1221"/>
      <c r="DNR9" s="1221"/>
      <c r="DNS9" s="1221"/>
      <c r="DNT9" s="1221"/>
      <c r="DNU9" s="1221"/>
      <c r="DNV9" s="1221"/>
      <c r="DNW9" s="1221"/>
      <c r="DNX9" s="1221"/>
      <c r="DNY9" s="1221"/>
      <c r="DNZ9" s="1221"/>
      <c r="DOA9" s="1221"/>
      <c r="DOB9" s="1221"/>
      <c r="DOC9" s="1221"/>
      <c r="DOD9" s="1221"/>
      <c r="DOE9" s="1221"/>
      <c r="DOF9" s="1221"/>
      <c r="DOG9" s="1221"/>
      <c r="DOH9" s="1221"/>
      <c r="DOI9" s="1221"/>
      <c r="DOJ9" s="1221"/>
      <c r="DOK9" s="1221"/>
      <c r="DOL9" s="1221"/>
      <c r="DOM9" s="1221"/>
      <c r="DON9" s="1221"/>
      <c r="DOO9" s="1221"/>
      <c r="DOP9" s="1221"/>
      <c r="DOQ9" s="1221"/>
      <c r="DOR9" s="1221"/>
      <c r="DOS9" s="1221"/>
      <c r="DOT9" s="1221"/>
      <c r="DOU9" s="1221"/>
      <c r="DOV9" s="1221"/>
      <c r="DOW9" s="1221"/>
      <c r="DOX9" s="1221"/>
      <c r="DOY9" s="1221"/>
      <c r="DOZ9" s="1221"/>
      <c r="DPA9" s="1221"/>
      <c r="DPB9" s="1221"/>
      <c r="DPC9" s="1221"/>
      <c r="DPD9" s="1221"/>
      <c r="DPE9" s="1221"/>
      <c r="DPF9" s="1221"/>
      <c r="DPG9" s="1221"/>
      <c r="DPH9" s="1221"/>
      <c r="DPI9" s="1221"/>
      <c r="DPJ9" s="1221"/>
      <c r="DPK9" s="1221"/>
      <c r="DPL9" s="1221"/>
      <c r="DPM9" s="1221"/>
      <c r="DPN9" s="1221"/>
      <c r="DPO9" s="1221"/>
      <c r="DPP9" s="1221"/>
      <c r="DPQ9" s="1221"/>
      <c r="DPR9" s="1221"/>
      <c r="DPS9" s="1221"/>
      <c r="DPT9" s="1221"/>
      <c r="DPU9" s="1221"/>
      <c r="DPV9" s="1221"/>
      <c r="DPW9" s="1221"/>
      <c r="DPX9" s="1221"/>
      <c r="DPY9" s="1221"/>
      <c r="DPZ9" s="1221"/>
      <c r="DQA9" s="1221"/>
      <c r="DQB9" s="1221"/>
      <c r="DQC9" s="1221"/>
      <c r="DQD9" s="1221"/>
      <c r="DQE9" s="1221"/>
      <c r="DQF9" s="1221"/>
      <c r="DQG9" s="1221"/>
      <c r="DQH9" s="1221"/>
      <c r="DQI9" s="1221"/>
      <c r="DQJ9" s="1221"/>
      <c r="DQK9" s="1221"/>
      <c r="DQL9" s="1221"/>
      <c r="DQM9" s="1221"/>
      <c r="DQN9" s="1221"/>
      <c r="DQO9" s="1221"/>
      <c r="DQP9" s="1221"/>
      <c r="DQQ9" s="1221"/>
      <c r="DQR9" s="1221"/>
      <c r="DQS9" s="1221"/>
      <c r="DQT9" s="1221"/>
      <c r="DQU9" s="1221"/>
      <c r="DQV9" s="1221"/>
      <c r="DQW9" s="1221"/>
      <c r="DQX9" s="1221"/>
      <c r="DQY9" s="1221"/>
      <c r="DQZ9" s="1221"/>
      <c r="DRA9" s="1221"/>
      <c r="DRB9" s="1221"/>
      <c r="DRC9" s="1221"/>
      <c r="DRD9" s="1221"/>
      <c r="DRE9" s="1221"/>
      <c r="DRF9" s="1221"/>
      <c r="DRG9" s="1221"/>
      <c r="DRH9" s="1221"/>
      <c r="DRI9" s="1221"/>
      <c r="DRJ9" s="1221"/>
      <c r="DRK9" s="1221"/>
      <c r="DRL9" s="1221"/>
      <c r="DRM9" s="1221"/>
      <c r="DRN9" s="1221"/>
      <c r="DRO9" s="1221"/>
      <c r="DRP9" s="1221"/>
      <c r="DRQ9" s="1221"/>
      <c r="DRR9" s="1221"/>
      <c r="DRS9" s="1221"/>
      <c r="DRT9" s="1221"/>
      <c r="DRU9" s="1221"/>
      <c r="DRV9" s="1221"/>
      <c r="DRW9" s="1221"/>
      <c r="DRX9" s="1221"/>
      <c r="DRY9" s="1221"/>
      <c r="DRZ9" s="1221"/>
      <c r="DSA9" s="1221"/>
      <c r="DSB9" s="1221"/>
      <c r="DSC9" s="1221"/>
      <c r="DSD9" s="1221"/>
      <c r="DSE9" s="1221"/>
      <c r="DSF9" s="1221"/>
      <c r="DSG9" s="1221"/>
      <c r="DSH9" s="1221"/>
      <c r="DSI9" s="1221"/>
      <c r="DSJ9" s="1221"/>
      <c r="DSK9" s="1221"/>
      <c r="DSL9" s="1221"/>
      <c r="DSM9" s="1221"/>
      <c r="DSN9" s="1221"/>
      <c r="DSO9" s="1221"/>
      <c r="DSP9" s="1221"/>
      <c r="DSQ9" s="1221"/>
      <c r="DSR9" s="1221"/>
      <c r="DSS9" s="1221"/>
      <c r="DST9" s="1221"/>
      <c r="DSU9" s="1221"/>
      <c r="DSV9" s="1221"/>
      <c r="DSW9" s="1221"/>
      <c r="DSX9" s="1221"/>
      <c r="DSY9" s="1221"/>
      <c r="DSZ9" s="1221"/>
      <c r="DTA9" s="1221"/>
      <c r="DTB9" s="1221"/>
      <c r="DTC9" s="1221"/>
      <c r="DTD9" s="1221"/>
      <c r="DTE9" s="1221"/>
      <c r="DTF9" s="1221"/>
      <c r="DTG9" s="1221"/>
      <c r="DTH9" s="1221"/>
      <c r="DTI9" s="1221"/>
      <c r="DTJ9" s="1221"/>
      <c r="DTK9" s="1221"/>
      <c r="DTL9" s="1221"/>
      <c r="DTM9" s="1221"/>
      <c r="DTN9" s="1221"/>
      <c r="DTO9" s="1221"/>
      <c r="DTP9" s="1221"/>
      <c r="DTQ9" s="1221"/>
      <c r="DTR9" s="1221"/>
      <c r="DTS9" s="1221"/>
      <c r="DTT9" s="1221"/>
      <c r="DTU9" s="1221"/>
      <c r="DTV9" s="1221"/>
      <c r="DTW9" s="1221"/>
      <c r="DTX9" s="1221"/>
      <c r="DTY9" s="1221"/>
      <c r="DTZ9" s="1221"/>
      <c r="DUA9" s="1221"/>
      <c r="DUB9" s="1221"/>
      <c r="DUC9" s="1221"/>
      <c r="DUD9" s="1221"/>
      <c r="DUE9" s="1221"/>
      <c r="DUF9" s="1221"/>
      <c r="DUG9" s="1221"/>
      <c r="DUH9" s="1221"/>
      <c r="DUI9" s="1221"/>
      <c r="DUJ9" s="1221"/>
      <c r="DUK9" s="1221"/>
      <c r="DUL9" s="1221"/>
      <c r="DUM9" s="1221"/>
      <c r="DUN9" s="1221"/>
      <c r="DUO9" s="1221"/>
      <c r="DUP9" s="1221"/>
      <c r="DUQ9" s="1221"/>
      <c r="DUR9" s="1221"/>
      <c r="DUS9" s="1221"/>
      <c r="DUT9" s="1221"/>
      <c r="DUU9" s="1221"/>
      <c r="DUV9" s="1221"/>
      <c r="DUW9" s="1221"/>
      <c r="DUX9" s="1221"/>
      <c r="DUY9" s="1221"/>
      <c r="DUZ9" s="1221"/>
      <c r="DVA9" s="1221"/>
      <c r="DVB9" s="1221"/>
      <c r="DVC9" s="1221"/>
      <c r="DVD9" s="1221"/>
      <c r="DVE9" s="1221"/>
      <c r="DVF9" s="1221"/>
      <c r="DVG9" s="1221"/>
      <c r="DVH9" s="1221"/>
      <c r="DVI9" s="1221"/>
      <c r="DVJ9" s="1221"/>
      <c r="DVK9" s="1221"/>
      <c r="DVL9" s="1221"/>
      <c r="DVM9" s="1221"/>
      <c r="DVN9" s="1221"/>
      <c r="DVO9" s="1221"/>
      <c r="DVP9" s="1221"/>
      <c r="DVQ9" s="1221"/>
      <c r="DVR9" s="1221"/>
      <c r="DVS9" s="1221"/>
      <c r="DVT9" s="1221"/>
      <c r="DVU9" s="1221"/>
      <c r="DVV9" s="1221"/>
      <c r="DVW9" s="1221"/>
      <c r="DVX9" s="1221"/>
      <c r="DVY9" s="1221"/>
      <c r="DVZ9" s="1221"/>
      <c r="DWA9" s="1221"/>
      <c r="DWB9" s="1221"/>
      <c r="DWC9" s="1221"/>
      <c r="DWD9" s="1221"/>
      <c r="DWE9" s="1221"/>
      <c r="DWF9" s="1221"/>
      <c r="DWG9" s="1221"/>
      <c r="DWH9" s="1221"/>
      <c r="DWI9" s="1221"/>
      <c r="DWJ9" s="1221"/>
      <c r="DWK9" s="1221"/>
      <c r="DWL9" s="1221"/>
      <c r="DWM9" s="1221"/>
      <c r="DWN9" s="1221"/>
      <c r="DWO9" s="1221"/>
      <c r="DWP9" s="1221"/>
      <c r="DWQ9" s="1221"/>
      <c r="DWR9" s="1221"/>
      <c r="DWS9" s="1221"/>
      <c r="DWT9" s="1221"/>
      <c r="DWU9" s="1221"/>
      <c r="DWV9" s="1221"/>
      <c r="DWW9" s="1221"/>
      <c r="DWX9" s="1221"/>
      <c r="DWY9" s="1221"/>
      <c r="DWZ9" s="1221"/>
      <c r="DXA9" s="1221"/>
      <c r="DXB9" s="1221"/>
      <c r="DXC9" s="1221"/>
      <c r="DXD9" s="1221"/>
      <c r="DXE9" s="1221"/>
      <c r="DXF9" s="1221"/>
      <c r="DXG9" s="1221"/>
      <c r="DXH9" s="1221"/>
      <c r="DXI9" s="1221"/>
      <c r="DXJ9" s="1221"/>
      <c r="DXK9" s="1221"/>
      <c r="DXL9" s="1221"/>
      <c r="DXM9" s="1221"/>
      <c r="DXN9" s="1221"/>
      <c r="DXO9" s="1221"/>
      <c r="DXP9" s="1221"/>
      <c r="DXQ9" s="1221"/>
      <c r="DXR9" s="1221"/>
      <c r="DXS9" s="1221"/>
      <c r="DXT9" s="1221"/>
      <c r="DXU9" s="1221"/>
      <c r="DXV9" s="1221"/>
      <c r="DXW9" s="1221"/>
      <c r="DXX9" s="1221"/>
      <c r="DXY9" s="1221"/>
      <c r="DXZ9" s="1221"/>
      <c r="DYA9" s="1221"/>
      <c r="DYB9" s="1221"/>
      <c r="DYC9" s="1221"/>
      <c r="DYD9" s="1221"/>
      <c r="DYE9" s="1221"/>
      <c r="DYF9" s="1221"/>
      <c r="DYG9" s="1221"/>
      <c r="DYH9" s="1221"/>
      <c r="DYI9" s="1221"/>
      <c r="DYJ9" s="1221"/>
      <c r="DYK9" s="1221"/>
      <c r="DYL9" s="1221"/>
      <c r="DYM9" s="1221"/>
      <c r="DYN9" s="1221"/>
      <c r="DYO9" s="1221"/>
      <c r="DYP9" s="1221"/>
      <c r="DYQ9" s="1221"/>
      <c r="DYR9" s="1221"/>
      <c r="DYS9" s="1221"/>
      <c r="DYT9" s="1221"/>
      <c r="DYU9" s="1221"/>
      <c r="DYV9" s="1221"/>
      <c r="DYW9" s="1221"/>
      <c r="DYX9" s="1221"/>
      <c r="DYY9" s="1221"/>
      <c r="DYZ9" s="1221"/>
      <c r="DZA9" s="1221"/>
      <c r="DZB9" s="1221"/>
      <c r="DZC9" s="1221"/>
      <c r="DZD9" s="1221"/>
      <c r="DZE9" s="1221"/>
      <c r="DZF9" s="1221"/>
      <c r="DZG9" s="1221"/>
      <c r="DZH9" s="1221"/>
      <c r="DZI9" s="1221"/>
      <c r="DZJ9" s="1221"/>
      <c r="DZK9" s="1221"/>
      <c r="DZL9" s="1221"/>
      <c r="DZM9" s="1221"/>
      <c r="DZN9" s="1221"/>
      <c r="DZO9" s="1221"/>
      <c r="DZP9" s="1221"/>
      <c r="DZQ9" s="1221"/>
      <c r="DZR9" s="1221"/>
      <c r="DZS9" s="1221"/>
      <c r="DZT9" s="1221"/>
      <c r="DZU9" s="1221"/>
      <c r="DZV9" s="1221"/>
      <c r="DZW9" s="1221"/>
      <c r="DZX9" s="1221"/>
      <c r="DZY9" s="1221"/>
      <c r="DZZ9" s="1221"/>
      <c r="EAA9" s="1221"/>
      <c r="EAB9" s="1221"/>
      <c r="EAC9" s="1221"/>
      <c r="EAD9" s="1221"/>
      <c r="EAE9" s="1221"/>
      <c r="EAF9" s="1221"/>
      <c r="EAG9" s="1221"/>
      <c r="EAH9" s="1221"/>
      <c r="EAI9" s="1221"/>
      <c r="EAJ9" s="1221"/>
      <c r="EAK9" s="1221"/>
      <c r="EAL9" s="1221"/>
      <c r="EAM9" s="1221"/>
      <c r="EAN9" s="1221"/>
      <c r="EAO9" s="1221"/>
      <c r="EAP9" s="1221"/>
      <c r="EAQ9" s="1221"/>
      <c r="EAR9" s="1221"/>
      <c r="EAS9" s="1221"/>
      <c r="EAT9" s="1221"/>
      <c r="EAU9" s="1221"/>
      <c r="EAV9" s="1221"/>
      <c r="EAW9" s="1221"/>
      <c r="EAX9" s="1221"/>
      <c r="EAY9" s="1221"/>
      <c r="EAZ9" s="1221"/>
      <c r="EBA9" s="1221"/>
      <c r="EBB9" s="1221"/>
      <c r="EBC9" s="1221"/>
      <c r="EBD9" s="1221"/>
      <c r="EBE9" s="1221"/>
      <c r="EBF9" s="1221"/>
      <c r="EBG9" s="1221"/>
      <c r="EBH9" s="1221"/>
      <c r="EBI9" s="1221"/>
      <c r="EBJ9" s="1221"/>
      <c r="EBK9" s="1221"/>
      <c r="EBL9" s="1221"/>
      <c r="EBM9" s="1221"/>
      <c r="EBN9" s="1221"/>
      <c r="EBO9" s="1221"/>
      <c r="EBP9" s="1221"/>
      <c r="EBQ9" s="1221"/>
      <c r="EBR9" s="1221"/>
      <c r="EBS9" s="1221"/>
      <c r="EBT9" s="1221"/>
      <c r="EBU9" s="1221"/>
      <c r="EBV9" s="1221"/>
      <c r="EBW9" s="1221"/>
      <c r="EBX9" s="1221"/>
      <c r="EBY9" s="1221"/>
      <c r="EBZ9" s="1221"/>
      <c r="ECA9" s="1221"/>
      <c r="ECB9" s="1221"/>
      <c r="ECC9" s="1221"/>
      <c r="ECD9" s="1221"/>
      <c r="ECE9" s="1221"/>
      <c r="ECF9" s="1221"/>
      <c r="ECG9" s="1221"/>
      <c r="ECH9" s="1221"/>
      <c r="ECI9" s="1221"/>
      <c r="ECJ9" s="1221"/>
      <c r="ECK9" s="1221"/>
      <c r="ECL9" s="1221"/>
      <c r="ECM9" s="1221"/>
      <c r="ECN9" s="1221"/>
      <c r="ECO9" s="1221"/>
    </row>
    <row r="10" spans="1:3473" s="1248" customFormat="1" ht="13" outlineLevel="1">
      <c r="B10" s="1249" t="s">
        <v>477</v>
      </c>
      <c r="C10" s="1250">
        <v>2</v>
      </c>
      <c r="D10" s="1259" t="s">
        <v>377</v>
      </c>
      <c r="E10" s="1252">
        <f t="shared" si="4"/>
        <v>0</v>
      </c>
      <c r="F10" s="1252">
        <f t="shared" si="4"/>
        <v>0</v>
      </c>
      <c r="G10" s="1252">
        <f t="shared" si="4"/>
        <v>0</v>
      </c>
      <c r="H10" s="1252">
        <f t="shared" si="4"/>
        <v>403.38139411101292</v>
      </c>
      <c r="I10" s="1252">
        <f t="shared" si="4"/>
        <v>402.14458066097086</v>
      </c>
      <c r="J10" s="1252">
        <f t="shared" si="4"/>
        <v>1.2368134500420962</v>
      </c>
      <c r="K10" s="1252">
        <f t="shared" si="4"/>
        <v>0</v>
      </c>
      <c r="L10" s="1252">
        <f t="shared" si="4"/>
        <v>0</v>
      </c>
      <c r="M10" s="1252">
        <f t="shared" si="4"/>
        <v>0</v>
      </c>
      <c r="N10" s="1252" t="str">
        <f t="shared" si="4"/>
        <v/>
      </c>
      <c r="O10" s="1252" t="str">
        <f t="shared" si="4"/>
        <v/>
      </c>
      <c r="P10" s="1252" t="str">
        <f t="shared" si="4"/>
        <v/>
      </c>
      <c r="Q10" s="1252">
        <f t="shared" si="4"/>
        <v>403.38139411101298</v>
      </c>
      <c r="R10" s="1252">
        <f t="shared" si="4"/>
        <v>402.14458066097086</v>
      </c>
      <c r="S10" s="1252">
        <f t="shared" si="8"/>
        <v>1.2368134500420964</v>
      </c>
      <c r="T10" s="1252">
        <f t="shared" si="5"/>
        <v>403.38139411101298</v>
      </c>
      <c r="U10" s="1252">
        <f t="shared" si="5"/>
        <v>402.14458066097092</v>
      </c>
      <c r="V10" s="1252">
        <f t="shared" si="9"/>
        <v>1.2368134500420966</v>
      </c>
      <c r="W10" s="1252" t="str">
        <f t="shared" si="10"/>
        <v/>
      </c>
      <c r="X10" s="1252" t="str">
        <f t="shared" si="10"/>
        <v/>
      </c>
      <c r="Y10" s="1252" t="str">
        <f t="shared" si="10"/>
        <v/>
      </c>
      <c r="Z10" s="1252">
        <f t="shared" si="11"/>
        <v>303.62343444466313</v>
      </c>
      <c r="AA10" s="1252">
        <f t="shared" si="11"/>
        <v>302.692490298623</v>
      </c>
      <c r="AB10" s="1252">
        <f t="shared" si="11"/>
        <v>0.93094414604008036</v>
      </c>
      <c r="AC10" s="1252">
        <f t="shared" ref="AC10:AE48" si="15">IF(BJ$6=0,"",BJ10*10000/(BJ$6-AF$6-AL$6))</f>
        <v>403.38139411101304</v>
      </c>
      <c r="AD10" s="1260">
        <f t="shared" si="15"/>
        <v>402.14458066097092</v>
      </c>
      <c r="AE10" s="1260">
        <f t="shared" si="15"/>
        <v>1.2368134500420964</v>
      </c>
      <c r="AF10" s="1254"/>
      <c r="AG10" s="1255"/>
      <c r="AH10" s="1255"/>
      <c r="AI10" s="1256">
        <f>AJ10+AK10</f>
        <v>1741.5568140279167</v>
      </c>
      <c r="AJ10" s="1256">
        <f>IF($BK10=0,0,$BK10*AJ$6/($BK$6-$AG$6-$AM$6))</f>
        <v>1736.2170018227723</v>
      </c>
      <c r="AK10" s="1256">
        <f>IF($BL10=0,0,$BL10*AK$6/($BL$6-$AH$6-$AN$6))</f>
        <v>5.3398122051444963</v>
      </c>
      <c r="AL10" s="1256"/>
      <c r="AM10" s="1256"/>
      <c r="AN10" s="1256"/>
      <c r="AO10" s="1256">
        <f>AP10+AQ10</f>
        <v>0</v>
      </c>
      <c r="AP10" s="1256">
        <f>IF($BK10=0,0,$BK10*AP$6/($BK$6-$AG$6-$AM$6))</f>
        <v>0</v>
      </c>
      <c r="AQ10" s="1256">
        <f>IF($BL10=0,0,$BL10*AQ$6/($BL$6-$AH$6-$AN$6))</f>
        <v>0</v>
      </c>
      <c r="AR10" s="1256">
        <f>AS10+AT10</f>
        <v>2386.9843900054843</v>
      </c>
      <c r="AS10" s="1256">
        <f>IF($BK10=0,0,$BK10*AS$6/($BK$6-$AG$6-$AM$6))</f>
        <v>2379.665623097294</v>
      </c>
      <c r="AT10" s="1256">
        <f>IF($BL10=0,0,$BL10*AT$6/($BL$6-$AH$6-$AN$6))</f>
        <v>7.3187669081902031</v>
      </c>
      <c r="AU10" s="1256">
        <f>AV10+AW10</f>
        <v>42.715265966597499</v>
      </c>
      <c r="AV10" s="1256">
        <f>IF($BK10=0,0,$BK10*AV$6/($BK$6-$AG$6-$AM$6))</f>
        <v>42.584296079932194</v>
      </c>
      <c r="AW10" s="1256">
        <f>IF($BL10=0,0,$BL10*AW$6/($BL$6-$AH$6-$AN$6))</f>
        <v>0.13096988666530773</v>
      </c>
      <c r="AX10" s="1256"/>
      <c r="AY10" s="1256"/>
      <c r="AZ10" s="1256"/>
      <c r="BA10" s="1257">
        <f>BB10+BC10</f>
        <v>4171.2564699999984</v>
      </c>
      <c r="BB10" s="1257">
        <f>AG10+AJ10+AM10+AP10+AS10+AV10+AY10</f>
        <v>4158.4669209999984</v>
      </c>
      <c r="BC10" s="1257">
        <f>AH10+AK10+AN10+AQ10+AT10+AW10+AZ10</f>
        <v>12.789549000000008</v>
      </c>
      <c r="BD10" s="1256">
        <f>BE10+BF10</f>
        <v>0</v>
      </c>
      <c r="BE10" s="1256">
        <f>IF($BK10=0,0,$BK10*BE$6/($BK$6-$AG$6-$AM$6))</f>
        <v>0</v>
      </c>
      <c r="BF10" s="1256">
        <f>IF($BL10=0,0,$BL10*BF$6/($BL$6-$AH$6-$AN$6))</f>
        <v>0</v>
      </c>
      <c r="BG10" s="1256">
        <f>+BH10+BI10</f>
        <v>0</v>
      </c>
      <c r="BH10" s="1257">
        <f>+BE10</f>
        <v>0</v>
      </c>
      <c r="BI10" s="1257">
        <f>+BF10</f>
        <v>0</v>
      </c>
      <c r="BJ10" s="1257">
        <f>'当期公摊测算表（全期）'!U27</f>
        <v>4171.2564699999994</v>
      </c>
      <c r="BK10" s="1256">
        <f>'当期公摊测算表（全期）'!W27</f>
        <v>4158.4669209999993</v>
      </c>
      <c r="BL10" s="1256">
        <f>'当期公摊测算表（全期）'!V27</f>
        <v>12.78954900000001</v>
      </c>
      <c r="BM10" s="1258" t="s">
        <v>20</v>
      </c>
      <c r="BN10" s="1225">
        <f t="shared" si="12"/>
        <v>0</v>
      </c>
      <c r="BO10" s="1225">
        <f t="shared" si="13"/>
        <v>0</v>
      </c>
      <c r="BP10" s="1225">
        <f t="shared" si="14"/>
        <v>0</v>
      </c>
      <c r="BQ10" s="1225"/>
      <c r="BR10" s="1221"/>
      <c r="BS10" s="1221"/>
      <c r="BT10" s="1221"/>
      <c r="BU10" s="1221"/>
      <c r="BV10" s="1221"/>
      <c r="BW10" s="1221"/>
      <c r="BX10" s="1221"/>
      <c r="BY10" s="1221"/>
      <c r="BZ10" s="1221"/>
      <c r="CA10" s="1221"/>
      <c r="CB10" s="1221"/>
      <c r="CC10" s="1221"/>
      <c r="CD10" s="1221"/>
      <c r="CE10" s="1221"/>
      <c r="CF10" s="1221"/>
      <c r="CG10" s="1221"/>
      <c r="CH10" s="1221"/>
      <c r="CI10" s="1221"/>
      <c r="CJ10" s="1221"/>
      <c r="CK10" s="1221"/>
      <c r="CL10" s="1221"/>
      <c r="CM10" s="1221"/>
      <c r="CN10" s="1221"/>
      <c r="CO10" s="1221"/>
      <c r="CP10" s="1221"/>
      <c r="CQ10" s="1221"/>
      <c r="CR10" s="1221"/>
      <c r="CS10" s="1221"/>
      <c r="CT10" s="1221"/>
      <c r="CU10" s="1221"/>
      <c r="CV10" s="1221"/>
      <c r="CW10" s="1221"/>
      <c r="CX10" s="1221"/>
      <c r="CY10" s="1221"/>
      <c r="CZ10" s="1221"/>
      <c r="DA10" s="1221"/>
      <c r="DB10" s="1221"/>
      <c r="DC10" s="1221"/>
      <c r="DD10" s="1221"/>
      <c r="DE10" s="1221"/>
      <c r="DF10" s="1221"/>
      <c r="DG10" s="1221"/>
      <c r="DH10" s="1221"/>
      <c r="DI10" s="1221"/>
      <c r="DJ10" s="1221"/>
      <c r="DK10" s="1221"/>
      <c r="DL10" s="1221"/>
      <c r="DM10" s="1221"/>
      <c r="DN10" s="1221"/>
      <c r="DO10" s="1221"/>
      <c r="DP10" s="1221"/>
      <c r="DQ10" s="1221"/>
      <c r="DR10" s="1221"/>
      <c r="DS10" s="1221"/>
      <c r="DT10" s="1221"/>
      <c r="DU10" s="1221"/>
      <c r="DV10" s="1221"/>
      <c r="DW10" s="1221"/>
      <c r="DX10" s="1221"/>
      <c r="DY10" s="1221"/>
      <c r="DZ10" s="1221"/>
      <c r="EA10" s="1221"/>
      <c r="EB10" s="1221"/>
      <c r="EC10" s="1221"/>
      <c r="ED10" s="1221"/>
      <c r="EE10" s="1221"/>
      <c r="EF10" s="1221"/>
      <c r="EG10" s="1221"/>
      <c r="EH10" s="1221"/>
      <c r="EI10" s="1221"/>
      <c r="EJ10" s="1221"/>
      <c r="EK10" s="1221"/>
      <c r="EL10" s="1221"/>
      <c r="EM10" s="1221"/>
      <c r="EN10" s="1221"/>
      <c r="EO10" s="1221"/>
      <c r="EP10" s="1221"/>
      <c r="EQ10" s="1221"/>
      <c r="ER10" s="1221"/>
      <c r="ES10" s="1221"/>
      <c r="ET10" s="1221"/>
      <c r="EU10" s="1221"/>
      <c r="EV10" s="1221"/>
      <c r="EW10" s="1221"/>
      <c r="EX10" s="1221"/>
      <c r="EY10" s="1221"/>
      <c r="EZ10" s="1221"/>
      <c r="FA10" s="1221"/>
      <c r="FB10" s="1221"/>
      <c r="FC10" s="1221"/>
      <c r="FD10" s="1221"/>
      <c r="FE10" s="1221"/>
      <c r="FF10" s="1221"/>
      <c r="FG10" s="1221"/>
      <c r="FH10" s="1221"/>
      <c r="FI10" s="1221"/>
      <c r="FJ10" s="1221"/>
      <c r="FK10" s="1221"/>
      <c r="FL10" s="1221"/>
      <c r="FM10" s="1221"/>
      <c r="FN10" s="1221"/>
      <c r="FO10" s="1221"/>
      <c r="FP10" s="1221"/>
      <c r="FQ10" s="1221"/>
      <c r="FR10" s="1221"/>
      <c r="FS10" s="1221"/>
      <c r="FT10" s="1221"/>
      <c r="FU10" s="1221"/>
      <c r="FV10" s="1221"/>
      <c r="FW10" s="1221"/>
      <c r="FX10" s="1221"/>
      <c r="FY10" s="1221"/>
      <c r="FZ10" s="1221"/>
      <c r="GA10" s="1221"/>
      <c r="GB10" s="1221"/>
      <c r="GC10" s="1221"/>
      <c r="GD10" s="1221"/>
      <c r="GE10" s="1221"/>
      <c r="GF10" s="1221"/>
      <c r="GG10" s="1221"/>
      <c r="GH10" s="1221"/>
      <c r="GI10" s="1221"/>
      <c r="GJ10" s="1221"/>
      <c r="GK10" s="1221"/>
      <c r="GL10" s="1221"/>
      <c r="GM10" s="1221"/>
      <c r="GN10" s="1221"/>
      <c r="GO10" s="1221"/>
      <c r="GP10" s="1221"/>
      <c r="GQ10" s="1221"/>
      <c r="GR10" s="1221"/>
      <c r="GS10" s="1221"/>
      <c r="GT10" s="1221"/>
      <c r="GU10" s="1221"/>
      <c r="GV10" s="1221"/>
      <c r="GW10" s="1221"/>
      <c r="GX10" s="1221"/>
      <c r="GY10" s="1221"/>
      <c r="GZ10" s="1221"/>
      <c r="HA10" s="1221"/>
      <c r="HB10" s="1221"/>
      <c r="HC10" s="1221"/>
      <c r="HD10" s="1221"/>
      <c r="HE10" s="1221"/>
      <c r="HF10" s="1221"/>
      <c r="HG10" s="1221"/>
      <c r="HH10" s="1221"/>
      <c r="HI10" s="1221"/>
      <c r="HJ10" s="1221"/>
      <c r="HK10" s="1221"/>
      <c r="HL10" s="1221"/>
      <c r="HM10" s="1221"/>
      <c r="HN10" s="1221"/>
      <c r="HO10" s="1221"/>
      <c r="HP10" s="1221"/>
      <c r="HQ10" s="1221"/>
      <c r="HR10" s="1221"/>
      <c r="HS10" s="1221"/>
      <c r="HT10" s="1221"/>
      <c r="HU10" s="1221"/>
      <c r="HV10" s="1221"/>
      <c r="HW10" s="1221"/>
      <c r="HX10" s="1221"/>
      <c r="HY10" s="1221"/>
      <c r="HZ10" s="1221"/>
      <c r="IA10" s="1221"/>
      <c r="IB10" s="1221"/>
      <c r="IC10" s="1221"/>
      <c r="ID10" s="1221"/>
      <c r="IE10" s="1221"/>
      <c r="IF10" s="1221"/>
      <c r="IG10" s="1221"/>
      <c r="IH10" s="1221"/>
      <c r="II10" s="1221"/>
      <c r="IJ10" s="1221"/>
      <c r="IK10" s="1221"/>
      <c r="IL10" s="1221"/>
      <c r="IM10" s="1221"/>
      <c r="IN10" s="1221"/>
      <c r="IO10" s="1221"/>
      <c r="IP10" s="1221"/>
      <c r="IQ10" s="1221"/>
      <c r="IR10" s="1221"/>
      <c r="IS10" s="1221"/>
      <c r="IT10" s="1221"/>
      <c r="IU10" s="1221"/>
      <c r="IV10" s="1221"/>
      <c r="IW10" s="1221"/>
      <c r="IX10" s="1221"/>
      <c r="IY10" s="1221"/>
      <c r="IZ10" s="1221"/>
      <c r="JA10" s="1221"/>
      <c r="JB10" s="1221"/>
      <c r="JC10" s="1221"/>
      <c r="JD10" s="1221"/>
      <c r="JE10" s="1221"/>
      <c r="JF10" s="1221"/>
      <c r="JG10" s="1221"/>
      <c r="JH10" s="1221"/>
      <c r="JI10" s="1221"/>
      <c r="JJ10" s="1221"/>
      <c r="JK10" s="1221"/>
      <c r="JL10" s="1221"/>
      <c r="JM10" s="1221"/>
      <c r="JN10" s="1221"/>
      <c r="JO10" s="1221"/>
      <c r="JP10" s="1221"/>
      <c r="JQ10" s="1221"/>
      <c r="JR10" s="1221"/>
      <c r="JS10" s="1221"/>
      <c r="JT10" s="1221"/>
      <c r="JU10" s="1221"/>
      <c r="JV10" s="1221"/>
      <c r="JW10" s="1221"/>
      <c r="JX10" s="1221"/>
      <c r="JY10" s="1221"/>
      <c r="JZ10" s="1221"/>
      <c r="KA10" s="1221"/>
      <c r="KB10" s="1221"/>
      <c r="KC10" s="1221"/>
      <c r="KD10" s="1221"/>
      <c r="KE10" s="1221"/>
      <c r="KF10" s="1221"/>
      <c r="KG10" s="1221"/>
      <c r="KH10" s="1221"/>
      <c r="KI10" s="1221"/>
      <c r="KJ10" s="1221"/>
      <c r="KK10" s="1221"/>
      <c r="KL10" s="1221"/>
      <c r="KM10" s="1221"/>
      <c r="KN10" s="1221"/>
      <c r="KO10" s="1221"/>
      <c r="KP10" s="1221"/>
      <c r="KQ10" s="1221"/>
      <c r="KR10" s="1221"/>
      <c r="KS10" s="1221"/>
      <c r="KT10" s="1221"/>
      <c r="KU10" s="1221"/>
      <c r="KV10" s="1221"/>
      <c r="KW10" s="1221"/>
      <c r="KX10" s="1221"/>
      <c r="KY10" s="1221"/>
      <c r="KZ10" s="1221"/>
      <c r="LA10" s="1221"/>
      <c r="LB10" s="1221"/>
      <c r="LC10" s="1221"/>
      <c r="LD10" s="1221"/>
      <c r="LE10" s="1221"/>
      <c r="LF10" s="1221"/>
      <c r="LG10" s="1221"/>
      <c r="LH10" s="1221"/>
      <c r="LI10" s="1221"/>
      <c r="LJ10" s="1221"/>
      <c r="LK10" s="1221"/>
      <c r="LL10" s="1221"/>
      <c r="LM10" s="1221"/>
      <c r="LN10" s="1221"/>
      <c r="LO10" s="1221"/>
      <c r="LP10" s="1221"/>
      <c r="LQ10" s="1221"/>
      <c r="LR10" s="1221"/>
      <c r="LS10" s="1221"/>
      <c r="LT10" s="1221"/>
      <c r="LU10" s="1221"/>
      <c r="LV10" s="1221"/>
      <c r="LW10" s="1221"/>
      <c r="LX10" s="1221"/>
      <c r="LY10" s="1221"/>
      <c r="LZ10" s="1221"/>
      <c r="MA10" s="1221"/>
      <c r="MB10" s="1221"/>
      <c r="MC10" s="1221"/>
      <c r="MD10" s="1221"/>
      <c r="ME10" s="1221"/>
      <c r="MF10" s="1221"/>
      <c r="MG10" s="1221"/>
      <c r="MH10" s="1221"/>
      <c r="MI10" s="1221"/>
      <c r="MJ10" s="1221"/>
      <c r="MK10" s="1221"/>
      <c r="ML10" s="1221"/>
      <c r="MM10" s="1221"/>
      <c r="MN10" s="1221"/>
      <c r="MO10" s="1221"/>
      <c r="MP10" s="1221"/>
      <c r="MQ10" s="1221"/>
      <c r="MR10" s="1221"/>
      <c r="MS10" s="1221"/>
      <c r="MT10" s="1221"/>
      <c r="MU10" s="1221"/>
      <c r="MV10" s="1221"/>
      <c r="MW10" s="1221"/>
      <c r="MX10" s="1221"/>
      <c r="MY10" s="1221"/>
      <c r="MZ10" s="1221"/>
      <c r="NA10" s="1221"/>
      <c r="NB10" s="1221"/>
      <c r="NC10" s="1221"/>
      <c r="ND10" s="1221"/>
      <c r="NE10" s="1221"/>
      <c r="NF10" s="1221"/>
      <c r="NG10" s="1221"/>
      <c r="NH10" s="1221"/>
      <c r="NI10" s="1221"/>
      <c r="NJ10" s="1221"/>
      <c r="NK10" s="1221"/>
      <c r="NL10" s="1221"/>
      <c r="NM10" s="1221"/>
      <c r="NN10" s="1221"/>
      <c r="NO10" s="1221"/>
      <c r="NP10" s="1221"/>
      <c r="NQ10" s="1221"/>
      <c r="NR10" s="1221"/>
      <c r="NS10" s="1221"/>
      <c r="NT10" s="1221"/>
      <c r="NU10" s="1221"/>
      <c r="NV10" s="1221"/>
      <c r="NW10" s="1221"/>
      <c r="NX10" s="1221"/>
      <c r="NY10" s="1221"/>
      <c r="NZ10" s="1221"/>
      <c r="OA10" s="1221"/>
      <c r="OB10" s="1221"/>
      <c r="OC10" s="1221"/>
      <c r="OD10" s="1221"/>
      <c r="OE10" s="1221"/>
      <c r="OF10" s="1221"/>
      <c r="OG10" s="1221"/>
      <c r="OH10" s="1221"/>
      <c r="OI10" s="1221"/>
      <c r="OJ10" s="1221"/>
      <c r="OK10" s="1221"/>
      <c r="OL10" s="1221"/>
      <c r="OM10" s="1221"/>
      <c r="ON10" s="1221"/>
      <c r="OO10" s="1221"/>
      <c r="OP10" s="1221"/>
      <c r="OQ10" s="1221"/>
      <c r="OR10" s="1221"/>
      <c r="OS10" s="1221"/>
      <c r="OT10" s="1221"/>
      <c r="OU10" s="1221"/>
      <c r="OV10" s="1221"/>
      <c r="OW10" s="1221"/>
      <c r="OX10" s="1221"/>
      <c r="OY10" s="1221"/>
      <c r="OZ10" s="1221"/>
      <c r="PA10" s="1221"/>
      <c r="PB10" s="1221"/>
      <c r="PC10" s="1221"/>
      <c r="PD10" s="1221"/>
      <c r="PE10" s="1221"/>
      <c r="PF10" s="1221"/>
      <c r="PG10" s="1221"/>
      <c r="PH10" s="1221"/>
      <c r="PI10" s="1221"/>
      <c r="PJ10" s="1221"/>
      <c r="PK10" s="1221"/>
      <c r="PL10" s="1221"/>
      <c r="PM10" s="1221"/>
      <c r="PN10" s="1221"/>
      <c r="PO10" s="1221"/>
      <c r="PP10" s="1221"/>
      <c r="PQ10" s="1221"/>
      <c r="PR10" s="1221"/>
      <c r="PS10" s="1221"/>
      <c r="PT10" s="1221"/>
      <c r="PU10" s="1221"/>
      <c r="PV10" s="1221"/>
      <c r="PW10" s="1221"/>
      <c r="PX10" s="1221"/>
      <c r="PY10" s="1221"/>
      <c r="PZ10" s="1221"/>
      <c r="QA10" s="1221"/>
      <c r="QB10" s="1221"/>
      <c r="QC10" s="1221"/>
      <c r="QD10" s="1221"/>
      <c r="QE10" s="1221"/>
      <c r="QF10" s="1221"/>
      <c r="QG10" s="1221"/>
      <c r="QH10" s="1221"/>
      <c r="QI10" s="1221"/>
      <c r="QJ10" s="1221"/>
      <c r="QK10" s="1221"/>
      <c r="QL10" s="1221"/>
      <c r="QM10" s="1221"/>
      <c r="QN10" s="1221"/>
      <c r="QO10" s="1221"/>
      <c r="QP10" s="1221"/>
      <c r="QQ10" s="1221"/>
      <c r="QR10" s="1221"/>
      <c r="QS10" s="1221"/>
      <c r="QT10" s="1221"/>
      <c r="QU10" s="1221"/>
      <c r="QV10" s="1221"/>
      <c r="QW10" s="1221"/>
      <c r="QX10" s="1221"/>
      <c r="QY10" s="1221"/>
      <c r="QZ10" s="1221"/>
      <c r="RA10" s="1221"/>
      <c r="RB10" s="1221"/>
      <c r="RC10" s="1221"/>
      <c r="RD10" s="1221"/>
      <c r="RE10" s="1221"/>
      <c r="RF10" s="1221"/>
      <c r="RG10" s="1221"/>
      <c r="RH10" s="1221"/>
      <c r="RI10" s="1221"/>
      <c r="RJ10" s="1221"/>
      <c r="RK10" s="1221"/>
      <c r="RL10" s="1221"/>
      <c r="RM10" s="1221"/>
      <c r="RN10" s="1221"/>
      <c r="RO10" s="1221"/>
      <c r="RP10" s="1221"/>
      <c r="RQ10" s="1221"/>
      <c r="RR10" s="1221"/>
      <c r="RS10" s="1221"/>
      <c r="RT10" s="1221"/>
      <c r="RU10" s="1221"/>
      <c r="RV10" s="1221"/>
      <c r="RW10" s="1221"/>
      <c r="RX10" s="1221"/>
      <c r="RY10" s="1221"/>
      <c r="RZ10" s="1221"/>
      <c r="SA10" s="1221"/>
      <c r="SB10" s="1221"/>
      <c r="SC10" s="1221"/>
      <c r="SD10" s="1221"/>
      <c r="SE10" s="1221"/>
      <c r="SF10" s="1221"/>
      <c r="SG10" s="1221"/>
      <c r="SH10" s="1221"/>
      <c r="SI10" s="1221"/>
      <c r="SJ10" s="1221"/>
      <c r="SK10" s="1221"/>
      <c r="SL10" s="1221"/>
      <c r="SM10" s="1221"/>
      <c r="SN10" s="1221"/>
      <c r="SO10" s="1221"/>
      <c r="SP10" s="1221"/>
      <c r="SQ10" s="1221"/>
      <c r="SR10" s="1221"/>
      <c r="SS10" s="1221"/>
      <c r="ST10" s="1221"/>
      <c r="SU10" s="1221"/>
      <c r="SV10" s="1221"/>
      <c r="SW10" s="1221"/>
      <c r="SX10" s="1221"/>
      <c r="SY10" s="1221"/>
      <c r="SZ10" s="1221"/>
      <c r="TA10" s="1221"/>
      <c r="TB10" s="1221"/>
      <c r="TC10" s="1221"/>
      <c r="TD10" s="1221"/>
      <c r="TE10" s="1221"/>
      <c r="TF10" s="1221"/>
      <c r="TG10" s="1221"/>
      <c r="TH10" s="1221"/>
      <c r="TI10" s="1221"/>
      <c r="TJ10" s="1221"/>
      <c r="TK10" s="1221"/>
      <c r="TL10" s="1221"/>
      <c r="TM10" s="1221"/>
      <c r="TN10" s="1221"/>
      <c r="TO10" s="1221"/>
      <c r="TP10" s="1221"/>
      <c r="TQ10" s="1221"/>
      <c r="TR10" s="1221"/>
      <c r="TS10" s="1221"/>
      <c r="TT10" s="1221"/>
      <c r="TU10" s="1221"/>
      <c r="TV10" s="1221"/>
      <c r="TW10" s="1221"/>
      <c r="TX10" s="1221"/>
      <c r="TY10" s="1221"/>
      <c r="TZ10" s="1221"/>
      <c r="UA10" s="1221"/>
      <c r="UB10" s="1221"/>
      <c r="UC10" s="1221"/>
      <c r="UD10" s="1221"/>
      <c r="UE10" s="1221"/>
      <c r="UF10" s="1221"/>
      <c r="UG10" s="1221"/>
      <c r="UH10" s="1221"/>
      <c r="UI10" s="1221"/>
      <c r="UJ10" s="1221"/>
      <c r="UK10" s="1221"/>
      <c r="UL10" s="1221"/>
      <c r="UM10" s="1221"/>
      <c r="UN10" s="1221"/>
      <c r="UO10" s="1221"/>
      <c r="UP10" s="1221"/>
      <c r="UQ10" s="1221"/>
      <c r="UR10" s="1221"/>
      <c r="US10" s="1221"/>
      <c r="UT10" s="1221"/>
      <c r="UU10" s="1221"/>
      <c r="UV10" s="1221"/>
      <c r="UW10" s="1221"/>
      <c r="UX10" s="1221"/>
      <c r="UY10" s="1221"/>
      <c r="UZ10" s="1221"/>
      <c r="VA10" s="1221"/>
      <c r="VB10" s="1221"/>
      <c r="VC10" s="1221"/>
      <c r="VD10" s="1221"/>
      <c r="VE10" s="1221"/>
      <c r="VF10" s="1221"/>
      <c r="VG10" s="1221"/>
      <c r="VH10" s="1221"/>
      <c r="VI10" s="1221"/>
      <c r="VJ10" s="1221"/>
      <c r="VK10" s="1221"/>
      <c r="VL10" s="1221"/>
      <c r="VM10" s="1221"/>
      <c r="VN10" s="1221"/>
      <c r="VO10" s="1221"/>
      <c r="VP10" s="1221"/>
      <c r="VQ10" s="1221"/>
      <c r="VR10" s="1221"/>
      <c r="VS10" s="1221"/>
      <c r="VT10" s="1221"/>
      <c r="VU10" s="1221"/>
      <c r="VV10" s="1221"/>
      <c r="VW10" s="1221"/>
      <c r="VX10" s="1221"/>
      <c r="VY10" s="1221"/>
      <c r="VZ10" s="1221"/>
      <c r="WA10" s="1221"/>
      <c r="WB10" s="1221"/>
      <c r="WC10" s="1221"/>
      <c r="WD10" s="1221"/>
      <c r="WE10" s="1221"/>
      <c r="WF10" s="1221"/>
      <c r="WG10" s="1221"/>
      <c r="WH10" s="1221"/>
      <c r="WI10" s="1221"/>
      <c r="WJ10" s="1221"/>
      <c r="WK10" s="1221"/>
      <c r="WL10" s="1221"/>
      <c r="WM10" s="1221"/>
      <c r="WN10" s="1221"/>
      <c r="WO10" s="1221"/>
      <c r="WP10" s="1221"/>
      <c r="WQ10" s="1221"/>
      <c r="WR10" s="1221"/>
      <c r="WS10" s="1221"/>
      <c r="WT10" s="1221"/>
      <c r="WU10" s="1221"/>
      <c r="WV10" s="1221"/>
      <c r="WW10" s="1221"/>
      <c r="WX10" s="1221"/>
      <c r="WY10" s="1221"/>
      <c r="WZ10" s="1221"/>
      <c r="XA10" s="1221"/>
      <c r="XB10" s="1221"/>
      <c r="XC10" s="1221"/>
      <c r="XD10" s="1221"/>
      <c r="XE10" s="1221"/>
      <c r="XF10" s="1221"/>
      <c r="XG10" s="1221"/>
      <c r="XH10" s="1221"/>
      <c r="XI10" s="1221"/>
      <c r="XJ10" s="1221"/>
      <c r="XK10" s="1221"/>
      <c r="XL10" s="1221"/>
      <c r="XM10" s="1221"/>
      <c r="XN10" s="1221"/>
      <c r="XO10" s="1221"/>
      <c r="XP10" s="1221"/>
      <c r="XQ10" s="1221"/>
      <c r="XR10" s="1221"/>
      <c r="XS10" s="1221"/>
      <c r="XT10" s="1221"/>
      <c r="XU10" s="1221"/>
      <c r="XV10" s="1221"/>
      <c r="XW10" s="1221"/>
      <c r="XX10" s="1221"/>
      <c r="XY10" s="1221"/>
      <c r="XZ10" s="1221"/>
      <c r="YA10" s="1221"/>
      <c r="YB10" s="1221"/>
      <c r="YC10" s="1221"/>
      <c r="YD10" s="1221"/>
      <c r="YE10" s="1221"/>
      <c r="YF10" s="1221"/>
      <c r="YG10" s="1221"/>
      <c r="YH10" s="1221"/>
      <c r="YI10" s="1221"/>
      <c r="YJ10" s="1221"/>
      <c r="YK10" s="1221"/>
      <c r="YL10" s="1221"/>
      <c r="YM10" s="1221"/>
      <c r="YN10" s="1221"/>
      <c r="YO10" s="1221"/>
      <c r="YP10" s="1221"/>
      <c r="YQ10" s="1221"/>
      <c r="YR10" s="1221"/>
      <c r="YS10" s="1221"/>
      <c r="YT10" s="1221"/>
      <c r="YU10" s="1221"/>
      <c r="YV10" s="1221"/>
      <c r="YW10" s="1221"/>
      <c r="YX10" s="1221"/>
      <c r="YY10" s="1221"/>
      <c r="YZ10" s="1221"/>
      <c r="ZA10" s="1221"/>
      <c r="ZB10" s="1221"/>
      <c r="ZC10" s="1221"/>
      <c r="ZD10" s="1221"/>
      <c r="ZE10" s="1221"/>
      <c r="ZF10" s="1221"/>
      <c r="ZG10" s="1221"/>
      <c r="ZH10" s="1221"/>
      <c r="ZI10" s="1221"/>
      <c r="ZJ10" s="1221"/>
      <c r="ZK10" s="1221"/>
      <c r="ZL10" s="1221"/>
      <c r="ZM10" s="1221"/>
      <c r="ZN10" s="1221"/>
      <c r="ZO10" s="1221"/>
      <c r="ZP10" s="1221"/>
      <c r="ZQ10" s="1221"/>
      <c r="ZR10" s="1221"/>
      <c r="ZS10" s="1221"/>
      <c r="ZT10" s="1221"/>
      <c r="ZU10" s="1221"/>
      <c r="ZV10" s="1221"/>
      <c r="ZW10" s="1221"/>
      <c r="ZX10" s="1221"/>
      <c r="ZY10" s="1221"/>
      <c r="ZZ10" s="1221"/>
      <c r="AAA10" s="1221"/>
      <c r="AAB10" s="1221"/>
      <c r="AAC10" s="1221"/>
      <c r="AAD10" s="1221"/>
      <c r="AAE10" s="1221"/>
      <c r="AAF10" s="1221"/>
      <c r="AAG10" s="1221"/>
      <c r="AAH10" s="1221"/>
      <c r="AAI10" s="1221"/>
      <c r="AAJ10" s="1221"/>
      <c r="AAK10" s="1221"/>
      <c r="AAL10" s="1221"/>
      <c r="AAM10" s="1221"/>
      <c r="AAN10" s="1221"/>
      <c r="AAO10" s="1221"/>
      <c r="AAP10" s="1221"/>
      <c r="AAQ10" s="1221"/>
      <c r="AAR10" s="1221"/>
      <c r="AAS10" s="1221"/>
      <c r="AAT10" s="1221"/>
      <c r="AAU10" s="1221"/>
      <c r="AAV10" s="1221"/>
      <c r="AAW10" s="1221"/>
      <c r="AAX10" s="1221"/>
      <c r="AAY10" s="1221"/>
      <c r="AAZ10" s="1221"/>
      <c r="ABA10" s="1221"/>
      <c r="ABB10" s="1221"/>
      <c r="ABC10" s="1221"/>
      <c r="ABD10" s="1221"/>
      <c r="ABE10" s="1221"/>
      <c r="ABF10" s="1221"/>
      <c r="ABG10" s="1221"/>
      <c r="ABH10" s="1221"/>
      <c r="ABI10" s="1221"/>
      <c r="ABJ10" s="1221"/>
      <c r="ABK10" s="1221"/>
      <c r="ABL10" s="1221"/>
      <c r="ABM10" s="1221"/>
      <c r="ABN10" s="1221"/>
      <c r="ABO10" s="1221"/>
      <c r="ABP10" s="1221"/>
      <c r="ABQ10" s="1221"/>
      <c r="ABR10" s="1221"/>
      <c r="ABS10" s="1221"/>
      <c r="ABT10" s="1221"/>
      <c r="ABU10" s="1221"/>
      <c r="ABV10" s="1221"/>
      <c r="ABW10" s="1221"/>
      <c r="ABX10" s="1221"/>
      <c r="ABY10" s="1221"/>
      <c r="ABZ10" s="1221"/>
      <c r="ACA10" s="1221"/>
      <c r="ACB10" s="1221"/>
      <c r="ACC10" s="1221"/>
      <c r="ACD10" s="1221"/>
      <c r="ACE10" s="1221"/>
      <c r="ACF10" s="1221"/>
      <c r="ACG10" s="1221"/>
      <c r="ACH10" s="1221"/>
      <c r="ACI10" s="1221"/>
      <c r="ACJ10" s="1221"/>
      <c r="ACK10" s="1221"/>
      <c r="ACL10" s="1221"/>
      <c r="ACM10" s="1221"/>
      <c r="ACN10" s="1221"/>
      <c r="ACO10" s="1221"/>
      <c r="ACP10" s="1221"/>
      <c r="ACQ10" s="1221"/>
      <c r="ACR10" s="1221"/>
      <c r="ACS10" s="1221"/>
      <c r="ACT10" s="1221"/>
      <c r="ACU10" s="1221"/>
      <c r="ACV10" s="1221"/>
      <c r="ACW10" s="1221"/>
      <c r="ACX10" s="1221"/>
      <c r="ACY10" s="1221"/>
      <c r="ACZ10" s="1221"/>
      <c r="ADA10" s="1221"/>
      <c r="ADB10" s="1221"/>
      <c r="ADC10" s="1221"/>
      <c r="ADD10" s="1221"/>
      <c r="ADE10" s="1221"/>
      <c r="ADF10" s="1221"/>
      <c r="ADG10" s="1221"/>
      <c r="ADH10" s="1221"/>
      <c r="ADI10" s="1221"/>
      <c r="ADJ10" s="1221"/>
      <c r="ADK10" s="1221"/>
      <c r="ADL10" s="1221"/>
      <c r="ADM10" s="1221"/>
      <c r="ADN10" s="1221"/>
      <c r="ADO10" s="1221"/>
      <c r="ADP10" s="1221"/>
      <c r="ADQ10" s="1221"/>
      <c r="ADR10" s="1221"/>
      <c r="ADS10" s="1221"/>
      <c r="ADT10" s="1221"/>
      <c r="ADU10" s="1221"/>
      <c r="ADV10" s="1221"/>
      <c r="ADW10" s="1221"/>
      <c r="ADX10" s="1221"/>
      <c r="ADY10" s="1221"/>
      <c r="ADZ10" s="1221"/>
      <c r="AEA10" s="1221"/>
      <c r="AEB10" s="1221"/>
      <c r="AEC10" s="1221"/>
      <c r="AED10" s="1221"/>
      <c r="AEE10" s="1221"/>
      <c r="AEF10" s="1221"/>
      <c r="AEG10" s="1221"/>
      <c r="AEH10" s="1221"/>
      <c r="AEI10" s="1221"/>
      <c r="AEJ10" s="1221"/>
      <c r="AEK10" s="1221"/>
      <c r="AEL10" s="1221"/>
      <c r="AEM10" s="1221"/>
      <c r="AEN10" s="1221"/>
      <c r="AEO10" s="1221"/>
      <c r="AEP10" s="1221"/>
      <c r="AEQ10" s="1221"/>
      <c r="AER10" s="1221"/>
      <c r="AES10" s="1221"/>
      <c r="AET10" s="1221"/>
      <c r="AEU10" s="1221"/>
      <c r="AEV10" s="1221"/>
      <c r="AEW10" s="1221"/>
      <c r="AEX10" s="1221"/>
      <c r="AEY10" s="1221"/>
      <c r="AEZ10" s="1221"/>
      <c r="AFA10" s="1221"/>
      <c r="AFB10" s="1221"/>
      <c r="AFC10" s="1221"/>
      <c r="AFD10" s="1221"/>
      <c r="AFE10" s="1221"/>
      <c r="AFF10" s="1221"/>
      <c r="AFG10" s="1221"/>
      <c r="AFH10" s="1221"/>
      <c r="AFI10" s="1221"/>
      <c r="AFJ10" s="1221"/>
      <c r="AFK10" s="1221"/>
      <c r="AFL10" s="1221"/>
      <c r="AFM10" s="1221"/>
      <c r="AFN10" s="1221"/>
      <c r="AFO10" s="1221"/>
      <c r="AFP10" s="1221"/>
      <c r="AFQ10" s="1221"/>
      <c r="AFR10" s="1221"/>
      <c r="AFS10" s="1221"/>
      <c r="AFT10" s="1221"/>
      <c r="AFU10" s="1221"/>
      <c r="AFV10" s="1221"/>
      <c r="AFW10" s="1221"/>
      <c r="AFX10" s="1221"/>
      <c r="AFY10" s="1221"/>
      <c r="AFZ10" s="1221"/>
      <c r="AGA10" s="1221"/>
      <c r="AGB10" s="1221"/>
      <c r="AGC10" s="1221"/>
      <c r="AGD10" s="1221"/>
      <c r="AGE10" s="1221"/>
      <c r="AGF10" s="1221"/>
      <c r="AGG10" s="1221"/>
      <c r="AGH10" s="1221"/>
      <c r="AGI10" s="1221"/>
      <c r="AGJ10" s="1221"/>
      <c r="AGK10" s="1221"/>
      <c r="AGL10" s="1221"/>
      <c r="AGM10" s="1221"/>
      <c r="AGN10" s="1221"/>
      <c r="AGO10" s="1221"/>
      <c r="AGP10" s="1221"/>
      <c r="AGQ10" s="1221"/>
      <c r="AGR10" s="1221"/>
      <c r="AGS10" s="1221"/>
      <c r="AGT10" s="1221"/>
      <c r="AGU10" s="1221"/>
      <c r="AGV10" s="1221"/>
      <c r="AGW10" s="1221"/>
      <c r="AGX10" s="1221"/>
      <c r="AGY10" s="1221"/>
      <c r="AGZ10" s="1221"/>
      <c r="AHA10" s="1221"/>
      <c r="AHB10" s="1221"/>
      <c r="AHC10" s="1221"/>
      <c r="AHD10" s="1221"/>
      <c r="AHE10" s="1221"/>
      <c r="AHF10" s="1221"/>
      <c r="AHG10" s="1221"/>
      <c r="AHH10" s="1221"/>
      <c r="AHI10" s="1221"/>
      <c r="AHJ10" s="1221"/>
      <c r="AHK10" s="1221"/>
      <c r="AHL10" s="1221"/>
      <c r="AHM10" s="1221"/>
      <c r="AHN10" s="1221"/>
      <c r="AHO10" s="1221"/>
      <c r="AHP10" s="1221"/>
      <c r="AHQ10" s="1221"/>
      <c r="AHR10" s="1221"/>
      <c r="AHS10" s="1221"/>
      <c r="AHT10" s="1221"/>
      <c r="AHU10" s="1221"/>
      <c r="AHV10" s="1221"/>
      <c r="AHW10" s="1221"/>
      <c r="AHX10" s="1221"/>
      <c r="AHY10" s="1221"/>
      <c r="AHZ10" s="1221"/>
      <c r="AIA10" s="1221"/>
      <c r="AIB10" s="1221"/>
      <c r="AIC10" s="1221"/>
      <c r="AID10" s="1221"/>
      <c r="AIE10" s="1221"/>
      <c r="AIF10" s="1221"/>
      <c r="AIG10" s="1221"/>
      <c r="AIH10" s="1221"/>
      <c r="AII10" s="1221"/>
      <c r="AIJ10" s="1221"/>
      <c r="AIK10" s="1221"/>
      <c r="AIL10" s="1221"/>
      <c r="AIM10" s="1221"/>
      <c r="AIN10" s="1221"/>
      <c r="AIO10" s="1221"/>
      <c r="AIP10" s="1221"/>
      <c r="AIQ10" s="1221"/>
      <c r="AIR10" s="1221"/>
      <c r="AIS10" s="1221"/>
      <c r="AIT10" s="1221"/>
      <c r="AIU10" s="1221"/>
      <c r="AIV10" s="1221"/>
      <c r="AIW10" s="1221"/>
      <c r="AIX10" s="1221"/>
      <c r="AIY10" s="1221"/>
      <c r="AIZ10" s="1221"/>
      <c r="AJA10" s="1221"/>
      <c r="AJB10" s="1221"/>
      <c r="AJC10" s="1221"/>
      <c r="AJD10" s="1221"/>
      <c r="AJE10" s="1221"/>
      <c r="AJF10" s="1221"/>
      <c r="AJG10" s="1221"/>
      <c r="AJH10" s="1221"/>
      <c r="AJI10" s="1221"/>
      <c r="AJJ10" s="1221"/>
      <c r="AJK10" s="1221"/>
      <c r="AJL10" s="1221"/>
      <c r="AJM10" s="1221"/>
      <c r="AJN10" s="1221"/>
      <c r="AJO10" s="1221"/>
      <c r="AJP10" s="1221"/>
      <c r="AJQ10" s="1221"/>
      <c r="AJR10" s="1221"/>
      <c r="AJS10" s="1221"/>
      <c r="AJT10" s="1221"/>
      <c r="AJU10" s="1221"/>
      <c r="AJV10" s="1221"/>
      <c r="AJW10" s="1221"/>
      <c r="AJX10" s="1221"/>
      <c r="AJY10" s="1221"/>
      <c r="AJZ10" s="1221"/>
      <c r="AKA10" s="1221"/>
      <c r="AKB10" s="1221"/>
      <c r="AKC10" s="1221"/>
      <c r="AKD10" s="1221"/>
      <c r="AKE10" s="1221"/>
      <c r="AKF10" s="1221"/>
      <c r="AKG10" s="1221"/>
      <c r="AKH10" s="1221"/>
      <c r="AKI10" s="1221"/>
      <c r="AKJ10" s="1221"/>
      <c r="AKK10" s="1221"/>
      <c r="AKL10" s="1221"/>
      <c r="AKM10" s="1221"/>
      <c r="AKN10" s="1221"/>
      <c r="AKO10" s="1221"/>
      <c r="AKP10" s="1221"/>
      <c r="AKQ10" s="1221"/>
      <c r="AKR10" s="1221"/>
      <c r="AKS10" s="1221"/>
      <c r="AKT10" s="1221"/>
      <c r="AKU10" s="1221"/>
      <c r="AKV10" s="1221"/>
      <c r="AKW10" s="1221"/>
      <c r="AKX10" s="1221"/>
      <c r="AKY10" s="1221"/>
      <c r="AKZ10" s="1221"/>
      <c r="ALA10" s="1221"/>
      <c r="ALB10" s="1221"/>
      <c r="ALC10" s="1221"/>
      <c r="ALD10" s="1221"/>
      <c r="ALE10" s="1221"/>
      <c r="ALF10" s="1221"/>
      <c r="ALG10" s="1221"/>
      <c r="ALH10" s="1221"/>
      <c r="ALI10" s="1221"/>
      <c r="ALJ10" s="1221"/>
      <c r="ALK10" s="1221"/>
      <c r="ALL10" s="1221"/>
      <c r="ALM10" s="1221"/>
      <c r="ALN10" s="1221"/>
      <c r="ALO10" s="1221"/>
      <c r="ALP10" s="1221"/>
      <c r="ALQ10" s="1221"/>
      <c r="ALR10" s="1221"/>
      <c r="ALS10" s="1221"/>
      <c r="ALT10" s="1221"/>
      <c r="ALU10" s="1221"/>
      <c r="ALV10" s="1221"/>
      <c r="ALW10" s="1221"/>
      <c r="ALX10" s="1221"/>
      <c r="ALY10" s="1221"/>
      <c r="ALZ10" s="1221"/>
      <c r="AMA10" s="1221"/>
      <c r="AMB10" s="1221"/>
      <c r="AMC10" s="1221"/>
      <c r="AMD10" s="1221"/>
      <c r="AME10" s="1221"/>
      <c r="AMF10" s="1221"/>
      <c r="AMG10" s="1221"/>
      <c r="AMH10" s="1221"/>
      <c r="AMI10" s="1221"/>
      <c r="AMJ10" s="1221"/>
      <c r="AMK10" s="1221"/>
      <c r="AML10" s="1221"/>
      <c r="AMM10" s="1221"/>
      <c r="AMN10" s="1221"/>
      <c r="AMO10" s="1221"/>
      <c r="AMP10" s="1221"/>
      <c r="AMQ10" s="1221"/>
      <c r="AMR10" s="1221"/>
      <c r="AMS10" s="1221"/>
      <c r="AMT10" s="1221"/>
      <c r="AMU10" s="1221"/>
      <c r="AMV10" s="1221"/>
      <c r="AMW10" s="1221"/>
      <c r="AMX10" s="1221"/>
      <c r="AMY10" s="1221"/>
      <c r="AMZ10" s="1221"/>
      <c r="ANA10" s="1221"/>
      <c r="ANB10" s="1221"/>
      <c r="ANC10" s="1221"/>
      <c r="AND10" s="1221"/>
      <c r="ANE10" s="1221"/>
      <c r="ANF10" s="1221"/>
      <c r="ANG10" s="1221"/>
      <c r="ANH10" s="1221"/>
      <c r="ANI10" s="1221"/>
      <c r="ANJ10" s="1221"/>
      <c r="ANK10" s="1221"/>
      <c r="ANL10" s="1221"/>
      <c r="ANM10" s="1221"/>
      <c r="ANN10" s="1221"/>
      <c r="ANO10" s="1221"/>
      <c r="ANP10" s="1221"/>
      <c r="ANQ10" s="1221"/>
      <c r="ANR10" s="1221"/>
      <c r="ANS10" s="1221"/>
      <c r="ANT10" s="1221"/>
      <c r="ANU10" s="1221"/>
      <c r="ANV10" s="1221"/>
      <c r="ANW10" s="1221"/>
      <c r="ANX10" s="1221"/>
      <c r="ANY10" s="1221"/>
      <c r="ANZ10" s="1221"/>
      <c r="AOA10" s="1221"/>
      <c r="AOB10" s="1221"/>
      <c r="AOC10" s="1221"/>
      <c r="AOD10" s="1221"/>
      <c r="AOE10" s="1221"/>
      <c r="AOF10" s="1221"/>
      <c r="AOG10" s="1221"/>
      <c r="AOH10" s="1221"/>
      <c r="AOI10" s="1221"/>
      <c r="AOJ10" s="1221"/>
      <c r="AOK10" s="1221"/>
      <c r="AOL10" s="1221"/>
      <c r="AOM10" s="1221"/>
      <c r="AON10" s="1221"/>
      <c r="AOO10" s="1221"/>
      <c r="AOP10" s="1221"/>
      <c r="AOQ10" s="1221"/>
      <c r="AOR10" s="1221"/>
      <c r="AOS10" s="1221"/>
      <c r="AOT10" s="1221"/>
      <c r="AOU10" s="1221"/>
      <c r="AOV10" s="1221"/>
      <c r="AOW10" s="1221"/>
      <c r="AOX10" s="1221"/>
      <c r="AOY10" s="1221"/>
      <c r="AOZ10" s="1221"/>
      <c r="APA10" s="1221"/>
      <c r="APB10" s="1221"/>
      <c r="APC10" s="1221"/>
      <c r="APD10" s="1221"/>
      <c r="APE10" s="1221"/>
      <c r="APF10" s="1221"/>
      <c r="APG10" s="1221"/>
      <c r="APH10" s="1221"/>
      <c r="API10" s="1221"/>
      <c r="APJ10" s="1221"/>
      <c r="APK10" s="1221"/>
      <c r="APL10" s="1221"/>
      <c r="APM10" s="1221"/>
      <c r="APN10" s="1221"/>
      <c r="APO10" s="1221"/>
      <c r="APP10" s="1221"/>
      <c r="APQ10" s="1221"/>
      <c r="APR10" s="1221"/>
      <c r="APS10" s="1221"/>
      <c r="APT10" s="1221"/>
      <c r="APU10" s="1221"/>
      <c r="APV10" s="1221"/>
      <c r="APW10" s="1221"/>
      <c r="APX10" s="1221"/>
      <c r="APY10" s="1221"/>
      <c r="APZ10" s="1221"/>
      <c r="AQA10" s="1221"/>
      <c r="AQB10" s="1221"/>
      <c r="AQC10" s="1221"/>
      <c r="AQD10" s="1221"/>
      <c r="AQE10" s="1221"/>
      <c r="AQF10" s="1221"/>
      <c r="AQG10" s="1221"/>
      <c r="AQH10" s="1221"/>
      <c r="AQI10" s="1221"/>
      <c r="AQJ10" s="1221"/>
      <c r="AQK10" s="1221"/>
      <c r="AQL10" s="1221"/>
      <c r="AQM10" s="1221"/>
      <c r="AQN10" s="1221"/>
      <c r="AQO10" s="1221"/>
      <c r="AQP10" s="1221"/>
      <c r="AQQ10" s="1221"/>
      <c r="AQR10" s="1221"/>
      <c r="AQS10" s="1221"/>
      <c r="AQT10" s="1221"/>
      <c r="AQU10" s="1221"/>
      <c r="AQV10" s="1221"/>
      <c r="AQW10" s="1221"/>
      <c r="AQX10" s="1221"/>
      <c r="AQY10" s="1221"/>
      <c r="AQZ10" s="1221"/>
      <c r="ARA10" s="1221"/>
      <c r="ARB10" s="1221"/>
      <c r="ARC10" s="1221"/>
      <c r="ARD10" s="1221"/>
      <c r="ARE10" s="1221"/>
      <c r="ARF10" s="1221"/>
      <c r="ARG10" s="1221"/>
      <c r="ARH10" s="1221"/>
      <c r="ARI10" s="1221"/>
      <c r="ARJ10" s="1221"/>
      <c r="ARK10" s="1221"/>
      <c r="ARL10" s="1221"/>
      <c r="ARM10" s="1221"/>
      <c r="ARN10" s="1221"/>
      <c r="ARO10" s="1221"/>
      <c r="ARP10" s="1221"/>
      <c r="ARQ10" s="1221"/>
      <c r="ARR10" s="1221"/>
      <c r="ARS10" s="1221"/>
      <c r="ART10" s="1221"/>
      <c r="ARU10" s="1221"/>
      <c r="ARV10" s="1221"/>
      <c r="ARW10" s="1221"/>
      <c r="ARX10" s="1221"/>
      <c r="ARY10" s="1221"/>
      <c r="ARZ10" s="1221"/>
      <c r="ASA10" s="1221"/>
      <c r="ASB10" s="1221"/>
      <c r="ASC10" s="1221"/>
      <c r="ASD10" s="1221"/>
      <c r="ASE10" s="1221"/>
      <c r="ASF10" s="1221"/>
      <c r="ASG10" s="1221"/>
      <c r="ASH10" s="1221"/>
      <c r="ASI10" s="1221"/>
      <c r="ASJ10" s="1221"/>
      <c r="ASK10" s="1221"/>
      <c r="ASL10" s="1221"/>
      <c r="ASM10" s="1221"/>
      <c r="ASN10" s="1221"/>
      <c r="ASO10" s="1221"/>
      <c r="ASP10" s="1221"/>
      <c r="ASQ10" s="1221"/>
      <c r="ASR10" s="1221"/>
      <c r="ASS10" s="1221"/>
      <c r="AST10" s="1221"/>
      <c r="ASU10" s="1221"/>
      <c r="ASV10" s="1221"/>
      <c r="ASW10" s="1221"/>
      <c r="ASX10" s="1221"/>
      <c r="ASY10" s="1221"/>
      <c r="ASZ10" s="1221"/>
      <c r="ATA10" s="1221"/>
      <c r="ATB10" s="1221"/>
      <c r="ATC10" s="1221"/>
      <c r="ATD10" s="1221"/>
      <c r="ATE10" s="1221"/>
      <c r="ATF10" s="1221"/>
      <c r="ATG10" s="1221"/>
      <c r="ATH10" s="1221"/>
      <c r="ATI10" s="1221"/>
      <c r="ATJ10" s="1221"/>
      <c r="ATK10" s="1221"/>
      <c r="ATL10" s="1221"/>
      <c r="ATM10" s="1221"/>
      <c r="ATN10" s="1221"/>
      <c r="ATO10" s="1221"/>
      <c r="ATP10" s="1221"/>
      <c r="ATQ10" s="1221"/>
      <c r="ATR10" s="1221"/>
      <c r="ATS10" s="1221"/>
      <c r="ATT10" s="1221"/>
      <c r="ATU10" s="1221"/>
      <c r="ATV10" s="1221"/>
      <c r="ATW10" s="1221"/>
      <c r="ATX10" s="1221"/>
      <c r="ATY10" s="1221"/>
      <c r="ATZ10" s="1221"/>
      <c r="AUA10" s="1221"/>
      <c r="AUB10" s="1221"/>
      <c r="AUC10" s="1221"/>
      <c r="AUD10" s="1221"/>
      <c r="AUE10" s="1221"/>
      <c r="AUF10" s="1221"/>
      <c r="AUG10" s="1221"/>
      <c r="AUH10" s="1221"/>
      <c r="AUI10" s="1221"/>
      <c r="AUJ10" s="1221"/>
      <c r="AUK10" s="1221"/>
      <c r="AUL10" s="1221"/>
      <c r="AUM10" s="1221"/>
      <c r="AUN10" s="1221"/>
      <c r="AUO10" s="1221"/>
      <c r="AUP10" s="1221"/>
      <c r="AUQ10" s="1221"/>
      <c r="AUR10" s="1221"/>
      <c r="AUS10" s="1221"/>
      <c r="AUT10" s="1221"/>
      <c r="AUU10" s="1221"/>
      <c r="AUV10" s="1221"/>
      <c r="AUW10" s="1221"/>
      <c r="AUX10" s="1221"/>
      <c r="AUY10" s="1221"/>
      <c r="AUZ10" s="1221"/>
      <c r="AVA10" s="1221"/>
      <c r="AVB10" s="1221"/>
      <c r="AVC10" s="1221"/>
      <c r="AVD10" s="1221"/>
      <c r="AVE10" s="1221"/>
      <c r="AVF10" s="1221"/>
      <c r="AVG10" s="1221"/>
      <c r="AVH10" s="1221"/>
      <c r="AVI10" s="1221"/>
      <c r="AVJ10" s="1221"/>
      <c r="AVK10" s="1221"/>
      <c r="AVL10" s="1221"/>
      <c r="AVM10" s="1221"/>
      <c r="AVN10" s="1221"/>
      <c r="AVO10" s="1221"/>
      <c r="AVP10" s="1221"/>
      <c r="AVQ10" s="1221"/>
      <c r="AVR10" s="1221"/>
      <c r="AVS10" s="1221"/>
      <c r="AVT10" s="1221"/>
      <c r="AVU10" s="1221"/>
      <c r="AVV10" s="1221"/>
      <c r="AVW10" s="1221"/>
      <c r="AVX10" s="1221"/>
      <c r="AVY10" s="1221"/>
      <c r="AVZ10" s="1221"/>
      <c r="AWA10" s="1221"/>
      <c r="AWB10" s="1221"/>
      <c r="AWC10" s="1221"/>
      <c r="AWD10" s="1221"/>
      <c r="AWE10" s="1221"/>
      <c r="AWF10" s="1221"/>
      <c r="AWG10" s="1221"/>
      <c r="AWH10" s="1221"/>
      <c r="AWI10" s="1221"/>
      <c r="AWJ10" s="1221"/>
      <c r="AWK10" s="1221"/>
      <c r="AWL10" s="1221"/>
      <c r="AWM10" s="1221"/>
      <c r="AWN10" s="1221"/>
      <c r="AWO10" s="1221"/>
      <c r="AWP10" s="1221"/>
      <c r="AWQ10" s="1221"/>
      <c r="AWR10" s="1221"/>
      <c r="AWS10" s="1221"/>
      <c r="AWT10" s="1221"/>
      <c r="AWU10" s="1221"/>
      <c r="AWV10" s="1221"/>
      <c r="AWW10" s="1221"/>
      <c r="AWX10" s="1221"/>
      <c r="AWY10" s="1221"/>
      <c r="AWZ10" s="1221"/>
      <c r="AXA10" s="1221"/>
      <c r="AXB10" s="1221"/>
      <c r="AXC10" s="1221"/>
      <c r="AXD10" s="1221"/>
      <c r="AXE10" s="1221"/>
      <c r="AXF10" s="1221"/>
      <c r="AXG10" s="1221"/>
      <c r="AXH10" s="1221"/>
      <c r="AXI10" s="1221"/>
      <c r="AXJ10" s="1221"/>
      <c r="AXK10" s="1221"/>
      <c r="AXL10" s="1221"/>
      <c r="AXM10" s="1221"/>
      <c r="AXN10" s="1221"/>
      <c r="AXO10" s="1221"/>
      <c r="AXP10" s="1221"/>
      <c r="AXQ10" s="1221"/>
      <c r="AXR10" s="1221"/>
      <c r="AXS10" s="1221"/>
      <c r="AXT10" s="1221"/>
      <c r="AXU10" s="1221"/>
      <c r="AXV10" s="1221"/>
      <c r="AXW10" s="1221"/>
      <c r="AXX10" s="1221"/>
      <c r="AXY10" s="1221"/>
      <c r="AXZ10" s="1221"/>
      <c r="AYA10" s="1221"/>
      <c r="AYB10" s="1221"/>
      <c r="AYC10" s="1221"/>
      <c r="AYD10" s="1221"/>
      <c r="AYE10" s="1221"/>
      <c r="AYF10" s="1221"/>
      <c r="AYG10" s="1221"/>
      <c r="AYH10" s="1221"/>
      <c r="AYI10" s="1221"/>
      <c r="AYJ10" s="1221"/>
      <c r="AYK10" s="1221"/>
      <c r="AYL10" s="1221"/>
      <c r="AYM10" s="1221"/>
      <c r="AYN10" s="1221"/>
      <c r="AYO10" s="1221"/>
      <c r="AYP10" s="1221"/>
      <c r="AYQ10" s="1221"/>
      <c r="AYR10" s="1221"/>
      <c r="AYS10" s="1221"/>
      <c r="AYT10" s="1221"/>
      <c r="AYU10" s="1221"/>
      <c r="AYV10" s="1221"/>
      <c r="AYW10" s="1221"/>
      <c r="AYX10" s="1221"/>
      <c r="AYY10" s="1221"/>
      <c r="AYZ10" s="1221"/>
      <c r="AZA10" s="1221"/>
      <c r="AZB10" s="1221"/>
      <c r="AZC10" s="1221"/>
      <c r="AZD10" s="1221"/>
      <c r="AZE10" s="1221"/>
      <c r="AZF10" s="1221"/>
      <c r="AZG10" s="1221"/>
      <c r="AZH10" s="1221"/>
      <c r="AZI10" s="1221"/>
      <c r="AZJ10" s="1221"/>
      <c r="AZK10" s="1221"/>
      <c r="AZL10" s="1221"/>
      <c r="AZM10" s="1221"/>
      <c r="AZN10" s="1221"/>
      <c r="AZO10" s="1221"/>
      <c r="AZP10" s="1221"/>
      <c r="AZQ10" s="1221"/>
      <c r="AZR10" s="1221"/>
      <c r="AZS10" s="1221"/>
      <c r="AZT10" s="1221"/>
      <c r="AZU10" s="1221"/>
      <c r="AZV10" s="1221"/>
      <c r="AZW10" s="1221"/>
      <c r="AZX10" s="1221"/>
      <c r="AZY10" s="1221"/>
      <c r="AZZ10" s="1221"/>
      <c r="BAA10" s="1221"/>
      <c r="BAB10" s="1221"/>
      <c r="BAC10" s="1221"/>
      <c r="BAD10" s="1221"/>
      <c r="BAE10" s="1221"/>
      <c r="BAF10" s="1221"/>
      <c r="BAG10" s="1221"/>
      <c r="BAH10" s="1221"/>
      <c r="BAI10" s="1221"/>
      <c r="BAJ10" s="1221"/>
      <c r="BAK10" s="1221"/>
      <c r="BAL10" s="1221"/>
      <c r="BAM10" s="1221"/>
      <c r="BAN10" s="1221"/>
      <c r="BAO10" s="1221"/>
      <c r="BAP10" s="1221"/>
      <c r="BAQ10" s="1221"/>
      <c r="BAR10" s="1221"/>
      <c r="BAS10" s="1221"/>
      <c r="BAT10" s="1221"/>
      <c r="BAU10" s="1221"/>
      <c r="BAV10" s="1221"/>
      <c r="BAW10" s="1221"/>
      <c r="BAX10" s="1221"/>
      <c r="BAY10" s="1221"/>
      <c r="BAZ10" s="1221"/>
      <c r="BBA10" s="1221"/>
      <c r="BBB10" s="1221"/>
      <c r="BBC10" s="1221"/>
      <c r="BBD10" s="1221"/>
      <c r="BBE10" s="1221"/>
      <c r="BBF10" s="1221"/>
      <c r="BBG10" s="1221"/>
      <c r="BBH10" s="1221"/>
      <c r="BBI10" s="1221"/>
      <c r="BBJ10" s="1221"/>
      <c r="BBK10" s="1221"/>
      <c r="BBL10" s="1221"/>
      <c r="BBM10" s="1221"/>
      <c r="BBN10" s="1221"/>
      <c r="BBO10" s="1221"/>
      <c r="BBP10" s="1221"/>
      <c r="BBQ10" s="1221"/>
      <c r="BBR10" s="1221"/>
      <c r="BBS10" s="1221"/>
      <c r="BBT10" s="1221"/>
      <c r="BBU10" s="1221"/>
      <c r="BBV10" s="1221"/>
      <c r="BBW10" s="1221"/>
      <c r="BBX10" s="1221"/>
      <c r="BBY10" s="1221"/>
      <c r="BBZ10" s="1221"/>
      <c r="BCA10" s="1221"/>
      <c r="BCB10" s="1221"/>
      <c r="BCC10" s="1221"/>
      <c r="BCD10" s="1221"/>
      <c r="BCE10" s="1221"/>
      <c r="BCF10" s="1221"/>
      <c r="BCG10" s="1221"/>
      <c r="BCH10" s="1221"/>
      <c r="BCI10" s="1221"/>
      <c r="BCJ10" s="1221"/>
      <c r="BCK10" s="1221"/>
      <c r="BCL10" s="1221"/>
      <c r="BCM10" s="1221"/>
      <c r="BCN10" s="1221"/>
      <c r="BCO10" s="1221"/>
      <c r="BCP10" s="1221"/>
      <c r="BCQ10" s="1221"/>
      <c r="BCR10" s="1221"/>
      <c r="BCS10" s="1221"/>
      <c r="BCT10" s="1221"/>
      <c r="BCU10" s="1221"/>
      <c r="BCV10" s="1221"/>
      <c r="BCW10" s="1221"/>
      <c r="BCX10" s="1221"/>
      <c r="BCY10" s="1221"/>
      <c r="BCZ10" s="1221"/>
      <c r="BDA10" s="1221"/>
      <c r="BDB10" s="1221"/>
      <c r="BDC10" s="1221"/>
      <c r="BDD10" s="1221"/>
      <c r="BDE10" s="1221"/>
      <c r="BDF10" s="1221"/>
      <c r="BDG10" s="1221"/>
      <c r="BDH10" s="1221"/>
      <c r="BDI10" s="1221"/>
      <c r="BDJ10" s="1221"/>
      <c r="BDK10" s="1221"/>
      <c r="BDL10" s="1221"/>
      <c r="BDM10" s="1221"/>
      <c r="BDN10" s="1221"/>
      <c r="BDO10" s="1221"/>
      <c r="BDP10" s="1221"/>
      <c r="BDQ10" s="1221"/>
      <c r="BDR10" s="1221"/>
      <c r="BDS10" s="1221"/>
      <c r="BDT10" s="1221"/>
      <c r="BDU10" s="1221"/>
      <c r="BDV10" s="1221"/>
      <c r="BDW10" s="1221"/>
      <c r="BDX10" s="1221"/>
      <c r="BDY10" s="1221"/>
      <c r="BDZ10" s="1221"/>
      <c r="BEA10" s="1221"/>
      <c r="BEB10" s="1221"/>
      <c r="BEC10" s="1221"/>
      <c r="BED10" s="1221"/>
      <c r="BEE10" s="1221"/>
      <c r="BEF10" s="1221"/>
      <c r="BEG10" s="1221"/>
      <c r="BEH10" s="1221"/>
      <c r="BEI10" s="1221"/>
      <c r="BEJ10" s="1221"/>
      <c r="BEK10" s="1221"/>
      <c r="BEL10" s="1221"/>
      <c r="BEM10" s="1221"/>
      <c r="BEN10" s="1221"/>
      <c r="BEO10" s="1221"/>
      <c r="BEP10" s="1221"/>
      <c r="BEQ10" s="1221"/>
      <c r="BER10" s="1221"/>
      <c r="BES10" s="1221"/>
      <c r="BET10" s="1221"/>
      <c r="BEU10" s="1221"/>
      <c r="BEV10" s="1221"/>
      <c r="BEW10" s="1221"/>
      <c r="BEX10" s="1221"/>
      <c r="BEY10" s="1221"/>
      <c r="BEZ10" s="1221"/>
      <c r="BFA10" s="1221"/>
      <c r="BFB10" s="1221"/>
      <c r="BFC10" s="1221"/>
      <c r="BFD10" s="1221"/>
      <c r="BFE10" s="1221"/>
      <c r="BFF10" s="1221"/>
      <c r="BFG10" s="1221"/>
      <c r="BFH10" s="1221"/>
      <c r="BFI10" s="1221"/>
      <c r="BFJ10" s="1221"/>
      <c r="BFK10" s="1221"/>
      <c r="BFL10" s="1221"/>
      <c r="BFM10" s="1221"/>
      <c r="BFN10" s="1221"/>
      <c r="BFO10" s="1221"/>
      <c r="BFP10" s="1221"/>
      <c r="BFQ10" s="1221"/>
      <c r="BFR10" s="1221"/>
      <c r="BFS10" s="1221"/>
      <c r="BFT10" s="1221"/>
      <c r="BFU10" s="1221"/>
      <c r="BFV10" s="1221"/>
      <c r="BFW10" s="1221"/>
      <c r="BFX10" s="1221"/>
      <c r="BFY10" s="1221"/>
      <c r="BFZ10" s="1221"/>
      <c r="BGA10" s="1221"/>
      <c r="BGB10" s="1221"/>
      <c r="BGC10" s="1221"/>
      <c r="BGD10" s="1221"/>
      <c r="BGE10" s="1221"/>
      <c r="BGF10" s="1221"/>
      <c r="BGG10" s="1221"/>
      <c r="BGH10" s="1221"/>
      <c r="BGI10" s="1221"/>
      <c r="BGJ10" s="1221"/>
      <c r="BGK10" s="1221"/>
      <c r="BGL10" s="1221"/>
      <c r="BGM10" s="1221"/>
      <c r="BGN10" s="1221"/>
      <c r="BGO10" s="1221"/>
      <c r="BGP10" s="1221"/>
      <c r="BGQ10" s="1221"/>
      <c r="BGR10" s="1221"/>
      <c r="BGS10" s="1221"/>
      <c r="BGT10" s="1221"/>
      <c r="BGU10" s="1221"/>
      <c r="BGV10" s="1221"/>
      <c r="BGW10" s="1221"/>
      <c r="BGX10" s="1221"/>
      <c r="BGY10" s="1221"/>
      <c r="BGZ10" s="1221"/>
      <c r="BHA10" s="1221"/>
      <c r="BHB10" s="1221"/>
      <c r="BHC10" s="1221"/>
      <c r="BHD10" s="1221"/>
      <c r="BHE10" s="1221"/>
      <c r="BHF10" s="1221"/>
      <c r="BHG10" s="1221"/>
      <c r="BHH10" s="1221"/>
      <c r="BHI10" s="1221"/>
      <c r="BHJ10" s="1221"/>
      <c r="BHK10" s="1221"/>
      <c r="BHL10" s="1221"/>
      <c r="BHM10" s="1221"/>
      <c r="BHN10" s="1221"/>
      <c r="BHO10" s="1221"/>
      <c r="BHP10" s="1221"/>
      <c r="BHQ10" s="1221"/>
      <c r="BHR10" s="1221"/>
      <c r="BHS10" s="1221"/>
      <c r="BHT10" s="1221"/>
      <c r="BHU10" s="1221"/>
      <c r="BHV10" s="1221"/>
      <c r="BHW10" s="1221"/>
      <c r="BHX10" s="1221"/>
      <c r="BHY10" s="1221"/>
      <c r="BHZ10" s="1221"/>
      <c r="BIA10" s="1221"/>
      <c r="BIB10" s="1221"/>
      <c r="BIC10" s="1221"/>
      <c r="BID10" s="1221"/>
      <c r="BIE10" s="1221"/>
      <c r="BIF10" s="1221"/>
      <c r="BIG10" s="1221"/>
      <c r="BIH10" s="1221"/>
      <c r="BII10" s="1221"/>
      <c r="BIJ10" s="1221"/>
      <c r="BIK10" s="1221"/>
      <c r="BIL10" s="1221"/>
      <c r="BIM10" s="1221"/>
      <c r="BIN10" s="1221"/>
      <c r="BIO10" s="1221"/>
      <c r="BIP10" s="1221"/>
      <c r="BIQ10" s="1221"/>
      <c r="BIR10" s="1221"/>
      <c r="BIS10" s="1221"/>
      <c r="BIT10" s="1221"/>
      <c r="BIU10" s="1221"/>
      <c r="BIV10" s="1221"/>
      <c r="BIW10" s="1221"/>
      <c r="BIX10" s="1221"/>
      <c r="BIY10" s="1221"/>
      <c r="BIZ10" s="1221"/>
      <c r="BJA10" s="1221"/>
      <c r="BJB10" s="1221"/>
      <c r="BJC10" s="1221"/>
      <c r="BJD10" s="1221"/>
      <c r="BJE10" s="1221"/>
      <c r="BJF10" s="1221"/>
      <c r="BJG10" s="1221"/>
      <c r="BJH10" s="1221"/>
      <c r="BJI10" s="1221"/>
      <c r="BJJ10" s="1221"/>
      <c r="BJK10" s="1221"/>
      <c r="BJL10" s="1221"/>
      <c r="BJM10" s="1221"/>
      <c r="BJN10" s="1221"/>
      <c r="BJO10" s="1221"/>
      <c r="BJP10" s="1221"/>
      <c r="BJQ10" s="1221"/>
      <c r="BJR10" s="1221"/>
      <c r="BJS10" s="1221"/>
      <c r="BJT10" s="1221"/>
      <c r="BJU10" s="1221"/>
      <c r="BJV10" s="1221"/>
      <c r="BJW10" s="1221"/>
      <c r="BJX10" s="1221"/>
      <c r="BJY10" s="1221"/>
      <c r="BJZ10" s="1221"/>
      <c r="BKA10" s="1221"/>
      <c r="BKB10" s="1221"/>
      <c r="BKC10" s="1221"/>
      <c r="BKD10" s="1221"/>
      <c r="BKE10" s="1221"/>
      <c r="BKF10" s="1221"/>
      <c r="BKG10" s="1221"/>
      <c r="BKH10" s="1221"/>
      <c r="BKI10" s="1221"/>
      <c r="BKJ10" s="1221"/>
      <c r="BKK10" s="1221"/>
      <c r="BKL10" s="1221"/>
      <c r="BKM10" s="1221"/>
      <c r="BKN10" s="1221"/>
      <c r="BKO10" s="1221"/>
      <c r="BKP10" s="1221"/>
      <c r="BKQ10" s="1221"/>
      <c r="BKR10" s="1221"/>
      <c r="BKS10" s="1221"/>
      <c r="BKT10" s="1221"/>
      <c r="BKU10" s="1221"/>
      <c r="BKV10" s="1221"/>
      <c r="BKW10" s="1221"/>
      <c r="BKX10" s="1221"/>
      <c r="BKY10" s="1221"/>
      <c r="BKZ10" s="1221"/>
      <c r="BLA10" s="1221"/>
      <c r="BLB10" s="1221"/>
      <c r="BLC10" s="1221"/>
      <c r="BLD10" s="1221"/>
      <c r="BLE10" s="1221"/>
      <c r="BLF10" s="1221"/>
      <c r="BLG10" s="1221"/>
      <c r="BLH10" s="1221"/>
      <c r="BLI10" s="1221"/>
      <c r="BLJ10" s="1221"/>
      <c r="BLK10" s="1221"/>
      <c r="BLL10" s="1221"/>
      <c r="BLM10" s="1221"/>
      <c r="BLN10" s="1221"/>
      <c r="BLO10" s="1221"/>
      <c r="BLP10" s="1221"/>
      <c r="BLQ10" s="1221"/>
      <c r="BLR10" s="1221"/>
      <c r="BLS10" s="1221"/>
      <c r="BLT10" s="1221"/>
      <c r="BLU10" s="1221"/>
      <c r="BLV10" s="1221"/>
      <c r="BLW10" s="1221"/>
      <c r="BLX10" s="1221"/>
      <c r="BLY10" s="1221"/>
      <c r="BLZ10" s="1221"/>
      <c r="BMA10" s="1221"/>
      <c r="BMB10" s="1221"/>
      <c r="BMC10" s="1221"/>
      <c r="BMD10" s="1221"/>
      <c r="BME10" s="1221"/>
      <c r="BMF10" s="1221"/>
      <c r="BMG10" s="1221"/>
      <c r="BMH10" s="1221"/>
      <c r="BMI10" s="1221"/>
      <c r="BMJ10" s="1221"/>
      <c r="BMK10" s="1221"/>
      <c r="BML10" s="1221"/>
      <c r="BMM10" s="1221"/>
      <c r="BMN10" s="1221"/>
      <c r="BMO10" s="1221"/>
      <c r="BMP10" s="1221"/>
      <c r="BMQ10" s="1221"/>
      <c r="BMR10" s="1221"/>
      <c r="BMS10" s="1221"/>
      <c r="BMT10" s="1221"/>
      <c r="BMU10" s="1221"/>
      <c r="BMV10" s="1221"/>
      <c r="BMW10" s="1221"/>
      <c r="BMX10" s="1221"/>
      <c r="BMY10" s="1221"/>
      <c r="BMZ10" s="1221"/>
      <c r="BNA10" s="1221"/>
      <c r="BNB10" s="1221"/>
      <c r="BNC10" s="1221"/>
      <c r="BND10" s="1221"/>
      <c r="BNE10" s="1221"/>
      <c r="BNF10" s="1221"/>
      <c r="BNG10" s="1221"/>
      <c r="BNH10" s="1221"/>
      <c r="BNI10" s="1221"/>
      <c r="BNJ10" s="1221"/>
      <c r="BNK10" s="1221"/>
      <c r="BNL10" s="1221"/>
      <c r="BNM10" s="1221"/>
      <c r="BNN10" s="1221"/>
      <c r="BNO10" s="1221"/>
      <c r="BNP10" s="1221"/>
      <c r="BNQ10" s="1221"/>
      <c r="BNR10" s="1221"/>
      <c r="BNS10" s="1221"/>
      <c r="BNT10" s="1221"/>
      <c r="BNU10" s="1221"/>
      <c r="BNV10" s="1221"/>
      <c r="BNW10" s="1221"/>
      <c r="BNX10" s="1221"/>
      <c r="BNY10" s="1221"/>
      <c r="BNZ10" s="1221"/>
      <c r="BOA10" s="1221"/>
      <c r="BOB10" s="1221"/>
      <c r="BOC10" s="1221"/>
      <c r="BOD10" s="1221"/>
      <c r="BOE10" s="1221"/>
      <c r="BOF10" s="1221"/>
      <c r="BOG10" s="1221"/>
      <c r="BOH10" s="1221"/>
      <c r="BOI10" s="1221"/>
      <c r="BOJ10" s="1221"/>
      <c r="BOK10" s="1221"/>
      <c r="BOL10" s="1221"/>
      <c r="BOM10" s="1221"/>
      <c r="BON10" s="1221"/>
      <c r="BOO10" s="1221"/>
      <c r="BOP10" s="1221"/>
      <c r="BOQ10" s="1221"/>
      <c r="BOR10" s="1221"/>
      <c r="BOS10" s="1221"/>
      <c r="BOT10" s="1221"/>
      <c r="BOU10" s="1221"/>
      <c r="BOV10" s="1221"/>
      <c r="BOW10" s="1221"/>
      <c r="BOX10" s="1221"/>
      <c r="BOY10" s="1221"/>
      <c r="BOZ10" s="1221"/>
      <c r="BPA10" s="1221"/>
      <c r="BPB10" s="1221"/>
      <c r="BPC10" s="1221"/>
      <c r="BPD10" s="1221"/>
      <c r="BPE10" s="1221"/>
      <c r="BPF10" s="1221"/>
      <c r="BPG10" s="1221"/>
      <c r="BPH10" s="1221"/>
      <c r="BPI10" s="1221"/>
      <c r="BPJ10" s="1221"/>
      <c r="BPK10" s="1221"/>
      <c r="BPL10" s="1221"/>
      <c r="BPM10" s="1221"/>
      <c r="BPN10" s="1221"/>
      <c r="BPO10" s="1221"/>
      <c r="BPP10" s="1221"/>
      <c r="BPQ10" s="1221"/>
      <c r="BPR10" s="1221"/>
      <c r="BPS10" s="1221"/>
      <c r="BPT10" s="1221"/>
      <c r="BPU10" s="1221"/>
      <c r="BPV10" s="1221"/>
      <c r="BPW10" s="1221"/>
      <c r="BPX10" s="1221"/>
      <c r="BPY10" s="1221"/>
      <c r="BPZ10" s="1221"/>
      <c r="BQA10" s="1221"/>
      <c r="BQB10" s="1221"/>
      <c r="BQC10" s="1221"/>
      <c r="BQD10" s="1221"/>
      <c r="BQE10" s="1221"/>
      <c r="BQF10" s="1221"/>
      <c r="BQG10" s="1221"/>
      <c r="BQH10" s="1221"/>
      <c r="BQI10" s="1221"/>
      <c r="BQJ10" s="1221"/>
      <c r="BQK10" s="1221"/>
      <c r="BQL10" s="1221"/>
      <c r="BQM10" s="1221"/>
      <c r="BQN10" s="1221"/>
      <c r="BQO10" s="1221"/>
      <c r="BQP10" s="1221"/>
      <c r="BQQ10" s="1221"/>
      <c r="BQR10" s="1221"/>
      <c r="BQS10" s="1221"/>
      <c r="BQT10" s="1221"/>
      <c r="BQU10" s="1221"/>
      <c r="BQV10" s="1221"/>
      <c r="BQW10" s="1221"/>
      <c r="BQX10" s="1221"/>
      <c r="BQY10" s="1221"/>
      <c r="BQZ10" s="1221"/>
      <c r="BRA10" s="1221"/>
      <c r="BRB10" s="1221"/>
      <c r="BRC10" s="1221"/>
      <c r="BRD10" s="1221"/>
      <c r="BRE10" s="1221"/>
      <c r="BRF10" s="1221"/>
      <c r="BRG10" s="1221"/>
      <c r="BRH10" s="1221"/>
      <c r="BRI10" s="1221"/>
      <c r="BRJ10" s="1221"/>
      <c r="BRK10" s="1221"/>
      <c r="BRL10" s="1221"/>
      <c r="BRM10" s="1221"/>
      <c r="BRN10" s="1221"/>
      <c r="BRO10" s="1221"/>
      <c r="BRP10" s="1221"/>
      <c r="BRQ10" s="1221"/>
      <c r="BRR10" s="1221"/>
      <c r="BRS10" s="1221"/>
      <c r="BRT10" s="1221"/>
      <c r="BRU10" s="1221"/>
      <c r="BRV10" s="1221"/>
      <c r="BRW10" s="1221"/>
      <c r="BRX10" s="1221"/>
      <c r="BRY10" s="1221"/>
      <c r="BRZ10" s="1221"/>
      <c r="BSA10" s="1221"/>
      <c r="BSB10" s="1221"/>
      <c r="BSC10" s="1221"/>
      <c r="BSD10" s="1221"/>
      <c r="BSE10" s="1221"/>
      <c r="BSF10" s="1221"/>
      <c r="BSG10" s="1221"/>
      <c r="BSH10" s="1221"/>
      <c r="BSI10" s="1221"/>
      <c r="BSJ10" s="1221"/>
      <c r="BSK10" s="1221"/>
      <c r="BSL10" s="1221"/>
      <c r="BSM10" s="1221"/>
      <c r="BSN10" s="1221"/>
      <c r="BSO10" s="1221"/>
      <c r="BSP10" s="1221"/>
      <c r="BSQ10" s="1221"/>
      <c r="BSR10" s="1221"/>
      <c r="BSS10" s="1221"/>
      <c r="BST10" s="1221"/>
      <c r="BSU10" s="1221"/>
      <c r="BSV10" s="1221"/>
      <c r="BSW10" s="1221"/>
      <c r="BSX10" s="1221"/>
      <c r="BSY10" s="1221"/>
      <c r="BSZ10" s="1221"/>
      <c r="BTA10" s="1221"/>
      <c r="BTB10" s="1221"/>
      <c r="BTC10" s="1221"/>
      <c r="BTD10" s="1221"/>
      <c r="BTE10" s="1221"/>
      <c r="BTF10" s="1221"/>
      <c r="BTG10" s="1221"/>
      <c r="BTH10" s="1221"/>
      <c r="BTI10" s="1221"/>
      <c r="BTJ10" s="1221"/>
      <c r="BTK10" s="1221"/>
      <c r="BTL10" s="1221"/>
      <c r="BTM10" s="1221"/>
      <c r="BTN10" s="1221"/>
      <c r="BTO10" s="1221"/>
      <c r="BTP10" s="1221"/>
      <c r="BTQ10" s="1221"/>
      <c r="BTR10" s="1221"/>
      <c r="BTS10" s="1221"/>
      <c r="BTT10" s="1221"/>
      <c r="BTU10" s="1221"/>
      <c r="BTV10" s="1221"/>
      <c r="BTW10" s="1221"/>
      <c r="BTX10" s="1221"/>
      <c r="BTY10" s="1221"/>
      <c r="BTZ10" s="1221"/>
      <c r="BUA10" s="1221"/>
      <c r="BUB10" s="1221"/>
      <c r="BUC10" s="1221"/>
      <c r="BUD10" s="1221"/>
      <c r="BUE10" s="1221"/>
      <c r="BUF10" s="1221"/>
      <c r="BUG10" s="1221"/>
      <c r="BUH10" s="1221"/>
      <c r="BUI10" s="1221"/>
      <c r="BUJ10" s="1221"/>
      <c r="BUK10" s="1221"/>
      <c r="BUL10" s="1221"/>
      <c r="BUM10" s="1221"/>
      <c r="BUN10" s="1221"/>
      <c r="BUO10" s="1221"/>
      <c r="BUP10" s="1221"/>
      <c r="BUQ10" s="1221"/>
      <c r="BUR10" s="1221"/>
      <c r="BUS10" s="1221"/>
      <c r="BUT10" s="1221"/>
      <c r="BUU10" s="1221"/>
      <c r="BUV10" s="1221"/>
      <c r="BUW10" s="1221"/>
      <c r="BUX10" s="1221"/>
      <c r="BUY10" s="1221"/>
      <c r="BUZ10" s="1221"/>
      <c r="BVA10" s="1221"/>
      <c r="BVB10" s="1221"/>
      <c r="BVC10" s="1221"/>
      <c r="BVD10" s="1221"/>
      <c r="BVE10" s="1221"/>
      <c r="BVF10" s="1221"/>
      <c r="BVG10" s="1221"/>
      <c r="BVH10" s="1221"/>
      <c r="BVI10" s="1221"/>
      <c r="BVJ10" s="1221"/>
      <c r="BVK10" s="1221"/>
      <c r="BVL10" s="1221"/>
      <c r="BVM10" s="1221"/>
      <c r="BVN10" s="1221"/>
      <c r="BVO10" s="1221"/>
      <c r="BVP10" s="1221"/>
      <c r="BVQ10" s="1221"/>
      <c r="BVR10" s="1221"/>
      <c r="BVS10" s="1221"/>
      <c r="BVT10" s="1221"/>
      <c r="BVU10" s="1221"/>
      <c r="BVV10" s="1221"/>
      <c r="BVW10" s="1221"/>
      <c r="BVX10" s="1221"/>
      <c r="BVY10" s="1221"/>
      <c r="BVZ10" s="1221"/>
      <c r="BWA10" s="1221"/>
      <c r="BWB10" s="1221"/>
      <c r="BWC10" s="1221"/>
      <c r="BWD10" s="1221"/>
      <c r="BWE10" s="1221"/>
      <c r="BWF10" s="1221"/>
      <c r="BWG10" s="1221"/>
      <c r="BWH10" s="1221"/>
      <c r="BWI10" s="1221"/>
      <c r="BWJ10" s="1221"/>
      <c r="BWK10" s="1221"/>
      <c r="BWL10" s="1221"/>
      <c r="BWM10" s="1221"/>
      <c r="BWN10" s="1221"/>
      <c r="BWO10" s="1221"/>
      <c r="BWP10" s="1221"/>
      <c r="BWQ10" s="1221"/>
      <c r="BWR10" s="1221"/>
      <c r="BWS10" s="1221"/>
      <c r="BWT10" s="1221"/>
      <c r="BWU10" s="1221"/>
      <c r="BWV10" s="1221"/>
      <c r="BWW10" s="1221"/>
      <c r="BWX10" s="1221"/>
      <c r="BWY10" s="1221"/>
      <c r="BWZ10" s="1221"/>
      <c r="BXA10" s="1221"/>
      <c r="BXB10" s="1221"/>
      <c r="BXC10" s="1221"/>
      <c r="BXD10" s="1221"/>
      <c r="BXE10" s="1221"/>
      <c r="BXF10" s="1221"/>
      <c r="BXG10" s="1221"/>
      <c r="BXH10" s="1221"/>
      <c r="BXI10" s="1221"/>
      <c r="BXJ10" s="1221"/>
      <c r="BXK10" s="1221"/>
      <c r="BXL10" s="1221"/>
      <c r="BXM10" s="1221"/>
      <c r="BXN10" s="1221"/>
      <c r="BXO10" s="1221"/>
      <c r="BXP10" s="1221"/>
      <c r="BXQ10" s="1221"/>
      <c r="BXR10" s="1221"/>
      <c r="BXS10" s="1221"/>
      <c r="BXT10" s="1221"/>
      <c r="BXU10" s="1221"/>
      <c r="BXV10" s="1221"/>
      <c r="BXW10" s="1221"/>
      <c r="BXX10" s="1221"/>
      <c r="BXY10" s="1221"/>
      <c r="BXZ10" s="1221"/>
      <c r="BYA10" s="1221"/>
      <c r="BYB10" s="1221"/>
      <c r="BYC10" s="1221"/>
      <c r="BYD10" s="1221"/>
      <c r="BYE10" s="1221"/>
      <c r="BYF10" s="1221"/>
      <c r="BYG10" s="1221"/>
      <c r="BYH10" s="1221"/>
      <c r="BYI10" s="1221"/>
      <c r="BYJ10" s="1221"/>
      <c r="BYK10" s="1221"/>
      <c r="BYL10" s="1221"/>
      <c r="BYM10" s="1221"/>
      <c r="BYN10" s="1221"/>
      <c r="BYO10" s="1221"/>
      <c r="BYP10" s="1221"/>
      <c r="BYQ10" s="1221"/>
      <c r="BYR10" s="1221"/>
      <c r="BYS10" s="1221"/>
      <c r="BYT10" s="1221"/>
      <c r="BYU10" s="1221"/>
      <c r="BYV10" s="1221"/>
      <c r="BYW10" s="1221"/>
      <c r="BYX10" s="1221"/>
      <c r="BYY10" s="1221"/>
      <c r="BYZ10" s="1221"/>
      <c r="BZA10" s="1221"/>
      <c r="BZB10" s="1221"/>
      <c r="BZC10" s="1221"/>
      <c r="BZD10" s="1221"/>
      <c r="BZE10" s="1221"/>
      <c r="BZF10" s="1221"/>
      <c r="BZG10" s="1221"/>
      <c r="BZH10" s="1221"/>
      <c r="BZI10" s="1221"/>
      <c r="BZJ10" s="1221"/>
      <c r="BZK10" s="1221"/>
      <c r="BZL10" s="1221"/>
      <c r="BZM10" s="1221"/>
      <c r="BZN10" s="1221"/>
      <c r="BZO10" s="1221"/>
      <c r="BZP10" s="1221"/>
      <c r="BZQ10" s="1221"/>
      <c r="BZR10" s="1221"/>
      <c r="BZS10" s="1221"/>
      <c r="BZT10" s="1221"/>
      <c r="BZU10" s="1221"/>
      <c r="BZV10" s="1221"/>
      <c r="BZW10" s="1221"/>
      <c r="BZX10" s="1221"/>
      <c r="BZY10" s="1221"/>
      <c r="BZZ10" s="1221"/>
      <c r="CAA10" s="1221"/>
      <c r="CAB10" s="1221"/>
      <c r="CAC10" s="1221"/>
      <c r="CAD10" s="1221"/>
      <c r="CAE10" s="1221"/>
      <c r="CAF10" s="1221"/>
      <c r="CAG10" s="1221"/>
      <c r="CAH10" s="1221"/>
      <c r="CAI10" s="1221"/>
      <c r="CAJ10" s="1221"/>
      <c r="CAK10" s="1221"/>
      <c r="CAL10" s="1221"/>
      <c r="CAM10" s="1221"/>
      <c r="CAN10" s="1221"/>
      <c r="CAO10" s="1221"/>
      <c r="CAP10" s="1221"/>
      <c r="CAQ10" s="1221"/>
      <c r="CAR10" s="1221"/>
      <c r="CAS10" s="1221"/>
      <c r="CAT10" s="1221"/>
      <c r="CAU10" s="1221"/>
      <c r="CAV10" s="1221"/>
      <c r="CAW10" s="1221"/>
      <c r="CAX10" s="1221"/>
      <c r="CAY10" s="1221"/>
      <c r="CAZ10" s="1221"/>
      <c r="CBA10" s="1221"/>
      <c r="CBB10" s="1221"/>
      <c r="CBC10" s="1221"/>
      <c r="CBD10" s="1221"/>
      <c r="CBE10" s="1221"/>
      <c r="CBF10" s="1221"/>
      <c r="CBG10" s="1221"/>
      <c r="CBH10" s="1221"/>
      <c r="CBI10" s="1221"/>
      <c r="CBJ10" s="1221"/>
      <c r="CBK10" s="1221"/>
      <c r="CBL10" s="1221"/>
      <c r="CBM10" s="1221"/>
      <c r="CBN10" s="1221"/>
      <c r="CBO10" s="1221"/>
      <c r="CBP10" s="1221"/>
      <c r="CBQ10" s="1221"/>
      <c r="CBR10" s="1221"/>
      <c r="CBS10" s="1221"/>
      <c r="CBT10" s="1221"/>
      <c r="CBU10" s="1221"/>
      <c r="CBV10" s="1221"/>
      <c r="CBW10" s="1221"/>
      <c r="CBX10" s="1221"/>
      <c r="CBY10" s="1221"/>
      <c r="CBZ10" s="1221"/>
      <c r="CCA10" s="1221"/>
      <c r="CCB10" s="1221"/>
      <c r="CCC10" s="1221"/>
      <c r="CCD10" s="1221"/>
      <c r="CCE10" s="1221"/>
      <c r="CCF10" s="1221"/>
      <c r="CCG10" s="1221"/>
      <c r="CCH10" s="1221"/>
      <c r="CCI10" s="1221"/>
      <c r="CCJ10" s="1221"/>
      <c r="CCK10" s="1221"/>
      <c r="CCL10" s="1221"/>
      <c r="CCM10" s="1221"/>
      <c r="CCN10" s="1221"/>
      <c r="CCO10" s="1221"/>
      <c r="CCP10" s="1221"/>
      <c r="CCQ10" s="1221"/>
      <c r="CCR10" s="1221"/>
      <c r="CCS10" s="1221"/>
      <c r="CCT10" s="1221"/>
      <c r="CCU10" s="1221"/>
      <c r="CCV10" s="1221"/>
      <c r="CCW10" s="1221"/>
      <c r="CCX10" s="1221"/>
      <c r="CCY10" s="1221"/>
      <c r="CCZ10" s="1221"/>
      <c r="CDA10" s="1221"/>
      <c r="CDB10" s="1221"/>
      <c r="CDC10" s="1221"/>
      <c r="CDD10" s="1221"/>
      <c r="CDE10" s="1221"/>
      <c r="CDF10" s="1221"/>
      <c r="CDG10" s="1221"/>
      <c r="CDH10" s="1221"/>
      <c r="CDI10" s="1221"/>
      <c r="CDJ10" s="1221"/>
      <c r="CDK10" s="1221"/>
      <c r="CDL10" s="1221"/>
      <c r="CDM10" s="1221"/>
      <c r="CDN10" s="1221"/>
      <c r="CDO10" s="1221"/>
      <c r="CDP10" s="1221"/>
      <c r="CDQ10" s="1221"/>
      <c r="CDR10" s="1221"/>
      <c r="CDS10" s="1221"/>
      <c r="CDT10" s="1221"/>
      <c r="CDU10" s="1221"/>
      <c r="CDV10" s="1221"/>
      <c r="CDW10" s="1221"/>
      <c r="CDX10" s="1221"/>
      <c r="CDY10" s="1221"/>
      <c r="CDZ10" s="1221"/>
      <c r="CEA10" s="1221"/>
      <c r="CEB10" s="1221"/>
      <c r="CEC10" s="1221"/>
      <c r="CED10" s="1221"/>
      <c r="CEE10" s="1221"/>
      <c r="CEF10" s="1221"/>
      <c r="CEG10" s="1221"/>
      <c r="CEH10" s="1221"/>
      <c r="CEI10" s="1221"/>
      <c r="CEJ10" s="1221"/>
      <c r="CEK10" s="1221"/>
      <c r="CEL10" s="1221"/>
      <c r="CEM10" s="1221"/>
      <c r="CEN10" s="1221"/>
      <c r="CEO10" s="1221"/>
      <c r="CEP10" s="1221"/>
      <c r="CEQ10" s="1221"/>
      <c r="CER10" s="1221"/>
      <c r="CES10" s="1221"/>
      <c r="CET10" s="1221"/>
      <c r="CEU10" s="1221"/>
      <c r="CEV10" s="1221"/>
      <c r="CEW10" s="1221"/>
      <c r="CEX10" s="1221"/>
      <c r="CEY10" s="1221"/>
      <c r="CEZ10" s="1221"/>
      <c r="CFA10" s="1221"/>
      <c r="CFB10" s="1221"/>
      <c r="CFC10" s="1221"/>
      <c r="CFD10" s="1221"/>
      <c r="CFE10" s="1221"/>
      <c r="CFF10" s="1221"/>
      <c r="CFG10" s="1221"/>
      <c r="CFH10" s="1221"/>
      <c r="CFI10" s="1221"/>
      <c r="CFJ10" s="1221"/>
      <c r="CFK10" s="1221"/>
      <c r="CFL10" s="1221"/>
      <c r="CFM10" s="1221"/>
      <c r="CFN10" s="1221"/>
      <c r="CFO10" s="1221"/>
      <c r="CFP10" s="1221"/>
      <c r="CFQ10" s="1221"/>
      <c r="CFR10" s="1221"/>
      <c r="CFS10" s="1221"/>
      <c r="CFT10" s="1221"/>
      <c r="CFU10" s="1221"/>
      <c r="CFV10" s="1221"/>
      <c r="CFW10" s="1221"/>
      <c r="CFX10" s="1221"/>
      <c r="CFY10" s="1221"/>
      <c r="CFZ10" s="1221"/>
      <c r="CGA10" s="1221"/>
      <c r="CGB10" s="1221"/>
      <c r="CGC10" s="1221"/>
      <c r="CGD10" s="1221"/>
      <c r="CGE10" s="1221"/>
      <c r="CGF10" s="1221"/>
      <c r="CGG10" s="1221"/>
      <c r="CGH10" s="1221"/>
      <c r="CGI10" s="1221"/>
      <c r="CGJ10" s="1221"/>
      <c r="CGK10" s="1221"/>
      <c r="CGL10" s="1221"/>
      <c r="CGM10" s="1221"/>
      <c r="CGN10" s="1221"/>
      <c r="CGO10" s="1221"/>
      <c r="CGP10" s="1221"/>
      <c r="CGQ10" s="1221"/>
      <c r="CGR10" s="1221"/>
      <c r="CGS10" s="1221"/>
      <c r="CGT10" s="1221"/>
      <c r="CGU10" s="1221"/>
      <c r="CGV10" s="1221"/>
      <c r="CGW10" s="1221"/>
      <c r="CGX10" s="1221"/>
      <c r="CGY10" s="1221"/>
      <c r="CGZ10" s="1221"/>
      <c r="CHA10" s="1221"/>
      <c r="CHB10" s="1221"/>
      <c r="CHC10" s="1221"/>
      <c r="CHD10" s="1221"/>
      <c r="CHE10" s="1221"/>
      <c r="CHF10" s="1221"/>
      <c r="CHG10" s="1221"/>
      <c r="CHH10" s="1221"/>
      <c r="CHI10" s="1221"/>
      <c r="CHJ10" s="1221"/>
      <c r="CHK10" s="1221"/>
      <c r="CHL10" s="1221"/>
      <c r="CHM10" s="1221"/>
      <c r="CHN10" s="1221"/>
      <c r="CHO10" s="1221"/>
      <c r="CHP10" s="1221"/>
      <c r="CHQ10" s="1221"/>
      <c r="CHR10" s="1221"/>
      <c r="CHS10" s="1221"/>
      <c r="CHT10" s="1221"/>
      <c r="CHU10" s="1221"/>
      <c r="CHV10" s="1221"/>
      <c r="CHW10" s="1221"/>
      <c r="CHX10" s="1221"/>
      <c r="CHY10" s="1221"/>
      <c r="CHZ10" s="1221"/>
      <c r="CIA10" s="1221"/>
      <c r="CIB10" s="1221"/>
      <c r="CIC10" s="1221"/>
      <c r="CID10" s="1221"/>
      <c r="CIE10" s="1221"/>
      <c r="CIF10" s="1221"/>
      <c r="CIG10" s="1221"/>
      <c r="CIH10" s="1221"/>
      <c r="CII10" s="1221"/>
      <c r="CIJ10" s="1221"/>
      <c r="CIK10" s="1221"/>
      <c r="CIL10" s="1221"/>
      <c r="CIM10" s="1221"/>
      <c r="CIN10" s="1221"/>
      <c r="CIO10" s="1221"/>
      <c r="CIP10" s="1221"/>
      <c r="CIQ10" s="1221"/>
      <c r="CIR10" s="1221"/>
      <c r="CIS10" s="1221"/>
      <c r="CIT10" s="1221"/>
      <c r="CIU10" s="1221"/>
      <c r="CIV10" s="1221"/>
      <c r="CIW10" s="1221"/>
      <c r="CIX10" s="1221"/>
      <c r="CIY10" s="1221"/>
      <c r="CIZ10" s="1221"/>
      <c r="CJA10" s="1221"/>
      <c r="CJB10" s="1221"/>
      <c r="CJC10" s="1221"/>
      <c r="CJD10" s="1221"/>
      <c r="CJE10" s="1221"/>
      <c r="CJF10" s="1221"/>
      <c r="CJG10" s="1221"/>
      <c r="CJH10" s="1221"/>
      <c r="CJI10" s="1221"/>
      <c r="CJJ10" s="1221"/>
      <c r="CJK10" s="1221"/>
      <c r="CJL10" s="1221"/>
      <c r="CJM10" s="1221"/>
      <c r="CJN10" s="1221"/>
      <c r="CJO10" s="1221"/>
      <c r="CJP10" s="1221"/>
      <c r="CJQ10" s="1221"/>
      <c r="CJR10" s="1221"/>
      <c r="CJS10" s="1221"/>
      <c r="CJT10" s="1221"/>
      <c r="CJU10" s="1221"/>
      <c r="CJV10" s="1221"/>
      <c r="CJW10" s="1221"/>
      <c r="CJX10" s="1221"/>
      <c r="CJY10" s="1221"/>
      <c r="CJZ10" s="1221"/>
      <c r="CKA10" s="1221"/>
      <c r="CKB10" s="1221"/>
      <c r="CKC10" s="1221"/>
      <c r="CKD10" s="1221"/>
      <c r="CKE10" s="1221"/>
      <c r="CKF10" s="1221"/>
      <c r="CKG10" s="1221"/>
      <c r="CKH10" s="1221"/>
      <c r="CKI10" s="1221"/>
      <c r="CKJ10" s="1221"/>
      <c r="CKK10" s="1221"/>
      <c r="CKL10" s="1221"/>
      <c r="CKM10" s="1221"/>
      <c r="CKN10" s="1221"/>
      <c r="CKO10" s="1221"/>
      <c r="CKP10" s="1221"/>
      <c r="CKQ10" s="1221"/>
      <c r="CKR10" s="1221"/>
      <c r="CKS10" s="1221"/>
      <c r="CKT10" s="1221"/>
      <c r="CKU10" s="1221"/>
      <c r="CKV10" s="1221"/>
      <c r="CKW10" s="1221"/>
      <c r="CKX10" s="1221"/>
      <c r="CKY10" s="1221"/>
      <c r="CKZ10" s="1221"/>
      <c r="CLA10" s="1221"/>
      <c r="CLB10" s="1221"/>
      <c r="CLC10" s="1221"/>
      <c r="CLD10" s="1221"/>
      <c r="CLE10" s="1221"/>
      <c r="CLF10" s="1221"/>
      <c r="CLG10" s="1221"/>
      <c r="CLH10" s="1221"/>
      <c r="CLI10" s="1221"/>
      <c r="CLJ10" s="1221"/>
      <c r="CLK10" s="1221"/>
      <c r="CLL10" s="1221"/>
      <c r="CLM10" s="1221"/>
      <c r="CLN10" s="1221"/>
      <c r="CLO10" s="1221"/>
      <c r="CLP10" s="1221"/>
      <c r="CLQ10" s="1221"/>
      <c r="CLR10" s="1221"/>
      <c r="CLS10" s="1221"/>
      <c r="CLT10" s="1221"/>
      <c r="CLU10" s="1221"/>
      <c r="CLV10" s="1221"/>
      <c r="CLW10" s="1221"/>
      <c r="CLX10" s="1221"/>
      <c r="CLY10" s="1221"/>
      <c r="CLZ10" s="1221"/>
      <c r="CMA10" s="1221"/>
      <c r="CMB10" s="1221"/>
      <c r="CMC10" s="1221"/>
      <c r="CMD10" s="1221"/>
      <c r="CME10" s="1221"/>
      <c r="CMF10" s="1221"/>
      <c r="CMG10" s="1221"/>
      <c r="CMH10" s="1221"/>
      <c r="CMI10" s="1221"/>
      <c r="CMJ10" s="1221"/>
      <c r="CMK10" s="1221"/>
      <c r="CML10" s="1221"/>
      <c r="CMM10" s="1221"/>
      <c r="CMN10" s="1221"/>
      <c r="CMO10" s="1221"/>
      <c r="CMP10" s="1221"/>
      <c r="CMQ10" s="1221"/>
      <c r="CMR10" s="1221"/>
      <c r="CMS10" s="1221"/>
      <c r="CMT10" s="1221"/>
      <c r="CMU10" s="1221"/>
      <c r="CMV10" s="1221"/>
      <c r="CMW10" s="1221"/>
      <c r="CMX10" s="1221"/>
      <c r="CMY10" s="1221"/>
      <c r="CMZ10" s="1221"/>
      <c r="CNA10" s="1221"/>
      <c r="CNB10" s="1221"/>
      <c r="CNC10" s="1221"/>
      <c r="CND10" s="1221"/>
      <c r="CNE10" s="1221"/>
      <c r="CNF10" s="1221"/>
      <c r="CNG10" s="1221"/>
      <c r="CNH10" s="1221"/>
      <c r="CNI10" s="1221"/>
      <c r="CNJ10" s="1221"/>
      <c r="CNK10" s="1221"/>
      <c r="CNL10" s="1221"/>
      <c r="CNM10" s="1221"/>
      <c r="CNN10" s="1221"/>
      <c r="CNO10" s="1221"/>
      <c r="CNP10" s="1221"/>
      <c r="CNQ10" s="1221"/>
      <c r="CNR10" s="1221"/>
      <c r="CNS10" s="1221"/>
      <c r="CNT10" s="1221"/>
      <c r="CNU10" s="1221"/>
      <c r="CNV10" s="1221"/>
      <c r="CNW10" s="1221"/>
      <c r="CNX10" s="1221"/>
      <c r="CNY10" s="1221"/>
      <c r="CNZ10" s="1221"/>
      <c r="COA10" s="1221"/>
      <c r="COB10" s="1221"/>
      <c r="COC10" s="1221"/>
      <c r="COD10" s="1221"/>
      <c r="COE10" s="1221"/>
      <c r="COF10" s="1221"/>
      <c r="COG10" s="1221"/>
      <c r="COH10" s="1221"/>
      <c r="COI10" s="1221"/>
      <c r="COJ10" s="1221"/>
      <c r="COK10" s="1221"/>
      <c r="COL10" s="1221"/>
      <c r="COM10" s="1221"/>
      <c r="CON10" s="1221"/>
      <c r="COO10" s="1221"/>
      <c r="COP10" s="1221"/>
      <c r="COQ10" s="1221"/>
      <c r="COR10" s="1221"/>
      <c r="COS10" s="1221"/>
      <c r="COT10" s="1221"/>
      <c r="COU10" s="1221"/>
      <c r="COV10" s="1221"/>
      <c r="COW10" s="1221"/>
      <c r="COX10" s="1221"/>
      <c r="COY10" s="1221"/>
      <c r="COZ10" s="1221"/>
      <c r="CPA10" s="1221"/>
      <c r="CPB10" s="1221"/>
      <c r="CPC10" s="1221"/>
      <c r="CPD10" s="1221"/>
      <c r="CPE10" s="1221"/>
      <c r="CPF10" s="1221"/>
      <c r="CPG10" s="1221"/>
      <c r="CPH10" s="1221"/>
      <c r="CPI10" s="1221"/>
      <c r="CPJ10" s="1221"/>
      <c r="CPK10" s="1221"/>
      <c r="CPL10" s="1221"/>
      <c r="CPM10" s="1221"/>
      <c r="CPN10" s="1221"/>
      <c r="CPO10" s="1221"/>
      <c r="CPP10" s="1221"/>
      <c r="CPQ10" s="1221"/>
      <c r="CPR10" s="1221"/>
      <c r="CPS10" s="1221"/>
      <c r="CPT10" s="1221"/>
      <c r="CPU10" s="1221"/>
      <c r="CPV10" s="1221"/>
      <c r="CPW10" s="1221"/>
      <c r="CPX10" s="1221"/>
      <c r="CPY10" s="1221"/>
      <c r="CPZ10" s="1221"/>
      <c r="CQA10" s="1221"/>
      <c r="CQB10" s="1221"/>
      <c r="CQC10" s="1221"/>
      <c r="CQD10" s="1221"/>
      <c r="CQE10" s="1221"/>
      <c r="CQF10" s="1221"/>
      <c r="CQG10" s="1221"/>
      <c r="CQH10" s="1221"/>
      <c r="CQI10" s="1221"/>
      <c r="CQJ10" s="1221"/>
      <c r="CQK10" s="1221"/>
      <c r="CQL10" s="1221"/>
      <c r="CQM10" s="1221"/>
      <c r="CQN10" s="1221"/>
      <c r="CQO10" s="1221"/>
      <c r="CQP10" s="1221"/>
      <c r="CQQ10" s="1221"/>
      <c r="CQR10" s="1221"/>
      <c r="CQS10" s="1221"/>
      <c r="CQT10" s="1221"/>
      <c r="CQU10" s="1221"/>
      <c r="CQV10" s="1221"/>
      <c r="CQW10" s="1221"/>
      <c r="CQX10" s="1221"/>
      <c r="CQY10" s="1221"/>
      <c r="CQZ10" s="1221"/>
      <c r="CRA10" s="1221"/>
      <c r="CRB10" s="1221"/>
      <c r="CRC10" s="1221"/>
      <c r="CRD10" s="1221"/>
      <c r="CRE10" s="1221"/>
      <c r="CRF10" s="1221"/>
      <c r="CRG10" s="1221"/>
      <c r="CRH10" s="1221"/>
      <c r="CRI10" s="1221"/>
      <c r="CRJ10" s="1221"/>
      <c r="CRK10" s="1221"/>
      <c r="CRL10" s="1221"/>
      <c r="CRM10" s="1221"/>
      <c r="CRN10" s="1221"/>
      <c r="CRO10" s="1221"/>
      <c r="CRP10" s="1221"/>
      <c r="CRQ10" s="1221"/>
      <c r="CRR10" s="1221"/>
      <c r="CRS10" s="1221"/>
      <c r="CRT10" s="1221"/>
      <c r="CRU10" s="1221"/>
      <c r="CRV10" s="1221"/>
      <c r="CRW10" s="1221"/>
      <c r="CRX10" s="1221"/>
      <c r="CRY10" s="1221"/>
      <c r="CRZ10" s="1221"/>
      <c r="CSA10" s="1221"/>
      <c r="CSB10" s="1221"/>
      <c r="CSC10" s="1221"/>
      <c r="CSD10" s="1221"/>
      <c r="CSE10" s="1221"/>
      <c r="CSF10" s="1221"/>
      <c r="CSG10" s="1221"/>
      <c r="CSH10" s="1221"/>
      <c r="CSI10" s="1221"/>
      <c r="CSJ10" s="1221"/>
      <c r="CSK10" s="1221"/>
      <c r="CSL10" s="1221"/>
      <c r="CSM10" s="1221"/>
      <c r="CSN10" s="1221"/>
      <c r="CSO10" s="1221"/>
      <c r="CSP10" s="1221"/>
      <c r="CSQ10" s="1221"/>
      <c r="CSR10" s="1221"/>
      <c r="CSS10" s="1221"/>
      <c r="CST10" s="1221"/>
      <c r="CSU10" s="1221"/>
      <c r="CSV10" s="1221"/>
      <c r="CSW10" s="1221"/>
      <c r="CSX10" s="1221"/>
      <c r="CSY10" s="1221"/>
      <c r="CSZ10" s="1221"/>
      <c r="CTA10" s="1221"/>
      <c r="CTB10" s="1221"/>
      <c r="CTC10" s="1221"/>
      <c r="CTD10" s="1221"/>
      <c r="CTE10" s="1221"/>
      <c r="CTF10" s="1221"/>
      <c r="CTG10" s="1221"/>
      <c r="CTH10" s="1221"/>
      <c r="CTI10" s="1221"/>
      <c r="CTJ10" s="1221"/>
      <c r="CTK10" s="1221"/>
      <c r="CTL10" s="1221"/>
      <c r="CTM10" s="1221"/>
      <c r="CTN10" s="1221"/>
      <c r="CTO10" s="1221"/>
      <c r="CTP10" s="1221"/>
      <c r="CTQ10" s="1221"/>
      <c r="CTR10" s="1221"/>
      <c r="CTS10" s="1221"/>
      <c r="CTT10" s="1221"/>
      <c r="CTU10" s="1221"/>
      <c r="CTV10" s="1221"/>
      <c r="CTW10" s="1221"/>
      <c r="CTX10" s="1221"/>
      <c r="CTY10" s="1221"/>
      <c r="CTZ10" s="1221"/>
      <c r="CUA10" s="1221"/>
      <c r="CUB10" s="1221"/>
      <c r="CUC10" s="1221"/>
      <c r="CUD10" s="1221"/>
      <c r="CUE10" s="1221"/>
      <c r="CUF10" s="1221"/>
      <c r="CUG10" s="1221"/>
      <c r="CUH10" s="1221"/>
      <c r="CUI10" s="1221"/>
      <c r="CUJ10" s="1221"/>
      <c r="CUK10" s="1221"/>
      <c r="CUL10" s="1221"/>
      <c r="CUM10" s="1221"/>
      <c r="CUN10" s="1221"/>
      <c r="CUO10" s="1221"/>
      <c r="CUP10" s="1221"/>
      <c r="CUQ10" s="1221"/>
      <c r="CUR10" s="1221"/>
      <c r="CUS10" s="1221"/>
      <c r="CUT10" s="1221"/>
      <c r="CUU10" s="1221"/>
      <c r="CUV10" s="1221"/>
      <c r="CUW10" s="1221"/>
      <c r="CUX10" s="1221"/>
      <c r="CUY10" s="1221"/>
      <c r="CUZ10" s="1221"/>
      <c r="CVA10" s="1221"/>
      <c r="CVB10" s="1221"/>
      <c r="CVC10" s="1221"/>
      <c r="CVD10" s="1221"/>
      <c r="CVE10" s="1221"/>
      <c r="CVF10" s="1221"/>
      <c r="CVG10" s="1221"/>
      <c r="CVH10" s="1221"/>
      <c r="CVI10" s="1221"/>
      <c r="CVJ10" s="1221"/>
      <c r="CVK10" s="1221"/>
      <c r="CVL10" s="1221"/>
      <c r="CVM10" s="1221"/>
      <c r="CVN10" s="1221"/>
      <c r="CVO10" s="1221"/>
      <c r="CVP10" s="1221"/>
      <c r="CVQ10" s="1221"/>
      <c r="CVR10" s="1221"/>
      <c r="CVS10" s="1221"/>
      <c r="CVT10" s="1221"/>
      <c r="CVU10" s="1221"/>
      <c r="CVV10" s="1221"/>
      <c r="CVW10" s="1221"/>
      <c r="CVX10" s="1221"/>
      <c r="CVY10" s="1221"/>
      <c r="CVZ10" s="1221"/>
      <c r="CWA10" s="1221"/>
      <c r="CWB10" s="1221"/>
      <c r="CWC10" s="1221"/>
      <c r="CWD10" s="1221"/>
      <c r="CWE10" s="1221"/>
      <c r="CWF10" s="1221"/>
      <c r="CWG10" s="1221"/>
      <c r="CWH10" s="1221"/>
      <c r="CWI10" s="1221"/>
      <c r="CWJ10" s="1221"/>
      <c r="CWK10" s="1221"/>
      <c r="CWL10" s="1221"/>
      <c r="CWM10" s="1221"/>
      <c r="CWN10" s="1221"/>
      <c r="CWO10" s="1221"/>
      <c r="CWP10" s="1221"/>
      <c r="CWQ10" s="1221"/>
      <c r="CWR10" s="1221"/>
      <c r="CWS10" s="1221"/>
      <c r="CWT10" s="1221"/>
      <c r="CWU10" s="1221"/>
      <c r="CWV10" s="1221"/>
      <c r="CWW10" s="1221"/>
      <c r="CWX10" s="1221"/>
      <c r="CWY10" s="1221"/>
      <c r="CWZ10" s="1221"/>
      <c r="CXA10" s="1221"/>
      <c r="CXB10" s="1221"/>
      <c r="CXC10" s="1221"/>
      <c r="CXD10" s="1221"/>
      <c r="CXE10" s="1221"/>
      <c r="CXF10" s="1221"/>
      <c r="CXG10" s="1221"/>
      <c r="CXH10" s="1221"/>
      <c r="CXI10" s="1221"/>
      <c r="CXJ10" s="1221"/>
      <c r="CXK10" s="1221"/>
      <c r="CXL10" s="1221"/>
      <c r="CXM10" s="1221"/>
      <c r="CXN10" s="1221"/>
      <c r="CXO10" s="1221"/>
      <c r="CXP10" s="1221"/>
      <c r="CXQ10" s="1221"/>
      <c r="CXR10" s="1221"/>
      <c r="CXS10" s="1221"/>
      <c r="CXT10" s="1221"/>
      <c r="CXU10" s="1221"/>
      <c r="CXV10" s="1221"/>
      <c r="CXW10" s="1221"/>
      <c r="CXX10" s="1221"/>
      <c r="CXY10" s="1221"/>
      <c r="CXZ10" s="1221"/>
      <c r="CYA10" s="1221"/>
      <c r="CYB10" s="1221"/>
      <c r="CYC10" s="1221"/>
      <c r="CYD10" s="1221"/>
      <c r="CYE10" s="1221"/>
      <c r="CYF10" s="1221"/>
      <c r="CYG10" s="1221"/>
      <c r="CYH10" s="1221"/>
      <c r="CYI10" s="1221"/>
      <c r="CYJ10" s="1221"/>
      <c r="CYK10" s="1221"/>
      <c r="CYL10" s="1221"/>
      <c r="CYM10" s="1221"/>
      <c r="CYN10" s="1221"/>
      <c r="CYO10" s="1221"/>
      <c r="CYP10" s="1221"/>
      <c r="CYQ10" s="1221"/>
      <c r="CYR10" s="1221"/>
      <c r="CYS10" s="1221"/>
      <c r="CYT10" s="1221"/>
      <c r="CYU10" s="1221"/>
      <c r="CYV10" s="1221"/>
      <c r="CYW10" s="1221"/>
      <c r="CYX10" s="1221"/>
      <c r="CYY10" s="1221"/>
      <c r="CYZ10" s="1221"/>
      <c r="CZA10" s="1221"/>
      <c r="CZB10" s="1221"/>
      <c r="CZC10" s="1221"/>
      <c r="CZD10" s="1221"/>
      <c r="CZE10" s="1221"/>
      <c r="CZF10" s="1221"/>
      <c r="CZG10" s="1221"/>
      <c r="CZH10" s="1221"/>
      <c r="CZI10" s="1221"/>
      <c r="CZJ10" s="1221"/>
      <c r="CZK10" s="1221"/>
      <c r="CZL10" s="1221"/>
      <c r="CZM10" s="1221"/>
      <c r="CZN10" s="1221"/>
      <c r="CZO10" s="1221"/>
      <c r="CZP10" s="1221"/>
      <c r="CZQ10" s="1221"/>
      <c r="CZR10" s="1221"/>
      <c r="CZS10" s="1221"/>
      <c r="CZT10" s="1221"/>
      <c r="CZU10" s="1221"/>
      <c r="CZV10" s="1221"/>
      <c r="CZW10" s="1221"/>
      <c r="CZX10" s="1221"/>
      <c r="CZY10" s="1221"/>
      <c r="CZZ10" s="1221"/>
      <c r="DAA10" s="1221"/>
      <c r="DAB10" s="1221"/>
      <c r="DAC10" s="1221"/>
      <c r="DAD10" s="1221"/>
      <c r="DAE10" s="1221"/>
      <c r="DAF10" s="1221"/>
      <c r="DAG10" s="1221"/>
      <c r="DAH10" s="1221"/>
      <c r="DAI10" s="1221"/>
      <c r="DAJ10" s="1221"/>
      <c r="DAK10" s="1221"/>
      <c r="DAL10" s="1221"/>
      <c r="DAM10" s="1221"/>
      <c r="DAN10" s="1221"/>
      <c r="DAO10" s="1221"/>
      <c r="DAP10" s="1221"/>
      <c r="DAQ10" s="1221"/>
      <c r="DAR10" s="1221"/>
      <c r="DAS10" s="1221"/>
      <c r="DAT10" s="1221"/>
      <c r="DAU10" s="1221"/>
      <c r="DAV10" s="1221"/>
      <c r="DAW10" s="1221"/>
      <c r="DAX10" s="1221"/>
      <c r="DAY10" s="1221"/>
      <c r="DAZ10" s="1221"/>
      <c r="DBA10" s="1221"/>
      <c r="DBB10" s="1221"/>
      <c r="DBC10" s="1221"/>
      <c r="DBD10" s="1221"/>
      <c r="DBE10" s="1221"/>
      <c r="DBF10" s="1221"/>
      <c r="DBG10" s="1221"/>
      <c r="DBH10" s="1221"/>
      <c r="DBI10" s="1221"/>
      <c r="DBJ10" s="1221"/>
      <c r="DBK10" s="1221"/>
      <c r="DBL10" s="1221"/>
      <c r="DBM10" s="1221"/>
      <c r="DBN10" s="1221"/>
      <c r="DBO10" s="1221"/>
      <c r="DBP10" s="1221"/>
      <c r="DBQ10" s="1221"/>
      <c r="DBR10" s="1221"/>
      <c r="DBS10" s="1221"/>
      <c r="DBT10" s="1221"/>
      <c r="DBU10" s="1221"/>
      <c r="DBV10" s="1221"/>
      <c r="DBW10" s="1221"/>
      <c r="DBX10" s="1221"/>
      <c r="DBY10" s="1221"/>
      <c r="DBZ10" s="1221"/>
      <c r="DCA10" s="1221"/>
      <c r="DCB10" s="1221"/>
      <c r="DCC10" s="1221"/>
      <c r="DCD10" s="1221"/>
      <c r="DCE10" s="1221"/>
      <c r="DCF10" s="1221"/>
      <c r="DCG10" s="1221"/>
      <c r="DCH10" s="1221"/>
      <c r="DCI10" s="1221"/>
      <c r="DCJ10" s="1221"/>
      <c r="DCK10" s="1221"/>
      <c r="DCL10" s="1221"/>
      <c r="DCM10" s="1221"/>
      <c r="DCN10" s="1221"/>
      <c r="DCO10" s="1221"/>
      <c r="DCP10" s="1221"/>
      <c r="DCQ10" s="1221"/>
      <c r="DCR10" s="1221"/>
      <c r="DCS10" s="1221"/>
      <c r="DCT10" s="1221"/>
      <c r="DCU10" s="1221"/>
      <c r="DCV10" s="1221"/>
      <c r="DCW10" s="1221"/>
      <c r="DCX10" s="1221"/>
      <c r="DCY10" s="1221"/>
      <c r="DCZ10" s="1221"/>
      <c r="DDA10" s="1221"/>
      <c r="DDB10" s="1221"/>
      <c r="DDC10" s="1221"/>
      <c r="DDD10" s="1221"/>
      <c r="DDE10" s="1221"/>
      <c r="DDF10" s="1221"/>
      <c r="DDG10" s="1221"/>
      <c r="DDH10" s="1221"/>
      <c r="DDI10" s="1221"/>
      <c r="DDJ10" s="1221"/>
      <c r="DDK10" s="1221"/>
      <c r="DDL10" s="1221"/>
      <c r="DDM10" s="1221"/>
      <c r="DDN10" s="1221"/>
      <c r="DDO10" s="1221"/>
      <c r="DDP10" s="1221"/>
      <c r="DDQ10" s="1221"/>
      <c r="DDR10" s="1221"/>
      <c r="DDS10" s="1221"/>
      <c r="DDT10" s="1221"/>
      <c r="DDU10" s="1221"/>
      <c r="DDV10" s="1221"/>
      <c r="DDW10" s="1221"/>
      <c r="DDX10" s="1221"/>
      <c r="DDY10" s="1221"/>
      <c r="DDZ10" s="1221"/>
      <c r="DEA10" s="1221"/>
      <c r="DEB10" s="1221"/>
      <c r="DEC10" s="1221"/>
      <c r="DED10" s="1221"/>
      <c r="DEE10" s="1221"/>
      <c r="DEF10" s="1221"/>
      <c r="DEG10" s="1221"/>
      <c r="DEH10" s="1221"/>
      <c r="DEI10" s="1221"/>
      <c r="DEJ10" s="1221"/>
      <c r="DEK10" s="1221"/>
      <c r="DEL10" s="1221"/>
      <c r="DEM10" s="1221"/>
      <c r="DEN10" s="1221"/>
      <c r="DEO10" s="1221"/>
      <c r="DEP10" s="1221"/>
      <c r="DEQ10" s="1221"/>
      <c r="DER10" s="1221"/>
      <c r="DES10" s="1221"/>
      <c r="DET10" s="1221"/>
      <c r="DEU10" s="1221"/>
      <c r="DEV10" s="1221"/>
      <c r="DEW10" s="1221"/>
      <c r="DEX10" s="1221"/>
      <c r="DEY10" s="1221"/>
      <c r="DEZ10" s="1221"/>
      <c r="DFA10" s="1221"/>
      <c r="DFB10" s="1221"/>
      <c r="DFC10" s="1221"/>
      <c r="DFD10" s="1221"/>
      <c r="DFE10" s="1221"/>
      <c r="DFF10" s="1221"/>
      <c r="DFG10" s="1221"/>
      <c r="DFH10" s="1221"/>
      <c r="DFI10" s="1221"/>
      <c r="DFJ10" s="1221"/>
      <c r="DFK10" s="1221"/>
      <c r="DFL10" s="1221"/>
      <c r="DFM10" s="1221"/>
      <c r="DFN10" s="1221"/>
      <c r="DFO10" s="1221"/>
      <c r="DFP10" s="1221"/>
      <c r="DFQ10" s="1221"/>
      <c r="DFR10" s="1221"/>
      <c r="DFS10" s="1221"/>
      <c r="DFT10" s="1221"/>
      <c r="DFU10" s="1221"/>
      <c r="DFV10" s="1221"/>
      <c r="DFW10" s="1221"/>
      <c r="DFX10" s="1221"/>
      <c r="DFY10" s="1221"/>
      <c r="DFZ10" s="1221"/>
      <c r="DGA10" s="1221"/>
      <c r="DGB10" s="1221"/>
      <c r="DGC10" s="1221"/>
      <c r="DGD10" s="1221"/>
      <c r="DGE10" s="1221"/>
      <c r="DGF10" s="1221"/>
      <c r="DGG10" s="1221"/>
      <c r="DGH10" s="1221"/>
      <c r="DGI10" s="1221"/>
      <c r="DGJ10" s="1221"/>
      <c r="DGK10" s="1221"/>
      <c r="DGL10" s="1221"/>
      <c r="DGM10" s="1221"/>
      <c r="DGN10" s="1221"/>
      <c r="DGO10" s="1221"/>
      <c r="DGP10" s="1221"/>
      <c r="DGQ10" s="1221"/>
      <c r="DGR10" s="1221"/>
      <c r="DGS10" s="1221"/>
      <c r="DGT10" s="1221"/>
      <c r="DGU10" s="1221"/>
      <c r="DGV10" s="1221"/>
      <c r="DGW10" s="1221"/>
      <c r="DGX10" s="1221"/>
      <c r="DGY10" s="1221"/>
      <c r="DGZ10" s="1221"/>
      <c r="DHA10" s="1221"/>
      <c r="DHB10" s="1221"/>
      <c r="DHC10" s="1221"/>
      <c r="DHD10" s="1221"/>
      <c r="DHE10" s="1221"/>
      <c r="DHF10" s="1221"/>
      <c r="DHG10" s="1221"/>
      <c r="DHH10" s="1221"/>
      <c r="DHI10" s="1221"/>
      <c r="DHJ10" s="1221"/>
      <c r="DHK10" s="1221"/>
      <c r="DHL10" s="1221"/>
      <c r="DHM10" s="1221"/>
      <c r="DHN10" s="1221"/>
      <c r="DHO10" s="1221"/>
      <c r="DHP10" s="1221"/>
      <c r="DHQ10" s="1221"/>
      <c r="DHR10" s="1221"/>
      <c r="DHS10" s="1221"/>
      <c r="DHT10" s="1221"/>
      <c r="DHU10" s="1221"/>
      <c r="DHV10" s="1221"/>
      <c r="DHW10" s="1221"/>
      <c r="DHX10" s="1221"/>
      <c r="DHY10" s="1221"/>
      <c r="DHZ10" s="1221"/>
      <c r="DIA10" s="1221"/>
      <c r="DIB10" s="1221"/>
      <c r="DIC10" s="1221"/>
      <c r="DID10" s="1221"/>
      <c r="DIE10" s="1221"/>
      <c r="DIF10" s="1221"/>
      <c r="DIG10" s="1221"/>
      <c r="DIH10" s="1221"/>
      <c r="DII10" s="1221"/>
      <c r="DIJ10" s="1221"/>
      <c r="DIK10" s="1221"/>
      <c r="DIL10" s="1221"/>
      <c r="DIM10" s="1221"/>
      <c r="DIN10" s="1221"/>
      <c r="DIO10" s="1221"/>
      <c r="DIP10" s="1221"/>
      <c r="DIQ10" s="1221"/>
      <c r="DIR10" s="1221"/>
      <c r="DIS10" s="1221"/>
      <c r="DIT10" s="1221"/>
      <c r="DIU10" s="1221"/>
      <c r="DIV10" s="1221"/>
      <c r="DIW10" s="1221"/>
      <c r="DIX10" s="1221"/>
      <c r="DIY10" s="1221"/>
      <c r="DIZ10" s="1221"/>
      <c r="DJA10" s="1221"/>
      <c r="DJB10" s="1221"/>
      <c r="DJC10" s="1221"/>
      <c r="DJD10" s="1221"/>
      <c r="DJE10" s="1221"/>
      <c r="DJF10" s="1221"/>
      <c r="DJG10" s="1221"/>
      <c r="DJH10" s="1221"/>
      <c r="DJI10" s="1221"/>
      <c r="DJJ10" s="1221"/>
      <c r="DJK10" s="1221"/>
      <c r="DJL10" s="1221"/>
      <c r="DJM10" s="1221"/>
      <c r="DJN10" s="1221"/>
      <c r="DJO10" s="1221"/>
      <c r="DJP10" s="1221"/>
      <c r="DJQ10" s="1221"/>
      <c r="DJR10" s="1221"/>
      <c r="DJS10" s="1221"/>
      <c r="DJT10" s="1221"/>
      <c r="DJU10" s="1221"/>
      <c r="DJV10" s="1221"/>
      <c r="DJW10" s="1221"/>
      <c r="DJX10" s="1221"/>
      <c r="DJY10" s="1221"/>
      <c r="DJZ10" s="1221"/>
      <c r="DKA10" s="1221"/>
      <c r="DKB10" s="1221"/>
      <c r="DKC10" s="1221"/>
      <c r="DKD10" s="1221"/>
      <c r="DKE10" s="1221"/>
      <c r="DKF10" s="1221"/>
      <c r="DKG10" s="1221"/>
      <c r="DKH10" s="1221"/>
      <c r="DKI10" s="1221"/>
      <c r="DKJ10" s="1221"/>
      <c r="DKK10" s="1221"/>
      <c r="DKL10" s="1221"/>
      <c r="DKM10" s="1221"/>
      <c r="DKN10" s="1221"/>
      <c r="DKO10" s="1221"/>
      <c r="DKP10" s="1221"/>
      <c r="DKQ10" s="1221"/>
      <c r="DKR10" s="1221"/>
      <c r="DKS10" s="1221"/>
      <c r="DKT10" s="1221"/>
      <c r="DKU10" s="1221"/>
      <c r="DKV10" s="1221"/>
      <c r="DKW10" s="1221"/>
      <c r="DKX10" s="1221"/>
      <c r="DKY10" s="1221"/>
      <c r="DKZ10" s="1221"/>
      <c r="DLA10" s="1221"/>
      <c r="DLB10" s="1221"/>
      <c r="DLC10" s="1221"/>
      <c r="DLD10" s="1221"/>
      <c r="DLE10" s="1221"/>
      <c r="DLF10" s="1221"/>
      <c r="DLG10" s="1221"/>
      <c r="DLH10" s="1221"/>
      <c r="DLI10" s="1221"/>
      <c r="DLJ10" s="1221"/>
      <c r="DLK10" s="1221"/>
      <c r="DLL10" s="1221"/>
      <c r="DLM10" s="1221"/>
      <c r="DLN10" s="1221"/>
      <c r="DLO10" s="1221"/>
      <c r="DLP10" s="1221"/>
      <c r="DLQ10" s="1221"/>
      <c r="DLR10" s="1221"/>
      <c r="DLS10" s="1221"/>
      <c r="DLT10" s="1221"/>
      <c r="DLU10" s="1221"/>
      <c r="DLV10" s="1221"/>
      <c r="DLW10" s="1221"/>
      <c r="DLX10" s="1221"/>
      <c r="DLY10" s="1221"/>
      <c r="DLZ10" s="1221"/>
      <c r="DMA10" s="1221"/>
      <c r="DMB10" s="1221"/>
      <c r="DMC10" s="1221"/>
      <c r="DMD10" s="1221"/>
      <c r="DME10" s="1221"/>
      <c r="DMF10" s="1221"/>
      <c r="DMG10" s="1221"/>
      <c r="DMH10" s="1221"/>
      <c r="DMI10" s="1221"/>
      <c r="DMJ10" s="1221"/>
      <c r="DMK10" s="1221"/>
      <c r="DML10" s="1221"/>
      <c r="DMM10" s="1221"/>
      <c r="DMN10" s="1221"/>
      <c r="DMO10" s="1221"/>
      <c r="DMP10" s="1221"/>
      <c r="DMQ10" s="1221"/>
      <c r="DMR10" s="1221"/>
      <c r="DMS10" s="1221"/>
      <c r="DMT10" s="1221"/>
      <c r="DMU10" s="1221"/>
      <c r="DMV10" s="1221"/>
      <c r="DMW10" s="1221"/>
      <c r="DMX10" s="1221"/>
      <c r="DMY10" s="1221"/>
      <c r="DMZ10" s="1221"/>
      <c r="DNA10" s="1221"/>
      <c r="DNB10" s="1221"/>
      <c r="DNC10" s="1221"/>
      <c r="DND10" s="1221"/>
      <c r="DNE10" s="1221"/>
      <c r="DNF10" s="1221"/>
      <c r="DNG10" s="1221"/>
      <c r="DNH10" s="1221"/>
      <c r="DNI10" s="1221"/>
      <c r="DNJ10" s="1221"/>
      <c r="DNK10" s="1221"/>
      <c r="DNL10" s="1221"/>
      <c r="DNM10" s="1221"/>
      <c r="DNN10" s="1221"/>
      <c r="DNO10" s="1221"/>
      <c r="DNP10" s="1221"/>
      <c r="DNQ10" s="1221"/>
      <c r="DNR10" s="1221"/>
      <c r="DNS10" s="1221"/>
      <c r="DNT10" s="1221"/>
      <c r="DNU10" s="1221"/>
      <c r="DNV10" s="1221"/>
      <c r="DNW10" s="1221"/>
      <c r="DNX10" s="1221"/>
      <c r="DNY10" s="1221"/>
      <c r="DNZ10" s="1221"/>
      <c r="DOA10" s="1221"/>
      <c r="DOB10" s="1221"/>
      <c r="DOC10" s="1221"/>
      <c r="DOD10" s="1221"/>
      <c r="DOE10" s="1221"/>
      <c r="DOF10" s="1221"/>
      <c r="DOG10" s="1221"/>
      <c r="DOH10" s="1221"/>
      <c r="DOI10" s="1221"/>
      <c r="DOJ10" s="1221"/>
      <c r="DOK10" s="1221"/>
      <c r="DOL10" s="1221"/>
      <c r="DOM10" s="1221"/>
      <c r="DON10" s="1221"/>
      <c r="DOO10" s="1221"/>
      <c r="DOP10" s="1221"/>
      <c r="DOQ10" s="1221"/>
      <c r="DOR10" s="1221"/>
      <c r="DOS10" s="1221"/>
      <c r="DOT10" s="1221"/>
      <c r="DOU10" s="1221"/>
      <c r="DOV10" s="1221"/>
      <c r="DOW10" s="1221"/>
      <c r="DOX10" s="1221"/>
      <c r="DOY10" s="1221"/>
      <c r="DOZ10" s="1221"/>
      <c r="DPA10" s="1221"/>
      <c r="DPB10" s="1221"/>
      <c r="DPC10" s="1221"/>
      <c r="DPD10" s="1221"/>
      <c r="DPE10" s="1221"/>
      <c r="DPF10" s="1221"/>
      <c r="DPG10" s="1221"/>
      <c r="DPH10" s="1221"/>
      <c r="DPI10" s="1221"/>
      <c r="DPJ10" s="1221"/>
      <c r="DPK10" s="1221"/>
      <c r="DPL10" s="1221"/>
      <c r="DPM10" s="1221"/>
      <c r="DPN10" s="1221"/>
      <c r="DPO10" s="1221"/>
      <c r="DPP10" s="1221"/>
      <c r="DPQ10" s="1221"/>
      <c r="DPR10" s="1221"/>
      <c r="DPS10" s="1221"/>
      <c r="DPT10" s="1221"/>
      <c r="DPU10" s="1221"/>
      <c r="DPV10" s="1221"/>
      <c r="DPW10" s="1221"/>
      <c r="DPX10" s="1221"/>
      <c r="DPY10" s="1221"/>
      <c r="DPZ10" s="1221"/>
      <c r="DQA10" s="1221"/>
      <c r="DQB10" s="1221"/>
      <c r="DQC10" s="1221"/>
      <c r="DQD10" s="1221"/>
      <c r="DQE10" s="1221"/>
      <c r="DQF10" s="1221"/>
      <c r="DQG10" s="1221"/>
      <c r="DQH10" s="1221"/>
      <c r="DQI10" s="1221"/>
      <c r="DQJ10" s="1221"/>
      <c r="DQK10" s="1221"/>
      <c r="DQL10" s="1221"/>
      <c r="DQM10" s="1221"/>
      <c r="DQN10" s="1221"/>
      <c r="DQO10" s="1221"/>
      <c r="DQP10" s="1221"/>
      <c r="DQQ10" s="1221"/>
      <c r="DQR10" s="1221"/>
      <c r="DQS10" s="1221"/>
      <c r="DQT10" s="1221"/>
      <c r="DQU10" s="1221"/>
      <c r="DQV10" s="1221"/>
      <c r="DQW10" s="1221"/>
      <c r="DQX10" s="1221"/>
      <c r="DQY10" s="1221"/>
      <c r="DQZ10" s="1221"/>
      <c r="DRA10" s="1221"/>
      <c r="DRB10" s="1221"/>
      <c r="DRC10" s="1221"/>
      <c r="DRD10" s="1221"/>
      <c r="DRE10" s="1221"/>
      <c r="DRF10" s="1221"/>
      <c r="DRG10" s="1221"/>
      <c r="DRH10" s="1221"/>
      <c r="DRI10" s="1221"/>
      <c r="DRJ10" s="1221"/>
      <c r="DRK10" s="1221"/>
      <c r="DRL10" s="1221"/>
      <c r="DRM10" s="1221"/>
      <c r="DRN10" s="1221"/>
      <c r="DRO10" s="1221"/>
      <c r="DRP10" s="1221"/>
      <c r="DRQ10" s="1221"/>
      <c r="DRR10" s="1221"/>
      <c r="DRS10" s="1221"/>
      <c r="DRT10" s="1221"/>
      <c r="DRU10" s="1221"/>
      <c r="DRV10" s="1221"/>
      <c r="DRW10" s="1221"/>
      <c r="DRX10" s="1221"/>
      <c r="DRY10" s="1221"/>
      <c r="DRZ10" s="1221"/>
      <c r="DSA10" s="1221"/>
      <c r="DSB10" s="1221"/>
      <c r="DSC10" s="1221"/>
      <c r="DSD10" s="1221"/>
      <c r="DSE10" s="1221"/>
      <c r="DSF10" s="1221"/>
      <c r="DSG10" s="1221"/>
      <c r="DSH10" s="1221"/>
      <c r="DSI10" s="1221"/>
      <c r="DSJ10" s="1221"/>
      <c r="DSK10" s="1221"/>
      <c r="DSL10" s="1221"/>
      <c r="DSM10" s="1221"/>
      <c r="DSN10" s="1221"/>
      <c r="DSO10" s="1221"/>
      <c r="DSP10" s="1221"/>
      <c r="DSQ10" s="1221"/>
      <c r="DSR10" s="1221"/>
      <c r="DSS10" s="1221"/>
      <c r="DST10" s="1221"/>
      <c r="DSU10" s="1221"/>
      <c r="DSV10" s="1221"/>
      <c r="DSW10" s="1221"/>
      <c r="DSX10" s="1221"/>
      <c r="DSY10" s="1221"/>
      <c r="DSZ10" s="1221"/>
      <c r="DTA10" s="1221"/>
      <c r="DTB10" s="1221"/>
      <c r="DTC10" s="1221"/>
      <c r="DTD10" s="1221"/>
      <c r="DTE10" s="1221"/>
      <c r="DTF10" s="1221"/>
      <c r="DTG10" s="1221"/>
      <c r="DTH10" s="1221"/>
      <c r="DTI10" s="1221"/>
      <c r="DTJ10" s="1221"/>
      <c r="DTK10" s="1221"/>
      <c r="DTL10" s="1221"/>
      <c r="DTM10" s="1221"/>
      <c r="DTN10" s="1221"/>
      <c r="DTO10" s="1221"/>
      <c r="DTP10" s="1221"/>
      <c r="DTQ10" s="1221"/>
      <c r="DTR10" s="1221"/>
      <c r="DTS10" s="1221"/>
      <c r="DTT10" s="1221"/>
      <c r="DTU10" s="1221"/>
      <c r="DTV10" s="1221"/>
      <c r="DTW10" s="1221"/>
      <c r="DTX10" s="1221"/>
      <c r="DTY10" s="1221"/>
      <c r="DTZ10" s="1221"/>
      <c r="DUA10" s="1221"/>
      <c r="DUB10" s="1221"/>
      <c r="DUC10" s="1221"/>
      <c r="DUD10" s="1221"/>
      <c r="DUE10" s="1221"/>
      <c r="DUF10" s="1221"/>
      <c r="DUG10" s="1221"/>
      <c r="DUH10" s="1221"/>
      <c r="DUI10" s="1221"/>
      <c r="DUJ10" s="1221"/>
      <c r="DUK10" s="1221"/>
      <c r="DUL10" s="1221"/>
      <c r="DUM10" s="1221"/>
      <c r="DUN10" s="1221"/>
      <c r="DUO10" s="1221"/>
      <c r="DUP10" s="1221"/>
      <c r="DUQ10" s="1221"/>
      <c r="DUR10" s="1221"/>
      <c r="DUS10" s="1221"/>
      <c r="DUT10" s="1221"/>
      <c r="DUU10" s="1221"/>
      <c r="DUV10" s="1221"/>
      <c r="DUW10" s="1221"/>
      <c r="DUX10" s="1221"/>
      <c r="DUY10" s="1221"/>
      <c r="DUZ10" s="1221"/>
      <c r="DVA10" s="1221"/>
      <c r="DVB10" s="1221"/>
      <c r="DVC10" s="1221"/>
      <c r="DVD10" s="1221"/>
      <c r="DVE10" s="1221"/>
      <c r="DVF10" s="1221"/>
      <c r="DVG10" s="1221"/>
      <c r="DVH10" s="1221"/>
      <c r="DVI10" s="1221"/>
      <c r="DVJ10" s="1221"/>
      <c r="DVK10" s="1221"/>
      <c r="DVL10" s="1221"/>
      <c r="DVM10" s="1221"/>
      <c r="DVN10" s="1221"/>
      <c r="DVO10" s="1221"/>
      <c r="DVP10" s="1221"/>
      <c r="DVQ10" s="1221"/>
      <c r="DVR10" s="1221"/>
      <c r="DVS10" s="1221"/>
      <c r="DVT10" s="1221"/>
      <c r="DVU10" s="1221"/>
      <c r="DVV10" s="1221"/>
      <c r="DVW10" s="1221"/>
      <c r="DVX10" s="1221"/>
      <c r="DVY10" s="1221"/>
      <c r="DVZ10" s="1221"/>
      <c r="DWA10" s="1221"/>
      <c r="DWB10" s="1221"/>
      <c r="DWC10" s="1221"/>
      <c r="DWD10" s="1221"/>
      <c r="DWE10" s="1221"/>
      <c r="DWF10" s="1221"/>
      <c r="DWG10" s="1221"/>
      <c r="DWH10" s="1221"/>
      <c r="DWI10" s="1221"/>
      <c r="DWJ10" s="1221"/>
      <c r="DWK10" s="1221"/>
      <c r="DWL10" s="1221"/>
      <c r="DWM10" s="1221"/>
      <c r="DWN10" s="1221"/>
      <c r="DWO10" s="1221"/>
      <c r="DWP10" s="1221"/>
      <c r="DWQ10" s="1221"/>
      <c r="DWR10" s="1221"/>
      <c r="DWS10" s="1221"/>
      <c r="DWT10" s="1221"/>
      <c r="DWU10" s="1221"/>
      <c r="DWV10" s="1221"/>
      <c r="DWW10" s="1221"/>
      <c r="DWX10" s="1221"/>
      <c r="DWY10" s="1221"/>
      <c r="DWZ10" s="1221"/>
      <c r="DXA10" s="1221"/>
      <c r="DXB10" s="1221"/>
      <c r="DXC10" s="1221"/>
      <c r="DXD10" s="1221"/>
      <c r="DXE10" s="1221"/>
      <c r="DXF10" s="1221"/>
      <c r="DXG10" s="1221"/>
      <c r="DXH10" s="1221"/>
      <c r="DXI10" s="1221"/>
      <c r="DXJ10" s="1221"/>
      <c r="DXK10" s="1221"/>
      <c r="DXL10" s="1221"/>
      <c r="DXM10" s="1221"/>
      <c r="DXN10" s="1221"/>
      <c r="DXO10" s="1221"/>
      <c r="DXP10" s="1221"/>
      <c r="DXQ10" s="1221"/>
      <c r="DXR10" s="1221"/>
      <c r="DXS10" s="1221"/>
      <c r="DXT10" s="1221"/>
      <c r="DXU10" s="1221"/>
      <c r="DXV10" s="1221"/>
      <c r="DXW10" s="1221"/>
      <c r="DXX10" s="1221"/>
      <c r="DXY10" s="1221"/>
      <c r="DXZ10" s="1221"/>
      <c r="DYA10" s="1221"/>
      <c r="DYB10" s="1221"/>
      <c r="DYC10" s="1221"/>
      <c r="DYD10" s="1221"/>
      <c r="DYE10" s="1221"/>
      <c r="DYF10" s="1221"/>
      <c r="DYG10" s="1221"/>
      <c r="DYH10" s="1221"/>
      <c r="DYI10" s="1221"/>
      <c r="DYJ10" s="1221"/>
      <c r="DYK10" s="1221"/>
      <c r="DYL10" s="1221"/>
      <c r="DYM10" s="1221"/>
      <c r="DYN10" s="1221"/>
      <c r="DYO10" s="1221"/>
      <c r="DYP10" s="1221"/>
      <c r="DYQ10" s="1221"/>
      <c r="DYR10" s="1221"/>
      <c r="DYS10" s="1221"/>
      <c r="DYT10" s="1221"/>
      <c r="DYU10" s="1221"/>
      <c r="DYV10" s="1221"/>
      <c r="DYW10" s="1221"/>
      <c r="DYX10" s="1221"/>
      <c r="DYY10" s="1221"/>
      <c r="DYZ10" s="1221"/>
      <c r="DZA10" s="1221"/>
      <c r="DZB10" s="1221"/>
      <c r="DZC10" s="1221"/>
      <c r="DZD10" s="1221"/>
      <c r="DZE10" s="1221"/>
      <c r="DZF10" s="1221"/>
      <c r="DZG10" s="1221"/>
      <c r="DZH10" s="1221"/>
      <c r="DZI10" s="1221"/>
      <c r="DZJ10" s="1221"/>
      <c r="DZK10" s="1221"/>
      <c r="DZL10" s="1221"/>
      <c r="DZM10" s="1221"/>
      <c r="DZN10" s="1221"/>
      <c r="DZO10" s="1221"/>
      <c r="DZP10" s="1221"/>
      <c r="DZQ10" s="1221"/>
      <c r="DZR10" s="1221"/>
      <c r="DZS10" s="1221"/>
      <c r="DZT10" s="1221"/>
      <c r="DZU10" s="1221"/>
      <c r="DZV10" s="1221"/>
      <c r="DZW10" s="1221"/>
      <c r="DZX10" s="1221"/>
      <c r="DZY10" s="1221"/>
      <c r="DZZ10" s="1221"/>
      <c r="EAA10" s="1221"/>
      <c r="EAB10" s="1221"/>
      <c r="EAC10" s="1221"/>
      <c r="EAD10" s="1221"/>
      <c r="EAE10" s="1221"/>
      <c r="EAF10" s="1221"/>
      <c r="EAG10" s="1221"/>
      <c r="EAH10" s="1221"/>
      <c r="EAI10" s="1221"/>
      <c r="EAJ10" s="1221"/>
      <c r="EAK10" s="1221"/>
      <c r="EAL10" s="1221"/>
      <c r="EAM10" s="1221"/>
      <c r="EAN10" s="1221"/>
      <c r="EAO10" s="1221"/>
      <c r="EAP10" s="1221"/>
      <c r="EAQ10" s="1221"/>
      <c r="EAR10" s="1221"/>
      <c r="EAS10" s="1221"/>
      <c r="EAT10" s="1221"/>
      <c r="EAU10" s="1221"/>
      <c r="EAV10" s="1221"/>
      <c r="EAW10" s="1221"/>
      <c r="EAX10" s="1221"/>
      <c r="EAY10" s="1221"/>
      <c r="EAZ10" s="1221"/>
      <c r="EBA10" s="1221"/>
      <c r="EBB10" s="1221"/>
      <c r="EBC10" s="1221"/>
      <c r="EBD10" s="1221"/>
      <c r="EBE10" s="1221"/>
      <c r="EBF10" s="1221"/>
      <c r="EBG10" s="1221"/>
      <c r="EBH10" s="1221"/>
      <c r="EBI10" s="1221"/>
      <c r="EBJ10" s="1221"/>
      <c r="EBK10" s="1221"/>
      <c r="EBL10" s="1221"/>
      <c r="EBM10" s="1221"/>
      <c r="EBN10" s="1221"/>
      <c r="EBO10" s="1221"/>
      <c r="EBP10" s="1221"/>
      <c r="EBQ10" s="1221"/>
      <c r="EBR10" s="1221"/>
      <c r="EBS10" s="1221"/>
      <c r="EBT10" s="1221"/>
      <c r="EBU10" s="1221"/>
      <c r="EBV10" s="1221"/>
      <c r="EBW10" s="1221"/>
      <c r="EBX10" s="1221"/>
      <c r="EBY10" s="1221"/>
      <c r="EBZ10" s="1221"/>
      <c r="ECA10" s="1221"/>
      <c r="ECB10" s="1221"/>
      <c r="ECC10" s="1221"/>
      <c r="ECD10" s="1221"/>
      <c r="ECE10" s="1221"/>
      <c r="ECF10" s="1221"/>
      <c r="ECG10" s="1221"/>
      <c r="ECH10" s="1221"/>
      <c r="ECI10" s="1221"/>
      <c r="ECJ10" s="1221"/>
      <c r="ECK10" s="1221"/>
      <c r="ECL10" s="1221"/>
      <c r="ECM10" s="1221"/>
      <c r="ECN10" s="1221"/>
      <c r="ECO10" s="1221"/>
    </row>
    <row r="11" spans="1:3473" s="1237" customFormat="1" ht="13">
      <c r="B11" s="1238">
        <v>5001.0200000000004</v>
      </c>
      <c r="C11" s="1239" t="s">
        <v>27</v>
      </c>
      <c r="D11" s="1240" t="s">
        <v>480</v>
      </c>
      <c r="E11" s="1241">
        <f t="shared" si="4"/>
        <v>0</v>
      </c>
      <c r="F11" s="1241">
        <f t="shared" si="4"/>
        <v>0</v>
      </c>
      <c r="G11" s="1241">
        <f t="shared" si="4"/>
        <v>0</v>
      </c>
      <c r="H11" s="1241">
        <f t="shared" si="4"/>
        <v>1150.8439385203701</v>
      </c>
      <c r="I11" s="1241">
        <f t="shared" si="4"/>
        <v>1052.2520184147165</v>
      </c>
      <c r="J11" s="1241">
        <f t="shared" si="4"/>
        <v>98.591920105653912</v>
      </c>
      <c r="K11" s="1241">
        <f t="shared" si="4"/>
        <v>35.702751691404046</v>
      </c>
      <c r="L11" s="1241">
        <f t="shared" si="4"/>
        <v>31.595355526523264</v>
      </c>
      <c r="M11" s="1241">
        <f t="shared" si="4"/>
        <v>4.1073961648807851</v>
      </c>
      <c r="N11" s="1241" t="str">
        <f t="shared" si="4"/>
        <v/>
      </c>
      <c r="O11" s="1241" t="str">
        <f t="shared" si="4"/>
        <v/>
      </c>
      <c r="P11" s="1241" t="str">
        <f t="shared" si="4"/>
        <v/>
      </c>
      <c r="Q11" s="1241">
        <f t="shared" si="4"/>
        <v>1150.8439385203703</v>
      </c>
      <c r="R11" s="1241">
        <f t="shared" si="4"/>
        <v>1052.2520184147165</v>
      </c>
      <c r="S11" s="1241">
        <f t="shared" si="8"/>
        <v>98.591920105653912</v>
      </c>
      <c r="T11" s="1241">
        <f t="shared" si="5"/>
        <v>1150.8439385203706</v>
      </c>
      <c r="U11" s="1241">
        <f t="shared" si="5"/>
        <v>1052.2520184147165</v>
      </c>
      <c r="V11" s="1241">
        <f t="shared" si="9"/>
        <v>98.591920105653912</v>
      </c>
      <c r="W11" s="1241" t="str">
        <f t="shared" si="10"/>
        <v/>
      </c>
      <c r="X11" s="1241" t="str">
        <f t="shared" si="10"/>
        <v/>
      </c>
      <c r="Y11" s="1241" t="str">
        <f t="shared" si="10"/>
        <v/>
      </c>
      <c r="Z11" s="1242">
        <f t="shared" si="11"/>
        <v>868.6805805913807</v>
      </c>
      <c r="AA11" s="1242">
        <f t="shared" si="11"/>
        <v>794.18954842410869</v>
      </c>
      <c r="AB11" s="1242">
        <f t="shared" si="11"/>
        <v>74.491032167272053</v>
      </c>
      <c r="AC11" s="1242">
        <f t="shared" si="15"/>
        <v>1154.0926815383193</v>
      </c>
      <c r="AD11" s="1243">
        <f t="shared" si="15"/>
        <v>1055.1270122402238</v>
      </c>
      <c r="AE11" s="1243">
        <f t="shared" si="15"/>
        <v>98.96566929809552</v>
      </c>
      <c r="AF11" s="1244">
        <f>SUM(AF12:AF15)</f>
        <v>0</v>
      </c>
      <c r="AG11" s="1245">
        <f t="shared" ref="AG11:BL11" si="16">SUM(AG12:AG15)</f>
        <v>0</v>
      </c>
      <c r="AH11" s="1245">
        <f t="shared" si="16"/>
        <v>0</v>
      </c>
      <c r="AI11" s="1245">
        <f t="shared" si="16"/>
        <v>4968.6478659481536</v>
      </c>
      <c r="AJ11" s="1245">
        <f t="shared" si="16"/>
        <v>4542.9876030436044</v>
      </c>
      <c r="AK11" s="1245">
        <f t="shared" si="16"/>
        <v>425.66026290454965</v>
      </c>
      <c r="AL11" s="1245">
        <f t="shared" si="16"/>
        <v>33.594361393019874</v>
      </c>
      <c r="AM11" s="1245">
        <f t="shared" si="16"/>
        <v>29.729523401259957</v>
      </c>
      <c r="AN11" s="1245">
        <f t="shared" si="16"/>
        <v>3.8648379917599143</v>
      </c>
      <c r="AO11" s="1245">
        <f t="shared" si="16"/>
        <v>0</v>
      </c>
      <c r="AP11" s="1245">
        <f t="shared" si="16"/>
        <v>0</v>
      </c>
      <c r="AQ11" s="1245">
        <f t="shared" si="16"/>
        <v>0</v>
      </c>
      <c r="AR11" s="1245">
        <f t="shared" si="16"/>
        <v>6810.0476538701032</v>
      </c>
      <c r="AS11" s="1245">
        <f t="shared" si="16"/>
        <v>6226.6360793439426</v>
      </c>
      <c r="AT11" s="1245">
        <f t="shared" si="16"/>
        <v>583.41157452616051</v>
      </c>
      <c r="AU11" s="1245">
        <f t="shared" si="16"/>
        <v>121.8663171817376</v>
      </c>
      <c r="AV11" s="1245">
        <f t="shared" si="16"/>
        <v>111.42612298598958</v>
      </c>
      <c r="AW11" s="1245">
        <f t="shared" si="16"/>
        <v>10.44019419574801</v>
      </c>
      <c r="AX11" s="1245"/>
      <c r="AY11" s="1245"/>
      <c r="AZ11" s="1245"/>
      <c r="BA11" s="1245">
        <f t="shared" si="16"/>
        <v>11934.156198393019</v>
      </c>
      <c r="BB11" s="1245">
        <f t="shared" si="16"/>
        <v>10910.779328774801</v>
      </c>
      <c r="BC11" s="1245">
        <f t="shared" si="16"/>
        <v>1023.3768696182182</v>
      </c>
      <c r="BD11" s="1245">
        <f t="shared" si="16"/>
        <v>0</v>
      </c>
      <c r="BE11" s="1245">
        <f t="shared" si="16"/>
        <v>0</v>
      </c>
      <c r="BF11" s="1245">
        <f t="shared" si="16"/>
        <v>0</v>
      </c>
      <c r="BG11" s="1245">
        <f t="shared" si="16"/>
        <v>0</v>
      </c>
      <c r="BH11" s="1245">
        <f t="shared" si="16"/>
        <v>0</v>
      </c>
      <c r="BI11" s="1245">
        <f t="shared" si="16"/>
        <v>0</v>
      </c>
      <c r="BJ11" s="1245">
        <f t="shared" si="16"/>
        <v>11934.156198393019</v>
      </c>
      <c r="BK11" s="1245">
        <f t="shared" si="16"/>
        <v>10910.779328774801</v>
      </c>
      <c r="BL11" s="1245">
        <f t="shared" si="16"/>
        <v>1023.3768696182182</v>
      </c>
      <c r="BM11" s="1246"/>
      <c r="BN11" s="1225">
        <f t="shared" si="12"/>
        <v>0</v>
      </c>
      <c r="BO11" s="1225">
        <f t="shared" si="13"/>
        <v>-5.4569682106375694E-12</v>
      </c>
      <c r="BP11" s="1225">
        <f t="shared" si="14"/>
        <v>0</v>
      </c>
      <c r="BQ11" s="1247"/>
      <c r="BR11" s="1247"/>
      <c r="BS11" s="1247"/>
      <c r="BT11" s="1247"/>
      <c r="BU11" s="1247"/>
      <c r="BV11" s="1247"/>
      <c r="BW11" s="1247"/>
      <c r="BX11" s="1247"/>
      <c r="BY11" s="1247"/>
      <c r="BZ11" s="1247"/>
      <c r="CA11" s="1247"/>
      <c r="CB11" s="1247"/>
      <c r="CC11" s="1247"/>
      <c r="CD11" s="1247"/>
      <c r="CE11" s="1247"/>
      <c r="CF11" s="1247"/>
      <c r="CG11" s="1247"/>
      <c r="CH11" s="1247"/>
      <c r="CI11" s="1247"/>
      <c r="CJ11" s="1247"/>
      <c r="CK11" s="1247"/>
      <c r="CL11" s="1247"/>
      <c r="CM11" s="1247"/>
      <c r="CN11" s="1247"/>
      <c r="CO11" s="1247"/>
      <c r="CP11" s="1247"/>
      <c r="CQ11" s="1247"/>
      <c r="CR11" s="1247"/>
      <c r="CS11" s="1247"/>
      <c r="CT11" s="1247"/>
      <c r="CU11" s="1247"/>
      <c r="CV11" s="1247"/>
      <c r="CW11" s="1247"/>
      <c r="CX11" s="1247"/>
      <c r="CY11" s="1247"/>
      <c r="CZ11" s="1247"/>
      <c r="DA11" s="1247"/>
      <c r="DB11" s="1247"/>
      <c r="DC11" s="1247"/>
      <c r="DD11" s="1247"/>
      <c r="DE11" s="1247"/>
      <c r="DF11" s="1247"/>
      <c r="DG11" s="1247"/>
      <c r="DH11" s="1247"/>
      <c r="DI11" s="1247"/>
      <c r="DJ11" s="1247"/>
      <c r="DK11" s="1247"/>
      <c r="DL11" s="1247"/>
      <c r="DM11" s="1247"/>
      <c r="DN11" s="1247"/>
      <c r="DO11" s="1247"/>
      <c r="DP11" s="1247"/>
      <c r="DQ11" s="1247"/>
      <c r="DR11" s="1247"/>
      <c r="DS11" s="1247"/>
      <c r="DT11" s="1247"/>
      <c r="DU11" s="1247"/>
      <c r="DV11" s="1247"/>
      <c r="DW11" s="1247"/>
      <c r="DX11" s="1247"/>
      <c r="DY11" s="1247"/>
      <c r="DZ11" s="1247"/>
      <c r="EA11" s="1247"/>
      <c r="EB11" s="1247"/>
      <c r="EC11" s="1247"/>
      <c r="ED11" s="1247"/>
      <c r="EE11" s="1247"/>
      <c r="EF11" s="1247"/>
      <c r="EG11" s="1247"/>
      <c r="EH11" s="1247"/>
      <c r="EI11" s="1247"/>
      <c r="EJ11" s="1247"/>
      <c r="EK11" s="1247"/>
      <c r="EL11" s="1247"/>
      <c r="EM11" s="1247"/>
      <c r="EN11" s="1247"/>
      <c r="EO11" s="1247"/>
      <c r="EP11" s="1247"/>
      <c r="EQ11" s="1247"/>
      <c r="ER11" s="1247"/>
      <c r="ES11" s="1247"/>
      <c r="ET11" s="1247"/>
      <c r="EU11" s="1247"/>
      <c r="EV11" s="1247"/>
      <c r="EW11" s="1247"/>
      <c r="EX11" s="1247"/>
      <c r="EY11" s="1247"/>
      <c r="EZ11" s="1247"/>
      <c r="FA11" s="1247"/>
      <c r="FB11" s="1247"/>
      <c r="FC11" s="1247"/>
      <c r="FD11" s="1247"/>
      <c r="FE11" s="1247"/>
      <c r="FF11" s="1247"/>
      <c r="FG11" s="1247"/>
      <c r="FH11" s="1247"/>
      <c r="FI11" s="1247"/>
      <c r="FJ11" s="1247"/>
      <c r="FK11" s="1247"/>
      <c r="FL11" s="1247"/>
      <c r="FM11" s="1247"/>
      <c r="FN11" s="1247"/>
      <c r="FO11" s="1247"/>
      <c r="FP11" s="1247"/>
      <c r="FQ11" s="1247"/>
      <c r="FR11" s="1247"/>
      <c r="FS11" s="1247"/>
      <c r="FT11" s="1247"/>
      <c r="FU11" s="1247"/>
      <c r="FV11" s="1247"/>
      <c r="FW11" s="1247"/>
      <c r="FX11" s="1247"/>
      <c r="FY11" s="1247"/>
      <c r="FZ11" s="1247"/>
      <c r="GA11" s="1247"/>
      <c r="GB11" s="1247"/>
      <c r="GC11" s="1247"/>
      <c r="GD11" s="1247"/>
      <c r="GE11" s="1247"/>
      <c r="GF11" s="1247"/>
      <c r="GG11" s="1247"/>
      <c r="GH11" s="1247"/>
      <c r="GI11" s="1247"/>
      <c r="GJ11" s="1247"/>
      <c r="GK11" s="1247"/>
      <c r="GL11" s="1247"/>
      <c r="GM11" s="1247"/>
      <c r="GN11" s="1247"/>
      <c r="GO11" s="1247"/>
      <c r="GP11" s="1247"/>
      <c r="GQ11" s="1247"/>
      <c r="GR11" s="1247"/>
      <c r="GS11" s="1247"/>
      <c r="GT11" s="1247"/>
      <c r="GU11" s="1247"/>
      <c r="GV11" s="1247"/>
      <c r="GW11" s="1247"/>
      <c r="GX11" s="1247"/>
      <c r="GY11" s="1247"/>
      <c r="GZ11" s="1247"/>
      <c r="HA11" s="1247"/>
      <c r="HB11" s="1247"/>
      <c r="HC11" s="1247"/>
      <c r="HD11" s="1247"/>
      <c r="HE11" s="1247"/>
      <c r="HF11" s="1247"/>
      <c r="HG11" s="1247"/>
      <c r="HH11" s="1247"/>
      <c r="HI11" s="1247"/>
      <c r="HJ11" s="1247"/>
      <c r="HK11" s="1247"/>
      <c r="HL11" s="1247"/>
      <c r="HM11" s="1247"/>
      <c r="HN11" s="1247"/>
      <c r="HO11" s="1247"/>
      <c r="HP11" s="1247"/>
      <c r="HQ11" s="1247"/>
      <c r="HR11" s="1247"/>
      <c r="HS11" s="1247"/>
      <c r="HT11" s="1247"/>
      <c r="HU11" s="1247"/>
      <c r="HV11" s="1247"/>
      <c r="HW11" s="1247"/>
      <c r="HX11" s="1247"/>
      <c r="HY11" s="1247"/>
      <c r="HZ11" s="1247"/>
      <c r="IA11" s="1247"/>
      <c r="IB11" s="1247"/>
      <c r="IC11" s="1247"/>
      <c r="ID11" s="1247"/>
      <c r="IE11" s="1247"/>
      <c r="IF11" s="1247"/>
      <c r="IG11" s="1247"/>
      <c r="IH11" s="1247"/>
      <c r="II11" s="1247"/>
      <c r="IJ11" s="1247"/>
      <c r="IK11" s="1247"/>
      <c r="IL11" s="1247"/>
      <c r="IM11" s="1247"/>
      <c r="IN11" s="1247"/>
      <c r="IO11" s="1247"/>
      <c r="IP11" s="1247"/>
      <c r="IQ11" s="1247"/>
      <c r="IR11" s="1247"/>
      <c r="IS11" s="1247"/>
      <c r="IT11" s="1247"/>
      <c r="IU11" s="1247"/>
      <c r="IV11" s="1247"/>
      <c r="IW11" s="1247"/>
      <c r="IX11" s="1247"/>
      <c r="IY11" s="1247"/>
      <c r="IZ11" s="1247"/>
      <c r="JA11" s="1247"/>
      <c r="JB11" s="1247"/>
      <c r="JC11" s="1247"/>
      <c r="JD11" s="1247"/>
      <c r="JE11" s="1247"/>
      <c r="JF11" s="1247"/>
      <c r="JG11" s="1247"/>
      <c r="JH11" s="1247"/>
      <c r="JI11" s="1247"/>
      <c r="JJ11" s="1247"/>
      <c r="JK11" s="1247"/>
      <c r="JL11" s="1247"/>
      <c r="JM11" s="1247"/>
      <c r="JN11" s="1247"/>
      <c r="JO11" s="1247"/>
      <c r="JP11" s="1247"/>
      <c r="JQ11" s="1247"/>
      <c r="JR11" s="1247"/>
      <c r="JS11" s="1247"/>
      <c r="JT11" s="1247"/>
      <c r="JU11" s="1247"/>
      <c r="JV11" s="1247"/>
      <c r="JW11" s="1247"/>
      <c r="JX11" s="1247"/>
      <c r="JY11" s="1247"/>
      <c r="JZ11" s="1247"/>
      <c r="KA11" s="1247"/>
      <c r="KB11" s="1247"/>
      <c r="KC11" s="1247"/>
      <c r="KD11" s="1247"/>
      <c r="KE11" s="1247"/>
      <c r="KF11" s="1247"/>
      <c r="KG11" s="1247"/>
      <c r="KH11" s="1247"/>
      <c r="KI11" s="1247"/>
      <c r="KJ11" s="1247"/>
      <c r="KK11" s="1247"/>
      <c r="KL11" s="1247"/>
      <c r="KM11" s="1247"/>
      <c r="KN11" s="1247"/>
      <c r="KO11" s="1247"/>
      <c r="KP11" s="1247"/>
      <c r="KQ11" s="1247"/>
      <c r="KR11" s="1247"/>
      <c r="KS11" s="1247"/>
      <c r="KT11" s="1247"/>
      <c r="KU11" s="1247"/>
      <c r="KV11" s="1247"/>
      <c r="KW11" s="1247"/>
      <c r="KX11" s="1247"/>
      <c r="KY11" s="1247"/>
      <c r="KZ11" s="1247"/>
      <c r="LA11" s="1247"/>
      <c r="LB11" s="1247"/>
      <c r="LC11" s="1247"/>
      <c r="LD11" s="1247"/>
      <c r="LE11" s="1247"/>
      <c r="LF11" s="1247"/>
      <c r="LG11" s="1247"/>
      <c r="LH11" s="1247"/>
      <c r="LI11" s="1247"/>
      <c r="LJ11" s="1247"/>
      <c r="LK11" s="1247"/>
      <c r="LL11" s="1247"/>
      <c r="LM11" s="1247"/>
      <c r="LN11" s="1247"/>
      <c r="LO11" s="1247"/>
      <c r="LP11" s="1247"/>
      <c r="LQ11" s="1247"/>
      <c r="LR11" s="1247"/>
      <c r="LS11" s="1247"/>
      <c r="LT11" s="1247"/>
      <c r="LU11" s="1247"/>
      <c r="LV11" s="1247"/>
      <c r="LW11" s="1247"/>
      <c r="LX11" s="1247"/>
      <c r="LY11" s="1247"/>
      <c r="LZ11" s="1247"/>
      <c r="MA11" s="1247"/>
      <c r="MB11" s="1247"/>
      <c r="MC11" s="1247"/>
      <c r="MD11" s="1247"/>
      <c r="ME11" s="1247"/>
      <c r="MF11" s="1247"/>
      <c r="MG11" s="1247"/>
      <c r="MH11" s="1247"/>
      <c r="MI11" s="1247"/>
      <c r="MJ11" s="1247"/>
      <c r="MK11" s="1247"/>
      <c r="ML11" s="1247"/>
      <c r="MM11" s="1247"/>
      <c r="MN11" s="1247"/>
      <c r="MO11" s="1247"/>
      <c r="MP11" s="1247"/>
      <c r="MQ11" s="1247"/>
      <c r="MR11" s="1247"/>
      <c r="MS11" s="1247"/>
      <c r="MT11" s="1247"/>
      <c r="MU11" s="1247"/>
      <c r="MV11" s="1247"/>
      <c r="MW11" s="1247"/>
      <c r="MX11" s="1247"/>
      <c r="MY11" s="1247"/>
      <c r="MZ11" s="1247"/>
      <c r="NA11" s="1247"/>
      <c r="NB11" s="1247"/>
      <c r="NC11" s="1247"/>
      <c r="ND11" s="1247"/>
      <c r="NE11" s="1247"/>
      <c r="NF11" s="1247"/>
      <c r="NG11" s="1247"/>
      <c r="NH11" s="1247"/>
      <c r="NI11" s="1247"/>
      <c r="NJ11" s="1247"/>
      <c r="NK11" s="1247"/>
      <c r="NL11" s="1247"/>
      <c r="NM11" s="1247"/>
      <c r="NN11" s="1247"/>
      <c r="NO11" s="1247"/>
      <c r="NP11" s="1247"/>
      <c r="NQ11" s="1247"/>
      <c r="NR11" s="1247"/>
      <c r="NS11" s="1247"/>
      <c r="NT11" s="1247"/>
      <c r="NU11" s="1247"/>
      <c r="NV11" s="1247"/>
      <c r="NW11" s="1247"/>
      <c r="NX11" s="1247"/>
      <c r="NY11" s="1247"/>
      <c r="NZ11" s="1247"/>
      <c r="OA11" s="1247"/>
      <c r="OB11" s="1247"/>
      <c r="OC11" s="1247"/>
      <c r="OD11" s="1247"/>
      <c r="OE11" s="1247"/>
      <c r="OF11" s="1247"/>
      <c r="OG11" s="1247"/>
      <c r="OH11" s="1247"/>
      <c r="OI11" s="1247"/>
      <c r="OJ11" s="1247"/>
      <c r="OK11" s="1247"/>
      <c r="OL11" s="1247"/>
      <c r="OM11" s="1247"/>
      <c r="ON11" s="1247"/>
      <c r="OO11" s="1247"/>
      <c r="OP11" s="1247"/>
      <c r="OQ11" s="1247"/>
      <c r="OR11" s="1247"/>
      <c r="OS11" s="1247"/>
      <c r="OT11" s="1247"/>
      <c r="OU11" s="1247"/>
      <c r="OV11" s="1247"/>
      <c r="OW11" s="1247"/>
      <c r="OX11" s="1247"/>
      <c r="OY11" s="1247"/>
      <c r="OZ11" s="1247"/>
      <c r="PA11" s="1247"/>
      <c r="PB11" s="1247"/>
      <c r="PC11" s="1247"/>
      <c r="PD11" s="1247"/>
      <c r="PE11" s="1247"/>
      <c r="PF11" s="1247"/>
      <c r="PG11" s="1247"/>
      <c r="PH11" s="1247"/>
      <c r="PI11" s="1247"/>
      <c r="PJ11" s="1247"/>
      <c r="PK11" s="1247"/>
      <c r="PL11" s="1247"/>
      <c r="PM11" s="1247"/>
      <c r="PN11" s="1247"/>
      <c r="PO11" s="1247"/>
      <c r="PP11" s="1247"/>
      <c r="PQ11" s="1247"/>
      <c r="PR11" s="1247"/>
      <c r="PS11" s="1247"/>
      <c r="PT11" s="1247"/>
      <c r="PU11" s="1247"/>
      <c r="PV11" s="1247"/>
      <c r="PW11" s="1247"/>
      <c r="PX11" s="1247"/>
      <c r="PY11" s="1247"/>
      <c r="PZ11" s="1247"/>
      <c r="QA11" s="1247"/>
      <c r="QB11" s="1247"/>
      <c r="QC11" s="1247"/>
      <c r="QD11" s="1247"/>
      <c r="QE11" s="1247"/>
      <c r="QF11" s="1247"/>
      <c r="QG11" s="1247"/>
      <c r="QH11" s="1247"/>
      <c r="QI11" s="1247"/>
      <c r="QJ11" s="1247"/>
      <c r="QK11" s="1247"/>
      <c r="QL11" s="1247"/>
      <c r="QM11" s="1247"/>
      <c r="QN11" s="1247"/>
      <c r="QO11" s="1247"/>
      <c r="QP11" s="1247"/>
      <c r="QQ11" s="1247"/>
      <c r="QR11" s="1247"/>
      <c r="QS11" s="1247"/>
      <c r="QT11" s="1247"/>
      <c r="QU11" s="1247"/>
      <c r="QV11" s="1247"/>
      <c r="QW11" s="1247"/>
      <c r="QX11" s="1247"/>
      <c r="QY11" s="1247"/>
      <c r="QZ11" s="1247"/>
      <c r="RA11" s="1247"/>
      <c r="RB11" s="1247"/>
      <c r="RC11" s="1247"/>
      <c r="RD11" s="1247"/>
      <c r="RE11" s="1247"/>
      <c r="RF11" s="1247"/>
      <c r="RG11" s="1247"/>
      <c r="RH11" s="1247"/>
      <c r="RI11" s="1247"/>
      <c r="RJ11" s="1247"/>
      <c r="RK11" s="1247"/>
      <c r="RL11" s="1247"/>
      <c r="RM11" s="1247"/>
      <c r="RN11" s="1247"/>
      <c r="RO11" s="1247"/>
      <c r="RP11" s="1247"/>
      <c r="RQ11" s="1247"/>
      <c r="RR11" s="1247"/>
      <c r="RS11" s="1247"/>
      <c r="RT11" s="1247"/>
      <c r="RU11" s="1247"/>
      <c r="RV11" s="1247"/>
      <c r="RW11" s="1247"/>
      <c r="RX11" s="1247"/>
      <c r="RY11" s="1247"/>
      <c r="RZ11" s="1247"/>
      <c r="SA11" s="1247"/>
      <c r="SB11" s="1247"/>
      <c r="SC11" s="1247"/>
      <c r="SD11" s="1247"/>
      <c r="SE11" s="1247"/>
      <c r="SF11" s="1247"/>
      <c r="SG11" s="1247"/>
      <c r="SH11" s="1247"/>
      <c r="SI11" s="1247"/>
      <c r="SJ11" s="1247"/>
      <c r="SK11" s="1247"/>
      <c r="SL11" s="1247"/>
      <c r="SM11" s="1247"/>
      <c r="SN11" s="1247"/>
      <c r="SO11" s="1247"/>
      <c r="SP11" s="1247"/>
      <c r="SQ11" s="1247"/>
      <c r="SR11" s="1247"/>
      <c r="SS11" s="1247"/>
      <c r="ST11" s="1247"/>
      <c r="SU11" s="1247"/>
      <c r="SV11" s="1247"/>
      <c r="SW11" s="1247"/>
      <c r="SX11" s="1247"/>
      <c r="SY11" s="1247"/>
      <c r="SZ11" s="1247"/>
      <c r="TA11" s="1247"/>
      <c r="TB11" s="1247"/>
      <c r="TC11" s="1247"/>
      <c r="TD11" s="1247"/>
      <c r="TE11" s="1247"/>
      <c r="TF11" s="1247"/>
      <c r="TG11" s="1247"/>
      <c r="TH11" s="1247"/>
      <c r="TI11" s="1247"/>
      <c r="TJ11" s="1247"/>
      <c r="TK11" s="1247"/>
      <c r="TL11" s="1247"/>
      <c r="TM11" s="1247"/>
      <c r="TN11" s="1247"/>
      <c r="TO11" s="1247"/>
      <c r="TP11" s="1247"/>
      <c r="TQ11" s="1247"/>
      <c r="TR11" s="1247"/>
      <c r="TS11" s="1247"/>
      <c r="TT11" s="1247"/>
      <c r="TU11" s="1247"/>
      <c r="TV11" s="1247"/>
      <c r="TW11" s="1247"/>
      <c r="TX11" s="1247"/>
      <c r="TY11" s="1247"/>
      <c r="TZ11" s="1247"/>
      <c r="UA11" s="1247"/>
      <c r="UB11" s="1247"/>
      <c r="UC11" s="1247"/>
      <c r="UD11" s="1247"/>
      <c r="UE11" s="1247"/>
      <c r="UF11" s="1247"/>
      <c r="UG11" s="1247"/>
      <c r="UH11" s="1247"/>
      <c r="UI11" s="1247"/>
      <c r="UJ11" s="1247"/>
      <c r="UK11" s="1247"/>
      <c r="UL11" s="1247"/>
      <c r="UM11" s="1247"/>
      <c r="UN11" s="1247"/>
      <c r="UO11" s="1247"/>
      <c r="UP11" s="1247"/>
      <c r="UQ11" s="1247"/>
      <c r="UR11" s="1247"/>
      <c r="US11" s="1247"/>
      <c r="UT11" s="1247"/>
      <c r="UU11" s="1247"/>
      <c r="UV11" s="1247"/>
      <c r="UW11" s="1247"/>
      <c r="UX11" s="1247"/>
      <c r="UY11" s="1247"/>
      <c r="UZ11" s="1247"/>
      <c r="VA11" s="1247"/>
      <c r="VB11" s="1247"/>
      <c r="VC11" s="1247"/>
      <c r="VD11" s="1247"/>
      <c r="VE11" s="1247"/>
      <c r="VF11" s="1247"/>
      <c r="VG11" s="1247"/>
      <c r="VH11" s="1247"/>
      <c r="VI11" s="1247"/>
      <c r="VJ11" s="1247"/>
      <c r="VK11" s="1247"/>
      <c r="VL11" s="1247"/>
      <c r="VM11" s="1247"/>
      <c r="VN11" s="1247"/>
      <c r="VO11" s="1247"/>
      <c r="VP11" s="1247"/>
      <c r="VQ11" s="1247"/>
      <c r="VR11" s="1247"/>
      <c r="VS11" s="1247"/>
      <c r="VT11" s="1247"/>
      <c r="VU11" s="1247"/>
      <c r="VV11" s="1247"/>
      <c r="VW11" s="1247"/>
      <c r="VX11" s="1247"/>
      <c r="VY11" s="1247"/>
      <c r="VZ11" s="1247"/>
      <c r="WA11" s="1247"/>
      <c r="WB11" s="1247"/>
      <c r="WC11" s="1247"/>
      <c r="WD11" s="1247"/>
      <c r="WE11" s="1247"/>
      <c r="WF11" s="1247"/>
      <c r="WG11" s="1247"/>
      <c r="WH11" s="1247"/>
      <c r="WI11" s="1247"/>
      <c r="WJ11" s="1247"/>
      <c r="WK11" s="1247"/>
      <c r="WL11" s="1247"/>
      <c r="WM11" s="1247"/>
      <c r="WN11" s="1247"/>
      <c r="WO11" s="1247"/>
      <c r="WP11" s="1247"/>
      <c r="WQ11" s="1247"/>
      <c r="WR11" s="1247"/>
      <c r="WS11" s="1247"/>
      <c r="WT11" s="1247"/>
      <c r="WU11" s="1247"/>
      <c r="WV11" s="1247"/>
      <c r="WW11" s="1247"/>
      <c r="WX11" s="1247"/>
      <c r="WY11" s="1247"/>
      <c r="WZ11" s="1247"/>
      <c r="XA11" s="1247"/>
      <c r="XB11" s="1247"/>
      <c r="XC11" s="1247"/>
      <c r="XD11" s="1247"/>
      <c r="XE11" s="1247"/>
      <c r="XF11" s="1247"/>
      <c r="XG11" s="1247"/>
      <c r="XH11" s="1247"/>
      <c r="XI11" s="1247"/>
      <c r="XJ11" s="1247"/>
      <c r="XK11" s="1247"/>
      <c r="XL11" s="1247"/>
      <c r="XM11" s="1247"/>
      <c r="XN11" s="1247"/>
      <c r="XO11" s="1247"/>
      <c r="XP11" s="1247"/>
      <c r="XQ11" s="1247"/>
      <c r="XR11" s="1247"/>
      <c r="XS11" s="1247"/>
      <c r="XT11" s="1247"/>
      <c r="XU11" s="1247"/>
      <c r="XV11" s="1247"/>
      <c r="XW11" s="1247"/>
      <c r="XX11" s="1247"/>
      <c r="XY11" s="1247"/>
      <c r="XZ11" s="1247"/>
      <c r="YA11" s="1247"/>
      <c r="YB11" s="1247"/>
      <c r="YC11" s="1247"/>
      <c r="YD11" s="1247"/>
      <c r="YE11" s="1247"/>
      <c r="YF11" s="1247"/>
      <c r="YG11" s="1247"/>
      <c r="YH11" s="1247"/>
      <c r="YI11" s="1247"/>
      <c r="YJ11" s="1247"/>
      <c r="YK11" s="1247"/>
      <c r="YL11" s="1247"/>
      <c r="YM11" s="1247"/>
      <c r="YN11" s="1247"/>
      <c r="YO11" s="1247"/>
      <c r="YP11" s="1247"/>
      <c r="YQ11" s="1247"/>
      <c r="YR11" s="1247"/>
      <c r="YS11" s="1247"/>
      <c r="YT11" s="1247"/>
      <c r="YU11" s="1247"/>
      <c r="YV11" s="1247"/>
      <c r="YW11" s="1247"/>
      <c r="YX11" s="1247"/>
      <c r="YY11" s="1247"/>
      <c r="YZ11" s="1247"/>
      <c r="ZA11" s="1247"/>
      <c r="ZB11" s="1247"/>
      <c r="ZC11" s="1247"/>
      <c r="ZD11" s="1247"/>
      <c r="ZE11" s="1247"/>
      <c r="ZF11" s="1247"/>
      <c r="ZG11" s="1247"/>
      <c r="ZH11" s="1247"/>
      <c r="ZI11" s="1247"/>
      <c r="ZJ11" s="1247"/>
      <c r="ZK11" s="1247"/>
      <c r="ZL11" s="1247"/>
      <c r="ZM11" s="1247"/>
      <c r="ZN11" s="1247"/>
      <c r="ZO11" s="1247"/>
      <c r="ZP11" s="1247"/>
      <c r="ZQ11" s="1247"/>
      <c r="ZR11" s="1247"/>
      <c r="ZS11" s="1247"/>
      <c r="ZT11" s="1247"/>
      <c r="ZU11" s="1247"/>
      <c r="ZV11" s="1247"/>
      <c r="ZW11" s="1247"/>
      <c r="ZX11" s="1247"/>
      <c r="ZY11" s="1247"/>
      <c r="ZZ11" s="1247"/>
      <c r="AAA11" s="1247"/>
      <c r="AAB11" s="1247"/>
      <c r="AAC11" s="1247"/>
      <c r="AAD11" s="1247"/>
      <c r="AAE11" s="1247"/>
      <c r="AAF11" s="1247"/>
      <c r="AAG11" s="1247"/>
      <c r="AAH11" s="1247"/>
      <c r="AAI11" s="1247"/>
      <c r="AAJ11" s="1247"/>
      <c r="AAK11" s="1247"/>
      <c r="AAL11" s="1247"/>
      <c r="AAM11" s="1247"/>
      <c r="AAN11" s="1247"/>
      <c r="AAO11" s="1247"/>
      <c r="AAP11" s="1247"/>
      <c r="AAQ11" s="1247"/>
      <c r="AAR11" s="1247"/>
      <c r="AAS11" s="1247"/>
      <c r="AAT11" s="1247"/>
      <c r="AAU11" s="1247"/>
      <c r="AAV11" s="1247"/>
      <c r="AAW11" s="1247"/>
      <c r="AAX11" s="1247"/>
      <c r="AAY11" s="1247"/>
      <c r="AAZ11" s="1247"/>
      <c r="ABA11" s="1247"/>
      <c r="ABB11" s="1247"/>
      <c r="ABC11" s="1247"/>
      <c r="ABD11" s="1247"/>
      <c r="ABE11" s="1247"/>
      <c r="ABF11" s="1247"/>
      <c r="ABG11" s="1247"/>
      <c r="ABH11" s="1247"/>
      <c r="ABI11" s="1247"/>
      <c r="ABJ11" s="1247"/>
      <c r="ABK11" s="1247"/>
      <c r="ABL11" s="1247"/>
      <c r="ABM11" s="1247"/>
      <c r="ABN11" s="1247"/>
      <c r="ABO11" s="1247"/>
      <c r="ABP11" s="1247"/>
      <c r="ABQ11" s="1247"/>
      <c r="ABR11" s="1247"/>
      <c r="ABS11" s="1247"/>
      <c r="ABT11" s="1247"/>
      <c r="ABU11" s="1247"/>
      <c r="ABV11" s="1247"/>
      <c r="ABW11" s="1247"/>
      <c r="ABX11" s="1247"/>
      <c r="ABY11" s="1247"/>
      <c r="ABZ11" s="1247"/>
      <c r="ACA11" s="1247"/>
      <c r="ACB11" s="1247"/>
      <c r="ACC11" s="1247"/>
      <c r="ACD11" s="1247"/>
      <c r="ACE11" s="1247"/>
      <c r="ACF11" s="1247"/>
      <c r="ACG11" s="1247"/>
      <c r="ACH11" s="1247"/>
      <c r="ACI11" s="1247"/>
      <c r="ACJ11" s="1247"/>
      <c r="ACK11" s="1247"/>
      <c r="ACL11" s="1247"/>
      <c r="ACM11" s="1247"/>
      <c r="ACN11" s="1247"/>
      <c r="ACO11" s="1247"/>
      <c r="ACP11" s="1247"/>
      <c r="ACQ11" s="1247"/>
      <c r="ACR11" s="1247"/>
      <c r="ACS11" s="1247"/>
      <c r="ACT11" s="1247"/>
      <c r="ACU11" s="1247"/>
      <c r="ACV11" s="1247"/>
      <c r="ACW11" s="1247"/>
      <c r="ACX11" s="1247"/>
      <c r="ACY11" s="1247"/>
      <c r="ACZ11" s="1247"/>
      <c r="ADA11" s="1247"/>
      <c r="ADB11" s="1247"/>
      <c r="ADC11" s="1247"/>
      <c r="ADD11" s="1247"/>
      <c r="ADE11" s="1247"/>
      <c r="ADF11" s="1247"/>
      <c r="ADG11" s="1247"/>
      <c r="ADH11" s="1247"/>
      <c r="ADI11" s="1247"/>
      <c r="ADJ11" s="1247"/>
      <c r="ADK11" s="1247"/>
      <c r="ADL11" s="1247"/>
      <c r="ADM11" s="1247"/>
      <c r="ADN11" s="1247"/>
      <c r="ADO11" s="1247"/>
      <c r="ADP11" s="1247"/>
      <c r="ADQ11" s="1247"/>
      <c r="ADR11" s="1247"/>
      <c r="ADS11" s="1247"/>
      <c r="ADT11" s="1247"/>
      <c r="ADU11" s="1247"/>
      <c r="ADV11" s="1247"/>
      <c r="ADW11" s="1247"/>
      <c r="ADX11" s="1247"/>
      <c r="ADY11" s="1247"/>
      <c r="ADZ11" s="1247"/>
      <c r="AEA11" s="1247"/>
      <c r="AEB11" s="1247"/>
      <c r="AEC11" s="1247"/>
      <c r="AED11" s="1247"/>
      <c r="AEE11" s="1247"/>
      <c r="AEF11" s="1247"/>
      <c r="AEG11" s="1247"/>
      <c r="AEH11" s="1247"/>
      <c r="AEI11" s="1247"/>
      <c r="AEJ11" s="1247"/>
      <c r="AEK11" s="1247"/>
      <c r="AEL11" s="1247"/>
      <c r="AEM11" s="1247"/>
      <c r="AEN11" s="1247"/>
      <c r="AEO11" s="1247"/>
      <c r="AEP11" s="1247"/>
      <c r="AEQ11" s="1247"/>
      <c r="AER11" s="1247"/>
      <c r="AES11" s="1247"/>
      <c r="AET11" s="1247"/>
      <c r="AEU11" s="1247"/>
      <c r="AEV11" s="1247"/>
      <c r="AEW11" s="1247"/>
      <c r="AEX11" s="1247"/>
      <c r="AEY11" s="1247"/>
      <c r="AEZ11" s="1247"/>
      <c r="AFA11" s="1247"/>
      <c r="AFB11" s="1247"/>
      <c r="AFC11" s="1247"/>
      <c r="AFD11" s="1247"/>
      <c r="AFE11" s="1247"/>
      <c r="AFF11" s="1247"/>
      <c r="AFG11" s="1247"/>
      <c r="AFH11" s="1247"/>
      <c r="AFI11" s="1247"/>
      <c r="AFJ11" s="1247"/>
      <c r="AFK11" s="1247"/>
      <c r="AFL11" s="1247"/>
      <c r="AFM11" s="1247"/>
      <c r="AFN11" s="1247"/>
      <c r="AFO11" s="1247"/>
      <c r="AFP11" s="1247"/>
      <c r="AFQ11" s="1247"/>
      <c r="AFR11" s="1247"/>
      <c r="AFS11" s="1247"/>
      <c r="AFT11" s="1247"/>
      <c r="AFU11" s="1247"/>
      <c r="AFV11" s="1247"/>
      <c r="AFW11" s="1247"/>
      <c r="AFX11" s="1247"/>
      <c r="AFY11" s="1247"/>
      <c r="AFZ11" s="1247"/>
      <c r="AGA11" s="1247"/>
      <c r="AGB11" s="1247"/>
      <c r="AGC11" s="1247"/>
      <c r="AGD11" s="1247"/>
      <c r="AGE11" s="1247"/>
      <c r="AGF11" s="1247"/>
      <c r="AGG11" s="1247"/>
      <c r="AGH11" s="1247"/>
      <c r="AGI11" s="1247"/>
      <c r="AGJ11" s="1247"/>
      <c r="AGK11" s="1247"/>
      <c r="AGL11" s="1247"/>
      <c r="AGM11" s="1247"/>
      <c r="AGN11" s="1247"/>
      <c r="AGO11" s="1247"/>
      <c r="AGP11" s="1247"/>
      <c r="AGQ11" s="1247"/>
      <c r="AGR11" s="1247"/>
      <c r="AGS11" s="1247"/>
      <c r="AGT11" s="1247"/>
      <c r="AGU11" s="1247"/>
      <c r="AGV11" s="1247"/>
      <c r="AGW11" s="1247"/>
      <c r="AGX11" s="1247"/>
      <c r="AGY11" s="1247"/>
      <c r="AGZ11" s="1247"/>
      <c r="AHA11" s="1247"/>
      <c r="AHB11" s="1247"/>
      <c r="AHC11" s="1247"/>
      <c r="AHD11" s="1247"/>
      <c r="AHE11" s="1247"/>
      <c r="AHF11" s="1247"/>
      <c r="AHG11" s="1247"/>
      <c r="AHH11" s="1247"/>
      <c r="AHI11" s="1247"/>
      <c r="AHJ11" s="1247"/>
      <c r="AHK11" s="1247"/>
      <c r="AHL11" s="1247"/>
      <c r="AHM11" s="1247"/>
      <c r="AHN11" s="1247"/>
      <c r="AHO11" s="1247"/>
      <c r="AHP11" s="1247"/>
      <c r="AHQ11" s="1247"/>
      <c r="AHR11" s="1247"/>
      <c r="AHS11" s="1247"/>
      <c r="AHT11" s="1247"/>
      <c r="AHU11" s="1247"/>
      <c r="AHV11" s="1247"/>
      <c r="AHW11" s="1247"/>
      <c r="AHX11" s="1247"/>
      <c r="AHY11" s="1247"/>
      <c r="AHZ11" s="1247"/>
      <c r="AIA11" s="1247"/>
      <c r="AIB11" s="1247"/>
      <c r="AIC11" s="1247"/>
      <c r="AID11" s="1247"/>
      <c r="AIE11" s="1247"/>
      <c r="AIF11" s="1247"/>
      <c r="AIG11" s="1247"/>
      <c r="AIH11" s="1247"/>
      <c r="AII11" s="1247"/>
      <c r="AIJ11" s="1247"/>
      <c r="AIK11" s="1247"/>
      <c r="AIL11" s="1247"/>
      <c r="AIM11" s="1247"/>
      <c r="AIN11" s="1247"/>
      <c r="AIO11" s="1247"/>
      <c r="AIP11" s="1247"/>
      <c r="AIQ11" s="1247"/>
      <c r="AIR11" s="1247"/>
      <c r="AIS11" s="1247"/>
      <c r="AIT11" s="1247"/>
      <c r="AIU11" s="1247"/>
      <c r="AIV11" s="1247"/>
      <c r="AIW11" s="1247"/>
      <c r="AIX11" s="1247"/>
      <c r="AIY11" s="1247"/>
      <c r="AIZ11" s="1247"/>
      <c r="AJA11" s="1247"/>
      <c r="AJB11" s="1247"/>
      <c r="AJC11" s="1247"/>
      <c r="AJD11" s="1247"/>
      <c r="AJE11" s="1247"/>
      <c r="AJF11" s="1247"/>
      <c r="AJG11" s="1247"/>
      <c r="AJH11" s="1247"/>
      <c r="AJI11" s="1247"/>
      <c r="AJJ11" s="1247"/>
      <c r="AJK11" s="1247"/>
      <c r="AJL11" s="1247"/>
      <c r="AJM11" s="1247"/>
      <c r="AJN11" s="1247"/>
      <c r="AJO11" s="1247"/>
      <c r="AJP11" s="1247"/>
      <c r="AJQ11" s="1247"/>
      <c r="AJR11" s="1247"/>
      <c r="AJS11" s="1247"/>
      <c r="AJT11" s="1247"/>
      <c r="AJU11" s="1247"/>
      <c r="AJV11" s="1247"/>
      <c r="AJW11" s="1247"/>
      <c r="AJX11" s="1247"/>
      <c r="AJY11" s="1247"/>
      <c r="AJZ11" s="1247"/>
      <c r="AKA11" s="1247"/>
      <c r="AKB11" s="1247"/>
      <c r="AKC11" s="1247"/>
      <c r="AKD11" s="1247"/>
      <c r="AKE11" s="1247"/>
      <c r="AKF11" s="1247"/>
      <c r="AKG11" s="1247"/>
      <c r="AKH11" s="1247"/>
      <c r="AKI11" s="1247"/>
      <c r="AKJ11" s="1247"/>
      <c r="AKK11" s="1247"/>
      <c r="AKL11" s="1247"/>
      <c r="AKM11" s="1247"/>
      <c r="AKN11" s="1247"/>
      <c r="AKO11" s="1247"/>
      <c r="AKP11" s="1247"/>
      <c r="AKQ11" s="1247"/>
      <c r="AKR11" s="1247"/>
      <c r="AKS11" s="1247"/>
      <c r="AKT11" s="1247"/>
      <c r="AKU11" s="1247"/>
      <c r="AKV11" s="1247"/>
      <c r="AKW11" s="1247"/>
      <c r="AKX11" s="1247"/>
      <c r="AKY11" s="1247"/>
      <c r="AKZ11" s="1247"/>
      <c r="ALA11" s="1247"/>
      <c r="ALB11" s="1247"/>
      <c r="ALC11" s="1247"/>
      <c r="ALD11" s="1247"/>
      <c r="ALE11" s="1247"/>
      <c r="ALF11" s="1247"/>
      <c r="ALG11" s="1247"/>
      <c r="ALH11" s="1247"/>
      <c r="ALI11" s="1247"/>
      <c r="ALJ11" s="1247"/>
      <c r="ALK11" s="1247"/>
      <c r="ALL11" s="1247"/>
      <c r="ALM11" s="1247"/>
      <c r="ALN11" s="1247"/>
      <c r="ALO11" s="1247"/>
      <c r="ALP11" s="1247"/>
      <c r="ALQ11" s="1247"/>
      <c r="ALR11" s="1247"/>
      <c r="ALS11" s="1247"/>
      <c r="ALT11" s="1247"/>
      <c r="ALU11" s="1247"/>
      <c r="ALV11" s="1247"/>
      <c r="ALW11" s="1247"/>
      <c r="ALX11" s="1247"/>
      <c r="ALY11" s="1247"/>
      <c r="ALZ11" s="1247"/>
      <c r="AMA11" s="1247"/>
      <c r="AMB11" s="1247"/>
      <c r="AMC11" s="1247"/>
      <c r="AMD11" s="1247"/>
      <c r="AME11" s="1247"/>
      <c r="AMF11" s="1247"/>
      <c r="AMG11" s="1247"/>
      <c r="AMH11" s="1247"/>
      <c r="AMI11" s="1247"/>
      <c r="AMJ11" s="1247"/>
      <c r="AMK11" s="1247"/>
      <c r="AML11" s="1247"/>
      <c r="AMM11" s="1247"/>
      <c r="AMN11" s="1247"/>
      <c r="AMO11" s="1247"/>
      <c r="AMP11" s="1247"/>
      <c r="AMQ11" s="1247"/>
      <c r="AMR11" s="1247"/>
      <c r="AMS11" s="1247"/>
      <c r="AMT11" s="1247"/>
      <c r="AMU11" s="1247"/>
      <c r="AMV11" s="1247"/>
      <c r="AMW11" s="1247"/>
      <c r="AMX11" s="1247"/>
      <c r="AMY11" s="1247"/>
      <c r="AMZ11" s="1247"/>
      <c r="ANA11" s="1247"/>
      <c r="ANB11" s="1247"/>
      <c r="ANC11" s="1247"/>
      <c r="AND11" s="1247"/>
      <c r="ANE11" s="1247"/>
      <c r="ANF11" s="1247"/>
      <c r="ANG11" s="1247"/>
      <c r="ANH11" s="1247"/>
      <c r="ANI11" s="1247"/>
      <c r="ANJ11" s="1247"/>
      <c r="ANK11" s="1247"/>
      <c r="ANL11" s="1247"/>
      <c r="ANM11" s="1247"/>
      <c r="ANN11" s="1247"/>
      <c r="ANO11" s="1247"/>
      <c r="ANP11" s="1247"/>
      <c r="ANQ11" s="1247"/>
      <c r="ANR11" s="1247"/>
      <c r="ANS11" s="1247"/>
      <c r="ANT11" s="1247"/>
      <c r="ANU11" s="1247"/>
      <c r="ANV11" s="1247"/>
      <c r="ANW11" s="1247"/>
      <c r="ANX11" s="1247"/>
      <c r="ANY11" s="1247"/>
      <c r="ANZ11" s="1247"/>
      <c r="AOA11" s="1247"/>
      <c r="AOB11" s="1247"/>
      <c r="AOC11" s="1247"/>
      <c r="AOD11" s="1247"/>
      <c r="AOE11" s="1247"/>
      <c r="AOF11" s="1247"/>
      <c r="AOG11" s="1247"/>
      <c r="AOH11" s="1247"/>
      <c r="AOI11" s="1247"/>
      <c r="AOJ11" s="1247"/>
      <c r="AOK11" s="1247"/>
      <c r="AOL11" s="1247"/>
      <c r="AOM11" s="1247"/>
      <c r="AON11" s="1247"/>
      <c r="AOO11" s="1247"/>
      <c r="AOP11" s="1247"/>
      <c r="AOQ11" s="1247"/>
      <c r="AOR11" s="1247"/>
      <c r="AOS11" s="1247"/>
      <c r="AOT11" s="1247"/>
      <c r="AOU11" s="1247"/>
      <c r="AOV11" s="1247"/>
      <c r="AOW11" s="1247"/>
      <c r="AOX11" s="1247"/>
      <c r="AOY11" s="1247"/>
      <c r="AOZ11" s="1247"/>
      <c r="APA11" s="1247"/>
      <c r="APB11" s="1247"/>
      <c r="APC11" s="1247"/>
      <c r="APD11" s="1247"/>
      <c r="APE11" s="1247"/>
      <c r="APF11" s="1247"/>
      <c r="APG11" s="1247"/>
      <c r="APH11" s="1247"/>
      <c r="API11" s="1247"/>
      <c r="APJ11" s="1247"/>
      <c r="APK11" s="1247"/>
      <c r="APL11" s="1247"/>
      <c r="APM11" s="1247"/>
      <c r="APN11" s="1247"/>
      <c r="APO11" s="1247"/>
      <c r="APP11" s="1247"/>
      <c r="APQ11" s="1247"/>
      <c r="APR11" s="1247"/>
      <c r="APS11" s="1247"/>
      <c r="APT11" s="1247"/>
      <c r="APU11" s="1247"/>
      <c r="APV11" s="1247"/>
      <c r="APW11" s="1247"/>
      <c r="APX11" s="1247"/>
      <c r="APY11" s="1247"/>
      <c r="APZ11" s="1247"/>
      <c r="AQA11" s="1247"/>
      <c r="AQB11" s="1247"/>
      <c r="AQC11" s="1247"/>
      <c r="AQD11" s="1247"/>
      <c r="AQE11" s="1247"/>
      <c r="AQF11" s="1247"/>
      <c r="AQG11" s="1247"/>
      <c r="AQH11" s="1247"/>
      <c r="AQI11" s="1247"/>
      <c r="AQJ11" s="1247"/>
      <c r="AQK11" s="1247"/>
      <c r="AQL11" s="1247"/>
      <c r="AQM11" s="1247"/>
      <c r="AQN11" s="1247"/>
      <c r="AQO11" s="1247"/>
      <c r="AQP11" s="1247"/>
      <c r="AQQ11" s="1247"/>
      <c r="AQR11" s="1247"/>
      <c r="AQS11" s="1247"/>
      <c r="AQT11" s="1247"/>
      <c r="AQU11" s="1247"/>
      <c r="AQV11" s="1247"/>
      <c r="AQW11" s="1247"/>
      <c r="AQX11" s="1247"/>
      <c r="AQY11" s="1247"/>
      <c r="AQZ11" s="1247"/>
      <c r="ARA11" s="1247"/>
      <c r="ARB11" s="1247"/>
      <c r="ARC11" s="1247"/>
      <c r="ARD11" s="1247"/>
      <c r="ARE11" s="1247"/>
      <c r="ARF11" s="1247"/>
      <c r="ARG11" s="1247"/>
      <c r="ARH11" s="1247"/>
      <c r="ARI11" s="1247"/>
      <c r="ARJ11" s="1247"/>
      <c r="ARK11" s="1247"/>
      <c r="ARL11" s="1247"/>
      <c r="ARM11" s="1247"/>
      <c r="ARN11" s="1247"/>
      <c r="ARO11" s="1247"/>
      <c r="ARP11" s="1247"/>
      <c r="ARQ11" s="1247"/>
      <c r="ARR11" s="1247"/>
      <c r="ARS11" s="1247"/>
      <c r="ART11" s="1247"/>
      <c r="ARU11" s="1247"/>
      <c r="ARV11" s="1247"/>
      <c r="ARW11" s="1247"/>
      <c r="ARX11" s="1247"/>
      <c r="ARY11" s="1247"/>
      <c r="ARZ11" s="1247"/>
      <c r="ASA11" s="1247"/>
      <c r="ASB11" s="1247"/>
      <c r="ASC11" s="1247"/>
      <c r="ASD11" s="1247"/>
      <c r="ASE11" s="1247"/>
      <c r="ASF11" s="1247"/>
      <c r="ASG11" s="1247"/>
      <c r="ASH11" s="1247"/>
      <c r="ASI11" s="1247"/>
      <c r="ASJ11" s="1247"/>
      <c r="ASK11" s="1247"/>
      <c r="ASL11" s="1247"/>
      <c r="ASM11" s="1247"/>
      <c r="ASN11" s="1247"/>
      <c r="ASO11" s="1247"/>
      <c r="ASP11" s="1247"/>
      <c r="ASQ11" s="1247"/>
      <c r="ASR11" s="1247"/>
      <c r="ASS11" s="1247"/>
      <c r="AST11" s="1247"/>
      <c r="ASU11" s="1247"/>
      <c r="ASV11" s="1247"/>
      <c r="ASW11" s="1247"/>
      <c r="ASX11" s="1247"/>
      <c r="ASY11" s="1247"/>
      <c r="ASZ11" s="1247"/>
      <c r="ATA11" s="1247"/>
      <c r="ATB11" s="1247"/>
      <c r="ATC11" s="1247"/>
      <c r="ATD11" s="1247"/>
      <c r="ATE11" s="1247"/>
      <c r="ATF11" s="1247"/>
      <c r="ATG11" s="1247"/>
      <c r="ATH11" s="1247"/>
      <c r="ATI11" s="1247"/>
      <c r="ATJ11" s="1247"/>
      <c r="ATK11" s="1247"/>
      <c r="ATL11" s="1247"/>
      <c r="ATM11" s="1247"/>
      <c r="ATN11" s="1247"/>
      <c r="ATO11" s="1247"/>
      <c r="ATP11" s="1247"/>
      <c r="ATQ11" s="1247"/>
      <c r="ATR11" s="1247"/>
      <c r="ATS11" s="1247"/>
      <c r="ATT11" s="1247"/>
      <c r="ATU11" s="1247"/>
      <c r="ATV11" s="1247"/>
      <c r="ATW11" s="1247"/>
      <c r="ATX11" s="1247"/>
      <c r="ATY11" s="1247"/>
      <c r="ATZ11" s="1247"/>
      <c r="AUA11" s="1247"/>
      <c r="AUB11" s="1247"/>
      <c r="AUC11" s="1247"/>
      <c r="AUD11" s="1247"/>
      <c r="AUE11" s="1247"/>
      <c r="AUF11" s="1247"/>
      <c r="AUG11" s="1247"/>
      <c r="AUH11" s="1247"/>
      <c r="AUI11" s="1247"/>
      <c r="AUJ11" s="1247"/>
      <c r="AUK11" s="1247"/>
      <c r="AUL11" s="1247"/>
      <c r="AUM11" s="1247"/>
      <c r="AUN11" s="1247"/>
      <c r="AUO11" s="1247"/>
      <c r="AUP11" s="1247"/>
      <c r="AUQ11" s="1247"/>
      <c r="AUR11" s="1247"/>
      <c r="AUS11" s="1247"/>
      <c r="AUT11" s="1247"/>
      <c r="AUU11" s="1247"/>
      <c r="AUV11" s="1247"/>
      <c r="AUW11" s="1247"/>
      <c r="AUX11" s="1247"/>
      <c r="AUY11" s="1247"/>
      <c r="AUZ11" s="1247"/>
      <c r="AVA11" s="1247"/>
      <c r="AVB11" s="1247"/>
      <c r="AVC11" s="1247"/>
      <c r="AVD11" s="1247"/>
      <c r="AVE11" s="1247"/>
      <c r="AVF11" s="1247"/>
      <c r="AVG11" s="1247"/>
      <c r="AVH11" s="1247"/>
      <c r="AVI11" s="1247"/>
      <c r="AVJ11" s="1247"/>
      <c r="AVK11" s="1247"/>
      <c r="AVL11" s="1247"/>
      <c r="AVM11" s="1247"/>
      <c r="AVN11" s="1247"/>
      <c r="AVO11" s="1247"/>
      <c r="AVP11" s="1247"/>
      <c r="AVQ11" s="1247"/>
      <c r="AVR11" s="1247"/>
      <c r="AVS11" s="1247"/>
      <c r="AVT11" s="1247"/>
      <c r="AVU11" s="1247"/>
      <c r="AVV11" s="1247"/>
      <c r="AVW11" s="1247"/>
      <c r="AVX11" s="1247"/>
      <c r="AVY11" s="1247"/>
      <c r="AVZ11" s="1247"/>
      <c r="AWA11" s="1247"/>
      <c r="AWB11" s="1247"/>
      <c r="AWC11" s="1247"/>
      <c r="AWD11" s="1247"/>
      <c r="AWE11" s="1247"/>
      <c r="AWF11" s="1247"/>
      <c r="AWG11" s="1247"/>
      <c r="AWH11" s="1247"/>
      <c r="AWI11" s="1247"/>
      <c r="AWJ11" s="1247"/>
      <c r="AWK11" s="1247"/>
      <c r="AWL11" s="1247"/>
      <c r="AWM11" s="1247"/>
      <c r="AWN11" s="1247"/>
      <c r="AWO11" s="1247"/>
      <c r="AWP11" s="1247"/>
      <c r="AWQ11" s="1247"/>
      <c r="AWR11" s="1247"/>
      <c r="AWS11" s="1247"/>
      <c r="AWT11" s="1247"/>
      <c r="AWU11" s="1247"/>
      <c r="AWV11" s="1247"/>
      <c r="AWW11" s="1247"/>
      <c r="AWX11" s="1247"/>
      <c r="AWY11" s="1247"/>
      <c r="AWZ11" s="1247"/>
      <c r="AXA11" s="1247"/>
      <c r="AXB11" s="1247"/>
      <c r="AXC11" s="1247"/>
      <c r="AXD11" s="1247"/>
      <c r="AXE11" s="1247"/>
      <c r="AXF11" s="1247"/>
      <c r="AXG11" s="1247"/>
      <c r="AXH11" s="1247"/>
      <c r="AXI11" s="1247"/>
      <c r="AXJ11" s="1247"/>
      <c r="AXK11" s="1247"/>
      <c r="AXL11" s="1247"/>
      <c r="AXM11" s="1247"/>
      <c r="AXN11" s="1247"/>
      <c r="AXO11" s="1247"/>
      <c r="AXP11" s="1247"/>
      <c r="AXQ11" s="1247"/>
      <c r="AXR11" s="1247"/>
      <c r="AXS11" s="1247"/>
      <c r="AXT11" s="1247"/>
      <c r="AXU11" s="1247"/>
      <c r="AXV11" s="1247"/>
      <c r="AXW11" s="1247"/>
      <c r="AXX11" s="1247"/>
      <c r="AXY11" s="1247"/>
      <c r="AXZ11" s="1247"/>
      <c r="AYA11" s="1247"/>
      <c r="AYB11" s="1247"/>
      <c r="AYC11" s="1247"/>
      <c r="AYD11" s="1247"/>
      <c r="AYE11" s="1247"/>
      <c r="AYF11" s="1247"/>
      <c r="AYG11" s="1247"/>
      <c r="AYH11" s="1247"/>
      <c r="AYI11" s="1247"/>
      <c r="AYJ11" s="1247"/>
      <c r="AYK11" s="1247"/>
      <c r="AYL11" s="1247"/>
      <c r="AYM11" s="1247"/>
      <c r="AYN11" s="1247"/>
      <c r="AYO11" s="1247"/>
      <c r="AYP11" s="1247"/>
      <c r="AYQ11" s="1247"/>
      <c r="AYR11" s="1247"/>
      <c r="AYS11" s="1247"/>
      <c r="AYT11" s="1247"/>
      <c r="AYU11" s="1247"/>
      <c r="AYV11" s="1247"/>
      <c r="AYW11" s="1247"/>
      <c r="AYX11" s="1247"/>
      <c r="AYY11" s="1247"/>
      <c r="AYZ11" s="1247"/>
      <c r="AZA11" s="1247"/>
      <c r="AZB11" s="1247"/>
      <c r="AZC11" s="1247"/>
      <c r="AZD11" s="1247"/>
      <c r="AZE11" s="1247"/>
      <c r="AZF11" s="1247"/>
      <c r="AZG11" s="1247"/>
      <c r="AZH11" s="1247"/>
      <c r="AZI11" s="1247"/>
      <c r="AZJ11" s="1247"/>
      <c r="AZK11" s="1247"/>
      <c r="AZL11" s="1247"/>
      <c r="AZM11" s="1247"/>
      <c r="AZN11" s="1247"/>
      <c r="AZO11" s="1247"/>
      <c r="AZP11" s="1247"/>
      <c r="AZQ11" s="1247"/>
      <c r="AZR11" s="1247"/>
      <c r="AZS11" s="1247"/>
      <c r="AZT11" s="1247"/>
      <c r="AZU11" s="1247"/>
      <c r="AZV11" s="1247"/>
      <c r="AZW11" s="1247"/>
      <c r="AZX11" s="1247"/>
      <c r="AZY11" s="1247"/>
      <c r="AZZ11" s="1247"/>
      <c r="BAA11" s="1247"/>
      <c r="BAB11" s="1247"/>
      <c r="BAC11" s="1247"/>
      <c r="BAD11" s="1247"/>
      <c r="BAE11" s="1247"/>
      <c r="BAF11" s="1247"/>
      <c r="BAG11" s="1247"/>
      <c r="BAH11" s="1247"/>
      <c r="BAI11" s="1247"/>
      <c r="BAJ11" s="1247"/>
      <c r="BAK11" s="1247"/>
      <c r="BAL11" s="1247"/>
      <c r="BAM11" s="1247"/>
      <c r="BAN11" s="1247"/>
      <c r="BAO11" s="1247"/>
      <c r="BAP11" s="1247"/>
      <c r="BAQ11" s="1247"/>
      <c r="BAR11" s="1247"/>
      <c r="BAS11" s="1247"/>
      <c r="BAT11" s="1247"/>
      <c r="BAU11" s="1247"/>
      <c r="BAV11" s="1247"/>
      <c r="BAW11" s="1247"/>
      <c r="BAX11" s="1247"/>
      <c r="BAY11" s="1247"/>
      <c r="BAZ11" s="1247"/>
      <c r="BBA11" s="1247"/>
      <c r="BBB11" s="1247"/>
      <c r="BBC11" s="1247"/>
      <c r="BBD11" s="1247"/>
      <c r="BBE11" s="1247"/>
      <c r="BBF11" s="1247"/>
      <c r="BBG11" s="1247"/>
      <c r="BBH11" s="1247"/>
      <c r="BBI11" s="1247"/>
      <c r="BBJ11" s="1247"/>
      <c r="BBK11" s="1247"/>
      <c r="BBL11" s="1247"/>
      <c r="BBM11" s="1247"/>
      <c r="BBN11" s="1247"/>
      <c r="BBO11" s="1247"/>
      <c r="BBP11" s="1247"/>
      <c r="BBQ11" s="1247"/>
      <c r="BBR11" s="1247"/>
      <c r="BBS11" s="1247"/>
      <c r="BBT11" s="1247"/>
      <c r="BBU11" s="1247"/>
      <c r="BBV11" s="1247"/>
      <c r="BBW11" s="1247"/>
      <c r="BBX11" s="1247"/>
      <c r="BBY11" s="1247"/>
      <c r="BBZ11" s="1247"/>
      <c r="BCA11" s="1247"/>
      <c r="BCB11" s="1247"/>
      <c r="BCC11" s="1247"/>
      <c r="BCD11" s="1247"/>
      <c r="BCE11" s="1247"/>
      <c r="BCF11" s="1247"/>
      <c r="BCG11" s="1247"/>
      <c r="BCH11" s="1247"/>
      <c r="BCI11" s="1247"/>
      <c r="BCJ11" s="1247"/>
      <c r="BCK11" s="1247"/>
      <c r="BCL11" s="1247"/>
      <c r="BCM11" s="1247"/>
      <c r="BCN11" s="1247"/>
      <c r="BCO11" s="1247"/>
      <c r="BCP11" s="1247"/>
      <c r="BCQ11" s="1247"/>
      <c r="BCR11" s="1247"/>
      <c r="BCS11" s="1247"/>
      <c r="BCT11" s="1247"/>
      <c r="BCU11" s="1247"/>
      <c r="BCV11" s="1247"/>
      <c r="BCW11" s="1247"/>
      <c r="BCX11" s="1247"/>
      <c r="BCY11" s="1247"/>
      <c r="BCZ11" s="1247"/>
      <c r="BDA11" s="1247"/>
      <c r="BDB11" s="1247"/>
      <c r="BDC11" s="1247"/>
      <c r="BDD11" s="1247"/>
      <c r="BDE11" s="1247"/>
      <c r="BDF11" s="1247"/>
      <c r="BDG11" s="1247"/>
      <c r="BDH11" s="1247"/>
      <c r="BDI11" s="1247"/>
      <c r="BDJ11" s="1247"/>
      <c r="BDK11" s="1247"/>
      <c r="BDL11" s="1247"/>
      <c r="BDM11" s="1247"/>
      <c r="BDN11" s="1247"/>
      <c r="BDO11" s="1247"/>
      <c r="BDP11" s="1247"/>
      <c r="BDQ11" s="1247"/>
      <c r="BDR11" s="1247"/>
      <c r="BDS11" s="1247"/>
      <c r="BDT11" s="1247"/>
      <c r="BDU11" s="1247"/>
      <c r="BDV11" s="1247"/>
      <c r="BDW11" s="1247"/>
      <c r="BDX11" s="1247"/>
      <c r="BDY11" s="1247"/>
      <c r="BDZ11" s="1247"/>
      <c r="BEA11" s="1247"/>
      <c r="BEB11" s="1247"/>
      <c r="BEC11" s="1247"/>
      <c r="BED11" s="1247"/>
      <c r="BEE11" s="1247"/>
      <c r="BEF11" s="1247"/>
      <c r="BEG11" s="1247"/>
      <c r="BEH11" s="1247"/>
      <c r="BEI11" s="1247"/>
      <c r="BEJ11" s="1247"/>
      <c r="BEK11" s="1247"/>
      <c r="BEL11" s="1247"/>
      <c r="BEM11" s="1247"/>
      <c r="BEN11" s="1247"/>
      <c r="BEO11" s="1247"/>
      <c r="BEP11" s="1247"/>
      <c r="BEQ11" s="1247"/>
      <c r="BER11" s="1247"/>
      <c r="BES11" s="1247"/>
      <c r="BET11" s="1247"/>
      <c r="BEU11" s="1247"/>
      <c r="BEV11" s="1247"/>
      <c r="BEW11" s="1247"/>
      <c r="BEX11" s="1247"/>
      <c r="BEY11" s="1247"/>
      <c r="BEZ11" s="1247"/>
      <c r="BFA11" s="1247"/>
      <c r="BFB11" s="1247"/>
      <c r="BFC11" s="1247"/>
      <c r="BFD11" s="1247"/>
      <c r="BFE11" s="1247"/>
      <c r="BFF11" s="1247"/>
      <c r="BFG11" s="1247"/>
      <c r="BFH11" s="1247"/>
      <c r="BFI11" s="1247"/>
      <c r="BFJ11" s="1247"/>
      <c r="BFK11" s="1247"/>
      <c r="BFL11" s="1247"/>
      <c r="BFM11" s="1247"/>
      <c r="BFN11" s="1247"/>
      <c r="BFO11" s="1247"/>
      <c r="BFP11" s="1247"/>
      <c r="BFQ11" s="1247"/>
      <c r="BFR11" s="1247"/>
      <c r="BFS11" s="1247"/>
      <c r="BFT11" s="1247"/>
      <c r="BFU11" s="1247"/>
      <c r="BFV11" s="1247"/>
      <c r="BFW11" s="1247"/>
      <c r="BFX11" s="1247"/>
      <c r="BFY11" s="1247"/>
      <c r="BFZ11" s="1247"/>
      <c r="BGA11" s="1247"/>
      <c r="BGB11" s="1247"/>
      <c r="BGC11" s="1247"/>
      <c r="BGD11" s="1247"/>
      <c r="BGE11" s="1247"/>
      <c r="BGF11" s="1247"/>
      <c r="BGG11" s="1247"/>
      <c r="BGH11" s="1247"/>
      <c r="BGI11" s="1247"/>
      <c r="BGJ11" s="1247"/>
      <c r="BGK11" s="1247"/>
      <c r="BGL11" s="1247"/>
      <c r="BGM11" s="1247"/>
      <c r="BGN11" s="1247"/>
      <c r="BGO11" s="1247"/>
      <c r="BGP11" s="1247"/>
      <c r="BGQ11" s="1247"/>
      <c r="BGR11" s="1247"/>
      <c r="BGS11" s="1247"/>
      <c r="BGT11" s="1247"/>
      <c r="BGU11" s="1247"/>
      <c r="BGV11" s="1247"/>
      <c r="BGW11" s="1247"/>
      <c r="BGX11" s="1247"/>
      <c r="BGY11" s="1247"/>
      <c r="BGZ11" s="1247"/>
      <c r="BHA11" s="1247"/>
      <c r="BHB11" s="1247"/>
      <c r="BHC11" s="1247"/>
      <c r="BHD11" s="1247"/>
      <c r="BHE11" s="1247"/>
      <c r="BHF11" s="1247"/>
      <c r="BHG11" s="1247"/>
      <c r="BHH11" s="1247"/>
      <c r="BHI11" s="1247"/>
      <c r="BHJ11" s="1247"/>
      <c r="BHK11" s="1247"/>
      <c r="BHL11" s="1247"/>
      <c r="BHM11" s="1247"/>
      <c r="BHN11" s="1247"/>
      <c r="BHO11" s="1247"/>
      <c r="BHP11" s="1247"/>
      <c r="BHQ11" s="1247"/>
      <c r="BHR11" s="1247"/>
      <c r="BHS11" s="1247"/>
      <c r="BHT11" s="1247"/>
      <c r="BHU11" s="1247"/>
      <c r="BHV11" s="1247"/>
      <c r="BHW11" s="1247"/>
      <c r="BHX11" s="1247"/>
      <c r="BHY11" s="1247"/>
      <c r="BHZ11" s="1247"/>
      <c r="BIA11" s="1247"/>
      <c r="BIB11" s="1247"/>
      <c r="BIC11" s="1247"/>
      <c r="BID11" s="1247"/>
      <c r="BIE11" s="1247"/>
      <c r="BIF11" s="1247"/>
      <c r="BIG11" s="1247"/>
      <c r="BIH11" s="1247"/>
      <c r="BII11" s="1247"/>
      <c r="BIJ11" s="1247"/>
      <c r="BIK11" s="1247"/>
      <c r="BIL11" s="1247"/>
      <c r="BIM11" s="1247"/>
      <c r="BIN11" s="1247"/>
      <c r="BIO11" s="1247"/>
      <c r="BIP11" s="1247"/>
      <c r="BIQ11" s="1247"/>
      <c r="BIR11" s="1247"/>
      <c r="BIS11" s="1247"/>
      <c r="BIT11" s="1247"/>
      <c r="BIU11" s="1247"/>
      <c r="BIV11" s="1247"/>
      <c r="BIW11" s="1247"/>
      <c r="BIX11" s="1247"/>
      <c r="BIY11" s="1247"/>
      <c r="BIZ11" s="1247"/>
      <c r="BJA11" s="1247"/>
      <c r="BJB11" s="1247"/>
      <c r="BJC11" s="1247"/>
      <c r="BJD11" s="1247"/>
      <c r="BJE11" s="1247"/>
      <c r="BJF11" s="1247"/>
      <c r="BJG11" s="1247"/>
      <c r="BJH11" s="1247"/>
      <c r="BJI11" s="1247"/>
      <c r="BJJ11" s="1247"/>
      <c r="BJK11" s="1247"/>
      <c r="BJL11" s="1247"/>
      <c r="BJM11" s="1247"/>
      <c r="BJN11" s="1247"/>
      <c r="BJO11" s="1247"/>
      <c r="BJP11" s="1247"/>
      <c r="BJQ11" s="1247"/>
      <c r="BJR11" s="1247"/>
      <c r="BJS11" s="1247"/>
      <c r="BJT11" s="1247"/>
      <c r="BJU11" s="1247"/>
      <c r="BJV11" s="1247"/>
      <c r="BJW11" s="1247"/>
      <c r="BJX11" s="1247"/>
      <c r="BJY11" s="1247"/>
      <c r="BJZ11" s="1247"/>
      <c r="BKA11" s="1247"/>
      <c r="BKB11" s="1247"/>
      <c r="BKC11" s="1247"/>
      <c r="BKD11" s="1247"/>
      <c r="BKE11" s="1247"/>
      <c r="BKF11" s="1247"/>
      <c r="BKG11" s="1247"/>
      <c r="BKH11" s="1247"/>
      <c r="BKI11" s="1247"/>
      <c r="BKJ11" s="1247"/>
      <c r="BKK11" s="1247"/>
      <c r="BKL11" s="1247"/>
      <c r="BKM11" s="1247"/>
      <c r="BKN11" s="1247"/>
      <c r="BKO11" s="1247"/>
      <c r="BKP11" s="1247"/>
      <c r="BKQ11" s="1247"/>
      <c r="BKR11" s="1247"/>
      <c r="BKS11" s="1247"/>
      <c r="BKT11" s="1247"/>
      <c r="BKU11" s="1247"/>
      <c r="BKV11" s="1247"/>
      <c r="BKW11" s="1247"/>
      <c r="BKX11" s="1247"/>
      <c r="BKY11" s="1247"/>
      <c r="BKZ11" s="1247"/>
      <c r="BLA11" s="1247"/>
      <c r="BLB11" s="1247"/>
      <c r="BLC11" s="1247"/>
      <c r="BLD11" s="1247"/>
      <c r="BLE11" s="1247"/>
      <c r="BLF11" s="1247"/>
      <c r="BLG11" s="1247"/>
      <c r="BLH11" s="1247"/>
      <c r="BLI11" s="1247"/>
      <c r="BLJ11" s="1247"/>
      <c r="BLK11" s="1247"/>
      <c r="BLL11" s="1247"/>
      <c r="BLM11" s="1247"/>
      <c r="BLN11" s="1247"/>
      <c r="BLO11" s="1247"/>
      <c r="BLP11" s="1247"/>
      <c r="BLQ11" s="1247"/>
      <c r="BLR11" s="1247"/>
      <c r="BLS11" s="1247"/>
      <c r="BLT11" s="1247"/>
      <c r="BLU11" s="1247"/>
      <c r="BLV11" s="1247"/>
      <c r="BLW11" s="1247"/>
      <c r="BLX11" s="1247"/>
      <c r="BLY11" s="1247"/>
      <c r="BLZ11" s="1247"/>
      <c r="BMA11" s="1247"/>
      <c r="BMB11" s="1247"/>
      <c r="BMC11" s="1247"/>
      <c r="BMD11" s="1247"/>
      <c r="BME11" s="1247"/>
      <c r="BMF11" s="1247"/>
      <c r="BMG11" s="1247"/>
      <c r="BMH11" s="1247"/>
      <c r="BMI11" s="1247"/>
      <c r="BMJ11" s="1247"/>
      <c r="BMK11" s="1247"/>
      <c r="BML11" s="1247"/>
      <c r="BMM11" s="1247"/>
      <c r="BMN11" s="1247"/>
      <c r="BMO11" s="1247"/>
      <c r="BMP11" s="1247"/>
      <c r="BMQ11" s="1247"/>
      <c r="BMR11" s="1247"/>
      <c r="BMS11" s="1247"/>
      <c r="BMT11" s="1247"/>
      <c r="BMU11" s="1247"/>
      <c r="BMV11" s="1247"/>
      <c r="BMW11" s="1247"/>
      <c r="BMX11" s="1247"/>
      <c r="BMY11" s="1247"/>
      <c r="BMZ11" s="1247"/>
      <c r="BNA11" s="1247"/>
      <c r="BNB11" s="1247"/>
      <c r="BNC11" s="1247"/>
      <c r="BND11" s="1247"/>
      <c r="BNE11" s="1247"/>
      <c r="BNF11" s="1247"/>
      <c r="BNG11" s="1247"/>
      <c r="BNH11" s="1247"/>
      <c r="BNI11" s="1247"/>
      <c r="BNJ11" s="1247"/>
      <c r="BNK11" s="1247"/>
      <c r="BNL11" s="1247"/>
      <c r="BNM11" s="1247"/>
      <c r="BNN11" s="1247"/>
      <c r="BNO11" s="1247"/>
      <c r="BNP11" s="1247"/>
      <c r="BNQ11" s="1247"/>
      <c r="BNR11" s="1247"/>
      <c r="BNS11" s="1247"/>
      <c r="BNT11" s="1247"/>
      <c r="BNU11" s="1247"/>
      <c r="BNV11" s="1247"/>
      <c r="BNW11" s="1247"/>
      <c r="BNX11" s="1247"/>
      <c r="BNY11" s="1247"/>
      <c r="BNZ11" s="1247"/>
      <c r="BOA11" s="1247"/>
      <c r="BOB11" s="1247"/>
      <c r="BOC11" s="1247"/>
      <c r="BOD11" s="1247"/>
      <c r="BOE11" s="1247"/>
      <c r="BOF11" s="1247"/>
      <c r="BOG11" s="1247"/>
      <c r="BOH11" s="1247"/>
      <c r="BOI11" s="1247"/>
      <c r="BOJ11" s="1247"/>
      <c r="BOK11" s="1247"/>
      <c r="BOL11" s="1247"/>
      <c r="BOM11" s="1247"/>
      <c r="BON11" s="1247"/>
      <c r="BOO11" s="1247"/>
      <c r="BOP11" s="1247"/>
      <c r="BOQ11" s="1247"/>
      <c r="BOR11" s="1247"/>
      <c r="BOS11" s="1247"/>
      <c r="BOT11" s="1247"/>
      <c r="BOU11" s="1247"/>
      <c r="BOV11" s="1247"/>
      <c r="BOW11" s="1247"/>
      <c r="BOX11" s="1247"/>
      <c r="BOY11" s="1247"/>
      <c r="BOZ11" s="1247"/>
      <c r="BPA11" s="1247"/>
      <c r="BPB11" s="1247"/>
      <c r="BPC11" s="1247"/>
      <c r="BPD11" s="1247"/>
      <c r="BPE11" s="1247"/>
      <c r="BPF11" s="1247"/>
      <c r="BPG11" s="1247"/>
      <c r="BPH11" s="1247"/>
      <c r="BPI11" s="1247"/>
      <c r="BPJ11" s="1247"/>
      <c r="BPK11" s="1247"/>
      <c r="BPL11" s="1247"/>
      <c r="BPM11" s="1247"/>
      <c r="BPN11" s="1247"/>
      <c r="BPO11" s="1247"/>
      <c r="BPP11" s="1247"/>
      <c r="BPQ11" s="1247"/>
      <c r="BPR11" s="1247"/>
      <c r="BPS11" s="1247"/>
      <c r="BPT11" s="1247"/>
      <c r="BPU11" s="1247"/>
      <c r="BPV11" s="1247"/>
      <c r="BPW11" s="1247"/>
      <c r="BPX11" s="1247"/>
      <c r="BPY11" s="1247"/>
      <c r="BPZ11" s="1247"/>
      <c r="BQA11" s="1247"/>
      <c r="BQB11" s="1247"/>
      <c r="BQC11" s="1247"/>
      <c r="BQD11" s="1247"/>
      <c r="BQE11" s="1247"/>
      <c r="BQF11" s="1247"/>
      <c r="BQG11" s="1247"/>
      <c r="BQH11" s="1247"/>
      <c r="BQI11" s="1247"/>
      <c r="BQJ11" s="1247"/>
      <c r="BQK11" s="1247"/>
      <c r="BQL11" s="1247"/>
      <c r="BQM11" s="1247"/>
      <c r="BQN11" s="1247"/>
      <c r="BQO11" s="1247"/>
      <c r="BQP11" s="1247"/>
      <c r="BQQ11" s="1247"/>
      <c r="BQR11" s="1247"/>
      <c r="BQS11" s="1247"/>
      <c r="BQT11" s="1247"/>
      <c r="BQU11" s="1247"/>
      <c r="BQV11" s="1247"/>
      <c r="BQW11" s="1247"/>
      <c r="BQX11" s="1247"/>
      <c r="BQY11" s="1247"/>
      <c r="BQZ11" s="1247"/>
      <c r="BRA11" s="1247"/>
      <c r="BRB11" s="1247"/>
      <c r="BRC11" s="1247"/>
      <c r="BRD11" s="1247"/>
      <c r="BRE11" s="1247"/>
      <c r="BRF11" s="1247"/>
      <c r="BRG11" s="1247"/>
      <c r="BRH11" s="1247"/>
      <c r="BRI11" s="1247"/>
      <c r="BRJ11" s="1247"/>
      <c r="BRK11" s="1247"/>
      <c r="BRL11" s="1247"/>
      <c r="BRM11" s="1247"/>
      <c r="BRN11" s="1247"/>
      <c r="BRO11" s="1247"/>
      <c r="BRP11" s="1247"/>
      <c r="BRQ11" s="1247"/>
      <c r="BRR11" s="1247"/>
      <c r="BRS11" s="1247"/>
      <c r="BRT11" s="1247"/>
      <c r="BRU11" s="1247"/>
      <c r="BRV11" s="1247"/>
      <c r="BRW11" s="1247"/>
      <c r="BRX11" s="1247"/>
      <c r="BRY11" s="1247"/>
      <c r="BRZ11" s="1247"/>
      <c r="BSA11" s="1247"/>
      <c r="BSB11" s="1247"/>
      <c r="BSC11" s="1247"/>
      <c r="BSD11" s="1247"/>
      <c r="BSE11" s="1247"/>
      <c r="BSF11" s="1247"/>
      <c r="BSG11" s="1247"/>
      <c r="BSH11" s="1247"/>
      <c r="BSI11" s="1247"/>
      <c r="BSJ11" s="1247"/>
      <c r="BSK11" s="1247"/>
      <c r="BSL11" s="1247"/>
      <c r="BSM11" s="1247"/>
      <c r="BSN11" s="1247"/>
      <c r="BSO11" s="1247"/>
      <c r="BSP11" s="1247"/>
      <c r="BSQ11" s="1247"/>
      <c r="BSR11" s="1247"/>
      <c r="BSS11" s="1247"/>
      <c r="BST11" s="1247"/>
      <c r="BSU11" s="1247"/>
      <c r="BSV11" s="1247"/>
      <c r="BSW11" s="1247"/>
      <c r="BSX11" s="1247"/>
      <c r="BSY11" s="1247"/>
      <c r="BSZ11" s="1247"/>
      <c r="BTA11" s="1247"/>
      <c r="BTB11" s="1247"/>
      <c r="BTC11" s="1247"/>
      <c r="BTD11" s="1247"/>
      <c r="BTE11" s="1247"/>
      <c r="BTF11" s="1247"/>
      <c r="BTG11" s="1247"/>
      <c r="BTH11" s="1247"/>
      <c r="BTI11" s="1247"/>
      <c r="BTJ11" s="1247"/>
      <c r="BTK11" s="1247"/>
      <c r="BTL11" s="1247"/>
      <c r="BTM11" s="1247"/>
      <c r="BTN11" s="1247"/>
      <c r="BTO11" s="1247"/>
      <c r="BTP11" s="1247"/>
      <c r="BTQ11" s="1247"/>
      <c r="BTR11" s="1247"/>
      <c r="BTS11" s="1247"/>
      <c r="BTT11" s="1247"/>
      <c r="BTU11" s="1247"/>
      <c r="BTV11" s="1247"/>
      <c r="BTW11" s="1247"/>
      <c r="BTX11" s="1247"/>
      <c r="BTY11" s="1247"/>
      <c r="BTZ11" s="1247"/>
      <c r="BUA11" s="1247"/>
      <c r="BUB11" s="1247"/>
      <c r="BUC11" s="1247"/>
      <c r="BUD11" s="1247"/>
      <c r="BUE11" s="1247"/>
      <c r="BUF11" s="1247"/>
      <c r="BUG11" s="1247"/>
      <c r="BUH11" s="1247"/>
      <c r="BUI11" s="1247"/>
      <c r="BUJ11" s="1247"/>
      <c r="BUK11" s="1247"/>
      <c r="BUL11" s="1247"/>
      <c r="BUM11" s="1247"/>
      <c r="BUN11" s="1247"/>
      <c r="BUO11" s="1247"/>
      <c r="BUP11" s="1247"/>
      <c r="BUQ11" s="1247"/>
      <c r="BUR11" s="1247"/>
      <c r="BUS11" s="1247"/>
      <c r="BUT11" s="1247"/>
      <c r="BUU11" s="1247"/>
      <c r="BUV11" s="1247"/>
      <c r="BUW11" s="1247"/>
      <c r="BUX11" s="1247"/>
      <c r="BUY11" s="1247"/>
      <c r="BUZ11" s="1247"/>
      <c r="BVA11" s="1247"/>
      <c r="BVB11" s="1247"/>
      <c r="BVC11" s="1247"/>
      <c r="BVD11" s="1247"/>
      <c r="BVE11" s="1247"/>
      <c r="BVF11" s="1247"/>
      <c r="BVG11" s="1247"/>
      <c r="BVH11" s="1247"/>
      <c r="BVI11" s="1247"/>
      <c r="BVJ11" s="1247"/>
      <c r="BVK11" s="1247"/>
      <c r="BVL11" s="1247"/>
      <c r="BVM11" s="1247"/>
      <c r="BVN11" s="1247"/>
      <c r="BVO11" s="1247"/>
      <c r="BVP11" s="1247"/>
      <c r="BVQ11" s="1247"/>
      <c r="BVR11" s="1247"/>
      <c r="BVS11" s="1247"/>
      <c r="BVT11" s="1247"/>
      <c r="BVU11" s="1247"/>
      <c r="BVV11" s="1247"/>
      <c r="BVW11" s="1247"/>
      <c r="BVX11" s="1247"/>
      <c r="BVY11" s="1247"/>
      <c r="BVZ11" s="1247"/>
      <c r="BWA11" s="1247"/>
      <c r="BWB11" s="1247"/>
      <c r="BWC11" s="1247"/>
      <c r="BWD11" s="1247"/>
      <c r="BWE11" s="1247"/>
      <c r="BWF11" s="1247"/>
      <c r="BWG11" s="1247"/>
      <c r="BWH11" s="1247"/>
      <c r="BWI11" s="1247"/>
      <c r="BWJ11" s="1247"/>
      <c r="BWK11" s="1247"/>
      <c r="BWL11" s="1247"/>
      <c r="BWM11" s="1247"/>
      <c r="BWN11" s="1247"/>
      <c r="BWO11" s="1247"/>
      <c r="BWP11" s="1247"/>
      <c r="BWQ11" s="1247"/>
      <c r="BWR11" s="1247"/>
      <c r="BWS11" s="1247"/>
      <c r="BWT11" s="1247"/>
      <c r="BWU11" s="1247"/>
      <c r="BWV11" s="1247"/>
      <c r="BWW11" s="1247"/>
      <c r="BWX11" s="1247"/>
      <c r="BWY11" s="1247"/>
      <c r="BWZ11" s="1247"/>
      <c r="BXA11" s="1247"/>
      <c r="BXB11" s="1247"/>
      <c r="BXC11" s="1247"/>
      <c r="BXD11" s="1247"/>
      <c r="BXE11" s="1247"/>
      <c r="BXF11" s="1247"/>
      <c r="BXG11" s="1247"/>
      <c r="BXH11" s="1247"/>
      <c r="BXI11" s="1247"/>
      <c r="BXJ11" s="1247"/>
      <c r="BXK11" s="1247"/>
      <c r="BXL11" s="1247"/>
      <c r="BXM11" s="1247"/>
      <c r="BXN11" s="1247"/>
      <c r="BXO11" s="1247"/>
      <c r="BXP11" s="1247"/>
      <c r="BXQ11" s="1247"/>
      <c r="BXR11" s="1247"/>
      <c r="BXS11" s="1247"/>
      <c r="BXT11" s="1247"/>
      <c r="BXU11" s="1247"/>
      <c r="BXV11" s="1247"/>
      <c r="BXW11" s="1247"/>
      <c r="BXX11" s="1247"/>
      <c r="BXY11" s="1247"/>
      <c r="BXZ11" s="1247"/>
      <c r="BYA11" s="1247"/>
      <c r="BYB11" s="1247"/>
      <c r="BYC11" s="1247"/>
      <c r="BYD11" s="1247"/>
      <c r="BYE11" s="1247"/>
      <c r="BYF11" s="1247"/>
      <c r="BYG11" s="1247"/>
      <c r="BYH11" s="1247"/>
      <c r="BYI11" s="1247"/>
      <c r="BYJ11" s="1247"/>
      <c r="BYK11" s="1247"/>
      <c r="BYL11" s="1247"/>
      <c r="BYM11" s="1247"/>
      <c r="BYN11" s="1247"/>
      <c r="BYO11" s="1247"/>
      <c r="BYP11" s="1247"/>
      <c r="BYQ11" s="1247"/>
      <c r="BYR11" s="1247"/>
      <c r="BYS11" s="1247"/>
      <c r="BYT11" s="1247"/>
      <c r="BYU11" s="1247"/>
      <c r="BYV11" s="1247"/>
      <c r="BYW11" s="1247"/>
      <c r="BYX11" s="1247"/>
      <c r="BYY11" s="1247"/>
      <c r="BYZ11" s="1247"/>
      <c r="BZA11" s="1247"/>
      <c r="BZB11" s="1247"/>
      <c r="BZC11" s="1247"/>
      <c r="BZD11" s="1247"/>
      <c r="BZE11" s="1247"/>
      <c r="BZF11" s="1247"/>
      <c r="BZG11" s="1247"/>
      <c r="BZH11" s="1247"/>
      <c r="BZI11" s="1247"/>
      <c r="BZJ11" s="1247"/>
      <c r="BZK11" s="1247"/>
      <c r="BZL11" s="1247"/>
      <c r="BZM11" s="1247"/>
      <c r="BZN11" s="1247"/>
      <c r="BZO11" s="1247"/>
      <c r="BZP11" s="1247"/>
      <c r="BZQ11" s="1247"/>
      <c r="BZR11" s="1247"/>
      <c r="BZS11" s="1247"/>
      <c r="BZT11" s="1247"/>
      <c r="BZU11" s="1247"/>
      <c r="BZV11" s="1247"/>
      <c r="BZW11" s="1247"/>
      <c r="BZX11" s="1247"/>
      <c r="BZY11" s="1247"/>
      <c r="BZZ11" s="1247"/>
      <c r="CAA11" s="1247"/>
      <c r="CAB11" s="1247"/>
      <c r="CAC11" s="1247"/>
      <c r="CAD11" s="1247"/>
      <c r="CAE11" s="1247"/>
      <c r="CAF11" s="1247"/>
      <c r="CAG11" s="1247"/>
      <c r="CAH11" s="1247"/>
      <c r="CAI11" s="1247"/>
      <c r="CAJ11" s="1247"/>
      <c r="CAK11" s="1247"/>
      <c r="CAL11" s="1247"/>
      <c r="CAM11" s="1247"/>
      <c r="CAN11" s="1247"/>
      <c r="CAO11" s="1247"/>
      <c r="CAP11" s="1247"/>
      <c r="CAQ11" s="1247"/>
      <c r="CAR11" s="1247"/>
      <c r="CAS11" s="1247"/>
      <c r="CAT11" s="1247"/>
      <c r="CAU11" s="1247"/>
      <c r="CAV11" s="1247"/>
      <c r="CAW11" s="1247"/>
      <c r="CAX11" s="1247"/>
      <c r="CAY11" s="1247"/>
      <c r="CAZ11" s="1247"/>
      <c r="CBA11" s="1247"/>
      <c r="CBB11" s="1247"/>
      <c r="CBC11" s="1247"/>
      <c r="CBD11" s="1247"/>
      <c r="CBE11" s="1247"/>
      <c r="CBF11" s="1247"/>
      <c r="CBG11" s="1247"/>
      <c r="CBH11" s="1247"/>
      <c r="CBI11" s="1247"/>
      <c r="CBJ11" s="1247"/>
      <c r="CBK11" s="1247"/>
      <c r="CBL11" s="1247"/>
      <c r="CBM11" s="1247"/>
      <c r="CBN11" s="1247"/>
      <c r="CBO11" s="1247"/>
      <c r="CBP11" s="1247"/>
      <c r="CBQ11" s="1247"/>
      <c r="CBR11" s="1247"/>
      <c r="CBS11" s="1247"/>
      <c r="CBT11" s="1247"/>
      <c r="CBU11" s="1247"/>
      <c r="CBV11" s="1247"/>
      <c r="CBW11" s="1247"/>
      <c r="CBX11" s="1247"/>
      <c r="CBY11" s="1247"/>
      <c r="CBZ11" s="1247"/>
      <c r="CCA11" s="1247"/>
      <c r="CCB11" s="1247"/>
      <c r="CCC11" s="1247"/>
      <c r="CCD11" s="1247"/>
      <c r="CCE11" s="1247"/>
      <c r="CCF11" s="1247"/>
      <c r="CCG11" s="1247"/>
      <c r="CCH11" s="1247"/>
      <c r="CCI11" s="1247"/>
      <c r="CCJ11" s="1247"/>
      <c r="CCK11" s="1247"/>
      <c r="CCL11" s="1247"/>
      <c r="CCM11" s="1247"/>
      <c r="CCN11" s="1247"/>
      <c r="CCO11" s="1247"/>
      <c r="CCP11" s="1247"/>
      <c r="CCQ11" s="1247"/>
      <c r="CCR11" s="1247"/>
      <c r="CCS11" s="1247"/>
      <c r="CCT11" s="1247"/>
      <c r="CCU11" s="1247"/>
      <c r="CCV11" s="1247"/>
      <c r="CCW11" s="1247"/>
      <c r="CCX11" s="1247"/>
      <c r="CCY11" s="1247"/>
      <c r="CCZ11" s="1247"/>
      <c r="CDA11" s="1247"/>
      <c r="CDB11" s="1247"/>
      <c r="CDC11" s="1247"/>
      <c r="CDD11" s="1247"/>
      <c r="CDE11" s="1247"/>
      <c r="CDF11" s="1247"/>
      <c r="CDG11" s="1247"/>
      <c r="CDH11" s="1247"/>
      <c r="CDI11" s="1247"/>
      <c r="CDJ11" s="1247"/>
      <c r="CDK11" s="1247"/>
      <c r="CDL11" s="1247"/>
      <c r="CDM11" s="1247"/>
      <c r="CDN11" s="1247"/>
      <c r="CDO11" s="1247"/>
      <c r="CDP11" s="1247"/>
      <c r="CDQ11" s="1247"/>
      <c r="CDR11" s="1247"/>
      <c r="CDS11" s="1247"/>
      <c r="CDT11" s="1247"/>
      <c r="CDU11" s="1247"/>
      <c r="CDV11" s="1247"/>
      <c r="CDW11" s="1247"/>
      <c r="CDX11" s="1247"/>
      <c r="CDY11" s="1247"/>
      <c r="CDZ11" s="1247"/>
      <c r="CEA11" s="1247"/>
      <c r="CEB11" s="1247"/>
      <c r="CEC11" s="1247"/>
      <c r="CED11" s="1247"/>
      <c r="CEE11" s="1247"/>
      <c r="CEF11" s="1247"/>
      <c r="CEG11" s="1247"/>
      <c r="CEH11" s="1247"/>
      <c r="CEI11" s="1247"/>
      <c r="CEJ11" s="1247"/>
      <c r="CEK11" s="1247"/>
      <c r="CEL11" s="1247"/>
      <c r="CEM11" s="1247"/>
      <c r="CEN11" s="1247"/>
      <c r="CEO11" s="1247"/>
      <c r="CEP11" s="1247"/>
      <c r="CEQ11" s="1247"/>
      <c r="CER11" s="1247"/>
      <c r="CES11" s="1247"/>
      <c r="CET11" s="1247"/>
      <c r="CEU11" s="1247"/>
      <c r="CEV11" s="1247"/>
      <c r="CEW11" s="1247"/>
      <c r="CEX11" s="1247"/>
      <c r="CEY11" s="1247"/>
      <c r="CEZ11" s="1247"/>
      <c r="CFA11" s="1247"/>
      <c r="CFB11" s="1247"/>
      <c r="CFC11" s="1247"/>
      <c r="CFD11" s="1247"/>
      <c r="CFE11" s="1247"/>
      <c r="CFF11" s="1247"/>
      <c r="CFG11" s="1247"/>
      <c r="CFH11" s="1247"/>
      <c r="CFI11" s="1247"/>
      <c r="CFJ11" s="1247"/>
      <c r="CFK11" s="1247"/>
      <c r="CFL11" s="1247"/>
      <c r="CFM11" s="1247"/>
      <c r="CFN11" s="1247"/>
      <c r="CFO11" s="1247"/>
      <c r="CFP11" s="1247"/>
      <c r="CFQ11" s="1247"/>
      <c r="CFR11" s="1247"/>
      <c r="CFS11" s="1247"/>
      <c r="CFT11" s="1247"/>
      <c r="CFU11" s="1247"/>
      <c r="CFV11" s="1247"/>
      <c r="CFW11" s="1247"/>
      <c r="CFX11" s="1247"/>
      <c r="CFY11" s="1247"/>
      <c r="CFZ11" s="1247"/>
      <c r="CGA11" s="1247"/>
      <c r="CGB11" s="1247"/>
      <c r="CGC11" s="1247"/>
      <c r="CGD11" s="1247"/>
      <c r="CGE11" s="1247"/>
      <c r="CGF11" s="1247"/>
      <c r="CGG11" s="1247"/>
      <c r="CGH11" s="1247"/>
      <c r="CGI11" s="1247"/>
      <c r="CGJ11" s="1247"/>
      <c r="CGK11" s="1247"/>
      <c r="CGL11" s="1247"/>
      <c r="CGM11" s="1247"/>
      <c r="CGN11" s="1247"/>
      <c r="CGO11" s="1247"/>
      <c r="CGP11" s="1247"/>
      <c r="CGQ11" s="1247"/>
      <c r="CGR11" s="1247"/>
      <c r="CGS11" s="1247"/>
      <c r="CGT11" s="1247"/>
      <c r="CGU11" s="1247"/>
      <c r="CGV11" s="1247"/>
      <c r="CGW11" s="1247"/>
      <c r="CGX11" s="1247"/>
      <c r="CGY11" s="1247"/>
      <c r="CGZ11" s="1247"/>
      <c r="CHA11" s="1247"/>
      <c r="CHB11" s="1247"/>
      <c r="CHC11" s="1247"/>
      <c r="CHD11" s="1247"/>
      <c r="CHE11" s="1247"/>
      <c r="CHF11" s="1247"/>
      <c r="CHG11" s="1247"/>
      <c r="CHH11" s="1247"/>
      <c r="CHI11" s="1247"/>
      <c r="CHJ11" s="1247"/>
      <c r="CHK11" s="1247"/>
      <c r="CHL11" s="1247"/>
      <c r="CHM11" s="1247"/>
      <c r="CHN11" s="1247"/>
      <c r="CHO11" s="1247"/>
      <c r="CHP11" s="1247"/>
      <c r="CHQ11" s="1247"/>
      <c r="CHR11" s="1247"/>
      <c r="CHS11" s="1247"/>
      <c r="CHT11" s="1247"/>
      <c r="CHU11" s="1247"/>
      <c r="CHV11" s="1247"/>
      <c r="CHW11" s="1247"/>
      <c r="CHX11" s="1247"/>
      <c r="CHY11" s="1247"/>
      <c r="CHZ11" s="1247"/>
      <c r="CIA11" s="1247"/>
      <c r="CIB11" s="1247"/>
      <c r="CIC11" s="1247"/>
      <c r="CID11" s="1247"/>
      <c r="CIE11" s="1247"/>
      <c r="CIF11" s="1247"/>
      <c r="CIG11" s="1247"/>
      <c r="CIH11" s="1247"/>
      <c r="CII11" s="1247"/>
      <c r="CIJ11" s="1247"/>
      <c r="CIK11" s="1247"/>
      <c r="CIL11" s="1247"/>
      <c r="CIM11" s="1247"/>
      <c r="CIN11" s="1247"/>
      <c r="CIO11" s="1247"/>
      <c r="CIP11" s="1247"/>
      <c r="CIQ11" s="1247"/>
      <c r="CIR11" s="1247"/>
      <c r="CIS11" s="1247"/>
      <c r="CIT11" s="1247"/>
      <c r="CIU11" s="1247"/>
      <c r="CIV11" s="1247"/>
      <c r="CIW11" s="1247"/>
      <c r="CIX11" s="1247"/>
      <c r="CIY11" s="1247"/>
      <c r="CIZ11" s="1247"/>
      <c r="CJA11" s="1247"/>
      <c r="CJB11" s="1247"/>
      <c r="CJC11" s="1247"/>
      <c r="CJD11" s="1247"/>
      <c r="CJE11" s="1247"/>
      <c r="CJF11" s="1247"/>
      <c r="CJG11" s="1247"/>
      <c r="CJH11" s="1247"/>
      <c r="CJI11" s="1247"/>
      <c r="CJJ11" s="1247"/>
      <c r="CJK11" s="1247"/>
      <c r="CJL11" s="1247"/>
      <c r="CJM11" s="1247"/>
      <c r="CJN11" s="1247"/>
      <c r="CJO11" s="1247"/>
      <c r="CJP11" s="1247"/>
      <c r="CJQ11" s="1247"/>
      <c r="CJR11" s="1247"/>
      <c r="CJS11" s="1247"/>
      <c r="CJT11" s="1247"/>
      <c r="CJU11" s="1247"/>
      <c r="CJV11" s="1247"/>
      <c r="CJW11" s="1247"/>
      <c r="CJX11" s="1247"/>
      <c r="CJY11" s="1247"/>
      <c r="CJZ11" s="1247"/>
      <c r="CKA11" s="1247"/>
      <c r="CKB11" s="1247"/>
      <c r="CKC11" s="1247"/>
      <c r="CKD11" s="1247"/>
      <c r="CKE11" s="1247"/>
      <c r="CKF11" s="1247"/>
      <c r="CKG11" s="1247"/>
      <c r="CKH11" s="1247"/>
      <c r="CKI11" s="1247"/>
      <c r="CKJ11" s="1247"/>
      <c r="CKK11" s="1247"/>
      <c r="CKL11" s="1247"/>
      <c r="CKM11" s="1247"/>
      <c r="CKN11" s="1247"/>
      <c r="CKO11" s="1247"/>
      <c r="CKP11" s="1247"/>
      <c r="CKQ11" s="1247"/>
      <c r="CKR11" s="1247"/>
      <c r="CKS11" s="1247"/>
      <c r="CKT11" s="1247"/>
      <c r="CKU11" s="1247"/>
      <c r="CKV11" s="1247"/>
      <c r="CKW11" s="1247"/>
      <c r="CKX11" s="1247"/>
      <c r="CKY11" s="1247"/>
      <c r="CKZ11" s="1247"/>
      <c r="CLA11" s="1247"/>
      <c r="CLB11" s="1247"/>
      <c r="CLC11" s="1247"/>
      <c r="CLD11" s="1247"/>
      <c r="CLE11" s="1247"/>
      <c r="CLF11" s="1247"/>
      <c r="CLG11" s="1247"/>
      <c r="CLH11" s="1247"/>
      <c r="CLI11" s="1247"/>
      <c r="CLJ11" s="1247"/>
      <c r="CLK11" s="1247"/>
      <c r="CLL11" s="1247"/>
      <c r="CLM11" s="1247"/>
      <c r="CLN11" s="1247"/>
      <c r="CLO11" s="1247"/>
      <c r="CLP11" s="1247"/>
      <c r="CLQ11" s="1247"/>
      <c r="CLR11" s="1247"/>
      <c r="CLS11" s="1247"/>
      <c r="CLT11" s="1247"/>
      <c r="CLU11" s="1247"/>
      <c r="CLV11" s="1247"/>
      <c r="CLW11" s="1247"/>
      <c r="CLX11" s="1247"/>
      <c r="CLY11" s="1247"/>
      <c r="CLZ11" s="1247"/>
      <c r="CMA11" s="1247"/>
      <c r="CMB11" s="1247"/>
      <c r="CMC11" s="1247"/>
      <c r="CMD11" s="1247"/>
      <c r="CME11" s="1247"/>
      <c r="CMF11" s="1247"/>
      <c r="CMG11" s="1247"/>
      <c r="CMH11" s="1247"/>
      <c r="CMI11" s="1247"/>
      <c r="CMJ11" s="1247"/>
      <c r="CMK11" s="1247"/>
      <c r="CML11" s="1247"/>
      <c r="CMM11" s="1247"/>
      <c r="CMN11" s="1247"/>
      <c r="CMO11" s="1247"/>
      <c r="CMP11" s="1247"/>
      <c r="CMQ11" s="1247"/>
      <c r="CMR11" s="1247"/>
      <c r="CMS11" s="1247"/>
      <c r="CMT11" s="1247"/>
      <c r="CMU11" s="1247"/>
      <c r="CMV11" s="1247"/>
      <c r="CMW11" s="1247"/>
      <c r="CMX11" s="1247"/>
      <c r="CMY11" s="1247"/>
      <c r="CMZ11" s="1247"/>
      <c r="CNA11" s="1247"/>
      <c r="CNB11" s="1247"/>
      <c r="CNC11" s="1247"/>
      <c r="CND11" s="1247"/>
      <c r="CNE11" s="1247"/>
      <c r="CNF11" s="1247"/>
      <c r="CNG11" s="1247"/>
      <c r="CNH11" s="1247"/>
      <c r="CNI11" s="1247"/>
      <c r="CNJ11" s="1247"/>
      <c r="CNK11" s="1247"/>
      <c r="CNL11" s="1247"/>
      <c r="CNM11" s="1247"/>
      <c r="CNN11" s="1247"/>
      <c r="CNO11" s="1247"/>
      <c r="CNP11" s="1247"/>
      <c r="CNQ11" s="1247"/>
      <c r="CNR11" s="1247"/>
      <c r="CNS11" s="1247"/>
      <c r="CNT11" s="1247"/>
      <c r="CNU11" s="1247"/>
      <c r="CNV11" s="1247"/>
      <c r="CNW11" s="1247"/>
      <c r="CNX11" s="1247"/>
      <c r="CNY11" s="1247"/>
      <c r="CNZ11" s="1247"/>
      <c r="COA11" s="1247"/>
      <c r="COB11" s="1247"/>
      <c r="COC11" s="1247"/>
      <c r="COD11" s="1247"/>
      <c r="COE11" s="1247"/>
      <c r="COF11" s="1247"/>
      <c r="COG11" s="1247"/>
      <c r="COH11" s="1247"/>
      <c r="COI11" s="1247"/>
      <c r="COJ11" s="1247"/>
      <c r="COK11" s="1247"/>
      <c r="COL11" s="1247"/>
      <c r="COM11" s="1247"/>
      <c r="CON11" s="1247"/>
      <c r="COO11" s="1247"/>
      <c r="COP11" s="1247"/>
      <c r="COQ11" s="1247"/>
      <c r="COR11" s="1247"/>
      <c r="COS11" s="1247"/>
      <c r="COT11" s="1247"/>
      <c r="COU11" s="1247"/>
      <c r="COV11" s="1247"/>
      <c r="COW11" s="1247"/>
      <c r="COX11" s="1247"/>
      <c r="COY11" s="1247"/>
      <c r="COZ11" s="1247"/>
      <c r="CPA11" s="1247"/>
      <c r="CPB11" s="1247"/>
      <c r="CPC11" s="1247"/>
      <c r="CPD11" s="1247"/>
      <c r="CPE11" s="1247"/>
      <c r="CPF11" s="1247"/>
      <c r="CPG11" s="1247"/>
      <c r="CPH11" s="1247"/>
      <c r="CPI11" s="1247"/>
      <c r="CPJ11" s="1247"/>
      <c r="CPK11" s="1247"/>
      <c r="CPL11" s="1247"/>
      <c r="CPM11" s="1247"/>
      <c r="CPN11" s="1247"/>
      <c r="CPO11" s="1247"/>
      <c r="CPP11" s="1247"/>
      <c r="CPQ11" s="1247"/>
      <c r="CPR11" s="1247"/>
      <c r="CPS11" s="1247"/>
      <c r="CPT11" s="1247"/>
      <c r="CPU11" s="1247"/>
      <c r="CPV11" s="1247"/>
      <c r="CPW11" s="1247"/>
      <c r="CPX11" s="1247"/>
      <c r="CPY11" s="1247"/>
      <c r="CPZ11" s="1247"/>
      <c r="CQA11" s="1247"/>
      <c r="CQB11" s="1247"/>
      <c r="CQC11" s="1247"/>
      <c r="CQD11" s="1247"/>
      <c r="CQE11" s="1247"/>
      <c r="CQF11" s="1247"/>
      <c r="CQG11" s="1247"/>
      <c r="CQH11" s="1247"/>
      <c r="CQI11" s="1247"/>
      <c r="CQJ11" s="1247"/>
      <c r="CQK11" s="1247"/>
      <c r="CQL11" s="1247"/>
      <c r="CQM11" s="1247"/>
      <c r="CQN11" s="1247"/>
      <c r="CQO11" s="1247"/>
      <c r="CQP11" s="1247"/>
      <c r="CQQ11" s="1247"/>
      <c r="CQR11" s="1247"/>
      <c r="CQS11" s="1247"/>
      <c r="CQT11" s="1247"/>
      <c r="CQU11" s="1247"/>
      <c r="CQV11" s="1247"/>
      <c r="CQW11" s="1247"/>
      <c r="CQX11" s="1247"/>
      <c r="CQY11" s="1247"/>
      <c r="CQZ11" s="1247"/>
      <c r="CRA11" s="1247"/>
      <c r="CRB11" s="1247"/>
      <c r="CRC11" s="1247"/>
      <c r="CRD11" s="1247"/>
      <c r="CRE11" s="1247"/>
      <c r="CRF11" s="1247"/>
      <c r="CRG11" s="1247"/>
      <c r="CRH11" s="1247"/>
      <c r="CRI11" s="1247"/>
      <c r="CRJ11" s="1247"/>
      <c r="CRK11" s="1247"/>
      <c r="CRL11" s="1247"/>
      <c r="CRM11" s="1247"/>
      <c r="CRN11" s="1247"/>
      <c r="CRO11" s="1247"/>
      <c r="CRP11" s="1247"/>
      <c r="CRQ11" s="1247"/>
      <c r="CRR11" s="1247"/>
      <c r="CRS11" s="1247"/>
      <c r="CRT11" s="1247"/>
      <c r="CRU11" s="1247"/>
      <c r="CRV11" s="1247"/>
      <c r="CRW11" s="1247"/>
      <c r="CRX11" s="1247"/>
      <c r="CRY11" s="1247"/>
      <c r="CRZ11" s="1247"/>
      <c r="CSA11" s="1247"/>
      <c r="CSB11" s="1247"/>
      <c r="CSC11" s="1247"/>
      <c r="CSD11" s="1247"/>
      <c r="CSE11" s="1247"/>
      <c r="CSF11" s="1247"/>
      <c r="CSG11" s="1247"/>
      <c r="CSH11" s="1247"/>
      <c r="CSI11" s="1247"/>
      <c r="CSJ11" s="1247"/>
      <c r="CSK11" s="1247"/>
      <c r="CSL11" s="1247"/>
      <c r="CSM11" s="1247"/>
      <c r="CSN11" s="1247"/>
      <c r="CSO11" s="1247"/>
      <c r="CSP11" s="1247"/>
      <c r="CSQ11" s="1247"/>
      <c r="CSR11" s="1247"/>
      <c r="CSS11" s="1247"/>
      <c r="CST11" s="1247"/>
      <c r="CSU11" s="1247"/>
      <c r="CSV11" s="1247"/>
      <c r="CSW11" s="1247"/>
      <c r="CSX11" s="1247"/>
      <c r="CSY11" s="1247"/>
      <c r="CSZ11" s="1247"/>
      <c r="CTA11" s="1247"/>
      <c r="CTB11" s="1247"/>
      <c r="CTC11" s="1247"/>
      <c r="CTD11" s="1247"/>
      <c r="CTE11" s="1247"/>
      <c r="CTF11" s="1247"/>
      <c r="CTG11" s="1247"/>
      <c r="CTH11" s="1247"/>
      <c r="CTI11" s="1247"/>
      <c r="CTJ11" s="1247"/>
      <c r="CTK11" s="1247"/>
      <c r="CTL11" s="1247"/>
      <c r="CTM11" s="1247"/>
      <c r="CTN11" s="1247"/>
      <c r="CTO11" s="1247"/>
      <c r="CTP11" s="1247"/>
      <c r="CTQ11" s="1247"/>
      <c r="CTR11" s="1247"/>
      <c r="CTS11" s="1247"/>
      <c r="CTT11" s="1247"/>
      <c r="CTU11" s="1247"/>
      <c r="CTV11" s="1247"/>
      <c r="CTW11" s="1247"/>
      <c r="CTX11" s="1247"/>
      <c r="CTY11" s="1247"/>
      <c r="CTZ11" s="1247"/>
      <c r="CUA11" s="1247"/>
      <c r="CUB11" s="1247"/>
      <c r="CUC11" s="1247"/>
      <c r="CUD11" s="1247"/>
      <c r="CUE11" s="1247"/>
      <c r="CUF11" s="1247"/>
      <c r="CUG11" s="1247"/>
      <c r="CUH11" s="1247"/>
      <c r="CUI11" s="1247"/>
      <c r="CUJ11" s="1247"/>
      <c r="CUK11" s="1247"/>
      <c r="CUL11" s="1247"/>
      <c r="CUM11" s="1247"/>
      <c r="CUN11" s="1247"/>
      <c r="CUO11" s="1247"/>
      <c r="CUP11" s="1247"/>
      <c r="CUQ11" s="1247"/>
      <c r="CUR11" s="1247"/>
      <c r="CUS11" s="1247"/>
      <c r="CUT11" s="1247"/>
      <c r="CUU11" s="1247"/>
      <c r="CUV11" s="1247"/>
      <c r="CUW11" s="1247"/>
      <c r="CUX11" s="1247"/>
      <c r="CUY11" s="1247"/>
      <c r="CUZ11" s="1247"/>
      <c r="CVA11" s="1247"/>
      <c r="CVB11" s="1247"/>
      <c r="CVC11" s="1247"/>
      <c r="CVD11" s="1247"/>
      <c r="CVE11" s="1247"/>
      <c r="CVF11" s="1247"/>
      <c r="CVG11" s="1247"/>
      <c r="CVH11" s="1247"/>
      <c r="CVI11" s="1247"/>
      <c r="CVJ11" s="1247"/>
      <c r="CVK11" s="1247"/>
      <c r="CVL11" s="1247"/>
      <c r="CVM11" s="1247"/>
      <c r="CVN11" s="1247"/>
      <c r="CVO11" s="1247"/>
      <c r="CVP11" s="1247"/>
      <c r="CVQ11" s="1247"/>
      <c r="CVR11" s="1247"/>
      <c r="CVS11" s="1247"/>
      <c r="CVT11" s="1247"/>
      <c r="CVU11" s="1247"/>
      <c r="CVV11" s="1247"/>
      <c r="CVW11" s="1247"/>
      <c r="CVX11" s="1247"/>
      <c r="CVY11" s="1247"/>
      <c r="CVZ11" s="1247"/>
      <c r="CWA11" s="1247"/>
      <c r="CWB11" s="1247"/>
      <c r="CWC11" s="1247"/>
      <c r="CWD11" s="1247"/>
      <c r="CWE11" s="1247"/>
      <c r="CWF11" s="1247"/>
      <c r="CWG11" s="1247"/>
      <c r="CWH11" s="1247"/>
      <c r="CWI11" s="1247"/>
      <c r="CWJ11" s="1247"/>
      <c r="CWK11" s="1247"/>
      <c r="CWL11" s="1247"/>
      <c r="CWM11" s="1247"/>
      <c r="CWN11" s="1247"/>
      <c r="CWO11" s="1247"/>
      <c r="CWP11" s="1247"/>
      <c r="CWQ11" s="1247"/>
      <c r="CWR11" s="1247"/>
      <c r="CWS11" s="1247"/>
      <c r="CWT11" s="1247"/>
      <c r="CWU11" s="1247"/>
      <c r="CWV11" s="1247"/>
      <c r="CWW11" s="1247"/>
      <c r="CWX11" s="1247"/>
      <c r="CWY11" s="1247"/>
      <c r="CWZ11" s="1247"/>
      <c r="CXA11" s="1247"/>
      <c r="CXB11" s="1247"/>
      <c r="CXC11" s="1247"/>
      <c r="CXD11" s="1247"/>
      <c r="CXE11" s="1247"/>
      <c r="CXF11" s="1247"/>
      <c r="CXG11" s="1247"/>
      <c r="CXH11" s="1247"/>
      <c r="CXI11" s="1247"/>
      <c r="CXJ11" s="1247"/>
      <c r="CXK11" s="1247"/>
      <c r="CXL11" s="1247"/>
      <c r="CXM11" s="1247"/>
      <c r="CXN11" s="1247"/>
      <c r="CXO11" s="1247"/>
      <c r="CXP11" s="1247"/>
      <c r="CXQ11" s="1247"/>
      <c r="CXR11" s="1247"/>
      <c r="CXS11" s="1247"/>
      <c r="CXT11" s="1247"/>
      <c r="CXU11" s="1247"/>
      <c r="CXV11" s="1247"/>
      <c r="CXW11" s="1247"/>
      <c r="CXX11" s="1247"/>
      <c r="CXY11" s="1247"/>
      <c r="CXZ11" s="1247"/>
      <c r="CYA11" s="1247"/>
      <c r="CYB11" s="1247"/>
      <c r="CYC11" s="1247"/>
      <c r="CYD11" s="1247"/>
      <c r="CYE11" s="1247"/>
      <c r="CYF11" s="1247"/>
      <c r="CYG11" s="1247"/>
      <c r="CYH11" s="1247"/>
      <c r="CYI11" s="1247"/>
      <c r="CYJ11" s="1247"/>
      <c r="CYK11" s="1247"/>
      <c r="CYL11" s="1247"/>
      <c r="CYM11" s="1247"/>
      <c r="CYN11" s="1247"/>
      <c r="CYO11" s="1247"/>
      <c r="CYP11" s="1247"/>
      <c r="CYQ11" s="1247"/>
      <c r="CYR11" s="1247"/>
      <c r="CYS11" s="1247"/>
      <c r="CYT11" s="1247"/>
      <c r="CYU11" s="1247"/>
      <c r="CYV11" s="1247"/>
      <c r="CYW11" s="1247"/>
      <c r="CYX11" s="1247"/>
      <c r="CYY11" s="1247"/>
      <c r="CYZ11" s="1247"/>
      <c r="CZA11" s="1247"/>
      <c r="CZB11" s="1247"/>
      <c r="CZC11" s="1247"/>
      <c r="CZD11" s="1247"/>
      <c r="CZE11" s="1247"/>
      <c r="CZF11" s="1247"/>
      <c r="CZG11" s="1247"/>
      <c r="CZH11" s="1247"/>
      <c r="CZI11" s="1247"/>
      <c r="CZJ11" s="1247"/>
      <c r="CZK11" s="1247"/>
      <c r="CZL11" s="1247"/>
      <c r="CZM11" s="1247"/>
      <c r="CZN11" s="1247"/>
      <c r="CZO11" s="1247"/>
      <c r="CZP11" s="1247"/>
      <c r="CZQ11" s="1247"/>
      <c r="CZR11" s="1247"/>
      <c r="CZS11" s="1247"/>
      <c r="CZT11" s="1247"/>
      <c r="CZU11" s="1247"/>
      <c r="CZV11" s="1247"/>
      <c r="CZW11" s="1247"/>
      <c r="CZX11" s="1247"/>
      <c r="CZY11" s="1247"/>
      <c r="CZZ11" s="1247"/>
      <c r="DAA11" s="1247"/>
      <c r="DAB11" s="1247"/>
      <c r="DAC11" s="1247"/>
      <c r="DAD11" s="1247"/>
      <c r="DAE11" s="1247"/>
      <c r="DAF11" s="1247"/>
      <c r="DAG11" s="1247"/>
      <c r="DAH11" s="1247"/>
      <c r="DAI11" s="1247"/>
      <c r="DAJ11" s="1247"/>
      <c r="DAK11" s="1247"/>
      <c r="DAL11" s="1247"/>
      <c r="DAM11" s="1247"/>
      <c r="DAN11" s="1247"/>
      <c r="DAO11" s="1247"/>
      <c r="DAP11" s="1247"/>
      <c r="DAQ11" s="1247"/>
      <c r="DAR11" s="1247"/>
      <c r="DAS11" s="1247"/>
      <c r="DAT11" s="1247"/>
      <c r="DAU11" s="1247"/>
      <c r="DAV11" s="1247"/>
      <c r="DAW11" s="1247"/>
      <c r="DAX11" s="1247"/>
      <c r="DAY11" s="1247"/>
      <c r="DAZ11" s="1247"/>
      <c r="DBA11" s="1247"/>
      <c r="DBB11" s="1247"/>
      <c r="DBC11" s="1247"/>
      <c r="DBD11" s="1247"/>
      <c r="DBE11" s="1247"/>
      <c r="DBF11" s="1247"/>
      <c r="DBG11" s="1247"/>
      <c r="DBH11" s="1247"/>
      <c r="DBI11" s="1247"/>
      <c r="DBJ11" s="1247"/>
      <c r="DBK11" s="1247"/>
      <c r="DBL11" s="1247"/>
      <c r="DBM11" s="1247"/>
      <c r="DBN11" s="1247"/>
      <c r="DBO11" s="1247"/>
      <c r="DBP11" s="1247"/>
      <c r="DBQ11" s="1247"/>
      <c r="DBR11" s="1247"/>
      <c r="DBS11" s="1247"/>
      <c r="DBT11" s="1247"/>
      <c r="DBU11" s="1247"/>
      <c r="DBV11" s="1247"/>
      <c r="DBW11" s="1247"/>
      <c r="DBX11" s="1247"/>
      <c r="DBY11" s="1247"/>
      <c r="DBZ11" s="1247"/>
      <c r="DCA11" s="1247"/>
      <c r="DCB11" s="1247"/>
      <c r="DCC11" s="1247"/>
      <c r="DCD11" s="1247"/>
      <c r="DCE11" s="1247"/>
      <c r="DCF11" s="1247"/>
      <c r="DCG11" s="1247"/>
      <c r="DCH11" s="1247"/>
      <c r="DCI11" s="1247"/>
      <c r="DCJ11" s="1247"/>
      <c r="DCK11" s="1247"/>
      <c r="DCL11" s="1247"/>
      <c r="DCM11" s="1247"/>
      <c r="DCN11" s="1247"/>
      <c r="DCO11" s="1247"/>
      <c r="DCP11" s="1247"/>
      <c r="DCQ11" s="1247"/>
      <c r="DCR11" s="1247"/>
      <c r="DCS11" s="1247"/>
      <c r="DCT11" s="1247"/>
      <c r="DCU11" s="1247"/>
      <c r="DCV11" s="1247"/>
      <c r="DCW11" s="1247"/>
      <c r="DCX11" s="1247"/>
      <c r="DCY11" s="1247"/>
      <c r="DCZ11" s="1247"/>
      <c r="DDA11" s="1247"/>
      <c r="DDB11" s="1247"/>
      <c r="DDC11" s="1247"/>
      <c r="DDD11" s="1247"/>
      <c r="DDE11" s="1247"/>
      <c r="DDF11" s="1247"/>
      <c r="DDG11" s="1247"/>
      <c r="DDH11" s="1247"/>
      <c r="DDI11" s="1247"/>
      <c r="DDJ11" s="1247"/>
      <c r="DDK11" s="1247"/>
      <c r="DDL11" s="1247"/>
      <c r="DDM11" s="1247"/>
      <c r="DDN11" s="1247"/>
      <c r="DDO11" s="1247"/>
      <c r="DDP11" s="1247"/>
      <c r="DDQ11" s="1247"/>
      <c r="DDR11" s="1247"/>
      <c r="DDS11" s="1247"/>
      <c r="DDT11" s="1247"/>
      <c r="DDU11" s="1247"/>
      <c r="DDV11" s="1247"/>
      <c r="DDW11" s="1247"/>
      <c r="DDX11" s="1247"/>
      <c r="DDY11" s="1247"/>
      <c r="DDZ11" s="1247"/>
      <c r="DEA11" s="1247"/>
      <c r="DEB11" s="1247"/>
      <c r="DEC11" s="1247"/>
      <c r="DED11" s="1247"/>
      <c r="DEE11" s="1247"/>
      <c r="DEF11" s="1247"/>
      <c r="DEG11" s="1247"/>
      <c r="DEH11" s="1247"/>
      <c r="DEI11" s="1247"/>
      <c r="DEJ11" s="1247"/>
      <c r="DEK11" s="1247"/>
      <c r="DEL11" s="1247"/>
      <c r="DEM11" s="1247"/>
      <c r="DEN11" s="1247"/>
      <c r="DEO11" s="1247"/>
      <c r="DEP11" s="1247"/>
      <c r="DEQ11" s="1247"/>
      <c r="DER11" s="1247"/>
      <c r="DES11" s="1247"/>
      <c r="DET11" s="1247"/>
      <c r="DEU11" s="1247"/>
      <c r="DEV11" s="1247"/>
      <c r="DEW11" s="1247"/>
      <c r="DEX11" s="1247"/>
      <c r="DEY11" s="1247"/>
      <c r="DEZ11" s="1247"/>
      <c r="DFA11" s="1247"/>
      <c r="DFB11" s="1247"/>
      <c r="DFC11" s="1247"/>
      <c r="DFD11" s="1247"/>
      <c r="DFE11" s="1247"/>
      <c r="DFF11" s="1247"/>
      <c r="DFG11" s="1247"/>
      <c r="DFH11" s="1247"/>
      <c r="DFI11" s="1247"/>
      <c r="DFJ11" s="1247"/>
      <c r="DFK11" s="1247"/>
      <c r="DFL11" s="1247"/>
      <c r="DFM11" s="1247"/>
      <c r="DFN11" s="1247"/>
      <c r="DFO11" s="1247"/>
      <c r="DFP11" s="1247"/>
      <c r="DFQ11" s="1247"/>
      <c r="DFR11" s="1247"/>
      <c r="DFS11" s="1247"/>
      <c r="DFT11" s="1247"/>
      <c r="DFU11" s="1247"/>
      <c r="DFV11" s="1247"/>
      <c r="DFW11" s="1247"/>
      <c r="DFX11" s="1247"/>
      <c r="DFY11" s="1247"/>
      <c r="DFZ11" s="1247"/>
      <c r="DGA11" s="1247"/>
      <c r="DGB11" s="1247"/>
      <c r="DGC11" s="1247"/>
      <c r="DGD11" s="1247"/>
      <c r="DGE11" s="1247"/>
      <c r="DGF11" s="1247"/>
      <c r="DGG11" s="1247"/>
      <c r="DGH11" s="1247"/>
      <c r="DGI11" s="1247"/>
      <c r="DGJ11" s="1247"/>
      <c r="DGK11" s="1247"/>
      <c r="DGL11" s="1247"/>
      <c r="DGM11" s="1247"/>
      <c r="DGN11" s="1247"/>
      <c r="DGO11" s="1247"/>
      <c r="DGP11" s="1247"/>
      <c r="DGQ11" s="1247"/>
      <c r="DGR11" s="1247"/>
      <c r="DGS11" s="1247"/>
      <c r="DGT11" s="1247"/>
      <c r="DGU11" s="1247"/>
      <c r="DGV11" s="1247"/>
      <c r="DGW11" s="1247"/>
      <c r="DGX11" s="1247"/>
      <c r="DGY11" s="1247"/>
      <c r="DGZ11" s="1247"/>
      <c r="DHA11" s="1247"/>
      <c r="DHB11" s="1247"/>
      <c r="DHC11" s="1247"/>
      <c r="DHD11" s="1247"/>
      <c r="DHE11" s="1247"/>
      <c r="DHF11" s="1247"/>
      <c r="DHG11" s="1247"/>
      <c r="DHH11" s="1247"/>
      <c r="DHI11" s="1247"/>
      <c r="DHJ11" s="1247"/>
      <c r="DHK11" s="1247"/>
      <c r="DHL11" s="1247"/>
      <c r="DHM11" s="1247"/>
      <c r="DHN11" s="1247"/>
      <c r="DHO11" s="1247"/>
      <c r="DHP11" s="1247"/>
      <c r="DHQ11" s="1247"/>
      <c r="DHR11" s="1247"/>
      <c r="DHS11" s="1247"/>
      <c r="DHT11" s="1247"/>
      <c r="DHU11" s="1247"/>
      <c r="DHV11" s="1247"/>
      <c r="DHW11" s="1247"/>
      <c r="DHX11" s="1247"/>
      <c r="DHY11" s="1247"/>
      <c r="DHZ11" s="1247"/>
      <c r="DIA11" s="1247"/>
      <c r="DIB11" s="1247"/>
      <c r="DIC11" s="1247"/>
      <c r="DID11" s="1247"/>
      <c r="DIE11" s="1247"/>
      <c r="DIF11" s="1247"/>
      <c r="DIG11" s="1247"/>
      <c r="DIH11" s="1247"/>
      <c r="DII11" s="1247"/>
      <c r="DIJ11" s="1247"/>
      <c r="DIK11" s="1247"/>
      <c r="DIL11" s="1247"/>
      <c r="DIM11" s="1247"/>
      <c r="DIN11" s="1247"/>
      <c r="DIO11" s="1247"/>
      <c r="DIP11" s="1247"/>
      <c r="DIQ11" s="1247"/>
      <c r="DIR11" s="1247"/>
      <c r="DIS11" s="1247"/>
      <c r="DIT11" s="1247"/>
      <c r="DIU11" s="1247"/>
      <c r="DIV11" s="1247"/>
      <c r="DIW11" s="1247"/>
      <c r="DIX11" s="1247"/>
      <c r="DIY11" s="1247"/>
      <c r="DIZ11" s="1247"/>
      <c r="DJA11" s="1247"/>
      <c r="DJB11" s="1247"/>
      <c r="DJC11" s="1247"/>
      <c r="DJD11" s="1247"/>
      <c r="DJE11" s="1247"/>
      <c r="DJF11" s="1247"/>
      <c r="DJG11" s="1247"/>
      <c r="DJH11" s="1247"/>
      <c r="DJI11" s="1247"/>
      <c r="DJJ11" s="1247"/>
      <c r="DJK11" s="1247"/>
      <c r="DJL11" s="1247"/>
      <c r="DJM11" s="1247"/>
      <c r="DJN11" s="1247"/>
      <c r="DJO11" s="1247"/>
      <c r="DJP11" s="1247"/>
      <c r="DJQ11" s="1247"/>
      <c r="DJR11" s="1247"/>
      <c r="DJS11" s="1247"/>
      <c r="DJT11" s="1247"/>
      <c r="DJU11" s="1247"/>
      <c r="DJV11" s="1247"/>
      <c r="DJW11" s="1247"/>
      <c r="DJX11" s="1247"/>
      <c r="DJY11" s="1247"/>
      <c r="DJZ11" s="1247"/>
      <c r="DKA11" s="1247"/>
      <c r="DKB11" s="1247"/>
      <c r="DKC11" s="1247"/>
      <c r="DKD11" s="1247"/>
      <c r="DKE11" s="1247"/>
      <c r="DKF11" s="1247"/>
      <c r="DKG11" s="1247"/>
      <c r="DKH11" s="1247"/>
      <c r="DKI11" s="1247"/>
      <c r="DKJ11" s="1247"/>
      <c r="DKK11" s="1247"/>
      <c r="DKL11" s="1247"/>
      <c r="DKM11" s="1247"/>
      <c r="DKN11" s="1247"/>
      <c r="DKO11" s="1247"/>
      <c r="DKP11" s="1247"/>
      <c r="DKQ11" s="1247"/>
      <c r="DKR11" s="1247"/>
      <c r="DKS11" s="1247"/>
      <c r="DKT11" s="1247"/>
      <c r="DKU11" s="1247"/>
      <c r="DKV11" s="1247"/>
      <c r="DKW11" s="1247"/>
      <c r="DKX11" s="1247"/>
      <c r="DKY11" s="1247"/>
      <c r="DKZ11" s="1247"/>
      <c r="DLA11" s="1247"/>
      <c r="DLB11" s="1247"/>
      <c r="DLC11" s="1247"/>
      <c r="DLD11" s="1247"/>
      <c r="DLE11" s="1247"/>
      <c r="DLF11" s="1247"/>
      <c r="DLG11" s="1247"/>
      <c r="DLH11" s="1247"/>
      <c r="DLI11" s="1247"/>
      <c r="DLJ11" s="1247"/>
      <c r="DLK11" s="1247"/>
      <c r="DLL11" s="1247"/>
      <c r="DLM11" s="1247"/>
      <c r="DLN11" s="1247"/>
      <c r="DLO11" s="1247"/>
      <c r="DLP11" s="1247"/>
      <c r="DLQ11" s="1247"/>
      <c r="DLR11" s="1247"/>
      <c r="DLS11" s="1247"/>
      <c r="DLT11" s="1247"/>
      <c r="DLU11" s="1247"/>
      <c r="DLV11" s="1247"/>
      <c r="DLW11" s="1247"/>
      <c r="DLX11" s="1247"/>
      <c r="DLY11" s="1247"/>
      <c r="DLZ11" s="1247"/>
      <c r="DMA11" s="1247"/>
      <c r="DMB11" s="1247"/>
      <c r="DMC11" s="1247"/>
      <c r="DMD11" s="1247"/>
      <c r="DME11" s="1247"/>
      <c r="DMF11" s="1247"/>
      <c r="DMG11" s="1247"/>
      <c r="DMH11" s="1247"/>
      <c r="DMI11" s="1247"/>
      <c r="DMJ11" s="1247"/>
      <c r="DMK11" s="1247"/>
      <c r="DML11" s="1247"/>
      <c r="DMM11" s="1247"/>
      <c r="DMN11" s="1247"/>
      <c r="DMO11" s="1247"/>
      <c r="DMP11" s="1247"/>
      <c r="DMQ11" s="1247"/>
      <c r="DMR11" s="1247"/>
      <c r="DMS11" s="1247"/>
      <c r="DMT11" s="1247"/>
      <c r="DMU11" s="1247"/>
      <c r="DMV11" s="1247"/>
      <c r="DMW11" s="1247"/>
      <c r="DMX11" s="1247"/>
      <c r="DMY11" s="1247"/>
      <c r="DMZ11" s="1247"/>
      <c r="DNA11" s="1247"/>
      <c r="DNB11" s="1247"/>
      <c r="DNC11" s="1247"/>
      <c r="DND11" s="1247"/>
      <c r="DNE11" s="1247"/>
      <c r="DNF11" s="1247"/>
      <c r="DNG11" s="1247"/>
      <c r="DNH11" s="1247"/>
      <c r="DNI11" s="1247"/>
      <c r="DNJ11" s="1247"/>
      <c r="DNK11" s="1247"/>
      <c r="DNL11" s="1247"/>
      <c r="DNM11" s="1247"/>
      <c r="DNN11" s="1247"/>
      <c r="DNO11" s="1247"/>
      <c r="DNP11" s="1247"/>
      <c r="DNQ11" s="1247"/>
      <c r="DNR11" s="1247"/>
      <c r="DNS11" s="1247"/>
      <c r="DNT11" s="1247"/>
      <c r="DNU11" s="1247"/>
      <c r="DNV11" s="1247"/>
      <c r="DNW11" s="1247"/>
      <c r="DNX11" s="1247"/>
      <c r="DNY11" s="1247"/>
      <c r="DNZ11" s="1247"/>
      <c r="DOA11" s="1247"/>
      <c r="DOB11" s="1247"/>
      <c r="DOC11" s="1247"/>
      <c r="DOD11" s="1247"/>
      <c r="DOE11" s="1247"/>
      <c r="DOF11" s="1247"/>
      <c r="DOG11" s="1247"/>
      <c r="DOH11" s="1247"/>
      <c r="DOI11" s="1247"/>
      <c r="DOJ11" s="1247"/>
      <c r="DOK11" s="1247"/>
      <c r="DOL11" s="1247"/>
      <c r="DOM11" s="1247"/>
      <c r="DON11" s="1247"/>
      <c r="DOO11" s="1247"/>
      <c r="DOP11" s="1247"/>
      <c r="DOQ11" s="1247"/>
      <c r="DOR11" s="1247"/>
      <c r="DOS11" s="1247"/>
      <c r="DOT11" s="1247"/>
      <c r="DOU11" s="1247"/>
      <c r="DOV11" s="1247"/>
      <c r="DOW11" s="1247"/>
      <c r="DOX11" s="1247"/>
      <c r="DOY11" s="1247"/>
      <c r="DOZ11" s="1247"/>
      <c r="DPA11" s="1247"/>
      <c r="DPB11" s="1247"/>
      <c r="DPC11" s="1247"/>
      <c r="DPD11" s="1247"/>
      <c r="DPE11" s="1247"/>
      <c r="DPF11" s="1247"/>
      <c r="DPG11" s="1247"/>
      <c r="DPH11" s="1247"/>
      <c r="DPI11" s="1247"/>
      <c r="DPJ11" s="1247"/>
      <c r="DPK11" s="1247"/>
      <c r="DPL11" s="1247"/>
      <c r="DPM11" s="1247"/>
      <c r="DPN11" s="1247"/>
      <c r="DPO11" s="1247"/>
      <c r="DPP11" s="1247"/>
      <c r="DPQ11" s="1247"/>
      <c r="DPR11" s="1247"/>
      <c r="DPS11" s="1247"/>
      <c r="DPT11" s="1247"/>
      <c r="DPU11" s="1247"/>
      <c r="DPV11" s="1247"/>
      <c r="DPW11" s="1247"/>
      <c r="DPX11" s="1247"/>
      <c r="DPY11" s="1247"/>
      <c r="DPZ11" s="1247"/>
      <c r="DQA11" s="1247"/>
      <c r="DQB11" s="1247"/>
      <c r="DQC11" s="1247"/>
      <c r="DQD11" s="1247"/>
      <c r="DQE11" s="1247"/>
      <c r="DQF11" s="1247"/>
      <c r="DQG11" s="1247"/>
      <c r="DQH11" s="1247"/>
      <c r="DQI11" s="1247"/>
      <c r="DQJ11" s="1247"/>
      <c r="DQK11" s="1247"/>
      <c r="DQL11" s="1247"/>
      <c r="DQM11" s="1247"/>
      <c r="DQN11" s="1247"/>
      <c r="DQO11" s="1247"/>
      <c r="DQP11" s="1247"/>
      <c r="DQQ11" s="1247"/>
      <c r="DQR11" s="1247"/>
      <c r="DQS11" s="1247"/>
      <c r="DQT11" s="1247"/>
      <c r="DQU11" s="1247"/>
      <c r="DQV11" s="1247"/>
      <c r="DQW11" s="1247"/>
      <c r="DQX11" s="1247"/>
      <c r="DQY11" s="1247"/>
      <c r="DQZ11" s="1247"/>
      <c r="DRA11" s="1247"/>
      <c r="DRB11" s="1247"/>
      <c r="DRC11" s="1247"/>
      <c r="DRD11" s="1247"/>
      <c r="DRE11" s="1247"/>
      <c r="DRF11" s="1247"/>
      <c r="DRG11" s="1247"/>
      <c r="DRH11" s="1247"/>
      <c r="DRI11" s="1247"/>
      <c r="DRJ11" s="1247"/>
      <c r="DRK11" s="1247"/>
      <c r="DRL11" s="1247"/>
      <c r="DRM11" s="1247"/>
      <c r="DRN11" s="1247"/>
      <c r="DRO11" s="1247"/>
      <c r="DRP11" s="1247"/>
      <c r="DRQ11" s="1247"/>
      <c r="DRR11" s="1247"/>
      <c r="DRS11" s="1247"/>
      <c r="DRT11" s="1247"/>
      <c r="DRU11" s="1247"/>
      <c r="DRV11" s="1247"/>
      <c r="DRW11" s="1247"/>
      <c r="DRX11" s="1247"/>
      <c r="DRY11" s="1247"/>
      <c r="DRZ11" s="1247"/>
      <c r="DSA11" s="1247"/>
      <c r="DSB11" s="1247"/>
      <c r="DSC11" s="1247"/>
      <c r="DSD11" s="1247"/>
      <c r="DSE11" s="1247"/>
      <c r="DSF11" s="1247"/>
      <c r="DSG11" s="1247"/>
      <c r="DSH11" s="1247"/>
      <c r="DSI11" s="1247"/>
      <c r="DSJ11" s="1247"/>
      <c r="DSK11" s="1247"/>
      <c r="DSL11" s="1247"/>
      <c r="DSM11" s="1247"/>
      <c r="DSN11" s="1247"/>
      <c r="DSO11" s="1247"/>
      <c r="DSP11" s="1247"/>
      <c r="DSQ11" s="1247"/>
      <c r="DSR11" s="1247"/>
      <c r="DSS11" s="1247"/>
      <c r="DST11" s="1247"/>
      <c r="DSU11" s="1247"/>
      <c r="DSV11" s="1247"/>
      <c r="DSW11" s="1247"/>
      <c r="DSX11" s="1247"/>
      <c r="DSY11" s="1247"/>
      <c r="DSZ11" s="1247"/>
      <c r="DTA11" s="1247"/>
      <c r="DTB11" s="1247"/>
      <c r="DTC11" s="1247"/>
      <c r="DTD11" s="1247"/>
      <c r="DTE11" s="1247"/>
      <c r="DTF11" s="1247"/>
      <c r="DTG11" s="1247"/>
      <c r="DTH11" s="1247"/>
      <c r="DTI11" s="1247"/>
      <c r="DTJ11" s="1247"/>
      <c r="DTK11" s="1247"/>
      <c r="DTL11" s="1247"/>
      <c r="DTM11" s="1247"/>
      <c r="DTN11" s="1247"/>
      <c r="DTO11" s="1247"/>
      <c r="DTP11" s="1247"/>
      <c r="DTQ11" s="1247"/>
      <c r="DTR11" s="1247"/>
      <c r="DTS11" s="1247"/>
      <c r="DTT11" s="1247"/>
      <c r="DTU11" s="1247"/>
      <c r="DTV11" s="1247"/>
      <c r="DTW11" s="1247"/>
      <c r="DTX11" s="1247"/>
      <c r="DTY11" s="1247"/>
      <c r="DTZ11" s="1247"/>
      <c r="DUA11" s="1247"/>
      <c r="DUB11" s="1247"/>
      <c r="DUC11" s="1247"/>
      <c r="DUD11" s="1247"/>
      <c r="DUE11" s="1247"/>
      <c r="DUF11" s="1247"/>
      <c r="DUG11" s="1247"/>
      <c r="DUH11" s="1247"/>
      <c r="DUI11" s="1247"/>
      <c r="DUJ11" s="1247"/>
      <c r="DUK11" s="1247"/>
      <c r="DUL11" s="1247"/>
      <c r="DUM11" s="1247"/>
      <c r="DUN11" s="1247"/>
      <c r="DUO11" s="1247"/>
      <c r="DUP11" s="1247"/>
      <c r="DUQ11" s="1247"/>
      <c r="DUR11" s="1247"/>
      <c r="DUS11" s="1247"/>
      <c r="DUT11" s="1247"/>
      <c r="DUU11" s="1247"/>
      <c r="DUV11" s="1247"/>
      <c r="DUW11" s="1247"/>
      <c r="DUX11" s="1247"/>
      <c r="DUY11" s="1247"/>
      <c r="DUZ11" s="1247"/>
      <c r="DVA11" s="1247"/>
      <c r="DVB11" s="1247"/>
      <c r="DVC11" s="1247"/>
      <c r="DVD11" s="1247"/>
      <c r="DVE11" s="1247"/>
      <c r="DVF11" s="1247"/>
      <c r="DVG11" s="1247"/>
      <c r="DVH11" s="1247"/>
      <c r="DVI11" s="1247"/>
      <c r="DVJ11" s="1247"/>
      <c r="DVK11" s="1247"/>
      <c r="DVL11" s="1247"/>
      <c r="DVM11" s="1247"/>
      <c r="DVN11" s="1247"/>
      <c r="DVO11" s="1247"/>
      <c r="DVP11" s="1247"/>
      <c r="DVQ11" s="1247"/>
      <c r="DVR11" s="1247"/>
      <c r="DVS11" s="1247"/>
      <c r="DVT11" s="1247"/>
      <c r="DVU11" s="1247"/>
      <c r="DVV11" s="1247"/>
      <c r="DVW11" s="1247"/>
      <c r="DVX11" s="1247"/>
      <c r="DVY11" s="1247"/>
      <c r="DVZ11" s="1247"/>
      <c r="DWA11" s="1247"/>
      <c r="DWB11" s="1247"/>
      <c r="DWC11" s="1247"/>
      <c r="DWD11" s="1247"/>
      <c r="DWE11" s="1247"/>
      <c r="DWF11" s="1247"/>
      <c r="DWG11" s="1247"/>
      <c r="DWH11" s="1247"/>
      <c r="DWI11" s="1247"/>
      <c r="DWJ11" s="1247"/>
      <c r="DWK11" s="1247"/>
      <c r="DWL11" s="1247"/>
      <c r="DWM11" s="1247"/>
      <c r="DWN11" s="1247"/>
      <c r="DWO11" s="1247"/>
      <c r="DWP11" s="1247"/>
      <c r="DWQ11" s="1247"/>
      <c r="DWR11" s="1247"/>
      <c r="DWS11" s="1247"/>
      <c r="DWT11" s="1247"/>
      <c r="DWU11" s="1247"/>
      <c r="DWV11" s="1247"/>
      <c r="DWW11" s="1247"/>
      <c r="DWX11" s="1247"/>
      <c r="DWY11" s="1247"/>
      <c r="DWZ11" s="1247"/>
      <c r="DXA11" s="1247"/>
      <c r="DXB11" s="1247"/>
      <c r="DXC11" s="1247"/>
      <c r="DXD11" s="1247"/>
      <c r="DXE11" s="1247"/>
      <c r="DXF11" s="1247"/>
      <c r="DXG11" s="1247"/>
      <c r="DXH11" s="1247"/>
      <c r="DXI11" s="1247"/>
      <c r="DXJ11" s="1247"/>
      <c r="DXK11" s="1247"/>
      <c r="DXL11" s="1247"/>
      <c r="DXM11" s="1247"/>
      <c r="DXN11" s="1247"/>
      <c r="DXO11" s="1247"/>
      <c r="DXP11" s="1247"/>
      <c r="DXQ11" s="1247"/>
      <c r="DXR11" s="1247"/>
      <c r="DXS11" s="1247"/>
      <c r="DXT11" s="1247"/>
      <c r="DXU11" s="1247"/>
      <c r="DXV11" s="1247"/>
      <c r="DXW11" s="1247"/>
      <c r="DXX11" s="1247"/>
      <c r="DXY11" s="1247"/>
      <c r="DXZ11" s="1247"/>
      <c r="DYA11" s="1247"/>
      <c r="DYB11" s="1247"/>
      <c r="DYC11" s="1247"/>
      <c r="DYD11" s="1247"/>
      <c r="DYE11" s="1247"/>
      <c r="DYF11" s="1247"/>
      <c r="DYG11" s="1247"/>
      <c r="DYH11" s="1247"/>
      <c r="DYI11" s="1247"/>
      <c r="DYJ11" s="1247"/>
      <c r="DYK11" s="1247"/>
      <c r="DYL11" s="1247"/>
      <c r="DYM11" s="1247"/>
      <c r="DYN11" s="1247"/>
      <c r="DYO11" s="1247"/>
      <c r="DYP11" s="1247"/>
      <c r="DYQ11" s="1247"/>
      <c r="DYR11" s="1247"/>
      <c r="DYS11" s="1247"/>
      <c r="DYT11" s="1247"/>
      <c r="DYU11" s="1247"/>
      <c r="DYV11" s="1247"/>
      <c r="DYW11" s="1247"/>
      <c r="DYX11" s="1247"/>
      <c r="DYY11" s="1247"/>
      <c r="DYZ11" s="1247"/>
      <c r="DZA11" s="1247"/>
      <c r="DZB11" s="1247"/>
      <c r="DZC11" s="1247"/>
      <c r="DZD11" s="1247"/>
      <c r="DZE11" s="1247"/>
      <c r="DZF11" s="1247"/>
      <c r="DZG11" s="1247"/>
      <c r="DZH11" s="1247"/>
      <c r="DZI11" s="1247"/>
      <c r="DZJ11" s="1247"/>
      <c r="DZK11" s="1247"/>
      <c r="DZL11" s="1247"/>
      <c r="DZM11" s="1247"/>
      <c r="DZN11" s="1247"/>
      <c r="DZO11" s="1247"/>
      <c r="DZP11" s="1247"/>
      <c r="DZQ11" s="1247"/>
      <c r="DZR11" s="1247"/>
      <c r="DZS11" s="1247"/>
      <c r="DZT11" s="1247"/>
      <c r="DZU11" s="1247"/>
      <c r="DZV11" s="1247"/>
      <c r="DZW11" s="1247"/>
      <c r="DZX11" s="1247"/>
      <c r="DZY11" s="1247"/>
      <c r="DZZ11" s="1247"/>
      <c r="EAA11" s="1247"/>
      <c r="EAB11" s="1247"/>
      <c r="EAC11" s="1247"/>
      <c r="EAD11" s="1247"/>
      <c r="EAE11" s="1247"/>
      <c r="EAF11" s="1247"/>
      <c r="EAG11" s="1247"/>
      <c r="EAH11" s="1247"/>
      <c r="EAI11" s="1247"/>
      <c r="EAJ11" s="1247"/>
      <c r="EAK11" s="1247"/>
      <c r="EAL11" s="1247"/>
      <c r="EAM11" s="1247"/>
      <c r="EAN11" s="1247"/>
      <c r="EAO11" s="1247"/>
      <c r="EAP11" s="1247"/>
      <c r="EAQ11" s="1247"/>
      <c r="EAR11" s="1247"/>
      <c r="EAS11" s="1247"/>
      <c r="EAT11" s="1247"/>
      <c r="EAU11" s="1247"/>
      <c r="EAV11" s="1247"/>
      <c r="EAW11" s="1247"/>
      <c r="EAX11" s="1247"/>
      <c r="EAY11" s="1247"/>
      <c r="EAZ11" s="1247"/>
      <c r="EBA11" s="1247"/>
      <c r="EBB11" s="1247"/>
      <c r="EBC11" s="1247"/>
      <c r="EBD11" s="1247"/>
      <c r="EBE11" s="1247"/>
      <c r="EBF11" s="1247"/>
      <c r="EBG11" s="1247"/>
      <c r="EBH11" s="1247"/>
      <c r="EBI11" s="1247"/>
      <c r="EBJ11" s="1247"/>
      <c r="EBK11" s="1247"/>
      <c r="EBL11" s="1247"/>
      <c r="EBM11" s="1247"/>
      <c r="EBN11" s="1247"/>
      <c r="EBO11" s="1247"/>
      <c r="EBP11" s="1247"/>
      <c r="EBQ11" s="1247"/>
      <c r="EBR11" s="1247"/>
      <c r="EBS11" s="1247"/>
      <c r="EBT11" s="1247"/>
      <c r="EBU11" s="1247"/>
      <c r="EBV11" s="1247"/>
      <c r="EBW11" s="1247"/>
      <c r="EBX11" s="1247"/>
      <c r="EBY11" s="1247"/>
      <c r="EBZ11" s="1247"/>
      <c r="ECA11" s="1247"/>
      <c r="ECB11" s="1247"/>
      <c r="ECC11" s="1247"/>
      <c r="ECD11" s="1247"/>
      <c r="ECE11" s="1247"/>
      <c r="ECF11" s="1247"/>
      <c r="ECG11" s="1247"/>
      <c r="ECH11" s="1247"/>
      <c r="ECI11" s="1247"/>
      <c r="ECJ11" s="1247"/>
      <c r="ECK11" s="1247"/>
      <c r="ECL11" s="1247"/>
      <c r="ECM11" s="1247"/>
      <c r="ECN11" s="1247"/>
      <c r="ECO11" s="1247"/>
    </row>
    <row r="12" spans="1:3473" s="1248" customFormat="1" ht="13" outlineLevel="1">
      <c r="B12" s="1249" t="s">
        <v>481</v>
      </c>
      <c r="C12" s="1250">
        <v>1</v>
      </c>
      <c r="D12" s="1251" t="s">
        <v>63</v>
      </c>
      <c r="E12" s="1252">
        <f t="shared" si="4"/>
        <v>0</v>
      </c>
      <c r="F12" s="1252">
        <f t="shared" si="4"/>
        <v>0</v>
      </c>
      <c r="G12" s="1252">
        <f t="shared" si="4"/>
        <v>0</v>
      </c>
      <c r="H12" s="1252">
        <f t="shared" si="4"/>
        <v>50.771643499692381</v>
      </c>
      <c r="I12" s="1252">
        <f t="shared" si="4"/>
        <v>46.579489486521545</v>
      </c>
      <c r="J12" s="1252">
        <f t="shared" si="4"/>
        <v>4.1921540131708301</v>
      </c>
      <c r="K12" s="1252">
        <f t="shared" si="4"/>
        <v>0</v>
      </c>
      <c r="L12" s="1252">
        <f t="shared" si="4"/>
        <v>0</v>
      </c>
      <c r="M12" s="1252">
        <f t="shared" si="4"/>
        <v>0</v>
      </c>
      <c r="N12" s="1252" t="str">
        <f t="shared" si="4"/>
        <v/>
      </c>
      <c r="O12" s="1252" t="str">
        <f t="shared" si="4"/>
        <v/>
      </c>
      <c r="P12" s="1252" t="str">
        <f t="shared" si="4"/>
        <v/>
      </c>
      <c r="Q12" s="1252">
        <f t="shared" si="4"/>
        <v>50.771643499692367</v>
      </c>
      <c r="R12" s="1252">
        <f t="shared" si="4"/>
        <v>46.579489486521531</v>
      </c>
      <c r="S12" s="1252">
        <f t="shared" si="8"/>
        <v>4.1921540131708301</v>
      </c>
      <c r="T12" s="1252">
        <f t="shared" si="5"/>
        <v>50.771643499692367</v>
      </c>
      <c r="U12" s="1252">
        <f t="shared" si="5"/>
        <v>46.579489486521538</v>
      </c>
      <c r="V12" s="1252">
        <f t="shared" si="9"/>
        <v>4.1921540131708301</v>
      </c>
      <c r="W12" s="1253" t="str">
        <f t="shared" si="10"/>
        <v/>
      </c>
      <c r="X12" s="1252" t="str">
        <f t="shared" si="10"/>
        <v/>
      </c>
      <c r="Y12" s="1252" t="str">
        <f t="shared" si="10"/>
        <v/>
      </c>
      <c r="Z12" s="1252">
        <f t="shared" si="11"/>
        <v>38.215596943309244</v>
      </c>
      <c r="AA12" s="1252">
        <f t="shared" si="11"/>
        <v>35.060180709982404</v>
      </c>
      <c r="AB12" s="1252">
        <f t="shared" si="11"/>
        <v>3.1554162333268465</v>
      </c>
      <c r="AC12" s="1252">
        <f t="shared" si="15"/>
        <v>50.771643499692367</v>
      </c>
      <c r="AD12" s="1260">
        <f t="shared" si="15"/>
        <v>46.579489486521538</v>
      </c>
      <c r="AE12" s="1260">
        <f t="shared" si="15"/>
        <v>4.1921540131708301</v>
      </c>
      <c r="AF12" s="1254"/>
      <c r="AG12" s="1255"/>
      <c r="AH12" s="1255"/>
      <c r="AI12" s="1256">
        <f>AJ12+AK12</f>
        <v>219.20123978735435</v>
      </c>
      <c r="AJ12" s="1256">
        <f>IF($BB12=0,0,$BB12*AJ$6/($BB$6-$AG$6-$AM$6))</f>
        <v>201.10205501166067</v>
      </c>
      <c r="AK12" s="1256">
        <f>IF($BC12=0,0,$BC12*AK$6/($BC$6-$AH$6-$AN$6))</f>
        <v>18.099184775693676</v>
      </c>
      <c r="AL12" s="1256"/>
      <c r="AM12" s="1256"/>
      <c r="AN12" s="1256"/>
      <c r="AO12" s="1256">
        <f>AP12+AQ12</f>
        <v>0</v>
      </c>
      <c r="AP12" s="1256">
        <f>IF($BB12=0,0,$BB12*AP$6/($BB$6-$AG$6-$AM$6))</f>
        <v>0</v>
      </c>
      <c r="AQ12" s="1256">
        <f>IF($BC12=0,0,$BC12*AQ$6/($BC$6-$AH$6-$AN$6))</f>
        <v>0</v>
      </c>
      <c r="AR12" s="1256">
        <f>AS12+AT12</f>
        <v>300.43805256753257</v>
      </c>
      <c r="AS12" s="1256">
        <f>IF($BB12=0,0,$BB12*AS$6/($BB$6-$AG$6-$AM$6))</f>
        <v>275.631241108143</v>
      </c>
      <c r="AT12" s="1256">
        <f>IF($BC12=0,0,$BC12*AT$6/($BC$6-$AH$6-$AN$6))</f>
        <v>24.806811459389571</v>
      </c>
      <c r="AU12" s="1256">
        <f>AV12+AW12</f>
        <v>5.3763616451129241</v>
      </c>
      <c r="AV12" s="1256">
        <f>IF($BB12=0,0,$BB12*AV$6/($BB$6-$AG$6-$AM$6))</f>
        <v>4.9324418801962251</v>
      </c>
      <c r="AW12" s="1256">
        <f>IF($BC12=0,0,$BC12*AW$6/($BC$6-$AH$6-$AN$6))</f>
        <v>0.44391976491669877</v>
      </c>
      <c r="AX12" s="1256"/>
      <c r="AY12" s="1256"/>
      <c r="AZ12" s="1256"/>
      <c r="BA12" s="1257">
        <f>BB12+BC12</f>
        <v>525.01565399999993</v>
      </c>
      <c r="BB12" s="1257">
        <f>BK12</f>
        <v>481.66573799999998</v>
      </c>
      <c r="BC12" s="1257">
        <f t="shared" ref="BB12:BC15" si="17">BL12</f>
        <v>43.349915999999951</v>
      </c>
      <c r="BD12" s="1261">
        <f>+BE12+BF12</f>
        <v>0</v>
      </c>
      <c r="BE12" s="1261">
        <v>0</v>
      </c>
      <c r="BF12" s="1261">
        <v>0</v>
      </c>
      <c r="BG12" s="1256">
        <f t="shared" ref="BG12:BG15" si="18">+BH12+BI12</f>
        <v>0</v>
      </c>
      <c r="BH12" s="1257">
        <f t="shared" ref="BH12:BI15" si="19">+BE12</f>
        <v>0</v>
      </c>
      <c r="BI12" s="1257">
        <f t="shared" si="19"/>
        <v>0</v>
      </c>
      <c r="BJ12" s="1257">
        <f>'当期公摊测算表（全期）'!O73</f>
        <v>525.01565399999993</v>
      </c>
      <c r="BK12" s="1256">
        <f>'当期公摊测算表（全期）'!Q73</f>
        <v>481.66573799999998</v>
      </c>
      <c r="BL12" s="1256">
        <f>'当期公摊测算表（全期）'!S73</f>
        <v>43.349915999999951</v>
      </c>
      <c r="BM12" s="1262" t="s">
        <v>20</v>
      </c>
      <c r="BN12" s="1225">
        <f t="shared" si="12"/>
        <v>0</v>
      </c>
      <c r="BO12" s="1225">
        <f t="shared" si="13"/>
        <v>0</v>
      </c>
      <c r="BP12" s="1225">
        <f t="shared" si="14"/>
        <v>0</v>
      </c>
      <c r="BQ12" s="1225"/>
      <c r="BR12" s="1221"/>
      <c r="BS12" s="1221"/>
      <c r="BT12" s="1221"/>
      <c r="BU12" s="1221"/>
      <c r="BV12" s="1221"/>
      <c r="BW12" s="1221"/>
      <c r="BX12" s="1221"/>
      <c r="BY12" s="1221"/>
      <c r="BZ12" s="1221"/>
      <c r="CA12" s="1221"/>
      <c r="CB12" s="1221"/>
      <c r="CC12" s="1221"/>
      <c r="CD12" s="1221"/>
      <c r="CE12" s="1221"/>
      <c r="CF12" s="1221"/>
      <c r="CG12" s="1221"/>
      <c r="CH12" s="1221"/>
      <c r="CI12" s="1221"/>
      <c r="CJ12" s="1221"/>
      <c r="CK12" s="1221"/>
      <c r="CL12" s="1221"/>
      <c r="CM12" s="1221"/>
      <c r="CN12" s="1221"/>
      <c r="CO12" s="1221"/>
      <c r="CP12" s="1221"/>
      <c r="CQ12" s="1221"/>
      <c r="CR12" s="1221"/>
      <c r="CS12" s="1221"/>
      <c r="CT12" s="1221"/>
      <c r="CU12" s="1221"/>
      <c r="CV12" s="1221"/>
      <c r="CW12" s="1221"/>
      <c r="CX12" s="1221"/>
      <c r="CY12" s="1221"/>
      <c r="CZ12" s="1221"/>
      <c r="DA12" s="1221"/>
      <c r="DB12" s="1221"/>
      <c r="DC12" s="1221"/>
      <c r="DD12" s="1221"/>
      <c r="DE12" s="1221"/>
      <c r="DF12" s="1221"/>
      <c r="DG12" s="1221"/>
      <c r="DH12" s="1221"/>
      <c r="DI12" s="1221"/>
      <c r="DJ12" s="1221"/>
      <c r="DK12" s="1221"/>
      <c r="DL12" s="1221"/>
      <c r="DM12" s="1221"/>
      <c r="DN12" s="1221"/>
      <c r="DO12" s="1221"/>
      <c r="DP12" s="1221"/>
      <c r="DQ12" s="1221"/>
      <c r="DR12" s="1221"/>
      <c r="DS12" s="1221"/>
      <c r="DT12" s="1221"/>
      <c r="DU12" s="1221"/>
      <c r="DV12" s="1221"/>
      <c r="DW12" s="1221"/>
      <c r="DX12" s="1221"/>
      <c r="DY12" s="1221"/>
      <c r="DZ12" s="1221"/>
      <c r="EA12" s="1221"/>
      <c r="EB12" s="1221"/>
      <c r="EC12" s="1221"/>
      <c r="ED12" s="1221"/>
      <c r="EE12" s="1221"/>
      <c r="EF12" s="1221"/>
      <c r="EG12" s="1221"/>
      <c r="EH12" s="1221"/>
      <c r="EI12" s="1221"/>
      <c r="EJ12" s="1221"/>
      <c r="EK12" s="1221"/>
      <c r="EL12" s="1221"/>
      <c r="EM12" s="1221"/>
      <c r="EN12" s="1221"/>
      <c r="EO12" s="1221"/>
      <c r="EP12" s="1221"/>
      <c r="EQ12" s="1221"/>
      <c r="ER12" s="1221"/>
      <c r="ES12" s="1221"/>
      <c r="ET12" s="1221"/>
      <c r="EU12" s="1221"/>
      <c r="EV12" s="1221"/>
      <c r="EW12" s="1221"/>
      <c r="EX12" s="1221"/>
      <c r="EY12" s="1221"/>
      <c r="EZ12" s="1221"/>
      <c r="FA12" s="1221"/>
      <c r="FB12" s="1221"/>
      <c r="FC12" s="1221"/>
      <c r="FD12" s="1221"/>
      <c r="FE12" s="1221"/>
      <c r="FF12" s="1221"/>
      <c r="FG12" s="1221"/>
      <c r="FH12" s="1221"/>
      <c r="FI12" s="1221"/>
      <c r="FJ12" s="1221"/>
      <c r="FK12" s="1221"/>
      <c r="FL12" s="1221"/>
      <c r="FM12" s="1221"/>
      <c r="FN12" s="1221"/>
      <c r="FO12" s="1221"/>
      <c r="FP12" s="1221"/>
      <c r="FQ12" s="1221"/>
      <c r="FR12" s="1221"/>
      <c r="FS12" s="1221"/>
      <c r="FT12" s="1221"/>
      <c r="FU12" s="1221"/>
      <c r="FV12" s="1221"/>
      <c r="FW12" s="1221"/>
      <c r="FX12" s="1221"/>
      <c r="FY12" s="1221"/>
      <c r="FZ12" s="1221"/>
      <c r="GA12" s="1221"/>
      <c r="GB12" s="1221"/>
      <c r="GC12" s="1221"/>
      <c r="GD12" s="1221"/>
      <c r="GE12" s="1221"/>
      <c r="GF12" s="1221"/>
      <c r="GG12" s="1221"/>
      <c r="GH12" s="1221"/>
      <c r="GI12" s="1221"/>
      <c r="GJ12" s="1221"/>
      <c r="GK12" s="1221"/>
      <c r="GL12" s="1221"/>
      <c r="GM12" s="1221"/>
      <c r="GN12" s="1221"/>
      <c r="GO12" s="1221"/>
      <c r="GP12" s="1221"/>
      <c r="GQ12" s="1221"/>
      <c r="GR12" s="1221"/>
      <c r="GS12" s="1221"/>
      <c r="GT12" s="1221"/>
      <c r="GU12" s="1221"/>
      <c r="GV12" s="1221"/>
      <c r="GW12" s="1221"/>
      <c r="GX12" s="1221"/>
      <c r="GY12" s="1221"/>
      <c r="GZ12" s="1221"/>
      <c r="HA12" s="1221"/>
      <c r="HB12" s="1221"/>
      <c r="HC12" s="1221"/>
      <c r="HD12" s="1221"/>
      <c r="HE12" s="1221"/>
      <c r="HF12" s="1221"/>
      <c r="HG12" s="1221"/>
      <c r="HH12" s="1221"/>
      <c r="HI12" s="1221"/>
      <c r="HJ12" s="1221"/>
      <c r="HK12" s="1221"/>
      <c r="HL12" s="1221"/>
      <c r="HM12" s="1221"/>
      <c r="HN12" s="1221"/>
      <c r="HO12" s="1221"/>
      <c r="HP12" s="1221"/>
      <c r="HQ12" s="1221"/>
      <c r="HR12" s="1221"/>
      <c r="HS12" s="1221"/>
      <c r="HT12" s="1221"/>
      <c r="HU12" s="1221"/>
      <c r="HV12" s="1221"/>
      <c r="HW12" s="1221"/>
      <c r="HX12" s="1221"/>
      <c r="HY12" s="1221"/>
      <c r="HZ12" s="1221"/>
      <c r="IA12" s="1221"/>
      <c r="IB12" s="1221"/>
      <c r="IC12" s="1221"/>
      <c r="ID12" s="1221"/>
      <c r="IE12" s="1221"/>
      <c r="IF12" s="1221"/>
      <c r="IG12" s="1221"/>
      <c r="IH12" s="1221"/>
      <c r="II12" s="1221"/>
      <c r="IJ12" s="1221"/>
      <c r="IK12" s="1221"/>
      <c r="IL12" s="1221"/>
      <c r="IM12" s="1221"/>
      <c r="IN12" s="1221"/>
      <c r="IO12" s="1221"/>
      <c r="IP12" s="1221"/>
      <c r="IQ12" s="1221"/>
      <c r="IR12" s="1221"/>
      <c r="IS12" s="1221"/>
      <c r="IT12" s="1221"/>
      <c r="IU12" s="1221"/>
      <c r="IV12" s="1221"/>
      <c r="IW12" s="1221"/>
      <c r="IX12" s="1221"/>
      <c r="IY12" s="1221"/>
      <c r="IZ12" s="1221"/>
      <c r="JA12" s="1221"/>
      <c r="JB12" s="1221"/>
      <c r="JC12" s="1221"/>
      <c r="JD12" s="1221"/>
      <c r="JE12" s="1221"/>
      <c r="JF12" s="1221"/>
      <c r="JG12" s="1221"/>
      <c r="JH12" s="1221"/>
      <c r="JI12" s="1221"/>
      <c r="JJ12" s="1221"/>
      <c r="JK12" s="1221"/>
      <c r="JL12" s="1221"/>
      <c r="JM12" s="1221"/>
      <c r="JN12" s="1221"/>
      <c r="JO12" s="1221"/>
      <c r="JP12" s="1221"/>
      <c r="JQ12" s="1221"/>
      <c r="JR12" s="1221"/>
      <c r="JS12" s="1221"/>
      <c r="JT12" s="1221"/>
      <c r="JU12" s="1221"/>
      <c r="JV12" s="1221"/>
      <c r="JW12" s="1221"/>
      <c r="JX12" s="1221"/>
      <c r="JY12" s="1221"/>
      <c r="JZ12" s="1221"/>
      <c r="KA12" s="1221"/>
      <c r="KB12" s="1221"/>
      <c r="KC12" s="1221"/>
      <c r="KD12" s="1221"/>
      <c r="KE12" s="1221"/>
      <c r="KF12" s="1221"/>
      <c r="KG12" s="1221"/>
      <c r="KH12" s="1221"/>
      <c r="KI12" s="1221"/>
      <c r="KJ12" s="1221"/>
      <c r="KK12" s="1221"/>
      <c r="KL12" s="1221"/>
      <c r="KM12" s="1221"/>
      <c r="KN12" s="1221"/>
      <c r="KO12" s="1221"/>
      <c r="KP12" s="1221"/>
      <c r="KQ12" s="1221"/>
      <c r="KR12" s="1221"/>
      <c r="KS12" s="1221"/>
      <c r="KT12" s="1221"/>
      <c r="KU12" s="1221"/>
      <c r="KV12" s="1221"/>
      <c r="KW12" s="1221"/>
      <c r="KX12" s="1221"/>
      <c r="KY12" s="1221"/>
      <c r="KZ12" s="1221"/>
      <c r="LA12" s="1221"/>
      <c r="LB12" s="1221"/>
      <c r="LC12" s="1221"/>
      <c r="LD12" s="1221"/>
      <c r="LE12" s="1221"/>
      <c r="LF12" s="1221"/>
      <c r="LG12" s="1221"/>
      <c r="LH12" s="1221"/>
      <c r="LI12" s="1221"/>
      <c r="LJ12" s="1221"/>
      <c r="LK12" s="1221"/>
      <c r="LL12" s="1221"/>
      <c r="LM12" s="1221"/>
      <c r="LN12" s="1221"/>
      <c r="LO12" s="1221"/>
      <c r="LP12" s="1221"/>
      <c r="LQ12" s="1221"/>
      <c r="LR12" s="1221"/>
      <c r="LS12" s="1221"/>
      <c r="LT12" s="1221"/>
      <c r="LU12" s="1221"/>
      <c r="LV12" s="1221"/>
      <c r="LW12" s="1221"/>
      <c r="LX12" s="1221"/>
      <c r="LY12" s="1221"/>
      <c r="LZ12" s="1221"/>
      <c r="MA12" s="1221"/>
      <c r="MB12" s="1221"/>
      <c r="MC12" s="1221"/>
      <c r="MD12" s="1221"/>
      <c r="ME12" s="1221"/>
      <c r="MF12" s="1221"/>
      <c r="MG12" s="1221"/>
      <c r="MH12" s="1221"/>
      <c r="MI12" s="1221"/>
      <c r="MJ12" s="1221"/>
      <c r="MK12" s="1221"/>
      <c r="ML12" s="1221"/>
      <c r="MM12" s="1221"/>
      <c r="MN12" s="1221"/>
      <c r="MO12" s="1221"/>
      <c r="MP12" s="1221"/>
      <c r="MQ12" s="1221"/>
      <c r="MR12" s="1221"/>
      <c r="MS12" s="1221"/>
      <c r="MT12" s="1221"/>
      <c r="MU12" s="1221"/>
      <c r="MV12" s="1221"/>
      <c r="MW12" s="1221"/>
      <c r="MX12" s="1221"/>
      <c r="MY12" s="1221"/>
      <c r="MZ12" s="1221"/>
      <c r="NA12" s="1221"/>
      <c r="NB12" s="1221"/>
      <c r="NC12" s="1221"/>
      <c r="ND12" s="1221"/>
      <c r="NE12" s="1221"/>
      <c r="NF12" s="1221"/>
      <c r="NG12" s="1221"/>
      <c r="NH12" s="1221"/>
      <c r="NI12" s="1221"/>
      <c r="NJ12" s="1221"/>
      <c r="NK12" s="1221"/>
      <c r="NL12" s="1221"/>
      <c r="NM12" s="1221"/>
      <c r="NN12" s="1221"/>
      <c r="NO12" s="1221"/>
      <c r="NP12" s="1221"/>
      <c r="NQ12" s="1221"/>
      <c r="NR12" s="1221"/>
      <c r="NS12" s="1221"/>
      <c r="NT12" s="1221"/>
      <c r="NU12" s="1221"/>
      <c r="NV12" s="1221"/>
      <c r="NW12" s="1221"/>
      <c r="NX12" s="1221"/>
      <c r="NY12" s="1221"/>
      <c r="NZ12" s="1221"/>
      <c r="OA12" s="1221"/>
      <c r="OB12" s="1221"/>
      <c r="OC12" s="1221"/>
      <c r="OD12" s="1221"/>
      <c r="OE12" s="1221"/>
      <c r="OF12" s="1221"/>
      <c r="OG12" s="1221"/>
      <c r="OH12" s="1221"/>
      <c r="OI12" s="1221"/>
      <c r="OJ12" s="1221"/>
      <c r="OK12" s="1221"/>
      <c r="OL12" s="1221"/>
      <c r="OM12" s="1221"/>
      <c r="ON12" s="1221"/>
      <c r="OO12" s="1221"/>
      <c r="OP12" s="1221"/>
      <c r="OQ12" s="1221"/>
      <c r="OR12" s="1221"/>
      <c r="OS12" s="1221"/>
      <c r="OT12" s="1221"/>
      <c r="OU12" s="1221"/>
      <c r="OV12" s="1221"/>
      <c r="OW12" s="1221"/>
      <c r="OX12" s="1221"/>
      <c r="OY12" s="1221"/>
      <c r="OZ12" s="1221"/>
      <c r="PA12" s="1221"/>
      <c r="PB12" s="1221"/>
      <c r="PC12" s="1221"/>
      <c r="PD12" s="1221"/>
      <c r="PE12" s="1221"/>
      <c r="PF12" s="1221"/>
      <c r="PG12" s="1221"/>
      <c r="PH12" s="1221"/>
      <c r="PI12" s="1221"/>
      <c r="PJ12" s="1221"/>
      <c r="PK12" s="1221"/>
      <c r="PL12" s="1221"/>
      <c r="PM12" s="1221"/>
      <c r="PN12" s="1221"/>
      <c r="PO12" s="1221"/>
      <c r="PP12" s="1221"/>
      <c r="PQ12" s="1221"/>
      <c r="PR12" s="1221"/>
      <c r="PS12" s="1221"/>
      <c r="PT12" s="1221"/>
      <c r="PU12" s="1221"/>
      <c r="PV12" s="1221"/>
      <c r="PW12" s="1221"/>
      <c r="PX12" s="1221"/>
      <c r="PY12" s="1221"/>
      <c r="PZ12" s="1221"/>
      <c r="QA12" s="1221"/>
      <c r="QB12" s="1221"/>
      <c r="QC12" s="1221"/>
      <c r="QD12" s="1221"/>
      <c r="QE12" s="1221"/>
      <c r="QF12" s="1221"/>
      <c r="QG12" s="1221"/>
      <c r="QH12" s="1221"/>
      <c r="QI12" s="1221"/>
      <c r="QJ12" s="1221"/>
      <c r="QK12" s="1221"/>
      <c r="QL12" s="1221"/>
      <c r="QM12" s="1221"/>
      <c r="QN12" s="1221"/>
      <c r="QO12" s="1221"/>
      <c r="QP12" s="1221"/>
      <c r="QQ12" s="1221"/>
      <c r="QR12" s="1221"/>
      <c r="QS12" s="1221"/>
      <c r="QT12" s="1221"/>
      <c r="QU12" s="1221"/>
      <c r="QV12" s="1221"/>
      <c r="QW12" s="1221"/>
      <c r="QX12" s="1221"/>
      <c r="QY12" s="1221"/>
      <c r="QZ12" s="1221"/>
      <c r="RA12" s="1221"/>
      <c r="RB12" s="1221"/>
      <c r="RC12" s="1221"/>
      <c r="RD12" s="1221"/>
      <c r="RE12" s="1221"/>
      <c r="RF12" s="1221"/>
      <c r="RG12" s="1221"/>
      <c r="RH12" s="1221"/>
      <c r="RI12" s="1221"/>
      <c r="RJ12" s="1221"/>
      <c r="RK12" s="1221"/>
      <c r="RL12" s="1221"/>
      <c r="RM12" s="1221"/>
      <c r="RN12" s="1221"/>
      <c r="RO12" s="1221"/>
      <c r="RP12" s="1221"/>
      <c r="RQ12" s="1221"/>
      <c r="RR12" s="1221"/>
      <c r="RS12" s="1221"/>
      <c r="RT12" s="1221"/>
      <c r="RU12" s="1221"/>
      <c r="RV12" s="1221"/>
      <c r="RW12" s="1221"/>
      <c r="RX12" s="1221"/>
      <c r="RY12" s="1221"/>
      <c r="RZ12" s="1221"/>
      <c r="SA12" s="1221"/>
      <c r="SB12" s="1221"/>
      <c r="SC12" s="1221"/>
      <c r="SD12" s="1221"/>
      <c r="SE12" s="1221"/>
      <c r="SF12" s="1221"/>
      <c r="SG12" s="1221"/>
      <c r="SH12" s="1221"/>
      <c r="SI12" s="1221"/>
      <c r="SJ12" s="1221"/>
      <c r="SK12" s="1221"/>
      <c r="SL12" s="1221"/>
      <c r="SM12" s="1221"/>
      <c r="SN12" s="1221"/>
      <c r="SO12" s="1221"/>
      <c r="SP12" s="1221"/>
      <c r="SQ12" s="1221"/>
      <c r="SR12" s="1221"/>
      <c r="SS12" s="1221"/>
      <c r="ST12" s="1221"/>
      <c r="SU12" s="1221"/>
      <c r="SV12" s="1221"/>
      <c r="SW12" s="1221"/>
      <c r="SX12" s="1221"/>
      <c r="SY12" s="1221"/>
      <c r="SZ12" s="1221"/>
      <c r="TA12" s="1221"/>
      <c r="TB12" s="1221"/>
      <c r="TC12" s="1221"/>
      <c r="TD12" s="1221"/>
      <c r="TE12" s="1221"/>
      <c r="TF12" s="1221"/>
      <c r="TG12" s="1221"/>
      <c r="TH12" s="1221"/>
      <c r="TI12" s="1221"/>
      <c r="TJ12" s="1221"/>
      <c r="TK12" s="1221"/>
      <c r="TL12" s="1221"/>
      <c r="TM12" s="1221"/>
      <c r="TN12" s="1221"/>
      <c r="TO12" s="1221"/>
      <c r="TP12" s="1221"/>
      <c r="TQ12" s="1221"/>
      <c r="TR12" s="1221"/>
      <c r="TS12" s="1221"/>
      <c r="TT12" s="1221"/>
      <c r="TU12" s="1221"/>
      <c r="TV12" s="1221"/>
      <c r="TW12" s="1221"/>
      <c r="TX12" s="1221"/>
      <c r="TY12" s="1221"/>
      <c r="TZ12" s="1221"/>
      <c r="UA12" s="1221"/>
      <c r="UB12" s="1221"/>
      <c r="UC12" s="1221"/>
      <c r="UD12" s="1221"/>
      <c r="UE12" s="1221"/>
      <c r="UF12" s="1221"/>
      <c r="UG12" s="1221"/>
      <c r="UH12" s="1221"/>
      <c r="UI12" s="1221"/>
      <c r="UJ12" s="1221"/>
      <c r="UK12" s="1221"/>
      <c r="UL12" s="1221"/>
      <c r="UM12" s="1221"/>
      <c r="UN12" s="1221"/>
      <c r="UO12" s="1221"/>
      <c r="UP12" s="1221"/>
      <c r="UQ12" s="1221"/>
      <c r="UR12" s="1221"/>
      <c r="US12" s="1221"/>
      <c r="UT12" s="1221"/>
      <c r="UU12" s="1221"/>
      <c r="UV12" s="1221"/>
      <c r="UW12" s="1221"/>
      <c r="UX12" s="1221"/>
      <c r="UY12" s="1221"/>
      <c r="UZ12" s="1221"/>
      <c r="VA12" s="1221"/>
      <c r="VB12" s="1221"/>
      <c r="VC12" s="1221"/>
      <c r="VD12" s="1221"/>
      <c r="VE12" s="1221"/>
      <c r="VF12" s="1221"/>
      <c r="VG12" s="1221"/>
      <c r="VH12" s="1221"/>
      <c r="VI12" s="1221"/>
      <c r="VJ12" s="1221"/>
      <c r="VK12" s="1221"/>
      <c r="VL12" s="1221"/>
      <c r="VM12" s="1221"/>
      <c r="VN12" s="1221"/>
      <c r="VO12" s="1221"/>
      <c r="VP12" s="1221"/>
      <c r="VQ12" s="1221"/>
      <c r="VR12" s="1221"/>
      <c r="VS12" s="1221"/>
      <c r="VT12" s="1221"/>
      <c r="VU12" s="1221"/>
      <c r="VV12" s="1221"/>
      <c r="VW12" s="1221"/>
      <c r="VX12" s="1221"/>
      <c r="VY12" s="1221"/>
      <c r="VZ12" s="1221"/>
      <c r="WA12" s="1221"/>
      <c r="WB12" s="1221"/>
      <c r="WC12" s="1221"/>
      <c r="WD12" s="1221"/>
      <c r="WE12" s="1221"/>
      <c r="WF12" s="1221"/>
      <c r="WG12" s="1221"/>
      <c r="WH12" s="1221"/>
      <c r="WI12" s="1221"/>
      <c r="WJ12" s="1221"/>
      <c r="WK12" s="1221"/>
      <c r="WL12" s="1221"/>
      <c r="WM12" s="1221"/>
      <c r="WN12" s="1221"/>
      <c r="WO12" s="1221"/>
      <c r="WP12" s="1221"/>
      <c r="WQ12" s="1221"/>
      <c r="WR12" s="1221"/>
      <c r="WS12" s="1221"/>
      <c r="WT12" s="1221"/>
      <c r="WU12" s="1221"/>
      <c r="WV12" s="1221"/>
      <c r="WW12" s="1221"/>
      <c r="WX12" s="1221"/>
      <c r="WY12" s="1221"/>
      <c r="WZ12" s="1221"/>
      <c r="XA12" s="1221"/>
      <c r="XB12" s="1221"/>
      <c r="XC12" s="1221"/>
      <c r="XD12" s="1221"/>
      <c r="XE12" s="1221"/>
      <c r="XF12" s="1221"/>
      <c r="XG12" s="1221"/>
      <c r="XH12" s="1221"/>
      <c r="XI12" s="1221"/>
      <c r="XJ12" s="1221"/>
      <c r="XK12" s="1221"/>
      <c r="XL12" s="1221"/>
      <c r="XM12" s="1221"/>
      <c r="XN12" s="1221"/>
      <c r="XO12" s="1221"/>
      <c r="XP12" s="1221"/>
      <c r="XQ12" s="1221"/>
      <c r="XR12" s="1221"/>
      <c r="XS12" s="1221"/>
      <c r="XT12" s="1221"/>
      <c r="XU12" s="1221"/>
      <c r="XV12" s="1221"/>
      <c r="XW12" s="1221"/>
      <c r="XX12" s="1221"/>
      <c r="XY12" s="1221"/>
      <c r="XZ12" s="1221"/>
      <c r="YA12" s="1221"/>
      <c r="YB12" s="1221"/>
      <c r="YC12" s="1221"/>
      <c r="YD12" s="1221"/>
      <c r="YE12" s="1221"/>
      <c r="YF12" s="1221"/>
      <c r="YG12" s="1221"/>
      <c r="YH12" s="1221"/>
      <c r="YI12" s="1221"/>
      <c r="YJ12" s="1221"/>
      <c r="YK12" s="1221"/>
      <c r="YL12" s="1221"/>
      <c r="YM12" s="1221"/>
      <c r="YN12" s="1221"/>
      <c r="YO12" s="1221"/>
      <c r="YP12" s="1221"/>
      <c r="YQ12" s="1221"/>
      <c r="YR12" s="1221"/>
      <c r="YS12" s="1221"/>
      <c r="YT12" s="1221"/>
      <c r="YU12" s="1221"/>
      <c r="YV12" s="1221"/>
      <c r="YW12" s="1221"/>
      <c r="YX12" s="1221"/>
      <c r="YY12" s="1221"/>
      <c r="YZ12" s="1221"/>
      <c r="ZA12" s="1221"/>
      <c r="ZB12" s="1221"/>
      <c r="ZC12" s="1221"/>
      <c r="ZD12" s="1221"/>
      <c r="ZE12" s="1221"/>
      <c r="ZF12" s="1221"/>
      <c r="ZG12" s="1221"/>
      <c r="ZH12" s="1221"/>
      <c r="ZI12" s="1221"/>
      <c r="ZJ12" s="1221"/>
      <c r="ZK12" s="1221"/>
      <c r="ZL12" s="1221"/>
      <c r="ZM12" s="1221"/>
      <c r="ZN12" s="1221"/>
      <c r="ZO12" s="1221"/>
      <c r="ZP12" s="1221"/>
      <c r="ZQ12" s="1221"/>
      <c r="ZR12" s="1221"/>
      <c r="ZS12" s="1221"/>
      <c r="ZT12" s="1221"/>
      <c r="ZU12" s="1221"/>
      <c r="ZV12" s="1221"/>
      <c r="ZW12" s="1221"/>
      <c r="ZX12" s="1221"/>
      <c r="ZY12" s="1221"/>
      <c r="ZZ12" s="1221"/>
      <c r="AAA12" s="1221"/>
      <c r="AAB12" s="1221"/>
      <c r="AAC12" s="1221"/>
      <c r="AAD12" s="1221"/>
      <c r="AAE12" s="1221"/>
      <c r="AAF12" s="1221"/>
      <c r="AAG12" s="1221"/>
      <c r="AAH12" s="1221"/>
      <c r="AAI12" s="1221"/>
      <c r="AAJ12" s="1221"/>
      <c r="AAK12" s="1221"/>
      <c r="AAL12" s="1221"/>
      <c r="AAM12" s="1221"/>
      <c r="AAN12" s="1221"/>
      <c r="AAO12" s="1221"/>
      <c r="AAP12" s="1221"/>
      <c r="AAQ12" s="1221"/>
      <c r="AAR12" s="1221"/>
      <c r="AAS12" s="1221"/>
      <c r="AAT12" s="1221"/>
      <c r="AAU12" s="1221"/>
      <c r="AAV12" s="1221"/>
      <c r="AAW12" s="1221"/>
      <c r="AAX12" s="1221"/>
      <c r="AAY12" s="1221"/>
      <c r="AAZ12" s="1221"/>
      <c r="ABA12" s="1221"/>
      <c r="ABB12" s="1221"/>
      <c r="ABC12" s="1221"/>
      <c r="ABD12" s="1221"/>
      <c r="ABE12" s="1221"/>
      <c r="ABF12" s="1221"/>
      <c r="ABG12" s="1221"/>
      <c r="ABH12" s="1221"/>
      <c r="ABI12" s="1221"/>
      <c r="ABJ12" s="1221"/>
      <c r="ABK12" s="1221"/>
      <c r="ABL12" s="1221"/>
      <c r="ABM12" s="1221"/>
      <c r="ABN12" s="1221"/>
      <c r="ABO12" s="1221"/>
      <c r="ABP12" s="1221"/>
      <c r="ABQ12" s="1221"/>
      <c r="ABR12" s="1221"/>
      <c r="ABS12" s="1221"/>
      <c r="ABT12" s="1221"/>
      <c r="ABU12" s="1221"/>
      <c r="ABV12" s="1221"/>
      <c r="ABW12" s="1221"/>
      <c r="ABX12" s="1221"/>
      <c r="ABY12" s="1221"/>
      <c r="ABZ12" s="1221"/>
      <c r="ACA12" s="1221"/>
      <c r="ACB12" s="1221"/>
      <c r="ACC12" s="1221"/>
      <c r="ACD12" s="1221"/>
      <c r="ACE12" s="1221"/>
      <c r="ACF12" s="1221"/>
      <c r="ACG12" s="1221"/>
      <c r="ACH12" s="1221"/>
      <c r="ACI12" s="1221"/>
      <c r="ACJ12" s="1221"/>
      <c r="ACK12" s="1221"/>
      <c r="ACL12" s="1221"/>
      <c r="ACM12" s="1221"/>
      <c r="ACN12" s="1221"/>
      <c r="ACO12" s="1221"/>
      <c r="ACP12" s="1221"/>
      <c r="ACQ12" s="1221"/>
      <c r="ACR12" s="1221"/>
      <c r="ACS12" s="1221"/>
      <c r="ACT12" s="1221"/>
      <c r="ACU12" s="1221"/>
      <c r="ACV12" s="1221"/>
      <c r="ACW12" s="1221"/>
      <c r="ACX12" s="1221"/>
      <c r="ACY12" s="1221"/>
      <c r="ACZ12" s="1221"/>
      <c r="ADA12" s="1221"/>
      <c r="ADB12" s="1221"/>
      <c r="ADC12" s="1221"/>
      <c r="ADD12" s="1221"/>
      <c r="ADE12" s="1221"/>
      <c r="ADF12" s="1221"/>
      <c r="ADG12" s="1221"/>
      <c r="ADH12" s="1221"/>
      <c r="ADI12" s="1221"/>
      <c r="ADJ12" s="1221"/>
      <c r="ADK12" s="1221"/>
      <c r="ADL12" s="1221"/>
      <c r="ADM12" s="1221"/>
      <c r="ADN12" s="1221"/>
      <c r="ADO12" s="1221"/>
      <c r="ADP12" s="1221"/>
      <c r="ADQ12" s="1221"/>
      <c r="ADR12" s="1221"/>
      <c r="ADS12" s="1221"/>
      <c r="ADT12" s="1221"/>
      <c r="ADU12" s="1221"/>
      <c r="ADV12" s="1221"/>
      <c r="ADW12" s="1221"/>
      <c r="ADX12" s="1221"/>
      <c r="ADY12" s="1221"/>
      <c r="ADZ12" s="1221"/>
      <c r="AEA12" s="1221"/>
      <c r="AEB12" s="1221"/>
      <c r="AEC12" s="1221"/>
      <c r="AED12" s="1221"/>
      <c r="AEE12" s="1221"/>
      <c r="AEF12" s="1221"/>
      <c r="AEG12" s="1221"/>
      <c r="AEH12" s="1221"/>
      <c r="AEI12" s="1221"/>
      <c r="AEJ12" s="1221"/>
      <c r="AEK12" s="1221"/>
      <c r="AEL12" s="1221"/>
      <c r="AEM12" s="1221"/>
      <c r="AEN12" s="1221"/>
      <c r="AEO12" s="1221"/>
      <c r="AEP12" s="1221"/>
      <c r="AEQ12" s="1221"/>
      <c r="AER12" s="1221"/>
      <c r="AES12" s="1221"/>
      <c r="AET12" s="1221"/>
      <c r="AEU12" s="1221"/>
      <c r="AEV12" s="1221"/>
      <c r="AEW12" s="1221"/>
      <c r="AEX12" s="1221"/>
      <c r="AEY12" s="1221"/>
      <c r="AEZ12" s="1221"/>
      <c r="AFA12" s="1221"/>
      <c r="AFB12" s="1221"/>
      <c r="AFC12" s="1221"/>
      <c r="AFD12" s="1221"/>
      <c r="AFE12" s="1221"/>
      <c r="AFF12" s="1221"/>
      <c r="AFG12" s="1221"/>
      <c r="AFH12" s="1221"/>
      <c r="AFI12" s="1221"/>
      <c r="AFJ12" s="1221"/>
      <c r="AFK12" s="1221"/>
      <c r="AFL12" s="1221"/>
      <c r="AFM12" s="1221"/>
      <c r="AFN12" s="1221"/>
      <c r="AFO12" s="1221"/>
      <c r="AFP12" s="1221"/>
      <c r="AFQ12" s="1221"/>
      <c r="AFR12" s="1221"/>
      <c r="AFS12" s="1221"/>
      <c r="AFT12" s="1221"/>
      <c r="AFU12" s="1221"/>
      <c r="AFV12" s="1221"/>
      <c r="AFW12" s="1221"/>
      <c r="AFX12" s="1221"/>
      <c r="AFY12" s="1221"/>
      <c r="AFZ12" s="1221"/>
      <c r="AGA12" s="1221"/>
      <c r="AGB12" s="1221"/>
      <c r="AGC12" s="1221"/>
      <c r="AGD12" s="1221"/>
      <c r="AGE12" s="1221"/>
      <c r="AGF12" s="1221"/>
      <c r="AGG12" s="1221"/>
      <c r="AGH12" s="1221"/>
      <c r="AGI12" s="1221"/>
      <c r="AGJ12" s="1221"/>
      <c r="AGK12" s="1221"/>
      <c r="AGL12" s="1221"/>
      <c r="AGM12" s="1221"/>
      <c r="AGN12" s="1221"/>
      <c r="AGO12" s="1221"/>
      <c r="AGP12" s="1221"/>
      <c r="AGQ12" s="1221"/>
      <c r="AGR12" s="1221"/>
      <c r="AGS12" s="1221"/>
      <c r="AGT12" s="1221"/>
      <c r="AGU12" s="1221"/>
      <c r="AGV12" s="1221"/>
      <c r="AGW12" s="1221"/>
      <c r="AGX12" s="1221"/>
      <c r="AGY12" s="1221"/>
      <c r="AGZ12" s="1221"/>
      <c r="AHA12" s="1221"/>
      <c r="AHB12" s="1221"/>
      <c r="AHC12" s="1221"/>
      <c r="AHD12" s="1221"/>
      <c r="AHE12" s="1221"/>
      <c r="AHF12" s="1221"/>
      <c r="AHG12" s="1221"/>
      <c r="AHH12" s="1221"/>
      <c r="AHI12" s="1221"/>
      <c r="AHJ12" s="1221"/>
      <c r="AHK12" s="1221"/>
      <c r="AHL12" s="1221"/>
      <c r="AHM12" s="1221"/>
      <c r="AHN12" s="1221"/>
      <c r="AHO12" s="1221"/>
      <c r="AHP12" s="1221"/>
      <c r="AHQ12" s="1221"/>
      <c r="AHR12" s="1221"/>
      <c r="AHS12" s="1221"/>
      <c r="AHT12" s="1221"/>
      <c r="AHU12" s="1221"/>
      <c r="AHV12" s="1221"/>
      <c r="AHW12" s="1221"/>
      <c r="AHX12" s="1221"/>
      <c r="AHY12" s="1221"/>
      <c r="AHZ12" s="1221"/>
      <c r="AIA12" s="1221"/>
      <c r="AIB12" s="1221"/>
      <c r="AIC12" s="1221"/>
      <c r="AID12" s="1221"/>
      <c r="AIE12" s="1221"/>
      <c r="AIF12" s="1221"/>
      <c r="AIG12" s="1221"/>
      <c r="AIH12" s="1221"/>
      <c r="AII12" s="1221"/>
      <c r="AIJ12" s="1221"/>
      <c r="AIK12" s="1221"/>
      <c r="AIL12" s="1221"/>
      <c r="AIM12" s="1221"/>
      <c r="AIN12" s="1221"/>
      <c r="AIO12" s="1221"/>
      <c r="AIP12" s="1221"/>
      <c r="AIQ12" s="1221"/>
      <c r="AIR12" s="1221"/>
      <c r="AIS12" s="1221"/>
      <c r="AIT12" s="1221"/>
      <c r="AIU12" s="1221"/>
      <c r="AIV12" s="1221"/>
      <c r="AIW12" s="1221"/>
      <c r="AIX12" s="1221"/>
      <c r="AIY12" s="1221"/>
      <c r="AIZ12" s="1221"/>
      <c r="AJA12" s="1221"/>
      <c r="AJB12" s="1221"/>
      <c r="AJC12" s="1221"/>
      <c r="AJD12" s="1221"/>
      <c r="AJE12" s="1221"/>
      <c r="AJF12" s="1221"/>
      <c r="AJG12" s="1221"/>
      <c r="AJH12" s="1221"/>
      <c r="AJI12" s="1221"/>
      <c r="AJJ12" s="1221"/>
      <c r="AJK12" s="1221"/>
      <c r="AJL12" s="1221"/>
      <c r="AJM12" s="1221"/>
      <c r="AJN12" s="1221"/>
      <c r="AJO12" s="1221"/>
      <c r="AJP12" s="1221"/>
      <c r="AJQ12" s="1221"/>
      <c r="AJR12" s="1221"/>
      <c r="AJS12" s="1221"/>
      <c r="AJT12" s="1221"/>
      <c r="AJU12" s="1221"/>
      <c r="AJV12" s="1221"/>
      <c r="AJW12" s="1221"/>
      <c r="AJX12" s="1221"/>
      <c r="AJY12" s="1221"/>
      <c r="AJZ12" s="1221"/>
      <c r="AKA12" s="1221"/>
      <c r="AKB12" s="1221"/>
      <c r="AKC12" s="1221"/>
      <c r="AKD12" s="1221"/>
      <c r="AKE12" s="1221"/>
      <c r="AKF12" s="1221"/>
      <c r="AKG12" s="1221"/>
      <c r="AKH12" s="1221"/>
      <c r="AKI12" s="1221"/>
      <c r="AKJ12" s="1221"/>
      <c r="AKK12" s="1221"/>
      <c r="AKL12" s="1221"/>
      <c r="AKM12" s="1221"/>
      <c r="AKN12" s="1221"/>
      <c r="AKO12" s="1221"/>
      <c r="AKP12" s="1221"/>
      <c r="AKQ12" s="1221"/>
      <c r="AKR12" s="1221"/>
      <c r="AKS12" s="1221"/>
      <c r="AKT12" s="1221"/>
      <c r="AKU12" s="1221"/>
      <c r="AKV12" s="1221"/>
      <c r="AKW12" s="1221"/>
      <c r="AKX12" s="1221"/>
      <c r="AKY12" s="1221"/>
      <c r="AKZ12" s="1221"/>
      <c r="ALA12" s="1221"/>
      <c r="ALB12" s="1221"/>
      <c r="ALC12" s="1221"/>
      <c r="ALD12" s="1221"/>
      <c r="ALE12" s="1221"/>
      <c r="ALF12" s="1221"/>
      <c r="ALG12" s="1221"/>
      <c r="ALH12" s="1221"/>
      <c r="ALI12" s="1221"/>
      <c r="ALJ12" s="1221"/>
      <c r="ALK12" s="1221"/>
      <c r="ALL12" s="1221"/>
      <c r="ALM12" s="1221"/>
      <c r="ALN12" s="1221"/>
      <c r="ALO12" s="1221"/>
      <c r="ALP12" s="1221"/>
      <c r="ALQ12" s="1221"/>
      <c r="ALR12" s="1221"/>
      <c r="ALS12" s="1221"/>
      <c r="ALT12" s="1221"/>
      <c r="ALU12" s="1221"/>
      <c r="ALV12" s="1221"/>
      <c r="ALW12" s="1221"/>
      <c r="ALX12" s="1221"/>
      <c r="ALY12" s="1221"/>
      <c r="ALZ12" s="1221"/>
      <c r="AMA12" s="1221"/>
      <c r="AMB12" s="1221"/>
      <c r="AMC12" s="1221"/>
      <c r="AMD12" s="1221"/>
      <c r="AME12" s="1221"/>
      <c r="AMF12" s="1221"/>
      <c r="AMG12" s="1221"/>
      <c r="AMH12" s="1221"/>
      <c r="AMI12" s="1221"/>
      <c r="AMJ12" s="1221"/>
      <c r="AMK12" s="1221"/>
      <c r="AML12" s="1221"/>
      <c r="AMM12" s="1221"/>
      <c r="AMN12" s="1221"/>
      <c r="AMO12" s="1221"/>
      <c r="AMP12" s="1221"/>
      <c r="AMQ12" s="1221"/>
      <c r="AMR12" s="1221"/>
      <c r="AMS12" s="1221"/>
      <c r="AMT12" s="1221"/>
      <c r="AMU12" s="1221"/>
      <c r="AMV12" s="1221"/>
      <c r="AMW12" s="1221"/>
      <c r="AMX12" s="1221"/>
      <c r="AMY12" s="1221"/>
      <c r="AMZ12" s="1221"/>
      <c r="ANA12" s="1221"/>
      <c r="ANB12" s="1221"/>
      <c r="ANC12" s="1221"/>
      <c r="AND12" s="1221"/>
      <c r="ANE12" s="1221"/>
      <c r="ANF12" s="1221"/>
      <c r="ANG12" s="1221"/>
      <c r="ANH12" s="1221"/>
      <c r="ANI12" s="1221"/>
      <c r="ANJ12" s="1221"/>
      <c r="ANK12" s="1221"/>
      <c r="ANL12" s="1221"/>
      <c r="ANM12" s="1221"/>
      <c r="ANN12" s="1221"/>
      <c r="ANO12" s="1221"/>
      <c r="ANP12" s="1221"/>
      <c r="ANQ12" s="1221"/>
      <c r="ANR12" s="1221"/>
      <c r="ANS12" s="1221"/>
      <c r="ANT12" s="1221"/>
      <c r="ANU12" s="1221"/>
      <c r="ANV12" s="1221"/>
      <c r="ANW12" s="1221"/>
      <c r="ANX12" s="1221"/>
      <c r="ANY12" s="1221"/>
      <c r="ANZ12" s="1221"/>
      <c r="AOA12" s="1221"/>
      <c r="AOB12" s="1221"/>
      <c r="AOC12" s="1221"/>
      <c r="AOD12" s="1221"/>
      <c r="AOE12" s="1221"/>
      <c r="AOF12" s="1221"/>
      <c r="AOG12" s="1221"/>
      <c r="AOH12" s="1221"/>
      <c r="AOI12" s="1221"/>
      <c r="AOJ12" s="1221"/>
      <c r="AOK12" s="1221"/>
      <c r="AOL12" s="1221"/>
      <c r="AOM12" s="1221"/>
      <c r="AON12" s="1221"/>
      <c r="AOO12" s="1221"/>
      <c r="AOP12" s="1221"/>
      <c r="AOQ12" s="1221"/>
      <c r="AOR12" s="1221"/>
      <c r="AOS12" s="1221"/>
      <c r="AOT12" s="1221"/>
      <c r="AOU12" s="1221"/>
      <c r="AOV12" s="1221"/>
      <c r="AOW12" s="1221"/>
      <c r="AOX12" s="1221"/>
      <c r="AOY12" s="1221"/>
      <c r="AOZ12" s="1221"/>
      <c r="APA12" s="1221"/>
      <c r="APB12" s="1221"/>
      <c r="APC12" s="1221"/>
      <c r="APD12" s="1221"/>
      <c r="APE12" s="1221"/>
      <c r="APF12" s="1221"/>
      <c r="APG12" s="1221"/>
      <c r="APH12" s="1221"/>
      <c r="API12" s="1221"/>
      <c r="APJ12" s="1221"/>
      <c r="APK12" s="1221"/>
      <c r="APL12" s="1221"/>
      <c r="APM12" s="1221"/>
      <c r="APN12" s="1221"/>
      <c r="APO12" s="1221"/>
      <c r="APP12" s="1221"/>
      <c r="APQ12" s="1221"/>
      <c r="APR12" s="1221"/>
      <c r="APS12" s="1221"/>
      <c r="APT12" s="1221"/>
      <c r="APU12" s="1221"/>
      <c r="APV12" s="1221"/>
      <c r="APW12" s="1221"/>
      <c r="APX12" s="1221"/>
      <c r="APY12" s="1221"/>
      <c r="APZ12" s="1221"/>
      <c r="AQA12" s="1221"/>
      <c r="AQB12" s="1221"/>
      <c r="AQC12" s="1221"/>
      <c r="AQD12" s="1221"/>
      <c r="AQE12" s="1221"/>
      <c r="AQF12" s="1221"/>
      <c r="AQG12" s="1221"/>
      <c r="AQH12" s="1221"/>
      <c r="AQI12" s="1221"/>
      <c r="AQJ12" s="1221"/>
      <c r="AQK12" s="1221"/>
      <c r="AQL12" s="1221"/>
      <c r="AQM12" s="1221"/>
      <c r="AQN12" s="1221"/>
      <c r="AQO12" s="1221"/>
      <c r="AQP12" s="1221"/>
      <c r="AQQ12" s="1221"/>
      <c r="AQR12" s="1221"/>
      <c r="AQS12" s="1221"/>
      <c r="AQT12" s="1221"/>
      <c r="AQU12" s="1221"/>
      <c r="AQV12" s="1221"/>
      <c r="AQW12" s="1221"/>
      <c r="AQX12" s="1221"/>
      <c r="AQY12" s="1221"/>
      <c r="AQZ12" s="1221"/>
      <c r="ARA12" s="1221"/>
      <c r="ARB12" s="1221"/>
      <c r="ARC12" s="1221"/>
      <c r="ARD12" s="1221"/>
      <c r="ARE12" s="1221"/>
      <c r="ARF12" s="1221"/>
      <c r="ARG12" s="1221"/>
      <c r="ARH12" s="1221"/>
      <c r="ARI12" s="1221"/>
      <c r="ARJ12" s="1221"/>
      <c r="ARK12" s="1221"/>
      <c r="ARL12" s="1221"/>
      <c r="ARM12" s="1221"/>
      <c r="ARN12" s="1221"/>
      <c r="ARO12" s="1221"/>
      <c r="ARP12" s="1221"/>
      <c r="ARQ12" s="1221"/>
      <c r="ARR12" s="1221"/>
      <c r="ARS12" s="1221"/>
      <c r="ART12" s="1221"/>
      <c r="ARU12" s="1221"/>
      <c r="ARV12" s="1221"/>
      <c r="ARW12" s="1221"/>
      <c r="ARX12" s="1221"/>
      <c r="ARY12" s="1221"/>
      <c r="ARZ12" s="1221"/>
      <c r="ASA12" s="1221"/>
      <c r="ASB12" s="1221"/>
      <c r="ASC12" s="1221"/>
      <c r="ASD12" s="1221"/>
      <c r="ASE12" s="1221"/>
      <c r="ASF12" s="1221"/>
      <c r="ASG12" s="1221"/>
      <c r="ASH12" s="1221"/>
      <c r="ASI12" s="1221"/>
      <c r="ASJ12" s="1221"/>
      <c r="ASK12" s="1221"/>
      <c r="ASL12" s="1221"/>
      <c r="ASM12" s="1221"/>
      <c r="ASN12" s="1221"/>
      <c r="ASO12" s="1221"/>
      <c r="ASP12" s="1221"/>
      <c r="ASQ12" s="1221"/>
      <c r="ASR12" s="1221"/>
      <c r="ASS12" s="1221"/>
      <c r="AST12" s="1221"/>
      <c r="ASU12" s="1221"/>
      <c r="ASV12" s="1221"/>
      <c r="ASW12" s="1221"/>
      <c r="ASX12" s="1221"/>
      <c r="ASY12" s="1221"/>
      <c r="ASZ12" s="1221"/>
      <c r="ATA12" s="1221"/>
      <c r="ATB12" s="1221"/>
      <c r="ATC12" s="1221"/>
      <c r="ATD12" s="1221"/>
      <c r="ATE12" s="1221"/>
      <c r="ATF12" s="1221"/>
      <c r="ATG12" s="1221"/>
      <c r="ATH12" s="1221"/>
      <c r="ATI12" s="1221"/>
      <c r="ATJ12" s="1221"/>
      <c r="ATK12" s="1221"/>
      <c r="ATL12" s="1221"/>
      <c r="ATM12" s="1221"/>
      <c r="ATN12" s="1221"/>
      <c r="ATO12" s="1221"/>
      <c r="ATP12" s="1221"/>
      <c r="ATQ12" s="1221"/>
      <c r="ATR12" s="1221"/>
      <c r="ATS12" s="1221"/>
      <c r="ATT12" s="1221"/>
      <c r="ATU12" s="1221"/>
      <c r="ATV12" s="1221"/>
      <c r="ATW12" s="1221"/>
      <c r="ATX12" s="1221"/>
      <c r="ATY12" s="1221"/>
      <c r="ATZ12" s="1221"/>
      <c r="AUA12" s="1221"/>
      <c r="AUB12" s="1221"/>
      <c r="AUC12" s="1221"/>
      <c r="AUD12" s="1221"/>
      <c r="AUE12" s="1221"/>
      <c r="AUF12" s="1221"/>
      <c r="AUG12" s="1221"/>
      <c r="AUH12" s="1221"/>
      <c r="AUI12" s="1221"/>
      <c r="AUJ12" s="1221"/>
      <c r="AUK12" s="1221"/>
      <c r="AUL12" s="1221"/>
      <c r="AUM12" s="1221"/>
      <c r="AUN12" s="1221"/>
      <c r="AUO12" s="1221"/>
      <c r="AUP12" s="1221"/>
      <c r="AUQ12" s="1221"/>
      <c r="AUR12" s="1221"/>
      <c r="AUS12" s="1221"/>
      <c r="AUT12" s="1221"/>
      <c r="AUU12" s="1221"/>
      <c r="AUV12" s="1221"/>
      <c r="AUW12" s="1221"/>
      <c r="AUX12" s="1221"/>
      <c r="AUY12" s="1221"/>
      <c r="AUZ12" s="1221"/>
      <c r="AVA12" s="1221"/>
      <c r="AVB12" s="1221"/>
      <c r="AVC12" s="1221"/>
      <c r="AVD12" s="1221"/>
      <c r="AVE12" s="1221"/>
      <c r="AVF12" s="1221"/>
      <c r="AVG12" s="1221"/>
      <c r="AVH12" s="1221"/>
      <c r="AVI12" s="1221"/>
      <c r="AVJ12" s="1221"/>
      <c r="AVK12" s="1221"/>
      <c r="AVL12" s="1221"/>
      <c r="AVM12" s="1221"/>
      <c r="AVN12" s="1221"/>
      <c r="AVO12" s="1221"/>
      <c r="AVP12" s="1221"/>
      <c r="AVQ12" s="1221"/>
      <c r="AVR12" s="1221"/>
      <c r="AVS12" s="1221"/>
      <c r="AVT12" s="1221"/>
      <c r="AVU12" s="1221"/>
      <c r="AVV12" s="1221"/>
      <c r="AVW12" s="1221"/>
      <c r="AVX12" s="1221"/>
      <c r="AVY12" s="1221"/>
      <c r="AVZ12" s="1221"/>
      <c r="AWA12" s="1221"/>
      <c r="AWB12" s="1221"/>
      <c r="AWC12" s="1221"/>
      <c r="AWD12" s="1221"/>
      <c r="AWE12" s="1221"/>
      <c r="AWF12" s="1221"/>
      <c r="AWG12" s="1221"/>
      <c r="AWH12" s="1221"/>
      <c r="AWI12" s="1221"/>
      <c r="AWJ12" s="1221"/>
      <c r="AWK12" s="1221"/>
      <c r="AWL12" s="1221"/>
      <c r="AWM12" s="1221"/>
      <c r="AWN12" s="1221"/>
      <c r="AWO12" s="1221"/>
      <c r="AWP12" s="1221"/>
      <c r="AWQ12" s="1221"/>
      <c r="AWR12" s="1221"/>
      <c r="AWS12" s="1221"/>
      <c r="AWT12" s="1221"/>
      <c r="AWU12" s="1221"/>
      <c r="AWV12" s="1221"/>
      <c r="AWW12" s="1221"/>
      <c r="AWX12" s="1221"/>
      <c r="AWY12" s="1221"/>
      <c r="AWZ12" s="1221"/>
      <c r="AXA12" s="1221"/>
      <c r="AXB12" s="1221"/>
      <c r="AXC12" s="1221"/>
      <c r="AXD12" s="1221"/>
      <c r="AXE12" s="1221"/>
      <c r="AXF12" s="1221"/>
      <c r="AXG12" s="1221"/>
      <c r="AXH12" s="1221"/>
      <c r="AXI12" s="1221"/>
      <c r="AXJ12" s="1221"/>
      <c r="AXK12" s="1221"/>
      <c r="AXL12" s="1221"/>
      <c r="AXM12" s="1221"/>
      <c r="AXN12" s="1221"/>
      <c r="AXO12" s="1221"/>
      <c r="AXP12" s="1221"/>
      <c r="AXQ12" s="1221"/>
      <c r="AXR12" s="1221"/>
      <c r="AXS12" s="1221"/>
      <c r="AXT12" s="1221"/>
      <c r="AXU12" s="1221"/>
      <c r="AXV12" s="1221"/>
      <c r="AXW12" s="1221"/>
      <c r="AXX12" s="1221"/>
      <c r="AXY12" s="1221"/>
      <c r="AXZ12" s="1221"/>
      <c r="AYA12" s="1221"/>
      <c r="AYB12" s="1221"/>
      <c r="AYC12" s="1221"/>
      <c r="AYD12" s="1221"/>
      <c r="AYE12" s="1221"/>
      <c r="AYF12" s="1221"/>
      <c r="AYG12" s="1221"/>
      <c r="AYH12" s="1221"/>
      <c r="AYI12" s="1221"/>
      <c r="AYJ12" s="1221"/>
      <c r="AYK12" s="1221"/>
      <c r="AYL12" s="1221"/>
      <c r="AYM12" s="1221"/>
      <c r="AYN12" s="1221"/>
      <c r="AYO12" s="1221"/>
      <c r="AYP12" s="1221"/>
      <c r="AYQ12" s="1221"/>
      <c r="AYR12" s="1221"/>
      <c r="AYS12" s="1221"/>
      <c r="AYT12" s="1221"/>
      <c r="AYU12" s="1221"/>
      <c r="AYV12" s="1221"/>
      <c r="AYW12" s="1221"/>
      <c r="AYX12" s="1221"/>
      <c r="AYY12" s="1221"/>
      <c r="AYZ12" s="1221"/>
      <c r="AZA12" s="1221"/>
      <c r="AZB12" s="1221"/>
      <c r="AZC12" s="1221"/>
      <c r="AZD12" s="1221"/>
      <c r="AZE12" s="1221"/>
      <c r="AZF12" s="1221"/>
      <c r="AZG12" s="1221"/>
      <c r="AZH12" s="1221"/>
      <c r="AZI12" s="1221"/>
      <c r="AZJ12" s="1221"/>
      <c r="AZK12" s="1221"/>
      <c r="AZL12" s="1221"/>
      <c r="AZM12" s="1221"/>
      <c r="AZN12" s="1221"/>
      <c r="AZO12" s="1221"/>
      <c r="AZP12" s="1221"/>
      <c r="AZQ12" s="1221"/>
      <c r="AZR12" s="1221"/>
      <c r="AZS12" s="1221"/>
      <c r="AZT12" s="1221"/>
      <c r="AZU12" s="1221"/>
      <c r="AZV12" s="1221"/>
      <c r="AZW12" s="1221"/>
      <c r="AZX12" s="1221"/>
      <c r="AZY12" s="1221"/>
      <c r="AZZ12" s="1221"/>
      <c r="BAA12" s="1221"/>
      <c r="BAB12" s="1221"/>
      <c r="BAC12" s="1221"/>
      <c r="BAD12" s="1221"/>
      <c r="BAE12" s="1221"/>
      <c r="BAF12" s="1221"/>
      <c r="BAG12" s="1221"/>
      <c r="BAH12" s="1221"/>
      <c r="BAI12" s="1221"/>
      <c r="BAJ12" s="1221"/>
      <c r="BAK12" s="1221"/>
      <c r="BAL12" s="1221"/>
      <c r="BAM12" s="1221"/>
      <c r="BAN12" s="1221"/>
      <c r="BAO12" s="1221"/>
      <c r="BAP12" s="1221"/>
      <c r="BAQ12" s="1221"/>
      <c r="BAR12" s="1221"/>
      <c r="BAS12" s="1221"/>
      <c r="BAT12" s="1221"/>
      <c r="BAU12" s="1221"/>
      <c r="BAV12" s="1221"/>
      <c r="BAW12" s="1221"/>
      <c r="BAX12" s="1221"/>
      <c r="BAY12" s="1221"/>
      <c r="BAZ12" s="1221"/>
      <c r="BBA12" s="1221"/>
      <c r="BBB12" s="1221"/>
      <c r="BBC12" s="1221"/>
      <c r="BBD12" s="1221"/>
      <c r="BBE12" s="1221"/>
      <c r="BBF12" s="1221"/>
      <c r="BBG12" s="1221"/>
      <c r="BBH12" s="1221"/>
      <c r="BBI12" s="1221"/>
      <c r="BBJ12" s="1221"/>
      <c r="BBK12" s="1221"/>
      <c r="BBL12" s="1221"/>
      <c r="BBM12" s="1221"/>
      <c r="BBN12" s="1221"/>
      <c r="BBO12" s="1221"/>
      <c r="BBP12" s="1221"/>
      <c r="BBQ12" s="1221"/>
      <c r="BBR12" s="1221"/>
      <c r="BBS12" s="1221"/>
      <c r="BBT12" s="1221"/>
      <c r="BBU12" s="1221"/>
      <c r="BBV12" s="1221"/>
      <c r="BBW12" s="1221"/>
      <c r="BBX12" s="1221"/>
      <c r="BBY12" s="1221"/>
      <c r="BBZ12" s="1221"/>
      <c r="BCA12" s="1221"/>
      <c r="BCB12" s="1221"/>
      <c r="BCC12" s="1221"/>
      <c r="BCD12" s="1221"/>
      <c r="BCE12" s="1221"/>
      <c r="BCF12" s="1221"/>
      <c r="BCG12" s="1221"/>
      <c r="BCH12" s="1221"/>
      <c r="BCI12" s="1221"/>
      <c r="BCJ12" s="1221"/>
      <c r="BCK12" s="1221"/>
      <c r="BCL12" s="1221"/>
      <c r="BCM12" s="1221"/>
      <c r="BCN12" s="1221"/>
      <c r="BCO12" s="1221"/>
      <c r="BCP12" s="1221"/>
      <c r="BCQ12" s="1221"/>
      <c r="BCR12" s="1221"/>
      <c r="BCS12" s="1221"/>
      <c r="BCT12" s="1221"/>
      <c r="BCU12" s="1221"/>
      <c r="BCV12" s="1221"/>
      <c r="BCW12" s="1221"/>
      <c r="BCX12" s="1221"/>
      <c r="BCY12" s="1221"/>
      <c r="BCZ12" s="1221"/>
      <c r="BDA12" s="1221"/>
      <c r="BDB12" s="1221"/>
      <c r="BDC12" s="1221"/>
      <c r="BDD12" s="1221"/>
      <c r="BDE12" s="1221"/>
      <c r="BDF12" s="1221"/>
      <c r="BDG12" s="1221"/>
      <c r="BDH12" s="1221"/>
      <c r="BDI12" s="1221"/>
      <c r="BDJ12" s="1221"/>
      <c r="BDK12" s="1221"/>
      <c r="BDL12" s="1221"/>
      <c r="BDM12" s="1221"/>
      <c r="BDN12" s="1221"/>
      <c r="BDO12" s="1221"/>
      <c r="BDP12" s="1221"/>
      <c r="BDQ12" s="1221"/>
      <c r="BDR12" s="1221"/>
      <c r="BDS12" s="1221"/>
      <c r="BDT12" s="1221"/>
      <c r="BDU12" s="1221"/>
      <c r="BDV12" s="1221"/>
      <c r="BDW12" s="1221"/>
      <c r="BDX12" s="1221"/>
      <c r="BDY12" s="1221"/>
      <c r="BDZ12" s="1221"/>
      <c r="BEA12" s="1221"/>
      <c r="BEB12" s="1221"/>
      <c r="BEC12" s="1221"/>
      <c r="BED12" s="1221"/>
      <c r="BEE12" s="1221"/>
      <c r="BEF12" s="1221"/>
      <c r="BEG12" s="1221"/>
      <c r="BEH12" s="1221"/>
      <c r="BEI12" s="1221"/>
      <c r="BEJ12" s="1221"/>
      <c r="BEK12" s="1221"/>
      <c r="BEL12" s="1221"/>
      <c r="BEM12" s="1221"/>
      <c r="BEN12" s="1221"/>
      <c r="BEO12" s="1221"/>
      <c r="BEP12" s="1221"/>
      <c r="BEQ12" s="1221"/>
      <c r="BER12" s="1221"/>
      <c r="BES12" s="1221"/>
      <c r="BET12" s="1221"/>
      <c r="BEU12" s="1221"/>
      <c r="BEV12" s="1221"/>
      <c r="BEW12" s="1221"/>
      <c r="BEX12" s="1221"/>
      <c r="BEY12" s="1221"/>
      <c r="BEZ12" s="1221"/>
      <c r="BFA12" s="1221"/>
      <c r="BFB12" s="1221"/>
      <c r="BFC12" s="1221"/>
      <c r="BFD12" s="1221"/>
      <c r="BFE12" s="1221"/>
      <c r="BFF12" s="1221"/>
      <c r="BFG12" s="1221"/>
      <c r="BFH12" s="1221"/>
      <c r="BFI12" s="1221"/>
      <c r="BFJ12" s="1221"/>
      <c r="BFK12" s="1221"/>
      <c r="BFL12" s="1221"/>
      <c r="BFM12" s="1221"/>
      <c r="BFN12" s="1221"/>
      <c r="BFO12" s="1221"/>
      <c r="BFP12" s="1221"/>
      <c r="BFQ12" s="1221"/>
      <c r="BFR12" s="1221"/>
      <c r="BFS12" s="1221"/>
      <c r="BFT12" s="1221"/>
      <c r="BFU12" s="1221"/>
      <c r="BFV12" s="1221"/>
      <c r="BFW12" s="1221"/>
      <c r="BFX12" s="1221"/>
      <c r="BFY12" s="1221"/>
      <c r="BFZ12" s="1221"/>
      <c r="BGA12" s="1221"/>
      <c r="BGB12" s="1221"/>
      <c r="BGC12" s="1221"/>
      <c r="BGD12" s="1221"/>
      <c r="BGE12" s="1221"/>
      <c r="BGF12" s="1221"/>
      <c r="BGG12" s="1221"/>
      <c r="BGH12" s="1221"/>
      <c r="BGI12" s="1221"/>
      <c r="BGJ12" s="1221"/>
      <c r="BGK12" s="1221"/>
      <c r="BGL12" s="1221"/>
      <c r="BGM12" s="1221"/>
      <c r="BGN12" s="1221"/>
      <c r="BGO12" s="1221"/>
      <c r="BGP12" s="1221"/>
      <c r="BGQ12" s="1221"/>
      <c r="BGR12" s="1221"/>
      <c r="BGS12" s="1221"/>
      <c r="BGT12" s="1221"/>
      <c r="BGU12" s="1221"/>
      <c r="BGV12" s="1221"/>
      <c r="BGW12" s="1221"/>
      <c r="BGX12" s="1221"/>
      <c r="BGY12" s="1221"/>
      <c r="BGZ12" s="1221"/>
      <c r="BHA12" s="1221"/>
      <c r="BHB12" s="1221"/>
      <c r="BHC12" s="1221"/>
      <c r="BHD12" s="1221"/>
      <c r="BHE12" s="1221"/>
      <c r="BHF12" s="1221"/>
      <c r="BHG12" s="1221"/>
      <c r="BHH12" s="1221"/>
      <c r="BHI12" s="1221"/>
      <c r="BHJ12" s="1221"/>
      <c r="BHK12" s="1221"/>
      <c r="BHL12" s="1221"/>
      <c r="BHM12" s="1221"/>
      <c r="BHN12" s="1221"/>
      <c r="BHO12" s="1221"/>
      <c r="BHP12" s="1221"/>
      <c r="BHQ12" s="1221"/>
      <c r="BHR12" s="1221"/>
      <c r="BHS12" s="1221"/>
      <c r="BHT12" s="1221"/>
      <c r="BHU12" s="1221"/>
      <c r="BHV12" s="1221"/>
      <c r="BHW12" s="1221"/>
      <c r="BHX12" s="1221"/>
      <c r="BHY12" s="1221"/>
      <c r="BHZ12" s="1221"/>
      <c r="BIA12" s="1221"/>
      <c r="BIB12" s="1221"/>
      <c r="BIC12" s="1221"/>
      <c r="BID12" s="1221"/>
      <c r="BIE12" s="1221"/>
      <c r="BIF12" s="1221"/>
      <c r="BIG12" s="1221"/>
      <c r="BIH12" s="1221"/>
      <c r="BII12" s="1221"/>
      <c r="BIJ12" s="1221"/>
      <c r="BIK12" s="1221"/>
      <c r="BIL12" s="1221"/>
      <c r="BIM12" s="1221"/>
      <c r="BIN12" s="1221"/>
      <c r="BIO12" s="1221"/>
      <c r="BIP12" s="1221"/>
      <c r="BIQ12" s="1221"/>
      <c r="BIR12" s="1221"/>
      <c r="BIS12" s="1221"/>
      <c r="BIT12" s="1221"/>
      <c r="BIU12" s="1221"/>
      <c r="BIV12" s="1221"/>
      <c r="BIW12" s="1221"/>
      <c r="BIX12" s="1221"/>
      <c r="BIY12" s="1221"/>
      <c r="BIZ12" s="1221"/>
      <c r="BJA12" s="1221"/>
      <c r="BJB12" s="1221"/>
      <c r="BJC12" s="1221"/>
      <c r="BJD12" s="1221"/>
      <c r="BJE12" s="1221"/>
      <c r="BJF12" s="1221"/>
      <c r="BJG12" s="1221"/>
      <c r="BJH12" s="1221"/>
      <c r="BJI12" s="1221"/>
      <c r="BJJ12" s="1221"/>
      <c r="BJK12" s="1221"/>
      <c r="BJL12" s="1221"/>
      <c r="BJM12" s="1221"/>
      <c r="BJN12" s="1221"/>
      <c r="BJO12" s="1221"/>
      <c r="BJP12" s="1221"/>
      <c r="BJQ12" s="1221"/>
      <c r="BJR12" s="1221"/>
      <c r="BJS12" s="1221"/>
      <c r="BJT12" s="1221"/>
      <c r="BJU12" s="1221"/>
      <c r="BJV12" s="1221"/>
      <c r="BJW12" s="1221"/>
      <c r="BJX12" s="1221"/>
      <c r="BJY12" s="1221"/>
      <c r="BJZ12" s="1221"/>
      <c r="BKA12" s="1221"/>
      <c r="BKB12" s="1221"/>
      <c r="BKC12" s="1221"/>
      <c r="BKD12" s="1221"/>
      <c r="BKE12" s="1221"/>
      <c r="BKF12" s="1221"/>
      <c r="BKG12" s="1221"/>
      <c r="BKH12" s="1221"/>
      <c r="BKI12" s="1221"/>
      <c r="BKJ12" s="1221"/>
      <c r="BKK12" s="1221"/>
      <c r="BKL12" s="1221"/>
      <c r="BKM12" s="1221"/>
      <c r="BKN12" s="1221"/>
      <c r="BKO12" s="1221"/>
      <c r="BKP12" s="1221"/>
      <c r="BKQ12" s="1221"/>
      <c r="BKR12" s="1221"/>
      <c r="BKS12" s="1221"/>
      <c r="BKT12" s="1221"/>
      <c r="BKU12" s="1221"/>
      <c r="BKV12" s="1221"/>
      <c r="BKW12" s="1221"/>
      <c r="BKX12" s="1221"/>
      <c r="BKY12" s="1221"/>
      <c r="BKZ12" s="1221"/>
      <c r="BLA12" s="1221"/>
      <c r="BLB12" s="1221"/>
      <c r="BLC12" s="1221"/>
      <c r="BLD12" s="1221"/>
      <c r="BLE12" s="1221"/>
      <c r="BLF12" s="1221"/>
      <c r="BLG12" s="1221"/>
      <c r="BLH12" s="1221"/>
      <c r="BLI12" s="1221"/>
      <c r="BLJ12" s="1221"/>
      <c r="BLK12" s="1221"/>
      <c r="BLL12" s="1221"/>
      <c r="BLM12" s="1221"/>
      <c r="BLN12" s="1221"/>
      <c r="BLO12" s="1221"/>
      <c r="BLP12" s="1221"/>
      <c r="BLQ12" s="1221"/>
      <c r="BLR12" s="1221"/>
      <c r="BLS12" s="1221"/>
      <c r="BLT12" s="1221"/>
      <c r="BLU12" s="1221"/>
      <c r="BLV12" s="1221"/>
      <c r="BLW12" s="1221"/>
      <c r="BLX12" s="1221"/>
      <c r="BLY12" s="1221"/>
      <c r="BLZ12" s="1221"/>
      <c r="BMA12" s="1221"/>
      <c r="BMB12" s="1221"/>
      <c r="BMC12" s="1221"/>
      <c r="BMD12" s="1221"/>
      <c r="BME12" s="1221"/>
      <c r="BMF12" s="1221"/>
      <c r="BMG12" s="1221"/>
      <c r="BMH12" s="1221"/>
      <c r="BMI12" s="1221"/>
      <c r="BMJ12" s="1221"/>
      <c r="BMK12" s="1221"/>
      <c r="BML12" s="1221"/>
      <c r="BMM12" s="1221"/>
      <c r="BMN12" s="1221"/>
      <c r="BMO12" s="1221"/>
      <c r="BMP12" s="1221"/>
      <c r="BMQ12" s="1221"/>
      <c r="BMR12" s="1221"/>
      <c r="BMS12" s="1221"/>
      <c r="BMT12" s="1221"/>
      <c r="BMU12" s="1221"/>
      <c r="BMV12" s="1221"/>
      <c r="BMW12" s="1221"/>
      <c r="BMX12" s="1221"/>
      <c r="BMY12" s="1221"/>
      <c r="BMZ12" s="1221"/>
      <c r="BNA12" s="1221"/>
      <c r="BNB12" s="1221"/>
      <c r="BNC12" s="1221"/>
      <c r="BND12" s="1221"/>
      <c r="BNE12" s="1221"/>
      <c r="BNF12" s="1221"/>
      <c r="BNG12" s="1221"/>
      <c r="BNH12" s="1221"/>
      <c r="BNI12" s="1221"/>
      <c r="BNJ12" s="1221"/>
      <c r="BNK12" s="1221"/>
      <c r="BNL12" s="1221"/>
      <c r="BNM12" s="1221"/>
      <c r="BNN12" s="1221"/>
      <c r="BNO12" s="1221"/>
      <c r="BNP12" s="1221"/>
      <c r="BNQ12" s="1221"/>
      <c r="BNR12" s="1221"/>
      <c r="BNS12" s="1221"/>
      <c r="BNT12" s="1221"/>
      <c r="BNU12" s="1221"/>
      <c r="BNV12" s="1221"/>
      <c r="BNW12" s="1221"/>
      <c r="BNX12" s="1221"/>
      <c r="BNY12" s="1221"/>
      <c r="BNZ12" s="1221"/>
      <c r="BOA12" s="1221"/>
      <c r="BOB12" s="1221"/>
      <c r="BOC12" s="1221"/>
      <c r="BOD12" s="1221"/>
      <c r="BOE12" s="1221"/>
      <c r="BOF12" s="1221"/>
      <c r="BOG12" s="1221"/>
      <c r="BOH12" s="1221"/>
      <c r="BOI12" s="1221"/>
      <c r="BOJ12" s="1221"/>
      <c r="BOK12" s="1221"/>
      <c r="BOL12" s="1221"/>
      <c r="BOM12" s="1221"/>
      <c r="BON12" s="1221"/>
      <c r="BOO12" s="1221"/>
      <c r="BOP12" s="1221"/>
      <c r="BOQ12" s="1221"/>
      <c r="BOR12" s="1221"/>
      <c r="BOS12" s="1221"/>
      <c r="BOT12" s="1221"/>
      <c r="BOU12" s="1221"/>
      <c r="BOV12" s="1221"/>
      <c r="BOW12" s="1221"/>
      <c r="BOX12" s="1221"/>
      <c r="BOY12" s="1221"/>
      <c r="BOZ12" s="1221"/>
      <c r="BPA12" s="1221"/>
      <c r="BPB12" s="1221"/>
      <c r="BPC12" s="1221"/>
      <c r="BPD12" s="1221"/>
      <c r="BPE12" s="1221"/>
      <c r="BPF12" s="1221"/>
      <c r="BPG12" s="1221"/>
      <c r="BPH12" s="1221"/>
      <c r="BPI12" s="1221"/>
      <c r="BPJ12" s="1221"/>
      <c r="BPK12" s="1221"/>
      <c r="BPL12" s="1221"/>
      <c r="BPM12" s="1221"/>
      <c r="BPN12" s="1221"/>
      <c r="BPO12" s="1221"/>
      <c r="BPP12" s="1221"/>
      <c r="BPQ12" s="1221"/>
      <c r="BPR12" s="1221"/>
      <c r="BPS12" s="1221"/>
      <c r="BPT12" s="1221"/>
      <c r="BPU12" s="1221"/>
      <c r="BPV12" s="1221"/>
      <c r="BPW12" s="1221"/>
      <c r="BPX12" s="1221"/>
      <c r="BPY12" s="1221"/>
      <c r="BPZ12" s="1221"/>
      <c r="BQA12" s="1221"/>
      <c r="BQB12" s="1221"/>
      <c r="BQC12" s="1221"/>
      <c r="BQD12" s="1221"/>
      <c r="BQE12" s="1221"/>
      <c r="BQF12" s="1221"/>
      <c r="BQG12" s="1221"/>
      <c r="BQH12" s="1221"/>
      <c r="BQI12" s="1221"/>
      <c r="BQJ12" s="1221"/>
      <c r="BQK12" s="1221"/>
      <c r="BQL12" s="1221"/>
      <c r="BQM12" s="1221"/>
      <c r="BQN12" s="1221"/>
      <c r="BQO12" s="1221"/>
      <c r="BQP12" s="1221"/>
      <c r="BQQ12" s="1221"/>
      <c r="BQR12" s="1221"/>
      <c r="BQS12" s="1221"/>
      <c r="BQT12" s="1221"/>
      <c r="BQU12" s="1221"/>
      <c r="BQV12" s="1221"/>
      <c r="BQW12" s="1221"/>
      <c r="BQX12" s="1221"/>
      <c r="BQY12" s="1221"/>
      <c r="BQZ12" s="1221"/>
      <c r="BRA12" s="1221"/>
      <c r="BRB12" s="1221"/>
      <c r="BRC12" s="1221"/>
      <c r="BRD12" s="1221"/>
      <c r="BRE12" s="1221"/>
      <c r="BRF12" s="1221"/>
      <c r="BRG12" s="1221"/>
      <c r="BRH12" s="1221"/>
      <c r="BRI12" s="1221"/>
      <c r="BRJ12" s="1221"/>
      <c r="BRK12" s="1221"/>
      <c r="BRL12" s="1221"/>
      <c r="BRM12" s="1221"/>
      <c r="BRN12" s="1221"/>
      <c r="BRO12" s="1221"/>
      <c r="BRP12" s="1221"/>
      <c r="BRQ12" s="1221"/>
      <c r="BRR12" s="1221"/>
      <c r="BRS12" s="1221"/>
      <c r="BRT12" s="1221"/>
      <c r="BRU12" s="1221"/>
      <c r="BRV12" s="1221"/>
      <c r="BRW12" s="1221"/>
      <c r="BRX12" s="1221"/>
      <c r="BRY12" s="1221"/>
      <c r="BRZ12" s="1221"/>
      <c r="BSA12" s="1221"/>
      <c r="BSB12" s="1221"/>
      <c r="BSC12" s="1221"/>
      <c r="BSD12" s="1221"/>
      <c r="BSE12" s="1221"/>
      <c r="BSF12" s="1221"/>
      <c r="BSG12" s="1221"/>
      <c r="BSH12" s="1221"/>
      <c r="BSI12" s="1221"/>
      <c r="BSJ12" s="1221"/>
      <c r="BSK12" s="1221"/>
      <c r="BSL12" s="1221"/>
      <c r="BSM12" s="1221"/>
      <c r="BSN12" s="1221"/>
      <c r="BSO12" s="1221"/>
      <c r="BSP12" s="1221"/>
      <c r="BSQ12" s="1221"/>
      <c r="BSR12" s="1221"/>
      <c r="BSS12" s="1221"/>
      <c r="BST12" s="1221"/>
      <c r="BSU12" s="1221"/>
      <c r="BSV12" s="1221"/>
      <c r="BSW12" s="1221"/>
      <c r="BSX12" s="1221"/>
      <c r="BSY12" s="1221"/>
      <c r="BSZ12" s="1221"/>
      <c r="BTA12" s="1221"/>
      <c r="BTB12" s="1221"/>
      <c r="BTC12" s="1221"/>
      <c r="BTD12" s="1221"/>
      <c r="BTE12" s="1221"/>
      <c r="BTF12" s="1221"/>
      <c r="BTG12" s="1221"/>
      <c r="BTH12" s="1221"/>
      <c r="BTI12" s="1221"/>
      <c r="BTJ12" s="1221"/>
      <c r="BTK12" s="1221"/>
      <c r="BTL12" s="1221"/>
      <c r="BTM12" s="1221"/>
      <c r="BTN12" s="1221"/>
      <c r="BTO12" s="1221"/>
      <c r="BTP12" s="1221"/>
      <c r="BTQ12" s="1221"/>
      <c r="BTR12" s="1221"/>
      <c r="BTS12" s="1221"/>
      <c r="BTT12" s="1221"/>
      <c r="BTU12" s="1221"/>
      <c r="BTV12" s="1221"/>
      <c r="BTW12" s="1221"/>
      <c r="BTX12" s="1221"/>
      <c r="BTY12" s="1221"/>
      <c r="BTZ12" s="1221"/>
      <c r="BUA12" s="1221"/>
      <c r="BUB12" s="1221"/>
      <c r="BUC12" s="1221"/>
      <c r="BUD12" s="1221"/>
      <c r="BUE12" s="1221"/>
      <c r="BUF12" s="1221"/>
      <c r="BUG12" s="1221"/>
      <c r="BUH12" s="1221"/>
      <c r="BUI12" s="1221"/>
      <c r="BUJ12" s="1221"/>
      <c r="BUK12" s="1221"/>
      <c r="BUL12" s="1221"/>
      <c r="BUM12" s="1221"/>
      <c r="BUN12" s="1221"/>
      <c r="BUO12" s="1221"/>
      <c r="BUP12" s="1221"/>
      <c r="BUQ12" s="1221"/>
      <c r="BUR12" s="1221"/>
      <c r="BUS12" s="1221"/>
      <c r="BUT12" s="1221"/>
      <c r="BUU12" s="1221"/>
      <c r="BUV12" s="1221"/>
      <c r="BUW12" s="1221"/>
      <c r="BUX12" s="1221"/>
      <c r="BUY12" s="1221"/>
      <c r="BUZ12" s="1221"/>
      <c r="BVA12" s="1221"/>
      <c r="BVB12" s="1221"/>
      <c r="BVC12" s="1221"/>
      <c r="BVD12" s="1221"/>
      <c r="BVE12" s="1221"/>
      <c r="BVF12" s="1221"/>
      <c r="BVG12" s="1221"/>
      <c r="BVH12" s="1221"/>
      <c r="BVI12" s="1221"/>
      <c r="BVJ12" s="1221"/>
      <c r="BVK12" s="1221"/>
      <c r="BVL12" s="1221"/>
      <c r="BVM12" s="1221"/>
      <c r="BVN12" s="1221"/>
      <c r="BVO12" s="1221"/>
      <c r="BVP12" s="1221"/>
      <c r="BVQ12" s="1221"/>
      <c r="BVR12" s="1221"/>
      <c r="BVS12" s="1221"/>
      <c r="BVT12" s="1221"/>
      <c r="BVU12" s="1221"/>
      <c r="BVV12" s="1221"/>
      <c r="BVW12" s="1221"/>
      <c r="BVX12" s="1221"/>
      <c r="BVY12" s="1221"/>
      <c r="BVZ12" s="1221"/>
      <c r="BWA12" s="1221"/>
      <c r="BWB12" s="1221"/>
      <c r="BWC12" s="1221"/>
      <c r="BWD12" s="1221"/>
      <c r="BWE12" s="1221"/>
      <c r="BWF12" s="1221"/>
      <c r="BWG12" s="1221"/>
      <c r="BWH12" s="1221"/>
      <c r="BWI12" s="1221"/>
      <c r="BWJ12" s="1221"/>
      <c r="BWK12" s="1221"/>
      <c r="BWL12" s="1221"/>
      <c r="BWM12" s="1221"/>
      <c r="BWN12" s="1221"/>
      <c r="BWO12" s="1221"/>
      <c r="BWP12" s="1221"/>
      <c r="BWQ12" s="1221"/>
      <c r="BWR12" s="1221"/>
      <c r="BWS12" s="1221"/>
      <c r="BWT12" s="1221"/>
      <c r="BWU12" s="1221"/>
      <c r="BWV12" s="1221"/>
      <c r="BWW12" s="1221"/>
      <c r="BWX12" s="1221"/>
      <c r="BWY12" s="1221"/>
      <c r="BWZ12" s="1221"/>
      <c r="BXA12" s="1221"/>
      <c r="BXB12" s="1221"/>
      <c r="BXC12" s="1221"/>
      <c r="BXD12" s="1221"/>
      <c r="BXE12" s="1221"/>
      <c r="BXF12" s="1221"/>
      <c r="BXG12" s="1221"/>
      <c r="BXH12" s="1221"/>
      <c r="BXI12" s="1221"/>
      <c r="BXJ12" s="1221"/>
      <c r="BXK12" s="1221"/>
      <c r="BXL12" s="1221"/>
      <c r="BXM12" s="1221"/>
      <c r="BXN12" s="1221"/>
      <c r="BXO12" s="1221"/>
      <c r="BXP12" s="1221"/>
      <c r="BXQ12" s="1221"/>
      <c r="BXR12" s="1221"/>
      <c r="BXS12" s="1221"/>
      <c r="BXT12" s="1221"/>
      <c r="BXU12" s="1221"/>
      <c r="BXV12" s="1221"/>
      <c r="BXW12" s="1221"/>
      <c r="BXX12" s="1221"/>
      <c r="BXY12" s="1221"/>
      <c r="BXZ12" s="1221"/>
      <c r="BYA12" s="1221"/>
      <c r="BYB12" s="1221"/>
      <c r="BYC12" s="1221"/>
      <c r="BYD12" s="1221"/>
      <c r="BYE12" s="1221"/>
      <c r="BYF12" s="1221"/>
      <c r="BYG12" s="1221"/>
      <c r="BYH12" s="1221"/>
      <c r="BYI12" s="1221"/>
      <c r="BYJ12" s="1221"/>
      <c r="BYK12" s="1221"/>
      <c r="BYL12" s="1221"/>
      <c r="BYM12" s="1221"/>
      <c r="BYN12" s="1221"/>
      <c r="BYO12" s="1221"/>
      <c r="BYP12" s="1221"/>
      <c r="BYQ12" s="1221"/>
      <c r="BYR12" s="1221"/>
      <c r="BYS12" s="1221"/>
      <c r="BYT12" s="1221"/>
      <c r="BYU12" s="1221"/>
      <c r="BYV12" s="1221"/>
      <c r="BYW12" s="1221"/>
      <c r="BYX12" s="1221"/>
      <c r="BYY12" s="1221"/>
      <c r="BYZ12" s="1221"/>
      <c r="BZA12" s="1221"/>
      <c r="BZB12" s="1221"/>
      <c r="BZC12" s="1221"/>
      <c r="BZD12" s="1221"/>
      <c r="BZE12" s="1221"/>
      <c r="BZF12" s="1221"/>
      <c r="BZG12" s="1221"/>
      <c r="BZH12" s="1221"/>
      <c r="BZI12" s="1221"/>
      <c r="BZJ12" s="1221"/>
      <c r="BZK12" s="1221"/>
      <c r="BZL12" s="1221"/>
      <c r="BZM12" s="1221"/>
      <c r="BZN12" s="1221"/>
      <c r="BZO12" s="1221"/>
      <c r="BZP12" s="1221"/>
      <c r="BZQ12" s="1221"/>
      <c r="BZR12" s="1221"/>
      <c r="BZS12" s="1221"/>
      <c r="BZT12" s="1221"/>
      <c r="BZU12" s="1221"/>
      <c r="BZV12" s="1221"/>
      <c r="BZW12" s="1221"/>
      <c r="BZX12" s="1221"/>
      <c r="BZY12" s="1221"/>
      <c r="BZZ12" s="1221"/>
      <c r="CAA12" s="1221"/>
      <c r="CAB12" s="1221"/>
      <c r="CAC12" s="1221"/>
      <c r="CAD12" s="1221"/>
      <c r="CAE12" s="1221"/>
      <c r="CAF12" s="1221"/>
      <c r="CAG12" s="1221"/>
      <c r="CAH12" s="1221"/>
      <c r="CAI12" s="1221"/>
      <c r="CAJ12" s="1221"/>
      <c r="CAK12" s="1221"/>
      <c r="CAL12" s="1221"/>
      <c r="CAM12" s="1221"/>
      <c r="CAN12" s="1221"/>
      <c r="CAO12" s="1221"/>
      <c r="CAP12" s="1221"/>
      <c r="CAQ12" s="1221"/>
      <c r="CAR12" s="1221"/>
      <c r="CAS12" s="1221"/>
      <c r="CAT12" s="1221"/>
      <c r="CAU12" s="1221"/>
      <c r="CAV12" s="1221"/>
      <c r="CAW12" s="1221"/>
      <c r="CAX12" s="1221"/>
      <c r="CAY12" s="1221"/>
      <c r="CAZ12" s="1221"/>
      <c r="CBA12" s="1221"/>
      <c r="CBB12" s="1221"/>
      <c r="CBC12" s="1221"/>
      <c r="CBD12" s="1221"/>
      <c r="CBE12" s="1221"/>
      <c r="CBF12" s="1221"/>
      <c r="CBG12" s="1221"/>
      <c r="CBH12" s="1221"/>
      <c r="CBI12" s="1221"/>
      <c r="CBJ12" s="1221"/>
      <c r="CBK12" s="1221"/>
      <c r="CBL12" s="1221"/>
      <c r="CBM12" s="1221"/>
      <c r="CBN12" s="1221"/>
      <c r="CBO12" s="1221"/>
      <c r="CBP12" s="1221"/>
      <c r="CBQ12" s="1221"/>
      <c r="CBR12" s="1221"/>
      <c r="CBS12" s="1221"/>
      <c r="CBT12" s="1221"/>
      <c r="CBU12" s="1221"/>
      <c r="CBV12" s="1221"/>
      <c r="CBW12" s="1221"/>
      <c r="CBX12" s="1221"/>
      <c r="CBY12" s="1221"/>
      <c r="CBZ12" s="1221"/>
      <c r="CCA12" s="1221"/>
      <c r="CCB12" s="1221"/>
      <c r="CCC12" s="1221"/>
      <c r="CCD12" s="1221"/>
      <c r="CCE12" s="1221"/>
      <c r="CCF12" s="1221"/>
      <c r="CCG12" s="1221"/>
      <c r="CCH12" s="1221"/>
      <c r="CCI12" s="1221"/>
      <c r="CCJ12" s="1221"/>
      <c r="CCK12" s="1221"/>
      <c r="CCL12" s="1221"/>
      <c r="CCM12" s="1221"/>
      <c r="CCN12" s="1221"/>
      <c r="CCO12" s="1221"/>
      <c r="CCP12" s="1221"/>
      <c r="CCQ12" s="1221"/>
      <c r="CCR12" s="1221"/>
      <c r="CCS12" s="1221"/>
      <c r="CCT12" s="1221"/>
      <c r="CCU12" s="1221"/>
      <c r="CCV12" s="1221"/>
      <c r="CCW12" s="1221"/>
      <c r="CCX12" s="1221"/>
      <c r="CCY12" s="1221"/>
      <c r="CCZ12" s="1221"/>
      <c r="CDA12" s="1221"/>
      <c r="CDB12" s="1221"/>
      <c r="CDC12" s="1221"/>
      <c r="CDD12" s="1221"/>
      <c r="CDE12" s="1221"/>
      <c r="CDF12" s="1221"/>
      <c r="CDG12" s="1221"/>
      <c r="CDH12" s="1221"/>
      <c r="CDI12" s="1221"/>
      <c r="CDJ12" s="1221"/>
      <c r="CDK12" s="1221"/>
      <c r="CDL12" s="1221"/>
      <c r="CDM12" s="1221"/>
      <c r="CDN12" s="1221"/>
      <c r="CDO12" s="1221"/>
      <c r="CDP12" s="1221"/>
      <c r="CDQ12" s="1221"/>
      <c r="CDR12" s="1221"/>
      <c r="CDS12" s="1221"/>
      <c r="CDT12" s="1221"/>
      <c r="CDU12" s="1221"/>
      <c r="CDV12" s="1221"/>
      <c r="CDW12" s="1221"/>
      <c r="CDX12" s="1221"/>
      <c r="CDY12" s="1221"/>
      <c r="CDZ12" s="1221"/>
      <c r="CEA12" s="1221"/>
      <c r="CEB12" s="1221"/>
      <c r="CEC12" s="1221"/>
      <c r="CED12" s="1221"/>
      <c r="CEE12" s="1221"/>
      <c r="CEF12" s="1221"/>
      <c r="CEG12" s="1221"/>
      <c r="CEH12" s="1221"/>
      <c r="CEI12" s="1221"/>
      <c r="CEJ12" s="1221"/>
      <c r="CEK12" s="1221"/>
      <c r="CEL12" s="1221"/>
      <c r="CEM12" s="1221"/>
      <c r="CEN12" s="1221"/>
      <c r="CEO12" s="1221"/>
      <c r="CEP12" s="1221"/>
      <c r="CEQ12" s="1221"/>
      <c r="CER12" s="1221"/>
      <c r="CES12" s="1221"/>
      <c r="CET12" s="1221"/>
      <c r="CEU12" s="1221"/>
      <c r="CEV12" s="1221"/>
      <c r="CEW12" s="1221"/>
      <c r="CEX12" s="1221"/>
      <c r="CEY12" s="1221"/>
      <c r="CEZ12" s="1221"/>
      <c r="CFA12" s="1221"/>
      <c r="CFB12" s="1221"/>
      <c r="CFC12" s="1221"/>
      <c r="CFD12" s="1221"/>
      <c r="CFE12" s="1221"/>
      <c r="CFF12" s="1221"/>
      <c r="CFG12" s="1221"/>
      <c r="CFH12" s="1221"/>
      <c r="CFI12" s="1221"/>
      <c r="CFJ12" s="1221"/>
      <c r="CFK12" s="1221"/>
      <c r="CFL12" s="1221"/>
      <c r="CFM12" s="1221"/>
      <c r="CFN12" s="1221"/>
      <c r="CFO12" s="1221"/>
      <c r="CFP12" s="1221"/>
      <c r="CFQ12" s="1221"/>
      <c r="CFR12" s="1221"/>
      <c r="CFS12" s="1221"/>
      <c r="CFT12" s="1221"/>
      <c r="CFU12" s="1221"/>
      <c r="CFV12" s="1221"/>
      <c r="CFW12" s="1221"/>
      <c r="CFX12" s="1221"/>
      <c r="CFY12" s="1221"/>
      <c r="CFZ12" s="1221"/>
      <c r="CGA12" s="1221"/>
      <c r="CGB12" s="1221"/>
      <c r="CGC12" s="1221"/>
      <c r="CGD12" s="1221"/>
      <c r="CGE12" s="1221"/>
      <c r="CGF12" s="1221"/>
      <c r="CGG12" s="1221"/>
      <c r="CGH12" s="1221"/>
      <c r="CGI12" s="1221"/>
      <c r="CGJ12" s="1221"/>
      <c r="CGK12" s="1221"/>
      <c r="CGL12" s="1221"/>
      <c r="CGM12" s="1221"/>
      <c r="CGN12" s="1221"/>
      <c r="CGO12" s="1221"/>
      <c r="CGP12" s="1221"/>
      <c r="CGQ12" s="1221"/>
      <c r="CGR12" s="1221"/>
      <c r="CGS12" s="1221"/>
      <c r="CGT12" s="1221"/>
      <c r="CGU12" s="1221"/>
      <c r="CGV12" s="1221"/>
      <c r="CGW12" s="1221"/>
      <c r="CGX12" s="1221"/>
      <c r="CGY12" s="1221"/>
      <c r="CGZ12" s="1221"/>
      <c r="CHA12" s="1221"/>
      <c r="CHB12" s="1221"/>
      <c r="CHC12" s="1221"/>
      <c r="CHD12" s="1221"/>
      <c r="CHE12" s="1221"/>
      <c r="CHF12" s="1221"/>
      <c r="CHG12" s="1221"/>
      <c r="CHH12" s="1221"/>
      <c r="CHI12" s="1221"/>
      <c r="CHJ12" s="1221"/>
      <c r="CHK12" s="1221"/>
      <c r="CHL12" s="1221"/>
      <c r="CHM12" s="1221"/>
      <c r="CHN12" s="1221"/>
      <c r="CHO12" s="1221"/>
      <c r="CHP12" s="1221"/>
      <c r="CHQ12" s="1221"/>
      <c r="CHR12" s="1221"/>
      <c r="CHS12" s="1221"/>
      <c r="CHT12" s="1221"/>
      <c r="CHU12" s="1221"/>
      <c r="CHV12" s="1221"/>
      <c r="CHW12" s="1221"/>
      <c r="CHX12" s="1221"/>
      <c r="CHY12" s="1221"/>
      <c r="CHZ12" s="1221"/>
      <c r="CIA12" s="1221"/>
      <c r="CIB12" s="1221"/>
      <c r="CIC12" s="1221"/>
      <c r="CID12" s="1221"/>
      <c r="CIE12" s="1221"/>
      <c r="CIF12" s="1221"/>
      <c r="CIG12" s="1221"/>
      <c r="CIH12" s="1221"/>
      <c r="CII12" s="1221"/>
      <c r="CIJ12" s="1221"/>
      <c r="CIK12" s="1221"/>
      <c r="CIL12" s="1221"/>
      <c r="CIM12" s="1221"/>
      <c r="CIN12" s="1221"/>
      <c r="CIO12" s="1221"/>
      <c r="CIP12" s="1221"/>
      <c r="CIQ12" s="1221"/>
      <c r="CIR12" s="1221"/>
      <c r="CIS12" s="1221"/>
      <c r="CIT12" s="1221"/>
      <c r="CIU12" s="1221"/>
      <c r="CIV12" s="1221"/>
      <c r="CIW12" s="1221"/>
      <c r="CIX12" s="1221"/>
      <c r="CIY12" s="1221"/>
      <c r="CIZ12" s="1221"/>
      <c r="CJA12" s="1221"/>
      <c r="CJB12" s="1221"/>
      <c r="CJC12" s="1221"/>
      <c r="CJD12" s="1221"/>
      <c r="CJE12" s="1221"/>
      <c r="CJF12" s="1221"/>
      <c r="CJG12" s="1221"/>
      <c r="CJH12" s="1221"/>
      <c r="CJI12" s="1221"/>
      <c r="CJJ12" s="1221"/>
      <c r="CJK12" s="1221"/>
      <c r="CJL12" s="1221"/>
      <c r="CJM12" s="1221"/>
      <c r="CJN12" s="1221"/>
      <c r="CJO12" s="1221"/>
      <c r="CJP12" s="1221"/>
      <c r="CJQ12" s="1221"/>
      <c r="CJR12" s="1221"/>
      <c r="CJS12" s="1221"/>
      <c r="CJT12" s="1221"/>
      <c r="CJU12" s="1221"/>
      <c r="CJV12" s="1221"/>
      <c r="CJW12" s="1221"/>
      <c r="CJX12" s="1221"/>
      <c r="CJY12" s="1221"/>
      <c r="CJZ12" s="1221"/>
      <c r="CKA12" s="1221"/>
      <c r="CKB12" s="1221"/>
      <c r="CKC12" s="1221"/>
      <c r="CKD12" s="1221"/>
      <c r="CKE12" s="1221"/>
      <c r="CKF12" s="1221"/>
      <c r="CKG12" s="1221"/>
      <c r="CKH12" s="1221"/>
      <c r="CKI12" s="1221"/>
      <c r="CKJ12" s="1221"/>
      <c r="CKK12" s="1221"/>
      <c r="CKL12" s="1221"/>
      <c r="CKM12" s="1221"/>
      <c r="CKN12" s="1221"/>
      <c r="CKO12" s="1221"/>
      <c r="CKP12" s="1221"/>
      <c r="CKQ12" s="1221"/>
      <c r="CKR12" s="1221"/>
      <c r="CKS12" s="1221"/>
      <c r="CKT12" s="1221"/>
      <c r="CKU12" s="1221"/>
      <c r="CKV12" s="1221"/>
      <c r="CKW12" s="1221"/>
      <c r="CKX12" s="1221"/>
      <c r="CKY12" s="1221"/>
      <c r="CKZ12" s="1221"/>
      <c r="CLA12" s="1221"/>
      <c r="CLB12" s="1221"/>
      <c r="CLC12" s="1221"/>
      <c r="CLD12" s="1221"/>
      <c r="CLE12" s="1221"/>
      <c r="CLF12" s="1221"/>
      <c r="CLG12" s="1221"/>
      <c r="CLH12" s="1221"/>
      <c r="CLI12" s="1221"/>
      <c r="CLJ12" s="1221"/>
      <c r="CLK12" s="1221"/>
      <c r="CLL12" s="1221"/>
      <c r="CLM12" s="1221"/>
      <c r="CLN12" s="1221"/>
      <c r="CLO12" s="1221"/>
      <c r="CLP12" s="1221"/>
      <c r="CLQ12" s="1221"/>
      <c r="CLR12" s="1221"/>
      <c r="CLS12" s="1221"/>
      <c r="CLT12" s="1221"/>
      <c r="CLU12" s="1221"/>
      <c r="CLV12" s="1221"/>
      <c r="CLW12" s="1221"/>
      <c r="CLX12" s="1221"/>
      <c r="CLY12" s="1221"/>
      <c r="CLZ12" s="1221"/>
      <c r="CMA12" s="1221"/>
      <c r="CMB12" s="1221"/>
      <c r="CMC12" s="1221"/>
      <c r="CMD12" s="1221"/>
      <c r="CME12" s="1221"/>
      <c r="CMF12" s="1221"/>
      <c r="CMG12" s="1221"/>
      <c r="CMH12" s="1221"/>
      <c r="CMI12" s="1221"/>
      <c r="CMJ12" s="1221"/>
      <c r="CMK12" s="1221"/>
      <c r="CML12" s="1221"/>
      <c r="CMM12" s="1221"/>
      <c r="CMN12" s="1221"/>
      <c r="CMO12" s="1221"/>
      <c r="CMP12" s="1221"/>
      <c r="CMQ12" s="1221"/>
      <c r="CMR12" s="1221"/>
      <c r="CMS12" s="1221"/>
      <c r="CMT12" s="1221"/>
      <c r="CMU12" s="1221"/>
      <c r="CMV12" s="1221"/>
      <c r="CMW12" s="1221"/>
      <c r="CMX12" s="1221"/>
      <c r="CMY12" s="1221"/>
      <c r="CMZ12" s="1221"/>
      <c r="CNA12" s="1221"/>
      <c r="CNB12" s="1221"/>
      <c r="CNC12" s="1221"/>
      <c r="CND12" s="1221"/>
      <c r="CNE12" s="1221"/>
      <c r="CNF12" s="1221"/>
      <c r="CNG12" s="1221"/>
      <c r="CNH12" s="1221"/>
      <c r="CNI12" s="1221"/>
      <c r="CNJ12" s="1221"/>
      <c r="CNK12" s="1221"/>
      <c r="CNL12" s="1221"/>
      <c r="CNM12" s="1221"/>
      <c r="CNN12" s="1221"/>
      <c r="CNO12" s="1221"/>
      <c r="CNP12" s="1221"/>
      <c r="CNQ12" s="1221"/>
      <c r="CNR12" s="1221"/>
      <c r="CNS12" s="1221"/>
      <c r="CNT12" s="1221"/>
      <c r="CNU12" s="1221"/>
      <c r="CNV12" s="1221"/>
      <c r="CNW12" s="1221"/>
      <c r="CNX12" s="1221"/>
      <c r="CNY12" s="1221"/>
      <c r="CNZ12" s="1221"/>
      <c r="COA12" s="1221"/>
      <c r="COB12" s="1221"/>
      <c r="COC12" s="1221"/>
      <c r="COD12" s="1221"/>
      <c r="COE12" s="1221"/>
      <c r="COF12" s="1221"/>
      <c r="COG12" s="1221"/>
      <c r="COH12" s="1221"/>
      <c r="COI12" s="1221"/>
      <c r="COJ12" s="1221"/>
      <c r="COK12" s="1221"/>
      <c r="COL12" s="1221"/>
      <c r="COM12" s="1221"/>
      <c r="CON12" s="1221"/>
      <c r="COO12" s="1221"/>
      <c r="COP12" s="1221"/>
      <c r="COQ12" s="1221"/>
      <c r="COR12" s="1221"/>
      <c r="COS12" s="1221"/>
      <c r="COT12" s="1221"/>
      <c r="COU12" s="1221"/>
      <c r="COV12" s="1221"/>
      <c r="COW12" s="1221"/>
      <c r="COX12" s="1221"/>
      <c r="COY12" s="1221"/>
      <c r="COZ12" s="1221"/>
      <c r="CPA12" s="1221"/>
      <c r="CPB12" s="1221"/>
      <c r="CPC12" s="1221"/>
      <c r="CPD12" s="1221"/>
      <c r="CPE12" s="1221"/>
      <c r="CPF12" s="1221"/>
      <c r="CPG12" s="1221"/>
      <c r="CPH12" s="1221"/>
      <c r="CPI12" s="1221"/>
      <c r="CPJ12" s="1221"/>
      <c r="CPK12" s="1221"/>
      <c r="CPL12" s="1221"/>
      <c r="CPM12" s="1221"/>
      <c r="CPN12" s="1221"/>
      <c r="CPO12" s="1221"/>
      <c r="CPP12" s="1221"/>
      <c r="CPQ12" s="1221"/>
      <c r="CPR12" s="1221"/>
      <c r="CPS12" s="1221"/>
      <c r="CPT12" s="1221"/>
      <c r="CPU12" s="1221"/>
      <c r="CPV12" s="1221"/>
      <c r="CPW12" s="1221"/>
      <c r="CPX12" s="1221"/>
      <c r="CPY12" s="1221"/>
      <c r="CPZ12" s="1221"/>
      <c r="CQA12" s="1221"/>
      <c r="CQB12" s="1221"/>
      <c r="CQC12" s="1221"/>
      <c r="CQD12" s="1221"/>
      <c r="CQE12" s="1221"/>
      <c r="CQF12" s="1221"/>
      <c r="CQG12" s="1221"/>
      <c r="CQH12" s="1221"/>
      <c r="CQI12" s="1221"/>
      <c r="CQJ12" s="1221"/>
      <c r="CQK12" s="1221"/>
      <c r="CQL12" s="1221"/>
      <c r="CQM12" s="1221"/>
      <c r="CQN12" s="1221"/>
      <c r="CQO12" s="1221"/>
      <c r="CQP12" s="1221"/>
      <c r="CQQ12" s="1221"/>
      <c r="CQR12" s="1221"/>
      <c r="CQS12" s="1221"/>
      <c r="CQT12" s="1221"/>
      <c r="CQU12" s="1221"/>
      <c r="CQV12" s="1221"/>
      <c r="CQW12" s="1221"/>
      <c r="CQX12" s="1221"/>
      <c r="CQY12" s="1221"/>
      <c r="CQZ12" s="1221"/>
      <c r="CRA12" s="1221"/>
      <c r="CRB12" s="1221"/>
      <c r="CRC12" s="1221"/>
      <c r="CRD12" s="1221"/>
      <c r="CRE12" s="1221"/>
      <c r="CRF12" s="1221"/>
      <c r="CRG12" s="1221"/>
      <c r="CRH12" s="1221"/>
      <c r="CRI12" s="1221"/>
      <c r="CRJ12" s="1221"/>
      <c r="CRK12" s="1221"/>
      <c r="CRL12" s="1221"/>
      <c r="CRM12" s="1221"/>
      <c r="CRN12" s="1221"/>
      <c r="CRO12" s="1221"/>
      <c r="CRP12" s="1221"/>
      <c r="CRQ12" s="1221"/>
      <c r="CRR12" s="1221"/>
      <c r="CRS12" s="1221"/>
      <c r="CRT12" s="1221"/>
      <c r="CRU12" s="1221"/>
      <c r="CRV12" s="1221"/>
      <c r="CRW12" s="1221"/>
      <c r="CRX12" s="1221"/>
      <c r="CRY12" s="1221"/>
      <c r="CRZ12" s="1221"/>
      <c r="CSA12" s="1221"/>
      <c r="CSB12" s="1221"/>
      <c r="CSC12" s="1221"/>
      <c r="CSD12" s="1221"/>
      <c r="CSE12" s="1221"/>
      <c r="CSF12" s="1221"/>
      <c r="CSG12" s="1221"/>
      <c r="CSH12" s="1221"/>
      <c r="CSI12" s="1221"/>
      <c r="CSJ12" s="1221"/>
      <c r="CSK12" s="1221"/>
      <c r="CSL12" s="1221"/>
      <c r="CSM12" s="1221"/>
      <c r="CSN12" s="1221"/>
      <c r="CSO12" s="1221"/>
      <c r="CSP12" s="1221"/>
      <c r="CSQ12" s="1221"/>
      <c r="CSR12" s="1221"/>
      <c r="CSS12" s="1221"/>
      <c r="CST12" s="1221"/>
      <c r="CSU12" s="1221"/>
      <c r="CSV12" s="1221"/>
      <c r="CSW12" s="1221"/>
      <c r="CSX12" s="1221"/>
      <c r="CSY12" s="1221"/>
      <c r="CSZ12" s="1221"/>
      <c r="CTA12" s="1221"/>
      <c r="CTB12" s="1221"/>
      <c r="CTC12" s="1221"/>
      <c r="CTD12" s="1221"/>
      <c r="CTE12" s="1221"/>
      <c r="CTF12" s="1221"/>
      <c r="CTG12" s="1221"/>
      <c r="CTH12" s="1221"/>
      <c r="CTI12" s="1221"/>
      <c r="CTJ12" s="1221"/>
      <c r="CTK12" s="1221"/>
      <c r="CTL12" s="1221"/>
      <c r="CTM12" s="1221"/>
      <c r="CTN12" s="1221"/>
      <c r="CTO12" s="1221"/>
      <c r="CTP12" s="1221"/>
      <c r="CTQ12" s="1221"/>
      <c r="CTR12" s="1221"/>
      <c r="CTS12" s="1221"/>
      <c r="CTT12" s="1221"/>
      <c r="CTU12" s="1221"/>
      <c r="CTV12" s="1221"/>
      <c r="CTW12" s="1221"/>
      <c r="CTX12" s="1221"/>
      <c r="CTY12" s="1221"/>
      <c r="CTZ12" s="1221"/>
      <c r="CUA12" s="1221"/>
      <c r="CUB12" s="1221"/>
      <c r="CUC12" s="1221"/>
      <c r="CUD12" s="1221"/>
      <c r="CUE12" s="1221"/>
      <c r="CUF12" s="1221"/>
      <c r="CUG12" s="1221"/>
      <c r="CUH12" s="1221"/>
      <c r="CUI12" s="1221"/>
      <c r="CUJ12" s="1221"/>
      <c r="CUK12" s="1221"/>
      <c r="CUL12" s="1221"/>
      <c r="CUM12" s="1221"/>
      <c r="CUN12" s="1221"/>
      <c r="CUO12" s="1221"/>
      <c r="CUP12" s="1221"/>
      <c r="CUQ12" s="1221"/>
      <c r="CUR12" s="1221"/>
      <c r="CUS12" s="1221"/>
      <c r="CUT12" s="1221"/>
      <c r="CUU12" s="1221"/>
      <c r="CUV12" s="1221"/>
      <c r="CUW12" s="1221"/>
      <c r="CUX12" s="1221"/>
      <c r="CUY12" s="1221"/>
      <c r="CUZ12" s="1221"/>
      <c r="CVA12" s="1221"/>
      <c r="CVB12" s="1221"/>
      <c r="CVC12" s="1221"/>
      <c r="CVD12" s="1221"/>
      <c r="CVE12" s="1221"/>
      <c r="CVF12" s="1221"/>
      <c r="CVG12" s="1221"/>
      <c r="CVH12" s="1221"/>
      <c r="CVI12" s="1221"/>
      <c r="CVJ12" s="1221"/>
      <c r="CVK12" s="1221"/>
      <c r="CVL12" s="1221"/>
      <c r="CVM12" s="1221"/>
      <c r="CVN12" s="1221"/>
      <c r="CVO12" s="1221"/>
      <c r="CVP12" s="1221"/>
      <c r="CVQ12" s="1221"/>
      <c r="CVR12" s="1221"/>
      <c r="CVS12" s="1221"/>
      <c r="CVT12" s="1221"/>
      <c r="CVU12" s="1221"/>
      <c r="CVV12" s="1221"/>
      <c r="CVW12" s="1221"/>
      <c r="CVX12" s="1221"/>
      <c r="CVY12" s="1221"/>
      <c r="CVZ12" s="1221"/>
      <c r="CWA12" s="1221"/>
      <c r="CWB12" s="1221"/>
      <c r="CWC12" s="1221"/>
      <c r="CWD12" s="1221"/>
      <c r="CWE12" s="1221"/>
      <c r="CWF12" s="1221"/>
      <c r="CWG12" s="1221"/>
      <c r="CWH12" s="1221"/>
      <c r="CWI12" s="1221"/>
      <c r="CWJ12" s="1221"/>
      <c r="CWK12" s="1221"/>
      <c r="CWL12" s="1221"/>
      <c r="CWM12" s="1221"/>
      <c r="CWN12" s="1221"/>
      <c r="CWO12" s="1221"/>
      <c r="CWP12" s="1221"/>
      <c r="CWQ12" s="1221"/>
      <c r="CWR12" s="1221"/>
      <c r="CWS12" s="1221"/>
      <c r="CWT12" s="1221"/>
      <c r="CWU12" s="1221"/>
      <c r="CWV12" s="1221"/>
      <c r="CWW12" s="1221"/>
      <c r="CWX12" s="1221"/>
      <c r="CWY12" s="1221"/>
      <c r="CWZ12" s="1221"/>
      <c r="CXA12" s="1221"/>
      <c r="CXB12" s="1221"/>
      <c r="CXC12" s="1221"/>
      <c r="CXD12" s="1221"/>
      <c r="CXE12" s="1221"/>
      <c r="CXF12" s="1221"/>
      <c r="CXG12" s="1221"/>
      <c r="CXH12" s="1221"/>
      <c r="CXI12" s="1221"/>
      <c r="CXJ12" s="1221"/>
      <c r="CXK12" s="1221"/>
      <c r="CXL12" s="1221"/>
      <c r="CXM12" s="1221"/>
      <c r="CXN12" s="1221"/>
      <c r="CXO12" s="1221"/>
      <c r="CXP12" s="1221"/>
      <c r="CXQ12" s="1221"/>
      <c r="CXR12" s="1221"/>
      <c r="CXS12" s="1221"/>
      <c r="CXT12" s="1221"/>
      <c r="CXU12" s="1221"/>
      <c r="CXV12" s="1221"/>
      <c r="CXW12" s="1221"/>
      <c r="CXX12" s="1221"/>
      <c r="CXY12" s="1221"/>
      <c r="CXZ12" s="1221"/>
      <c r="CYA12" s="1221"/>
      <c r="CYB12" s="1221"/>
      <c r="CYC12" s="1221"/>
      <c r="CYD12" s="1221"/>
      <c r="CYE12" s="1221"/>
      <c r="CYF12" s="1221"/>
      <c r="CYG12" s="1221"/>
      <c r="CYH12" s="1221"/>
      <c r="CYI12" s="1221"/>
      <c r="CYJ12" s="1221"/>
      <c r="CYK12" s="1221"/>
      <c r="CYL12" s="1221"/>
      <c r="CYM12" s="1221"/>
      <c r="CYN12" s="1221"/>
      <c r="CYO12" s="1221"/>
      <c r="CYP12" s="1221"/>
      <c r="CYQ12" s="1221"/>
      <c r="CYR12" s="1221"/>
      <c r="CYS12" s="1221"/>
      <c r="CYT12" s="1221"/>
      <c r="CYU12" s="1221"/>
      <c r="CYV12" s="1221"/>
      <c r="CYW12" s="1221"/>
      <c r="CYX12" s="1221"/>
      <c r="CYY12" s="1221"/>
      <c r="CYZ12" s="1221"/>
      <c r="CZA12" s="1221"/>
      <c r="CZB12" s="1221"/>
      <c r="CZC12" s="1221"/>
      <c r="CZD12" s="1221"/>
      <c r="CZE12" s="1221"/>
      <c r="CZF12" s="1221"/>
      <c r="CZG12" s="1221"/>
      <c r="CZH12" s="1221"/>
      <c r="CZI12" s="1221"/>
      <c r="CZJ12" s="1221"/>
      <c r="CZK12" s="1221"/>
      <c r="CZL12" s="1221"/>
      <c r="CZM12" s="1221"/>
      <c r="CZN12" s="1221"/>
      <c r="CZO12" s="1221"/>
      <c r="CZP12" s="1221"/>
      <c r="CZQ12" s="1221"/>
      <c r="CZR12" s="1221"/>
      <c r="CZS12" s="1221"/>
      <c r="CZT12" s="1221"/>
      <c r="CZU12" s="1221"/>
      <c r="CZV12" s="1221"/>
      <c r="CZW12" s="1221"/>
      <c r="CZX12" s="1221"/>
      <c r="CZY12" s="1221"/>
      <c r="CZZ12" s="1221"/>
      <c r="DAA12" s="1221"/>
      <c r="DAB12" s="1221"/>
      <c r="DAC12" s="1221"/>
      <c r="DAD12" s="1221"/>
      <c r="DAE12" s="1221"/>
      <c r="DAF12" s="1221"/>
      <c r="DAG12" s="1221"/>
      <c r="DAH12" s="1221"/>
      <c r="DAI12" s="1221"/>
      <c r="DAJ12" s="1221"/>
      <c r="DAK12" s="1221"/>
      <c r="DAL12" s="1221"/>
      <c r="DAM12" s="1221"/>
      <c r="DAN12" s="1221"/>
      <c r="DAO12" s="1221"/>
      <c r="DAP12" s="1221"/>
      <c r="DAQ12" s="1221"/>
      <c r="DAR12" s="1221"/>
      <c r="DAS12" s="1221"/>
      <c r="DAT12" s="1221"/>
      <c r="DAU12" s="1221"/>
      <c r="DAV12" s="1221"/>
      <c r="DAW12" s="1221"/>
      <c r="DAX12" s="1221"/>
      <c r="DAY12" s="1221"/>
      <c r="DAZ12" s="1221"/>
      <c r="DBA12" s="1221"/>
      <c r="DBB12" s="1221"/>
      <c r="DBC12" s="1221"/>
      <c r="DBD12" s="1221"/>
      <c r="DBE12" s="1221"/>
      <c r="DBF12" s="1221"/>
      <c r="DBG12" s="1221"/>
      <c r="DBH12" s="1221"/>
      <c r="DBI12" s="1221"/>
      <c r="DBJ12" s="1221"/>
      <c r="DBK12" s="1221"/>
      <c r="DBL12" s="1221"/>
      <c r="DBM12" s="1221"/>
      <c r="DBN12" s="1221"/>
      <c r="DBO12" s="1221"/>
      <c r="DBP12" s="1221"/>
      <c r="DBQ12" s="1221"/>
      <c r="DBR12" s="1221"/>
      <c r="DBS12" s="1221"/>
      <c r="DBT12" s="1221"/>
      <c r="DBU12" s="1221"/>
      <c r="DBV12" s="1221"/>
      <c r="DBW12" s="1221"/>
      <c r="DBX12" s="1221"/>
      <c r="DBY12" s="1221"/>
      <c r="DBZ12" s="1221"/>
      <c r="DCA12" s="1221"/>
      <c r="DCB12" s="1221"/>
      <c r="DCC12" s="1221"/>
      <c r="DCD12" s="1221"/>
      <c r="DCE12" s="1221"/>
      <c r="DCF12" s="1221"/>
      <c r="DCG12" s="1221"/>
      <c r="DCH12" s="1221"/>
      <c r="DCI12" s="1221"/>
      <c r="DCJ12" s="1221"/>
      <c r="DCK12" s="1221"/>
      <c r="DCL12" s="1221"/>
      <c r="DCM12" s="1221"/>
      <c r="DCN12" s="1221"/>
      <c r="DCO12" s="1221"/>
      <c r="DCP12" s="1221"/>
      <c r="DCQ12" s="1221"/>
      <c r="DCR12" s="1221"/>
      <c r="DCS12" s="1221"/>
      <c r="DCT12" s="1221"/>
      <c r="DCU12" s="1221"/>
      <c r="DCV12" s="1221"/>
      <c r="DCW12" s="1221"/>
      <c r="DCX12" s="1221"/>
      <c r="DCY12" s="1221"/>
      <c r="DCZ12" s="1221"/>
      <c r="DDA12" s="1221"/>
      <c r="DDB12" s="1221"/>
      <c r="DDC12" s="1221"/>
      <c r="DDD12" s="1221"/>
      <c r="DDE12" s="1221"/>
      <c r="DDF12" s="1221"/>
      <c r="DDG12" s="1221"/>
      <c r="DDH12" s="1221"/>
      <c r="DDI12" s="1221"/>
      <c r="DDJ12" s="1221"/>
      <c r="DDK12" s="1221"/>
      <c r="DDL12" s="1221"/>
      <c r="DDM12" s="1221"/>
      <c r="DDN12" s="1221"/>
      <c r="DDO12" s="1221"/>
      <c r="DDP12" s="1221"/>
      <c r="DDQ12" s="1221"/>
      <c r="DDR12" s="1221"/>
      <c r="DDS12" s="1221"/>
      <c r="DDT12" s="1221"/>
      <c r="DDU12" s="1221"/>
      <c r="DDV12" s="1221"/>
      <c r="DDW12" s="1221"/>
      <c r="DDX12" s="1221"/>
      <c r="DDY12" s="1221"/>
      <c r="DDZ12" s="1221"/>
      <c r="DEA12" s="1221"/>
      <c r="DEB12" s="1221"/>
      <c r="DEC12" s="1221"/>
      <c r="DED12" s="1221"/>
      <c r="DEE12" s="1221"/>
      <c r="DEF12" s="1221"/>
      <c r="DEG12" s="1221"/>
      <c r="DEH12" s="1221"/>
      <c r="DEI12" s="1221"/>
      <c r="DEJ12" s="1221"/>
      <c r="DEK12" s="1221"/>
      <c r="DEL12" s="1221"/>
      <c r="DEM12" s="1221"/>
      <c r="DEN12" s="1221"/>
      <c r="DEO12" s="1221"/>
      <c r="DEP12" s="1221"/>
      <c r="DEQ12" s="1221"/>
      <c r="DER12" s="1221"/>
      <c r="DES12" s="1221"/>
      <c r="DET12" s="1221"/>
      <c r="DEU12" s="1221"/>
      <c r="DEV12" s="1221"/>
      <c r="DEW12" s="1221"/>
      <c r="DEX12" s="1221"/>
      <c r="DEY12" s="1221"/>
      <c r="DEZ12" s="1221"/>
      <c r="DFA12" s="1221"/>
      <c r="DFB12" s="1221"/>
      <c r="DFC12" s="1221"/>
      <c r="DFD12" s="1221"/>
      <c r="DFE12" s="1221"/>
      <c r="DFF12" s="1221"/>
      <c r="DFG12" s="1221"/>
      <c r="DFH12" s="1221"/>
      <c r="DFI12" s="1221"/>
      <c r="DFJ12" s="1221"/>
      <c r="DFK12" s="1221"/>
      <c r="DFL12" s="1221"/>
      <c r="DFM12" s="1221"/>
      <c r="DFN12" s="1221"/>
      <c r="DFO12" s="1221"/>
      <c r="DFP12" s="1221"/>
      <c r="DFQ12" s="1221"/>
      <c r="DFR12" s="1221"/>
      <c r="DFS12" s="1221"/>
      <c r="DFT12" s="1221"/>
      <c r="DFU12" s="1221"/>
      <c r="DFV12" s="1221"/>
      <c r="DFW12" s="1221"/>
      <c r="DFX12" s="1221"/>
      <c r="DFY12" s="1221"/>
      <c r="DFZ12" s="1221"/>
      <c r="DGA12" s="1221"/>
      <c r="DGB12" s="1221"/>
      <c r="DGC12" s="1221"/>
      <c r="DGD12" s="1221"/>
      <c r="DGE12" s="1221"/>
      <c r="DGF12" s="1221"/>
      <c r="DGG12" s="1221"/>
      <c r="DGH12" s="1221"/>
      <c r="DGI12" s="1221"/>
      <c r="DGJ12" s="1221"/>
      <c r="DGK12" s="1221"/>
      <c r="DGL12" s="1221"/>
      <c r="DGM12" s="1221"/>
      <c r="DGN12" s="1221"/>
      <c r="DGO12" s="1221"/>
      <c r="DGP12" s="1221"/>
      <c r="DGQ12" s="1221"/>
      <c r="DGR12" s="1221"/>
      <c r="DGS12" s="1221"/>
      <c r="DGT12" s="1221"/>
      <c r="DGU12" s="1221"/>
      <c r="DGV12" s="1221"/>
      <c r="DGW12" s="1221"/>
      <c r="DGX12" s="1221"/>
      <c r="DGY12" s="1221"/>
      <c r="DGZ12" s="1221"/>
      <c r="DHA12" s="1221"/>
      <c r="DHB12" s="1221"/>
      <c r="DHC12" s="1221"/>
      <c r="DHD12" s="1221"/>
      <c r="DHE12" s="1221"/>
      <c r="DHF12" s="1221"/>
      <c r="DHG12" s="1221"/>
      <c r="DHH12" s="1221"/>
      <c r="DHI12" s="1221"/>
      <c r="DHJ12" s="1221"/>
      <c r="DHK12" s="1221"/>
      <c r="DHL12" s="1221"/>
      <c r="DHM12" s="1221"/>
      <c r="DHN12" s="1221"/>
      <c r="DHO12" s="1221"/>
      <c r="DHP12" s="1221"/>
      <c r="DHQ12" s="1221"/>
      <c r="DHR12" s="1221"/>
      <c r="DHS12" s="1221"/>
      <c r="DHT12" s="1221"/>
      <c r="DHU12" s="1221"/>
      <c r="DHV12" s="1221"/>
      <c r="DHW12" s="1221"/>
      <c r="DHX12" s="1221"/>
      <c r="DHY12" s="1221"/>
      <c r="DHZ12" s="1221"/>
      <c r="DIA12" s="1221"/>
      <c r="DIB12" s="1221"/>
      <c r="DIC12" s="1221"/>
      <c r="DID12" s="1221"/>
      <c r="DIE12" s="1221"/>
      <c r="DIF12" s="1221"/>
      <c r="DIG12" s="1221"/>
      <c r="DIH12" s="1221"/>
      <c r="DII12" s="1221"/>
      <c r="DIJ12" s="1221"/>
      <c r="DIK12" s="1221"/>
      <c r="DIL12" s="1221"/>
      <c r="DIM12" s="1221"/>
      <c r="DIN12" s="1221"/>
      <c r="DIO12" s="1221"/>
      <c r="DIP12" s="1221"/>
      <c r="DIQ12" s="1221"/>
      <c r="DIR12" s="1221"/>
      <c r="DIS12" s="1221"/>
      <c r="DIT12" s="1221"/>
      <c r="DIU12" s="1221"/>
      <c r="DIV12" s="1221"/>
      <c r="DIW12" s="1221"/>
      <c r="DIX12" s="1221"/>
      <c r="DIY12" s="1221"/>
      <c r="DIZ12" s="1221"/>
      <c r="DJA12" s="1221"/>
      <c r="DJB12" s="1221"/>
      <c r="DJC12" s="1221"/>
      <c r="DJD12" s="1221"/>
      <c r="DJE12" s="1221"/>
      <c r="DJF12" s="1221"/>
      <c r="DJG12" s="1221"/>
      <c r="DJH12" s="1221"/>
      <c r="DJI12" s="1221"/>
      <c r="DJJ12" s="1221"/>
      <c r="DJK12" s="1221"/>
      <c r="DJL12" s="1221"/>
      <c r="DJM12" s="1221"/>
      <c r="DJN12" s="1221"/>
      <c r="DJO12" s="1221"/>
      <c r="DJP12" s="1221"/>
      <c r="DJQ12" s="1221"/>
      <c r="DJR12" s="1221"/>
      <c r="DJS12" s="1221"/>
      <c r="DJT12" s="1221"/>
      <c r="DJU12" s="1221"/>
      <c r="DJV12" s="1221"/>
      <c r="DJW12" s="1221"/>
      <c r="DJX12" s="1221"/>
      <c r="DJY12" s="1221"/>
      <c r="DJZ12" s="1221"/>
      <c r="DKA12" s="1221"/>
      <c r="DKB12" s="1221"/>
      <c r="DKC12" s="1221"/>
      <c r="DKD12" s="1221"/>
      <c r="DKE12" s="1221"/>
      <c r="DKF12" s="1221"/>
      <c r="DKG12" s="1221"/>
      <c r="DKH12" s="1221"/>
      <c r="DKI12" s="1221"/>
      <c r="DKJ12" s="1221"/>
      <c r="DKK12" s="1221"/>
      <c r="DKL12" s="1221"/>
      <c r="DKM12" s="1221"/>
      <c r="DKN12" s="1221"/>
      <c r="DKO12" s="1221"/>
      <c r="DKP12" s="1221"/>
      <c r="DKQ12" s="1221"/>
      <c r="DKR12" s="1221"/>
      <c r="DKS12" s="1221"/>
      <c r="DKT12" s="1221"/>
      <c r="DKU12" s="1221"/>
      <c r="DKV12" s="1221"/>
      <c r="DKW12" s="1221"/>
      <c r="DKX12" s="1221"/>
      <c r="DKY12" s="1221"/>
      <c r="DKZ12" s="1221"/>
      <c r="DLA12" s="1221"/>
      <c r="DLB12" s="1221"/>
      <c r="DLC12" s="1221"/>
      <c r="DLD12" s="1221"/>
      <c r="DLE12" s="1221"/>
      <c r="DLF12" s="1221"/>
      <c r="DLG12" s="1221"/>
      <c r="DLH12" s="1221"/>
      <c r="DLI12" s="1221"/>
      <c r="DLJ12" s="1221"/>
      <c r="DLK12" s="1221"/>
      <c r="DLL12" s="1221"/>
      <c r="DLM12" s="1221"/>
      <c r="DLN12" s="1221"/>
      <c r="DLO12" s="1221"/>
      <c r="DLP12" s="1221"/>
      <c r="DLQ12" s="1221"/>
      <c r="DLR12" s="1221"/>
      <c r="DLS12" s="1221"/>
      <c r="DLT12" s="1221"/>
      <c r="DLU12" s="1221"/>
      <c r="DLV12" s="1221"/>
      <c r="DLW12" s="1221"/>
      <c r="DLX12" s="1221"/>
      <c r="DLY12" s="1221"/>
      <c r="DLZ12" s="1221"/>
      <c r="DMA12" s="1221"/>
      <c r="DMB12" s="1221"/>
      <c r="DMC12" s="1221"/>
      <c r="DMD12" s="1221"/>
      <c r="DME12" s="1221"/>
      <c r="DMF12" s="1221"/>
      <c r="DMG12" s="1221"/>
      <c r="DMH12" s="1221"/>
      <c r="DMI12" s="1221"/>
      <c r="DMJ12" s="1221"/>
      <c r="DMK12" s="1221"/>
      <c r="DML12" s="1221"/>
      <c r="DMM12" s="1221"/>
      <c r="DMN12" s="1221"/>
      <c r="DMO12" s="1221"/>
      <c r="DMP12" s="1221"/>
      <c r="DMQ12" s="1221"/>
      <c r="DMR12" s="1221"/>
      <c r="DMS12" s="1221"/>
      <c r="DMT12" s="1221"/>
      <c r="DMU12" s="1221"/>
      <c r="DMV12" s="1221"/>
      <c r="DMW12" s="1221"/>
      <c r="DMX12" s="1221"/>
      <c r="DMY12" s="1221"/>
      <c r="DMZ12" s="1221"/>
      <c r="DNA12" s="1221"/>
      <c r="DNB12" s="1221"/>
      <c r="DNC12" s="1221"/>
      <c r="DND12" s="1221"/>
      <c r="DNE12" s="1221"/>
      <c r="DNF12" s="1221"/>
      <c r="DNG12" s="1221"/>
      <c r="DNH12" s="1221"/>
      <c r="DNI12" s="1221"/>
      <c r="DNJ12" s="1221"/>
      <c r="DNK12" s="1221"/>
      <c r="DNL12" s="1221"/>
      <c r="DNM12" s="1221"/>
      <c r="DNN12" s="1221"/>
      <c r="DNO12" s="1221"/>
      <c r="DNP12" s="1221"/>
      <c r="DNQ12" s="1221"/>
      <c r="DNR12" s="1221"/>
      <c r="DNS12" s="1221"/>
      <c r="DNT12" s="1221"/>
      <c r="DNU12" s="1221"/>
      <c r="DNV12" s="1221"/>
      <c r="DNW12" s="1221"/>
      <c r="DNX12" s="1221"/>
      <c r="DNY12" s="1221"/>
      <c r="DNZ12" s="1221"/>
      <c r="DOA12" s="1221"/>
      <c r="DOB12" s="1221"/>
      <c r="DOC12" s="1221"/>
      <c r="DOD12" s="1221"/>
      <c r="DOE12" s="1221"/>
      <c r="DOF12" s="1221"/>
      <c r="DOG12" s="1221"/>
      <c r="DOH12" s="1221"/>
      <c r="DOI12" s="1221"/>
      <c r="DOJ12" s="1221"/>
      <c r="DOK12" s="1221"/>
      <c r="DOL12" s="1221"/>
      <c r="DOM12" s="1221"/>
      <c r="DON12" s="1221"/>
      <c r="DOO12" s="1221"/>
      <c r="DOP12" s="1221"/>
      <c r="DOQ12" s="1221"/>
      <c r="DOR12" s="1221"/>
      <c r="DOS12" s="1221"/>
      <c r="DOT12" s="1221"/>
      <c r="DOU12" s="1221"/>
      <c r="DOV12" s="1221"/>
      <c r="DOW12" s="1221"/>
      <c r="DOX12" s="1221"/>
      <c r="DOY12" s="1221"/>
      <c r="DOZ12" s="1221"/>
      <c r="DPA12" s="1221"/>
      <c r="DPB12" s="1221"/>
      <c r="DPC12" s="1221"/>
      <c r="DPD12" s="1221"/>
      <c r="DPE12" s="1221"/>
      <c r="DPF12" s="1221"/>
      <c r="DPG12" s="1221"/>
      <c r="DPH12" s="1221"/>
      <c r="DPI12" s="1221"/>
      <c r="DPJ12" s="1221"/>
      <c r="DPK12" s="1221"/>
      <c r="DPL12" s="1221"/>
      <c r="DPM12" s="1221"/>
      <c r="DPN12" s="1221"/>
      <c r="DPO12" s="1221"/>
      <c r="DPP12" s="1221"/>
      <c r="DPQ12" s="1221"/>
      <c r="DPR12" s="1221"/>
      <c r="DPS12" s="1221"/>
      <c r="DPT12" s="1221"/>
      <c r="DPU12" s="1221"/>
      <c r="DPV12" s="1221"/>
      <c r="DPW12" s="1221"/>
      <c r="DPX12" s="1221"/>
      <c r="DPY12" s="1221"/>
      <c r="DPZ12" s="1221"/>
      <c r="DQA12" s="1221"/>
      <c r="DQB12" s="1221"/>
      <c r="DQC12" s="1221"/>
      <c r="DQD12" s="1221"/>
      <c r="DQE12" s="1221"/>
      <c r="DQF12" s="1221"/>
      <c r="DQG12" s="1221"/>
      <c r="DQH12" s="1221"/>
      <c r="DQI12" s="1221"/>
      <c r="DQJ12" s="1221"/>
      <c r="DQK12" s="1221"/>
      <c r="DQL12" s="1221"/>
      <c r="DQM12" s="1221"/>
      <c r="DQN12" s="1221"/>
      <c r="DQO12" s="1221"/>
      <c r="DQP12" s="1221"/>
      <c r="DQQ12" s="1221"/>
      <c r="DQR12" s="1221"/>
      <c r="DQS12" s="1221"/>
      <c r="DQT12" s="1221"/>
      <c r="DQU12" s="1221"/>
      <c r="DQV12" s="1221"/>
      <c r="DQW12" s="1221"/>
      <c r="DQX12" s="1221"/>
      <c r="DQY12" s="1221"/>
      <c r="DQZ12" s="1221"/>
      <c r="DRA12" s="1221"/>
      <c r="DRB12" s="1221"/>
      <c r="DRC12" s="1221"/>
      <c r="DRD12" s="1221"/>
      <c r="DRE12" s="1221"/>
      <c r="DRF12" s="1221"/>
      <c r="DRG12" s="1221"/>
      <c r="DRH12" s="1221"/>
      <c r="DRI12" s="1221"/>
      <c r="DRJ12" s="1221"/>
      <c r="DRK12" s="1221"/>
      <c r="DRL12" s="1221"/>
      <c r="DRM12" s="1221"/>
      <c r="DRN12" s="1221"/>
      <c r="DRO12" s="1221"/>
      <c r="DRP12" s="1221"/>
      <c r="DRQ12" s="1221"/>
      <c r="DRR12" s="1221"/>
      <c r="DRS12" s="1221"/>
      <c r="DRT12" s="1221"/>
      <c r="DRU12" s="1221"/>
      <c r="DRV12" s="1221"/>
      <c r="DRW12" s="1221"/>
      <c r="DRX12" s="1221"/>
      <c r="DRY12" s="1221"/>
      <c r="DRZ12" s="1221"/>
      <c r="DSA12" s="1221"/>
      <c r="DSB12" s="1221"/>
      <c r="DSC12" s="1221"/>
      <c r="DSD12" s="1221"/>
      <c r="DSE12" s="1221"/>
      <c r="DSF12" s="1221"/>
      <c r="DSG12" s="1221"/>
      <c r="DSH12" s="1221"/>
      <c r="DSI12" s="1221"/>
      <c r="DSJ12" s="1221"/>
      <c r="DSK12" s="1221"/>
      <c r="DSL12" s="1221"/>
      <c r="DSM12" s="1221"/>
      <c r="DSN12" s="1221"/>
      <c r="DSO12" s="1221"/>
      <c r="DSP12" s="1221"/>
      <c r="DSQ12" s="1221"/>
      <c r="DSR12" s="1221"/>
      <c r="DSS12" s="1221"/>
      <c r="DST12" s="1221"/>
      <c r="DSU12" s="1221"/>
      <c r="DSV12" s="1221"/>
      <c r="DSW12" s="1221"/>
      <c r="DSX12" s="1221"/>
      <c r="DSY12" s="1221"/>
      <c r="DSZ12" s="1221"/>
      <c r="DTA12" s="1221"/>
      <c r="DTB12" s="1221"/>
      <c r="DTC12" s="1221"/>
      <c r="DTD12" s="1221"/>
      <c r="DTE12" s="1221"/>
      <c r="DTF12" s="1221"/>
      <c r="DTG12" s="1221"/>
      <c r="DTH12" s="1221"/>
      <c r="DTI12" s="1221"/>
      <c r="DTJ12" s="1221"/>
      <c r="DTK12" s="1221"/>
      <c r="DTL12" s="1221"/>
      <c r="DTM12" s="1221"/>
      <c r="DTN12" s="1221"/>
      <c r="DTO12" s="1221"/>
      <c r="DTP12" s="1221"/>
      <c r="DTQ12" s="1221"/>
      <c r="DTR12" s="1221"/>
      <c r="DTS12" s="1221"/>
      <c r="DTT12" s="1221"/>
      <c r="DTU12" s="1221"/>
      <c r="DTV12" s="1221"/>
      <c r="DTW12" s="1221"/>
      <c r="DTX12" s="1221"/>
      <c r="DTY12" s="1221"/>
      <c r="DTZ12" s="1221"/>
      <c r="DUA12" s="1221"/>
      <c r="DUB12" s="1221"/>
      <c r="DUC12" s="1221"/>
      <c r="DUD12" s="1221"/>
      <c r="DUE12" s="1221"/>
      <c r="DUF12" s="1221"/>
      <c r="DUG12" s="1221"/>
      <c r="DUH12" s="1221"/>
      <c r="DUI12" s="1221"/>
      <c r="DUJ12" s="1221"/>
      <c r="DUK12" s="1221"/>
      <c r="DUL12" s="1221"/>
      <c r="DUM12" s="1221"/>
      <c r="DUN12" s="1221"/>
      <c r="DUO12" s="1221"/>
      <c r="DUP12" s="1221"/>
      <c r="DUQ12" s="1221"/>
      <c r="DUR12" s="1221"/>
      <c r="DUS12" s="1221"/>
      <c r="DUT12" s="1221"/>
      <c r="DUU12" s="1221"/>
      <c r="DUV12" s="1221"/>
      <c r="DUW12" s="1221"/>
      <c r="DUX12" s="1221"/>
      <c r="DUY12" s="1221"/>
      <c r="DUZ12" s="1221"/>
      <c r="DVA12" s="1221"/>
      <c r="DVB12" s="1221"/>
      <c r="DVC12" s="1221"/>
      <c r="DVD12" s="1221"/>
      <c r="DVE12" s="1221"/>
      <c r="DVF12" s="1221"/>
      <c r="DVG12" s="1221"/>
      <c r="DVH12" s="1221"/>
      <c r="DVI12" s="1221"/>
      <c r="DVJ12" s="1221"/>
      <c r="DVK12" s="1221"/>
      <c r="DVL12" s="1221"/>
      <c r="DVM12" s="1221"/>
      <c r="DVN12" s="1221"/>
      <c r="DVO12" s="1221"/>
      <c r="DVP12" s="1221"/>
      <c r="DVQ12" s="1221"/>
      <c r="DVR12" s="1221"/>
      <c r="DVS12" s="1221"/>
      <c r="DVT12" s="1221"/>
      <c r="DVU12" s="1221"/>
      <c r="DVV12" s="1221"/>
      <c r="DVW12" s="1221"/>
      <c r="DVX12" s="1221"/>
      <c r="DVY12" s="1221"/>
      <c r="DVZ12" s="1221"/>
      <c r="DWA12" s="1221"/>
      <c r="DWB12" s="1221"/>
      <c r="DWC12" s="1221"/>
      <c r="DWD12" s="1221"/>
      <c r="DWE12" s="1221"/>
      <c r="DWF12" s="1221"/>
      <c r="DWG12" s="1221"/>
      <c r="DWH12" s="1221"/>
      <c r="DWI12" s="1221"/>
      <c r="DWJ12" s="1221"/>
      <c r="DWK12" s="1221"/>
      <c r="DWL12" s="1221"/>
      <c r="DWM12" s="1221"/>
      <c r="DWN12" s="1221"/>
      <c r="DWO12" s="1221"/>
      <c r="DWP12" s="1221"/>
      <c r="DWQ12" s="1221"/>
      <c r="DWR12" s="1221"/>
      <c r="DWS12" s="1221"/>
      <c r="DWT12" s="1221"/>
      <c r="DWU12" s="1221"/>
      <c r="DWV12" s="1221"/>
      <c r="DWW12" s="1221"/>
      <c r="DWX12" s="1221"/>
      <c r="DWY12" s="1221"/>
      <c r="DWZ12" s="1221"/>
      <c r="DXA12" s="1221"/>
      <c r="DXB12" s="1221"/>
      <c r="DXC12" s="1221"/>
      <c r="DXD12" s="1221"/>
      <c r="DXE12" s="1221"/>
      <c r="DXF12" s="1221"/>
      <c r="DXG12" s="1221"/>
      <c r="DXH12" s="1221"/>
      <c r="DXI12" s="1221"/>
      <c r="DXJ12" s="1221"/>
      <c r="DXK12" s="1221"/>
      <c r="DXL12" s="1221"/>
      <c r="DXM12" s="1221"/>
      <c r="DXN12" s="1221"/>
      <c r="DXO12" s="1221"/>
      <c r="DXP12" s="1221"/>
      <c r="DXQ12" s="1221"/>
      <c r="DXR12" s="1221"/>
      <c r="DXS12" s="1221"/>
      <c r="DXT12" s="1221"/>
      <c r="DXU12" s="1221"/>
      <c r="DXV12" s="1221"/>
      <c r="DXW12" s="1221"/>
      <c r="DXX12" s="1221"/>
      <c r="DXY12" s="1221"/>
      <c r="DXZ12" s="1221"/>
      <c r="DYA12" s="1221"/>
      <c r="DYB12" s="1221"/>
      <c r="DYC12" s="1221"/>
      <c r="DYD12" s="1221"/>
      <c r="DYE12" s="1221"/>
      <c r="DYF12" s="1221"/>
      <c r="DYG12" s="1221"/>
      <c r="DYH12" s="1221"/>
      <c r="DYI12" s="1221"/>
      <c r="DYJ12" s="1221"/>
      <c r="DYK12" s="1221"/>
      <c r="DYL12" s="1221"/>
      <c r="DYM12" s="1221"/>
      <c r="DYN12" s="1221"/>
      <c r="DYO12" s="1221"/>
      <c r="DYP12" s="1221"/>
      <c r="DYQ12" s="1221"/>
      <c r="DYR12" s="1221"/>
      <c r="DYS12" s="1221"/>
      <c r="DYT12" s="1221"/>
      <c r="DYU12" s="1221"/>
      <c r="DYV12" s="1221"/>
      <c r="DYW12" s="1221"/>
      <c r="DYX12" s="1221"/>
      <c r="DYY12" s="1221"/>
      <c r="DYZ12" s="1221"/>
      <c r="DZA12" s="1221"/>
      <c r="DZB12" s="1221"/>
      <c r="DZC12" s="1221"/>
      <c r="DZD12" s="1221"/>
      <c r="DZE12" s="1221"/>
      <c r="DZF12" s="1221"/>
      <c r="DZG12" s="1221"/>
      <c r="DZH12" s="1221"/>
      <c r="DZI12" s="1221"/>
      <c r="DZJ12" s="1221"/>
      <c r="DZK12" s="1221"/>
      <c r="DZL12" s="1221"/>
      <c r="DZM12" s="1221"/>
      <c r="DZN12" s="1221"/>
      <c r="DZO12" s="1221"/>
      <c r="DZP12" s="1221"/>
      <c r="DZQ12" s="1221"/>
      <c r="DZR12" s="1221"/>
      <c r="DZS12" s="1221"/>
      <c r="DZT12" s="1221"/>
      <c r="DZU12" s="1221"/>
      <c r="DZV12" s="1221"/>
      <c r="DZW12" s="1221"/>
      <c r="DZX12" s="1221"/>
      <c r="DZY12" s="1221"/>
      <c r="DZZ12" s="1221"/>
      <c r="EAA12" s="1221"/>
      <c r="EAB12" s="1221"/>
      <c r="EAC12" s="1221"/>
      <c r="EAD12" s="1221"/>
      <c r="EAE12" s="1221"/>
      <c r="EAF12" s="1221"/>
      <c r="EAG12" s="1221"/>
      <c r="EAH12" s="1221"/>
      <c r="EAI12" s="1221"/>
      <c r="EAJ12" s="1221"/>
      <c r="EAK12" s="1221"/>
      <c r="EAL12" s="1221"/>
      <c r="EAM12" s="1221"/>
      <c r="EAN12" s="1221"/>
      <c r="EAO12" s="1221"/>
      <c r="EAP12" s="1221"/>
      <c r="EAQ12" s="1221"/>
      <c r="EAR12" s="1221"/>
      <c r="EAS12" s="1221"/>
      <c r="EAT12" s="1221"/>
      <c r="EAU12" s="1221"/>
      <c r="EAV12" s="1221"/>
      <c r="EAW12" s="1221"/>
      <c r="EAX12" s="1221"/>
      <c r="EAY12" s="1221"/>
      <c r="EAZ12" s="1221"/>
      <c r="EBA12" s="1221"/>
      <c r="EBB12" s="1221"/>
      <c r="EBC12" s="1221"/>
      <c r="EBD12" s="1221"/>
      <c r="EBE12" s="1221"/>
      <c r="EBF12" s="1221"/>
      <c r="EBG12" s="1221"/>
      <c r="EBH12" s="1221"/>
      <c r="EBI12" s="1221"/>
      <c r="EBJ12" s="1221"/>
      <c r="EBK12" s="1221"/>
      <c r="EBL12" s="1221"/>
      <c r="EBM12" s="1221"/>
      <c r="EBN12" s="1221"/>
      <c r="EBO12" s="1221"/>
      <c r="EBP12" s="1221"/>
      <c r="EBQ12" s="1221"/>
      <c r="EBR12" s="1221"/>
      <c r="EBS12" s="1221"/>
      <c r="EBT12" s="1221"/>
      <c r="EBU12" s="1221"/>
      <c r="EBV12" s="1221"/>
      <c r="EBW12" s="1221"/>
      <c r="EBX12" s="1221"/>
      <c r="EBY12" s="1221"/>
      <c r="EBZ12" s="1221"/>
      <c r="ECA12" s="1221"/>
      <c r="ECB12" s="1221"/>
      <c r="ECC12" s="1221"/>
      <c r="ECD12" s="1221"/>
      <c r="ECE12" s="1221"/>
      <c r="ECF12" s="1221"/>
      <c r="ECG12" s="1221"/>
      <c r="ECH12" s="1221"/>
      <c r="ECI12" s="1221"/>
      <c r="ECJ12" s="1221"/>
      <c r="ECK12" s="1221"/>
      <c r="ECL12" s="1221"/>
      <c r="ECM12" s="1221"/>
      <c r="ECN12" s="1221"/>
      <c r="ECO12" s="1221"/>
    </row>
    <row r="13" spans="1:3473" s="1248" customFormat="1" ht="13" outlineLevel="1">
      <c r="B13" s="1249" t="s">
        <v>482</v>
      </c>
      <c r="C13" s="1250">
        <v>2</v>
      </c>
      <c r="D13" s="1251" t="s">
        <v>64</v>
      </c>
      <c r="E13" s="1252">
        <f t="shared" si="4"/>
        <v>0</v>
      </c>
      <c r="F13" s="1252">
        <f t="shared" si="4"/>
        <v>0</v>
      </c>
      <c r="G13" s="1252">
        <f t="shared" si="4"/>
        <v>0</v>
      </c>
      <c r="H13" s="1252">
        <f t="shared" si="4"/>
        <v>929.25195174884198</v>
      </c>
      <c r="I13" s="1252">
        <f t="shared" si="4"/>
        <v>848.95661768559944</v>
      </c>
      <c r="J13" s="1252">
        <f t="shared" si="4"/>
        <v>80.295334063242592</v>
      </c>
      <c r="K13" s="1252">
        <f t="shared" si="4"/>
        <v>35.702751691404046</v>
      </c>
      <c r="L13" s="1252">
        <f t="shared" si="4"/>
        <v>31.595355526523264</v>
      </c>
      <c r="M13" s="1252">
        <f t="shared" si="4"/>
        <v>4.1073961648807851</v>
      </c>
      <c r="N13" s="1252" t="str">
        <f t="shared" si="4"/>
        <v/>
      </c>
      <c r="O13" s="1252" t="str">
        <f t="shared" si="4"/>
        <v/>
      </c>
      <c r="P13" s="1252" t="str">
        <f t="shared" si="4"/>
        <v/>
      </c>
      <c r="Q13" s="1252">
        <f t="shared" si="4"/>
        <v>929.25195174884209</v>
      </c>
      <c r="R13" s="1252">
        <f t="shared" si="4"/>
        <v>848.95661768559944</v>
      </c>
      <c r="S13" s="1252">
        <f t="shared" si="8"/>
        <v>80.295334063242592</v>
      </c>
      <c r="T13" s="1252">
        <f t="shared" si="5"/>
        <v>929.25195174884198</v>
      </c>
      <c r="U13" s="1252">
        <f t="shared" si="5"/>
        <v>848.95661768559944</v>
      </c>
      <c r="V13" s="1252">
        <f t="shared" si="9"/>
        <v>80.295334063242578</v>
      </c>
      <c r="W13" s="1253" t="str">
        <f t="shared" si="10"/>
        <v/>
      </c>
      <c r="X13" s="1252" t="str">
        <f t="shared" si="10"/>
        <v/>
      </c>
      <c r="Y13" s="1252" t="str">
        <f t="shared" si="10"/>
        <v/>
      </c>
      <c r="Z13" s="1252">
        <f t="shared" si="11"/>
        <v>701.88924848925637</v>
      </c>
      <c r="AA13" s="1252">
        <f t="shared" si="11"/>
        <v>641.16997767218777</v>
      </c>
      <c r="AB13" s="1252">
        <f t="shared" si="11"/>
        <v>60.719270817068654</v>
      </c>
      <c r="AC13" s="1252">
        <f t="shared" si="15"/>
        <v>932.50069476679073</v>
      </c>
      <c r="AD13" s="1260">
        <f t="shared" si="15"/>
        <v>851.83161151110653</v>
      </c>
      <c r="AE13" s="1260">
        <f t="shared" si="15"/>
        <v>80.6690832556842</v>
      </c>
      <c r="AF13" s="1254">
        <f>AG13+AH13</f>
        <v>0</v>
      </c>
      <c r="AG13" s="1256">
        <f>VLOOKUP($D13,车位!$D$11:$U$199,14,0)*车位!$K$3</f>
        <v>0</v>
      </c>
      <c r="AH13" s="1256">
        <f>VLOOKUP($D13,车位!$D$11:$U$199,16,0)*车位!$K$3</f>
        <v>0</v>
      </c>
      <c r="AI13" s="1256">
        <f>AJ13+AK13</f>
        <v>4011.9477302206915</v>
      </c>
      <c r="AJ13" s="1256">
        <f>IF($BB13=0,0,($BK13-$AM$13)*AJ$6/($BB$6-$AG$6-$AM$6))</f>
        <v>3665.2810564127185</v>
      </c>
      <c r="AK13" s="1256">
        <f>IF($BC13=0,0,($BL13-$AN$13)*AK$6/($BC$6-$AH$6-$AN$6))</f>
        <v>346.66667380797321</v>
      </c>
      <c r="AL13" s="1256">
        <f t="shared" ref="AL13:AL48" si="20">AM13+AN13</f>
        <v>33.594361393019874</v>
      </c>
      <c r="AM13" s="1256">
        <f>VLOOKUP($D13,人防车位!D:U,14,0)*人防车位!K3</f>
        <v>29.729523401259957</v>
      </c>
      <c r="AN13" s="1256">
        <f>VLOOKUP($D13,人防车位!D:U,16,0)*人防车位!K3</f>
        <v>3.8648379917599143</v>
      </c>
      <c r="AO13" s="1256">
        <f t="shared" ref="AO13:AO48" si="21">AP13+AQ13</f>
        <v>0</v>
      </c>
      <c r="AP13" s="1256">
        <f>IF($BB13=0,0,($BK13-$AM$13)*AP$6/($BB$6-$AG$6-$AM$6))</f>
        <v>0</v>
      </c>
      <c r="AQ13" s="1256">
        <f>IF($BC13=0,0,($BL13-$AN$13)*AQ$6/($BC$6-$AH$6-$AN$6))</f>
        <v>0</v>
      </c>
      <c r="AR13" s="1256">
        <f>AS13+AT13</f>
        <v>5498.7908108527645</v>
      </c>
      <c r="AS13" s="1256">
        <f>IF($BB13=0,0,($BK13-$AM$13)*AS$6/($BB$6-$AG$6-$AM$6))</f>
        <v>5023.6481498442381</v>
      </c>
      <c r="AT13" s="1256">
        <f>IF($BC13=0,0,($BL13-$AN$13)*AT$6/($BC$6-$AH$6-$AN$6))</f>
        <v>475.14266100852609</v>
      </c>
      <c r="AU13" s="1256">
        <f>AV13+AW13</f>
        <v>98.401276926540135</v>
      </c>
      <c r="AV13" s="1256">
        <f>IF($BB13=0,0,($BK13-$AM$13)*AV$6/($BB$6-$AG$6-$AM$6))</f>
        <v>89.898563116581187</v>
      </c>
      <c r="AW13" s="1256">
        <f>IF($BC13=0,0,($BL13-$AN$13)*AW$6/($BC$6-$AH$6-$AN$6))</f>
        <v>8.5027138099589479</v>
      </c>
      <c r="AX13" s="1256"/>
      <c r="AY13" s="1256"/>
      <c r="AZ13" s="1256"/>
      <c r="BA13" s="1257">
        <f>BB13+BC13</f>
        <v>9642.7341793930173</v>
      </c>
      <c r="BB13" s="1257">
        <f>BK13</f>
        <v>8808.5572927747999</v>
      </c>
      <c r="BC13" s="1257">
        <f>BL13</f>
        <v>834.1768866182183</v>
      </c>
      <c r="BD13" s="1261">
        <f t="shared" ref="BD13:BD15" si="22">+BE13+BF13</f>
        <v>0</v>
      </c>
      <c r="BE13" s="1261">
        <v>0</v>
      </c>
      <c r="BF13" s="1261">
        <v>0</v>
      </c>
      <c r="BG13" s="1256">
        <f t="shared" si="18"/>
        <v>0</v>
      </c>
      <c r="BH13" s="1257">
        <f t="shared" si="19"/>
        <v>0</v>
      </c>
      <c r="BI13" s="1257">
        <f t="shared" si="19"/>
        <v>0</v>
      </c>
      <c r="BJ13" s="1257">
        <f>BK13+BL13</f>
        <v>9642.7341793930173</v>
      </c>
      <c r="BK13" s="1256">
        <f>VLOOKUP($D13,'当期公摊测算表（全期）'!$D$9:$W$192,20,0)+车位!Q209*车位!K4+AG13+人防车位!Q209*人防车位!K4+'成本汇总（分摊）'!AM13</f>
        <v>8808.5572927747999</v>
      </c>
      <c r="BL13" s="1256">
        <f>VLOOKUP($D13,'当期公摊测算表（全期）'!$D$9:$W$192,19,0)+车位!S209*车位!K4+AH13+人防车位!S209*人防车位!K4+'成本汇总（分摊）'!AN13</f>
        <v>834.1768866182183</v>
      </c>
      <c r="BM13" s="1262" t="s">
        <v>20</v>
      </c>
      <c r="BN13" s="1225">
        <f t="shared" si="12"/>
        <v>0</v>
      </c>
      <c r="BO13" s="1225">
        <f t="shared" si="13"/>
        <v>0</v>
      </c>
      <c r="BP13" s="1225">
        <f t="shared" si="14"/>
        <v>0</v>
      </c>
      <c r="BQ13" s="1225"/>
      <c r="BR13" s="1221"/>
      <c r="BS13" s="1221"/>
      <c r="BT13" s="1221"/>
      <c r="BU13" s="1221"/>
      <c r="BV13" s="1221"/>
      <c r="BW13" s="1221"/>
      <c r="BX13" s="1221"/>
      <c r="BY13" s="1221"/>
      <c r="BZ13" s="1221"/>
      <c r="CA13" s="1221"/>
      <c r="CB13" s="1221"/>
      <c r="CC13" s="1221"/>
      <c r="CD13" s="1221"/>
      <c r="CE13" s="1221"/>
      <c r="CF13" s="1221"/>
      <c r="CG13" s="1221"/>
      <c r="CH13" s="1221"/>
      <c r="CI13" s="1221"/>
      <c r="CJ13" s="1221"/>
      <c r="CK13" s="1221"/>
      <c r="CL13" s="1221"/>
      <c r="CM13" s="1221"/>
      <c r="CN13" s="1221"/>
      <c r="CO13" s="1221"/>
      <c r="CP13" s="1221"/>
      <c r="CQ13" s="1221"/>
      <c r="CR13" s="1221"/>
      <c r="CS13" s="1221"/>
      <c r="CT13" s="1221"/>
      <c r="CU13" s="1221"/>
      <c r="CV13" s="1221"/>
      <c r="CW13" s="1221"/>
      <c r="CX13" s="1221"/>
      <c r="CY13" s="1221"/>
      <c r="CZ13" s="1221"/>
      <c r="DA13" s="1221"/>
      <c r="DB13" s="1221"/>
      <c r="DC13" s="1221"/>
      <c r="DD13" s="1221"/>
      <c r="DE13" s="1221"/>
      <c r="DF13" s="1221"/>
      <c r="DG13" s="1221"/>
      <c r="DH13" s="1221"/>
      <c r="DI13" s="1221"/>
      <c r="DJ13" s="1221"/>
      <c r="DK13" s="1221"/>
      <c r="DL13" s="1221"/>
      <c r="DM13" s="1221"/>
      <c r="DN13" s="1221"/>
      <c r="DO13" s="1221"/>
      <c r="DP13" s="1221"/>
      <c r="DQ13" s="1221"/>
      <c r="DR13" s="1221"/>
      <c r="DS13" s="1221"/>
      <c r="DT13" s="1221"/>
      <c r="DU13" s="1221"/>
      <c r="DV13" s="1221"/>
      <c r="DW13" s="1221"/>
      <c r="DX13" s="1221"/>
      <c r="DY13" s="1221"/>
      <c r="DZ13" s="1221"/>
      <c r="EA13" s="1221"/>
      <c r="EB13" s="1221"/>
      <c r="EC13" s="1221"/>
      <c r="ED13" s="1221"/>
      <c r="EE13" s="1221"/>
      <c r="EF13" s="1221"/>
      <c r="EG13" s="1221"/>
      <c r="EH13" s="1221"/>
      <c r="EI13" s="1221"/>
      <c r="EJ13" s="1221"/>
      <c r="EK13" s="1221"/>
      <c r="EL13" s="1221"/>
      <c r="EM13" s="1221"/>
      <c r="EN13" s="1221"/>
      <c r="EO13" s="1221"/>
      <c r="EP13" s="1221"/>
      <c r="EQ13" s="1221"/>
      <c r="ER13" s="1221"/>
      <c r="ES13" s="1221"/>
      <c r="ET13" s="1221"/>
      <c r="EU13" s="1221"/>
      <c r="EV13" s="1221"/>
      <c r="EW13" s="1221"/>
      <c r="EX13" s="1221"/>
      <c r="EY13" s="1221"/>
      <c r="EZ13" s="1221"/>
      <c r="FA13" s="1221"/>
      <c r="FB13" s="1221"/>
      <c r="FC13" s="1221"/>
      <c r="FD13" s="1221"/>
      <c r="FE13" s="1221"/>
      <c r="FF13" s="1221"/>
      <c r="FG13" s="1221"/>
      <c r="FH13" s="1221"/>
      <c r="FI13" s="1221"/>
      <c r="FJ13" s="1221"/>
      <c r="FK13" s="1221"/>
      <c r="FL13" s="1221"/>
      <c r="FM13" s="1221"/>
      <c r="FN13" s="1221"/>
      <c r="FO13" s="1221"/>
      <c r="FP13" s="1221"/>
      <c r="FQ13" s="1221"/>
      <c r="FR13" s="1221"/>
      <c r="FS13" s="1221"/>
      <c r="FT13" s="1221"/>
      <c r="FU13" s="1221"/>
      <c r="FV13" s="1221"/>
      <c r="FW13" s="1221"/>
      <c r="FX13" s="1221"/>
      <c r="FY13" s="1221"/>
      <c r="FZ13" s="1221"/>
      <c r="GA13" s="1221"/>
      <c r="GB13" s="1221"/>
      <c r="GC13" s="1221"/>
      <c r="GD13" s="1221"/>
      <c r="GE13" s="1221"/>
      <c r="GF13" s="1221"/>
      <c r="GG13" s="1221"/>
      <c r="GH13" s="1221"/>
      <c r="GI13" s="1221"/>
      <c r="GJ13" s="1221"/>
      <c r="GK13" s="1221"/>
      <c r="GL13" s="1221"/>
      <c r="GM13" s="1221"/>
      <c r="GN13" s="1221"/>
      <c r="GO13" s="1221"/>
      <c r="GP13" s="1221"/>
      <c r="GQ13" s="1221"/>
      <c r="GR13" s="1221"/>
      <c r="GS13" s="1221"/>
      <c r="GT13" s="1221"/>
      <c r="GU13" s="1221"/>
      <c r="GV13" s="1221"/>
      <c r="GW13" s="1221"/>
      <c r="GX13" s="1221"/>
      <c r="GY13" s="1221"/>
      <c r="GZ13" s="1221"/>
      <c r="HA13" s="1221"/>
      <c r="HB13" s="1221"/>
      <c r="HC13" s="1221"/>
      <c r="HD13" s="1221"/>
      <c r="HE13" s="1221"/>
      <c r="HF13" s="1221"/>
      <c r="HG13" s="1221"/>
      <c r="HH13" s="1221"/>
      <c r="HI13" s="1221"/>
      <c r="HJ13" s="1221"/>
      <c r="HK13" s="1221"/>
      <c r="HL13" s="1221"/>
      <c r="HM13" s="1221"/>
      <c r="HN13" s="1221"/>
      <c r="HO13" s="1221"/>
      <c r="HP13" s="1221"/>
      <c r="HQ13" s="1221"/>
      <c r="HR13" s="1221"/>
      <c r="HS13" s="1221"/>
      <c r="HT13" s="1221"/>
      <c r="HU13" s="1221"/>
      <c r="HV13" s="1221"/>
      <c r="HW13" s="1221"/>
      <c r="HX13" s="1221"/>
      <c r="HY13" s="1221"/>
      <c r="HZ13" s="1221"/>
      <c r="IA13" s="1221"/>
      <c r="IB13" s="1221"/>
      <c r="IC13" s="1221"/>
      <c r="ID13" s="1221"/>
      <c r="IE13" s="1221"/>
      <c r="IF13" s="1221"/>
      <c r="IG13" s="1221"/>
      <c r="IH13" s="1221"/>
      <c r="II13" s="1221"/>
      <c r="IJ13" s="1221"/>
      <c r="IK13" s="1221"/>
      <c r="IL13" s="1221"/>
      <c r="IM13" s="1221"/>
      <c r="IN13" s="1221"/>
      <c r="IO13" s="1221"/>
      <c r="IP13" s="1221"/>
      <c r="IQ13" s="1221"/>
      <c r="IR13" s="1221"/>
      <c r="IS13" s="1221"/>
      <c r="IT13" s="1221"/>
      <c r="IU13" s="1221"/>
      <c r="IV13" s="1221"/>
      <c r="IW13" s="1221"/>
      <c r="IX13" s="1221"/>
      <c r="IY13" s="1221"/>
      <c r="IZ13" s="1221"/>
      <c r="JA13" s="1221"/>
      <c r="JB13" s="1221"/>
      <c r="JC13" s="1221"/>
      <c r="JD13" s="1221"/>
      <c r="JE13" s="1221"/>
      <c r="JF13" s="1221"/>
      <c r="JG13" s="1221"/>
      <c r="JH13" s="1221"/>
      <c r="JI13" s="1221"/>
      <c r="JJ13" s="1221"/>
      <c r="JK13" s="1221"/>
      <c r="JL13" s="1221"/>
      <c r="JM13" s="1221"/>
      <c r="JN13" s="1221"/>
      <c r="JO13" s="1221"/>
      <c r="JP13" s="1221"/>
      <c r="JQ13" s="1221"/>
      <c r="JR13" s="1221"/>
      <c r="JS13" s="1221"/>
      <c r="JT13" s="1221"/>
      <c r="JU13" s="1221"/>
      <c r="JV13" s="1221"/>
      <c r="JW13" s="1221"/>
      <c r="JX13" s="1221"/>
      <c r="JY13" s="1221"/>
      <c r="JZ13" s="1221"/>
      <c r="KA13" s="1221"/>
      <c r="KB13" s="1221"/>
      <c r="KC13" s="1221"/>
      <c r="KD13" s="1221"/>
      <c r="KE13" s="1221"/>
      <c r="KF13" s="1221"/>
      <c r="KG13" s="1221"/>
      <c r="KH13" s="1221"/>
      <c r="KI13" s="1221"/>
      <c r="KJ13" s="1221"/>
      <c r="KK13" s="1221"/>
      <c r="KL13" s="1221"/>
      <c r="KM13" s="1221"/>
      <c r="KN13" s="1221"/>
      <c r="KO13" s="1221"/>
      <c r="KP13" s="1221"/>
      <c r="KQ13" s="1221"/>
      <c r="KR13" s="1221"/>
      <c r="KS13" s="1221"/>
      <c r="KT13" s="1221"/>
      <c r="KU13" s="1221"/>
      <c r="KV13" s="1221"/>
      <c r="KW13" s="1221"/>
      <c r="KX13" s="1221"/>
      <c r="KY13" s="1221"/>
      <c r="KZ13" s="1221"/>
      <c r="LA13" s="1221"/>
      <c r="LB13" s="1221"/>
      <c r="LC13" s="1221"/>
      <c r="LD13" s="1221"/>
      <c r="LE13" s="1221"/>
      <c r="LF13" s="1221"/>
      <c r="LG13" s="1221"/>
      <c r="LH13" s="1221"/>
      <c r="LI13" s="1221"/>
      <c r="LJ13" s="1221"/>
      <c r="LK13" s="1221"/>
      <c r="LL13" s="1221"/>
      <c r="LM13" s="1221"/>
      <c r="LN13" s="1221"/>
      <c r="LO13" s="1221"/>
      <c r="LP13" s="1221"/>
      <c r="LQ13" s="1221"/>
      <c r="LR13" s="1221"/>
      <c r="LS13" s="1221"/>
      <c r="LT13" s="1221"/>
      <c r="LU13" s="1221"/>
      <c r="LV13" s="1221"/>
      <c r="LW13" s="1221"/>
      <c r="LX13" s="1221"/>
      <c r="LY13" s="1221"/>
      <c r="LZ13" s="1221"/>
      <c r="MA13" s="1221"/>
      <c r="MB13" s="1221"/>
      <c r="MC13" s="1221"/>
      <c r="MD13" s="1221"/>
      <c r="ME13" s="1221"/>
      <c r="MF13" s="1221"/>
      <c r="MG13" s="1221"/>
      <c r="MH13" s="1221"/>
      <c r="MI13" s="1221"/>
      <c r="MJ13" s="1221"/>
      <c r="MK13" s="1221"/>
      <c r="ML13" s="1221"/>
      <c r="MM13" s="1221"/>
      <c r="MN13" s="1221"/>
      <c r="MO13" s="1221"/>
      <c r="MP13" s="1221"/>
      <c r="MQ13" s="1221"/>
      <c r="MR13" s="1221"/>
      <c r="MS13" s="1221"/>
      <c r="MT13" s="1221"/>
      <c r="MU13" s="1221"/>
      <c r="MV13" s="1221"/>
      <c r="MW13" s="1221"/>
      <c r="MX13" s="1221"/>
      <c r="MY13" s="1221"/>
      <c r="MZ13" s="1221"/>
      <c r="NA13" s="1221"/>
      <c r="NB13" s="1221"/>
      <c r="NC13" s="1221"/>
      <c r="ND13" s="1221"/>
      <c r="NE13" s="1221"/>
      <c r="NF13" s="1221"/>
      <c r="NG13" s="1221"/>
      <c r="NH13" s="1221"/>
      <c r="NI13" s="1221"/>
      <c r="NJ13" s="1221"/>
      <c r="NK13" s="1221"/>
      <c r="NL13" s="1221"/>
      <c r="NM13" s="1221"/>
      <c r="NN13" s="1221"/>
      <c r="NO13" s="1221"/>
      <c r="NP13" s="1221"/>
      <c r="NQ13" s="1221"/>
      <c r="NR13" s="1221"/>
      <c r="NS13" s="1221"/>
      <c r="NT13" s="1221"/>
      <c r="NU13" s="1221"/>
      <c r="NV13" s="1221"/>
      <c r="NW13" s="1221"/>
      <c r="NX13" s="1221"/>
      <c r="NY13" s="1221"/>
      <c r="NZ13" s="1221"/>
      <c r="OA13" s="1221"/>
      <c r="OB13" s="1221"/>
      <c r="OC13" s="1221"/>
      <c r="OD13" s="1221"/>
      <c r="OE13" s="1221"/>
      <c r="OF13" s="1221"/>
      <c r="OG13" s="1221"/>
      <c r="OH13" s="1221"/>
      <c r="OI13" s="1221"/>
      <c r="OJ13" s="1221"/>
      <c r="OK13" s="1221"/>
      <c r="OL13" s="1221"/>
      <c r="OM13" s="1221"/>
      <c r="ON13" s="1221"/>
      <c r="OO13" s="1221"/>
      <c r="OP13" s="1221"/>
      <c r="OQ13" s="1221"/>
      <c r="OR13" s="1221"/>
      <c r="OS13" s="1221"/>
      <c r="OT13" s="1221"/>
      <c r="OU13" s="1221"/>
      <c r="OV13" s="1221"/>
      <c r="OW13" s="1221"/>
      <c r="OX13" s="1221"/>
      <c r="OY13" s="1221"/>
      <c r="OZ13" s="1221"/>
      <c r="PA13" s="1221"/>
      <c r="PB13" s="1221"/>
      <c r="PC13" s="1221"/>
      <c r="PD13" s="1221"/>
      <c r="PE13" s="1221"/>
      <c r="PF13" s="1221"/>
      <c r="PG13" s="1221"/>
      <c r="PH13" s="1221"/>
      <c r="PI13" s="1221"/>
      <c r="PJ13" s="1221"/>
      <c r="PK13" s="1221"/>
      <c r="PL13" s="1221"/>
      <c r="PM13" s="1221"/>
      <c r="PN13" s="1221"/>
      <c r="PO13" s="1221"/>
      <c r="PP13" s="1221"/>
      <c r="PQ13" s="1221"/>
      <c r="PR13" s="1221"/>
      <c r="PS13" s="1221"/>
      <c r="PT13" s="1221"/>
      <c r="PU13" s="1221"/>
      <c r="PV13" s="1221"/>
      <c r="PW13" s="1221"/>
      <c r="PX13" s="1221"/>
      <c r="PY13" s="1221"/>
      <c r="PZ13" s="1221"/>
      <c r="QA13" s="1221"/>
      <c r="QB13" s="1221"/>
      <c r="QC13" s="1221"/>
      <c r="QD13" s="1221"/>
      <c r="QE13" s="1221"/>
      <c r="QF13" s="1221"/>
      <c r="QG13" s="1221"/>
      <c r="QH13" s="1221"/>
      <c r="QI13" s="1221"/>
      <c r="QJ13" s="1221"/>
      <c r="QK13" s="1221"/>
      <c r="QL13" s="1221"/>
      <c r="QM13" s="1221"/>
      <c r="QN13" s="1221"/>
      <c r="QO13" s="1221"/>
      <c r="QP13" s="1221"/>
      <c r="QQ13" s="1221"/>
      <c r="QR13" s="1221"/>
      <c r="QS13" s="1221"/>
      <c r="QT13" s="1221"/>
      <c r="QU13" s="1221"/>
      <c r="QV13" s="1221"/>
      <c r="QW13" s="1221"/>
      <c r="QX13" s="1221"/>
      <c r="QY13" s="1221"/>
      <c r="QZ13" s="1221"/>
      <c r="RA13" s="1221"/>
      <c r="RB13" s="1221"/>
      <c r="RC13" s="1221"/>
      <c r="RD13" s="1221"/>
      <c r="RE13" s="1221"/>
      <c r="RF13" s="1221"/>
      <c r="RG13" s="1221"/>
      <c r="RH13" s="1221"/>
      <c r="RI13" s="1221"/>
      <c r="RJ13" s="1221"/>
      <c r="RK13" s="1221"/>
      <c r="RL13" s="1221"/>
      <c r="RM13" s="1221"/>
      <c r="RN13" s="1221"/>
      <c r="RO13" s="1221"/>
      <c r="RP13" s="1221"/>
      <c r="RQ13" s="1221"/>
      <c r="RR13" s="1221"/>
      <c r="RS13" s="1221"/>
      <c r="RT13" s="1221"/>
      <c r="RU13" s="1221"/>
      <c r="RV13" s="1221"/>
      <c r="RW13" s="1221"/>
      <c r="RX13" s="1221"/>
      <c r="RY13" s="1221"/>
      <c r="RZ13" s="1221"/>
      <c r="SA13" s="1221"/>
      <c r="SB13" s="1221"/>
      <c r="SC13" s="1221"/>
      <c r="SD13" s="1221"/>
      <c r="SE13" s="1221"/>
      <c r="SF13" s="1221"/>
      <c r="SG13" s="1221"/>
      <c r="SH13" s="1221"/>
      <c r="SI13" s="1221"/>
      <c r="SJ13" s="1221"/>
      <c r="SK13" s="1221"/>
      <c r="SL13" s="1221"/>
      <c r="SM13" s="1221"/>
      <c r="SN13" s="1221"/>
      <c r="SO13" s="1221"/>
      <c r="SP13" s="1221"/>
      <c r="SQ13" s="1221"/>
      <c r="SR13" s="1221"/>
      <c r="SS13" s="1221"/>
      <c r="ST13" s="1221"/>
      <c r="SU13" s="1221"/>
      <c r="SV13" s="1221"/>
      <c r="SW13" s="1221"/>
      <c r="SX13" s="1221"/>
      <c r="SY13" s="1221"/>
      <c r="SZ13" s="1221"/>
      <c r="TA13" s="1221"/>
      <c r="TB13" s="1221"/>
      <c r="TC13" s="1221"/>
      <c r="TD13" s="1221"/>
      <c r="TE13" s="1221"/>
      <c r="TF13" s="1221"/>
      <c r="TG13" s="1221"/>
      <c r="TH13" s="1221"/>
      <c r="TI13" s="1221"/>
      <c r="TJ13" s="1221"/>
      <c r="TK13" s="1221"/>
      <c r="TL13" s="1221"/>
      <c r="TM13" s="1221"/>
      <c r="TN13" s="1221"/>
      <c r="TO13" s="1221"/>
      <c r="TP13" s="1221"/>
      <c r="TQ13" s="1221"/>
      <c r="TR13" s="1221"/>
      <c r="TS13" s="1221"/>
      <c r="TT13" s="1221"/>
      <c r="TU13" s="1221"/>
      <c r="TV13" s="1221"/>
      <c r="TW13" s="1221"/>
      <c r="TX13" s="1221"/>
      <c r="TY13" s="1221"/>
      <c r="TZ13" s="1221"/>
      <c r="UA13" s="1221"/>
      <c r="UB13" s="1221"/>
      <c r="UC13" s="1221"/>
      <c r="UD13" s="1221"/>
      <c r="UE13" s="1221"/>
      <c r="UF13" s="1221"/>
      <c r="UG13" s="1221"/>
      <c r="UH13" s="1221"/>
      <c r="UI13" s="1221"/>
      <c r="UJ13" s="1221"/>
      <c r="UK13" s="1221"/>
      <c r="UL13" s="1221"/>
      <c r="UM13" s="1221"/>
      <c r="UN13" s="1221"/>
      <c r="UO13" s="1221"/>
      <c r="UP13" s="1221"/>
      <c r="UQ13" s="1221"/>
      <c r="UR13" s="1221"/>
      <c r="US13" s="1221"/>
      <c r="UT13" s="1221"/>
      <c r="UU13" s="1221"/>
      <c r="UV13" s="1221"/>
      <c r="UW13" s="1221"/>
      <c r="UX13" s="1221"/>
      <c r="UY13" s="1221"/>
      <c r="UZ13" s="1221"/>
      <c r="VA13" s="1221"/>
      <c r="VB13" s="1221"/>
      <c r="VC13" s="1221"/>
      <c r="VD13" s="1221"/>
      <c r="VE13" s="1221"/>
      <c r="VF13" s="1221"/>
      <c r="VG13" s="1221"/>
      <c r="VH13" s="1221"/>
      <c r="VI13" s="1221"/>
      <c r="VJ13" s="1221"/>
      <c r="VK13" s="1221"/>
      <c r="VL13" s="1221"/>
      <c r="VM13" s="1221"/>
      <c r="VN13" s="1221"/>
      <c r="VO13" s="1221"/>
      <c r="VP13" s="1221"/>
      <c r="VQ13" s="1221"/>
      <c r="VR13" s="1221"/>
      <c r="VS13" s="1221"/>
      <c r="VT13" s="1221"/>
      <c r="VU13" s="1221"/>
      <c r="VV13" s="1221"/>
      <c r="VW13" s="1221"/>
      <c r="VX13" s="1221"/>
      <c r="VY13" s="1221"/>
      <c r="VZ13" s="1221"/>
      <c r="WA13" s="1221"/>
      <c r="WB13" s="1221"/>
      <c r="WC13" s="1221"/>
      <c r="WD13" s="1221"/>
      <c r="WE13" s="1221"/>
      <c r="WF13" s="1221"/>
      <c r="WG13" s="1221"/>
      <c r="WH13" s="1221"/>
      <c r="WI13" s="1221"/>
      <c r="WJ13" s="1221"/>
      <c r="WK13" s="1221"/>
      <c r="WL13" s="1221"/>
      <c r="WM13" s="1221"/>
      <c r="WN13" s="1221"/>
      <c r="WO13" s="1221"/>
      <c r="WP13" s="1221"/>
      <c r="WQ13" s="1221"/>
      <c r="WR13" s="1221"/>
      <c r="WS13" s="1221"/>
      <c r="WT13" s="1221"/>
      <c r="WU13" s="1221"/>
      <c r="WV13" s="1221"/>
      <c r="WW13" s="1221"/>
      <c r="WX13" s="1221"/>
      <c r="WY13" s="1221"/>
      <c r="WZ13" s="1221"/>
      <c r="XA13" s="1221"/>
      <c r="XB13" s="1221"/>
      <c r="XC13" s="1221"/>
      <c r="XD13" s="1221"/>
      <c r="XE13" s="1221"/>
      <c r="XF13" s="1221"/>
      <c r="XG13" s="1221"/>
      <c r="XH13" s="1221"/>
      <c r="XI13" s="1221"/>
      <c r="XJ13" s="1221"/>
      <c r="XK13" s="1221"/>
      <c r="XL13" s="1221"/>
      <c r="XM13" s="1221"/>
      <c r="XN13" s="1221"/>
      <c r="XO13" s="1221"/>
      <c r="XP13" s="1221"/>
      <c r="XQ13" s="1221"/>
      <c r="XR13" s="1221"/>
      <c r="XS13" s="1221"/>
      <c r="XT13" s="1221"/>
      <c r="XU13" s="1221"/>
      <c r="XV13" s="1221"/>
      <c r="XW13" s="1221"/>
      <c r="XX13" s="1221"/>
      <c r="XY13" s="1221"/>
      <c r="XZ13" s="1221"/>
      <c r="YA13" s="1221"/>
      <c r="YB13" s="1221"/>
      <c r="YC13" s="1221"/>
      <c r="YD13" s="1221"/>
      <c r="YE13" s="1221"/>
      <c r="YF13" s="1221"/>
      <c r="YG13" s="1221"/>
      <c r="YH13" s="1221"/>
      <c r="YI13" s="1221"/>
      <c r="YJ13" s="1221"/>
      <c r="YK13" s="1221"/>
      <c r="YL13" s="1221"/>
      <c r="YM13" s="1221"/>
      <c r="YN13" s="1221"/>
      <c r="YO13" s="1221"/>
      <c r="YP13" s="1221"/>
      <c r="YQ13" s="1221"/>
      <c r="YR13" s="1221"/>
      <c r="YS13" s="1221"/>
      <c r="YT13" s="1221"/>
      <c r="YU13" s="1221"/>
      <c r="YV13" s="1221"/>
      <c r="YW13" s="1221"/>
      <c r="YX13" s="1221"/>
      <c r="YY13" s="1221"/>
      <c r="YZ13" s="1221"/>
      <c r="ZA13" s="1221"/>
      <c r="ZB13" s="1221"/>
      <c r="ZC13" s="1221"/>
      <c r="ZD13" s="1221"/>
      <c r="ZE13" s="1221"/>
      <c r="ZF13" s="1221"/>
      <c r="ZG13" s="1221"/>
      <c r="ZH13" s="1221"/>
      <c r="ZI13" s="1221"/>
      <c r="ZJ13" s="1221"/>
      <c r="ZK13" s="1221"/>
      <c r="ZL13" s="1221"/>
      <c r="ZM13" s="1221"/>
      <c r="ZN13" s="1221"/>
      <c r="ZO13" s="1221"/>
      <c r="ZP13" s="1221"/>
      <c r="ZQ13" s="1221"/>
      <c r="ZR13" s="1221"/>
      <c r="ZS13" s="1221"/>
      <c r="ZT13" s="1221"/>
      <c r="ZU13" s="1221"/>
      <c r="ZV13" s="1221"/>
      <c r="ZW13" s="1221"/>
      <c r="ZX13" s="1221"/>
      <c r="ZY13" s="1221"/>
      <c r="ZZ13" s="1221"/>
      <c r="AAA13" s="1221"/>
      <c r="AAB13" s="1221"/>
      <c r="AAC13" s="1221"/>
      <c r="AAD13" s="1221"/>
      <c r="AAE13" s="1221"/>
      <c r="AAF13" s="1221"/>
      <c r="AAG13" s="1221"/>
      <c r="AAH13" s="1221"/>
      <c r="AAI13" s="1221"/>
      <c r="AAJ13" s="1221"/>
      <c r="AAK13" s="1221"/>
      <c r="AAL13" s="1221"/>
      <c r="AAM13" s="1221"/>
      <c r="AAN13" s="1221"/>
      <c r="AAO13" s="1221"/>
      <c r="AAP13" s="1221"/>
      <c r="AAQ13" s="1221"/>
      <c r="AAR13" s="1221"/>
      <c r="AAS13" s="1221"/>
      <c r="AAT13" s="1221"/>
      <c r="AAU13" s="1221"/>
      <c r="AAV13" s="1221"/>
      <c r="AAW13" s="1221"/>
      <c r="AAX13" s="1221"/>
      <c r="AAY13" s="1221"/>
      <c r="AAZ13" s="1221"/>
      <c r="ABA13" s="1221"/>
      <c r="ABB13" s="1221"/>
      <c r="ABC13" s="1221"/>
      <c r="ABD13" s="1221"/>
      <c r="ABE13" s="1221"/>
      <c r="ABF13" s="1221"/>
      <c r="ABG13" s="1221"/>
      <c r="ABH13" s="1221"/>
      <c r="ABI13" s="1221"/>
      <c r="ABJ13" s="1221"/>
      <c r="ABK13" s="1221"/>
      <c r="ABL13" s="1221"/>
      <c r="ABM13" s="1221"/>
      <c r="ABN13" s="1221"/>
      <c r="ABO13" s="1221"/>
      <c r="ABP13" s="1221"/>
      <c r="ABQ13" s="1221"/>
      <c r="ABR13" s="1221"/>
      <c r="ABS13" s="1221"/>
      <c r="ABT13" s="1221"/>
      <c r="ABU13" s="1221"/>
      <c r="ABV13" s="1221"/>
      <c r="ABW13" s="1221"/>
      <c r="ABX13" s="1221"/>
      <c r="ABY13" s="1221"/>
      <c r="ABZ13" s="1221"/>
      <c r="ACA13" s="1221"/>
      <c r="ACB13" s="1221"/>
      <c r="ACC13" s="1221"/>
      <c r="ACD13" s="1221"/>
      <c r="ACE13" s="1221"/>
      <c r="ACF13" s="1221"/>
      <c r="ACG13" s="1221"/>
      <c r="ACH13" s="1221"/>
      <c r="ACI13" s="1221"/>
      <c r="ACJ13" s="1221"/>
      <c r="ACK13" s="1221"/>
      <c r="ACL13" s="1221"/>
      <c r="ACM13" s="1221"/>
      <c r="ACN13" s="1221"/>
      <c r="ACO13" s="1221"/>
      <c r="ACP13" s="1221"/>
      <c r="ACQ13" s="1221"/>
      <c r="ACR13" s="1221"/>
      <c r="ACS13" s="1221"/>
      <c r="ACT13" s="1221"/>
      <c r="ACU13" s="1221"/>
      <c r="ACV13" s="1221"/>
      <c r="ACW13" s="1221"/>
      <c r="ACX13" s="1221"/>
      <c r="ACY13" s="1221"/>
      <c r="ACZ13" s="1221"/>
      <c r="ADA13" s="1221"/>
      <c r="ADB13" s="1221"/>
      <c r="ADC13" s="1221"/>
      <c r="ADD13" s="1221"/>
      <c r="ADE13" s="1221"/>
      <c r="ADF13" s="1221"/>
      <c r="ADG13" s="1221"/>
      <c r="ADH13" s="1221"/>
      <c r="ADI13" s="1221"/>
      <c r="ADJ13" s="1221"/>
      <c r="ADK13" s="1221"/>
      <c r="ADL13" s="1221"/>
      <c r="ADM13" s="1221"/>
      <c r="ADN13" s="1221"/>
      <c r="ADO13" s="1221"/>
      <c r="ADP13" s="1221"/>
      <c r="ADQ13" s="1221"/>
      <c r="ADR13" s="1221"/>
      <c r="ADS13" s="1221"/>
      <c r="ADT13" s="1221"/>
      <c r="ADU13" s="1221"/>
      <c r="ADV13" s="1221"/>
      <c r="ADW13" s="1221"/>
      <c r="ADX13" s="1221"/>
      <c r="ADY13" s="1221"/>
      <c r="ADZ13" s="1221"/>
      <c r="AEA13" s="1221"/>
      <c r="AEB13" s="1221"/>
      <c r="AEC13" s="1221"/>
      <c r="AED13" s="1221"/>
      <c r="AEE13" s="1221"/>
      <c r="AEF13" s="1221"/>
      <c r="AEG13" s="1221"/>
      <c r="AEH13" s="1221"/>
      <c r="AEI13" s="1221"/>
      <c r="AEJ13" s="1221"/>
      <c r="AEK13" s="1221"/>
      <c r="AEL13" s="1221"/>
      <c r="AEM13" s="1221"/>
      <c r="AEN13" s="1221"/>
      <c r="AEO13" s="1221"/>
      <c r="AEP13" s="1221"/>
      <c r="AEQ13" s="1221"/>
      <c r="AER13" s="1221"/>
      <c r="AES13" s="1221"/>
      <c r="AET13" s="1221"/>
      <c r="AEU13" s="1221"/>
      <c r="AEV13" s="1221"/>
      <c r="AEW13" s="1221"/>
      <c r="AEX13" s="1221"/>
      <c r="AEY13" s="1221"/>
      <c r="AEZ13" s="1221"/>
      <c r="AFA13" s="1221"/>
      <c r="AFB13" s="1221"/>
      <c r="AFC13" s="1221"/>
      <c r="AFD13" s="1221"/>
      <c r="AFE13" s="1221"/>
      <c r="AFF13" s="1221"/>
      <c r="AFG13" s="1221"/>
      <c r="AFH13" s="1221"/>
      <c r="AFI13" s="1221"/>
      <c r="AFJ13" s="1221"/>
      <c r="AFK13" s="1221"/>
      <c r="AFL13" s="1221"/>
      <c r="AFM13" s="1221"/>
      <c r="AFN13" s="1221"/>
      <c r="AFO13" s="1221"/>
      <c r="AFP13" s="1221"/>
      <c r="AFQ13" s="1221"/>
      <c r="AFR13" s="1221"/>
      <c r="AFS13" s="1221"/>
      <c r="AFT13" s="1221"/>
      <c r="AFU13" s="1221"/>
      <c r="AFV13" s="1221"/>
      <c r="AFW13" s="1221"/>
      <c r="AFX13" s="1221"/>
      <c r="AFY13" s="1221"/>
      <c r="AFZ13" s="1221"/>
      <c r="AGA13" s="1221"/>
      <c r="AGB13" s="1221"/>
      <c r="AGC13" s="1221"/>
      <c r="AGD13" s="1221"/>
      <c r="AGE13" s="1221"/>
      <c r="AGF13" s="1221"/>
      <c r="AGG13" s="1221"/>
      <c r="AGH13" s="1221"/>
      <c r="AGI13" s="1221"/>
      <c r="AGJ13" s="1221"/>
      <c r="AGK13" s="1221"/>
      <c r="AGL13" s="1221"/>
      <c r="AGM13" s="1221"/>
      <c r="AGN13" s="1221"/>
      <c r="AGO13" s="1221"/>
      <c r="AGP13" s="1221"/>
      <c r="AGQ13" s="1221"/>
      <c r="AGR13" s="1221"/>
      <c r="AGS13" s="1221"/>
      <c r="AGT13" s="1221"/>
      <c r="AGU13" s="1221"/>
      <c r="AGV13" s="1221"/>
      <c r="AGW13" s="1221"/>
      <c r="AGX13" s="1221"/>
      <c r="AGY13" s="1221"/>
      <c r="AGZ13" s="1221"/>
      <c r="AHA13" s="1221"/>
      <c r="AHB13" s="1221"/>
      <c r="AHC13" s="1221"/>
      <c r="AHD13" s="1221"/>
      <c r="AHE13" s="1221"/>
      <c r="AHF13" s="1221"/>
      <c r="AHG13" s="1221"/>
      <c r="AHH13" s="1221"/>
      <c r="AHI13" s="1221"/>
      <c r="AHJ13" s="1221"/>
      <c r="AHK13" s="1221"/>
      <c r="AHL13" s="1221"/>
      <c r="AHM13" s="1221"/>
      <c r="AHN13" s="1221"/>
      <c r="AHO13" s="1221"/>
      <c r="AHP13" s="1221"/>
      <c r="AHQ13" s="1221"/>
      <c r="AHR13" s="1221"/>
      <c r="AHS13" s="1221"/>
      <c r="AHT13" s="1221"/>
      <c r="AHU13" s="1221"/>
      <c r="AHV13" s="1221"/>
      <c r="AHW13" s="1221"/>
      <c r="AHX13" s="1221"/>
      <c r="AHY13" s="1221"/>
      <c r="AHZ13" s="1221"/>
      <c r="AIA13" s="1221"/>
      <c r="AIB13" s="1221"/>
      <c r="AIC13" s="1221"/>
      <c r="AID13" s="1221"/>
      <c r="AIE13" s="1221"/>
      <c r="AIF13" s="1221"/>
      <c r="AIG13" s="1221"/>
      <c r="AIH13" s="1221"/>
      <c r="AII13" s="1221"/>
      <c r="AIJ13" s="1221"/>
      <c r="AIK13" s="1221"/>
      <c r="AIL13" s="1221"/>
      <c r="AIM13" s="1221"/>
      <c r="AIN13" s="1221"/>
      <c r="AIO13" s="1221"/>
      <c r="AIP13" s="1221"/>
      <c r="AIQ13" s="1221"/>
      <c r="AIR13" s="1221"/>
      <c r="AIS13" s="1221"/>
      <c r="AIT13" s="1221"/>
      <c r="AIU13" s="1221"/>
      <c r="AIV13" s="1221"/>
      <c r="AIW13" s="1221"/>
      <c r="AIX13" s="1221"/>
      <c r="AIY13" s="1221"/>
      <c r="AIZ13" s="1221"/>
      <c r="AJA13" s="1221"/>
      <c r="AJB13" s="1221"/>
      <c r="AJC13" s="1221"/>
      <c r="AJD13" s="1221"/>
      <c r="AJE13" s="1221"/>
      <c r="AJF13" s="1221"/>
      <c r="AJG13" s="1221"/>
      <c r="AJH13" s="1221"/>
      <c r="AJI13" s="1221"/>
      <c r="AJJ13" s="1221"/>
      <c r="AJK13" s="1221"/>
      <c r="AJL13" s="1221"/>
      <c r="AJM13" s="1221"/>
      <c r="AJN13" s="1221"/>
      <c r="AJO13" s="1221"/>
      <c r="AJP13" s="1221"/>
      <c r="AJQ13" s="1221"/>
      <c r="AJR13" s="1221"/>
      <c r="AJS13" s="1221"/>
      <c r="AJT13" s="1221"/>
      <c r="AJU13" s="1221"/>
      <c r="AJV13" s="1221"/>
      <c r="AJW13" s="1221"/>
      <c r="AJX13" s="1221"/>
      <c r="AJY13" s="1221"/>
      <c r="AJZ13" s="1221"/>
      <c r="AKA13" s="1221"/>
      <c r="AKB13" s="1221"/>
      <c r="AKC13" s="1221"/>
      <c r="AKD13" s="1221"/>
      <c r="AKE13" s="1221"/>
      <c r="AKF13" s="1221"/>
      <c r="AKG13" s="1221"/>
      <c r="AKH13" s="1221"/>
      <c r="AKI13" s="1221"/>
      <c r="AKJ13" s="1221"/>
      <c r="AKK13" s="1221"/>
      <c r="AKL13" s="1221"/>
      <c r="AKM13" s="1221"/>
      <c r="AKN13" s="1221"/>
      <c r="AKO13" s="1221"/>
      <c r="AKP13" s="1221"/>
      <c r="AKQ13" s="1221"/>
      <c r="AKR13" s="1221"/>
      <c r="AKS13" s="1221"/>
      <c r="AKT13" s="1221"/>
      <c r="AKU13" s="1221"/>
      <c r="AKV13" s="1221"/>
      <c r="AKW13" s="1221"/>
      <c r="AKX13" s="1221"/>
      <c r="AKY13" s="1221"/>
      <c r="AKZ13" s="1221"/>
      <c r="ALA13" s="1221"/>
      <c r="ALB13" s="1221"/>
      <c r="ALC13" s="1221"/>
      <c r="ALD13" s="1221"/>
      <c r="ALE13" s="1221"/>
      <c r="ALF13" s="1221"/>
      <c r="ALG13" s="1221"/>
      <c r="ALH13" s="1221"/>
      <c r="ALI13" s="1221"/>
      <c r="ALJ13" s="1221"/>
      <c r="ALK13" s="1221"/>
      <c r="ALL13" s="1221"/>
      <c r="ALM13" s="1221"/>
      <c r="ALN13" s="1221"/>
      <c r="ALO13" s="1221"/>
      <c r="ALP13" s="1221"/>
      <c r="ALQ13" s="1221"/>
      <c r="ALR13" s="1221"/>
      <c r="ALS13" s="1221"/>
      <c r="ALT13" s="1221"/>
      <c r="ALU13" s="1221"/>
      <c r="ALV13" s="1221"/>
      <c r="ALW13" s="1221"/>
      <c r="ALX13" s="1221"/>
      <c r="ALY13" s="1221"/>
      <c r="ALZ13" s="1221"/>
      <c r="AMA13" s="1221"/>
      <c r="AMB13" s="1221"/>
      <c r="AMC13" s="1221"/>
      <c r="AMD13" s="1221"/>
      <c r="AME13" s="1221"/>
      <c r="AMF13" s="1221"/>
      <c r="AMG13" s="1221"/>
      <c r="AMH13" s="1221"/>
      <c r="AMI13" s="1221"/>
      <c r="AMJ13" s="1221"/>
      <c r="AMK13" s="1221"/>
      <c r="AML13" s="1221"/>
      <c r="AMM13" s="1221"/>
      <c r="AMN13" s="1221"/>
      <c r="AMO13" s="1221"/>
      <c r="AMP13" s="1221"/>
      <c r="AMQ13" s="1221"/>
      <c r="AMR13" s="1221"/>
      <c r="AMS13" s="1221"/>
      <c r="AMT13" s="1221"/>
      <c r="AMU13" s="1221"/>
      <c r="AMV13" s="1221"/>
      <c r="AMW13" s="1221"/>
      <c r="AMX13" s="1221"/>
      <c r="AMY13" s="1221"/>
      <c r="AMZ13" s="1221"/>
      <c r="ANA13" s="1221"/>
      <c r="ANB13" s="1221"/>
      <c r="ANC13" s="1221"/>
      <c r="AND13" s="1221"/>
      <c r="ANE13" s="1221"/>
      <c r="ANF13" s="1221"/>
      <c r="ANG13" s="1221"/>
      <c r="ANH13" s="1221"/>
      <c r="ANI13" s="1221"/>
      <c r="ANJ13" s="1221"/>
      <c r="ANK13" s="1221"/>
      <c r="ANL13" s="1221"/>
      <c r="ANM13" s="1221"/>
      <c r="ANN13" s="1221"/>
      <c r="ANO13" s="1221"/>
      <c r="ANP13" s="1221"/>
      <c r="ANQ13" s="1221"/>
      <c r="ANR13" s="1221"/>
      <c r="ANS13" s="1221"/>
      <c r="ANT13" s="1221"/>
      <c r="ANU13" s="1221"/>
      <c r="ANV13" s="1221"/>
      <c r="ANW13" s="1221"/>
      <c r="ANX13" s="1221"/>
      <c r="ANY13" s="1221"/>
      <c r="ANZ13" s="1221"/>
      <c r="AOA13" s="1221"/>
      <c r="AOB13" s="1221"/>
      <c r="AOC13" s="1221"/>
      <c r="AOD13" s="1221"/>
      <c r="AOE13" s="1221"/>
      <c r="AOF13" s="1221"/>
      <c r="AOG13" s="1221"/>
      <c r="AOH13" s="1221"/>
      <c r="AOI13" s="1221"/>
      <c r="AOJ13" s="1221"/>
      <c r="AOK13" s="1221"/>
      <c r="AOL13" s="1221"/>
      <c r="AOM13" s="1221"/>
      <c r="AON13" s="1221"/>
      <c r="AOO13" s="1221"/>
      <c r="AOP13" s="1221"/>
      <c r="AOQ13" s="1221"/>
      <c r="AOR13" s="1221"/>
      <c r="AOS13" s="1221"/>
      <c r="AOT13" s="1221"/>
      <c r="AOU13" s="1221"/>
      <c r="AOV13" s="1221"/>
      <c r="AOW13" s="1221"/>
      <c r="AOX13" s="1221"/>
      <c r="AOY13" s="1221"/>
      <c r="AOZ13" s="1221"/>
      <c r="APA13" s="1221"/>
      <c r="APB13" s="1221"/>
      <c r="APC13" s="1221"/>
      <c r="APD13" s="1221"/>
      <c r="APE13" s="1221"/>
      <c r="APF13" s="1221"/>
      <c r="APG13" s="1221"/>
      <c r="APH13" s="1221"/>
      <c r="API13" s="1221"/>
      <c r="APJ13" s="1221"/>
      <c r="APK13" s="1221"/>
      <c r="APL13" s="1221"/>
      <c r="APM13" s="1221"/>
      <c r="APN13" s="1221"/>
      <c r="APO13" s="1221"/>
      <c r="APP13" s="1221"/>
      <c r="APQ13" s="1221"/>
      <c r="APR13" s="1221"/>
      <c r="APS13" s="1221"/>
      <c r="APT13" s="1221"/>
      <c r="APU13" s="1221"/>
      <c r="APV13" s="1221"/>
      <c r="APW13" s="1221"/>
      <c r="APX13" s="1221"/>
      <c r="APY13" s="1221"/>
      <c r="APZ13" s="1221"/>
      <c r="AQA13" s="1221"/>
      <c r="AQB13" s="1221"/>
      <c r="AQC13" s="1221"/>
      <c r="AQD13" s="1221"/>
      <c r="AQE13" s="1221"/>
      <c r="AQF13" s="1221"/>
      <c r="AQG13" s="1221"/>
      <c r="AQH13" s="1221"/>
      <c r="AQI13" s="1221"/>
      <c r="AQJ13" s="1221"/>
      <c r="AQK13" s="1221"/>
      <c r="AQL13" s="1221"/>
      <c r="AQM13" s="1221"/>
      <c r="AQN13" s="1221"/>
      <c r="AQO13" s="1221"/>
      <c r="AQP13" s="1221"/>
      <c r="AQQ13" s="1221"/>
      <c r="AQR13" s="1221"/>
      <c r="AQS13" s="1221"/>
      <c r="AQT13" s="1221"/>
      <c r="AQU13" s="1221"/>
      <c r="AQV13" s="1221"/>
      <c r="AQW13" s="1221"/>
      <c r="AQX13" s="1221"/>
      <c r="AQY13" s="1221"/>
      <c r="AQZ13" s="1221"/>
      <c r="ARA13" s="1221"/>
      <c r="ARB13" s="1221"/>
      <c r="ARC13" s="1221"/>
      <c r="ARD13" s="1221"/>
      <c r="ARE13" s="1221"/>
      <c r="ARF13" s="1221"/>
      <c r="ARG13" s="1221"/>
      <c r="ARH13" s="1221"/>
      <c r="ARI13" s="1221"/>
      <c r="ARJ13" s="1221"/>
      <c r="ARK13" s="1221"/>
      <c r="ARL13" s="1221"/>
      <c r="ARM13" s="1221"/>
      <c r="ARN13" s="1221"/>
      <c r="ARO13" s="1221"/>
      <c r="ARP13" s="1221"/>
      <c r="ARQ13" s="1221"/>
      <c r="ARR13" s="1221"/>
      <c r="ARS13" s="1221"/>
      <c r="ART13" s="1221"/>
      <c r="ARU13" s="1221"/>
      <c r="ARV13" s="1221"/>
      <c r="ARW13" s="1221"/>
      <c r="ARX13" s="1221"/>
      <c r="ARY13" s="1221"/>
      <c r="ARZ13" s="1221"/>
      <c r="ASA13" s="1221"/>
      <c r="ASB13" s="1221"/>
      <c r="ASC13" s="1221"/>
      <c r="ASD13" s="1221"/>
      <c r="ASE13" s="1221"/>
      <c r="ASF13" s="1221"/>
      <c r="ASG13" s="1221"/>
      <c r="ASH13" s="1221"/>
      <c r="ASI13" s="1221"/>
      <c r="ASJ13" s="1221"/>
      <c r="ASK13" s="1221"/>
      <c r="ASL13" s="1221"/>
      <c r="ASM13" s="1221"/>
      <c r="ASN13" s="1221"/>
      <c r="ASO13" s="1221"/>
      <c r="ASP13" s="1221"/>
      <c r="ASQ13" s="1221"/>
      <c r="ASR13" s="1221"/>
      <c r="ASS13" s="1221"/>
      <c r="AST13" s="1221"/>
      <c r="ASU13" s="1221"/>
      <c r="ASV13" s="1221"/>
      <c r="ASW13" s="1221"/>
      <c r="ASX13" s="1221"/>
      <c r="ASY13" s="1221"/>
      <c r="ASZ13" s="1221"/>
      <c r="ATA13" s="1221"/>
      <c r="ATB13" s="1221"/>
      <c r="ATC13" s="1221"/>
      <c r="ATD13" s="1221"/>
      <c r="ATE13" s="1221"/>
      <c r="ATF13" s="1221"/>
      <c r="ATG13" s="1221"/>
      <c r="ATH13" s="1221"/>
      <c r="ATI13" s="1221"/>
      <c r="ATJ13" s="1221"/>
      <c r="ATK13" s="1221"/>
      <c r="ATL13" s="1221"/>
      <c r="ATM13" s="1221"/>
      <c r="ATN13" s="1221"/>
      <c r="ATO13" s="1221"/>
      <c r="ATP13" s="1221"/>
      <c r="ATQ13" s="1221"/>
      <c r="ATR13" s="1221"/>
      <c r="ATS13" s="1221"/>
      <c r="ATT13" s="1221"/>
      <c r="ATU13" s="1221"/>
      <c r="ATV13" s="1221"/>
      <c r="ATW13" s="1221"/>
      <c r="ATX13" s="1221"/>
      <c r="ATY13" s="1221"/>
      <c r="ATZ13" s="1221"/>
      <c r="AUA13" s="1221"/>
      <c r="AUB13" s="1221"/>
      <c r="AUC13" s="1221"/>
      <c r="AUD13" s="1221"/>
      <c r="AUE13" s="1221"/>
      <c r="AUF13" s="1221"/>
      <c r="AUG13" s="1221"/>
      <c r="AUH13" s="1221"/>
      <c r="AUI13" s="1221"/>
      <c r="AUJ13" s="1221"/>
      <c r="AUK13" s="1221"/>
      <c r="AUL13" s="1221"/>
      <c r="AUM13" s="1221"/>
      <c r="AUN13" s="1221"/>
      <c r="AUO13" s="1221"/>
      <c r="AUP13" s="1221"/>
      <c r="AUQ13" s="1221"/>
      <c r="AUR13" s="1221"/>
      <c r="AUS13" s="1221"/>
      <c r="AUT13" s="1221"/>
      <c r="AUU13" s="1221"/>
      <c r="AUV13" s="1221"/>
      <c r="AUW13" s="1221"/>
      <c r="AUX13" s="1221"/>
      <c r="AUY13" s="1221"/>
      <c r="AUZ13" s="1221"/>
      <c r="AVA13" s="1221"/>
      <c r="AVB13" s="1221"/>
      <c r="AVC13" s="1221"/>
      <c r="AVD13" s="1221"/>
      <c r="AVE13" s="1221"/>
      <c r="AVF13" s="1221"/>
      <c r="AVG13" s="1221"/>
      <c r="AVH13" s="1221"/>
      <c r="AVI13" s="1221"/>
      <c r="AVJ13" s="1221"/>
      <c r="AVK13" s="1221"/>
      <c r="AVL13" s="1221"/>
      <c r="AVM13" s="1221"/>
      <c r="AVN13" s="1221"/>
      <c r="AVO13" s="1221"/>
      <c r="AVP13" s="1221"/>
      <c r="AVQ13" s="1221"/>
      <c r="AVR13" s="1221"/>
      <c r="AVS13" s="1221"/>
      <c r="AVT13" s="1221"/>
      <c r="AVU13" s="1221"/>
      <c r="AVV13" s="1221"/>
      <c r="AVW13" s="1221"/>
      <c r="AVX13" s="1221"/>
      <c r="AVY13" s="1221"/>
      <c r="AVZ13" s="1221"/>
      <c r="AWA13" s="1221"/>
      <c r="AWB13" s="1221"/>
      <c r="AWC13" s="1221"/>
      <c r="AWD13" s="1221"/>
      <c r="AWE13" s="1221"/>
      <c r="AWF13" s="1221"/>
      <c r="AWG13" s="1221"/>
      <c r="AWH13" s="1221"/>
      <c r="AWI13" s="1221"/>
      <c r="AWJ13" s="1221"/>
      <c r="AWK13" s="1221"/>
      <c r="AWL13" s="1221"/>
      <c r="AWM13" s="1221"/>
      <c r="AWN13" s="1221"/>
      <c r="AWO13" s="1221"/>
      <c r="AWP13" s="1221"/>
      <c r="AWQ13" s="1221"/>
      <c r="AWR13" s="1221"/>
      <c r="AWS13" s="1221"/>
      <c r="AWT13" s="1221"/>
      <c r="AWU13" s="1221"/>
      <c r="AWV13" s="1221"/>
      <c r="AWW13" s="1221"/>
      <c r="AWX13" s="1221"/>
      <c r="AWY13" s="1221"/>
      <c r="AWZ13" s="1221"/>
      <c r="AXA13" s="1221"/>
      <c r="AXB13" s="1221"/>
      <c r="AXC13" s="1221"/>
      <c r="AXD13" s="1221"/>
      <c r="AXE13" s="1221"/>
      <c r="AXF13" s="1221"/>
      <c r="AXG13" s="1221"/>
      <c r="AXH13" s="1221"/>
      <c r="AXI13" s="1221"/>
      <c r="AXJ13" s="1221"/>
      <c r="AXK13" s="1221"/>
      <c r="AXL13" s="1221"/>
      <c r="AXM13" s="1221"/>
      <c r="AXN13" s="1221"/>
      <c r="AXO13" s="1221"/>
      <c r="AXP13" s="1221"/>
      <c r="AXQ13" s="1221"/>
      <c r="AXR13" s="1221"/>
      <c r="AXS13" s="1221"/>
      <c r="AXT13" s="1221"/>
      <c r="AXU13" s="1221"/>
      <c r="AXV13" s="1221"/>
      <c r="AXW13" s="1221"/>
      <c r="AXX13" s="1221"/>
      <c r="AXY13" s="1221"/>
      <c r="AXZ13" s="1221"/>
      <c r="AYA13" s="1221"/>
      <c r="AYB13" s="1221"/>
      <c r="AYC13" s="1221"/>
      <c r="AYD13" s="1221"/>
      <c r="AYE13" s="1221"/>
      <c r="AYF13" s="1221"/>
      <c r="AYG13" s="1221"/>
      <c r="AYH13" s="1221"/>
      <c r="AYI13" s="1221"/>
      <c r="AYJ13" s="1221"/>
      <c r="AYK13" s="1221"/>
      <c r="AYL13" s="1221"/>
      <c r="AYM13" s="1221"/>
      <c r="AYN13" s="1221"/>
      <c r="AYO13" s="1221"/>
      <c r="AYP13" s="1221"/>
      <c r="AYQ13" s="1221"/>
      <c r="AYR13" s="1221"/>
      <c r="AYS13" s="1221"/>
      <c r="AYT13" s="1221"/>
      <c r="AYU13" s="1221"/>
      <c r="AYV13" s="1221"/>
      <c r="AYW13" s="1221"/>
      <c r="AYX13" s="1221"/>
      <c r="AYY13" s="1221"/>
      <c r="AYZ13" s="1221"/>
      <c r="AZA13" s="1221"/>
      <c r="AZB13" s="1221"/>
      <c r="AZC13" s="1221"/>
      <c r="AZD13" s="1221"/>
      <c r="AZE13" s="1221"/>
      <c r="AZF13" s="1221"/>
      <c r="AZG13" s="1221"/>
      <c r="AZH13" s="1221"/>
      <c r="AZI13" s="1221"/>
      <c r="AZJ13" s="1221"/>
      <c r="AZK13" s="1221"/>
      <c r="AZL13" s="1221"/>
      <c r="AZM13" s="1221"/>
      <c r="AZN13" s="1221"/>
      <c r="AZO13" s="1221"/>
      <c r="AZP13" s="1221"/>
      <c r="AZQ13" s="1221"/>
      <c r="AZR13" s="1221"/>
      <c r="AZS13" s="1221"/>
      <c r="AZT13" s="1221"/>
      <c r="AZU13" s="1221"/>
      <c r="AZV13" s="1221"/>
      <c r="AZW13" s="1221"/>
      <c r="AZX13" s="1221"/>
      <c r="AZY13" s="1221"/>
      <c r="AZZ13" s="1221"/>
      <c r="BAA13" s="1221"/>
      <c r="BAB13" s="1221"/>
      <c r="BAC13" s="1221"/>
      <c r="BAD13" s="1221"/>
      <c r="BAE13" s="1221"/>
      <c r="BAF13" s="1221"/>
      <c r="BAG13" s="1221"/>
      <c r="BAH13" s="1221"/>
      <c r="BAI13" s="1221"/>
      <c r="BAJ13" s="1221"/>
      <c r="BAK13" s="1221"/>
      <c r="BAL13" s="1221"/>
      <c r="BAM13" s="1221"/>
      <c r="BAN13" s="1221"/>
      <c r="BAO13" s="1221"/>
      <c r="BAP13" s="1221"/>
      <c r="BAQ13" s="1221"/>
      <c r="BAR13" s="1221"/>
      <c r="BAS13" s="1221"/>
      <c r="BAT13" s="1221"/>
      <c r="BAU13" s="1221"/>
      <c r="BAV13" s="1221"/>
      <c r="BAW13" s="1221"/>
      <c r="BAX13" s="1221"/>
      <c r="BAY13" s="1221"/>
      <c r="BAZ13" s="1221"/>
      <c r="BBA13" s="1221"/>
      <c r="BBB13" s="1221"/>
      <c r="BBC13" s="1221"/>
      <c r="BBD13" s="1221"/>
      <c r="BBE13" s="1221"/>
      <c r="BBF13" s="1221"/>
      <c r="BBG13" s="1221"/>
      <c r="BBH13" s="1221"/>
      <c r="BBI13" s="1221"/>
      <c r="BBJ13" s="1221"/>
      <c r="BBK13" s="1221"/>
      <c r="BBL13" s="1221"/>
      <c r="BBM13" s="1221"/>
      <c r="BBN13" s="1221"/>
      <c r="BBO13" s="1221"/>
      <c r="BBP13" s="1221"/>
      <c r="BBQ13" s="1221"/>
      <c r="BBR13" s="1221"/>
      <c r="BBS13" s="1221"/>
      <c r="BBT13" s="1221"/>
      <c r="BBU13" s="1221"/>
      <c r="BBV13" s="1221"/>
      <c r="BBW13" s="1221"/>
      <c r="BBX13" s="1221"/>
      <c r="BBY13" s="1221"/>
      <c r="BBZ13" s="1221"/>
      <c r="BCA13" s="1221"/>
      <c r="BCB13" s="1221"/>
      <c r="BCC13" s="1221"/>
      <c r="BCD13" s="1221"/>
      <c r="BCE13" s="1221"/>
      <c r="BCF13" s="1221"/>
      <c r="BCG13" s="1221"/>
      <c r="BCH13" s="1221"/>
      <c r="BCI13" s="1221"/>
      <c r="BCJ13" s="1221"/>
      <c r="BCK13" s="1221"/>
      <c r="BCL13" s="1221"/>
      <c r="BCM13" s="1221"/>
      <c r="BCN13" s="1221"/>
      <c r="BCO13" s="1221"/>
      <c r="BCP13" s="1221"/>
      <c r="BCQ13" s="1221"/>
      <c r="BCR13" s="1221"/>
      <c r="BCS13" s="1221"/>
      <c r="BCT13" s="1221"/>
      <c r="BCU13" s="1221"/>
      <c r="BCV13" s="1221"/>
      <c r="BCW13" s="1221"/>
      <c r="BCX13" s="1221"/>
      <c r="BCY13" s="1221"/>
      <c r="BCZ13" s="1221"/>
      <c r="BDA13" s="1221"/>
      <c r="BDB13" s="1221"/>
      <c r="BDC13" s="1221"/>
      <c r="BDD13" s="1221"/>
      <c r="BDE13" s="1221"/>
      <c r="BDF13" s="1221"/>
      <c r="BDG13" s="1221"/>
      <c r="BDH13" s="1221"/>
      <c r="BDI13" s="1221"/>
      <c r="BDJ13" s="1221"/>
      <c r="BDK13" s="1221"/>
      <c r="BDL13" s="1221"/>
      <c r="BDM13" s="1221"/>
      <c r="BDN13" s="1221"/>
      <c r="BDO13" s="1221"/>
      <c r="BDP13" s="1221"/>
      <c r="BDQ13" s="1221"/>
      <c r="BDR13" s="1221"/>
      <c r="BDS13" s="1221"/>
      <c r="BDT13" s="1221"/>
      <c r="BDU13" s="1221"/>
      <c r="BDV13" s="1221"/>
      <c r="BDW13" s="1221"/>
      <c r="BDX13" s="1221"/>
      <c r="BDY13" s="1221"/>
      <c r="BDZ13" s="1221"/>
      <c r="BEA13" s="1221"/>
      <c r="BEB13" s="1221"/>
      <c r="BEC13" s="1221"/>
      <c r="BED13" s="1221"/>
      <c r="BEE13" s="1221"/>
      <c r="BEF13" s="1221"/>
      <c r="BEG13" s="1221"/>
      <c r="BEH13" s="1221"/>
      <c r="BEI13" s="1221"/>
      <c r="BEJ13" s="1221"/>
      <c r="BEK13" s="1221"/>
      <c r="BEL13" s="1221"/>
      <c r="BEM13" s="1221"/>
      <c r="BEN13" s="1221"/>
      <c r="BEO13" s="1221"/>
      <c r="BEP13" s="1221"/>
      <c r="BEQ13" s="1221"/>
      <c r="BER13" s="1221"/>
      <c r="BES13" s="1221"/>
      <c r="BET13" s="1221"/>
      <c r="BEU13" s="1221"/>
      <c r="BEV13" s="1221"/>
      <c r="BEW13" s="1221"/>
      <c r="BEX13" s="1221"/>
      <c r="BEY13" s="1221"/>
      <c r="BEZ13" s="1221"/>
      <c r="BFA13" s="1221"/>
      <c r="BFB13" s="1221"/>
      <c r="BFC13" s="1221"/>
      <c r="BFD13" s="1221"/>
      <c r="BFE13" s="1221"/>
      <c r="BFF13" s="1221"/>
      <c r="BFG13" s="1221"/>
      <c r="BFH13" s="1221"/>
      <c r="BFI13" s="1221"/>
      <c r="BFJ13" s="1221"/>
      <c r="BFK13" s="1221"/>
      <c r="BFL13" s="1221"/>
      <c r="BFM13" s="1221"/>
      <c r="BFN13" s="1221"/>
      <c r="BFO13" s="1221"/>
      <c r="BFP13" s="1221"/>
      <c r="BFQ13" s="1221"/>
      <c r="BFR13" s="1221"/>
      <c r="BFS13" s="1221"/>
      <c r="BFT13" s="1221"/>
      <c r="BFU13" s="1221"/>
      <c r="BFV13" s="1221"/>
      <c r="BFW13" s="1221"/>
      <c r="BFX13" s="1221"/>
      <c r="BFY13" s="1221"/>
      <c r="BFZ13" s="1221"/>
      <c r="BGA13" s="1221"/>
      <c r="BGB13" s="1221"/>
      <c r="BGC13" s="1221"/>
      <c r="BGD13" s="1221"/>
      <c r="BGE13" s="1221"/>
      <c r="BGF13" s="1221"/>
      <c r="BGG13" s="1221"/>
      <c r="BGH13" s="1221"/>
      <c r="BGI13" s="1221"/>
      <c r="BGJ13" s="1221"/>
      <c r="BGK13" s="1221"/>
      <c r="BGL13" s="1221"/>
      <c r="BGM13" s="1221"/>
      <c r="BGN13" s="1221"/>
      <c r="BGO13" s="1221"/>
      <c r="BGP13" s="1221"/>
      <c r="BGQ13" s="1221"/>
      <c r="BGR13" s="1221"/>
      <c r="BGS13" s="1221"/>
      <c r="BGT13" s="1221"/>
      <c r="BGU13" s="1221"/>
      <c r="BGV13" s="1221"/>
      <c r="BGW13" s="1221"/>
      <c r="BGX13" s="1221"/>
      <c r="BGY13" s="1221"/>
      <c r="BGZ13" s="1221"/>
      <c r="BHA13" s="1221"/>
      <c r="BHB13" s="1221"/>
      <c r="BHC13" s="1221"/>
      <c r="BHD13" s="1221"/>
      <c r="BHE13" s="1221"/>
      <c r="BHF13" s="1221"/>
      <c r="BHG13" s="1221"/>
      <c r="BHH13" s="1221"/>
      <c r="BHI13" s="1221"/>
      <c r="BHJ13" s="1221"/>
      <c r="BHK13" s="1221"/>
      <c r="BHL13" s="1221"/>
      <c r="BHM13" s="1221"/>
      <c r="BHN13" s="1221"/>
      <c r="BHO13" s="1221"/>
      <c r="BHP13" s="1221"/>
      <c r="BHQ13" s="1221"/>
      <c r="BHR13" s="1221"/>
      <c r="BHS13" s="1221"/>
      <c r="BHT13" s="1221"/>
      <c r="BHU13" s="1221"/>
      <c r="BHV13" s="1221"/>
      <c r="BHW13" s="1221"/>
      <c r="BHX13" s="1221"/>
      <c r="BHY13" s="1221"/>
      <c r="BHZ13" s="1221"/>
      <c r="BIA13" s="1221"/>
      <c r="BIB13" s="1221"/>
      <c r="BIC13" s="1221"/>
      <c r="BID13" s="1221"/>
      <c r="BIE13" s="1221"/>
      <c r="BIF13" s="1221"/>
      <c r="BIG13" s="1221"/>
      <c r="BIH13" s="1221"/>
      <c r="BII13" s="1221"/>
      <c r="BIJ13" s="1221"/>
      <c r="BIK13" s="1221"/>
      <c r="BIL13" s="1221"/>
      <c r="BIM13" s="1221"/>
      <c r="BIN13" s="1221"/>
      <c r="BIO13" s="1221"/>
      <c r="BIP13" s="1221"/>
      <c r="BIQ13" s="1221"/>
      <c r="BIR13" s="1221"/>
      <c r="BIS13" s="1221"/>
      <c r="BIT13" s="1221"/>
      <c r="BIU13" s="1221"/>
      <c r="BIV13" s="1221"/>
      <c r="BIW13" s="1221"/>
      <c r="BIX13" s="1221"/>
      <c r="BIY13" s="1221"/>
      <c r="BIZ13" s="1221"/>
      <c r="BJA13" s="1221"/>
      <c r="BJB13" s="1221"/>
      <c r="BJC13" s="1221"/>
      <c r="BJD13" s="1221"/>
      <c r="BJE13" s="1221"/>
      <c r="BJF13" s="1221"/>
      <c r="BJG13" s="1221"/>
      <c r="BJH13" s="1221"/>
      <c r="BJI13" s="1221"/>
      <c r="BJJ13" s="1221"/>
      <c r="BJK13" s="1221"/>
      <c r="BJL13" s="1221"/>
      <c r="BJM13" s="1221"/>
      <c r="BJN13" s="1221"/>
      <c r="BJO13" s="1221"/>
      <c r="BJP13" s="1221"/>
      <c r="BJQ13" s="1221"/>
      <c r="BJR13" s="1221"/>
      <c r="BJS13" s="1221"/>
      <c r="BJT13" s="1221"/>
      <c r="BJU13" s="1221"/>
      <c r="BJV13" s="1221"/>
      <c r="BJW13" s="1221"/>
      <c r="BJX13" s="1221"/>
      <c r="BJY13" s="1221"/>
      <c r="BJZ13" s="1221"/>
      <c r="BKA13" s="1221"/>
      <c r="BKB13" s="1221"/>
      <c r="BKC13" s="1221"/>
      <c r="BKD13" s="1221"/>
      <c r="BKE13" s="1221"/>
      <c r="BKF13" s="1221"/>
      <c r="BKG13" s="1221"/>
      <c r="BKH13" s="1221"/>
      <c r="BKI13" s="1221"/>
      <c r="BKJ13" s="1221"/>
      <c r="BKK13" s="1221"/>
      <c r="BKL13" s="1221"/>
      <c r="BKM13" s="1221"/>
      <c r="BKN13" s="1221"/>
      <c r="BKO13" s="1221"/>
      <c r="BKP13" s="1221"/>
      <c r="BKQ13" s="1221"/>
      <c r="BKR13" s="1221"/>
      <c r="BKS13" s="1221"/>
      <c r="BKT13" s="1221"/>
      <c r="BKU13" s="1221"/>
      <c r="BKV13" s="1221"/>
      <c r="BKW13" s="1221"/>
      <c r="BKX13" s="1221"/>
      <c r="BKY13" s="1221"/>
      <c r="BKZ13" s="1221"/>
      <c r="BLA13" s="1221"/>
      <c r="BLB13" s="1221"/>
      <c r="BLC13" s="1221"/>
      <c r="BLD13" s="1221"/>
      <c r="BLE13" s="1221"/>
      <c r="BLF13" s="1221"/>
      <c r="BLG13" s="1221"/>
      <c r="BLH13" s="1221"/>
      <c r="BLI13" s="1221"/>
      <c r="BLJ13" s="1221"/>
      <c r="BLK13" s="1221"/>
      <c r="BLL13" s="1221"/>
      <c r="BLM13" s="1221"/>
      <c r="BLN13" s="1221"/>
      <c r="BLO13" s="1221"/>
      <c r="BLP13" s="1221"/>
      <c r="BLQ13" s="1221"/>
      <c r="BLR13" s="1221"/>
      <c r="BLS13" s="1221"/>
      <c r="BLT13" s="1221"/>
      <c r="BLU13" s="1221"/>
      <c r="BLV13" s="1221"/>
      <c r="BLW13" s="1221"/>
      <c r="BLX13" s="1221"/>
      <c r="BLY13" s="1221"/>
      <c r="BLZ13" s="1221"/>
      <c r="BMA13" s="1221"/>
      <c r="BMB13" s="1221"/>
      <c r="BMC13" s="1221"/>
      <c r="BMD13" s="1221"/>
      <c r="BME13" s="1221"/>
      <c r="BMF13" s="1221"/>
      <c r="BMG13" s="1221"/>
      <c r="BMH13" s="1221"/>
      <c r="BMI13" s="1221"/>
      <c r="BMJ13" s="1221"/>
      <c r="BMK13" s="1221"/>
      <c r="BML13" s="1221"/>
      <c r="BMM13" s="1221"/>
      <c r="BMN13" s="1221"/>
      <c r="BMO13" s="1221"/>
      <c r="BMP13" s="1221"/>
      <c r="BMQ13" s="1221"/>
      <c r="BMR13" s="1221"/>
      <c r="BMS13" s="1221"/>
      <c r="BMT13" s="1221"/>
      <c r="BMU13" s="1221"/>
      <c r="BMV13" s="1221"/>
      <c r="BMW13" s="1221"/>
      <c r="BMX13" s="1221"/>
      <c r="BMY13" s="1221"/>
      <c r="BMZ13" s="1221"/>
      <c r="BNA13" s="1221"/>
      <c r="BNB13" s="1221"/>
      <c r="BNC13" s="1221"/>
      <c r="BND13" s="1221"/>
      <c r="BNE13" s="1221"/>
      <c r="BNF13" s="1221"/>
      <c r="BNG13" s="1221"/>
      <c r="BNH13" s="1221"/>
      <c r="BNI13" s="1221"/>
      <c r="BNJ13" s="1221"/>
      <c r="BNK13" s="1221"/>
      <c r="BNL13" s="1221"/>
      <c r="BNM13" s="1221"/>
      <c r="BNN13" s="1221"/>
      <c r="BNO13" s="1221"/>
      <c r="BNP13" s="1221"/>
      <c r="BNQ13" s="1221"/>
      <c r="BNR13" s="1221"/>
      <c r="BNS13" s="1221"/>
      <c r="BNT13" s="1221"/>
      <c r="BNU13" s="1221"/>
      <c r="BNV13" s="1221"/>
      <c r="BNW13" s="1221"/>
      <c r="BNX13" s="1221"/>
      <c r="BNY13" s="1221"/>
      <c r="BNZ13" s="1221"/>
      <c r="BOA13" s="1221"/>
      <c r="BOB13" s="1221"/>
      <c r="BOC13" s="1221"/>
      <c r="BOD13" s="1221"/>
      <c r="BOE13" s="1221"/>
      <c r="BOF13" s="1221"/>
      <c r="BOG13" s="1221"/>
      <c r="BOH13" s="1221"/>
      <c r="BOI13" s="1221"/>
      <c r="BOJ13" s="1221"/>
      <c r="BOK13" s="1221"/>
      <c r="BOL13" s="1221"/>
      <c r="BOM13" s="1221"/>
      <c r="BON13" s="1221"/>
      <c r="BOO13" s="1221"/>
      <c r="BOP13" s="1221"/>
      <c r="BOQ13" s="1221"/>
      <c r="BOR13" s="1221"/>
      <c r="BOS13" s="1221"/>
      <c r="BOT13" s="1221"/>
      <c r="BOU13" s="1221"/>
      <c r="BOV13" s="1221"/>
      <c r="BOW13" s="1221"/>
      <c r="BOX13" s="1221"/>
      <c r="BOY13" s="1221"/>
      <c r="BOZ13" s="1221"/>
      <c r="BPA13" s="1221"/>
      <c r="BPB13" s="1221"/>
      <c r="BPC13" s="1221"/>
      <c r="BPD13" s="1221"/>
      <c r="BPE13" s="1221"/>
      <c r="BPF13" s="1221"/>
      <c r="BPG13" s="1221"/>
      <c r="BPH13" s="1221"/>
      <c r="BPI13" s="1221"/>
      <c r="BPJ13" s="1221"/>
      <c r="BPK13" s="1221"/>
      <c r="BPL13" s="1221"/>
      <c r="BPM13" s="1221"/>
      <c r="BPN13" s="1221"/>
      <c r="BPO13" s="1221"/>
      <c r="BPP13" s="1221"/>
      <c r="BPQ13" s="1221"/>
      <c r="BPR13" s="1221"/>
      <c r="BPS13" s="1221"/>
      <c r="BPT13" s="1221"/>
      <c r="BPU13" s="1221"/>
      <c r="BPV13" s="1221"/>
      <c r="BPW13" s="1221"/>
      <c r="BPX13" s="1221"/>
      <c r="BPY13" s="1221"/>
      <c r="BPZ13" s="1221"/>
      <c r="BQA13" s="1221"/>
      <c r="BQB13" s="1221"/>
      <c r="BQC13" s="1221"/>
      <c r="BQD13" s="1221"/>
      <c r="BQE13" s="1221"/>
      <c r="BQF13" s="1221"/>
      <c r="BQG13" s="1221"/>
      <c r="BQH13" s="1221"/>
      <c r="BQI13" s="1221"/>
      <c r="BQJ13" s="1221"/>
      <c r="BQK13" s="1221"/>
      <c r="BQL13" s="1221"/>
      <c r="BQM13" s="1221"/>
      <c r="BQN13" s="1221"/>
      <c r="BQO13" s="1221"/>
      <c r="BQP13" s="1221"/>
      <c r="BQQ13" s="1221"/>
      <c r="BQR13" s="1221"/>
      <c r="BQS13" s="1221"/>
      <c r="BQT13" s="1221"/>
      <c r="BQU13" s="1221"/>
      <c r="BQV13" s="1221"/>
      <c r="BQW13" s="1221"/>
      <c r="BQX13" s="1221"/>
      <c r="BQY13" s="1221"/>
      <c r="BQZ13" s="1221"/>
      <c r="BRA13" s="1221"/>
      <c r="BRB13" s="1221"/>
      <c r="BRC13" s="1221"/>
      <c r="BRD13" s="1221"/>
      <c r="BRE13" s="1221"/>
      <c r="BRF13" s="1221"/>
      <c r="BRG13" s="1221"/>
      <c r="BRH13" s="1221"/>
      <c r="BRI13" s="1221"/>
      <c r="BRJ13" s="1221"/>
      <c r="BRK13" s="1221"/>
      <c r="BRL13" s="1221"/>
      <c r="BRM13" s="1221"/>
      <c r="BRN13" s="1221"/>
      <c r="BRO13" s="1221"/>
      <c r="BRP13" s="1221"/>
      <c r="BRQ13" s="1221"/>
      <c r="BRR13" s="1221"/>
      <c r="BRS13" s="1221"/>
      <c r="BRT13" s="1221"/>
      <c r="BRU13" s="1221"/>
      <c r="BRV13" s="1221"/>
      <c r="BRW13" s="1221"/>
      <c r="BRX13" s="1221"/>
      <c r="BRY13" s="1221"/>
      <c r="BRZ13" s="1221"/>
      <c r="BSA13" s="1221"/>
      <c r="BSB13" s="1221"/>
      <c r="BSC13" s="1221"/>
      <c r="BSD13" s="1221"/>
      <c r="BSE13" s="1221"/>
      <c r="BSF13" s="1221"/>
      <c r="BSG13" s="1221"/>
      <c r="BSH13" s="1221"/>
      <c r="BSI13" s="1221"/>
      <c r="BSJ13" s="1221"/>
      <c r="BSK13" s="1221"/>
      <c r="BSL13" s="1221"/>
      <c r="BSM13" s="1221"/>
      <c r="BSN13" s="1221"/>
      <c r="BSO13" s="1221"/>
      <c r="BSP13" s="1221"/>
      <c r="BSQ13" s="1221"/>
      <c r="BSR13" s="1221"/>
      <c r="BSS13" s="1221"/>
      <c r="BST13" s="1221"/>
      <c r="BSU13" s="1221"/>
      <c r="BSV13" s="1221"/>
      <c r="BSW13" s="1221"/>
      <c r="BSX13" s="1221"/>
      <c r="BSY13" s="1221"/>
      <c r="BSZ13" s="1221"/>
      <c r="BTA13" s="1221"/>
      <c r="BTB13" s="1221"/>
      <c r="BTC13" s="1221"/>
      <c r="BTD13" s="1221"/>
      <c r="BTE13" s="1221"/>
      <c r="BTF13" s="1221"/>
      <c r="BTG13" s="1221"/>
      <c r="BTH13" s="1221"/>
      <c r="BTI13" s="1221"/>
      <c r="BTJ13" s="1221"/>
      <c r="BTK13" s="1221"/>
      <c r="BTL13" s="1221"/>
      <c r="BTM13" s="1221"/>
      <c r="BTN13" s="1221"/>
      <c r="BTO13" s="1221"/>
      <c r="BTP13" s="1221"/>
      <c r="BTQ13" s="1221"/>
      <c r="BTR13" s="1221"/>
      <c r="BTS13" s="1221"/>
      <c r="BTT13" s="1221"/>
      <c r="BTU13" s="1221"/>
      <c r="BTV13" s="1221"/>
      <c r="BTW13" s="1221"/>
      <c r="BTX13" s="1221"/>
      <c r="BTY13" s="1221"/>
      <c r="BTZ13" s="1221"/>
      <c r="BUA13" s="1221"/>
      <c r="BUB13" s="1221"/>
      <c r="BUC13" s="1221"/>
      <c r="BUD13" s="1221"/>
      <c r="BUE13" s="1221"/>
      <c r="BUF13" s="1221"/>
      <c r="BUG13" s="1221"/>
      <c r="BUH13" s="1221"/>
      <c r="BUI13" s="1221"/>
      <c r="BUJ13" s="1221"/>
      <c r="BUK13" s="1221"/>
      <c r="BUL13" s="1221"/>
      <c r="BUM13" s="1221"/>
      <c r="BUN13" s="1221"/>
      <c r="BUO13" s="1221"/>
      <c r="BUP13" s="1221"/>
      <c r="BUQ13" s="1221"/>
      <c r="BUR13" s="1221"/>
      <c r="BUS13" s="1221"/>
      <c r="BUT13" s="1221"/>
      <c r="BUU13" s="1221"/>
      <c r="BUV13" s="1221"/>
      <c r="BUW13" s="1221"/>
      <c r="BUX13" s="1221"/>
      <c r="BUY13" s="1221"/>
      <c r="BUZ13" s="1221"/>
      <c r="BVA13" s="1221"/>
      <c r="BVB13" s="1221"/>
      <c r="BVC13" s="1221"/>
      <c r="BVD13" s="1221"/>
      <c r="BVE13" s="1221"/>
      <c r="BVF13" s="1221"/>
      <c r="BVG13" s="1221"/>
      <c r="BVH13" s="1221"/>
      <c r="BVI13" s="1221"/>
      <c r="BVJ13" s="1221"/>
      <c r="BVK13" s="1221"/>
      <c r="BVL13" s="1221"/>
      <c r="BVM13" s="1221"/>
      <c r="BVN13" s="1221"/>
      <c r="BVO13" s="1221"/>
      <c r="BVP13" s="1221"/>
      <c r="BVQ13" s="1221"/>
      <c r="BVR13" s="1221"/>
      <c r="BVS13" s="1221"/>
      <c r="BVT13" s="1221"/>
      <c r="BVU13" s="1221"/>
      <c r="BVV13" s="1221"/>
      <c r="BVW13" s="1221"/>
      <c r="BVX13" s="1221"/>
      <c r="BVY13" s="1221"/>
      <c r="BVZ13" s="1221"/>
      <c r="BWA13" s="1221"/>
      <c r="BWB13" s="1221"/>
      <c r="BWC13" s="1221"/>
      <c r="BWD13" s="1221"/>
      <c r="BWE13" s="1221"/>
      <c r="BWF13" s="1221"/>
      <c r="BWG13" s="1221"/>
      <c r="BWH13" s="1221"/>
      <c r="BWI13" s="1221"/>
      <c r="BWJ13" s="1221"/>
      <c r="BWK13" s="1221"/>
      <c r="BWL13" s="1221"/>
      <c r="BWM13" s="1221"/>
      <c r="BWN13" s="1221"/>
      <c r="BWO13" s="1221"/>
      <c r="BWP13" s="1221"/>
      <c r="BWQ13" s="1221"/>
      <c r="BWR13" s="1221"/>
      <c r="BWS13" s="1221"/>
      <c r="BWT13" s="1221"/>
      <c r="BWU13" s="1221"/>
      <c r="BWV13" s="1221"/>
      <c r="BWW13" s="1221"/>
      <c r="BWX13" s="1221"/>
      <c r="BWY13" s="1221"/>
      <c r="BWZ13" s="1221"/>
      <c r="BXA13" s="1221"/>
      <c r="BXB13" s="1221"/>
      <c r="BXC13" s="1221"/>
      <c r="BXD13" s="1221"/>
      <c r="BXE13" s="1221"/>
      <c r="BXF13" s="1221"/>
      <c r="BXG13" s="1221"/>
      <c r="BXH13" s="1221"/>
      <c r="BXI13" s="1221"/>
      <c r="BXJ13" s="1221"/>
      <c r="BXK13" s="1221"/>
      <c r="BXL13" s="1221"/>
      <c r="BXM13" s="1221"/>
      <c r="BXN13" s="1221"/>
      <c r="BXO13" s="1221"/>
      <c r="BXP13" s="1221"/>
      <c r="BXQ13" s="1221"/>
      <c r="BXR13" s="1221"/>
      <c r="BXS13" s="1221"/>
      <c r="BXT13" s="1221"/>
      <c r="BXU13" s="1221"/>
      <c r="BXV13" s="1221"/>
      <c r="BXW13" s="1221"/>
      <c r="BXX13" s="1221"/>
      <c r="BXY13" s="1221"/>
      <c r="BXZ13" s="1221"/>
      <c r="BYA13" s="1221"/>
      <c r="BYB13" s="1221"/>
      <c r="BYC13" s="1221"/>
      <c r="BYD13" s="1221"/>
      <c r="BYE13" s="1221"/>
      <c r="BYF13" s="1221"/>
      <c r="BYG13" s="1221"/>
      <c r="BYH13" s="1221"/>
      <c r="BYI13" s="1221"/>
      <c r="BYJ13" s="1221"/>
      <c r="BYK13" s="1221"/>
      <c r="BYL13" s="1221"/>
      <c r="BYM13" s="1221"/>
      <c r="BYN13" s="1221"/>
      <c r="BYO13" s="1221"/>
      <c r="BYP13" s="1221"/>
      <c r="BYQ13" s="1221"/>
      <c r="BYR13" s="1221"/>
      <c r="BYS13" s="1221"/>
      <c r="BYT13" s="1221"/>
      <c r="BYU13" s="1221"/>
      <c r="BYV13" s="1221"/>
      <c r="BYW13" s="1221"/>
      <c r="BYX13" s="1221"/>
      <c r="BYY13" s="1221"/>
      <c r="BYZ13" s="1221"/>
      <c r="BZA13" s="1221"/>
      <c r="BZB13" s="1221"/>
      <c r="BZC13" s="1221"/>
      <c r="BZD13" s="1221"/>
      <c r="BZE13" s="1221"/>
      <c r="BZF13" s="1221"/>
      <c r="BZG13" s="1221"/>
      <c r="BZH13" s="1221"/>
      <c r="BZI13" s="1221"/>
      <c r="BZJ13" s="1221"/>
      <c r="BZK13" s="1221"/>
      <c r="BZL13" s="1221"/>
      <c r="BZM13" s="1221"/>
      <c r="BZN13" s="1221"/>
      <c r="BZO13" s="1221"/>
      <c r="BZP13" s="1221"/>
      <c r="BZQ13" s="1221"/>
      <c r="BZR13" s="1221"/>
      <c r="BZS13" s="1221"/>
      <c r="BZT13" s="1221"/>
      <c r="BZU13" s="1221"/>
      <c r="BZV13" s="1221"/>
      <c r="BZW13" s="1221"/>
      <c r="BZX13" s="1221"/>
      <c r="BZY13" s="1221"/>
      <c r="BZZ13" s="1221"/>
      <c r="CAA13" s="1221"/>
      <c r="CAB13" s="1221"/>
      <c r="CAC13" s="1221"/>
      <c r="CAD13" s="1221"/>
      <c r="CAE13" s="1221"/>
      <c r="CAF13" s="1221"/>
      <c r="CAG13" s="1221"/>
      <c r="CAH13" s="1221"/>
      <c r="CAI13" s="1221"/>
      <c r="CAJ13" s="1221"/>
      <c r="CAK13" s="1221"/>
      <c r="CAL13" s="1221"/>
      <c r="CAM13" s="1221"/>
      <c r="CAN13" s="1221"/>
      <c r="CAO13" s="1221"/>
      <c r="CAP13" s="1221"/>
      <c r="CAQ13" s="1221"/>
      <c r="CAR13" s="1221"/>
      <c r="CAS13" s="1221"/>
      <c r="CAT13" s="1221"/>
      <c r="CAU13" s="1221"/>
      <c r="CAV13" s="1221"/>
      <c r="CAW13" s="1221"/>
      <c r="CAX13" s="1221"/>
      <c r="CAY13" s="1221"/>
      <c r="CAZ13" s="1221"/>
      <c r="CBA13" s="1221"/>
      <c r="CBB13" s="1221"/>
      <c r="CBC13" s="1221"/>
      <c r="CBD13" s="1221"/>
      <c r="CBE13" s="1221"/>
      <c r="CBF13" s="1221"/>
      <c r="CBG13" s="1221"/>
      <c r="CBH13" s="1221"/>
      <c r="CBI13" s="1221"/>
      <c r="CBJ13" s="1221"/>
      <c r="CBK13" s="1221"/>
      <c r="CBL13" s="1221"/>
      <c r="CBM13" s="1221"/>
      <c r="CBN13" s="1221"/>
      <c r="CBO13" s="1221"/>
      <c r="CBP13" s="1221"/>
      <c r="CBQ13" s="1221"/>
      <c r="CBR13" s="1221"/>
      <c r="CBS13" s="1221"/>
      <c r="CBT13" s="1221"/>
      <c r="CBU13" s="1221"/>
      <c r="CBV13" s="1221"/>
      <c r="CBW13" s="1221"/>
      <c r="CBX13" s="1221"/>
      <c r="CBY13" s="1221"/>
      <c r="CBZ13" s="1221"/>
      <c r="CCA13" s="1221"/>
      <c r="CCB13" s="1221"/>
      <c r="CCC13" s="1221"/>
      <c r="CCD13" s="1221"/>
      <c r="CCE13" s="1221"/>
      <c r="CCF13" s="1221"/>
      <c r="CCG13" s="1221"/>
      <c r="CCH13" s="1221"/>
      <c r="CCI13" s="1221"/>
      <c r="CCJ13" s="1221"/>
      <c r="CCK13" s="1221"/>
      <c r="CCL13" s="1221"/>
      <c r="CCM13" s="1221"/>
      <c r="CCN13" s="1221"/>
      <c r="CCO13" s="1221"/>
      <c r="CCP13" s="1221"/>
      <c r="CCQ13" s="1221"/>
      <c r="CCR13" s="1221"/>
      <c r="CCS13" s="1221"/>
      <c r="CCT13" s="1221"/>
      <c r="CCU13" s="1221"/>
      <c r="CCV13" s="1221"/>
      <c r="CCW13" s="1221"/>
      <c r="CCX13" s="1221"/>
      <c r="CCY13" s="1221"/>
      <c r="CCZ13" s="1221"/>
      <c r="CDA13" s="1221"/>
      <c r="CDB13" s="1221"/>
      <c r="CDC13" s="1221"/>
      <c r="CDD13" s="1221"/>
      <c r="CDE13" s="1221"/>
      <c r="CDF13" s="1221"/>
      <c r="CDG13" s="1221"/>
      <c r="CDH13" s="1221"/>
      <c r="CDI13" s="1221"/>
      <c r="CDJ13" s="1221"/>
      <c r="CDK13" s="1221"/>
      <c r="CDL13" s="1221"/>
      <c r="CDM13" s="1221"/>
      <c r="CDN13" s="1221"/>
      <c r="CDO13" s="1221"/>
      <c r="CDP13" s="1221"/>
      <c r="CDQ13" s="1221"/>
      <c r="CDR13" s="1221"/>
      <c r="CDS13" s="1221"/>
      <c r="CDT13" s="1221"/>
      <c r="CDU13" s="1221"/>
      <c r="CDV13" s="1221"/>
      <c r="CDW13" s="1221"/>
      <c r="CDX13" s="1221"/>
      <c r="CDY13" s="1221"/>
      <c r="CDZ13" s="1221"/>
      <c r="CEA13" s="1221"/>
      <c r="CEB13" s="1221"/>
      <c r="CEC13" s="1221"/>
      <c r="CED13" s="1221"/>
      <c r="CEE13" s="1221"/>
      <c r="CEF13" s="1221"/>
      <c r="CEG13" s="1221"/>
      <c r="CEH13" s="1221"/>
      <c r="CEI13" s="1221"/>
      <c r="CEJ13" s="1221"/>
      <c r="CEK13" s="1221"/>
      <c r="CEL13" s="1221"/>
      <c r="CEM13" s="1221"/>
      <c r="CEN13" s="1221"/>
      <c r="CEO13" s="1221"/>
      <c r="CEP13" s="1221"/>
      <c r="CEQ13" s="1221"/>
      <c r="CER13" s="1221"/>
      <c r="CES13" s="1221"/>
      <c r="CET13" s="1221"/>
      <c r="CEU13" s="1221"/>
      <c r="CEV13" s="1221"/>
      <c r="CEW13" s="1221"/>
      <c r="CEX13" s="1221"/>
      <c r="CEY13" s="1221"/>
      <c r="CEZ13" s="1221"/>
      <c r="CFA13" s="1221"/>
      <c r="CFB13" s="1221"/>
      <c r="CFC13" s="1221"/>
      <c r="CFD13" s="1221"/>
      <c r="CFE13" s="1221"/>
      <c r="CFF13" s="1221"/>
      <c r="CFG13" s="1221"/>
      <c r="CFH13" s="1221"/>
      <c r="CFI13" s="1221"/>
      <c r="CFJ13" s="1221"/>
      <c r="CFK13" s="1221"/>
      <c r="CFL13" s="1221"/>
      <c r="CFM13" s="1221"/>
      <c r="CFN13" s="1221"/>
      <c r="CFO13" s="1221"/>
      <c r="CFP13" s="1221"/>
      <c r="CFQ13" s="1221"/>
      <c r="CFR13" s="1221"/>
      <c r="CFS13" s="1221"/>
      <c r="CFT13" s="1221"/>
      <c r="CFU13" s="1221"/>
      <c r="CFV13" s="1221"/>
      <c r="CFW13" s="1221"/>
      <c r="CFX13" s="1221"/>
      <c r="CFY13" s="1221"/>
      <c r="CFZ13" s="1221"/>
      <c r="CGA13" s="1221"/>
      <c r="CGB13" s="1221"/>
      <c r="CGC13" s="1221"/>
      <c r="CGD13" s="1221"/>
      <c r="CGE13" s="1221"/>
      <c r="CGF13" s="1221"/>
      <c r="CGG13" s="1221"/>
      <c r="CGH13" s="1221"/>
      <c r="CGI13" s="1221"/>
      <c r="CGJ13" s="1221"/>
      <c r="CGK13" s="1221"/>
      <c r="CGL13" s="1221"/>
      <c r="CGM13" s="1221"/>
      <c r="CGN13" s="1221"/>
      <c r="CGO13" s="1221"/>
      <c r="CGP13" s="1221"/>
      <c r="CGQ13" s="1221"/>
      <c r="CGR13" s="1221"/>
      <c r="CGS13" s="1221"/>
      <c r="CGT13" s="1221"/>
      <c r="CGU13" s="1221"/>
      <c r="CGV13" s="1221"/>
      <c r="CGW13" s="1221"/>
      <c r="CGX13" s="1221"/>
      <c r="CGY13" s="1221"/>
      <c r="CGZ13" s="1221"/>
      <c r="CHA13" s="1221"/>
      <c r="CHB13" s="1221"/>
      <c r="CHC13" s="1221"/>
      <c r="CHD13" s="1221"/>
      <c r="CHE13" s="1221"/>
      <c r="CHF13" s="1221"/>
      <c r="CHG13" s="1221"/>
      <c r="CHH13" s="1221"/>
      <c r="CHI13" s="1221"/>
      <c r="CHJ13" s="1221"/>
      <c r="CHK13" s="1221"/>
      <c r="CHL13" s="1221"/>
      <c r="CHM13" s="1221"/>
      <c r="CHN13" s="1221"/>
      <c r="CHO13" s="1221"/>
      <c r="CHP13" s="1221"/>
      <c r="CHQ13" s="1221"/>
      <c r="CHR13" s="1221"/>
      <c r="CHS13" s="1221"/>
      <c r="CHT13" s="1221"/>
      <c r="CHU13" s="1221"/>
      <c r="CHV13" s="1221"/>
      <c r="CHW13" s="1221"/>
      <c r="CHX13" s="1221"/>
      <c r="CHY13" s="1221"/>
      <c r="CHZ13" s="1221"/>
      <c r="CIA13" s="1221"/>
      <c r="CIB13" s="1221"/>
      <c r="CIC13" s="1221"/>
      <c r="CID13" s="1221"/>
      <c r="CIE13" s="1221"/>
      <c r="CIF13" s="1221"/>
      <c r="CIG13" s="1221"/>
      <c r="CIH13" s="1221"/>
      <c r="CII13" s="1221"/>
      <c r="CIJ13" s="1221"/>
      <c r="CIK13" s="1221"/>
      <c r="CIL13" s="1221"/>
      <c r="CIM13" s="1221"/>
      <c r="CIN13" s="1221"/>
      <c r="CIO13" s="1221"/>
      <c r="CIP13" s="1221"/>
      <c r="CIQ13" s="1221"/>
      <c r="CIR13" s="1221"/>
      <c r="CIS13" s="1221"/>
      <c r="CIT13" s="1221"/>
      <c r="CIU13" s="1221"/>
      <c r="CIV13" s="1221"/>
      <c r="CIW13" s="1221"/>
      <c r="CIX13" s="1221"/>
      <c r="CIY13" s="1221"/>
      <c r="CIZ13" s="1221"/>
      <c r="CJA13" s="1221"/>
      <c r="CJB13" s="1221"/>
      <c r="CJC13" s="1221"/>
      <c r="CJD13" s="1221"/>
      <c r="CJE13" s="1221"/>
      <c r="CJF13" s="1221"/>
      <c r="CJG13" s="1221"/>
      <c r="CJH13" s="1221"/>
      <c r="CJI13" s="1221"/>
      <c r="CJJ13" s="1221"/>
      <c r="CJK13" s="1221"/>
      <c r="CJL13" s="1221"/>
      <c r="CJM13" s="1221"/>
      <c r="CJN13" s="1221"/>
      <c r="CJO13" s="1221"/>
      <c r="CJP13" s="1221"/>
      <c r="CJQ13" s="1221"/>
      <c r="CJR13" s="1221"/>
      <c r="CJS13" s="1221"/>
      <c r="CJT13" s="1221"/>
      <c r="CJU13" s="1221"/>
      <c r="CJV13" s="1221"/>
      <c r="CJW13" s="1221"/>
      <c r="CJX13" s="1221"/>
      <c r="CJY13" s="1221"/>
      <c r="CJZ13" s="1221"/>
      <c r="CKA13" s="1221"/>
      <c r="CKB13" s="1221"/>
      <c r="CKC13" s="1221"/>
      <c r="CKD13" s="1221"/>
      <c r="CKE13" s="1221"/>
      <c r="CKF13" s="1221"/>
      <c r="CKG13" s="1221"/>
      <c r="CKH13" s="1221"/>
      <c r="CKI13" s="1221"/>
      <c r="CKJ13" s="1221"/>
      <c r="CKK13" s="1221"/>
      <c r="CKL13" s="1221"/>
      <c r="CKM13" s="1221"/>
      <c r="CKN13" s="1221"/>
      <c r="CKO13" s="1221"/>
      <c r="CKP13" s="1221"/>
      <c r="CKQ13" s="1221"/>
      <c r="CKR13" s="1221"/>
      <c r="CKS13" s="1221"/>
      <c r="CKT13" s="1221"/>
      <c r="CKU13" s="1221"/>
      <c r="CKV13" s="1221"/>
      <c r="CKW13" s="1221"/>
      <c r="CKX13" s="1221"/>
      <c r="CKY13" s="1221"/>
      <c r="CKZ13" s="1221"/>
      <c r="CLA13" s="1221"/>
      <c r="CLB13" s="1221"/>
      <c r="CLC13" s="1221"/>
      <c r="CLD13" s="1221"/>
      <c r="CLE13" s="1221"/>
      <c r="CLF13" s="1221"/>
      <c r="CLG13" s="1221"/>
      <c r="CLH13" s="1221"/>
      <c r="CLI13" s="1221"/>
      <c r="CLJ13" s="1221"/>
      <c r="CLK13" s="1221"/>
      <c r="CLL13" s="1221"/>
      <c r="CLM13" s="1221"/>
      <c r="CLN13" s="1221"/>
      <c r="CLO13" s="1221"/>
      <c r="CLP13" s="1221"/>
      <c r="CLQ13" s="1221"/>
      <c r="CLR13" s="1221"/>
      <c r="CLS13" s="1221"/>
      <c r="CLT13" s="1221"/>
      <c r="CLU13" s="1221"/>
      <c r="CLV13" s="1221"/>
      <c r="CLW13" s="1221"/>
      <c r="CLX13" s="1221"/>
      <c r="CLY13" s="1221"/>
      <c r="CLZ13" s="1221"/>
      <c r="CMA13" s="1221"/>
      <c r="CMB13" s="1221"/>
      <c r="CMC13" s="1221"/>
      <c r="CMD13" s="1221"/>
      <c r="CME13" s="1221"/>
      <c r="CMF13" s="1221"/>
      <c r="CMG13" s="1221"/>
      <c r="CMH13" s="1221"/>
      <c r="CMI13" s="1221"/>
      <c r="CMJ13" s="1221"/>
      <c r="CMK13" s="1221"/>
      <c r="CML13" s="1221"/>
      <c r="CMM13" s="1221"/>
      <c r="CMN13" s="1221"/>
      <c r="CMO13" s="1221"/>
      <c r="CMP13" s="1221"/>
      <c r="CMQ13" s="1221"/>
      <c r="CMR13" s="1221"/>
      <c r="CMS13" s="1221"/>
      <c r="CMT13" s="1221"/>
      <c r="CMU13" s="1221"/>
      <c r="CMV13" s="1221"/>
      <c r="CMW13" s="1221"/>
      <c r="CMX13" s="1221"/>
      <c r="CMY13" s="1221"/>
      <c r="CMZ13" s="1221"/>
      <c r="CNA13" s="1221"/>
      <c r="CNB13" s="1221"/>
      <c r="CNC13" s="1221"/>
      <c r="CND13" s="1221"/>
      <c r="CNE13" s="1221"/>
      <c r="CNF13" s="1221"/>
      <c r="CNG13" s="1221"/>
      <c r="CNH13" s="1221"/>
      <c r="CNI13" s="1221"/>
      <c r="CNJ13" s="1221"/>
      <c r="CNK13" s="1221"/>
      <c r="CNL13" s="1221"/>
      <c r="CNM13" s="1221"/>
      <c r="CNN13" s="1221"/>
      <c r="CNO13" s="1221"/>
      <c r="CNP13" s="1221"/>
      <c r="CNQ13" s="1221"/>
      <c r="CNR13" s="1221"/>
      <c r="CNS13" s="1221"/>
      <c r="CNT13" s="1221"/>
      <c r="CNU13" s="1221"/>
      <c r="CNV13" s="1221"/>
      <c r="CNW13" s="1221"/>
      <c r="CNX13" s="1221"/>
      <c r="CNY13" s="1221"/>
      <c r="CNZ13" s="1221"/>
      <c r="COA13" s="1221"/>
      <c r="COB13" s="1221"/>
      <c r="COC13" s="1221"/>
      <c r="COD13" s="1221"/>
      <c r="COE13" s="1221"/>
      <c r="COF13" s="1221"/>
      <c r="COG13" s="1221"/>
      <c r="COH13" s="1221"/>
      <c r="COI13" s="1221"/>
      <c r="COJ13" s="1221"/>
      <c r="COK13" s="1221"/>
      <c r="COL13" s="1221"/>
      <c r="COM13" s="1221"/>
      <c r="CON13" s="1221"/>
      <c r="COO13" s="1221"/>
      <c r="COP13" s="1221"/>
      <c r="COQ13" s="1221"/>
      <c r="COR13" s="1221"/>
      <c r="COS13" s="1221"/>
      <c r="COT13" s="1221"/>
      <c r="COU13" s="1221"/>
      <c r="COV13" s="1221"/>
      <c r="COW13" s="1221"/>
      <c r="COX13" s="1221"/>
      <c r="COY13" s="1221"/>
      <c r="COZ13" s="1221"/>
      <c r="CPA13" s="1221"/>
      <c r="CPB13" s="1221"/>
      <c r="CPC13" s="1221"/>
      <c r="CPD13" s="1221"/>
      <c r="CPE13" s="1221"/>
      <c r="CPF13" s="1221"/>
      <c r="CPG13" s="1221"/>
      <c r="CPH13" s="1221"/>
      <c r="CPI13" s="1221"/>
      <c r="CPJ13" s="1221"/>
      <c r="CPK13" s="1221"/>
      <c r="CPL13" s="1221"/>
      <c r="CPM13" s="1221"/>
      <c r="CPN13" s="1221"/>
      <c r="CPO13" s="1221"/>
      <c r="CPP13" s="1221"/>
      <c r="CPQ13" s="1221"/>
      <c r="CPR13" s="1221"/>
      <c r="CPS13" s="1221"/>
      <c r="CPT13" s="1221"/>
      <c r="CPU13" s="1221"/>
      <c r="CPV13" s="1221"/>
      <c r="CPW13" s="1221"/>
      <c r="CPX13" s="1221"/>
      <c r="CPY13" s="1221"/>
      <c r="CPZ13" s="1221"/>
      <c r="CQA13" s="1221"/>
      <c r="CQB13" s="1221"/>
      <c r="CQC13" s="1221"/>
      <c r="CQD13" s="1221"/>
      <c r="CQE13" s="1221"/>
      <c r="CQF13" s="1221"/>
      <c r="CQG13" s="1221"/>
      <c r="CQH13" s="1221"/>
      <c r="CQI13" s="1221"/>
      <c r="CQJ13" s="1221"/>
      <c r="CQK13" s="1221"/>
      <c r="CQL13" s="1221"/>
      <c r="CQM13" s="1221"/>
      <c r="CQN13" s="1221"/>
      <c r="CQO13" s="1221"/>
      <c r="CQP13" s="1221"/>
      <c r="CQQ13" s="1221"/>
      <c r="CQR13" s="1221"/>
      <c r="CQS13" s="1221"/>
      <c r="CQT13" s="1221"/>
      <c r="CQU13" s="1221"/>
      <c r="CQV13" s="1221"/>
      <c r="CQW13" s="1221"/>
      <c r="CQX13" s="1221"/>
      <c r="CQY13" s="1221"/>
      <c r="CQZ13" s="1221"/>
      <c r="CRA13" s="1221"/>
      <c r="CRB13" s="1221"/>
      <c r="CRC13" s="1221"/>
      <c r="CRD13" s="1221"/>
      <c r="CRE13" s="1221"/>
      <c r="CRF13" s="1221"/>
      <c r="CRG13" s="1221"/>
      <c r="CRH13" s="1221"/>
      <c r="CRI13" s="1221"/>
      <c r="CRJ13" s="1221"/>
      <c r="CRK13" s="1221"/>
      <c r="CRL13" s="1221"/>
      <c r="CRM13" s="1221"/>
      <c r="CRN13" s="1221"/>
      <c r="CRO13" s="1221"/>
      <c r="CRP13" s="1221"/>
      <c r="CRQ13" s="1221"/>
      <c r="CRR13" s="1221"/>
      <c r="CRS13" s="1221"/>
      <c r="CRT13" s="1221"/>
      <c r="CRU13" s="1221"/>
      <c r="CRV13" s="1221"/>
      <c r="CRW13" s="1221"/>
      <c r="CRX13" s="1221"/>
      <c r="CRY13" s="1221"/>
      <c r="CRZ13" s="1221"/>
      <c r="CSA13" s="1221"/>
      <c r="CSB13" s="1221"/>
      <c r="CSC13" s="1221"/>
      <c r="CSD13" s="1221"/>
      <c r="CSE13" s="1221"/>
      <c r="CSF13" s="1221"/>
      <c r="CSG13" s="1221"/>
      <c r="CSH13" s="1221"/>
      <c r="CSI13" s="1221"/>
      <c r="CSJ13" s="1221"/>
      <c r="CSK13" s="1221"/>
      <c r="CSL13" s="1221"/>
      <c r="CSM13" s="1221"/>
      <c r="CSN13" s="1221"/>
      <c r="CSO13" s="1221"/>
      <c r="CSP13" s="1221"/>
      <c r="CSQ13" s="1221"/>
      <c r="CSR13" s="1221"/>
      <c r="CSS13" s="1221"/>
      <c r="CST13" s="1221"/>
      <c r="CSU13" s="1221"/>
      <c r="CSV13" s="1221"/>
      <c r="CSW13" s="1221"/>
      <c r="CSX13" s="1221"/>
      <c r="CSY13" s="1221"/>
      <c r="CSZ13" s="1221"/>
      <c r="CTA13" s="1221"/>
      <c r="CTB13" s="1221"/>
      <c r="CTC13" s="1221"/>
      <c r="CTD13" s="1221"/>
      <c r="CTE13" s="1221"/>
      <c r="CTF13" s="1221"/>
      <c r="CTG13" s="1221"/>
      <c r="CTH13" s="1221"/>
      <c r="CTI13" s="1221"/>
      <c r="CTJ13" s="1221"/>
      <c r="CTK13" s="1221"/>
      <c r="CTL13" s="1221"/>
      <c r="CTM13" s="1221"/>
      <c r="CTN13" s="1221"/>
      <c r="CTO13" s="1221"/>
      <c r="CTP13" s="1221"/>
      <c r="CTQ13" s="1221"/>
      <c r="CTR13" s="1221"/>
      <c r="CTS13" s="1221"/>
      <c r="CTT13" s="1221"/>
      <c r="CTU13" s="1221"/>
      <c r="CTV13" s="1221"/>
      <c r="CTW13" s="1221"/>
      <c r="CTX13" s="1221"/>
      <c r="CTY13" s="1221"/>
      <c r="CTZ13" s="1221"/>
      <c r="CUA13" s="1221"/>
      <c r="CUB13" s="1221"/>
      <c r="CUC13" s="1221"/>
      <c r="CUD13" s="1221"/>
      <c r="CUE13" s="1221"/>
      <c r="CUF13" s="1221"/>
      <c r="CUG13" s="1221"/>
      <c r="CUH13" s="1221"/>
      <c r="CUI13" s="1221"/>
      <c r="CUJ13" s="1221"/>
      <c r="CUK13" s="1221"/>
      <c r="CUL13" s="1221"/>
      <c r="CUM13" s="1221"/>
      <c r="CUN13" s="1221"/>
      <c r="CUO13" s="1221"/>
      <c r="CUP13" s="1221"/>
      <c r="CUQ13" s="1221"/>
      <c r="CUR13" s="1221"/>
      <c r="CUS13" s="1221"/>
      <c r="CUT13" s="1221"/>
      <c r="CUU13" s="1221"/>
      <c r="CUV13" s="1221"/>
      <c r="CUW13" s="1221"/>
      <c r="CUX13" s="1221"/>
      <c r="CUY13" s="1221"/>
      <c r="CUZ13" s="1221"/>
      <c r="CVA13" s="1221"/>
      <c r="CVB13" s="1221"/>
      <c r="CVC13" s="1221"/>
      <c r="CVD13" s="1221"/>
      <c r="CVE13" s="1221"/>
      <c r="CVF13" s="1221"/>
      <c r="CVG13" s="1221"/>
      <c r="CVH13" s="1221"/>
      <c r="CVI13" s="1221"/>
      <c r="CVJ13" s="1221"/>
      <c r="CVK13" s="1221"/>
      <c r="CVL13" s="1221"/>
      <c r="CVM13" s="1221"/>
      <c r="CVN13" s="1221"/>
      <c r="CVO13" s="1221"/>
      <c r="CVP13" s="1221"/>
      <c r="CVQ13" s="1221"/>
      <c r="CVR13" s="1221"/>
      <c r="CVS13" s="1221"/>
      <c r="CVT13" s="1221"/>
      <c r="CVU13" s="1221"/>
      <c r="CVV13" s="1221"/>
      <c r="CVW13" s="1221"/>
      <c r="CVX13" s="1221"/>
      <c r="CVY13" s="1221"/>
      <c r="CVZ13" s="1221"/>
      <c r="CWA13" s="1221"/>
      <c r="CWB13" s="1221"/>
      <c r="CWC13" s="1221"/>
      <c r="CWD13" s="1221"/>
      <c r="CWE13" s="1221"/>
      <c r="CWF13" s="1221"/>
      <c r="CWG13" s="1221"/>
      <c r="CWH13" s="1221"/>
      <c r="CWI13" s="1221"/>
      <c r="CWJ13" s="1221"/>
      <c r="CWK13" s="1221"/>
      <c r="CWL13" s="1221"/>
      <c r="CWM13" s="1221"/>
      <c r="CWN13" s="1221"/>
      <c r="CWO13" s="1221"/>
      <c r="CWP13" s="1221"/>
      <c r="CWQ13" s="1221"/>
      <c r="CWR13" s="1221"/>
      <c r="CWS13" s="1221"/>
      <c r="CWT13" s="1221"/>
      <c r="CWU13" s="1221"/>
      <c r="CWV13" s="1221"/>
      <c r="CWW13" s="1221"/>
      <c r="CWX13" s="1221"/>
      <c r="CWY13" s="1221"/>
      <c r="CWZ13" s="1221"/>
      <c r="CXA13" s="1221"/>
      <c r="CXB13" s="1221"/>
      <c r="CXC13" s="1221"/>
      <c r="CXD13" s="1221"/>
      <c r="CXE13" s="1221"/>
      <c r="CXF13" s="1221"/>
      <c r="CXG13" s="1221"/>
      <c r="CXH13" s="1221"/>
      <c r="CXI13" s="1221"/>
      <c r="CXJ13" s="1221"/>
      <c r="CXK13" s="1221"/>
      <c r="CXL13" s="1221"/>
      <c r="CXM13" s="1221"/>
      <c r="CXN13" s="1221"/>
      <c r="CXO13" s="1221"/>
      <c r="CXP13" s="1221"/>
      <c r="CXQ13" s="1221"/>
      <c r="CXR13" s="1221"/>
      <c r="CXS13" s="1221"/>
      <c r="CXT13" s="1221"/>
      <c r="CXU13" s="1221"/>
      <c r="CXV13" s="1221"/>
      <c r="CXW13" s="1221"/>
      <c r="CXX13" s="1221"/>
      <c r="CXY13" s="1221"/>
      <c r="CXZ13" s="1221"/>
      <c r="CYA13" s="1221"/>
      <c r="CYB13" s="1221"/>
      <c r="CYC13" s="1221"/>
      <c r="CYD13" s="1221"/>
      <c r="CYE13" s="1221"/>
      <c r="CYF13" s="1221"/>
      <c r="CYG13" s="1221"/>
      <c r="CYH13" s="1221"/>
      <c r="CYI13" s="1221"/>
      <c r="CYJ13" s="1221"/>
      <c r="CYK13" s="1221"/>
      <c r="CYL13" s="1221"/>
      <c r="CYM13" s="1221"/>
      <c r="CYN13" s="1221"/>
      <c r="CYO13" s="1221"/>
      <c r="CYP13" s="1221"/>
      <c r="CYQ13" s="1221"/>
      <c r="CYR13" s="1221"/>
      <c r="CYS13" s="1221"/>
      <c r="CYT13" s="1221"/>
      <c r="CYU13" s="1221"/>
      <c r="CYV13" s="1221"/>
      <c r="CYW13" s="1221"/>
      <c r="CYX13" s="1221"/>
      <c r="CYY13" s="1221"/>
      <c r="CYZ13" s="1221"/>
      <c r="CZA13" s="1221"/>
      <c r="CZB13" s="1221"/>
      <c r="CZC13" s="1221"/>
      <c r="CZD13" s="1221"/>
      <c r="CZE13" s="1221"/>
      <c r="CZF13" s="1221"/>
      <c r="CZG13" s="1221"/>
      <c r="CZH13" s="1221"/>
      <c r="CZI13" s="1221"/>
      <c r="CZJ13" s="1221"/>
      <c r="CZK13" s="1221"/>
      <c r="CZL13" s="1221"/>
      <c r="CZM13" s="1221"/>
      <c r="CZN13" s="1221"/>
      <c r="CZO13" s="1221"/>
      <c r="CZP13" s="1221"/>
      <c r="CZQ13" s="1221"/>
      <c r="CZR13" s="1221"/>
      <c r="CZS13" s="1221"/>
      <c r="CZT13" s="1221"/>
      <c r="CZU13" s="1221"/>
      <c r="CZV13" s="1221"/>
      <c r="CZW13" s="1221"/>
      <c r="CZX13" s="1221"/>
      <c r="CZY13" s="1221"/>
      <c r="CZZ13" s="1221"/>
      <c r="DAA13" s="1221"/>
      <c r="DAB13" s="1221"/>
      <c r="DAC13" s="1221"/>
      <c r="DAD13" s="1221"/>
      <c r="DAE13" s="1221"/>
      <c r="DAF13" s="1221"/>
      <c r="DAG13" s="1221"/>
      <c r="DAH13" s="1221"/>
      <c r="DAI13" s="1221"/>
      <c r="DAJ13" s="1221"/>
      <c r="DAK13" s="1221"/>
      <c r="DAL13" s="1221"/>
      <c r="DAM13" s="1221"/>
      <c r="DAN13" s="1221"/>
      <c r="DAO13" s="1221"/>
      <c r="DAP13" s="1221"/>
      <c r="DAQ13" s="1221"/>
      <c r="DAR13" s="1221"/>
      <c r="DAS13" s="1221"/>
      <c r="DAT13" s="1221"/>
      <c r="DAU13" s="1221"/>
      <c r="DAV13" s="1221"/>
      <c r="DAW13" s="1221"/>
      <c r="DAX13" s="1221"/>
      <c r="DAY13" s="1221"/>
      <c r="DAZ13" s="1221"/>
      <c r="DBA13" s="1221"/>
      <c r="DBB13" s="1221"/>
      <c r="DBC13" s="1221"/>
      <c r="DBD13" s="1221"/>
      <c r="DBE13" s="1221"/>
      <c r="DBF13" s="1221"/>
      <c r="DBG13" s="1221"/>
      <c r="DBH13" s="1221"/>
      <c r="DBI13" s="1221"/>
      <c r="DBJ13" s="1221"/>
      <c r="DBK13" s="1221"/>
      <c r="DBL13" s="1221"/>
      <c r="DBM13" s="1221"/>
      <c r="DBN13" s="1221"/>
      <c r="DBO13" s="1221"/>
      <c r="DBP13" s="1221"/>
      <c r="DBQ13" s="1221"/>
      <c r="DBR13" s="1221"/>
      <c r="DBS13" s="1221"/>
      <c r="DBT13" s="1221"/>
      <c r="DBU13" s="1221"/>
      <c r="DBV13" s="1221"/>
      <c r="DBW13" s="1221"/>
      <c r="DBX13" s="1221"/>
      <c r="DBY13" s="1221"/>
      <c r="DBZ13" s="1221"/>
      <c r="DCA13" s="1221"/>
      <c r="DCB13" s="1221"/>
      <c r="DCC13" s="1221"/>
      <c r="DCD13" s="1221"/>
      <c r="DCE13" s="1221"/>
      <c r="DCF13" s="1221"/>
      <c r="DCG13" s="1221"/>
      <c r="DCH13" s="1221"/>
      <c r="DCI13" s="1221"/>
      <c r="DCJ13" s="1221"/>
      <c r="DCK13" s="1221"/>
      <c r="DCL13" s="1221"/>
      <c r="DCM13" s="1221"/>
      <c r="DCN13" s="1221"/>
      <c r="DCO13" s="1221"/>
      <c r="DCP13" s="1221"/>
      <c r="DCQ13" s="1221"/>
      <c r="DCR13" s="1221"/>
      <c r="DCS13" s="1221"/>
      <c r="DCT13" s="1221"/>
      <c r="DCU13" s="1221"/>
      <c r="DCV13" s="1221"/>
      <c r="DCW13" s="1221"/>
      <c r="DCX13" s="1221"/>
      <c r="DCY13" s="1221"/>
      <c r="DCZ13" s="1221"/>
      <c r="DDA13" s="1221"/>
      <c r="DDB13" s="1221"/>
      <c r="DDC13" s="1221"/>
      <c r="DDD13" s="1221"/>
      <c r="DDE13" s="1221"/>
      <c r="DDF13" s="1221"/>
      <c r="DDG13" s="1221"/>
      <c r="DDH13" s="1221"/>
      <c r="DDI13" s="1221"/>
      <c r="DDJ13" s="1221"/>
      <c r="DDK13" s="1221"/>
      <c r="DDL13" s="1221"/>
      <c r="DDM13" s="1221"/>
      <c r="DDN13" s="1221"/>
      <c r="DDO13" s="1221"/>
      <c r="DDP13" s="1221"/>
      <c r="DDQ13" s="1221"/>
      <c r="DDR13" s="1221"/>
      <c r="DDS13" s="1221"/>
      <c r="DDT13" s="1221"/>
      <c r="DDU13" s="1221"/>
      <c r="DDV13" s="1221"/>
      <c r="DDW13" s="1221"/>
      <c r="DDX13" s="1221"/>
      <c r="DDY13" s="1221"/>
      <c r="DDZ13" s="1221"/>
      <c r="DEA13" s="1221"/>
      <c r="DEB13" s="1221"/>
      <c r="DEC13" s="1221"/>
      <c r="DED13" s="1221"/>
      <c r="DEE13" s="1221"/>
      <c r="DEF13" s="1221"/>
      <c r="DEG13" s="1221"/>
      <c r="DEH13" s="1221"/>
      <c r="DEI13" s="1221"/>
      <c r="DEJ13" s="1221"/>
      <c r="DEK13" s="1221"/>
      <c r="DEL13" s="1221"/>
      <c r="DEM13" s="1221"/>
      <c r="DEN13" s="1221"/>
      <c r="DEO13" s="1221"/>
      <c r="DEP13" s="1221"/>
      <c r="DEQ13" s="1221"/>
      <c r="DER13" s="1221"/>
      <c r="DES13" s="1221"/>
      <c r="DET13" s="1221"/>
      <c r="DEU13" s="1221"/>
      <c r="DEV13" s="1221"/>
      <c r="DEW13" s="1221"/>
      <c r="DEX13" s="1221"/>
      <c r="DEY13" s="1221"/>
      <c r="DEZ13" s="1221"/>
      <c r="DFA13" s="1221"/>
      <c r="DFB13" s="1221"/>
      <c r="DFC13" s="1221"/>
      <c r="DFD13" s="1221"/>
      <c r="DFE13" s="1221"/>
      <c r="DFF13" s="1221"/>
      <c r="DFG13" s="1221"/>
      <c r="DFH13" s="1221"/>
      <c r="DFI13" s="1221"/>
      <c r="DFJ13" s="1221"/>
      <c r="DFK13" s="1221"/>
      <c r="DFL13" s="1221"/>
      <c r="DFM13" s="1221"/>
      <c r="DFN13" s="1221"/>
      <c r="DFO13" s="1221"/>
      <c r="DFP13" s="1221"/>
      <c r="DFQ13" s="1221"/>
      <c r="DFR13" s="1221"/>
      <c r="DFS13" s="1221"/>
      <c r="DFT13" s="1221"/>
      <c r="DFU13" s="1221"/>
      <c r="DFV13" s="1221"/>
      <c r="DFW13" s="1221"/>
      <c r="DFX13" s="1221"/>
      <c r="DFY13" s="1221"/>
      <c r="DFZ13" s="1221"/>
      <c r="DGA13" s="1221"/>
      <c r="DGB13" s="1221"/>
      <c r="DGC13" s="1221"/>
      <c r="DGD13" s="1221"/>
      <c r="DGE13" s="1221"/>
      <c r="DGF13" s="1221"/>
      <c r="DGG13" s="1221"/>
      <c r="DGH13" s="1221"/>
      <c r="DGI13" s="1221"/>
      <c r="DGJ13" s="1221"/>
      <c r="DGK13" s="1221"/>
      <c r="DGL13" s="1221"/>
      <c r="DGM13" s="1221"/>
      <c r="DGN13" s="1221"/>
      <c r="DGO13" s="1221"/>
      <c r="DGP13" s="1221"/>
      <c r="DGQ13" s="1221"/>
      <c r="DGR13" s="1221"/>
      <c r="DGS13" s="1221"/>
      <c r="DGT13" s="1221"/>
      <c r="DGU13" s="1221"/>
      <c r="DGV13" s="1221"/>
      <c r="DGW13" s="1221"/>
      <c r="DGX13" s="1221"/>
      <c r="DGY13" s="1221"/>
      <c r="DGZ13" s="1221"/>
      <c r="DHA13" s="1221"/>
      <c r="DHB13" s="1221"/>
      <c r="DHC13" s="1221"/>
      <c r="DHD13" s="1221"/>
      <c r="DHE13" s="1221"/>
      <c r="DHF13" s="1221"/>
      <c r="DHG13" s="1221"/>
      <c r="DHH13" s="1221"/>
      <c r="DHI13" s="1221"/>
      <c r="DHJ13" s="1221"/>
      <c r="DHK13" s="1221"/>
      <c r="DHL13" s="1221"/>
      <c r="DHM13" s="1221"/>
      <c r="DHN13" s="1221"/>
      <c r="DHO13" s="1221"/>
      <c r="DHP13" s="1221"/>
      <c r="DHQ13" s="1221"/>
      <c r="DHR13" s="1221"/>
      <c r="DHS13" s="1221"/>
      <c r="DHT13" s="1221"/>
      <c r="DHU13" s="1221"/>
      <c r="DHV13" s="1221"/>
      <c r="DHW13" s="1221"/>
      <c r="DHX13" s="1221"/>
      <c r="DHY13" s="1221"/>
      <c r="DHZ13" s="1221"/>
      <c r="DIA13" s="1221"/>
      <c r="DIB13" s="1221"/>
      <c r="DIC13" s="1221"/>
      <c r="DID13" s="1221"/>
      <c r="DIE13" s="1221"/>
      <c r="DIF13" s="1221"/>
      <c r="DIG13" s="1221"/>
      <c r="DIH13" s="1221"/>
      <c r="DII13" s="1221"/>
      <c r="DIJ13" s="1221"/>
      <c r="DIK13" s="1221"/>
      <c r="DIL13" s="1221"/>
      <c r="DIM13" s="1221"/>
      <c r="DIN13" s="1221"/>
      <c r="DIO13" s="1221"/>
      <c r="DIP13" s="1221"/>
      <c r="DIQ13" s="1221"/>
      <c r="DIR13" s="1221"/>
      <c r="DIS13" s="1221"/>
      <c r="DIT13" s="1221"/>
      <c r="DIU13" s="1221"/>
      <c r="DIV13" s="1221"/>
      <c r="DIW13" s="1221"/>
      <c r="DIX13" s="1221"/>
      <c r="DIY13" s="1221"/>
      <c r="DIZ13" s="1221"/>
      <c r="DJA13" s="1221"/>
      <c r="DJB13" s="1221"/>
      <c r="DJC13" s="1221"/>
      <c r="DJD13" s="1221"/>
      <c r="DJE13" s="1221"/>
      <c r="DJF13" s="1221"/>
      <c r="DJG13" s="1221"/>
      <c r="DJH13" s="1221"/>
      <c r="DJI13" s="1221"/>
      <c r="DJJ13" s="1221"/>
      <c r="DJK13" s="1221"/>
      <c r="DJL13" s="1221"/>
      <c r="DJM13" s="1221"/>
      <c r="DJN13" s="1221"/>
      <c r="DJO13" s="1221"/>
      <c r="DJP13" s="1221"/>
      <c r="DJQ13" s="1221"/>
      <c r="DJR13" s="1221"/>
      <c r="DJS13" s="1221"/>
      <c r="DJT13" s="1221"/>
      <c r="DJU13" s="1221"/>
      <c r="DJV13" s="1221"/>
      <c r="DJW13" s="1221"/>
      <c r="DJX13" s="1221"/>
      <c r="DJY13" s="1221"/>
      <c r="DJZ13" s="1221"/>
      <c r="DKA13" s="1221"/>
      <c r="DKB13" s="1221"/>
      <c r="DKC13" s="1221"/>
      <c r="DKD13" s="1221"/>
      <c r="DKE13" s="1221"/>
      <c r="DKF13" s="1221"/>
      <c r="DKG13" s="1221"/>
      <c r="DKH13" s="1221"/>
      <c r="DKI13" s="1221"/>
      <c r="DKJ13" s="1221"/>
      <c r="DKK13" s="1221"/>
      <c r="DKL13" s="1221"/>
      <c r="DKM13" s="1221"/>
      <c r="DKN13" s="1221"/>
      <c r="DKO13" s="1221"/>
      <c r="DKP13" s="1221"/>
      <c r="DKQ13" s="1221"/>
      <c r="DKR13" s="1221"/>
      <c r="DKS13" s="1221"/>
      <c r="DKT13" s="1221"/>
      <c r="DKU13" s="1221"/>
      <c r="DKV13" s="1221"/>
      <c r="DKW13" s="1221"/>
      <c r="DKX13" s="1221"/>
      <c r="DKY13" s="1221"/>
      <c r="DKZ13" s="1221"/>
      <c r="DLA13" s="1221"/>
      <c r="DLB13" s="1221"/>
      <c r="DLC13" s="1221"/>
      <c r="DLD13" s="1221"/>
      <c r="DLE13" s="1221"/>
      <c r="DLF13" s="1221"/>
      <c r="DLG13" s="1221"/>
      <c r="DLH13" s="1221"/>
      <c r="DLI13" s="1221"/>
      <c r="DLJ13" s="1221"/>
      <c r="DLK13" s="1221"/>
      <c r="DLL13" s="1221"/>
      <c r="DLM13" s="1221"/>
      <c r="DLN13" s="1221"/>
      <c r="DLO13" s="1221"/>
      <c r="DLP13" s="1221"/>
      <c r="DLQ13" s="1221"/>
      <c r="DLR13" s="1221"/>
      <c r="DLS13" s="1221"/>
      <c r="DLT13" s="1221"/>
      <c r="DLU13" s="1221"/>
      <c r="DLV13" s="1221"/>
      <c r="DLW13" s="1221"/>
      <c r="DLX13" s="1221"/>
      <c r="DLY13" s="1221"/>
      <c r="DLZ13" s="1221"/>
      <c r="DMA13" s="1221"/>
      <c r="DMB13" s="1221"/>
      <c r="DMC13" s="1221"/>
      <c r="DMD13" s="1221"/>
      <c r="DME13" s="1221"/>
      <c r="DMF13" s="1221"/>
      <c r="DMG13" s="1221"/>
      <c r="DMH13" s="1221"/>
      <c r="DMI13" s="1221"/>
      <c r="DMJ13" s="1221"/>
      <c r="DMK13" s="1221"/>
      <c r="DML13" s="1221"/>
      <c r="DMM13" s="1221"/>
      <c r="DMN13" s="1221"/>
      <c r="DMO13" s="1221"/>
      <c r="DMP13" s="1221"/>
      <c r="DMQ13" s="1221"/>
      <c r="DMR13" s="1221"/>
      <c r="DMS13" s="1221"/>
      <c r="DMT13" s="1221"/>
      <c r="DMU13" s="1221"/>
      <c r="DMV13" s="1221"/>
      <c r="DMW13" s="1221"/>
      <c r="DMX13" s="1221"/>
      <c r="DMY13" s="1221"/>
      <c r="DMZ13" s="1221"/>
      <c r="DNA13" s="1221"/>
      <c r="DNB13" s="1221"/>
      <c r="DNC13" s="1221"/>
      <c r="DND13" s="1221"/>
      <c r="DNE13" s="1221"/>
      <c r="DNF13" s="1221"/>
      <c r="DNG13" s="1221"/>
      <c r="DNH13" s="1221"/>
      <c r="DNI13" s="1221"/>
      <c r="DNJ13" s="1221"/>
      <c r="DNK13" s="1221"/>
      <c r="DNL13" s="1221"/>
      <c r="DNM13" s="1221"/>
      <c r="DNN13" s="1221"/>
      <c r="DNO13" s="1221"/>
      <c r="DNP13" s="1221"/>
      <c r="DNQ13" s="1221"/>
      <c r="DNR13" s="1221"/>
      <c r="DNS13" s="1221"/>
      <c r="DNT13" s="1221"/>
      <c r="DNU13" s="1221"/>
      <c r="DNV13" s="1221"/>
      <c r="DNW13" s="1221"/>
      <c r="DNX13" s="1221"/>
      <c r="DNY13" s="1221"/>
      <c r="DNZ13" s="1221"/>
      <c r="DOA13" s="1221"/>
      <c r="DOB13" s="1221"/>
      <c r="DOC13" s="1221"/>
      <c r="DOD13" s="1221"/>
      <c r="DOE13" s="1221"/>
      <c r="DOF13" s="1221"/>
      <c r="DOG13" s="1221"/>
      <c r="DOH13" s="1221"/>
      <c r="DOI13" s="1221"/>
      <c r="DOJ13" s="1221"/>
      <c r="DOK13" s="1221"/>
      <c r="DOL13" s="1221"/>
      <c r="DOM13" s="1221"/>
      <c r="DON13" s="1221"/>
      <c r="DOO13" s="1221"/>
      <c r="DOP13" s="1221"/>
      <c r="DOQ13" s="1221"/>
      <c r="DOR13" s="1221"/>
      <c r="DOS13" s="1221"/>
      <c r="DOT13" s="1221"/>
      <c r="DOU13" s="1221"/>
      <c r="DOV13" s="1221"/>
      <c r="DOW13" s="1221"/>
      <c r="DOX13" s="1221"/>
      <c r="DOY13" s="1221"/>
      <c r="DOZ13" s="1221"/>
      <c r="DPA13" s="1221"/>
      <c r="DPB13" s="1221"/>
      <c r="DPC13" s="1221"/>
      <c r="DPD13" s="1221"/>
      <c r="DPE13" s="1221"/>
      <c r="DPF13" s="1221"/>
      <c r="DPG13" s="1221"/>
      <c r="DPH13" s="1221"/>
      <c r="DPI13" s="1221"/>
      <c r="DPJ13" s="1221"/>
      <c r="DPK13" s="1221"/>
      <c r="DPL13" s="1221"/>
      <c r="DPM13" s="1221"/>
      <c r="DPN13" s="1221"/>
      <c r="DPO13" s="1221"/>
      <c r="DPP13" s="1221"/>
      <c r="DPQ13" s="1221"/>
      <c r="DPR13" s="1221"/>
      <c r="DPS13" s="1221"/>
      <c r="DPT13" s="1221"/>
      <c r="DPU13" s="1221"/>
      <c r="DPV13" s="1221"/>
      <c r="DPW13" s="1221"/>
      <c r="DPX13" s="1221"/>
      <c r="DPY13" s="1221"/>
      <c r="DPZ13" s="1221"/>
      <c r="DQA13" s="1221"/>
      <c r="DQB13" s="1221"/>
      <c r="DQC13" s="1221"/>
      <c r="DQD13" s="1221"/>
      <c r="DQE13" s="1221"/>
      <c r="DQF13" s="1221"/>
      <c r="DQG13" s="1221"/>
      <c r="DQH13" s="1221"/>
      <c r="DQI13" s="1221"/>
      <c r="DQJ13" s="1221"/>
      <c r="DQK13" s="1221"/>
      <c r="DQL13" s="1221"/>
      <c r="DQM13" s="1221"/>
      <c r="DQN13" s="1221"/>
      <c r="DQO13" s="1221"/>
      <c r="DQP13" s="1221"/>
      <c r="DQQ13" s="1221"/>
      <c r="DQR13" s="1221"/>
      <c r="DQS13" s="1221"/>
      <c r="DQT13" s="1221"/>
      <c r="DQU13" s="1221"/>
      <c r="DQV13" s="1221"/>
      <c r="DQW13" s="1221"/>
      <c r="DQX13" s="1221"/>
      <c r="DQY13" s="1221"/>
      <c r="DQZ13" s="1221"/>
      <c r="DRA13" s="1221"/>
      <c r="DRB13" s="1221"/>
      <c r="DRC13" s="1221"/>
      <c r="DRD13" s="1221"/>
      <c r="DRE13" s="1221"/>
      <c r="DRF13" s="1221"/>
      <c r="DRG13" s="1221"/>
      <c r="DRH13" s="1221"/>
      <c r="DRI13" s="1221"/>
      <c r="DRJ13" s="1221"/>
      <c r="DRK13" s="1221"/>
      <c r="DRL13" s="1221"/>
      <c r="DRM13" s="1221"/>
      <c r="DRN13" s="1221"/>
      <c r="DRO13" s="1221"/>
      <c r="DRP13" s="1221"/>
      <c r="DRQ13" s="1221"/>
      <c r="DRR13" s="1221"/>
      <c r="DRS13" s="1221"/>
      <c r="DRT13" s="1221"/>
      <c r="DRU13" s="1221"/>
      <c r="DRV13" s="1221"/>
      <c r="DRW13" s="1221"/>
      <c r="DRX13" s="1221"/>
      <c r="DRY13" s="1221"/>
      <c r="DRZ13" s="1221"/>
      <c r="DSA13" s="1221"/>
      <c r="DSB13" s="1221"/>
      <c r="DSC13" s="1221"/>
      <c r="DSD13" s="1221"/>
      <c r="DSE13" s="1221"/>
      <c r="DSF13" s="1221"/>
      <c r="DSG13" s="1221"/>
      <c r="DSH13" s="1221"/>
      <c r="DSI13" s="1221"/>
      <c r="DSJ13" s="1221"/>
      <c r="DSK13" s="1221"/>
      <c r="DSL13" s="1221"/>
      <c r="DSM13" s="1221"/>
      <c r="DSN13" s="1221"/>
      <c r="DSO13" s="1221"/>
      <c r="DSP13" s="1221"/>
      <c r="DSQ13" s="1221"/>
      <c r="DSR13" s="1221"/>
      <c r="DSS13" s="1221"/>
      <c r="DST13" s="1221"/>
      <c r="DSU13" s="1221"/>
      <c r="DSV13" s="1221"/>
      <c r="DSW13" s="1221"/>
      <c r="DSX13" s="1221"/>
      <c r="DSY13" s="1221"/>
      <c r="DSZ13" s="1221"/>
      <c r="DTA13" s="1221"/>
      <c r="DTB13" s="1221"/>
      <c r="DTC13" s="1221"/>
      <c r="DTD13" s="1221"/>
      <c r="DTE13" s="1221"/>
      <c r="DTF13" s="1221"/>
      <c r="DTG13" s="1221"/>
      <c r="DTH13" s="1221"/>
      <c r="DTI13" s="1221"/>
      <c r="DTJ13" s="1221"/>
      <c r="DTK13" s="1221"/>
      <c r="DTL13" s="1221"/>
      <c r="DTM13" s="1221"/>
      <c r="DTN13" s="1221"/>
      <c r="DTO13" s="1221"/>
      <c r="DTP13" s="1221"/>
      <c r="DTQ13" s="1221"/>
      <c r="DTR13" s="1221"/>
      <c r="DTS13" s="1221"/>
      <c r="DTT13" s="1221"/>
      <c r="DTU13" s="1221"/>
      <c r="DTV13" s="1221"/>
      <c r="DTW13" s="1221"/>
      <c r="DTX13" s="1221"/>
      <c r="DTY13" s="1221"/>
      <c r="DTZ13" s="1221"/>
      <c r="DUA13" s="1221"/>
      <c r="DUB13" s="1221"/>
      <c r="DUC13" s="1221"/>
      <c r="DUD13" s="1221"/>
      <c r="DUE13" s="1221"/>
      <c r="DUF13" s="1221"/>
      <c r="DUG13" s="1221"/>
      <c r="DUH13" s="1221"/>
      <c r="DUI13" s="1221"/>
      <c r="DUJ13" s="1221"/>
      <c r="DUK13" s="1221"/>
      <c r="DUL13" s="1221"/>
      <c r="DUM13" s="1221"/>
      <c r="DUN13" s="1221"/>
      <c r="DUO13" s="1221"/>
      <c r="DUP13" s="1221"/>
      <c r="DUQ13" s="1221"/>
      <c r="DUR13" s="1221"/>
      <c r="DUS13" s="1221"/>
      <c r="DUT13" s="1221"/>
      <c r="DUU13" s="1221"/>
      <c r="DUV13" s="1221"/>
      <c r="DUW13" s="1221"/>
      <c r="DUX13" s="1221"/>
      <c r="DUY13" s="1221"/>
      <c r="DUZ13" s="1221"/>
      <c r="DVA13" s="1221"/>
      <c r="DVB13" s="1221"/>
      <c r="DVC13" s="1221"/>
      <c r="DVD13" s="1221"/>
      <c r="DVE13" s="1221"/>
      <c r="DVF13" s="1221"/>
      <c r="DVG13" s="1221"/>
      <c r="DVH13" s="1221"/>
      <c r="DVI13" s="1221"/>
      <c r="DVJ13" s="1221"/>
      <c r="DVK13" s="1221"/>
      <c r="DVL13" s="1221"/>
      <c r="DVM13" s="1221"/>
      <c r="DVN13" s="1221"/>
      <c r="DVO13" s="1221"/>
      <c r="DVP13" s="1221"/>
      <c r="DVQ13" s="1221"/>
      <c r="DVR13" s="1221"/>
      <c r="DVS13" s="1221"/>
      <c r="DVT13" s="1221"/>
      <c r="DVU13" s="1221"/>
      <c r="DVV13" s="1221"/>
      <c r="DVW13" s="1221"/>
      <c r="DVX13" s="1221"/>
      <c r="DVY13" s="1221"/>
      <c r="DVZ13" s="1221"/>
      <c r="DWA13" s="1221"/>
      <c r="DWB13" s="1221"/>
      <c r="DWC13" s="1221"/>
      <c r="DWD13" s="1221"/>
      <c r="DWE13" s="1221"/>
      <c r="DWF13" s="1221"/>
      <c r="DWG13" s="1221"/>
      <c r="DWH13" s="1221"/>
      <c r="DWI13" s="1221"/>
      <c r="DWJ13" s="1221"/>
      <c r="DWK13" s="1221"/>
      <c r="DWL13" s="1221"/>
      <c r="DWM13" s="1221"/>
      <c r="DWN13" s="1221"/>
      <c r="DWO13" s="1221"/>
      <c r="DWP13" s="1221"/>
      <c r="DWQ13" s="1221"/>
      <c r="DWR13" s="1221"/>
      <c r="DWS13" s="1221"/>
      <c r="DWT13" s="1221"/>
      <c r="DWU13" s="1221"/>
      <c r="DWV13" s="1221"/>
      <c r="DWW13" s="1221"/>
      <c r="DWX13" s="1221"/>
      <c r="DWY13" s="1221"/>
      <c r="DWZ13" s="1221"/>
      <c r="DXA13" s="1221"/>
      <c r="DXB13" s="1221"/>
      <c r="DXC13" s="1221"/>
      <c r="DXD13" s="1221"/>
      <c r="DXE13" s="1221"/>
      <c r="DXF13" s="1221"/>
      <c r="DXG13" s="1221"/>
      <c r="DXH13" s="1221"/>
      <c r="DXI13" s="1221"/>
      <c r="DXJ13" s="1221"/>
      <c r="DXK13" s="1221"/>
      <c r="DXL13" s="1221"/>
      <c r="DXM13" s="1221"/>
      <c r="DXN13" s="1221"/>
      <c r="DXO13" s="1221"/>
      <c r="DXP13" s="1221"/>
      <c r="DXQ13" s="1221"/>
      <c r="DXR13" s="1221"/>
      <c r="DXS13" s="1221"/>
      <c r="DXT13" s="1221"/>
      <c r="DXU13" s="1221"/>
      <c r="DXV13" s="1221"/>
      <c r="DXW13" s="1221"/>
      <c r="DXX13" s="1221"/>
      <c r="DXY13" s="1221"/>
      <c r="DXZ13" s="1221"/>
      <c r="DYA13" s="1221"/>
      <c r="DYB13" s="1221"/>
      <c r="DYC13" s="1221"/>
      <c r="DYD13" s="1221"/>
      <c r="DYE13" s="1221"/>
      <c r="DYF13" s="1221"/>
      <c r="DYG13" s="1221"/>
      <c r="DYH13" s="1221"/>
      <c r="DYI13" s="1221"/>
      <c r="DYJ13" s="1221"/>
      <c r="DYK13" s="1221"/>
      <c r="DYL13" s="1221"/>
      <c r="DYM13" s="1221"/>
      <c r="DYN13" s="1221"/>
      <c r="DYO13" s="1221"/>
      <c r="DYP13" s="1221"/>
      <c r="DYQ13" s="1221"/>
      <c r="DYR13" s="1221"/>
      <c r="DYS13" s="1221"/>
      <c r="DYT13" s="1221"/>
      <c r="DYU13" s="1221"/>
      <c r="DYV13" s="1221"/>
      <c r="DYW13" s="1221"/>
      <c r="DYX13" s="1221"/>
      <c r="DYY13" s="1221"/>
      <c r="DYZ13" s="1221"/>
      <c r="DZA13" s="1221"/>
      <c r="DZB13" s="1221"/>
      <c r="DZC13" s="1221"/>
      <c r="DZD13" s="1221"/>
      <c r="DZE13" s="1221"/>
      <c r="DZF13" s="1221"/>
      <c r="DZG13" s="1221"/>
      <c r="DZH13" s="1221"/>
      <c r="DZI13" s="1221"/>
      <c r="DZJ13" s="1221"/>
      <c r="DZK13" s="1221"/>
      <c r="DZL13" s="1221"/>
      <c r="DZM13" s="1221"/>
      <c r="DZN13" s="1221"/>
      <c r="DZO13" s="1221"/>
      <c r="DZP13" s="1221"/>
      <c r="DZQ13" s="1221"/>
      <c r="DZR13" s="1221"/>
      <c r="DZS13" s="1221"/>
      <c r="DZT13" s="1221"/>
      <c r="DZU13" s="1221"/>
      <c r="DZV13" s="1221"/>
      <c r="DZW13" s="1221"/>
      <c r="DZX13" s="1221"/>
      <c r="DZY13" s="1221"/>
      <c r="DZZ13" s="1221"/>
      <c r="EAA13" s="1221"/>
      <c r="EAB13" s="1221"/>
      <c r="EAC13" s="1221"/>
      <c r="EAD13" s="1221"/>
      <c r="EAE13" s="1221"/>
      <c r="EAF13" s="1221"/>
      <c r="EAG13" s="1221"/>
      <c r="EAH13" s="1221"/>
      <c r="EAI13" s="1221"/>
      <c r="EAJ13" s="1221"/>
      <c r="EAK13" s="1221"/>
      <c r="EAL13" s="1221"/>
      <c r="EAM13" s="1221"/>
      <c r="EAN13" s="1221"/>
      <c r="EAO13" s="1221"/>
      <c r="EAP13" s="1221"/>
      <c r="EAQ13" s="1221"/>
      <c r="EAR13" s="1221"/>
      <c r="EAS13" s="1221"/>
      <c r="EAT13" s="1221"/>
      <c r="EAU13" s="1221"/>
      <c r="EAV13" s="1221"/>
      <c r="EAW13" s="1221"/>
      <c r="EAX13" s="1221"/>
      <c r="EAY13" s="1221"/>
      <c r="EAZ13" s="1221"/>
      <c r="EBA13" s="1221"/>
      <c r="EBB13" s="1221"/>
      <c r="EBC13" s="1221"/>
      <c r="EBD13" s="1221"/>
      <c r="EBE13" s="1221"/>
      <c r="EBF13" s="1221"/>
      <c r="EBG13" s="1221"/>
      <c r="EBH13" s="1221"/>
      <c r="EBI13" s="1221"/>
      <c r="EBJ13" s="1221"/>
      <c r="EBK13" s="1221"/>
      <c r="EBL13" s="1221"/>
      <c r="EBM13" s="1221"/>
      <c r="EBN13" s="1221"/>
      <c r="EBO13" s="1221"/>
      <c r="EBP13" s="1221"/>
      <c r="EBQ13" s="1221"/>
      <c r="EBR13" s="1221"/>
      <c r="EBS13" s="1221"/>
      <c r="EBT13" s="1221"/>
      <c r="EBU13" s="1221"/>
      <c r="EBV13" s="1221"/>
      <c r="EBW13" s="1221"/>
      <c r="EBX13" s="1221"/>
      <c r="EBY13" s="1221"/>
      <c r="EBZ13" s="1221"/>
      <c r="ECA13" s="1221"/>
      <c r="ECB13" s="1221"/>
      <c r="ECC13" s="1221"/>
      <c r="ECD13" s="1221"/>
      <c r="ECE13" s="1221"/>
      <c r="ECF13" s="1221"/>
      <c r="ECG13" s="1221"/>
      <c r="ECH13" s="1221"/>
      <c r="ECI13" s="1221"/>
      <c r="ECJ13" s="1221"/>
      <c r="ECK13" s="1221"/>
      <c r="ECL13" s="1221"/>
      <c r="ECM13" s="1221"/>
      <c r="ECN13" s="1221"/>
      <c r="ECO13" s="1221"/>
    </row>
    <row r="14" spans="1:3473" s="1248" customFormat="1" ht="24.65" customHeight="1" outlineLevel="1">
      <c r="B14" s="1249" t="s">
        <v>483</v>
      </c>
      <c r="C14" s="1250">
        <v>3</v>
      </c>
      <c r="D14" s="1251" t="s">
        <v>484</v>
      </c>
      <c r="E14" s="1252">
        <f t="shared" si="4"/>
        <v>0</v>
      </c>
      <c r="F14" s="1252">
        <f t="shared" si="4"/>
        <v>0</v>
      </c>
      <c r="G14" s="1252">
        <f t="shared" si="4"/>
        <v>0</v>
      </c>
      <c r="H14" s="1252">
        <f t="shared" si="4"/>
        <v>146.31030142371048</v>
      </c>
      <c r="I14" s="1252">
        <f t="shared" si="4"/>
        <v>134.22963436029539</v>
      </c>
      <c r="J14" s="1252">
        <f t="shared" si="4"/>
        <v>12.080667063415083</v>
      </c>
      <c r="K14" s="1252">
        <f t="shared" si="4"/>
        <v>0</v>
      </c>
      <c r="L14" s="1252">
        <f t="shared" si="4"/>
        <v>0</v>
      </c>
      <c r="M14" s="1252">
        <f t="shared" si="4"/>
        <v>0</v>
      </c>
      <c r="N14" s="1252" t="str">
        <f t="shared" si="4"/>
        <v/>
      </c>
      <c r="O14" s="1252" t="str">
        <f t="shared" si="4"/>
        <v/>
      </c>
      <c r="P14" s="1252" t="str">
        <f t="shared" si="4"/>
        <v/>
      </c>
      <c r="Q14" s="1252">
        <f t="shared" si="4"/>
        <v>146.31030142371046</v>
      </c>
      <c r="R14" s="1252">
        <f t="shared" si="4"/>
        <v>134.22963436029539</v>
      </c>
      <c r="S14" s="1252">
        <f t="shared" si="8"/>
        <v>12.080667063415083</v>
      </c>
      <c r="T14" s="1252">
        <f t="shared" si="5"/>
        <v>146.31030142371048</v>
      </c>
      <c r="U14" s="1252">
        <f t="shared" si="5"/>
        <v>134.22963436029539</v>
      </c>
      <c r="V14" s="1252">
        <f t="shared" si="9"/>
        <v>12.080667063415085</v>
      </c>
      <c r="W14" s="1253" t="str">
        <f t="shared" si="10"/>
        <v/>
      </c>
      <c r="X14" s="1252" t="str">
        <f t="shared" si="10"/>
        <v/>
      </c>
      <c r="Y14" s="1252" t="str">
        <f t="shared" si="10"/>
        <v/>
      </c>
      <c r="Z14" s="1252">
        <f t="shared" si="11"/>
        <v>110.12713243951781</v>
      </c>
      <c r="AA14" s="1252">
        <f t="shared" si="11"/>
        <v>101.03406647830701</v>
      </c>
      <c r="AB14" s="1252">
        <f t="shared" si="11"/>
        <v>9.0930659612107991</v>
      </c>
      <c r="AC14" s="1252">
        <f t="shared" si="15"/>
        <v>146.31030142371048</v>
      </c>
      <c r="AD14" s="1260">
        <f t="shared" si="15"/>
        <v>134.22963436029539</v>
      </c>
      <c r="AE14" s="1260">
        <f t="shared" si="15"/>
        <v>12.080667063415083</v>
      </c>
      <c r="AF14" s="1254"/>
      <c r="AG14" s="1255"/>
      <c r="AH14" s="1255"/>
      <c r="AI14" s="1256">
        <f>AJ14+AK14</f>
        <v>631.67936381522043</v>
      </c>
      <c r="AJ14" s="1256">
        <f t="shared" ref="AJ14:AJ15" si="23">IF($BB14=0,0,$BB14*AJ$6/($BB$6-$AG$6-$AM$6))</f>
        <v>579.52235223896741</v>
      </c>
      <c r="AK14" s="1256">
        <f t="shared" ref="AK14:AK15" si="24">IF($BC14=0,0,$BC14*AK$6/($BC$6-$AH$6-$AN$6))</f>
        <v>52.157011576252962</v>
      </c>
      <c r="AL14" s="1256"/>
      <c r="AM14" s="1256"/>
      <c r="AN14" s="1256"/>
      <c r="AO14" s="1256">
        <f t="shared" si="21"/>
        <v>0</v>
      </c>
      <c r="AP14" s="1256">
        <f t="shared" ref="AP14:AP15" si="25">IF($BB14=0,0,$BK14*AP$6/($BB$6-$AG$6-$AM$6))</f>
        <v>0</v>
      </c>
      <c r="AQ14" s="1256">
        <f t="shared" ref="AQ14:AQ15" si="26">IF($BC14=0,0,$BL14*AQ$6/($BC$6-$AH$6-$AN$6))</f>
        <v>0</v>
      </c>
      <c r="AR14" s="1256">
        <f>AS14+AT14</f>
        <v>865.78213743611843</v>
      </c>
      <c r="AS14" s="1256">
        <f t="shared" ref="AS14:AS15" si="27">IF($BB14=0,0,$BK14*AS$6/($BB$6-$AG$6-$AM$6))</f>
        <v>794.29553908971764</v>
      </c>
      <c r="AT14" s="1256">
        <f t="shared" ref="AT14:AT15" si="28">IF($BC14=0,0,$BL14*AT$6/($BC$6-$AH$6-$AN$6))</f>
        <v>71.486598346400825</v>
      </c>
      <c r="AU14" s="1256">
        <f>AV14+AW14</f>
        <v>15.493236748660975</v>
      </c>
      <c r="AV14" s="1256">
        <f t="shared" ref="AV14:AV15" si="29">IF($BB14=0,0,$BK14*AV$6/($BB$6-$AG$6-$AM$6))</f>
        <v>14.213978671314761</v>
      </c>
      <c r="AW14" s="1256">
        <f t="shared" ref="AW14:AW15" si="30">IF($BC14=0,0,$BL14*AW$6/($BC$6-$AH$6-$AN$6))</f>
        <v>1.2792580773462137</v>
      </c>
      <c r="AX14" s="1256"/>
      <c r="AY14" s="1256"/>
      <c r="AZ14" s="1256"/>
      <c r="BA14" s="1257">
        <f>BB14+BC14</f>
        <v>1512.9547380000001</v>
      </c>
      <c r="BB14" s="1257">
        <f t="shared" si="17"/>
        <v>1388.03187</v>
      </c>
      <c r="BC14" s="1257">
        <f t="shared" si="17"/>
        <v>124.92286800000002</v>
      </c>
      <c r="BD14" s="1261">
        <f t="shared" si="22"/>
        <v>0</v>
      </c>
      <c r="BE14" s="1261">
        <v>0</v>
      </c>
      <c r="BF14" s="1261">
        <v>0</v>
      </c>
      <c r="BG14" s="1256">
        <f t="shared" si="18"/>
        <v>0</v>
      </c>
      <c r="BH14" s="1257">
        <f t="shared" si="19"/>
        <v>0</v>
      </c>
      <c r="BI14" s="1257">
        <f t="shared" si="19"/>
        <v>0</v>
      </c>
      <c r="BJ14" s="1257">
        <f>BK14+BL14</f>
        <v>1512.9547380000001</v>
      </c>
      <c r="BK14" s="1256">
        <f>VLOOKUP($D14,'当期公摊测算表（全期）'!$D$9:$W$192,20,0)</f>
        <v>1388.03187</v>
      </c>
      <c r="BL14" s="1256">
        <f>VLOOKUP($D14,'当期公摊测算表（全期）'!$D$9:$W$192,19,0)</f>
        <v>124.92286800000002</v>
      </c>
      <c r="BM14" s="1262" t="s">
        <v>20</v>
      </c>
      <c r="BN14" s="1225">
        <f t="shared" si="12"/>
        <v>0</v>
      </c>
      <c r="BO14" s="1225">
        <f t="shared" si="13"/>
        <v>-2.2737367544323206E-13</v>
      </c>
      <c r="BP14" s="1225">
        <f t="shared" si="14"/>
        <v>0</v>
      </c>
      <c r="BQ14" s="1225"/>
      <c r="BR14" s="1221"/>
      <c r="BS14" s="1221"/>
      <c r="BT14" s="1221"/>
      <c r="BU14" s="1221"/>
      <c r="BV14" s="1221"/>
      <c r="BW14" s="1221"/>
      <c r="BX14" s="1221"/>
      <c r="BY14" s="1221"/>
      <c r="BZ14" s="1221"/>
      <c r="CA14" s="1221"/>
      <c r="CB14" s="1221"/>
      <c r="CC14" s="1221"/>
      <c r="CD14" s="1221"/>
      <c r="CE14" s="1221"/>
      <c r="CF14" s="1221"/>
      <c r="CG14" s="1221"/>
      <c r="CH14" s="1221"/>
      <c r="CI14" s="1221"/>
      <c r="CJ14" s="1221"/>
      <c r="CK14" s="1221"/>
      <c r="CL14" s="1221"/>
      <c r="CM14" s="1221"/>
      <c r="CN14" s="1221"/>
      <c r="CO14" s="1221"/>
      <c r="CP14" s="1221"/>
      <c r="CQ14" s="1221"/>
      <c r="CR14" s="1221"/>
      <c r="CS14" s="1221"/>
      <c r="CT14" s="1221"/>
      <c r="CU14" s="1221"/>
      <c r="CV14" s="1221"/>
      <c r="CW14" s="1221"/>
      <c r="CX14" s="1221"/>
      <c r="CY14" s="1221"/>
      <c r="CZ14" s="1221"/>
      <c r="DA14" s="1221"/>
      <c r="DB14" s="1221"/>
      <c r="DC14" s="1221"/>
      <c r="DD14" s="1221"/>
      <c r="DE14" s="1221"/>
      <c r="DF14" s="1221"/>
      <c r="DG14" s="1221"/>
      <c r="DH14" s="1221"/>
      <c r="DI14" s="1221"/>
      <c r="DJ14" s="1221"/>
      <c r="DK14" s="1221"/>
      <c r="DL14" s="1221"/>
      <c r="DM14" s="1221"/>
      <c r="DN14" s="1221"/>
      <c r="DO14" s="1221"/>
      <c r="DP14" s="1221"/>
      <c r="DQ14" s="1221"/>
      <c r="DR14" s="1221"/>
      <c r="DS14" s="1221"/>
      <c r="DT14" s="1221"/>
      <c r="DU14" s="1221"/>
      <c r="DV14" s="1221"/>
      <c r="DW14" s="1221"/>
      <c r="DX14" s="1221"/>
      <c r="DY14" s="1221"/>
      <c r="DZ14" s="1221"/>
      <c r="EA14" s="1221"/>
      <c r="EB14" s="1221"/>
      <c r="EC14" s="1221"/>
      <c r="ED14" s="1221"/>
      <c r="EE14" s="1221"/>
      <c r="EF14" s="1221"/>
      <c r="EG14" s="1221"/>
      <c r="EH14" s="1221"/>
      <c r="EI14" s="1221"/>
      <c r="EJ14" s="1221"/>
      <c r="EK14" s="1221"/>
      <c r="EL14" s="1221"/>
      <c r="EM14" s="1221"/>
      <c r="EN14" s="1221"/>
      <c r="EO14" s="1221"/>
      <c r="EP14" s="1221"/>
      <c r="EQ14" s="1221"/>
      <c r="ER14" s="1221"/>
      <c r="ES14" s="1221"/>
      <c r="ET14" s="1221"/>
      <c r="EU14" s="1221"/>
      <c r="EV14" s="1221"/>
      <c r="EW14" s="1221"/>
      <c r="EX14" s="1221"/>
      <c r="EY14" s="1221"/>
      <c r="EZ14" s="1221"/>
      <c r="FA14" s="1221"/>
      <c r="FB14" s="1221"/>
      <c r="FC14" s="1221"/>
      <c r="FD14" s="1221"/>
      <c r="FE14" s="1221"/>
      <c r="FF14" s="1221"/>
      <c r="FG14" s="1221"/>
      <c r="FH14" s="1221"/>
      <c r="FI14" s="1221"/>
      <c r="FJ14" s="1221"/>
      <c r="FK14" s="1221"/>
      <c r="FL14" s="1221"/>
      <c r="FM14" s="1221"/>
      <c r="FN14" s="1221"/>
      <c r="FO14" s="1221"/>
      <c r="FP14" s="1221"/>
      <c r="FQ14" s="1221"/>
      <c r="FR14" s="1221"/>
      <c r="FS14" s="1221"/>
      <c r="FT14" s="1221"/>
      <c r="FU14" s="1221"/>
      <c r="FV14" s="1221"/>
      <c r="FW14" s="1221"/>
      <c r="FX14" s="1221"/>
      <c r="FY14" s="1221"/>
      <c r="FZ14" s="1221"/>
      <c r="GA14" s="1221"/>
      <c r="GB14" s="1221"/>
      <c r="GC14" s="1221"/>
      <c r="GD14" s="1221"/>
      <c r="GE14" s="1221"/>
      <c r="GF14" s="1221"/>
      <c r="GG14" s="1221"/>
      <c r="GH14" s="1221"/>
      <c r="GI14" s="1221"/>
      <c r="GJ14" s="1221"/>
      <c r="GK14" s="1221"/>
      <c r="GL14" s="1221"/>
      <c r="GM14" s="1221"/>
      <c r="GN14" s="1221"/>
      <c r="GO14" s="1221"/>
      <c r="GP14" s="1221"/>
      <c r="GQ14" s="1221"/>
      <c r="GR14" s="1221"/>
      <c r="GS14" s="1221"/>
      <c r="GT14" s="1221"/>
      <c r="GU14" s="1221"/>
      <c r="GV14" s="1221"/>
      <c r="GW14" s="1221"/>
      <c r="GX14" s="1221"/>
      <c r="GY14" s="1221"/>
      <c r="GZ14" s="1221"/>
      <c r="HA14" s="1221"/>
      <c r="HB14" s="1221"/>
      <c r="HC14" s="1221"/>
      <c r="HD14" s="1221"/>
      <c r="HE14" s="1221"/>
      <c r="HF14" s="1221"/>
      <c r="HG14" s="1221"/>
      <c r="HH14" s="1221"/>
      <c r="HI14" s="1221"/>
      <c r="HJ14" s="1221"/>
      <c r="HK14" s="1221"/>
      <c r="HL14" s="1221"/>
      <c r="HM14" s="1221"/>
      <c r="HN14" s="1221"/>
      <c r="HO14" s="1221"/>
      <c r="HP14" s="1221"/>
      <c r="HQ14" s="1221"/>
      <c r="HR14" s="1221"/>
      <c r="HS14" s="1221"/>
      <c r="HT14" s="1221"/>
      <c r="HU14" s="1221"/>
      <c r="HV14" s="1221"/>
      <c r="HW14" s="1221"/>
      <c r="HX14" s="1221"/>
      <c r="HY14" s="1221"/>
      <c r="HZ14" s="1221"/>
      <c r="IA14" s="1221"/>
      <c r="IB14" s="1221"/>
      <c r="IC14" s="1221"/>
      <c r="ID14" s="1221"/>
      <c r="IE14" s="1221"/>
      <c r="IF14" s="1221"/>
      <c r="IG14" s="1221"/>
      <c r="IH14" s="1221"/>
      <c r="II14" s="1221"/>
      <c r="IJ14" s="1221"/>
      <c r="IK14" s="1221"/>
      <c r="IL14" s="1221"/>
      <c r="IM14" s="1221"/>
      <c r="IN14" s="1221"/>
      <c r="IO14" s="1221"/>
      <c r="IP14" s="1221"/>
      <c r="IQ14" s="1221"/>
      <c r="IR14" s="1221"/>
      <c r="IS14" s="1221"/>
      <c r="IT14" s="1221"/>
      <c r="IU14" s="1221"/>
      <c r="IV14" s="1221"/>
      <c r="IW14" s="1221"/>
      <c r="IX14" s="1221"/>
      <c r="IY14" s="1221"/>
      <c r="IZ14" s="1221"/>
      <c r="JA14" s="1221"/>
      <c r="JB14" s="1221"/>
      <c r="JC14" s="1221"/>
      <c r="JD14" s="1221"/>
      <c r="JE14" s="1221"/>
      <c r="JF14" s="1221"/>
      <c r="JG14" s="1221"/>
      <c r="JH14" s="1221"/>
      <c r="JI14" s="1221"/>
      <c r="JJ14" s="1221"/>
      <c r="JK14" s="1221"/>
      <c r="JL14" s="1221"/>
      <c r="JM14" s="1221"/>
      <c r="JN14" s="1221"/>
      <c r="JO14" s="1221"/>
      <c r="JP14" s="1221"/>
      <c r="JQ14" s="1221"/>
      <c r="JR14" s="1221"/>
      <c r="JS14" s="1221"/>
      <c r="JT14" s="1221"/>
      <c r="JU14" s="1221"/>
      <c r="JV14" s="1221"/>
      <c r="JW14" s="1221"/>
      <c r="JX14" s="1221"/>
      <c r="JY14" s="1221"/>
      <c r="JZ14" s="1221"/>
      <c r="KA14" s="1221"/>
      <c r="KB14" s="1221"/>
      <c r="KC14" s="1221"/>
      <c r="KD14" s="1221"/>
      <c r="KE14" s="1221"/>
      <c r="KF14" s="1221"/>
      <c r="KG14" s="1221"/>
      <c r="KH14" s="1221"/>
      <c r="KI14" s="1221"/>
      <c r="KJ14" s="1221"/>
      <c r="KK14" s="1221"/>
      <c r="KL14" s="1221"/>
      <c r="KM14" s="1221"/>
      <c r="KN14" s="1221"/>
      <c r="KO14" s="1221"/>
      <c r="KP14" s="1221"/>
      <c r="KQ14" s="1221"/>
      <c r="KR14" s="1221"/>
      <c r="KS14" s="1221"/>
      <c r="KT14" s="1221"/>
      <c r="KU14" s="1221"/>
      <c r="KV14" s="1221"/>
      <c r="KW14" s="1221"/>
      <c r="KX14" s="1221"/>
      <c r="KY14" s="1221"/>
      <c r="KZ14" s="1221"/>
      <c r="LA14" s="1221"/>
      <c r="LB14" s="1221"/>
      <c r="LC14" s="1221"/>
      <c r="LD14" s="1221"/>
      <c r="LE14" s="1221"/>
      <c r="LF14" s="1221"/>
      <c r="LG14" s="1221"/>
      <c r="LH14" s="1221"/>
      <c r="LI14" s="1221"/>
      <c r="LJ14" s="1221"/>
      <c r="LK14" s="1221"/>
      <c r="LL14" s="1221"/>
      <c r="LM14" s="1221"/>
      <c r="LN14" s="1221"/>
      <c r="LO14" s="1221"/>
      <c r="LP14" s="1221"/>
      <c r="LQ14" s="1221"/>
      <c r="LR14" s="1221"/>
      <c r="LS14" s="1221"/>
      <c r="LT14" s="1221"/>
      <c r="LU14" s="1221"/>
      <c r="LV14" s="1221"/>
      <c r="LW14" s="1221"/>
      <c r="LX14" s="1221"/>
      <c r="LY14" s="1221"/>
      <c r="LZ14" s="1221"/>
      <c r="MA14" s="1221"/>
      <c r="MB14" s="1221"/>
      <c r="MC14" s="1221"/>
      <c r="MD14" s="1221"/>
      <c r="ME14" s="1221"/>
      <c r="MF14" s="1221"/>
      <c r="MG14" s="1221"/>
      <c r="MH14" s="1221"/>
      <c r="MI14" s="1221"/>
      <c r="MJ14" s="1221"/>
      <c r="MK14" s="1221"/>
      <c r="ML14" s="1221"/>
      <c r="MM14" s="1221"/>
      <c r="MN14" s="1221"/>
      <c r="MO14" s="1221"/>
      <c r="MP14" s="1221"/>
      <c r="MQ14" s="1221"/>
      <c r="MR14" s="1221"/>
      <c r="MS14" s="1221"/>
      <c r="MT14" s="1221"/>
      <c r="MU14" s="1221"/>
      <c r="MV14" s="1221"/>
      <c r="MW14" s="1221"/>
      <c r="MX14" s="1221"/>
      <c r="MY14" s="1221"/>
      <c r="MZ14" s="1221"/>
      <c r="NA14" s="1221"/>
      <c r="NB14" s="1221"/>
      <c r="NC14" s="1221"/>
      <c r="ND14" s="1221"/>
      <c r="NE14" s="1221"/>
      <c r="NF14" s="1221"/>
      <c r="NG14" s="1221"/>
      <c r="NH14" s="1221"/>
      <c r="NI14" s="1221"/>
      <c r="NJ14" s="1221"/>
      <c r="NK14" s="1221"/>
      <c r="NL14" s="1221"/>
      <c r="NM14" s="1221"/>
      <c r="NN14" s="1221"/>
      <c r="NO14" s="1221"/>
      <c r="NP14" s="1221"/>
      <c r="NQ14" s="1221"/>
      <c r="NR14" s="1221"/>
      <c r="NS14" s="1221"/>
      <c r="NT14" s="1221"/>
      <c r="NU14" s="1221"/>
      <c r="NV14" s="1221"/>
      <c r="NW14" s="1221"/>
      <c r="NX14" s="1221"/>
      <c r="NY14" s="1221"/>
      <c r="NZ14" s="1221"/>
      <c r="OA14" s="1221"/>
      <c r="OB14" s="1221"/>
      <c r="OC14" s="1221"/>
      <c r="OD14" s="1221"/>
      <c r="OE14" s="1221"/>
      <c r="OF14" s="1221"/>
      <c r="OG14" s="1221"/>
      <c r="OH14" s="1221"/>
      <c r="OI14" s="1221"/>
      <c r="OJ14" s="1221"/>
      <c r="OK14" s="1221"/>
      <c r="OL14" s="1221"/>
      <c r="OM14" s="1221"/>
      <c r="ON14" s="1221"/>
      <c r="OO14" s="1221"/>
      <c r="OP14" s="1221"/>
      <c r="OQ14" s="1221"/>
      <c r="OR14" s="1221"/>
      <c r="OS14" s="1221"/>
      <c r="OT14" s="1221"/>
      <c r="OU14" s="1221"/>
      <c r="OV14" s="1221"/>
      <c r="OW14" s="1221"/>
      <c r="OX14" s="1221"/>
      <c r="OY14" s="1221"/>
      <c r="OZ14" s="1221"/>
      <c r="PA14" s="1221"/>
      <c r="PB14" s="1221"/>
      <c r="PC14" s="1221"/>
      <c r="PD14" s="1221"/>
      <c r="PE14" s="1221"/>
      <c r="PF14" s="1221"/>
      <c r="PG14" s="1221"/>
      <c r="PH14" s="1221"/>
      <c r="PI14" s="1221"/>
      <c r="PJ14" s="1221"/>
      <c r="PK14" s="1221"/>
      <c r="PL14" s="1221"/>
      <c r="PM14" s="1221"/>
      <c r="PN14" s="1221"/>
      <c r="PO14" s="1221"/>
      <c r="PP14" s="1221"/>
      <c r="PQ14" s="1221"/>
      <c r="PR14" s="1221"/>
      <c r="PS14" s="1221"/>
      <c r="PT14" s="1221"/>
      <c r="PU14" s="1221"/>
      <c r="PV14" s="1221"/>
      <c r="PW14" s="1221"/>
      <c r="PX14" s="1221"/>
      <c r="PY14" s="1221"/>
      <c r="PZ14" s="1221"/>
      <c r="QA14" s="1221"/>
      <c r="QB14" s="1221"/>
      <c r="QC14" s="1221"/>
      <c r="QD14" s="1221"/>
      <c r="QE14" s="1221"/>
      <c r="QF14" s="1221"/>
      <c r="QG14" s="1221"/>
      <c r="QH14" s="1221"/>
      <c r="QI14" s="1221"/>
      <c r="QJ14" s="1221"/>
      <c r="QK14" s="1221"/>
      <c r="QL14" s="1221"/>
      <c r="QM14" s="1221"/>
      <c r="QN14" s="1221"/>
      <c r="QO14" s="1221"/>
      <c r="QP14" s="1221"/>
      <c r="QQ14" s="1221"/>
      <c r="QR14" s="1221"/>
      <c r="QS14" s="1221"/>
      <c r="QT14" s="1221"/>
      <c r="QU14" s="1221"/>
      <c r="QV14" s="1221"/>
      <c r="QW14" s="1221"/>
      <c r="QX14" s="1221"/>
      <c r="QY14" s="1221"/>
      <c r="QZ14" s="1221"/>
      <c r="RA14" s="1221"/>
      <c r="RB14" s="1221"/>
      <c r="RC14" s="1221"/>
      <c r="RD14" s="1221"/>
      <c r="RE14" s="1221"/>
      <c r="RF14" s="1221"/>
      <c r="RG14" s="1221"/>
      <c r="RH14" s="1221"/>
      <c r="RI14" s="1221"/>
      <c r="RJ14" s="1221"/>
      <c r="RK14" s="1221"/>
      <c r="RL14" s="1221"/>
      <c r="RM14" s="1221"/>
      <c r="RN14" s="1221"/>
      <c r="RO14" s="1221"/>
      <c r="RP14" s="1221"/>
      <c r="RQ14" s="1221"/>
      <c r="RR14" s="1221"/>
      <c r="RS14" s="1221"/>
      <c r="RT14" s="1221"/>
      <c r="RU14" s="1221"/>
      <c r="RV14" s="1221"/>
      <c r="RW14" s="1221"/>
      <c r="RX14" s="1221"/>
      <c r="RY14" s="1221"/>
      <c r="RZ14" s="1221"/>
      <c r="SA14" s="1221"/>
      <c r="SB14" s="1221"/>
      <c r="SC14" s="1221"/>
      <c r="SD14" s="1221"/>
      <c r="SE14" s="1221"/>
      <c r="SF14" s="1221"/>
      <c r="SG14" s="1221"/>
      <c r="SH14" s="1221"/>
      <c r="SI14" s="1221"/>
      <c r="SJ14" s="1221"/>
      <c r="SK14" s="1221"/>
      <c r="SL14" s="1221"/>
      <c r="SM14" s="1221"/>
      <c r="SN14" s="1221"/>
      <c r="SO14" s="1221"/>
      <c r="SP14" s="1221"/>
      <c r="SQ14" s="1221"/>
      <c r="SR14" s="1221"/>
      <c r="SS14" s="1221"/>
      <c r="ST14" s="1221"/>
      <c r="SU14" s="1221"/>
      <c r="SV14" s="1221"/>
      <c r="SW14" s="1221"/>
      <c r="SX14" s="1221"/>
      <c r="SY14" s="1221"/>
      <c r="SZ14" s="1221"/>
      <c r="TA14" s="1221"/>
      <c r="TB14" s="1221"/>
      <c r="TC14" s="1221"/>
      <c r="TD14" s="1221"/>
      <c r="TE14" s="1221"/>
      <c r="TF14" s="1221"/>
      <c r="TG14" s="1221"/>
      <c r="TH14" s="1221"/>
      <c r="TI14" s="1221"/>
      <c r="TJ14" s="1221"/>
      <c r="TK14" s="1221"/>
      <c r="TL14" s="1221"/>
      <c r="TM14" s="1221"/>
      <c r="TN14" s="1221"/>
      <c r="TO14" s="1221"/>
      <c r="TP14" s="1221"/>
      <c r="TQ14" s="1221"/>
      <c r="TR14" s="1221"/>
      <c r="TS14" s="1221"/>
      <c r="TT14" s="1221"/>
      <c r="TU14" s="1221"/>
      <c r="TV14" s="1221"/>
      <c r="TW14" s="1221"/>
      <c r="TX14" s="1221"/>
      <c r="TY14" s="1221"/>
      <c r="TZ14" s="1221"/>
      <c r="UA14" s="1221"/>
      <c r="UB14" s="1221"/>
      <c r="UC14" s="1221"/>
      <c r="UD14" s="1221"/>
      <c r="UE14" s="1221"/>
      <c r="UF14" s="1221"/>
      <c r="UG14" s="1221"/>
      <c r="UH14" s="1221"/>
      <c r="UI14" s="1221"/>
      <c r="UJ14" s="1221"/>
      <c r="UK14" s="1221"/>
      <c r="UL14" s="1221"/>
      <c r="UM14" s="1221"/>
      <c r="UN14" s="1221"/>
      <c r="UO14" s="1221"/>
      <c r="UP14" s="1221"/>
      <c r="UQ14" s="1221"/>
      <c r="UR14" s="1221"/>
      <c r="US14" s="1221"/>
      <c r="UT14" s="1221"/>
      <c r="UU14" s="1221"/>
      <c r="UV14" s="1221"/>
      <c r="UW14" s="1221"/>
      <c r="UX14" s="1221"/>
      <c r="UY14" s="1221"/>
      <c r="UZ14" s="1221"/>
      <c r="VA14" s="1221"/>
      <c r="VB14" s="1221"/>
      <c r="VC14" s="1221"/>
      <c r="VD14" s="1221"/>
      <c r="VE14" s="1221"/>
      <c r="VF14" s="1221"/>
      <c r="VG14" s="1221"/>
      <c r="VH14" s="1221"/>
      <c r="VI14" s="1221"/>
      <c r="VJ14" s="1221"/>
      <c r="VK14" s="1221"/>
      <c r="VL14" s="1221"/>
      <c r="VM14" s="1221"/>
      <c r="VN14" s="1221"/>
      <c r="VO14" s="1221"/>
      <c r="VP14" s="1221"/>
      <c r="VQ14" s="1221"/>
      <c r="VR14" s="1221"/>
      <c r="VS14" s="1221"/>
      <c r="VT14" s="1221"/>
      <c r="VU14" s="1221"/>
      <c r="VV14" s="1221"/>
      <c r="VW14" s="1221"/>
      <c r="VX14" s="1221"/>
      <c r="VY14" s="1221"/>
      <c r="VZ14" s="1221"/>
      <c r="WA14" s="1221"/>
      <c r="WB14" s="1221"/>
      <c r="WC14" s="1221"/>
      <c r="WD14" s="1221"/>
      <c r="WE14" s="1221"/>
      <c r="WF14" s="1221"/>
      <c r="WG14" s="1221"/>
      <c r="WH14" s="1221"/>
      <c r="WI14" s="1221"/>
      <c r="WJ14" s="1221"/>
      <c r="WK14" s="1221"/>
      <c r="WL14" s="1221"/>
      <c r="WM14" s="1221"/>
      <c r="WN14" s="1221"/>
      <c r="WO14" s="1221"/>
      <c r="WP14" s="1221"/>
      <c r="WQ14" s="1221"/>
      <c r="WR14" s="1221"/>
      <c r="WS14" s="1221"/>
      <c r="WT14" s="1221"/>
      <c r="WU14" s="1221"/>
      <c r="WV14" s="1221"/>
      <c r="WW14" s="1221"/>
      <c r="WX14" s="1221"/>
      <c r="WY14" s="1221"/>
      <c r="WZ14" s="1221"/>
      <c r="XA14" s="1221"/>
      <c r="XB14" s="1221"/>
      <c r="XC14" s="1221"/>
      <c r="XD14" s="1221"/>
      <c r="XE14" s="1221"/>
      <c r="XF14" s="1221"/>
      <c r="XG14" s="1221"/>
      <c r="XH14" s="1221"/>
      <c r="XI14" s="1221"/>
      <c r="XJ14" s="1221"/>
      <c r="XK14" s="1221"/>
      <c r="XL14" s="1221"/>
      <c r="XM14" s="1221"/>
      <c r="XN14" s="1221"/>
      <c r="XO14" s="1221"/>
      <c r="XP14" s="1221"/>
      <c r="XQ14" s="1221"/>
      <c r="XR14" s="1221"/>
      <c r="XS14" s="1221"/>
      <c r="XT14" s="1221"/>
      <c r="XU14" s="1221"/>
      <c r="XV14" s="1221"/>
      <c r="XW14" s="1221"/>
      <c r="XX14" s="1221"/>
      <c r="XY14" s="1221"/>
      <c r="XZ14" s="1221"/>
      <c r="YA14" s="1221"/>
      <c r="YB14" s="1221"/>
      <c r="YC14" s="1221"/>
      <c r="YD14" s="1221"/>
      <c r="YE14" s="1221"/>
      <c r="YF14" s="1221"/>
      <c r="YG14" s="1221"/>
      <c r="YH14" s="1221"/>
      <c r="YI14" s="1221"/>
      <c r="YJ14" s="1221"/>
      <c r="YK14" s="1221"/>
      <c r="YL14" s="1221"/>
      <c r="YM14" s="1221"/>
      <c r="YN14" s="1221"/>
      <c r="YO14" s="1221"/>
      <c r="YP14" s="1221"/>
      <c r="YQ14" s="1221"/>
      <c r="YR14" s="1221"/>
      <c r="YS14" s="1221"/>
      <c r="YT14" s="1221"/>
      <c r="YU14" s="1221"/>
      <c r="YV14" s="1221"/>
      <c r="YW14" s="1221"/>
      <c r="YX14" s="1221"/>
      <c r="YY14" s="1221"/>
      <c r="YZ14" s="1221"/>
      <c r="ZA14" s="1221"/>
      <c r="ZB14" s="1221"/>
      <c r="ZC14" s="1221"/>
      <c r="ZD14" s="1221"/>
      <c r="ZE14" s="1221"/>
      <c r="ZF14" s="1221"/>
      <c r="ZG14" s="1221"/>
      <c r="ZH14" s="1221"/>
      <c r="ZI14" s="1221"/>
      <c r="ZJ14" s="1221"/>
      <c r="ZK14" s="1221"/>
      <c r="ZL14" s="1221"/>
      <c r="ZM14" s="1221"/>
      <c r="ZN14" s="1221"/>
      <c r="ZO14" s="1221"/>
      <c r="ZP14" s="1221"/>
      <c r="ZQ14" s="1221"/>
      <c r="ZR14" s="1221"/>
      <c r="ZS14" s="1221"/>
      <c r="ZT14" s="1221"/>
      <c r="ZU14" s="1221"/>
      <c r="ZV14" s="1221"/>
      <c r="ZW14" s="1221"/>
      <c r="ZX14" s="1221"/>
      <c r="ZY14" s="1221"/>
      <c r="ZZ14" s="1221"/>
      <c r="AAA14" s="1221"/>
      <c r="AAB14" s="1221"/>
      <c r="AAC14" s="1221"/>
      <c r="AAD14" s="1221"/>
      <c r="AAE14" s="1221"/>
      <c r="AAF14" s="1221"/>
      <c r="AAG14" s="1221"/>
      <c r="AAH14" s="1221"/>
      <c r="AAI14" s="1221"/>
      <c r="AAJ14" s="1221"/>
      <c r="AAK14" s="1221"/>
      <c r="AAL14" s="1221"/>
      <c r="AAM14" s="1221"/>
      <c r="AAN14" s="1221"/>
      <c r="AAO14" s="1221"/>
      <c r="AAP14" s="1221"/>
      <c r="AAQ14" s="1221"/>
      <c r="AAR14" s="1221"/>
      <c r="AAS14" s="1221"/>
      <c r="AAT14" s="1221"/>
      <c r="AAU14" s="1221"/>
      <c r="AAV14" s="1221"/>
      <c r="AAW14" s="1221"/>
      <c r="AAX14" s="1221"/>
      <c r="AAY14" s="1221"/>
      <c r="AAZ14" s="1221"/>
      <c r="ABA14" s="1221"/>
      <c r="ABB14" s="1221"/>
      <c r="ABC14" s="1221"/>
      <c r="ABD14" s="1221"/>
      <c r="ABE14" s="1221"/>
      <c r="ABF14" s="1221"/>
      <c r="ABG14" s="1221"/>
      <c r="ABH14" s="1221"/>
      <c r="ABI14" s="1221"/>
      <c r="ABJ14" s="1221"/>
      <c r="ABK14" s="1221"/>
      <c r="ABL14" s="1221"/>
      <c r="ABM14" s="1221"/>
      <c r="ABN14" s="1221"/>
      <c r="ABO14" s="1221"/>
      <c r="ABP14" s="1221"/>
      <c r="ABQ14" s="1221"/>
      <c r="ABR14" s="1221"/>
      <c r="ABS14" s="1221"/>
      <c r="ABT14" s="1221"/>
      <c r="ABU14" s="1221"/>
      <c r="ABV14" s="1221"/>
      <c r="ABW14" s="1221"/>
      <c r="ABX14" s="1221"/>
      <c r="ABY14" s="1221"/>
      <c r="ABZ14" s="1221"/>
      <c r="ACA14" s="1221"/>
      <c r="ACB14" s="1221"/>
      <c r="ACC14" s="1221"/>
      <c r="ACD14" s="1221"/>
      <c r="ACE14" s="1221"/>
      <c r="ACF14" s="1221"/>
      <c r="ACG14" s="1221"/>
      <c r="ACH14" s="1221"/>
      <c r="ACI14" s="1221"/>
      <c r="ACJ14" s="1221"/>
      <c r="ACK14" s="1221"/>
      <c r="ACL14" s="1221"/>
      <c r="ACM14" s="1221"/>
      <c r="ACN14" s="1221"/>
      <c r="ACO14" s="1221"/>
      <c r="ACP14" s="1221"/>
      <c r="ACQ14" s="1221"/>
      <c r="ACR14" s="1221"/>
      <c r="ACS14" s="1221"/>
      <c r="ACT14" s="1221"/>
      <c r="ACU14" s="1221"/>
      <c r="ACV14" s="1221"/>
      <c r="ACW14" s="1221"/>
      <c r="ACX14" s="1221"/>
      <c r="ACY14" s="1221"/>
      <c r="ACZ14" s="1221"/>
      <c r="ADA14" s="1221"/>
      <c r="ADB14" s="1221"/>
      <c r="ADC14" s="1221"/>
      <c r="ADD14" s="1221"/>
      <c r="ADE14" s="1221"/>
      <c r="ADF14" s="1221"/>
      <c r="ADG14" s="1221"/>
      <c r="ADH14" s="1221"/>
      <c r="ADI14" s="1221"/>
      <c r="ADJ14" s="1221"/>
      <c r="ADK14" s="1221"/>
      <c r="ADL14" s="1221"/>
      <c r="ADM14" s="1221"/>
      <c r="ADN14" s="1221"/>
      <c r="ADO14" s="1221"/>
      <c r="ADP14" s="1221"/>
      <c r="ADQ14" s="1221"/>
      <c r="ADR14" s="1221"/>
      <c r="ADS14" s="1221"/>
      <c r="ADT14" s="1221"/>
      <c r="ADU14" s="1221"/>
      <c r="ADV14" s="1221"/>
      <c r="ADW14" s="1221"/>
      <c r="ADX14" s="1221"/>
      <c r="ADY14" s="1221"/>
      <c r="ADZ14" s="1221"/>
      <c r="AEA14" s="1221"/>
      <c r="AEB14" s="1221"/>
      <c r="AEC14" s="1221"/>
      <c r="AED14" s="1221"/>
      <c r="AEE14" s="1221"/>
      <c r="AEF14" s="1221"/>
      <c r="AEG14" s="1221"/>
      <c r="AEH14" s="1221"/>
      <c r="AEI14" s="1221"/>
      <c r="AEJ14" s="1221"/>
      <c r="AEK14" s="1221"/>
      <c r="AEL14" s="1221"/>
      <c r="AEM14" s="1221"/>
      <c r="AEN14" s="1221"/>
      <c r="AEO14" s="1221"/>
      <c r="AEP14" s="1221"/>
      <c r="AEQ14" s="1221"/>
      <c r="AER14" s="1221"/>
      <c r="AES14" s="1221"/>
      <c r="AET14" s="1221"/>
      <c r="AEU14" s="1221"/>
      <c r="AEV14" s="1221"/>
      <c r="AEW14" s="1221"/>
      <c r="AEX14" s="1221"/>
      <c r="AEY14" s="1221"/>
      <c r="AEZ14" s="1221"/>
      <c r="AFA14" s="1221"/>
      <c r="AFB14" s="1221"/>
      <c r="AFC14" s="1221"/>
      <c r="AFD14" s="1221"/>
      <c r="AFE14" s="1221"/>
      <c r="AFF14" s="1221"/>
      <c r="AFG14" s="1221"/>
      <c r="AFH14" s="1221"/>
      <c r="AFI14" s="1221"/>
      <c r="AFJ14" s="1221"/>
      <c r="AFK14" s="1221"/>
      <c r="AFL14" s="1221"/>
      <c r="AFM14" s="1221"/>
      <c r="AFN14" s="1221"/>
      <c r="AFO14" s="1221"/>
      <c r="AFP14" s="1221"/>
      <c r="AFQ14" s="1221"/>
      <c r="AFR14" s="1221"/>
      <c r="AFS14" s="1221"/>
      <c r="AFT14" s="1221"/>
      <c r="AFU14" s="1221"/>
      <c r="AFV14" s="1221"/>
      <c r="AFW14" s="1221"/>
      <c r="AFX14" s="1221"/>
      <c r="AFY14" s="1221"/>
      <c r="AFZ14" s="1221"/>
      <c r="AGA14" s="1221"/>
      <c r="AGB14" s="1221"/>
      <c r="AGC14" s="1221"/>
      <c r="AGD14" s="1221"/>
      <c r="AGE14" s="1221"/>
      <c r="AGF14" s="1221"/>
      <c r="AGG14" s="1221"/>
      <c r="AGH14" s="1221"/>
      <c r="AGI14" s="1221"/>
      <c r="AGJ14" s="1221"/>
      <c r="AGK14" s="1221"/>
      <c r="AGL14" s="1221"/>
      <c r="AGM14" s="1221"/>
      <c r="AGN14" s="1221"/>
      <c r="AGO14" s="1221"/>
      <c r="AGP14" s="1221"/>
      <c r="AGQ14" s="1221"/>
      <c r="AGR14" s="1221"/>
      <c r="AGS14" s="1221"/>
      <c r="AGT14" s="1221"/>
      <c r="AGU14" s="1221"/>
      <c r="AGV14" s="1221"/>
      <c r="AGW14" s="1221"/>
      <c r="AGX14" s="1221"/>
      <c r="AGY14" s="1221"/>
      <c r="AGZ14" s="1221"/>
      <c r="AHA14" s="1221"/>
      <c r="AHB14" s="1221"/>
      <c r="AHC14" s="1221"/>
      <c r="AHD14" s="1221"/>
      <c r="AHE14" s="1221"/>
      <c r="AHF14" s="1221"/>
      <c r="AHG14" s="1221"/>
      <c r="AHH14" s="1221"/>
      <c r="AHI14" s="1221"/>
      <c r="AHJ14" s="1221"/>
      <c r="AHK14" s="1221"/>
      <c r="AHL14" s="1221"/>
      <c r="AHM14" s="1221"/>
      <c r="AHN14" s="1221"/>
      <c r="AHO14" s="1221"/>
      <c r="AHP14" s="1221"/>
      <c r="AHQ14" s="1221"/>
      <c r="AHR14" s="1221"/>
      <c r="AHS14" s="1221"/>
      <c r="AHT14" s="1221"/>
      <c r="AHU14" s="1221"/>
      <c r="AHV14" s="1221"/>
      <c r="AHW14" s="1221"/>
      <c r="AHX14" s="1221"/>
      <c r="AHY14" s="1221"/>
      <c r="AHZ14" s="1221"/>
      <c r="AIA14" s="1221"/>
      <c r="AIB14" s="1221"/>
      <c r="AIC14" s="1221"/>
      <c r="AID14" s="1221"/>
      <c r="AIE14" s="1221"/>
      <c r="AIF14" s="1221"/>
      <c r="AIG14" s="1221"/>
      <c r="AIH14" s="1221"/>
      <c r="AII14" s="1221"/>
      <c r="AIJ14" s="1221"/>
      <c r="AIK14" s="1221"/>
      <c r="AIL14" s="1221"/>
      <c r="AIM14" s="1221"/>
      <c r="AIN14" s="1221"/>
      <c r="AIO14" s="1221"/>
      <c r="AIP14" s="1221"/>
      <c r="AIQ14" s="1221"/>
      <c r="AIR14" s="1221"/>
      <c r="AIS14" s="1221"/>
      <c r="AIT14" s="1221"/>
      <c r="AIU14" s="1221"/>
      <c r="AIV14" s="1221"/>
      <c r="AIW14" s="1221"/>
      <c r="AIX14" s="1221"/>
      <c r="AIY14" s="1221"/>
      <c r="AIZ14" s="1221"/>
      <c r="AJA14" s="1221"/>
      <c r="AJB14" s="1221"/>
      <c r="AJC14" s="1221"/>
      <c r="AJD14" s="1221"/>
      <c r="AJE14" s="1221"/>
      <c r="AJF14" s="1221"/>
      <c r="AJG14" s="1221"/>
      <c r="AJH14" s="1221"/>
      <c r="AJI14" s="1221"/>
      <c r="AJJ14" s="1221"/>
      <c r="AJK14" s="1221"/>
      <c r="AJL14" s="1221"/>
      <c r="AJM14" s="1221"/>
      <c r="AJN14" s="1221"/>
      <c r="AJO14" s="1221"/>
      <c r="AJP14" s="1221"/>
      <c r="AJQ14" s="1221"/>
      <c r="AJR14" s="1221"/>
      <c r="AJS14" s="1221"/>
      <c r="AJT14" s="1221"/>
      <c r="AJU14" s="1221"/>
      <c r="AJV14" s="1221"/>
      <c r="AJW14" s="1221"/>
      <c r="AJX14" s="1221"/>
      <c r="AJY14" s="1221"/>
      <c r="AJZ14" s="1221"/>
      <c r="AKA14" s="1221"/>
      <c r="AKB14" s="1221"/>
      <c r="AKC14" s="1221"/>
      <c r="AKD14" s="1221"/>
      <c r="AKE14" s="1221"/>
      <c r="AKF14" s="1221"/>
      <c r="AKG14" s="1221"/>
      <c r="AKH14" s="1221"/>
      <c r="AKI14" s="1221"/>
      <c r="AKJ14" s="1221"/>
      <c r="AKK14" s="1221"/>
      <c r="AKL14" s="1221"/>
      <c r="AKM14" s="1221"/>
      <c r="AKN14" s="1221"/>
      <c r="AKO14" s="1221"/>
      <c r="AKP14" s="1221"/>
      <c r="AKQ14" s="1221"/>
      <c r="AKR14" s="1221"/>
      <c r="AKS14" s="1221"/>
      <c r="AKT14" s="1221"/>
      <c r="AKU14" s="1221"/>
      <c r="AKV14" s="1221"/>
      <c r="AKW14" s="1221"/>
      <c r="AKX14" s="1221"/>
      <c r="AKY14" s="1221"/>
      <c r="AKZ14" s="1221"/>
      <c r="ALA14" s="1221"/>
      <c r="ALB14" s="1221"/>
      <c r="ALC14" s="1221"/>
      <c r="ALD14" s="1221"/>
      <c r="ALE14" s="1221"/>
      <c r="ALF14" s="1221"/>
      <c r="ALG14" s="1221"/>
      <c r="ALH14" s="1221"/>
      <c r="ALI14" s="1221"/>
      <c r="ALJ14" s="1221"/>
      <c r="ALK14" s="1221"/>
      <c r="ALL14" s="1221"/>
      <c r="ALM14" s="1221"/>
      <c r="ALN14" s="1221"/>
      <c r="ALO14" s="1221"/>
      <c r="ALP14" s="1221"/>
      <c r="ALQ14" s="1221"/>
      <c r="ALR14" s="1221"/>
      <c r="ALS14" s="1221"/>
      <c r="ALT14" s="1221"/>
      <c r="ALU14" s="1221"/>
      <c r="ALV14" s="1221"/>
      <c r="ALW14" s="1221"/>
      <c r="ALX14" s="1221"/>
      <c r="ALY14" s="1221"/>
      <c r="ALZ14" s="1221"/>
      <c r="AMA14" s="1221"/>
      <c r="AMB14" s="1221"/>
      <c r="AMC14" s="1221"/>
      <c r="AMD14" s="1221"/>
      <c r="AME14" s="1221"/>
      <c r="AMF14" s="1221"/>
      <c r="AMG14" s="1221"/>
      <c r="AMH14" s="1221"/>
      <c r="AMI14" s="1221"/>
      <c r="AMJ14" s="1221"/>
      <c r="AMK14" s="1221"/>
      <c r="AML14" s="1221"/>
      <c r="AMM14" s="1221"/>
      <c r="AMN14" s="1221"/>
      <c r="AMO14" s="1221"/>
      <c r="AMP14" s="1221"/>
      <c r="AMQ14" s="1221"/>
      <c r="AMR14" s="1221"/>
      <c r="AMS14" s="1221"/>
      <c r="AMT14" s="1221"/>
      <c r="AMU14" s="1221"/>
      <c r="AMV14" s="1221"/>
      <c r="AMW14" s="1221"/>
      <c r="AMX14" s="1221"/>
      <c r="AMY14" s="1221"/>
      <c r="AMZ14" s="1221"/>
      <c r="ANA14" s="1221"/>
      <c r="ANB14" s="1221"/>
      <c r="ANC14" s="1221"/>
      <c r="AND14" s="1221"/>
      <c r="ANE14" s="1221"/>
      <c r="ANF14" s="1221"/>
      <c r="ANG14" s="1221"/>
      <c r="ANH14" s="1221"/>
      <c r="ANI14" s="1221"/>
      <c r="ANJ14" s="1221"/>
      <c r="ANK14" s="1221"/>
      <c r="ANL14" s="1221"/>
      <c r="ANM14" s="1221"/>
      <c r="ANN14" s="1221"/>
      <c r="ANO14" s="1221"/>
      <c r="ANP14" s="1221"/>
      <c r="ANQ14" s="1221"/>
      <c r="ANR14" s="1221"/>
      <c r="ANS14" s="1221"/>
      <c r="ANT14" s="1221"/>
      <c r="ANU14" s="1221"/>
      <c r="ANV14" s="1221"/>
      <c r="ANW14" s="1221"/>
      <c r="ANX14" s="1221"/>
      <c r="ANY14" s="1221"/>
      <c r="ANZ14" s="1221"/>
      <c r="AOA14" s="1221"/>
      <c r="AOB14" s="1221"/>
      <c r="AOC14" s="1221"/>
      <c r="AOD14" s="1221"/>
      <c r="AOE14" s="1221"/>
      <c r="AOF14" s="1221"/>
      <c r="AOG14" s="1221"/>
      <c r="AOH14" s="1221"/>
      <c r="AOI14" s="1221"/>
      <c r="AOJ14" s="1221"/>
      <c r="AOK14" s="1221"/>
      <c r="AOL14" s="1221"/>
      <c r="AOM14" s="1221"/>
      <c r="AON14" s="1221"/>
      <c r="AOO14" s="1221"/>
      <c r="AOP14" s="1221"/>
      <c r="AOQ14" s="1221"/>
      <c r="AOR14" s="1221"/>
      <c r="AOS14" s="1221"/>
      <c r="AOT14" s="1221"/>
      <c r="AOU14" s="1221"/>
      <c r="AOV14" s="1221"/>
      <c r="AOW14" s="1221"/>
      <c r="AOX14" s="1221"/>
      <c r="AOY14" s="1221"/>
      <c r="AOZ14" s="1221"/>
      <c r="APA14" s="1221"/>
      <c r="APB14" s="1221"/>
      <c r="APC14" s="1221"/>
      <c r="APD14" s="1221"/>
      <c r="APE14" s="1221"/>
      <c r="APF14" s="1221"/>
      <c r="APG14" s="1221"/>
      <c r="APH14" s="1221"/>
      <c r="API14" s="1221"/>
      <c r="APJ14" s="1221"/>
      <c r="APK14" s="1221"/>
      <c r="APL14" s="1221"/>
      <c r="APM14" s="1221"/>
      <c r="APN14" s="1221"/>
      <c r="APO14" s="1221"/>
      <c r="APP14" s="1221"/>
      <c r="APQ14" s="1221"/>
      <c r="APR14" s="1221"/>
      <c r="APS14" s="1221"/>
      <c r="APT14" s="1221"/>
      <c r="APU14" s="1221"/>
      <c r="APV14" s="1221"/>
      <c r="APW14" s="1221"/>
      <c r="APX14" s="1221"/>
      <c r="APY14" s="1221"/>
      <c r="APZ14" s="1221"/>
      <c r="AQA14" s="1221"/>
      <c r="AQB14" s="1221"/>
      <c r="AQC14" s="1221"/>
      <c r="AQD14" s="1221"/>
      <c r="AQE14" s="1221"/>
      <c r="AQF14" s="1221"/>
      <c r="AQG14" s="1221"/>
      <c r="AQH14" s="1221"/>
      <c r="AQI14" s="1221"/>
      <c r="AQJ14" s="1221"/>
      <c r="AQK14" s="1221"/>
      <c r="AQL14" s="1221"/>
      <c r="AQM14" s="1221"/>
      <c r="AQN14" s="1221"/>
      <c r="AQO14" s="1221"/>
      <c r="AQP14" s="1221"/>
      <c r="AQQ14" s="1221"/>
      <c r="AQR14" s="1221"/>
      <c r="AQS14" s="1221"/>
      <c r="AQT14" s="1221"/>
      <c r="AQU14" s="1221"/>
      <c r="AQV14" s="1221"/>
      <c r="AQW14" s="1221"/>
      <c r="AQX14" s="1221"/>
      <c r="AQY14" s="1221"/>
      <c r="AQZ14" s="1221"/>
      <c r="ARA14" s="1221"/>
      <c r="ARB14" s="1221"/>
      <c r="ARC14" s="1221"/>
      <c r="ARD14" s="1221"/>
      <c r="ARE14" s="1221"/>
      <c r="ARF14" s="1221"/>
      <c r="ARG14" s="1221"/>
      <c r="ARH14" s="1221"/>
      <c r="ARI14" s="1221"/>
      <c r="ARJ14" s="1221"/>
      <c r="ARK14" s="1221"/>
      <c r="ARL14" s="1221"/>
      <c r="ARM14" s="1221"/>
      <c r="ARN14" s="1221"/>
      <c r="ARO14" s="1221"/>
      <c r="ARP14" s="1221"/>
      <c r="ARQ14" s="1221"/>
      <c r="ARR14" s="1221"/>
      <c r="ARS14" s="1221"/>
      <c r="ART14" s="1221"/>
      <c r="ARU14" s="1221"/>
      <c r="ARV14" s="1221"/>
      <c r="ARW14" s="1221"/>
      <c r="ARX14" s="1221"/>
      <c r="ARY14" s="1221"/>
      <c r="ARZ14" s="1221"/>
      <c r="ASA14" s="1221"/>
      <c r="ASB14" s="1221"/>
      <c r="ASC14" s="1221"/>
      <c r="ASD14" s="1221"/>
      <c r="ASE14" s="1221"/>
      <c r="ASF14" s="1221"/>
      <c r="ASG14" s="1221"/>
      <c r="ASH14" s="1221"/>
      <c r="ASI14" s="1221"/>
      <c r="ASJ14" s="1221"/>
      <c r="ASK14" s="1221"/>
      <c r="ASL14" s="1221"/>
      <c r="ASM14" s="1221"/>
      <c r="ASN14" s="1221"/>
      <c r="ASO14" s="1221"/>
      <c r="ASP14" s="1221"/>
      <c r="ASQ14" s="1221"/>
      <c r="ASR14" s="1221"/>
      <c r="ASS14" s="1221"/>
      <c r="AST14" s="1221"/>
      <c r="ASU14" s="1221"/>
      <c r="ASV14" s="1221"/>
      <c r="ASW14" s="1221"/>
      <c r="ASX14" s="1221"/>
      <c r="ASY14" s="1221"/>
      <c r="ASZ14" s="1221"/>
      <c r="ATA14" s="1221"/>
      <c r="ATB14" s="1221"/>
      <c r="ATC14" s="1221"/>
      <c r="ATD14" s="1221"/>
      <c r="ATE14" s="1221"/>
      <c r="ATF14" s="1221"/>
      <c r="ATG14" s="1221"/>
      <c r="ATH14" s="1221"/>
      <c r="ATI14" s="1221"/>
      <c r="ATJ14" s="1221"/>
      <c r="ATK14" s="1221"/>
      <c r="ATL14" s="1221"/>
      <c r="ATM14" s="1221"/>
      <c r="ATN14" s="1221"/>
      <c r="ATO14" s="1221"/>
      <c r="ATP14" s="1221"/>
      <c r="ATQ14" s="1221"/>
      <c r="ATR14" s="1221"/>
      <c r="ATS14" s="1221"/>
      <c r="ATT14" s="1221"/>
      <c r="ATU14" s="1221"/>
      <c r="ATV14" s="1221"/>
      <c r="ATW14" s="1221"/>
      <c r="ATX14" s="1221"/>
      <c r="ATY14" s="1221"/>
      <c r="ATZ14" s="1221"/>
      <c r="AUA14" s="1221"/>
      <c r="AUB14" s="1221"/>
      <c r="AUC14" s="1221"/>
      <c r="AUD14" s="1221"/>
      <c r="AUE14" s="1221"/>
      <c r="AUF14" s="1221"/>
      <c r="AUG14" s="1221"/>
      <c r="AUH14" s="1221"/>
      <c r="AUI14" s="1221"/>
      <c r="AUJ14" s="1221"/>
      <c r="AUK14" s="1221"/>
      <c r="AUL14" s="1221"/>
      <c r="AUM14" s="1221"/>
      <c r="AUN14" s="1221"/>
      <c r="AUO14" s="1221"/>
      <c r="AUP14" s="1221"/>
      <c r="AUQ14" s="1221"/>
      <c r="AUR14" s="1221"/>
      <c r="AUS14" s="1221"/>
      <c r="AUT14" s="1221"/>
      <c r="AUU14" s="1221"/>
      <c r="AUV14" s="1221"/>
      <c r="AUW14" s="1221"/>
      <c r="AUX14" s="1221"/>
      <c r="AUY14" s="1221"/>
      <c r="AUZ14" s="1221"/>
      <c r="AVA14" s="1221"/>
      <c r="AVB14" s="1221"/>
      <c r="AVC14" s="1221"/>
      <c r="AVD14" s="1221"/>
      <c r="AVE14" s="1221"/>
      <c r="AVF14" s="1221"/>
      <c r="AVG14" s="1221"/>
      <c r="AVH14" s="1221"/>
      <c r="AVI14" s="1221"/>
      <c r="AVJ14" s="1221"/>
      <c r="AVK14" s="1221"/>
      <c r="AVL14" s="1221"/>
      <c r="AVM14" s="1221"/>
      <c r="AVN14" s="1221"/>
      <c r="AVO14" s="1221"/>
      <c r="AVP14" s="1221"/>
      <c r="AVQ14" s="1221"/>
      <c r="AVR14" s="1221"/>
      <c r="AVS14" s="1221"/>
      <c r="AVT14" s="1221"/>
      <c r="AVU14" s="1221"/>
      <c r="AVV14" s="1221"/>
      <c r="AVW14" s="1221"/>
      <c r="AVX14" s="1221"/>
      <c r="AVY14" s="1221"/>
      <c r="AVZ14" s="1221"/>
      <c r="AWA14" s="1221"/>
      <c r="AWB14" s="1221"/>
      <c r="AWC14" s="1221"/>
      <c r="AWD14" s="1221"/>
      <c r="AWE14" s="1221"/>
      <c r="AWF14" s="1221"/>
      <c r="AWG14" s="1221"/>
      <c r="AWH14" s="1221"/>
      <c r="AWI14" s="1221"/>
      <c r="AWJ14" s="1221"/>
      <c r="AWK14" s="1221"/>
      <c r="AWL14" s="1221"/>
      <c r="AWM14" s="1221"/>
      <c r="AWN14" s="1221"/>
      <c r="AWO14" s="1221"/>
      <c r="AWP14" s="1221"/>
      <c r="AWQ14" s="1221"/>
      <c r="AWR14" s="1221"/>
      <c r="AWS14" s="1221"/>
      <c r="AWT14" s="1221"/>
      <c r="AWU14" s="1221"/>
      <c r="AWV14" s="1221"/>
      <c r="AWW14" s="1221"/>
      <c r="AWX14" s="1221"/>
      <c r="AWY14" s="1221"/>
      <c r="AWZ14" s="1221"/>
      <c r="AXA14" s="1221"/>
      <c r="AXB14" s="1221"/>
      <c r="AXC14" s="1221"/>
      <c r="AXD14" s="1221"/>
      <c r="AXE14" s="1221"/>
      <c r="AXF14" s="1221"/>
      <c r="AXG14" s="1221"/>
      <c r="AXH14" s="1221"/>
      <c r="AXI14" s="1221"/>
      <c r="AXJ14" s="1221"/>
      <c r="AXK14" s="1221"/>
      <c r="AXL14" s="1221"/>
      <c r="AXM14" s="1221"/>
      <c r="AXN14" s="1221"/>
      <c r="AXO14" s="1221"/>
      <c r="AXP14" s="1221"/>
      <c r="AXQ14" s="1221"/>
      <c r="AXR14" s="1221"/>
      <c r="AXS14" s="1221"/>
      <c r="AXT14" s="1221"/>
      <c r="AXU14" s="1221"/>
      <c r="AXV14" s="1221"/>
      <c r="AXW14" s="1221"/>
      <c r="AXX14" s="1221"/>
      <c r="AXY14" s="1221"/>
      <c r="AXZ14" s="1221"/>
      <c r="AYA14" s="1221"/>
      <c r="AYB14" s="1221"/>
      <c r="AYC14" s="1221"/>
      <c r="AYD14" s="1221"/>
      <c r="AYE14" s="1221"/>
      <c r="AYF14" s="1221"/>
      <c r="AYG14" s="1221"/>
      <c r="AYH14" s="1221"/>
      <c r="AYI14" s="1221"/>
      <c r="AYJ14" s="1221"/>
      <c r="AYK14" s="1221"/>
      <c r="AYL14" s="1221"/>
      <c r="AYM14" s="1221"/>
      <c r="AYN14" s="1221"/>
      <c r="AYO14" s="1221"/>
      <c r="AYP14" s="1221"/>
      <c r="AYQ14" s="1221"/>
      <c r="AYR14" s="1221"/>
      <c r="AYS14" s="1221"/>
      <c r="AYT14" s="1221"/>
      <c r="AYU14" s="1221"/>
      <c r="AYV14" s="1221"/>
      <c r="AYW14" s="1221"/>
      <c r="AYX14" s="1221"/>
      <c r="AYY14" s="1221"/>
      <c r="AYZ14" s="1221"/>
      <c r="AZA14" s="1221"/>
      <c r="AZB14" s="1221"/>
      <c r="AZC14" s="1221"/>
      <c r="AZD14" s="1221"/>
      <c r="AZE14" s="1221"/>
      <c r="AZF14" s="1221"/>
      <c r="AZG14" s="1221"/>
      <c r="AZH14" s="1221"/>
      <c r="AZI14" s="1221"/>
      <c r="AZJ14" s="1221"/>
      <c r="AZK14" s="1221"/>
      <c r="AZL14" s="1221"/>
      <c r="AZM14" s="1221"/>
      <c r="AZN14" s="1221"/>
      <c r="AZO14" s="1221"/>
      <c r="AZP14" s="1221"/>
      <c r="AZQ14" s="1221"/>
      <c r="AZR14" s="1221"/>
      <c r="AZS14" s="1221"/>
      <c r="AZT14" s="1221"/>
      <c r="AZU14" s="1221"/>
      <c r="AZV14" s="1221"/>
      <c r="AZW14" s="1221"/>
      <c r="AZX14" s="1221"/>
      <c r="AZY14" s="1221"/>
      <c r="AZZ14" s="1221"/>
      <c r="BAA14" s="1221"/>
      <c r="BAB14" s="1221"/>
      <c r="BAC14" s="1221"/>
      <c r="BAD14" s="1221"/>
      <c r="BAE14" s="1221"/>
      <c r="BAF14" s="1221"/>
      <c r="BAG14" s="1221"/>
      <c r="BAH14" s="1221"/>
      <c r="BAI14" s="1221"/>
      <c r="BAJ14" s="1221"/>
      <c r="BAK14" s="1221"/>
      <c r="BAL14" s="1221"/>
      <c r="BAM14" s="1221"/>
      <c r="BAN14" s="1221"/>
      <c r="BAO14" s="1221"/>
      <c r="BAP14" s="1221"/>
      <c r="BAQ14" s="1221"/>
      <c r="BAR14" s="1221"/>
      <c r="BAS14" s="1221"/>
      <c r="BAT14" s="1221"/>
      <c r="BAU14" s="1221"/>
      <c r="BAV14" s="1221"/>
      <c r="BAW14" s="1221"/>
      <c r="BAX14" s="1221"/>
      <c r="BAY14" s="1221"/>
      <c r="BAZ14" s="1221"/>
      <c r="BBA14" s="1221"/>
      <c r="BBB14" s="1221"/>
      <c r="BBC14" s="1221"/>
      <c r="BBD14" s="1221"/>
      <c r="BBE14" s="1221"/>
      <c r="BBF14" s="1221"/>
      <c r="BBG14" s="1221"/>
      <c r="BBH14" s="1221"/>
      <c r="BBI14" s="1221"/>
      <c r="BBJ14" s="1221"/>
      <c r="BBK14" s="1221"/>
      <c r="BBL14" s="1221"/>
      <c r="BBM14" s="1221"/>
      <c r="BBN14" s="1221"/>
      <c r="BBO14" s="1221"/>
      <c r="BBP14" s="1221"/>
      <c r="BBQ14" s="1221"/>
      <c r="BBR14" s="1221"/>
      <c r="BBS14" s="1221"/>
      <c r="BBT14" s="1221"/>
      <c r="BBU14" s="1221"/>
      <c r="BBV14" s="1221"/>
      <c r="BBW14" s="1221"/>
      <c r="BBX14" s="1221"/>
      <c r="BBY14" s="1221"/>
      <c r="BBZ14" s="1221"/>
      <c r="BCA14" s="1221"/>
      <c r="BCB14" s="1221"/>
      <c r="BCC14" s="1221"/>
      <c r="BCD14" s="1221"/>
      <c r="BCE14" s="1221"/>
      <c r="BCF14" s="1221"/>
      <c r="BCG14" s="1221"/>
      <c r="BCH14" s="1221"/>
      <c r="BCI14" s="1221"/>
      <c r="BCJ14" s="1221"/>
      <c r="BCK14" s="1221"/>
      <c r="BCL14" s="1221"/>
      <c r="BCM14" s="1221"/>
      <c r="BCN14" s="1221"/>
      <c r="BCO14" s="1221"/>
      <c r="BCP14" s="1221"/>
      <c r="BCQ14" s="1221"/>
      <c r="BCR14" s="1221"/>
      <c r="BCS14" s="1221"/>
      <c r="BCT14" s="1221"/>
      <c r="BCU14" s="1221"/>
      <c r="BCV14" s="1221"/>
      <c r="BCW14" s="1221"/>
      <c r="BCX14" s="1221"/>
      <c r="BCY14" s="1221"/>
      <c r="BCZ14" s="1221"/>
      <c r="BDA14" s="1221"/>
      <c r="BDB14" s="1221"/>
      <c r="BDC14" s="1221"/>
      <c r="BDD14" s="1221"/>
      <c r="BDE14" s="1221"/>
      <c r="BDF14" s="1221"/>
      <c r="BDG14" s="1221"/>
      <c r="BDH14" s="1221"/>
      <c r="BDI14" s="1221"/>
      <c r="BDJ14" s="1221"/>
      <c r="BDK14" s="1221"/>
      <c r="BDL14" s="1221"/>
      <c r="BDM14" s="1221"/>
      <c r="BDN14" s="1221"/>
      <c r="BDO14" s="1221"/>
      <c r="BDP14" s="1221"/>
      <c r="BDQ14" s="1221"/>
      <c r="BDR14" s="1221"/>
      <c r="BDS14" s="1221"/>
      <c r="BDT14" s="1221"/>
      <c r="BDU14" s="1221"/>
      <c r="BDV14" s="1221"/>
      <c r="BDW14" s="1221"/>
      <c r="BDX14" s="1221"/>
      <c r="BDY14" s="1221"/>
      <c r="BDZ14" s="1221"/>
      <c r="BEA14" s="1221"/>
      <c r="BEB14" s="1221"/>
      <c r="BEC14" s="1221"/>
      <c r="BED14" s="1221"/>
      <c r="BEE14" s="1221"/>
      <c r="BEF14" s="1221"/>
      <c r="BEG14" s="1221"/>
      <c r="BEH14" s="1221"/>
      <c r="BEI14" s="1221"/>
      <c r="BEJ14" s="1221"/>
      <c r="BEK14" s="1221"/>
      <c r="BEL14" s="1221"/>
      <c r="BEM14" s="1221"/>
      <c r="BEN14" s="1221"/>
      <c r="BEO14" s="1221"/>
      <c r="BEP14" s="1221"/>
      <c r="BEQ14" s="1221"/>
      <c r="BER14" s="1221"/>
      <c r="BES14" s="1221"/>
      <c r="BET14" s="1221"/>
      <c r="BEU14" s="1221"/>
      <c r="BEV14" s="1221"/>
      <c r="BEW14" s="1221"/>
      <c r="BEX14" s="1221"/>
      <c r="BEY14" s="1221"/>
      <c r="BEZ14" s="1221"/>
      <c r="BFA14" s="1221"/>
      <c r="BFB14" s="1221"/>
      <c r="BFC14" s="1221"/>
      <c r="BFD14" s="1221"/>
      <c r="BFE14" s="1221"/>
      <c r="BFF14" s="1221"/>
      <c r="BFG14" s="1221"/>
      <c r="BFH14" s="1221"/>
      <c r="BFI14" s="1221"/>
      <c r="BFJ14" s="1221"/>
      <c r="BFK14" s="1221"/>
      <c r="BFL14" s="1221"/>
      <c r="BFM14" s="1221"/>
      <c r="BFN14" s="1221"/>
      <c r="BFO14" s="1221"/>
      <c r="BFP14" s="1221"/>
      <c r="BFQ14" s="1221"/>
      <c r="BFR14" s="1221"/>
      <c r="BFS14" s="1221"/>
      <c r="BFT14" s="1221"/>
      <c r="BFU14" s="1221"/>
      <c r="BFV14" s="1221"/>
      <c r="BFW14" s="1221"/>
      <c r="BFX14" s="1221"/>
      <c r="BFY14" s="1221"/>
      <c r="BFZ14" s="1221"/>
      <c r="BGA14" s="1221"/>
      <c r="BGB14" s="1221"/>
      <c r="BGC14" s="1221"/>
      <c r="BGD14" s="1221"/>
      <c r="BGE14" s="1221"/>
      <c r="BGF14" s="1221"/>
      <c r="BGG14" s="1221"/>
      <c r="BGH14" s="1221"/>
      <c r="BGI14" s="1221"/>
      <c r="BGJ14" s="1221"/>
      <c r="BGK14" s="1221"/>
      <c r="BGL14" s="1221"/>
      <c r="BGM14" s="1221"/>
      <c r="BGN14" s="1221"/>
      <c r="BGO14" s="1221"/>
      <c r="BGP14" s="1221"/>
      <c r="BGQ14" s="1221"/>
      <c r="BGR14" s="1221"/>
      <c r="BGS14" s="1221"/>
      <c r="BGT14" s="1221"/>
      <c r="BGU14" s="1221"/>
      <c r="BGV14" s="1221"/>
      <c r="BGW14" s="1221"/>
      <c r="BGX14" s="1221"/>
      <c r="BGY14" s="1221"/>
      <c r="BGZ14" s="1221"/>
      <c r="BHA14" s="1221"/>
      <c r="BHB14" s="1221"/>
      <c r="BHC14" s="1221"/>
      <c r="BHD14" s="1221"/>
      <c r="BHE14" s="1221"/>
      <c r="BHF14" s="1221"/>
      <c r="BHG14" s="1221"/>
      <c r="BHH14" s="1221"/>
      <c r="BHI14" s="1221"/>
      <c r="BHJ14" s="1221"/>
      <c r="BHK14" s="1221"/>
      <c r="BHL14" s="1221"/>
      <c r="BHM14" s="1221"/>
      <c r="BHN14" s="1221"/>
      <c r="BHO14" s="1221"/>
      <c r="BHP14" s="1221"/>
      <c r="BHQ14" s="1221"/>
      <c r="BHR14" s="1221"/>
      <c r="BHS14" s="1221"/>
      <c r="BHT14" s="1221"/>
      <c r="BHU14" s="1221"/>
      <c r="BHV14" s="1221"/>
      <c r="BHW14" s="1221"/>
      <c r="BHX14" s="1221"/>
      <c r="BHY14" s="1221"/>
      <c r="BHZ14" s="1221"/>
      <c r="BIA14" s="1221"/>
      <c r="BIB14" s="1221"/>
      <c r="BIC14" s="1221"/>
      <c r="BID14" s="1221"/>
      <c r="BIE14" s="1221"/>
      <c r="BIF14" s="1221"/>
      <c r="BIG14" s="1221"/>
      <c r="BIH14" s="1221"/>
      <c r="BII14" s="1221"/>
      <c r="BIJ14" s="1221"/>
      <c r="BIK14" s="1221"/>
      <c r="BIL14" s="1221"/>
      <c r="BIM14" s="1221"/>
      <c r="BIN14" s="1221"/>
      <c r="BIO14" s="1221"/>
      <c r="BIP14" s="1221"/>
      <c r="BIQ14" s="1221"/>
      <c r="BIR14" s="1221"/>
      <c r="BIS14" s="1221"/>
      <c r="BIT14" s="1221"/>
      <c r="BIU14" s="1221"/>
      <c r="BIV14" s="1221"/>
      <c r="BIW14" s="1221"/>
      <c r="BIX14" s="1221"/>
      <c r="BIY14" s="1221"/>
      <c r="BIZ14" s="1221"/>
      <c r="BJA14" s="1221"/>
      <c r="BJB14" s="1221"/>
      <c r="BJC14" s="1221"/>
      <c r="BJD14" s="1221"/>
      <c r="BJE14" s="1221"/>
      <c r="BJF14" s="1221"/>
      <c r="BJG14" s="1221"/>
      <c r="BJH14" s="1221"/>
      <c r="BJI14" s="1221"/>
      <c r="BJJ14" s="1221"/>
      <c r="BJK14" s="1221"/>
      <c r="BJL14" s="1221"/>
      <c r="BJM14" s="1221"/>
      <c r="BJN14" s="1221"/>
      <c r="BJO14" s="1221"/>
      <c r="BJP14" s="1221"/>
      <c r="BJQ14" s="1221"/>
      <c r="BJR14" s="1221"/>
      <c r="BJS14" s="1221"/>
      <c r="BJT14" s="1221"/>
      <c r="BJU14" s="1221"/>
      <c r="BJV14" s="1221"/>
      <c r="BJW14" s="1221"/>
      <c r="BJX14" s="1221"/>
      <c r="BJY14" s="1221"/>
      <c r="BJZ14" s="1221"/>
      <c r="BKA14" s="1221"/>
      <c r="BKB14" s="1221"/>
      <c r="BKC14" s="1221"/>
      <c r="BKD14" s="1221"/>
      <c r="BKE14" s="1221"/>
      <c r="BKF14" s="1221"/>
      <c r="BKG14" s="1221"/>
      <c r="BKH14" s="1221"/>
      <c r="BKI14" s="1221"/>
      <c r="BKJ14" s="1221"/>
      <c r="BKK14" s="1221"/>
      <c r="BKL14" s="1221"/>
      <c r="BKM14" s="1221"/>
      <c r="BKN14" s="1221"/>
      <c r="BKO14" s="1221"/>
      <c r="BKP14" s="1221"/>
      <c r="BKQ14" s="1221"/>
      <c r="BKR14" s="1221"/>
      <c r="BKS14" s="1221"/>
      <c r="BKT14" s="1221"/>
      <c r="BKU14" s="1221"/>
      <c r="BKV14" s="1221"/>
      <c r="BKW14" s="1221"/>
      <c r="BKX14" s="1221"/>
      <c r="BKY14" s="1221"/>
      <c r="BKZ14" s="1221"/>
      <c r="BLA14" s="1221"/>
      <c r="BLB14" s="1221"/>
      <c r="BLC14" s="1221"/>
      <c r="BLD14" s="1221"/>
      <c r="BLE14" s="1221"/>
      <c r="BLF14" s="1221"/>
      <c r="BLG14" s="1221"/>
      <c r="BLH14" s="1221"/>
      <c r="BLI14" s="1221"/>
      <c r="BLJ14" s="1221"/>
      <c r="BLK14" s="1221"/>
      <c r="BLL14" s="1221"/>
      <c r="BLM14" s="1221"/>
      <c r="BLN14" s="1221"/>
      <c r="BLO14" s="1221"/>
      <c r="BLP14" s="1221"/>
      <c r="BLQ14" s="1221"/>
      <c r="BLR14" s="1221"/>
      <c r="BLS14" s="1221"/>
      <c r="BLT14" s="1221"/>
      <c r="BLU14" s="1221"/>
      <c r="BLV14" s="1221"/>
      <c r="BLW14" s="1221"/>
      <c r="BLX14" s="1221"/>
      <c r="BLY14" s="1221"/>
      <c r="BLZ14" s="1221"/>
      <c r="BMA14" s="1221"/>
      <c r="BMB14" s="1221"/>
      <c r="BMC14" s="1221"/>
      <c r="BMD14" s="1221"/>
      <c r="BME14" s="1221"/>
      <c r="BMF14" s="1221"/>
      <c r="BMG14" s="1221"/>
      <c r="BMH14" s="1221"/>
      <c r="BMI14" s="1221"/>
      <c r="BMJ14" s="1221"/>
      <c r="BMK14" s="1221"/>
      <c r="BML14" s="1221"/>
      <c r="BMM14" s="1221"/>
      <c r="BMN14" s="1221"/>
      <c r="BMO14" s="1221"/>
      <c r="BMP14" s="1221"/>
      <c r="BMQ14" s="1221"/>
      <c r="BMR14" s="1221"/>
      <c r="BMS14" s="1221"/>
      <c r="BMT14" s="1221"/>
      <c r="BMU14" s="1221"/>
      <c r="BMV14" s="1221"/>
      <c r="BMW14" s="1221"/>
      <c r="BMX14" s="1221"/>
      <c r="BMY14" s="1221"/>
      <c r="BMZ14" s="1221"/>
      <c r="BNA14" s="1221"/>
      <c r="BNB14" s="1221"/>
      <c r="BNC14" s="1221"/>
      <c r="BND14" s="1221"/>
      <c r="BNE14" s="1221"/>
      <c r="BNF14" s="1221"/>
      <c r="BNG14" s="1221"/>
      <c r="BNH14" s="1221"/>
      <c r="BNI14" s="1221"/>
      <c r="BNJ14" s="1221"/>
      <c r="BNK14" s="1221"/>
      <c r="BNL14" s="1221"/>
      <c r="BNM14" s="1221"/>
      <c r="BNN14" s="1221"/>
      <c r="BNO14" s="1221"/>
      <c r="BNP14" s="1221"/>
      <c r="BNQ14" s="1221"/>
      <c r="BNR14" s="1221"/>
      <c r="BNS14" s="1221"/>
      <c r="BNT14" s="1221"/>
      <c r="BNU14" s="1221"/>
      <c r="BNV14" s="1221"/>
      <c r="BNW14" s="1221"/>
      <c r="BNX14" s="1221"/>
      <c r="BNY14" s="1221"/>
      <c r="BNZ14" s="1221"/>
      <c r="BOA14" s="1221"/>
      <c r="BOB14" s="1221"/>
      <c r="BOC14" s="1221"/>
      <c r="BOD14" s="1221"/>
      <c r="BOE14" s="1221"/>
      <c r="BOF14" s="1221"/>
      <c r="BOG14" s="1221"/>
      <c r="BOH14" s="1221"/>
      <c r="BOI14" s="1221"/>
      <c r="BOJ14" s="1221"/>
      <c r="BOK14" s="1221"/>
      <c r="BOL14" s="1221"/>
      <c r="BOM14" s="1221"/>
      <c r="BON14" s="1221"/>
      <c r="BOO14" s="1221"/>
      <c r="BOP14" s="1221"/>
      <c r="BOQ14" s="1221"/>
      <c r="BOR14" s="1221"/>
      <c r="BOS14" s="1221"/>
      <c r="BOT14" s="1221"/>
      <c r="BOU14" s="1221"/>
      <c r="BOV14" s="1221"/>
      <c r="BOW14" s="1221"/>
      <c r="BOX14" s="1221"/>
      <c r="BOY14" s="1221"/>
      <c r="BOZ14" s="1221"/>
      <c r="BPA14" s="1221"/>
      <c r="BPB14" s="1221"/>
      <c r="BPC14" s="1221"/>
      <c r="BPD14" s="1221"/>
      <c r="BPE14" s="1221"/>
      <c r="BPF14" s="1221"/>
      <c r="BPG14" s="1221"/>
      <c r="BPH14" s="1221"/>
      <c r="BPI14" s="1221"/>
      <c r="BPJ14" s="1221"/>
      <c r="BPK14" s="1221"/>
      <c r="BPL14" s="1221"/>
      <c r="BPM14" s="1221"/>
      <c r="BPN14" s="1221"/>
      <c r="BPO14" s="1221"/>
      <c r="BPP14" s="1221"/>
      <c r="BPQ14" s="1221"/>
      <c r="BPR14" s="1221"/>
      <c r="BPS14" s="1221"/>
      <c r="BPT14" s="1221"/>
      <c r="BPU14" s="1221"/>
      <c r="BPV14" s="1221"/>
      <c r="BPW14" s="1221"/>
      <c r="BPX14" s="1221"/>
      <c r="BPY14" s="1221"/>
      <c r="BPZ14" s="1221"/>
      <c r="BQA14" s="1221"/>
      <c r="BQB14" s="1221"/>
      <c r="BQC14" s="1221"/>
      <c r="BQD14" s="1221"/>
      <c r="BQE14" s="1221"/>
      <c r="BQF14" s="1221"/>
      <c r="BQG14" s="1221"/>
      <c r="BQH14" s="1221"/>
      <c r="BQI14" s="1221"/>
      <c r="BQJ14" s="1221"/>
      <c r="BQK14" s="1221"/>
      <c r="BQL14" s="1221"/>
      <c r="BQM14" s="1221"/>
      <c r="BQN14" s="1221"/>
      <c r="BQO14" s="1221"/>
      <c r="BQP14" s="1221"/>
      <c r="BQQ14" s="1221"/>
      <c r="BQR14" s="1221"/>
      <c r="BQS14" s="1221"/>
      <c r="BQT14" s="1221"/>
      <c r="BQU14" s="1221"/>
      <c r="BQV14" s="1221"/>
      <c r="BQW14" s="1221"/>
      <c r="BQX14" s="1221"/>
      <c r="BQY14" s="1221"/>
      <c r="BQZ14" s="1221"/>
      <c r="BRA14" s="1221"/>
      <c r="BRB14" s="1221"/>
      <c r="BRC14" s="1221"/>
      <c r="BRD14" s="1221"/>
      <c r="BRE14" s="1221"/>
      <c r="BRF14" s="1221"/>
      <c r="BRG14" s="1221"/>
      <c r="BRH14" s="1221"/>
      <c r="BRI14" s="1221"/>
      <c r="BRJ14" s="1221"/>
      <c r="BRK14" s="1221"/>
      <c r="BRL14" s="1221"/>
      <c r="BRM14" s="1221"/>
      <c r="BRN14" s="1221"/>
      <c r="BRO14" s="1221"/>
      <c r="BRP14" s="1221"/>
      <c r="BRQ14" s="1221"/>
      <c r="BRR14" s="1221"/>
      <c r="BRS14" s="1221"/>
      <c r="BRT14" s="1221"/>
      <c r="BRU14" s="1221"/>
      <c r="BRV14" s="1221"/>
      <c r="BRW14" s="1221"/>
      <c r="BRX14" s="1221"/>
      <c r="BRY14" s="1221"/>
      <c r="BRZ14" s="1221"/>
      <c r="BSA14" s="1221"/>
      <c r="BSB14" s="1221"/>
      <c r="BSC14" s="1221"/>
      <c r="BSD14" s="1221"/>
      <c r="BSE14" s="1221"/>
      <c r="BSF14" s="1221"/>
      <c r="BSG14" s="1221"/>
      <c r="BSH14" s="1221"/>
      <c r="BSI14" s="1221"/>
      <c r="BSJ14" s="1221"/>
      <c r="BSK14" s="1221"/>
      <c r="BSL14" s="1221"/>
      <c r="BSM14" s="1221"/>
      <c r="BSN14" s="1221"/>
      <c r="BSO14" s="1221"/>
      <c r="BSP14" s="1221"/>
      <c r="BSQ14" s="1221"/>
      <c r="BSR14" s="1221"/>
      <c r="BSS14" s="1221"/>
      <c r="BST14" s="1221"/>
      <c r="BSU14" s="1221"/>
      <c r="BSV14" s="1221"/>
      <c r="BSW14" s="1221"/>
      <c r="BSX14" s="1221"/>
      <c r="BSY14" s="1221"/>
      <c r="BSZ14" s="1221"/>
      <c r="BTA14" s="1221"/>
      <c r="BTB14" s="1221"/>
      <c r="BTC14" s="1221"/>
      <c r="BTD14" s="1221"/>
      <c r="BTE14" s="1221"/>
      <c r="BTF14" s="1221"/>
      <c r="BTG14" s="1221"/>
      <c r="BTH14" s="1221"/>
      <c r="BTI14" s="1221"/>
      <c r="BTJ14" s="1221"/>
      <c r="BTK14" s="1221"/>
      <c r="BTL14" s="1221"/>
      <c r="BTM14" s="1221"/>
      <c r="BTN14" s="1221"/>
      <c r="BTO14" s="1221"/>
      <c r="BTP14" s="1221"/>
      <c r="BTQ14" s="1221"/>
      <c r="BTR14" s="1221"/>
      <c r="BTS14" s="1221"/>
      <c r="BTT14" s="1221"/>
      <c r="BTU14" s="1221"/>
      <c r="BTV14" s="1221"/>
      <c r="BTW14" s="1221"/>
      <c r="BTX14" s="1221"/>
      <c r="BTY14" s="1221"/>
      <c r="BTZ14" s="1221"/>
      <c r="BUA14" s="1221"/>
      <c r="BUB14" s="1221"/>
      <c r="BUC14" s="1221"/>
      <c r="BUD14" s="1221"/>
      <c r="BUE14" s="1221"/>
      <c r="BUF14" s="1221"/>
      <c r="BUG14" s="1221"/>
      <c r="BUH14" s="1221"/>
      <c r="BUI14" s="1221"/>
      <c r="BUJ14" s="1221"/>
      <c r="BUK14" s="1221"/>
      <c r="BUL14" s="1221"/>
      <c r="BUM14" s="1221"/>
      <c r="BUN14" s="1221"/>
      <c r="BUO14" s="1221"/>
      <c r="BUP14" s="1221"/>
      <c r="BUQ14" s="1221"/>
      <c r="BUR14" s="1221"/>
      <c r="BUS14" s="1221"/>
      <c r="BUT14" s="1221"/>
      <c r="BUU14" s="1221"/>
      <c r="BUV14" s="1221"/>
      <c r="BUW14" s="1221"/>
      <c r="BUX14" s="1221"/>
      <c r="BUY14" s="1221"/>
      <c r="BUZ14" s="1221"/>
      <c r="BVA14" s="1221"/>
      <c r="BVB14" s="1221"/>
      <c r="BVC14" s="1221"/>
      <c r="BVD14" s="1221"/>
      <c r="BVE14" s="1221"/>
      <c r="BVF14" s="1221"/>
      <c r="BVG14" s="1221"/>
      <c r="BVH14" s="1221"/>
      <c r="BVI14" s="1221"/>
      <c r="BVJ14" s="1221"/>
      <c r="BVK14" s="1221"/>
      <c r="BVL14" s="1221"/>
      <c r="BVM14" s="1221"/>
      <c r="BVN14" s="1221"/>
      <c r="BVO14" s="1221"/>
      <c r="BVP14" s="1221"/>
      <c r="BVQ14" s="1221"/>
      <c r="BVR14" s="1221"/>
      <c r="BVS14" s="1221"/>
      <c r="BVT14" s="1221"/>
      <c r="BVU14" s="1221"/>
      <c r="BVV14" s="1221"/>
      <c r="BVW14" s="1221"/>
      <c r="BVX14" s="1221"/>
      <c r="BVY14" s="1221"/>
      <c r="BVZ14" s="1221"/>
      <c r="BWA14" s="1221"/>
      <c r="BWB14" s="1221"/>
      <c r="BWC14" s="1221"/>
      <c r="BWD14" s="1221"/>
      <c r="BWE14" s="1221"/>
      <c r="BWF14" s="1221"/>
      <c r="BWG14" s="1221"/>
      <c r="BWH14" s="1221"/>
      <c r="BWI14" s="1221"/>
      <c r="BWJ14" s="1221"/>
      <c r="BWK14" s="1221"/>
      <c r="BWL14" s="1221"/>
      <c r="BWM14" s="1221"/>
      <c r="BWN14" s="1221"/>
      <c r="BWO14" s="1221"/>
      <c r="BWP14" s="1221"/>
      <c r="BWQ14" s="1221"/>
      <c r="BWR14" s="1221"/>
      <c r="BWS14" s="1221"/>
      <c r="BWT14" s="1221"/>
      <c r="BWU14" s="1221"/>
      <c r="BWV14" s="1221"/>
      <c r="BWW14" s="1221"/>
      <c r="BWX14" s="1221"/>
      <c r="BWY14" s="1221"/>
      <c r="BWZ14" s="1221"/>
      <c r="BXA14" s="1221"/>
      <c r="BXB14" s="1221"/>
      <c r="BXC14" s="1221"/>
      <c r="BXD14" s="1221"/>
      <c r="BXE14" s="1221"/>
      <c r="BXF14" s="1221"/>
      <c r="BXG14" s="1221"/>
      <c r="BXH14" s="1221"/>
      <c r="BXI14" s="1221"/>
      <c r="BXJ14" s="1221"/>
      <c r="BXK14" s="1221"/>
      <c r="BXL14" s="1221"/>
      <c r="BXM14" s="1221"/>
      <c r="BXN14" s="1221"/>
      <c r="BXO14" s="1221"/>
      <c r="BXP14" s="1221"/>
      <c r="BXQ14" s="1221"/>
      <c r="BXR14" s="1221"/>
      <c r="BXS14" s="1221"/>
      <c r="BXT14" s="1221"/>
      <c r="BXU14" s="1221"/>
      <c r="BXV14" s="1221"/>
      <c r="BXW14" s="1221"/>
      <c r="BXX14" s="1221"/>
      <c r="BXY14" s="1221"/>
      <c r="BXZ14" s="1221"/>
      <c r="BYA14" s="1221"/>
      <c r="BYB14" s="1221"/>
      <c r="BYC14" s="1221"/>
      <c r="BYD14" s="1221"/>
      <c r="BYE14" s="1221"/>
      <c r="BYF14" s="1221"/>
      <c r="BYG14" s="1221"/>
      <c r="BYH14" s="1221"/>
      <c r="BYI14" s="1221"/>
      <c r="BYJ14" s="1221"/>
      <c r="BYK14" s="1221"/>
      <c r="BYL14" s="1221"/>
      <c r="BYM14" s="1221"/>
      <c r="BYN14" s="1221"/>
      <c r="BYO14" s="1221"/>
      <c r="BYP14" s="1221"/>
      <c r="BYQ14" s="1221"/>
      <c r="BYR14" s="1221"/>
      <c r="BYS14" s="1221"/>
      <c r="BYT14" s="1221"/>
      <c r="BYU14" s="1221"/>
      <c r="BYV14" s="1221"/>
      <c r="BYW14" s="1221"/>
      <c r="BYX14" s="1221"/>
      <c r="BYY14" s="1221"/>
      <c r="BYZ14" s="1221"/>
      <c r="BZA14" s="1221"/>
      <c r="BZB14" s="1221"/>
      <c r="BZC14" s="1221"/>
      <c r="BZD14" s="1221"/>
      <c r="BZE14" s="1221"/>
      <c r="BZF14" s="1221"/>
      <c r="BZG14" s="1221"/>
      <c r="BZH14" s="1221"/>
      <c r="BZI14" s="1221"/>
      <c r="BZJ14" s="1221"/>
      <c r="BZK14" s="1221"/>
      <c r="BZL14" s="1221"/>
      <c r="BZM14" s="1221"/>
      <c r="BZN14" s="1221"/>
      <c r="BZO14" s="1221"/>
      <c r="BZP14" s="1221"/>
      <c r="BZQ14" s="1221"/>
      <c r="BZR14" s="1221"/>
      <c r="BZS14" s="1221"/>
      <c r="BZT14" s="1221"/>
      <c r="BZU14" s="1221"/>
      <c r="BZV14" s="1221"/>
      <c r="BZW14" s="1221"/>
      <c r="BZX14" s="1221"/>
      <c r="BZY14" s="1221"/>
      <c r="BZZ14" s="1221"/>
      <c r="CAA14" s="1221"/>
      <c r="CAB14" s="1221"/>
      <c r="CAC14" s="1221"/>
      <c r="CAD14" s="1221"/>
      <c r="CAE14" s="1221"/>
      <c r="CAF14" s="1221"/>
      <c r="CAG14" s="1221"/>
      <c r="CAH14" s="1221"/>
      <c r="CAI14" s="1221"/>
      <c r="CAJ14" s="1221"/>
      <c r="CAK14" s="1221"/>
      <c r="CAL14" s="1221"/>
      <c r="CAM14" s="1221"/>
      <c r="CAN14" s="1221"/>
      <c r="CAO14" s="1221"/>
      <c r="CAP14" s="1221"/>
      <c r="CAQ14" s="1221"/>
      <c r="CAR14" s="1221"/>
      <c r="CAS14" s="1221"/>
      <c r="CAT14" s="1221"/>
      <c r="CAU14" s="1221"/>
      <c r="CAV14" s="1221"/>
      <c r="CAW14" s="1221"/>
      <c r="CAX14" s="1221"/>
      <c r="CAY14" s="1221"/>
      <c r="CAZ14" s="1221"/>
      <c r="CBA14" s="1221"/>
      <c r="CBB14" s="1221"/>
      <c r="CBC14" s="1221"/>
      <c r="CBD14" s="1221"/>
      <c r="CBE14" s="1221"/>
      <c r="CBF14" s="1221"/>
      <c r="CBG14" s="1221"/>
      <c r="CBH14" s="1221"/>
      <c r="CBI14" s="1221"/>
      <c r="CBJ14" s="1221"/>
      <c r="CBK14" s="1221"/>
      <c r="CBL14" s="1221"/>
      <c r="CBM14" s="1221"/>
      <c r="CBN14" s="1221"/>
      <c r="CBO14" s="1221"/>
      <c r="CBP14" s="1221"/>
      <c r="CBQ14" s="1221"/>
      <c r="CBR14" s="1221"/>
      <c r="CBS14" s="1221"/>
      <c r="CBT14" s="1221"/>
      <c r="CBU14" s="1221"/>
      <c r="CBV14" s="1221"/>
      <c r="CBW14" s="1221"/>
      <c r="CBX14" s="1221"/>
      <c r="CBY14" s="1221"/>
      <c r="CBZ14" s="1221"/>
      <c r="CCA14" s="1221"/>
      <c r="CCB14" s="1221"/>
      <c r="CCC14" s="1221"/>
      <c r="CCD14" s="1221"/>
      <c r="CCE14" s="1221"/>
      <c r="CCF14" s="1221"/>
      <c r="CCG14" s="1221"/>
      <c r="CCH14" s="1221"/>
      <c r="CCI14" s="1221"/>
      <c r="CCJ14" s="1221"/>
      <c r="CCK14" s="1221"/>
      <c r="CCL14" s="1221"/>
      <c r="CCM14" s="1221"/>
      <c r="CCN14" s="1221"/>
      <c r="CCO14" s="1221"/>
      <c r="CCP14" s="1221"/>
      <c r="CCQ14" s="1221"/>
      <c r="CCR14" s="1221"/>
      <c r="CCS14" s="1221"/>
      <c r="CCT14" s="1221"/>
      <c r="CCU14" s="1221"/>
      <c r="CCV14" s="1221"/>
      <c r="CCW14" s="1221"/>
      <c r="CCX14" s="1221"/>
      <c r="CCY14" s="1221"/>
      <c r="CCZ14" s="1221"/>
      <c r="CDA14" s="1221"/>
      <c r="CDB14" s="1221"/>
      <c r="CDC14" s="1221"/>
      <c r="CDD14" s="1221"/>
      <c r="CDE14" s="1221"/>
      <c r="CDF14" s="1221"/>
      <c r="CDG14" s="1221"/>
      <c r="CDH14" s="1221"/>
      <c r="CDI14" s="1221"/>
      <c r="CDJ14" s="1221"/>
      <c r="CDK14" s="1221"/>
      <c r="CDL14" s="1221"/>
      <c r="CDM14" s="1221"/>
      <c r="CDN14" s="1221"/>
      <c r="CDO14" s="1221"/>
      <c r="CDP14" s="1221"/>
      <c r="CDQ14" s="1221"/>
      <c r="CDR14" s="1221"/>
      <c r="CDS14" s="1221"/>
      <c r="CDT14" s="1221"/>
      <c r="CDU14" s="1221"/>
      <c r="CDV14" s="1221"/>
      <c r="CDW14" s="1221"/>
      <c r="CDX14" s="1221"/>
      <c r="CDY14" s="1221"/>
      <c r="CDZ14" s="1221"/>
      <c r="CEA14" s="1221"/>
      <c r="CEB14" s="1221"/>
      <c r="CEC14" s="1221"/>
      <c r="CED14" s="1221"/>
      <c r="CEE14" s="1221"/>
      <c r="CEF14" s="1221"/>
      <c r="CEG14" s="1221"/>
      <c r="CEH14" s="1221"/>
      <c r="CEI14" s="1221"/>
      <c r="CEJ14" s="1221"/>
      <c r="CEK14" s="1221"/>
      <c r="CEL14" s="1221"/>
      <c r="CEM14" s="1221"/>
      <c r="CEN14" s="1221"/>
      <c r="CEO14" s="1221"/>
      <c r="CEP14" s="1221"/>
      <c r="CEQ14" s="1221"/>
      <c r="CER14" s="1221"/>
      <c r="CES14" s="1221"/>
      <c r="CET14" s="1221"/>
      <c r="CEU14" s="1221"/>
      <c r="CEV14" s="1221"/>
      <c r="CEW14" s="1221"/>
      <c r="CEX14" s="1221"/>
      <c r="CEY14" s="1221"/>
      <c r="CEZ14" s="1221"/>
      <c r="CFA14" s="1221"/>
      <c r="CFB14" s="1221"/>
      <c r="CFC14" s="1221"/>
      <c r="CFD14" s="1221"/>
      <c r="CFE14" s="1221"/>
      <c r="CFF14" s="1221"/>
      <c r="CFG14" s="1221"/>
      <c r="CFH14" s="1221"/>
      <c r="CFI14" s="1221"/>
      <c r="CFJ14" s="1221"/>
      <c r="CFK14" s="1221"/>
      <c r="CFL14" s="1221"/>
      <c r="CFM14" s="1221"/>
      <c r="CFN14" s="1221"/>
      <c r="CFO14" s="1221"/>
      <c r="CFP14" s="1221"/>
      <c r="CFQ14" s="1221"/>
      <c r="CFR14" s="1221"/>
      <c r="CFS14" s="1221"/>
      <c r="CFT14" s="1221"/>
      <c r="CFU14" s="1221"/>
      <c r="CFV14" s="1221"/>
      <c r="CFW14" s="1221"/>
      <c r="CFX14" s="1221"/>
      <c r="CFY14" s="1221"/>
      <c r="CFZ14" s="1221"/>
      <c r="CGA14" s="1221"/>
      <c r="CGB14" s="1221"/>
      <c r="CGC14" s="1221"/>
      <c r="CGD14" s="1221"/>
      <c r="CGE14" s="1221"/>
      <c r="CGF14" s="1221"/>
      <c r="CGG14" s="1221"/>
      <c r="CGH14" s="1221"/>
      <c r="CGI14" s="1221"/>
      <c r="CGJ14" s="1221"/>
      <c r="CGK14" s="1221"/>
      <c r="CGL14" s="1221"/>
      <c r="CGM14" s="1221"/>
      <c r="CGN14" s="1221"/>
      <c r="CGO14" s="1221"/>
      <c r="CGP14" s="1221"/>
      <c r="CGQ14" s="1221"/>
      <c r="CGR14" s="1221"/>
      <c r="CGS14" s="1221"/>
      <c r="CGT14" s="1221"/>
      <c r="CGU14" s="1221"/>
      <c r="CGV14" s="1221"/>
      <c r="CGW14" s="1221"/>
      <c r="CGX14" s="1221"/>
      <c r="CGY14" s="1221"/>
      <c r="CGZ14" s="1221"/>
      <c r="CHA14" s="1221"/>
      <c r="CHB14" s="1221"/>
      <c r="CHC14" s="1221"/>
      <c r="CHD14" s="1221"/>
      <c r="CHE14" s="1221"/>
      <c r="CHF14" s="1221"/>
      <c r="CHG14" s="1221"/>
      <c r="CHH14" s="1221"/>
      <c r="CHI14" s="1221"/>
      <c r="CHJ14" s="1221"/>
      <c r="CHK14" s="1221"/>
      <c r="CHL14" s="1221"/>
      <c r="CHM14" s="1221"/>
      <c r="CHN14" s="1221"/>
      <c r="CHO14" s="1221"/>
      <c r="CHP14" s="1221"/>
      <c r="CHQ14" s="1221"/>
      <c r="CHR14" s="1221"/>
      <c r="CHS14" s="1221"/>
      <c r="CHT14" s="1221"/>
      <c r="CHU14" s="1221"/>
      <c r="CHV14" s="1221"/>
      <c r="CHW14" s="1221"/>
      <c r="CHX14" s="1221"/>
      <c r="CHY14" s="1221"/>
      <c r="CHZ14" s="1221"/>
      <c r="CIA14" s="1221"/>
      <c r="CIB14" s="1221"/>
      <c r="CIC14" s="1221"/>
      <c r="CID14" s="1221"/>
      <c r="CIE14" s="1221"/>
      <c r="CIF14" s="1221"/>
      <c r="CIG14" s="1221"/>
      <c r="CIH14" s="1221"/>
      <c r="CII14" s="1221"/>
      <c r="CIJ14" s="1221"/>
      <c r="CIK14" s="1221"/>
      <c r="CIL14" s="1221"/>
      <c r="CIM14" s="1221"/>
      <c r="CIN14" s="1221"/>
      <c r="CIO14" s="1221"/>
      <c r="CIP14" s="1221"/>
      <c r="CIQ14" s="1221"/>
      <c r="CIR14" s="1221"/>
      <c r="CIS14" s="1221"/>
      <c r="CIT14" s="1221"/>
      <c r="CIU14" s="1221"/>
      <c r="CIV14" s="1221"/>
      <c r="CIW14" s="1221"/>
      <c r="CIX14" s="1221"/>
      <c r="CIY14" s="1221"/>
      <c r="CIZ14" s="1221"/>
      <c r="CJA14" s="1221"/>
      <c r="CJB14" s="1221"/>
      <c r="CJC14" s="1221"/>
      <c r="CJD14" s="1221"/>
      <c r="CJE14" s="1221"/>
      <c r="CJF14" s="1221"/>
      <c r="CJG14" s="1221"/>
      <c r="CJH14" s="1221"/>
      <c r="CJI14" s="1221"/>
      <c r="CJJ14" s="1221"/>
      <c r="CJK14" s="1221"/>
      <c r="CJL14" s="1221"/>
      <c r="CJM14" s="1221"/>
      <c r="CJN14" s="1221"/>
      <c r="CJO14" s="1221"/>
      <c r="CJP14" s="1221"/>
      <c r="CJQ14" s="1221"/>
      <c r="CJR14" s="1221"/>
      <c r="CJS14" s="1221"/>
      <c r="CJT14" s="1221"/>
      <c r="CJU14" s="1221"/>
      <c r="CJV14" s="1221"/>
      <c r="CJW14" s="1221"/>
      <c r="CJX14" s="1221"/>
      <c r="CJY14" s="1221"/>
      <c r="CJZ14" s="1221"/>
      <c r="CKA14" s="1221"/>
      <c r="CKB14" s="1221"/>
      <c r="CKC14" s="1221"/>
      <c r="CKD14" s="1221"/>
      <c r="CKE14" s="1221"/>
      <c r="CKF14" s="1221"/>
      <c r="CKG14" s="1221"/>
      <c r="CKH14" s="1221"/>
      <c r="CKI14" s="1221"/>
      <c r="CKJ14" s="1221"/>
      <c r="CKK14" s="1221"/>
      <c r="CKL14" s="1221"/>
      <c r="CKM14" s="1221"/>
      <c r="CKN14" s="1221"/>
      <c r="CKO14" s="1221"/>
      <c r="CKP14" s="1221"/>
      <c r="CKQ14" s="1221"/>
      <c r="CKR14" s="1221"/>
      <c r="CKS14" s="1221"/>
      <c r="CKT14" s="1221"/>
      <c r="CKU14" s="1221"/>
      <c r="CKV14" s="1221"/>
      <c r="CKW14" s="1221"/>
      <c r="CKX14" s="1221"/>
      <c r="CKY14" s="1221"/>
      <c r="CKZ14" s="1221"/>
      <c r="CLA14" s="1221"/>
      <c r="CLB14" s="1221"/>
      <c r="CLC14" s="1221"/>
      <c r="CLD14" s="1221"/>
      <c r="CLE14" s="1221"/>
      <c r="CLF14" s="1221"/>
      <c r="CLG14" s="1221"/>
      <c r="CLH14" s="1221"/>
      <c r="CLI14" s="1221"/>
      <c r="CLJ14" s="1221"/>
      <c r="CLK14" s="1221"/>
      <c r="CLL14" s="1221"/>
      <c r="CLM14" s="1221"/>
      <c r="CLN14" s="1221"/>
      <c r="CLO14" s="1221"/>
      <c r="CLP14" s="1221"/>
      <c r="CLQ14" s="1221"/>
      <c r="CLR14" s="1221"/>
      <c r="CLS14" s="1221"/>
      <c r="CLT14" s="1221"/>
      <c r="CLU14" s="1221"/>
      <c r="CLV14" s="1221"/>
      <c r="CLW14" s="1221"/>
      <c r="CLX14" s="1221"/>
      <c r="CLY14" s="1221"/>
      <c r="CLZ14" s="1221"/>
      <c r="CMA14" s="1221"/>
      <c r="CMB14" s="1221"/>
      <c r="CMC14" s="1221"/>
      <c r="CMD14" s="1221"/>
      <c r="CME14" s="1221"/>
      <c r="CMF14" s="1221"/>
      <c r="CMG14" s="1221"/>
      <c r="CMH14" s="1221"/>
      <c r="CMI14" s="1221"/>
      <c r="CMJ14" s="1221"/>
      <c r="CMK14" s="1221"/>
      <c r="CML14" s="1221"/>
      <c r="CMM14" s="1221"/>
      <c r="CMN14" s="1221"/>
      <c r="CMO14" s="1221"/>
      <c r="CMP14" s="1221"/>
      <c r="CMQ14" s="1221"/>
      <c r="CMR14" s="1221"/>
      <c r="CMS14" s="1221"/>
      <c r="CMT14" s="1221"/>
      <c r="CMU14" s="1221"/>
      <c r="CMV14" s="1221"/>
      <c r="CMW14" s="1221"/>
      <c r="CMX14" s="1221"/>
      <c r="CMY14" s="1221"/>
      <c r="CMZ14" s="1221"/>
      <c r="CNA14" s="1221"/>
      <c r="CNB14" s="1221"/>
      <c r="CNC14" s="1221"/>
      <c r="CND14" s="1221"/>
      <c r="CNE14" s="1221"/>
      <c r="CNF14" s="1221"/>
      <c r="CNG14" s="1221"/>
      <c r="CNH14" s="1221"/>
      <c r="CNI14" s="1221"/>
      <c r="CNJ14" s="1221"/>
      <c r="CNK14" s="1221"/>
      <c r="CNL14" s="1221"/>
      <c r="CNM14" s="1221"/>
      <c r="CNN14" s="1221"/>
      <c r="CNO14" s="1221"/>
      <c r="CNP14" s="1221"/>
      <c r="CNQ14" s="1221"/>
      <c r="CNR14" s="1221"/>
      <c r="CNS14" s="1221"/>
      <c r="CNT14" s="1221"/>
      <c r="CNU14" s="1221"/>
      <c r="CNV14" s="1221"/>
      <c r="CNW14" s="1221"/>
      <c r="CNX14" s="1221"/>
      <c r="CNY14" s="1221"/>
      <c r="CNZ14" s="1221"/>
      <c r="COA14" s="1221"/>
      <c r="COB14" s="1221"/>
      <c r="COC14" s="1221"/>
      <c r="COD14" s="1221"/>
      <c r="COE14" s="1221"/>
      <c r="COF14" s="1221"/>
      <c r="COG14" s="1221"/>
      <c r="COH14" s="1221"/>
      <c r="COI14" s="1221"/>
      <c r="COJ14" s="1221"/>
      <c r="COK14" s="1221"/>
      <c r="COL14" s="1221"/>
      <c r="COM14" s="1221"/>
      <c r="CON14" s="1221"/>
      <c r="COO14" s="1221"/>
      <c r="COP14" s="1221"/>
      <c r="COQ14" s="1221"/>
      <c r="COR14" s="1221"/>
      <c r="COS14" s="1221"/>
      <c r="COT14" s="1221"/>
      <c r="COU14" s="1221"/>
      <c r="COV14" s="1221"/>
      <c r="COW14" s="1221"/>
      <c r="COX14" s="1221"/>
      <c r="COY14" s="1221"/>
      <c r="COZ14" s="1221"/>
      <c r="CPA14" s="1221"/>
      <c r="CPB14" s="1221"/>
      <c r="CPC14" s="1221"/>
      <c r="CPD14" s="1221"/>
      <c r="CPE14" s="1221"/>
      <c r="CPF14" s="1221"/>
      <c r="CPG14" s="1221"/>
      <c r="CPH14" s="1221"/>
      <c r="CPI14" s="1221"/>
      <c r="CPJ14" s="1221"/>
      <c r="CPK14" s="1221"/>
      <c r="CPL14" s="1221"/>
      <c r="CPM14" s="1221"/>
      <c r="CPN14" s="1221"/>
      <c r="CPO14" s="1221"/>
      <c r="CPP14" s="1221"/>
      <c r="CPQ14" s="1221"/>
      <c r="CPR14" s="1221"/>
      <c r="CPS14" s="1221"/>
      <c r="CPT14" s="1221"/>
      <c r="CPU14" s="1221"/>
      <c r="CPV14" s="1221"/>
      <c r="CPW14" s="1221"/>
      <c r="CPX14" s="1221"/>
      <c r="CPY14" s="1221"/>
      <c r="CPZ14" s="1221"/>
      <c r="CQA14" s="1221"/>
      <c r="CQB14" s="1221"/>
      <c r="CQC14" s="1221"/>
      <c r="CQD14" s="1221"/>
      <c r="CQE14" s="1221"/>
      <c r="CQF14" s="1221"/>
      <c r="CQG14" s="1221"/>
      <c r="CQH14" s="1221"/>
      <c r="CQI14" s="1221"/>
      <c r="CQJ14" s="1221"/>
      <c r="CQK14" s="1221"/>
      <c r="CQL14" s="1221"/>
      <c r="CQM14" s="1221"/>
      <c r="CQN14" s="1221"/>
      <c r="CQO14" s="1221"/>
      <c r="CQP14" s="1221"/>
      <c r="CQQ14" s="1221"/>
      <c r="CQR14" s="1221"/>
      <c r="CQS14" s="1221"/>
      <c r="CQT14" s="1221"/>
      <c r="CQU14" s="1221"/>
      <c r="CQV14" s="1221"/>
      <c r="CQW14" s="1221"/>
      <c r="CQX14" s="1221"/>
      <c r="CQY14" s="1221"/>
      <c r="CQZ14" s="1221"/>
      <c r="CRA14" s="1221"/>
      <c r="CRB14" s="1221"/>
      <c r="CRC14" s="1221"/>
      <c r="CRD14" s="1221"/>
      <c r="CRE14" s="1221"/>
      <c r="CRF14" s="1221"/>
      <c r="CRG14" s="1221"/>
      <c r="CRH14" s="1221"/>
      <c r="CRI14" s="1221"/>
      <c r="CRJ14" s="1221"/>
      <c r="CRK14" s="1221"/>
      <c r="CRL14" s="1221"/>
      <c r="CRM14" s="1221"/>
      <c r="CRN14" s="1221"/>
      <c r="CRO14" s="1221"/>
      <c r="CRP14" s="1221"/>
      <c r="CRQ14" s="1221"/>
      <c r="CRR14" s="1221"/>
      <c r="CRS14" s="1221"/>
      <c r="CRT14" s="1221"/>
      <c r="CRU14" s="1221"/>
      <c r="CRV14" s="1221"/>
      <c r="CRW14" s="1221"/>
      <c r="CRX14" s="1221"/>
      <c r="CRY14" s="1221"/>
      <c r="CRZ14" s="1221"/>
      <c r="CSA14" s="1221"/>
      <c r="CSB14" s="1221"/>
      <c r="CSC14" s="1221"/>
      <c r="CSD14" s="1221"/>
      <c r="CSE14" s="1221"/>
      <c r="CSF14" s="1221"/>
      <c r="CSG14" s="1221"/>
      <c r="CSH14" s="1221"/>
      <c r="CSI14" s="1221"/>
      <c r="CSJ14" s="1221"/>
      <c r="CSK14" s="1221"/>
      <c r="CSL14" s="1221"/>
      <c r="CSM14" s="1221"/>
      <c r="CSN14" s="1221"/>
      <c r="CSO14" s="1221"/>
      <c r="CSP14" s="1221"/>
      <c r="CSQ14" s="1221"/>
      <c r="CSR14" s="1221"/>
      <c r="CSS14" s="1221"/>
      <c r="CST14" s="1221"/>
      <c r="CSU14" s="1221"/>
      <c r="CSV14" s="1221"/>
      <c r="CSW14" s="1221"/>
      <c r="CSX14" s="1221"/>
      <c r="CSY14" s="1221"/>
      <c r="CSZ14" s="1221"/>
      <c r="CTA14" s="1221"/>
      <c r="CTB14" s="1221"/>
      <c r="CTC14" s="1221"/>
      <c r="CTD14" s="1221"/>
      <c r="CTE14" s="1221"/>
      <c r="CTF14" s="1221"/>
      <c r="CTG14" s="1221"/>
      <c r="CTH14" s="1221"/>
      <c r="CTI14" s="1221"/>
      <c r="CTJ14" s="1221"/>
      <c r="CTK14" s="1221"/>
      <c r="CTL14" s="1221"/>
      <c r="CTM14" s="1221"/>
      <c r="CTN14" s="1221"/>
      <c r="CTO14" s="1221"/>
      <c r="CTP14" s="1221"/>
      <c r="CTQ14" s="1221"/>
      <c r="CTR14" s="1221"/>
      <c r="CTS14" s="1221"/>
      <c r="CTT14" s="1221"/>
      <c r="CTU14" s="1221"/>
      <c r="CTV14" s="1221"/>
      <c r="CTW14" s="1221"/>
      <c r="CTX14" s="1221"/>
      <c r="CTY14" s="1221"/>
      <c r="CTZ14" s="1221"/>
      <c r="CUA14" s="1221"/>
      <c r="CUB14" s="1221"/>
      <c r="CUC14" s="1221"/>
      <c r="CUD14" s="1221"/>
      <c r="CUE14" s="1221"/>
      <c r="CUF14" s="1221"/>
      <c r="CUG14" s="1221"/>
      <c r="CUH14" s="1221"/>
      <c r="CUI14" s="1221"/>
      <c r="CUJ14" s="1221"/>
      <c r="CUK14" s="1221"/>
      <c r="CUL14" s="1221"/>
      <c r="CUM14" s="1221"/>
      <c r="CUN14" s="1221"/>
      <c r="CUO14" s="1221"/>
      <c r="CUP14" s="1221"/>
      <c r="CUQ14" s="1221"/>
      <c r="CUR14" s="1221"/>
      <c r="CUS14" s="1221"/>
      <c r="CUT14" s="1221"/>
      <c r="CUU14" s="1221"/>
      <c r="CUV14" s="1221"/>
      <c r="CUW14" s="1221"/>
      <c r="CUX14" s="1221"/>
      <c r="CUY14" s="1221"/>
      <c r="CUZ14" s="1221"/>
      <c r="CVA14" s="1221"/>
      <c r="CVB14" s="1221"/>
      <c r="CVC14" s="1221"/>
      <c r="CVD14" s="1221"/>
      <c r="CVE14" s="1221"/>
      <c r="CVF14" s="1221"/>
      <c r="CVG14" s="1221"/>
      <c r="CVH14" s="1221"/>
      <c r="CVI14" s="1221"/>
      <c r="CVJ14" s="1221"/>
      <c r="CVK14" s="1221"/>
      <c r="CVL14" s="1221"/>
      <c r="CVM14" s="1221"/>
      <c r="CVN14" s="1221"/>
      <c r="CVO14" s="1221"/>
      <c r="CVP14" s="1221"/>
      <c r="CVQ14" s="1221"/>
      <c r="CVR14" s="1221"/>
      <c r="CVS14" s="1221"/>
      <c r="CVT14" s="1221"/>
      <c r="CVU14" s="1221"/>
      <c r="CVV14" s="1221"/>
      <c r="CVW14" s="1221"/>
      <c r="CVX14" s="1221"/>
      <c r="CVY14" s="1221"/>
      <c r="CVZ14" s="1221"/>
      <c r="CWA14" s="1221"/>
      <c r="CWB14" s="1221"/>
      <c r="CWC14" s="1221"/>
      <c r="CWD14" s="1221"/>
      <c r="CWE14" s="1221"/>
      <c r="CWF14" s="1221"/>
      <c r="CWG14" s="1221"/>
      <c r="CWH14" s="1221"/>
      <c r="CWI14" s="1221"/>
      <c r="CWJ14" s="1221"/>
      <c r="CWK14" s="1221"/>
      <c r="CWL14" s="1221"/>
      <c r="CWM14" s="1221"/>
      <c r="CWN14" s="1221"/>
      <c r="CWO14" s="1221"/>
      <c r="CWP14" s="1221"/>
      <c r="CWQ14" s="1221"/>
      <c r="CWR14" s="1221"/>
      <c r="CWS14" s="1221"/>
      <c r="CWT14" s="1221"/>
      <c r="CWU14" s="1221"/>
      <c r="CWV14" s="1221"/>
      <c r="CWW14" s="1221"/>
      <c r="CWX14" s="1221"/>
      <c r="CWY14" s="1221"/>
      <c r="CWZ14" s="1221"/>
      <c r="CXA14" s="1221"/>
      <c r="CXB14" s="1221"/>
      <c r="CXC14" s="1221"/>
      <c r="CXD14" s="1221"/>
      <c r="CXE14" s="1221"/>
      <c r="CXF14" s="1221"/>
      <c r="CXG14" s="1221"/>
      <c r="CXH14" s="1221"/>
      <c r="CXI14" s="1221"/>
      <c r="CXJ14" s="1221"/>
      <c r="CXK14" s="1221"/>
      <c r="CXL14" s="1221"/>
      <c r="CXM14" s="1221"/>
      <c r="CXN14" s="1221"/>
      <c r="CXO14" s="1221"/>
      <c r="CXP14" s="1221"/>
      <c r="CXQ14" s="1221"/>
      <c r="CXR14" s="1221"/>
      <c r="CXS14" s="1221"/>
      <c r="CXT14" s="1221"/>
      <c r="CXU14" s="1221"/>
      <c r="CXV14" s="1221"/>
      <c r="CXW14" s="1221"/>
      <c r="CXX14" s="1221"/>
      <c r="CXY14" s="1221"/>
      <c r="CXZ14" s="1221"/>
      <c r="CYA14" s="1221"/>
      <c r="CYB14" s="1221"/>
      <c r="CYC14" s="1221"/>
      <c r="CYD14" s="1221"/>
      <c r="CYE14" s="1221"/>
      <c r="CYF14" s="1221"/>
      <c r="CYG14" s="1221"/>
      <c r="CYH14" s="1221"/>
      <c r="CYI14" s="1221"/>
      <c r="CYJ14" s="1221"/>
      <c r="CYK14" s="1221"/>
      <c r="CYL14" s="1221"/>
      <c r="CYM14" s="1221"/>
      <c r="CYN14" s="1221"/>
      <c r="CYO14" s="1221"/>
      <c r="CYP14" s="1221"/>
      <c r="CYQ14" s="1221"/>
      <c r="CYR14" s="1221"/>
      <c r="CYS14" s="1221"/>
      <c r="CYT14" s="1221"/>
      <c r="CYU14" s="1221"/>
      <c r="CYV14" s="1221"/>
      <c r="CYW14" s="1221"/>
      <c r="CYX14" s="1221"/>
      <c r="CYY14" s="1221"/>
      <c r="CYZ14" s="1221"/>
      <c r="CZA14" s="1221"/>
      <c r="CZB14" s="1221"/>
      <c r="CZC14" s="1221"/>
      <c r="CZD14" s="1221"/>
      <c r="CZE14" s="1221"/>
      <c r="CZF14" s="1221"/>
      <c r="CZG14" s="1221"/>
      <c r="CZH14" s="1221"/>
      <c r="CZI14" s="1221"/>
      <c r="CZJ14" s="1221"/>
      <c r="CZK14" s="1221"/>
      <c r="CZL14" s="1221"/>
      <c r="CZM14" s="1221"/>
      <c r="CZN14" s="1221"/>
      <c r="CZO14" s="1221"/>
      <c r="CZP14" s="1221"/>
      <c r="CZQ14" s="1221"/>
      <c r="CZR14" s="1221"/>
      <c r="CZS14" s="1221"/>
      <c r="CZT14" s="1221"/>
      <c r="CZU14" s="1221"/>
      <c r="CZV14" s="1221"/>
      <c r="CZW14" s="1221"/>
      <c r="CZX14" s="1221"/>
      <c r="CZY14" s="1221"/>
      <c r="CZZ14" s="1221"/>
      <c r="DAA14" s="1221"/>
      <c r="DAB14" s="1221"/>
      <c r="DAC14" s="1221"/>
      <c r="DAD14" s="1221"/>
      <c r="DAE14" s="1221"/>
      <c r="DAF14" s="1221"/>
      <c r="DAG14" s="1221"/>
      <c r="DAH14" s="1221"/>
      <c r="DAI14" s="1221"/>
      <c r="DAJ14" s="1221"/>
      <c r="DAK14" s="1221"/>
      <c r="DAL14" s="1221"/>
      <c r="DAM14" s="1221"/>
      <c r="DAN14" s="1221"/>
      <c r="DAO14" s="1221"/>
      <c r="DAP14" s="1221"/>
      <c r="DAQ14" s="1221"/>
      <c r="DAR14" s="1221"/>
      <c r="DAS14" s="1221"/>
      <c r="DAT14" s="1221"/>
      <c r="DAU14" s="1221"/>
      <c r="DAV14" s="1221"/>
      <c r="DAW14" s="1221"/>
      <c r="DAX14" s="1221"/>
      <c r="DAY14" s="1221"/>
      <c r="DAZ14" s="1221"/>
      <c r="DBA14" s="1221"/>
      <c r="DBB14" s="1221"/>
      <c r="DBC14" s="1221"/>
      <c r="DBD14" s="1221"/>
      <c r="DBE14" s="1221"/>
      <c r="DBF14" s="1221"/>
      <c r="DBG14" s="1221"/>
      <c r="DBH14" s="1221"/>
      <c r="DBI14" s="1221"/>
      <c r="DBJ14" s="1221"/>
      <c r="DBK14" s="1221"/>
      <c r="DBL14" s="1221"/>
      <c r="DBM14" s="1221"/>
      <c r="DBN14" s="1221"/>
      <c r="DBO14" s="1221"/>
      <c r="DBP14" s="1221"/>
      <c r="DBQ14" s="1221"/>
      <c r="DBR14" s="1221"/>
      <c r="DBS14" s="1221"/>
      <c r="DBT14" s="1221"/>
      <c r="DBU14" s="1221"/>
      <c r="DBV14" s="1221"/>
      <c r="DBW14" s="1221"/>
      <c r="DBX14" s="1221"/>
      <c r="DBY14" s="1221"/>
      <c r="DBZ14" s="1221"/>
      <c r="DCA14" s="1221"/>
      <c r="DCB14" s="1221"/>
      <c r="DCC14" s="1221"/>
      <c r="DCD14" s="1221"/>
      <c r="DCE14" s="1221"/>
      <c r="DCF14" s="1221"/>
      <c r="DCG14" s="1221"/>
      <c r="DCH14" s="1221"/>
      <c r="DCI14" s="1221"/>
      <c r="DCJ14" s="1221"/>
      <c r="DCK14" s="1221"/>
      <c r="DCL14" s="1221"/>
      <c r="DCM14" s="1221"/>
      <c r="DCN14" s="1221"/>
      <c r="DCO14" s="1221"/>
      <c r="DCP14" s="1221"/>
      <c r="DCQ14" s="1221"/>
      <c r="DCR14" s="1221"/>
      <c r="DCS14" s="1221"/>
      <c r="DCT14" s="1221"/>
      <c r="DCU14" s="1221"/>
      <c r="DCV14" s="1221"/>
      <c r="DCW14" s="1221"/>
      <c r="DCX14" s="1221"/>
      <c r="DCY14" s="1221"/>
      <c r="DCZ14" s="1221"/>
      <c r="DDA14" s="1221"/>
      <c r="DDB14" s="1221"/>
      <c r="DDC14" s="1221"/>
      <c r="DDD14" s="1221"/>
      <c r="DDE14" s="1221"/>
      <c r="DDF14" s="1221"/>
      <c r="DDG14" s="1221"/>
      <c r="DDH14" s="1221"/>
      <c r="DDI14" s="1221"/>
      <c r="DDJ14" s="1221"/>
      <c r="DDK14" s="1221"/>
      <c r="DDL14" s="1221"/>
      <c r="DDM14" s="1221"/>
      <c r="DDN14" s="1221"/>
      <c r="DDO14" s="1221"/>
      <c r="DDP14" s="1221"/>
      <c r="DDQ14" s="1221"/>
      <c r="DDR14" s="1221"/>
      <c r="DDS14" s="1221"/>
      <c r="DDT14" s="1221"/>
      <c r="DDU14" s="1221"/>
      <c r="DDV14" s="1221"/>
      <c r="DDW14" s="1221"/>
      <c r="DDX14" s="1221"/>
      <c r="DDY14" s="1221"/>
      <c r="DDZ14" s="1221"/>
      <c r="DEA14" s="1221"/>
      <c r="DEB14" s="1221"/>
      <c r="DEC14" s="1221"/>
      <c r="DED14" s="1221"/>
      <c r="DEE14" s="1221"/>
      <c r="DEF14" s="1221"/>
      <c r="DEG14" s="1221"/>
      <c r="DEH14" s="1221"/>
      <c r="DEI14" s="1221"/>
      <c r="DEJ14" s="1221"/>
      <c r="DEK14" s="1221"/>
      <c r="DEL14" s="1221"/>
      <c r="DEM14" s="1221"/>
      <c r="DEN14" s="1221"/>
      <c r="DEO14" s="1221"/>
      <c r="DEP14" s="1221"/>
      <c r="DEQ14" s="1221"/>
      <c r="DER14" s="1221"/>
      <c r="DES14" s="1221"/>
      <c r="DET14" s="1221"/>
      <c r="DEU14" s="1221"/>
      <c r="DEV14" s="1221"/>
      <c r="DEW14" s="1221"/>
      <c r="DEX14" s="1221"/>
      <c r="DEY14" s="1221"/>
      <c r="DEZ14" s="1221"/>
      <c r="DFA14" s="1221"/>
      <c r="DFB14" s="1221"/>
      <c r="DFC14" s="1221"/>
      <c r="DFD14" s="1221"/>
      <c r="DFE14" s="1221"/>
      <c r="DFF14" s="1221"/>
      <c r="DFG14" s="1221"/>
      <c r="DFH14" s="1221"/>
      <c r="DFI14" s="1221"/>
      <c r="DFJ14" s="1221"/>
      <c r="DFK14" s="1221"/>
      <c r="DFL14" s="1221"/>
      <c r="DFM14" s="1221"/>
      <c r="DFN14" s="1221"/>
      <c r="DFO14" s="1221"/>
      <c r="DFP14" s="1221"/>
      <c r="DFQ14" s="1221"/>
      <c r="DFR14" s="1221"/>
      <c r="DFS14" s="1221"/>
      <c r="DFT14" s="1221"/>
      <c r="DFU14" s="1221"/>
      <c r="DFV14" s="1221"/>
      <c r="DFW14" s="1221"/>
      <c r="DFX14" s="1221"/>
      <c r="DFY14" s="1221"/>
      <c r="DFZ14" s="1221"/>
      <c r="DGA14" s="1221"/>
      <c r="DGB14" s="1221"/>
      <c r="DGC14" s="1221"/>
      <c r="DGD14" s="1221"/>
      <c r="DGE14" s="1221"/>
      <c r="DGF14" s="1221"/>
      <c r="DGG14" s="1221"/>
      <c r="DGH14" s="1221"/>
      <c r="DGI14" s="1221"/>
      <c r="DGJ14" s="1221"/>
      <c r="DGK14" s="1221"/>
      <c r="DGL14" s="1221"/>
      <c r="DGM14" s="1221"/>
      <c r="DGN14" s="1221"/>
      <c r="DGO14" s="1221"/>
      <c r="DGP14" s="1221"/>
      <c r="DGQ14" s="1221"/>
      <c r="DGR14" s="1221"/>
      <c r="DGS14" s="1221"/>
      <c r="DGT14" s="1221"/>
      <c r="DGU14" s="1221"/>
      <c r="DGV14" s="1221"/>
      <c r="DGW14" s="1221"/>
      <c r="DGX14" s="1221"/>
      <c r="DGY14" s="1221"/>
      <c r="DGZ14" s="1221"/>
      <c r="DHA14" s="1221"/>
      <c r="DHB14" s="1221"/>
      <c r="DHC14" s="1221"/>
      <c r="DHD14" s="1221"/>
      <c r="DHE14" s="1221"/>
      <c r="DHF14" s="1221"/>
      <c r="DHG14" s="1221"/>
      <c r="DHH14" s="1221"/>
      <c r="DHI14" s="1221"/>
      <c r="DHJ14" s="1221"/>
      <c r="DHK14" s="1221"/>
      <c r="DHL14" s="1221"/>
      <c r="DHM14" s="1221"/>
      <c r="DHN14" s="1221"/>
      <c r="DHO14" s="1221"/>
      <c r="DHP14" s="1221"/>
      <c r="DHQ14" s="1221"/>
      <c r="DHR14" s="1221"/>
      <c r="DHS14" s="1221"/>
      <c r="DHT14" s="1221"/>
      <c r="DHU14" s="1221"/>
      <c r="DHV14" s="1221"/>
      <c r="DHW14" s="1221"/>
      <c r="DHX14" s="1221"/>
      <c r="DHY14" s="1221"/>
      <c r="DHZ14" s="1221"/>
      <c r="DIA14" s="1221"/>
      <c r="DIB14" s="1221"/>
      <c r="DIC14" s="1221"/>
      <c r="DID14" s="1221"/>
      <c r="DIE14" s="1221"/>
      <c r="DIF14" s="1221"/>
      <c r="DIG14" s="1221"/>
      <c r="DIH14" s="1221"/>
      <c r="DII14" s="1221"/>
      <c r="DIJ14" s="1221"/>
      <c r="DIK14" s="1221"/>
      <c r="DIL14" s="1221"/>
      <c r="DIM14" s="1221"/>
      <c r="DIN14" s="1221"/>
      <c r="DIO14" s="1221"/>
      <c r="DIP14" s="1221"/>
      <c r="DIQ14" s="1221"/>
      <c r="DIR14" s="1221"/>
      <c r="DIS14" s="1221"/>
      <c r="DIT14" s="1221"/>
      <c r="DIU14" s="1221"/>
      <c r="DIV14" s="1221"/>
      <c r="DIW14" s="1221"/>
      <c r="DIX14" s="1221"/>
      <c r="DIY14" s="1221"/>
      <c r="DIZ14" s="1221"/>
      <c r="DJA14" s="1221"/>
      <c r="DJB14" s="1221"/>
      <c r="DJC14" s="1221"/>
      <c r="DJD14" s="1221"/>
      <c r="DJE14" s="1221"/>
      <c r="DJF14" s="1221"/>
      <c r="DJG14" s="1221"/>
      <c r="DJH14" s="1221"/>
      <c r="DJI14" s="1221"/>
      <c r="DJJ14" s="1221"/>
      <c r="DJK14" s="1221"/>
      <c r="DJL14" s="1221"/>
      <c r="DJM14" s="1221"/>
      <c r="DJN14" s="1221"/>
      <c r="DJO14" s="1221"/>
      <c r="DJP14" s="1221"/>
      <c r="DJQ14" s="1221"/>
      <c r="DJR14" s="1221"/>
      <c r="DJS14" s="1221"/>
      <c r="DJT14" s="1221"/>
      <c r="DJU14" s="1221"/>
      <c r="DJV14" s="1221"/>
      <c r="DJW14" s="1221"/>
      <c r="DJX14" s="1221"/>
      <c r="DJY14" s="1221"/>
      <c r="DJZ14" s="1221"/>
      <c r="DKA14" s="1221"/>
      <c r="DKB14" s="1221"/>
      <c r="DKC14" s="1221"/>
      <c r="DKD14" s="1221"/>
      <c r="DKE14" s="1221"/>
      <c r="DKF14" s="1221"/>
      <c r="DKG14" s="1221"/>
      <c r="DKH14" s="1221"/>
      <c r="DKI14" s="1221"/>
      <c r="DKJ14" s="1221"/>
      <c r="DKK14" s="1221"/>
      <c r="DKL14" s="1221"/>
      <c r="DKM14" s="1221"/>
      <c r="DKN14" s="1221"/>
      <c r="DKO14" s="1221"/>
      <c r="DKP14" s="1221"/>
      <c r="DKQ14" s="1221"/>
      <c r="DKR14" s="1221"/>
      <c r="DKS14" s="1221"/>
      <c r="DKT14" s="1221"/>
      <c r="DKU14" s="1221"/>
      <c r="DKV14" s="1221"/>
      <c r="DKW14" s="1221"/>
      <c r="DKX14" s="1221"/>
      <c r="DKY14" s="1221"/>
      <c r="DKZ14" s="1221"/>
      <c r="DLA14" s="1221"/>
      <c r="DLB14" s="1221"/>
      <c r="DLC14" s="1221"/>
      <c r="DLD14" s="1221"/>
      <c r="DLE14" s="1221"/>
      <c r="DLF14" s="1221"/>
      <c r="DLG14" s="1221"/>
      <c r="DLH14" s="1221"/>
      <c r="DLI14" s="1221"/>
      <c r="DLJ14" s="1221"/>
      <c r="DLK14" s="1221"/>
      <c r="DLL14" s="1221"/>
      <c r="DLM14" s="1221"/>
      <c r="DLN14" s="1221"/>
      <c r="DLO14" s="1221"/>
      <c r="DLP14" s="1221"/>
      <c r="DLQ14" s="1221"/>
      <c r="DLR14" s="1221"/>
      <c r="DLS14" s="1221"/>
      <c r="DLT14" s="1221"/>
      <c r="DLU14" s="1221"/>
      <c r="DLV14" s="1221"/>
      <c r="DLW14" s="1221"/>
      <c r="DLX14" s="1221"/>
      <c r="DLY14" s="1221"/>
      <c r="DLZ14" s="1221"/>
      <c r="DMA14" s="1221"/>
      <c r="DMB14" s="1221"/>
      <c r="DMC14" s="1221"/>
      <c r="DMD14" s="1221"/>
      <c r="DME14" s="1221"/>
      <c r="DMF14" s="1221"/>
      <c r="DMG14" s="1221"/>
      <c r="DMH14" s="1221"/>
      <c r="DMI14" s="1221"/>
      <c r="DMJ14" s="1221"/>
      <c r="DMK14" s="1221"/>
      <c r="DML14" s="1221"/>
      <c r="DMM14" s="1221"/>
      <c r="DMN14" s="1221"/>
      <c r="DMO14" s="1221"/>
      <c r="DMP14" s="1221"/>
      <c r="DMQ14" s="1221"/>
      <c r="DMR14" s="1221"/>
      <c r="DMS14" s="1221"/>
      <c r="DMT14" s="1221"/>
      <c r="DMU14" s="1221"/>
      <c r="DMV14" s="1221"/>
      <c r="DMW14" s="1221"/>
      <c r="DMX14" s="1221"/>
      <c r="DMY14" s="1221"/>
      <c r="DMZ14" s="1221"/>
      <c r="DNA14" s="1221"/>
      <c r="DNB14" s="1221"/>
      <c r="DNC14" s="1221"/>
      <c r="DND14" s="1221"/>
      <c r="DNE14" s="1221"/>
      <c r="DNF14" s="1221"/>
      <c r="DNG14" s="1221"/>
      <c r="DNH14" s="1221"/>
      <c r="DNI14" s="1221"/>
      <c r="DNJ14" s="1221"/>
      <c r="DNK14" s="1221"/>
      <c r="DNL14" s="1221"/>
      <c r="DNM14" s="1221"/>
      <c r="DNN14" s="1221"/>
      <c r="DNO14" s="1221"/>
      <c r="DNP14" s="1221"/>
      <c r="DNQ14" s="1221"/>
      <c r="DNR14" s="1221"/>
      <c r="DNS14" s="1221"/>
      <c r="DNT14" s="1221"/>
      <c r="DNU14" s="1221"/>
      <c r="DNV14" s="1221"/>
      <c r="DNW14" s="1221"/>
      <c r="DNX14" s="1221"/>
      <c r="DNY14" s="1221"/>
      <c r="DNZ14" s="1221"/>
      <c r="DOA14" s="1221"/>
      <c r="DOB14" s="1221"/>
      <c r="DOC14" s="1221"/>
      <c r="DOD14" s="1221"/>
      <c r="DOE14" s="1221"/>
      <c r="DOF14" s="1221"/>
      <c r="DOG14" s="1221"/>
      <c r="DOH14" s="1221"/>
      <c r="DOI14" s="1221"/>
      <c r="DOJ14" s="1221"/>
      <c r="DOK14" s="1221"/>
      <c r="DOL14" s="1221"/>
      <c r="DOM14" s="1221"/>
      <c r="DON14" s="1221"/>
      <c r="DOO14" s="1221"/>
      <c r="DOP14" s="1221"/>
      <c r="DOQ14" s="1221"/>
      <c r="DOR14" s="1221"/>
      <c r="DOS14" s="1221"/>
      <c r="DOT14" s="1221"/>
      <c r="DOU14" s="1221"/>
      <c r="DOV14" s="1221"/>
      <c r="DOW14" s="1221"/>
      <c r="DOX14" s="1221"/>
      <c r="DOY14" s="1221"/>
      <c r="DOZ14" s="1221"/>
      <c r="DPA14" s="1221"/>
      <c r="DPB14" s="1221"/>
      <c r="DPC14" s="1221"/>
      <c r="DPD14" s="1221"/>
      <c r="DPE14" s="1221"/>
      <c r="DPF14" s="1221"/>
      <c r="DPG14" s="1221"/>
      <c r="DPH14" s="1221"/>
      <c r="DPI14" s="1221"/>
      <c r="DPJ14" s="1221"/>
      <c r="DPK14" s="1221"/>
      <c r="DPL14" s="1221"/>
      <c r="DPM14" s="1221"/>
      <c r="DPN14" s="1221"/>
      <c r="DPO14" s="1221"/>
      <c r="DPP14" s="1221"/>
      <c r="DPQ14" s="1221"/>
      <c r="DPR14" s="1221"/>
      <c r="DPS14" s="1221"/>
      <c r="DPT14" s="1221"/>
      <c r="DPU14" s="1221"/>
      <c r="DPV14" s="1221"/>
      <c r="DPW14" s="1221"/>
      <c r="DPX14" s="1221"/>
      <c r="DPY14" s="1221"/>
      <c r="DPZ14" s="1221"/>
      <c r="DQA14" s="1221"/>
      <c r="DQB14" s="1221"/>
      <c r="DQC14" s="1221"/>
      <c r="DQD14" s="1221"/>
      <c r="DQE14" s="1221"/>
      <c r="DQF14" s="1221"/>
      <c r="DQG14" s="1221"/>
      <c r="DQH14" s="1221"/>
      <c r="DQI14" s="1221"/>
      <c r="DQJ14" s="1221"/>
      <c r="DQK14" s="1221"/>
      <c r="DQL14" s="1221"/>
      <c r="DQM14" s="1221"/>
      <c r="DQN14" s="1221"/>
      <c r="DQO14" s="1221"/>
      <c r="DQP14" s="1221"/>
      <c r="DQQ14" s="1221"/>
      <c r="DQR14" s="1221"/>
      <c r="DQS14" s="1221"/>
      <c r="DQT14" s="1221"/>
      <c r="DQU14" s="1221"/>
      <c r="DQV14" s="1221"/>
      <c r="DQW14" s="1221"/>
      <c r="DQX14" s="1221"/>
      <c r="DQY14" s="1221"/>
      <c r="DQZ14" s="1221"/>
      <c r="DRA14" s="1221"/>
      <c r="DRB14" s="1221"/>
      <c r="DRC14" s="1221"/>
      <c r="DRD14" s="1221"/>
      <c r="DRE14" s="1221"/>
      <c r="DRF14" s="1221"/>
      <c r="DRG14" s="1221"/>
      <c r="DRH14" s="1221"/>
      <c r="DRI14" s="1221"/>
      <c r="DRJ14" s="1221"/>
      <c r="DRK14" s="1221"/>
      <c r="DRL14" s="1221"/>
      <c r="DRM14" s="1221"/>
      <c r="DRN14" s="1221"/>
      <c r="DRO14" s="1221"/>
      <c r="DRP14" s="1221"/>
      <c r="DRQ14" s="1221"/>
      <c r="DRR14" s="1221"/>
      <c r="DRS14" s="1221"/>
      <c r="DRT14" s="1221"/>
      <c r="DRU14" s="1221"/>
      <c r="DRV14" s="1221"/>
      <c r="DRW14" s="1221"/>
      <c r="DRX14" s="1221"/>
      <c r="DRY14" s="1221"/>
      <c r="DRZ14" s="1221"/>
      <c r="DSA14" s="1221"/>
      <c r="DSB14" s="1221"/>
      <c r="DSC14" s="1221"/>
      <c r="DSD14" s="1221"/>
      <c r="DSE14" s="1221"/>
      <c r="DSF14" s="1221"/>
      <c r="DSG14" s="1221"/>
      <c r="DSH14" s="1221"/>
      <c r="DSI14" s="1221"/>
      <c r="DSJ14" s="1221"/>
      <c r="DSK14" s="1221"/>
      <c r="DSL14" s="1221"/>
      <c r="DSM14" s="1221"/>
      <c r="DSN14" s="1221"/>
      <c r="DSO14" s="1221"/>
      <c r="DSP14" s="1221"/>
      <c r="DSQ14" s="1221"/>
      <c r="DSR14" s="1221"/>
      <c r="DSS14" s="1221"/>
      <c r="DST14" s="1221"/>
      <c r="DSU14" s="1221"/>
      <c r="DSV14" s="1221"/>
      <c r="DSW14" s="1221"/>
      <c r="DSX14" s="1221"/>
      <c r="DSY14" s="1221"/>
      <c r="DSZ14" s="1221"/>
      <c r="DTA14" s="1221"/>
      <c r="DTB14" s="1221"/>
      <c r="DTC14" s="1221"/>
      <c r="DTD14" s="1221"/>
      <c r="DTE14" s="1221"/>
      <c r="DTF14" s="1221"/>
      <c r="DTG14" s="1221"/>
      <c r="DTH14" s="1221"/>
      <c r="DTI14" s="1221"/>
      <c r="DTJ14" s="1221"/>
      <c r="DTK14" s="1221"/>
      <c r="DTL14" s="1221"/>
      <c r="DTM14" s="1221"/>
      <c r="DTN14" s="1221"/>
      <c r="DTO14" s="1221"/>
      <c r="DTP14" s="1221"/>
      <c r="DTQ14" s="1221"/>
      <c r="DTR14" s="1221"/>
      <c r="DTS14" s="1221"/>
      <c r="DTT14" s="1221"/>
      <c r="DTU14" s="1221"/>
      <c r="DTV14" s="1221"/>
      <c r="DTW14" s="1221"/>
      <c r="DTX14" s="1221"/>
      <c r="DTY14" s="1221"/>
      <c r="DTZ14" s="1221"/>
      <c r="DUA14" s="1221"/>
      <c r="DUB14" s="1221"/>
      <c r="DUC14" s="1221"/>
      <c r="DUD14" s="1221"/>
      <c r="DUE14" s="1221"/>
      <c r="DUF14" s="1221"/>
      <c r="DUG14" s="1221"/>
      <c r="DUH14" s="1221"/>
      <c r="DUI14" s="1221"/>
      <c r="DUJ14" s="1221"/>
      <c r="DUK14" s="1221"/>
      <c r="DUL14" s="1221"/>
      <c r="DUM14" s="1221"/>
      <c r="DUN14" s="1221"/>
      <c r="DUO14" s="1221"/>
      <c r="DUP14" s="1221"/>
      <c r="DUQ14" s="1221"/>
      <c r="DUR14" s="1221"/>
      <c r="DUS14" s="1221"/>
      <c r="DUT14" s="1221"/>
      <c r="DUU14" s="1221"/>
      <c r="DUV14" s="1221"/>
      <c r="DUW14" s="1221"/>
      <c r="DUX14" s="1221"/>
      <c r="DUY14" s="1221"/>
      <c r="DUZ14" s="1221"/>
      <c r="DVA14" s="1221"/>
      <c r="DVB14" s="1221"/>
      <c r="DVC14" s="1221"/>
      <c r="DVD14" s="1221"/>
      <c r="DVE14" s="1221"/>
      <c r="DVF14" s="1221"/>
      <c r="DVG14" s="1221"/>
      <c r="DVH14" s="1221"/>
      <c r="DVI14" s="1221"/>
      <c r="DVJ14" s="1221"/>
      <c r="DVK14" s="1221"/>
      <c r="DVL14" s="1221"/>
      <c r="DVM14" s="1221"/>
      <c r="DVN14" s="1221"/>
      <c r="DVO14" s="1221"/>
      <c r="DVP14" s="1221"/>
      <c r="DVQ14" s="1221"/>
      <c r="DVR14" s="1221"/>
      <c r="DVS14" s="1221"/>
      <c r="DVT14" s="1221"/>
      <c r="DVU14" s="1221"/>
      <c r="DVV14" s="1221"/>
      <c r="DVW14" s="1221"/>
      <c r="DVX14" s="1221"/>
      <c r="DVY14" s="1221"/>
      <c r="DVZ14" s="1221"/>
      <c r="DWA14" s="1221"/>
      <c r="DWB14" s="1221"/>
      <c r="DWC14" s="1221"/>
      <c r="DWD14" s="1221"/>
      <c r="DWE14" s="1221"/>
      <c r="DWF14" s="1221"/>
      <c r="DWG14" s="1221"/>
      <c r="DWH14" s="1221"/>
      <c r="DWI14" s="1221"/>
      <c r="DWJ14" s="1221"/>
      <c r="DWK14" s="1221"/>
      <c r="DWL14" s="1221"/>
      <c r="DWM14" s="1221"/>
      <c r="DWN14" s="1221"/>
      <c r="DWO14" s="1221"/>
      <c r="DWP14" s="1221"/>
      <c r="DWQ14" s="1221"/>
      <c r="DWR14" s="1221"/>
      <c r="DWS14" s="1221"/>
      <c r="DWT14" s="1221"/>
      <c r="DWU14" s="1221"/>
      <c r="DWV14" s="1221"/>
      <c r="DWW14" s="1221"/>
      <c r="DWX14" s="1221"/>
      <c r="DWY14" s="1221"/>
      <c r="DWZ14" s="1221"/>
      <c r="DXA14" s="1221"/>
      <c r="DXB14" s="1221"/>
      <c r="DXC14" s="1221"/>
      <c r="DXD14" s="1221"/>
      <c r="DXE14" s="1221"/>
      <c r="DXF14" s="1221"/>
      <c r="DXG14" s="1221"/>
      <c r="DXH14" s="1221"/>
      <c r="DXI14" s="1221"/>
      <c r="DXJ14" s="1221"/>
      <c r="DXK14" s="1221"/>
      <c r="DXL14" s="1221"/>
      <c r="DXM14" s="1221"/>
      <c r="DXN14" s="1221"/>
      <c r="DXO14" s="1221"/>
      <c r="DXP14" s="1221"/>
      <c r="DXQ14" s="1221"/>
      <c r="DXR14" s="1221"/>
      <c r="DXS14" s="1221"/>
      <c r="DXT14" s="1221"/>
      <c r="DXU14" s="1221"/>
      <c r="DXV14" s="1221"/>
      <c r="DXW14" s="1221"/>
      <c r="DXX14" s="1221"/>
      <c r="DXY14" s="1221"/>
      <c r="DXZ14" s="1221"/>
      <c r="DYA14" s="1221"/>
      <c r="DYB14" s="1221"/>
      <c r="DYC14" s="1221"/>
      <c r="DYD14" s="1221"/>
      <c r="DYE14" s="1221"/>
      <c r="DYF14" s="1221"/>
      <c r="DYG14" s="1221"/>
      <c r="DYH14" s="1221"/>
      <c r="DYI14" s="1221"/>
      <c r="DYJ14" s="1221"/>
      <c r="DYK14" s="1221"/>
      <c r="DYL14" s="1221"/>
      <c r="DYM14" s="1221"/>
      <c r="DYN14" s="1221"/>
      <c r="DYO14" s="1221"/>
      <c r="DYP14" s="1221"/>
      <c r="DYQ14" s="1221"/>
      <c r="DYR14" s="1221"/>
      <c r="DYS14" s="1221"/>
      <c r="DYT14" s="1221"/>
      <c r="DYU14" s="1221"/>
      <c r="DYV14" s="1221"/>
      <c r="DYW14" s="1221"/>
      <c r="DYX14" s="1221"/>
      <c r="DYY14" s="1221"/>
      <c r="DYZ14" s="1221"/>
      <c r="DZA14" s="1221"/>
      <c r="DZB14" s="1221"/>
      <c r="DZC14" s="1221"/>
      <c r="DZD14" s="1221"/>
      <c r="DZE14" s="1221"/>
      <c r="DZF14" s="1221"/>
      <c r="DZG14" s="1221"/>
      <c r="DZH14" s="1221"/>
      <c r="DZI14" s="1221"/>
      <c r="DZJ14" s="1221"/>
      <c r="DZK14" s="1221"/>
      <c r="DZL14" s="1221"/>
      <c r="DZM14" s="1221"/>
      <c r="DZN14" s="1221"/>
      <c r="DZO14" s="1221"/>
      <c r="DZP14" s="1221"/>
      <c r="DZQ14" s="1221"/>
      <c r="DZR14" s="1221"/>
      <c r="DZS14" s="1221"/>
      <c r="DZT14" s="1221"/>
      <c r="DZU14" s="1221"/>
      <c r="DZV14" s="1221"/>
      <c r="DZW14" s="1221"/>
      <c r="DZX14" s="1221"/>
      <c r="DZY14" s="1221"/>
      <c r="DZZ14" s="1221"/>
      <c r="EAA14" s="1221"/>
      <c r="EAB14" s="1221"/>
      <c r="EAC14" s="1221"/>
      <c r="EAD14" s="1221"/>
      <c r="EAE14" s="1221"/>
      <c r="EAF14" s="1221"/>
      <c r="EAG14" s="1221"/>
      <c r="EAH14" s="1221"/>
      <c r="EAI14" s="1221"/>
      <c r="EAJ14" s="1221"/>
      <c r="EAK14" s="1221"/>
      <c r="EAL14" s="1221"/>
      <c r="EAM14" s="1221"/>
      <c r="EAN14" s="1221"/>
      <c r="EAO14" s="1221"/>
      <c r="EAP14" s="1221"/>
      <c r="EAQ14" s="1221"/>
      <c r="EAR14" s="1221"/>
      <c r="EAS14" s="1221"/>
      <c r="EAT14" s="1221"/>
      <c r="EAU14" s="1221"/>
      <c r="EAV14" s="1221"/>
      <c r="EAW14" s="1221"/>
      <c r="EAX14" s="1221"/>
      <c r="EAY14" s="1221"/>
      <c r="EAZ14" s="1221"/>
      <c r="EBA14" s="1221"/>
      <c r="EBB14" s="1221"/>
      <c r="EBC14" s="1221"/>
      <c r="EBD14" s="1221"/>
      <c r="EBE14" s="1221"/>
      <c r="EBF14" s="1221"/>
      <c r="EBG14" s="1221"/>
      <c r="EBH14" s="1221"/>
      <c r="EBI14" s="1221"/>
      <c r="EBJ14" s="1221"/>
      <c r="EBK14" s="1221"/>
      <c r="EBL14" s="1221"/>
      <c r="EBM14" s="1221"/>
      <c r="EBN14" s="1221"/>
      <c r="EBO14" s="1221"/>
      <c r="EBP14" s="1221"/>
      <c r="EBQ14" s="1221"/>
      <c r="EBR14" s="1221"/>
      <c r="EBS14" s="1221"/>
      <c r="EBT14" s="1221"/>
      <c r="EBU14" s="1221"/>
      <c r="EBV14" s="1221"/>
      <c r="EBW14" s="1221"/>
      <c r="EBX14" s="1221"/>
      <c r="EBY14" s="1221"/>
      <c r="EBZ14" s="1221"/>
      <c r="ECA14" s="1221"/>
      <c r="ECB14" s="1221"/>
      <c r="ECC14" s="1221"/>
      <c r="ECD14" s="1221"/>
      <c r="ECE14" s="1221"/>
      <c r="ECF14" s="1221"/>
      <c r="ECG14" s="1221"/>
      <c r="ECH14" s="1221"/>
      <c r="ECI14" s="1221"/>
      <c r="ECJ14" s="1221"/>
      <c r="ECK14" s="1221"/>
      <c r="ECL14" s="1221"/>
      <c r="ECM14" s="1221"/>
      <c r="ECN14" s="1221"/>
      <c r="ECO14" s="1221"/>
    </row>
    <row r="15" spans="1:3473" s="1248" customFormat="1" ht="13" outlineLevel="1">
      <c r="B15" s="1249" t="s">
        <v>485</v>
      </c>
      <c r="C15" s="1250">
        <v>4</v>
      </c>
      <c r="D15" s="1251" t="s">
        <v>40</v>
      </c>
      <c r="E15" s="1252">
        <f t="shared" si="4"/>
        <v>0</v>
      </c>
      <c r="F15" s="1252">
        <f t="shared" si="4"/>
        <v>0</v>
      </c>
      <c r="G15" s="1252">
        <f t="shared" si="4"/>
        <v>0</v>
      </c>
      <c r="H15" s="1252">
        <f t="shared" si="4"/>
        <v>24.510041848125557</v>
      </c>
      <c r="I15" s="1252">
        <f t="shared" si="4"/>
        <v>22.486276882300135</v>
      </c>
      <c r="J15" s="1252">
        <f t="shared" si="4"/>
        <v>2.0237649658254173</v>
      </c>
      <c r="K15" s="1252">
        <f t="shared" si="4"/>
        <v>0</v>
      </c>
      <c r="L15" s="1252">
        <f t="shared" si="4"/>
        <v>0</v>
      </c>
      <c r="M15" s="1252">
        <f t="shared" si="4"/>
        <v>0</v>
      </c>
      <c r="N15" s="1252" t="str">
        <f t="shared" si="4"/>
        <v/>
      </c>
      <c r="O15" s="1252" t="str">
        <f t="shared" si="4"/>
        <v/>
      </c>
      <c r="P15" s="1252" t="str">
        <f t="shared" si="4"/>
        <v/>
      </c>
      <c r="Q15" s="1252">
        <f t="shared" si="4"/>
        <v>24.510041848125553</v>
      </c>
      <c r="R15" s="1252">
        <f t="shared" si="4"/>
        <v>22.486276882300135</v>
      </c>
      <c r="S15" s="1252">
        <f t="shared" si="8"/>
        <v>2.0237649658254178</v>
      </c>
      <c r="T15" s="1252">
        <f t="shared" si="5"/>
        <v>24.510041848125553</v>
      </c>
      <c r="U15" s="1252">
        <f t="shared" si="5"/>
        <v>22.486276882300135</v>
      </c>
      <c r="V15" s="1252">
        <f t="shared" si="9"/>
        <v>2.0237649658254178</v>
      </c>
      <c r="W15" s="1253" t="str">
        <f t="shared" si="10"/>
        <v/>
      </c>
      <c r="X15" s="1252" t="str">
        <f t="shared" si="10"/>
        <v/>
      </c>
      <c r="Y15" s="1252" t="str">
        <f t="shared" si="10"/>
        <v/>
      </c>
      <c r="Z15" s="1252">
        <f t="shared" si="11"/>
        <v>18.448602719297121</v>
      </c>
      <c r="AA15" s="1252">
        <f t="shared" si="11"/>
        <v>16.925323563631366</v>
      </c>
      <c r="AB15" s="1252">
        <f t="shared" si="11"/>
        <v>1.5232791556657561</v>
      </c>
      <c r="AC15" s="1252">
        <f t="shared" si="15"/>
        <v>24.510041848125557</v>
      </c>
      <c r="AD15" s="1260">
        <f t="shared" si="15"/>
        <v>22.486276882300135</v>
      </c>
      <c r="AE15" s="1260">
        <f t="shared" si="15"/>
        <v>2.0237649658254173</v>
      </c>
      <c r="AF15" s="1254"/>
      <c r="AG15" s="1255"/>
      <c r="AH15" s="1255"/>
      <c r="AI15" s="1256">
        <f>AJ15+AK15</f>
        <v>105.81953212488803</v>
      </c>
      <c r="AJ15" s="1256">
        <f t="shared" si="23"/>
        <v>97.082139380258198</v>
      </c>
      <c r="AK15" s="1256">
        <f t="shared" si="24"/>
        <v>8.7373927446298278</v>
      </c>
      <c r="AL15" s="1256"/>
      <c r="AM15" s="1256"/>
      <c r="AN15" s="1256"/>
      <c r="AO15" s="1256">
        <f t="shared" si="21"/>
        <v>0</v>
      </c>
      <c r="AP15" s="1256">
        <f t="shared" si="25"/>
        <v>0</v>
      </c>
      <c r="AQ15" s="1256">
        <f t="shared" si="26"/>
        <v>0</v>
      </c>
      <c r="AR15" s="1256">
        <f>AS15+AT15</f>
        <v>145.03665301368838</v>
      </c>
      <c r="AS15" s="1256">
        <f t="shared" si="27"/>
        <v>133.06114930184435</v>
      </c>
      <c r="AT15" s="1256">
        <f t="shared" si="28"/>
        <v>11.975503711844027</v>
      </c>
      <c r="AU15" s="1256">
        <f>AV15+AW15</f>
        <v>2.5954418614235593</v>
      </c>
      <c r="AV15" s="1256">
        <f t="shared" si="29"/>
        <v>2.3811393178974085</v>
      </c>
      <c r="AW15" s="1256">
        <f t="shared" si="30"/>
        <v>0.21430254352615097</v>
      </c>
      <c r="AX15" s="1256"/>
      <c r="AY15" s="1256"/>
      <c r="AZ15" s="1256"/>
      <c r="BA15" s="1257">
        <f>BB15+BC15</f>
        <v>253.451627</v>
      </c>
      <c r="BB15" s="1257">
        <f t="shared" si="17"/>
        <v>232.524428</v>
      </c>
      <c r="BC15" s="1257">
        <f t="shared" si="17"/>
        <v>20.927199000000009</v>
      </c>
      <c r="BD15" s="1261">
        <f t="shared" si="22"/>
        <v>0</v>
      </c>
      <c r="BE15" s="1261">
        <v>0</v>
      </c>
      <c r="BF15" s="1261">
        <v>0</v>
      </c>
      <c r="BG15" s="1256">
        <f t="shared" si="18"/>
        <v>0</v>
      </c>
      <c r="BH15" s="1257">
        <f t="shared" si="19"/>
        <v>0</v>
      </c>
      <c r="BI15" s="1257">
        <f t="shared" si="19"/>
        <v>0</v>
      </c>
      <c r="BJ15" s="1257">
        <f>BK15+BL15</f>
        <v>253.451627</v>
      </c>
      <c r="BK15" s="1256">
        <f>VLOOKUP($D15,'当期公摊测算表（全期）'!$D$9:$W$192,20,0)</f>
        <v>232.524428</v>
      </c>
      <c r="BL15" s="1256">
        <f>VLOOKUP($D15,'当期公摊测算表（全期）'!$D$9:$W$192,19,0)</f>
        <v>20.927199000000009</v>
      </c>
      <c r="BM15" s="1262" t="s">
        <v>20</v>
      </c>
      <c r="BN15" s="1225">
        <f t="shared" si="12"/>
        <v>0</v>
      </c>
      <c r="BO15" s="1225">
        <f t="shared" si="13"/>
        <v>-5.6843418860808015E-14</v>
      </c>
      <c r="BP15" s="1225">
        <f t="shared" si="14"/>
        <v>0</v>
      </c>
      <c r="BQ15" s="1225"/>
      <c r="BR15" s="1221"/>
      <c r="BS15" s="1221"/>
      <c r="BT15" s="1221"/>
      <c r="BU15" s="1221"/>
      <c r="BV15" s="1221"/>
      <c r="BW15" s="1221"/>
      <c r="BX15" s="1221"/>
      <c r="BY15" s="1221"/>
      <c r="BZ15" s="1221"/>
      <c r="CA15" s="1221"/>
      <c r="CB15" s="1221"/>
      <c r="CC15" s="1221"/>
      <c r="CD15" s="1221"/>
      <c r="CE15" s="1221"/>
      <c r="CF15" s="1221"/>
      <c r="CG15" s="1221"/>
      <c r="CH15" s="1221"/>
      <c r="CI15" s="1221"/>
      <c r="CJ15" s="1221"/>
      <c r="CK15" s="1221"/>
      <c r="CL15" s="1221"/>
      <c r="CM15" s="1221"/>
      <c r="CN15" s="1221"/>
      <c r="CO15" s="1221"/>
      <c r="CP15" s="1221"/>
      <c r="CQ15" s="1221"/>
      <c r="CR15" s="1221"/>
      <c r="CS15" s="1221"/>
      <c r="CT15" s="1221"/>
      <c r="CU15" s="1221"/>
      <c r="CV15" s="1221"/>
      <c r="CW15" s="1221"/>
      <c r="CX15" s="1221"/>
      <c r="CY15" s="1221"/>
      <c r="CZ15" s="1221"/>
      <c r="DA15" s="1221"/>
      <c r="DB15" s="1221"/>
      <c r="DC15" s="1221"/>
      <c r="DD15" s="1221"/>
      <c r="DE15" s="1221"/>
      <c r="DF15" s="1221"/>
      <c r="DG15" s="1221"/>
      <c r="DH15" s="1221"/>
      <c r="DI15" s="1221"/>
      <c r="DJ15" s="1221"/>
      <c r="DK15" s="1221"/>
      <c r="DL15" s="1221"/>
      <c r="DM15" s="1221"/>
      <c r="DN15" s="1221"/>
      <c r="DO15" s="1221"/>
      <c r="DP15" s="1221"/>
      <c r="DQ15" s="1221"/>
      <c r="DR15" s="1221"/>
      <c r="DS15" s="1221"/>
      <c r="DT15" s="1221"/>
      <c r="DU15" s="1221"/>
      <c r="DV15" s="1221"/>
      <c r="DW15" s="1221"/>
      <c r="DX15" s="1221"/>
      <c r="DY15" s="1221"/>
      <c r="DZ15" s="1221"/>
      <c r="EA15" s="1221"/>
      <c r="EB15" s="1221"/>
      <c r="EC15" s="1221"/>
      <c r="ED15" s="1221"/>
      <c r="EE15" s="1221"/>
      <c r="EF15" s="1221"/>
      <c r="EG15" s="1221"/>
      <c r="EH15" s="1221"/>
      <c r="EI15" s="1221"/>
      <c r="EJ15" s="1221"/>
      <c r="EK15" s="1221"/>
      <c r="EL15" s="1221"/>
      <c r="EM15" s="1221"/>
      <c r="EN15" s="1221"/>
      <c r="EO15" s="1221"/>
      <c r="EP15" s="1221"/>
      <c r="EQ15" s="1221"/>
      <c r="ER15" s="1221"/>
      <c r="ES15" s="1221"/>
      <c r="ET15" s="1221"/>
      <c r="EU15" s="1221"/>
      <c r="EV15" s="1221"/>
      <c r="EW15" s="1221"/>
      <c r="EX15" s="1221"/>
      <c r="EY15" s="1221"/>
      <c r="EZ15" s="1221"/>
      <c r="FA15" s="1221"/>
      <c r="FB15" s="1221"/>
      <c r="FC15" s="1221"/>
      <c r="FD15" s="1221"/>
      <c r="FE15" s="1221"/>
      <c r="FF15" s="1221"/>
      <c r="FG15" s="1221"/>
      <c r="FH15" s="1221"/>
      <c r="FI15" s="1221"/>
      <c r="FJ15" s="1221"/>
      <c r="FK15" s="1221"/>
      <c r="FL15" s="1221"/>
      <c r="FM15" s="1221"/>
      <c r="FN15" s="1221"/>
      <c r="FO15" s="1221"/>
      <c r="FP15" s="1221"/>
      <c r="FQ15" s="1221"/>
      <c r="FR15" s="1221"/>
      <c r="FS15" s="1221"/>
      <c r="FT15" s="1221"/>
      <c r="FU15" s="1221"/>
      <c r="FV15" s="1221"/>
      <c r="FW15" s="1221"/>
      <c r="FX15" s="1221"/>
      <c r="FY15" s="1221"/>
      <c r="FZ15" s="1221"/>
      <c r="GA15" s="1221"/>
      <c r="GB15" s="1221"/>
      <c r="GC15" s="1221"/>
      <c r="GD15" s="1221"/>
      <c r="GE15" s="1221"/>
      <c r="GF15" s="1221"/>
      <c r="GG15" s="1221"/>
      <c r="GH15" s="1221"/>
      <c r="GI15" s="1221"/>
      <c r="GJ15" s="1221"/>
      <c r="GK15" s="1221"/>
      <c r="GL15" s="1221"/>
      <c r="GM15" s="1221"/>
      <c r="GN15" s="1221"/>
      <c r="GO15" s="1221"/>
      <c r="GP15" s="1221"/>
      <c r="GQ15" s="1221"/>
      <c r="GR15" s="1221"/>
      <c r="GS15" s="1221"/>
      <c r="GT15" s="1221"/>
      <c r="GU15" s="1221"/>
      <c r="GV15" s="1221"/>
      <c r="GW15" s="1221"/>
      <c r="GX15" s="1221"/>
      <c r="GY15" s="1221"/>
      <c r="GZ15" s="1221"/>
      <c r="HA15" s="1221"/>
      <c r="HB15" s="1221"/>
      <c r="HC15" s="1221"/>
      <c r="HD15" s="1221"/>
      <c r="HE15" s="1221"/>
      <c r="HF15" s="1221"/>
      <c r="HG15" s="1221"/>
      <c r="HH15" s="1221"/>
      <c r="HI15" s="1221"/>
      <c r="HJ15" s="1221"/>
      <c r="HK15" s="1221"/>
      <c r="HL15" s="1221"/>
      <c r="HM15" s="1221"/>
      <c r="HN15" s="1221"/>
      <c r="HO15" s="1221"/>
      <c r="HP15" s="1221"/>
      <c r="HQ15" s="1221"/>
      <c r="HR15" s="1221"/>
      <c r="HS15" s="1221"/>
      <c r="HT15" s="1221"/>
      <c r="HU15" s="1221"/>
      <c r="HV15" s="1221"/>
      <c r="HW15" s="1221"/>
      <c r="HX15" s="1221"/>
      <c r="HY15" s="1221"/>
      <c r="HZ15" s="1221"/>
      <c r="IA15" s="1221"/>
      <c r="IB15" s="1221"/>
      <c r="IC15" s="1221"/>
      <c r="ID15" s="1221"/>
      <c r="IE15" s="1221"/>
      <c r="IF15" s="1221"/>
      <c r="IG15" s="1221"/>
      <c r="IH15" s="1221"/>
      <c r="II15" s="1221"/>
      <c r="IJ15" s="1221"/>
      <c r="IK15" s="1221"/>
      <c r="IL15" s="1221"/>
      <c r="IM15" s="1221"/>
      <c r="IN15" s="1221"/>
      <c r="IO15" s="1221"/>
      <c r="IP15" s="1221"/>
      <c r="IQ15" s="1221"/>
      <c r="IR15" s="1221"/>
      <c r="IS15" s="1221"/>
      <c r="IT15" s="1221"/>
      <c r="IU15" s="1221"/>
      <c r="IV15" s="1221"/>
      <c r="IW15" s="1221"/>
      <c r="IX15" s="1221"/>
      <c r="IY15" s="1221"/>
      <c r="IZ15" s="1221"/>
      <c r="JA15" s="1221"/>
      <c r="JB15" s="1221"/>
      <c r="JC15" s="1221"/>
      <c r="JD15" s="1221"/>
      <c r="JE15" s="1221"/>
      <c r="JF15" s="1221"/>
      <c r="JG15" s="1221"/>
      <c r="JH15" s="1221"/>
      <c r="JI15" s="1221"/>
      <c r="JJ15" s="1221"/>
      <c r="JK15" s="1221"/>
      <c r="JL15" s="1221"/>
      <c r="JM15" s="1221"/>
      <c r="JN15" s="1221"/>
      <c r="JO15" s="1221"/>
      <c r="JP15" s="1221"/>
      <c r="JQ15" s="1221"/>
      <c r="JR15" s="1221"/>
      <c r="JS15" s="1221"/>
      <c r="JT15" s="1221"/>
      <c r="JU15" s="1221"/>
      <c r="JV15" s="1221"/>
      <c r="JW15" s="1221"/>
      <c r="JX15" s="1221"/>
      <c r="JY15" s="1221"/>
      <c r="JZ15" s="1221"/>
      <c r="KA15" s="1221"/>
      <c r="KB15" s="1221"/>
      <c r="KC15" s="1221"/>
      <c r="KD15" s="1221"/>
      <c r="KE15" s="1221"/>
      <c r="KF15" s="1221"/>
      <c r="KG15" s="1221"/>
      <c r="KH15" s="1221"/>
      <c r="KI15" s="1221"/>
      <c r="KJ15" s="1221"/>
      <c r="KK15" s="1221"/>
      <c r="KL15" s="1221"/>
      <c r="KM15" s="1221"/>
      <c r="KN15" s="1221"/>
      <c r="KO15" s="1221"/>
      <c r="KP15" s="1221"/>
      <c r="KQ15" s="1221"/>
      <c r="KR15" s="1221"/>
      <c r="KS15" s="1221"/>
      <c r="KT15" s="1221"/>
      <c r="KU15" s="1221"/>
      <c r="KV15" s="1221"/>
      <c r="KW15" s="1221"/>
      <c r="KX15" s="1221"/>
      <c r="KY15" s="1221"/>
      <c r="KZ15" s="1221"/>
      <c r="LA15" s="1221"/>
      <c r="LB15" s="1221"/>
      <c r="LC15" s="1221"/>
      <c r="LD15" s="1221"/>
      <c r="LE15" s="1221"/>
      <c r="LF15" s="1221"/>
      <c r="LG15" s="1221"/>
      <c r="LH15" s="1221"/>
      <c r="LI15" s="1221"/>
      <c r="LJ15" s="1221"/>
      <c r="LK15" s="1221"/>
      <c r="LL15" s="1221"/>
      <c r="LM15" s="1221"/>
      <c r="LN15" s="1221"/>
      <c r="LO15" s="1221"/>
      <c r="LP15" s="1221"/>
      <c r="LQ15" s="1221"/>
      <c r="LR15" s="1221"/>
      <c r="LS15" s="1221"/>
      <c r="LT15" s="1221"/>
      <c r="LU15" s="1221"/>
      <c r="LV15" s="1221"/>
      <c r="LW15" s="1221"/>
      <c r="LX15" s="1221"/>
      <c r="LY15" s="1221"/>
      <c r="LZ15" s="1221"/>
      <c r="MA15" s="1221"/>
      <c r="MB15" s="1221"/>
      <c r="MC15" s="1221"/>
      <c r="MD15" s="1221"/>
      <c r="ME15" s="1221"/>
      <c r="MF15" s="1221"/>
      <c r="MG15" s="1221"/>
      <c r="MH15" s="1221"/>
      <c r="MI15" s="1221"/>
      <c r="MJ15" s="1221"/>
      <c r="MK15" s="1221"/>
      <c r="ML15" s="1221"/>
      <c r="MM15" s="1221"/>
      <c r="MN15" s="1221"/>
      <c r="MO15" s="1221"/>
      <c r="MP15" s="1221"/>
      <c r="MQ15" s="1221"/>
      <c r="MR15" s="1221"/>
      <c r="MS15" s="1221"/>
      <c r="MT15" s="1221"/>
      <c r="MU15" s="1221"/>
      <c r="MV15" s="1221"/>
      <c r="MW15" s="1221"/>
      <c r="MX15" s="1221"/>
      <c r="MY15" s="1221"/>
      <c r="MZ15" s="1221"/>
      <c r="NA15" s="1221"/>
      <c r="NB15" s="1221"/>
      <c r="NC15" s="1221"/>
      <c r="ND15" s="1221"/>
      <c r="NE15" s="1221"/>
      <c r="NF15" s="1221"/>
      <c r="NG15" s="1221"/>
      <c r="NH15" s="1221"/>
      <c r="NI15" s="1221"/>
      <c r="NJ15" s="1221"/>
      <c r="NK15" s="1221"/>
      <c r="NL15" s="1221"/>
      <c r="NM15" s="1221"/>
      <c r="NN15" s="1221"/>
      <c r="NO15" s="1221"/>
      <c r="NP15" s="1221"/>
      <c r="NQ15" s="1221"/>
      <c r="NR15" s="1221"/>
      <c r="NS15" s="1221"/>
      <c r="NT15" s="1221"/>
      <c r="NU15" s="1221"/>
      <c r="NV15" s="1221"/>
      <c r="NW15" s="1221"/>
      <c r="NX15" s="1221"/>
      <c r="NY15" s="1221"/>
      <c r="NZ15" s="1221"/>
      <c r="OA15" s="1221"/>
      <c r="OB15" s="1221"/>
      <c r="OC15" s="1221"/>
      <c r="OD15" s="1221"/>
      <c r="OE15" s="1221"/>
      <c r="OF15" s="1221"/>
      <c r="OG15" s="1221"/>
      <c r="OH15" s="1221"/>
      <c r="OI15" s="1221"/>
      <c r="OJ15" s="1221"/>
      <c r="OK15" s="1221"/>
      <c r="OL15" s="1221"/>
      <c r="OM15" s="1221"/>
      <c r="ON15" s="1221"/>
      <c r="OO15" s="1221"/>
      <c r="OP15" s="1221"/>
      <c r="OQ15" s="1221"/>
      <c r="OR15" s="1221"/>
      <c r="OS15" s="1221"/>
      <c r="OT15" s="1221"/>
      <c r="OU15" s="1221"/>
      <c r="OV15" s="1221"/>
      <c r="OW15" s="1221"/>
      <c r="OX15" s="1221"/>
      <c r="OY15" s="1221"/>
      <c r="OZ15" s="1221"/>
      <c r="PA15" s="1221"/>
      <c r="PB15" s="1221"/>
      <c r="PC15" s="1221"/>
      <c r="PD15" s="1221"/>
      <c r="PE15" s="1221"/>
      <c r="PF15" s="1221"/>
      <c r="PG15" s="1221"/>
      <c r="PH15" s="1221"/>
      <c r="PI15" s="1221"/>
      <c r="PJ15" s="1221"/>
      <c r="PK15" s="1221"/>
      <c r="PL15" s="1221"/>
      <c r="PM15" s="1221"/>
      <c r="PN15" s="1221"/>
      <c r="PO15" s="1221"/>
      <c r="PP15" s="1221"/>
      <c r="PQ15" s="1221"/>
      <c r="PR15" s="1221"/>
      <c r="PS15" s="1221"/>
      <c r="PT15" s="1221"/>
      <c r="PU15" s="1221"/>
      <c r="PV15" s="1221"/>
      <c r="PW15" s="1221"/>
      <c r="PX15" s="1221"/>
      <c r="PY15" s="1221"/>
      <c r="PZ15" s="1221"/>
      <c r="QA15" s="1221"/>
      <c r="QB15" s="1221"/>
      <c r="QC15" s="1221"/>
      <c r="QD15" s="1221"/>
      <c r="QE15" s="1221"/>
      <c r="QF15" s="1221"/>
      <c r="QG15" s="1221"/>
      <c r="QH15" s="1221"/>
      <c r="QI15" s="1221"/>
      <c r="QJ15" s="1221"/>
      <c r="QK15" s="1221"/>
      <c r="QL15" s="1221"/>
      <c r="QM15" s="1221"/>
      <c r="QN15" s="1221"/>
      <c r="QO15" s="1221"/>
      <c r="QP15" s="1221"/>
      <c r="QQ15" s="1221"/>
      <c r="QR15" s="1221"/>
      <c r="QS15" s="1221"/>
      <c r="QT15" s="1221"/>
      <c r="QU15" s="1221"/>
      <c r="QV15" s="1221"/>
      <c r="QW15" s="1221"/>
      <c r="QX15" s="1221"/>
      <c r="QY15" s="1221"/>
      <c r="QZ15" s="1221"/>
      <c r="RA15" s="1221"/>
      <c r="RB15" s="1221"/>
      <c r="RC15" s="1221"/>
      <c r="RD15" s="1221"/>
      <c r="RE15" s="1221"/>
      <c r="RF15" s="1221"/>
      <c r="RG15" s="1221"/>
      <c r="RH15" s="1221"/>
      <c r="RI15" s="1221"/>
      <c r="RJ15" s="1221"/>
      <c r="RK15" s="1221"/>
      <c r="RL15" s="1221"/>
      <c r="RM15" s="1221"/>
      <c r="RN15" s="1221"/>
      <c r="RO15" s="1221"/>
      <c r="RP15" s="1221"/>
      <c r="RQ15" s="1221"/>
      <c r="RR15" s="1221"/>
      <c r="RS15" s="1221"/>
      <c r="RT15" s="1221"/>
      <c r="RU15" s="1221"/>
      <c r="RV15" s="1221"/>
      <c r="RW15" s="1221"/>
      <c r="RX15" s="1221"/>
      <c r="RY15" s="1221"/>
      <c r="RZ15" s="1221"/>
      <c r="SA15" s="1221"/>
      <c r="SB15" s="1221"/>
      <c r="SC15" s="1221"/>
      <c r="SD15" s="1221"/>
      <c r="SE15" s="1221"/>
      <c r="SF15" s="1221"/>
      <c r="SG15" s="1221"/>
      <c r="SH15" s="1221"/>
      <c r="SI15" s="1221"/>
      <c r="SJ15" s="1221"/>
      <c r="SK15" s="1221"/>
      <c r="SL15" s="1221"/>
      <c r="SM15" s="1221"/>
      <c r="SN15" s="1221"/>
      <c r="SO15" s="1221"/>
      <c r="SP15" s="1221"/>
      <c r="SQ15" s="1221"/>
      <c r="SR15" s="1221"/>
      <c r="SS15" s="1221"/>
      <c r="ST15" s="1221"/>
      <c r="SU15" s="1221"/>
      <c r="SV15" s="1221"/>
      <c r="SW15" s="1221"/>
      <c r="SX15" s="1221"/>
      <c r="SY15" s="1221"/>
      <c r="SZ15" s="1221"/>
      <c r="TA15" s="1221"/>
      <c r="TB15" s="1221"/>
      <c r="TC15" s="1221"/>
      <c r="TD15" s="1221"/>
      <c r="TE15" s="1221"/>
      <c r="TF15" s="1221"/>
      <c r="TG15" s="1221"/>
      <c r="TH15" s="1221"/>
      <c r="TI15" s="1221"/>
      <c r="TJ15" s="1221"/>
      <c r="TK15" s="1221"/>
      <c r="TL15" s="1221"/>
      <c r="TM15" s="1221"/>
      <c r="TN15" s="1221"/>
      <c r="TO15" s="1221"/>
      <c r="TP15" s="1221"/>
      <c r="TQ15" s="1221"/>
      <c r="TR15" s="1221"/>
      <c r="TS15" s="1221"/>
      <c r="TT15" s="1221"/>
      <c r="TU15" s="1221"/>
      <c r="TV15" s="1221"/>
      <c r="TW15" s="1221"/>
      <c r="TX15" s="1221"/>
      <c r="TY15" s="1221"/>
      <c r="TZ15" s="1221"/>
      <c r="UA15" s="1221"/>
      <c r="UB15" s="1221"/>
      <c r="UC15" s="1221"/>
      <c r="UD15" s="1221"/>
      <c r="UE15" s="1221"/>
      <c r="UF15" s="1221"/>
      <c r="UG15" s="1221"/>
      <c r="UH15" s="1221"/>
      <c r="UI15" s="1221"/>
      <c r="UJ15" s="1221"/>
      <c r="UK15" s="1221"/>
      <c r="UL15" s="1221"/>
      <c r="UM15" s="1221"/>
      <c r="UN15" s="1221"/>
      <c r="UO15" s="1221"/>
      <c r="UP15" s="1221"/>
      <c r="UQ15" s="1221"/>
      <c r="UR15" s="1221"/>
      <c r="US15" s="1221"/>
      <c r="UT15" s="1221"/>
      <c r="UU15" s="1221"/>
      <c r="UV15" s="1221"/>
      <c r="UW15" s="1221"/>
      <c r="UX15" s="1221"/>
      <c r="UY15" s="1221"/>
      <c r="UZ15" s="1221"/>
      <c r="VA15" s="1221"/>
      <c r="VB15" s="1221"/>
      <c r="VC15" s="1221"/>
      <c r="VD15" s="1221"/>
      <c r="VE15" s="1221"/>
      <c r="VF15" s="1221"/>
      <c r="VG15" s="1221"/>
      <c r="VH15" s="1221"/>
      <c r="VI15" s="1221"/>
      <c r="VJ15" s="1221"/>
      <c r="VK15" s="1221"/>
      <c r="VL15" s="1221"/>
      <c r="VM15" s="1221"/>
      <c r="VN15" s="1221"/>
      <c r="VO15" s="1221"/>
      <c r="VP15" s="1221"/>
      <c r="VQ15" s="1221"/>
      <c r="VR15" s="1221"/>
      <c r="VS15" s="1221"/>
      <c r="VT15" s="1221"/>
      <c r="VU15" s="1221"/>
      <c r="VV15" s="1221"/>
      <c r="VW15" s="1221"/>
      <c r="VX15" s="1221"/>
      <c r="VY15" s="1221"/>
      <c r="VZ15" s="1221"/>
      <c r="WA15" s="1221"/>
      <c r="WB15" s="1221"/>
      <c r="WC15" s="1221"/>
      <c r="WD15" s="1221"/>
      <c r="WE15" s="1221"/>
      <c r="WF15" s="1221"/>
      <c r="WG15" s="1221"/>
      <c r="WH15" s="1221"/>
      <c r="WI15" s="1221"/>
      <c r="WJ15" s="1221"/>
      <c r="WK15" s="1221"/>
      <c r="WL15" s="1221"/>
      <c r="WM15" s="1221"/>
      <c r="WN15" s="1221"/>
      <c r="WO15" s="1221"/>
      <c r="WP15" s="1221"/>
      <c r="WQ15" s="1221"/>
      <c r="WR15" s="1221"/>
      <c r="WS15" s="1221"/>
      <c r="WT15" s="1221"/>
      <c r="WU15" s="1221"/>
      <c r="WV15" s="1221"/>
      <c r="WW15" s="1221"/>
      <c r="WX15" s="1221"/>
      <c r="WY15" s="1221"/>
      <c r="WZ15" s="1221"/>
      <c r="XA15" s="1221"/>
      <c r="XB15" s="1221"/>
      <c r="XC15" s="1221"/>
      <c r="XD15" s="1221"/>
      <c r="XE15" s="1221"/>
      <c r="XF15" s="1221"/>
      <c r="XG15" s="1221"/>
      <c r="XH15" s="1221"/>
      <c r="XI15" s="1221"/>
      <c r="XJ15" s="1221"/>
      <c r="XK15" s="1221"/>
      <c r="XL15" s="1221"/>
      <c r="XM15" s="1221"/>
      <c r="XN15" s="1221"/>
      <c r="XO15" s="1221"/>
      <c r="XP15" s="1221"/>
      <c r="XQ15" s="1221"/>
      <c r="XR15" s="1221"/>
      <c r="XS15" s="1221"/>
      <c r="XT15" s="1221"/>
      <c r="XU15" s="1221"/>
      <c r="XV15" s="1221"/>
      <c r="XW15" s="1221"/>
      <c r="XX15" s="1221"/>
      <c r="XY15" s="1221"/>
      <c r="XZ15" s="1221"/>
      <c r="YA15" s="1221"/>
      <c r="YB15" s="1221"/>
      <c r="YC15" s="1221"/>
      <c r="YD15" s="1221"/>
      <c r="YE15" s="1221"/>
      <c r="YF15" s="1221"/>
      <c r="YG15" s="1221"/>
      <c r="YH15" s="1221"/>
      <c r="YI15" s="1221"/>
      <c r="YJ15" s="1221"/>
      <c r="YK15" s="1221"/>
      <c r="YL15" s="1221"/>
      <c r="YM15" s="1221"/>
      <c r="YN15" s="1221"/>
      <c r="YO15" s="1221"/>
      <c r="YP15" s="1221"/>
      <c r="YQ15" s="1221"/>
      <c r="YR15" s="1221"/>
      <c r="YS15" s="1221"/>
      <c r="YT15" s="1221"/>
      <c r="YU15" s="1221"/>
      <c r="YV15" s="1221"/>
      <c r="YW15" s="1221"/>
      <c r="YX15" s="1221"/>
      <c r="YY15" s="1221"/>
      <c r="YZ15" s="1221"/>
      <c r="ZA15" s="1221"/>
      <c r="ZB15" s="1221"/>
      <c r="ZC15" s="1221"/>
      <c r="ZD15" s="1221"/>
      <c r="ZE15" s="1221"/>
      <c r="ZF15" s="1221"/>
      <c r="ZG15" s="1221"/>
      <c r="ZH15" s="1221"/>
      <c r="ZI15" s="1221"/>
      <c r="ZJ15" s="1221"/>
      <c r="ZK15" s="1221"/>
      <c r="ZL15" s="1221"/>
      <c r="ZM15" s="1221"/>
      <c r="ZN15" s="1221"/>
      <c r="ZO15" s="1221"/>
      <c r="ZP15" s="1221"/>
      <c r="ZQ15" s="1221"/>
      <c r="ZR15" s="1221"/>
      <c r="ZS15" s="1221"/>
      <c r="ZT15" s="1221"/>
      <c r="ZU15" s="1221"/>
      <c r="ZV15" s="1221"/>
      <c r="ZW15" s="1221"/>
      <c r="ZX15" s="1221"/>
      <c r="ZY15" s="1221"/>
      <c r="ZZ15" s="1221"/>
      <c r="AAA15" s="1221"/>
      <c r="AAB15" s="1221"/>
      <c r="AAC15" s="1221"/>
      <c r="AAD15" s="1221"/>
      <c r="AAE15" s="1221"/>
      <c r="AAF15" s="1221"/>
      <c r="AAG15" s="1221"/>
      <c r="AAH15" s="1221"/>
      <c r="AAI15" s="1221"/>
      <c r="AAJ15" s="1221"/>
      <c r="AAK15" s="1221"/>
      <c r="AAL15" s="1221"/>
      <c r="AAM15" s="1221"/>
      <c r="AAN15" s="1221"/>
      <c r="AAO15" s="1221"/>
      <c r="AAP15" s="1221"/>
      <c r="AAQ15" s="1221"/>
      <c r="AAR15" s="1221"/>
      <c r="AAS15" s="1221"/>
      <c r="AAT15" s="1221"/>
      <c r="AAU15" s="1221"/>
      <c r="AAV15" s="1221"/>
      <c r="AAW15" s="1221"/>
      <c r="AAX15" s="1221"/>
      <c r="AAY15" s="1221"/>
      <c r="AAZ15" s="1221"/>
      <c r="ABA15" s="1221"/>
      <c r="ABB15" s="1221"/>
      <c r="ABC15" s="1221"/>
      <c r="ABD15" s="1221"/>
      <c r="ABE15" s="1221"/>
      <c r="ABF15" s="1221"/>
      <c r="ABG15" s="1221"/>
      <c r="ABH15" s="1221"/>
      <c r="ABI15" s="1221"/>
      <c r="ABJ15" s="1221"/>
      <c r="ABK15" s="1221"/>
      <c r="ABL15" s="1221"/>
      <c r="ABM15" s="1221"/>
      <c r="ABN15" s="1221"/>
      <c r="ABO15" s="1221"/>
      <c r="ABP15" s="1221"/>
      <c r="ABQ15" s="1221"/>
      <c r="ABR15" s="1221"/>
      <c r="ABS15" s="1221"/>
      <c r="ABT15" s="1221"/>
      <c r="ABU15" s="1221"/>
      <c r="ABV15" s="1221"/>
      <c r="ABW15" s="1221"/>
      <c r="ABX15" s="1221"/>
      <c r="ABY15" s="1221"/>
      <c r="ABZ15" s="1221"/>
      <c r="ACA15" s="1221"/>
      <c r="ACB15" s="1221"/>
      <c r="ACC15" s="1221"/>
      <c r="ACD15" s="1221"/>
      <c r="ACE15" s="1221"/>
      <c r="ACF15" s="1221"/>
      <c r="ACG15" s="1221"/>
      <c r="ACH15" s="1221"/>
      <c r="ACI15" s="1221"/>
      <c r="ACJ15" s="1221"/>
      <c r="ACK15" s="1221"/>
      <c r="ACL15" s="1221"/>
      <c r="ACM15" s="1221"/>
      <c r="ACN15" s="1221"/>
      <c r="ACO15" s="1221"/>
      <c r="ACP15" s="1221"/>
      <c r="ACQ15" s="1221"/>
      <c r="ACR15" s="1221"/>
      <c r="ACS15" s="1221"/>
      <c r="ACT15" s="1221"/>
      <c r="ACU15" s="1221"/>
      <c r="ACV15" s="1221"/>
      <c r="ACW15" s="1221"/>
      <c r="ACX15" s="1221"/>
      <c r="ACY15" s="1221"/>
      <c r="ACZ15" s="1221"/>
      <c r="ADA15" s="1221"/>
      <c r="ADB15" s="1221"/>
      <c r="ADC15" s="1221"/>
      <c r="ADD15" s="1221"/>
      <c r="ADE15" s="1221"/>
      <c r="ADF15" s="1221"/>
      <c r="ADG15" s="1221"/>
      <c r="ADH15" s="1221"/>
      <c r="ADI15" s="1221"/>
      <c r="ADJ15" s="1221"/>
      <c r="ADK15" s="1221"/>
      <c r="ADL15" s="1221"/>
      <c r="ADM15" s="1221"/>
      <c r="ADN15" s="1221"/>
      <c r="ADO15" s="1221"/>
      <c r="ADP15" s="1221"/>
      <c r="ADQ15" s="1221"/>
      <c r="ADR15" s="1221"/>
      <c r="ADS15" s="1221"/>
      <c r="ADT15" s="1221"/>
      <c r="ADU15" s="1221"/>
      <c r="ADV15" s="1221"/>
      <c r="ADW15" s="1221"/>
      <c r="ADX15" s="1221"/>
      <c r="ADY15" s="1221"/>
      <c r="ADZ15" s="1221"/>
      <c r="AEA15" s="1221"/>
      <c r="AEB15" s="1221"/>
      <c r="AEC15" s="1221"/>
      <c r="AED15" s="1221"/>
      <c r="AEE15" s="1221"/>
      <c r="AEF15" s="1221"/>
      <c r="AEG15" s="1221"/>
      <c r="AEH15" s="1221"/>
      <c r="AEI15" s="1221"/>
      <c r="AEJ15" s="1221"/>
      <c r="AEK15" s="1221"/>
      <c r="AEL15" s="1221"/>
      <c r="AEM15" s="1221"/>
      <c r="AEN15" s="1221"/>
      <c r="AEO15" s="1221"/>
      <c r="AEP15" s="1221"/>
      <c r="AEQ15" s="1221"/>
      <c r="AER15" s="1221"/>
      <c r="AES15" s="1221"/>
      <c r="AET15" s="1221"/>
      <c r="AEU15" s="1221"/>
      <c r="AEV15" s="1221"/>
      <c r="AEW15" s="1221"/>
      <c r="AEX15" s="1221"/>
      <c r="AEY15" s="1221"/>
      <c r="AEZ15" s="1221"/>
      <c r="AFA15" s="1221"/>
      <c r="AFB15" s="1221"/>
      <c r="AFC15" s="1221"/>
      <c r="AFD15" s="1221"/>
      <c r="AFE15" s="1221"/>
      <c r="AFF15" s="1221"/>
      <c r="AFG15" s="1221"/>
      <c r="AFH15" s="1221"/>
      <c r="AFI15" s="1221"/>
      <c r="AFJ15" s="1221"/>
      <c r="AFK15" s="1221"/>
      <c r="AFL15" s="1221"/>
      <c r="AFM15" s="1221"/>
      <c r="AFN15" s="1221"/>
      <c r="AFO15" s="1221"/>
      <c r="AFP15" s="1221"/>
      <c r="AFQ15" s="1221"/>
      <c r="AFR15" s="1221"/>
      <c r="AFS15" s="1221"/>
      <c r="AFT15" s="1221"/>
      <c r="AFU15" s="1221"/>
      <c r="AFV15" s="1221"/>
      <c r="AFW15" s="1221"/>
      <c r="AFX15" s="1221"/>
      <c r="AFY15" s="1221"/>
      <c r="AFZ15" s="1221"/>
      <c r="AGA15" s="1221"/>
      <c r="AGB15" s="1221"/>
      <c r="AGC15" s="1221"/>
      <c r="AGD15" s="1221"/>
      <c r="AGE15" s="1221"/>
      <c r="AGF15" s="1221"/>
      <c r="AGG15" s="1221"/>
      <c r="AGH15" s="1221"/>
      <c r="AGI15" s="1221"/>
      <c r="AGJ15" s="1221"/>
      <c r="AGK15" s="1221"/>
      <c r="AGL15" s="1221"/>
      <c r="AGM15" s="1221"/>
      <c r="AGN15" s="1221"/>
      <c r="AGO15" s="1221"/>
      <c r="AGP15" s="1221"/>
      <c r="AGQ15" s="1221"/>
      <c r="AGR15" s="1221"/>
      <c r="AGS15" s="1221"/>
      <c r="AGT15" s="1221"/>
      <c r="AGU15" s="1221"/>
      <c r="AGV15" s="1221"/>
      <c r="AGW15" s="1221"/>
      <c r="AGX15" s="1221"/>
      <c r="AGY15" s="1221"/>
      <c r="AGZ15" s="1221"/>
      <c r="AHA15" s="1221"/>
      <c r="AHB15" s="1221"/>
      <c r="AHC15" s="1221"/>
      <c r="AHD15" s="1221"/>
      <c r="AHE15" s="1221"/>
      <c r="AHF15" s="1221"/>
      <c r="AHG15" s="1221"/>
      <c r="AHH15" s="1221"/>
      <c r="AHI15" s="1221"/>
      <c r="AHJ15" s="1221"/>
      <c r="AHK15" s="1221"/>
      <c r="AHL15" s="1221"/>
      <c r="AHM15" s="1221"/>
      <c r="AHN15" s="1221"/>
      <c r="AHO15" s="1221"/>
      <c r="AHP15" s="1221"/>
      <c r="AHQ15" s="1221"/>
      <c r="AHR15" s="1221"/>
      <c r="AHS15" s="1221"/>
      <c r="AHT15" s="1221"/>
      <c r="AHU15" s="1221"/>
      <c r="AHV15" s="1221"/>
      <c r="AHW15" s="1221"/>
      <c r="AHX15" s="1221"/>
      <c r="AHY15" s="1221"/>
      <c r="AHZ15" s="1221"/>
      <c r="AIA15" s="1221"/>
      <c r="AIB15" s="1221"/>
      <c r="AIC15" s="1221"/>
      <c r="AID15" s="1221"/>
      <c r="AIE15" s="1221"/>
      <c r="AIF15" s="1221"/>
      <c r="AIG15" s="1221"/>
      <c r="AIH15" s="1221"/>
      <c r="AII15" s="1221"/>
      <c r="AIJ15" s="1221"/>
      <c r="AIK15" s="1221"/>
      <c r="AIL15" s="1221"/>
      <c r="AIM15" s="1221"/>
      <c r="AIN15" s="1221"/>
      <c r="AIO15" s="1221"/>
      <c r="AIP15" s="1221"/>
      <c r="AIQ15" s="1221"/>
      <c r="AIR15" s="1221"/>
      <c r="AIS15" s="1221"/>
      <c r="AIT15" s="1221"/>
      <c r="AIU15" s="1221"/>
      <c r="AIV15" s="1221"/>
      <c r="AIW15" s="1221"/>
      <c r="AIX15" s="1221"/>
      <c r="AIY15" s="1221"/>
      <c r="AIZ15" s="1221"/>
      <c r="AJA15" s="1221"/>
      <c r="AJB15" s="1221"/>
      <c r="AJC15" s="1221"/>
      <c r="AJD15" s="1221"/>
      <c r="AJE15" s="1221"/>
      <c r="AJF15" s="1221"/>
      <c r="AJG15" s="1221"/>
      <c r="AJH15" s="1221"/>
      <c r="AJI15" s="1221"/>
      <c r="AJJ15" s="1221"/>
      <c r="AJK15" s="1221"/>
      <c r="AJL15" s="1221"/>
      <c r="AJM15" s="1221"/>
      <c r="AJN15" s="1221"/>
      <c r="AJO15" s="1221"/>
      <c r="AJP15" s="1221"/>
      <c r="AJQ15" s="1221"/>
      <c r="AJR15" s="1221"/>
      <c r="AJS15" s="1221"/>
      <c r="AJT15" s="1221"/>
      <c r="AJU15" s="1221"/>
      <c r="AJV15" s="1221"/>
      <c r="AJW15" s="1221"/>
      <c r="AJX15" s="1221"/>
      <c r="AJY15" s="1221"/>
      <c r="AJZ15" s="1221"/>
      <c r="AKA15" s="1221"/>
      <c r="AKB15" s="1221"/>
      <c r="AKC15" s="1221"/>
      <c r="AKD15" s="1221"/>
      <c r="AKE15" s="1221"/>
      <c r="AKF15" s="1221"/>
      <c r="AKG15" s="1221"/>
      <c r="AKH15" s="1221"/>
      <c r="AKI15" s="1221"/>
      <c r="AKJ15" s="1221"/>
      <c r="AKK15" s="1221"/>
      <c r="AKL15" s="1221"/>
      <c r="AKM15" s="1221"/>
      <c r="AKN15" s="1221"/>
      <c r="AKO15" s="1221"/>
      <c r="AKP15" s="1221"/>
      <c r="AKQ15" s="1221"/>
      <c r="AKR15" s="1221"/>
      <c r="AKS15" s="1221"/>
      <c r="AKT15" s="1221"/>
      <c r="AKU15" s="1221"/>
      <c r="AKV15" s="1221"/>
      <c r="AKW15" s="1221"/>
      <c r="AKX15" s="1221"/>
      <c r="AKY15" s="1221"/>
      <c r="AKZ15" s="1221"/>
      <c r="ALA15" s="1221"/>
      <c r="ALB15" s="1221"/>
      <c r="ALC15" s="1221"/>
      <c r="ALD15" s="1221"/>
      <c r="ALE15" s="1221"/>
      <c r="ALF15" s="1221"/>
      <c r="ALG15" s="1221"/>
      <c r="ALH15" s="1221"/>
      <c r="ALI15" s="1221"/>
      <c r="ALJ15" s="1221"/>
      <c r="ALK15" s="1221"/>
      <c r="ALL15" s="1221"/>
      <c r="ALM15" s="1221"/>
      <c r="ALN15" s="1221"/>
      <c r="ALO15" s="1221"/>
      <c r="ALP15" s="1221"/>
      <c r="ALQ15" s="1221"/>
      <c r="ALR15" s="1221"/>
      <c r="ALS15" s="1221"/>
      <c r="ALT15" s="1221"/>
      <c r="ALU15" s="1221"/>
      <c r="ALV15" s="1221"/>
      <c r="ALW15" s="1221"/>
      <c r="ALX15" s="1221"/>
      <c r="ALY15" s="1221"/>
      <c r="ALZ15" s="1221"/>
      <c r="AMA15" s="1221"/>
      <c r="AMB15" s="1221"/>
      <c r="AMC15" s="1221"/>
      <c r="AMD15" s="1221"/>
      <c r="AME15" s="1221"/>
      <c r="AMF15" s="1221"/>
      <c r="AMG15" s="1221"/>
      <c r="AMH15" s="1221"/>
      <c r="AMI15" s="1221"/>
      <c r="AMJ15" s="1221"/>
      <c r="AMK15" s="1221"/>
      <c r="AML15" s="1221"/>
      <c r="AMM15" s="1221"/>
      <c r="AMN15" s="1221"/>
      <c r="AMO15" s="1221"/>
      <c r="AMP15" s="1221"/>
      <c r="AMQ15" s="1221"/>
      <c r="AMR15" s="1221"/>
      <c r="AMS15" s="1221"/>
      <c r="AMT15" s="1221"/>
      <c r="AMU15" s="1221"/>
      <c r="AMV15" s="1221"/>
      <c r="AMW15" s="1221"/>
      <c r="AMX15" s="1221"/>
      <c r="AMY15" s="1221"/>
      <c r="AMZ15" s="1221"/>
      <c r="ANA15" s="1221"/>
      <c r="ANB15" s="1221"/>
      <c r="ANC15" s="1221"/>
      <c r="AND15" s="1221"/>
      <c r="ANE15" s="1221"/>
      <c r="ANF15" s="1221"/>
      <c r="ANG15" s="1221"/>
      <c r="ANH15" s="1221"/>
      <c r="ANI15" s="1221"/>
      <c r="ANJ15" s="1221"/>
      <c r="ANK15" s="1221"/>
      <c r="ANL15" s="1221"/>
      <c r="ANM15" s="1221"/>
      <c r="ANN15" s="1221"/>
      <c r="ANO15" s="1221"/>
      <c r="ANP15" s="1221"/>
      <c r="ANQ15" s="1221"/>
      <c r="ANR15" s="1221"/>
      <c r="ANS15" s="1221"/>
      <c r="ANT15" s="1221"/>
      <c r="ANU15" s="1221"/>
      <c r="ANV15" s="1221"/>
      <c r="ANW15" s="1221"/>
      <c r="ANX15" s="1221"/>
      <c r="ANY15" s="1221"/>
      <c r="ANZ15" s="1221"/>
      <c r="AOA15" s="1221"/>
      <c r="AOB15" s="1221"/>
      <c r="AOC15" s="1221"/>
      <c r="AOD15" s="1221"/>
      <c r="AOE15" s="1221"/>
      <c r="AOF15" s="1221"/>
      <c r="AOG15" s="1221"/>
      <c r="AOH15" s="1221"/>
      <c r="AOI15" s="1221"/>
      <c r="AOJ15" s="1221"/>
      <c r="AOK15" s="1221"/>
      <c r="AOL15" s="1221"/>
      <c r="AOM15" s="1221"/>
      <c r="AON15" s="1221"/>
      <c r="AOO15" s="1221"/>
      <c r="AOP15" s="1221"/>
      <c r="AOQ15" s="1221"/>
      <c r="AOR15" s="1221"/>
      <c r="AOS15" s="1221"/>
      <c r="AOT15" s="1221"/>
      <c r="AOU15" s="1221"/>
      <c r="AOV15" s="1221"/>
      <c r="AOW15" s="1221"/>
      <c r="AOX15" s="1221"/>
      <c r="AOY15" s="1221"/>
      <c r="AOZ15" s="1221"/>
      <c r="APA15" s="1221"/>
      <c r="APB15" s="1221"/>
      <c r="APC15" s="1221"/>
      <c r="APD15" s="1221"/>
      <c r="APE15" s="1221"/>
      <c r="APF15" s="1221"/>
      <c r="APG15" s="1221"/>
      <c r="APH15" s="1221"/>
      <c r="API15" s="1221"/>
      <c r="APJ15" s="1221"/>
      <c r="APK15" s="1221"/>
      <c r="APL15" s="1221"/>
      <c r="APM15" s="1221"/>
      <c r="APN15" s="1221"/>
      <c r="APO15" s="1221"/>
      <c r="APP15" s="1221"/>
      <c r="APQ15" s="1221"/>
      <c r="APR15" s="1221"/>
      <c r="APS15" s="1221"/>
      <c r="APT15" s="1221"/>
      <c r="APU15" s="1221"/>
      <c r="APV15" s="1221"/>
      <c r="APW15" s="1221"/>
      <c r="APX15" s="1221"/>
      <c r="APY15" s="1221"/>
      <c r="APZ15" s="1221"/>
      <c r="AQA15" s="1221"/>
      <c r="AQB15" s="1221"/>
      <c r="AQC15" s="1221"/>
      <c r="AQD15" s="1221"/>
      <c r="AQE15" s="1221"/>
      <c r="AQF15" s="1221"/>
      <c r="AQG15" s="1221"/>
      <c r="AQH15" s="1221"/>
      <c r="AQI15" s="1221"/>
      <c r="AQJ15" s="1221"/>
      <c r="AQK15" s="1221"/>
      <c r="AQL15" s="1221"/>
      <c r="AQM15" s="1221"/>
      <c r="AQN15" s="1221"/>
      <c r="AQO15" s="1221"/>
      <c r="AQP15" s="1221"/>
      <c r="AQQ15" s="1221"/>
      <c r="AQR15" s="1221"/>
      <c r="AQS15" s="1221"/>
      <c r="AQT15" s="1221"/>
      <c r="AQU15" s="1221"/>
      <c r="AQV15" s="1221"/>
      <c r="AQW15" s="1221"/>
      <c r="AQX15" s="1221"/>
      <c r="AQY15" s="1221"/>
      <c r="AQZ15" s="1221"/>
      <c r="ARA15" s="1221"/>
      <c r="ARB15" s="1221"/>
      <c r="ARC15" s="1221"/>
      <c r="ARD15" s="1221"/>
      <c r="ARE15" s="1221"/>
      <c r="ARF15" s="1221"/>
      <c r="ARG15" s="1221"/>
      <c r="ARH15" s="1221"/>
      <c r="ARI15" s="1221"/>
      <c r="ARJ15" s="1221"/>
      <c r="ARK15" s="1221"/>
      <c r="ARL15" s="1221"/>
      <c r="ARM15" s="1221"/>
      <c r="ARN15" s="1221"/>
      <c r="ARO15" s="1221"/>
      <c r="ARP15" s="1221"/>
      <c r="ARQ15" s="1221"/>
      <c r="ARR15" s="1221"/>
      <c r="ARS15" s="1221"/>
      <c r="ART15" s="1221"/>
      <c r="ARU15" s="1221"/>
      <c r="ARV15" s="1221"/>
      <c r="ARW15" s="1221"/>
      <c r="ARX15" s="1221"/>
      <c r="ARY15" s="1221"/>
      <c r="ARZ15" s="1221"/>
      <c r="ASA15" s="1221"/>
      <c r="ASB15" s="1221"/>
      <c r="ASC15" s="1221"/>
      <c r="ASD15" s="1221"/>
      <c r="ASE15" s="1221"/>
      <c r="ASF15" s="1221"/>
      <c r="ASG15" s="1221"/>
      <c r="ASH15" s="1221"/>
      <c r="ASI15" s="1221"/>
      <c r="ASJ15" s="1221"/>
      <c r="ASK15" s="1221"/>
      <c r="ASL15" s="1221"/>
      <c r="ASM15" s="1221"/>
      <c r="ASN15" s="1221"/>
      <c r="ASO15" s="1221"/>
      <c r="ASP15" s="1221"/>
      <c r="ASQ15" s="1221"/>
      <c r="ASR15" s="1221"/>
      <c r="ASS15" s="1221"/>
      <c r="AST15" s="1221"/>
      <c r="ASU15" s="1221"/>
      <c r="ASV15" s="1221"/>
      <c r="ASW15" s="1221"/>
      <c r="ASX15" s="1221"/>
      <c r="ASY15" s="1221"/>
      <c r="ASZ15" s="1221"/>
      <c r="ATA15" s="1221"/>
      <c r="ATB15" s="1221"/>
      <c r="ATC15" s="1221"/>
      <c r="ATD15" s="1221"/>
      <c r="ATE15" s="1221"/>
      <c r="ATF15" s="1221"/>
      <c r="ATG15" s="1221"/>
      <c r="ATH15" s="1221"/>
      <c r="ATI15" s="1221"/>
      <c r="ATJ15" s="1221"/>
      <c r="ATK15" s="1221"/>
      <c r="ATL15" s="1221"/>
      <c r="ATM15" s="1221"/>
      <c r="ATN15" s="1221"/>
      <c r="ATO15" s="1221"/>
      <c r="ATP15" s="1221"/>
      <c r="ATQ15" s="1221"/>
      <c r="ATR15" s="1221"/>
      <c r="ATS15" s="1221"/>
      <c r="ATT15" s="1221"/>
      <c r="ATU15" s="1221"/>
      <c r="ATV15" s="1221"/>
      <c r="ATW15" s="1221"/>
      <c r="ATX15" s="1221"/>
      <c r="ATY15" s="1221"/>
      <c r="ATZ15" s="1221"/>
      <c r="AUA15" s="1221"/>
      <c r="AUB15" s="1221"/>
      <c r="AUC15" s="1221"/>
      <c r="AUD15" s="1221"/>
      <c r="AUE15" s="1221"/>
      <c r="AUF15" s="1221"/>
      <c r="AUG15" s="1221"/>
      <c r="AUH15" s="1221"/>
      <c r="AUI15" s="1221"/>
      <c r="AUJ15" s="1221"/>
      <c r="AUK15" s="1221"/>
      <c r="AUL15" s="1221"/>
      <c r="AUM15" s="1221"/>
      <c r="AUN15" s="1221"/>
      <c r="AUO15" s="1221"/>
      <c r="AUP15" s="1221"/>
      <c r="AUQ15" s="1221"/>
      <c r="AUR15" s="1221"/>
      <c r="AUS15" s="1221"/>
      <c r="AUT15" s="1221"/>
      <c r="AUU15" s="1221"/>
      <c r="AUV15" s="1221"/>
      <c r="AUW15" s="1221"/>
      <c r="AUX15" s="1221"/>
      <c r="AUY15" s="1221"/>
      <c r="AUZ15" s="1221"/>
      <c r="AVA15" s="1221"/>
      <c r="AVB15" s="1221"/>
      <c r="AVC15" s="1221"/>
      <c r="AVD15" s="1221"/>
      <c r="AVE15" s="1221"/>
      <c r="AVF15" s="1221"/>
      <c r="AVG15" s="1221"/>
      <c r="AVH15" s="1221"/>
      <c r="AVI15" s="1221"/>
      <c r="AVJ15" s="1221"/>
      <c r="AVK15" s="1221"/>
      <c r="AVL15" s="1221"/>
      <c r="AVM15" s="1221"/>
      <c r="AVN15" s="1221"/>
      <c r="AVO15" s="1221"/>
      <c r="AVP15" s="1221"/>
      <c r="AVQ15" s="1221"/>
      <c r="AVR15" s="1221"/>
      <c r="AVS15" s="1221"/>
      <c r="AVT15" s="1221"/>
      <c r="AVU15" s="1221"/>
      <c r="AVV15" s="1221"/>
      <c r="AVW15" s="1221"/>
      <c r="AVX15" s="1221"/>
      <c r="AVY15" s="1221"/>
      <c r="AVZ15" s="1221"/>
      <c r="AWA15" s="1221"/>
      <c r="AWB15" s="1221"/>
      <c r="AWC15" s="1221"/>
      <c r="AWD15" s="1221"/>
      <c r="AWE15" s="1221"/>
      <c r="AWF15" s="1221"/>
      <c r="AWG15" s="1221"/>
      <c r="AWH15" s="1221"/>
      <c r="AWI15" s="1221"/>
      <c r="AWJ15" s="1221"/>
      <c r="AWK15" s="1221"/>
      <c r="AWL15" s="1221"/>
      <c r="AWM15" s="1221"/>
      <c r="AWN15" s="1221"/>
      <c r="AWO15" s="1221"/>
      <c r="AWP15" s="1221"/>
      <c r="AWQ15" s="1221"/>
      <c r="AWR15" s="1221"/>
      <c r="AWS15" s="1221"/>
      <c r="AWT15" s="1221"/>
      <c r="AWU15" s="1221"/>
      <c r="AWV15" s="1221"/>
      <c r="AWW15" s="1221"/>
      <c r="AWX15" s="1221"/>
      <c r="AWY15" s="1221"/>
      <c r="AWZ15" s="1221"/>
      <c r="AXA15" s="1221"/>
      <c r="AXB15" s="1221"/>
      <c r="AXC15" s="1221"/>
      <c r="AXD15" s="1221"/>
      <c r="AXE15" s="1221"/>
      <c r="AXF15" s="1221"/>
      <c r="AXG15" s="1221"/>
      <c r="AXH15" s="1221"/>
      <c r="AXI15" s="1221"/>
      <c r="AXJ15" s="1221"/>
      <c r="AXK15" s="1221"/>
      <c r="AXL15" s="1221"/>
      <c r="AXM15" s="1221"/>
      <c r="AXN15" s="1221"/>
      <c r="AXO15" s="1221"/>
      <c r="AXP15" s="1221"/>
      <c r="AXQ15" s="1221"/>
      <c r="AXR15" s="1221"/>
      <c r="AXS15" s="1221"/>
      <c r="AXT15" s="1221"/>
      <c r="AXU15" s="1221"/>
      <c r="AXV15" s="1221"/>
      <c r="AXW15" s="1221"/>
      <c r="AXX15" s="1221"/>
      <c r="AXY15" s="1221"/>
      <c r="AXZ15" s="1221"/>
      <c r="AYA15" s="1221"/>
      <c r="AYB15" s="1221"/>
      <c r="AYC15" s="1221"/>
      <c r="AYD15" s="1221"/>
      <c r="AYE15" s="1221"/>
      <c r="AYF15" s="1221"/>
      <c r="AYG15" s="1221"/>
      <c r="AYH15" s="1221"/>
      <c r="AYI15" s="1221"/>
      <c r="AYJ15" s="1221"/>
      <c r="AYK15" s="1221"/>
      <c r="AYL15" s="1221"/>
      <c r="AYM15" s="1221"/>
      <c r="AYN15" s="1221"/>
      <c r="AYO15" s="1221"/>
      <c r="AYP15" s="1221"/>
      <c r="AYQ15" s="1221"/>
      <c r="AYR15" s="1221"/>
      <c r="AYS15" s="1221"/>
      <c r="AYT15" s="1221"/>
      <c r="AYU15" s="1221"/>
      <c r="AYV15" s="1221"/>
      <c r="AYW15" s="1221"/>
      <c r="AYX15" s="1221"/>
      <c r="AYY15" s="1221"/>
      <c r="AYZ15" s="1221"/>
      <c r="AZA15" s="1221"/>
      <c r="AZB15" s="1221"/>
      <c r="AZC15" s="1221"/>
      <c r="AZD15" s="1221"/>
      <c r="AZE15" s="1221"/>
      <c r="AZF15" s="1221"/>
      <c r="AZG15" s="1221"/>
      <c r="AZH15" s="1221"/>
      <c r="AZI15" s="1221"/>
      <c r="AZJ15" s="1221"/>
      <c r="AZK15" s="1221"/>
      <c r="AZL15" s="1221"/>
      <c r="AZM15" s="1221"/>
      <c r="AZN15" s="1221"/>
      <c r="AZO15" s="1221"/>
      <c r="AZP15" s="1221"/>
      <c r="AZQ15" s="1221"/>
      <c r="AZR15" s="1221"/>
      <c r="AZS15" s="1221"/>
      <c r="AZT15" s="1221"/>
      <c r="AZU15" s="1221"/>
      <c r="AZV15" s="1221"/>
      <c r="AZW15" s="1221"/>
      <c r="AZX15" s="1221"/>
      <c r="AZY15" s="1221"/>
      <c r="AZZ15" s="1221"/>
      <c r="BAA15" s="1221"/>
      <c r="BAB15" s="1221"/>
      <c r="BAC15" s="1221"/>
      <c r="BAD15" s="1221"/>
      <c r="BAE15" s="1221"/>
      <c r="BAF15" s="1221"/>
      <c r="BAG15" s="1221"/>
      <c r="BAH15" s="1221"/>
      <c r="BAI15" s="1221"/>
      <c r="BAJ15" s="1221"/>
      <c r="BAK15" s="1221"/>
      <c r="BAL15" s="1221"/>
      <c r="BAM15" s="1221"/>
      <c r="BAN15" s="1221"/>
      <c r="BAO15" s="1221"/>
      <c r="BAP15" s="1221"/>
      <c r="BAQ15" s="1221"/>
      <c r="BAR15" s="1221"/>
      <c r="BAS15" s="1221"/>
      <c r="BAT15" s="1221"/>
      <c r="BAU15" s="1221"/>
      <c r="BAV15" s="1221"/>
      <c r="BAW15" s="1221"/>
      <c r="BAX15" s="1221"/>
      <c r="BAY15" s="1221"/>
      <c r="BAZ15" s="1221"/>
      <c r="BBA15" s="1221"/>
      <c r="BBB15" s="1221"/>
      <c r="BBC15" s="1221"/>
      <c r="BBD15" s="1221"/>
      <c r="BBE15" s="1221"/>
      <c r="BBF15" s="1221"/>
      <c r="BBG15" s="1221"/>
      <c r="BBH15" s="1221"/>
      <c r="BBI15" s="1221"/>
      <c r="BBJ15" s="1221"/>
      <c r="BBK15" s="1221"/>
      <c r="BBL15" s="1221"/>
      <c r="BBM15" s="1221"/>
      <c r="BBN15" s="1221"/>
      <c r="BBO15" s="1221"/>
      <c r="BBP15" s="1221"/>
      <c r="BBQ15" s="1221"/>
      <c r="BBR15" s="1221"/>
      <c r="BBS15" s="1221"/>
      <c r="BBT15" s="1221"/>
      <c r="BBU15" s="1221"/>
      <c r="BBV15" s="1221"/>
      <c r="BBW15" s="1221"/>
      <c r="BBX15" s="1221"/>
      <c r="BBY15" s="1221"/>
      <c r="BBZ15" s="1221"/>
      <c r="BCA15" s="1221"/>
      <c r="BCB15" s="1221"/>
      <c r="BCC15" s="1221"/>
      <c r="BCD15" s="1221"/>
      <c r="BCE15" s="1221"/>
      <c r="BCF15" s="1221"/>
      <c r="BCG15" s="1221"/>
      <c r="BCH15" s="1221"/>
      <c r="BCI15" s="1221"/>
      <c r="BCJ15" s="1221"/>
      <c r="BCK15" s="1221"/>
      <c r="BCL15" s="1221"/>
      <c r="BCM15" s="1221"/>
      <c r="BCN15" s="1221"/>
      <c r="BCO15" s="1221"/>
      <c r="BCP15" s="1221"/>
      <c r="BCQ15" s="1221"/>
      <c r="BCR15" s="1221"/>
      <c r="BCS15" s="1221"/>
      <c r="BCT15" s="1221"/>
      <c r="BCU15" s="1221"/>
      <c r="BCV15" s="1221"/>
      <c r="BCW15" s="1221"/>
      <c r="BCX15" s="1221"/>
      <c r="BCY15" s="1221"/>
      <c r="BCZ15" s="1221"/>
      <c r="BDA15" s="1221"/>
      <c r="BDB15" s="1221"/>
      <c r="BDC15" s="1221"/>
      <c r="BDD15" s="1221"/>
      <c r="BDE15" s="1221"/>
      <c r="BDF15" s="1221"/>
      <c r="BDG15" s="1221"/>
      <c r="BDH15" s="1221"/>
      <c r="BDI15" s="1221"/>
      <c r="BDJ15" s="1221"/>
      <c r="BDK15" s="1221"/>
      <c r="BDL15" s="1221"/>
      <c r="BDM15" s="1221"/>
      <c r="BDN15" s="1221"/>
      <c r="BDO15" s="1221"/>
      <c r="BDP15" s="1221"/>
      <c r="BDQ15" s="1221"/>
      <c r="BDR15" s="1221"/>
      <c r="BDS15" s="1221"/>
      <c r="BDT15" s="1221"/>
      <c r="BDU15" s="1221"/>
      <c r="BDV15" s="1221"/>
      <c r="BDW15" s="1221"/>
      <c r="BDX15" s="1221"/>
      <c r="BDY15" s="1221"/>
      <c r="BDZ15" s="1221"/>
      <c r="BEA15" s="1221"/>
      <c r="BEB15" s="1221"/>
      <c r="BEC15" s="1221"/>
      <c r="BED15" s="1221"/>
      <c r="BEE15" s="1221"/>
      <c r="BEF15" s="1221"/>
      <c r="BEG15" s="1221"/>
      <c r="BEH15" s="1221"/>
      <c r="BEI15" s="1221"/>
      <c r="BEJ15" s="1221"/>
      <c r="BEK15" s="1221"/>
      <c r="BEL15" s="1221"/>
      <c r="BEM15" s="1221"/>
      <c r="BEN15" s="1221"/>
      <c r="BEO15" s="1221"/>
      <c r="BEP15" s="1221"/>
      <c r="BEQ15" s="1221"/>
      <c r="BER15" s="1221"/>
      <c r="BES15" s="1221"/>
      <c r="BET15" s="1221"/>
      <c r="BEU15" s="1221"/>
      <c r="BEV15" s="1221"/>
      <c r="BEW15" s="1221"/>
      <c r="BEX15" s="1221"/>
      <c r="BEY15" s="1221"/>
      <c r="BEZ15" s="1221"/>
      <c r="BFA15" s="1221"/>
      <c r="BFB15" s="1221"/>
      <c r="BFC15" s="1221"/>
      <c r="BFD15" s="1221"/>
      <c r="BFE15" s="1221"/>
      <c r="BFF15" s="1221"/>
      <c r="BFG15" s="1221"/>
      <c r="BFH15" s="1221"/>
      <c r="BFI15" s="1221"/>
      <c r="BFJ15" s="1221"/>
      <c r="BFK15" s="1221"/>
      <c r="BFL15" s="1221"/>
      <c r="BFM15" s="1221"/>
      <c r="BFN15" s="1221"/>
      <c r="BFO15" s="1221"/>
      <c r="BFP15" s="1221"/>
      <c r="BFQ15" s="1221"/>
      <c r="BFR15" s="1221"/>
      <c r="BFS15" s="1221"/>
      <c r="BFT15" s="1221"/>
      <c r="BFU15" s="1221"/>
      <c r="BFV15" s="1221"/>
      <c r="BFW15" s="1221"/>
      <c r="BFX15" s="1221"/>
      <c r="BFY15" s="1221"/>
      <c r="BFZ15" s="1221"/>
      <c r="BGA15" s="1221"/>
      <c r="BGB15" s="1221"/>
      <c r="BGC15" s="1221"/>
      <c r="BGD15" s="1221"/>
      <c r="BGE15" s="1221"/>
      <c r="BGF15" s="1221"/>
      <c r="BGG15" s="1221"/>
      <c r="BGH15" s="1221"/>
      <c r="BGI15" s="1221"/>
      <c r="BGJ15" s="1221"/>
      <c r="BGK15" s="1221"/>
      <c r="BGL15" s="1221"/>
      <c r="BGM15" s="1221"/>
      <c r="BGN15" s="1221"/>
      <c r="BGO15" s="1221"/>
      <c r="BGP15" s="1221"/>
      <c r="BGQ15" s="1221"/>
      <c r="BGR15" s="1221"/>
      <c r="BGS15" s="1221"/>
      <c r="BGT15" s="1221"/>
      <c r="BGU15" s="1221"/>
      <c r="BGV15" s="1221"/>
      <c r="BGW15" s="1221"/>
      <c r="BGX15" s="1221"/>
      <c r="BGY15" s="1221"/>
      <c r="BGZ15" s="1221"/>
      <c r="BHA15" s="1221"/>
      <c r="BHB15" s="1221"/>
      <c r="BHC15" s="1221"/>
      <c r="BHD15" s="1221"/>
      <c r="BHE15" s="1221"/>
      <c r="BHF15" s="1221"/>
      <c r="BHG15" s="1221"/>
      <c r="BHH15" s="1221"/>
      <c r="BHI15" s="1221"/>
      <c r="BHJ15" s="1221"/>
      <c r="BHK15" s="1221"/>
      <c r="BHL15" s="1221"/>
      <c r="BHM15" s="1221"/>
      <c r="BHN15" s="1221"/>
      <c r="BHO15" s="1221"/>
      <c r="BHP15" s="1221"/>
      <c r="BHQ15" s="1221"/>
      <c r="BHR15" s="1221"/>
      <c r="BHS15" s="1221"/>
      <c r="BHT15" s="1221"/>
      <c r="BHU15" s="1221"/>
      <c r="BHV15" s="1221"/>
      <c r="BHW15" s="1221"/>
      <c r="BHX15" s="1221"/>
      <c r="BHY15" s="1221"/>
      <c r="BHZ15" s="1221"/>
      <c r="BIA15" s="1221"/>
      <c r="BIB15" s="1221"/>
      <c r="BIC15" s="1221"/>
      <c r="BID15" s="1221"/>
      <c r="BIE15" s="1221"/>
      <c r="BIF15" s="1221"/>
      <c r="BIG15" s="1221"/>
      <c r="BIH15" s="1221"/>
      <c r="BII15" s="1221"/>
      <c r="BIJ15" s="1221"/>
      <c r="BIK15" s="1221"/>
      <c r="BIL15" s="1221"/>
      <c r="BIM15" s="1221"/>
      <c r="BIN15" s="1221"/>
      <c r="BIO15" s="1221"/>
      <c r="BIP15" s="1221"/>
      <c r="BIQ15" s="1221"/>
      <c r="BIR15" s="1221"/>
      <c r="BIS15" s="1221"/>
      <c r="BIT15" s="1221"/>
      <c r="BIU15" s="1221"/>
      <c r="BIV15" s="1221"/>
      <c r="BIW15" s="1221"/>
      <c r="BIX15" s="1221"/>
      <c r="BIY15" s="1221"/>
      <c r="BIZ15" s="1221"/>
      <c r="BJA15" s="1221"/>
      <c r="BJB15" s="1221"/>
      <c r="BJC15" s="1221"/>
      <c r="BJD15" s="1221"/>
      <c r="BJE15" s="1221"/>
      <c r="BJF15" s="1221"/>
      <c r="BJG15" s="1221"/>
      <c r="BJH15" s="1221"/>
      <c r="BJI15" s="1221"/>
      <c r="BJJ15" s="1221"/>
      <c r="BJK15" s="1221"/>
      <c r="BJL15" s="1221"/>
      <c r="BJM15" s="1221"/>
      <c r="BJN15" s="1221"/>
      <c r="BJO15" s="1221"/>
      <c r="BJP15" s="1221"/>
      <c r="BJQ15" s="1221"/>
      <c r="BJR15" s="1221"/>
      <c r="BJS15" s="1221"/>
      <c r="BJT15" s="1221"/>
      <c r="BJU15" s="1221"/>
      <c r="BJV15" s="1221"/>
      <c r="BJW15" s="1221"/>
      <c r="BJX15" s="1221"/>
      <c r="BJY15" s="1221"/>
      <c r="BJZ15" s="1221"/>
      <c r="BKA15" s="1221"/>
      <c r="BKB15" s="1221"/>
      <c r="BKC15" s="1221"/>
      <c r="BKD15" s="1221"/>
      <c r="BKE15" s="1221"/>
      <c r="BKF15" s="1221"/>
      <c r="BKG15" s="1221"/>
      <c r="BKH15" s="1221"/>
      <c r="BKI15" s="1221"/>
      <c r="BKJ15" s="1221"/>
      <c r="BKK15" s="1221"/>
      <c r="BKL15" s="1221"/>
      <c r="BKM15" s="1221"/>
      <c r="BKN15" s="1221"/>
      <c r="BKO15" s="1221"/>
      <c r="BKP15" s="1221"/>
      <c r="BKQ15" s="1221"/>
      <c r="BKR15" s="1221"/>
      <c r="BKS15" s="1221"/>
      <c r="BKT15" s="1221"/>
      <c r="BKU15" s="1221"/>
      <c r="BKV15" s="1221"/>
      <c r="BKW15" s="1221"/>
      <c r="BKX15" s="1221"/>
      <c r="BKY15" s="1221"/>
      <c r="BKZ15" s="1221"/>
      <c r="BLA15" s="1221"/>
      <c r="BLB15" s="1221"/>
      <c r="BLC15" s="1221"/>
      <c r="BLD15" s="1221"/>
      <c r="BLE15" s="1221"/>
      <c r="BLF15" s="1221"/>
      <c r="BLG15" s="1221"/>
      <c r="BLH15" s="1221"/>
      <c r="BLI15" s="1221"/>
      <c r="BLJ15" s="1221"/>
      <c r="BLK15" s="1221"/>
      <c r="BLL15" s="1221"/>
      <c r="BLM15" s="1221"/>
      <c r="BLN15" s="1221"/>
      <c r="BLO15" s="1221"/>
      <c r="BLP15" s="1221"/>
      <c r="BLQ15" s="1221"/>
      <c r="BLR15" s="1221"/>
      <c r="BLS15" s="1221"/>
      <c r="BLT15" s="1221"/>
      <c r="BLU15" s="1221"/>
      <c r="BLV15" s="1221"/>
      <c r="BLW15" s="1221"/>
      <c r="BLX15" s="1221"/>
      <c r="BLY15" s="1221"/>
      <c r="BLZ15" s="1221"/>
      <c r="BMA15" s="1221"/>
      <c r="BMB15" s="1221"/>
      <c r="BMC15" s="1221"/>
      <c r="BMD15" s="1221"/>
      <c r="BME15" s="1221"/>
      <c r="BMF15" s="1221"/>
      <c r="BMG15" s="1221"/>
      <c r="BMH15" s="1221"/>
      <c r="BMI15" s="1221"/>
      <c r="BMJ15" s="1221"/>
      <c r="BMK15" s="1221"/>
      <c r="BML15" s="1221"/>
      <c r="BMM15" s="1221"/>
      <c r="BMN15" s="1221"/>
      <c r="BMO15" s="1221"/>
      <c r="BMP15" s="1221"/>
      <c r="BMQ15" s="1221"/>
      <c r="BMR15" s="1221"/>
      <c r="BMS15" s="1221"/>
      <c r="BMT15" s="1221"/>
      <c r="BMU15" s="1221"/>
      <c r="BMV15" s="1221"/>
      <c r="BMW15" s="1221"/>
      <c r="BMX15" s="1221"/>
      <c r="BMY15" s="1221"/>
      <c r="BMZ15" s="1221"/>
      <c r="BNA15" s="1221"/>
      <c r="BNB15" s="1221"/>
      <c r="BNC15" s="1221"/>
      <c r="BND15" s="1221"/>
      <c r="BNE15" s="1221"/>
      <c r="BNF15" s="1221"/>
      <c r="BNG15" s="1221"/>
      <c r="BNH15" s="1221"/>
      <c r="BNI15" s="1221"/>
      <c r="BNJ15" s="1221"/>
      <c r="BNK15" s="1221"/>
      <c r="BNL15" s="1221"/>
      <c r="BNM15" s="1221"/>
      <c r="BNN15" s="1221"/>
      <c r="BNO15" s="1221"/>
      <c r="BNP15" s="1221"/>
      <c r="BNQ15" s="1221"/>
      <c r="BNR15" s="1221"/>
      <c r="BNS15" s="1221"/>
      <c r="BNT15" s="1221"/>
      <c r="BNU15" s="1221"/>
      <c r="BNV15" s="1221"/>
      <c r="BNW15" s="1221"/>
      <c r="BNX15" s="1221"/>
      <c r="BNY15" s="1221"/>
      <c r="BNZ15" s="1221"/>
      <c r="BOA15" s="1221"/>
      <c r="BOB15" s="1221"/>
      <c r="BOC15" s="1221"/>
      <c r="BOD15" s="1221"/>
      <c r="BOE15" s="1221"/>
      <c r="BOF15" s="1221"/>
      <c r="BOG15" s="1221"/>
      <c r="BOH15" s="1221"/>
      <c r="BOI15" s="1221"/>
      <c r="BOJ15" s="1221"/>
      <c r="BOK15" s="1221"/>
      <c r="BOL15" s="1221"/>
      <c r="BOM15" s="1221"/>
      <c r="BON15" s="1221"/>
      <c r="BOO15" s="1221"/>
      <c r="BOP15" s="1221"/>
      <c r="BOQ15" s="1221"/>
      <c r="BOR15" s="1221"/>
      <c r="BOS15" s="1221"/>
      <c r="BOT15" s="1221"/>
      <c r="BOU15" s="1221"/>
      <c r="BOV15" s="1221"/>
      <c r="BOW15" s="1221"/>
      <c r="BOX15" s="1221"/>
      <c r="BOY15" s="1221"/>
      <c r="BOZ15" s="1221"/>
      <c r="BPA15" s="1221"/>
      <c r="BPB15" s="1221"/>
      <c r="BPC15" s="1221"/>
      <c r="BPD15" s="1221"/>
      <c r="BPE15" s="1221"/>
      <c r="BPF15" s="1221"/>
      <c r="BPG15" s="1221"/>
      <c r="BPH15" s="1221"/>
      <c r="BPI15" s="1221"/>
      <c r="BPJ15" s="1221"/>
      <c r="BPK15" s="1221"/>
      <c r="BPL15" s="1221"/>
      <c r="BPM15" s="1221"/>
      <c r="BPN15" s="1221"/>
      <c r="BPO15" s="1221"/>
      <c r="BPP15" s="1221"/>
      <c r="BPQ15" s="1221"/>
      <c r="BPR15" s="1221"/>
      <c r="BPS15" s="1221"/>
      <c r="BPT15" s="1221"/>
      <c r="BPU15" s="1221"/>
      <c r="BPV15" s="1221"/>
      <c r="BPW15" s="1221"/>
      <c r="BPX15" s="1221"/>
      <c r="BPY15" s="1221"/>
      <c r="BPZ15" s="1221"/>
      <c r="BQA15" s="1221"/>
      <c r="BQB15" s="1221"/>
      <c r="BQC15" s="1221"/>
      <c r="BQD15" s="1221"/>
      <c r="BQE15" s="1221"/>
      <c r="BQF15" s="1221"/>
      <c r="BQG15" s="1221"/>
      <c r="BQH15" s="1221"/>
      <c r="BQI15" s="1221"/>
      <c r="BQJ15" s="1221"/>
      <c r="BQK15" s="1221"/>
      <c r="BQL15" s="1221"/>
      <c r="BQM15" s="1221"/>
      <c r="BQN15" s="1221"/>
      <c r="BQO15" s="1221"/>
      <c r="BQP15" s="1221"/>
      <c r="BQQ15" s="1221"/>
      <c r="BQR15" s="1221"/>
      <c r="BQS15" s="1221"/>
      <c r="BQT15" s="1221"/>
      <c r="BQU15" s="1221"/>
      <c r="BQV15" s="1221"/>
      <c r="BQW15" s="1221"/>
      <c r="BQX15" s="1221"/>
      <c r="BQY15" s="1221"/>
      <c r="BQZ15" s="1221"/>
      <c r="BRA15" s="1221"/>
      <c r="BRB15" s="1221"/>
      <c r="BRC15" s="1221"/>
      <c r="BRD15" s="1221"/>
      <c r="BRE15" s="1221"/>
      <c r="BRF15" s="1221"/>
      <c r="BRG15" s="1221"/>
      <c r="BRH15" s="1221"/>
      <c r="BRI15" s="1221"/>
      <c r="BRJ15" s="1221"/>
      <c r="BRK15" s="1221"/>
      <c r="BRL15" s="1221"/>
      <c r="BRM15" s="1221"/>
      <c r="BRN15" s="1221"/>
      <c r="BRO15" s="1221"/>
      <c r="BRP15" s="1221"/>
      <c r="BRQ15" s="1221"/>
      <c r="BRR15" s="1221"/>
      <c r="BRS15" s="1221"/>
      <c r="BRT15" s="1221"/>
      <c r="BRU15" s="1221"/>
      <c r="BRV15" s="1221"/>
      <c r="BRW15" s="1221"/>
      <c r="BRX15" s="1221"/>
      <c r="BRY15" s="1221"/>
      <c r="BRZ15" s="1221"/>
      <c r="BSA15" s="1221"/>
      <c r="BSB15" s="1221"/>
      <c r="BSC15" s="1221"/>
      <c r="BSD15" s="1221"/>
      <c r="BSE15" s="1221"/>
      <c r="BSF15" s="1221"/>
      <c r="BSG15" s="1221"/>
      <c r="BSH15" s="1221"/>
      <c r="BSI15" s="1221"/>
      <c r="BSJ15" s="1221"/>
      <c r="BSK15" s="1221"/>
      <c r="BSL15" s="1221"/>
      <c r="BSM15" s="1221"/>
      <c r="BSN15" s="1221"/>
      <c r="BSO15" s="1221"/>
      <c r="BSP15" s="1221"/>
      <c r="BSQ15" s="1221"/>
      <c r="BSR15" s="1221"/>
      <c r="BSS15" s="1221"/>
      <c r="BST15" s="1221"/>
      <c r="BSU15" s="1221"/>
      <c r="BSV15" s="1221"/>
      <c r="BSW15" s="1221"/>
      <c r="BSX15" s="1221"/>
      <c r="BSY15" s="1221"/>
      <c r="BSZ15" s="1221"/>
      <c r="BTA15" s="1221"/>
      <c r="BTB15" s="1221"/>
      <c r="BTC15" s="1221"/>
      <c r="BTD15" s="1221"/>
      <c r="BTE15" s="1221"/>
      <c r="BTF15" s="1221"/>
      <c r="BTG15" s="1221"/>
      <c r="BTH15" s="1221"/>
      <c r="BTI15" s="1221"/>
      <c r="BTJ15" s="1221"/>
      <c r="BTK15" s="1221"/>
      <c r="BTL15" s="1221"/>
      <c r="BTM15" s="1221"/>
      <c r="BTN15" s="1221"/>
      <c r="BTO15" s="1221"/>
      <c r="BTP15" s="1221"/>
      <c r="BTQ15" s="1221"/>
      <c r="BTR15" s="1221"/>
      <c r="BTS15" s="1221"/>
      <c r="BTT15" s="1221"/>
      <c r="BTU15" s="1221"/>
      <c r="BTV15" s="1221"/>
      <c r="BTW15" s="1221"/>
      <c r="BTX15" s="1221"/>
      <c r="BTY15" s="1221"/>
      <c r="BTZ15" s="1221"/>
      <c r="BUA15" s="1221"/>
      <c r="BUB15" s="1221"/>
      <c r="BUC15" s="1221"/>
      <c r="BUD15" s="1221"/>
      <c r="BUE15" s="1221"/>
      <c r="BUF15" s="1221"/>
      <c r="BUG15" s="1221"/>
      <c r="BUH15" s="1221"/>
      <c r="BUI15" s="1221"/>
      <c r="BUJ15" s="1221"/>
      <c r="BUK15" s="1221"/>
      <c r="BUL15" s="1221"/>
      <c r="BUM15" s="1221"/>
      <c r="BUN15" s="1221"/>
      <c r="BUO15" s="1221"/>
      <c r="BUP15" s="1221"/>
      <c r="BUQ15" s="1221"/>
      <c r="BUR15" s="1221"/>
      <c r="BUS15" s="1221"/>
      <c r="BUT15" s="1221"/>
      <c r="BUU15" s="1221"/>
      <c r="BUV15" s="1221"/>
      <c r="BUW15" s="1221"/>
      <c r="BUX15" s="1221"/>
      <c r="BUY15" s="1221"/>
      <c r="BUZ15" s="1221"/>
      <c r="BVA15" s="1221"/>
      <c r="BVB15" s="1221"/>
      <c r="BVC15" s="1221"/>
      <c r="BVD15" s="1221"/>
      <c r="BVE15" s="1221"/>
      <c r="BVF15" s="1221"/>
      <c r="BVG15" s="1221"/>
      <c r="BVH15" s="1221"/>
      <c r="BVI15" s="1221"/>
      <c r="BVJ15" s="1221"/>
      <c r="BVK15" s="1221"/>
      <c r="BVL15" s="1221"/>
      <c r="BVM15" s="1221"/>
      <c r="BVN15" s="1221"/>
      <c r="BVO15" s="1221"/>
      <c r="BVP15" s="1221"/>
      <c r="BVQ15" s="1221"/>
      <c r="BVR15" s="1221"/>
      <c r="BVS15" s="1221"/>
      <c r="BVT15" s="1221"/>
      <c r="BVU15" s="1221"/>
      <c r="BVV15" s="1221"/>
      <c r="BVW15" s="1221"/>
      <c r="BVX15" s="1221"/>
      <c r="BVY15" s="1221"/>
      <c r="BVZ15" s="1221"/>
      <c r="BWA15" s="1221"/>
      <c r="BWB15" s="1221"/>
      <c r="BWC15" s="1221"/>
      <c r="BWD15" s="1221"/>
      <c r="BWE15" s="1221"/>
      <c r="BWF15" s="1221"/>
      <c r="BWG15" s="1221"/>
      <c r="BWH15" s="1221"/>
      <c r="BWI15" s="1221"/>
      <c r="BWJ15" s="1221"/>
      <c r="BWK15" s="1221"/>
      <c r="BWL15" s="1221"/>
      <c r="BWM15" s="1221"/>
      <c r="BWN15" s="1221"/>
      <c r="BWO15" s="1221"/>
      <c r="BWP15" s="1221"/>
      <c r="BWQ15" s="1221"/>
      <c r="BWR15" s="1221"/>
      <c r="BWS15" s="1221"/>
      <c r="BWT15" s="1221"/>
      <c r="BWU15" s="1221"/>
      <c r="BWV15" s="1221"/>
      <c r="BWW15" s="1221"/>
      <c r="BWX15" s="1221"/>
      <c r="BWY15" s="1221"/>
      <c r="BWZ15" s="1221"/>
      <c r="BXA15" s="1221"/>
      <c r="BXB15" s="1221"/>
      <c r="BXC15" s="1221"/>
      <c r="BXD15" s="1221"/>
      <c r="BXE15" s="1221"/>
      <c r="BXF15" s="1221"/>
      <c r="BXG15" s="1221"/>
      <c r="BXH15" s="1221"/>
      <c r="BXI15" s="1221"/>
      <c r="BXJ15" s="1221"/>
      <c r="BXK15" s="1221"/>
      <c r="BXL15" s="1221"/>
      <c r="BXM15" s="1221"/>
      <c r="BXN15" s="1221"/>
      <c r="BXO15" s="1221"/>
      <c r="BXP15" s="1221"/>
      <c r="BXQ15" s="1221"/>
      <c r="BXR15" s="1221"/>
      <c r="BXS15" s="1221"/>
      <c r="BXT15" s="1221"/>
      <c r="BXU15" s="1221"/>
      <c r="BXV15" s="1221"/>
      <c r="BXW15" s="1221"/>
      <c r="BXX15" s="1221"/>
      <c r="BXY15" s="1221"/>
      <c r="BXZ15" s="1221"/>
      <c r="BYA15" s="1221"/>
      <c r="BYB15" s="1221"/>
      <c r="BYC15" s="1221"/>
      <c r="BYD15" s="1221"/>
      <c r="BYE15" s="1221"/>
      <c r="BYF15" s="1221"/>
      <c r="BYG15" s="1221"/>
      <c r="BYH15" s="1221"/>
      <c r="BYI15" s="1221"/>
      <c r="BYJ15" s="1221"/>
      <c r="BYK15" s="1221"/>
      <c r="BYL15" s="1221"/>
      <c r="BYM15" s="1221"/>
      <c r="BYN15" s="1221"/>
      <c r="BYO15" s="1221"/>
      <c r="BYP15" s="1221"/>
      <c r="BYQ15" s="1221"/>
      <c r="BYR15" s="1221"/>
      <c r="BYS15" s="1221"/>
      <c r="BYT15" s="1221"/>
      <c r="BYU15" s="1221"/>
      <c r="BYV15" s="1221"/>
      <c r="BYW15" s="1221"/>
      <c r="BYX15" s="1221"/>
      <c r="BYY15" s="1221"/>
      <c r="BYZ15" s="1221"/>
      <c r="BZA15" s="1221"/>
      <c r="BZB15" s="1221"/>
      <c r="BZC15" s="1221"/>
      <c r="BZD15" s="1221"/>
      <c r="BZE15" s="1221"/>
      <c r="BZF15" s="1221"/>
      <c r="BZG15" s="1221"/>
      <c r="BZH15" s="1221"/>
      <c r="BZI15" s="1221"/>
      <c r="BZJ15" s="1221"/>
      <c r="BZK15" s="1221"/>
      <c r="BZL15" s="1221"/>
      <c r="BZM15" s="1221"/>
      <c r="BZN15" s="1221"/>
      <c r="BZO15" s="1221"/>
      <c r="BZP15" s="1221"/>
      <c r="BZQ15" s="1221"/>
      <c r="BZR15" s="1221"/>
      <c r="BZS15" s="1221"/>
      <c r="BZT15" s="1221"/>
      <c r="BZU15" s="1221"/>
      <c r="BZV15" s="1221"/>
      <c r="BZW15" s="1221"/>
      <c r="BZX15" s="1221"/>
      <c r="BZY15" s="1221"/>
      <c r="BZZ15" s="1221"/>
      <c r="CAA15" s="1221"/>
      <c r="CAB15" s="1221"/>
      <c r="CAC15" s="1221"/>
      <c r="CAD15" s="1221"/>
      <c r="CAE15" s="1221"/>
      <c r="CAF15" s="1221"/>
      <c r="CAG15" s="1221"/>
      <c r="CAH15" s="1221"/>
      <c r="CAI15" s="1221"/>
      <c r="CAJ15" s="1221"/>
      <c r="CAK15" s="1221"/>
      <c r="CAL15" s="1221"/>
      <c r="CAM15" s="1221"/>
      <c r="CAN15" s="1221"/>
      <c r="CAO15" s="1221"/>
      <c r="CAP15" s="1221"/>
      <c r="CAQ15" s="1221"/>
      <c r="CAR15" s="1221"/>
      <c r="CAS15" s="1221"/>
      <c r="CAT15" s="1221"/>
      <c r="CAU15" s="1221"/>
      <c r="CAV15" s="1221"/>
      <c r="CAW15" s="1221"/>
      <c r="CAX15" s="1221"/>
      <c r="CAY15" s="1221"/>
      <c r="CAZ15" s="1221"/>
      <c r="CBA15" s="1221"/>
      <c r="CBB15" s="1221"/>
      <c r="CBC15" s="1221"/>
      <c r="CBD15" s="1221"/>
      <c r="CBE15" s="1221"/>
      <c r="CBF15" s="1221"/>
      <c r="CBG15" s="1221"/>
      <c r="CBH15" s="1221"/>
      <c r="CBI15" s="1221"/>
      <c r="CBJ15" s="1221"/>
      <c r="CBK15" s="1221"/>
      <c r="CBL15" s="1221"/>
      <c r="CBM15" s="1221"/>
      <c r="CBN15" s="1221"/>
      <c r="CBO15" s="1221"/>
      <c r="CBP15" s="1221"/>
      <c r="CBQ15" s="1221"/>
      <c r="CBR15" s="1221"/>
      <c r="CBS15" s="1221"/>
      <c r="CBT15" s="1221"/>
      <c r="CBU15" s="1221"/>
      <c r="CBV15" s="1221"/>
      <c r="CBW15" s="1221"/>
      <c r="CBX15" s="1221"/>
      <c r="CBY15" s="1221"/>
      <c r="CBZ15" s="1221"/>
      <c r="CCA15" s="1221"/>
      <c r="CCB15" s="1221"/>
      <c r="CCC15" s="1221"/>
      <c r="CCD15" s="1221"/>
      <c r="CCE15" s="1221"/>
      <c r="CCF15" s="1221"/>
      <c r="CCG15" s="1221"/>
      <c r="CCH15" s="1221"/>
      <c r="CCI15" s="1221"/>
      <c r="CCJ15" s="1221"/>
      <c r="CCK15" s="1221"/>
      <c r="CCL15" s="1221"/>
      <c r="CCM15" s="1221"/>
      <c r="CCN15" s="1221"/>
      <c r="CCO15" s="1221"/>
      <c r="CCP15" s="1221"/>
      <c r="CCQ15" s="1221"/>
      <c r="CCR15" s="1221"/>
      <c r="CCS15" s="1221"/>
      <c r="CCT15" s="1221"/>
      <c r="CCU15" s="1221"/>
      <c r="CCV15" s="1221"/>
      <c r="CCW15" s="1221"/>
      <c r="CCX15" s="1221"/>
      <c r="CCY15" s="1221"/>
      <c r="CCZ15" s="1221"/>
      <c r="CDA15" s="1221"/>
      <c r="CDB15" s="1221"/>
      <c r="CDC15" s="1221"/>
      <c r="CDD15" s="1221"/>
      <c r="CDE15" s="1221"/>
      <c r="CDF15" s="1221"/>
      <c r="CDG15" s="1221"/>
      <c r="CDH15" s="1221"/>
      <c r="CDI15" s="1221"/>
      <c r="CDJ15" s="1221"/>
      <c r="CDK15" s="1221"/>
      <c r="CDL15" s="1221"/>
      <c r="CDM15" s="1221"/>
      <c r="CDN15" s="1221"/>
      <c r="CDO15" s="1221"/>
      <c r="CDP15" s="1221"/>
      <c r="CDQ15" s="1221"/>
      <c r="CDR15" s="1221"/>
      <c r="CDS15" s="1221"/>
      <c r="CDT15" s="1221"/>
      <c r="CDU15" s="1221"/>
      <c r="CDV15" s="1221"/>
      <c r="CDW15" s="1221"/>
      <c r="CDX15" s="1221"/>
      <c r="CDY15" s="1221"/>
      <c r="CDZ15" s="1221"/>
      <c r="CEA15" s="1221"/>
      <c r="CEB15" s="1221"/>
      <c r="CEC15" s="1221"/>
      <c r="CED15" s="1221"/>
      <c r="CEE15" s="1221"/>
      <c r="CEF15" s="1221"/>
      <c r="CEG15" s="1221"/>
      <c r="CEH15" s="1221"/>
      <c r="CEI15" s="1221"/>
      <c r="CEJ15" s="1221"/>
      <c r="CEK15" s="1221"/>
      <c r="CEL15" s="1221"/>
      <c r="CEM15" s="1221"/>
      <c r="CEN15" s="1221"/>
      <c r="CEO15" s="1221"/>
      <c r="CEP15" s="1221"/>
      <c r="CEQ15" s="1221"/>
      <c r="CER15" s="1221"/>
      <c r="CES15" s="1221"/>
      <c r="CET15" s="1221"/>
      <c r="CEU15" s="1221"/>
      <c r="CEV15" s="1221"/>
      <c r="CEW15" s="1221"/>
      <c r="CEX15" s="1221"/>
      <c r="CEY15" s="1221"/>
      <c r="CEZ15" s="1221"/>
      <c r="CFA15" s="1221"/>
      <c r="CFB15" s="1221"/>
      <c r="CFC15" s="1221"/>
      <c r="CFD15" s="1221"/>
      <c r="CFE15" s="1221"/>
      <c r="CFF15" s="1221"/>
      <c r="CFG15" s="1221"/>
      <c r="CFH15" s="1221"/>
      <c r="CFI15" s="1221"/>
      <c r="CFJ15" s="1221"/>
      <c r="CFK15" s="1221"/>
      <c r="CFL15" s="1221"/>
      <c r="CFM15" s="1221"/>
      <c r="CFN15" s="1221"/>
      <c r="CFO15" s="1221"/>
      <c r="CFP15" s="1221"/>
      <c r="CFQ15" s="1221"/>
      <c r="CFR15" s="1221"/>
      <c r="CFS15" s="1221"/>
      <c r="CFT15" s="1221"/>
      <c r="CFU15" s="1221"/>
      <c r="CFV15" s="1221"/>
      <c r="CFW15" s="1221"/>
      <c r="CFX15" s="1221"/>
      <c r="CFY15" s="1221"/>
      <c r="CFZ15" s="1221"/>
      <c r="CGA15" s="1221"/>
      <c r="CGB15" s="1221"/>
      <c r="CGC15" s="1221"/>
      <c r="CGD15" s="1221"/>
      <c r="CGE15" s="1221"/>
      <c r="CGF15" s="1221"/>
      <c r="CGG15" s="1221"/>
      <c r="CGH15" s="1221"/>
      <c r="CGI15" s="1221"/>
      <c r="CGJ15" s="1221"/>
      <c r="CGK15" s="1221"/>
      <c r="CGL15" s="1221"/>
      <c r="CGM15" s="1221"/>
      <c r="CGN15" s="1221"/>
      <c r="CGO15" s="1221"/>
      <c r="CGP15" s="1221"/>
      <c r="CGQ15" s="1221"/>
      <c r="CGR15" s="1221"/>
      <c r="CGS15" s="1221"/>
      <c r="CGT15" s="1221"/>
      <c r="CGU15" s="1221"/>
      <c r="CGV15" s="1221"/>
      <c r="CGW15" s="1221"/>
      <c r="CGX15" s="1221"/>
      <c r="CGY15" s="1221"/>
      <c r="CGZ15" s="1221"/>
      <c r="CHA15" s="1221"/>
      <c r="CHB15" s="1221"/>
      <c r="CHC15" s="1221"/>
      <c r="CHD15" s="1221"/>
      <c r="CHE15" s="1221"/>
      <c r="CHF15" s="1221"/>
      <c r="CHG15" s="1221"/>
      <c r="CHH15" s="1221"/>
      <c r="CHI15" s="1221"/>
      <c r="CHJ15" s="1221"/>
      <c r="CHK15" s="1221"/>
      <c r="CHL15" s="1221"/>
      <c r="CHM15" s="1221"/>
      <c r="CHN15" s="1221"/>
      <c r="CHO15" s="1221"/>
      <c r="CHP15" s="1221"/>
      <c r="CHQ15" s="1221"/>
      <c r="CHR15" s="1221"/>
      <c r="CHS15" s="1221"/>
      <c r="CHT15" s="1221"/>
      <c r="CHU15" s="1221"/>
      <c r="CHV15" s="1221"/>
      <c r="CHW15" s="1221"/>
      <c r="CHX15" s="1221"/>
      <c r="CHY15" s="1221"/>
      <c r="CHZ15" s="1221"/>
      <c r="CIA15" s="1221"/>
      <c r="CIB15" s="1221"/>
      <c r="CIC15" s="1221"/>
      <c r="CID15" s="1221"/>
      <c r="CIE15" s="1221"/>
      <c r="CIF15" s="1221"/>
      <c r="CIG15" s="1221"/>
      <c r="CIH15" s="1221"/>
      <c r="CII15" s="1221"/>
      <c r="CIJ15" s="1221"/>
      <c r="CIK15" s="1221"/>
      <c r="CIL15" s="1221"/>
      <c r="CIM15" s="1221"/>
      <c r="CIN15" s="1221"/>
      <c r="CIO15" s="1221"/>
      <c r="CIP15" s="1221"/>
      <c r="CIQ15" s="1221"/>
      <c r="CIR15" s="1221"/>
      <c r="CIS15" s="1221"/>
      <c r="CIT15" s="1221"/>
      <c r="CIU15" s="1221"/>
      <c r="CIV15" s="1221"/>
      <c r="CIW15" s="1221"/>
      <c r="CIX15" s="1221"/>
      <c r="CIY15" s="1221"/>
      <c r="CIZ15" s="1221"/>
      <c r="CJA15" s="1221"/>
      <c r="CJB15" s="1221"/>
      <c r="CJC15" s="1221"/>
      <c r="CJD15" s="1221"/>
      <c r="CJE15" s="1221"/>
      <c r="CJF15" s="1221"/>
      <c r="CJG15" s="1221"/>
      <c r="CJH15" s="1221"/>
      <c r="CJI15" s="1221"/>
      <c r="CJJ15" s="1221"/>
      <c r="CJK15" s="1221"/>
      <c r="CJL15" s="1221"/>
      <c r="CJM15" s="1221"/>
      <c r="CJN15" s="1221"/>
      <c r="CJO15" s="1221"/>
      <c r="CJP15" s="1221"/>
      <c r="CJQ15" s="1221"/>
      <c r="CJR15" s="1221"/>
      <c r="CJS15" s="1221"/>
      <c r="CJT15" s="1221"/>
      <c r="CJU15" s="1221"/>
      <c r="CJV15" s="1221"/>
      <c r="CJW15" s="1221"/>
      <c r="CJX15" s="1221"/>
      <c r="CJY15" s="1221"/>
      <c r="CJZ15" s="1221"/>
      <c r="CKA15" s="1221"/>
      <c r="CKB15" s="1221"/>
      <c r="CKC15" s="1221"/>
      <c r="CKD15" s="1221"/>
      <c r="CKE15" s="1221"/>
      <c r="CKF15" s="1221"/>
      <c r="CKG15" s="1221"/>
      <c r="CKH15" s="1221"/>
      <c r="CKI15" s="1221"/>
      <c r="CKJ15" s="1221"/>
      <c r="CKK15" s="1221"/>
      <c r="CKL15" s="1221"/>
      <c r="CKM15" s="1221"/>
      <c r="CKN15" s="1221"/>
      <c r="CKO15" s="1221"/>
      <c r="CKP15" s="1221"/>
      <c r="CKQ15" s="1221"/>
      <c r="CKR15" s="1221"/>
      <c r="CKS15" s="1221"/>
      <c r="CKT15" s="1221"/>
      <c r="CKU15" s="1221"/>
      <c r="CKV15" s="1221"/>
      <c r="CKW15" s="1221"/>
      <c r="CKX15" s="1221"/>
      <c r="CKY15" s="1221"/>
      <c r="CKZ15" s="1221"/>
      <c r="CLA15" s="1221"/>
      <c r="CLB15" s="1221"/>
      <c r="CLC15" s="1221"/>
      <c r="CLD15" s="1221"/>
      <c r="CLE15" s="1221"/>
      <c r="CLF15" s="1221"/>
      <c r="CLG15" s="1221"/>
      <c r="CLH15" s="1221"/>
      <c r="CLI15" s="1221"/>
      <c r="CLJ15" s="1221"/>
      <c r="CLK15" s="1221"/>
      <c r="CLL15" s="1221"/>
      <c r="CLM15" s="1221"/>
      <c r="CLN15" s="1221"/>
      <c r="CLO15" s="1221"/>
      <c r="CLP15" s="1221"/>
      <c r="CLQ15" s="1221"/>
      <c r="CLR15" s="1221"/>
      <c r="CLS15" s="1221"/>
      <c r="CLT15" s="1221"/>
      <c r="CLU15" s="1221"/>
      <c r="CLV15" s="1221"/>
      <c r="CLW15" s="1221"/>
      <c r="CLX15" s="1221"/>
      <c r="CLY15" s="1221"/>
      <c r="CLZ15" s="1221"/>
      <c r="CMA15" s="1221"/>
      <c r="CMB15" s="1221"/>
      <c r="CMC15" s="1221"/>
      <c r="CMD15" s="1221"/>
      <c r="CME15" s="1221"/>
      <c r="CMF15" s="1221"/>
      <c r="CMG15" s="1221"/>
      <c r="CMH15" s="1221"/>
      <c r="CMI15" s="1221"/>
      <c r="CMJ15" s="1221"/>
      <c r="CMK15" s="1221"/>
      <c r="CML15" s="1221"/>
      <c r="CMM15" s="1221"/>
      <c r="CMN15" s="1221"/>
      <c r="CMO15" s="1221"/>
      <c r="CMP15" s="1221"/>
      <c r="CMQ15" s="1221"/>
      <c r="CMR15" s="1221"/>
      <c r="CMS15" s="1221"/>
      <c r="CMT15" s="1221"/>
      <c r="CMU15" s="1221"/>
      <c r="CMV15" s="1221"/>
      <c r="CMW15" s="1221"/>
      <c r="CMX15" s="1221"/>
      <c r="CMY15" s="1221"/>
      <c r="CMZ15" s="1221"/>
      <c r="CNA15" s="1221"/>
      <c r="CNB15" s="1221"/>
      <c r="CNC15" s="1221"/>
      <c r="CND15" s="1221"/>
      <c r="CNE15" s="1221"/>
      <c r="CNF15" s="1221"/>
      <c r="CNG15" s="1221"/>
      <c r="CNH15" s="1221"/>
      <c r="CNI15" s="1221"/>
      <c r="CNJ15" s="1221"/>
      <c r="CNK15" s="1221"/>
      <c r="CNL15" s="1221"/>
      <c r="CNM15" s="1221"/>
      <c r="CNN15" s="1221"/>
      <c r="CNO15" s="1221"/>
      <c r="CNP15" s="1221"/>
      <c r="CNQ15" s="1221"/>
      <c r="CNR15" s="1221"/>
      <c r="CNS15" s="1221"/>
      <c r="CNT15" s="1221"/>
      <c r="CNU15" s="1221"/>
      <c r="CNV15" s="1221"/>
      <c r="CNW15" s="1221"/>
      <c r="CNX15" s="1221"/>
      <c r="CNY15" s="1221"/>
      <c r="CNZ15" s="1221"/>
      <c r="COA15" s="1221"/>
      <c r="COB15" s="1221"/>
      <c r="COC15" s="1221"/>
      <c r="COD15" s="1221"/>
      <c r="COE15" s="1221"/>
      <c r="COF15" s="1221"/>
      <c r="COG15" s="1221"/>
      <c r="COH15" s="1221"/>
      <c r="COI15" s="1221"/>
      <c r="COJ15" s="1221"/>
      <c r="COK15" s="1221"/>
      <c r="COL15" s="1221"/>
      <c r="COM15" s="1221"/>
      <c r="CON15" s="1221"/>
      <c r="COO15" s="1221"/>
      <c r="COP15" s="1221"/>
      <c r="COQ15" s="1221"/>
      <c r="COR15" s="1221"/>
      <c r="COS15" s="1221"/>
      <c r="COT15" s="1221"/>
      <c r="COU15" s="1221"/>
      <c r="COV15" s="1221"/>
      <c r="COW15" s="1221"/>
      <c r="COX15" s="1221"/>
      <c r="COY15" s="1221"/>
      <c r="COZ15" s="1221"/>
      <c r="CPA15" s="1221"/>
      <c r="CPB15" s="1221"/>
      <c r="CPC15" s="1221"/>
      <c r="CPD15" s="1221"/>
      <c r="CPE15" s="1221"/>
      <c r="CPF15" s="1221"/>
      <c r="CPG15" s="1221"/>
      <c r="CPH15" s="1221"/>
      <c r="CPI15" s="1221"/>
      <c r="CPJ15" s="1221"/>
      <c r="CPK15" s="1221"/>
      <c r="CPL15" s="1221"/>
      <c r="CPM15" s="1221"/>
      <c r="CPN15" s="1221"/>
      <c r="CPO15" s="1221"/>
      <c r="CPP15" s="1221"/>
      <c r="CPQ15" s="1221"/>
      <c r="CPR15" s="1221"/>
      <c r="CPS15" s="1221"/>
      <c r="CPT15" s="1221"/>
      <c r="CPU15" s="1221"/>
      <c r="CPV15" s="1221"/>
      <c r="CPW15" s="1221"/>
      <c r="CPX15" s="1221"/>
      <c r="CPY15" s="1221"/>
      <c r="CPZ15" s="1221"/>
      <c r="CQA15" s="1221"/>
      <c r="CQB15" s="1221"/>
      <c r="CQC15" s="1221"/>
      <c r="CQD15" s="1221"/>
      <c r="CQE15" s="1221"/>
      <c r="CQF15" s="1221"/>
      <c r="CQG15" s="1221"/>
      <c r="CQH15" s="1221"/>
      <c r="CQI15" s="1221"/>
      <c r="CQJ15" s="1221"/>
      <c r="CQK15" s="1221"/>
      <c r="CQL15" s="1221"/>
      <c r="CQM15" s="1221"/>
      <c r="CQN15" s="1221"/>
      <c r="CQO15" s="1221"/>
      <c r="CQP15" s="1221"/>
      <c r="CQQ15" s="1221"/>
      <c r="CQR15" s="1221"/>
      <c r="CQS15" s="1221"/>
      <c r="CQT15" s="1221"/>
      <c r="CQU15" s="1221"/>
      <c r="CQV15" s="1221"/>
      <c r="CQW15" s="1221"/>
      <c r="CQX15" s="1221"/>
      <c r="CQY15" s="1221"/>
      <c r="CQZ15" s="1221"/>
      <c r="CRA15" s="1221"/>
      <c r="CRB15" s="1221"/>
      <c r="CRC15" s="1221"/>
      <c r="CRD15" s="1221"/>
      <c r="CRE15" s="1221"/>
      <c r="CRF15" s="1221"/>
      <c r="CRG15" s="1221"/>
      <c r="CRH15" s="1221"/>
      <c r="CRI15" s="1221"/>
      <c r="CRJ15" s="1221"/>
      <c r="CRK15" s="1221"/>
      <c r="CRL15" s="1221"/>
      <c r="CRM15" s="1221"/>
      <c r="CRN15" s="1221"/>
      <c r="CRO15" s="1221"/>
      <c r="CRP15" s="1221"/>
      <c r="CRQ15" s="1221"/>
      <c r="CRR15" s="1221"/>
      <c r="CRS15" s="1221"/>
      <c r="CRT15" s="1221"/>
      <c r="CRU15" s="1221"/>
      <c r="CRV15" s="1221"/>
      <c r="CRW15" s="1221"/>
      <c r="CRX15" s="1221"/>
      <c r="CRY15" s="1221"/>
      <c r="CRZ15" s="1221"/>
      <c r="CSA15" s="1221"/>
      <c r="CSB15" s="1221"/>
      <c r="CSC15" s="1221"/>
      <c r="CSD15" s="1221"/>
      <c r="CSE15" s="1221"/>
      <c r="CSF15" s="1221"/>
      <c r="CSG15" s="1221"/>
      <c r="CSH15" s="1221"/>
      <c r="CSI15" s="1221"/>
      <c r="CSJ15" s="1221"/>
      <c r="CSK15" s="1221"/>
      <c r="CSL15" s="1221"/>
      <c r="CSM15" s="1221"/>
      <c r="CSN15" s="1221"/>
      <c r="CSO15" s="1221"/>
      <c r="CSP15" s="1221"/>
      <c r="CSQ15" s="1221"/>
      <c r="CSR15" s="1221"/>
      <c r="CSS15" s="1221"/>
      <c r="CST15" s="1221"/>
      <c r="CSU15" s="1221"/>
      <c r="CSV15" s="1221"/>
      <c r="CSW15" s="1221"/>
      <c r="CSX15" s="1221"/>
      <c r="CSY15" s="1221"/>
      <c r="CSZ15" s="1221"/>
      <c r="CTA15" s="1221"/>
      <c r="CTB15" s="1221"/>
      <c r="CTC15" s="1221"/>
      <c r="CTD15" s="1221"/>
      <c r="CTE15" s="1221"/>
      <c r="CTF15" s="1221"/>
      <c r="CTG15" s="1221"/>
      <c r="CTH15" s="1221"/>
      <c r="CTI15" s="1221"/>
      <c r="CTJ15" s="1221"/>
      <c r="CTK15" s="1221"/>
      <c r="CTL15" s="1221"/>
      <c r="CTM15" s="1221"/>
      <c r="CTN15" s="1221"/>
      <c r="CTO15" s="1221"/>
      <c r="CTP15" s="1221"/>
      <c r="CTQ15" s="1221"/>
      <c r="CTR15" s="1221"/>
      <c r="CTS15" s="1221"/>
      <c r="CTT15" s="1221"/>
      <c r="CTU15" s="1221"/>
      <c r="CTV15" s="1221"/>
      <c r="CTW15" s="1221"/>
      <c r="CTX15" s="1221"/>
      <c r="CTY15" s="1221"/>
      <c r="CTZ15" s="1221"/>
      <c r="CUA15" s="1221"/>
      <c r="CUB15" s="1221"/>
      <c r="CUC15" s="1221"/>
      <c r="CUD15" s="1221"/>
      <c r="CUE15" s="1221"/>
      <c r="CUF15" s="1221"/>
      <c r="CUG15" s="1221"/>
      <c r="CUH15" s="1221"/>
      <c r="CUI15" s="1221"/>
      <c r="CUJ15" s="1221"/>
      <c r="CUK15" s="1221"/>
      <c r="CUL15" s="1221"/>
      <c r="CUM15" s="1221"/>
      <c r="CUN15" s="1221"/>
      <c r="CUO15" s="1221"/>
      <c r="CUP15" s="1221"/>
      <c r="CUQ15" s="1221"/>
      <c r="CUR15" s="1221"/>
      <c r="CUS15" s="1221"/>
      <c r="CUT15" s="1221"/>
      <c r="CUU15" s="1221"/>
      <c r="CUV15" s="1221"/>
      <c r="CUW15" s="1221"/>
      <c r="CUX15" s="1221"/>
      <c r="CUY15" s="1221"/>
      <c r="CUZ15" s="1221"/>
      <c r="CVA15" s="1221"/>
      <c r="CVB15" s="1221"/>
      <c r="CVC15" s="1221"/>
      <c r="CVD15" s="1221"/>
      <c r="CVE15" s="1221"/>
      <c r="CVF15" s="1221"/>
      <c r="CVG15" s="1221"/>
      <c r="CVH15" s="1221"/>
      <c r="CVI15" s="1221"/>
      <c r="CVJ15" s="1221"/>
      <c r="CVK15" s="1221"/>
      <c r="CVL15" s="1221"/>
      <c r="CVM15" s="1221"/>
      <c r="CVN15" s="1221"/>
      <c r="CVO15" s="1221"/>
      <c r="CVP15" s="1221"/>
      <c r="CVQ15" s="1221"/>
      <c r="CVR15" s="1221"/>
      <c r="CVS15" s="1221"/>
      <c r="CVT15" s="1221"/>
      <c r="CVU15" s="1221"/>
      <c r="CVV15" s="1221"/>
      <c r="CVW15" s="1221"/>
      <c r="CVX15" s="1221"/>
      <c r="CVY15" s="1221"/>
      <c r="CVZ15" s="1221"/>
      <c r="CWA15" s="1221"/>
      <c r="CWB15" s="1221"/>
      <c r="CWC15" s="1221"/>
      <c r="CWD15" s="1221"/>
      <c r="CWE15" s="1221"/>
      <c r="CWF15" s="1221"/>
      <c r="CWG15" s="1221"/>
      <c r="CWH15" s="1221"/>
      <c r="CWI15" s="1221"/>
      <c r="CWJ15" s="1221"/>
      <c r="CWK15" s="1221"/>
      <c r="CWL15" s="1221"/>
      <c r="CWM15" s="1221"/>
      <c r="CWN15" s="1221"/>
      <c r="CWO15" s="1221"/>
      <c r="CWP15" s="1221"/>
      <c r="CWQ15" s="1221"/>
      <c r="CWR15" s="1221"/>
      <c r="CWS15" s="1221"/>
      <c r="CWT15" s="1221"/>
      <c r="CWU15" s="1221"/>
      <c r="CWV15" s="1221"/>
      <c r="CWW15" s="1221"/>
      <c r="CWX15" s="1221"/>
      <c r="CWY15" s="1221"/>
      <c r="CWZ15" s="1221"/>
      <c r="CXA15" s="1221"/>
      <c r="CXB15" s="1221"/>
      <c r="CXC15" s="1221"/>
      <c r="CXD15" s="1221"/>
      <c r="CXE15" s="1221"/>
      <c r="CXF15" s="1221"/>
      <c r="CXG15" s="1221"/>
      <c r="CXH15" s="1221"/>
      <c r="CXI15" s="1221"/>
      <c r="CXJ15" s="1221"/>
      <c r="CXK15" s="1221"/>
      <c r="CXL15" s="1221"/>
      <c r="CXM15" s="1221"/>
      <c r="CXN15" s="1221"/>
      <c r="CXO15" s="1221"/>
      <c r="CXP15" s="1221"/>
      <c r="CXQ15" s="1221"/>
      <c r="CXR15" s="1221"/>
      <c r="CXS15" s="1221"/>
      <c r="CXT15" s="1221"/>
      <c r="CXU15" s="1221"/>
      <c r="CXV15" s="1221"/>
      <c r="CXW15" s="1221"/>
      <c r="CXX15" s="1221"/>
      <c r="CXY15" s="1221"/>
      <c r="CXZ15" s="1221"/>
      <c r="CYA15" s="1221"/>
      <c r="CYB15" s="1221"/>
      <c r="CYC15" s="1221"/>
      <c r="CYD15" s="1221"/>
      <c r="CYE15" s="1221"/>
      <c r="CYF15" s="1221"/>
      <c r="CYG15" s="1221"/>
      <c r="CYH15" s="1221"/>
      <c r="CYI15" s="1221"/>
      <c r="CYJ15" s="1221"/>
      <c r="CYK15" s="1221"/>
      <c r="CYL15" s="1221"/>
      <c r="CYM15" s="1221"/>
      <c r="CYN15" s="1221"/>
      <c r="CYO15" s="1221"/>
      <c r="CYP15" s="1221"/>
      <c r="CYQ15" s="1221"/>
      <c r="CYR15" s="1221"/>
      <c r="CYS15" s="1221"/>
      <c r="CYT15" s="1221"/>
      <c r="CYU15" s="1221"/>
      <c r="CYV15" s="1221"/>
      <c r="CYW15" s="1221"/>
      <c r="CYX15" s="1221"/>
      <c r="CYY15" s="1221"/>
      <c r="CYZ15" s="1221"/>
      <c r="CZA15" s="1221"/>
      <c r="CZB15" s="1221"/>
      <c r="CZC15" s="1221"/>
      <c r="CZD15" s="1221"/>
      <c r="CZE15" s="1221"/>
      <c r="CZF15" s="1221"/>
      <c r="CZG15" s="1221"/>
      <c r="CZH15" s="1221"/>
      <c r="CZI15" s="1221"/>
      <c r="CZJ15" s="1221"/>
      <c r="CZK15" s="1221"/>
      <c r="CZL15" s="1221"/>
      <c r="CZM15" s="1221"/>
      <c r="CZN15" s="1221"/>
      <c r="CZO15" s="1221"/>
      <c r="CZP15" s="1221"/>
      <c r="CZQ15" s="1221"/>
      <c r="CZR15" s="1221"/>
      <c r="CZS15" s="1221"/>
      <c r="CZT15" s="1221"/>
      <c r="CZU15" s="1221"/>
      <c r="CZV15" s="1221"/>
      <c r="CZW15" s="1221"/>
      <c r="CZX15" s="1221"/>
      <c r="CZY15" s="1221"/>
      <c r="CZZ15" s="1221"/>
      <c r="DAA15" s="1221"/>
      <c r="DAB15" s="1221"/>
      <c r="DAC15" s="1221"/>
      <c r="DAD15" s="1221"/>
      <c r="DAE15" s="1221"/>
      <c r="DAF15" s="1221"/>
      <c r="DAG15" s="1221"/>
      <c r="DAH15" s="1221"/>
      <c r="DAI15" s="1221"/>
      <c r="DAJ15" s="1221"/>
      <c r="DAK15" s="1221"/>
      <c r="DAL15" s="1221"/>
      <c r="DAM15" s="1221"/>
      <c r="DAN15" s="1221"/>
      <c r="DAO15" s="1221"/>
      <c r="DAP15" s="1221"/>
      <c r="DAQ15" s="1221"/>
      <c r="DAR15" s="1221"/>
      <c r="DAS15" s="1221"/>
      <c r="DAT15" s="1221"/>
      <c r="DAU15" s="1221"/>
      <c r="DAV15" s="1221"/>
      <c r="DAW15" s="1221"/>
      <c r="DAX15" s="1221"/>
      <c r="DAY15" s="1221"/>
      <c r="DAZ15" s="1221"/>
      <c r="DBA15" s="1221"/>
      <c r="DBB15" s="1221"/>
      <c r="DBC15" s="1221"/>
      <c r="DBD15" s="1221"/>
      <c r="DBE15" s="1221"/>
      <c r="DBF15" s="1221"/>
      <c r="DBG15" s="1221"/>
      <c r="DBH15" s="1221"/>
      <c r="DBI15" s="1221"/>
      <c r="DBJ15" s="1221"/>
      <c r="DBK15" s="1221"/>
      <c r="DBL15" s="1221"/>
      <c r="DBM15" s="1221"/>
      <c r="DBN15" s="1221"/>
      <c r="DBO15" s="1221"/>
      <c r="DBP15" s="1221"/>
      <c r="DBQ15" s="1221"/>
      <c r="DBR15" s="1221"/>
      <c r="DBS15" s="1221"/>
      <c r="DBT15" s="1221"/>
      <c r="DBU15" s="1221"/>
      <c r="DBV15" s="1221"/>
      <c r="DBW15" s="1221"/>
      <c r="DBX15" s="1221"/>
      <c r="DBY15" s="1221"/>
      <c r="DBZ15" s="1221"/>
      <c r="DCA15" s="1221"/>
      <c r="DCB15" s="1221"/>
      <c r="DCC15" s="1221"/>
      <c r="DCD15" s="1221"/>
      <c r="DCE15" s="1221"/>
      <c r="DCF15" s="1221"/>
      <c r="DCG15" s="1221"/>
      <c r="DCH15" s="1221"/>
      <c r="DCI15" s="1221"/>
      <c r="DCJ15" s="1221"/>
      <c r="DCK15" s="1221"/>
      <c r="DCL15" s="1221"/>
      <c r="DCM15" s="1221"/>
      <c r="DCN15" s="1221"/>
      <c r="DCO15" s="1221"/>
      <c r="DCP15" s="1221"/>
      <c r="DCQ15" s="1221"/>
      <c r="DCR15" s="1221"/>
      <c r="DCS15" s="1221"/>
      <c r="DCT15" s="1221"/>
      <c r="DCU15" s="1221"/>
      <c r="DCV15" s="1221"/>
      <c r="DCW15" s="1221"/>
      <c r="DCX15" s="1221"/>
      <c r="DCY15" s="1221"/>
      <c r="DCZ15" s="1221"/>
      <c r="DDA15" s="1221"/>
      <c r="DDB15" s="1221"/>
      <c r="DDC15" s="1221"/>
      <c r="DDD15" s="1221"/>
      <c r="DDE15" s="1221"/>
      <c r="DDF15" s="1221"/>
      <c r="DDG15" s="1221"/>
      <c r="DDH15" s="1221"/>
      <c r="DDI15" s="1221"/>
      <c r="DDJ15" s="1221"/>
      <c r="DDK15" s="1221"/>
      <c r="DDL15" s="1221"/>
      <c r="DDM15" s="1221"/>
      <c r="DDN15" s="1221"/>
      <c r="DDO15" s="1221"/>
      <c r="DDP15" s="1221"/>
      <c r="DDQ15" s="1221"/>
      <c r="DDR15" s="1221"/>
      <c r="DDS15" s="1221"/>
      <c r="DDT15" s="1221"/>
      <c r="DDU15" s="1221"/>
      <c r="DDV15" s="1221"/>
      <c r="DDW15" s="1221"/>
      <c r="DDX15" s="1221"/>
      <c r="DDY15" s="1221"/>
      <c r="DDZ15" s="1221"/>
      <c r="DEA15" s="1221"/>
      <c r="DEB15" s="1221"/>
      <c r="DEC15" s="1221"/>
      <c r="DED15" s="1221"/>
      <c r="DEE15" s="1221"/>
      <c r="DEF15" s="1221"/>
      <c r="DEG15" s="1221"/>
      <c r="DEH15" s="1221"/>
      <c r="DEI15" s="1221"/>
      <c r="DEJ15" s="1221"/>
      <c r="DEK15" s="1221"/>
      <c r="DEL15" s="1221"/>
      <c r="DEM15" s="1221"/>
      <c r="DEN15" s="1221"/>
      <c r="DEO15" s="1221"/>
      <c r="DEP15" s="1221"/>
      <c r="DEQ15" s="1221"/>
      <c r="DER15" s="1221"/>
      <c r="DES15" s="1221"/>
      <c r="DET15" s="1221"/>
      <c r="DEU15" s="1221"/>
      <c r="DEV15" s="1221"/>
      <c r="DEW15" s="1221"/>
      <c r="DEX15" s="1221"/>
      <c r="DEY15" s="1221"/>
      <c r="DEZ15" s="1221"/>
      <c r="DFA15" s="1221"/>
      <c r="DFB15" s="1221"/>
      <c r="DFC15" s="1221"/>
      <c r="DFD15" s="1221"/>
      <c r="DFE15" s="1221"/>
      <c r="DFF15" s="1221"/>
      <c r="DFG15" s="1221"/>
      <c r="DFH15" s="1221"/>
      <c r="DFI15" s="1221"/>
      <c r="DFJ15" s="1221"/>
      <c r="DFK15" s="1221"/>
      <c r="DFL15" s="1221"/>
      <c r="DFM15" s="1221"/>
      <c r="DFN15" s="1221"/>
      <c r="DFO15" s="1221"/>
      <c r="DFP15" s="1221"/>
      <c r="DFQ15" s="1221"/>
      <c r="DFR15" s="1221"/>
      <c r="DFS15" s="1221"/>
      <c r="DFT15" s="1221"/>
      <c r="DFU15" s="1221"/>
      <c r="DFV15" s="1221"/>
      <c r="DFW15" s="1221"/>
      <c r="DFX15" s="1221"/>
      <c r="DFY15" s="1221"/>
      <c r="DFZ15" s="1221"/>
      <c r="DGA15" s="1221"/>
      <c r="DGB15" s="1221"/>
      <c r="DGC15" s="1221"/>
      <c r="DGD15" s="1221"/>
      <c r="DGE15" s="1221"/>
      <c r="DGF15" s="1221"/>
      <c r="DGG15" s="1221"/>
      <c r="DGH15" s="1221"/>
      <c r="DGI15" s="1221"/>
      <c r="DGJ15" s="1221"/>
      <c r="DGK15" s="1221"/>
      <c r="DGL15" s="1221"/>
      <c r="DGM15" s="1221"/>
      <c r="DGN15" s="1221"/>
      <c r="DGO15" s="1221"/>
      <c r="DGP15" s="1221"/>
      <c r="DGQ15" s="1221"/>
      <c r="DGR15" s="1221"/>
      <c r="DGS15" s="1221"/>
      <c r="DGT15" s="1221"/>
      <c r="DGU15" s="1221"/>
      <c r="DGV15" s="1221"/>
      <c r="DGW15" s="1221"/>
      <c r="DGX15" s="1221"/>
      <c r="DGY15" s="1221"/>
      <c r="DGZ15" s="1221"/>
      <c r="DHA15" s="1221"/>
      <c r="DHB15" s="1221"/>
      <c r="DHC15" s="1221"/>
      <c r="DHD15" s="1221"/>
      <c r="DHE15" s="1221"/>
      <c r="DHF15" s="1221"/>
      <c r="DHG15" s="1221"/>
      <c r="DHH15" s="1221"/>
      <c r="DHI15" s="1221"/>
      <c r="DHJ15" s="1221"/>
      <c r="DHK15" s="1221"/>
      <c r="DHL15" s="1221"/>
      <c r="DHM15" s="1221"/>
      <c r="DHN15" s="1221"/>
      <c r="DHO15" s="1221"/>
      <c r="DHP15" s="1221"/>
      <c r="DHQ15" s="1221"/>
      <c r="DHR15" s="1221"/>
      <c r="DHS15" s="1221"/>
      <c r="DHT15" s="1221"/>
      <c r="DHU15" s="1221"/>
      <c r="DHV15" s="1221"/>
      <c r="DHW15" s="1221"/>
      <c r="DHX15" s="1221"/>
      <c r="DHY15" s="1221"/>
      <c r="DHZ15" s="1221"/>
      <c r="DIA15" s="1221"/>
      <c r="DIB15" s="1221"/>
      <c r="DIC15" s="1221"/>
      <c r="DID15" s="1221"/>
      <c r="DIE15" s="1221"/>
      <c r="DIF15" s="1221"/>
      <c r="DIG15" s="1221"/>
      <c r="DIH15" s="1221"/>
      <c r="DII15" s="1221"/>
      <c r="DIJ15" s="1221"/>
      <c r="DIK15" s="1221"/>
      <c r="DIL15" s="1221"/>
      <c r="DIM15" s="1221"/>
      <c r="DIN15" s="1221"/>
      <c r="DIO15" s="1221"/>
      <c r="DIP15" s="1221"/>
      <c r="DIQ15" s="1221"/>
      <c r="DIR15" s="1221"/>
      <c r="DIS15" s="1221"/>
      <c r="DIT15" s="1221"/>
      <c r="DIU15" s="1221"/>
      <c r="DIV15" s="1221"/>
      <c r="DIW15" s="1221"/>
      <c r="DIX15" s="1221"/>
      <c r="DIY15" s="1221"/>
      <c r="DIZ15" s="1221"/>
      <c r="DJA15" s="1221"/>
      <c r="DJB15" s="1221"/>
      <c r="DJC15" s="1221"/>
      <c r="DJD15" s="1221"/>
      <c r="DJE15" s="1221"/>
      <c r="DJF15" s="1221"/>
      <c r="DJG15" s="1221"/>
      <c r="DJH15" s="1221"/>
      <c r="DJI15" s="1221"/>
      <c r="DJJ15" s="1221"/>
      <c r="DJK15" s="1221"/>
      <c r="DJL15" s="1221"/>
      <c r="DJM15" s="1221"/>
      <c r="DJN15" s="1221"/>
      <c r="DJO15" s="1221"/>
      <c r="DJP15" s="1221"/>
      <c r="DJQ15" s="1221"/>
      <c r="DJR15" s="1221"/>
      <c r="DJS15" s="1221"/>
      <c r="DJT15" s="1221"/>
      <c r="DJU15" s="1221"/>
      <c r="DJV15" s="1221"/>
      <c r="DJW15" s="1221"/>
      <c r="DJX15" s="1221"/>
      <c r="DJY15" s="1221"/>
      <c r="DJZ15" s="1221"/>
      <c r="DKA15" s="1221"/>
      <c r="DKB15" s="1221"/>
      <c r="DKC15" s="1221"/>
      <c r="DKD15" s="1221"/>
      <c r="DKE15" s="1221"/>
      <c r="DKF15" s="1221"/>
      <c r="DKG15" s="1221"/>
      <c r="DKH15" s="1221"/>
      <c r="DKI15" s="1221"/>
      <c r="DKJ15" s="1221"/>
      <c r="DKK15" s="1221"/>
      <c r="DKL15" s="1221"/>
      <c r="DKM15" s="1221"/>
      <c r="DKN15" s="1221"/>
      <c r="DKO15" s="1221"/>
      <c r="DKP15" s="1221"/>
      <c r="DKQ15" s="1221"/>
      <c r="DKR15" s="1221"/>
      <c r="DKS15" s="1221"/>
      <c r="DKT15" s="1221"/>
      <c r="DKU15" s="1221"/>
      <c r="DKV15" s="1221"/>
      <c r="DKW15" s="1221"/>
      <c r="DKX15" s="1221"/>
      <c r="DKY15" s="1221"/>
      <c r="DKZ15" s="1221"/>
      <c r="DLA15" s="1221"/>
      <c r="DLB15" s="1221"/>
      <c r="DLC15" s="1221"/>
      <c r="DLD15" s="1221"/>
      <c r="DLE15" s="1221"/>
      <c r="DLF15" s="1221"/>
      <c r="DLG15" s="1221"/>
      <c r="DLH15" s="1221"/>
      <c r="DLI15" s="1221"/>
      <c r="DLJ15" s="1221"/>
      <c r="DLK15" s="1221"/>
      <c r="DLL15" s="1221"/>
      <c r="DLM15" s="1221"/>
      <c r="DLN15" s="1221"/>
      <c r="DLO15" s="1221"/>
      <c r="DLP15" s="1221"/>
      <c r="DLQ15" s="1221"/>
      <c r="DLR15" s="1221"/>
      <c r="DLS15" s="1221"/>
      <c r="DLT15" s="1221"/>
      <c r="DLU15" s="1221"/>
      <c r="DLV15" s="1221"/>
      <c r="DLW15" s="1221"/>
      <c r="DLX15" s="1221"/>
      <c r="DLY15" s="1221"/>
      <c r="DLZ15" s="1221"/>
      <c r="DMA15" s="1221"/>
      <c r="DMB15" s="1221"/>
      <c r="DMC15" s="1221"/>
      <c r="DMD15" s="1221"/>
      <c r="DME15" s="1221"/>
      <c r="DMF15" s="1221"/>
      <c r="DMG15" s="1221"/>
      <c r="DMH15" s="1221"/>
      <c r="DMI15" s="1221"/>
      <c r="DMJ15" s="1221"/>
      <c r="DMK15" s="1221"/>
      <c r="DML15" s="1221"/>
      <c r="DMM15" s="1221"/>
      <c r="DMN15" s="1221"/>
      <c r="DMO15" s="1221"/>
      <c r="DMP15" s="1221"/>
      <c r="DMQ15" s="1221"/>
      <c r="DMR15" s="1221"/>
      <c r="DMS15" s="1221"/>
      <c r="DMT15" s="1221"/>
      <c r="DMU15" s="1221"/>
      <c r="DMV15" s="1221"/>
      <c r="DMW15" s="1221"/>
      <c r="DMX15" s="1221"/>
      <c r="DMY15" s="1221"/>
      <c r="DMZ15" s="1221"/>
      <c r="DNA15" s="1221"/>
      <c r="DNB15" s="1221"/>
      <c r="DNC15" s="1221"/>
      <c r="DND15" s="1221"/>
      <c r="DNE15" s="1221"/>
      <c r="DNF15" s="1221"/>
      <c r="DNG15" s="1221"/>
      <c r="DNH15" s="1221"/>
      <c r="DNI15" s="1221"/>
      <c r="DNJ15" s="1221"/>
      <c r="DNK15" s="1221"/>
      <c r="DNL15" s="1221"/>
      <c r="DNM15" s="1221"/>
      <c r="DNN15" s="1221"/>
      <c r="DNO15" s="1221"/>
      <c r="DNP15" s="1221"/>
      <c r="DNQ15" s="1221"/>
      <c r="DNR15" s="1221"/>
      <c r="DNS15" s="1221"/>
      <c r="DNT15" s="1221"/>
      <c r="DNU15" s="1221"/>
      <c r="DNV15" s="1221"/>
      <c r="DNW15" s="1221"/>
      <c r="DNX15" s="1221"/>
      <c r="DNY15" s="1221"/>
      <c r="DNZ15" s="1221"/>
      <c r="DOA15" s="1221"/>
      <c r="DOB15" s="1221"/>
      <c r="DOC15" s="1221"/>
      <c r="DOD15" s="1221"/>
      <c r="DOE15" s="1221"/>
      <c r="DOF15" s="1221"/>
      <c r="DOG15" s="1221"/>
      <c r="DOH15" s="1221"/>
      <c r="DOI15" s="1221"/>
      <c r="DOJ15" s="1221"/>
      <c r="DOK15" s="1221"/>
      <c r="DOL15" s="1221"/>
      <c r="DOM15" s="1221"/>
      <c r="DON15" s="1221"/>
      <c r="DOO15" s="1221"/>
      <c r="DOP15" s="1221"/>
      <c r="DOQ15" s="1221"/>
      <c r="DOR15" s="1221"/>
      <c r="DOS15" s="1221"/>
      <c r="DOT15" s="1221"/>
      <c r="DOU15" s="1221"/>
      <c r="DOV15" s="1221"/>
      <c r="DOW15" s="1221"/>
      <c r="DOX15" s="1221"/>
      <c r="DOY15" s="1221"/>
      <c r="DOZ15" s="1221"/>
      <c r="DPA15" s="1221"/>
      <c r="DPB15" s="1221"/>
      <c r="DPC15" s="1221"/>
      <c r="DPD15" s="1221"/>
      <c r="DPE15" s="1221"/>
      <c r="DPF15" s="1221"/>
      <c r="DPG15" s="1221"/>
      <c r="DPH15" s="1221"/>
      <c r="DPI15" s="1221"/>
      <c r="DPJ15" s="1221"/>
      <c r="DPK15" s="1221"/>
      <c r="DPL15" s="1221"/>
      <c r="DPM15" s="1221"/>
      <c r="DPN15" s="1221"/>
      <c r="DPO15" s="1221"/>
      <c r="DPP15" s="1221"/>
      <c r="DPQ15" s="1221"/>
      <c r="DPR15" s="1221"/>
      <c r="DPS15" s="1221"/>
      <c r="DPT15" s="1221"/>
      <c r="DPU15" s="1221"/>
      <c r="DPV15" s="1221"/>
      <c r="DPW15" s="1221"/>
      <c r="DPX15" s="1221"/>
      <c r="DPY15" s="1221"/>
      <c r="DPZ15" s="1221"/>
      <c r="DQA15" s="1221"/>
      <c r="DQB15" s="1221"/>
      <c r="DQC15" s="1221"/>
      <c r="DQD15" s="1221"/>
      <c r="DQE15" s="1221"/>
      <c r="DQF15" s="1221"/>
      <c r="DQG15" s="1221"/>
      <c r="DQH15" s="1221"/>
      <c r="DQI15" s="1221"/>
      <c r="DQJ15" s="1221"/>
      <c r="DQK15" s="1221"/>
      <c r="DQL15" s="1221"/>
      <c r="DQM15" s="1221"/>
      <c r="DQN15" s="1221"/>
      <c r="DQO15" s="1221"/>
      <c r="DQP15" s="1221"/>
      <c r="DQQ15" s="1221"/>
      <c r="DQR15" s="1221"/>
      <c r="DQS15" s="1221"/>
      <c r="DQT15" s="1221"/>
      <c r="DQU15" s="1221"/>
      <c r="DQV15" s="1221"/>
      <c r="DQW15" s="1221"/>
      <c r="DQX15" s="1221"/>
      <c r="DQY15" s="1221"/>
      <c r="DQZ15" s="1221"/>
      <c r="DRA15" s="1221"/>
      <c r="DRB15" s="1221"/>
      <c r="DRC15" s="1221"/>
      <c r="DRD15" s="1221"/>
      <c r="DRE15" s="1221"/>
      <c r="DRF15" s="1221"/>
      <c r="DRG15" s="1221"/>
      <c r="DRH15" s="1221"/>
      <c r="DRI15" s="1221"/>
      <c r="DRJ15" s="1221"/>
      <c r="DRK15" s="1221"/>
      <c r="DRL15" s="1221"/>
      <c r="DRM15" s="1221"/>
      <c r="DRN15" s="1221"/>
      <c r="DRO15" s="1221"/>
      <c r="DRP15" s="1221"/>
      <c r="DRQ15" s="1221"/>
      <c r="DRR15" s="1221"/>
      <c r="DRS15" s="1221"/>
      <c r="DRT15" s="1221"/>
      <c r="DRU15" s="1221"/>
      <c r="DRV15" s="1221"/>
      <c r="DRW15" s="1221"/>
      <c r="DRX15" s="1221"/>
      <c r="DRY15" s="1221"/>
      <c r="DRZ15" s="1221"/>
      <c r="DSA15" s="1221"/>
      <c r="DSB15" s="1221"/>
      <c r="DSC15" s="1221"/>
      <c r="DSD15" s="1221"/>
      <c r="DSE15" s="1221"/>
      <c r="DSF15" s="1221"/>
      <c r="DSG15" s="1221"/>
      <c r="DSH15" s="1221"/>
      <c r="DSI15" s="1221"/>
      <c r="DSJ15" s="1221"/>
      <c r="DSK15" s="1221"/>
      <c r="DSL15" s="1221"/>
      <c r="DSM15" s="1221"/>
      <c r="DSN15" s="1221"/>
      <c r="DSO15" s="1221"/>
      <c r="DSP15" s="1221"/>
      <c r="DSQ15" s="1221"/>
      <c r="DSR15" s="1221"/>
      <c r="DSS15" s="1221"/>
      <c r="DST15" s="1221"/>
      <c r="DSU15" s="1221"/>
      <c r="DSV15" s="1221"/>
      <c r="DSW15" s="1221"/>
      <c r="DSX15" s="1221"/>
      <c r="DSY15" s="1221"/>
      <c r="DSZ15" s="1221"/>
      <c r="DTA15" s="1221"/>
      <c r="DTB15" s="1221"/>
      <c r="DTC15" s="1221"/>
      <c r="DTD15" s="1221"/>
      <c r="DTE15" s="1221"/>
      <c r="DTF15" s="1221"/>
      <c r="DTG15" s="1221"/>
      <c r="DTH15" s="1221"/>
      <c r="DTI15" s="1221"/>
      <c r="DTJ15" s="1221"/>
      <c r="DTK15" s="1221"/>
      <c r="DTL15" s="1221"/>
      <c r="DTM15" s="1221"/>
      <c r="DTN15" s="1221"/>
      <c r="DTO15" s="1221"/>
      <c r="DTP15" s="1221"/>
      <c r="DTQ15" s="1221"/>
      <c r="DTR15" s="1221"/>
      <c r="DTS15" s="1221"/>
      <c r="DTT15" s="1221"/>
      <c r="DTU15" s="1221"/>
      <c r="DTV15" s="1221"/>
      <c r="DTW15" s="1221"/>
      <c r="DTX15" s="1221"/>
      <c r="DTY15" s="1221"/>
      <c r="DTZ15" s="1221"/>
      <c r="DUA15" s="1221"/>
      <c r="DUB15" s="1221"/>
      <c r="DUC15" s="1221"/>
      <c r="DUD15" s="1221"/>
      <c r="DUE15" s="1221"/>
      <c r="DUF15" s="1221"/>
      <c r="DUG15" s="1221"/>
      <c r="DUH15" s="1221"/>
      <c r="DUI15" s="1221"/>
      <c r="DUJ15" s="1221"/>
      <c r="DUK15" s="1221"/>
      <c r="DUL15" s="1221"/>
      <c r="DUM15" s="1221"/>
      <c r="DUN15" s="1221"/>
      <c r="DUO15" s="1221"/>
      <c r="DUP15" s="1221"/>
      <c r="DUQ15" s="1221"/>
      <c r="DUR15" s="1221"/>
      <c r="DUS15" s="1221"/>
      <c r="DUT15" s="1221"/>
      <c r="DUU15" s="1221"/>
      <c r="DUV15" s="1221"/>
      <c r="DUW15" s="1221"/>
      <c r="DUX15" s="1221"/>
      <c r="DUY15" s="1221"/>
      <c r="DUZ15" s="1221"/>
      <c r="DVA15" s="1221"/>
      <c r="DVB15" s="1221"/>
      <c r="DVC15" s="1221"/>
      <c r="DVD15" s="1221"/>
      <c r="DVE15" s="1221"/>
      <c r="DVF15" s="1221"/>
      <c r="DVG15" s="1221"/>
      <c r="DVH15" s="1221"/>
      <c r="DVI15" s="1221"/>
      <c r="DVJ15" s="1221"/>
      <c r="DVK15" s="1221"/>
      <c r="DVL15" s="1221"/>
      <c r="DVM15" s="1221"/>
      <c r="DVN15" s="1221"/>
      <c r="DVO15" s="1221"/>
      <c r="DVP15" s="1221"/>
      <c r="DVQ15" s="1221"/>
      <c r="DVR15" s="1221"/>
      <c r="DVS15" s="1221"/>
      <c r="DVT15" s="1221"/>
      <c r="DVU15" s="1221"/>
      <c r="DVV15" s="1221"/>
      <c r="DVW15" s="1221"/>
      <c r="DVX15" s="1221"/>
      <c r="DVY15" s="1221"/>
      <c r="DVZ15" s="1221"/>
      <c r="DWA15" s="1221"/>
      <c r="DWB15" s="1221"/>
      <c r="DWC15" s="1221"/>
      <c r="DWD15" s="1221"/>
      <c r="DWE15" s="1221"/>
      <c r="DWF15" s="1221"/>
      <c r="DWG15" s="1221"/>
      <c r="DWH15" s="1221"/>
      <c r="DWI15" s="1221"/>
      <c r="DWJ15" s="1221"/>
      <c r="DWK15" s="1221"/>
      <c r="DWL15" s="1221"/>
      <c r="DWM15" s="1221"/>
      <c r="DWN15" s="1221"/>
      <c r="DWO15" s="1221"/>
      <c r="DWP15" s="1221"/>
      <c r="DWQ15" s="1221"/>
      <c r="DWR15" s="1221"/>
      <c r="DWS15" s="1221"/>
      <c r="DWT15" s="1221"/>
      <c r="DWU15" s="1221"/>
      <c r="DWV15" s="1221"/>
      <c r="DWW15" s="1221"/>
      <c r="DWX15" s="1221"/>
      <c r="DWY15" s="1221"/>
      <c r="DWZ15" s="1221"/>
      <c r="DXA15" s="1221"/>
      <c r="DXB15" s="1221"/>
      <c r="DXC15" s="1221"/>
      <c r="DXD15" s="1221"/>
      <c r="DXE15" s="1221"/>
      <c r="DXF15" s="1221"/>
      <c r="DXG15" s="1221"/>
      <c r="DXH15" s="1221"/>
      <c r="DXI15" s="1221"/>
      <c r="DXJ15" s="1221"/>
      <c r="DXK15" s="1221"/>
      <c r="DXL15" s="1221"/>
      <c r="DXM15" s="1221"/>
      <c r="DXN15" s="1221"/>
      <c r="DXO15" s="1221"/>
      <c r="DXP15" s="1221"/>
      <c r="DXQ15" s="1221"/>
      <c r="DXR15" s="1221"/>
      <c r="DXS15" s="1221"/>
      <c r="DXT15" s="1221"/>
      <c r="DXU15" s="1221"/>
      <c r="DXV15" s="1221"/>
      <c r="DXW15" s="1221"/>
      <c r="DXX15" s="1221"/>
      <c r="DXY15" s="1221"/>
      <c r="DXZ15" s="1221"/>
      <c r="DYA15" s="1221"/>
      <c r="DYB15" s="1221"/>
      <c r="DYC15" s="1221"/>
      <c r="DYD15" s="1221"/>
      <c r="DYE15" s="1221"/>
      <c r="DYF15" s="1221"/>
      <c r="DYG15" s="1221"/>
      <c r="DYH15" s="1221"/>
      <c r="DYI15" s="1221"/>
      <c r="DYJ15" s="1221"/>
      <c r="DYK15" s="1221"/>
      <c r="DYL15" s="1221"/>
      <c r="DYM15" s="1221"/>
      <c r="DYN15" s="1221"/>
      <c r="DYO15" s="1221"/>
      <c r="DYP15" s="1221"/>
      <c r="DYQ15" s="1221"/>
      <c r="DYR15" s="1221"/>
      <c r="DYS15" s="1221"/>
      <c r="DYT15" s="1221"/>
      <c r="DYU15" s="1221"/>
      <c r="DYV15" s="1221"/>
      <c r="DYW15" s="1221"/>
      <c r="DYX15" s="1221"/>
      <c r="DYY15" s="1221"/>
      <c r="DYZ15" s="1221"/>
      <c r="DZA15" s="1221"/>
      <c r="DZB15" s="1221"/>
      <c r="DZC15" s="1221"/>
      <c r="DZD15" s="1221"/>
      <c r="DZE15" s="1221"/>
      <c r="DZF15" s="1221"/>
      <c r="DZG15" s="1221"/>
      <c r="DZH15" s="1221"/>
      <c r="DZI15" s="1221"/>
      <c r="DZJ15" s="1221"/>
      <c r="DZK15" s="1221"/>
      <c r="DZL15" s="1221"/>
      <c r="DZM15" s="1221"/>
      <c r="DZN15" s="1221"/>
      <c r="DZO15" s="1221"/>
      <c r="DZP15" s="1221"/>
      <c r="DZQ15" s="1221"/>
      <c r="DZR15" s="1221"/>
      <c r="DZS15" s="1221"/>
      <c r="DZT15" s="1221"/>
      <c r="DZU15" s="1221"/>
      <c r="DZV15" s="1221"/>
      <c r="DZW15" s="1221"/>
      <c r="DZX15" s="1221"/>
      <c r="DZY15" s="1221"/>
      <c r="DZZ15" s="1221"/>
      <c r="EAA15" s="1221"/>
      <c r="EAB15" s="1221"/>
      <c r="EAC15" s="1221"/>
      <c r="EAD15" s="1221"/>
      <c r="EAE15" s="1221"/>
      <c r="EAF15" s="1221"/>
      <c r="EAG15" s="1221"/>
      <c r="EAH15" s="1221"/>
      <c r="EAI15" s="1221"/>
      <c r="EAJ15" s="1221"/>
      <c r="EAK15" s="1221"/>
      <c r="EAL15" s="1221"/>
      <c r="EAM15" s="1221"/>
      <c r="EAN15" s="1221"/>
      <c r="EAO15" s="1221"/>
      <c r="EAP15" s="1221"/>
      <c r="EAQ15" s="1221"/>
      <c r="EAR15" s="1221"/>
      <c r="EAS15" s="1221"/>
      <c r="EAT15" s="1221"/>
      <c r="EAU15" s="1221"/>
      <c r="EAV15" s="1221"/>
      <c r="EAW15" s="1221"/>
      <c r="EAX15" s="1221"/>
      <c r="EAY15" s="1221"/>
      <c r="EAZ15" s="1221"/>
      <c r="EBA15" s="1221"/>
      <c r="EBB15" s="1221"/>
      <c r="EBC15" s="1221"/>
      <c r="EBD15" s="1221"/>
      <c r="EBE15" s="1221"/>
      <c r="EBF15" s="1221"/>
      <c r="EBG15" s="1221"/>
      <c r="EBH15" s="1221"/>
      <c r="EBI15" s="1221"/>
      <c r="EBJ15" s="1221"/>
      <c r="EBK15" s="1221"/>
      <c r="EBL15" s="1221"/>
      <c r="EBM15" s="1221"/>
      <c r="EBN15" s="1221"/>
      <c r="EBO15" s="1221"/>
      <c r="EBP15" s="1221"/>
      <c r="EBQ15" s="1221"/>
      <c r="EBR15" s="1221"/>
      <c r="EBS15" s="1221"/>
      <c r="EBT15" s="1221"/>
      <c r="EBU15" s="1221"/>
      <c r="EBV15" s="1221"/>
      <c r="EBW15" s="1221"/>
      <c r="EBX15" s="1221"/>
      <c r="EBY15" s="1221"/>
      <c r="EBZ15" s="1221"/>
      <c r="ECA15" s="1221"/>
      <c r="ECB15" s="1221"/>
      <c r="ECC15" s="1221"/>
      <c r="ECD15" s="1221"/>
      <c r="ECE15" s="1221"/>
      <c r="ECF15" s="1221"/>
      <c r="ECG15" s="1221"/>
      <c r="ECH15" s="1221"/>
      <c r="ECI15" s="1221"/>
      <c r="ECJ15" s="1221"/>
      <c r="ECK15" s="1221"/>
      <c r="ECL15" s="1221"/>
      <c r="ECM15" s="1221"/>
      <c r="ECN15" s="1221"/>
      <c r="ECO15" s="1221"/>
    </row>
    <row r="16" spans="1:3473" s="1237" customFormat="1" ht="13">
      <c r="B16" s="1238" t="s">
        <v>537</v>
      </c>
      <c r="C16" s="1239" t="s">
        <v>28</v>
      </c>
      <c r="D16" s="1240" t="s">
        <v>486</v>
      </c>
      <c r="E16" s="1242">
        <f t="shared" si="4"/>
        <v>891.13508783298994</v>
      </c>
      <c r="F16" s="1242">
        <f t="shared" si="4"/>
        <v>814.89179663264167</v>
      </c>
      <c r="G16" s="1242">
        <f t="shared" si="4"/>
        <v>76.24329120034831</v>
      </c>
      <c r="H16" s="1241">
        <f t="shared" si="4"/>
        <v>2698.0928165179184</v>
      </c>
      <c r="I16" s="1241">
        <f t="shared" si="4"/>
        <v>2476.8161166197929</v>
      </c>
      <c r="J16" s="1241">
        <f t="shared" si="4"/>
        <v>221.27669989812566</v>
      </c>
      <c r="K16" s="1241">
        <f t="shared" si="4"/>
        <v>838.87239081535392</v>
      </c>
      <c r="L16" s="1241">
        <f t="shared" si="4"/>
        <v>767.41200801342848</v>
      </c>
      <c r="M16" s="1241">
        <f t="shared" si="4"/>
        <v>71.460382801925405</v>
      </c>
      <c r="N16" s="1241" t="str">
        <f t="shared" si="4"/>
        <v/>
      </c>
      <c r="O16" s="1241" t="str">
        <f t="shared" si="4"/>
        <v/>
      </c>
      <c r="P16" s="1241" t="str">
        <f t="shared" si="4"/>
        <v/>
      </c>
      <c r="Q16" s="1241">
        <f t="shared" si="4"/>
        <v>2711.1573405272584</v>
      </c>
      <c r="R16" s="1241">
        <f t="shared" si="4"/>
        <v>2491.4875838211274</v>
      </c>
      <c r="S16" s="1241">
        <f t="shared" si="8"/>
        <v>219.66975670613152</v>
      </c>
      <c r="T16" s="1241">
        <f t="shared" si="5"/>
        <v>3763.4367768849679</v>
      </c>
      <c r="U16" s="1241">
        <f t="shared" si="5"/>
        <v>3469.0312027703944</v>
      </c>
      <c r="V16" s="1241">
        <f t="shared" si="9"/>
        <v>294.4055741145736</v>
      </c>
      <c r="W16" s="1241" t="str">
        <f t="shared" si="10"/>
        <v/>
      </c>
      <c r="X16" s="1241" t="str">
        <f t="shared" si="10"/>
        <v/>
      </c>
      <c r="Y16" s="1241" t="str">
        <f t="shared" si="10"/>
        <v/>
      </c>
      <c r="Z16" s="1242">
        <f t="shared" si="11"/>
        <v>2261.4836509275456</v>
      </c>
      <c r="AA16" s="1242">
        <f t="shared" si="11"/>
        <v>2076.5304091459061</v>
      </c>
      <c r="AB16" s="1242">
        <f t="shared" si="11"/>
        <v>184.95324178163932</v>
      </c>
      <c r="AC16" s="1242">
        <f t="shared" si="15"/>
        <v>3004.5125783486824</v>
      </c>
      <c r="AD16" s="1243">
        <f t="shared" si="15"/>
        <v>2758.7914381090068</v>
      </c>
      <c r="AE16" s="1243">
        <f t="shared" si="15"/>
        <v>245.72114023967535</v>
      </c>
      <c r="AF16" s="1263">
        <f>SUM(AF17:AF20)</f>
        <v>2189.148198609118</v>
      </c>
      <c r="AG16" s="1264">
        <f t="shared" ref="AG16:BL16" si="31">SUM(AG17:AG20)</f>
        <v>2001.8501493390015</v>
      </c>
      <c r="AH16" s="1264">
        <f t="shared" si="31"/>
        <v>187.29804927011648</v>
      </c>
      <c r="AI16" s="1264">
        <f t="shared" si="31"/>
        <v>11648.732435570377</v>
      </c>
      <c r="AJ16" s="1264">
        <f t="shared" si="31"/>
        <v>10693.393517813711</v>
      </c>
      <c r="AK16" s="1264">
        <f t="shared" si="31"/>
        <v>955.33891775666802</v>
      </c>
      <c r="AL16" s="1264">
        <f t="shared" si="31"/>
        <v>789.33362064814389</v>
      </c>
      <c r="AM16" s="1264">
        <f t="shared" si="31"/>
        <v>722.09325929220336</v>
      </c>
      <c r="AN16" s="1264">
        <f t="shared" si="31"/>
        <v>67.240361355940493</v>
      </c>
      <c r="AO16" s="1264">
        <f t="shared" si="31"/>
        <v>0</v>
      </c>
      <c r="AP16" s="1264">
        <f t="shared" si="31"/>
        <v>0</v>
      </c>
      <c r="AQ16" s="1264">
        <f t="shared" si="31"/>
        <v>0</v>
      </c>
      <c r="AR16" s="1264">
        <f t="shared" si="31"/>
        <v>16043.105470814939</v>
      </c>
      <c r="AS16" s="1264">
        <f t="shared" si="31"/>
        <v>14743.223305031323</v>
      </c>
      <c r="AT16" s="1264">
        <f t="shared" si="31"/>
        <v>1299.8821657836174</v>
      </c>
      <c r="AU16" s="1264">
        <f t="shared" si="31"/>
        <v>398.52161061467996</v>
      </c>
      <c r="AV16" s="1264">
        <f t="shared" si="31"/>
        <v>367.34612115496543</v>
      </c>
      <c r="AW16" s="1264">
        <f t="shared" si="31"/>
        <v>31.175489459714544</v>
      </c>
      <c r="AX16" s="1264"/>
      <c r="AY16" s="1264"/>
      <c r="AZ16" s="1264"/>
      <c r="BA16" s="1264">
        <f t="shared" si="31"/>
        <v>31068.841336257261</v>
      </c>
      <c r="BB16" s="1264">
        <f t="shared" si="31"/>
        <v>28527.906352631202</v>
      </c>
      <c r="BC16" s="1264">
        <f t="shared" si="31"/>
        <v>2540.9349836260571</v>
      </c>
      <c r="BD16" s="1264">
        <f t="shared" si="31"/>
        <v>0</v>
      </c>
      <c r="BE16" s="1264">
        <f t="shared" si="31"/>
        <v>0</v>
      </c>
      <c r="BF16" s="1264">
        <f t="shared" si="31"/>
        <v>0</v>
      </c>
      <c r="BG16" s="1264">
        <f t="shared" si="31"/>
        <v>0</v>
      </c>
      <c r="BH16" s="1264">
        <f t="shared" si="31"/>
        <v>0</v>
      </c>
      <c r="BI16" s="1264">
        <f t="shared" si="31"/>
        <v>0</v>
      </c>
      <c r="BJ16" s="1245">
        <f t="shared" si="31"/>
        <v>31068.841336257261</v>
      </c>
      <c r="BK16" s="1264">
        <f t="shared" si="31"/>
        <v>28527.906352631202</v>
      </c>
      <c r="BL16" s="1264">
        <f t="shared" si="31"/>
        <v>2540.9349836260571</v>
      </c>
      <c r="BM16" s="1246"/>
      <c r="BN16" s="1225">
        <f t="shared" si="12"/>
        <v>0</v>
      </c>
      <c r="BO16" s="1225">
        <f t="shared" si="13"/>
        <v>-3.637978807091713E-12</v>
      </c>
      <c r="BP16" s="1225">
        <f t="shared" si="14"/>
        <v>0</v>
      </c>
      <c r="BQ16" s="1247"/>
      <c r="BR16" s="1247"/>
      <c r="BS16" s="1247"/>
      <c r="BT16" s="1247"/>
      <c r="BU16" s="1247"/>
      <c r="BV16" s="1247"/>
      <c r="BW16" s="1247"/>
      <c r="BX16" s="1247"/>
      <c r="BY16" s="1247"/>
      <c r="BZ16" s="1247"/>
      <c r="CA16" s="1247"/>
      <c r="CB16" s="1247"/>
      <c r="CC16" s="1247"/>
      <c r="CD16" s="1247"/>
      <c r="CE16" s="1247"/>
      <c r="CF16" s="1247"/>
      <c r="CG16" s="1247"/>
      <c r="CH16" s="1247"/>
      <c r="CI16" s="1247"/>
      <c r="CJ16" s="1247"/>
      <c r="CK16" s="1247"/>
      <c r="CL16" s="1247"/>
      <c r="CM16" s="1247"/>
      <c r="CN16" s="1247"/>
      <c r="CO16" s="1247"/>
      <c r="CP16" s="1247"/>
      <c r="CQ16" s="1247"/>
      <c r="CR16" s="1247"/>
      <c r="CS16" s="1247"/>
      <c r="CT16" s="1247"/>
      <c r="CU16" s="1247"/>
      <c r="CV16" s="1247"/>
      <c r="CW16" s="1247"/>
      <c r="CX16" s="1247"/>
      <c r="CY16" s="1247"/>
      <c r="CZ16" s="1247"/>
      <c r="DA16" s="1247"/>
      <c r="DB16" s="1247"/>
      <c r="DC16" s="1247"/>
      <c r="DD16" s="1247"/>
      <c r="DE16" s="1247"/>
      <c r="DF16" s="1247"/>
      <c r="DG16" s="1247"/>
      <c r="DH16" s="1247"/>
      <c r="DI16" s="1247"/>
      <c r="DJ16" s="1247"/>
      <c r="DK16" s="1247"/>
      <c r="DL16" s="1247"/>
      <c r="DM16" s="1247"/>
      <c r="DN16" s="1247"/>
      <c r="DO16" s="1247"/>
      <c r="DP16" s="1247"/>
      <c r="DQ16" s="1247"/>
      <c r="DR16" s="1247"/>
      <c r="DS16" s="1247"/>
      <c r="DT16" s="1247"/>
      <c r="DU16" s="1247"/>
      <c r="DV16" s="1247"/>
      <c r="DW16" s="1247"/>
      <c r="DX16" s="1247"/>
      <c r="DY16" s="1247"/>
      <c r="DZ16" s="1247"/>
      <c r="EA16" s="1247"/>
      <c r="EB16" s="1247"/>
      <c r="EC16" s="1247"/>
      <c r="ED16" s="1247"/>
      <c r="EE16" s="1247"/>
      <c r="EF16" s="1247"/>
      <c r="EG16" s="1247"/>
      <c r="EH16" s="1247"/>
      <c r="EI16" s="1247"/>
      <c r="EJ16" s="1247"/>
      <c r="EK16" s="1247"/>
      <c r="EL16" s="1247"/>
      <c r="EM16" s="1247"/>
      <c r="EN16" s="1247"/>
      <c r="EO16" s="1247"/>
      <c r="EP16" s="1247"/>
      <c r="EQ16" s="1247"/>
      <c r="ER16" s="1247"/>
      <c r="ES16" s="1247"/>
      <c r="ET16" s="1247"/>
      <c r="EU16" s="1247"/>
      <c r="EV16" s="1247"/>
      <c r="EW16" s="1247"/>
      <c r="EX16" s="1247"/>
      <c r="EY16" s="1247"/>
      <c r="EZ16" s="1247"/>
      <c r="FA16" s="1247"/>
      <c r="FB16" s="1247"/>
      <c r="FC16" s="1247"/>
      <c r="FD16" s="1247"/>
      <c r="FE16" s="1247"/>
      <c r="FF16" s="1247"/>
      <c r="FG16" s="1247"/>
      <c r="FH16" s="1247"/>
      <c r="FI16" s="1247"/>
      <c r="FJ16" s="1247"/>
      <c r="FK16" s="1247"/>
      <c r="FL16" s="1247"/>
      <c r="FM16" s="1247"/>
      <c r="FN16" s="1247"/>
      <c r="FO16" s="1247"/>
      <c r="FP16" s="1247"/>
      <c r="FQ16" s="1247"/>
      <c r="FR16" s="1247"/>
      <c r="FS16" s="1247"/>
      <c r="FT16" s="1247"/>
      <c r="FU16" s="1247"/>
      <c r="FV16" s="1247"/>
      <c r="FW16" s="1247"/>
      <c r="FX16" s="1247"/>
      <c r="FY16" s="1247"/>
      <c r="FZ16" s="1247"/>
      <c r="GA16" s="1247"/>
      <c r="GB16" s="1247"/>
      <c r="GC16" s="1247"/>
      <c r="GD16" s="1247"/>
      <c r="GE16" s="1247"/>
      <c r="GF16" s="1247"/>
      <c r="GG16" s="1247"/>
      <c r="GH16" s="1247"/>
      <c r="GI16" s="1247"/>
      <c r="GJ16" s="1247"/>
      <c r="GK16" s="1247"/>
      <c r="GL16" s="1247"/>
      <c r="GM16" s="1247"/>
      <c r="GN16" s="1247"/>
      <c r="GO16" s="1247"/>
      <c r="GP16" s="1247"/>
      <c r="GQ16" s="1247"/>
      <c r="GR16" s="1247"/>
      <c r="GS16" s="1247"/>
      <c r="GT16" s="1247"/>
      <c r="GU16" s="1247"/>
      <c r="GV16" s="1247"/>
      <c r="GW16" s="1247"/>
      <c r="GX16" s="1247"/>
      <c r="GY16" s="1247"/>
      <c r="GZ16" s="1247"/>
      <c r="HA16" s="1247"/>
      <c r="HB16" s="1247"/>
      <c r="HC16" s="1247"/>
      <c r="HD16" s="1247"/>
      <c r="HE16" s="1247"/>
      <c r="HF16" s="1247"/>
      <c r="HG16" s="1247"/>
      <c r="HH16" s="1247"/>
      <c r="HI16" s="1247"/>
      <c r="HJ16" s="1247"/>
      <c r="HK16" s="1247"/>
      <c r="HL16" s="1247"/>
      <c r="HM16" s="1247"/>
      <c r="HN16" s="1247"/>
      <c r="HO16" s="1247"/>
      <c r="HP16" s="1247"/>
      <c r="HQ16" s="1247"/>
      <c r="HR16" s="1247"/>
      <c r="HS16" s="1247"/>
      <c r="HT16" s="1247"/>
      <c r="HU16" s="1247"/>
      <c r="HV16" s="1247"/>
      <c r="HW16" s="1247"/>
      <c r="HX16" s="1247"/>
      <c r="HY16" s="1247"/>
      <c r="HZ16" s="1247"/>
      <c r="IA16" s="1247"/>
      <c r="IB16" s="1247"/>
      <c r="IC16" s="1247"/>
      <c r="ID16" s="1247"/>
      <c r="IE16" s="1247"/>
      <c r="IF16" s="1247"/>
      <c r="IG16" s="1247"/>
      <c r="IH16" s="1247"/>
      <c r="II16" s="1247"/>
      <c r="IJ16" s="1247"/>
      <c r="IK16" s="1247"/>
      <c r="IL16" s="1247"/>
      <c r="IM16" s="1247"/>
      <c r="IN16" s="1247"/>
      <c r="IO16" s="1247"/>
      <c r="IP16" s="1247"/>
      <c r="IQ16" s="1247"/>
      <c r="IR16" s="1247"/>
      <c r="IS16" s="1247"/>
      <c r="IT16" s="1247"/>
      <c r="IU16" s="1247"/>
      <c r="IV16" s="1247"/>
      <c r="IW16" s="1247"/>
      <c r="IX16" s="1247"/>
      <c r="IY16" s="1247"/>
      <c r="IZ16" s="1247"/>
      <c r="JA16" s="1247"/>
      <c r="JB16" s="1247"/>
      <c r="JC16" s="1247"/>
      <c r="JD16" s="1247"/>
      <c r="JE16" s="1247"/>
      <c r="JF16" s="1247"/>
      <c r="JG16" s="1247"/>
      <c r="JH16" s="1247"/>
      <c r="JI16" s="1247"/>
      <c r="JJ16" s="1247"/>
      <c r="JK16" s="1247"/>
      <c r="JL16" s="1247"/>
      <c r="JM16" s="1247"/>
      <c r="JN16" s="1247"/>
      <c r="JO16" s="1247"/>
      <c r="JP16" s="1247"/>
      <c r="JQ16" s="1247"/>
      <c r="JR16" s="1247"/>
      <c r="JS16" s="1247"/>
      <c r="JT16" s="1247"/>
      <c r="JU16" s="1247"/>
      <c r="JV16" s="1247"/>
      <c r="JW16" s="1247"/>
      <c r="JX16" s="1247"/>
      <c r="JY16" s="1247"/>
      <c r="JZ16" s="1247"/>
      <c r="KA16" s="1247"/>
      <c r="KB16" s="1247"/>
      <c r="KC16" s="1247"/>
      <c r="KD16" s="1247"/>
      <c r="KE16" s="1247"/>
      <c r="KF16" s="1247"/>
      <c r="KG16" s="1247"/>
      <c r="KH16" s="1247"/>
      <c r="KI16" s="1247"/>
      <c r="KJ16" s="1247"/>
      <c r="KK16" s="1247"/>
      <c r="KL16" s="1247"/>
      <c r="KM16" s="1247"/>
      <c r="KN16" s="1247"/>
      <c r="KO16" s="1247"/>
      <c r="KP16" s="1247"/>
      <c r="KQ16" s="1247"/>
      <c r="KR16" s="1247"/>
      <c r="KS16" s="1247"/>
      <c r="KT16" s="1247"/>
      <c r="KU16" s="1247"/>
      <c r="KV16" s="1247"/>
      <c r="KW16" s="1247"/>
      <c r="KX16" s="1247"/>
      <c r="KY16" s="1247"/>
      <c r="KZ16" s="1247"/>
      <c r="LA16" s="1247"/>
      <c r="LB16" s="1247"/>
      <c r="LC16" s="1247"/>
      <c r="LD16" s="1247"/>
      <c r="LE16" s="1247"/>
      <c r="LF16" s="1247"/>
      <c r="LG16" s="1247"/>
      <c r="LH16" s="1247"/>
      <c r="LI16" s="1247"/>
      <c r="LJ16" s="1247"/>
      <c r="LK16" s="1247"/>
      <c r="LL16" s="1247"/>
      <c r="LM16" s="1247"/>
      <c r="LN16" s="1247"/>
      <c r="LO16" s="1247"/>
      <c r="LP16" s="1247"/>
      <c r="LQ16" s="1247"/>
      <c r="LR16" s="1247"/>
      <c r="LS16" s="1247"/>
      <c r="LT16" s="1247"/>
      <c r="LU16" s="1247"/>
      <c r="LV16" s="1247"/>
      <c r="LW16" s="1247"/>
      <c r="LX16" s="1247"/>
      <c r="LY16" s="1247"/>
      <c r="LZ16" s="1247"/>
      <c r="MA16" s="1247"/>
      <c r="MB16" s="1247"/>
      <c r="MC16" s="1247"/>
      <c r="MD16" s="1247"/>
      <c r="ME16" s="1247"/>
      <c r="MF16" s="1247"/>
      <c r="MG16" s="1247"/>
      <c r="MH16" s="1247"/>
      <c r="MI16" s="1247"/>
      <c r="MJ16" s="1247"/>
      <c r="MK16" s="1247"/>
      <c r="ML16" s="1247"/>
      <c r="MM16" s="1247"/>
      <c r="MN16" s="1247"/>
      <c r="MO16" s="1247"/>
      <c r="MP16" s="1247"/>
      <c r="MQ16" s="1247"/>
      <c r="MR16" s="1247"/>
      <c r="MS16" s="1247"/>
      <c r="MT16" s="1247"/>
      <c r="MU16" s="1247"/>
      <c r="MV16" s="1247"/>
      <c r="MW16" s="1247"/>
      <c r="MX16" s="1247"/>
      <c r="MY16" s="1247"/>
      <c r="MZ16" s="1247"/>
      <c r="NA16" s="1247"/>
      <c r="NB16" s="1247"/>
      <c r="NC16" s="1247"/>
      <c r="ND16" s="1247"/>
      <c r="NE16" s="1247"/>
      <c r="NF16" s="1247"/>
      <c r="NG16" s="1247"/>
      <c r="NH16" s="1247"/>
      <c r="NI16" s="1247"/>
      <c r="NJ16" s="1247"/>
      <c r="NK16" s="1247"/>
      <c r="NL16" s="1247"/>
      <c r="NM16" s="1247"/>
      <c r="NN16" s="1247"/>
      <c r="NO16" s="1247"/>
      <c r="NP16" s="1247"/>
      <c r="NQ16" s="1247"/>
      <c r="NR16" s="1247"/>
      <c r="NS16" s="1247"/>
      <c r="NT16" s="1247"/>
      <c r="NU16" s="1247"/>
      <c r="NV16" s="1247"/>
      <c r="NW16" s="1247"/>
      <c r="NX16" s="1247"/>
      <c r="NY16" s="1247"/>
      <c r="NZ16" s="1247"/>
      <c r="OA16" s="1247"/>
      <c r="OB16" s="1247"/>
      <c r="OC16" s="1247"/>
      <c r="OD16" s="1247"/>
      <c r="OE16" s="1247"/>
      <c r="OF16" s="1247"/>
      <c r="OG16" s="1247"/>
      <c r="OH16" s="1247"/>
      <c r="OI16" s="1247"/>
      <c r="OJ16" s="1247"/>
      <c r="OK16" s="1247"/>
      <c r="OL16" s="1247"/>
      <c r="OM16" s="1247"/>
      <c r="ON16" s="1247"/>
      <c r="OO16" s="1247"/>
      <c r="OP16" s="1247"/>
      <c r="OQ16" s="1247"/>
      <c r="OR16" s="1247"/>
      <c r="OS16" s="1247"/>
      <c r="OT16" s="1247"/>
      <c r="OU16" s="1247"/>
      <c r="OV16" s="1247"/>
      <c r="OW16" s="1247"/>
      <c r="OX16" s="1247"/>
      <c r="OY16" s="1247"/>
      <c r="OZ16" s="1247"/>
      <c r="PA16" s="1247"/>
      <c r="PB16" s="1247"/>
      <c r="PC16" s="1247"/>
      <c r="PD16" s="1247"/>
      <c r="PE16" s="1247"/>
      <c r="PF16" s="1247"/>
      <c r="PG16" s="1247"/>
      <c r="PH16" s="1247"/>
      <c r="PI16" s="1247"/>
      <c r="PJ16" s="1247"/>
      <c r="PK16" s="1247"/>
      <c r="PL16" s="1247"/>
      <c r="PM16" s="1247"/>
      <c r="PN16" s="1247"/>
      <c r="PO16" s="1247"/>
      <c r="PP16" s="1247"/>
      <c r="PQ16" s="1247"/>
      <c r="PR16" s="1247"/>
      <c r="PS16" s="1247"/>
      <c r="PT16" s="1247"/>
      <c r="PU16" s="1247"/>
      <c r="PV16" s="1247"/>
      <c r="PW16" s="1247"/>
      <c r="PX16" s="1247"/>
      <c r="PY16" s="1247"/>
      <c r="PZ16" s="1247"/>
      <c r="QA16" s="1247"/>
      <c r="QB16" s="1247"/>
      <c r="QC16" s="1247"/>
      <c r="QD16" s="1247"/>
      <c r="QE16" s="1247"/>
      <c r="QF16" s="1247"/>
      <c r="QG16" s="1247"/>
      <c r="QH16" s="1247"/>
      <c r="QI16" s="1247"/>
      <c r="QJ16" s="1247"/>
      <c r="QK16" s="1247"/>
      <c r="QL16" s="1247"/>
      <c r="QM16" s="1247"/>
      <c r="QN16" s="1247"/>
      <c r="QO16" s="1247"/>
      <c r="QP16" s="1247"/>
      <c r="QQ16" s="1247"/>
      <c r="QR16" s="1247"/>
      <c r="QS16" s="1247"/>
      <c r="QT16" s="1247"/>
      <c r="QU16" s="1247"/>
      <c r="QV16" s="1247"/>
      <c r="QW16" s="1247"/>
      <c r="QX16" s="1247"/>
      <c r="QY16" s="1247"/>
      <c r="QZ16" s="1247"/>
      <c r="RA16" s="1247"/>
      <c r="RB16" s="1247"/>
      <c r="RC16" s="1247"/>
      <c r="RD16" s="1247"/>
      <c r="RE16" s="1247"/>
      <c r="RF16" s="1247"/>
      <c r="RG16" s="1247"/>
      <c r="RH16" s="1247"/>
      <c r="RI16" s="1247"/>
      <c r="RJ16" s="1247"/>
      <c r="RK16" s="1247"/>
      <c r="RL16" s="1247"/>
      <c r="RM16" s="1247"/>
      <c r="RN16" s="1247"/>
      <c r="RO16" s="1247"/>
      <c r="RP16" s="1247"/>
      <c r="RQ16" s="1247"/>
      <c r="RR16" s="1247"/>
      <c r="RS16" s="1247"/>
      <c r="RT16" s="1247"/>
      <c r="RU16" s="1247"/>
      <c r="RV16" s="1247"/>
      <c r="RW16" s="1247"/>
      <c r="RX16" s="1247"/>
      <c r="RY16" s="1247"/>
      <c r="RZ16" s="1247"/>
      <c r="SA16" s="1247"/>
      <c r="SB16" s="1247"/>
      <c r="SC16" s="1247"/>
      <c r="SD16" s="1247"/>
      <c r="SE16" s="1247"/>
      <c r="SF16" s="1247"/>
      <c r="SG16" s="1247"/>
      <c r="SH16" s="1247"/>
      <c r="SI16" s="1247"/>
      <c r="SJ16" s="1247"/>
      <c r="SK16" s="1247"/>
      <c r="SL16" s="1247"/>
      <c r="SM16" s="1247"/>
      <c r="SN16" s="1247"/>
      <c r="SO16" s="1247"/>
      <c r="SP16" s="1247"/>
      <c r="SQ16" s="1247"/>
      <c r="SR16" s="1247"/>
      <c r="SS16" s="1247"/>
      <c r="ST16" s="1247"/>
      <c r="SU16" s="1247"/>
      <c r="SV16" s="1247"/>
      <c r="SW16" s="1247"/>
      <c r="SX16" s="1247"/>
      <c r="SY16" s="1247"/>
      <c r="SZ16" s="1247"/>
      <c r="TA16" s="1247"/>
      <c r="TB16" s="1247"/>
      <c r="TC16" s="1247"/>
      <c r="TD16" s="1247"/>
      <c r="TE16" s="1247"/>
      <c r="TF16" s="1247"/>
      <c r="TG16" s="1247"/>
      <c r="TH16" s="1247"/>
      <c r="TI16" s="1247"/>
      <c r="TJ16" s="1247"/>
      <c r="TK16" s="1247"/>
      <c r="TL16" s="1247"/>
      <c r="TM16" s="1247"/>
      <c r="TN16" s="1247"/>
      <c r="TO16" s="1247"/>
      <c r="TP16" s="1247"/>
      <c r="TQ16" s="1247"/>
      <c r="TR16" s="1247"/>
      <c r="TS16" s="1247"/>
      <c r="TT16" s="1247"/>
      <c r="TU16" s="1247"/>
      <c r="TV16" s="1247"/>
      <c r="TW16" s="1247"/>
      <c r="TX16" s="1247"/>
      <c r="TY16" s="1247"/>
      <c r="TZ16" s="1247"/>
      <c r="UA16" s="1247"/>
      <c r="UB16" s="1247"/>
      <c r="UC16" s="1247"/>
      <c r="UD16" s="1247"/>
      <c r="UE16" s="1247"/>
      <c r="UF16" s="1247"/>
      <c r="UG16" s="1247"/>
      <c r="UH16" s="1247"/>
      <c r="UI16" s="1247"/>
      <c r="UJ16" s="1247"/>
      <c r="UK16" s="1247"/>
      <c r="UL16" s="1247"/>
      <c r="UM16" s="1247"/>
      <c r="UN16" s="1247"/>
      <c r="UO16" s="1247"/>
      <c r="UP16" s="1247"/>
      <c r="UQ16" s="1247"/>
      <c r="UR16" s="1247"/>
      <c r="US16" s="1247"/>
      <c r="UT16" s="1247"/>
      <c r="UU16" s="1247"/>
      <c r="UV16" s="1247"/>
      <c r="UW16" s="1247"/>
      <c r="UX16" s="1247"/>
      <c r="UY16" s="1247"/>
      <c r="UZ16" s="1247"/>
      <c r="VA16" s="1247"/>
      <c r="VB16" s="1247"/>
      <c r="VC16" s="1247"/>
      <c r="VD16" s="1247"/>
      <c r="VE16" s="1247"/>
      <c r="VF16" s="1247"/>
      <c r="VG16" s="1247"/>
      <c r="VH16" s="1247"/>
      <c r="VI16" s="1247"/>
      <c r="VJ16" s="1247"/>
      <c r="VK16" s="1247"/>
      <c r="VL16" s="1247"/>
      <c r="VM16" s="1247"/>
      <c r="VN16" s="1247"/>
      <c r="VO16" s="1247"/>
      <c r="VP16" s="1247"/>
      <c r="VQ16" s="1247"/>
      <c r="VR16" s="1247"/>
      <c r="VS16" s="1247"/>
      <c r="VT16" s="1247"/>
      <c r="VU16" s="1247"/>
      <c r="VV16" s="1247"/>
      <c r="VW16" s="1247"/>
      <c r="VX16" s="1247"/>
      <c r="VY16" s="1247"/>
      <c r="VZ16" s="1247"/>
      <c r="WA16" s="1247"/>
      <c r="WB16" s="1247"/>
      <c r="WC16" s="1247"/>
      <c r="WD16" s="1247"/>
      <c r="WE16" s="1247"/>
      <c r="WF16" s="1247"/>
      <c r="WG16" s="1247"/>
      <c r="WH16" s="1247"/>
      <c r="WI16" s="1247"/>
      <c r="WJ16" s="1247"/>
      <c r="WK16" s="1247"/>
      <c r="WL16" s="1247"/>
      <c r="WM16" s="1247"/>
      <c r="WN16" s="1247"/>
      <c r="WO16" s="1247"/>
      <c r="WP16" s="1247"/>
      <c r="WQ16" s="1247"/>
      <c r="WR16" s="1247"/>
      <c r="WS16" s="1247"/>
      <c r="WT16" s="1247"/>
      <c r="WU16" s="1247"/>
      <c r="WV16" s="1247"/>
      <c r="WW16" s="1247"/>
      <c r="WX16" s="1247"/>
      <c r="WY16" s="1247"/>
      <c r="WZ16" s="1247"/>
      <c r="XA16" s="1247"/>
      <c r="XB16" s="1247"/>
      <c r="XC16" s="1247"/>
      <c r="XD16" s="1247"/>
      <c r="XE16" s="1247"/>
      <c r="XF16" s="1247"/>
      <c r="XG16" s="1247"/>
      <c r="XH16" s="1247"/>
      <c r="XI16" s="1247"/>
      <c r="XJ16" s="1247"/>
      <c r="XK16" s="1247"/>
      <c r="XL16" s="1247"/>
      <c r="XM16" s="1247"/>
      <c r="XN16" s="1247"/>
      <c r="XO16" s="1247"/>
      <c r="XP16" s="1247"/>
      <c r="XQ16" s="1247"/>
      <c r="XR16" s="1247"/>
      <c r="XS16" s="1247"/>
      <c r="XT16" s="1247"/>
      <c r="XU16" s="1247"/>
      <c r="XV16" s="1247"/>
      <c r="XW16" s="1247"/>
      <c r="XX16" s="1247"/>
      <c r="XY16" s="1247"/>
      <c r="XZ16" s="1247"/>
      <c r="YA16" s="1247"/>
      <c r="YB16" s="1247"/>
      <c r="YC16" s="1247"/>
      <c r="YD16" s="1247"/>
      <c r="YE16" s="1247"/>
      <c r="YF16" s="1247"/>
      <c r="YG16" s="1247"/>
      <c r="YH16" s="1247"/>
      <c r="YI16" s="1247"/>
      <c r="YJ16" s="1247"/>
      <c r="YK16" s="1247"/>
      <c r="YL16" s="1247"/>
      <c r="YM16" s="1247"/>
      <c r="YN16" s="1247"/>
      <c r="YO16" s="1247"/>
      <c r="YP16" s="1247"/>
      <c r="YQ16" s="1247"/>
      <c r="YR16" s="1247"/>
      <c r="YS16" s="1247"/>
      <c r="YT16" s="1247"/>
      <c r="YU16" s="1247"/>
      <c r="YV16" s="1247"/>
      <c r="YW16" s="1247"/>
      <c r="YX16" s="1247"/>
      <c r="YY16" s="1247"/>
      <c r="YZ16" s="1247"/>
      <c r="ZA16" s="1247"/>
      <c r="ZB16" s="1247"/>
      <c r="ZC16" s="1247"/>
      <c r="ZD16" s="1247"/>
      <c r="ZE16" s="1247"/>
      <c r="ZF16" s="1247"/>
      <c r="ZG16" s="1247"/>
      <c r="ZH16" s="1247"/>
      <c r="ZI16" s="1247"/>
      <c r="ZJ16" s="1247"/>
      <c r="ZK16" s="1247"/>
      <c r="ZL16" s="1247"/>
      <c r="ZM16" s="1247"/>
      <c r="ZN16" s="1247"/>
      <c r="ZO16" s="1247"/>
      <c r="ZP16" s="1247"/>
      <c r="ZQ16" s="1247"/>
      <c r="ZR16" s="1247"/>
      <c r="ZS16" s="1247"/>
      <c r="ZT16" s="1247"/>
      <c r="ZU16" s="1247"/>
      <c r="ZV16" s="1247"/>
      <c r="ZW16" s="1247"/>
      <c r="ZX16" s="1247"/>
      <c r="ZY16" s="1247"/>
      <c r="ZZ16" s="1247"/>
      <c r="AAA16" s="1247"/>
      <c r="AAB16" s="1247"/>
      <c r="AAC16" s="1247"/>
      <c r="AAD16" s="1247"/>
      <c r="AAE16" s="1247"/>
      <c r="AAF16" s="1247"/>
      <c r="AAG16" s="1247"/>
      <c r="AAH16" s="1247"/>
      <c r="AAI16" s="1247"/>
      <c r="AAJ16" s="1247"/>
      <c r="AAK16" s="1247"/>
      <c r="AAL16" s="1247"/>
      <c r="AAM16" s="1247"/>
      <c r="AAN16" s="1247"/>
      <c r="AAO16" s="1247"/>
      <c r="AAP16" s="1247"/>
      <c r="AAQ16" s="1247"/>
      <c r="AAR16" s="1247"/>
      <c r="AAS16" s="1247"/>
      <c r="AAT16" s="1247"/>
      <c r="AAU16" s="1247"/>
      <c r="AAV16" s="1247"/>
      <c r="AAW16" s="1247"/>
      <c r="AAX16" s="1247"/>
      <c r="AAY16" s="1247"/>
      <c r="AAZ16" s="1247"/>
      <c r="ABA16" s="1247"/>
      <c r="ABB16" s="1247"/>
      <c r="ABC16" s="1247"/>
      <c r="ABD16" s="1247"/>
      <c r="ABE16" s="1247"/>
      <c r="ABF16" s="1247"/>
      <c r="ABG16" s="1247"/>
      <c r="ABH16" s="1247"/>
      <c r="ABI16" s="1247"/>
      <c r="ABJ16" s="1247"/>
      <c r="ABK16" s="1247"/>
      <c r="ABL16" s="1247"/>
      <c r="ABM16" s="1247"/>
      <c r="ABN16" s="1247"/>
      <c r="ABO16" s="1247"/>
      <c r="ABP16" s="1247"/>
      <c r="ABQ16" s="1247"/>
      <c r="ABR16" s="1247"/>
      <c r="ABS16" s="1247"/>
      <c r="ABT16" s="1247"/>
      <c r="ABU16" s="1247"/>
      <c r="ABV16" s="1247"/>
      <c r="ABW16" s="1247"/>
      <c r="ABX16" s="1247"/>
      <c r="ABY16" s="1247"/>
      <c r="ABZ16" s="1247"/>
      <c r="ACA16" s="1247"/>
      <c r="ACB16" s="1247"/>
      <c r="ACC16" s="1247"/>
      <c r="ACD16" s="1247"/>
      <c r="ACE16" s="1247"/>
      <c r="ACF16" s="1247"/>
      <c r="ACG16" s="1247"/>
      <c r="ACH16" s="1247"/>
      <c r="ACI16" s="1247"/>
      <c r="ACJ16" s="1247"/>
      <c r="ACK16" s="1247"/>
      <c r="ACL16" s="1247"/>
      <c r="ACM16" s="1247"/>
      <c r="ACN16" s="1247"/>
      <c r="ACO16" s="1247"/>
      <c r="ACP16" s="1247"/>
      <c r="ACQ16" s="1247"/>
      <c r="ACR16" s="1247"/>
      <c r="ACS16" s="1247"/>
      <c r="ACT16" s="1247"/>
      <c r="ACU16" s="1247"/>
      <c r="ACV16" s="1247"/>
      <c r="ACW16" s="1247"/>
      <c r="ACX16" s="1247"/>
      <c r="ACY16" s="1247"/>
      <c r="ACZ16" s="1247"/>
      <c r="ADA16" s="1247"/>
      <c r="ADB16" s="1247"/>
      <c r="ADC16" s="1247"/>
      <c r="ADD16" s="1247"/>
      <c r="ADE16" s="1247"/>
      <c r="ADF16" s="1247"/>
      <c r="ADG16" s="1247"/>
      <c r="ADH16" s="1247"/>
      <c r="ADI16" s="1247"/>
      <c r="ADJ16" s="1247"/>
      <c r="ADK16" s="1247"/>
      <c r="ADL16" s="1247"/>
      <c r="ADM16" s="1247"/>
      <c r="ADN16" s="1247"/>
      <c r="ADO16" s="1247"/>
      <c r="ADP16" s="1247"/>
      <c r="ADQ16" s="1247"/>
      <c r="ADR16" s="1247"/>
      <c r="ADS16" s="1247"/>
      <c r="ADT16" s="1247"/>
      <c r="ADU16" s="1247"/>
      <c r="ADV16" s="1247"/>
      <c r="ADW16" s="1247"/>
      <c r="ADX16" s="1247"/>
      <c r="ADY16" s="1247"/>
      <c r="ADZ16" s="1247"/>
      <c r="AEA16" s="1247"/>
      <c r="AEB16" s="1247"/>
      <c r="AEC16" s="1247"/>
      <c r="AED16" s="1247"/>
      <c r="AEE16" s="1247"/>
      <c r="AEF16" s="1247"/>
      <c r="AEG16" s="1247"/>
      <c r="AEH16" s="1247"/>
      <c r="AEI16" s="1247"/>
      <c r="AEJ16" s="1247"/>
      <c r="AEK16" s="1247"/>
      <c r="AEL16" s="1247"/>
      <c r="AEM16" s="1247"/>
      <c r="AEN16" s="1247"/>
      <c r="AEO16" s="1247"/>
      <c r="AEP16" s="1247"/>
      <c r="AEQ16" s="1247"/>
      <c r="AER16" s="1247"/>
      <c r="AES16" s="1247"/>
      <c r="AET16" s="1247"/>
      <c r="AEU16" s="1247"/>
      <c r="AEV16" s="1247"/>
      <c r="AEW16" s="1247"/>
      <c r="AEX16" s="1247"/>
      <c r="AEY16" s="1247"/>
      <c r="AEZ16" s="1247"/>
      <c r="AFA16" s="1247"/>
      <c r="AFB16" s="1247"/>
      <c r="AFC16" s="1247"/>
      <c r="AFD16" s="1247"/>
      <c r="AFE16" s="1247"/>
      <c r="AFF16" s="1247"/>
      <c r="AFG16" s="1247"/>
      <c r="AFH16" s="1247"/>
      <c r="AFI16" s="1247"/>
      <c r="AFJ16" s="1247"/>
      <c r="AFK16" s="1247"/>
      <c r="AFL16" s="1247"/>
      <c r="AFM16" s="1247"/>
      <c r="AFN16" s="1247"/>
      <c r="AFO16" s="1247"/>
      <c r="AFP16" s="1247"/>
      <c r="AFQ16" s="1247"/>
      <c r="AFR16" s="1247"/>
      <c r="AFS16" s="1247"/>
      <c r="AFT16" s="1247"/>
      <c r="AFU16" s="1247"/>
      <c r="AFV16" s="1247"/>
      <c r="AFW16" s="1247"/>
      <c r="AFX16" s="1247"/>
      <c r="AFY16" s="1247"/>
      <c r="AFZ16" s="1247"/>
      <c r="AGA16" s="1247"/>
      <c r="AGB16" s="1247"/>
      <c r="AGC16" s="1247"/>
      <c r="AGD16" s="1247"/>
      <c r="AGE16" s="1247"/>
      <c r="AGF16" s="1247"/>
      <c r="AGG16" s="1247"/>
      <c r="AGH16" s="1247"/>
      <c r="AGI16" s="1247"/>
      <c r="AGJ16" s="1247"/>
      <c r="AGK16" s="1247"/>
      <c r="AGL16" s="1247"/>
      <c r="AGM16" s="1247"/>
      <c r="AGN16" s="1247"/>
      <c r="AGO16" s="1247"/>
      <c r="AGP16" s="1247"/>
      <c r="AGQ16" s="1247"/>
      <c r="AGR16" s="1247"/>
      <c r="AGS16" s="1247"/>
      <c r="AGT16" s="1247"/>
      <c r="AGU16" s="1247"/>
      <c r="AGV16" s="1247"/>
      <c r="AGW16" s="1247"/>
      <c r="AGX16" s="1247"/>
      <c r="AGY16" s="1247"/>
      <c r="AGZ16" s="1247"/>
      <c r="AHA16" s="1247"/>
      <c r="AHB16" s="1247"/>
      <c r="AHC16" s="1247"/>
      <c r="AHD16" s="1247"/>
      <c r="AHE16" s="1247"/>
      <c r="AHF16" s="1247"/>
      <c r="AHG16" s="1247"/>
      <c r="AHH16" s="1247"/>
      <c r="AHI16" s="1247"/>
      <c r="AHJ16" s="1247"/>
      <c r="AHK16" s="1247"/>
      <c r="AHL16" s="1247"/>
      <c r="AHM16" s="1247"/>
      <c r="AHN16" s="1247"/>
      <c r="AHO16" s="1247"/>
      <c r="AHP16" s="1247"/>
      <c r="AHQ16" s="1247"/>
      <c r="AHR16" s="1247"/>
      <c r="AHS16" s="1247"/>
      <c r="AHT16" s="1247"/>
      <c r="AHU16" s="1247"/>
      <c r="AHV16" s="1247"/>
      <c r="AHW16" s="1247"/>
      <c r="AHX16" s="1247"/>
      <c r="AHY16" s="1247"/>
      <c r="AHZ16" s="1247"/>
      <c r="AIA16" s="1247"/>
      <c r="AIB16" s="1247"/>
      <c r="AIC16" s="1247"/>
      <c r="AID16" s="1247"/>
      <c r="AIE16" s="1247"/>
      <c r="AIF16" s="1247"/>
      <c r="AIG16" s="1247"/>
      <c r="AIH16" s="1247"/>
      <c r="AII16" s="1247"/>
      <c r="AIJ16" s="1247"/>
      <c r="AIK16" s="1247"/>
      <c r="AIL16" s="1247"/>
      <c r="AIM16" s="1247"/>
      <c r="AIN16" s="1247"/>
      <c r="AIO16" s="1247"/>
      <c r="AIP16" s="1247"/>
      <c r="AIQ16" s="1247"/>
      <c r="AIR16" s="1247"/>
      <c r="AIS16" s="1247"/>
      <c r="AIT16" s="1247"/>
      <c r="AIU16" s="1247"/>
      <c r="AIV16" s="1247"/>
      <c r="AIW16" s="1247"/>
      <c r="AIX16" s="1247"/>
      <c r="AIY16" s="1247"/>
      <c r="AIZ16" s="1247"/>
      <c r="AJA16" s="1247"/>
      <c r="AJB16" s="1247"/>
      <c r="AJC16" s="1247"/>
      <c r="AJD16" s="1247"/>
      <c r="AJE16" s="1247"/>
      <c r="AJF16" s="1247"/>
      <c r="AJG16" s="1247"/>
      <c r="AJH16" s="1247"/>
      <c r="AJI16" s="1247"/>
      <c r="AJJ16" s="1247"/>
      <c r="AJK16" s="1247"/>
      <c r="AJL16" s="1247"/>
      <c r="AJM16" s="1247"/>
      <c r="AJN16" s="1247"/>
      <c r="AJO16" s="1247"/>
      <c r="AJP16" s="1247"/>
      <c r="AJQ16" s="1247"/>
      <c r="AJR16" s="1247"/>
      <c r="AJS16" s="1247"/>
      <c r="AJT16" s="1247"/>
      <c r="AJU16" s="1247"/>
      <c r="AJV16" s="1247"/>
      <c r="AJW16" s="1247"/>
      <c r="AJX16" s="1247"/>
      <c r="AJY16" s="1247"/>
      <c r="AJZ16" s="1247"/>
      <c r="AKA16" s="1247"/>
      <c r="AKB16" s="1247"/>
      <c r="AKC16" s="1247"/>
      <c r="AKD16" s="1247"/>
      <c r="AKE16" s="1247"/>
      <c r="AKF16" s="1247"/>
      <c r="AKG16" s="1247"/>
      <c r="AKH16" s="1247"/>
      <c r="AKI16" s="1247"/>
      <c r="AKJ16" s="1247"/>
      <c r="AKK16" s="1247"/>
      <c r="AKL16" s="1247"/>
      <c r="AKM16" s="1247"/>
      <c r="AKN16" s="1247"/>
      <c r="AKO16" s="1247"/>
      <c r="AKP16" s="1247"/>
      <c r="AKQ16" s="1247"/>
      <c r="AKR16" s="1247"/>
      <c r="AKS16" s="1247"/>
      <c r="AKT16" s="1247"/>
      <c r="AKU16" s="1247"/>
      <c r="AKV16" s="1247"/>
      <c r="AKW16" s="1247"/>
      <c r="AKX16" s="1247"/>
      <c r="AKY16" s="1247"/>
      <c r="AKZ16" s="1247"/>
      <c r="ALA16" s="1247"/>
      <c r="ALB16" s="1247"/>
      <c r="ALC16" s="1247"/>
      <c r="ALD16" s="1247"/>
      <c r="ALE16" s="1247"/>
      <c r="ALF16" s="1247"/>
      <c r="ALG16" s="1247"/>
      <c r="ALH16" s="1247"/>
      <c r="ALI16" s="1247"/>
      <c r="ALJ16" s="1247"/>
      <c r="ALK16" s="1247"/>
      <c r="ALL16" s="1247"/>
      <c r="ALM16" s="1247"/>
      <c r="ALN16" s="1247"/>
      <c r="ALO16" s="1247"/>
      <c r="ALP16" s="1247"/>
      <c r="ALQ16" s="1247"/>
      <c r="ALR16" s="1247"/>
      <c r="ALS16" s="1247"/>
      <c r="ALT16" s="1247"/>
      <c r="ALU16" s="1247"/>
      <c r="ALV16" s="1247"/>
      <c r="ALW16" s="1247"/>
      <c r="ALX16" s="1247"/>
      <c r="ALY16" s="1247"/>
      <c r="ALZ16" s="1247"/>
      <c r="AMA16" s="1247"/>
      <c r="AMB16" s="1247"/>
      <c r="AMC16" s="1247"/>
      <c r="AMD16" s="1247"/>
      <c r="AME16" s="1247"/>
      <c r="AMF16" s="1247"/>
      <c r="AMG16" s="1247"/>
      <c r="AMH16" s="1247"/>
      <c r="AMI16" s="1247"/>
      <c r="AMJ16" s="1247"/>
      <c r="AMK16" s="1247"/>
      <c r="AML16" s="1247"/>
      <c r="AMM16" s="1247"/>
      <c r="AMN16" s="1247"/>
      <c r="AMO16" s="1247"/>
      <c r="AMP16" s="1247"/>
      <c r="AMQ16" s="1247"/>
      <c r="AMR16" s="1247"/>
      <c r="AMS16" s="1247"/>
      <c r="AMT16" s="1247"/>
      <c r="AMU16" s="1247"/>
      <c r="AMV16" s="1247"/>
      <c r="AMW16" s="1247"/>
      <c r="AMX16" s="1247"/>
      <c r="AMY16" s="1247"/>
      <c r="AMZ16" s="1247"/>
      <c r="ANA16" s="1247"/>
      <c r="ANB16" s="1247"/>
      <c r="ANC16" s="1247"/>
      <c r="AND16" s="1247"/>
      <c r="ANE16" s="1247"/>
      <c r="ANF16" s="1247"/>
      <c r="ANG16" s="1247"/>
      <c r="ANH16" s="1247"/>
      <c r="ANI16" s="1247"/>
      <c r="ANJ16" s="1247"/>
      <c r="ANK16" s="1247"/>
      <c r="ANL16" s="1247"/>
      <c r="ANM16" s="1247"/>
      <c r="ANN16" s="1247"/>
      <c r="ANO16" s="1247"/>
      <c r="ANP16" s="1247"/>
      <c r="ANQ16" s="1247"/>
      <c r="ANR16" s="1247"/>
      <c r="ANS16" s="1247"/>
      <c r="ANT16" s="1247"/>
      <c r="ANU16" s="1247"/>
      <c r="ANV16" s="1247"/>
      <c r="ANW16" s="1247"/>
      <c r="ANX16" s="1247"/>
      <c r="ANY16" s="1247"/>
      <c r="ANZ16" s="1247"/>
      <c r="AOA16" s="1247"/>
      <c r="AOB16" s="1247"/>
      <c r="AOC16" s="1247"/>
      <c r="AOD16" s="1247"/>
      <c r="AOE16" s="1247"/>
      <c r="AOF16" s="1247"/>
      <c r="AOG16" s="1247"/>
      <c r="AOH16" s="1247"/>
      <c r="AOI16" s="1247"/>
      <c r="AOJ16" s="1247"/>
      <c r="AOK16" s="1247"/>
      <c r="AOL16" s="1247"/>
      <c r="AOM16" s="1247"/>
      <c r="AON16" s="1247"/>
      <c r="AOO16" s="1247"/>
      <c r="AOP16" s="1247"/>
      <c r="AOQ16" s="1247"/>
      <c r="AOR16" s="1247"/>
      <c r="AOS16" s="1247"/>
      <c r="AOT16" s="1247"/>
      <c r="AOU16" s="1247"/>
      <c r="AOV16" s="1247"/>
      <c r="AOW16" s="1247"/>
      <c r="AOX16" s="1247"/>
      <c r="AOY16" s="1247"/>
      <c r="AOZ16" s="1247"/>
      <c r="APA16" s="1247"/>
      <c r="APB16" s="1247"/>
      <c r="APC16" s="1247"/>
      <c r="APD16" s="1247"/>
      <c r="APE16" s="1247"/>
      <c r="APF16" s="1247"/>
      <c r="APG16" s="1247"/>
      <c r="APH16" s="1247"/>
      <c r="API16" s="1247"/>
      <c r="APJ16" s="1247"/>
      <c r="APK16" s="1247"/>
      <c r="APL16" s="1247"/>
      <c r="APM16" s="1247"/>
      <c r="APN16" s="1247"/>
      <c r="APO16" s="1247"/>
      <c r="APP16" s="1247"/>
      <c r="APQ16" s="1247"/>
      <c r="APR16" s="1247"/>
      <c r="APS16" s="1247"/>
      <c r="APT16" s="1247"/>
      <c r="APU16" s="1247"/>
      <c r="APV16" s="1247"/>
      <c r="APW16" s="1247"/>
      <c r="APX16" s="1247"/>
      <c r="APY16" s="1247"/>
      <c r="APZ16" s="1247"/>
      <c r="AQA16" s="1247"/>
      <c r="AQB16" s="1247"/>
      <c r="AQC16" s="1247"/>
      <c r="AQD16" s="1247"/>
      <c r="AQE16" s="1247"/>
      <c r="AQF16" s="1247"/>
      <c r="AQG16" s="1247"/>
      <c r="AQH16" s="1247"/>
      <c r="AQI16" s="1247"/>
      <c r="AQJ16" s="1247"/>
      <c r="AQK16" s="1247"/>
      <c r="AQL16" s="1247"/>
      <c r="AQM16" s="1247"/>
      <c r="AQN16" s="1247"/>
      <c r="AQO16" s="1247"/>
      <c r="AQP16" s="1247"/>
      <c r="AQQ16" s="1247"/>
      <c r="AQR16" s="1247"/>
      <c r="AQS16" s="1247"/>
      <c r="AQT16" s="1247"/>
      <c r="AQU16" s="1247"/>
      <c r="AQV16" s="1247"/>
      <c r="AQW16" s="1247"/>
      <c r="AQX16" s="1247"/>
      <c r="AQY16" s="1247"/>
      <c r="AQZ16" s="1247"/>
      <c r="ARA16" s="1247"/>
      <c r="ARB16" s="1247"/>
      <c r="ARC16" s="1247"/>
      <c r="ARD16" s="1247"/>
      <c r="ARE16" s="1247"/>
      <c r="ARF16" s="1247"/>
      <c r="ARG16" s="1247"/>
      <c r="ARH16" s="1247"/>
      <c r="ARI16" s="1247"/>
      <c r="ARJ16" s="1247"/>
      <c r="ARK16" s="1247"/>
      <c r="ARL16" s="1247"/>
      <c r="ARM16" s="1247"/>
      <c r="ARN16" s="1247"/>
      <c r="ARO16" s="1247"/>
      <c r="ARP16" s="1247"/>
      <c r="ARQ16" s="1247"/>
      <c r="ARR16" s="1247"/>
      <c r="ARS16" s="1247"/>
      <c r="ART16" s="1247"/>
      <c r="ARU16" s="1247"/>
      <c r="ARV16" s="1247"/>
      <c r="ARW16" s="1247"/>
      <c r="ARX16" s="1247"/>
      <c r="ARY16" s="1247"/>
      <c r="ARZ16" s="1247"/>
      <c r="ASA16" s="1247"/>
      <c r="ASB16" s="1247"/>
      <c r="ASC16" s="1247"/>
      <c r="ASD16" s="1247"/>
      <c r="ASE16" s="1247"/>
      <c r="ASF16" s="1247"/>
      <c r="ASG16" s="1247"/>
      <c r="ASH16" s="1247"/>
      <c r="ASI16" s="1247"/>
      <c r="ASJ16" s="1247"/>
      <c r="ASK16" s="1247"/>
      <c r="ASL16" s="1247"/>
      <c r="ASM16" s="1247"/>
      <c r="ASN16" s="1247"/>
      <c r="ASO16" s="1247"/>
      <c r="ASP16" s="1247"/>
      <c r="ASQ16" s="1247"/>
      <c r="ASR16" s="1247"/>
      <c r="ASS16" s="1247"/>
      <c r="AST16" s="1247"/>
      <c r="ASU16" s="1247"/>
      <c r="ASV16" s="1247"/>
      <c r="ASW16" s="1247"/>
      <c r="ASX16" s="1247"/>
      <c r="ASY16" s="1247"/>
      <c r="ASZ16" s="1247"/>
      <c r="ATA16" s="1247"/>
      <c r="ATB16" s="1247"/>
      <c r="ATC16" s="1247"/>
      <c r="ATD16" s="1247"/>
      <c r="ATE16" s="1247"/>
      <c r="ATF16" s="1247"/>
      <c r="ATG16" s="1247"/>
      <c r="ATH16" s="1247"/>
      <c r="ATI16" s="1247"/>
      <c r="ATJ16" s="1247"/>
      <c r="ATK16" s="1247"/>
      <c r="ATL16" s="1247"/>
      <c r="ATM16" s="1247"/>
      <c r="ATN16" s="1247"/>
      <c r="ATO16" s="1247"/>
      <c r="ATP16" s="1247"/>
      <c r="ATQ16" s="1247"/>
      <c r="ATR16" s="1247"/>
      <c r="ATS16" s="1247"/>
      <c r="ATT16" s="1247"/>
      <c r="ATU16" s="1247"/>
      <c r="ATV16" s="1247"/>
      <c r="ATW16" s="1247"/>
      <c r="ATX16" s="1247"/>
      <c r="ATY16" s="1247"/>
      <c r="ATZ16" s="1247"/>
      <c r="AUA16" s="1247"/>
      <c r="AUB16" s="1247"/>
      <c r="AUC16" s="1247"/>
      <c r="AUD16" s="1247"/>
      <c r="AUE16" s="1247"/>
      <c r="AUF16" s="1247"/>
      <c r="AUG16" s="1247"/>
      <c r="AUH16" s="1247"/>
      <c r="AUI16" s="1247"/>
      <c r="AUJ16" s="1247"/>
      <c r="AUK16" s="1247"/>
      <c r="AUL16" s="1247"/>
      <c r="AUM16" s="1247"/>
      <c r="AUN16" s="1247"/>
      <c r="AUO16" s="1247"/>
      <c r="AUP16" s="1247"/>
      <c r="AUQ16" s="1247"/>
      <c r="AUR16" s="1247"/>
      <c r="AUS16" s="1247"/>
      <c r="AUT16" s="1247"/>
      <c r="AUU16" s="1247"/>
      <c r="AUV16" s="1247"/>
      <c r="AUW16" s="1247"/>
      <c r="AUX16" s="1247"/>
      <c r="AUY16" s="1247"/>
      <c r="AUZ16" s="1247"/>
      <c r="AVA16" s="1247"/>
      <c r="AVB16" s="1247"/>
      <c r="AVC16" s="1247"/>
      <c r="AVD16" s="1247"/>
      <c r="AVE16" s="1247"/>
      <c r="AVF16" s="1247"/>
      <c r="AVG16" s="1247"/>
      <c r="AVH16" s="1247"/>
      <c r="AVI16" s="1247"/>
      <c r="AVJ16" s="1247"/>
      <c r="AVK16" s="1247"/>
      <c r="AVL16" s="1247"/>
      <c r="AVM16" s="1247"/>
      <c r="AVN16" s="1247"/>
      <c r="AVO16" s="1247"/>
      <c r="AVP16" s="1247"/>
      <c r="AVQ16" s="1247"/>
      <c r="AVR16" s="1247"/>
      <c r="AVS16" s="1247"/>
      <c r="AVT16" s="1247"/>
      <c r="AVU16" s="1247"/>
      <c r="AVV16" s="1247"/>
      <c r="AVW16" s="1247"/>
      <c r="AVX16" s="1247"/>
      <c r="AVY16" s="1247"/>
      <c r="AVZ16" s="1247"/>
      <c r="AWA16" s="1247"/>
      <c r="AWB16" s="1247"/>
      <c r="AWC16" s="1247"/>
      <c r="AWD16" s="1247"/>
      <c r="AWE16" s="1247"/>
      <c r="AWF16" s="1247"/>
      <c r="AWG16" s="1247"/>
      <c r="AWH16" s="1247"/>
      <c r="AWI16" s="1247"/>
      <c r="AWJ16" s="1247"/>
      <c r="AWK16" s="1247"/>
      <c r="AWL16" s="1247"/>
      <c r="AWM16" s="1247"/>
      <c r="AWN16" s="1247"/>
      <c r="AWO16" s="1247"/>
      <c r="AWP16" s="1247"/>
      <c r="AWQ16" s="1247"/>
      <c r="AWR16" s="1247"/>
      <c r="AWS16" s="1247"/>
      <c r="AWT16" s="1247"/>
      <c r="AWU16" s="1247"/>
      <c r="AWV16" s="1247"/>
      <c r="AWW16" s="1247"/>
      <c r="AWX16" s="1247"/>
      <c r="AWY16" s="1247"/>
      <c r="AWZ16" s="1247"/>
      <c r="AXA16" s="1247"/>
      <c r="AXB16" s="1247"/>
      <c r="AXC16" s="1247"/>
      <c r="AXD16" s="1247"/>
      <c r="AXE16" s="1247"/>
      <c r="AXF16" s="1247"/>
      <c r="AXG16" s="1247"/>
      <c r="AXH16" s="1247"/>
      <c r="AXI16" s="1247"/>
      <c r="AXJ16" s="1247"/>
      <c r="AXK16" s="1247"/>
      <c r="AXL16" s="1247"/>
      <c r="AXM16" s="1247"/>
      <c r="AXN16" s="1247"/>
      <c r="AXO16" s="1247"/>
      <c r="AXP16" s="1247"/>
      <c r="AXQ16" s="1247"/>
      <c r="AXR16" s="1247"/>
      <c r="AXS16" s="1247"/>
      <c r="AXT16" s="1247"/>
      <c r="AXU16" s="1247"/>
      <c r="AXV16" s="1247"/>
      <c r="AXW16" s="1247"/>
      <c r="AXX16" s="1247"/>
      <c r="AXY16" s="1247"/>
      <c r="AXZ16" s="1247"/>
      <c r="AYA16" s="1247"/>
      <c r="AYB16" s="1247"/>
      <c r="AYC16" s="1247"/>
      <c r="AYD16" s="1247"/>
      <c r="AYE16" s="1247"/>
      <c r="AYF16" s="1247"/>
      <c r="AYG16" s="1247"/>
      <c r="AYH16" s="1247"/>
      <c r="AYI16" s="1247"/>
      <c r="AYJ16" s="1247"/>
      <c r="AYK16" s="1247"/>
      <c r="AYL16" s="1247"/>
      <c r="AYM16" s="1247"/>
      <c r="AYN16" s="1247"/>
      <c r="AYO16" s="1247"/>
      <c r="AYP16" s="1247"/>
      <c r="AYQ16" s="1247"/>
      <c r="AYR16" s="1247"/>
      <c r="AYS16" s="1247"/>
      <c r="AYT16" s="1247"/>
      <c r="AYU16" s="1247"/>
      <c r="AYV16" s="1247"/>
      <c r="AYW16" s="1247"/>
      <c r="AYX16" s="1247"/>
      <c r="AYY16" s="1247"/>
      <c r="AYZ16" s="1247"/>
      <c r="AZA16" s="1247"/>
      <c r="AZB16" s="1247"/>
      <c r="AZC16" s="1247"/>
      <c r="AZD16" s="1247"/>
      <c r="AZE16" s="1247"/>
      <c r="AZF16" s="1247"/>
      <c r="AZG16" s="1247"/>
      <c r="AZH16" s="1247"/>
      <c r="AZI16" s="1247"/>
      <c r="AZJ16" s="1247"/>
      <c r="AZK16" s="1247"/>
      <c r="AZL16" s="1247"/>
      <c r="AZM16" s="1247"/>
      <c r="AZN16" s="1247"/>
      <c r="AZO16" s="1247"/>
      <c r="AZP16" s="1247"/>
      <c r="AZQ16" s="1247"/>
      <c r="AZR16" s="1247"/>
      <c r="AZS16" s="1247"/>
      <c r="AZT16" s="1247"/>
      <c r="AZU16" s="1247"/>
      <c r="AZV16" s="1247"/>
      <c r="AZW16" s="1247"/>
      <c r="AZX16" s="1247"/>
      <c r="AZY16" s="1247"/>
      <c r="AZZ16" s="1247"/>
      <c r="BAA16" s="1247"/>
      <c r="BAB16" s="1247"/>
      <c r="BAC16" s="1247"/>
      <c r="BAD16" s="1247"/>
      <c r="BAE16" s="1247"/>
      <c r="BAF16" s="1247"/>
      <c r="BAG16" s="1247"/>
      <c r="BAH16" s="1247"/>
      <c r="BAI16" s="1247"/>
      <c r="BAJ16" s="1247"/>
      <c r="BAK16" s="1247"/>
      <c r="BAL16" s="1247"/>
      <c r="BAM16" s="1247"/>
      <c r="BAN16" s="1247"/>
      <c r="BAO16" s="1247"/>
      <c r="BAP16" s="1247"/>
      <c r="BAQ16" s="1247"/>
      <c r="BAR16" s="1247"/>
      <c r="BAS16" s="1247"/>
      <c r="BAT16" s="1247"/>
      <c r="BAU16" s="1247"/>
      <c r="BAV16" s="1247"/>
      <c r="BAW16" s="1247"/>
      <c r="BAX16" s="1247"/>
      <c r="BAY16" s="1247"/>
      <c r="BAZ16" s="1247"/>
      <c r="BBA16" s="1247"/>
      <c r="BBB16" s="1247"/>
      <c r="BBC16" s="1247"/>
      <c r="BBD16" s="1247"/>
      <c r="BBE16" s="1247"/>
      <c r="BBF16" s="1247"/>
      <c r="BBG16" s="1247"/>
      <c r="BBH16" s="1247"/>
      <c r="BBI16" s="1247"/>
      <c r="BBJ16" s="1247"/>
      <c r="BBK16" s="1247"/>
      <c r="BBL16" s="1247"/>
      <c r="BBM16" s="1247"/>
      <c r="BBN16" s="1247"/>
      <c r="BBO16" s="1247"/>
      <c r="BBP16" s="1247"/>
      <c r="BBQ16" s="1247"/>
      <c r="BBR16" s="1247"/>
      <c r="BBS16" s="1247"/>
      <c r="BBT16" s="1247"/>
      <c r="BBU16" s="1247"/>
      <c r="BBV16" s="1247"/>
      <c r="BBW16" s="1247"/>
      <c r="BBX16" s="1247"/>
      <c r="BBY16" s="1247"/>
      <c r="BBZ16" s="1247"/>
      <c r="BCA16" s="1247"/>
      <c r="BCB16" s="1247"/>
      <c r="BCC16" s="1247"/>
      <c r="BCD16" s="1247"/>
      <c r="BCE16" s="1247"/>
      <c r="BCF16" s="1247"/>
      <c r="BCG16" s="1247"/>
      <c r="BCH16" s="1247"/>
      <c r="BCI16" s="1247"/>
      <c r="BCJ16" s="1247"/>
      <c r="BCK16" s="1247"/>
      <c r="BCL16" s="1247"/>
      <c r="BCM16" s="1247"/>
      <c r="BCN16" s="1247"/>
      <c r="BCO16" s="1247"/>
      <c r="BCP16" s="1247"/>
      <c r="BCQ16" s="1247"/>
      <c r="BCR16" s="1247"/>
      <c r="BCS16" s="1247"/>
      <c r="BCT16" s="1247"/>
      <c r="BCU16" s="1247"/>
      <c r="BCV16" s="1247"/>
      <c r="BCW16" s="1247"/>
      <c r="BCX16" s="1247"/>
      <c r="BCY16" s="1247"/>
      <c r="BCZ16" s="1247"/>
      <c r="BDA16" s="1247"/>
      <c r="BDB16" s="1247"/>
      <c r="BDC16" s="1247"/>
      <c r="BDD16" s="1247"/>
      <c r="BDE16" s="1247"/>
      <c r="BDF16" s="1247"/>
      <c r="BDG16" s="1247"/>
      <c r="BDH16" s="1247"/>
      <c r="BDI16" s="1247"/>
      <c r="BDJ16" s="1247"/>
      <c r="BDK16" s="1247"/>
      <c r="BDL16" s="1247"/>
      <c r="BDM16" s="1247"/>
      <c r="BDN16" s="1247"/>
      <c r="BDO16" s="1247"/>
      <c r="BDP16" s="1247"/>
      <c r="BDQ16" s="1247"/>
      <c r="BDR16" s="1247"/>
      <c r="BDS16" s="1247"/>
      <c r="BDT16" s="1247"/>
      <c r="BDU16" s="1247"/>
      <c r="BDV16" s="1247"/>
      <c r="BDW16" s="1247"/>
      <c r="BDX16" s="1247"/>
      <c r="BDY16" s="1247"/>
      <c r="BDZ16" s="1247"/>
      <c r="BEA16" s="1247"/>
      <c r="BEB16" s="1247"/>
      <c r="BEC16" s="1247"/>
      <c r="BED16" s="1247"/>
      <c r="BEE16" s="1247"/>
      <c r="BEF16" s="1247"/>
      <c r="BEG16" s="1247"/>
      <c r="BEH16" s="1247"/>
      <c r="BEI16" s="1247"/>
      <c r="BEJ16" s="1247"/>
      <c r="BEK16" s="1247"/>
      <c r="BEL16" s="1247"/>
      <c r="BEM16" s="1247"/>
      <c r="BEN16" s="1247"/>
      <c r="BEO16" s="1247"/>
      <c r="BEP16" s="1247"/>
      <c r="BEQ16" s="1247"/>
      <c r="BER16" s="1247"/>
      <c r="BES16" s="1247"/>
      <c r="BET16" s="1247"/>
      <c r="BEU16" s="1247"/>
      <c r="BEV16" s="1247"/>
      <c r="BEW16" s="1247"/>
      <c r="BEX16" s="1247"/>
      <c r="BEY16" s="1247"/>
      <c r="BEZ16" s="1247"/>
      <c r="BFA16" s="1247"/>
      <c r="BFB16" s="1247"/>
      <c r="BFC16" s="1247"/>
      <c r="BFD16" s="1247"/>
      <c r="BFE16" s="1247"/>
      <c r="BFF16" s="1247"/>
      <c r="BFG16" s="1247"/>
      <c r="BFH16" s="1247"/>
      <c r="BFI16" s="1247"/>
      <c r="BFJ16" s="1247"/>
      <c r="BFK16" s="1247"/>
      <c r="BFL16" s="1247"/>
      <c r="BFM16" s="1247"/>
      <c r="BFN16" s="1247"/>
      <c r="BFO16" s="1247"/>
      <c r="BFP16" s="1247"/>
      <c r="BFQ16" s="1247"/>
      <c r="BFR16" s="1247"/>
      <c r="BFS16" s="1247"/>
      <c r="BFT16" s="1247"/>
      <c r="BFU16" s="1247"/>
      <c r="BFV16" s="1247"/>
      <c r="BFW16" s="1247"/>
      <c r="BFX16" s="1247"/>
      <c r="BFY16" s="1247"/>
      <c r="BFZ16" s="1247"/>
      <c r="BGA16" s="1247"/>
      <c r="BGB16" s="1247"/>
      <c r="BGC16" s="1247"/>
      <c r="BGD16" s="1247"/>
      <c r="BGE16" s="1247"/>
      <c r="BGF16" s="1247"/>
      <c r="BGG16" s="1247"/>
      <c r="BGH16" s="1247"/>
      <c r="BGI16" s="1247"/>
      <c r="BGJ16" s="1247"/>
      <c r="BGK16" s="1247"/>
      <c r="BGL16" s="1247"/>
      <c r="BGM16" s="1247"/>
      <c r="BGN16" s="1247"/>
      <c r="BGO16" s="1247"/>
      <c r="BGP16" s="1247"/>
      <c r="BGQ16" s="1247"/>
      <c r="BGR16" s="1247"/>
      <c r="BGS16" s="1247"/>
      <c r="BGT16" s="1247"/>
      <c r="BGU16" s="1247"/>
      <c r="BGV16" s="1247"/>
      <c r="BGW16" s="1247"/>
      <c r="BGX16" s="1247"/>
      <c r="BGY16" s="1247"/>
      <c r="BGZ16" s="1247"/>
      <c r="BHA16" s="1247"/>
      <c r="BHB16" s="1247"/>
      <c r="BHC16" s="1247"/>
      <c r="BHD16" s="1247"/>
      <c r="BHE16" s="1247"/>
      <c r="BHF16" s="1247"/>
      <c r="BHG16" s="1247"/>
      <c r="BHH16" s="1247"/>
      <c r="BHI16" s="1247"/>
      <c r="BHJ16" s="1247"/>
      <c r="BHK16" s="1247"/>
      <c r="BHL16" s="1247"/>
      <c r="BHM16" s="1247"/>
      <c r="BHN16" s="1247"/>
      <c r="BHO16" s="1247"/>
      <c r="BHP16" s="1247"/>
      <c r="BHQ16" s="1247"/>
      <c r="BHR16" s="1247"/>
      <c r="BHS16" s="1247"/>
      <c r="BHT16" s="1247"/>
      <c r="BHU16" s="1247"/>
      <c r="BHV16" s="1247"/>
      <c r="BHW16" s="1247"/>
      <c r="BHX16" s="1247"/>
      <c r="BHY16" s="1247"/>
      <c r="BHZ16" s="1247"/>
      <c r="BIA16" s="1247"/>
      <c r="BIB16" s="1247"/>
      <c r="BIC16" s="1247"/>
      <c r="BID16" s="1247"/>
      <c r="BIE16" s="1247"/>
      <c r="BIF16" s="1247"/>
      <c r="BIG16" s="1247"/>
      <c r="BIH16" s="1247"/>
      <c r="BII16" s="1247"/>
      <c r="BIJ16" s="1247"/>
      <c r="BIK16" s="1247"/>
      <c r="BIL16" s="1247"/>
      <c r="BIM16" s="1247"/>
      <c r="BIN16" s="1247"/>
      <c r="BIO16" s="1247"/>
      <c r="BIP16" s="1247"/>
      <c r="BIQ16" s="1247"/>
      <c r="BIR16" s="1247"/>
      <c r="BIS16" s="1247"/>
      <c r="BIT16" s="1247"/>
      <c r="BIU16" s="1247"/>
      <c r="BIV16" s="1247"/>
      <c r="BIW16" s="1247"/>
      <c r="BIX16" s="1247"/>
      <c r="BIY16" s="1247"/>
      <c r="BIZ16" s="1247"/>
      <c r="BJA16" s="1247"/>
      <c r="BJB16" s="1247"/>
      <c r="BJC16" s="1247"/>
      <c r="BJD16" s="1247"/>
      <c r="BJE16" s="1247"/>
      <c r="BJF16" s="1247"/>
      <c r="BJG16" s="1247"/>
      <c r="BJH16" s="1247"/>
      <c r="BJI16" s="1247"/>
      <c r="BJJ16" s="1247"/>
      <c r="BJK16" s="1247"/>
      <c r="BJL16" s="1247"/>
      <c r="BJM16" s="1247"/>
      <c r="BJN16" s="1247"/>
      <c r="BJO16" s="1247"/>
      <c r="BJP16" s="1247"/>
      <c r="BJQ16" s="1247"/>
      <c r="BJR16" s="1247"/>
      <c r="BJS16" s="1247"/>
      <c r="BJT16" s="1247"/>
      <c r="BJU16" s="1247"/>
      <c r="BJV16" s="1247"/>
      <c r="BJW16" s="1247"/>
      <c r="BJX16" s="1247"/>
      <c r="BJY16" s="1247"/>
      <c r="BJZ16" s="1247"/>
      <c r="BKA16" s="1247"/>
      <c r="BKB16" s="1247"/>
      <c r="BKC16" s="1247"/>
      <c r="BKD16" s="1247"/>
      <c r="BKE16" s="1247"/>
      <c r="BKF16" s="1247"/>
      <c r="BKG16" s="1247"/>
      <c r="BKH16" s="1247"/>
      <c r="BKI16" s="1247"/>
      <c r="BKJ16" s="1247"/>
      <c r="BKK16" s="1247"/>
      <c r="BKL16" s="1247"/>
      <c r="BKM16" s="1247"/>
      <c r="BKN16" s="1247"/>
      <c r="BKO16" s="1247"/>
      <c r="BKP16" s="1247"/>
      <c r="BKQ16" s="1247"/>
      <c r="BKR16" s="1247"/>
      <c r="BKS16" s="1247"/>
      <c r="BKT16" s="1247"/>
      <c r="BKU16" s="1247"/>
      <c r="BKV16" s="1247"/>
      <c r="BKW16" s="1247"/>
      <c r="BKX16" s="1247"/>
      <c r="BKY16" s="1247"/>
      <c r="BKZ16" s="1247"/>
      <c r="BLA16" s="1247"/>
      <c r="BLB16" s="1247"/>
      <c r="BLC16" s="1247"/>
      <c r="BLD16" s="1247"/>
      <c r="BLE16" s="1247"/>
      <c r="BLF16" s="1247"/>
      <c r="BLG16" s="1247"/>
      <c r="BLH16" s="1247"/>
      <c r="BLI16" s="1247"/>
      <c r="BLJ16" s="1247"/>
      <c r="BLK16" s="1247"/>
      <c r="BLL16" s="1247"/>
      <c r="BLM16" s="1247"/>
      <c r="BLN16" s="1247"/>
      <c r="BLO16" s="1247"/>
      <c r="BLP16" s="1247"/>
      <c r="BLQ16" s="1247"/>
      <c r="BLR16" s="1247"/>
      <c r="BLS16" s="1247"/>
      <c r="BLT16" s="1247"/>
      <c r="BLU16" s="1247"/>
      <c r="BLV16" s="1247"/>
      <c r="BLW16" s="1247"/>
      <c r="BLX16" s="1247"/>
      <c r="BLY16" s="1247"/>
      <c r="BLZ16" s="1247"/>
      <c r="BMA16" s="1247"/>
      <c r="BMB16" s="1247"/>
      <c r="BMC16" s="1247"/>
      <c r="BMD16" s="1247"/>
      <c r="BME16" s="1247"/>
      <c r="BMF16" s="1247"/>
      <c r="BMG16" s="1247"/>
      <c r="BMH16" s="1247"/>
      <c r="BMI16" s="1247"/>
      <c r="BMJ16" s="1247"/>
      <c r="BMK16" s="1247"/>
      <c r="BML16" s="1247"/>
      <c r="BMM16" s="1247"/>
      <c r="BMN16" s="1247"/>
      <c r="BMO16" s="1247"/>
      <c r="BMP16" s="1247"/>
      <c r="BMQ16" s="1247"/>
      <c r="BMR16" s="1247"/>
      <c r="BMS16" s="1247"/>
      <c r="BMT16" s="1247"/>
      <c r="BMU16" s="1247"/>
      <c r="BMV16" s="1247"/>
      <c r="BMW16" s="1247"/>
      <c r="BMX16" s="1247"/>
      <c r="BMY16" s="1247"/>
      <c r="BMZ16" s="1247"/>
      <c r="BNA16" s="1247"/>
      <c r="BNB16" s="1247"/>
      <c r="BNC16" s="1247"/>
      <c r="BND16" s="1247"/>
      <c r="BNE16" s="1247"/>
      <c r="BNF16" s="1247"/>
      <c r="BNG16" s="1247"/>
      <c r="BNH16" s="1247"/>
      <c r="BNI16" s="1247"/>
      <c r="BNJ16" s="1247"/>
      <c r="BNK16" s="1247"/>
      <c r="BNL16" s="1247"/>
      <c r="BNM16" s="1247"/>
      <c r="BNN16" s="1247"/>
      <c r="BNO16" s="1247"/>
      <c r="BNP16" s="1247"/>
      <c r="BNQ16" s="1247"/>
      <c r="BNR16" s="1247"/>
      <c r="BNS16" s="1247"/>
      <c r="BNT16" s="1247"/>
      <c r="BNU16" s="1247"/>
      <c r="BNV16" s="1247"/>
      <c r="BNW16" s="1247"/>
      <c r="BNX16" s="1247"/>
      <c r="BNY16" s="1247"/>
      <c r="BNZ16" s="1247"/>
      <c r="BOA16" s="1247"/>
      <c r="BOB16" s="1247"/>
      <c r="BOC16" s="1247"/>
      <c r="BOD16" s="1247"/>
      <c r="BOE16" s="1247"/>
      <c r="BOF16" s="1247"/>
      <c r="BOG16" s="1247"/>
      <c r="BOH16" s="1247"/>
      <c r="BOI16" s="1247"/>
      <c r="BOJ16" s="1247"/>
      <c r="BOK16" s="1247"/>
      <c r="BOL16" s="1247"/>
      <c r="BOM16" s="1247"/>
      <c r="BON16" s="1247"/>
      <c r="BOO16" s="1247"/>
      <c r="BOP16" s="1247"/>
      <c r="BOQ16" s="1247"/>
      <c r="BOR16" s="1247"/>
      <c r="BOS16" s="1247"/>
      <c r="BOT16" s="1247"/>
      <c r="BOU16" s="1247"/>
      <c r="BOV16" s="1247"/>
      <c r="BOW16" s="1247"/>
      <c r="BOX16" s="1247"/>
      <c r="BOY16" s="1247"/>
      <c r="BOZ16" s="1247"/>
      <c r="BPA16" s="1247"/>
      <c r="BPB16" s="1247"/>
      <c r="BPC16" s="1247"/>
      <c r="BPD16" s="1247"/>
      <c r="BPE16" s="1247"/>
      <c r="BPF16" s="1247"/>
      <c r="BPG16" s="1247"/>
      <c r="BPH16" s="1247"/>
      <c r="BPI16" s="1247"/>
      <c r="BPJ16" s="1247"/>
      <c r="BPK16" s="1247"/>
      <c r="BPL16" s="1247"/>
      <c r="BPM16" s="1247"/>
      <c r="BPN16" s="1247"/>
      <c r="BPO16" s="1247"/>
      <c r="BPP16" s="1247"/>
      <c r="BPQ16" s="1247"/>
      <c r="BPR16" s="1247"/>
      <c r="BPS16" s="1247"/>
      <c r="BPT16" s="1247"/>
      <c r="BPU16" s="1247"/>
      <c r="BPV16" s="1247"/>
      <c r="BPW16" s="1247"/>
      <c r="BPX16" s="1247"/>
      <c r="BPY16" s="1247"/>
      <c r="BPZ16" s="1247"/>
      <c r="BQA16" s="1247"/>
      <c r="BQB16" s="1247"/>
      <c r="BQC16" s="1247"/>
      <c r="BQD16" s="1247"/>
      <c r="BQE16" s="1247"/>
      <c r="BQF16" s="1247"/>
      <c r="BQG16" s="1247"/>
      <c r="BQH16" s="1247"/>
      <c r="BQI16" s="1247"/>
      <c r="BQJ16" s="1247"/>
      <c r="BQK16" s="1247"/>
      <c r="BQL16" s="1247"/>
      <c r="BQM16" s="1247"/>
      <c r="BQN16" s="1247"/>
      <c r="BQO16" s="1247"/>
      <c r="BQP16" s="1247"/>
      <c r="BQQ16" s="1247"/>
      <c r="BQR16" s="1247"/>
      <c r="BQS16" s="1247"/>
      <c r="BQT16" s="1247"/>
      <c r="BQU16" s="1247"/>
      <c r="BQV16" s="1247"/>
      <c r="BQW16" s="1247"/>
      <c r="BQX16" s="1247"/>
      <c r="BQY16" s="1247"/>
      <c r="BQZ16" s="1247"/>
      <c r="BRA16" s="1247"/>
      <c r="BRB16" s="1247"/>
      <c r="BRC16" s="1247"/>
      <c r="BRD16" s="1247"/>
      <c r="BRE16" s="1247"/>
      <c r="BRF16" s="1247"/>
      <c r="BRG16" s="1247"/>
      <c r="BRH16" s="1247"/>
      <c r="BRI16" s="1247"/>
      <c r="BRJ16" s="1247"/>
      <c r="BRK16" s="1247"/>
      <c r="BRL16" s="1247"/>
      <c r="BRM16" s="1247"/>
      <c r="BRN16" s="1247"/>
      <c r="BRO16" s="1247"/>
      <c r="BRP16" s="1247"/>
      <c r="BRQ16" s="1247"/>
      <c r="BRR16" s="1247"/>
      <c r="BRS16" s="1247"/>
      <c r="BRT16" s="1247"/>
      <c r="BRU16" s="1247"/>
      <c r="BRV16" s="1247"/>
      <c r="BRW16" s="1247"/>
      <c r="BRX16" s="1247"/>
      <c r="BRY16" s="1247"/>
      <c r="BRZ16" s="1247"/>
      <c r="BSA16" s="1247"/>
      <c r="BSB16" s="1247"/>
      <c r="BSC16" s="1247"/>
      <c r="BSD16" s="1247"/>
      <c r="BSE16" s="1247"/>
      <c r="BSF16" s="1247"/>
      <c r="BSG16" s="1247"/>
      <c r="BSH16" s="1247"/>
      <c r="BSI16" s="1247"/>
      <c r="BSJ16" s="1247"/>
      <c r="BSK16" s="1247"/>
      <c r="BSL16" s="1247"/>
      <c r="BSM16" s="1247"/>
      <c r="BSN16" s="1247"/>
      <c r="BSO16" s="1247"/>
      <c r="BSP16" s="1247"/>
      <c r="BSQ16" s="1247"/>
      <c r="BSR16" s="1247"/>
      <c r="BSS16" s="1247"/>
      <c r="BST16" s="1247"/>
      <c r="BSU16" s="1247"/>
      <c r="BSV16" s="1247"/>
      <c r="BSW16" s="1247"/>
      <c r="BSX16" s="1247"/>
      <c r="BSY16" s="1247"/>
      <c r="BSZ16" s="1247"/>
      <c r="BTA16" s="1247"/>
      <c r="BTB16" s="1247"/>
      <c r="BTC16" s="1247"/>
      <c r="BTD16" s="1247"/>
      <c r="BTE16" s="1247"/>
      <c r="BTF16" s="1247"/>
      <c r="BTG16" s="1247"/>
      <c r="BTH16" s="1247"/>
      <c r="BTI16" s="1247"/>
      <c r="BTJ16" s="1247"/>
      <c r="BTK16" s="1247"/>
      <c r="BTL16" s="1247"/>
      <c r="BTM16" s="1247"/>
      <c r="BTN16" s="1247"/>
      <c r="BTO16" s="1247"/>
      <c r="BTP16" s="1247"/>
      <c r="BTQ16" s="1247"/>
      <c r="BTR16" s="1247"/>
      <c r="BTS16" s="1247"/>
      <c r="BTT16" s="1247"/>
      <c r="BTU16" s="1247"/>
      <c r="BTV16" s="1247"/>
      <c r="BTW16" s="1247"/>
      <c r="BTX16" s="1247"/>
      <c r="BTY16" s="1247"/>
      <c r="BTZ16" s="1247"/>
      <c r="BUA16" s="1247"/>
      <c r="BUB16" s="1247"/>
      <c r="BUC16" s="1247"/>
      <c r="BUD16" s="1247"/>
      <c r="BUE16" s="1247"/>
      <c r="BUF16" s="1247"/>
      <c r="BUG16" s="1247"/>
      <c r="BUH16" s="1247"/>
      <c r="BUI16" s="1247"/>
      <c r="BUJ16" s="1247"/>
      <c r="BUK16" s="1247"/>
      <c r="BUL16" s="1247"/>
      <c r="BUM16" s="1247"/>
      <c r="BUN16" s="1247"/>
      <c r="BUO16" s="1247"/>
      <c r="BUP16" s="1247"/>
      <c r="BUQ16" s="1247"/>
      <c r="BUR16" s="1247"/>
      <c r="BUS16" s="1247"/>
      <c r="BUT16" s="1247"/>
      <c r="BUU16" s="1247"/>
      <c r="BUV16" s="1247"/>
      <c r="BUW16" s="1247"/>
      <c r="BUX16" s="1247"/>
      <c r="BUY16" s="1247"/>
      <c r="BUZ16" s="1247"/>
      <c r="BVA16" s="1247"/>
      <c r="BVB16" s="1247"/>
      <c r="BVC16" s="1247"/>
      <c r="BVD16" s="1247"/>
      <c r="BVE16" s="1247"/>
      <c r="BVF16" s="1247"/>
      <c r="BVG16" s="1247"/>
      <c r="BVH16" s="1247"/>
      <c r="BVI16" s="1247"/>
      <c r="BVJ16" s="1247"/>
      <c r="BVK16" s="1247"/>
      <c r="BVL16" s="1247"/>
      <c r="BVM16" s="1247"/>
      <c r="BVN16" s="1247"/>
      <c r="BVO16" s="1247"/>
      <c r="BVP16" s="1247"/>
      <c r="BVQ16" s="1247"/>
      <c r="BVR16" s="1247"/>
      <c r="BVS16" s="1247"/>
      <c r="BVT16" s="1247"/>
      <c r="BVU16" s="1247"/>
      <c r="BVV16" s="1247"/>
      <c r="BVW16" s="1247"/>
      <c r="BVX16" s="1247"/>
      <c r="BVY16" s="1247"/>
      <c r="BVZ16" s="1247"/>
      <c r="BWA16" s="1247"/>
      <c r="BWB16" s="1247"/>
      <c r="BWC16" s="1247"/>
      <c r="BWD16" s="1247"/>
      <c r="BWE16" s="1247"/>
      <c r="BWF16" s="1247"/>
      <c r="BWG16" s="1247"/>
      <c r="BWH16" s="1247"/>
      <c r="BWI16" s="1247"/>
      <c r="BWJ16" s="1247"/>
      <c r="BWK16" s="1247"/>
      <c r="BWL16" s="1247"/>
      <c r="BWM16" s="1247"/>
      <c r="BWN16" s="1247"/>
      <c r="BWO16" s="1247"/>
      <c r="BWP16" s="1247"/>
      <c r="BWQ16" s="1247"/>
      <c r="BWR16" s="1247"/>
      <c r="BWS16" s="1247"/>
      <c r="BWT16" s="1247"/>
      <c r="BWU16" s="1247"/>
      <c r="BWV16" s="1247"/>
      <c r="BWW16" s="1247"/>
      <c r="BWX16" s="1247"/>
      <c r="BWY16" s="1247"/>
      <c r="BWZ16" s="1247"/>
      <c r="BXA16" s="1247"/>
      <c r="BXB16" s="1247"/>
      <c r="BXC16" s="1247"/>
      <c r="BXD16" s="1247"/>
      <c r="BXE16" s="1247"/>
      <c r="BXF16" s="1247"/>
      <c r="BXG16" s="1247"/>
      <c r="BXH16" s="1247"/>
      <c r="BXI16" s="1247"/>
      <c r="BXJ16" s="1247"/>
      <c r="BXK16" s="1247"/>
      <c r="BXL16" s="1247"/>
      <c r="BXM16" s="1247"/>
      <c r="BXN16" s="1247"/>
      <c r="BXO16" s="1247"/>
      <c r="BXP16" s="1247"/>
      <c r="BXQ16" s="1247"/>
      <c r="BXR16" s="1247"/>
      <c r="BXS16" s="1247"/>
      <c r="BXT16" s="1247"/>
      <c r="BXU16" s="1247"/>
      <c r="BXV16" s="1247"/>
      <c r="BXW16" s="1247"/>
      <c r="BXX16" s="1247"/>
      <c r="BXY16" s="1247"/>
      <c r="BXZ16" s="1247"/>
      <c r="BYA16" s="1247"/>
      <c r="BYB16" s="1247"/>
      <c r="BYC16" s="1247"/>
      <c r="BYD16" s="1247"/>
      <c r="BYE16" s="1247"/>
      <c r="BYF16" s="1247"/>
      <c r="BYG16" s="1247"/>
      <c r="BYH16" s="1247"/>
      <c r="BYI16" s="1247"/>
      <c r="BYJ16" s="1247"/>
      <c r="BYK16" s="1247"/>
      <c r="BYL16" s="1247"/>
      <c r="BYM16" s="1247"/>
      <c r="BYN16" s="1247"/>
      <c r="BYO16" s="1247"/>
      <c r="BYP16" s="1247"/>
      <c r="BYQ16" s="1247"/>
      <c r="BYR16" s="1247"/>
      <c r="BYS16" s="1247"/>
      <c r="BYT16" s="1247"/>
      <c r="BYU16" s="1247"/>
      <c r="BYV16" s="1247"/>
      <c r="BYW16" s="1247"/>
      <c r="BYX16" s="1247"/>
      <c r="BYY16" s="1247"/>
      <c r="BYZ16" s="1247"/>
      <c r="BZA16" s="1247"/>
      <c r="BZB16" s="1247"/>
      <c r="BZC16" s="1247"/>
      <c r="BZD16" s="1247"/>
      <c r="BZE16" s="1247"/>
      <c r="BZF16" s="1247"/>
      <c r="BZG16" s="1247"/>
      <c r="BZH16" s="1247"/>
      <c r="BZI16" s="1247"/>
      <c r="BZJ16" s="1247"/>
      <c r="BZK16" s="1247"/>
      <c r="BZL16" s="1247"/>
      <c r="BZM16" s="1247"/>
      <c r="BZN16" s="1247"/>
      <c r="BZO16" s="1247"/>
      <c r="BZP16" s="1247"/>
      <c r="BZQ16" s="1247"/>
      <c r="BZR16" s="1247"/>
      <c r="BZS16" s="1247"/>
      <c r="BZT16" s="1247"/>
      <c r="BZU16" s="1247"/>
      <c r="BZV16" s="1247"/>
      <c r="BZW16" s="1247"/>
      <c r="BZX16" s="1247"/>
      <c r="BZY16" s="1247"/>
      <c r="BZZ16" s="1247"/>
      <c r="CAA16" s="1247"/>
      <c r="CAB16" s="1247"/>
      <c r="CAC16" s="1247"/>
      <c r="CAD16" s="1247"/>
      <c r="CAE16" s="1247"/>
      <c r="CAF16" s="1247"/>
      <c r="CAG16" s="1247"/>
      <c r="CAH16" s="1247"/>
      <c r="CAI16" s="1247"/>
      <c r="CAJ16" s="1247"/>
      <c r="CAK16" s="1247"/>
      <c r="CAL16" s="1247"/>
      <c r="CAM16" s="1247"/>
      <c r="CAN16" s="1247"/>
      <c r="CAO16" s="1247"/>
      <c r="CAP16" s="1247"/>
      <c r="CAQ16" s="1247"/>
      <c r="CAR16" s="1247"/>
      <c r="CAS16" s="1247"/>
      <c r="CAT16" s="1247"/>
      <c r="CAU16" s="1247"/>
      <c r="CAV16" s="1247"/>
      <c r="CAW16" s="1247"/>
      <c r="CAX16" s="1247"/>
      <c r="CAY16" s="1247"/>
      <c r="CAZ16" s="1247"/>
      <c r="CBA16" s="1247"/>
      <c r="CBB16" s="1247"/>
      <c r="CBC16" s="1247"/>
      <c r="CBD16" s="1247"/>
      <c r="CBE16" s="1247"/>
      <c r="CBF16" s="1247"/>
      <c r="CBG16" s="1247"/>
      <c r="CBH16" s="1247"/>
      <c r="CBI16" s="1247"/>
      <c r="CBJ16" s="1247"/>
      <c r="CBK16" s="1247"/>
      <c r="CBL16" s="1247"/>
      <c r="CBM16" s="1247"/>
      <c r="CBN16" s="1247"/>
      <c r="CBO16" s="1247"/>
      <c r="CBP16" s="1247"/>
      <c r="CBQ16" s="1247"/>
      <c r="CBR16" s="1247"/>
      <c r="CBS16" s="1247"/>
      <c r="CBT16" s="1247"/>
      <c r="CBU16" s="1247"/>
      <c r="CBV16" s="1247"/>
      <c r="CBW16" s="1247"/>
      <c r="CBX16" s="1247"/>
      <c r="CBY16" s="1247"/>
      <c r="CBZ16" s="1247"/>
      <c r="CCA16" s="1247"/>
      <c r="CCB16" s="1247"/>
      <c r="CCC16" s="1247"/>
      <c r="CCD16" s="1247"/>
      <c r="CCE16" s="1247"/>
      <c r="CCF16" s="1247"/>
      <c r="CCG16" s="1247"/>
      <c r="CCH16" s="1247"/>
      <c r="CCI16" s="1247"/>
      <c r="CCJ16" s="1247"/>
      <c r="CCK16" s="1247"/>
      <c r="CCL16" s="1247"/>
      <c r="CCM16" s="1247"/>
      <c r="CCN16" s="1247"/>
      <c r="CCO16" s="1247"/>
      <c r="CCP16" s="1247"/>
      <c r="CCQ16" s="1247"/>
      <c r="CCR16" s="1247"/>
      <c r="CCS16" s="1247"/>
      <c r="CCT16" s="1247"/>
      <c r="CCU16" s="1247"/>
      <c r="CCV16" s="1247"/>
      <c r="CCW16" s="1247"/>
      <c r="CCX16" s="1247"/>
      <c r="CCY16" s="1247"/>
      <c r="CCZ16" s="1247"/>
      <c r="CDA16" s="1247"/>
      <c r="CDB16" s="1247"/>
      <c r="CDC16" s="1247"/>
      <c r="CDD16" s="1247"/>
      <c r="CDE16" s="1247"/>
      <c r="CDF16" s="1247"/>
      <c r="CDG16" s="1247"/>
      <c r="CDH16" s="1247"/>
      <c r="CDI16" s="1247"/>
      <c r="CDJ16" s="1247"/>
      <c r="CDK16" s="1247"/>
      <c r="CDL16" s="1247"/>
      <c r="CDM16" s="1247"/>
      <c r="CDN16" s="1247"/>
      <c r="CDO16" s="1247"/>
      <c r="CDP16" s="1247"/>
      <c r="CDQ16" s="1247"/>
      <c r="CDR16" s="1247"/>
      <c r="CDS16" s="1247"/>
      <c r="CDT16" s="1247"/>
      <c r="CDU16" s="1247"/>
      <c r="CDV16" s="1247"/>
      <c r="CDW16" s="1247"/>
      <c r="CDX16" s="1247"/>
      <c r="CDY16" s="1247"/>
      <c r="CDZ16" s="1247"/>
      <c r="CEA16" s="1247"/>
      <c r="CEB16" s="1247"/>
      <c r="CEC16" s="1247"/>
      <c r="CED16" s="1247"/>
      <c r="CEE16" s="1247"/>
      <c r="CEF16" s="1247"/>
      <c r="CEG16" s="1247"/>
      <c r="CEH16" s="1247"/>
      <c r="CEI16" s="1247"/>
      <c r="CEJ16" s="1247"/>
      <c r="CEK16" s="1247"/>
      <c r="CEL16" s="1247"/>
      <c r="CEM16" s="1247"/>
      <c r="CEN16" s="1247"/>
      <c r="CEO16" s="1247"/>
      <c r="CEP16" s="1247"/>
      <c r="CEQ16" s="1247"/>
      <c r="CER16" s="1247"/>
      <c r="CES16" s="1247"/>
      <c r="CET16" s="1247"/>
      <c r="CEU16" s="1247"/>
      <c r="CEV16" s="1247"/>
      <c r="CEW16" s="1247"/>
      <c r="CEX16" s="1247"/>
      <c r="CEY16" s="1247"/>
      <c r="CEZ16" s="1247"/>
      <c r="CFA16" s="1247"/>
      <c r="CFB16" s="1247"/>
      <c r="CFC16" s="1247"/>
      <c r="CFD16" s="1247"/>
      <c r="CFE16" s="1247"/>
      <c r="CFF16" s="1247"/>
      <c r="CFG16" s="1247"/>
      <c r="CFH16" s="1247"/>
      <c r="CFI16" s="1247"/>
      <c r="CFJ16" s="1247"/>
      <c r="CFK16" s="1247"/>
      <c r="CFL16" s="1247"/>
      <c r="CFM16" s="1247"/>
      <c r="CFN16" s="1247"/>
      <c r="CFO16" s="1247"/>
      <c r="CFP16" s="1247"/>
      <c r="CFQ16" s="1247"/>
      <c r="CFR16" s="1247"/>
      <c r="CFS16" s="1247"/>
      <c r="CFT16" s="1247"/>
      <c r="CFU16" s="1247"/>
      <c r="CFV16" s="1247"/>
      <c r="CFW16" s="1247"/>
      <c r="CFX16" s="1247"/>
      <c r="CFY16" s="1247"/>
      <c r="CFZ16" s="1247"/>
      <c r="CGA16" s="1247"/>
      <c r="CGB16" s="1247"/>
      <c r="CGC16" s="1247"/>
      <c r="CGD16" s="1247"/>
      <c r="CGE16" s="1247"/>
      <c r="CGF16" s="1247"/>
      <c r="CGG16" s="1247"/>
      <c r="CGH16" s="1247"/>
      <c r="CGI16" s="1247"/>
      <c r="CGJ16" s="1247"/>
      <c r="CGK16" s="1247"/>
      <c r="CGL16" s="1247"/>
      <c r="CGM16" s="1247"/>
      <c r="CGN16" s="1247"/>
      <c r="CGO16" s="1247"/>
      <c r="CGP16" s="1247"/>
      <c r="CGQ16" s="1247"/>
      <c r="CGR16" s="1247"/>
      <c r="CGS16" s="1247"/>
      <c r="CGT16" s="1247"/>
      <c r="CGU16" s="1247"/>
      <c r="CGV16" s="1247"/>
      <c r="CGW16" s="1247"/>
      <c r="CGX16" s="1247"/>
      <c r="CGY16" s="1247"/>
      <c r="CGZ16" s="1247"/>
      <c r="CHA16" s="1247"/>
      <c r="CHB16" s="1247"/>
      <c r="CHC16" s="1247"/>
      <c r="CHD16" s="1247"/>
      <c r="CHE16" s="1247"/>
      <c r="CHF16" s="1247"/>
      <c r="CHG16" s="1247"/>
      <c r="CHH16" s="1247"/>
      <c r="CHI16" s="1247"/>
      <c r="CHJ16" s="1247"/>
      <c r="CHK16" s="1247"/>
      <c r="CHL16" s="1247"/>
      <c r="CHM16" s="1247"/>
      <c r="CHN16" s="1247"/>
      <c r="CHO16" s="1247"/>
      <c r="CHP16" s="1247"/>
      <c r="CHQ16" s="1247"/>
      <c r="CHR16" s="1247"/>
      <c r="CHS16" s="1247"/>
      <c r="CHT16" s="1247"/>
      <c r="CHU16" s="1247"/>
      <c r="CHV16" s="1247"/>
      <c r="CHW16" s="1247"/>
      <c r="CHX16" s="1247"/>
      <c r="CHY16" s="1247"/>
      <c r="CHZ16" s="1247"/>
      <c r="CIA16" s="1247"/>
      <c r="CIB16" s="1247"/>
      <c r="CIC16" s="1247"/>
      <c r="CID16" s="1247"/>
      <c r="CIE16" s="1247"/>
      <c r="CIF16" s="1247"/>
      <c r="CIG16" s="1247"/>
      <c r="CIH16" s="1247"/>
      <c r="CII16" s="1247"/>
      <c r="CIJ16" s="1247"/>
      <c r="CIK16" s="1247"/>
      <c r="CIL16" s="1247"/>
      <c r="CIM16" s="1247"/>
      <c r="CIN16" s="1247"/>
      <c r="CIO16" s="1247"/>
      <c r="CIP16" s="1247"/>
      <c r="CIQ16" s="1247"/>
      <c r="CIR16" s="1247"/>
      <c r="CIS16" s="1247"/>
      <c r="CIT16" s="1247"/>
      <c r="CIU16" s="1247"/>
      <c r="CIV16" s="1247"/>
      <c r="CIW16" s="1247"/>
      <c r="CIX16" s="1247"/>
      <c r="CIY16" s="1247"/>
      <c r="CIZ16" s="1247"/>
      <c r="CJA16" s="1247"/>
      <c r="CJB16" s="1247"/>
      <c r="CJC16" s="1247"/>
      <c r="CJD16" s="1247"/>
      <c r="CJE16" s="1247"/>
      <c r="CJF16" s="1247"/>
      <c r="CJG16" s="1247"/>
      <c r="CJH16" s="1247"/>
      <c r="CJI16" s="1247"/>
      <c r="CJJ16" s="1247"/>
      <c r="CJK16" s="1247"/>
      <c r="CJL16" s="1247"/>
      <c r="CJM16" s="1247"/>
      <c r="CJN16" s="1247"/>
      <c r="CJO16" s="1247"/>
      <c r="CJP16" s="1247"/>
      <c r="CJQ16" s="1247"/>
      <c r="CJR16" s="1247"/>
      <c r="CJS16" s="1247"/>
      <c r="CJT16" s="1247"/>
      <c r="CJU16" s="1247"/>
      <c r="CJV16" s="1247"/>
      <c r="CJW16" s="1247"/>
      <c r="CJX16" s="1247"/>
      <c r="CJY16" s="1247"/>
      <c r="CJZ16" s="1247"/>
      <c r="CKA16" s="1247"/>
      <c r="CKB16" s="1247"/>
      <c r="CKC16" s="1247"/>
      <c r="CKD16" s="1247"/>
      <c r="CKE16" s="1247"/>
      <c r="CKF16" s="1247"/>
      <c r="CKG16" s="1247"/>
      <c r="CKH16" s="1247"/>
      <c r="CKI16" s="1247"/>
      <c r="CKJ16" s="1247"/>
      <c r="CKK16" s="1247"/>
      <c r="CKL16" s="1247"/>
      <c r="CKM16" s="1247"/>
      <c r="CKN16" s="1247"/>
      <c r="CKO16" s="1247"/>
      <c r="CKP16" s="1247"/>
      <c r="CKQ16" s="1247"/>
      <c r="CKR16" s="1247"/>
      <c r="CKS16" s="1247"/>
      <c r="CKT16" s="1247"/>
      <c r="CKU16" s="1247"/>
      <c r="CKV16" s="1247"/>
      <c r="CKW16" s="1247"/>
      <c r="CKX16" s="1247"/>
      <c r="CKY16" s="1247"/>
      <c r="CKZ16" s="1247"/>
      <c r="CLA16" s="1247"/>
      <c r="CLB16" s="1247"/>
      <c r="CLC16" s="1247"/>
      <c r="CLD16" s="1247"/>
      <c r="CLE16" s="1247"/>
      <c r="CLF16" s="1247"/>
      <c r="CLG16" s="1247"/>
      <c r="CLH16" s="1247"/>
      <c r="CLI16" s="1247"/>
      <c r="CLJ16" s="1247"/>
      <c r="CLK16" s="1247"/>
      <c r="CLL16" s="1247"/>
      <c r="CLM16" s="1247"/>
      <c r="CLN16" s="1247"/>
      <c r="CLO16" s="1247"/>
      <c r="CLP16" s="1247"/>
      <c r="CLQ16" s="1247"/>
      <c r="CLR16" s="1247"/>
      <c r="CLS16" s="1247"/>
      <c r="CLT16" s="1247"/>
      <c r="CLU16" s="1247"/>
      <c r="CLV16" s="1247"/>
      <c r="CLW16" s="1247"/>
      <c r="CLX16" s="1247"/>
      <c r="CLY16" s="1247"/>
      <c r="CLZ16" s="1247"/>
      <c r="CMA16" s="1247"/>
      <c r="CMB16" s="1247"/>
      <c r="CMC16" s="1247"/>
      <c r="CMD16" s="1247"/>
      <c r="CME16" s="1247"/>
      <c r="CMF16" s="1247"/>
      <c r="CMG16" s="1247"/>
      <c r="CMH16" s="1247"/>
      <c r="CMI16" s="1247"/>
      <c r="CMJ16" s="1247"/>
      <c r="CMK16" s="1247"/>
      <c r="CML16" s="1247"/>
      <c r="CMM16" s="1247"/>
      <c r="CMN16" s="1247"/>
      <c r="CMO16" s="1247"/>
      <c r="CMP16" s="1247"/>
      <c r="CMQ16" s="1247"/>
      <c r="CMR16" s="1247"/>
      <c r="CMS16" s="1247"/>
      <c r="CMT16" s="1247"/>
      <c r="CMU16" s="1247"/>
      <c r="CMV16" s="1247"/>
      <c r="CMW16" s="1247"/>
      <c r="CMX16" s="1247"/>
      <c r="CMY16" s="1247"/>
      <c r="CMZ16" s="1247"/>
      <c r="CNA16" s="1247"/>
      <c r="CNB16" s="1247"/>
      <c r="CNC16" s="1247"/>
      <c r="CND16" s="1247"/>
      <c r="CNE16" s="1247"/>
      <c r="CNF16" s="1247"/>
      <c r="CNG16" s="1247"/>
      <c r="CNH16" s="1247"/>
      <c r="CNI16" s="1247"/>
      <c r="CNJ16" s="1247"/>
      <c r="CNK16" s="1247"/>
      <c r="CNL16" s="1247"/>
      <c r="CNM16" s="1247"/>
      <c r="CNN16" s="1247"/>
      <c r="CNO16" s="1247"/>
      <c r="CNP16" s="1247"/>
      <c r="CNQ16" s="1247"/>
      <c r="CNR16" s="1247"/>
      <c r="CNS16" s="1247"/>
      <c r="CNT16" s="1247"/>
      <c r="CNU16" s="1247"/>
      <c r="CNV16" s="1247"/>
      <c r="CNW16" s="1247"/>
      <c r="CNX16" s="1247"/>
      <c r="CNY16" s="1247"/>
      <c r="CNZ16" s="1247"/>
      <c r="COA16" s="1247"/>
      <c r="COB16" s="1247"/>
      <c r="COC16" s="1247"/>
      <c r="COD16" s="1247"/>
      <c r="COE16" s="1247"/>
      <c r="COF16" s="1247"/>
      <c r="COG16" s="1247"/>
      <c r="COH16" s="1247"/>
      <c r="COI16" s="1247"/>
      <c r="COJ16" s="1247"/>
      <c r="COK16" s="1247"/>
      <c r="COL16" s="1247"/>
      <c r="COM16" s="1247"/>
      <c r="CON16" s="1247"/>
      <c r="COO16" s="1247"/>
      <c r="COP16" s="1247"/>
      <c r="COQ16" s="1247"/>
      <c r="COR16" s="1247"/>
      <c r="COS16" s="1247"/>
      <c r="COT16" s="1247"/>
      <c r="COU16" s="1247"/>
      <c r="COV16" s="1247"/>
      <c r="COW16" s="1247"/>
      <c r="COX16" s="1247"/>
      <c r="COY16" s="1247"/>
      <c r="COZ16" s="1247"/>
      <c r="CPA16" s="1247"/>
      <c r="CPB16" s="1247"/>
      <c r="CPC16" s="1247"/>
      <c r="CPD16" s="1247"/>
      <c r="CPE16" s="1247"/>
      <c r="CPF16" s="1247"/>
      <c r="CPG16" s="1247"/>
      <c r="CPH16" s="1247"/>
      <c r="CPI16" s="1247"/>
      <c r="CPJ16" s="1247"/>
      <c r="CPK16" s="1247"/>
      <c r="CPL16" s="1247"/>
      <c r="CPM16" s="1247"/>
      <c r="CPN16" s="1247"/>
      <c r="CPO16" s="1247"/>
      <c r="CPP16" s="1247"/>
      <c r="CPQ16" s="1247"/>
      <c r="CPR16" s="1247"/>
      <c r="CPS16" s="1247"/>
      <c r="CPT16" s="1247"/>
      <c r="CPU16" s="1247"/>
      <c r="CPV16" s="1247"/>
      <c r="CPW16" s="1247"/>
      <c r="CPX16" s="1247"/>
      <c r="CPY16" s="1247"/>
      <c r="CPZ16" s="1247"/>
      <c r="CQA16" s="1247"/>
      <c r="CQB16" s="1247"/>
      <c r="CQC16" s="1247"/>
      <c r="CQD16" s="1247"/>
      <c r="CQE16" s="1247"/>
      <c r="CQF16" s="1247"/>
      <c r="CQG16" s="1247"/>
      <c r="CQH16" s="1247"/>
      <c r="CQI16" s="1247"/>
      <c r="CQJ16" s="1247"/>
      <c r="CQK16" s="1247"/>
      <c r="CQL16" s="1247"/>
      <c r="CQM16" s="1247"/>
      <c r="CQN16" s="1247"/>
      <c r="CQO16" s="1247"/>
      <c r="CQP16" s="1247"/>
      <c r="CQQ16" s="1247"/>
      <c r="CQR16" s="1247"/>
      <c r="CQS16" s="1247"/>
      <c r="CQT16" s="1247"/>
      <c r="CQU16" s="1247"/>
      <c r="CQV16" s="1247"/>
      <c r="CQW16" s="1247"/>
      <c r="CQX16" s="1247"/>
      <c r="CQY16" s="1247"/>
      <c r="CQZ16" s="1247"/>
      <c r="CRA16" s="1247"/>
      <c r="CRB16" s="1247"/>
      <c r="CRC16" s="1247"/>
      <c r="CRD16" s="1247"/>
      <c r="CRE16" s="1247"/>
      <c r="CRF16" s="1247"/>
      <c r="CRG16" s="1247"/>
      <c r="CRH16" s="1247"/>
      <c r="CRI16" s="1247"/>
      <c r="CRJ16" s="1247"/>
      <c r="CRK16" s="1247"/>
      <c r="CRL16" s="1247"/>
      <c r="CRM16" s="1247"/>
      <c r="CRN16" s="1247"/>
      <c r="CRO16" s="1247"/>
      <c r="CRP16" s="1247"/>
      <c r="CRQ16" s="1247"/>
      <c r="CRR16" s="1247"/>
      <c r="CRS16" s="1247"/>
      <c r="CRT16" s="1247"/>
      <c r="CRU16" s="1247"/>
      <c r="CRV16" s="1247"/>
      <c r="CRW16" s="1247"/>
      <c r="CRX16" s="1247"/>
      <c r="CRY16" s="1247"/>
      <c r="CRZ16" s="1247"/>
      <c r="CSA16" s="1247"/>
      <c r="CSB16" s="1247"/>
      <c r="CSC16" s="1247"/>
      <c r="CSD16" s="1247"/>
      <c r="CSE16" s="1247"/>
      <c r="CSF16" s="1247"/>
      <c r="CSG16" s="1247"/>
      <c r="CSH16" s="1247"/>
      <c r="CSI16" s="1247"/>
      <c r="CSJ16" s="1247"/>
      <c r="CSK16" s="1247"/>
      <c r="CSL16" s="1247"/>
      <c r="CSM16" s="1247"/>
      <c r="CSN16" s="1247"/>
      <c r="CSO16" s="1247"/>
      <c r="CSP16" s="1247"/>
      <c r="CSQ16" s="1247"/>
      <c r="CSR16" s="1247"/>
      <c r="CSS16" s="1247"/>
      <c r="CST16" s="1247"/>
      <c r="CSU16" s="1247"/>
      <c r="CSV16" s="1247"/>
      <c r="CSW16" s="1247"/>
      <c r="CSX16" s="1247"/>
      <c r="CSY16" s="1247"/>
      <c r="CSZ16" s="1247"/>
      <c r="CTA16" s="1247"/>
      <c r="CTB16" s="1247"/>
      <c r="CTC16" s="1247"/>
      <c r="CTD16" s="1247"/>
      <c r="CTE16" s="1247"/>
      <c r="CTF16" s="1247"/>
      <c r="CTG16" s="1247"/>
      <c r="CTH16" s="1247"/>
      <c r="CTI16" s="1247"/>
      <c r="CTJ16" s="1247"/>
      <c r="CTK16" s="1247"/>
      <c r="CTL16" s="1247"/>
      <c r="CTM16" s="1247"/>
      <c r="CTN16" s="1247"/>
      <c r="CTO16" s="1247"/>
      <c r="CTP16" s="1247"/>
      <c r="CTQ16" s="1247"/>
      <c r="CTR16" s="1247"/>
      <c r="CTS16" s="1247"/>
      <c r="CTT16" s="1247"/>
      <c r="CTU16" s="1247"/>
      <c r="CTV16" s="1247"/>
      <c r="CTW16" s="1247"/>
      <c r="CTX16" s="1247"/>
      <c r="CTY16" s="1247"/>
      <c r="CTZ16" s="1247"/>
      <c r="CUA16" s="1247"/>
      <c r="CUB16" s="1247"/>
      <c r="CUC16" s="1247"/>
      <c r="CUD16" s="1247"/>
      <c r="CUE16" s="1247"/>
      <c r="CUF16" s="1247"/>
      <c r="CUG16" s="1247"/>
      <c r="CUH16" s="1247"/>
      <c r="CUI16" s="1247"/>
      <c r="CUJ16" s="1247"/>
      <c r="CUK16" s="1247"/>
      <c r="CUL16" s="1247"/>
      <c r="CUM16" s="1247"/>
      <c r="CUN16" s="1247"/>
      <c r="CUO16" s="1247"/>
      <c r="CUP16" s="1247"/>
      <c r="CUQ16" s="1247"/>
      <c r="CUR16" s="1247"/>
      <c r="CUS16" s="1247"/>
      <c r="CUT16" s="1247"/>
      <c r="CUU16" s="1247"/>
      <c r="CUV16" s="1247"/>
      <c r="CUW16" s="1247"/>
      <c r="CUX16" s="1247"/>
      <c r="CUY16" s="1247"/>
      <c r="CUZ16" s="1247"/>
      <c r="CVA16" s="1247"/>
      <c r="CVB16" s="1247"/>
      <c r="CVC16" s="1247"/>
      <c r="CVD16" s="1247"/>
      <c r="CVE16" s="1247"/>
      <c r="CVF16" s="1247"/>
      <c r="CVG16" s="1247"/>
      <c r="CVH16" s="1247"/>
      <c r="CVI16" s="1247"/>
      <c r="CVJ16" s="1247"/>
      <c r="CVK16" s="1247"/>
      <c r="CVL16" s="1247"/>
      <c r="CVM16" s="1247"/>
      <c r="CVN16" s="1247"/>
      <c r="CVO16" s="1247"/>
      <c r="CVP16" s="1247"/>
      <c r="CVQ16" s="1247"/>
      <c r="CVR16" s="1247"/>
      <c r="CVS16" s="1247"/>
      <c r="CVT16" s="1247"/>
      <c r="CVU16" s="1247"/>
      <c r="CVV16" s="1247"/>
      <c r="CVW16" s="1247"/>
      <c r="CVX16" s="1247"/>
      <c r="CVY16" s="1247"/>
      <c r="CVZ16" s="1247"/>
      <c r="CWA16" s="1247"/>
      <c r="CWB16" s="1247"/>
      <c r="CWC16" s="1247"/>
      <c r="CWD16" s="1247"/>
      <c r="CWE16" s="1247"/>
      <c r="CWF16" s="1247"/>
      <c r="CWG16" s="1247"/>
      <c r="CWH16" s="1247"/>
      <c r="CWI16" s="1247"/>
      <c r="CWJ16" s="1247"/>
      <c r="CWK16" s="1247"/>
      <c r="CWL16" s="1247"/>
      <c r="CWM16" s="1247"/>
      <c r="CWN16" s="1247"/>
      <c r="CWO16" s="1247"/>
      <c r="CWP16" s="1247"/>
      <c r="CWQ16" s="1247"/>
      <c r="CWR16" s="1247"/>
      <c r="CWS16" s="1247"/>
      <c r="CWT16" s="1247"/>
      <c r="CWU16" s="1247"/>
      <c r="CWV16" s="1247"/>
      <c r="CWW16" s="1247"/>
      <c r="CWX16" s="1247"/>
      <c r="CWY16" s="1247"/>
      <c r="CWZ16" s="1247"/>
      <c r="CXA16" s="1247"/>
      <c r="CXB16" s="1247"/>
      <c r="CXC16" s="1247"/>
      <c r="CXD16" s="1247"/>
      <c r="CXE16" s="1247"/>
      <c r="CXF16" s="1247"/>
      <c r="CXG16" s="1247"/>
      <c r="CXH16" s="1247"/>
      <c r="CXI16" s="1247"/>
      <c r="CXJ16" s="1247"/>
      <c r="CXK16" s="1247"/>
      <c r="CXL16" s="1247"/>
      <c r="CXM16" s="1247"/>
      <c r="CXN16" s="1247"/>
      <c r="CXO16" s="1247"/>
      <c r="CXP16" s="1247"/>
      <c r="CXQ16" s="1247"/>
      <c r="CXR16" s="1247"/>
      <c r="CXS16" s="1247"/>
      <c r="CXT16" s="1247"/>
      <c r="CXU16" s="1247"/>
      <c r="CXV16" s="1247"/>
      <c r="CXW16" s="1247"/>
      <c r="CXX16" s="1247"/>
      <c r="CXY16" s="1247"/>
      <c r="CXZ16" s="1247"/>
      <c r="CYA16" s="1247"/>
      <c r="CYB16" s="1247"/>
      <c r="CYC16" s="1247"/>
      <c r="CYD16" s="1247"/>
      <c r="CYE16" s="1247"/>
      <c r="CYF16" s="1247"/>
      <c r="CYG16" s="1247"/>
      <c r="CYH16" s="1247"/>
      <c r="CYI16" s="1247"/>
      <c r="CYJ16" s="1247"/>
      <c r="CYK16" s="1247"/>
      <c r="CYL16" s="1247"/>
      <c r="CYM16" s="1247"/>
      <c r="CYN16" s="1247"/>
      <c r="CYO16" s="1247"/>
      <c r="CYP16" s="1247"/>
      <c r="CYQ16" s="1247"/>
      <c r="CYR16" s="1247"/>
      <c r="CYS16" s="1247"/>
      <c r="CYT16" s="1247"/>
      <c r="CYU16" s="1247"/>
      <c r="CYV16" s="1247"/>
      <c r="CYW16" s="1247"/>
      <c r="CYX16" s="1247"/>
      <c r="CYY16" s="1247"/>
      <c r="CYZ16" s="1247"/>
      <c r="CZA16" s="1247"/>
      <c r="CZB16" s="1247"/>
      <c r="CZC16" s="1247"/>
      <c r="CZD16" s="1247"/>
      <c r="CZE16" s="1247"/>
      <c r="CZF16" s="1247"/>
      <c r="CZG16" s="1247"/>
      <c r="CZH16" s="1247"/>
      <c r="CZI16" s="1247"/>
      <c r="CZJ16" s="1247"/>
      <c r="CZK16" s="1247"/>
      <c r="CZL16" s="1247"/>
      <c r="CZM16" s="1247"/>
      <c r="CZN16" s="1247"/>
      <c r="CZO16" s="1247"/>
      <c r="CZP16" s="1247"/>
      <c r="CZQ16" s="1247"/>
      <c r="CZR16" s="1247"/>
      <c r="CZS16" s="1247"/>
      <c r="CZT16" s="1247"/>
      <c r="CZU16" s="1247"/>
      <c r="CZV16" s="1247"/>
      <c r="CZW16" s="1247"/>
      <c r="CZX16" s="1247"/>
      <c r="CZY16" s="1247"/>
      <c r="CZZ16" s="1247"/>
      <c r="DAA16" s="1247"/>
      <c r="DAB16" s="1247"/>
      <c r="DAC16" s="1247"/>
      <c r="DAD16" s="1247"/>
      <c r="DAE16" s="1247"/>
      <c r="DAF16" s="1247"/>
      <c r="DAG16" s="1247"/>
      <c r="DAH16" s="1247"/>
      <c r="DAI16" s="1247"/>
      <c r="DAJ16" s="1247"/>
      <c r="DAK16" s="1247"/>
      <c r="DAL16" s="1247"/>
      <c r="DAM16" s="1247"/>
      <c r="DAN16" s="1247"/>
      <c r="DAO16" s="1247"/>
      <c r="DAP16" s="1247"/>
      <c r="DAQ16" s="1247"/>
      <c r="DAR16" s="1247"/>
      <c r="DAS16" s="1247"/>
      <c r="DAT16" s="1247"/>
      <c r="DAU16" s="1247"/>
      <c r="DAV16" s="1247"/>
      <c r="DAW16" s="1247"/>
      <c r="DAX16" s="1247"/>
      <c r="DAY16" s="1247"/>
      <c r="DAZ16" s="1247"/>
      <c r="DBA16" s="1247"/>
      <c r="DBB16" s="1247"/>
      <c r="DBC16" s="1247"/>
      <c r="DBD16" s="1247"/>
      <c r="DBE16" s="1247"/>
      <c r="DBF16" s="1247"/>
      <c r="DBG16" s="1247"/>
      <c r="DBH16" s="1247"/>
      <c r="DBI16" s="1247"/>
      <c r="DBJ16" s="1247"/>
      <c r="DBK16" s="1247"/>
      <c r="DBL16" s="1247"/>
      <c r="DBM16" s="1247"/>
      <c r="DBN16" s="1247"/>
      <c r="DBO16" s="1247"/>
      <c r="DBP16" s="1247"/>
      <c r="DBQ16" s="1247"/>
      <c r="DBR16" s="1247"/>
      <c r="DBS16" s="1247"/>
      <c r="DBT16" s="1247"/>
      <c r="DBU16" s="1247"/>
      <c r="DBV16" s="1247"/>
      <c r="DBW16" s="1247"/>
      <c r="DBX16" s="1247"/>
      <c r="DBY16" s="1247"/>
      <c r="DBZ16" s="1247"/>
      <c r="DCA16" s="1247"/>
      <c r="DCB16" s="1247"/>
      <c r="DCC16" s="1247"/>
      <c r="DCD16" s="1247"/>
      <c r="DCE16" s="1247"/>
      <c r="DCF16" s="1247"/>
      <c r="DCG16" s="1247"/>
      <c r="DCH16" s="1247"/>
      <c r="DCI16" s="1247"/>
      <c r="DCJ16" s="1247"/>
      <c r="DCK16" s="1247"/>
      <c r="DCL16" s="1247"/>
      <c r="DCM16" s="1247"/>
      <c r="DCN16" s="1247"/>
      <c r="DCO16" s="1247"/>
      <c r="DCP16" s="1247"/>
      <c r="DCQ16" s="1247"/>
      <c r="DCR16" s="1247"/>
      <c r="DCS16" s="1247"/>
      <c r="DCT16" s="1247"/>
      <c r="DCU16" s="1247"/>
      <c r="DCV16" s="1247"/>
      <c r="DCW16" s="1247"/>
      <c r="DCX16" s="1247"/>
      <c r="DCY16" s="1247"/>
      <c r="DCZ16" s="1247"/>
      <c r="DDA16" s="1247"/>
      <c r="DDB16" s="1247"/>
      <c r="DDC16" s="1247"/>
      <c r="DDD16" s="1247"/>
      <c r="DDE16" s="1247"/>
      <c r="DDF16" s="1247"/>
      <c r="DDG16" s="1247"/>
      <c r="DDH16" s="1247"/>
      <c r="DDI16" s="1247"/>
      <c r="DDJ16" s="1247"/>
      <c r="DDK16" s="1247"/>
      <c r="DDL16" s="1247"/>
      <c r="DDM16" s="1247"/>
      <c r="DDN16" s="1247"/>
      <c r="DDO16" s="1247"/>
      <c r="DDP16" s="1247"/>
      <c r="DDQ16" s="1247"/>
      <c r="DDR16" s="1247"/>
      <c r="DDS16" s="1247"/>
      <c r="DDT16" s="1247"/>
      <c r="DDU16" s="1247"/>
      <c r="DDV16" s="1247"/>
      <c r="DDW16" s="1247"/>
      <c r="DDX16" s="1247"/>
      <c r="DDY16" s="1247"/>
      <c r="DDZ16" s="1247"/>
      <c r="DEA16" s="1247"/>
      <c r="DEB16" s="1247"/>
      <c r="DEC16" s="1247"/>
      <c r="DED16" s="1247"/>
      <c r="DEE16" s="1247"/>
      <c r="DEF16" s="1247"/>
      <c r="DEG16" s="1247"/>
      <c r="DEH16" s="1247"/>
      <c r="DEI16" s="1247"/>
      <c r="DEJ16" s="1247"/>
      <c r="DEK16" s="1247"/>
      <c r="DEL16" s="1247"/>
      <c r="DEM16" s="1247"/>
      <c r="DEN16" s="1247"/>
      <c r="DEO16" s="1247"/>
      <c r="DEP16" s="1247"/>
      <c r="DEQ16" s="1247"/>
      <c r="DER16" s="1247"/>
      <c r="DES16" s="1247"/>
      <c r="DET16" s="1247"/>
      <c r="DEU16" s="1247"/>
      <c r="DEV16" s="1247"/>
      <c r="DEW16" s="1247"/>
      <c r="DEX16" s="1247"/>
      <c r="DEY16" s="1247"/>
      <c r="DEZ16" s="1247"/>
      <c r="DFA16" s="1247"/>
      <c r="DFB16" s="1247"/>
      <c r="DFC16" s="1247"/>
      <c r="DFD16" s="1247"/>
      <c r="DFE16" s="1247"/>
      <c r="DFF16" s="1247"/>
      <c r="DFG16" s="1247"/>
      <c r="DFH16" s="1247"/>
      <c r="DFI16" s="1247"/>
      <c r="DFJ16" s="1247"/>
      <c r="DFK16" s="1247"/>
      <c r="DFL16" s="1247"/>
      <c r="DFM16" s="1247"/>
      <c r="DFN16" s="1247"/>
      <c r="DFO16" s="1247"/>
      <c r="DFP16" s="1247"/>
      <c r="DFQ16" s="1247"/>
      <c r="DFR16" s="1247"/>
      <c r="DFS16" s="1247"/>
      <c r="DFT16" s="1247"/>
      <c r="DFU16" s="1247"/>
      <c r="DFV16" s="1247"/>
      <c r="DFW16" s="1247"/>
      <c r="DFX16" s="1247"/>
      <c r="DFY16" s="1247"/>
      <c r="DFZ16" s="1247"/>
      <c r="DGA16" s="1247"/>
      <c r="DGB16" s="1247"/>
      <c r="DGC16" s="1247"/>
      <c r="DGD16" s="1247"/>
      <c r="DGE16" s="1247"/>
      <c r="DGF16" s="1247"/>
      <c r="DGG16" s="1247"/>
      <c r="DGH16" s="1247"/>
      <c r="DGI16" s="1247"/>
      <c r="DGJ16" s="1247"/>
      <c r="DGK16" s="1247"/>
      <c r="DGL16" s="1247"/>
      <c r="DGM16" s="1247"/>
      <c r="DGN16" s="1247"/>
      <c r="DGO16" s="1247"/>
      <c r="DGP16" s="1247"/>
      <c r="DGQ16" s="1247"/>
      <c r="DGR16" s="1247"/>
      <c r="DGS16" s="1247"/>
      <c r="DGT16" s="1247"/>
      <c r="DGU16" s="1247"/>
      <c r="DGV16" s="1247"/>
      <c r="DGW16" s="1247"/>
      <c r="DGX16" s="1247"/>
      <c r="DGY16" s="1247"/>
      <c r="DGZ16" s="1247"/>
      <c r="DHA16" s="1247"/>
      <c r="DHB16" s="1247"/>
      <c r="DHC16" s="1247"/>
      <c r="DHD16" s="1247"/>
      <c r="DHE16" s="1247"/>
      <c r="DHF16" s="1247"/>
      <c r="DHG16" s="1247"/>
      <c r="DHH16" s="1247"/>
      <c r="DHI16" s="1247"/>
      <c r="DHJ16" s="1247"/>
      <c r="DHK16" s="1247"/>
      <c r="DHL16" s="1247"/>
      <c r="DHM16" s="1247"/>
      <c r="DHN16" s="1247"/>
      <c r="DHO16" s="1247"/>
      <c r="DHP16" s="1247"/>
      <c r="DHQ16" s="1247"/>
      <c r="DHR16" s="1247"/>
      <c r="DHS16" s="1247"/>
      <c r="DHT16" s="1247"/>
      <c r="DHU16" s="1247"/>
      <c r="DHV16" s="1247"/>
      <c r="DHW16" s="1247"/>
      <c r="DHX16" s="1247"/>
      <c r="DHY16" s="1247"/>
      <c r="DHZ16" s="1247"/>
      <c r="DIA16" s="1247"/>
      <c r="DIB16" s="1247"/>
      <c r="DIC16" s="1247"/>
      <c r="DID16" s="1247"/>
      <c r="DIE16" s="1247"/>
      <c r="DIF16" s="1247"/>
      <c r="DIG16" s="1247"/>
      <c r="DIH16" s="1247"/>
      <c r="DII16" s="1247"/>
      <c r="DIJ16" s="1247"/>
      <c r="DIK16" s="1247"/>
      <c r="DIL16" s="1247"/>
      <c r="DIM16" s="1247"/>
      <c r="DIN16" s="1247"/>
      <c r="DIO16" s="1247"/>
      <c r="DIP16" s="1247"/>
      <c r="DIQ16" s="1247"/>
      <c r="DIR16" s="1247"/>
      <c r="DIS16" s="1247"/>
      <c r="DIT16" s="1247"/>
      <c r="DIU16" s="1247"/>
      <c r="DIV16" s="1247"/>
      <c r="DIW16" s="1247"/>
      <c r="DIX16" s="1247"/>
      <c r="DIY16" s="1247"/>
      <c r="DIZ16" s="1247"/>
      <c r="DJA16" s="1247"/>
      <c r="DJB16" s="1247"/>
      <c r="DJC16" s="1247"/>
      <c r="DJD16" s="1247"/>
      <c r="DJE16" s="1247"/>
      <c r="DJF16" s="1247"/>
      <c r="DJG16" s="1247"/>
      <c r="DJH16" s="1247"/>
      <c r="DJI16" s="1247"/>
      <c r="DJJ16" s="1247"/>
      <c r="DJK16" s="1247"/>
      <c r="DJL16" s="1247"/>
      <c r="DJM16" s="1247"/>
      <c r="DJN16" s="1247"/>
      <c r="DJO16" s="1247"/>
      <c r="DJP16" s="1247"/>
      <c r="DJQ16" s="1247"/>
      <c r="DJR16" s="1247"/>
      <c r="DJS16" s="1247"/>
      <c r="DJT16" s="1247"/>
      <c r="DJU16" s="1247"/>
      <c r="DJV16" s="1247"/>
      <c r="DJW16" s="1247"/>
      <c r="DJX16" s="1247"/>
      <c r="DJY16" s="1247"/>
      <c r="DJZ16" s="1247"/>
      <c r="DKA16" s="1247"/>
      <c r="DKB16" s="1247"/>
      <c r="DKC16" s="1247"/>
      <c r="DKD16" s="1247"/>
      <c r="DKE16" s="1247"/>
      <c r="DKF16" s="1247"/>
      <c r="DKG16" s="1247"/>
      <c r="DKH16" s="1247"/>
      <c r="DKI16" s="1247"/>
      <c r="DKJ16" s="1247"/>
      <c r="DKK16" s="1247"/>
      <c r="DKL16" s="1247"/>
      <c r="DKM16" s="1247"/>
      <c r="DKN16" s="1247"/>
      <c r="DKO16" s="1247"/>
      <c r="DKP16" s="1247"/>
      <c r="DKQ16" s="1247"/>
      <c r="DKR16" s="1247"/>
      <c r="DKS16" s="1247"/>
      <c r="DKT16" s="1247"/>
      <c r="DKU16" s="1247"/>
      <c r="DKV16" s="1247"/>
      <c r="DKW16" s="1247"/>
      <c r="DKX16" s="1247"/>
      <c r="DKY16" s="1247"/>
      <c r="DKZ16" s="1247"/>
      <c r="DLA16" s="1247"/>
      <c r="DLB16" s="1247"/>
      <c r="DLC16" s="1247"/>
      <c r="DLD16" s="1247"/>
      <c r="DLE16" s="1247"/>
      <c r="DLF16" s="1247"/>
      <c r="DLG16" s="1247"/>
      <c r="DLH16" s="1247"/>
      <c r="DLI16" s="1247"/>
      <c r="DLJ16" s="1247"/>
      <c r="DLK16" s="1247"/>
      <c r="DLL16" s="1247"/>
      <c r="DLM16" s="1247"/>
      <c r="DLN16" s="1247"/>
      <c r="DLO16" s="1247"/>
      <c r="DLP16" s="1247"/>
      <c r="DLQ16" s="1247"/>
      <c r="DLR16" s="1247"/>
      <c r="DLS16" s="1247"/>
      <c r="DLT16" s="1247"/>
      <c r="DLU16" s="1247"/>
      <c r="DLV16" s="1247"/>
      <c r="DLW16" s="1247"/>
      <c r="DLX16" s="1247"/>
      <c r="DLY16" s="1247"/>
      <c r="DLZ16" s="1247"/>
      <c r="DMA16" s="1247"/>
      <c r="DMB16" s="1247"/>
      <c r="DMC16" s="1247"/>
      <c r="DMD16" s="1247"/>
      <c r="DME16" s="1247"/>
      <c r="DMF16" s="1247"/>
      <c r="DMG16" s="1247"/>
      <c r="DMH16" s="1247"/>
      <c r="DMI16" s="1247"/>
      <c r="DMJ16" s="1247"/>
      <c r="DMK16" s="1247"/>
      <c r="DML16" s="1247"/>
      <c r="DMM16" s="1247"/>
      <c r="DMN16" s="1247"/>
      <c r="DMO16" s="1247"/>
      <c r="DMP16" s="1247"/>
      <c r="DMQ16" s="1247"/>
      <c r="DMR16" s="1247"/>
      <c r="DMS16" s="1247"/>
      <c r="DMT16" s="1247"/>
      <c r="DMU16" s="1247"/>
      <c r="DMV16" s="1247"/>
      <c r="DMW16" s="1247"/>
      <c r="DMX16" s="1247"/>
      <c r="DMY16" s="1247"/>
      <c r="DMZ16" s="1247"/>
      <c r="DNA16" s="1247"/>
      <c r="DNB16" s="1247"/>
      <c r="DNC16" s="1247"/>
      <c r="DND16" s="1247"/>
      <c r="DNE16" s="1247"/>
      <c r="DNF16" s="1247"/>
      <c r="DNG16" s="1247"/>
      <c r="DNH16" s="1247"/>
      <c r="DNI16" s="1247"/>
      <c r="DNJ16" s="1247"/>
      <c r="DNK16" s="1247"/>
      <c r="DNL16" s="1247"/>
      <c r="DNM16" s="1247"/>
      <c r="DNN16" s="1247"/>
      <c r="DNO16" s="1247"/>
      <c r="DNP16" s="1247"/>
      <c r="DNQ16" s="1247"/>
      <c r="DNR16" s="1247"/>
      <c r="DNS16" s="1247"/>
      <c r="DNT16" s="1247"/>
      <c r="DNU16" s="1247"/>
      <c r="DNV16" s="1247"/>
      <c r="DNW16" s="1247"/>
      <c r="DNX16" s="1247"/>
      <c r="DNY16" s="1247"/>
      <c r="DNZ16" s="1247"/>
      <c r="DOA16" s="1247"/>
      <c r="DOB16" s="1247"/>
      <c r="DOC16" s="1247"/>
      <c r="DOD16" s="1247"/>
      <c r="DOE16" s="1247"/>
      <c r="DOF16" s="1247"/>
      <c r="DOG16" s="1247"/>
      <c r="DOH16" s="1247"/>
      <c r="DOI16" s="1247"/>
      <c r="DOJ16" s="1247"/>
      <c r="DOK16" s="1247"/>
      <c r="DOL16" s="1247"/>
      <c r="DOM16" s="1247"/>
      <c r="DON16" s="1247"/>
      <c r="DOO16" s="1247"/>
      <c r="DOP16" s="1247"/>
      <c r="DOQ16" s="1247"/>
      <c r="DOR16" s="1247"/>
      <c r="DOS16" s="1247"/>
      <c r="DOT16" s="1247"/>
      <c r="DOU16" s="1247"/>
      <c r="DOV16" s="1247"/>
      <c r="DOW16" s="1247"/>
      <c r="DOX16" s="1247"/>
      <c r="DOY16" s="1247"/>
      <c r="DOZ16" s="1247"/>
      <c r="DPA16" s="1247"/>
      <c r="DPB16" s="1247"/>
      <c r="DPC16" s="1247"/>
      <c r="DPD16" s="1247"/>
      <c r="DPE16" s="1247"/>
      <c r="DPF16" s="1247"/>
      <c r="DPG16" s="1247"/>
      <c r="DPH16" s="1247"/>
      <c r="DPI16" s="1247"/>
      <c r="DPJ16" s="1247"/>
      <c r="DPK16" s="1247"/>
      <c r="DPL16" s="1247"/>
      <c r="DPM16" s="1247"/>
      <c r="DPN16" s="1247"/>
      <c r="DPO16" s="1247"/>
      <c r="DPP16" s="1247"/>
      <c r="DPQ16" s="1247"/>
      <c r="DPR16" s="1247"/>
      <c r="DPS16" s="1247"/>
      <c r="DPT16" s="1247"/>
      <c r="DPU16" s="1247"/>
      <c r="DPV16" s="1247"/>
      <c r="DPW16" s="1247"/>
      <c r="DPX16" s="1247"/>
      <c r="DPY16" s="1247"/>
      <c r="DPZ16" s="1247"/>
      <c r="DQA16" s="1247"/>
      <c r="DQB16" s="1247"/>
      <c r="DQC16" s="1247"/>
      <c r="DQD16" s="1247"/>
      <c r="DQE16" s="1247"/>
      <c r="DQF16" s="1247"/>
      <c r="DQG16" s="1247"/>
      <c r="DQH16" s="1247"/>
      <c r="DQI16" s="1247"/>
      <c r="DQJ16" s="1247"/>
      <c r="DQK16" s="1247"/>
      <c r="DQL16" s="1247"/>
      <c r="DQM16" s="1247"/>
      <c r="DQN16" s="1247"/>
      <c r="DQO16" s="1247"/>
      <c r="DQP16" s="1247"/>
      <c r="DQQ16" s="1247"/>
      <c r="DQR16" s="1247"/>
      <c r="DQS16" s="1247"/>
      <c r="DQT16" s="1247"/>
      <c r="DQU16" s="1247"/>
      <c r="DQV16" s="1247"/>
      <c r="DQW16" s="1247"/>
      <c r="DQX16" s="1247"/>
      <c r="DQY16" s="1247"/>
      <c r="DQZ16" s="1247"/>
      <c r="DRA16" s="1247"/>
      <c r="DRB16" s="1247"/>
      <c r="DRC16" s="1247"/>
      <c r="DRD16" s="1247"/>
      <c r="DRE16" s="1247"/>
      <c r="DRF16" s="1247"/>
      <c r="DRG16" s="1247"/>
      <c r="DRH16" s="1247"/>
      <c r="DRI16" s="1247"/>
      <c r="DRJ16" s="1247"/>
      <c r="DRK16" s="1247"/>
      <c r="DRL16" s="1247"/>
      <c r="DRM16" s="1247"/>
      <c r="DRN16" s="1247"/>
      <c r="DRO16" s="1247"/>
      <c r="DRP16" s="1247"/>
      <c r="DRQ16" s="1247"/>
      <c r="DRR16" s="1247"/>
      <c r="DRS16" s="1247"/>
      <c r="DRT16" s="1247"/>
      <c r="DRU16" s="1247"/>
      <c r="DRV16" s="1247"/>
      <c r="DRW16" s="1247"/>
      <c r="DRX16" s="1247"/>
      <c r="DRY16" s="1247"/>
      <c r="DRZ16" s="1247"/>
      <c r="DSA16" s="1247"/>
      <c r="DSB16" s="1247"/>
      <c r="DSC16" s="1247"/>
      <c r="DSD16" s="1247"/>
      <c r="DSE16" s="1247"/>
      <c r="DSF16" s="1247"/>
      <c r="DSG16" s="1247"/>
      <c r="DSH16" s="1247"/>
      <c r="DSI16" s="1247"/>
      <c r="DSJ16" s="1247"/>
      <c r="DSK16" s="1247"/>
      <c r="DSL16" s="1247"/>
      <c r="DSM16" s="1247"/>
      <c r="DSN16" s="1247"/>
      <c r="DSO16" s="1247"/>
      <c r="DSP16" s="1247"/>
      <c r="DSQ16" s="1247"/>
      <c r="DSR16" s="1247"/>
      <c r="DSS16" s="1247"/>
      <c r="DST16" s="1247"/>
      <c r="DSU16" s="1247"/>
      <c r="DSV16" s="1247"/>
      <c r="DSW16" s="1247"/>
      <c r="DSX16" s="1247"/>
      <c r="DSY16" s="1247"/>
      <c r="DSZ16" s="1247"/>
      <c r="DTA16" s="1247"/>
      <c r="DTB16" s="1247"/>
      <c r="DTC16" s="1247"/>
      <c r="DTD16" s="1247"/>
      <c r="DTE16" s="1247"/>
      <c r="DTF16" s="1247"/>
      <c r="DTG16" s="1247"/>
      <c r="DTH16" s="1247"/>
      <c r="DTI16" s="1247"/>
      <c r="DTJ16" s="1247"/>
      <c r="DTK16" s="1247"/>
      <c r="DTL16" s="1247"/>
      <c r="DTM16" s="1247"/>
      <c r="DTN16" s="1247"/>
      <c r="DTO16" s="1247"/>
      <c r="DTP16" s="1247"/>
      <c r="DTQ16" s="1247"/>
      <c r="DTR16" s="1247"/>
      <c r="DTS16" s="1247"/>
      <c r="DTT16" s="1247"/>
      <c r="DTU16" s="1247"/>
      <c r="DTV16" s="1247"/>
      <c r="DTW16" s="1247"/>
      <c r="DTX16" s="1247"/>
      <c r="DTY16" s="1247"/>
      <c r="DTZ16" s="1247"/>
      <c r="DUA16" s="1247"/>
      <c r="DUB16" s="1247"/>
      <c r="DUC16" s="1247"/>
      <c r="DUD16" s="1247"/>
      <c r="DUE16" s="1247"/>
      <c r="DUF16" s="1247"/>
      <c r="DUG16" s="1247"/>
      <c r="DUH16" s="1247"/>
      <c r="DUI16" s="1247"/>
      <c r="DUJ16" s="1247"/>
      <c r="DUK16" s="1247"/>
      <c r="DUL16" s="1247"/>
      <c r="DUM16" s="1247"/>
      <c r="DUN16" s="1247"/>
      <c r="DUO16" s="1247"/>
      <c r="DUP16" s="1247"/>
      <c r="DUQ16" s="1247"/>
      <c r="DUR16" s="1247"/>
      <c r="DUS16" s="1247"/>
      <c r="DUT16" s="1247"/>
      <c r="DUU16" s="1247"/>
      <c r="DUV16" s="1247"/>
      <c r="DUW16" s="1247"/>
      <c r="DUX16" s="1247"/>
      <c r="DUY16" s="1247"/>
      <c r="DUZ16" s="1247"/>
      <c r="DVA16" s="1247"/>
      <c r="DVB16" s="1247"/>
      <c r="DVC16" s="1247"/>
      <c r="DVD16" s="1247"/>
      <c r="DVE16" s="1247"/>
      <c r="DVF16" s="1247"/>
      <c r="DVG16" s="1247"/>
      <c r="DVH16" s="1247"/>
      <c r="DVI16" s="1247"/>
      <c r="DVJ16" s="1247"/>
      <c r="DVK16" s="1247"/>
      <c r="DVL16" s="1247"/>
      <c r="DVM16" s="1247"/>
      <c r="DVN16" s="1247"/>
      <c r="DVO16" s="1247"/>
      <c r="DVP16" s="1247"/>
      <c r="DVQ16" s="1247"/>
      <c r="DVR16" s="1247"/>
      <c r="DVS16" s="1247"/>
      <c r="DVT16" s="1247"/>
      <c r="DVU16" s="1247"/>
      <c r="DVV16" s="1247"/>
      <c r="DVW16" s="1247"/>
      <c r="DVX16" s="1247"/>
      <c r="DVY16" s="1247"/>
      <c r="DVZ16" s="1247"/>
      <c r="DWA16" s="1247"/>
      <c r="DWB16" s="1247"/>
      <c r="DWC16" s="1247"/>
      <c r="DWD16" s="1247"/>
      <c r="DWE16" s="1247"/>
      <c r="DWF16" s="1247"/>
      <c r="DWG16" s="1247"/>
      <c r="DWH16" s="1247"/>
      <c r="DWI16" s="1247"/>
      <c r="DWJ16" s="1247"/>
      <c r="DWK16" s="1247"/>
      <c r="DWL16" s="1247"/>
      <c r="DWM16" s="1247"/>
      <c r="DWN16" s="1247"/>
      <c r="DWO16" s="1247"/>
      <c r="DWP16" s="1247"/>
      <c r="DWQ16" s="1247"/>
      <c r="DWR16" s="1247"/>
      <c r="DWS16" s="1247"/>
      <c r="DWT16" s="1247"/>
      <c r="DWU16" s="1247"/>
      <c r="DWV16" s="1247"/>
      <c r="DWW16" s="1247"/>
      <c r="DWX16" s="1247"/>
      <c r="DWY16" s="1247"/>
      <c r="DWZ16" s="1247"/>
      <c r="DXA16" s="1247"/>
      <c r="DXB16" s="1247"/>
      <c r="DXC16" s="1247"/>
      <c r="DXD16" s="1247"/>
      <c r="DXE16" s="1247"/>
      <c r="DXF16" s="1247"/>
      <c r="DXG16" s="1247"/>
      <c r="DXH16" s="1247"/>
      <c r="DXI16" s="1247"/>
      <c r="DXJ16" s="1247"/>
      <c r="DXK16" s="1247"/>
      <c r="DXL16" s="1247"/>
      <c r="DXM16" s="1247"/>
      <c r="DXN16" s="1247"/>
      <c r="DXO16" s="1247"/>
      <c r="DXP16" s="1247"/>
      <c r="DXQ16" s="1247"/>
      <c r="DXR16" s="1247"/>
      <c r="DXS16" s="1247"/>
      <c r="DXT16" s="1247"/>
      <c r="DXU16" s="1247"/>
      <c r="DXV16" s="1247"/>
      <c r="DXW16" s="1247"/>
      <c r="DXX16" s="1247"/>
      <c r="DXY16" s="1247"/>
      <c r="DXZ16" s="1247"/>
      <c r="DYA16" s="1247"/>
      <c r="DYB16" s="1247"/>
      <c r="DYC16" s="1247"/>
      <c r="DYD16" s="1247"/>
      <c r="DYE16" s="1247"/>
      <c r="DYF16" s="1247"/>
      <c r="DYG16" s="1247"/>
      <c r="DYH16" s="1247"/>
      <c r="DYI16" s="1247"/>
      <c r="DYJ16" s="1247"/>
      <c r="DYK16" s="1247"/>
      <c r="DYL16" s="1247"/>
      <c r="DYM16" s="1247"/>
      <c r="DYN16" s="1247"/>
      <c r="DYO16" s="1247"/>
      <c r="DYP16" s="1247"/>
      <c r="DYQ16" s="1247"/>
      <c r="DYR16" s="1247"/>
      <c r="DYS16" s="1247"/>
      <c r="DYT16" s="1247"/>
      <c r="DYU16" s="1247"/>
      <c r="DYV16" s="1247"/>
      <c r="DYW16" s="1247"/>
      <c r="DYX16" s="1247"/>
      <c r="DYY16" s="1247"/>
      <c r="DYZ16" s="1247"/>
      <c r="DZA16" s="1247"/>
      <c r="DZB16" s="1247"/>
      <c r="DZC16" s="1247"/>
      <c r="DZD16" s="1247"/>
      <c r="DZE16" s="1247"/>
      <c r="DZF16" s="1247"/>
      <c r="DZG16" s="1247"/>
      <c r="DZH16" s="1247"/>
      <c r="DZI16" s="1247"/>
      <c r="DZJ16" s="1247"/>
      <c r="DZK16" s="1247"/>
      <c r="DZL16" s="1247"/>
      <c r="DZM16" s="1247"/>
      <c r="DZN16" s="1247"/>
      <c r="DZO16" s="1247"/>
      <c r="DZP16" s="1247"/>
      <c r="DZQ16" s="1247"/>
      <c r="DZR16" s="1247"/>
      <c r="DZS16" s="1247"/>
      <c r="DZT16" s="1247"/>
      <c r="DZU16" s="1247"/>
      <c r="DZV16" s="1247"/>
      <c r="DZW16" s="1247"/>
      <c r="DZX16" s="1247"/>
      <c r="DZY16" s="1247"/>
      <c r="DZZ16" s="1247"/>
      <c r="EAA16" s="1247"/>
      <c r="EAB16" s="1247"/>
      <c r="EAC16" s="1247"/>
      <c r="EAD16" s="1247"/>
      <c r="EAE16" s="1247"/>
      <c r="EAF16" s="1247"/>
      <c r="EAG16" s="1247"/>
      <c r="EAH16" s="1247"/>
      <c r="EAI16" s="1247"/>
      <c r="EAJ16" s="1247"/>
      <c r="EAK16" s="1247"/>
      <c r="EAL16" s="1247"/>
      <c r="EAM16" s="1247"/>
      <c r="EAN16" s="1247"/>
      <c r="EAO16" s="1247"/>
      <c r="EAP16" s="1247"/>
      <c r="EAQ16" s="1247"/>
      <c r="EAR16" s="1247"/>
      <c r="EAS16" s="1247"/>
      <c r="EAT16" s="1247"/>
      <c r="EAU16" s="1247"/>
      <c r="EAV16" s="1247"/>
      <c r="EAW16" s="1247"/>
      <c r="EAX16" s="1247"/>
      <c r="EAY16" s="1247"/>
      <c r="EAZ16" s="1247"/>
      <c r="EBA16" s="1247"/>
      <c r="EBB16" s="1247"/>
      <c r="EBC16" s="1247"/>
      <c r="EBD16" s="1247"/>
      <c r="EBE16" s="1247"/>
      <c r="EBF16" s="1247"/>
      <c r="EBG16" s="1247"/>
      <c r="EBH16" s="1247"/>
      <c r="EBI16" s="1247"/>
      <c r="EBJ16" s="1247"/>
      <c r="EBK16" s="1247"/>
      <c r="EBL16" s="1247"/>
      <c r="EBM16" s="1247"/>
      <c r="EBN16" s="1247"/>
      <c r="EBO16" s="1247"/>
      <c r="EBP16" s="1247"/>
      <c r="EBQ16" s="1247"/>
      <c r="EBR16" s="1247"/>
      <c r="EBS16" s="1247"/>
      <c r="EBT16" s="1247"/>
      <c r="EBU16" s="1247"/>
      <c r="EBV16" s="1247"/>
      <c r="EBW16" s="1247"/>
      <c r="EBX16" s="1247"/>
      <c r="EBY16" s="1247"/>
      <c r="EBZ16" s="1247"/>
      <c r="ECA16" s="1247"/>
      <c r="ECB16" s="1247"/>
      <c r="ECC16" s="1247"/>
      <c r="ECD16" s="1247"/>
      <c r="ECE16" s="1247"/>
      <c r="ECF16" s="1247"/>
      <c r="ECG16" s="1247"/>
      <c r="ECH16" s="1247"/>
      <c r="ECI16" s="1247"/>
      <c r="ECJ16" s="1247"/>
      <c r="ECK16" s="1247"/>
      <c r="ECL16" s="1247"/>
      <c r="ECM16" s="1247"/>
      <c r="ECN16" s="1247"/>
      <c r="ECO16" s="1247"/>
    </row>
    <row r="17" spans="2:3473" s="1248" customFormat="1" ht="13" outlineLevel="1">
      <c r="B17" s="1249" t="s">
        <v>487</v>
      </c>
      <c r="C17" s="1250">
        <v>1</v>
      </c>
      <c r="D17" s="1251" t="s">
        <v>650</v>
      </c>
      <c r="E17" s="1252">
        <f t="shared" si="4"/>
        <v>778.54340242413969</v>
      </c>
      <c r="F17" s="1252">
        <f t="shared" si="4"/>
        <v>712.78301062038918</v>
      </c>
      <c r="G17" s="1252">
        <f t="shared" si="4"/>
        <v>65.760391803750636</v>
      </c>
      <c r="H17" s="1252">
        <f t="shared" si="4"/>
        <v>1988.0728462417728</v>
      </c>
      <c r="I17" s="1252">
        <f t="shared" si="4"/>
        <v>1823.7018074556529</v>
      </c>
      <c r="J17" s="1252">
        <f t="shared" si="4"/>
        <v>164.37103878611993</v>
      </c>
      <c r="K17" s="1252">
        <f t="shared" si="4"/>
        <v>737.64458896090241</v>
      </c>
      <c r="L17" s="1252">
        <f t="shared" si="4"/>
        <v>675.49731672479561</v>
      </c>
      <c r="M17" s="1252">
        <f t="shared" si="4"/>
        <v>62.147272236106744</v>
      </c>
      <c r="N17" s="1252" t="str">
        <f t="shared" si="4"/>
        <v/>
      </c>
      <c r="O17" s="1252" t="str">
        <f t="shared" si="4"/>
        <v/>
      </c>
      <c r="P17" s="1252" t="str">
        <f t="shared" si="4"/>
        <v/>
      </c>
      <c r="Q17" s="1252">
        <f t="shared" si="4"/>
        <v>1831.4517240400326</v>
      </c>
      <c r="R17" s="1252">
        <f t="shared" si="4"/>
        <v>1678.5822425177926</v>
      </c>
      <c r="S17" s="1252">
        <f t="shared" si="8"/>
        <v>152.86948152223988</v>
      </c>
      <c r="T17" s="1252">
        <f t="shared" si="5"/>
        <v>2539.4051731464783</v>
      </c>
      <c r="U17" s="1252">
        <f t="shared" si="5"/>
        <v>2328.1862729358882</v>
      </c>
      <c r="V17" s="1252">
        <f t="shared" si="9"/>
        <v>211.21890021058994</v>
      </c>
      <c r="W17" s="1252" t="str">
        <f t="shared" si="10"/>
        <v/>
      </c>
      <c r="X17" s="1252" t="str">
        <f t="shared" si="10"/>
        <v/>
      </c>
      <c r="Y17" s="1252" t="str">
        <f t="shared" si="10"/>
        <v/>
      </c>
      <c r="Z17" s="1252">
        <f t="shared" si="11"/>
        <v>1622.9384585718235</v>
      </c>
      <c r="AA17" s="1252">
        <f t="shared" si="11"/>
        <v>1487.7946574546877</v>
      </c>
      <c r="AB17" s="1252">
        <f t="shared" si="11"/>
        <v>135.14380111713604</v>
      </c>
      <c r="AC17" s="1252">
        <f t="shared" si="15"/>
        <v>2156.1681468114621</v>
      </c>
      <c r="AD17" s="1260">
        <f t="shared" si="15"/>
        <v>1976.6217458566066</v>
      </c>
      <c r="AE17" s="1260">
        <f t="shared" si="15"/>
        <v>179.54640095485564</v>
      </c>
      <c r="AF17" s="1254">
        <f>AG17+AH17</f>
        <v>1912.5572657007033</v>
      </c>
      <c r="AG17" s="1256">
        <f>VLOOKUP($D17,车位!$D$17:$U$199,14,0)*车位!$K$3</f>
        <v>1751.0113393618783</v>
      </c>
      <c r="AH17" s="1256">
        <f>VLOOKUP($D17,车位!$D$17:$U$199,16,0)*车位!$K$3</f>
        <v>161.54592633882498</v>
      </c>
      <c r="AI17" s="1256">
        <f>AJ17+AK17</f>
        <v>8583.2957659999975</v>
      </c>
      <c r="AJ17" s="1256">
        <f>VLOOKUP($D17,高层!$D$11:$U$202,14,0)</f>
        <v>7873.641064999998</v>
      </c>
      <c r="AK17" s="1256">
        <f>VLOOKUP($D17,高层!$D$11:$U$202,16,0)</f>
        <v>709.65470100000016</v>
      </c>
      <c r="AL17" s="1256">
        <f t="shared" si="20"/>
        <v>694.08372540440519</v>
      </c>
      <c r="AM17" s="1256">
        <f>VLOOKUP($D17,人防车位!D:U,14,0)*人防车位!K3</f>
        <v>635.6064981829295</v>
      </c>
      <c r="AN17" s="1256">
        <f>VLOOKUP($D17,人防车位!D:U,16,0)*人防车位!K3</f>
        <v>58.477227221475694</v>
      </c>
      <c r="AO17" s="1256">
        <f t="shared" si="21"/>
        <v>0</v>
      </c>
      <c r="AP17" s="1256">
        <f>VLOOKUP($D17,人才公寓销售!$D$11:$U$202,14,0)</f>
        <v>0</v>
      </c>
      <c r="AQ17" s="1256">
        <f>VLOOKUP($D17,人才公寓销售!$D$11:$U$202,16,0)</f>
        <v>0</v>
      </c>
      <c r="AR17" s="1256">
        <f>AS17+AT17</f>
        <v>10837.502027</v>
      </c>
      <c r="AS17" s="1256">
        <f>VLOOKUP($D17,小高层!$D$11:$U$202,14,0)</f>
        <v>9932.9063480000004</v>
      </c>
      <c r="AT17" s="1256">
        <f>VLOOKUP($D17,小高层!$D$11:$U$202,16,0)</f>
        <v>904.59567900000002</v>
      </c>
      <c r="AU17" s="1256">
        <f>AV17+AW17</f>
        <v>268.90523200000001</v>
      </c>
      <c r="AV17" s="1256">
        <f>VLOOKUP($D17,临街商业!$D$11:$U$202,14,0)</f>
        <v>246.53862899999999</v>
      </c>
      <c r="AW17" s="1256">
        <f>VLOOKUP($D17,临街商业!$D$11:$U$202,16,0)</f>
        <v>22.366603000000001</v>
      </c>
      <c r="AX17" s="1256"/>
      <c r="AY17" s="1256"/>
      <c r="AZ17" s="1256"/>
      <c r="BA17" s="1257">
        <f>BB17+BC17</f>
        <v>22296.344016105108</v>
      </c>
      <c r="BB17" s="1257">
        <f t="shared" ref="BB17:BC19" si="32">AG17+AJ17+AM17+AP17+AS17+AV17+AY17</f>
        <v>20439.703879544806</v>
      </c>
      <c r="BC17" s="1257">
        <f t="shared" si="32"/>
        <v>1856.6401365603008</v>
      </c>
      <c r="BD17" s="1256">
        <f>+BE17+BF17</f>
        <v>0</v>
      </c>
      <c r="BE17" s="1256">
        <v>0</v>
      </c>
      <c r="BF17" s="1256">
        <v>0</v>
      </c>
      <c r="BG17" s="1256">
        <f t="shared" ref="BG17:BG20" si="33">+BH17+BI17</f>
        <v>0</v>
      </c>
      <c r="BH17" s="1257">
        <f t="shared" ref="BH17:BI20" si="34">+BE17</f>
        <v>0</v>
      </c>
      <c r="BI17" s="1257">
        <f t="shared" si="34"/>
        <v>0</v>
      </c>
      <c r="BJ17" s="1256">
        <f t="shared" ref="BJ17:BL18" si="35">BA17+BG17</f>
        <v>22296.344016105108</v>
      </c>
      <c r="BK17" s="1257">
        <f>BB17+BH17</f>
        <v>20439.703879544806</v>
      </c>
      <c r="BL17" s="1257">
        <f t="shared" si="35"/>
        <v>1856.6401365603008</v>
      </c>
      <c r="BM17" s="1262" t="s">
        <v>489</v>
      </c>
      <c r="BN17" s="1225">
        <f t="shared" si="12"/>
        <v>0</v>
      </c>
      <c r="BO17" s="1225">
        <f t="shared" si="13"/>
        <v>0</v>
      </c>
      <c r="BP17" s="1225">
        <f t="shared" si="14"/>
        <v>0</v>
      </c>
      <c r="BQ17" s="1225"/>
      <c r="BR17" s="1221"/>
      <c r="BS17" s="1221"/>
      <c r="BT17" s="1221"/>
      <c r="BU17" s="1221"/>
      <c r="BV17" s="1221"/>
      <c r="BW17" s="1221"/>
      <c r="BX17" s="1221"/>
      <c r="BY17" s="1221"/>
      <c r="BZ17" s="1221"/>
      <c r="CA17" s="1221"/>
      <c r="CB17" s="1221"/>
      <c r="CC17" s="1221"/>
      <c r="CD17" s="1221"/>
      <c r="CE17" s="1221"/>
      <c r="CF17" s="1221"/>
      <c r="CG17" s="1221"/>
      <c r="CH17" s="1221"/>
      <c r="CI17" s="1221"/>
      <c r="CJ17" s="1221"/>
      <c r="CK17" s="1221"/>
      <c r="CL17" s="1221"/>
      <c r="CM17" s="1221"/>
      <c r="CN17" s="1221"/>
      <c r="CO17" s="1221"/>
      <c r="CP17" s="1221"/>
      <c r="CQ17" s="1221"/>
      <c r="CR17" s="1221"/>
      <c r="CS17" s="1221"/>
      <c r="CT17" s="1221"/>
      <c r="CU17" s="1221"/>
      <c r="CV17" s="1221"/>
      <c r="CW17" s="1221"/>
      <c r="CX17" s="1221"/>
      <c r="CY17" s="1221"/>
      <c r="CZ17" s="1221"/>
      <c r="DA17" s="1221"/>
      <c r="DB17" s="1221"/>
      <c r="DC17" s="1221"/>
      <c r="DD17" s="1221"/>
      <c r="DE17" s="1221"/>
      <c r="DF17" s="1221"/>
      <c r="DG17" s="1221"/>
      <c r="DH17" s="1221"/>
      <c r="DI17" s="1221"/>
      <c r="DJ17" s="1221"/>
      <c r="DK17" s="1221"/>
      <c r="DL17" s="1221"/>
      <c r="DM17" s="1221"/>
      <c r="DN17" s="1221"/>
      <c r="DO17" s="1221"/>
      <c r="DP17" s="1221"/>
      <c r="DQ17" s="1221"/>
      <c r="DR17" s="1221"/>
      <c r="DS17" s="1221"/>
      <c r="DT17" s="1221"/>
      <c r="DU17" s="1221"/>
      <c r="DV17" s="1221"/>
      <c r="DW17" s="1221"/>
      <c r="DX17" s="1221"/>
      <c r="DY17" s="1221"/>
      <c r="DZ17" s="1221"/>
      <c r="EA17" s="1221"/>
      <c r="EB17" s="1221"/>
      <c r="EC17" s="1221"/>
      <c r="ED17" s="1221"/>
      <c r="EE17" s="1221"/>
      <c r="EF17" s="1221"/>
      <c r="EG17" s="1221"/>
      <c r="EH17" s="1221"/>
      <c r="EI17" s="1221"/>
      <c r="EJ17" s="1221"/>
      <c r="EK17" s="1221"/>
      <c r="EL17" s="1221"/>
      <c r="EM17" s="1221"/>
      <c r="EN17" s="1221"/>
      <c r="EO17" s="1221"/>
      <c r="EP17" s="1221"/>
      <c r="EQ17" s="1221"/>
      <c r="ER17" s="1221"/>
      <c r="ES17" s="1221"/>
      <c r="ET17" s="1221"/>
      <c r="EU17" s="1221"/>
      <c r="EV17" s="1221"/>
      <c r="EW17" s="1221"/>
      <c r="EX17" s="1221"/>
      <c r="EY17" s="1221"/>
      <c r="EZ17" s="1221"/>
      <c r="FA17" s="1221"/>
      <c r="FB17" s="1221"/>
      <c r="FC17" s="1221"/>
      <c r="FD17" s="1221"/>
      <c r="FE17" s="1221"/>
      <c r="FF17" s="1221"/>
      <c r="FG17" s="1221"/>
      <c r="FH17" s="1221"/>
      <c r="FI17" s="1221"/>
      <c r="FJ17" s="1221"/>
      <c r="FK17" s="1221"/>
      <c r="FL17" s="1221"/>
      <c r="FM17" s="1221"/>
      <c r="FN17" s="1221"/>
      <c r="FO17" s="1221"/>
      <c r="FP17" s="1221"/>
      <c r="FQ17" s="1221"/>
      <c r="FR17" s="1221"/>
      <c r="FS17" s="1221"/>
      <c r="FT17" s="1221"/>
      <c r="FU17" s="1221"/>
      <c r="FV17" s="1221"/>
      <c r="FW17" s="1221"/>
      <c r="FX17" s="1221"/>
      <c r="FY17" s="1221"/>
      <c r="FZ17" s="1221"/>
      <c r="GA17" s="1221"/>
      <c r="GB17" s="1221"/>
      <c r="GC17" s="1221"/>
      <c r="GD17" s="1221"/>
      <c r="GE17" s="1221"/>
      <c r="GF17" s="1221"/>
      <c r="GG17" s="1221"/>
      <c r="GH17" s="1221"/>
      <c r="GI17" s="1221"/>
      <c r="GJ17" s="1221"/>
      <c r="GK17" s="1221"/>
      <c r="GL17" s="1221"/>
      <c r="GM17" s="1221"/>
      <c r="GN17" s="1221"/>
      <c r="GO17" s="1221"/>
      <c r="GP17" s="1221"/>
      <c r="GQ17" s="1221"/>
      <c r="GR17" s="1221"/>
      <c r="GS17" s="1221"/>
      <c r="GT17" s="1221"/>
      <c r="GU17" s="1221"/>
      <c r="GV17" s="1221"/>
      <c r="GW17" s="1221"/>
      <c r="GX17" s="1221"/>
      <c r="GY17" s="1221"/>
      <c r="GZ17" s="1221"/>
      <c r="HA17" s="1221"/>
      <c r="HB17" s="1221"/>
      <c r="HC17" s="1221"/>
      <c r="HD17" s="1221"/>
      <c r="HE17" s="1221"/>
      <c r="HF17" s="1221"/>
      <c r="HG17" s="1221"/>
      <c r="HH17" s="1221"/>
      <c r="HI17" s="1221"/>
      <c r="HJ17" s="1221"/>
      <c r="HK17" s="1221"/>
      <c r="HL17" s="1221"/>
      <c r="HM17" s="1221"/>
      <c r="HN17" s="1221"/>
      <c r="HO17" s="1221"/>
      <c r="HP17" s="1221"/>
      <c r="HQ17" s="1221"/>
      <c r="HR17" s="1221"/>
      <c r="HS17" s="1221"/>
      <c r="HT17" s="1221"/>
      <c r="HU17" s="1221"/>
      <c r="HV17" s="1221"/>
      <c r="HW17" s="1221"/>
      <c r="HX17" s="1221"/>
      <c r="HY17" s="1221"/>
      <c r="HZ17" s="1221"/>
      <c r="IA17" s="1221"/>
      <c r="IB17" s="1221"/>
      <c r="IC17" s="1221"/>
      <c r="ID17" s="1221"/>
      <c r="IE17" s="1221"/>
      <c r="IF17" s="1221"/>
      <c r="IG17" s="1221"/>
      <c r="IH17" s="1221"/>
      <c r="II17" s="1221"/>
      <c r="IJ17" s="1221"/>
      <c r="IK17" s="1221"/>
      <c r="IL17" s="1221"/>
      <c r="IM17" s="1221"/>
      <c r="IN17" s="1221"/>
      <c r="IO17" s="1221"/>
      <c r="IP17" s="1221"/>
      <c r="IQ17" s="1221"/>
      <c r="IR17" s="1221"/>
      <c r="IS17" s="1221"/>
      <c r="IT17" s="1221"/>
      <c r="IU17" s="1221"/>
      <c r="IV17" s="1221"/>
      <c r="IW17" s="1221"/>
      <c r="IX17" s="1221"/>
      <c r="IY17" s="1221"/>
      <c r="IZ17" s="1221"/>
      <c r="JA17" s="1221"/>
      <c r="JB17" s="1221"/>
      <c r="JC17" s="1221"/>
      <c r="JD17" s="1221"/>
      <c r="JE17" s="1221"/>
      <c r="JF17" s="1221"/>
      <c r="JG17" s="1221"/>
      <c r="JH17" s="1221"/>
      <c r="JI17" s="1221"/>
      <c r="JJ17" s="1221"/>
      <c r="JK17" s="1221"/>
      <c r="JL17" s="1221"/>
      <c r="JM17" s="1221"/>
      <c r="JN17" s="1221"/>
      <c r="JO17" s="1221"/>
      <c r="JP17" s="1221"/>
      <c r="JQ17" s="1221"/>
      <c r="JR17" s="1221"/>
      <c r="JS17" s="1221"/>
      <c r="JT17" s="1221"/>
      <c r="JU17" s="1221"/>
      <c r="JV17" s="1221"/>
      <c r="JW17" s="1221"/>
      <c r="JX17" s="1221"/>
      <c r="JY17" s="1221"/>
      <c r="JZ17" s="1221"/>
      <c r="KA17" s="1221"/>
      <c r="KB17" s="1221"/>
      <c r="KC17" s="1221"/>
      <c r="KD17" s="1221"/>
      <c r="KE17" s="1221"/>
      <c r="KF17" s="1221"/>
      <c r="KG17" s="1221"/>
      <c r="KH17" s="1221"/>
      <c r="KI17" s="1221"/>
      <c r="KJ17" s="1221"/>
      <c r="KK17" s="1221"/>
      <c r="KL17" s="1221"/>
      <c r="KM17" s="1221"/>
      <c r="KN17" s="1221"/>
      <c r="KO17" s="1221"/>
      <c r="KP17" s="1221"/>
      <c r="KQ17" s="1221"/>
      <c r="KR17" s="1221"/>
      <c r="KS17" s="1221"/>
      <c r="KT17" s="1221"/>
      <c r="KU17" s="1221"/>
      <c r="KV17" s="1221"/>
      <c r="KW17" s="1221"/>
      <c r="KX17" s="1221"/>
      <c r="KY17" s="1221"/>
      <c r="KZ17" s="1221"/>
      <c r="LA17" s="1221"/>
      <c r="LB17" s="1221"/>
      <c r="LC17" s="1221"/>
      <c r="LD17" s="1221"/>
      <c r="LE17" s="1221"/>
      <c r="LF17" s="1221"/>
      <c r="LG17" s="1221"/>
      <c r="LH17" s="1221"/>
      <c r="LI17" s="1221"/>
      <c r="LJ17" s="1221"/>
      <c r="LK17" s="1221"/>
      <c r="LL17" s="1221"/>
      <c r="LM17" s="1221"/>
      <c r="LN17" s="1221"/>
      <c r="LO17" s="1221"/>
      <c r="LP17" s="1221"/>
      <c r="LQ17" s="1221"/>
      <c r="LR17" s="1221"/>
      <c r="LS17" s="1221"/>
      <c r="LT17" s="1221"/>
      <c r="LU17" s="1221"/>
      <c r="LV17" s="1221"/>
      <c r="LW17" s="1221"/>
      <c r="LX17" s="1221"/>
      <c r="LY17" s="1221"/>
      <c r="LZ17" s="1221"/>
      <c r="MA17" s="1221"/>
      <c r="MB17" s="1221"/>
      <c r="MC17" s="1221"/>
      <c r="MD17" s="1221"/>
      <c r="ME17" s="1221"/>
      <c r="MF17" s="1221"/>
      <c r="MG17" s="1221"/>
      <c r="MH17" s="1221"/>
      <c r="MI17" s="1221"/>
      <c r="MJ17" s="1221"/>
      <c r="MK17" s="1221"/>
      <c r="ML17" s="1221"/>
      <c r="MM17" s="1221"/>
      <c r="MN17" s="1221"/>
      <c r="MO17" s="1221"/>
      <c r="MP17" s="1221"/>
      <c r="MQ17" s="1221"/>
      <c r="MR17" s="1221"/>
      <c r="MS17" s="1221"/>
      <c r="MT17" s="1221"/>
      <c r="MU17" s="1221"/>
      <c r="MV17" s="1221"/>
      <c r="MW17" s="1221"/>
      <c r="MX17" s="1221"/>
      <c r="MY17" s="1221"/>
      <c r="MZ17" s="1221"/>
      <c r="NA17" s="1221"/>
      <c r="NB17" s="1221"/>
      <c r="NC17" s="1221"/>
      <c r="ND17" s="1221"/>
      <c r="NE17" s="1221"/>
      <c r="NF17" s="1221"/>
      <c r="NG17" s="1221"/>
      <c r="NH17" s="1221"/>
      <c r="NI17" s="1221"/>
      <c r="NJ17" s="1221"/>
      <c r="NK17" s="1221"/>
      <c r="NL17" s="1221"/>
      <c r="NM17" s="1221"/>
      <c r="NN17" s="1221"/>
      <c r="NO17" s="1221"/>
      <c r="NP17" s="1221"/>
      <c r="NQ17" s="1221"/>
      <c r="NR17" s="1221"/>
      <c r="NS17" s="1221"/>
      <c r="NT17" s="1221"/>
      <c r="NU17" s="1221"/>
      <c r="NV17" s="1221"/>
      <c r="NW17" s="1221"/>
      <c r="NX17" s="1221"/>
      <c r="NY17" s="1221"/>
      <c r="NZ17" s="1221"/>
      <c r="OA17" s="1221"/>
      <c r="OB17" s="1221"/>
      <c r="OC17" s="1221"/>
      <c r="OD17" s="1221"/>
      <c r="OE17" s="1221"/>
      <c r="OF17" s="1221"/>
      <c r="OG17" s="1221"/>
      <c r="OH17" s="1221"/>
      <c r="OI17" s="1221"/>
      <c r="OJ17" s="1221"/>
      <c r="OK17" s="1221"/>
      <c r="OL17" s="1221"/>
      <c r="OM17" s="1221"/>
      <c r="ON17" s="1221"/>
      <c r="OO17" s="1221"/>
      <c r="OP17" s="1221"/>
      <c r="OQ17" s="1221"/>
      <c r="OR17" s="1221"/>
      <c r="OS17" s="1221"/>
      <c r="OT17" s="1221"/>
      <c r="OU17" s="1221"/>
      <c r="OV17" s="1221"/>
      <c r="OW17" s="1221"/>
      <c r="OX17" s="1221"/>
      <c r="OY17" s="1221"/>
      <c r="OZ17" s="1221"/>
      <c r="PA17" s="1221"/>
      <c r="PB17" s="1221"/>
      <c r="PC17" s="1221"/>
      <c r="PD17" s="1221"/>
      <c r="PE17" s="1221"/>
      <c r="PF17" s="1221"/>
      <c r="PG17" s="1221"/>
      <c r="PH17" s="1221"/>
      <c r="PI17" s="1221"/>
      <c r="PJ17" s="1221"/>
      <c r="PK17" s="1221"/>
      <c r="PL17" s="1221"/>
      <c r="PM17" s="1221"/>
      <c r="PN17" s="1221"/>
      <c r="PO17" s="1221"/>
      <c r="PP17" s="1221"/>
      <c r="PQ17" s="1221"/>
      <c r="PR17" s="1221"/>
      <c r="PS17" s="1221"/>
      <c r="PT17" s="1221"/>
      <c r="PU17" s="1221"/>
      <c r="PV17" s="1221"/>
      <c r="PW17" s="1221"/>
      <c r="PX17" s="1221"/>
      <c r="PY17" s="1221"/>
      <c r="PZ17" s="1221"/>
      <c r="QA17" s="1221"/>
      <c r="QB17" s="1221"/>
      <c r="QC17" s="1221"/>
      <c r="QD17" s="1221"/>
      <c r="QE17" s="1221"/>
      <c r="QF17" s="1221"/>
      <c r="QG17" s="1221"/>
      <c r="QH17" s="1221"/>
      <c r="QI17" s="1221"/>
      <c r="QJ17" s="1221"/>
      <c r="QK17" s="1221"/>
      <c r="QL17" s="1221"/>
      <c r="QM17" s="1221"/>
      <c r="QN17" s="1221"/>
      <c r="QO17" s="1221"/>
      <c r="QP17" s="1221"/>
      <c r="QQ17" s="1221"/>
      <c r="QR17" s="1221"/>
      <c r="QS17" s="1221"/>
      <c r="QT17" s="1221"/>
      <c r="QU17" s="1221"/>
      <c r="QV17" s="1221"/>
      <c r="QW17" s="1221"/>
      <c r="QX17" s="1221"/>
      <c r="QY17" s="1221"/>
      <c r="QZ17" s="1221"/>
      <c r="RA17" s="1221"/>
      <c r="RB17" s="1221"/>
      <c r="RC17" s="1221"/>
      <c r="RD17" s="1221"/>
      <c r="RE17" s="1221"/>
      <c r="RF17" s="1221"/>
      <c r="RG17" s="1221"/>
      <c r="RH17" s="1221"/>
      <c r="RI17" s="1221"/>
      <c r="RJ17" s="1221"/>
      <c r="RK17" s="1221"/>
      <c r="RL17" s="1221"/>
      <c r="RM17" s="1221"/>
      <c r="RN17" s="1221"/>
      <c r="RO17" s="1221"/>
      <c r="RP17" s="1221"/>
      <c r="RQ17" s="1221"/>
      <c r="RR17" s="1221"/>
      <c r="RS17" s="1221"/>
      <c r="RT17" s="1221"/>
      <c r="RU17" s="1221"/>
      <c r="RV17" s="1221"/>
      <c r="RW17" s="1221"/>
      <c r="RX17" s="1221"/>
      <c r="RY17" s="1221"/>
      <c r="RZ17" s="1221"/>
      <c r="SA17" s="1221"/>
      <c r="SB17" s="1221"/>
      <c r="SC17" s="1221"/>
      <c r="SD17" s="1221"/>
      <c r="SE17" s="1221"/>
      <c r="SF17" s="1221"/>
      <c r="SG17" s="1221"/>
      <c r="SH17" s="1221"/>
      <c r="SI17" s="1221"/>
      <c r="SJ17" s="1221"/>
      <c r="SK17" s="1221"/>
      <c r="SL17" s="1221"/>
      <c r="SM17" s="1221"/>
      <c r="SN17" s="1221"/>
      <c r="SO17" s="1221"/>
      <c r="SP17" s="1221"/>
      <c r="SQ17" s="1221"/>
      <c r="SR17" s="1221"/>
      <c r="SS17" s="1221"/>
      <c r="ST17" s="1221"/>
      <c r="SU17" s="1221"/>
      <c r="SV17" s="1221"/>
      <c r="SW17" s="1221"/>
      <c r="SX17" s="1221"/>
      <c r="SY17" s="1221"/>
      <c r="SZ17" s="1221"/>
      <c r="TA17" s="1221"/>
      <c r="TB17" s="1221"/>
      <c r="TC17" s="1221"/>
      <c r="TD17" s="1221"/>
      <c r="TE17" s="1221"/>
      <c r="TF17" s="1221"/>
      <c r="TG17" s="1221"/>
      <c r="TH17" s="1221"/>
      <c r="TI17" s="1221"/>
      <c r="TJ17" s="1221"/>
      <c r="TK17" s="1221"/>
      <c r="TL17" s="1221"/>
      <c r="TM17" s="1221"/>
      <c r="TN17" s="1221"/>
      <c r="TO17" s="1221"/>
      <c r="TP17" s="1221"/>
      <c r="TQ17" s="1221"/>
      <c r="TR17" s="1221"/>
      <c r="TS17" s="1221"/>
      <c r="TT17" s="1221"/>
      <c r="TU17" s="1221"/>
      <c r="TV17" s="1221"/>
      <c r="TW17" s="1221"/>
      <c r="TX17" s="1221"/>
      <c r="TY17" s="1221"/>
      <c r="TZ17" s="1221"/>
      <c r="UA17" s="1221"/>
      <c r="UB17" s="1221"/>
      <c r="UC17" s="1221"/>
      <c r="UD17" s="1221"/>
      <c r="UE17" s="1221"/>
      <c r="UF17" s="1221"/>
      <c r="UG17" s="1221"/>
      <c r="UH17" s="1221"/>
      <c r="UI17" s="1221"/>
      <c r="UJ17" s="1221"/>
      <c r="UK17" s="1221"/>
      <c r="UL17" s="1221"/>
      <c r="UM17" s="1221"/>
      <c r="UN17" s="1221"/>
      <c r="UO17" s="1221"/>
      <c r="UP17" s="1221"/>
      <c r="UQ17" s="1221"/>
      <c r="UR17" s="1221"/>
      <c r="US17" s="1221"/>
      <c r="UT17" s="1221"/>
      <c r="UU17" s="1221"/>
      <c r="UV17" s="1221"/>
      <c r="UW17" s="1221"/>
      <c r="UX17" s="1221"/>
      <c r="UY17" s="1221"/>
      <c r="UZ17" s="1221"/>
      <c r="VA17" s="1221"/>
      <c r="VB17" s="1221"/>
      <c r="VC17" s="1221"/>
      <c r="VD17" s="1221"/>
      <c r="VE17" s="1221"/>
      <c r="VF17" s="1221"/>
      <c r="VG17" s="1221"/>
      <c r="VH17" s="1221"/>
      <c r="VI17" s="1221"/>
      <c r="VJ17" s="1221"/>
      <c r="VK17" s="1221"/>
      <c r="VL17" s="1221"/>
      <c r="VM17" s="1221"/>
      <c r="VN17" s="1221"/>
      <c r="VO17" s="1221"/>
      <c r="VP17" s="1221"/>
      <c r="VQ17" s="1221"/>
      <c r="VR17" s="1221"/>
      <c r="VS17" s="1221"/>
      <c r="VT17" s="1221"/>
      <c r="VU17" s="1221"/>
      <c r="VV17" s="1221"/>
      <c r="VW17" s="1221"/>
      <c r="VX17" s="1221"/>
      <c r="VY17" s="1221"/>
      <c r="VZ17" s="1221"/>
      <c r="WA17" s="1221"/>
      <c r="WB17" s="1221"/>
      <c r="WC17" s="1221"/>
      <c r="WD17" s="1221"/>
      <c r="WE17" s="1221"/>
      <c r="WF17" s="1221"/>
      <c r="WG17" s="1221"/>
      <c r="WH17" s="1221"/>
      <c r="WI17" s="1221"/>
      <c r="WJ17" s="1221"/>
      <c r="WK17" s="1221"/>
      <c r="WL17" s="1221"/>
      <c r="WM17" s="1221"/>
      <c r="WN17" s="1221"/>
      <c r="WO17" s="1221"/>
      <c r="WP17" s="1221"/>
      <c r="WQ17" s="1221"/>
      <c r="WR17" s="1221"/>
      <c r="WS17" s="1221"/>
      <c r="WT17" s="1221"/>
      <c r="WU17" s="1221"/>
      <c r="WV17" s="1221"/>
      <c r="WW17" s="1221"/>
      <c r="WX17" s="1221"/>
      <c r="WY17" s="1221"/>
      <c r="WZ17" s="1221"/>
      <c r="XA17" s="1221"/>
      <c r="XB17" s="1221"/>
      <c r="XC17" s="1221"/>
      <c r="XD17" s="1221"/>
      <c r="XE17" s="1221"/>
      <c r="XF17" s="1221"/>
      <c r="XG17" s="1221"/>
      <c r="XH17" s="1221"/>
      <c r="XI17" s="1221"/>
      <c r="XJ17" s="1221"/>
      <c r="XK17" s="1221"/>
      <c r="XL17" s="1221"/>
      <c r="XM17" s="1221"/>
      <c r="XN17" s="1221"/>
      <c r="XO17" s="1221"/>
      <c r="XP17" s="1221"/>
      <c r="XQ17" s="1221"/>
      <c r="XR17" s="1221"/>
      <c r="XS17" s="1221"/>
      <c r="XT17" s="1221"/>
      <c r="XU17" s="1221"/>
      <c r="XV17" s="1221"/>
      <c r="XW17" s="1221"/>
      <c r="XX17" s="1221"/>
      <c r="XY17" s="1221"/>
      <c r="XZ17" s="1221"/>
      <c r="YA17" s="1221"/>
      <c r="YB17" s="1221"/>
      <c r="YC17" s="1221"/>
      <c r="YD17" s="1221"/>
      <c r="YE17" s="1221"/>
      <c r="YF17" s="1221"/>
      <c r="YG17" s="1221"/>
      <c r="YH17" s="1221"/>
      <c r="YI17" s="1221"/>
      <c r="YJ17" s="1221"/>
      <c r="YK17" s="1221"/>
      <c r="YL17" s="1221"/>
      <c r="YM17" s="1221"/>
      <c r="YN17" s="1221"/>
      <c r="YO17" s="1221"/>
      <c r="YP17" s="1221"/>
      <c r="YQ17" s="1221"/>
      <c r="YR17" s="1221"/>
      <c r="YS17" s="1221"/>
      <c r="YT17" s="1221"/>
      <c r="YU17" s="1221"/>
      <c r="YV17" s="1221"/>
      <c r="YW17" s="1221"/>
      <c r="YX17" s="1221"/>
      <c r="YY17" s="1221"/>
      <c r="YZ17" s="1221"/>
      <c r="ZA17" s="1221"/>
      <c r="ZB17" s="1221"/>
      <c r="ZC17" s="1221"/>
      <c r="ZD17" s="1221"/>
      <c r="ZE17" s="1221"/>
      <c r="ZF17" s="1221"/>
      <c r="ZG17" s="1221"/>
      <c r="ZH17" s="1221"/>
      <c r="ZI17" s="1221"/>
      <c r="ZJ17" s="1221"/>
      <c r="ZK17" s="1221"/>
      <c r="ZL17" s="1221"/>
      <c r="ZM17" s="1221"/>
      <c r="ZN17" s="1221"/>
      <c r="ZO17" s="1221"/>
      <c r="ZP17" s="1221"/>
      <c r="ZQ17" s="1221"/>
      <c r="ZR17" s="1221"/>
      <c r="ZS17" s="1221"/>
      <c r="ZT17" s="1221"/>
      <c r="ZU17" s="1221"/>
      <c r="ZV17" s="1221"/>
      <c r="ZW17" s="1221"/>
      <c r="ZX17" s="1221"/>
      <c r="ZY17" s="1221"/>
      <c r="ZZ17" s="1221"/>
      <c r="AAA17" s="1221"/>
      <c r="AAB17" s="1221"/>
      <c r="AAC17" s="1221"/>
      <c r="AAD17" s="1221"/>
      <c r="AAE17" s="1221"/>
      <c r="AAF17" s="1221"/>
      <c r="AAG17" s="1221"/>
      <c r="AAH17" s="1221"/>
      <c r="AAI17" s="1221"/>
      <c r="AAJ17" s="1221"/>
      <c r="AAK17" s="1221"/>
      <c r="AAL17" s="1221"/>
      <c r="AAM17" s="1221"/>
      <c r="AAN17" s="1221"/>
      <c r="AAO17" s="1221"/>
      <c r="AAP17" s="1221"/>
      <c r="AAQ17" s="1221"/>
      <c r="AAR17" s="1221"/>
      <c r="AAS17" s="1221"/>
      <c r="AAT17" s="1221"/>
      <c r="AAU17" s="1221"/>
      <c r="AAV17" s="1221"/>
      <c r="AAW17" s="1221"/>
      <c r="AAX17" s="1221"/>
      <c r="AAY17" s="1221"/>
      <c r="AAZ17" s="1221"/>
      <c r="ABA17" s="1221"/>
      <c r="ABB17" s="1221"/>
      <c r="ABC17" s="1221"/>
      <c r="ABD17" s="1221"/>
      <c r="ABE17" s="1221"/>
      <c r="ABF17" s="1221"/>
      <c r="ABG17" s="1221"/>
      <c r="ABH17" s="1221"/>
      <c r="ABI17" s="1221"/>
      <c r="ABJ17" s="1221"/>
      <c r="ABK17" s="1221"/>
      <c r="ABL17" s="1221"/>
      <c r="ABM17" s="1221"/>
      <c r="ABN17" s="1221"/>
      <c r="ABO17" s="1221"/>
      <c r="ABP17" s="1221"/>
      <c r="ABQ17" s="1221"/>
      <c r="ABR17" s="1221"/>
      <c r="ABS17" s="1221"/>
      <c r="ABT17" s="1221"/>
      <c r="ABU17" s="1221"/>
      <c r="ABV17" s="1221"/>
      <c r="ABW17" s="1221"/>
      <c r="ABX17" s="1221"/>
      <c r="ABY17" s="1221"/>
      <c r="ABZ17" s="1221"/>
      <c r="ACA17" s="1221"/>
      <c r="ACB17" s="1221"/>
      <c r="ACC17" s="1221"/>
      <c r="ACD17" s="1221"/>
      <c r="ACE17" s="1221"/>
      <c r="ACF17" s="1221"/>
      <c r="ACG17" s="1221"/>
      <c r="ACH17" s="1221"/>
      <c r="ACI17" s="1221"/>
      <c r="ACJ17" s="1221"/>
      <c r="ACK17" s="1221"/>
      <c r="ACL17" s="1221"/>
      <c r="ACM17" s="1221"/>
      <c r="ACN17" s="1221"/>
      <c r="ACO17" s="1221"/>
      <c r="ACP17" s="1221"/>
      <c r="ACQ17" s="1221"/>
      <c r="ACR17" s="1221"/>
      <c r="ACS17" s="1221"/>
      <c r="ACT17" s="1221"/>
      <c r="ACU17" s="1221"/>
      <c r="ACV17" s="1221"/>
      <c r="ACW17" s="1221"/>
      <c r="ACX17" s="1221"/>
      <c r="ACY17" s="1221"/>
      <c r="ACZ17" s="1221"/>
      <c r="ADA17" s="1221"/>
      <c r="ADB17" s="1221"/>
      <c r="ADC17" s="1221"/>
      <c r="ADD17" s="1221"/>
      <c r="ADE17" s="1221"/>
      <c r="ADF17" s="1221"/>
      <c r="ADG17" s="1221"/>
      <c r="ADH17" s="1221"/>
      <c r="ADI17" s="1221"/>
      <c r="ADJ17" s="1221"/>
      <c r="ADK17" s="1221"/>
      <c r="ADL17" s="1221"/>
      <c r="ADM17" s="1221"/>
      <c r="ADN17" s="1221"/>
      <c r="ADO17" s="1221"/>
      <c r="ADP17" s="1221"/>
      <c r="ADQ17" s="1221"/>
      <c r="ADR17" s="1221"/>
      <c r="ADS17" s="1221"/>
      <c r="ADT17" s="1221"/>
      <c r="ADU17" s="1221"/>
      <c r="ADV17" s="1221"/>
      <c r="ADW17" s="1221"/>
      <c r="ADX17" s="1221"/>
      <c r="ADY17" s="1221"/>
      <c r="ADZ17" s="1221"/>
      <c r="AEA17" s="1221"/>
      <c r="AEB17" s="1221"/>
      <c r="AEC17" s="1221"/>
      <c r="AED17" s="1221"/>
      <c r="AEE17" s="1221"/>
      <c r="AEF17" s="1221"/>
      <c r="AEG17" s="1221"/>
      <c r="AEH17" s="1221"/>
      <c r="AEI17" s="1221"/>
      <c r="AEJ17" s="1221"/>
      <c r="AEK17" s="1221"/>
      <c r="AEL17" s="1221"/>
      <c r="AEM17" s="1221"/>
      <c r="AEN17" s="1221"/>
      <c r="AEO17" s="1221"/>
      <c r="AEP17" s="1221"/>
      <c r="AEQ17" s="1221"/>
      <c r="AER17" s="1221"/>
      <c r="AES17" s="1221"/>
      <c r="AET17" s="1221"/>
      <c r="AEU17" s="1221"/>
      <c r="AEV17" s="1221"/>
      <c r="AEW17" s="1221"/>
      <c r="AEX17" s="1221"/>
      <c r="AEY17" s="1221"/>
      <c r="AEZ17" s="1221"/>
      <c r="AFA17" s="1221"/>
      <c r="AFB17" s="1221"/>
      <c r="AFC17" s="1221"/>
      <c r="AFD17" s="1221"/>
      <c r="AFE17" s="1221"/>
      <c r="AFF17" s="1221"/>
      <c r="AFG17" s="1221"/>
      <c r="AFH17" s="1221"/>
      <c r="AFI17" s="1221"/>
      <c r="AFJ17" s="1221"/>
      <c r="AFK17" s="1221"/>
      <c r="AFL17" s="1221"/>
      <c r="AFM17" s="1221"/>
      <c r="AFN17" s="1221"/>
      <c r="AFO17" s="1221"/>
      <c r="AFP17" s="1221"/>
      <c r="AFQ17" s="1221"/>
      <c r="AFR17" s="1221"/>
      <c r="AFS17" s="1221"/>
      <c r="AFT17" s="1221"/>
      <c r="AFU17" s="1221"/>
      <c r="AFV17" s="1221"/>
      <c r="AFW17" s="1221"/>
      <c r="AFX17" s="1221"/>
      <c r="AFY17" s="1221"/>
      <c r="AFZ17" s="1221"/>
      <c r="AGA17" s="1221"/>
      <c r="AGB17" s="1221"/>
      <c r="AGC17" s="1221"/>
      <c r="AGD17" s="1221"/>
      <c r="AGE17" s="1221"/>
      <c r="AGF17" s="1221"/>
      <c r="AGG17" s="1221"/>
      <c r="AGH17" s="1221"/>
      <c r="AGI17" s="1221"/>
      <c r="AGJ17" s="1221"/>
      <c r="AGK17" s="1221"/>
      <c r="AGL17" s="1221"/>
      <c r="AGM17" s="1221"/>
      <c r="AGN17" s="1221"/>
      <c r="AGO17" s="1221"/>
      <c r="AGP17" s="1221"/>
      <c r="AGQ17" s="1221"/>
      <c r="AGR17" s="1221"/>
      <c r="AGS17" s="1221"/>
      <c r="AGT17" s="1221"/>
      <c r="AGU17" s="1221"/>
      <c r="AGV17" s="1221"/>
      <c r="AGW17" s="1221"/>
      <c r="AGX17" s="1221"/>
      <c r="AGY17" s="1221"/>
      <c r="AGZ17" s="1221"/>
      <c r="AHA17" s="1221"/>
      <c r="AHB17" s="1221"/>
      <c r="AHC17" s="1221"/>
      <c r="AHD17" s="1221"/>
      <c r="AHE17" s="1221"/>
      <c r="AHF17" s="1221"/>
      <c r="AHG17" s="1221"/>
      <c r="AHH17" s="1221"/>
      <c r="AHI17" s="1221"/>
      <c r="AHJ17" s="1221"/>
      <c r="AHK17" s="1221"/>
      <c r="AHL17" s="1221"/>
      <c r="AHM17" s="1221"/>
      <c r="AHN17" s="1221"/>
      <c r="AHO17" s="1221"/>
      <c r="AHP17" s="1221"/>
      <c r="AHQ17" s="1221"/>
      <c r="AHR17" s="1221"/>
      <c r="AHS17" s="1221"/>
      <c r="AHT17" s="1221"/>
      <c r="AHU17" s="1221"/>
      <c r="AHV17" s="1221"/>
      <c r="AHW17" s="1221"/>
      <c r="AHX17" s="1221"/>
      <c r="AHY17" s="1221"/>
      <c r="AHZ17" s="1221"/>
      <c r="AIA17" s="1221"/>
      <c r="AIB17" s="1221"/>
      <c r="AIC17" s="1221"/>
      <c r="AID17" s="1221"/>
      <c r="AIE17" s="1221"/>
      <c r="AIF17" s="1221"/>
      <c r="AIG17" s="1221"/>
      <c r="AIH17" s="1221"/>
      <c r="AII17" s="1221"/>
      <c r="AIJ17" s="1221"/>
      <c r="AIK17" s="1221"/>
      <c r="AIL17" s="1221"/>
      <c r="AIM17" s="1221"/>
      <c r="AIN17" s="1221"/>
      <c r="AIO17" s="1221"/>
      <c r="AIP17" s="1221"/>
      <c r="AIQ17" s="1221"/>
      <c r="AIR17" s="1221"/>
      <c r="AIS17" s="1221"/>
      <c r="AIT17" s="1221"/>
      <c r="AIU17" s="1221"/>
      <c r="AIV17" s="1221"/>
      <c r="AIW17" s="1221"/>
      <c r="AIX17" s="1221"/>
      <c r="AIY17" s="1221"/>
      <c r="AIZ17" s="1221"/>
      <c r="AJA17" s="1221"/>
      <c r="AJB17" s="1221"/>
      <c r="AJC17" s="1221"/>
      <c r="AJD17" s="1221"/>
      <c r="AJE17" s="1221"/>
      <c r="AJF17" s="1221"/>
      <c r="AJG17" s="1221"/>
      <c r="AJH17" s="1221"/>
      <c r="AJI17" s="1221"/>
      <c r="AJJ17" s="1221"/>
      <c r="AJK17" s="1221"/>
      <c r="AJL17" s="1221"/>
      <c r="AJM17" s="1221"/>
      <c r="AJN17" s="1221"/>
      <c r="AJO17" s="1221"/>
      <c r="AJP17" s="1221"/>
      <c r="AJQ17" s="1221"/>
      <c r="AJR17" s="1221"/>
      <c r="AJS17" s="1221"/>
      <c r="AJT17" s="1221"/>
      <c r="AJU17" s="1221"/>
      <c r="AJV17" s="1221"/>
      <c r="AJW17" s="1221"/>
      <c r="AJX17" s="1221"/>
      <c r="AJY17" s="1221"/>
      <c r="AJZ17" s="1221"/>
      <c r="AKA17" s="1221"/>
      <c r="AKB17" s="1221"/>
      <c r="AKC17" s="1221"/>
      <c r="AKD17" s="1221"/>
      <c r="AKE17" s="1221"/>
      <c r="AKF17" s="1221"/>
      <c r="AKG17" s="1221"/>
      <c r="AKH17" s="1221"/>
      <c r="AKI17" s="1221"/>
      <c r="AKJ17" s="1221"/>
      <c r="AKK17" s="1221"/>
      <c r="AKL17" s="1221"/>
      <c r="AKM17" s="1221"/>
      <c r="AKN17" s="1221"/>
      <c r="AKO17" s="1221"/>
      <c r="AKP17" s="1221"/>
      <c r="AKQ17" s="1221"/>
      <c r="AKR17" s="1221"/>
      <c r="AKS17" s="1221"/>
      <c r="AKT17" s="1221"/>
      <c r="AKU17" s="1221"/>
      <c r="AKV17" s="1221"/>
      <c r="AKW17" s="1221"/>
      <c r="AKX17" s="1221"/>
      <c r="AKY17" s="1221"/>
      <c r="AKZ17" s="1221"/>
      <c r="ALA17" s="1221"/>
      <c r="ALB17" s="1221"/>
      <c r="ALC17" s="1221"/>
      <c r="ALD17" s="1221"/>
      <c r="ALE17" s="1221"/>
      <c r="ALF17" s="1221"/>
      <c r="ALG17" s="1221"/>
      <c r="ALH17" s="1221"/>
      <c r="ALI17" s="1221"/>
      <c r="ALJ17" s="1221"/>
      <c r="ALK17" s="1221"/>
      <c r="ALL17" s="1221"/>
      <c r="ALM17" s="1221"/>
      <c r="ALN17" s="1221"/>
      <c r="ALO17" s="1221"/>
      <c r="ALP17" s="1221"/>
      <c r="ALQ17" s="1221"/>
      <c r="ALR17" s="1221"/>
      <c r="ALS17" s="1221"/>
      <c r="ALT17" s="1221"/>
      <c r="ALU17" s="1221"/>
      <c r="ALV17" s="1221"/>
      <c r="ALW17" s="1221"/>
      <c r="ALX17" s="1221"/>
      <c r="ALY17" s="1221"/>
      <c r="ALZ17" s="1221"/>
      <c r="AMA17" s="1221"/>
      <c r="AMB17" s="1221"/>
      <c r="AMC17" s="1221"/>
      <c r="AMD17" s="1221"/>
      <c r="AME17" s="1221"/>
      <c r="AMF17" s="1221"/>
      <c r="AMG17" s="1221"/>
      <c r="AMH17" s="1221"/>
      <c r="AMI17" s="1221"/>
      <c r="AMJ17" s="1221"/>
      <c r="AMK17" s="1221"/>
      <c r="AML17" s="1221"/>
      <c r="AMM17" s="1221"/>
      <c r="AMN17" s="1221"/>
      <c r="AMO17" s="1221"/>
      <c r="AMP17" s="1221"/>
      <c r="AMQ17" s="1221"/>
      <c r="AMR17" s="1221"/>
      <c r="AMS17" s="1221"/>
      <c r="AMT17" s="1221"/>
      <c r="AMU17" s="1221"/>
      <c r="AMV17" s="1221"/>
      <c r="AMW17" s="1221"/>
      <c r="AMX17" s="1221"/>
      <c r="AMY17" s="1221"/>
      <c r="AMZ17" s="1221"/>
      <c r="ANA17" s="1221"/>
      <c r="ANB17" s="1221"/>
      <c r="ANC17" s="1221"/>
      <c r="AND17" s="1221"/>
      <c r="ANE17" s="1221"/>
      <c r="ANF17" s="1221"/>
      <c r="ANG17" s="1221"/>
      <c r="ANH17" s="1221"/>
      <c r="ANI17" s="1221"/>
      <c r="ANJ17" s="1221"/>
      <c r="ANK17" s="1221"/>
      <c r="ANL17" s="1221"/>
      <c r="ANM17" s="1221"/>
      <c r="ANN17" s="1221"/>
      <c r="ANO17" s="1221"/>
      <c r="ANP17" s="1221"/>
      <c r="ANQ17" s="1221"/>
      <c r="ANR17" s="1221"/>
      <c r="ANS17" s="1221"/>
      <c r="ANT17" s="1221"/>
      <c r="ANU17" s="1221"/>
      <c r="ANV17" s="1221"/>
      <c r="ANW17" s="1221"/>
      <c r="ANX17" s="1221"/>
      <c r="ANY17" s="1221"/>
      <c r="ANZ17" s="1221"/>
      <c r="AOA17" s="1221"/>
      <c r="AOB17" s="1221"/>
      <c r="AOC17" s="1221"/>
      <c r="AOD17" s="1221"/>
      <c r="AOE17" s="1221"/>
      <c r="AOF17" s="1221"/>
      <c r="AOG17" s="1221"/>
      <c r="AOH17" s="1221"/>
      <c r="AOI17" s="1221"/>
      <c r="AOJ17" s="1221"/>
      <c r="AOK17" s="1221"/>
      <c r="AOL17" s="1221"/>
      <c r="AOM17" s="1221"/>
      <c r="AON17" s="1221"/>
      <c r="AOO17" s="1221"/>
      <c r="AOP17" s="1221"/>
      <c r="AOQ17" s="1221"/>
      <c r="AOR17" s="1221"/>
      <c r="AOS17" s="1221"/>
      <c r="AOT17" s="1221"/>
      <c r="AOU17" s="1221"/>
      <c r="AOV17" s="1221"/>
      <c r="AOW17" s="1221"/>
      <c r="AOX17" s="1221"/>
      <c r="AOY17" s="1221"/>
      <c r="AOZ17" s="1221"/>
      <c r="APA17" s="1221"/>
      <c r="APB17" s="1221"/>
      <c r="APC17" s="1221"/>
      <c r="APD17" s="1221"/>
      <c r="APE17" s="1221"/>
      <c r="APF17" s="1221"/>
      <c r="APG17" s="1221"/>
      <c r="APH17" s="1221"/>
      <c r="API17" s="1221"/>
      <c r="APJ17" s="1221"/>
      <c r="APK17" s="1221"/>
      <c r="APL17" s="1221"/>
      <c r="APM17" s="1221"/>
      <c r="APN17" s="1221"/>
      <c r="APO17" s="1221"/>
      <c r="APP17" s="1221"/>
      <c r="APQ17" s="1221"/>
      <c r="APR17" s="1221"/>
      <c r="APS17" s="1221"/>
      <c r="APT17" s="1221"/>
      <c r="APU17" s="1221"/>
      <c r="APV17" s="1221"/>
      <c r="APW17" s="1221"/>
      <c r="APX17" s="1221"/>
      <c r="APY17" s="1221"/>
      <c r="APZ17" s="1221"/>
      <c r="AQA17" s="1221"/>
      <c r="AQB17" s="1221"/>
      <c r="AQC17" s="1221"/>
      <c r="AQD17" s="1221"/>
      <c r="AQE17" s="1221"/>
      <c r="AQF17" s="1221"/>
      <c r="AQG17" s="1221"/>
      <c r="AQH17" s="1221"/>
      <c r="AQI17" s="1221"/>
      <c r="AQJ17" s="1221"/>
      <c r="AQK17" s="1221"/>
      <c r="AQL17" s="1221"/>
      <c r="AQM17" s="1221"/>
      <c r="AQN17" s="1221"/>
      <c r="AQO17" s="1221"/>
      <c r="AQP17" s="1221"/>
      <c r="AQQ17" s="1221"/>
      <c r="AQR17" s="1221"/>
      <c r="AQS17" s="1221"/>
      <c r="AQT17" s="1221"/>
      <c r="AQU17" s="1221"/>
      <c r="AQV17" s="1221"/>
      <c r="AQW17" s="1221"/>
      <c r="AQX17" s="1221"/>
      <c r="AQY17" s="1221"/>
      <c r="AQZ17" s="1221"/>
      <c r="ARA17" s="1221"/>
      <c r="ARB17" s="1221"/>
      <c r="ARC17" s="1221"/>
      <c r="ARD17" s="1221"/>
      <c r="ARE17" s="1221"/>
      <c r="ARF17" s="1221"/>
      <c r="ARG17" s="1221"/>
      <c r="ARH17" s="1221"/>
      <c r="ARI17" s="1221"/>
      <c r="ARJ17" s="1221"/>
      <c r="ARK17" s="1221"/>
      <c r="ARL17" s="1221"/>
      <c r="ARM17" s="1221"/>
      <c r="ARN17" s="1221"/>
      <c r="ARO17" s="1221"/>
      <c r="ARP17" s="1221"/>
      <c r="ARQ17" s="1221"/>
      <c r="ARR17" s="1221"/>
      <c r="ARS17" s="1221"/>
      <c r="ART17" s="1221"/>
      <c r="ARU17" s="1221"/>
      <c r="ARV17" s="1221"/>
      <c r="ARW17" s="1221"/>
      <c r="ARX17" s="1221"/>
      <c r="ARY17" s="1221"/>
      <c r="ARZ17" s="1221"/>
      <c r="ASA17" s="1221"/>
      <c r="ASB17" s="1221"/>
      <c r="ASC17" s="1221"/>
      <c r="ASD17" s="1221"/>
      <c r="ASE17" s="1221"/>
      <c r="ASF17" s="1221"/>
      <c r="ASG17" s="1221"/>
      <c r="ASH17" s="1221"/>
      <c r="ASI17" s="1221"/>
      <c r="ASJ17" s="1221"/>
      <c r="ASK17" s="1221"/>
      <c r="ASL17" s="1221"/>
      <c r="ASM17" s="1221"/>
      <c r="ASN17" s="1221"/>
      <c r="ASO17" s="1221"/>
      <c r="ASP17" s="1221"/>
      <c r="ASQ17" s="1221"/>
      <c r="ASR17" s="1221"/>
      <c r="ASS17" s="1221"/>
      <c r="AST17" s="1221"/>
      <c r="ASU17" s="1221"/>
      <c r="ASV17" s="1221"/>
      <c r="ASW17" s="1221"/>
      <c r="ASX17" s="1221"/>
      <c r="ASY17" s="1221"/>
      <c r="ASZ17" s="1221"/>
      <c r="ATA17" s="1221"/>
      <c r="ATB17" s="1221"/>
      <c r="ATC17" s="1221"/>
      <c r="ATD17" s="1221"/>
      <c r="ATE17" s="1221"/>
      <c r="ATF17" s="1221"/>
      <c r="ATG17" s="1221"/>
      <c r="ATH17" s="1221"/>
      <c r="ATI17" s="1221"/>
      <c r="ATJ17" s="1221"/>
      <c r="ATK17" s="1221"/>
      <c r="ATL17" s="1221"/>
      <c r="ATM17" s="1221"/>
      <c r="ATN17" s="1221"/>
      <c r="ATO17" s="1221"/>
      <c r="ATP17" s="1221"/>
      <c r="ATQ17" s="1221"/>
      <c r="ATR17" s="1221"/>
      <c r="ATS17" s="1221"/>
      <c r="ATT17" s="1221"/>
      <c r="ATU17" s="1221"/>
      <c r="ATV17" s="1221"/>
      <c r="ATW17" s="1221"/>
      <c r="ATX17" s="1221"/>
      <c r="ATY17" s="1221"/>
      <c r="ATZ17" s="1221"/>
      <c r="AUA17" s="1221"/>
      <c r="AUB17" s="1221"/>
      <c r="AUC17" s="1221"/>
      <c r="AUD17" s="1221"/>
      <c r="AUE17" s="1221"/>
      <c r="AUF17" s="1221"/>
      <c r="AUG17" s="1221"/>
      <c r="AUH17" s="1221"/>
      <c r="AUI17" s="1221"/>
      <c r="AUJ17" s="1221"/>
      <c r="AUK17" s="1221"/>
      <c r="AUL17" s="1221"/>
      <c r="AUM17" s="1221"/>
      <c r="AUN17" s="1221"/>
      <c r="AUO17" s="1221"/>
      <c r="AUP17" s="1221"/>
      <c r="AUQ17" s="1221"/>
      <c r="AUR17" s="1221"/>
      <c r="AUS17" s="1221"/>
      <c r="AUT17" s="1221"/>
      <c r="AUU17" s="1221"/>
      <c r="AUV17" s="1221"/>
      <c r="AUW17" s="1221"/>
      <c r="AUX17" s="1221"/>
      <c r="AUY17" s="1221"/>
      <c r="AUZ17" s="1221"/>
      <c r="AVA17" s="1221"/>
      <c r="AVB17" s="1221"/>
      <c r="AVC17" s="1221"/>
      <c r="AVD17" s="1221"/>
      <c r="AVE17" s="1221"/>
      <c r="AVF17" s="1221"/>
      <c r="AVG17" s="1221"/>
      <c r="AVH17" s="1221"/>
      <c r="AVI17" s="1221"/>
      <c r="AVJ17" s="1221"/>
      <c r="AVK17" s="1221"/>
      <c r="AVL17" s="1221"/>
      <c r="AVM17" s="1221"/>
      <c r="AVN17" s="1221"/>
      <c r="AVO17" s="1221"/>
      <c r="AVP17" s="1221"/>
      <c r="AVQ17" s="1221"/>
      <c r="AVR17" s="1221"/>
      <c r="AVS17" s="1221"/>
      <c r="AVT17" s="1221"/>
      <c r="AVU17" s="1221"/>
      <c r="AVV17" s="1221"/>
      <c r="AVW17" s="1221"/>
      <c r="AVX17" s="1221"/>
      <c r="AVY17" s="1221"/>
      <c r="AVZ17" s="1221"/>
      <c r="AWA17" s="1221"/>
      <c r="AWB17" s="1221"/>
      <c r="AWC17" s="1221"/>
      <c r="AWD17" s="1221"/>
      <c r="AWE17" s="1221"/>
      <c r="AWF17" s="1221"/>
      <c r="AWG17" s="1221"/>
      <c r="AWH17" s="1221"/>
      <c r="AWI17" s="1221"/>
      <c r="AWJ17" s="1221"/>
      <c r="AWK17" s="1221"/>
      <c r="AWL17" s="1221"/>
      <c r="AWM17" s="1221"/>
      <c r="AWN17" s="1221"/>
      <c r="AWO17" s="1221"/>
      <c r="AWP17" s="1221"/>
      <c r="AWQ17" s="1221"/>
      <c r="AWR17" s="1221"/>
      <c r="AWS17" s="1221"/>
      <c r="AWT17" s="1221"/>
      <c r="AWU17" s="1221"/>
      <c r="AWV17" s="1221"/>
      <c r="AWW17" s="1221"/>
      <c r="AWX17" s="1221"/>
      <c r="AWY17" s="1221"/>
      <c r="AWZ17" s="1221"/>
      <c r="AXA17" s="1221"/>
      <c r="AXB17" s="1221"/>
      <c r="AXC17" s="1221"/>
      <c r="AXD17" s="1221"/>
      <c r="AXE17" s="1221"/>
      <c r="AXF17" s="1221"/>
      <c r="AXG17" s="1221"/>
      <c r="AXH17" s="1221"/>
      <c r="AXI17" s="1221"/>
      <c r="AXJ17" s="1221"/>
      <c r="AXK17" s="1221"/>
      <c r="AXL17" s="1221"/>
      <c r="AXM17" s="1221"/>
      <c r="AXN17" s="1221"/>
      <c r="AXO17" s="1221"/>
      <c r="AXP17" s="1221"/>
      <c r="AXQ17" s="1221"/>
      <c r="AXR17" s="1221"/>
      <c r="AXS17" s="1221"/>
      <c r="AXT17" s="1221"/>
      <c r="AXU17" s="1221"/>
      <c r="AXV17" s="1221"/>
      <c r="AXW17" s="1221"/>
      <c r="AXX17" s="1221"/>
      <c r="AXY17" s="1221"/>
      <c r="AXZ17" s="1221"/>
      <c r="AYA17" s="1221"/>
      <c r="AYB17" s="1221"/>
      <c r="AYC17" s="1221"/>
      <c r="AYD17" s="1221"/>
      <c r="AYE17" s="1221"/>
      <c r="AYF17" s="1221"/>
      <c r="AYG17" s="1221"/>
      <c r="AYH17" s="1221"/>
      <c r="AYI17" s="1221"/>
      <c r="AYJ17" s="1221"/>
      <c r="AYK17" s="1221"/>
      <c r="AYL17" s="1221"/>
      <c r="AYM17" s="1221"/>
      <c r="AYN17" s="1221"/>
      <c r="AYO17" s="1221"/>
      <c r="AYP17" s="1221"/>
      <c r="AYQ17" s="1221"/>
      <c r="AYR17" s="1221"/>
      <c r="AYS17" s="1221"/>
      <c r="AYT17" s="1221"/>
      <c r="AYU17" s="1221"/>
      <c r="AYV17" s="1221"/>
      <c r="AYW17" s="1221"/>
      <c r="AYX17" s="1221"/>
      <c r="AYY17" s="1221"/>
      <c r="AYZ17" s="1221"/>
      <c r="AZA17" s="1221"/>
      <c r="AZB17" s="1221"/>
      <c r="AZC17" s="1221"/>
      <c r="AZD17" s="1221"/>
      <c r="AZE17" s="1221"/>
      <c r="AZF17" s="1221"/>
      <c r="AZG17" s="1221"/>
      <c r="AZH17" s="1221"/>
      <c r="AZI17" s="1221"/>
      <c r="AZJ17" s="1221"/>
      <c r="AZK17" s="1221"/>
      <c r="AZL17" s="1221"/>
      <c r="AZM17" s="1221"/>
      <c r="AZN17" s="1221"/>
      <c r="AZO17" s="1221"/>
      <c r="AZP17" s="1221"/>
      <c r="AZQ17" s="1221"/>
      <c r="AZR17" s="1221"/>
      <c r="AZS17" s="1221"/>
      <c r="AZT17" s="1221"/>
      <c r="AZU17" s="1221"/>
      <c r="AZV17" s="1221"/>
      <c r="AZW17" s="1221"/>
      <c r="AZX17" s="1221"/>
      <c r="AZY17" s="1221"/>
      <c r="AZZ17" s="1221"/>
      <c r="BAA17" s="1221"/>
      <c r="BAB17" s="1221"/>
      <c r="BAC17" s="1221"/>
      <c r="BAD17" s="1221"/>
      <c r="BAE17" s="1221"/>
      <c r="BAF17" s="1221"/>
      <c r="BAG17" s="1221"/>
      <c r="BAH17" s="1221"/>
      <c r="BAI17" s="1221"/>
      <c r="BAJ17" s="1221"/>
      <c r="BAK17" s="1221"/>
      <c r="BAL17" s="1221"/>
      <c r="BAM17" s="1221"/>
      <c r="BAN17" s="1221"/>
      <c r="BAO17" s="1221"/>
      <c r="BAP17" s="1221"/>
      <c r="BAQ17" s="1221"/>
      <c r="BAR17" s="1221"/>
      <c r="BAS17" s="1221"/>
      <c r="BAT17" s="1221"/>
      <c r="BAU17" s="1221"/>
      <c r="BAV17" s="1221"/>
      <c r="BAW17" s="1221"/>
      <c r="BAX17" s="1221"/>
      <c r="BAY17" s="1221"/>
      <c r="BAZ17" s="1221"/>
      <c r="BBA17" s="1221"/>
      <c r="BBB17" s="1221"/>
      <c r="BBC17" s="1221"/>
      <c r="BBD17" s="1221"/>
      <c r="BBE17" s="1221"/>
      <c r="BBF17" s="1221"/>
      <c r="BBG17" s="1221"/>
      <c r="BBH17" s="1221"/>
      <c r="BBI17" s="1221"/>
      <c r="BBJ17" s="1221"/>
      <c r="BBK17" s="1221"/>
      <c r="BBL17" s="1221"/>
      <c r="BBM17" s="1221"/>
      <c r="BBN17" s="1221"/>
      <c r="BBO17" s="1221"/>
      <c r="BBP17" s="1221"/>
      <c r="BBQ17" s="1221"/>
      <c r="BBR17" s="1221"/>
      <c r="BBS17" s="1221"/>
      <c r="BBT17" s="1221"/>
      <c r="BBU17" s="1221"/>
      <c r="BBV17" s="1221"/>
      <c r="BBW17" s="1221"/>
      <c r="BBX17" s="1221"/>
      <c r="BBY17" s="1221"/>
      <c r="BBZ17" s="1221"/>
      <c r="BCA17" s="1221"/>
      <c r="BCB17" s="1221"/>
      <c r="BCC17" s="1221"/>
      <c r="BCD17" s="1221"/>
      <c r="BCE17" s="1221"/>
      <c r="BCF17" s="1221"/>
      <c r="BCG17" s="1221"/>
      <c r="BCH17" s="1221"/>
      <c r="BCI17" s="1221"/>
      <c r="BCJ17" s="1221"/>
      <c r="BCK17" s="1221"/>
      <c r="BCL17" s="1221"/>
      <c r="BCM17" s="1221"/>
      <c r="BCN17" s="1221"/>
      <c r="BCO17" s="1221"/>
      <c r="BCP17" s="1221"/>
      <c r="BCQ17" s="1221"/>
      <c r="BCR17" s="1221"/>
      <c r="BCS17" s="1221"/>
      <c r="BCT17" s="1221"/>
      <c r="BCU17" s="1221"/>
      <c r="BCV17" s="1221"/>
      <c r="BCW17" s="1221"/>
      <c r="BCX17" s="1221"/>
      <c r="BCY17" s="1221"/>
      <c r="BCZ17" s="1221"/>
      <c r="BDA17" s="1221"/>
      <c r="BDB17" s="1221"/>
      <c r="BDC17" s="1221"/>
      <c r="BDD17" s="1221"/>
      <c r="BDE17" s="1221"/>
      <c r="BDF17" s="1221"/>
      <c r="BDG17" s="1221"/>
      <c r="BDH17" s="1221"/>
      <c r="BDI17" s="1221"/>
      <c r="BDJ17" s="1221"/>
      <c r="BDK17" s="1221"/>
      <c r="BDL17" s="1221"/>
      <c r="BDM17" s="1221"/>
      <c r="BDN17" s="1221"/>
      <c r="BDO17" s="1221"/>
      <c r="BDP17" s="1221"/>
      <c r="BDQ17" s="1221"/>
      <c r="BDR17" s="1221"/>
      <c r="BDS17" s="1221"/>
      <c r="BDT17" s="1221"/>
      <c r="BDU17" s="1221"/>
      <c r="BDV17" s="1221"/>
      <c r="BDW17" s="1221"/>
      <c r="BDX17" s="1221"/>
      <c r="BDY17" s="1221"/>
      <c r="BDZ17" s="1221"/>
      <c r="BEA17" s="1221"/>
      <c r="BEB17" s="1221"/>
      <c r="BEC17" s="1221"/>
      <c r="BED17" s="1221"/>
      <c r="BEE17" s="1221"/>
      <c r="BEF17" s="1221"/>
      <c r="BEG17" s="1221"/>
      <c r="BEH17" s="1221"/>
      <c r="BEI17" s="1221"/>
      <c r="BEJ17" s="1221"/>
      <c r="BEK17" s="1221"/>
      <c r="BEL17" s="1221"/>
      <c r="BEM17" s="1221"/>
      <c r="BEN17" s="1221"/>
      <c r="BEO17" s="1221"/>
      <c r="BEP17" s="1221"/>
      <c r="BEQ17" s="1221"/>
      <c r="BER17" s="1221"/>
      <c r="BES17" s="1221"/>
      <c r="BET17" s="1221"/>
      <c r="BEU17" s="1221"/>
      <c r="BEV17" s="1221"/>
      <c r="BEW17" s="1221"/>
      <c r="BEX17" s="1221"/>
      <c r="BEY17" s="1221"/>
      <c r="BEZ17" s="1221"/>
      <c r="BFA17" s="1221"/>
      <c r="BFB17" s="1221"/>
      <c r="BFC17" s="1221"/>
      <c r="BFD17" s="1221"/>
      <c r="BFE17" s="1221"/>
      <c r="BFF17" s="1221"/>
      <c r="BFG17" s="1221"/>
      <c r="BFH17" s="1221"/>
      <c r="BFI17" s="1221"/>
      <c r="BFJ17" s="1221"/>
      <c r="BFK17" s="1221"/>
      <c r="BFL17" s="1221"/>
      <c r="BFM17" s="1221"/>
      <c r="BFN17" s="1221"/>
      <c r="BFO17" s="1221"/>
      <c r="BFP17" s="1221"/>
      <c r="BFQ17" s="1221"/>
      <c r="BFR17" s="1221"/>
      <c r="BFS17" s="1221"/>
      <c r="BFT17" s="1221"/>
      <c r="BFU17" s="1221"/>
      <c r="BFV17" s="1221"/>
      <c r="BFW17" s="1221"/>
      <c r="BFX17" s="1221"/>
      <c r="BFY17" s="1221"/>
      <c r="BFZ17" s="1221"/>
      <c r="BGA17" s="1221"/>
      <c r="BGB17" s="1221"/>
      <c r="BGC17" s="1221"/>
      <c r="BGD17" s="1221"/>
      <c r="BGE17" s="1221"/>
      <c r="BGF17" s="1221"/>
      <c r="BGG17" s="1221"/>
      <c r="BGH17" s="1221"/>
      <c r="BGI17" s="1221"/>
      <c r="BGJ17" s="1221"/>
      <c r="BGK17" s="1221"/>
      <c r="BGL17" s="1221"/>
      <c r="BGM17" s="1221"/>
      <c r="BGN17" s="1221"/>
      <c r="BGO17" s="1221"/>
      <c r="BGP17" s="1221"/>
      <c r="BGQ17" s="1221"/>
      <c r="BGR17" s="1221"/>
      <c r="BGS17" s="1221"/>
      <c r="BGT17" s="1221"/>
      <c r="BGU17" s="1221"/>
      <c r="BGV17" s="1221"/>
      <c r="BGW17" s="1221"/>
      <c r="BGX17" s="1221"/>
      <c r="BGY17" s="1221"/>
      <c r="BGZ17" s="1221"/>
      <c r="BHA17" s="1221"/>
      <c r="BHB17" s="1221"/>
      <c r="BHC17" s="1221"/>
      <c r="BHD17" s="1221"/>
      <c r="BHE17" s="1221"/>
      <c r="BHF17" s="1221"/>
      <c r="BHG17" s="1221"/>
      <c r="BHH17" s="1221"/>
      <c r="BHI17" s="1221"/>
      <c r="BHJ17" s="1221"/>
      <c r="BHK17" s="1221"/>
      <c r="BHL17" s="1221"/>
      <c r="BHM17" s="1221"/>
      <c r="BHN17" s="1221"/>
      <c r="BHO17" s="1221"/>
      <c r="BHP17" s="1221"/>
      <c r="BHQ17" s="1221"/>
      <c r="BHR17" s="1221"/>
      <c r="BHS17" s="1221"/>
      <c r="BHT17" s="1221"/>
      <c r="BHU17" s="1221"/>
      <c r="BHV17" s="1221"/>
      <c r="BHW17" s="1221"/>
      <c r="BHX17" s="1221"/>
      <c r="BHY17" s="1221"/>
      <c r="BHZ17" s="1221"/>
      <c r="BIA17" s="1221"/>
      <c r="BIB17" s="1221"/>
      <c r="BIC17" s="1221"/>
      <c r="BID17" s="1221"/>
      <c r="BIE17" s="1221"/>
      <c r="BIF17" s="1221"/>
      <c r="BIG17" s="1221"/>
      <c r="BIH17" s="1221"/>
      <c r="BII17" s="1221"/>
      <c r="BIJ17" s="1221"/>
      <c r="BIK17" s="1221"/>
      <c r="BIL17" s="1221"/>
      <c r="BIM17" s="1221"/>
      <c r="BIN17" s="1221"/>
      <c r="BIO17" s="1221"/>
      <c r="BIP17" s="1221"/>
      <c r="BIQ17" s="1221"/>
      <c r="BIR17" s="1221"/>
      <c r="BIS17" s="1221"/>
      <c r="BIT17" s="1221"/>
      <c r="BIU17" s="1221"/>
      <c r="BIV17" s="1221"/>
      <c r="BIW17" s="1221"/>
      <c r="BIX17" s="1221"/>
      <c r="BIY17" s="1221"/>
      <c r="BIZ17" s="1221"/>
      <c r="BJA17" s="1221"/>
      <c r="BJB17" s="1221"/>
      <c r="BJC17" s="1221"/>
      <c r="BJD17" s="1221"/>
      <c r="BJE17" s="1221"/>
      <c r="BJF17" s="1221"/>
      <c r="BJG17" s="1221"/>
      <c r="BJH17" s="1221"/>
      <c r="BJI17" s="1221"/>
      <c r="BJJ17" s="1221"/>
      <c r="BJK17" s="1221"/>
      <c r="BJL17" s="1221"/>
      <c r="BJM17" s="1221"/>
      <c r="BJN17" s="1221"/>
      <c r="BJO17" s="1221"/>
      <c r="BJP17" s="1221"/>
      <c r="BJQ17" s="1221"/>
      <c r="BJR17" s="1221"/>
      <c r="BJS17" s="1221"/>
      <c r="BJT17" s="1221"/>
      <c r="BJU17" s="1221"/>
      <c r="BJV17" s="1221"/>
      <c r="BJW17" s="1221"/>
      <c r="BJX17" s="1221"/>
      <c r="BJY17" s="1221"/>
      <c r="BJZ17" s="1221"/>
      <c r="BKA17" s="1221"/>
      <c r="BKB17" s="1221"/>
      <c r="BKC17" s="1221"/>
      <c r="BKD17" s="1221"/>
      <c r="BKE17" s="1221"/>
      <c r="BKF17" s="1221"/>
      <c r="BKG17" s="1221"/>
      <c r="BKH17" s="1221"/>
      <c r="BKI17" s="1221"/>
      <c r="BKJ17" s="1221"/>
      <c r="BKK17" s="1221"/>
      <c r="BKL17" s="1221"/>
      <c r="BKM17" s="1221"/>
      <c r="BKN17" s="1221"/>
      <c r="BKO17" s="1221"/>
      <c r="BKP17" s="1221"/>
      <c r="BKQ17" s="1221"/>
      <c r="BKR17" s="1221"/>
      <c r="BKS17" s="1221"/>
      <c r="BKT17" s="1221"/>
      <c r="BKU17" s="1221"/>
      <c r="BKV17" s="1221"/>
      <c r="BKW17" s="1221"/>
      <c r="BKX17" s="1221"/>
      <c r="BKY17" s="1221"/>
      <c r="BKZ17" s="1221"/>
      <c r="BLA17" s="1221"/>
      <c r="BLB17" s="1221"/>
      <c r="BLC17" s="1221"/>
      <c r="BLD17" s="1221"/>
      <c r="BLE17" s="1221"/>
      <c r="BLF17" s="1221"/>
      <c r="BLG17" s="1221"/>
      <c r="BLH17" s="1221"/>
      <c r="BLI17" s="1221"/>
      <c r="BLJ17" s="1221"/>
      <c r="BLK17" s="1221"/>
      <c r="BLL17" s="1221"/>
      <c r="BLM17" s="1221"/>
      <c r="BLN17" s="1221"/>
      <c r="BLO17" s="1221"/>
      <c r="BLP17" s="1221"/>
      <c r="BLQ17" s="1221"/>
      <c r="BLR17" s="1221"/>
      <c r="BLS17" s="1221"/>
      <c r="BLT17" s="1221"/>
      <c r="BLU17" s="1221"/>
      <c r="BLV17" s="1221"/>
      <c r="BLW17" s="1221"/>
      <c r="BLX17" s="1221"/>
      <c r="BLY17" s="1221"/>
      <c r="BLZ17" s="1221"/>
      <c r="BMA17" s="1221"/>
      <c r="BMB17" s="1221"/>
      <c r="BMC17" s="1221"/>
      <c r="BMD17" s="1221"/>
      <c r="BME17" s="1221"/>
      <c r="BMF17" s="1221"/>
      <c r="BMG17" s="1221"/>
      <c r="BMH17" s="1221"/>
      <c r="BMI17" s="1221"/>
      <c r="BMJ17" s="1221"/>
      <c r="BMK17" s="1221"/>
      <c r="BML17" s="1221"/>
      <c r="BMM17" s="1221"/>
      <c r="BMN17" s="1221"/>
      <c r="BMO17" s="1221"/>
      <c r="BMP17" s="1221"/>
      <c r="BMQ17" s="1221"/>
      <c r="BMR17" s="1221"/>
      <c r="BMS17" s="1221"/>
      <c r="BMT17" s="1221"/>
      <c r="BMU17" s="1221"/>
      <c r="BMV17" s="1221"/>
      <c r="BMW17" s="1221"/>
      <c r="BMX17" s="1221"/>
      <c r="BMY17" s="1221"/>
      <c r="BMZ17" s="1221"/>
      <c r="BNA17" s="1221"/>
      <c r="BNB17" s="1221"/>
      <c r="BNC17" s="1221"/>
      <c r="BND17" s="1221"/>
      <c r="BNE17" s="1221"/>
      <c r="BNF17" s="1221"/>
      <c r="BNG17" s="1221"/>
      <c r="BNH17" s="1221"/>
      <c r="BNI17" s="1221"/>
      <c r="BNJ17" s="1221"/>
      <c r="BNK17" s="1221"/>
      <c r="BNL17" s="1221"/>
      <c r="BNM17" s="1221"/>
      <c r="BNN17" s="1221"/>
      <c r="BNO17" s="1221"/>
      <c r="BNP17" s="1221"/>
      <c r="BNQ17" s="1221"/>
      <c r="BNR17" s="1221"/>
      <c r="BNS17" s="1221"/>
      <c r="BNT17" s="1221"/>
      <c r="BNU17" s="1221"/>
      <c r="BNV17" s="1221"/>
      <c r="BNW17" s="1221"/>
      <c r="BNX17" s="1221"/>
      <c r="BNY17" s="1221"/>
      <c r="BNZ17" s="1221"/>
      <c r="BOA17" s="1221"/>
      <c r="BOB17" s="1221"/>
      <c r="BOC17" s="1221"/>
      <c r="BOD17" s="1221"/>
      <c r="BOE17" s="1221"/>
      <c r="BOF17" s="1221"/>
      <c r="BOG17" s="1221"/>
      <c r="BOH17" s="1221"/>
      <c r="BOI17" s="1221"/>
      <c r="BOJ17" s="1221"/>
      <c r="BOK17" s="1221"/>
      <c r="BOL17" s="1221"/>
      <c r="BOM17" s="1221"/>
      <c r="BON17" s="1221"/>
      <c r="BOO17" s="1221"/>
      <c r="BOP17" s="1221"/>
      <c r="BOQ17" s="1221"/>
      <c r="BOR17" s="1221"/>
      <c r="BOS17" s="1221"/>
      <c r="BOT17" s="1221"/>
      <c r="BOU17" s="1221"/>
      <c r="BOV17" s="1221"/>
      <c r="BOW17" s="1221"/>
      <c r="BOX17" s="1221"/>
      <c r="BOY17" s="1221"/>
      <c r="BOZ17" s="1221"/>
      <c r="BPA17" s="1221"/>
      <c r="BPB17" s="1221"/>
      <c r="BPC17" s="1221"/>
      <c r="BPD17" s="1221"/>
      <c r="BPE17" s="1221"/>
      <c r="BPF17" s="1221"/>
      <c r="BPG17" s="1221"/>
      <c r="BPH17" s="1221"/>
      <c r="BPI17" s="1221"/>
      <c r="BPJ17" s="1221"/>
      <c r="BPK17" s="1221"/>
      <c r="BPL17" s="1221"/>
      <c r="BPM17" s="1221"/>
      <c r="BPN17" s="1221"/>
      <c r="BPO17" s="1221"/>
      <c r="BPP17" s="1221"/>
      <c r="BPQ17" s="1221"/>
      <c r="BPR17" s="1221"/>
      <c r="BPS17" s="1221"/>
      <c r="BPT17" s="1221"/>
      <c r="BPU17" s="1221"/>
      <c r="BPV17" s="1221"/>
      <c r="BPW17" s="1221"/>
      <c r="BPX17" s="1221"/>
      <c r="BPY17" s="1221"/>
      <c r="BPZ17" s="1221"/>
      <c r="BQA17" s="1221"/>
      <c r="BQB17" s="1221"/>
      <c r="BQC17" s="1221"/>
      <c r="BQD17" s="1221"/>
      <c r="BQE17" s="1221"/>
      <c r="BQF17" s="1221"/>
      <c r="BQG17" s="1221"/>
      <c r="BQH17" s="1221"/>
      <c r="BQI17" s="1221"/>
      <c r="BQJ17" s="1221"/>
      <c r="BQK17" s="1221"/>
      <c r="BQL17" s="1221"/>
      <c r="BQM17" s="1221"/>
      <c r="BQN17" s="1221"/>
      <c r="BQO17" s="1221"/>
      <c r="BQP17" s="1221"/>
      <c r="BQQ17" s="1221"/>
      <c r="BQR17" s="1221"/>
      <c r="BQS17" s="1221"/>
      <c r="BQT17" s="1221"/>
      <c r="BQU17" s="1221"/>
      <c r="BQV17" s="1221"/>
      <c r="BQW17" s="1221"/>
      <c r="BQX17" s="1221"/>
      <c r="BQY17" s="1221"/>
      <c r="BQZ17" s="1221"/>
      <c r="BRA17" s="1221"/>
      <c r="BRB17" s="1221"/>
      <c r="BRC17" s="1221"/>
      <c r="BRD17" s="1221"/>
      <c r="BRE17" s="1221"/>
      <c r="BRF17" s="1221"/>
      <c r="BRG17" s="1221"/>
      <c r="BRH17" s="1221"/>
      <c r="BRI17" s="1221"/>
      <c r="BRJ17" s="1221"/>
      <c r="BRK17" s="1221"/>
      <c r="BRL17" s="1221"/>
      <c r="BRM17" s="1221"/>
      <c r="BRN17" s="1221"/>
      <c r="BRO17" s="1221"/>
      <c r="BRP17" s="1221"/>
      <c r="BRQ17" s="1221"/>
      <c r="BRR17" s="1221"/>
      <c r="BRS17" s="1221"/>
      <c r="BRT17" s="1221"/>
      <c r="BRU17" s="1221"/>
      <c r="BRV17" s="1221"/>
      <c r="BRW17" s="1221"/>
      <c r="BRX17" s="1221"/>
      <c r="BRY17" s="1221"/>
      <c r="BRZ17" s="1221"/>
      <c r="BSA17" s="1221"/>
      <c r="BSB17" s="1221"/>
      <c r="BSC17" s="1221"/>
      <c r="BSD17" s="1221"/>
      <c r="BSE17" s="1221"/>
      <c r="BSF17" s="1221"/>
      <c r="BSG17" s="1221"/>
      <c r="BSH17" s="1221"/>
      <c r="BSI17" s="1221"/>
      <c r="BSJ17" s="1221"/>
      <c r="BSK17" s="1221"/>
      <c r="BSL17" s="1221"/>
      <c r="BSM17" s="1221"/>
      <c r="BSN17" s="1221"/>
      <c r="BSO17" s="1221"/>
      <c r="BSP17" s="1221"/>
      <c r="BSQ17" s="1221"/>
      <c r="BSR17" s="1221"/>
      <c r="BSS17" s="1221"/>
      <c r="BST17" s="1221"/>
      <c r="BSU17" s="1221"/>
      <c r="BSV17" s="1221"/>
      <c r="BSW17" s="1221"/>
      <c r="BSX17" s="1221"/>
      <c r="BSY17" s="1221"/>
      <c r="BSZ17" s="1221"/>
      <c r="BTA17" s="1221"/>
      <c r="BTB17" s="1221"/>
      <c r="BTC17" s="1221"/>
      <c r="BTD17" s="1221"/>
      <c r="BTE17" s="1221"/>
      <c r="BTF17" s="1221"/>
      <c r="BTG17" s="1221"/>
      <c r="BTH17" s="1221"/>
      <c r="BTI17" s="1221"/>
      <c r="BTJ17" s="1221"/>
      <c r="BTK17" s="1221"/>
      <c r="BTL17" s="1221"/>
      <c r="BTM17" s="1221"/>
      <c r="BTN17" s="1221"/>
      <c r="BTO17" s="1221"/>
      <c r="BTP17" s="1221"/>
      <c r="BTQ17" s="1221"/>
      <c r="BTR17" s="1221"/>
      <c r="BTS17" s="1221"/>
      <c r="BTT17" s="1221"/>
      <c r="BTU17" s="1221"/>
      <c r="BTV17" s="1221"/>
      <c r="BTW17" s="1221"/>
      <c r="BTX17" s="1221"/>
      <c r="BTY17" s="1221"/>
      <c r="BTZ17" s="1221"/>
      <c r="BUA17" s="1221"/>
      <c r="BUB17" s="1221"/>
      <c r="BUC17" s="1221"/>
      <c r="BUD17" s="1221"/>
      <c r="BUE17" s="1221"/>
      <c r="BUF17" s="1221"/>
      <c r="BUG17" s="1221"/>
      <c r="BUH17" s="1221"/>
      <c r="BUI17" s="1221"/>
      <c r="BUJ17" s="1221"/>
      <c r="BUK17" s="1221"/>
      <c r="BUL17" s="1221"/>
      <c r="BUM17" s="1221"/>
      <c r="BUN17" s="1221"/>
      <c r="BUO17" s="1221"/>
      <c r="BUP17" s="1221"/>
      <c r="BUQ17" s="1221"/>
      <c r="BUR17" s="1221"/>
      <c r="BUS17" s="1221"/>
      <c r="BUT17" s="1221"/>
      <c r="BUU17" s="1221"/>
      <c r="BUV17" s="1221"/>
      <c r="BUW17" s="1221"/>
      <c r="BUX17" s="1221"/>
      <c r="BUY17" s="1221"/>
      <c r="BUZ17" s="1221"/>
      <c r="BVA17" s="1221"/>
      <c r="BVB17" s="1221"/>
      <c r="BVC17" s="1221"/>
      <c r="BVD17" s="1221"/>
      <c r="BVE17" s="1221"/>
      <c r="BVF17" s="1221"/>
      <c r="BVG17" s="1221"/>
      <c r="BVH17" s="1221"/>
      <c r="BVI17" s="1221"/>
      <c r="BVJ17" s="1221"/>
      <c r="BVK17" s="1221"/>
      <c r="BVL17" s="1221"/>
      <c r="BVM17" s="1221"/>
      <c r="BVN17" s="1221"/>
      <c r="BVO17" s="1221"/>
      <c r="BVP17" s="1221"/>
      <c r="BVQ17" s="1221"/>
      <c r="BVR17" s="1221"/>
      <c r="BVS17" s="1221"/>
      <c r="BVT17" s="1221"/>
      <c r="BVU17" s="1221"/>
      <c r="BVV17" s="1221"/>
      <c r="BVW17" s="1221"/>
      <c r="BVX17" s="1221"/>
      <c r="BVY17" s="1221"/>
      <c r="BVZ17" s="1221"/>
      <c r="BWA17" s="1221"/>
      <c r="BWB17" s="1221"/>
      <c r="BWC17" s="1221"/>
      <c r="BWD17" s="1221"/>
      <c r="BWE17" s="1221"/>
      <c r="BWF17" s="1221"/>
      <c r="BWG17" s="1221"/>
      <c r="BWH17" s="1221"/>
      <c r="BWI17" s="1221"/>
      <c r="BWJ17" s="1221"/>
      <c r="BWK17" s="1221"/>
      <c r="BWL17" s="1221"/>
      <c r="BWM17" s="1221"/>
      <c r="BWN17" s="1221"/>
      <c r="BWO17" s="1221"/>
      <c r="BWP17" s="1221"/>
      <c r="BWQ17" s="1221"/>
      <c r="BWR17" s="1221"/>
      <c r="BWS17" s="1221"/>
      <c r="BWT17" s="1221"/>
      <c r="BWU17" s="1221"/>
      <c r="BWV17" s="1221"/>
      <c r="BWW17" s="1221"/>
      <c r="BWX17" s="1221"/>
      <c r="BWY17" s="1221"/>
      <c r="BWZ17" s="1221"/>
      <c r="BXA17" s="1221"/>
      <c r="BXB17" s="1221"/>
      <c r="BXC17" s="1221"/>
      <c r="BXD17" s="1221"/>
      <c r="BXE17" s="1221"/>
      <c r="BXF17" s="1221"/>
      <c r="BXG17" s="1221"/>
      <c r="BXH17" s="1221"/>
      <c r="BXI17" s="1221"/>
      <c r="BXJ17" s="1221"/>
      <c r="BXK17" s="1221"/>
      <c r="BXL17" s="1221"/>
      <c r="BXM17" s="1221"/>
      <c r="BXN17" s="1221"/>
      <c r="BXO17" s="1221"/>
      <c r="BXP17" s="1221"/>
      <c r="BXQ17" s="1221"/>
      <c r="BXR17" s="1221"/>
      <c r="BXS17" s="1221"/>
      <c r="BXT17" s="1221"/>
      <c r="BXU17" s="1221"/>
      <c r="BXV17" s="1221"/>
      <c r="BXW17" s="1221"/>
      <c r="BXX17" s="1221"/>
      <c r="BXY17" s="1221"/>
      <c r="BXZ17" s="1221"/>
      <c r="BYA17" s="1221"/>
      <c r="BYB17" s="1221"/>
      <c r="BYC17" s="1221"/>
      <c r="BYD17" s="1221"/>
      <c r="BYE17" s="1221"/>
      <c r="BYF17" s="1221"/>
      <c r="BYG17" s="1221"/>
      <c r="BYH17" s="1221"/>
      <c r="BYI17" s="1221"/>
      <c r="BYJ17" s="1221"/>
      <c r="BYK17" s="1221"/>
      <c r="BYL17" s="1221"/>
      <c r="BYM17" s="1221"/>
      <c r="BYN17" s="1221"/>
      <c r="BYO17" s="1221"/>
      <c r="BYP17" s="1221"/>
      <c r="BYQ17" s="1221"/>
      <c r="BYR17" s="1221"/>
      <c r="BYS17" s="1221"/>
      <c r="BYT17" s="1221"/>
      <c r="BYU17" s="1221"/>
      <c r="BYV17" s="1221"/>
      <c r="BYW17" s="1221"/>
      <c r="BYX17" s="1221"/>
      <c r="BYY17" s="1221"/>
      <c r="BYZ17" s="1221"/>
      <c r="BZA17" s="1221"/>
      <c r="BZB17" s="1221"/>
      <c r="BZC17" s="1221"/>
      <c r="BZD17" s="1221"/>
      <c r="BZE17" s="1221"/>
      <c r="BZF17" s="1221"/>
      <c r="BZG17" s="1221"/>
      <c r="BZH17" s="1221"/>
      <c r="BZI17" s="1221"/>
      <c r="BZJ17" s="1221"/>
      <c r="BZK17" s="1221"/>
      <c r="BZL17" s="1221"/>
      <c r="BZM17" s="1221"/>
      <c r="BZN17" s="1221"/>
      <c r="BZO17" s="1221"/>
      <c r="BZP17" s="1221"/>
      <c r="BZQ17" s="1221"/>
      <c r="BZR17" s="1221"/>
      <c r="BZS17" s="1221"/>
      <c r="BZT17" s="1221"/>
      <c r="BZU17" s="1221"/>
      <c r="BZV17" s="1221"/>
      <c r="BZW17" s="1221"/>
      <c r="BZX17" s="1221"/>
      <c r="BZY17" s="1221"/>
      <c r="BZZ17" s="1221"/>
      <c r="CAA17" s="1221"/>
      <c r="CAB17" s="1221"/>
      <c r="CAC17" s="1221"/>
      <c r="CAD17" s="1221"/>
      <c r="CAE17" s="1221"/>
      <c r="CAF17" s="1221"/>
      <c r="CAG17" s="1221"/>
      <c r="CAH17" s="1221"/>
      <c r="CAI17" s="1221"/>
      <c r="CAJ17" s="1221"/>
      <c r="CAK17" s="1221"/>
      <c r="CAL17" s="1221"/>
      <c r="CAM17" s="1221"/>
      <c r="CAN17" s="1221"/>
      <c r="CAO17" s="1221"/>
      <c r="CAP17" s="1221"/>
      <c r="CAQ17" s="1221"/>
      <c r="CAR17" s="1221"/>
      <c r="CAS17" s="1221"/>
      <c r="CAT17" s="1221"/>
      <c r="CAU17" s="1221"/>
      <c r="CAV17" s="1221"/>
      <c r="CAW17" s="1221"/>
      <c r="CAX17" s="1221"/>
      <c r="CAY17" s="1221"/>
      <c r="CAZ17" s="1221"/>
      <c r="CBA17" s="1221"/>
      <c r="CBB17" s="1221"/>
      <c r="CBC17" s="1221"/>
      <c r="CBD17" s="1221"/>
      <c r="CBE17" s="1221"/>
      <c r="CBF17" s="1221"/>
      <c r="CBG17" s="1221"/>
      <c r="CBH17" s="1221"/>
      <c r="CBI17" s="1221"/>
      <c r="CBJ17" s="1221"/>
      <c r="CBK17" s="1221"/>
      <c r="CBL17" s="1221"/>
      <c r="CBM17" s="1221"/>
      <c r="CBN17" s="1221"/>
      <c r="CBO17" s="1221"/>
      <c r="CBP17" s="1221"/>
      <c r="CBQ17" s="1221"/>
      <c r="CBR17" s="1221"/>
      <c r="CBS17" s="1221"/>
      <c r="CBT17" s="1221"/>
      <c r="CBU17" s="1221"/>
      <c r="CBV17" s="1221"/>
      <c r="CBW17" s="1221"/>
      <c r="CBX17" s="1221"/>
      <c r="CBY17" s="1221"/>
      <c r="CBZ17" s="1221"/>
      <c r="CCA17" s="1221"/>
      <c r="CCB17" s="1221"/>
      <c r="CCC17" s="1221"/>
      <c r="CCD17" s="1221"/>
      <c r="CCE17" s="1221"/>
      <c r="CCF17" s="1221"/>
      <c r="CCG17" s="1221"/>
      <c r="CCH17" s="1221"/>
      <c r="CCI17" s="1221"/>
      <c r="CCJ17" s="1221"/>
      <c r="CCK17" s="1221"/>
      <c r="CCL17" s="1221"/>
      <c r="CCM17" s="1221"/>
      <c r="CCN17" s="1221"/>
      <c r="CCO17" s="1221"/>
      <c r="CCP17" s="1221"/>
      <c r="CCQ17" s="1221"/>
      <c r="CCR17" s="1221"/>
      <c r="CCS17" s="1221"/>
      <c r="CCT17" s="1221"/>
      <c r="CCU17" s="1221"/>
      <c r="CCV17" s="1221"/>
      <c r="CCW17" s="1221"/>
      <c r="CCX17" s="1221"/>
      <c r="CCY17" s="1221"/>
      <c r="CCZ17" s="1221"/>
      <c r="CDA17" s="1221"/>
      <c r="CDB17" s="1221"/>
      <c r="CDC17" s="1221"/>
      <c r="CDD17" s="1221"/>
      <c r="CDE17" s="1221"/>
      <c r="CDF17" s="1221"/>
      <c r="CDG17" s="1221"/>
      <c r="CDH17" s="1221"/>
      <c r="CDI17" s="1221"/>
      <c r="CDJ17" s="1221"/>
      <c r="CDK17" s="1221"/>
      <c r="CDL17" s="1221"/>
      <c r="CDM17" s="1221"/>
      <c r="CDN17" s="1221"/>
      <c r="CDO17" s="1221"/>
      <c r="CDP17" s="1221"/>
      <c r="CDQ17" s="1221"/>
      <c r="CDR17" s="1221"/>
      <c r="CDS17" s="1221"/>
      <c r="CDT17" s="1221"/>
      <c r="CDU17" s="1221"/>
      <c r="CDV17" s="1221"/>
      <c r="CDW17" s="1221"/>
      <c r="CDX17" s="1221"/>
      <c r="CDY17" s="1221"/>
      <c r="CDZ17" s="1221"/>
      <c r="CEA17" s="1221"/>
      <c r="CEB17" s="1221"/>
      <c r="CEC17" s="1221"/>
      <c r="CED17" s="1221"/>
      <c r="CEE17" s="1221"/>
      <c r="CEF17" s="1221"/>
      <c r="CEG17" s="1221"/>
      <c r="CEH17" s="1221"/>
      <c r="CEI17" s="1221"/>
      <c r="CEJ17" s="1221"/>
      <c r="CEK17" s="1221"/>
      <c r="CEL17" s="1221"/>
      <c r="CEM17" s="1221"/>
      <c r="CEN17" s="1221"/>
      <c r="CEO17" s="1221"/>
      <c r="CEP17" s="1221"/>
      <c r="CEQ17" s="1221"/>
      <c r="CER17" s="1221"/>
      <c r="CES17" s="1221"/>
      <c r="CET17" s="1221"/>
      <c r="CEU17" s="1221"/>
      <c r="CEV17" s="1221"/>
      <c r="CEW17" s="1221"/>
      <c r="CEX17" s="1221"/>
      <c r="CEY17" s="1221"/>
      <c r="CEZ17" s="1221"/>
      <c r="CFA17" s="1221"/>
      <c r="CFB17" s="1221"/>
      <c r="CFC17" s="1221"/>
      <c r="CFD17" s="1221"/>
      <c r="CFE17" s="1221"/>
      <c r="CFF17" s="1221"/>
      <c r="CFG17" s="1221"/>
      <c r="CFH17" s="1221"/>
      <c r="CFI17" s="1221"/>
      <c r="CFJ17" s="1221"/>
      <c r="CFK17" s="1221"/>
      <c r="CFL17" s="1221"/>
      <c r="CFM17" s="1221"/>
      <c r="CFN17" s="1221"/>
      <c r="CFO17" s="1221"/>
      <c r="CFP17" s="1221"/>
      <c r="CFQ17" s="1221"/>
      <c r="CFR17" s="1221"/>
      <c r="CFS17" s="1221"/>
      <c r="CFT17" s="1221"/>
      <c r="CFU17" s="1221"/>
      <c r="CFV17" s="1221"/>
      <c r="CFW17" s="1221"/>
      <c r="CFX17" s="1221"/>
      <c r="CFY17" s="1221"/>
      <c r="CFZ17" s="1221"/>
      <c r="CGA17" s="1221"/>
      <c r="CGB17" s="1221"/>
      <c r="CGC17" s="1221"/>
      <c r="CGD17" s="1221"/>
      <c r="CGE17" s="1221"/>
      <c r="CGF17" s="1221"/>
      <c r="CGG17" s="1221"/>
      <c r="CGH17" s="1221"/>
      <c r="CGI17" s="1221"/>
      <c r="CGJ17" s="1221"/>
      <c r="CGK17" s="1221"/>
      <c r="CGL17" s="1221"/>
      <c r="CGM17" s="1221"/>
      <c r="CGN17" s="1221"/>
      <c r="CGO17" s="1221"/>
      <c r="CGP17" s="1221"/>
      <c r="CGQ17" s="1221"/>
      <c r="CGR17" s="1221"/>
      <c r="CGS17" s="1221"/>
      <c r="CGT17" s="1221"/>
      <c r="CGU17" s="1221"/>
      <c r="CGV17" s="1221"/>
      <c r="CGW17" s="1221"/>
      <c r="CGX17" s="1221"/>
      <c r="CGY17" s="1221"/>
      <c r="CGZ17" s="1221"/>
      <c r="CHA17" s="1221"/>
      <c r="CHB17" s="1221"/>
      <c r="CHC17" s="1221"/>
      <c r="CHD17" s="1221"/>
      <c r="CHE17" s="1221"/>
      <c r="CHF17" s="1221"/>
      <c r="CHG17" s="1221"/>
      <c r="CHH17" s="1221"/>
      <c r="CHI17" s="1221"/>
      <c r="CHJ17" s="1221"/>
      <c r="CHK17" s="1221"/>
      <c r="CHL17" s="1221"/>
      <c r="CHM17" s="1221"/>
      <c r="CHN17" s="1221"/>
      <c r="CHO17" s="1221"/>
      <c r="CHP17" s="1221"/>
      <c r="CHQ17" s="1221"/>
      <c r="CHR17" s="1221"/>
      <c r="CHS17" s="1221"/>
      <c r="CHT17" s="1221"/>
      <c r="CHU17" s="1221"/>
      <c r="CHV17" s="1221"/>
      <c r="CHW17" s="1221"/>
      <c r="CHX17" s="1221"/>
      <c r="CHY17" s="1221"/>
      <c r="CHZ17" s="1221"/>
      <c r="CIA17" s="1221"/>
      <c r="CIB17" s="1221"/>
      <c r="CIC17" s="1221"/>
      <c r="CID17" s="1221"/>
      <c r="CIE17" s="1221"/>
      <c r="CIF17" s="1221"/>
      <c r="CIG17" s="1221"/>
      <c r="CIH17" s="1221"/>
      <c r="CII17" s="1221"/>
      <c r="CIJ17" s="1221"/>
      <c r="CIK17" s="1221"/>
      <c r="CIL17" s="1221"/>
      <c r="CIM17" s="1221"/>
      <c r="CIN17" s="1221"/>
      <c r="CIO17" s="1221"/>
      <c r="CIP17" s="1221"/>
      <c r="CIQ17" s="1221"/>
      <c r="CIR17" s="1221"/>
      <c r="CIS17" s="1221"/>
      <c r="CIT17" s="1221"/>
      <c r="CIU17" s="1221"/>
      <c r="CIV17" s="1221"/>
      <c r="CIW17" s="1221"/>
      <c r="CIX17" s="1221"/>
      <c r="CIY17" s="1221"/>
      <c r="CIZ17" s="1221"/>
      <c r="CJA17" s="1221"/>
      <c r="CJB17" s="1221"/>
      <c r="CJC17" s="1221"/>
      <c r="CJD17" s="1221"/>
      <c r="CJE17" s="1221"/>
      <c r="CJF17" s="1221"/>
      <c r="CJG17" s="1221"/>
      <c r="CJH17" s="1221"/>
      <c r="CJI17" s="1221"/>
      <c r="CJJ17" s="1221"/>
      <c r="CJK17" s="1221"/>
      <c r="CJL17" s="1221"/>
      <c r="CJM17" s="1221"/>
      <c r="CJN17" s="1221"/>
      <c r="CJO17" s="1221"/>
      <c r="CJP17" s="1221"/>
      <c r="CJQ17" s="1221"/>
      <c r="CJR17" s="1221"/>
      <c r="CJS17" s="1221"/>
      <c r="CJT17" s="1221"/>
      <c r="CJU17" s="1221"/>
      <c r="CJV17" s="1221"/>
      <c r="CJW17" s="1221"/>
      <c r="CJX17" s="1221"/>
      <c r="CJY17" s="1221"/>
      <c r="CJZ17" s="1221"/>
      <c r="CKA17" s="1221"/>
      <c r="CKB17" s="1221"/>
      <c r="CKC17" s="1221"/>
      <c r="CKD17" s="1221"/>
      <c r="CKE17" s="1221"/>
      <c r="CKF17" s="1221"/>
      <c r="CKG17" s="1221"/>
      <c r="CKH17" s="1221"/>
      <c r="CKI17" s="1221"/>
      <c r="CKJ17" s="1221"/>
      <c r="CKK17" s="1221"/>
      <c r="CKL17" s="1221"/>
      <c r="CKM17" s="1221"/>
      <c r="CKN17" s="1221"/>
      <c r="CKO17" s="1221"/>
      <c r="CKP17" s="1221"/>
      <c r="CKQ17" s="1221"/>
      <c r="CKR17" s="1221"/>
      <c r="CKS17" s="1221"/>
      <c r="CKT17" s="1221"/>
      <c r="CKU17" s="1221"/>
      <c r="CKV17" s="1221"/>
      <c r="CKW17" s="1221"/>
      <c r="CKX17" s="1221"/>
      <c r="CKY17" s="1221"/>
      <c r="CKZ17" s="1221"/>
      <c r="CLA17" s="1221"/>
      <c r="CLB17" s="1221"/>
      <c r="CLC17" s="1221"/>
      <c r="CLD17" s="1221"/>
      <c r="CLE17" s="1221"/>
      <c r="CLF17" s="1221"/>
      <c r="CLG17" s="1221"/>
      <c r="CLH17" s="1221"/>
      <c r="CLI17" s="1221"/>
      <c r="CLJ17" s="1221"/>
      <c r="CLK17" s="1221"/>
      <c r="CLL17" s="1221"/>
      <c r="CLM17" s="1221"/>
      <c r="CLN17" s="1221"/>
      <c r="CLO17" s="1221"/>
      <c r="CLP17" s="1221"/>
      <c r="CLQ17" s="1221"/>
      <c r="CLR17" s="1221"/>
      <c r="CLS17" s="1221"/>
      <c r="CLT17" s="1221"/>
      <c r="CLU17" s="1221"/>
      <c r="CLV17" s="1221"/>
      <c r="CLW17" s="1221"/>
      <c r="CLX17" s="1221"/>
      <c r="CLY17" s="1221"/>
      <c r="CLZ17" s="1221"/>
      <c r="CMA17" s="1221"/>
      <c r="CMB17" s="1221"/>
      <c r="CMC17" s="1221"/>
      <c r="CMD17" s="1221"/>
      <c r="CME17" s="1221"/>
      <c r="CMF17" s="1221"/>
      <c r="CMG17" s="1221"/>
      <c r="CMH17" s="1221"/>
      <c r="CMI17" s="1221"/>
      <c r="CMJ17" s="1221"/>
      <c r="CMK17" s="1221"/>
      <c r="CML17" s="1221"/>
      <c r="CMM17" s="1221"/>
      <c r="CMN17" s="1221"/>
      <c r="CMO17" s="1221"/>
      <c r="CMP17" s="1221"/>
      <c r="CMQ17" s="1221"/>
      <c r="CMR17" s="1221"/>
      <c r="CMS17" s="1221"/>
      <c r="CMT17" s="1221"/>
      <c r="CMU17" s="1221"/>
      <c r="CMV17" s="1221"/>
      <c r="CMW17" s="1221"/>
      <c r="CMX17" s="1221"/>
      <c r="CMY17" s="1221"/>
      <c r="CMZ17" s="1221"/>
      <c r="CNA17" s="1221"/>
      <c r="CNB17" s="1221"/>
      <c r="CNC17" s="1221"/>
      <c r="CND17" s="1221"/>
      <c r="CNE17" s="1221"/>
      <c r="CNF17" s="1221"/>
      <c r="CNG17" s="1221"/>
      <c r="CNH17" s="1221"/>
      <c r="CNI17" s="1221"/>
      <c r="CNJ17" s="1221"/>
      <c r="CNK17" s="1221"/>
      <c r="CNL17" s="1221"/>
      <c r="CNM17" s="1221"/>
      <c r="CNN17" s="1221"/>
      <c r="CNO17" s="1221"/>
      <c r="CNP17" s="1221"/>
      <c r="CNQ17" s="1221"/>
      <c r="CNR17" s="1221"/>
      <c r="CNS17" s="1221"/>
      <c r="CNT17" s="1221"/>
      <c r="CNU17" s="1221"/>
      <c r="CNV17" s="1221"/>
      <c r="CNW17" s="1221"/>
      <c r="CNX17" s="1221"/>
      <c r="CNY17" s="1221"/>
      <c r="CNZ17" s="1221"/>
      <c r="COA17" s="1221"/>
      <c r="COB17" s="1221"/>
      <c r="COC17" s="1221"/>
      <c r="COD17" s="1221"/>
      <c r="COE17" s="1221"/>
      <c r="COF17" s="1221"/>
      <c r="COG17" s="1221"/>
      <c r="COH17" s="1221"/>
      <c r="COI17" s="1221"/>
      <c r="COJ17" s="1221"/>
      <c r="COK17" s="1221"/>
      <c r="COL17" s="1221"/>
      <c r="COM17" s="1221"/>
      <c r="CON17" s="1221"/>
      <c r="COO17" s="1221"/>
      <c r="COP17" s="1221"/>
      <c r="COQ17" s="1221"/>
      <c r="COR17" s="1221"/>
      <c r="COS17" s="1221"/>
      <c r="COT17" s="1221"/>
      <c r="COU17" s="1221"/>
      <c r="COV17" s="1221"/>
      <c r="COW17" s="1221"/>
      <c r="COX17" s="1221"/>
      <c r="COY17" s="1221"/>
      <c r="COZ17" s="1221"/>
      <c r="CPA17" s="1221"/>
      <c r="CPB17" s="1221"/>
      <c r="CPC17" s="1221"/>
      <c r="CPD17" s="1221"/>
      <c r="CPE17" s="1221"/>
      <c r="CPF17" s="1221"/>
      <c r="CPG17" s="1221"/>
      <c r="CPH17" s="1221"/>
      <c r="CPI17" s="1221"/>
      <c r="CPJ17" s="1221"/>
      <c r="CPK17" s="1221"/>
      <c r="CPL17" s="1221"/>
      <c r="CPM17" s="1221"/>
      <c r="CPN17" s="1221"/>
      <c r="CPO17" s="1221"/>
      <c r="CPP17" s="1221"/>
      <c r="CPQ17" s="1221"/>
      <c r="CPR17" s="1221"/>
      <c r="CPS17" s="1221"/>
      <c r="CPT17" s="1221"/>
      <c r="CPU17" s="1221"/>
      <c r="CPV17" s="1221"/>
      <c r="CPW17" s="1221"/>
      <c r="CPX17" s="1221"/>
      <c r="CPY17" s="1221"/>
      <c r="CPZ17" s="1221"/>
      <c r="CQA17" s="1221"/>
      <c r="CQB17" s="1221"/>
      <c r="CQC17" s="1221"/>
      <c r="CQD17" s="1221"/>
      <c r="CQE17" s="1221"/>
      <c r="CQF17" s="1221"/>
      <c r="CQG17" s="1221"/>
      <c r="CQH17" s="1221"/>
      <c r="CQI17" s="1221"/>
      <c r="CQJ17" s="1221"/>
      <c r="CQK17" s="1221"/>
      <c r="CQL17" s="1221"/>
      <c r="CQM17" s="1221"/>
      <c r="CQN17" s="1221"/>
      <c r="CQO17" s="1221"/>
      <c r="CQP17" s="1221"/>
      <c r="CQQ17" s="1221"/>
      <c r="CQR17" s="1221"/>
      <c r="CQS17" s="1221"/>
      <c r="CQT17" s="1221"/>
      <c r="CQU17" s="1221"/>
      <c r="CQV17" s="1221"/>
      <c r="CQW17" s="1221"/>
      <c r="CQX17" s="1221"/>
      <c r="CQY17" s="1221"/>
      <c r="CQZ17" s="1221"/>
      <c r="CRA17" s="1221"/>
      <c r="CRB17" s="1221"/>
      <c r="CRC17" s="1221"/>
      <c r="CRD17" s="1221"/>
      <c r="CRE17" s="1221"/>
      <c r="CRF17" s="1221"/>
      <c r="CRG17" s="1221"/>
      <c r="CRH17" s="1221"/>
      <c r="CRI17" s="1221"/>
      <c r="CRJ17" s="1221"/>
      <c r="CRK17" s="1221"/>
      <c r="CRL17" s="1221"/>
      <c r="CRM17" s="1221"/>
      <c r="CRN17" s="1221"/>
      <c r="CRO17" s="1221"/>
      <c r="CRP17" s="1221"/>
      <c r="CRQ17" s="1221"/>
      <c r="CRR17" s="1221"/>
      <c r="CRS17" s="1221"/>
      <c r="CRT17" s="1221"/>
      <c r="CRU17" s="1221"/>
      <c r="CRV17" s="1221"/>
      <c r="CRW17" s="1221"/>
      <c r="CRX17" s="1221"/>
      <c r="CRY17" s="1221"/>
      <c r="CRZ17" s="1221"/>
      <c r="CSA17" s="1221"/>
      <c r="CSB17" s="1221"/>
      <c r="CSC17" s="1221"/>
      <c r="CSD17" s="1221"/>
      <c r="CSE17" s="1221"/>
      <c r="CSF17" s="1221"/>
      <c r="CSG17" s="1221"/>
      <c r="CSH17" s="1221"/>
      <c r="CSI17" s="1221"/>
      <c r="CSJ17" s="1221"/>
      <c r="CSK17" s="1221"/>
      <c r="CSL17" s="1221"/>
      <c r="CSM17" s="1221"/>
      <c r="CSN17" s="1221"/>
      <c r="CSO17" s="1221"/>
      <c r="CSP17" s="1221"/>
      <c r="CSQ17" s="1221"/>
      <c r="CSR17" s="1221"/>
      <c r="CSS17" s="1221"/>
      <c r="CST17" s="1221"/>
      <c r="CSU17" s="1221"/>
      <c r="CSV17" s="1221"/>
      <c r="CSW17" s="1221"/>
      <c r="CSX17" s="1221"/>
      <c r="CSY17" s="1221"/>
      <c r="CSZ17" s="1221"/>
      <c r="CTA17" s="1221"/>
      <c r="CTB17" s="1221"/>
      <c r="CTC17" s="1221"/>
      <c r="CTD17" s="1221"/>
      <c r="CTE17" s="1221"/>
      <c r="CTF17" s="1221"/>
      <c r="CTG17" s="1221"/>
      <c r="CTH17" s="1221"/>
      <c r="CTI17" s="1221"/>
      <c r="CTJ17" s="1221"/>
      <c r="CTK17" s="1221"/>
      <c r="CTL17" s="1221"/>
      <c r="CTM17" s="1221"/>
      <c r="CTN17" s="1221"/>
      <c r="CTO17" s="1221"/>
      <c r="CTP17" s="1221"/>
      <c r="CTQ17" s="1221"/>
      <c r="CTR17" s="1221"/>
      <c r="CTS17" s="1221"/>
      <c r="CTT17" s="1221"/>
      <c r="CTU17" s="1221"/>
      <c r="CTV17" s="1221"/>
      <c r="CTW17" s="1221"/>
      <c r="CTX17" s="1221"/>
      <c r="CTY17" s="1221"/>
      <c r="CTZ17" s="1221"/>
      <c r="CUA17" s="1221"/>
      <c r="CUB17" s="1221"/>
      <c r="CUC17" s="1221"/>
      <c r="CUD17" s="1221"/>
      <c r="CUE17" s="1221"/>
      <c r="CUF17" s="1221"/>
      <c r="CUG17" s="1221"/>
      <c r="CUH17" s="1221"/>
      <c r="CUI17" s="1221"/>
      <c r="CUJ17" s="1221"/>
      <c r="CUK17" s="1221"/>
      <c r="CUL17" s="1221"/>
      <c r="CUM17" s="1221"/>
      <c r="CUN17" s="1221"/>
      <c r="CUO17" s="1221"/>
      <c r="CUP17" s="1221"/>
      <c r="CUQ17" s="1221"/>
      <c r="CUR17" s="1221"/>
      <c r="CUS17" s="1221"/>
      <c r="CUT17" s="1221"/>
      <c r="CUU17" s="1221"/>
      <c r="CUV17" s="1221"/>
      <c r="CUW17" s="1221"/>
      <c r="CUX17" s="1221"/>
      <c r="CUY17" s="1221"/>
      <c r="CUZ17" s="1221"/>
      <c r="CVA17" s="1221"/>
      <c r="CVB17" s="1221"/>
      <c r="CVC17" s="1221"/>
      <c r="CVD17" s="1221"/>
      <c r="CVE17" s="1221"/>
      <c r="CVF17" s="1221"/>
      <c r="CVG17" s="1221"/>
      <c r="CVH17" s="1221"/>
      <c r="CVI17" s="1221"/>
      <c r="CVJ17" s="1221"/>
      <c r="CVK17" s="1221"/>
      <c r="CVL17" s="1221"/>
      <c r="CVM17" s="1221"/>
      <c r="CVN17" s="1221"/>
      <c r="CVO17" s="1221"/>
      <c r="CVP17" s="1221"/>
      <c r="CVQ17" s="1221"/>
      <c r="CVR17" s="1221"/>
      <c r="CVS17" s="1221"/>
      <c r="CVT17" s="1221"/>
      <c r="CVU17" s="1221"/>
      <c r="CVV17" s="1221"/>
      <c r="CVW17" s="1221"/>
      <c r="CVX17" s="1221"/>
      <c r="CVY17" s="1221"/>
      <c r="CVZ17" s="1221"/>
      <c r="CWA17" s="1221"/>
      <c r="CWB17" s="1221"/>
      <c r="CWC17" s="1221"/>
      <c r="CWD17" s="1221"/>
      <c r="CWE17" s="1221"/>
      <c r="CWF17" s="1221"/>
      <c r="CWG17" s="1221"/>
      <c r="CWH17" s="1221"/>
      <c r="CWI17" s="1221"/>
      <c r="CWJ17" s="1221"/>
      <c r="CWK17" s="1221"/>
      <c r="CWL17" s="1221"/>
      <c r="CWM17" s="1221"/>
      <c r="CWN17" s="1221"/>
      <c r="CWO17" s="1221"/>
      <c r="CWP17" s="1221"/>
      <c r="CWQ17" s="1221"/>
      <c r="CWR17" s="1221"/>
      <c r="CWS17" s="1221"/>
      <c r="CWT17" s="1221"/>
      <c r="CWU17" s="1221"/>
      <c r="CWV17" s="1221"/>
      <c r="CWW17" s="1221"/>
      <c r="CWX17" s="1221"/>
      <c r="CWY17" s="1221"/>
      <c r="CWZ17" s="1221"/>
      <c r="CXA17" s="1221"/>
      <c r="CXB17" s="1221"/>
      <c r="CXC17" s="1221"/>
      <c r="CXD17" s="1221"/>
      <c r="CXE17" s="1221"/>
      <c r="CXF17" s="1221"/>
      <c r="CXG17" s="1221"/>
      <c r="CXH17" s="1221"/>
      <c r="CXI17" s="1221"/>
      <c r="CXJ17" s="1221"/>
      <c r="CXK17" s="1221"/>
      <c r="CXL17" s="1221"/>
      <c r="CXM17" s="1221"/>
      <c r="CXN17" s="1221"/>
      <c r="CXO17" s="1221"/>
      <c r="CXP17" s="1221"/>
      <c r="CXQ17" s="1221"/>
      <c r="CXR17" s="1221"/>
      <c r="CXS17" s="1221"/>
      <c r="CXT17" s="1221"/>
      <c r="CXU17" s="1221"/>
      <c r="CXV17" s="1221"/>
      <c r="CXW17" s="1221"/>
      <c r="CXX17" s="1221"/>
      <c r="CXY17" s="1221"/>
      <c r="CXZ17" s="1221"/>
      <c r="CYA17" s="1221"/>
      <c r="CYB17" s="1221"/>
      <c r="CYC17" s="1221"/>
      <c r="CYD17" s="1221"/>
      <c r="CYE17" s="1221"/>
      <c r="CYF17" s="1221"/>
      <c r="CYG17" s="1221"/>
      <c r="CYH17" s="1221"/>
      <c r="CYI17" s="1221"/>
      <c r="CYJ17" s="1221"/>
      <c r="CYK17" s="1221"/>
      <c r="CYL17" s="1221"/>
      <c r="CYM17" s="1221"/>
      <c r="CYN17" s="1221"/>
      <c r="CYO17" s="1221"/>
      <c r="CYP17" s="1221"/>
      <c r="CYQ17" s="1221"/>
      <c r="CYR17" s="1221"/>
      <c r="CYS17" s="1221"/>
      <c r="CYT17" s="1221"/>
      <c r="CYU17" s="1221"/>
      <c r="CYV17" s="1221"/>
      <c r="CYW17" s="1221"/>
      <c r="CYX17" s="1221"/>
      <c r="CYY17" s="1221"/>
      <c r="CYZ17" s="1221"/>
      <c r="CZA17" s="1221"/>
      <c r="CZB17" s="1221"/>
      <c r="CZC17" s="1221"/>
      <c r="CZD17" s="1221"/>
      <c r="CZE17" s="1221"/>
      <c r="CZF17" s="1221"/>
      <c r="CZG17" s="1221"/>
      <c r="CZH17" s="1221"/>
      <c r="CZI17" s="1221"/>
      <c r="CZJ17" s="1221"/>
      <c r="CZK17" s="1221"/>
      <c r="CZL17" s="1221"/>
      <c r="CZM17" s="1221"/>
      <c r="CZN17" s="1221"/>
      <c r="CZO17" s="1221"/>
      <c r="CZP17" s="1221"/>
      <c r="CZQ17" s="1221"/>
      <c r="CZR17" s="1221"/>
      <c r="CZS17" s="1221"/>
      <c r="CZT17" s="1221"/>
      <c r="CZU17" s="1221"/>
      <c r="CZV17" s="1221"/>
      <c r="CZW17" s="1221"/>
      <c r="CZX17" s="1221"/>
      <c r="CZY17" s="1221"/>
      <c r="CZZ17" s="1221"/>
      <c r="DAA17" s="1221"/>
      <c r="DAB17" s="1221"/>
      <c r="DAC17" s="1221"/>
      <c r="DAD17" s="1221"/>
      <c r="DAE17" s="1221"/>
      <c r="DAF17" s="1221"/>
      <c r="DAG17" s="1221"/>
      <c r="DAH17" s="1221"/>
      <c r="DAI17" s="1221"/>
      <c r="DAJ17" s="1221"/>
      <c r="DAK17" s="1221"/>
      <c r="DAL17" s="1221"/>
      <c r="DAM17" s="1221"/>
      <c r="DAN17" s="1221"/>
      <c r="DAO17" s="1221"/>
      <c r="DAP17" s="1221"/>
      <c r="DAQ17" s="1221"/>
      <c r="DAR17" s="1221"/>
      <c r="DAS17" s="1221"/>
      <c r="DAT17" s="1221"/>
      <c r="DAU17" s="1221"/>
      <c r="DAV17" s="1221"/>
      <c r="DAW17" s="1221"/>
      <c r="DAX17" s="1221"/>
      <c r="DAY17" s="1221"/>
      <c r="DAZ17" s="1221"/>
      <c r="DBA17" s="1221"/>
      <c r="DBB17" s="1221"/>
      <c r="DBC17" s="1221"/>
      <c r="DBD17" s="1221"/>
      <c r="DBE17" s="1221"/>
      <c r="DBF17" s="1221"/>
      <c r="DBG17" s="1221"/>
      <c r="DBH17" s="1221"/>
      <c r="DBI17" s="1221"/>
      <c r="DBJ17" s="1221"/>
      <c r="DBK17" s="1221"/>
      <c r="DBL17" s="1221"/>
      <c r="DBM17" s="1221"/>
      <c r="DBN17" s="1221"/>
      <c r="DBO17" s="1221"/>
      <c r="DBP17" s="1221"/>
      <c r="DBQ17" s="1221"/>
      <c r="DBR17" s="1221"/>
      <c r="DBS17" s="1221"/>
      <c r="DBT17" s="1221"/>
      <c r="DBU17" s="1221"/>
      <c r="DBV17" s="1221"/>
      <c r="DBW17" s="1221"/>
      <c r="DBX17" s="1221"/>
      <c r="DBY17" s="1221"/>
      <c r="DBZ17" s="1221"/>
      <c r="DCA17" s="1221"/>
      <c r="DCB17" s="1221"/>
      <c r="DCC17" s="1221"/>
      <c r="DCD17" s="1221"/>
      <c r="DCE17" s="1221"/>
      <c r="DCF17" s="1221"/>
      <c r="DCG17" s="1221"/>
      <c r="DCH17" s="1221"/>
      <c r="DCI17" s="1221"/>
      <c r="DCJ17" s="1221"/>
      <c r="DCK17" s="1221"/>
      <c r="DCL17" s="1221"/>
      <c r="DCM17" s="1221"/>
      <c r="DCN17" s="1221"/>
      <c r="DCO17" s="1221"/>
      <c r="DCP17" s="1221"/>
      <c r="DCQ17" s="1221"/>
      <c r="DCR17" s="1221"/>
      <c r="DCS17" s="1221"/>
      <c r="DCT17" s="1221"/>
      <c r="DCU17" s="1221"/>
      <c r="DCV17" s="1221"/>
      <c r="DCW17" s="1221"/>
      <c r="DCX17" s="1221"/>
      <c r="DCY17" s="1221"/>
      <c r="DCZ17" s="1221"/>
      <c r="DDA17" s="1221"/>
      <c r="DDB17" s="1221"/>
      <c r="DDC17" s="1221"/>
      <c r="DDD17" s="1221"/>
      <c r="DDE17" s="1221"/>
      <c r="DDF17" s="1221"/>
      <c r="DDG17" s="1221"/>
      <c r="DDH17" s="1221"/>
      <c r="DDI17" s="1221"/>
      <c r="DDJ17" s="1221"/>
      <c r="DDK17" s="1221"/>
      <c r="DDL17" s="1221"/>
      <c r="DDM17" s="1221"/>
      <c r="DDN17" s="1221"/>
      <c r="DDO17" s="1221"/>
      <c r="DDP17" s="1221"/>
      <c r="DDQ17" s="1221"/>
      <c r="DDR17" s="1221"/>
      <c r="DDS17" s="1221"/>
      <c r="DDT17" s="1221"/>
      <c r="DDU17" s="1221"/>
      <c r="DDV17" s="1221"/>
      <c r="DDW17" s="1221"/>
      <c r="DDX17" s="1221"/>
      <c r="DDY17" s="1221"/>
      <c r="DDZ17" s="1221"/>
      <c r="DEA17" s="1221"/>
      <c r="DEB17" s="1221"/>
      <c r="DEC17" s="1221"/>
      <c r="DED17" s="1221"/>
      <c r="DEE17" s="1221"/>
      <c r="DEF17" s="1221"/>
      <c r="DEG17" s="1221"/>
      <c r="DEH17" s="1221"/>
      <c r="DEI17" s="1221"/>
      <c r="DEJ17" s="1221"/>
      <c r="DEK17" s="1221"/>
      <c r="DEL17" s="1221"/>
      <c r="DEM17" s="1221"/>
      <c r="DEN17" s="1221"/>
      <c r="DEO17" s="1221"/>
      <c r="DEP17" s="1221"/>
      <c r="DEQ17" s="1221"/>
      <c r="DER17" s="1221"/>
      <c r="DES17" s="1221"/>
      <c r="DET17" s="1221"/>
      <c r="DEU17" s="1221"/>
      <c r="DEV17" s="1221"/>
      <c r="DEW17" s="1221"/>
      <c r="DEX17" s="1221"/>
      <c r="DEY17" s="1221"/>
      <c r="DEZ17" s="1221"/>
      <c r="DFA17" s="1221"/>
      <c r="DFB17" s="1221"/>
      <c r="DFC17" s="1221"/>
      <c r="DFD17" s="1221"/>
      <c r="DFE17" s="1221"/>
      <c r="DFF17" s="1221"/>
      <c r="DFG17" s="1221"/>
      <c r="DFH17" s="1221"/>
      <c r="DFI17" s="1221"/>
      <c r="DFJ17" s="1221"/>
      <c r="DFK17" s="1221"/>
      <c r="DFL17" s="1221"/>
      <c r="DFM17" s="1221"/>
      <c r="DFN17" s="1221"/>
      <c r="DFO17" s="1221"/>
      <c r="DFP17" s="1221"/>
      <c r="DFQ17" s="1221"/>
      <c r="DFR17" s="1221"/>
      <c r="DFS17" s="1221"/>
      <c r="DFT17" s="1221"/>
      <c r="DFU17" s="1221"/>
      <c r="DFV17" s="1221"/>
      <c r="DFW17" s="1221"/>
      <c r="DFX17" s="1221"/>
      <c r="DFY17" s="1221"/>
      <c r="DFZ17" s="1221"/>
      <c r="DGA17" s="1221"/>
      <c r="DGB17" s="1221"/>
      <c r="DGC17" s="1221"/>
      <c r="DGD17" s="1221"/>
      <c r="DGE17" s="1221"/>
      <c r="DGF17" s="1221"/>
      <c r="DGG17" s="1221"/>
      <c r="DGH17" s="1221"/>
      <c r="DGI17" s="1221"/>
      <c r="DGJ17" s="1221"/>
      <c r="DGK17" s="1221"/>
      <c r="DGL17" s="1221"/>
      <c r="DGM17" s="1221"/>
      <c r="DGN17" s="1221"/>
      <c r="DGO17" s="1221"/>
      <c r="DGP17" s="1221"/>
      <c r="DGQ17" s="1221"/>
      <c r="DGR17" s="1221"/>
      <c r="DGS17" s="1221"/>
      <c r="DGT17" s="1221"/>
      <c r="DGU17" s="1221"/>
      <c r="DGV17" s="1221"/>
      <c r="DGW17" s="1221"/>
      <c r="DGX17" s="1221"/>
      <c r="DGY17" s="1221"/>
      <c r="DGZ17" s="1221"/>
      <c r="DHA17" s="1221"/>
      <c r="DHB17" s="1221"/>
      <c r="DHC17" s="1221"/>
      <c r="DHD17" s="1221"/>
      <c r="DHE17" s="1221"/>
      <c r="DHF17" s="1221"/>
      <c r="DHG17" s="1221"/>
      <c r="DHH17" s="1221"/>
      <c r="DHI17" s="1221"/>
      <c r="DHJ17" s="1221"/>
      <c r="DHK17" s="1221"/>
      <c r="DHL17" s="1221"/>
      <c r="DHM17" s="1221"/>
      <c r="DHN17" s="1221"/>
      <c r="DHO17" s="1221"/>
      <c r="DHP17" s="1221"/>
      <c r="DHQ17" s="1221"/>
      <c r="DHR17" s="1221"/>
      <c r="DHS17" s="1221"/>
      <c r="DHT17" s="1221"/>
      <c r="DHU17" s="1221"/>
      <c r="DHV17" s="1221"/>
      <c r="DHW17" s="1221"/>
      <c r="DHX17" s="1221"/>
      <c r="DHY17" s="1221"/>
      <c r="DHZ17" s="1221"/>
      <c r="DIA17" s="1221"/>
      <c r="DIB17" s="1221"/>
      <c r="DIC17" s="1221"/>
      <c r="DID17" s="1221"/>
      <c r="DIE17" s="1221"/>
      <c r="DIF17" s="1221"/>
      <c r="DIG17" s="1221"/>
      <c r="DIH17" s="1221"/>
      <c r="DII17" s="1221"/>
      <c r="DIJ17" s="1221"/>
      <c r="DIK17" s="1221"/>
      <c r="DIL17" s="1221"/>
      <c r="DIM17" s="1221"/>
      <c r="DIN17" s="1221"/>
      <c r="DIO17" s="1221"/>
      <c r="DIP17" s="1221"/>
      <c r="DIQ17" s="1221"/>
      <c r="DIR17" s="1221"/>
      <c r="DIS17" s="1221"/>
      <c r="DIT17" s="1221"/>
      <c r="DIU17" s="1221"/>
      <c r="DIV17" s="1221"/>
      <c r="DIW17" s="1221"/>
      <c r="DIX17" s="1221"/>
      <c r="DIY17" s="1221"/>
      <c r="DIZ17" s="1221"/>
      <c r="DJA17" s="1221"/>
      <c r="DJB17" s="1221"/>
      <c r="DJC17" s="1221"/>
      <c r="DJD17" s="1221"/>
      <c r="DJE17" s="1221"/>
      <c r="DJF17" s="1221"/>
      <c r="DJG17" s="1221"/>
      <c r="DJH17" s="1221"/>
      <c r="DJI17" s="1221"/>
      <c r="DJJ17" s="1221"/>
      <c r="DJK17" s="1221"/>
      <c r="DJL17" s="1221"/>
      <c r="DJM17" s="1221"/>
      <c r="DJN17" s="1221"/>
      <c r="DJO17" s="1221"/>
      <c r="DJP17" s="1221"/>
      <c r="DJQ17" s="1221"/>
      <c r="DJR17" s="1221"/>
      <c r="DJS17" s="1221"/>
      <c r="DJT17" s="1221"/>
      <c r="DJU17" s="1221"/>
      <c r="DJV17" s="1221"/>
      <c r="DJW17" s="1221"/>
      <c r="DJX17" s="1221"/>
      <c r="DJY17" s="1221"/>
      <c r="DJZ17" s="1221"/>
      <c r="DKA17" s="1221"/>
      <c r="DKB17" s="1221"/>
      <c r="DKC17" s="1221"/>
      <c r="DKD17" s="1221"/>
      <c r="DKE17" s="1221"/>
      <c r="DKF17" s="1221"/>
      <c r="DKG17" s="1221"/>
      <c r="DKH17" s="1221"/>
      <c r="DKI17" s="1221"/>
      <c r="DKJ17" s="1221"/>
      <c r="DKK17" s="1221"/>
      <c r="DKL17" s="1221"/>
      <c r="DKM17" s="1221"/>
      <c r="DKN17" s="1221"/>
      <c r="DKO17" s="1221"/>
      <c r="DKP17" s="1221"/>
      <c r="DKQ17" s="1221"/>
      <c r="DKR17" s="1221"/>
      <c r="DKS17" s="1221"/>
      <c r="DKT17" s="1221"/>
      <c r="DKU17" s="1221"/>
      <c r="DKV17" s="1221"/>
      <c r="DKW17" s="1221"/>
      <c r="DKX17" s="1221"/>
      <c r="DKY17" s="1221"/>
      <c r="DKZ17" s="1221"/>
      <c r="DLA17" s="1221"/>
      <c r="DLB17" s="1221"/>
      <c r="DLC17" s="1221"/>
      <c r="DLD17" s="1221"/>
      <c r="DLE17" s="1221"/>
      <c r="DLF17" s="1221"/>
      <c r="DLG17" s="1221"/>
      <c r="DLH17" s="1221"/>
      <c r="DLI17" s="1221"/>
      <c r="DLJ17" s="1221"/>
      <c r="DLK17" s="1221"/>
      <c r="DLL17" s="1221"/>
      <c r="DLM17" s="1221"/>
      <c r="DLN17" s="1221"/>
      <c r="DLO17" s="1221"/>
      <c r="DLP17" s="1221"/>
      <c r="DLQ17" s="1221"/>
      <c r="DLR17" s="1221"/>
      <c r="DLS17" s="1221"/>
      <c r="DLT17" s="1221"/>
      <c r="DLU17" s="1221"/>
      <c r="DLV17" s="1221"/>
      <c r="DLW17" s="1221"/>
      <c r="DLX17" s="1221"/>
      <c r="DLY17" s="1221"/>
      <c r="DLZ17" s="1221"/>
      <c r="DMA17" s="1221"/>
      <c r="DMB17" s="1221"/>
      <c r="DMC17" s="1221"/>
      <c r="DMD17" s="1221"/>
      <c r="DME17" s="1221"/>
      <c r="DMF17" s="1221"/>
      <c r="DMG17" s="1221"/>
      <c r="DMH17" s="1221"/>
      <c r="DMI17" s="1221"/>
      <c r="DMJ17" s="1221"/>
      <c r="DMK17" s="1221"/>
      <c r="DML17" s="1221"/>
      <c r="DMM17" s="1221"/>
      <c r="DMN17" s="1221"/>
      <c r="DMO17" s="1221"/>
      <c r="DMP17" s="1221"/>
      <c r="DMQ17" s="1221"/>
      <c r="DMR17" s="1221"/>
      <c r="DMS17" s="1221"/>
      <c r="DMT17" s="1221"/>
      <c r="DMU17" s="1221"/>
      <c r="DMV17" s="1221"/>
      <c r="DMW17" s="1221"/>
      <c r="DMX17" s="1221"/>
      <c r="DMY17" s="1221"/>
      <c r="DMZ17" s="1221"/>
      <c r="DNA17" s="1221"/>
      <c r="DNB17" s="1221"/>
      <c r="DNC17" s="1221"/>
      <c r="DND17" s="1221"/>
      <c r="DNE17" s="1221"/>
      <c r="DNF17" s="1221"/>
      <c r="DNG17" s="1221"/>
      <c r="DNH17" s="1221"/>
      <c r="DNI17" s="1221"/>
      <c r="DNJ17" s="1221"/>
      <c r="DNK17" s="1221"/>
      <c r="DNL17" s="1221"/>
      <c r="DNM17" s="1221"/>
      <c r="DNN17" s="1221"/>
      <c r="DNO17" s="1221"/>
      <c r="DNP17" s="1221"/>
      <c r="DNQ17" s="1221"/>
      <c r="DNR17" s="1221"/>
      <c r="DNS17" s="1221"/>
      <c r="DNT17" s="1221"/>
      <c r="DNU17" s="1221"/>
      <c r="DNV17" s="1221"/>
      <c r="DNW17" s="1221"/>
      <c r="DNX17" s="1221"/>
      <c r="DNY17" s="1221"/>
      <c r="DNZ17" s="1221"/>
      <c r="DOA17" s="1221"/>
      <c r="DOB17" s="1221"/>
      <c r="DOC17" s="1221"/>
      <c r="DOD17" s="1221"/>
      <c r="DOE17" s="1221"/>
      <c r="DOF17" s="1221"/>
      <c r="DOG17" s="1221"/>
      <c r="DOH17" s="1221"/>
      <c r="DOI17" s="1221"/>
      <c r="DOJ17" s="1221"/>
      <c r="DOK17" s="1221"/>
      <c r="DOL17" s="1221"/>
      <c r="DOM17" s="1221"/>
      <c r="DON17" s="1221"/>
      <c r="DOO17" s="1221"/>
      <c r="DOP17" s="1221"/>
      <c r="DOQ17" s="1221"/>
      <c r="DOR17" s="1221"/>
      <c r="DOS17" s="1221"/>
      <c r="DOT17" s="1221"/>
      <c r="DOU17" s="1221"/>
      <c r="DOV17" s="1221"/>
      <c r="DOW17" s="1221"/>
      <c r="DOX17" s="1221"/>
      <c r="DOY17" s="1221"/>
      <c r="DOZ17" s="1221"/>
      <c r="DPA17" s="1221"/>
      <c r="DPB17" s="1221"/>
      <c r="DPC17" s="1221"/>
      <c r="DPD17" s="1221"/>
      <c r="DPE17" s="1221"/>
      <c r="DPF17" s="1221"/>
      <c r="DPG17" s="1221"/>
      <c r="DPH17" s="1221"/>
      <c r="DPI17" s="1221"/>
      <c r="DPJ17" s="1221"/>
      <c r="DPK17" s="1221"/>
      <c r="DPL17" s="1221"/>
      <c r="DPM17" s="1221"/>
      <c r="DPN17" s="1221"/>
      <c r="DPO17" s="1221"/>
      <c r="DPP17" s="1221"/>
      <c r="DPQ17" s="1221"/>
      <c r="DPR17" s="1221"/>
      <c r="DPS17" s="1221"/>
      <c r="DPT17" s="1221"/>
      <c r="DPU17" s="1221"/>
      <c r="DPV17" s="1221"/>
      <c r="DPW17" s="1221"/>
      <c r="DPX17" s="1221"/>
      <c r="DPY17" s="1221"/>
      <c r="DPZ17" s="1221"/>
      <c r="DQA17" s="1221"/>
      <c r="DQB17" s="1221"/>
      <c r="DQC17" s="1221"/>
      <c r="DQD17" s="1221"/>
      <c r="DQE17" s="1221"/>
      <c r="DQF17" s="1221"/>
      <c r="DQG17" s="1221"/>
      <c r="DQH17" s="1221"/>
      <c r="DQI17" s="1221"/>
      <c r="DQJ17" s="1221"/>
      <c r="DQK17" s="1221"/>
      <c r="DQL17" s="1221"/>
      <c r="DQM17" s="1221"/>
      <c r="DQN17" s="1221"/>
      <c r="DQO17" s="1221"/>
      <c r="DQP17" s="1221"/>
      <c r="DQQ17" s="1221"/>
      <c r="DQR17" s="1221"/>
      <c r="DQS17" s="1221"/>
      <c r="DQT17" s="1221"/>
      <c r="DQU17" s="1221"/>
      <c r="DQV17" s="1221"/>
      <c r="DQW17" s="1221"/>
      <c r="DQX17" s="1221"/>
      <c r="DQY17" s="1221"/>
      <c r="DQZ17" s="1221"/>
      <c r="DRA17" s="1221"/>
      <c r="DRB17" s="1221"/>
      <c r="DRC17" s="1221"/>
      <c r="DRD17" s="1221"/>
      <c r="DRE17" s="1221"/>
      <c r="DRF17" s="1221"/>
      <c r="DRG17" s="1221"/>
      <c r="DRH17" s="1221"/>
      <c r="DRI17" s="1221"/>
      <c r="DRJ17" s="1221"/>
      <c r="DRK17" s="1221"/>
      <c r="DRL17" s="1221"/>
      <c r="DRM17" s="1221"/>
      <c r="DRN17" s="1221"/>
      <c r="DRO17" s="1221"/>
      <c r="DRP17" s="1221"/>
      <c r="DRQ17" s="1221"/>
      <c r="DRR17" s="1221"/>
      <c r="DRS17" s="1221"/>
      <c r="DRT17" s="1221"/>
      <c r="DRU17" s="1221"/>
      <c r="DRV17" s="1221"/>
      <c r="DRW17" s="1221"/>
      <c r="DRX17" s="1221"/>
      <c r="DRY17" s="1221"/>
      <c r="DRZ17" s="1221"/>
      <c r="DSA17" s="1221"/>
      <c r="DSB17" s="1221"/>
      <c r="DSC17" s="1221"/>
      <c r="DSD17" s="1221"/>
      <c r="DSE17" s="1221"/>
      <c r="DSF17" s="1221"/>
      <c r="DSG17" s="1221"/>
      <c r="DSH17" s="1221"/>
      <c r="DSI17" s="1221"/>
      <c r="DSJ17" s="1221"/>
      <c r="DSK17" s="1221"/>
      <c r="DSL17" s="1221"/>
      <c r="DSM17" s="1221"/>
      <c r="DSN17" s="1221"/>
      <c r="DSO17" s="1221"/>
      <c r="DSP17" s="1221"/>
      <c r="DSQ17" s="1221"/>
      <c r="DSR17" s="1221"/>
      <c r="DSS17" s="1221"/>
      <c r="DST17" s="1221"/>
      <c r="DSU17" s="1221"/>
      <c r="DSV17" s="1221"/>
      <c r="DSW17" s="1221"/>
      <c r="DSX17" s="1221"/>
      <c r="DSY17" s="1221"/>
      <c r="DSZ17" s="1221"/>
      <c r="DTA17" s="1221"/>
      <c r="DTB17" s="1221"/>
      <c r="DTC17" s="1221"/>
      <c r="DTD17" s="1221"/>
      <c r="DTE17" s="1221"/>
      <c r="DTF17" s="1221"/>
      <c r="DTG17" s="1221"/>
      <c r="DTH17" s="1221"/>
      <c r="DTI17" s="1221"/>
      <c r="DTJ17" s="1221"/>
      <c r="DTK17" s="1221"/>
      <c r="DTL17" s="1221"/>
      <c r="DTM17" s="1221"/>
      <c r="DTN17" s="1221"/>
      <c r="DTO17" s="1221"/>
      <c r="DTP17" s="1221"/>
      <c r="DTQ17" s="1221"/>
      <c r="DTR17" s="1221"/>
      <c r="DTS17" s="1221"/>
      <c r="DTT17" s="1221"/>
      <c r="DTU17" s="1221"/>
      <c r="DTV17" s="1221"/>
      <c r="DTW17" s="1221"/>
      <c r="DTX17" s="1221"/>
      <c r="DTY17" s="1221"/>
      <c r="DTZ17" s="1221"/>
      <c r="DUA17" s="1221"/>
      <c r="DUB17" s="1221"/>
      <c r="DUC17" s="1221"/>
      <c r="DUD17" s="1221"/>
      <c r="DUE17" s="1221"/>
      <c r="DUF17" s="1221"/>
      <c r="DUG17" s="1221"/>
      <c r="DUH17" s="1221"/>
      <c r="DUI17" s="1221"/>
      <c r="DUJ17" s="1221"/>
      <c r="DUK17" s="1221"/>
      <c r="DUL17" s="1221"/>
      <c r="DUM17" s="1221"/>
      <c r="DUN17" s="1221"/>
      <c r="DUO17" s="1221"/>
      <c r="DUP17" s="1221"/>
      <c r="DUQ17" s="1221"/>
      <c r="DUR17" s="1221"/>
      <c r="DUS17" s="1221"/>
      <c r="DUT17" s="1221"/>
      <c r="DUU17" s="1221"/>
      <c r="DUV17" s="1221"/>
      <c r="DUW17" s="1221"/>
      <c r="DUX17" s="1221"/>
      <c r="DUY17" s="1221"/>
      <c r="DUZ17" s="1221"/>
      <c r="DVA17" s="1221"/>
      <c r="DVB17" s="1221"/>
      <c r="DVC17" s="1221"/>
      <c r="DVD17" s="1221"/>
      <c r="DVE17" s="1221"/>
      <c r="DVF17" s="1221"/>
      <c r="DVG17" s="1221"/>
      <c r="DVH17" s="1221"/>
      <c r="DVI17" s="1221"/>
      <c r="DVJ17" s="1221"/>
      <c r="DVK17" s="1221"/>
      <c r="DVL17" s="1221"/>
      <c r="DVM17" s="1221"/>
      <c r="DVN17" s="1221"/>
      <c r="DVO17" s="1221"/>
      <c r="DVP17" s="1221"/>
      <c r="DVQ17" s="1221"/>
      <c r="DVR17" s="1221"/>
      <c r="DVS17" s="1221"/>
      <c r="DVT17" s="1221"/>
      <c r="DVU17" s="1221"/>
      <c r="DVV17" s="1221"/>
      <c r="DVW17" s="1221"/>
      <c r="DVX17" s="1221"/>
      <c r="DVY17" s="1221"/>
      <c r="DVZ17" s="1221"/>
      <c r="DWA17" s="1221"/>
      <c r="DWB17" s="1221"/>
      <c r="DWC17" s="1221"/>
      <c r="DWD17" s="1221"/>
      <c r="DWE17" s="1221"/>
      <c r="DWF17" s="1221"/>
      <c r="DWG17" s="1221"/>
      <c r="DWH17" s="1221"/>
      <c r="DWI17" s="1221"/>
      <c r="DWJ17" s="1221"/>
      <c r="DWK17" s="1221"/>
      <c r="DWL17" s="1221"/>
      <c r="DWM17" s="1221"/>
      <c r="DWN17" s="1221"/>
      <c r="DWO17" s="1221"/>
      <c r="DWP17" s="1221"/>
      <c r="DWQ17" s="1221"/>
      <c r="DWR17" s="1221"/>
      <c r="DWS17" s="1221"/>
      <c r="DWT17" s="1221"/>
      <c r="DWU17" s="1221"/>
      <c r="DWV17" s="1221"/>
      <c r="DWW17" s="1221"/>
      <c r="DWX17" s="1221"/>
      <c r="DWY17" s="1221"/>
      <c r="DWZ17" s="1221"/>
      <c r="DXA17" s="1221"/>
      <c r="DXB17" s="1221"/>
      <c r="DXC17" s="1221"/>
      <c r="DXD17" s="1221"/>
      <c r="DXE17" s="1221"/>
      <c r="DXF17" s="1221"/>
      <c r="DXG17" s="1221"/>
      <c r="DXH17" s="1221"/>
      <c r="DXI17" s="1221"/>
      <c r="DXJ17" s="1221"/>
      <c r="DXK17" s="1221"/>
      <c r="DXL17" s="1221"/>
      <c r="DXM17" s="1221"/>
      <c r="DXN17" s="1221"/>
      <c r="DXO17" s="1221"/>
      <c r="DXP17" s="1221"/>
      <c r="DXQ17" s="1221"/>
      <c r="DXR17" s="1221"/>
      <c r="DXS17" s="1221"/>
      <c r="DXT17" s="1221"/>
      <c r="DXU17" s="1221"/>
      <c r="DXV17" s="1221"/>
      <c r="DXW17" s="1221"/>
      <c r="DXX17" s="1221"/>
      <c r="DXY17" s="1221"/>
      <c r="DXZ17" s="1221"/>
      <c r="DYA17" s="1221"/>
      <c r="DYB17" s="1221"/>
      <c r="DYC17" s="1221"/>
      <c r="DYD17" s="1221"/>
      <c r="DYE17" s="1221"/>
      <c r="DYF17" s="1221"/>
      <c r="DYG17" s="1221"/>
      <c r="DYH17" s="1221"/>
      <c r="DYI17" s="1221"/>
      <c r="DYJ17" s="1221"/>
      <c r="DYK17" s="1221"/>
      <c r="DYL17" s="1221"/>
      <c r="DYM17" s="1221"/>
      <c r="DYN17" s="1221"/>
      <c r="DYO17" s="1221"/>
      <c r="DYP17" s="1221"/>
      <c r="DYQ17" s="1221"/>
      <c r="DYR17" s="1221"/>
      <c r="DYS17" s="1221"/>
      <c r="DYT17" s="1221"/>
      <c r="DYU17" s="1221"/>
      <c r="DYV17" s="1221"/>
      <c r="DYW17" s="1221"/>
      <c r="DYX17" s="1221"/>
      <c r="DYY17" s="1221"/>
      <c r="DYZ17" s="1221"/>
      <c r="DZA17" s="1221"/>
      <c r="DZB17" s="1221"/>
      <c r="DZC17" s="1221"/>
      <c r="DZD17" s="1221"/>
      <c r="DZE17" s="1221"/>
      <c r="DZF17" s="1221"/>
      <c r="DZG17" s="1221"/>
      <c r="DZH17" s="1221"/>
      <c r="DZI17" s="1221"/>
      <c r="DZJ17" s="1221"/>
      <c r="DZK17" s="1221"/>
      <c r="DZL17" s="1221"/>
      <c r="DZM17" s="1221"/>
      <c r="DZN17" s="1221"/>
      <c r="DZO17" s="1221"/>
      <c r="DZP17" s="1221"/>
      <c r="DZQ17" s="1221"/>
      <c r="DZR17" s="1221"/>
      <c r="DZS17" s="1221"/>
      <c r="DZT17" s="1221"/>
      <c r="DZU17" s="1221"/>
      <c r="DZV17" s="1221"/>
      <c r="DZW17" s="1221"/>
      <c r="DZX17" s="1221"/>
      <c r="DZY17" s="1221"/>
      <c r="DZZ17" s="1221"/>
      <c r="EAA17" s="1221"/>
      <c r="EAB17" s="1221"/>
      <c r="EAC17" s="1221"/>
      <c r="EAD17" s="1221"/>
      <c r="EAE17" s="1221"/>
      <c r="EAF17" s="1221"/>
      <c r="EAG17" s="1221"/>
      <c r="EAH17" s="1221"/>
      <c r="EAI17" s="1221"/>
      <c r="EAJ17" s="1221"/>
      <c r="EAK17" s="1221"/>
      <c r="EAL17" s="1221"/>
      <c r="EAM17" s="1221"/>
      <c r="EAN17" s="1221"/>
      <c r="EAO17" s="1221"/>
      <c r="EAP17" s="1221"/>
      <c r="EAQ17" s="1221"/>
      <c r="EAR17" s="1221"/>
      <c r="EAS17" s="1221"/>
      <c r="EAT17" s="1221"/>
      <c r="EAU17" s="1221"/>
      <c r="EAV17" s="1221"/>
      <c r="EAW17" s="1221"/>
      <c r="EAX17" s="1221"/>
      <c r="EAY17" s="1221"/>
      <c r="EAZ17" s="1221"/>
      <c r="EBA17" s="1221"/>
      <c r="EBB17" s="1221"/>
      <c r="EBC17" s="1221"/>
      <c r="EBD17" s="1221"/>
      <c r="EBE17" s="1221"/>
      <c r="EBF17" s="1221"/>
      <c r="EBG17" s="1221"/>
      <c r="EBH17" s="1221"/>
      <c r="EBI17" s="1221"/>
      <c r="EBJ17" s="1221"/>
      <c r="EBK17" s="1221"/>
      <c r="EBL17" s="1221"/>
      <c r="EBM17" s="1221"/>
      <c r="EBN17" s="1221"/>
      <c r="EBO17" s="1221"/>
      <c r="EBP17" s="1221"/>
      <c r="EBQ17" s="1221"/>
      <c r="EBR17" s="1221"/>
      <c r="EBS17" s="1221"/>
      <c r="EBT17" s="1221"/>
      <c r="EBU17" s="1221"/>
      <c r="EBV17" s="1221"/>
      <c r="EBW17" s="1221"/>
      <c r="EBX17" s="1221"/>
      <c r="EBY17" s="1221"/>
      <c r="EBZ17" s="1221"/>
      <c r="ECA17" s="1221"/>
      <c r="ECB17" s="1221"/>
      <c r="ECC17" s="1221"/>
      <c r="ECD17" s="1221"/>
      <c r="ECE17" s="1221"/>
      <c r="ECF17" s="1221"/>
      <c r="ECG17" s="1221"/>
      <c r="ECH17" s="1221"/>
      <c r="ECI17" s="1221"/>
      <c r="ECJ17" s="1221"/>
      <c r="ECK17" s="1221"/>
      <c r="ECL17" s="1221"/>
      <c r="ECM17" s="1221"/>
      <c r="ECN17" s="1221"/>
      <c r="ECO17" s="1221"/>
    </row>
    <row r="18" spans="2:3473" s="1248" customFormat="1" ht="13" outlineLevel="1">
      <c r="B18" s="1249" t="s">
        <v>490</v>
      </c>
      <c r="C18" s="1250">
        <v>2</v>
      </c>
      <c r="D18" s="1251" t="s">
        <v>491</v>
      </c>
      <c r="E18" s="1252">
        <f t="shared" si="4"/>
        <v>112.59168540885011</v>
      </c>
      <c r="F18" s="1252">
        <f t="shared" si="4"/>
        <v>102.10878601225247</v>
      </c>
      <c r="G18" s="1252">
        <f t="shared" si="4"/>
        <v>10.482899396597668</v>
      </c>
      <c r="H18" s="1252">
        <f t="shared" si="4"/>
        <v>439.41658430604559</v>
      </c>
      <c r="I18" s="1252">
        <f t="shared" si="4"/>
        <v>397.98970166037628</v>
      </c>
      <c r="J18" s="1252">
        <f t="shared" si="4"/>
        <v>41.426882645669416</v>
      </c>
      <c r="K18" s="1252">
        <f t="shared" si="4"/>
        <v>101.22780185445146</v>
      </c>
      <c r="L18" s="1252">
        <f t="shared" si="4"/>
        <v>91.91469128863281</v>
      </c>
      <c r="M18" s="1252">
        <f t="shared" si="4"/>
        <v>9.3131105658186506</v>
      </c>
      <c r="N18" s="1252" t="str">
        <f t="shared" si="4"/>
        <v/>
      </c>
      <c r="O18" s="1252" t="str">
        <f t="shared" si="4"/>
        <v/>
      </c>
      <c r="P18" s="1252" t="str">
        <f t="shared" si="4"/>
        <v/>
      </c>
      <c r="Q18" s="1252">
        <f t="shared" si="4"/>
        <v>446.18518842107011</v>
      </c>
      <c r="R18" s="1252">
        <f t="shared" si="4"/>
        <v>404.18270592780192</v>
      </c>
      <c r="S18" s="1252">
        <f t="shared" si="8"/>
        <v>42.002482493268218</v>
      </c>
      <c r="T18" s="1252">
        <f t="shared" si="5"/>
        <v>389.0950865496302</v>
      </c>
      <c r="U18" s="1252">
        <f t="shared" si="5"/>
        <v>353.66759842482492</v>
      </c>
      <c r="V18" s="1252">
        <f t="shared" si="9"/>
        <v>35.427488124805208</v>
      </c>
      <c r="W18" s="1252" t="str">
        <f t="shared" si="10"/>
        <v/>
      </c>
      <c r="X18" s="1252" t="str">
        <f t="shared" si="10"/>
        <v/>
      </c>
      <c r="Y18" s="1252" t="str">
        <f t="shared" si="10"/>
        <v/>
      </c>
      <c r="Z18" s="1252">
        <f t="shared" si="11"/>
        <v>360.3406012489616</v>
      </c>
      <c r="AA18" s="1252">
        <f t="shared" si="11"/>
        <v>326.44473542248727</v>
      </c>
      <c r="AB18" s="1252">
        <f t="shared" si="11"/>
        <v>33.895865826474356</v>
      </c>
      <c r="AC18" s="1252">
        <f t="shared" si="15"/>
        <v>478.73344938761102</v>
      </c>
      <c r="AD18" s="1260">
        <f t="shared" si="15"/>
        <v>433.70081995078465</v>
      </c>
      <c r="AE18" s="1260">
        <f t="shared" si="15"/>
        <v>45.032629436826412</v>
      </c>
      <c r="AF18" s="1254">
        <f>AG18+AH18</f>
        <v>276.59093290841469</v>
      </c>
      <c r="AG18" s="1256">
        <f>VLOOKUP($D18,车位!$D$17:$U$199,14,0)*车位!$K$3</f>
        <v>250.83880997712322</v>
      </c>
      <c r="AH18" s="1256">
        <f>VLOOKUP($D18,车位!$D$17:$U$199,16,0)*车位!$K$3</f>
        <v>25.752122931291488</v>
      </c>
      <c r="AI18" s="1256">
        <f>AJ18+AK18</f>
        <v>1897.1349639999999</v>
      </c>
      <c r="AJ18" s="1256">
        <f>VLOOKUP($D18,高层!$D$11:$U$202,14,0)</f>
        <v>1718.278748</v>
      </c>
      <c r="AK18" s="1256">
        <f>VLOOKUP($D18,高层!$D$11:$U$202,16,0)</f>
        <v>178.8562159999999</v>
      </c>
      <c r="AL18" s="1256">
        <f t="shared" si="20"/>
        <v>95.249895243738678</v>
      </c>
      <c r="AM18" s="1256">
        <f>VLOOKUP($D18,人防车位!D:U,14,0)*人防车位!K3</f>
        <v>86.486761109273885</v>
      </c>
      <c r="AN18" s="1256">
        <f>VLOOKUP($D18,人防车位!D:U,16,0)*人防车位!K3</f>
        <v>8.7631341344647957</v>
      </c>
      <c r="AO18" s="1256">
        <f t="shared" si="21"/>
        <v>0</v>
      </c>
      <c r="AP18" s="1256">
        <f>VLOOKUP($D18,人才公寓销售!$D$11:$U$202,14,0)</f>
        <v>0</v>
      </c>
      <c r="AQ18" s="1256">
        <f>VLOOKUP($D18,人才公寓销售!$D$11:$U$202,16,0)</f>
        <v>0</v>
      </c>
      <c r="AR18" s="1256">
        <f>AS18+AT18</f>
        <v>2640.273189</v>
      </c>
      <c r="AS18" s="1256">
        <f>VLOOKUP($D18,小高层!$D$11:$U$202,14,0)</f>
        <v>2391.726103</v>
      </c>
      <c r="AT18" s="1256">
        <f>VLOOKUP($D18,小高层!$D$11:$U$202,16,0)</f>
        <v>248.54708600000006</v>
      </c>
      <c r="AU18" s="1256">
        <f>AV18+AW18</f>
        <v>41.202445999999988</v>
      </c>
      <c r="AV18" s="1256">
        <f>VLOOKUP($D18,临街商业!$D$11:$U$202,14,0)</f>
        <v>37.450922999999989</v>
      </c>
      <c r="AW18" s="1256">
        <f>VLOOKUP($D18,临街商业!$D$11:$U$202,16,0)</f>
        <v>3.7515229999999979</v>
      </c>
      <c r="AX18" s="1256"/>
      <c r="AY18" s="1256"/>
      <c r="AZ18" s="1256"/>
      <c r="BA18" s="1257">
        <f>BB18+BC18</f>
        <v>4950.4514271521539</v>
      </c>
      <c r="BB18" s="1257">
        <f t="shared" si="32"/>
        <v>4484.7813450863978</v>
      </c>
      <c r="BC18" s="1257">
        <f t="shared" si="32"/>
        <v>465.67008206575628</v>
      </c>
      <c r="BD18" s="1256">
        <f>+BE18+BF18</f>
        <v>0</v>
      </c>
      <c r="BE18" s="1256">
        <v>0</v>
      </c>
      <c r="BF18" s="1256">
        <v>0</v>
      </c>
      <c r="BG18" s="1256">
        <f t="shared" si="33"/>
        <v>0</v>
      </c>
      <c r="BH18" s="1257">
        <f t="shared" si="34"/>
        <v>0</v>
      </c>
      <c r="BI18" s="1257">
        <f t="shared" si="34"/>
        <v>0</v>
      </c>
      <c r="BJ18" s="1256">
        <f t="shared" si="35"/>
        <v>4950.4514271521539</v>
      </c>
      <c r="BK18" s="1257">
        <f t="shared" si="35"/>
        <v>4484.7813450863978</v>
      </c>
      <c r="BL18" s="1257">
        <f t="shared" si="35"/>
        <v>465.67008206575628</v>
      </c>
      <c r="BM18" s="1262" t="s">
        <v>489</v>
      </c>
      <c r="BN18" s="1225">
        <f t="shared" si="12"/>
        <v>0</v>
      </c>
      <c r="BO18" s="1225">
        <f t="shared" si="13"/>
        <v>0</v>
      </c>
      <c r="BP18" s="1225">
        <f t="shared" si="14"/>
        <v>0</v>
      </c>
      <c r="BQ18" s="1225"/>
      <c r="BR18" s="1221"/>
      <c r="BS18" s="1221"/>
      <c r="BT18" s="1221"/>
      <c r="BU18" s="1221"/>
      <c r="BV18" s="1221"/>
      <c r="BW18" s="1221"/>
      <c r="BX18" s="1221"/>
      <c r="BY18" s="1221"/>
      <c r="BZ18" s="1221"/>
      <c r="CA18" s="1221"/>
      <c r="CB18" s="1221"/>
      <c r="CC18" s="1221"/>
      <c r="CD18" s="1221"/>
      <c r="CE18" s="1221"/>
      <c r="CF18" s="1221"/>
      <c r="CG18" s="1221"/>
      <c r="CH18" s="1221"/>
      <c r="CI18" s="1221"/>
      <c r="CJ18" s="1221"/>
      <c r="CK18" s="1221"/>
      <c r="CL18" s="1221"/>
      <c r="CM18" s="1221"/>
      <c r="CN18" s="1221"/>
      <c r="CO18" s="1221"/>
      <c r="CP18" s="1221"/>
      <c r="CQ18" s="1221"/>
      <c r="CR18" s="1221"/>
      <c r="CS18" s="1221"/>
      <c r="CT18" s="1221"/>
      <c r="CU18" s="1221"/>
      <c r="CV18" s="1221"/>
      <c r="CW18" s="1221"/>
      <c r="CX18" s="1221"/>
      <c r="CY18" s="1221"/>
      <c r="CZ18" s="1221"/>
      <c r="DA18" s="1221"/>
      <c r="DB18" s="1221"/>
      <c r="DC18" s="1221"/>
      <c r="DD18" s="1221"/>
      <c r="DE18" s="1221"/>
      <c r="DF18" s="1221"/>
      <c r="DG18" s="1221"/>
      <c r="DH18" s="1221"/>
      <c r="DI18" s="1221"/>
      <c r="DJ18" s="1221"/>
      <c r="DK18" s="1221"/>
      <c r="DL18" s="1221"/>
      <c r="DM18" s="1221"/>
      <c r="DN18" s="1221"/>
      <c r="DO18" s="1221"/>
      <c r="DP18" s="1221"/>
      <c r="DQ18" s="1221"/>
      <c r="DR18" s="1221"/>
      <c r="DS18" s="1221"/>
      <c r="DT18" s="1221"/>
      <c r="DU18" s="1221"/>
      <c r="DV18" s="1221"/>
      <c r="DW18" s="1221"/>
      <c r="DX18" s="1221"/>
      <c r="DY18" s="1221"/>
      <c r="DZ18" s="1221"/>
      <c r="EA18" s="1221"/>
      <c r="EB18" s="1221"/>
      <c r="EC18" s="1221"/>
      <c r="ED18" s="1221"/>
      <c r="EE18" s="1221"/>
      <c r="EF18" s="1221"/>
      <c r="EG18" s="1221"/>
      <c r="EH18" s="1221"/>
      <c r="EI18" s="1221"/>
      <c r="EJ18" s="1221"/>
      <c r="EK18" s="1221"/>
      <c r="EL18" s="1221"/>
      <c r="EM18" s="1221"/>
      <c r="EN18" s="1221"/>
      <c r="EO18" s="1221"/>
      <c r="EP18" s="1221"/>
      <c r="EQ18" s="1221"/>
      <c r="ER18" s="1221"/>
      <c r="ES18" s="1221"/>
      <c r="ET18" s="1221"/>
      <c r="EU18" s="1221"/>
      <c r="EV18" s="1221"/>
      <c r="EW18" s="1221"/>
      <c r="EX18" s="1221"/>
      <c r="EY18" s="1221"/>
      <c r="EZ18" s="1221"/>
      <c r="FA18" s="1221"/>
      <c r="FB18" s="1221"/>
      <c r="FC18" s="1221"/>
      <c r="FD18" s="1221"/>
      <c r="FE18" s="1221"/>
      <c r="FF18" s="1221"/>
      <c r="FG18" s="1221"/>
      <c r="FH18" s="1221"/>
      <c r="FI18" s="1221"/>
      <c r="FJ18" s="1221"/>
      <c r="FK18" s="1221"/>
      <c r="FL18" s="1221"/>
      <c r="FM18" s="1221"/>
      <c r="FN18" s="1221"/>
      <c r="FO18" s="1221"/>
      <c r="FP18" s="1221"/>
      <c r="FQ18" s="1221"/>
      <c r="FR18" s="1221"/>
      <c r="FS18" s="1221"/>
      <c r="FT18" s="1221"/>
      <c r="FU18" s="1221"/>
      <c r="FV18" s="1221"/>
      <c r="FW18" s="1221"/>
      <c r="FX18" s="1221"/>
      <c r="FY18" s="1221"/>
      <c r="FZ18" s="1221"/>
      <c r="GA18" s="1221"/>
      <c r="GB18" s="1221"/>
      <c r="GC18" s="1221"/>
      <c r="GD18" s="1221"/>
      <c r="GE18" s="1221"/>
      <c r="GF18" s="1221"/>
      <c r="GG18" s="1221"/>
      <c r="GH18" s="1221"/>
      <c r="GI18" s="1221"/>
      <c r="GJ18" s="1221"/>
      <c r="GK18" s="1221"/>
      <c r="GL18" s="1221"/>
      <c r="GM18" s="1221"/>
      <c r="GN18" s="1221"/>
      <c r="GO18" s="1221"/>
      <c r="GP18" s="1221"/>
      <c r="GQ18" s="1221"/>
      <c r="GR18" s="1221"/>
      <c r="GS18" s="1221"/>
      <c r="GT18" s="1221"/>
      <c r="GU18" s="1221"/>
      <c r="GV18" s="1221"/>
      <c r="GW18" s="1221"/>
      <c r="GX18" s="1221"/>
      <c r="GY18" s="1221"/>
      <c r="GZ18" s="1221"/>
      <c r="HA18" s="1221"/>
      <c r="HB18" s="1221"/>
      <c r="HC18" s="1221"/>
      <c r="HD18" s="1221"/>
      <c r="HE18" s="1221"/>
      <c r="HF18" s="1221"/>
      <c r="HG18" s="1221"/>
      <c r="HH18" s="1221"/>
      <c r="HI18" s="1221"/>
      <c r="HJ18" s="1221"/>
      <c r="HK18" s="1221"/>
      <c r="HL18" s="1221"/>
      <c r="HM18" s="1221"/>
      <c r="HN18" s="1221"/>
      <c r="HO18" s="1221"/>
      <c r="HP18" s="1221"/>
      <c r="HQ18" s="1221"/>
      <c r="HR18" s="1221"/>
      <c r="HS18" s="1221"/>
      <c r="HT18" s="1221"/>
      <c r="HU18" s="1221"/>
      <c r="HV18" s="1221"/>
      <c r="HW18" s="1221"/>
      <c r="HX18" s="1221"/>
      <c r="HY18" s="1221"/>
      <c r="HZ18" s="1221"/>
      <c r="IA18" s="1221"/>
      <c r="IB18" s="1221"/>
      <c r="IC18" s="1221"/>
      <c r="ID18" s="1221"/>
      <c r="IE18" s="1221"/>
      <c r="IF18" s="1221"/>
      <c r="IG18" s="1221"/>
      <c r="IH18" s="1221"/>
      <c r="II18" s="1221"/>
      <c r="IJ18" s="1221"/>
      <c r="IK18" s="1221"/>
      <c r="IL18" s="1221"/>
      <c r="IM18" s="1221"/>
      <c r="IN18" s="1221"/>
      <c r="IO18" s="1221"/>
      <c r="IP18" s="1221"/>
      <c r="IQ18" s="1221"/>
      <c r="IR18" s="1221"/>
      <c r="IS18" s="1221"/>
      <c r="IT18" s="1221"/>
      <c r="IU18" s="1221"/>
      <c r="IV18" s="1221"/>
      <c r="IW18" s="1221"/>
      <c r="IX18" s="1221"/>
      <c r="IY18" s="1221"/>
      <c r="IZ18" s="1221"/>
      <c r="JA18" s="1221"/>
      <c r="JB18" s="1221"/>
      <c r="JC18" s="1221"/>
      <c r="JD18" s="1221"/>
      <c r="JE18" s="1221"/>
      <c r="JF18" s="1221"/>
      <c r="JG18" s="1221"/>
      <c r="JH18" s="1221"/>
      <c r="JI18" s="1221"/>
      <c r="JJ18" s="1221"/>
      <c r="JK18" s="1221"/>
      <c r="JL18" s="1221"/>
      <c r="JM18" s="1221"/>
      <c r="JN18" s="1221"/>
      <c r="JO18" s="1221"/>
      <c r="JP18" s="1221"/>
      <c r="JQ18" s="1221"/>
      <c r="JR18" s="1221"/>
      <c r="JS18" s="1221"/>
      <c r="JT18" s="1221"/>
      <c r="JU18" s="1221"/>
      <c r="JV18" s="1221"/>
      <c r="JW18" s="1221"/>
      <c r="JX18" s="1221"/>
      <c r="JY18" s="1221"/>
      <c r="JZ18" s="1221"/>
      <c r="KA18" s="1221"/>
      <c r="KB18" s="1221"/>
      <c r="KC18" s="1221"/>
      <c r="KD18" s="1221"/>
      <c r="KE18" s="1221"/>
      <c r="KF18" s="1221"/>
      <c r="KG18" s="1221"/>
      <c r="KH18" s="1221"/>
      <c r="KI18" s="1221"/>
      <c r="KJ18" s="1221"/>
      <c r="KK18" s="1221"/>
      <c r="KL18" s="1221"/>
      <c r="KM18" s="1221"/>
      <c r="KN18" s="1221"/>
      <c r="KO18" s="1221"/>
      <c r="KP18" s="1221"/>
      <c r="KQ18" s="1221"/>
      <c r="KR18" s="1221"/>
      <c r="KS18" s="1221"/>
      <c r="KT18" s="1221"/>
      <c r="KU18" s="1221"/>
      <c r="KV18" s="1221"/>
      <c r="KW18" s="1221"/>
      <c r="KX18" s="1221"/>
      <c r="KY18" s="1221"/>
      <c r="KZ18" s="1221"/>
      <c r="LA18" s="1221"/>
      <c r="LB18" s="1221"/>
      <c r="LC18" s="1221"/>
      <c r="LD18" s="1221"/>
      <c r="LE18" s="1221"/>
      <c r="LF18" s="1221"/>
      <c r="LG18" s="1221"/>
      <c r="LH18" s="1221"/>
      <c r="LI18" s="1221"/>
      <c r="LJ18" s="1221"/>
      <c r="LK18" s="1221"/>
      <c r="LL18" s="1221"/>
      <c r="LM18" s="1221"/>
      <c r="LN18" s="1221"/>
      <c r="LO18" s="1221"/>
      <c r="LP18" s="1221"/>
      <c r="LQ18" s="1221"/>
      <c r="LR18" s="1221"/>
      <c r="LS18" s="1221"/>
      <c r="LT18" s="1221"/>
      <c r="LU18" s="1221"/>
      <c r="LV18" s="1221"/>
      <c r="LW18" s="1221"/>
      <c r="LX18" s="1221"/>
      <c r="LY18" s="1221"/>
      <c r="LZ18" s="1221"/>
      <c r="MA18" s="1221"/>
      <c r="MB18" s="1221"/>
      <c r="MC18" s="1221"/>
      <c r="MD18" s="1221"/>
      <c r="ME18" s="1221"/>
      <c r="MF18" s="1221"/>
      <c r="MG18" s="1221"/>
      <c r="MH18" s="1221"/>
      <c r="MI18" s="1221"/>
      <c r="MJ18" s="1221"/>
      <c r="MK18" s="1221"/>
      <c r="ML18" s="1221"/>
      <c r="MM18" s="1221"/>
      <c r="MN18" s="1221"/>
      <c r="MO18" s="1221"/>
      <c r="MP18" s="1221"/>
      <c r="MQ18" s="1221"/>
      <c r="MR18" s="1221"/>
      <c r="MS18" s="1221"/>
      <c r="MT18" s="1221"/>
      <c r="MU18" s="1221"/>
      <c r="MV18" s="1221"/>
      <c r="MW18" s="1221"/>
      <c r="MX18" s="1221"/>
      <c r="MY18" s="1221"/>
      <c r="MZ18" s="1221"/>
      <c r="NA18" s="1221"/>
      <c r="NB18" s="1221"/>
      <c r="NC18" s="1221"/>
      <c r="ND18" s="1221"/>
      <c r="NE18" s="1221"/>
      <c r="NF18" s="1221"/>
      <c r="NG18" s="1221"/>
      <c r="NH18" s="1221"/>
      <c r="NI18" s="1221"/>
      <c r="NJ18" s="1221"/>
      <c r="NK18" s="1221"/>
      <c r="NL18" s="1221"/>
      <c r="NM18" s="1221"/>
      <c r="NN18" s="1221"/>
      <c r="NO18" s="1221"/>
      <c r="NP18" s="1221"/>
      <c r="NQ18" s="1221"/>
      <c r="NR18" s="1221"/>
      <c r="NS18" s="1221"/>
      <c r="NT18" s="1221"/>
      <c r="NU18" s="1221"/>
      <c r="NV18" s="1221"/>
      <c r="NW18" s="1221"/>
      <c r="NX18" s="1221"/>
      <c r="NY18" s="1221"/>
      <c r="NZ18" s="1221"/>
      <c r="OA18" s="1221"/>
      <c r="OB18" s="1221"/>
      <c r="OC18" s="1221"/>
      <c r="OD18" s="1221"/>
      <c r="OE18" s="1221"/>
      <c r="OF18" s="1221"/>
      <c r="OG18" s="1221"/>
      <c r="OH18" s="1221"/>
      <c r="OI18" s="1221"/>
      <c r="OJ18" s="1221"/>
      <c r="OK18" s="1221"/>
      <c r="OL18" s="1221"/>
      <c r="OM18" s="1221"/>
      <c r="ON18" s="1221"/>
      <c r="OO18" s="1221"/>
      <c r="OP18" s="1221"/>
      <c r="OQ18" s="1221"/>
      <c r="OR18" s="1221"/>
      <c r="OS18" s="1221"/>
      <c r="OT18" s="1221"/>
      <c r="OU18" s="1221"/>
      <c r="OV18" s="1221"/>
      <c r="OW18" s="1221"/>
      <c r="OX18" s="1221"/>
      <c r="OY18" s="1221"/>
      <c r="OZ18" s="1221"/>
      <c r="PA18" s="1221"/>
      <c r="PB18" s="1221"/>
      <c r="PC18" s="1221"/>
      <c r="PD18" s="1221"/>
      <c r="PE18" s="1221"/>
      <c r="PF18" s="1221"/>
      <c r="PG18" s="1221"/>
      <c r="PH18" s="1221"/>
      <c r="PI18" s="1221"/>
      <c r="PJ18" s="1221"/>
      <c r="PK18" s="1221"/>
      <c r="PL18" s="1221"/>
      <c r="PM18" s="1221"/>
      <c r="PN18" s="1221"/>
      <c r="PO18" s="1221"/>
      <c r="PP18" s="1221"/>
      <c r="PQ18" s="1221"/>
      <c r="PR18" s="1221"/>
      <c r="PS18" s="1221"/>
      <c r="PT18" s="1221"/>
      <c r="PU18" s="1221"/>
      <c r="PV18" s="1221"/>
      <c r="PW18" s="1221"/>
      <c r="PX18" s="1221"/>
      <c r="PY18" s="1221"/>
      <c r="PZ18" s="1221"/>
      <c r="QA18" s="1221"/>
      <c r="QB18" s="1221"/>
      <c r="QC18" s="1221"/>
      <c r="QD18" s="1221"/>
      <c r="QE18" s="1221"/>
      <c r="QF18" s="1221"/>
      <c r="QG18" s="1221"/>
      <c r="QH18" s="1221"/>
      <c r="QI18" s="1221"/>
      <c r="QJ18" s="1221"/>
      <c r="QK18" s="1221"/>
      <c r="QL18" s="1221"/>
      <c r="QM18" s="1221"/>
      <c r="QN18" s="1221"/>
      <c r="QO18" s="1221"/>
      <c r="QP18" s="1221"/>
      <c r="QQ18" s="1221"/>
      <c r="QR18" s="1221"/>
      <c r="QS18" s="1221"/>
      <c r="QT18" s="1221"/>
      <c r="QU18" s="1221"/>
      <c r="QV18" s="1221"/>
      <c r="QW18" s="1221"/>
      <c r="QX18" s="1221"/>
      <c r="QY18" s="1221"/>
      <c r="QZ18" s="1221"/>
      <c r="RA18" s="1221"/>
      <c r="RB18" s="1221"/>
      <c r="RC18" s="1221"/>
      <c r="RD18" s="1221"/>
      <c r="RE18" s="1221"/>
      <c r="RF18" s="1221"/>
      <c r="RG18" s="1221"/>
      <c r="RH18" s="1221"/>
      <c r="RI18" s="1221"/>
      <c r="RJ18" s="1221"/>
      <c r="RK18" s="1221"/>
      <c r="RL18" s="1221"/>
      <c r="RM18" s="1221"/>
      <c r="RN18" s="1221"/>
      <c r="RO18" s="1221"/>
      <c r="RP18" s="1221"/>
      <c r="RQ18" s="1221"/>
      <c r="RR18" s="1221"/>
      <c r="RS18" s="1221"/>
      <c r="RT18" s="1221"/>
      <c r="RU18" s="1221"/>
      <c r="RV18" s="1221"/>
      <c r="RW18" s="1221"/>
      <c r="RX18" s="1221"/>
      <c r="RY18" s="1221"/>
      <c r="RZ18" s="1221"/>
      <c r="SA18" s="1221"/>
      <c r="SB18" s="1221"/>
      <c r="SC18" s="1221"/>
      <c r="SD18" s="1221"/>
      <c r="SE18" s="1221"/>
      <c r="SF18" s="1221"/>
      <c r="SG18" s="1221"/>
      <c r="SH18" s="1221"/>
      <c r="SI18" s="1221"/>
      <c r="SJ18" s="1221"/>
      <c r="SK18" s="1221"/>
      <c r="SL18" s="1221"/>
      <c r="SM18" s="1221"/>
      <c r="SN18" s="1221"/>
      <c r="SO18" s="1221"/>
      <c r="SP18" s="1221"/>
      <c r="SQ18" s="1221"/>
      <c r="SR18" s="1221"/>
      <c r="SS18" s="1221"/>
      <c r="ST18" s="1221"/>
      <c r="SU18" s="1221"/>
      <c r="SV18" s="1221"/>
      <c r="SW18" s="1221"/>
      <c r="SX18" s="1221"/>
      <c r="SY18" s="1221"/>
      <c r="SZ18" s="1221"/>
      <c r="TA18" s="1221"/>
      <c r="TB18" s="1221"/>
      <c r="TC18" s="1221"/>
      <c r="TD18" s="1221"/>
      <c r="TE18" s="1221"/>
      <c r="TF18" s="1221"/>
      <c r="TG18" s="1221"/>
      <c r="TH18" s="1221"/>
      <c r="TI18" s="1221"/>
      <c r="TJ18" s="1221"/>
      <c r="TK18" s="1221"/>
      <c r="TL18" s="1221"/>
      <c r="TM18" s="1221"/>
      <c r="TN18" s="1221"/>
      <c r="TO18" s="1221"/>
      <c r="TP18" s="1221"/>
      <c r="TQ18" s="1221"/>
      <c r="TR18" s="1221"/>
      <c r="TS18" s="1221"/>
      <c r="TT18" s="1221"/>
      <c r="TU18" s="1221"/>
      <c r="TV18" s="1221"/>
      <c r="TW18" s="1221"/>
      <c r="TX18" s="1221"/>
      <c r="TY18" s="1221"/>
      <c r="TZ18" s="1221"/>
      <c r="UA18" s="1221"/>
      <c r="UB18" s="1221"/>
      <c r="UC18" s="1221"/>
      <c r="UD18" s="1221"/>
      <c r="UE18" s="1221"/>
      <c r="UF18" s="1221"/>
      <c r="UG18" s="1221"/>
      <c r="UH18" s="1221"/>
      <c r="UI18" s="1221"/>
      <c r="UJ18" s="1221"/>
      <c r="UK18" s="1221"/>
      <c r="UL18" s="1221"/>
      <c r="UM18" s="1221"/>
      <c r="UN18" s="1221"/>
      <c r="UO18" s="1221"/>
      <c r="UP18" s="1221"/>
      <c r="UQ18" s="1221"/>
      <c r="UR18" s="1221"/>
      <c r="US18" s="1221"/>
      <c r="UT18" s="1221"/>
      <c r="UU18" s="1221"/>
      <c r="UV18" s="1221"/>
      <c r="UW18" s="1221"/>
      <c r="UX18" s="1221"/>
      <c r="UY18" s="1221"/>
      <c r="UZ18" s="1221"/>
      <c r="VA18" s="1221"/>
      <c r="VB18" s="1221"/>
      <c r="VC18" s="1221"/>
      <c r="VD18" s="1221"/>
      <c r="VE18" s="1221"/>
      <c r="VF18" s="1221"/>
      <c r="VG18" s="1221"/>
      <c r="VH18" s="1221"/>
      <c r="VI18" s="1221"/>
      <c r="VJ18" s="1221"/>
      <c r="VK18" s="1221"/>
      <c r="VL18" s="1221"/>
      <c r="VM18" s="1221"/>
      <c r="VN18" s="1221"/>
      <c r="VO18" s="1221"/>
      <c r="VP18" s="1221"/>
      <c r="VQ18" s="1221"/>
      <c r="VR18" s="1221"/>
      <c r="VS18" s="1221"/>
      <c r="VT18" s="1221"/>
      <c r="VU18" s="1221"/>
      <c r="VV18" s="1221"/>
      <c r="VW18" s="1221"/>
      <c r="VX18" s="1221"/>
      <c r="VY18" s="1221"/>
      <c r="VZ18" s="1221"/>
      <c r="WA18" s="1221"/>
      <c r="WB18" s="1221"/>
      <c r="WC18" s="1221"/>
      <c r="WD18" s="1221"/>
      <c r="WE18" s="1221"/>
      <c r="WF18" s="1221"/>
      <c r="WG18" s="1221"/>
      <c r="WH18" s="1221"/>
      <c r="WI18" s="1221"/>
      <c r="WJ18" s="1221"/>
      <c r="WK18" s="1221"/>
      <c r="WL18" s="1221"/>
      <c r="WM18" s="1221"/>
      <c r="WN18" s="1221"/>
      <c r="WO18" s="1221"/>
      <c r="WP18" s="1221"/>
      <c r="WQ18" s="1221"/>
      <c r="WR18" s="1221"/>
      <c r="WS18" s="1221"/>
      <c r="WT18" s="1221"/>
      <c r="WU18" s="1221"/>
      <c r="WV18" s="1221"/>
      <c r="WW18" s="1221"/>
      <c r="WX18" s="1221"/>
      <c r="WY18" s="1221"/>
      <c r="WZ18" s="1221"/>
      <c r="XA18" s="1221"/>
      <c r="XB18" s="1221"/>
      <c r="XC18" s="1221"/>
      <c r="XD18" s="1221"/>
      <c r="XE18" s="1221"/>
      <c r="XF18" s="1221"/>
      <c r="XG18" s="1221"/>
      <c r="XH18" s="1221"/>
      <c r="XI18" s="1221"/>
      <c r="XJ18" s="1221"/>
      <c r="XK18" s="1221"/>
      <c r="XL18" s="1221"/>
      <c r="XM18" s="1221"/>
      <c r="XN18" s="1221"/>
      <c r="XO18" s="1221"/>
      <c r="XP18" s="1221"/>
      <c r="XQ18" s="1221"/>
      <c r="XR18" s="1221"/>
      <c r="XS18" s="1221"/>
      <c r="XT18" s="1221"/>
      <c r="XU18" s="1221"/>
      <c r="XV18" s="1221"/>
      <c r="XW18" s="1221"/>
      <c r="XX18" s="1221"/>
      <c r="XY18" s="1221"/>
      <c r="XZ18" s="1221"/>
      <c r="YA18" s="1221"/>
      <c r="YB18" s="1221"/>
      <c r="YC18" s="1221"/>
      <c r="YD18" s="1221"/>
      <c r="YE18" s="1221"/>
      <c r="YF18" s="1221"/>
      <c r="YG18" s="1221"/>
      <c r="YH18" s="1221"/>
      <c r="YI18" s="1221"/>
      <c r="YJ18" s="1221"/>
      <c r="YK18" s="1221"/>
      <c r="YL18" s="1221"/>
      <c r="YM18" s="1221"/>
      <c r="YN18" s="1221"/>
      <c r="YO18" s="1221"/>
      <c r="YP18" s="1221"/>
      <c r="YQ18" s="1221"/>
      <c r="YR18" s="1221"/>
      <c r="YS18" s="1221"/>
      <c r="YT18" s="1221"/>
      <c r="YU18" s="1221"/>
      <c r="YV18" s="1221"/>
      <c r="YW18" s="1221"/>
      <c r="YX18" s="1221"/>
      <c r="YY18" s="1221"/>
      <c r="YZ18" s="1221"/>
      <c r="ZA18" s="1221"/>
      <c r="ZB18" s="1221"/>
      <c r="ZC18" s="1221"/>
      <c r="ZD18" s="1221"/>
      <c r="ZE18" s="1221"/>
      <c r="ZF18" s="1221"/>
      <c r="ZG18" s="1221"/>
      <c r="ZH18" s="1221"/>
      <c r="ZI18" s="1221"/>
      <c r="ZJ18" s="1221"/>
      <c r="ZK18" s="1221"/>
      <c r="ZL18" s="1221"/>
      <c r="ZM18" s="1221"/>
      <c r="ZN18" s="1221"/>
      <c r="ZO18" s="1221"/>
      <c r="ZP18" s="1221"/>
      <c r="ZQ18" s="1221"/>
      <c r="ZR18" s="1221"/>
      <c r="ZS18" s="1221"/>
      <c r="ZT18" s="1221"/>
      <c r="ZU18" s="1221"/>
      <c r="ZV18" s="1221"/>
      <c r="ZW18" s="1221"/>
      <c r="ZX18" s="1221"/>
      <c r="ZY18" s="1221"/>
      <c r="ZZ18" s="1221"/>
      <c r="AAA18" s="1221"/>
      <c r="AAB18" s="1221"/>
      <c r="AAC18" s="1221"/>
      <c r="AAD18" s="1221"/>
      <c r="AAE18" s="1221"/>
      <c r="AAF18" s="1221"/>
      <c r="AAG18" s="1221"/>
      <c r="AAH18" s="1221"/>
      <c r="AAI18" s="1221"/>
      <c r="AAJ18" s="1221"/>
      <c r="AAK18" s="1221"/>
      <c r="AAL18" s="1221"/>
      <c r="AAM18" s="1221"/>
      <c r="AAN18" s="1221"/>
      <c r="AAO18" s="1221"/>
      <c r="AAP18" s="1221"/>
      <c r="AAQ18" s="1221"/>
      <c r="AAR18" s="1221"/>
      <c r="AAS18" s="1221"/>
      <c r="AAT18" s="1221"/>
      <c r="AAU18" s="1221"/>
      <c r="AAV18" s="1221"/>
      <c r="AAW18" s="1221"/>
      <c r="AAX18" s="1221"/>
      <c r="AAY18" s="1221"/>
      <c r="AAZ18" s="1221"/>
      <c r="ABA18" s="1221"/>
      <c r="ABB18" s="1221"/>
      <c r="ABC18" s="1221"/>
      <c r="ABD18" s="1221"/>
      <c r="ABE18" s="1221"/>
      <c r="ABF18" s="1221"/>
      <c r="ABG18" s="1221"/>
      <c r="ABH18" s="1221"/>
      <c r="ABI18" s="1221"/>
      <c r="ABJ18" s="1221"/>
      <c r="ABK18" s="1221"/>
      <c r="ABL18" s="1221"/>
      <c r="ABM18" s="1221"/>
      <c r="ABN18" s="1221"/>
      <c r="ABO18" s="1221"/>
      <c r="ABP18" s="1221"/>
      <c r="ABQ18" s="1221"/>
      <c r="ABR18" s="1221"/>
      <c r="ABS18" s="1221"/>
      <c r="ABT18" s="1221"/>
      <c r="ABU18" s="1221"/>
      <c r="ABV18" s="1221"/>
      <c r="ABW18" s="1221"/>
      <c r="ABX18" s="1221"/>
      <c r="ABY18" s="1221"/>
      <c r="ABZ18" s="1221"/>
      <c r="ACA18" s="1221"/>
      <c r="ACB18" s="1221"/>
      <c r="ACC18" s="1221"/>
      <c r="ACD18" s="1221"/>
      <c r="ACE18" s="1221"/>
      <c r="ACF18" s="1221"/>
      <c r="ACG18" s="1221"/>
      <c r="ACH18" s="1221"/>
      <c r="ACI18" s="1221"/>
      <c r="ACJ18" s="1221"/>
      <c r="ACK18" s="1221"/>
      <c r="ACL18" s="1221"/>
      <c r="ACM18" s="1221"/>
      <c r="ACN18" s="1221"/>
      <c r="ACO18" s="1221"/>
      <c r="ACP18" s="1221"/>
      <c r="ACQ18" s="1221"/>
      <c r="ACR18" s="1221"/>
      <c r="ACS18" s="1221"/>
      <c r="ACT18" s="1221"/>
      <c r="ACU18" s="1221"/>
      <c r="ACV18" s="1221"/>
      <c r="ACW18" s="1221"/>
      <c r="ACX18" s="1221"/>
      <c r="ACY18" s="1221"/>
      <c r="ACZ18" s="1221"/>
      <c r="ADA18" s="1221"/>
      <c r="ADB18" s="1221"/>
      <c r="ADC18" s="1221"/>
      <c r="ADD18" s="1221"/>
      <c r="ADE18" s="1221"/>
      <c r="ADF18" s="1221"/>
      <c r="ADG18" s="1221"/>
      <c r="ADH18" s="1221"/>
      <c r="ADI18" s="1221"/>
      <c r="ADJ18" s="1221"/>
      <c r="ADK18" s="1221"/>
      <c r="ADL18" s="1221"/>
      <c r="ADM18" s="1221"/>
      <c r="ADN18" s="1221"/>
      <c r="ADO18" s="1221"/>
      <c r="ADP18" s="1221"/>
      <c r="ADQ18" s="1221"/>
      <c r="ADR18" s="1221"/>
      <c r="ADS18" s="1221"/>
      <c r="ADT18" s="1221"/>
      <c r="ADU18" s="1221"/>
      <c r="ADV18" s="1221"/>
      <c r="ADW18" s="1221"/>
      <c r="ADX18" s="1221"/>
      <c r="ADY18" s="1221"/>
      <c r="ADZ18" s="1221"/>
      <c r="AEA18" s="1221"/>
      <c r="AEB18" s="1221"/>
      <c r="AEC18" s="1221"/>
      <c r="AED18" s="1221"/>
      <c r="AEE18" s="1221"/>
      <c r="AEF18" s="1221"/>
      <c r="AEG18" s="1221"/>
      <c r="AEH18" s="1221"/>
      <c r="AEI18" s="1221"/>
      <c r="AEJ18" s="1221"/>
      <c r="AEK18" s="1221"/>
      <c r="AEL18" s="1221"/>
      <c r="AEM18" s="1221"/>
      <c r="AEN18" s="1221"/>
      <c r="AEO18" s="1221"/>
      <c r="AEP18" s="1221"/>
      <c r="AEQ18" s="1221"/>
      <c r="AER18" s="1221"/>
      <c r="AES18" s="1221"/>
      <c r="AET18" s="1221"/>
      <c r="AEU18" s="1221"/>
      <c r="AEV18" s="1221"/>
      <c r="AEW18" s="1221"/>
      <c r="AEX18" s="1221"/>
      <c r="AEY18" s="1221"/>
      <c r="AEZ18" s="1221"/>
      <c r="AFA18" s="1221"/>
      <c r="AFB18" s="1221"/>
      <c r="AFC18" s="1221"/>
      <c r="AFD18" s="1221"/>
      <c r="AFE18" s="1221"/>
      <c r="AFF18" s="1221"/>
      <c r="AFG18" s="1221"/>
      <c r="AFH18" s="1221"/>
      <c r="AFI18" s="1221"/>
      <c r="AFJ18" s="1221"/>
      <c r="AFK18" s="1221"/>
      <c r="AFL18" s="1221"/>
      <c r="AFM18" s="1221"/>
      <c r="AFN18" s="1221"/>
      <c r="AFO18" s="1221"/>
      <c r="AFP18" s="1221"/>
      <c r="AFQ18" s="1221"/>
      <c r="AFR18" s="1221"/>
      <c r="AFS18" s="1221"/>
      <c r="AFT18" s="1221"/>
      <c r="AFU18" s="1221"/>
      <c r="AFV18" s="1221"/>
      <c r="AFW18" s="1221"/>
      <c r="AFX18" s="1221"/>
      <c r="AFY18" s="1221"/>
      <c r="AFZ18" s="1221"/>
      <c r="AGA18" s="1221"/>
      <c r="AGB18" s="1221"/>
      <c r="AGC18" s="1221"/>
      <c r="AGD18" s="1221"/>
      <c r="AGE18" s="1221"/>
      <c r="AGF18" s="1221"/>
      <c r="AGG18" s="1221"/>
      <c r="AGH18" s="1221"/>
      <c r="AGI18" s="1221"/>
      <c r="AGJ18" s="1221"/>
      <c r="AGK18" s="1221"/>
      <c r="AGL18" s="1221"/>
      <c r="AGM18" s="1221"/>
      <c r="AGN18" s="1221"/>
      <c r="AGO18" s="1221"/>
      <c r="AGP18" s="1221"/>
      <c r="AGQ18" s="1221"/>
      <c r="AGR18" s="1221"/>
      <c r="AGS18" s="1221"/>
      <c r="AGT18" s="1221"/>
      <c r="AGU18" s="1221"/>
      <c r="AGV18" s="1221"/>
      <c r="AGW18" s="1221"/>
      <c r="AGX18" s="1221"/>
      <c r="AGY18" s="1221"/>
      <c r="AGZ18" s="1221"/>
      <c r="AHA18" s="1221"/>
      <c r="AHB18" s="1221"/>
      <c r="AHC18" s="1221"/>
      <c r="AHD18" s="1221"/>
      <c r="AHE18" s="1221"/>
      <c r="AHF18" s="1221"/>
      <c r="AHG18" s="1221"/>
      <c r="AHH18" s="1221"/>
      <c r="AHI18" s="1221"/>
      <c r="AHJ18" s="1221"/>
      <c r="AHK18" s="1221"/>
      <c r="AHL18" s="1221"/>
      <c r="AHM18" s="1221"/>
      <c r="AHN18" s="1221"/>
      <c r="AHO18" s="1221"/>
      <c r="AHP18" s="1221"/>
      <c r="AHQ18" s="1221"/>
      <c r="AHR18" s="1221"/>
      <c r="AHS18" s="1221"/>
      <c r="AHT18" s="1221"/>
      <c r="AHU18" s="1221"/>
      <c r="AHV18" s="1221"/>
      <c r="AHW18" s="1221"/>
      <c r="AHX18" s="1221"/>
      <c r="AHY18" s="1221"/>
      <c r="AHZ18" s="1221"/>
      <c r="AIA18" s="1221"/>
      <c r="AIB18" s="1221"/>
      <c r="AIC18" s="1221"/>
      <c r="AID18" s="1221"/>
      <c r="AIE18" s="1221"/>
      <c r="AIF18" s="1221"/>
      <c r="AIG18" s="1221"/>
      <c r="AIH18" s="1221"/>
      <c r="AII18" s="1221"/>
      <c r="AIJ18" s="1221"/>
      <c r="AIK18" s="1221"/>
      <c r="AIL18" s="1221"/>
      <c r="AIM18" s="1221"/>
      <c r="AIN18" s="1221"/>
      <c r="AIO18" s="1221"/>
      <c r="AIP18" s="1221"/>
      <c r="AIQ18" s="1221"/>
      <c r="AIR18" s="1221"/>
      <c r="AIS18" s="1221"/>
      <c r="AIT18" s="1221"/>
      <c r="AIU18" s="1221"/>
      <c r="AIV18" s="1221"/>
      <c r="AIW18" s="1221"/>
      <c r="AIX18" s="1221"/>
      <c r="AIY18" s="1221"/>
      <c r="AIZ18" s="1221"/>
      <c r="AJA18" s="1221"/>
      <c r="AJB18" s="1221"/>
      <c r="AJC18" s="1221"/>
      <c r="AJD18" s="1221"/>
      <c r="AJE18" s="1221"/>
      <c r="AJF18" s="1221"/>
      <c r="AJG18" s="1221"/>
      <c r="AJH18" s="1221"/>
      <c r="AJI18" s="1221"/>
      <c r="AJJ18" s="1221"/>
      <c r="AJK18" s="1221"/>
      <c r="AJL18" s="1221"/>
      <c r="AJM18" s="1221"/>
      <c r="AJN18" s="1221"/>
      <c r="AJO18" s="1221"/>
      <c r="AJP18" s="1221"/>
      <c r="AJQ18" s="1221"/>
      <c r="AJR18" s="1221"/>
      <c r="AJS18" s="1221"/>
      <c r="AJT18" s="1221"/>
      <c r="AJU18" s="1221"/>
      <c r="AJV18" s="1221"/>
      <c r="AJW18" s="1221"/>
      <c r="AJX18" s="1221"/>
      <c r="AJY18" s="1221"/>
      <c r="AJZ18" s="1221"/>
      <c r="AKA18" s="1221"/>
      <c r="AKB18" s="1221"/>
      <c r="AKC18" s="1221"/>
      <c r="AKD18" s="1221"/>
      <c r="AKE18" s="1221"/>
      <c r="AKF18" s="1221"/>
      <c r="AKG18" s="1221"/>
      <c r="AKH18" s="1221"/>
      <c r="AKI18" s="1221"/>
      <c r="AKJ18" s="1221"/>
      <c r="AKK18" s="1221"/>
      <c r="AKL18" s="1221"/>
      <c r="AKM18" s="1221"/>
      <c r="AKN18" s="1221"/>
      <c r="AKO18" s="1221"/>
      <c r="AKP18" s="1221"/>
      <c r="AKQ18" s="1221"/>
      <c r="AKR18" s="1221"/>
      <c r="AKS18" s="1221"/>
      <c r="AKT18" s="1221"/>
      <c r="AKU18" s="1221"/>
      <c r="AKV18" s="1221"/>
      <c r="AKW18" s="1221"/>
      <c r="AKX18" s="1221"/>
      <c r="AKY18" s="1221"/>
      <c r="AKZ18" s="1221"/>
      <c r="ALA18" s="1221"/>
      <c r="ALB18" s="1221"/>
      <c r="ALC18" s="1221"/>
      <c r="ALD18" s="1221"/>
      <c r="ALE18" s="1221"/>
      <c r="ALF18" s="1221"/>
      <c r="ALG18" s="1221"/>
      <c r="ALH18" s="1221"/>
      <c r="ALI18" s="1221"/>
      <c r="ALJ18" s="1221"/>
      <c r="ALK18" s="1221"/>
      <c r="ALL18" s="1221"/>
      <c r="ALM18" s="1221"/>
      <c r="ALN18" s="1221"/>
      <c r="ALO18" s="1221"/>
      <c r="ALP18" s="1221"/>
      <c r="ALQ18" s="1221"/>
      <c r="ALR18" s="1221"/>
      <c r="ALS18" s="1221"/>
      <c r="ALT18" s="1221"/>
      <c r="ALU18" s="1221"/>
      <c r="ALV18" s="1221"/>
      <c r="ALW18" s="1221"/>
      <c r="ALX18" s="1221"/>
      <c r="ALY18" s="1221"/>
      <c r="ALZ18" s="1221"/>
      <c r="AMA18" s="1221"/>
      <c r="AMB18" s="1221"/>
      <c r="AMC18" s="1221"/>
      <c r="AMD18" s="1221"/>
      <c r="AME18" s="1221"/>
      <c r="AMF18" s="1221"/>
      <c r="AMG18" s="1221"/>
      <c r="AMH18" s="1221"/>
      <c r="AMI18" s="1221"/>
      <c r="AMJ18" s="1221"/>
      <c r="AMK18" s="1221"/>
      <c r="AML18" s="1221"/>
      <c r="AMM18" s="1221"/>
      <c r="AMN18" s="1221"/>
      <c r="AMO18" s="1221"/>
      <c r="AMP18" s="1221"/>
      <c r="AMQ18" s="1221"/>
      <c r="AMR18" s="1221"/>
      <c r="AMS18" s="1221"/>
      <c r="AMT18" s="1221"/>
      <c r="AMU18" s="1221"/>
      <c r="AMV18" s="1221"/>
      <c r="AMW18" s="1221"/>
      <c r="AMX18" s="1221"/>
      <c r="AMY18" s="1221"/>
      <c r="AMZ18" s="1221"/>
      <c r="ANA18" s="1221"/>
      <c r="ANB18" s="1221"/>
      <c r="ANC18" s="1221"/>
      <c r="AND18" s="1221"/>
      <c r="ANE18" s="1221"/>
      <c r="ANF18" s="1221"/>
      <c r="ANG18" s="1221"/>
      <c r="ANH18" s="1221"/>
      <c r="ANI18" s="1221"/>
      <c r="ANJ18" s="1221"/>
      <c r="ANK18" s="1221"/>
      <c r="ANL18" s="1221"/>
      <c r="ANM18" s="1221"/>
      <c r="ANN18" s="1221"/>
      <c r="ANO18" s="1221"/>
      <c r="ANP18" s="1221"/>
      <c r="ANQ18" s="1221"/>
      <c r="ANR18" s="1221"/>
      <c r="ANS18" s="1221"/>
      <c r="ANT18" s="1221"/>
      <c r="ANU18" s="1221"/>
      <c r="ANV18" s="1221"/>
      <c r="ANW18" s="1221"/>
      <c r="ANX18" s="1221"/>
      <c r="ANY18" s="1221"/>
      <c r="ANZ18" s="1221"/>
      <c r="AOA18" s="1221"/>
      <c r="AOB18" s="1221"/>
      <c r="AOC18" s="1221"/>
      <c r="AOD18" s="1221"/>
      <c r="AOE18" s="1221"/>
      <c r="AOF18" s="1221"/>
      <c r="AOG18" s="1221"/>
      <c r="AOH18" s="1221"/>
      <c r="AOI18" s="1221"/>
      <c r="AOJ18" s="1221"/>
      <c r="AOK18" s="1221"/>
      <c r="AOL18" s="1221"/>
      <c r="AOM18" s="1221"/>
      <c r="AON18" s="1221"/>
      <c r="AOO18" s="1221"/>
      <c r="AOP18" s="1221"/>
      <c r="AOQ18" s="1221"/>
      <c r="AOR18" s="1221"/>
      <c r="AOS18" s="1221"/>
      <c r="AOT18" s="1221"/>
      <c r="AOU18" s="1221"/>
      <c r="AOV18" s="1221"/>
      <c r="AOW18" s="1221"/>
      <c r="AOX18" s="1221"/>
      <c r="AOY18" s="1221"/>
      <c r="AOZ18" s="1221"/>
      <c r="APA18" s="1221"/>
      <c r="APB18" s="1221"/>
      <c r="APC18" s="1221"/>
      <c r="APD18" s="1221"/>
      <c r="APE18" s="1221"/>
      <c r="APF18" s="1221"/>
      <c r="APG18" s="1221"/>
      <c r="APH18" s="1221"/>
      <c r="API18" s="1221"/>
      <c r="APJ18" s="1221"/>
      <c r="APK18" s="1221"/>
      <c r="APL18" s="1221"/>
      <c r="APM18" s="1221"/>
      <c r="APN18" s="1221"/>
      <c r="APO18" s="1221"/>
      <c r="APP18" s="1221"/>
      <c r="APQ18" s="1221"/>
      <c r="APR18" s="1221"/>
      <c r="APS18" s="1221"/>
      <c r="APT18" s="1221"/>
      <c r="APU18" s="1221"/>
      <c r="APV18" s="1221"/>
      <c r="APW18" s="1221"/>
      <c r="APX18" s="1221"/>
      <c r="APY18" s="1221"/>
      <c r="APZ18" s="1221"/>
      <c r="AQA18" s="1221"/>
      <c r="AQB18" s="1221"/>
      <c r="AQC18" s="1221"/>
      <c r="AQD18" s="1221"/>
      <c r="AQE18" s="1221"/>
      <c r="AQF18" s="1221"/>
      <c r="AQG18" s="1221"/>
      <c r="AQH18" s="1221"/>
      <c r="AQI18" s="1221"/>
      <c r="AQJ18" s="1221"/>
      <c r="AQK18" s="1221"/>
      <c r="AQL18" s="1221"/>
      <c r="AQM18" s="1221"/>
      <c r="AQN18" s="1221"/>
      <c r="AQO18" s="1221"/>
      <c r="AQP18" s="1221"/>
      <c r="AQQ18" s="1221"/>
      <c r="AQR18" s="1221"/>
      <c r="AQS18" s="1221"/>
      <c r="AQT18" s="1221"/>
      <c r="AQU18" s="1221"/>
      <c r="AQV18" s="1221"/>
      <c r="AQW18" s="1221"/>
      <c r="AQX18" s="1221"/>
      <c r="AQY18" s="1221"/>
      <c r="AQZ18" s="1221"/>
      <c r="ARA18" s="1221"/>
      <c r="ARB18" s="1221"/>
      <c r="ARC18" s="1221"/>
      <c r="ARD18" s="1221"/>
      <c r="ARE18" s="1221"/>
      <c r="ARF18" s="1221"/>
      <c r="ARG18" s="1221"/>
      <c r="ARH18" s="1221"/>
      <c r="ARI18" s="1221"/>
      <c r="ARJ18" s="1221"/>
      <c r="ARK18" s="1221"/>
      <c r="ARL18" s="1221"/>
      <c r="ARM18" s="1221"/>
      <c r="ARN18" s="1221"/>
      <c r="ARO18" s="1221"/>
      <c r="ARP18" s="1221"/>
      <c r="ARQ18" s="1221"/>
      <c r="ARR18" s="1221"/>
      <c r="ARS18" s="1221"/>
      <c r="ART18" s="1221"/>
      <c r="ARU18" s="1221"/>
      <c r="ARV18" s="1221"/>
      <c r="ARW18" s="1221"/>
      <c r="ARX18" s="1221"/>
      <c r="ARY18" s="1221"/>
      <c r="ARZ18" s="1221"/>
      <c r="ASA18" s="1221"/>
      <c r="ASB18" s="1221"/>
      <c r="ASC18" s="1221"/>
      <c r="ASD18" s="1221"/>
      <c r="ASE18" s="1221"/>
      <c r="ASF18" s="1221"/>
      <c r="ASG18" s="1221"/>
      <c r="ASH18" s="1221"/>
      <c r="ASI18" s="1221"/>
      <c r="ASJ18" s="1221"/>
      <c r="ASK18" s="1221"/>
      <c r="ASL18" s="1221"/>
      <c r="ASM18" s="1221"/>
      <c r="ASN18" s="1221"/>
      <c r="ASO18" s="1221"/>
      <c r="ASP18" s="1221"/>
      <c r="ASQ18" s="1221"/>
      <c r="ASR18" s="1221"/>
      <c r="ASS18" s="1221"/>
      <c r="AST18" s="1221"/>
      <c r="ASU18" s="1221"/>
      <c r="ASV18" s="1221"/>
      <c r="ASW18" s="1221"/>
      <c r="ASX18" s="1221"/>
      <c r="ASY18" s="1221"/>
      <c r="ASZ18" s="1221"/>
      <c r="ATA18" s="1221"/>
      <c r="ATB18" s="1221"/>
      <c r="ATC18" s="1221"/>
      <c r="ATD18" s="1221"/>
      <c r="ATE18" s="1221"/>
      <c r="ATF18" s="1221"/>
      <c r="ATG18" s="1221"/>
      <c r="ATH18" s="1221"/>
      <c r="ATI18" s="1221"/>
      <c r="ATJ18" s="1221"/>
      <c r="ATK18" s="1221"/>
      <c r="ATL18" s="1221"/>
      <c r="ATM18" s="1221"/>
      <c r="ATN18" s="1221"/>
      <c r="ATO18" s="1221"/>
      <c r="ATP18" s="1221"/>
      <c r="ATQ18" s="1221"/>
      <c r="ATR18" s="1221"/>
      <c r="ATS18" s="1221"/>
      <c r="ATT18" s="1221"/>
      <c r="ATU18" s="1221"/>
      <c r="ATV18" s="1221"/>
      <c r="ATW18" s="1221"/>
      <c r="ATX18" s="1221"/>
      <c r="ATY18" s="1221"/>
      <c r="ATZ18" s="1221"/>
      <c r="AUA18" s="1221"/>
      <c r="AUB18" s="1221"/>
      <c r="AUC18" s="1221"/>
      <c r="AUD18" s="1221"/>
      <c r="AUE18" s="1221"/>
      <c r="AUF18" s="1221"/>
      <c r="AUG18" s="1221"/>
      <c r="AUH18" s="1221"/>
      <c r="AUI18" s="1221"/>
      <c r="AUJ18" s="1221"/>
      <c r="AUK18" s="1221"/>
      <c r="AUL18" s="1221"/>
      <c r="AUM18" s="1221"/>
      <c r="AUN18" s="1221"/>
      <c r="AUO18" s="1221"/>
      <c r="AUP18" s="1221"/>
      <c r="AUQ18" s="1221"/>
      <c r="AUR18" s="1221"/>
      <c r="AUS18" s="1221"/>
      <c r="AUT18" s="1221"/>
      <c r="AUU18" s="1221"/>
      <c r="AUV18" s="1221"/>
      <c r="AUW18" s="1221"/>
      <c r="AUX18" s="1221"/>
      <c r="AUY18" s="1221"/>
      <c r="AUZ18" s="1221"/>
      <c r="AVA18" s="1221"/>
      <c r="AVB18" s="1221"/>
      <c r="AVC18" s="1221"/>
      <c r="AVD18" s="1221"/>
      <c r="AVE18" s="1221"/>
      <c r="AVF18" s="1221"/>
      <c r="AVG18" s="1221"/>
      <c r="AVH18" s="1221"/>
      <c r="AVI18" s="1221"/>
      <c r="AVJ18" s="1221"/>
      <c r="AVK18" s="1221"/>
      <c r="AVL18" s="1221"/>
      <c r="AVM18" s="1221"/>
      <c r="AVN18" s="1221"/>
      <c r="AVO18" s="1221"/>
      <c r="AVP18" s="1221"/>
      <c r="AVQ18" s="1221"/>
      <c r="AVR18" s="1221"/>
      <c r="AVS18" s="1221"/>
      <c r="AVT18" s="1221"/>
      <c r="AVU18" s="1221"/>
      <c r="AVV18" s="1221"/>
      <c r="AVW18" s="1221"/>
      <c r="AVX18" s="1221"/>
      <c r="AVY18" s="1221"/>
      <c r="AVZ18" s="1221"/>
      <c r="AWA18" s="1221"/>
      <c r="AWB18" s="1221"/>
      <c r="AWC18" s="1221"/>
      <c r="AWD18" s="1221"/>
      <c r="AWE18" s="1221"/>
      <c r="AWF18" s="1221"/>
      <c r="AWG18" s="1221"/>
      <c r="AWH18" s="1221"/>
      <c r="AWI18" s="1221"/>
      <c r="AWJ18" s="1221"/>
      <c r="AWK18" s="1221"/>
      <c r="AWL18" s="1221"/>
      <c r="AWM18" s="1221"/>
      <c r="AWN18" s="1221"/>
      <c r="AWO18" s="1221"/>
      <c r="AWP18" s="1221"/>
      <c r="AWQ18" s="1221"/>
      <c r="AWR18" s="1221"/>
      <c r="AWS18" s="1221"/>
      <c r="AWT18" s="1221"/>
      <c r="AWU18" s="1221"/>
      <c r="AWV18" s="1221"/>
      <c r="AWW18" s="1221"/>
      <c r="AWX18" s="1221"/>
      <c r="AWY18" s="1221"/>
      <c r="AWZ18" s="1221"/>
      <c r="AXA18" s="1221"/>
      <c r="AXB18" s="1221"/>
      <c r="AXC18" s="1221"/>
      <c r="AXD18" s="1221"/>
      <c r="AXE18" s="1221"/>
      <c r="AXF18" s="1221"/>
      <c r="AXG18" s="1221"/>
      <c r="AXH18" s="1221"/>
      <c r="AXI18" s="1221"/>
      <c r="AXJ18" s="1221"/>
      <c r="AXK18" s="1221"/>
      <c r="AXL18" s="1221"/>
      <c r="AXM18" s="1221"/>
      <c r="AXN18" s="1221"/>
      <c r="AXO18" s="1221"/>
      <c r="AXP18" s="1221"/>
      <c r="AXQ18" s="1221"/>
      <c r="AXR18" s="1221"/>
      <c r="AXS18" s="1221"/>
      <c r="AXT18" s="1221"/>
      <c r="AXU18" s="1221"/>
      <c r="AXV18" s="1221"/>
      <c r="AXW18" s="1221"/>
      <c r="AXX18" s="1221"/>
      <c r="AXY18" s="1221"/>
      <c r="AXZ18" s="1221"/>
      <c r="AYA18" s="1221"/>
      <c r="AYB18" s="1221"/>
      <c r="AYC18" s="1221"/>
      <c r="AYD18" s="1221"/>
      <c r="AYE18" s="1221"/>
      <c r="AYF18" s="1221"/>
      <c r="AYG18" s="1221"/>
      <c r="AYH18" s="1221"/>
      <c r="AYI18" s="1221"/>
      <c r="AYJ18" s="1221"/>
      <c r="AYK18" s="1221"/>
      <c r="AYL18" s="1221"/>
      <c r="AYM18" s="1221"/>
      <c r="AYN18" s="1221"/>
      <c r="AYO18" s="1221"/>
      <c r="AYP18" s="1221"/>
      <c r="AYQ18" s="1221"/>
      <c r="AYR18" s="1221"/>
      <c r="AYS18" s="1221"/>
      <c r="AYT18" s="1221"/>
      <c r="AYU18" s="1221"/>
      <c r="AYV18" s="1221"/>
      <c r="AYW18" s="1221"/>
      <c r="AYX18" s="1221"/>
      <c r="AYY18" s="1221"/>
      <c r="AYZ18" s="1221"/>
      <c r="AZA18" s="1221"/>
      <c r="AZB18" s="1221"/>
      <c r="AZC18" s="1221"/>
      <c r="AZD18" s="1221"/>
      <c r="AZE18" s="1221"/>
      <c r="AZF18" s="1221"/>
      <c r="AZG18" s="1221"/>
      <c r="AZH18" s="1221"/>
      <c r="AZI18" s="1221"/>
      <c r="AZJ18" s="1221"/>
      <c r="AZK18" s="1221"/>
      <c r="AZL18" s="1221"/>
      <c r="AZM18" s="1221"/>
      <c r="AZN18" s="1221"/>
      <c r="AZO18" s="1221"/>
      <c r="AZP18" s="1221"/>
      <c r="AZQ18" s="1221"/>
      <c r="AZR18" s="1221"/>
      <c r="AZS18" s="1221"/>
      <c r="AZT18" s="1221"/>
      <c r="AZU18" s="1221"/>
      <c r="AZV18" s="1221"/>
      <c r="AZW18" s="1221"/>
      <c r="AZX18" s="1221"/>
      <c r="AZY18" s="1221"/>
      <c r="AZZ18" s="1221"/>
      <c r="BAA18" s="1221"/>
      <c r="BAB18" s="1221"/>
      <c r="BAC18" s="1221"/>
      <c r="BAD18" s="1221"/>
      <c r="BAE18" s="1221"/>
      <c r="BAF18" s="1221"/>
      <c r="BAG18" s="1221"/>
      <c r="BAH18" s="1221"/>
      <c r="BAI18" s="1221"/>
      <c r="BAJ18" s="1221"/>
      <c r="BAK18" s="1221"/>
      <c r="BAL18" s="1221"/>
      <c r="BAM18" s="1221"/>
      <c r="BAN18" s="1221"/>
      <c r="BAO18" s="1221"/>
      <c r="BAP18" s="1221"/>
      <c r="BAQ18" s="1221"/>
      <c r="BAR18" s="1221"/>
      <c r="BAS18" s="1221"/>
      <c r="BAT18" s="1221"/>
      <c r="BAU18" s="1221"/>
      <c r="BAV18" s="1221"/>
      <c r="BAW18" s="1221"/>
      <c r="BAX18" s="1221"/>
      <c r="BAY18" s="1221"/>
      <c r="BAZ18" s="1221"/>
      <c r="BBA18" s="1221"/>
      <c r="BBB18" s="1221"/>
      <c r="BBC18" s="1221"/>
      <c r="BBD18" s="1221"/>
      <c r="BBE18" s="1221"/>
      <c r="BBF18" s="1221"/>
      <c r="BBG18" s="1221"/>
      <c r="BBH18" s="1221"/>
      <c r="BBI18" s="1221"/>
      <c r="BBJ18" s="1221"/>
      <c r="BBK18" s="1221"/>
      <c r="BBL18" s="1221"/>
      <c r="BBM18" s="1221"/>
      <c r="BBN18" s="1221"/>
      <c r="BBO18" s="1221"/>
      <c r="BBP18" s="1221"/>
      <c r="BBQ18" s="1221"/>
      <c r="BBR18" s="1221"/>
      <c r="BBS18" s="1221"/>
      <c r="BBT18" s="1221"/>
      <c r="BBU18" s="1221"/>
      <c r="BBV18" s="1221"/>
      <c r="BBW18" s="1221"/>
      <c r="BBX18" s="1221"/>
      <c r="BBY18" s="1221"/>
      <c r="BBZ18" s="1221"/>
      <c r="BCA18" s="1221"/>
      <c r="BCB18" s="1221"/>
      <c r="BCC18" s="1221"/>
      <c r="BCD18" s="1221"/>
      <c r="BCE18" s="1221"/>
      <c r="BCF18" s="1221"/>
      <c r="BCG18" s="1221"/>
      <c r="BCH18" s="1221"/>
      <c r="BCI18" s="1221"/>
      <c r="BCJ18" s="1221"/>
      <c r="BCK18" s="1221"/>
      <c r="BCL18" s="1221"/>
      <c r="BCM18" s="1221"/>
      <c r="BCN18" s="1221"/>
      <c r="BCO18" s="1221"/>
      <c r="BCP18" s="1221"/>
      <c r="BCQ18" s="1221"/>
      <c r="BCR18" s="1221"/>
      <c r="BCS18" s="1221"/>
      <c r="BCT18" s="1221"/>
      <c r="BCU18" s="1221"/>
      <c r="BCV18" s="1221"/>
      <c r="BCW18" s="1221"/>
      <c r="BCX18" s="1221"/>
      <c r="BCY18" s="1221"/>
      <c r="BCZ18" s="1221"/>
      <c r="BDA18" s="1221"/>
      <c r="BDB18" s="1221"/>
      <c r="BDC18" s="1221"/>
      <c r="BDD18" s="1221"/>
      <c r="BDE18" s="1221"/>
      <c r="BDF18" s="1221"/>
      <c r="BDG18" s="1221"/>
      <c r="BDH18" s="1221"/>
      <c r="BDI18" s="1221"/>
      <c r="BDJ18" s="1221"/>
      <c r="BDK18" s="1221"/>
      <c r="BDL18" s="1221"/>
      <c r="BDM18" s="1221"/>
      <c r="BDN18" s="1221"/>
      <c r="BDO18" s="1221"/>
      <c r="BDP18" s="1221"/>
      <c r="BDQ18" s="1221"/>
      <c r="BDR18" s="1221"/>
      <c r="BDS18" s="1221"/>
      <c r="BDT18" s="1221"/>
      <c r="BDU18" s="1221"/>
      <c r="BDV18" s="1221"/>
      <c r="BDW18" s="1221"/>
      <c r="BDX18" s="1221"/>
      <c r="BDY18" s="1221"/>
      <c r="BDZ18" s="1221"/>
      <c r="BEA18" s="1221"/>
      <c r="BEB18" s="1221"/>
      <c r="BEC18" s="1221"/>
      <c r="BED18" s="1221"/>
      <c r="BEE18" s="1221"/>
      <c r="BEF18" s="1221"/>
      <c r="BEG18" s="1221"/>
      <c r="BEH18" s="1221"/>
      <c r="BEI18" s="1221"/>
      <c r="BEJ18" s="1221"/>
      <c r="BEK18" s="1221"/>
      <c r="BEL18" s="1221"/>
      <c r="BEM18" s="1221"/>
      <c r="BEN18" s="1221"/>
      <c r="BEO18" s="1221"/>
      <c r="BEP18" s="1221"/>
      <c r="BEQ18" s="1221"/>
      <c r="BER18" s="1221"/>
      <c r="BES18" s="1221"/>
      <c r="BET18" s="1221"/>
      <c r="BEU18" s="1221"/>
      <c r="BEV18" s="1221"/>
      <c r="BEW18" s="1221"/>
      <c r="BEX18" s="1221"/>
      <c r="BEY18" s="1221"/>
      <c r="BEZ18" s="1221"/>
      <c r="BFA18" s="1221"/>
      <c r="BFB18" s="1221"/>
      <c r="BFC18" s="1221"/>
      <c r="BFD18" s="1221"/>
      <c r="BFE18" s="1221"/>
      <c r="BFF18" s="1221"/>
      <c r="BFG18" s="1221"/>
      <c r="BFH18" s="1221"/>
      <c r="BFI18" s="1221"/>
      <c r="BFJ18" s="1221"/>
      <c r="BFK18" s="1221"/>
      <c r="BFL18" s="1221"/>
      <c r="BFM18" s="1221"/>
      <c r="BFN18" s="1221"/>
      <c r="BFO18" s="1221"/>
      <c r="BFP18" s="1221"/>
      <c r="BFQ18" s="1221"/>
      <c r="BFR18" s="1221"/>
      <c r="BFS18" s="1221"/>
      <c r="BFT18" s="1221"/>
      <c r="BFU18" s="1221"/>
      <c r="BFV18" s="1221"/>
      <c r="BFW18" s="1221"/>
      <c r="BFX18" s="1221"/>
      <c r="BFY18" s="1221"/>
      <c r="BFZ18" s="1221"/>
      <c r="BGA18" s="1221"/>
      <c r="BGB18" s="1221"/>
      <c r="BGC18" s="1221"/>
      <c r="BGD18" s="1221"/>
      <c r="BGE18" s="1221"/>
      <c r="BGF18" s="1221"/>
      <c r="BGG18" s="1221"/>
      <c r="BGH18" s="1221"/>
      <c r="BGI18" s="1221"/>
      <c r="BGJ18" s="1221"/>
      <c r="BGK18" s="1221"/>
      <c r="BGL18" s="1221"/>
      <c r="BGM18" s="1221"/>
      <c r="BGN18" s="1221"/>
      <c r="BGO18" s="1221"/>
      <c r="BGP18" s="1221"/>
      <c r="BGQ18" s="1221"/>
      <c r="BGR18" s="1221"/>
      <c r="BGS18" s="1221"/>
      <c r="BGT18" s="1221"/>
      <c r="BGU18" s="1221"/>
      <c r="BGV18" s="1221"/>
      <c r="BGW18" s="1221"/>
      <c r="BGX18" s="1221"/>
      <c r="BGY18" s="1221"/>
      <c r="BGZ18" s="1221"/>
      <c r="BHA18" s="1221"/>
      <c r="BHB18" s="1221"/>
      <c r="BHC18" s="1221"/>
      <c r="BHD18" s="1221"/>
      <c r="BHE18" s="1221"/>
      <c r="BHF18" s="1221"/>
      <c r="BHG18" s="1221"/>
      <c r="BHH18" s="1221"/>
      <c r="BHI18" s="1221"/>
      <c r="BHJ18" s="1221"/>
      <c r="BHK18" s="1221"/>
      <c r="BHL18" s="1221"/>
      <c r="BHM18" s="1221"/>
      <c r="BHN18" s="1221"/>
      <c r="BHO18" s="1221"/>
      <c r="BHP18" s="1221"/>
      <c r="BHQ18" s="1221"/>
      <c r="BHR18" s="1221"/>
      <c r="BHS18" s="1221"/>
      <c r="BHT18" s="1221"/>
      <c r="BHU18" s="1221"/>
      <c r="BHV18" s="1221"/>
      <c r="BHW18" s="1221"/>
      <c r="BHX18" s="1221"/>
      <c r="BHY18" s="1221"/>
      <c r="BHZ18" s="1221"/>
      <c r="BIA18" s="1221"/>
      <c r="BIB18" s="1221"/>
      <c r="BIC18" s="1221"/>
      <c r="BID18" s="1221"/>
      <c r="BIE18" s="1221"/>
      <c r="BIF18" s="1221"/>
      <c r="BIG18" s="1221"/>
      <c r="BIH18" s="1221"/>
      <c r="BII18" s="1221"/>
      <c r="BIJ18" s="1221"/>
      <c r="BIK18" s="1221"/>
      <c r="BIL18" s="1221"/>
      <c r="BIM18" s="1221"/>
      <c r="BIN18" s="1221"/>
      <c r="BIO18" s="1221"/>
      <c r="BIP18" s="1221"/>
      <c r="BIQ18" s="1221"/>
      <c r="BIR18" s="1221"/>
      <c r="BIS18" s="1221"/>
      <c r="BIT18" s="1221"/>
      <c r="BIU18" s="1221"/>
      <c r="BIV18" s="1221"/>
      <c r="BIW18" s="1221"/>
      <c r="BIX18" s="1221"/>
      <c r="BIY18" s="1221"/>
      <c r="BIZ18" s="1221"/>
      <c r="BJA18" s="1221"/>
      <c r="BJB18" s="1221"/>
      <c r="BJC18" s="1221"/>
      <c r="BJD18" s="1221"/>
      <c r="BJE18" s="1221"/>
      <c r="BJF18" s="1221"/>
      <c r="BJG18" s="1221"/>
      <c r="BJH18" s="1221"/>
      <c r="BJI18" s="1221"/>
      <c r="BJJ18" s="1221"/>
      <c r="BJK18" s="1221"/>
      <c r="BJL18" s="1221"/>
      <c r="BJM18" s="1221"/>
      <c r="BJN18" s="1221"/>
      <c r="BJO18" s="1221"/>
      <c r="BJP18" s="1221"/>
      <c r="BJQ18" s="1221"/>
      <c r="BJR18" s="1221"/>
      <c r="BJS18" s="1221"/>
      <c r="BJT18" s="1221"/>
      <c r="BJU18" s="1221"/>
      <c r="BJV18" s="1221"/>
      <c r="BJW18" s="1221"/>
      <c r="BJX18" s="1221"/>
      <c r="BJY18" s="1221"/>
      <c r="BJZ18" s="1221"/>
      <c r="BKA18" s="1221"/>
      <c r="BKB18" s="1221"/>
      <c r="BKC18" s="1221"/>
      <c r="BKD18" s="1221"/>
      <c r="BKE18" s="1221"/>
      <c r="BKF18" s="1221"/>
      <c r="BKG18" s="1221"/>
      <c r="BKH18" s="1221"/>
      <c r="BKI18" s="1221"/>
      <c r="BKJ18" s="1221"/>
      <c r="BKK18" s="1221"/>
      <c r="BKL18" s="1221"/>
      <c r="BKM18" s="1221"/>
      <c r="BKN18" s="1221"/>
      <c r="BKO18" s="1221"/>
      <c r="BKP18" s="1221"/>
      <c r="BKQ18" s="1221"/>
      <c r="BKR18" s="1221"/>
      <c r="BKS18" s="1221"/>
      <c r="BKT18" s="1221"/>
      <c r="BKU18" s="1221"/>
      <c r="BKV18" s="1221"/>
      <c r="BKW18" s="1221"/>
      <c r="BKX18" s="1221"/>
      <c r="BKY18" s="1221"/>
      <c r="BKZ18" s="1221"/>
      <c r="BLA18" s="1221"/>
      <c r="BLB18" s="1221"/>
      <c r="BLC18" s="1221"/>
      <c r="BLD18" s="1221"/>
      <c r="BLE18" s="1221"/>
      <c r="BLF18" s="1221"/>
      <c r="BLG18" s="1221"/>
      <c r="BLH18" s="1221"/>
      <c r="BLI18" s="1221"/>
      <c r="BLJ18" s="1221"/>
      <c r="BLK18" s="1221"/>
      <c r="BLL18" s="1221"/>
      <c r="BLM18" s="1221"/>
      <c r="BLN18" s="1221"/>
      <c r="BLO18" s="1221"/>
      <c r="BLP18" s="1221"/>
      <c r="BLQ18" s="1221"/>
      <c r="BLR18" s="1221"/>
      <c r="BLS18" s="1221"/>
      <c r="BLT18" s="1221"/>
      <c r="BLU18" s="1221"/>
      <c r="BLV18" s="1221"/>
      <c r="BLW18" s="1221"/>
      <c r="BLX18" s="1221"/>
      <c r="BLY18" s="1221"/>
      <c r="BLZ18" s="1221"/>
      <c r="BMA18" s="1221"/>
      <c r="BMB18" s="1221"/>
      <c r="BMC18" s="1221"/>
      <c r="BMD18" s="1221"/>
      <c r="BME18" s="1221"/>
      <c r="BMF18" s="1221"/>
      <c r="BMG18" s="1221"/>
      <c r="BMH18" s="1221"/>
      <c r="BMI18" s="1221"/>
      <c r="BMJ18" s="1221"/>
      <c r="BMK18" s="1221"/>
      <c r="BML18" s="1221"/>
      <c r="BMM18" s="1221"/>
      <c r="BMN18" s="1221"/>
      <c r="BMO18" s="1221"/>
      <c r="BMP18" s="1221"/>
      <c r="BMQ18" s="1221"/>
      <c r="BMR18" s="1221"/>
      <c r="BMS18" s="1221"/>
      <c r="BMT18" s="1221"/>
      <c r="BMU18" s="1221"/>
      <c r="BMV18" s="1221"/>
      <c r="BMW18" s="1221"/>
      <c r="BMX18" s="1221"/>
      <c r="BMY18" s="1221"/>
      <c r="BMZ18" s="1221"/>
      <c r="BNA18" s="1221"/>
      <c r="BNB18" s="1221"/>
      <c r="BNC18" s="1221"/>
      <c r="BND18" s="1221"/>
      <c r="BNE18" s="1221"/>
      <c r="BNF18" s="1221"/>
      <c r="BNG18" s="1221"/>
      <c r="BNH18" s="1221"/>
      <c r="BNI18" s="1221"/>
      <c r="BNJ18" s="1221"/>
      <c r="BNK18" s="1221"/>
      <c r="BNL18" s="1221"/>
      <c r="BNM18" s="1221"/>
      <c r="BNN18" s="1221"/>
      <c r="BNO18" s="1221"/>
      <c r="BNP18" s="1221"/>
      <c r="BNQ18" s="1221"/>
      <c r="BNR18" s="1221"/>
      <c r="BNS18" s="1221"/>
      <c r="BNT18" s="1221"/>
      <c r="BNU18" s="1221"/>
      <c r="BNV18" s="1221"/>
      <c r="BNW18" s="1221"/>
      <c r="BNX18" s="1221"/>
      <c r="BNY18" s="1221"/>
      <c r="BNZ18" s="1221"/>
      <c r="BOA18" s="1221"/>
      <c r="BOB18" s="1221"/>
      <c r="BOC18" s="1221"/>
      <c r="BOD18" s="1221"/>
      <c r="BOE18" s="1221"/>
      <c r="BOF18" s="1221"/>
      <c r="BOG18" s="1221"/>
      <c r="BOH18" s="1221"/>
      <c r="BOI18" s="1221"/>
      <c r="BOJ18" s="1221"/>
      <c r="BOK18" s="1221"/>
      <c r="BOL18" s="1221"/>
      <c r="BOM18" s="1221"/>
      <c r="BON18" s="1221"/>
      <c r="BOO18" s="1221"/>
      <c r="BOP18" s="1221"/>
      <c r="BOQ18" s="1221"/>
      <c r="BOR18" s="1221"/>
      <c r="BOS18" s="1221"/>
      <c r="BOT18" s="1221"/>
      <c r="BOU18" s="1221"/>
      <c r="BOV18" s="1221"/>
      <c r="BOW18" s="1221"/>
      <c r="BOX18" s="1221"/>
      <c r="BOY18" s="1221"/>
      <c r="BOZ18" s="1221"/>
      <c r="BPA18" s="1221"/>
      <c r="BPB18" s="1221"/>
      <c r="BPC18" s="1221"/>
      <c r="BPD18" s="1221"/>
      <c r="BPE18" s="1221"/>
      <c r="BPF18" s="1221"/>
      <c r="BPG18" s="1221"/>
      <c r="BPH18" s="1221"/>
      <c r="BPI18" s="1221"/>
      <c r="BPJ18" s="1221"/>
      <c r="BPK18" s="1221"/>
      <c r="BPL18" s="1221"/>
      <c r="BPM18" s="1221"/>
      <c r="BPN18" s="1221"/>
      <c r="BPO18" s="1221"/>
      <c r="BPP18" s="1221"/>
      <c r="BPQ18" s="1221"/>
      <c r="BPR18" s="1221"/>
      <c r="BPS18" s="1221"/>
      <c r="BPT18" s="1221"/>
      <c r="BPU18" s="1221"/>
      <c r="BPV18" s="1221"/>
      <c r="BPW18" s="1221"/>
      <c r="BPX18" s="1221"/>
      <c r="BPY18" s="1221"/>
      <c r="BPZ18" s="1221"/>
      <c r="BQA18" s="1221"/>
      <c r="BQB18" s="1221"/>
      <c r="BQC18" s="1221"/>
      <c r="BQD18" s="1221"/>
      <c r="BQE18" s="1221"/>
      <c r="BQF18" s="1221"/>
      <c r="BQG18" s="1221"/>
      <c r="BQH18" s="1221"/>
      <c r="BQI18" s="1221"/>
      <c r="BQJ18" s="1221"/>
      <c r="BQK18" s="1221"/>
      <c r="BQL18" s="1221"/>
      <c r="BQM18" s="1221"/>
      <c r="BQN18" s="1221"/>
      <c r="BQO18" s="1221"/>
      <c r="BQP18" s="1221"/>
      <c r="BQQ18" s="1221"/>
      <c r="BQR18" s="1221"/>
      <c r="BQS18" s="1221"/>
      <c r="BQT18" s="1221"/>
      <c r="BQU18" s="1221"/>
      <c r="BQV18" s="1221"/>
      <c r="BQW18" s="1221"/>
      <c r="BQX18" s="1221"/>
      <c r="BQY18" s="1221"/>
      <c r="BQZ18" s="1221"/>
      <c r="BRA18" s="1221"/>
      <c r="BRB18" s="1221"/>
      <c r="BRC18" s="1221"/>
      <c r="BRD18" s="1221"/>
      <c r="BRE18" s="1221"/>
      <c r="BRF18" s="1221"/>
      <c r="BRG18" s="1221"/>
      <c r="BRH18" s="1221"/>
      <c r="BRI18" s="1221"/>
      <c r="BRJ18" s="1221"/>
      <c r="BRK18" s="1221"/>
      <c r="BRL18" s="1221"/>
      <c r="BRM18" s="1221"/>
      <c r="BRN18" s="1221"/>
      <c r="BRO18" s="1221"/>
      <c r="BRP18" s="1221"/>
      <c r="BRQ18" s="1221"/>
      <c r="BRR18" s="1221"/>
      <c r="BRS18" s="1221"/>
      <c r="BRT18" s="1221"/>
      <c r="BRU18" s="1221"/>
      <c r="BRV18" s="1221"/>
      <c r="BRW18" s="1221"/>
      <c r="BRX18" s="1221"/>
      <c r="BRY18" s="1221"/>
      <c r="BRZ18" s="1221"/>
      <c r="BSA18" s="1221"/>
      <c r="BSB18" s="1221"/>
      <c r="BSC18" s="1221"/>
      <c r="BSD18" s="1221"/>
      <c r="BSE18" s="1221"/>
      <c r="BSF18" s="1221"/>
      <c r="BSG18" s="1221"/>
      <c r="BSH18" s="1221"/>
      <c r="BSI18" s="1221"/>
      <c r="BSJ18" s="1221"/>
      <c r="BSK18" s="1221"/>
      <c r="BSL18" s="1221"/>
      <c r="BSM18" s="1221"/>
      <c r="BSN18" s="1221"/>
      <c r="BSO18" s="1221"/>
      <c r="BSP18" s="1221"/>
      <c r="BSQ18" s="1221"/>
      <c r="BSR18" s="1221"/>
      <c r="BSS18" s="1221"/>
      <c r="BST18" s="1221"/>
      <c r="BSU18" s="1221"/>
      <c r="BSV18" s="1221"/>
      <c r="BSW18" s="1221"/>
      <c r="BSX18" s="1221"/>
      <c r="BSY18" s="1221"/>
      <c r="BSZ18" s="1221"/>
      <c r="BTA18" s="1221"/>
      <c r="BTB18" s="1221"/>
      <c r="BTC18" s="1221"/>
      <c r="BTD18" s="1221"/>
      <c r="BTE18" s="1221"/>
      <c r="BTF18" s="1221"/>
      <c r="BTG18" s="1221"/>
      <c r="BTH18" s="1221"/>
      <c r="BTI18" s="1221"/>
      <c r="BTJ18" s="1221"/>
      <c r="BTK18" s="1221"/>
      <c r="BTL18" s="1221"/>
      <c r="BTM18" s="1221"/>
      <c r="BTN18" s="1221"/>
      <c r="BTO18" s="1221"/>
      <c r="BTP18" s="1221"/>
      <c r="BTQ18" s="1221"/>
      <c r="BTR18" s="1221"/>
      <c r="BTS18" s="1221"/>
      <c r="BTT18" s="1221"/>
      <c r="BTU18" s="1221"/>
      <c r="BTV18" s="1221"/>
      <c r="BTW18" s="1221"/>
      <c r="BTX18" s="1221"/>
      <c r="BTY18" s="1221"/>
      <c r="BTZ18" s="1221"/>
      <c r="BUA18" s="1221"/>
      <c r="BUB18" s="1221"/>
      <c r="BUC18" s="1221"/>
      <c r="BUD18" s="1221"/>
      <c r="BUE18" s="1221"/>
      <c r="BUF18" s="1221"/>
      <c r="BUG18" s="1221"/>
      <c r="BUH18" s="1221"/>
      <c r="BUI18" s="1221"/>
      <c r="BUJ18" s="1221"/>
      <c r="BUK18" s="1221"/>
      <c r="BUL18" s="1221"/>
      <c r="BUM18" s="1221"/>
      <c r="BUN18" s="1221"/>
      <c r="BUO18" s="1221"/>
      <c r="BUP18" s="1221"/>
      <c r="BUQ18" s="1221"/>
      <c r="BUR18" s="1221"/>
      <c r="BUS18" s="1221"/>
      <c r="BUT18" s="1221"/>
      <c r="BUU18" s="1221"/>
      <c r="BUV18" s="1221"/>
      <c r="BUW18" s="1221"/>
      <c r="BUX18" s="1221"/>
      <c r="BUY18" s="1221"/>
      <c r="BUZ18" s="1221"/>
      <c r="BVA18" s="1221"/>
      <c r="BVB18" s="1221"/>
      <c r="BVC18" s="1221"/>
      <c r="BVD18" s="1221"/>
      <c r="BVE18" s="1221"/>
      <c r="BVF18" s="1221"/>
      <c r="BVG18" s="1221"/>
      <c r="BVH18" s="1221"/>
      <c r="BVI18" s="1221"/>
      <c r="BVJ18" s="1221"/>
      <c r="BVK18" s="1221"/>
      <c r="BVL18" s="1221"/>
      <c r="BVM18" s="1221"/>
      <c r="BVN18" s="1221"/>
      <c r="BVO18" s="1221"/>
      <c r="BVP18" s="1221"/>
      <c r="BVQ18" s="1221"/>
      <c r="BVR18" s="1221"/>
      <c r="BVS18" s="1221"/>
      <c r="BVT18" s="1221"/>
      <c r="BVU18" s="1221"/>
      <c r="BVV18" s="1221"/>
      <c r="BVW18" s="1221"/>
      <c r="BVX18" s="1221"/>
      <c r="BVY18" s="1221"/>
      <c r="BVZ18" s="1221"/>
      <c r="BWA18" s="1221"/>
      <c r="BWB18" s="1221"/>
      <c r="BWC18" s="1221"/>
      <c r="BWD18" s="1221"/>
      <c r="BWE18" s="1221"/>
      <c r="BWF18" s="1221"/>
      <c r="BWG18" s="1221"/>
      <c r="BWH18" s="1221"/>
      <c r="BWI18" s="1221"/>
      <c r="BWJ18" s="1221"/>
      <c r="BWK18" s="1221"/>
      <c r="BWL18" s="1221"/>
      <c r="BWM18" s="1221"/>
      <c r="BWN18" s="1221"/>
      <c r="BWO18" s="1221"/>
      <c r="BWP18" s="1221"/>
      <c r="BWQ18" s="1221"/>
      <c r="BWR18" s="1221"/>
      <c r="BWS18" s="1221"/>
      <c r="BWT18" s="1221"/>
      <c r="BWU18" s="1221"/>
      <c r="BWV18" s="1221"/>
      <c r="BWW18" s="1221"/>
      <c r="BWX18" s="1221"/>
      <c r="BWY18" s="1221"/>
      <c r="BWZ18" s="1221"/>
      <c r="BXA18" s="1221"/>
      <c r="BXB18" s="1221"/>
      <c r="BXC18" s="1221"/>
      <c r="BXD18" s="1221"/>
      <c r="BXE18" s="1221"/>
      <c r="BXF18" s="1221"/>
      <c r="BXG18" s="1221"/>
      <c r="BXH18" s="1221"/>
      <c r="BXI18" s="1221"/>
      <c r="BXJ18" s="1221"/>
      <c r="BXK18" s="1221"/>
      <c r="BXL18" s="1221"/>
      <c r="BXM18" s="1221"/>
      <c r="BXN18" s="1221"/>
      <c r="BXO18" s="1221"/>
      <c r="BXP18" s="1221"/>
      <c r="BXQ18" s="1221"/>
      <c r="BXR18" s="1221"/>
      <c r="BXS18" s="1221"/>
      <c r="BXT18" s="1221"/>
      <c r="BXU18" s="1221"/>
      <c r="BXV18" s="1221"/>
      <c r="BXW18" s="1221"/>
      <c r="BXX18" s="1221"/>
      <c r="BXY18" s="1221"/>
      <c r="BXZ18" s="1221"/>
      <c r="BYA18" s="1221"/>
      <c r="BYB18" s="1221"/>
      <c r="BYC18" s="1221"/>
      <c r="BYD18" s="1221"/>
      <c r="BYE18" s="1221"/>
      <c r="BYF18" s="1221"/>
      <c r="BYG18" s="1221"/>
      <c r="BYH18" s="1221"/>
      <c r="BYI18" s="1221"/>
      <c r="BYJ18" s="1221"/>
      <c r="BYK18" s="1221"/>
      <c r="BYL18" s="1221"/>
      <c r="BYM18" s="1221"/>
      <c r="BYN18" s="1221"/>
      <c r="BYO18" s="1221"/>
      <c r="BYP18" s="1221"/>
      <c r="BYQ18" s="1221"/>
      <c r="BYR18" s="1221"/>
      <c r="BYS18" s="1221"/>
      <c r="BYT18" s="1221"/>
      <c r="BYU18" s="1221"/>
      <c r="BYV18" s="1221"/>
      <c r="BYW18" s="1221"/>
      <c r="BYX18" s="1221"/>
      <c r="BYY18" s="1221"/>
      <c r="BYZ18" s="1221"/>
      <c r="BZA18" s="1221"/>
      <c r="BZB18" s="1221"/>
      <c r="BZC18" s="1221"/>
      <c r="BZD18" s="1221"/>
      <c r="BZE18" s="1221"/>
      <c r="BZF18" s="1221"/>
      <c r="BZG18" s="1221"/>
      <c r="BZH18" s="1221"/>
      <c r="BZI18" s="1221"/>
      <c r="BZJ18" s="1221"/>
      <c r="BZK18" s="1221"/>
      <c r="BZL18" s="1221"/>
      <c r="BZM18" s="1221"/>
      <c r="BZN18" s="1221"/>
      <c r="BZO18" s="1221"/>
      <c r="BZP18" s="1221"/>
      <c r="BZQ18" s="1221"/>
      <c r="BZR18" s="1221"/>
      <c r="BZS18" s="1221"/>
      <c r="BZT18" s="1221"/>
      <c r="BZU18" s="1221"/>
      <c r="BZV18" s="1221"/>
      <c r="BZW18" s="1221"/>
      <c r="BZX18" s="1221"/>
      <c r="BZY18" s="1221"/>
      <c r="BZZ18" s="1221"/>
      <c r="CAA18" s="1221"/>
      <c r="CAB18" s="1221"/>
      <c r="CAC18" s="1221"/>
      <c r="CAD18" s="1221"/>
      <c r="CAE18" s="1221"/>
      <c r="CAF18" s="1221"/>
      <c r="CAG18" s="1221"/>
      <c r="CAH18" s="1221"/>
      <c r="CAI18" s="1221"/>
      <c r="CAJ18" s="1221"/>
      <c r="CAK18" s="1221"/>
      <c r="CAL18" s="1221"/>
      <c r="CAM18" s="1221"/>
      <c r="CAN18" s="1221"/>
      <c r="CAO18" s="1221"/>
      <c r="CAP18" s="1221"/>
      <c r="CAQ18" s="1221"/>
      <c r="CAR18" s="1221"/>
      <c r="CAS18" s="1221"/>
      <c r="CAT18" s="1221"/>
      <c r="CAU18" s="1221"/>
      <c r="CAV18" s="1221"/>
      <c r="CAW18" s="1221"/>
      <c r="CAX18" s="1221"/>
      <c r="CAY18" s="1221"/>
      <c r="CAZ18" s="1221"/>
      <c r="CBA18" s="1221"/>
      <c r="CBB18" s="1221"/>
      <c r="CBC18" s="1221"/>
      <c r="CBD18" s="1221"/>
      <c r="CBE18" s="1221"/>
      <c r="CBF18" s="1221"/>
      <c r="CBG18" s="1221"/>
      <c r="CBH18" s="1221"/>
      <c r="CBI18" s="1221"/>
      <c r="CBJ18" s="1221"/>
      <c r="CBK18" s="1221"/>
      <c r="CBL18" s="1221"/>
      <c r="CBM18" s="1221"/>
      <c r="CBN18" s="1221"/>
      <c r="CBO18" s="1221"/>
      <c r="CBP18" s="1221"/>
      <c r="CBQ18" s="1221"/>
      <c r="CBR18" s="1221"/>
      <c r="CBS18" s="1221"/>
      <c r="CBT18" s="1221"/>
      <c r="CBU18" s="1221"/>
      <c r="CBV18" s="1221"/>
      <c r="CBW18" s="1221"/>
      <c r="CBX18" s="1221"/>
      <c r="CBY18" s="1221"/>
      <c r="CBZ18" s="1221"/>
      <c r="CCA18" s="1221"/>
      <c r="CCB18" s="1221"/>
      <c r="CCC18" s="1221"/>
      <c r="CCD18" s="1221"/>
      <c r="CCE18" s="1221"/>
      <c r="CCF18" s="1221"/>
      <c r="CCG18" s="1221"/>
      <c r="CCH18" s="1221"/>
      <c r="CCI18" s="1221"/>
      <c r="CCJ18" s="1221"/>
      <c r="CCK18" s="1221"/>
      <c r="CCL18" s="1221"/>
      <c r="CCM18" s="1221"/>
      <c r="CCN18" s="1221"/>
      <c r="CCO18" s="1221"/>
      <c r="CCP18" s="1221"/>
      <c r="CCQ18" s="1221"/>
      <c r="CCR18" s="1221"/>
      <c r="CCS18" s="1221"/>
      <c r="CCT18" s="1221"/>
      <c r="CCU18" s="1221"/>
      <c r="CCV18" s="1221"/>
      <c r="CCW18" s="1221"/>
      <c r="CCX18" s="1221"/>
      <c r="CCY18" s="1221"/>
      <c r="CCZ18" s="1221"/>
      <c r="CDA18" s="1221"/>
      <c r="CDB18" s="1221"/>
      <c r="CDC18" s="1221"/>
      <c r="CDD18" s="1221"/>
      <c r="CDE18" s="1221"/>
      <c r="CDF18" s="1221"/>
      <c r="CDG18" s="1221"/>
      <c r="CDH18" s="1221"/>
      <c r="CDI18" s="1221"/>
      <c r="CDJ18" s="1221"/>
      <c r="CDK18" s="1221"/>
      <c r="CDL18" s="1221"/>
      <c r="CDM18" s="1221"/>
      <c r="CDN18" s="1221"/>
      <c r="CDO18" s="1221"/>
      <c r="CDP18" s="1221"/>
      <c r="CDQ18" s="1221"/>
      <c r="CDR18" s="1221"/>
      <c r="CDS18" s="1221"/>
      <c r="CDT18" s="1221"/>
      <c r="CDU18" s="1221"/>
      <c r="CDV18" s="1221"/>
      <c r="CDW18" s="1221"/>
      <c r="CDX18" s="1221"/>
      <c r="CDY18" s="1221"/>
      <c r="CDZ18" s="1221"/>
      <c r="CEA18" s="1221"/>
      <c r="CEB18" s="1221"/>
      <c r="CEC18" s="1221"/>
      <c r="CED18" s="1221"/>
      <c r="CEE18" s="1221"/>
      <c r="CEF18" s="1221"/>
      <c r="CEG18" s="1221"/>
      <c r="CEH18" s="1221"/>
      <c r="CEI18" s="1221"/>
      <c r="CEJ18" s="1221"/>
      <c r="CEK18" s="1221"/>
      <c r="CEL18" s="1221"/>
      <c r="CEM18" s="1221"/>
      <c r="CEN18" s="1221"/>
      <c r="CEO18" s="1221"/>
      <c r="CEP18" s="1221"/>
      <c r="CEQ18" s="1221"/>
      <c r="CER18" s="1221"/>
      <c r="CES18" s="1221"/>
      <c r="CET18" s="1221"/>
      <c r="CEU18" s="1221"/>
      <c r="CEV18" s="1221"/>
      <c r="CEW18" s="1221"/>
      <c r="CEX18" s="1221"/>
      <c r="CEY18" s="1221"/>
      <c r="CEZ18" s="1221"/>
      <c r="CFA18" s="1221"/>
      <c r="CFB18" s="1221"/>
      <c r="CFC18" s="1221"/>
      <c r="CFD18" s="1221"/>
      <c r="CFE18" s="1221"/>
      <c r="CFF18" s="1221"/>
      <c r="CFG18" s="1221"/>
      <c r="CFH18" s="1221"/>
      <c r="CFI18" s="1221"/>
      <c r="CFJ18" s="1221"/>
      <c r="CFK18" s="1221"/>
      <c r="CFL18" s="1221"/>
      <c r="CFM18" s="1221"/>
      <c r="CFN18" s="1221"/>
      <c r="CFO18" s="1221"/>
      <c r="CFP18" s="1221"/>
      <c r="CFQ18" s="1221"/>
      <c r="CFR18" s="1221"/>
      <c r="CFS18" s="1221"/>
      <c r="CFT18" s="1221"/>
      <c r="CFU18" s="1221"/>
      <c r="CFV18" s="1221"/>
      <c r="CFW18" s="1221"/>
      <c r="CFX18" s="1221"/>
      <c r="CFY18" s="1221"/>
      <c r="CFZ18" s="1221"/>
      <c r="CGA18" s="1221"/>
      <c r="CGB18" s="1221"/>
      <c r="CGC18" s="1221"/>
      <c r="CGD18" s="1221"/>
      <c r="CGE18" s="1221"/>
      <c r="CGF18" s="1221"/>
      <c r="CGG18" s="1221"/>
      <c r="CGH18" s="1221"/>
      <c r="CGI18" s="1221"/>
      <c r="CGJ18" s="1221"/>
      <c r="CGK18" s="1221"/>
      <c r="CGL18" s="1221"/>
      <c r="CGM18" s="1221"/>
      <c r="CGN18" s="1221"/>
      <c r="CGO18" s="1221"/>
      <c r="CGP18" s="1221"/>
      <c r="CGQ18" s="1221"/>
      <c r="CGR18" s="1221"/>
      <c r="CGS18" s="1221"/>
      <c r="CGT18" s="1221"/>
      <c r="CGU18" s="1221"/>
      <c r="CGV18" s="1221"/>
      <c r="CGW18" s="1221"/>
      <c r="CGX18" s="1221"/>
      <c r="CGY18" s="1221"/>
      <c r="CGZ18" s="1221"/>
      <c r="CHA18" s="1221"/>
      <c r="CHB18" s="1221"/>
      <c r="CHC18" s="1221"/>
      <c r="CHD18" s="1221"/>
      <c r="CHE18" s="1221"/>
      <c r="CHF18" s="1221"/>
      <c r="CHG18" s="1221"/>
      <c r="CHH18" s="1221"/>
      <c r="CHI18" s="1221"/>
      <c r="CHJ18" s="1221"/>
      <c r="CHK18" s="1221"/>
      <c r="CHL18" s="1221"/>
      <c r="CHM18" s="1221"/>
      <c r="CHN18" s="1221"/>
      <c r="CHO18" s="1221"/>
      <c r="CHP18" s="1221"/>
      <c r="CHQ18" s="1221"/>
      <c r="CHR18" s="1221"/>
      <c r="CHS18" s="1221"/>
      <c r="CHT18" s="1221"/>
      <c r="CHU18" s="1221"/>
      <c r="CHV18" s="1221"/>
      <c r="CHW18" s="1221"/>
      <c r="CHX18" s="1221"/>
      <c r="CHY18" s="1221"/>
      <c r="CHZ18" s="1221"/>
      <c r="CIA18" s="1221"/>
      <c r="CIB18" s="1221"/>
      <c r="CIC18" s="1221"/>
      <c r="CID18" s="1221"/>
      <c r="CIE18" s="1221"/>
      <c r="CIF18" s="1221"/>
      <c r="CIG18" s="1221"/>
      <c r="CIH18" s="1221"/>
      <c r="CII18" s="1221"/>
      <c r="CIJ18" s="1221"/>
      <c r="CIK18" s="1221"/>
      <c r="CIL18" s="1221"/>
      <c r="CIM18" s="1221"/>
      <c r="CIN18" s="1221"/>
      <c r="CIO18" s="1221"/>
      <c r="CIP18" s="1221"/>
      <c r="CIQ18" s="1221"/>
      <c r="CIR18" s="1221"/>
      <c r="CIS18" s="1221"/>
      <c r="CIT18" s="1221"/>
      <c r="CIU18" s="1221"/>
      <c r="CIV18" s="1221"/>
      <c r="CIW18" s="1221"/>
      <c r="CIX18" s="1221"/>
      <c r="CIY18" s="1221"/>
      <c r="CIZ18" s="1221"/>
      <c r="CJA18" s="1221"/>
      <c r="CJB18" s="1221"/>
      <c r="CJC18" s="1221"/>
      <c r="CJD18" s="1221"/>
      <c r="CJE18" s="1221"/>
      <c r="CJF18" s="1221"/>
      <c r="CJG18" s="1221"/>
      <c r="CJH18" s="1221"/>
      <c r="CJI18" s="1221"/>
      <c r="CJJ18" s="1221"/>
      <c r="CJK18" s="1221"/>
      <c r="CJL18" s="1221"/>
      <c r="CJM18" s="1221"/>
      <c r="CJN18" s="1221"/>
      <c r="CJO18" s="1221"/>
      <c r="CJP18" s="1221"/>
      <c r="CJQ18" s="1221"/>
      <c r="CJR18" s="1221"/>
      <c r="CJS18" s="1221"/>
      <c r="CJT18" s="1221"/>
      <c r="CJU18" s="1221"/>
      <c r="CJV18" s="1221"/>
      <c r="CJW18" s="1221"/>
      <c r="CJX18" s="1221"/>
      <c r="CJY18" s="1221"/>
      <c r="CJZ18" s="1221"/>
      <c r="CKA18" s="1221"/>
      <c r="CKB18" s="1221"/>
      <c r="CKC18" s="1221"/>
      <c r="CKD18" s="1221"/>
      <c r="CKE18" s="1221"/>
      <c r="CKF18" s="1221"/>
      <c r="CKG18" s="1221"/>
      <c r="CKH18" s="1221"/>
      <c r="CKI18" s="1221"/>
      <c r="CKJ18" s="1221"/>
      <c r="CKK18" s="1221"/>
      <c r="CKL18" s="1221"/>
      <c r="CKM18" s="1221"/>
      <c r="CKN18" s="1221"/>
      <c r="CKO18" s="1221"/>
      <c r="CKP18" s="1221"/>
      <c r="CKQ18" s="1221"/>
      <c r="CKR18" s="1221"/>
      <c r="CKS18" s="1221"/>
      <c r="CKT18" s="1221"/>
      <c r="CKU18" s="1221"/>
      <c r="CKV18" s="1221"/>
      <c r="CKW18" s="1221"/>
      <c r="CKX18" s="1221"/>
      <c r="CKY18" s="1221"/>
      <c r="CKZ18" s="1221"/>
      <c r="CLA18" s="1221"/>
      <c r="CLB18" s="1221"/>
      <c r="CLC18" s="1221"/>
      <c r="CLD18" s="1221"/>
      <c r="CLE18" s="1221"/>
      <c r="CLF18" s="1221"/>
      <c r="CLG18" s="1221"/>
      <c r="CLH18" s="1221"/>
      <c r="CLI18" s="1221"/>
      <c r="CLJ18" s="1221"/>
      <c r="CLK18" s="1221"/>
      <c r="CLL18" s="1221"/>
      <c r="CLM18" s="1221"/>
      <c r="CLN18" s="1221"/>
      <c r="CLO18" s="1221"/>
      <c r="CLP18" s="1221"/>
      <c r="CLQ18" s="1221"/>
      <c r="CLR18" s="1221"/>
      <c r="CLS18" s="1221"/>
      <c r="CLT18" s="1221"/>
      <c r="CLU18" s="1221"/>
      <c r="CLV18" s="1221"/>
      <c r="CLW18" s="1221"/>
      <c r="CLX18" s="1221"/>
      <c r="CLY18" s="1221"/>
      <c r="CLZ18" s="1221"/>
      <c r="CMA18" s="1221"/>
      <c r="CMB18" s="1221"/>
      <c r="CMC18" s="1221"/>
      <c r="CMD18" s="1221"/>
      <c r="CME18" s="1221"/>
      <c r="CMF18" s="1221"/>
      <c r="CMG18" s="1221"/>
      <c r="CMH18" s="1221"/>
      <c r="CMI18" s="1221"/>
      <c r="CMJ18" s="1221"/>
      <c r="CMK18" s="1221"/>
      <c r="CML18" s="1221"/>
      <c r="CMM18" s="1221"/>
      <c r="CMN18" s="1221"/>
      <c r="CMO18" s="1221"/>
      <c r="CMP18" s="1221"/>
      <c r="CMQ18" s="1221"/>
      <c r="CMR18" s="1221"/>
      <c r="CMS18" s="1221"/>
      <c r="CMT18" s="1221"/>
      <c r="CMU18" s="1221"/>
      <c r="CMV18" s="1221"/>
      <c r="CMW18" s="1221"/>
      <c r="CMX18" s="1221"/>
      <c r="CMY18" s="1221"/>
      <c r="CMZ18" s="1221"/>
      <c r="CNA18" s="1221"/>
      <c r="CNB18" s="1221"/>
      <c r="CNC18" s="1221"/>
      <c r="CND18" s="1221"/>
      <c r="CNE18" s="1221"/>
      <c r="CNF18" s="1221"/>
      <c r="CNG18" s="1221"/>
      <c r="CNH18" s="1221"/>
      <c r="CNI18" s="1221"/>
      <c r="CNJ18" s="1221"/>
      <c r="CNK18" s="1221"/>
      <c r="CNL18" s="1221"/>
      <c r="CNM18" s="1221"/>
      <c r="CNN18" s="1221"/>
      <c r="CNO18" s="1221"/>
      <c r="CNP18" s="1221"/>
      <c r="CNQ18" s="1221"/>
      <c r="CNR18" s="1221"/>
      <c r="CNS18" s="1221"/>
      <c r="CNT18" s="1221"/>
      <c r="CNU18" s="1221"/>
      <c r="CNV18" s="1221"/>
      <c r="CNW18" s="1221"/>
      <c r="CNX18" s="1221"/>
      <c r="CNY18" s="1221"/>
      <c r="CNZ18" s="1221"/>
      <c r="COA18" s="1221"/>
      <c r="COB18" s="1221"/>
      <c r="COC18" s="1221"/>
      <c r="COD18" s="1221"/>
      <c r="COE18" s="1221"/>
      <c r="COF18" s="1221"/>
      <c r="COG18" s="1221"/>
      <c r="COH18" s="1221"/>
      <c r="COI18" s="1221"/>
      <c r="COJ18" s="1221"/>
      <c r="COK18" s="1221"/>
      <c r="COL18" s="1221"/>
      <c r="COM18" s="1221"/>
      <c r="CON18" s="1221"/>
      <c r="COO18" s="1221"/>
      <c r="COP18" s="1221"/>
      <c r="COQ18" s="1221"/>
      <c r="COR18" s="1221"/>
      <c r="COS18" s="1221"/>
      <c r="COT18" s="1221"/>
      <c r="COU18" s="1221"/>
      <c r="COV18" s="1221"/>
      <c r="COW18" s="1221"/>
      <c r="COX18" s="1221"/>
      <c r="COY18" s="1221"/>
      <c r="COZ18" s="1221"/>
      <c r="CPA18" s="1221"/>
      <c r="CPB18" s="1221"/>
      <c r="CPC18" s="1221"/>
      <c r="CPD18" s="1221"/>
      <c r="CPE18" s="1221"/>
      <c r="CPF18" s="1221"/>
      <c r="CPG18" s="1221"/>
      <c r="CPH18" s="1221"/>
      <c r="CPI18" s="1221"/>
      <c r="CPJ18" s="1221"/>
      <c r="CPK18" s="1221"/>
      <c r="CPL18" s="1221"/>
      <c r="CPM18" s="1221"/>
      <c r="CPN18" s="1221"/>
      <c r="CPO18" s="1221"/>
      <c r="CPP18" s="1221"/>
      <c r="CPQ18" s="1221"/>
      <c r="CPR18" s="1221"/>
      <c r="CPS18" s="1221"/>
      <c r="CPT18" s="1221"/>
      <c r="CPU18" s="1221"/>
      <c r="CPV18" s="1221"/>
      <c r="CPW18" s="1221"/>
      <c r="CPX18" s="1221"/>
      <c r="CPY18" s="1221"/>
      <c r="CPZ18" s="1221"/>
      <c r="CQA18" s="1221"/>
      <c r="CQB18" s="1221"/>
      <c r="CQC18" s="1221"/>
      <c r="CQD18" s="1221"/>
      <c r="CQE18" s="1221"/>
      <c r="CQF18" s="1221"/>
      <c r="CQG18" s="1221"/>
      <c r="CQH18" s="1221"/>
      <c r="CQI18" s="1221"/>
      <c r="CQJ18" s="1221"/>
      <c r="CQK18" s="1221"/>
      <c r="CQL18" s="1221"/>
      <c r="CQM18" s="1221"/>
      <c r="CQN18" s="1221"/>
      <c r="CQO18" s="1221"/>
      <c r="CQP18" s="1221"/>
      <c r="CQQ18" s="1221"/>
      <c r="CQR18" s="1221"/>
      <c r="CQS18" s="1221"/>
      <c r="CQT18" s="1221"/>
      <c r="CQU18" s="1221"/>
      <c r="CQV18" s="1221"/>
      <c r="CQW18" s="1221"/>
      <c r="CQX18" s="1221"/>
      <c r="CQY18" s="1221"/>
      <c r="CQZ18" s="1221"/>
      <c r="CRA18" s="1221"/>
      <c r="CRB18" s="1221"/>
      <c r="CRC18" s="1221"/>
      <c r="CRD18" s="1221"/>
      <c r="CRE18" s="1221"/>
      <c r="CRF18" s="1221"/>
      <c r="CRG18" s="1221"/>
      <c r="CRH18" s="1221"/>
      <c r="CRI18" s="1221"/>
      <c r="CRJ18" s="1221"/>
      <c r="CRK18" s="1221"/>
      <c r="CRL18" s="1221"/>
      <c r="CRM18" s="1221"/>
      <c r="CRN18" s="1221"/>
      <c r="CRO18" s="1221"/>
      <c r="CRP18" s="1221"/>
      <c r="CRQ18" s="1221"/>
      <c r="CRR18" s="1221"/>
      <c r="CRS18" s="1221"/>
      <c r="CRT18" s="1221"/>
      <c r="CRU18" s="1221"/>
      <c r="CRV18" s="1221"/>
      <c r="CRW18" s="1221"/>
      <c r="CRX18" s="1221"/>
      <c r="CRY18" s="1221"/>
      <c r="CRZ18" s="1221"/>
      <c r="CSA18" s="1221"/>
      <c r="CSB18" s="1221"/>
      <c r="CSC18" s="1221"/>
      <c r="CSD18" s="1221"/>
      <c r="CSE18" s="1221"/>
      <c r="CSF18" s="1221"/>
      <c r="CSG18" s="1221"/>
      <c r="CSH18" s="1221"/>
      <c r="CSI18" s="1221"/>
      <c r="CSJ18" s="1221"/>
      <c r="CSK18" s="1221"/>
      <c r="CSL18" s="1221"/>
      <c r="CSM18" s="1221"/>
      <c r="CSN18" s="1221"/>
      <c r="CSO18" s="1221"/>
      <c r="CSP18" s="1221"/>
      <c r="CSQ18" s="1221"/>
      <c r="CSR18" s="1221"/>
      <c r="CSS18" s="1221"/>
      <c r="CST18" s="1221"/>
      <c r="CSU18" s="1221"/>
      <c r="CSV18" s="1221"/>
      <c r="CSW18" s="1221"/>
      <c r="CSX18" s="1221"/>
      <c r="CSY18" s="1221"/>
      <c r="CSZ18" s="1221"/>
      <c r="CTA18" s="1221"/>
      <c r="CTB18" s="1221"/>
      <c r="CTC18" s="1221"/>
      <c r="CTD18" s="1221"/>
      <c r="CTE18" s="1221"/>
      <c r="CTF18" s="1221"/>
      <c r="CTG18" s="1221"/>
      <c r="CTH18" s="1221"/>
      <c r="CTI18" s="1221"/>
      <c r="CTJ18" s="1221"/>
      <c r="CTK18" s="1221"/>
      <c r="CTL18" s="1221"/>
      <c r="CTM18" s="1221"/>
      <c r="CTN18" s="1221"/>
      <c r="CTO18" s="1221"/>
      <c r="CTP18" s="1221"/>
      <c r="CTQ18" s="1221"/>
      <c r="CTR18" s="1221"/>
      <c r="CTS18" s="1221"/>
      <c r="CTT18" s="1221"/>
      <c r="CTU18" s="1221"/>
      <c r="CTV18" s="1221"/>
      <c r="CTW18" s="1221"/>
      <c r="CTX18" s="1221"/>
      <c r="CTY18" s="1221"/>
      <c r="CTZ18" s="1221"/>
      <c r="CUA18" s="1221"/>
      <c r="CUB18" s="1221"/>
      <c r="CUC18" s="1221"/>
      <c r="CUD18" s="1221"/>
      <c r="CUE18" s="1221"/>
      <c r="CUF18" s="1221"/>
      <c r="CUG18" s="1221"/>
      <c r="CUH18" s="1221"/>
      <c r="CUI18" s="1221"/>
      <c r="CUJ18" s="1221"/>
      <c r="CUK18" s="1221"/>
      <c r="CUL18" s="1221"/>
      <c r="CUM18" s="1221"/>
      <c r="CUN18" s="1221"/>
      <c r="CUO18" s="1221"/>
      <c r="CUP18" s="1221"/>
      <c r="CUQ18" s="1221"/>
      <c r="CUR18" s="1221"/>
      <c r="CUS18" s="1221"/>
      <c r="CUT18" s="1221"/>
      <c r="CUU18" s="1221"/>
      <c r="CUV18" s="1221"/>
      <c r="CUW18" s="1221"/>
      <c r="CUX18" s="1221"/>
      <c r="CUY18" s="1221"/>
      <c r="CUZ18" s="1221"/>
      <c r="CVA18" s="1221"/>
      <c r="CVB18" s="1221"/>
      <c r="CVC18" s="1221"/>
      <c r="CVD18" s="1221"/>
      <c r="CVE18" s="1221"/>
      <c r="CVF18" s="1221"/>
      <c r="CVG18" s="1221"/>
      <c r="CVH18" s="1221"/>
      <c r="CVI18" s="1221"/>
      <c r="CVJ18" s="1221"/>
      <c r="CVK18" s="1221"/>
      <c r="CVL18" s="1221"/>
      <c r="CVM18" s="1221"/>
      <c r="CVN18" s="1221"/>
      <c r="CVO18" s="1221"/>
      <c r="CVP18" s="1221"/>
      <c r="CVQ18" s="1221"/>
      <c r="CVR18" s="1221"/>
      <c r="CVS18" s="1221"/>
      <c r="CVT18" s="1221"/>
      <c r="CVU18" s="1221"/>
      <c r="CVV18" s="1221"/>
      <c r="CVW18" s="1221"/>
      <c r="CVX18" s="1221"/>
      <c r="CVY18" s="1221"/>
      <c r="CVZ18" s="1221"/>
      <c r="CWA18" s="1221"/>
      <c r="CWB18" s="1221"/>
      <c r="CWC18" s="1221"/>
      <c r="CWD18" s="1221"/>
      <c r="CWE18" s="1221"/>
      <c r="CWF18" s="1221"/>
      <c r="CWG18" s="1221"/>
      <c r="CWH18" s="1221"/>
      <c r="CWI18" s="1221"/>
      <c r="CWJ18" s="1221"/>
      <c r="CWK18" s="1221"/>
      <c r="CWL18" s="1221"/>
      <c r="CWM18" s="1221"/>
      <c r="CWN18" s="1221"/>
      <c r="CWO18" s="1221"/>
      <c r="CWP18" s="1221"/>
      <c r="CWQ18" s="1221"/>
      <c r="CWR18" s="1221"/>
      <c r="CWS18" s="1221"/>
      <c r="CWT18" s="1221"/>
      <c r="CWU18" s="1221"/>
      <c r="CWV18" s="1221"/>
      <c r="CWW18" s="1221"/>
      <c r="CWX18" s="1221"/>
      <c r="CWY18" s="1221"/>
      <c r="CWZ18" s="1221"/>
      <c r="CXA18" s="1221"/>
      <c r="CXB18" s="1221"/>
      <c r="CXC18" s="1221"/>
      <c r="CXD18" s="1221"/>
      <c r="CXE18" s="1221"/>
      <c r="CXF18" s="1221"/>
      <c r="CXG18" s="1221"/>
      <c r="CXH18" s="1221"/>
      <c r="CXI18" s="1221"/>
      <c r="CXJ18" s="1221"/>
      <c r="CXK18" s="1221"/>
      <c r="CXL18" s="1221"/>
      <c r="CXM18" s="1221"/>
      <c r="CXN18" s="1221"/>
      <c r="CXO18" s="1221"/>
      <c r="CXP18" s="1221"/>
      <c r="CXQ18" s="1221"/>
      <c r="CXR18" s="1221"/>
      <c r="CXS18" s="1221"/>
      <c r="CXT18" s="1221"/>
      <c r="CXU18" s="1221"/>
      <c r="CXV18" s="1221"/>
      <c r="CXW18" s="1221"/>
      <c r="CXX18" s="1221"/>
      <c r="CXY18" s="1221"/>
      <c r="CXZ18" s="1221"/>
      <c r="CYA18" s="1221"/>
      <c r="CYB18" s="1221"/>
      <c r="CYC18" s="1221"/>
      <c r="CYD18" s="1221"/>
      <c r="CYE18" s="1221"/>
      <c r="CYF18" s="1221"/>
      <c r="CYG18" s="1221"/>
      <c r="CYH18" s="1221"/>
      <c r="CYI18" s="1221"/>
      <c r="CYJ18" s="1221"/>
      <c r="CYK18" s="1221"/>
      <c r="CYL18" s="1221"/>
      <c r="CYM18" s="1221"/>
      <c r="CYN18" s="1221"/>
      <c r="CYO18" s="1221"/>
      <c r="CYP18" s="1221"/>
      <c r="CYQ18" s="1221"/>
      <c r="CYR18" s="1221"/>
      <c r="CYS18" s="1221"/>
      <c r="CYT18" s="1221"/>
      <c r="CYU18" s="1221"/>
      <c r="CYV18" s="1221"/>
      <c r="CYW18" s="1221"/>
      <c r="CYX18" s="1221"/>
      <c r="CYY18" s="1221"/>
      <c r="CYZ18" s="1221"/>
      <c r="CZA18" s="1221"/>
      <c r="CZB18" s="1221"/>
      <c r="CZC18" s="1221"/>
      <c r="CZD18" s="1221"/>
      <c r="CZE18" s="1221"/>
      <c r="CZF18" s="1221"/>
      <c r="CZG18" s="1221"/>
      <c r="CZH18" s="1221"/>
      <c r="CZI18" s="1221"/>
      <c r="CZJ18" s="1221"/>
      <c r="CZK18" s="1221"/>
      <c r="CZL18" s="1221"/>
      <c r="CZM18" s="1221"/>
      <c r="CZN18" s="1221"/>
      <c r="CZO18" s="1221"/>
      <c r="CZP18" s="1221"/>
      <c r="CZQ18" s="1221"/>
      <c r="CZR18" s="1221"/>
      <c r="CZS18" s="1221"/>
      <c r="CZT18" s="1221"/>
      <c r="CZU18" s="1221"/>
      <c r="CZV18" s="1221"/>
      <c r="CZW18" s="1221"/>
      <c r="CZX18" s="1221"/>
      <c r="CZY18" s="1221"/>
      <c r="CZZ18" s="1221"/>
      <c r="DAA18" s="1221"/>
      <c r="DAB18" s="1221"/>
      <c r="DAC18" s="1221"/>
      <c r="DAD18" s="1221"/>
      <c r="DAE18" s="1221"/>
      <c r="DAF18" s="1221"/>
      <c r="DAG18" s="1221"/>
      <c r="DAH18" s="1221"/>
      <c r="DAI18" s="1221"/>
      <c r="DAJ18" s="1221"/>
      <c r="DAK18" s="1221"/>
      <c r="DAL18" s="1221"/>
      <c r="DAM18" s="1221"/>
      <c r="DAN18" s="1221"/>
      <c r="DAO18" s="1221"/>
      <c r="DAP18" s="1221"/>
      <c r="DAQ18" s="1221"/>
      <c r="DAR18" s="1221"/>
      <c r="DAS18" s="1221"/>
      <c r="DAT18" s="1221"/>
      <c r="DAU18" s="1221"/>
      <c r="DAV18" s="1221"/>
      <c r="DAW18" s="1221"/>
      <c r="DAX18" s="1221"/>
      <c r="DAY18" s="1221"/>
      <c r="DAZ18" s="1221"/>
      <c r="DBA18" s="1221"/>
      <c r="DBB18" s="1221"/>
      <c r="DBC18" s="1221"/>
      <c r="DBD18" s="1221"/>
      <c r="DBE18" s="1221"/>
      <c r="DBF18" s="1221"/>
      <c r="DBG18" s="1221"/>
      <c r="DBH18" s="1221"/>
      <c r="DBI18" s="1221"/>
      <c r="DBJ18" s="1221"/>
      <c r="DBK18" s="1221"/>
      <c r="DBL18" s="1221"/>
      <c r="DBM18" s="1221"/>
      <c r="DBN18" s="1221"/>
      <c r="DBO18" s="1221"/>
      <c r="DBP18" s="1221"/>
      <c r="DBQ18" s="1221"/>
      <c r="DBR18" s="1221"/>
      <c r="DBS18" s="1221"/>
      <c r="DBT18" s="1221"/>
      <c r="DBU18" s="1221"/>
      <c r="DBV18" s="1221"/>
      <c r="DBW18" s="1221"/>
      <c r="DBX18" s="1221"/>
      <c r="DBY18" s="1221"/>
      <c r="DBZ18" s="1221"/>
      <c r="DCA18" s="1221"/>
      <c r="DCB18" s="1221"/>
      <c r="DCC18" s="1221"/>
      <c r="DCD18" s="1221"/>
      <c r="DCE18" s="1221"/>
      <c r="DCF18" s="1221"/>
      <c r="DCG18" s="1221"/>
      <c r="DCH18" s="1221"/>
      <c r="DCI18" s="1221"/>
      <c r="DCJ18" s="1221"/>
      <c r="DCK18" s="1221"/>
      <c r="DCL18" s="1221"/>
      <c r="DCM18" s="1221"/>
      <c r="DCN18" s="1221"/>
      <c r="DCO18" s="1221"/>
      <c r="DCP18" s="1221"/>
      <c r="DCQ18" s="1221"/>
      <c r="DCR18" s="1221"/>
      <c r="DCS18" s="1221"/>
      <c r="DCT18" s="1221"/>
      <c r="DCU18" s="1221"/>
      <c r="DCV18" s="1221"/>
      <c r="DCW18" s="1221"/>
      <c r="DCX18" s="1221"/>
      <c r="DCY18" s="1221"/>
      <c r="DCZ18" s="1221"/>
      <c r="DDA18" s="1221"/>
      <c r="DDB18" s="1221"/>
      <c r="DDC18" s="1221"/>
      <c r="DDD18" s="1221"/>
      <c r="DDE18" s="1221"/>
      <c r="DDF18" s="1221"/>
      <c r="DDG18" s="1221"/>
      <c r="DDH18" s="1221"/>
      <c r="DDI18" s="1221"/>
      <c r="DDJ18" s="1221"/>
      <c r="DDK18" s="1221"/>
      <c r="DDL18" s="1221"/>
      <c r="DDM18" s="1221"/>
      <c r="DDN18" s="1221"/>
      <c r="DDO18" s="1221"/>
      <c r="DDP18" s="1221"/>
      <c r="DDQ18" s="1221"/>
      <c r="DDR18" s="1221"/>
      <c r="DDS18" s="1221"/>
      <c r="DDT18" s="1221"/>
      <c r="DDU18" s="1221"/>
      <c r="DDV18" s="1221"/>
      <c r="DDW18" s="1221"/>
      <c r="DDX18" s="1221"/>
      <c r="DDY18" s="1221"/>
      <c r="DDZ18" s="1221"/>
      <c r="DEA18" s="1221"/>
      <c r="DEB18" s="1221"/>
      <c r="DEC18" s="1221"/>
      <c r="DED18" s="1221"/>
      <c r="DEE18" s="1221"/>
      <c r="DEF18" s="1221"/>
      <c r="DEG18" s="1221"/>
      <c r="DEH18" s="1221"/>
      <c r="DEI18" s="1221"/>
      <c r="DEJ18" s="1221"/>
      <c r="DEK18" s="1221"/>
      <c r="DEL18" s="1221"/>
      <c r="DEM18" s="1221"/>
      <c r="DEN18" s="1221"/>
      <c r="DEO18" s="1221"/>
      <c r="DEP18" s="1221"/>
      <c r="DEQ18" s="1221"/>
      <c r="DER18" s="1221"/>
      <c r="DES18" s="1221"/>
      <c r="DET18" s="1221"/>
      <c r="DEU18" s="1221"/>
      <c r="DEV18" s="1221"/>
      <c r="DEW18" s="1221"/>
      <c r="DEX18" s="1221"/>
      <c r="DEY18" s="1221"/>
      <c r="DEZ18" s="1221"/>
      <c r="DFA18" s="1221"/>
      <c r="DFB18" s="1221"/>
      <c r="DFC18" s="1221"/>
      <c r="DFD18" s="1221"/>
      <c r="DFE18" s="1221"/>
      <c r="DFF18" s="1221"/>
      <c r="DFG18" s="1221"/>
      <c r="DFH18" s="1221"/>
      <c r="DFI18" s="1221"/>
      <c r="DFJ18" s="1221"/>
      <c r="DFK18" s="1221"/>
      <c r="DFL18" s="1221"/>
      <c r="DFM18" s="1221"/>
      <c r="DFN18" s="1221"/>
      <c r="DFO18" s="1221"/>
      <c r="DFP18" s="1221"/>
      <c r="DFQ18" s="1221"/>
      <c r="DFR18" s="1221"/>
      <c r="DFS18" s="1221"/>
      <c r="DFT18" s="1221"/>
      <c r="DFU18" s="1221"/>
      <c r="DFV18" s="1221"/>
      <c r="DFW18" s="1221"/>
      <c r="DFX18" s="1221"/>
      <c r="DFY18" s="1221"/>
      <c r="DFZ18" s="1221"/>
      <c r="DGA18" s="1221"/>
      <c r="DGB18" s="1221"/>
      <c r="DGC18" s="1221"/>
      <c r="DGD18" s="1221"/>
      <c r="DGE18" s="1221"/>
      <c r="DGF18" s="1221"/>
      <c r="DGG18" s="1221"/>
      <c r="DGH18" s="1221"/>
      <c r="DGI18" s="1221"/>
      <c r="DGJ18" s="1221"/>
      <c r="DGK18" s="1221"/>
      <c r="DGL18" s="1221"/>
      <c r="DGM18" s="1221"/>
      <c r="DGN18" s="1221"/>
      <c r="DGO18" s="1221"/>
      <c r="DGP18" s="1221"/>
      <c r="DGQ18" s="1221"/>
      <c r="DGR18" s="1221"/>
      <c r="DGS18" s="1221"/>
      <c r="DGT18" s="1221"/>
      <c r="DGU18" s="1221"/>
      <c r="DGV18" s="1221"/>
      <c r="DGW18" s="1221"/>
      <c r="DGX18" s="1221"/>
      <c r="DGY18" s="1221"/>
      <c r="DGZ18" s="1221"/>
      <c r="DHA18" s="1221"/>
      <c r="DHB18" s="1221"/>
      <c r="DHC18" s="1221"/>
      <c r="DHD18" s="1221"/>
      <c r="DHE18" s="1221"/>
      <c r="DHF18" s="1221"/>
      <c r="DHG18" s="1221"/>
      <c r="DHH18" s="1221"/>
      <c r="DHI18" s="1221"/>
      <c r="DHJ18" s="1221"/>
      <c r="DHK18" s="1221"/>
      <c r="DHL18" s="1221"/>
      <c r="DHM18" s="1221"/>
      <c r="DHN18" s="1221"/>
      <c r="DHO18" s="1221"/>
      <c r="DHP18" s="1221"/>
      <c r="DHQ18" s="1221"/>
      <c r="DHR18" s="1221"/>
      <c r="DHS18" s="1221"/>
      <c r="DHT18" s="1221"/>
      <c r="DHU18" s="1221"/>
      <c r="DHV18" s="1221"/>
      <c r="DHW18" s="1221"/>
      <c r="DHX18" s="1221"/>
      <c r="DHY18" s="1221"/>
      <c r="DHZ18" s="1221"/>
      <c r="DIA18" s="1221"/>
      <c r="DIB18" s="1221"/>
      <c r="DIC18" s="1221"/>
      <c r="DID18" s="1221"/>
      <c r="DIE18" s="1221"/>
      <c r="DIF18" s="1221"/>
      <c r="DIG18" s="1221"/>
      <c r="DIH18" s="1221"/>
      <c r="DII18" s="1221"/>
      <c r="DIJ18" s="1221"/>
      <c r="DIK18" s="1221"/>
      <c r="DIL18" s="1221"/>
      <c r="DIM18" s="1221"/>
      <c r="DIN18" s="1221"/>
      <c r="DIO18" s="1221"/>
      <c r="DIP18" s="1221"/>
      <c r="DIQ18" s="1221"/>
      <c r="DIR18" s="1221"/>
      <c r="DIS18" s="1221"/>
      <c r="DIT18" s="1221"/>
      <c r="DIU18" s="1221"/>
      <c r="DIV18" s="1221"/>
      <c r="DIW18" s="1221"/>
      <c r="DIX18" s="1221"/>
      <c r="DIY18" s="1221"/>
      <c r="DIZ18" s="1221"/>
      <c r="DJA18" s="1221"/>
      <c r="DJB18" s="1221"/>
      <c r="DJC18" s="1221"/>
      <c r="DJD18" s="1221"/>
      <c r="DJE18" s="1221"/>
      <c r="DJF18" s="1221"/>
      <c r="DJG18" s="1221"/>
      <c r="DJH18" s="1221"/>
      <c r="DJI18" s="1221"/>
      <c r="DJJ18" s="1221"/>
      <c r="DJK18" s="1221"/>
      <c r="DJL18" s="1221"/>
      <c r="DJM18" s="1221"/>
      <c r="DJN18" s="1221"/>
      <c r="DJO18" s="1221"/>
      <c r="DJP18" s="1221"/>
      <c r="DJQ18" s="1221"/>
      <c r="DJR18" s="1221"/>
      <c r="DJS18" s="1221"/>
      <c r="DJT18" s="1221"/>
      <c r="DJU18" s="1221"/>
      <c r="DJV18" s="1221"/>
      <c r="DJW18" s="1221"/>
      <c r="DJX18" s="1221"/>
      <c r="DJY18" s="1221"/>
      <c r="DJZ18" s="1221"/>
      <c r="DKA18" s="1221"/>
      <c r="DKB18" s="1221"/>
      <c r="DKC18" s="1221"/>
      <c r="DKD18" s="1221"/>
      <c r="DKE18" s="1221"/>
      <c r="DKF18" s="1221"/>
      <c r="DKG18" s="1221"/>
      <c r="DKH18" s="1221"/>
      <c r="DKI18" s="1221"/>
      <c r="DKJ18" s="1221"/>
      <c r="DKK18" s="1221"/>
      <c r="DKL18" s="1221"/>
      <c r="DKM18" s="1221"/>
      <c r="DKN18" s="1221"/>
      <c r="DKO18" s="1221"/>
      <c r="DKP18" s="1221"/>
      <c r="DKQ18" s="1221"/>
      <c r="DKR18" s="1221"/>
      <c r="DKS18" s="1221"/>
      <c r="DKT18" s="1221"/>
      <c r="DKU18" s="1221"/>
      <c r="DKV18" s="1221"/>
      <c r="DKW18" s="1221"/>
      <c r="DKX18" s="1221"/>
      <c r="DKY18" s="1221"/>
      <c r="DKZ18" s="1221"/>
      <c r="DLA18" s="1221"/>
      <c r="DLB18" s="1221"/>
      <c r="DLC18" s="1221"/>
      <c r="DLD18" s="1221"/>
      <c r="DLE18" s="1221"/>
      <c r="DLF18" s="1221"/>
      <c r="DLG18" s="1221"/>
      <c r="DLH18" s="1221"/>
      <c r="DLI18" s="1221"/>
      <c r="DLJ18" s="1221"/>
      <c r="DLK18" s="1221"/>
      <c r="DLL18" s="1221"/>
      <c r="DLM18" s="1221"/>
      <c r="DLN18" s="1221"/>
      <c r="DLO18" s="1221"/>
      <c r="DLP18" s="1221"/>
      <c r="DLQ18" s="1221"/>
      <c r="DLR18" s="1221"/>
      <c r="DLS18" s="1221"/>
      <c r="DLT18" s="1221"/>
      <c r="DLU18" s="1221"/>
      <c r="DLV18" s="1221"/>
      <c r="DLW18" s="1221"/>
      <c r="DLX18" s="1221"/>
      <c r="DLY18" s="1221"/>
      <c r="DLZ18" s="1221"/>
      <c r="DMA18" s="1221"/>
      <c r="DMB18" s="1221"/>
      <c r="DMC18" s="1221"/>
      <c r="DMD18" s="1221"/>
      <c r="DME18" s="1221"/>
      <c r="DMF18" s="1221"/>
      <c r="DMG18" s="1221"/>
      <c r="DMH18" s="1221"/>
      <c r="DMI18" s="1221"/>
      <c r="DMJ18" s="1221"/>
      <c r="DMK18" s="1221"/>
      <c r="DML18" s="1221"/>
      <c r="DMM18" s="1221"/>
      <c r="DMN18" s="1221"/>
      <c r="DMO18" s="1221"/>
      <c r="DMP18" s="1221"/>
      <c r="DMQ18" s="1221"/>
      <c r="DMR18" s="1221"/>
      <c r="DMS18" s="1221"/>
      <c r="DMT18" s="1221"/>
      <c r="DMU18" s="1221"/>
      <c r="DMV18" s="1221"/>
      <c r="DMW18" s="1221"/>
      <c r="DMX18" s="1221"/>
      <c r="DMY18" s="1221"/>
      <c r="DMZ18" s="1221"/>
      <c r="DNA18" s="1221"/>
      <c r="DNB18" s="1221"/>
      <c r="DNC18" s="1221"/>
      <c r="DND18" s="1221"/>
      <c r="DNE18" s="1221"/>
      <c r="DNF18" s="1221"/>
      <c r="DNG18" s="1221"/>
      <c r="DNH18" s="1221"/>
      <c r="DNI18" s="1221"/>
      <c r="DNJ18" s="1221"/>
      <c r="DNK18" s="1221"/>
      <c r="DNL18" s="1221"/>
      <c r="DNM18" s="1221"/>
      <c r="DNN18" s="1221"/>
      <c r="DNO18" s="1221"/>
      <c r="DNP18" s="1221"/>
      <c r="DNQ18" s="1221"/>
      <c r="DNR18" s="1221"/>
      <c r="DNS18" s="1221"/>
      <c r="DNT18" s="1221"/>
      <c r="DNU18" s="1221"/>
      <c r="DNV18" s="1221"/>
      <c r="DNW18" s="1221"/>
      <c r="DNX18" s="1221"/>
      <c r="DNY18" s="1221"/>
      <c r="DNZ18" s="1221"/>
      <c r="DOA18" s="1221"/>
      <c r="DOB18" s="1221"/>
      <c r="DOC18" s="1221"/>
      <c r="DOD18" s="1221"/>
      <c r="DOE18" s="1221"/>
      <c r="DOF18" s="1221"/>
      <c r="DOG18" s="1221"/>
      <c r="DOH18" s="1221"/>
      <c r="DOI18" s="1221"/>
      <c r="DOJ18" s="1221"/>
      <c r="DOK18" s="1221"/>
      <c r="DOL18" s="1221"/>
      <c r="DOM18" s="1221"/>
      <c r="DON18" s="1221"/>
      <c r="DOO18" s="1221"/>
      <c r="DOP18" s="1221"/>
      <c r="DOQ18" s="1221"/>
      <c r="DOR18" s="1221"/>
      <c r="DOS18" s="1221"/>
      <c r="DOT18" s="1221"/>
      <c r="DOU18" s="1221"/>
      <c r="DOV18" s="1221"/>
      <c r="DOW18" s="1221"/>
      <c r="DOX18" s="1221"/>
      <c r="DOY18" s="1221"/>
      <c r="DOZ18" s="1221"/>
      <c r="DPA18" s="1221"/>
      <c r="DPB18" s="1221"/>
      <c r="DPC18" s="1221"/>
      <c r="DPD18" s="1221"/>
      <c r="DPE18" s="1221"/>
      <c r="DPF18" s="1221"/>
      <c r="DPG18" s="1221"/>
      <c r="DPH18" s="1221"/>
      <c r="DPI18" s="1221"/>
      <c r="DPJ18" s="1221"/>
      <c r="DPK18" s="1221"/>
      <c r="DPL18" s="1221"/>
      <c r="DPM18" s="1221"/>
      <c r="DPN18" s="1221"/>
      <c r="DPO18" s="1221"/>
      <c r="DPP18" s="1221"/>
      <c r="DPQ18" s="1221"/>
      <c r="DPR18" s="1221"/>
      <c r="DPS18" s="1221"/>
      <c r="DPT18" s="1221"/>
      <c r="DPU18" s="1221"/>
      <c r="DPV18" s="1221"/>
      <c r="DPW18" s="1221"/>
      <c r="DPX18" s="1221"/>
      <c r="DPY18" s="1221"/>
      <c r="DPZ18" s="1221"/>
      <c r="DQA18" s="1221"/>
      <c r="DQB18" s="1221"/>
      <c r="DQC18" s="1221"/>
      <c r="DQD18" s="1221"/>
      <c r="DQE18" s="1221"/>
      <c r="DQF18" s="1221"/>
      <c r="DQG18" s="1221"/>
      <c r="DQH18" s="1221"/>
      <c r="DQI18" s="1221"/>
      <c r="DQJ18" s="1221"/>
      <c r="DQK18" s="1221"/>
      <c r="DQL18" s="1221"/>
      <c r="DQM18" s="1221"/>
      <c r="DQN18" s="1221"/>
      <c r="DQO18" s="1221"/>
      <c r="DQP18" s="1221"/>
      <c r="DQQ18" s="1221"/>
      <c r="DQR18" s="1221"/>
      <c r="DQS18" s="1221"/>
      <c r="DQT18" s="1221"/>
      <c r="DQU18" s="1221"/>
      <c r="DQV18" s="1221"/>
      <c r="DQW18" s="1221"/>
      <c r="DQX18" s="1221"/>
      <c r="DQY18" s="1221"/>
      <c r="DQZ18" s="1221"/>
      <c r="DRA18" s="1221"/>
      <c r="DRB18" s="1221"/>
      <c r="DRC18" s="1221"/>
      <c r="DRD18" s="1221"/>
      <c r="DRE18" s="1221"/>
      <c r="DRF18" s="1221"/>
      <c r="DRG18" s="1221"/>
      <c r="DRH18" s="1221"/>
      <c r="DRI18" s="1221"/>
      <c r="DRJ18" s="1221"/>
      <c r="DRK18" s="1221"/>
      <c r="DRL18" s="1221"/>
      <c r="DRM18" s="1221"/>
      <c r="DRN18" s="1221"/>
      <c r="DRO18" s="1221"/>
      <c r="DRP18" s="1221"/>
      <c r="DRQ18" s="1221"/>
      <c r="DRR18" s="1221"/>
      <c r="DRS18" s="1221"/>
      <c r="DRT18" s="1221"/>
      <c r="DRU18" s="1221"/>
      <c r="DRV18" s="1221"/>
      <c r="DRW18" s="1221"/>
      <c r="DRX18" s="1221"/>
      <c r="DRY18" s="1221"/>
      <c r="DRZ18" s="1221"/>
      <c r="DSA18" s="1221"/>
      <c r="DSB18" s="1221"/>
      <c r="DSC18" s="1221"/>
      <c r="DSD18" s="1221"/>
      <c r="DSE18" s="1221"/>
      <c r="DSF18" s="1221"/>
      <c r="DSG18" s="1221"/>
      <c r="DSH18" s="1221"/>
      <c r="DSI18" s="1221"/>
      <c r="DSJ18" s="1221"/>
      <c r="DSK18" s="1221"/>
      <c r="DSL18" s="1221"/>
      <c r="DSM18" s="1221"/>
      <c r="DSN18" s="1221"/>
      <c r="DSO18" s="1221"/>
      <c r="DSP18" s="1221"/>
      <c r="DSQ18" s="1221"/>
      <c r="DSR18" s="1221"/>
      <c r="DSS18" s="1221"/>
      <c r="DST18" s="1221"/>
      <c r="DSU18" s="1221"/>
      <c r="DSV18" s="1221"/>
      <c r="DSW18" s="1221"/>
      <c r="DSX18" s="1221"/>
      <c r="DSY18" s="1221"/>
      <c r="DSZ18" s="1221"/>
      <c r="DTA18" s="1221"/>
      <c r="DTB18" s="1221"/>
      <c r="DTC18" s="1221"/>
      <c r="DTD18" s="1221"/>
      <c r="DTE18" s="1221"/>
      <c r="DTF18" s="1221"/>
      <c r="DTG18" s="1221"/>
      <c r="DTH18" s="1221"/>
      <c r="DTI18" s="1221"/>
      <c r="DTJ18" s="1221"/>
      <c r="DTK18" s="1221"/>
      <c r="DTL18" s="1221"/>
      <c r="DTM18" s="1221"/>
      <c r="DTN18" s="1221"/>
      <c r="DTO18" s="1221"/>
      <c r="DTP18" s="1221"/>
      <c r="DTQ18" s="1221"/>
      <c r="DTR18" s="1221"/>
      <c r="DTS18" s="1221"/>
      <c r="DTT18" s="1221"/>
      <c r="DTU18" s="1221"/>
      <c r="DTV18" s="1221"/>
      <c r="DTW18" s="1221"/>
      <c r="DTX18" s="1221"/>
      <c r="DTY18" s="1221"/>
      <c r="DTZ18" s="1221"/>
      <c r="DUA18" s="1221"/>
      <c r="DUB18" s="1221"/>
      <c r="DUC18" s="1221"/>
      <c r="DUD18" s="1221"/>
      <c r="DUE18" s="1221"/>
      <c r="DUF18" s="1221"/>
      <c r="DUG18" s="1221"/>
      <c r="DUH18" s="1221"/>
      <c r="DUI18" s="1221"/>
      <c r="DUJ18" s="1221"/>
      <c r="DUK18" s="1221"/>
      <c r="DUL18" s="1221"/>
      <c r="DUM18" s="1221"/>
      <c r="DUN18" s="1221"/>
      <c r="DUO18" s="1221"/>
      <c r="DUP18" s="1221"/>
      <c r="DUQ18" s="1221"/>
      <c r="DUR18" s="1221"/>
      <c r="DUS18" s="1221"/>
      <c r="DUT18" s="1221"/>
      <c r="DUU18" s="1221"/>
      <c r="DUV18" s="1221"/>
      <c r="DUW18" s="1221"/>
      <c r="DUX18" s="1221"/>
      <c r="DUY18" s="1221"/>
      <c r="DUZ18" s="1221"/>
      <c r="DVA18" s="1221"/>
      <c r="DVB18" s="1221"/>
      <c r="DVC18" s="1221"/>
      <c r="DVD18" s="1221"/>
      <c r="DVE18" s="1221"/>
      <c r="DVF18" s="1221"/>
      <c r="DVG18" s="1221"/>
      <c r="DVH18" s="1221"/>
      <c r="DVI18" s="1221"/>
      <c r="DVJ18" s="1221"/>
      <c r="DVK18" s="1221"/>
      <c r="DVL18" s="1221"/>
      <c r="DVM18" s="1221"/>
      <c r="DVN18" s="1221"/>
      <c r="DVO18" s="1221"/>
      <c r="DVP18" s="1221"/>
      <c r="DVQ18" s="1221"/>
      <c r="DVR18" s="1221"/>
      <c r="DVS18" s="1221"/>
      <c r="DVT18" s="1221"/>
      <c r="DVU18" s="1221"/>
      <c r="DVV18" s="1221"/>
      <c r="DVW18" s="1221"/>
      <c r="DVX18" s="1221"/>
      <c r="DVY18" s="1221"/>
      <c r="DVZ18" s="1221"/>
      <c r="DWA18" s="1221"/>
      <c r="DWB18" s="1221"/>
      <c r="DWC18" s="1221"/>
      <c r="DWD18" s="1221"/>
      <c r="DWE18" s="1221"/>
      <c r="DWF18" s="1221"/>
      <c r="DWG18" s="1221"/>
      <c r="DWH18" s="1221"/>
      <c r="DWI18" s="1221"/>
      <c r="DWJ18" s="1221"/>
      <c r="DWK18" s="1221"/>
      <c r="DWL18" s="1221"/>
      <c r="DWM18" s="1221"/>
      <c r="DWN18" s="1221"/>
      <c r="DWO18" s="1221"/>
      <c r="DWP18" s="1221"/>
      <c r="DWQ18" s="1221"/>
      <c r="DWR18" s="1221"/>
      <c r="DWS18" s="1221"/>
      <c r="DWT18" s="1221"/>
      <c r="DWU18" s="1221"/>
      <c r="DWV18" s="1221"/>
      <c r="DWW18" s="1221"/>
      <c r="DWX18" s="1221"/>
      <c r="DWY18" s="1221"/>
      <c r="DWZ18" s="1221"/>
      <c r="DXA18" s="1221"/>
      <c r="DXB18" s="1221"/>
      <c r="DXC18" s="1221"/>
      <c r="DXD18" s="1221"/>
      <c r="DXE18" s="1221"/>
      <c r="DXF18" s="1221"/>
      <c r="DXG18" s="1221"/>
      <c r="DXH18" s="1221"/>
      <c r="DXI18" s="1221"/>
      <c r="DXJ18" s="1221"/>
      <c r="DXK18" s="1221"/>
      <c r="DXL18" s="1221"/>
      <c r="DXM18" s="1221"/>
      <c r="DXN18" s="1221"/>
      <c r="DXO18" s="1221"/>
      <c r="DXP18" s="1221"/>
      <c r="DXQ18" s="1221"/>
      <c r="DXR18" s="1221"/>
      <c r="DXS18" s="1221"/>
      <c r="DXT18" s="1221"/>
      <c r="DXU18" s="1221"/>
      <c r="DXV18" s="1221"/>
      <c r="DXW18" s="1221"/>
      <c r="DXX18" s="1221"/>
      <c r="DXY18" s="1221"/>
      <c r="DXZ18" s="1221"/>
      <c r="DYA18" s="1221"/>
      <c r="DYB18" s="1221"/>
      <c r="DYC18" s="1221"/>
      <c r="DYD18" s="1221"/>
      <c r="DYE18" s="1221"/>
      <c r="DYF18" s="1221"/>
      <c r="DYG18" s="1221"/>
      <c r="DYH18" s="1221"/>
      <c r="DYI18" s="1221"/>
      <c r="DYJ18" s="1221"/>
      <c r="DYK18" s="1221"/>
      <c r="DYL18" s="1221"/>
      <c r="DYM18" s="1221"/>
      <c r="DYN18" s="1221"/>
      <c r="DYO18" s="1221"/>
      <c r="DYP18" s="1221"/>
      <c r="DYQ18" s="1221"/>
      <c r="DYR18" s="1221"/>
      <c r="DYS18" s="1221"/>
      <c r="DYT18" s="1221"/>
      <c r="DYU18" s="1221"/>
      <c r="DYV18" s="1221"/>
      <c r="DYW18" s="1221"/>
      <c r="DYX18" s="1221"/>
      <c r="DYY18" s="1221"/>
      <c r="DYZ18" s="1221"/>
      <c r="DZA18" s="1221"/>
      <c r="DZB18" s="1221"/>
      <c r="DZC18" s="1221"/>
      <c r="DZD18" s="1221"/>
      <c r="DZE18" s="1221"/>
      <c r="DZF18" s="1221"/>
      <c r="DZG18" s="1221"/>
      <c r="DZH18" s="1221"/>
      <c r="DZI18" s="1221"/>
      <c r="DZJ18" s="1221"/>
      <c r="DZK18" s="1221"/>
      <c r="DZL18" s="1221"/>
      <c r="DZM18" s="1221"/>
      <c r="DZN18" s="1221"/>
      <c r="DZO18" s="1221"/>
      <c r="DZP18" s="1221"/>
      <c r="DZQ18" s="1221"/>
      <c r="DZR18" s="1221"/>
      <c r="DZS18" s="1221"/>
      <c r="DZT18" s="1221"/>
      <c r="DZU18" s="1221"/>
      <c r="DZV18" s="1221"/>
      <c r="DZW18" s="1221"/>
      <c r="DZX18" s="1221"/>
      <c r="DZY18" s="1221"/>
      <c r="DZZ18" s="1221"/>
      <c r="EAA18" s="1221"/>
      <c r="EAB18" s="1221"/>
      <c r="EAC18" s="1221"/>
      <c r="EAD18" s="1221"/>
      <c r="EAE18" s="1221"/>
      <c r="EAF18" s="1221"/>
      <c r="EAG18" s="1221"/>
      <c r="EAH18" s="1221"/>
      <c r="EAI18" s="1221"/>
      <c r="EAJ18" s="1221"/>
      <c r="EAK18" s="1221"/>
      <c r="EAL18" s="1221"/>
      <c r="EAM18" s="1221"/>
      <c r="EAN18" s="1221"/>
      <c r="EAO18" s="1221"/>
      <c r="EAP18" s="1221"/>
      <c r="EAQ18" s="1221"/>
      <c r="EAR18" s="1221"/>
      <c r="EAS18" s="1221"/>
      <c r="EAT18" s="1221"/>
      <c r="EAU18" s="1221"/>
      <c r="EAV18" s="1221"/>
      <c r="EAW18" s="1221"/>
      <c r="EAX18" s="1221"/>
      <c r="EAY18" s="1221"/>
      <c r="EAZ18" s="1221"/>
      <c r="EBA18" s="1221"/>
      <c r="EBB18" s="1221"/>
      <c r="EBC18" s="1221"/>
      <c r="EBD18" s="1221"/>
      <c r="EBE18" s="1221"/>
      <c r="EBF18" s="1221"/>
      <c r="EBG18" s="1221"/>
      <c r="EBH18" s="1221"/>
      <c r="EBI18" s="1221"/>
      <c r="EBJ18" s="1221"/>
      <c r="EBK18" s="1221"/>
      <c r="EBL18" s="1221"/>
      <c r="EBM18" s="1221"/>
      <c r="EBN18" s="1221"/>
      <c r="EBO18" s="1221"/>
      <c r="EBP18" s="1221"/>
      <c r="EBQ18" s="1221"/>
      <c r="EBR18" s="1221"/>
      <c r="EBS18" s="1221"/>
      <c r="EBT18" s="1221"/>
      <c r="EBU18" s="1221"/>
      <c r="EBV18" s="1221"/>
      <c r="EBW18" s="1221"/>
      <c r="EBX18" s="1221"/>
      <c r="EBY18" s="1221"/>
      <c r="EBZ18" s="1221"/>
      <c r="ECA18" s="1221"/>
      <c r="ECB18" s="1221"/>
      <c r="ECC18" s="1221"/>
      <c r="ECD18" s="1221"/>
      <c r="ECE18" s="1221"/>
      <c r="ECF18" s="1221"/>
      <c r="ECG18" s="1221"/>
      <c r="ECH18" s="1221"/>
      <c r="ECI18" s="1221"/>
      <c r="ECJ18" s="1221"/>
      <c r="ECK18" s="1221"/>
      <c r="ECL18" s="1221"/>
      <c r="ECM18" s="1221"/>
      <c r="ECN18" s="1221"/>
      <c r="ECO18" s="1221"/>
    </row>
    <row r="19" spans="2:3473" s="1248" customFormat="1" ht="13" outlineLevel="1">
      <c r="B19" s="1249" t="s">
        <v>492</v>
      </c>
      <c r="C19" s="1250">
        <v>3</v>
      </c>
      <c r="D19" s="1251" t="s">
        <v>493</v>
      </c>
      <c r="E19" s="1252">
        <f t="shared" si="4"/>
        <v>0</v>
      </c>
      <c r="F19" s="1252">
        <f t="shared" si="4"/>
        <v>0</v>
      </c>
      <c r="G19" s="1252">
        <f t="shared" si="4"/>
        <v>0</v>
      </c>
      <c r="H19" s="1252">
        <f t="shared" si="4"/>
        <v>270.60338597010025</v>
      </c>
      <c r="I19" s="1252">
        <f t="shared" si="4"/>
        <v>255.12460750376394</v>
      </c>
      <c r="J19" s="1252">
        <f t="shared" si="4"/>
        <v>15.478778466336292</v>
      </c>
      <c r="K19" s="1252">
        <f t="shared" si="4"/>
        <v>0</v>
      </c>
      <c r="L19" s="1252">
        <f t="shared" si="4"/>
        <v>0</v>
      </c>
      <c r="M19" s="1252">
        <f t="shared" si="4"/>
        <v>0</v>
      </c>
      <c r="N19" s="1252" t="str">
        <f t="shared" si="4"/>
        <v/>
      </c>
      <c r="O19" s="1252" t="str">
        <f t="shared" si="4"/>
        <v/>
      </c>
      <c r="P19" s="1252" t="str">
        <f t="shared" si="4"/>
        <v/>
      </c>
      <c r="Q19" s="1252">
        <f t="shared" si="4"/>
        <v>433.52042806615611</v>
      </c>
      <c r="R19" s="1252">
        <f t="shared" si="4"/>
        <v>408.72263537553266</v>
      </c>
      <c r="S19" s="1252">
        <f t="shared" si="8"/>
        <v>24.79779269062346</v>
      </c>
      <c r="T19" s="1252">
        <f t="shared" si="5"/>
        <v>834.93651718885997</v>
      </c>
      <c r="U19" s="1252">
        <f t="shared" si="5"/>
        <v>787.17733140968153</v>
      </c>
      <c r="V19" s="1252">
        <f t="shared" si="9"/>
        <v>47.759185779178445</v>
      </c>
      <c r="W19" s="1252" t="str">
        <f t="shared" si="10"/>
        <v/>
      </c>
      <c r="X19" s="1252" t="str">
        <f t="shared" si="10"/>
        <v/>
      </c>
      <c r="Y19" s="1252" t="str">
        <f t="shared" si="10"/>
        <v/>
      </c>
      <c r="Z19" s="1252">
        <f t="shared" si="11"/>
        <v>278.20459110676052</v>
      </c>
      <c r="AA19" s="1252">
        <f t="shared" si="11"/>
        <v>262.2910162687316</v>
      </c>
      <c r="AB19" s="1252">
        <f t="shared" si="11"/>
        <v>15.913574838028934</v>
      </c>
      <c r="AC19" s="1252">
        <f t="shared" si="15"/>
        <v>369.61098214960913</v>
      </c>
      <c r="AD19" s="1260">
        <f t="shared" si="15"/>
        <v>348.46887230161587</v>
      </c>
      <c r="AE19" s="1260">
        <f t="shared" si="15"/>
        <v>21.142109847993268</v>
      </c>
      <c r="AF19" s="1254"/>
      <c r="AG19" s="1255"/>
      <c r="AH19" s="1255"/>
      <c r="AI19" s="1256">
        <f>AJ19+AK19</f>
        <v>1168.3017055703808</v>
      </c>
      <c r="AJ19" s="1261">
        <f>IF($BK19=0,0,$BK19*AJ$7/($BK$7-$AG$7))</f>
        <v>1101.4737048137129</v>
      </c>
      <c r="AK19" s="1261">
        <f>IF($BL19=0,0,$BL19*AK$7/($BL$7-$AH$7))</f>
        <v>66.828000756667976</v>
      </c>
      <c r="AL19" s="1256">
        <f t="shared" si="20"/>
        <v>0</v>
      </c>
      <c r="AM19" s="1261">
        <f>IF($BK19=0,0,$BK19*AM$7/($BK$7-$AG$7))</f>
        <v>0</v>
      </c>
      <c r="AN19" s="1261">
        <f>IF($BL19=0,0,$BL19*AN$7/($BL$7-$AH$7))</f>
        <v>0</v>
      </c>
      <c r="AO19" s="1256">
        <f t="shared" si="21"/>
        <v>0</v>
      </c>
      <c r="AP19" s="1261">
        <f>IF($BK19=0,0,$BK19*AP$7/($BK$7-$AG$7))</f>
        <v>0</v>
      </c>
      <c r="AQ19" s="1261">
        <f>IF($BL19=0,0,$BL19*AQ$7/($BL$7-$AH$7))</f>
        <v>0</v>
      </c>
      <c r="AR19" s="1256">
        <f>AS19+AT19</f>
        <v>2565.3302548149386</v>
      </c>
      <c r="AS19" s="1256">
        <f>IF($BK19=0,0,$BK19*AS$7/($BK$7-$AG$7))</f>
        <v>2418.5908540313212</v>
      </c>
      <c r="AT19" s="1256">
        <f>IF($BL19=0,0,$BL19*AT$7/($BL$7-$AH$7))</f>
        <v>146.7394007836175</v>
      </c>
      <c r="AU19" s="1256">
        <f>AV19+AW19</f>
        <v>88.41393261467995</v>
      </c>
      <c r="AV19" s="1256">
        <f>IF($BK19=0,0,$BK19*AV$7/($BK$7-$AG$7))</f>
        <v>83.356569154965413</v>
      </c>
      <c r="AW19" s="1256">
        <f>IF($BL19=0,0,$BL19*AW$7/($BL$7-$AH$7))</f>
        <v>5.0573634597145434</v>
      </c>
      <c r="AX19" s="1256"/>
      <c r="AY19" s="1261"/>
      <c r="AZ19" s="1261"/>
      <c r="BA19" s="1257">
        <f>BB19+BC19</f>
        <v>3822.0458929999995</v>
      </c>
      <c r="BB19" s="1257">
        <f>AG19+AJ19+AM19+AP19+AS19+AV19+AY19</f>
        <v>3603.4211279999995</v>
      </c>
      <c r="BC19" s="1257">
        <f t="shared" si="32"/>
        <v>218.624765</v>
      </c>
      <c r="BD19" s="1256">
        <f t="shared" ref="BD19:BD20" si="36">BE19+BF19</f>
        <v>0</v>
      </c>
      <c r="BE19" s="1256">
        <f>IF($BK19=0,0,$BK19*BE$7/($BK$7-$AG$7))</f>
        <v>0</v>
      </c>
      <c r="BF19" s="1256">
        <f t="shared" ref="BF19:BF20" si="37">IF($BL19=0,0,$BL19*BF$7/($BL$7-$AH$7))</f>
        <v>0</v>
      </c>
      <c r="BG19" s="1256">
        <f t="shared" si="33"/>
        <v>0</v>
      </c>
      <c r="BH19" s="1257">
        <f t="shared" si="34"/>
        <v>0</v>
      </c>
      <c r="BI19" s="1257">
        <f t="shared" si="34"/>
        <v>0</v>
      </c>
      <c r="BJ19" s="1256">
        <f>BK19+BL19</f>
        <v>3822.0458929999995</v>
      </c>
      <c r="BK19" s="1256">
        <f>VLOOKUP($D19,'当期公摊测算表（全期）'!$D$9:$W$192,20,0)</f>
        <v>3603.4211279999995</v>
      </c>
      <c r="BL19" s="1256">
        <f>VLOOKUP($D19,'当期公摊测算表（全期）'!$D$9:$W$192,19,0)</f>
        <v>218.62476500000002</v>
      </c>
      <c r="BM19" s="1262" t="s">
        <v>431</v>
      </c>
      <c r="BN19" s="1225">
        <f t="shared" si="12"/>
        <v>0</v>
      </c>
      <c r="BO19" s="1225">
        <f t="shared" si="13"/>
        <v>0</v>
      </c>
      <c r="BP19" s="1225">
        <f t="shared" si="14"/>
        <v>0</v>
      </c>
      <c r="BQ19" s="1225"/>
      <c r="BR19" s="1221"/>
      <c r="BS19" s="1221"/>
      <c r="BT19" s="1221"/>
      <c r="BU19" s="1221"/>
      <c r="BV19" s="1221"/>
      <c r="BW19" s="1221"/>
      <c r="BX19" s="1221"/>
      <c r="BY19" s="1221"/>
      <c r="BZ19" s="1221"/>
      <c r="CA19" s="1221"/>
      <c r="CB19" s="1221"/>
      <c r="CC19" s="1221"/>
      <c r="CD19" s="1221"/>
      <c r="CE19" s="1221"/>
      <c r="CF19" s="1221"/>
      <c r="CG19" s="1221"/>
      <c r="CH19" s="1221"/>
      <c r="CI19" s="1221"/>
      <c r="CJ19" s="1221"/>
      <c r="CK19" s="1221"/>
      <c r="CL19" s="1221"/>
      <c r="CM19" s="1221"/>
      <c r="CN19" s="1221"/>
      <c r="CO19" s="1221"/>
      <c r="CP19" s="1221"/>
      <c r="CQ19" s="1221"/>
      <c r="CR19" s="1221"/>
      <c r="CS19" s="1221"/>
      <c r="CT19" s="1221"/>
      <c r="CU19" s="1221"/>
      <c r="CV19" s="1221"/>
      <c r="CW19" s="1221"/>
      <c r="CX19" s="1221"/>
      <c r="CY19" s="1221"/>
      <c r="CZ19" s="1221"/>
      <c r="DA19" s="1221"/>
      <c r="DB19" s="1221"/>
      <c r="DC19" s="1221"/>
      <c r="DD19" s="1221"/>
      <c r="DE19" s="1221"/>
      <c r="DF19" s="1221"/>
      <c r="DG19" s="1221"/>
      <c r="DH19" s="1221"/>
      <c r="DI19" s="1221"/>
      <c r="DJ19" s="1221"/>
      <c r="DK19" s="1221"/>
      <c r="DL19" s="1221"/>
      <c r="DM19" s="1221"/>
      <c r="DN19" s="1221"/>
      <c r="DO19" s="1221"/>
      <c r="DP19" s="1221"/>
      <c r="DQ19" s="1221"/>
      <c r="DR19" s="1221"/>
      <c r="DS19" s="1221"/>
      <c r="DT19" s="1221"/>
      <c r="DU19" s="1221"/>
      <c r="DV19" s="1221"/>
      <c r="DW19" s="1221"/>
      <c r="DX19" s="1221"/>
      <c r="DY19" s="1221"/>
      <c r="DZ19" s="1221"/>
      <c r="EA19" s="1221"/>
      <c r="EB19" s="1221"/>
      <c r="EC19" s="1221"/>
      <c r="ED19" s="1221"/>
      <c r="EE19" s="1221"/>
      <c r="EF19" s="1221"/>
      <c r="EG19" s="1221"/>
      <c r="EH19" s="1221"/>
      <c r="EI19" s="1221"/>
      <c r="EJ19" s="1221"/>
      <c r="EK19" s="1221"/>
      <c r="EL19" s="1221"/>
      <c r="EM19" s="1221"/>
      <c r="EN19" s="1221"/>
      <c r="EO19" s="1221"/>
      <c r="EP19" s="1221"/>
      <c r="EQ19" s="1221"/>
      <c r="ER19" s="1221"/>
      <c r="ES19" s="1221"/>
      <c r="ET19" s="1221"/>
      <c r="EU19" s="1221"/>
      <c r="EV19" s="1221"/>
      <c r="EW19" s="1221"/>
      <c r="EX19" s="1221"/>
      <c r="EY19" s="1221"/>
      <c r="EZ19" s="1221"/>
      <c r="FA19" s="1221"/>
      <c r="FB19" s="1221"/>
      <c r="FC19" s="1221"/>
      <c r="FD19" s="1221"/>
      <c r="FE19" s="1221"/>
      <c r="FF19" s="1221"/>
      <c r="FG19" s="1221"/>
      <c r="FH19" s="1221"/>
      <c r="FI19" s="1221"/>
      <c r="FJ19" s="1221"/>
      <c r="FK19" s="1221"/>
      <c r="FL19" s="1221"/>
      <c r="FM19" s="1221"/>
      <c r="FN19" s="1221"/>
      <c r="FO19" s="1221"/>
      <c r="FP19" s="1221"/>
      <c r="FQ19" s="1221"/>
      <c r="FR19" s="1221"/>
      <c r="FS19" s="1221"/>
      <c r="FT19" s="1221"/>
      <c r="FU19" s="1221"/>
      <c r="FV19" s="1221"/>
      <c r="FW19" s="1221"/>
      <c r="FX19" s="1221"/>
      <c r="FY19" s="1221"/>
      <c r="FZ19" s="1221"/>
      <c r="GA19" s="1221"/>
      <c r="GB19" s="1221"/>
      <c r="GC19" s="1221"/>
      <c r="GD19" s="1221"/>
      <c r="GE19" s="1221"/>
      <c r="GF19" s="1221"/>
      <c r="GG19" s="1221"/>
      <c r="GH19" s="1221"/>
      <c r="GI19" s="1221"/>
      <c r="GJ19" s="1221"/>
      <c r="GK19" s="1221"/>
      <c r="GL19" s="1221"/>
      <c r="GM19" s="1221"/>
      <c r="GN19" s="1221"/>
      <c r="GO19" s="1221"/>
      <c r="GP19" s="1221"/>
      <c r="GQ19" s="1221"/>
      <c r="GR19" s="1221"/>
      <c r="GS19" s="1221"/>
      <c r="GT19" s="1221"/>
      <c r="GU19" s="1221"/>
      <c r="GV19" s="1221"/>
      <c r="GW19" s="1221"/>
      <c r="GX19" s="1221"/>
      <c r="GY19" s="1221"/>
      <c r="GZ19" s="1221"/>
      <c r="HA19" s="1221"/>
      <c r="HB19" s="1221"/>
      <c r="HC19" s="1221"/>
      <c r="HD19" s="1221"/>
      <c r="HE19" s="1221"/>
      <c r="HF19" s="1221"/>
      <c r="HG19" s="1221"/>
      <c r="HH19" s="1221"/>
      <c r="HI19" s="1221"/>
      <c r="HJ19" s="1221"/>
      <c r="HK19" s="1221"/>
      <c r="HL19" s="1221"/>
      <c r="HM19" s="1221"/>
      <c r="HN19" s="1221"/>
      <c r="HO19" s="1221"/>
      <c r="HP19" s="1221"/>
      <c r="HQ19" s="1221"/>
      <c r="HR19" s="1221"/>
      <c r="HS19" s="1221"/>
      <c r="HT19" s="1221"/>
      <c r="HU19" s="1221"/>
      <c r="HV19" s="1221"/>
      <c r="HW19" s="1221"/>
      <c r="HX19" s="1221"/>
      <c r="HY19" s="1221"/>
      <c r="HZ19" s="1221"/>
      <c r="IA19" s="1221"/>
      <c r="IB19" s="1221"/>
      <c r="IC19" s="1221"/>
      <c r="ID19" s="1221"/>
      <c r="IE19" s="1221"/>
      <c r="IF19" s="1221"/>
      <c r="IG19" s="1221"/>
      <c r="IH19" s="1221"/>
      <c r="II19" s="1221"/>
      <c r="IJ19" s="1221"/>
      <c r="IK19" s="1221"/>
      <c r="IL19" s="1221"/>
      <c r="IM19" s="1221"/>
      <c r="IN19" s="1221"/>
      <c r="IO19" s="1221"/>
      <c r="IP19" s="1221"/>
      <c r="IQ19" s="1221"/>
      <c r="IR19" s="1221"/>
      <c r="IS19" s="1221"/>
      <c r="IT19" s="1221"/>
      <c r="IU19" s="1221"/>
      <c r="IV19" s="1221"/>
      <c r="IW19" s="1221"/>
      <c r="IX19" s="1221"/>
      <c r="IY19" s="1221"/>
      <c r="IZ19" s="1221"/>
      <c r="JA19" s="1221"/>
      <c r="JB19" s="1221"/>
      <c r="JC19" s="1221"/>
      <c r="JD19" s="1221"/>
      <c r="JE19" s="1221"/>
      <c r="JF19" s="1221"/>
      <c r="JG19" s="1221"/>
      <c r="JH19" s="1221"/>
      <c r="JI19" s="1221"/>
      <c r="JJ19" s="1221"/>
      <c r="JK19" s="1221"/>
      <c r="JL19" s="1221"/>
      <c r="JM19" s="1221"/>
      <c r="JN19" s="1221"/>
      <c r="JO19" s="1221"/>
      <c r="JP19" s="1221"/>
      <c r="JQ19" s="1221"/>
      <c r="JR19" s="1221"/>
      <c r="JS19" s="1221"/>
      <c r="JT19" s="1221"/>
      <c r="JU19" s="1221"/>
      <c r="JV19" s="1221"/>
      <c r="JW19" s="1221"/>
      <c r="JX19" s="1221"/>
      <c r="JY19" s="1221"/>
      <c r="JZ19" s="1221"/>
      <c r="KA19" s="1221"/>
      <c r="KB19" s="1221"/>
      <c r="KC19" s="1221"/>
      <c r="KD19" s="1221"/>
      <c r="KE19" s="1221"/>
      <c r="KF19" s="1221"/>
      <c r="KG19" s="1221"/>
      <c r="KH19" s="1221"/>
      <c r="KI19" s="1221"/>
      <c r="KJ19" s="1221"/>
      <c r="KK19" s="1221"/>
      <c r="KL19" s="1221"/>
      <c r="KM19" s="1221"/>
      <c r="KN19" s="1221"/>
      <c r="KO19" s="1221"/>
      <c r="KP19" s="1221"/>
      <c r="KQ19" s="1221"/>
      <c r="KR19" s="1221"/>
      <c r="KS19" s="1221"/>
      <c r="KT19" s="1221"/>
      <c r="KU19" s="1221"/>
      <c r="KV19" s="1221"/>
      <c r="KW19" s="1221"/>
      <c r="KX19" s="1221"/>
      <c r="KY19" s="1221"/>
      <c r="KZ19" s="1221"/>
      <c r="LA19" s="1221"/>
      <c r="LB19" s="1221"/>
      <c r="LC19" s="1221"/>
      <c r="LD19" s="1221"/>
      <c r="LE19" s="1221"/>
      <c r="LF19" s="1221"/>
      <c r="LG19" s="1221"/>
      <c r="LH19" s="1221"/>
      <c r="LI19" s="1221"/>
      <c r="LJ19" s="1221"/>
      <c r="LK19" s="1221"/>
      <c r="LL19" s="1221"/>
      <c r="LM19" s="1221"/>
      <c r="LN19" s="1221"/>
      <c r="LO19" s="1221"/>
      <c r="LP19" s="1221"/>
      <c r="LQ19" s="1221"/>
      <c r="LR19" s="1221"/>
      <c r="LS19" s="1221"/>
      <c r="LT19" s="1221"/>
      <c r="LU19" s="1221"/>
      <c r="LV19" s="1221"/>
      <c r="LW19" s="1221"/>
      <c r="LX19" s="1221"/>
      <c r="LY19" s="1221"/>
      <c r="LZ19" s="1221"/>
      <c r="MA19" s="1221"/>
      <c r="MB19" s="1221"/>
      <c r="MC19" s="1221"/>
      <c r="MD19" s="1221"/>
      <c r="ME19" s="1221"/>
      <c r="MF19" s="1221"/>
      <c r="MG19" s="1221"/>
      <c r="MH19" s="1221"/>
      <c r="MI19" s="1221"/>
      <c r="MJ19" s="1221"/>
      <c r="MK19" s="1221"/>
      <c r="ML19" s="1221"/>
      <c r="MM19" s="1221"/>
      <c r="MN19" s="1221"/>
      <c r="MO19" s="1221"/>
      <c r="MP19" s="1221"/>
      <c r="MQ19" s="1221"/>
      <c r="MR19" s="1221"/>
      <c r="MS19" s="1221"/>
      <c r="MT19" s="1221"/>
      <c r="MU19" s="1221"/>
      <c r="MV19" s="1221"/>
      <c r="MW19" s="1221"/>
      <c r="MX19" s="1221"/>
      <c r="MY19" s="1221"/>
      <c r="MZ19" s="1221"/>
      <c r="NA19" s="1221"/>
      <c r="NB19" s="1221"/>
      <c r="NC19" s="1221"/>
      <c r="ND19" s="1221"/>
      <c r="NE19" s="1221"/>
      <c r="NF19" s="1221"/>
      <c r="NG19" s="1221"/>
      <c r="NH19" s="1221"/>
      <c r="NI19" s="1221"/>
      <c r="NJ19" s="1221"/>
      <c r="NK19" s="1221"/>
      <c r="NL19" s="1221"/>
      <c r="NM19" s="1221"/>
      <c r="NN19" s="1221"/>
      <c r="NO19" s="1221"/>
      <c r="NP19" s="1221"/>
      <c r="NQ19" s="1221"/>
      <c r="NR19" s="1221"/>
      <c r="NS19" s="1221"/>
      <c r="NT19" s="1221"/>
      <c r="NU19" s="1221"/>
      <c r="NV19" s="1221"/>
      <c r="NW19" s="1221"/>
      <c r="NX19" s="1221"/>
      <c r="NY19" s="1221"/>
      <c r="NZ19" s="1221"/>
      <c r="OA19" s="1221"/>
      <c r="OB19" s="1221"/>
      <c r="OC19" s="1221"/>
      <c r="OD19" s="1221"/>
      <c r="OE19" s="1221"/>
      <c r="OF19" s="1221"/>
      <c r="OG19" s="1221"/>
      <c r="OH19" s="1221"/>
      <c r="OI19" s="1221"/>
      <c r="OJ19" s="1221"/>
      <c r="OK19" s="1221"/>
      <c r="OL19" s="1221"/>
      <c r="OM19" s="1221"/>
      <c r="ON19" s="1221"/>
      <c r="OO19" s="1221"/>
      <c r="OP19" s="1221"/>
      <c r="OQ19" s="1221"/>
      <c r="OR19" s="1221"/>
      <c r="OS19" s="1221"/>
      <c r="OT19" s="1221"/>
      <c r="OU19" s="1221"/>
      <c r="OV19" s="1221"/>
      <c r="OW19" s="1221"/>
      <c r="OX19" s="1221"/>
      <c r="OY19" s="1221"/>
      <c r="OZ19" s="1221"/>
      <c r="PA19" s="1221"/>
      <c r="PB19" s="1221"/>
      <c r="PC19" s="1221"/>
      <c r="PD19" s="1221"/>
      <c r="PE19" s="1221"/>
      <c r="PF19" s="1221"/>
      <c r="PG19" s="1221"/>
      <c r="PH19" s="1221"/>
      <c r="PI19" s="1221"/>
      <c r="PJ19" s="1221"/>
      <c r="PK19" s="1221"/>
      <c r="PL19" s="1221"/>
      <c r="PM19" s="1221"/>
      <c r="PN19" s="1221"/>
      <c r="PO19" s="1221"/>
      <c r="PP19" s="1221"/>
      <c r="PQ19" s="1221"/>
      <c r="PR19" s="1221"/>
      <c r="PS19" s="1221"/>
      <c r="PT19" s="1221"/>
      <c r="PU19" s="1221"/>
      <c r="PV19" s="1221"/>
      <c r="PW19" s="1221"/>
      <c r="PX19" s="1221"/>
      <c r="PY19" s="1221"/>
      <c r="PZ19" s="1221"/>
      <c r="QA19" s="1221"/>
      <c r="QB19" s="1221"/>
      <c r="QC19" s="1221"/>
      <c r="QD19" s="1221"/>
      <c r="QE19" s="1221"/>
      <c r="QF19" s="1221"/>
      <c r="QG19" s="1221"/>
      <c r="QH19" s="1221"/>
      <c r="QI19" s="1221"/>
      <c r="QJ19" s="1221"/>
      <c r="QK19" s="1221"/>
      <c r="QL19" s="1221"/>
      <c r="QM19" s="1221"/>
      <c r="QN19" s="1221"/>
      <c r="QO19" s="1221"/>
      <c r="QP19" s="1221"/>
      <c r="QQ19" s="1221"/>
      <c r="QR19" s="1221"/>
      <c r="QS19" s="1221"/>
      <c r="QT19" s="1221"/>
      <c r="QU19" s="1221"/>
      <c r="QV19" s="1221"/>
      <c r="QW19" s="1221"/>
      <c r="QX19" s="1221"/>
      <c r="QY19" s="1221"/>
      <c r="QZ19" s="1221"/>
      <c r="RA19" s="1221"/>
      <c r="RB19" s="1221"/>
      <c r="RC19" s="1221"/>
      <c r="RD19" s="1221"/>
      <c r="RE19" s="1221"/>
      <c r="RF19" s="1221"/>
      <c r="RG19" s="1221"/>
      <c r="RH19" s="1221"/>
      <c r="RI19" s="1221"/>
      <c r="RJ19" s="1221"/>
      <c r="RK19" s="1221"/>
      <c r="RL19" s="1221"/>
      <c r="RM19" s="1221"/>
      <c r="RN19" s="1221"/>
      <c r="RO19" s="1221"/>
      <c r="RP19" s="1221"/>
      <c r="RQ19" s="1221"/>
      <c r="RR19" s="1221"/>
      <c r="RS19" s="1221"/>
      <c r="RT19" s="1221"/>
      <c r="RU19" s="1221"/>
      <c r="RV19" s="1221"/>
      <c r="RW19" s="1221"/>
      <c r="RX19" s="1221"/>
      <c r="RY19" s="1221"/>
      <c r="RZ19" s="1221"/>
      <c r="SA19" s="1221"/>
      <c r="SB19" s="1221"/>
      <c r="SC19" s="1221"/>
      <c r="SD19" s="1221"/>
      <c r="SE19" s="1221"/>
      <c r="SF19" s="1221"/>
      <c r="SG19" s="1221"/>
      <c r="SH19" s="1221"/>
      <c r="SI19" s="1221"/>
      <c r="SJ19" s="1221"/>
      <c r="SK19" s="1221"/>
      <c r="SL19" s="1221"/>
      <c r="SM19" s="1221"/>
      <c r="SN19" s="1221"/>
      <c r="SO19" s="1221"/>
      <c r="SP19" s="1221"/>
      <c r="SQ19" s="1221"/>
      <c r="SR19" s="1221"/>
      <c r="SS19" s="1221"/>
      <c r="ST19" s="1221"/>
      <c r="SU19" s="1221"/>
      <c r="SV19" s="1221"/>
      <c r="SW19" s="1221"/>
      <c r="SX19" s="1221"/>
      <c r="SY19" s="1221"/>
      <c r="SZ19" s="1221"/>
      <c r="TA19" s="1221"/>
      <c r="TB19" s="1221"/>
      <c r="TC19" s="1221"/>
      <c r="TD19" s="1221"/>
      <c r="TE19" s="1221"/>
      <c r="TF19" s="1221"/>
      <c r="TG19" s="1221"/>
      <c r="TH19" s="1221"/>
      <c r="TI19" s="1221"/>
      <c r="TJ19" s="1221"/>
      <c r="TK19" s="1221"/>
      <c r="TL19" s="1221"/>
      <c r="TM19" s="1221"/>
      <c r="TN19" s="1221"/>
      <c r="TO19" s="1221"/>
      <c r="TP19" s="1221"/>
      <c r="TQ19" s="1221"/>
      <c r="TR19" s="1221"/>
      <c r="TS19" s="1221"/>
      <c r="TT19" s="1221"/>
      <c r="TU19" s="1221"/>
      <c r="TV19" s="1221"/>
      <c r="TW19" s="1221"/>
      <c r="TX19" s="1221"/>
      <c r="TY19" s="1221"/>
      <c r="TZ19" s="1221"/>
      <c r="UA19" s="1221"/>
      <c r="UB19" s="1221"/>
      <c r="UC19" s="1221"/>
      <c r="UD19" s="1221"/>
      <c r="UE19" s="1221"/>
      <c r="UF19" s="1221"/>
      <c r="UG19" s="1221"/>
      <c r="UH19" s="1221"/>
      <c r="UI19" s="1221"/>
      <c r="UJ19" s="1221"/>
      <c r="UK19" s="1221"/>
      <c r="UL19" s="1221"/>
      <c r="UM19" s="1221"/>
      <c r="UN19" s="1221"/>
      <c r="UO19" s="1221"/>
      <c r="UP19" s="1221"/>
      <c r="UQ19" s="1221"/>
      <c r="UR19" s="1221"/>
      <c r="US19" s="1221"/>
      <c r="UT19" s="1221"/>
      <c r="UU19" s="1221"/>
      <c r="UV19" s="1221"/>
      <c r="UW19" s="1221"/>
      <c r="UX19" s="1221"/>
      <c r="UY19" s="1221"/>
      <c r="UZ19" s="1221"/>
      <c r="VA19" s="1221"/>
      <c r="VB19" s="1221"/>
      <c r="VC19" s="1221"/>
      <c r="VD19" s="1221"/>
      <c r="VE19" s="1221"/>
      <c r="VF19" s="1221"/>
      <c r="VG19" s="1221"/>
      <c r="VH19" s="1221"/>
      <c r="VI19" s="1221"/>
      <c r="VJ19" s="1221"/>
      <c r="VK19" s="1221"/>
      <c r="VL19" s="1221"/>
      <c r="VM19" s="1221"/>
      <c r="VN19" s="1221"/>
      <c r="VO19" s="1221"/>
      <c r="VP19" s="1221"/>
      <c r="VQ19" s="1221"/>
      <c r="VR19" s="1221"/>
      <c r="VS19" s="1221"/>
      <c r="VT19" s="1221"/>
      <c r="VU19" s="1221"/>
      <c r="VV19" s="1221"/>
      <c r="VW19" s="1221"/>
      <c r="VX19" s="1221"/>
      <c r="VY19" s="1221"/>
      <c r="VZ19" s="1221"/>
      <c r="WA19" s="1221"/>
      <c r="WB19" s="1221"/>
      <c r="WC19" s="1221"/>
      <c r="WD19" s="1221"/>
      <c r="WE19" s="1221"/>
      <c r="WF19" s="1221"/>
      <c r="WG19" s="1221"/>
      <c r="WH19" s="1221"/>
      <c r="WI19" s="1221"/>
      <c r="WJ19" s="1221"/>
      <c r="WK19" s="1221"/>
      <c r="WL19" s="1221"/>
      <c r="WM19" s="1221"/>
      <c r="WN19" s="1221"/>
      <c r="WO19" s="1221"/>
      <c r="WP19" s="1221"/>
      <c r="WQ19" s="1221"/>
      <c r="WR19" s="1221"/>
      <c r="WS19" s="1221"/>
      <c r="WT19" s="1221"/>
      <c r="WU19" s="1221"/>
      <c r="WV19" s="1221"/>
      <c r="WW19" s="1221"/>
      <c r="WX19" s="1221"/>
      <c r="WY19" s="1221"/>
      <c r="WZ19" s="1221"/>
      <c r="XA19" s="1221"/>
      <c r="XB19" s="1221"/>
      <c r="XC19" s="1221"/>
      <c r="XD19" s="1221"/>
      <c r="XE19" s="1221"/>
      <c r="XF19" s="1221"/>
      <c r="XG19" s="1221"/>
      <c r="XH19" s="1221"/>
      <c r="XI19" s="1221"/>
      <c r="XJ19" s="1221"/>
      <c r="XK19" s="1221"/>
      <c r="XL19" s="1221"/>
      <c r="XM19" s="1221"/>
      <c r="XN19" s="1221"/>
      <c r="XO19" s="1221"/>
      <c r="XP19" s="1221"/>
      <c r="XQ19" s="1221"/>
      <c r="XR19" s="1221"/>
      <c r="XS19" s="1221"/>
      <c r="XT19" s="1221"/>
      <c r="XU19" s="1221"/>
      <c r="XV19" s="1221"/>
      <c r="XW19" s="1221"/>
      <c r="XX19" s="1221"/>
      <c r="XY19" s="1221"/>
      <c r="XZ19" s="1221"/>
      <c r="YA19" s="1221"/>
      <c r="YB19" s="1221"/>
      <c r="YC19" s="1221"/>
      <c r="YD19" s="1221"/>
      <c r="YE19" s="1221"/>
      <c r="YF19" s="1221"/>
      <c r="YG19" s="1221"/>
      <c r="YH19" s="1221"/>
      <c r="YI19" s="1221"/>
      <c r="YJ19" s="1221"/>
      <c r="YK19" s="1221"/>
      <c r="YL19" s="1221"/>
      <c r="YM19" s="1221"/>
      <c r="YN19" s="1221"/>
      <c r="YO19" s="1221"/>
      <c r="YP19" s="1221"/>
      <c r="YQ19" s="1221"/>
      <c r="YR19" s="1221"/>
      <c r="YS19" s="1221"/>
      <c r="YT19" s="1221"/>
      <c r="YU19" s="1221"/>
      <c r="YV19" s="1221"/>
      <c r="YW19" s="1221"/>
      <c r="YX19" s="1221"/>
      <c r="YY19" s="1221"/>
      <c r="YZ19" s="1221"/>
      <c r="ZA19" s="1221"/>
      <c r="ZB19" s="1221"/>
      <c r="ZC19" s="1221"/>
      <c r="ZD19" s="1221"/>
      <c r="ZE19" s="1221"/>
      <c r="ZF19" s="1221"/>
      <c r="ZG19" s="1221"/>
      <c r="ZH19" s="1221"/>
      <c r="ZI19" s="1221"/>
      <c r="ZJ19" s="1221"/>
      <c r="ZK19" s="1221"/>
      <c r="ZL19" s="1221"/>
      <c r="ZM19" s="1221"/>
      <c r="ZN19" s="1221"/>
      <c r="ZO19" s="1221"/>
      <c r="ZP19" s="1221"/>
      <c r="ZQ19" s="1221"/>
      <c r="ZR19" s="1221"/>
      <c r="ZS19" s="1221"/>
      <c r="ZT19" s="1221"/>
      <c r="ZU19" s="1221"/>
      <c r="ZV19" s="1221"/>
      <c r="ZW19" s="1221"/>
      <c r="ZX19" s="1221"/>
      <c r="ZY19" s="1221"/>
      <c r="ZZ19" s="1221"/>
      <c r="AAA19" s="1221"/>
      <c r="AAB19" s="1221"/>
      <c r="AAC19" s="1221"/>
      <c r="AAD19" s="1221"/>
      <c r="AAE19" s="1221"/>
      <c r="AAF19" s="1221"/>
      <c r="AAG19" s="1221"/>
      <c r="AAH19" s="1221"/>
      <c r="AAI19" s="1221"/>
      <c r="AAJ19" s="1221"/>
      <c r="AAK19" s="1221"/>
      <c r="AAL19" s="1221"/>
      <c r="AAM19" s="1221"/>
      <c r="AAN19" s="1221"/>
      <c r="AAO19" s="1221"/>
      <c r="AAP19" s="1221"/>
      <c r="AAQ19" s="1221"/>
      <c r="AAR19" s="1221"/>
      <c r="AAS19" s="1221"/>
      <c r="AAT19" s="1221"/>
      <c r="AAU19" s="1221"/>
      <c r="AAV19" s="1221"/>
      <c r="AAW19" s="1221"/>
      <c r="AAX19" s="1221"/>
      <c r="AAY19" s="1221"/>
      <c r="AAZ19" s="1221"/>
      <c r="ABA19" s="1221"/>
      <c r="ABB19" s="1221"/>
      <c r="ABC19" s="1221"/>
      <c r="ABD19" s="1221"/>
      <c r="ABE19" s="1221"/>
      <c r="ABF19" s="1221"/>
      <c r="ABG19" s="1221"/>
      <c r="ABH19" s="1221"/>
      <c r="ABI19" s="1221"/>
      <c r="ABJ19" s="1221"/>
      <c r="ABK19" s="1221"/>
      <c r="ABL19" s="1221"/>
      <c r="ABM19" s="1221"/>
      <c r="ABN19" s="1221"/>
      <c r="ABO19" s="1221"/>
      <c r="ABP19" s="1221"/>
      <c r="ABQ19" s="1221"/>
      <c r="ABR19" s="1221"/>
      <c r="ABS19" s="1221"/>
      <c r="ABT19" s="1221"/>
      <c r="ABU19" s="1221"/>
      <c r="ABV19" s="1221"/>
      <c r="ABW19" s="1221"/>
      <c r="ABX19" s="1221"/>
      <c r="ABY19" s="1221"/>
      <c r="ABZ19" s="1221"/>
      <c r="ACA19" s="1221"/>
      <c r="ACB19" s="1221"/>
      <c r="ACC19" s="1221"/>
      <c r="ACD19" s="1221"/>
      <c r="ACE19" s="1221"/>
      <c r="ACF19" s="1221"/>
      <c r="ACG19" s="1221"/>
      <c r="ACH19" s="1221"/>
      <c r="ACI19" s="1221"/>
      <c r="ACJ19" s="1221"/>
      <c r="ACK19" s="1221"/>
      <c r="ACL19" s="1221"/>
      <c r="ACM19" s="1221"/>
      <c r="ACN19" s="1221"/>
      <c r="ACO19" s="1221"/>
      <c r="ACP19" s="1221"/>
      <c r="ACQ19" s="1221"/>
      <c r="ACR19" s="1221"/>
      <c r="ACS19" s="1221"/>
      <c r="ACT19" s="1221"/>
      <c r="ACU19" s="1221"/>
      <c r="ACV19" s="1221"/>
      <c r="ACW19" s="1221"/>
      <c r="ACX19" s="1221"/>
      <c r="ACY19" s="1221"/>
      <c r="ACZ19" s="1221"/>
      <c r="ADA19" s="1221"/>
      <c r="ADB19" s="1221"/>
      <c r="ADC19" s="1221"/>
      <c r="ADD19" s="1221"/>
      <c r="ADE19" s="1221"/>
      <c r="ADF19" s="1221"/>
      <c r="ADG19" s="1221"/>
      <c r="ADH19" s="1221"/>
      <c r="ADI19" s="1221"/>
      <c r="ADJ19" s="1221"/>
      <c r="ADK19" s="1221"/>
      <c r="ADL19" s="1221"/>
      <c r="ADM19" s="1221"/>
      <c r="ADN19" s="1221"/>
      <c r="ADO19" s="1221"/>
      <c r="ADP19" s="1221"/>
      <c r="ADQ19" s="1221"/>
      <c r="ADR19" s="1221"/>
      <c r="ADS19" s="1221"/>
      <c r="ADT19" s="1221"/>
      <c r="ADU19" s="1221"/>
      <c r="ADV19" s="1221"/>
      <c r="ADW19" s="1221"/>
      <c r="ADX19" s="1221"/>
      <c r="ADY19" s="1221"/>
      <c r="ADZ19" s="1221"/>
      <c r="AEA19" s="1221"/>
      <c r="AEB19" s="1221"/>
      <c r="AEC19" s="1221"/>
      <c r="AED19" s="1221"/>
      <c r="AEE19" s="1221"/>
      <c r="AEF19" s="1221"/>
      <c r="AEG19" s="1221"/>
      <c r="AEH19" s="1221"/>
      <c r="AEI19" s="1221"/>
      <c r="AEJ19" s="1221"/>
      <c r="AEK19" s="1221"/>
      <c r="AEL19" s="1221"/>
      <c r="AEM19" s="1221"/>
      <c r="AEN19" s="1221"/>
      <c r="AEO19" s="1221"/>
      <c r="AEP19" s="1221"/>
      <c r="AEQ19" s="1221"/>
      <c r="AER19" s="1221"/>
      <c r="AES19" s="1221"/>
      <c r="AET19" s="1221"/>
      <c r="AEU19" s="1221"/>
      <c r="AEV19" s="1221"/>
      <c r="AEW19" s="1221"/>
      <c r="AEX19" s="1221"/>
      <c r="AEY19" s="1221"/>
      <c r="AEZ19" s="1221"/>
      <c r="AFA19" s="1221"/>
      <c r="AFB19" s="1221"/>
      <c r="AFC19" s="1221"/>
      <c r="AFD19" s="1221"/>
      <c r="AFE19" s="1221"/>
      <c r="AFF19" s="1221"/>
      <c r="AFG19" s="1221"/>
      <c r="AFH19" s="1221"/>
      <c r="AFI19" s="1221"/>
      <c r="AFJ19" s="1221"/>
      <c r="AFK19" s="1221"/>
      <c r="AFL19" s="1221"/>
      <c r="AFM19" s="1221"/>
      <c r="AFN19" s="1221"/>
      <c r="AFO19" s="1221"/>
      <c r="AFP19" s="1221"/>
      <c r="AFQ19" s="1221"/>
      <c r="AFR19" s="1221"/>
      <c r="AFS19" s="1221"/>
      <c r="AFT19" s="1221"/>
      <c r="AFU19" s="1221"/>
      <c r="AFV19" s="1221"/>
      <c r="AFW19" s="1221"/>
      <c r="AFX19" s="1221"/>
      <c r="AFY19" s="1221"/>
      <c r="AFZ19" s="1221"/>
      <c r="AGA19" s="1221"/>
      <c r="AGB19" s="1221"/>
      <c r="AGC19" s="1221"/>
      <c r="AGD19" s="1221"/>
      <c r="AGE19" s="1221"/>
      <c r="AGF19" s="1221"/>
      <c r="AGG19" s="1221"/>
      <c r="AGH19" s="1221"/>
      <c r="AGI19" s="1221"/>
      <c r="AGJ19" s="1221"/>
      <c r="AGK19" s="1221"/>
      <c r="AGL19" s="1221"/>
      <c r="AGM19" s="1221"/>
      <c r="AGN19" s="1221"/>
      <c r="AGO19" s="1221"/>
      <c r="AGP19" s="1221"/>
      <c r="AGQ19" s="1221"/>
      <c r="AGR19" s="1221"/>
      <c r="AGS19" s="1221"/>
      <c r="AGT19" s="1221"/>
      <c r="AGU19" s="1221"/>
      <c r="AGV19" s="1221"/>
      <c r="AGW19" s="1221"/>
      <c r="AGX19" s="1221"/>
      <c r="AGY19" s="1221"/>
      <c r="AGZ19" s="1221"/>
      <c r="AHA19" s="1221"/>
      <c r="AHB19" s="1221"/>
      <c r="AHC19" s="1221"/>
      <c r="AHD19" s="1221"/>
      <c r="AHE19" s="1221"/>
      <c r="AHF19" s="1221"/>
      <c r="AHG19" s="1221"/>
      <c r="AHH19" s="1221"/>
      <c r="AHI19" s="1221"/>
      <c r="AHJ19" s="1221"/>
      <c r="AHK19" s="1221"/>
      <c r="AHL19" s="1221"/>
      <c r="AHM19" s="1221"/>
      <c r="AHN19" s="1221"/>
      <c r="AHO19" s="1221"/>
      <c r="AHP19" s="1221"/>
      <c r="AHQ19" s="1221"/>
      <c r="AHR19" s="1221"/>
      <c r="AHS19" s="1221"/>
      <c r="AHT19" s="1221"/>
      <c r="AHU19" s="1221"/>
      <c r="AHV19" s="1221"/>
      <c r="AHW19" s="1221"/>
      <c r="AHX19" s="1221"/>
      <c r="AHY19" s="1221"/>
      <c r="AHZ19" s="1221"/>
      <c r="AIA19" s="1221"/>
      <c r="AIB19" s="1221"/>
      <c r="AIC19" s="1221"/>
      <c r="AID19" s="1221"/>
      <c r="AIE19" s="1221"/>
      <c r="AIF19" s="1221"/>
      <c r="AIG19" s="1221"/>
      <c r="AIH19" s="1221"/>
      <c r="AII19" s="1221"/>
      <c r="AIJ19" s="1221"/>
      <c r="AIK19" s="1221"/>
      <c r="AIL19" s="1221"/>
      <c r="AIM19" s="1221"/>
      <c r="AIN19" s="1221"/>
      <c r="AIO19" s="1221"/>
      <c r="AIP19" s="1221"/>
      <c r="AIQ19" s="1221"/>
      <c r="AIR19" s="1221"/>
      <c r="AIS19" s="1221"/>
      <c r="AIT19" s="1221"/>
      <c r="AIU19" s="1221"/>
      <c r="AIV19" s="1221"/>
      <c r="AIW19" s="1221"/>
      <c r="AIX19" s="1221"/>
      <c r="AIY19" s="1221"/>
      <c r="AIZ19" s="1221"/>
      <c r="AJA19" s="1221"/>
      <c r="AJB19" s="1221"/>
      <c r="AJC19" s="1221"/>
      <c r="AJD19" s="1221"/>
      <c r="AJE19" s="1221"/>
      <c r="AJF19" s="1221"/>
      <c r="AJG19" s="1221"/>
      <c r="AJH19" s="1221"/>
      <c r="AJI19" s="1221"/>
      <c r="AJJ19" s="1221"/>
      <c r="AJK19" s="1221"/>
      <c r="AJL19" s="1221"/>
      <c r="AJM19" s="1221"/>
      <c r="AJN19" s="1221"/>
      <c r="AJO19" s="1221"/>
      <c r="AJP19" s="1221"/>
      <c r="AJQ19" s="1221"/>
      <c r="AJR19" s="1221"/>
      <c r="AJS19" s="1221"/>
      <c r="AJT19" s="1221"/>
      <c r="AJU19" s="1221"/>
      <c r="AJV19" s="1221"/>
      <c r="AJW19" s="1221"/>
      <c r="AJX19" s="1221"/>
      <c r="AJY19" s="1221"/>
      <c r="AJZ19" s="1221"/>
      <c r="AKA19" s="1221"/>
      <c r="AKB19" s="1221"/>
      <c r="AKC19" s="1221"/>
      <c r="AKD19" s="1221"/>
      <c r="AKE19" s="1221"/>
      <c r="AKF19" s="1221"/>
      <c r="AKG19" s="1221"/>
      <c r="AKH19" s="1221"/>
      <c r="AKI19" s="1221"/>
      <c r="AKJ19" s="1221"/>
      <c r="AKK19" s="1221"/>
      <c r="AKL19" s="1221"/>
      <c r="AKM19" s="1221"/>
      <c r="AKN19" s="1221"/>
      <c r="AKO19" s="1221"/>
      <c r="AKP19" s="1221"/>
      <c r="AKQ19" s="1221"/>
      <c r="AKR19" s="1221"/>
      <c r="AKS19" s="1221"/>
      <c r="AKT19" s="1221"/>
      <c r="AKU19" s="1221"/>
      <c r="AKV19" s="1221"/>
      <c r="AKW19" s="1221"/>
      <c r="AKX19" s="1221"/>
      <c r="AKY19" s="1221"/>
      <c r="AKZ19" s="1221"/>
      <c r="ALA19" s="1221"/>
      <c r="ALB19" s="1221"/>
      <c r="ALC19" s="1221"/>
      <c r="ALD19" s="1221"/>
      <c r="ALE19" s="1221"/>
      <c r="ALF19" s="1221"/>
      <c r="ALG19" s="1221"/>
      <c r="ALH19" s="1221"/>
      <c r="ALI19" s="1221"/>
      <c r="ALJ19" s="1221"/>
      <c r="ALK19" s="1221"/>
      <c r="ALL19" s="1221"/>
      <c r="ALM19" s="1221"/>
      <c r="ALN19" s="1221"/>
      <c r="ALO19" s="1221"/>
      <c r="ALP19" s="1221"/>
      <c r="ALQ19" s="1221"/>
      <c r="ALR19" s="1221"/>
      <c r="ALS19" s="1221"/>
      <c r="ALT19" s="1221"/>
      <c r="ALU19" s="1221"/>
      <c r="ALV19" s="1221"/>
      <c r="ALW19" s="1221"/>
      <c r="ALX19" s="1221"/>
      <c r="ALY19" s="1221"/>
      <c r="ALZ19" s="1221"/>
      <c r="AMA19" s="1221"/>
      <c r="AMB19" s="1221"/>
      <c r="AMC19" s="1221"/>
      <c r="AMD19" s="1221"/>
      <c r="AME19" s="1221"/>
      <c r="AMF19" s="1221"/>
      <c r="AMG19" s="1221"/>
      <c r="AMH19" s="1221"/>
      <c r="AMI19" s="1221"/>
      <c r="AMJ19" s="1221"/>
      <c r="AMK19" s="1221"/>
      <c r="AML19" s="1221"/>
      <c r="AMM19" s="1221"/>
      <c r="AMN19" s="1221"/>
      <c r="AMO19" s="1221"/>
      <c r="AMP19" s="1221"/>
      <c r="AMQ19" s="1221"/>
      <c r="AMR19" s="1221"/>
      <c r="AMS19" s="1221"/>
      <c r="AMT19" s="1221"/>
      <c r="AMU19" s="1221"/>
      <c r="AMV19" s="1221"/>
      <c r="AMW19" s="1221"/>
      <c r="AMX19" s="1221"/>
      <c r="AMY19" s="1221"/>
      <c r="AMZ19" s="1221"/>
      <c r="ANA19" s="1221"/>
      <c r="ANB19" s="1221"/>
      <c r="ANC19" s="1221"/>
      <c r="AND19" s="1221"/>
      <c r="ANE19" s="1221"/>
      <c r="ANF19" s="1221"/>
      <c r="ANG19" s="1221"/>
      <c r="ANH19" s="1221"/>
      <c r="ANI19" s="1221"/>
      <c r="ANJ19" s="1221"/>
      <c r="ANK19" s="1221"/>
      <c r="ANL19" s="1221"/>
      <c r="ANM19" s="1221"/>
      <c r="ANN19" s="1221"/>
      <c r="ANO19" s="1221"/>
      <c r="ANP19" s="1221"/>
      <c r="ANQ19" s="1221"/>
      <c r="ANR19" s="1221"/>
      <c r="ANS19" s="1221"/>
      <c r="ANT19" s="1221"/>
      <c r="ANU19" s="1221"/>
      <c r="ANV19" s="1221"/>
      <c r="ANW19" s="1221"/>
      <c r="ANX19" s="1221"/>
      <c r="ANY19" s="1221"/>
      <c r="ANZ19" s="1221"/>
      <c r="AOA19" s="1221"/>
      <c r="AOB19" s="1221"/>
      <c r="AOC19" s="1221"/>
      <c r="AOD19" s="1221"/>
      <c r="AOE19" s="1221"/>
      <c r="AOF19" s="1221"/>
      <c r="AOG19" s="1221"/>
      <c r="AOH19" s="1221"/>
      <c r="AOI19" s="1221"/>
      <c r="AOJ19" s="1221"/>
      <c r="AOK19" s="1221"/>
      <c r="AOL19" s="1221"/>
      <c r="AOM19" s="1221"/>
      <c r="AON19" s="1221"/>
      <c r="AOO19" s="1221"/>
      <c r="AOP19" s="1221"/>
      <c r="AOQ19" s="1221"/>
      <c r="AOR19" s="1221"/>
      <c r="AOS19" s="1221"/>
      <c r="AOT19" s="1221"/>
      <c r="AOU19" s="1221"/>
      <c r="AOV19" s="1221"/>
      <c r="AOW19" s="1221"/>
      <c r="AOX19" s="1221"/>
      <c r="AOY19" s="1221"/>
      <c r="AOZ19" s="1221"/>
      <c r="APA19" s="1221"/>
      <c r="APB19" s="1221"/>
      <c r="APC19" s="1221"/>
      <c r="APD19" s="1221"/>
      <c r="APE19" s="1221"/>
      <c r="APF19" s="1221"/>
      <c r="APG19" s="1221"/>
      <c r="APH19" s="1221"/>
      <c r="API19" s="1221"/>
      <c r="APJ19" s="1221"/>
      <c r="APK19" s="1221"/>
      <c r="APL19" s="1221"/>
      <c r="APM19" s="1221"/>
      <c r="APN19" s="1221"/>
      <c r="APO19" s="1221"/>
      <c r="APP19" s="1221"/>
      <c r="APQ19" s="1221"/>
      <c r="APR19" s="1221"/>
      <c r="APS19" s="1221"/>
      <c r="APT19" s="1221"/>
      <c r="APU19" s="1221"/>
      <c r="APV19" s="1221"/>
      <c r="APW19" s="1221"/>
      <c r="APX19" s="1221"/>
      <c r="APY19" s="1221"/>
      <c r="APZ19" s="1221"/>
      <c r="AQA19" s="1221"/>
      <c r="AQB19" s="1221"/>
      <c r="AQC19" s="1221"/>
      <c r="AQD19" s="1221"/>
      <c r="AQE19" s="1221"/>
      <c r="AQF19" s="1221"/>
      <c r="AQG19" s="1221"/>
      <c r="AQH19" s="1221"/>
      <c r="AQI19" s="1221"/>
      <c r="AQJ19" s="1221"/>
      <c r="AQK19" s="1221"/>
      <c r="AQL19" s="1221"/>
      <c r="AQM19" s="1221"/>
      <c r="AQN19" s="1221"/>
      <c r="AQO19" s="1221"/>
      <c r="AQP19" s="1221"/>
      <c r="AQQ19" s="1221"/>
      <c r="AQR19" s="1221"/>
      <c r="AQS19" s="1221"/>
      <c r="AQT19" s="1221"/>
      <c r="AQU19" s="1221"/>
      <c r="AQV19" s="1221"/>
      <c r="AQW19" s="1221"/>
      <c r="AQX19" s="1221"/>
      <c r="AQY19" s="1221"/>
      <c r="AQZ19" s="1221"/>
      <c r="ARA19" s="1221"/>
      <c r="ARB19" s="1221"/>
      <c r="ARC19" s="1221"/>
      <c r="ARD19" s="1221"/>
      <c r="ARE19" s="1221"/>
      <c r="ARF19" s="1221"/>
      <c r="ARG19" s="1221"/>
      <c r="ARH19" s="1221"/>
      <c r="ARI19" s="1221"/>
      <c r="ARJ19" s="1221"/>
      <c r="ARK19" s="1221"/>
      <c r="ARL19" s="1221"/>
      <c r="ARM19" s="1221"/>
      <c r="ARN19" s="1221"/>
      <c r="ARO19" s="1221"/>
      <c r="ARP19" s="1221"/>
      <c r="ARQ19" s="1221"/>
      <c r="ARR19" s="1221"/>
      <c r="ARS19" s="1221"/>
      <c r="ART19" s="1221"/>
      <c r="ARU19" s="1221"/>
      <c r="ARV19" s="1221"/>
      <c r="ARW19" s="1221"/>
      <c r="ARX19" s="1221"/>
      <c r="ARY19" s="1221"/>
      <c r="ARZ19" s="1221"/>
      <c r="ASA19" s="1221"/>
      <c r="ASB19" s="1221"/>
      <c r="ASC19" s="1221"/>
      <c r="ASD19" s="1221"/>
      <c r="ASE19" s="1221"/>
      <c r="ASF19" s="1221"/>
      <c r="ASG19" s="1221"/>
      <c r="ASH19" s="1221"/>
      <c r="ASI19" s="1221"/>
      <c r="ASJ19" s="1221"/>
      <c r="ASK19" s="1221"/>
      <c r="ASL19" s="1221"/>
      <c r="ASM19" s="1221"/>
      <c r="ASN19" s="1221"/>
      <c r="ASO19" s="1221"/>
      <c r="ASP19" s="1221"/>
      <c r="ASQ19" s="1221"/>
      <c r="ASR19" s="1221"/>
      <c r="ASS19" s="1221"/>
      <c r="AST19" s="1221"/>
      <c r="ASU19" s="1221"/>
      <c r="ASV19" s="1221"/>
      <c r="ASW19" s="1221"/>
      <c r="ASX19" s="1221"/>
      <c r="ASY19" s="1221"/>
      <c r="ASZ19" s="1221"/>
      <c r="ATA19" s="1221"/>
      <c r="ATB19" s="1221"/>
      <c r="ATC19" s="1221"/>
      <c r="ATD19" s="1221"/>
      <c r="ATE19" s="1221"/>
      <c r="ATF19" s="1221"/>
      <c r="ATG19" s="1221"/>
      <c r="ATH19" s="1221"/>
      <c r="ATI19" s="1221"/>
      <c r="ATJ19" s="1221"/>
      <c r="ATK19" s="1221"/>
      <c r="ATL19" s="1221"/>
      <c r="ATM19" s="1221"/>
      <c r="ATN19" s="1221"/>
      <c r="ATO19" s="1221"/>
      <c r="ATP19" s="1221"/>
      <c r="ATQ19" s="1221"/>
      <c r="ATR19" s="1221"/>
      <c r="ATS19" s="1221"/>
      <c r="ATT19" s="1221"/>
      <c r="ATU19" s="1221"/>
      <c r="ATV19" s="1221"/>
      <c r="ATW19" s="1221"/>
      <c r="ATX19" s="1221"/>
      <c r="ATY19" s="1221"/>
      <c r="ATZ19" s="1221"/>
      <c r="AUA19" s="1221"/>
      <c r="AUB19" s="1221"/>
      <c r="AUC19" s="1221"/>
      <c r="AUD19" s="1221"/>
      <c r="AUE19" s="1221"/>
      <c r="AUF19" s="1221"/>
      <c r="AUG19" s="1221"/>
      <c r="AUH19" s="1221"/>
      <c r="AUI19" s="1221"/>
      <c r="AUJ19" s="1221"/>
      <c r="AUK19" s="1221"/>
      <c r="AUL19" s="1221"/>
      <c r="AUM19" s="1221"/>
      <c r="AUN19" s="1221"/>
      <c r="AUO19" s="1221"/>
      <c r="AUP19" s="1221"/>
      <c r="AUQ19" s="1221"/>
      <c r="AUR19" s="1221"/>
      <c r="AUS19" s="1221"/>
      <c r="AUT19" s="1221"/>
      <c r="AUU19" s="1221"/>
      <c r="AUV19" s="1221"/>
      <c r="AUW19" s="1221"/>
      <c r="AUX19" s="1221"/>
      <c r="AUY19" s="1221"/>
      <c r="AUZ19" s="1221"/>
      <c r="AVA19" s="1221"/>
      <c r="AVB19" s="1221"/>
      <c r="AVC19" s="1221"/>
      <c r="AVD19" s="1221"/>
      <c r="AVE19" s="1221"/>
      <c r="AVF19" s="1221"/>
      <c r="AVG19" s="1221"/>
      <c r="AVH19" s="1221"/>
      <c r="AVI19" s="1221"/>
      <c r="AVJ19" s="1221"/>
      <c r="AVK19" s="1221"/>
      <c r="AVL19" s="1221"/>
      <c r="AVM19" s="1221"/>
      <c r="AVN19" s="1221"/>
      <c r="AVO19" s="1221"/>
      <c r="AVP19" s="1221"/>
      <c r="AVQ19" s="1221"/>
      <c r="AVR19" s="1221"/>
      <c r="AVS19" s="1221"/>
      <c r="AVT19" s="1221"/>
      <c r="AVU19" s="1221"/>
      <c r="AVV19" s="1221"/>
      <c r="AVW19" s="1221"/>
      <c r="AVX19" s="1221"/>
      <c r="AVY19" s="1221"/>
      <c r="AVZ19" s="1221"/>
      <c r="AWA19" s="1221"/>
      <c r="AWB19" s="1221"/>
      <c r="AWC19" s="1221"/>
      <c r="AWD19" s="1221"/>
      <c r="AWE19" s="1221"/>
      <c r="AWF19" s="1221"/>
      <c r="AWG19" s="1221"/>
      <c r="AWH19" s="1221"/>
      <c r="AWI19" s="1221"/>
      <c r="AWJ19" s="1221"/>
      <c r="AWK19" s="1221"/>
      <c r="AWL19" s="1221"/>
      <c r="AWM19" s="1221"/>
      <c r="AWN19" s="1221"/>
      <c r="AWO19" s="1221"/>
      <c r="AWP19" s="1221"/>
      <c r="AWQ19" s="1221"/>
      <c r="AWR19" s="1221"/>
      <c r="AWS19" s="1221"/>
      <c r="AWT19" s="1221"/>
      <c r="AWU19" s="1221"/>
      <c r="AWV19" s="1221"/>
      <c r="AWW19" s="1221"/>
      <c r="AWX19" s="1221"/>
      <c r="AWY19" s="1221"/>
      <c r="AWZ19" s="1221"/>
      <c r="AXA19" s="1221"/>
      <c r="AXB19" s="1221"/>
      <c r="AXC19" s="1221"/>
      <c r="AXD19" s="1221"/>
      <c r="AXE19" s="1221"/>
      <c r="AXF19" s="1221"/>
      <c r="AXG19" s="1221"/>
      <c r="AXH19" s="1221"/>
      <c r="AXI19" s="1221"/>
      <c r="AXJ19" s="1221"/>
      <c r="AXK19" s="1221"/>
      <c r="AXL19" s="1221"/>
      <c r="AXM19" s="1221"/>
      <c r="AXN19" s="1221"/>
      <c r="AXO19" s="1221"/>
      <c r="AXP19" s="1221"/>
      <c r="AXQ19" s="1221"/>
      <c r="AXR19" s="1221"/>
      <c r="AXS19" s="1221"/>
      <c r="AXT19" s="1221"/>
      <c r="AXU19" s="1221"/>
      <c r="AXV19" s="1221"/>
      <c r="AXW19" s="1221"/>
      <c r="AXX19" s="1221"/>
      <c r="AXY19" s="1221"/>
      <c r="AXZ19" s="1221"/>
      <c r="AYA19" s="1221"/>
      <c r="AYB19" s="1221"/>
      <c r="AYC19" s="1221"/>
      <c r="AYD19" s="1221"/>
      <c r="AYE19" s="1221"/>
      <c r="AYF19" s="1221"/>
      <c r="AYG19" s="1221"/>
      <c r="AYH19" s="1221"/>
      <c r="AYI19" s="1221"/>
      <c r="AYJ19" s="1221"/>
      <c r="AYK19" s="1221"/>
      <c r="AYL19" s="1221"/>
      <c r="AYM19" s="1221"/>
      <c r="AYN19" s="1221"/>
      <c r="AYO19" s="1221"/>
      <c r="AYP19" s="1221"/>
      <c r="AYQ19" s="1221"/>
      <c r="AYR19" s="1221"/>
      <c r="AYS19" s="1221"/>
      <c r="AYT19" s="1221"/>
      <c r="AYU19" s="1221"/>
      <c r="AYV19" s="1221"/>
      <c r="AYW19" s="1221"/>
      <c r="AYX19" s="1221"/>
      <c r="AYY19" s="1221"/>
      <c r="AYZ19" s="1221"/>
      <c r="AZA19" s="1221"/>
      <c r="AZB19" s="1221"/>
      <c r="AZC19" s="1221"/>
      <c r="AZD19" s="1221"/>
      <c r="AZE19" s="1221"/>
      <c r="AZF19" s="1221"/>
      <c r="AZG19" s="1221"/>
      <c r="AZH19" s="1221"/>
      <c r="AZI19" s="1221"/>
      <c r="AZJ19" s="1221"/>
      <c r="AZK19" s="1221"/>
      <c r="AZL19" s="1221"/>
      <c r="AZM19" s="1221"/>
      <c r="AZN19" s="1221"/>
      <c r="AZO19" s="1221"/>
      <c r="AZP19" s="1221"/>
      <c r="AZQ19" s="1221"/>
      <c r="AZR19" s="1221"/>
      <c r="AZS19" s="1221"/>
      <c r="AZT19" s="1221"/>
      <c r="AZU19" s="1221"/>
      <c r="AZV19" s="1221"/>
      <c r="AZW19" s="1221"/>
      <c r="AZX19" s="1221"/>
      <c r="AZY19" s="1221"/>
      <c r="AZZ19" s="1221"/>
      <c r="BAA19" s="1221"/>
      <c r="BAB19" s="1221"/>
      <c r="BAC19" s="1221"/>
      <c r="BAD19" s="1221"/>
      <c r="BAE19" s="1221"/>
      <c r="BAF19" s="1221"/>
      <c r="BAG19" s="1221"/>
      <c r="BAH19" s="1221"/>
      <c r="BAI19" s="1221"/>
      <c r="BAJ19" s="1221"/>
      <c r="BAK19" s="1221"/>
      <c r="BAL19" s="1221"/>
      <c r="BAM19" s="1221"/>
      <c r="BAN19" s="1221"/>
      <c r="BAO19" s="1221"/>
      <c r="BAP19" s="1221"/>
      <c r="BAQ19" s="1221"/>
      <c r="BAR19" s="1221"/>
      <c r="BAS19" s="1221"/>
      <c r="BAT19" s="1221"/>
      <c r="BAU19" s="1221"/>
      <c r="BAV19" s="1221"/>
      <c r="BAW19" s="1221"/>
      <c r="BAX19" s="1221"/>
      <c r="BAY19" s="1221"/>
      <c r="BAZ19" s="1221"/>
      <c r="BBA19" s="1221"/>
      <c r="BBB19" s="1221"/>
      <c r="BBC19" s="1221"/>
      <c r="BBD19" s="1221"/>
      <c r="BBE19" s="1221"/>
      <c r="BBF19" s="1221"/>
      <c r="BBG19" s="1221"/>
      <c r="BBH19" s="1221"/>
      <c r="BBI19" s="1221"/>
      <c r="BBJ19" s="1221"/>
      <c r="BBK19" s="1221"/>
      <c r="BBL19" s="1221"/>
      <c r="BBM19" s="1221"/>
      <c r="BBN19" s="1221"/>
      <c r="BBO19" s="1221"/>
      <c r="BBP19" s="1221"/>
      <c r="BBQ19" s="1221"/>
      <c r="BBR19" s="1221"/>
      <c r="BBS19" s="1221"/>
      <c r="BBT19" s="1221"/>
      <c r="BBU19" s="1221"/>
      <c r="BBV19" s="1221"/>
      <c r="BBW19" s="1221"/>
      <c r="BBX19" s="1221"/>
      <c r="BBY19" s="1221"/>
      <c r="BBZ19" s="1221"/>
      <c r="BCA19" s="1221"/>
      <c r="BCB19" s="1221"/>
      <c r="BCC19" s="1221"/>
      <c r="BCD19" s="1221"/>
      <c r="BCE19" s="1221"/>
      <c r="BCF19" s="1221"/>
      <c r="BCG19" s="1221"/>
      <c r="BCH19" s="1221"/>
      <c r="BCI19" s="1221"/>
      <c r="BCJ19" s="1221"/>
      <c r="BCK19" s="1221"/>
      <c r="BCL19" s="1221"/>
      <c r="BCM19" s="1221"/>
      <c r="BCN19" s="1221"/>
      <c r="BCO19" s="1221"/>
      <c r="BCP19" s="1221"/>
      <c r="BCQ19" s="1221"/>
      <c r="BCR19" s="1221"/>
      <c r="BCS19" s="1221"/>
      <c r="BCT19" s="1221"/>
      <c r="BCU19" s="1221"/>
      <c r="BCV19" s="1221"/>
      <c r="BCW19" s="1221"/>
      <c r="BCX19" s="1221"/>
      <c r="BCY19" s="1221"/>
      <c r="BCZ19" s="1221"/>
      <c r="BDA19" s="1221"/>
      <c r="BDB19" s="1221"/>
      <c r="BDC19" s="1221"/>
      <c r="BDD19" s="1221"/>
      <c r="BDE19" s="1221"/>
      <c r="BDF19" s="1221"/>
      <c r="BDG19" s="1221"/>
      <c r="BDH19" s="1221"/>
      <c r="BDI19" s="1221"/>
      <c r="BDJ19" s="1221"/>
      <c r="BDK19" s="1221"/>
      <c r="BDL19" s="1221"/>
      <c r="BDM19" s="1221"/>
      <c r="BDN19" s="1221"/>
      <c r="BDO19" s="1221"/>
      <c r="BDP19" s="1221"/>
      <c r="BDQ19" s="1221"/>
      <c r="BDR19" s="1221"/>
      <c r="BDS19" s="1221"/>
      <c r="BDT19" s="1221"/>
      <c r="BDU19" s="1221"/>
      <c r="BDV19" s="1221"/>
      <c r="BDW19" s="1221"/>
      <c r="BDX19" s="1221"/>
      <c r="BDY19" s="1221"/>
      <c r="BDZ19" s="1221"/>
      <c r="BEA19" s="1221"/>
      <c r="BEB19" s="1221"/>
      <c r="BEC19" s="1221"/>
      <c r="BED19" s="1221"/>
      <c r="BEE19" s="1221"/>
      <c r="BEF19" s="1221"/>
      <c r="BEG19" s="1221"/>
      <c r="BEH19" s="1221"/>
      <c r="BEI19" s="1221"/>
      <c r="BEJ19" s="1221"/>
      <c r="BEK19" s="1221"/>
      <c r="BEL19" s="1221"/>
      <c r="BEM19" s="1221"/>
      <c r="BEN19" s="1221"/>
      <c r="BEO19" s="1221"/>
      <c r="BEP19" s="1221"/>
      <c r="BEQ19" s="1221"/>
      <c r="BER19" s="1221"/>
      <c r="BES19" s="1221"/>
      <c r="BET19" s="1221"/>
      <c r="BEU19" s="1221"/>
      <c r="BEV19" s="1221"/>
      <c r="BEW19" s="1221"/>
      <c r="BEX19" s="1221"/>
      <c r="BEY19" s="1221"/>
      <c r="BEZ19" s="1221"/>
      <c r="BFA19" s="1221"/>
      <c r="BFB19" s="1221"/>
      <c r="BFC19" s="1221"/>
      <c r="BFD19" s="1221"/>
      <c r="BFE19" s="1221"/>
      <c r="BFF19" s="1221"/>
      <c r="BFG19" s="1221"/>
      <c r="BFH19" s="1221"/>
      <c r="BFI19" s="1221"/>
      <c r="BFJ19" s="1221"/>
      <c r="BFK19" s="1221"/>
      <c r="BFL19" s="1221"/>
      <c r="BFM19" s="1221"/>
      <c r="BFN19" s="1221"/>
      <c r="BFO19" s="1221"/>
      <c r="BFP19" s="1221"/>
      <c r="BFQ19" s="1221"/>
      <c r="BFR19" s="1221"/>
      <c r="BFS19" s="1221"/>
      <c r="BFT19" s="1221"/>
      <c r="BFU19" s="1221"/>
      <c r="BFV19" s="1221"/>
      <c r="BFW19" s="1221"/>
      <c r="BFX19" s="1221"/>
      <c r="BFY19" s="1221"/>
      <c r="BFZ19" s="1221"/>
      <c r="BGA19" s="1221"/>
      <c r="BGB19" s="1221"/>
      <c r="BGC19" s="1221"/>
      <c r="BGD19" s="1221"/>
      <c r="BGE19" s="1221"/>
      <c r="BGF19" s="1221"/>
      <c r="BGG19" s="1221"/>
      <c r="BGH19" s="1221"/>
      <c r="BGI19" s="1221"/>
      <c r="BGJ19" s="1221"/>
      <c r="BGK19" s="1221"/>
      <c r="BGL19" s="1221"/>
      <c r="BGM19" s="1221"/>
      <c r="BGN19" s="1221"/>
      <c r="BGO19" s="1221"/>
      <c r="BGP19" s="1221"/>
      <c r="BGQ19" s="1221"/>
      <c r="BGR19" s="1221"/>
      <c r="BGS19" s="1221"/>
      <c r="BGT19" s="1221"/>
      <c r="BGU19" s="1221"/>
      <c r="BGV19" s="1221"/>
      <c r="BGW19" s="1221"/>
      <c r="BGX19" s="1221"/>
      <c r="BGY19" s="1221"/>
      <c r="BGZ19" s="1221"/>
      <c r="BHA19" s="1221"/>
      <c r="BHB19" s="1221"/>
      <c r="BHC19" s="1221"/>
      <c r="BHD19" s="1221"/>
      <c r="BHE19" s="1221"/>
      <c r="BHF19" s="1221"/>
      <c r="BHG19" s="1221"/>
      <c r="BHH19" s="1221"/>
      <c r="BHI19" s="1221"/>
      <c r="BHJ19" s="1221"/>
      <c r="BHK19" s="1221"/>
      <c r="BHL19" s="1221"/>
      <c r="BHM19" s="1221"/>
      <c r="BHN19" s="1221"/>
      <c r="BHO19" s="1221"/>
      <c r="BHP19" s="1221"/>
      <c r="BHQ19" s="1221"/>
      <c r="BHR19" s="1221"/>
      <c r="BHS19" s="1221"/>
      <c r="BHT19" s="1221"/>
      <c r="BHU19" s="1221"/>
      <c r="BHV19" s="1221"/>
      <c r="BHW19" s="1221"/>
      <c r="BHX19" s="1221"/>
      <c r="BHY19" s="1221"/>
      <c r="BHZ19" s="1221"/>
      <c r="BIA19" s="1221"/>
      <c r="BIB19" s="1221"/>
      <c r="BIC19" s="1221"/>
      <c r="BID19" s="1221"/>
      <c r="BIE19" s="1221"/>
      <c r="BIF19" s="1221"/>
      <c r="BIG19" s="1221"/>
      <c r="BIH19" s="1221"/>
      <c r="BII19" s="1221"/>
      <c r="BIJ19" s="1221"/>
      <c r="BIK19" s="1221"/>
      <c r="BIL19" s="1221"/>
      <c r="BIM19" s="1221"/>
      <c r="BIN19" s="1221"/>
      <c r="BIO19" s="1221"/>
      <c r="BIP19" s="1221"/>
      <c r="BIQ19" s="1221"/>
      <c r="BIR19" s="1221"/>
      <c r="BIS19" s="1221"/>
      <c r="BIT19" s="1221"/>
      <c r="BIU19" s="1221"/>
      <c r="BIV19" s="1221"/>
      <c r="BIW19" s="1221"/>
      <c r="BIX19" s="1221"/>
      <c r="BIY19" s="1221"/>
      <c r="BIZ19" s="1221"/>
      <c r="BJA19" s="1221"/>
      <c r="BJB19" s="1221"/>
      <c r="BJC19" s="1221"/>
      <c r="BJD19" s="1221"/>
      <c r="BJE19" s="1221"/>
      <c r="BJF19" s="1221"/>
      <c r="BJG19" s="1221"/>
      <c r="BJH19" s="1221"/>
      <c r="BJI19" s="1221"/>
      <c r="BJJ19" s="1221"/>
      <c r="BJK19" s="1221"/>
      <c r="BJL19" s="1221"/>
      <c r="BJM19" s="1221"/>
      <c r="BJN19" s="1221"/>
      <c r="BJO19" s="1221"/>
      <c r="BJP19" s="1221"/>
      <c r="BJQ19" s="1221"/>
      <c r="BJR19" s="1221"/>
      <c r="BJS19" s="1221"/>
      <c r="BJT19" s="1221"/>
      <c r="BJU19" s="1221"/>
      <c r="BJV19" s="1221"/>
      <c r="BJW19" s="1221"/>
      <c r="BJX19" s="1221"/>
      <c r="BJY19" s="1221"/>
      <c r="BJZ19" s="1221"/>
      <c r="BKA19" s="1221"/>
      <c r="BKB19" s="1221"/>
      <c r="BKC19" s="1221"/>
      <c r="BKD19" s="1221"/>
      <c r="BKE19" s="1221"/>
      <c r="BKF19" s="1221"/>
      <c r="BKG19" s="1221"/>
      <c r="BKH19" s="1221"/>
      <c r="BKI19" s="1221"/>
      <c r="BKJ19" s="1221"/>
      <c r="BKK19" s="1221"/>
      <c r="BKL19" s="1221"/>
      <c r="BKM19" s="1221"/>
      <c r="BKN19" s="1221"/>
      <c r="BKO19" s="1221"/>
      <c r="BKP19" s="1221"/>
      <c r="BKQ19" s="1221"/>
      <c r="BKR19" s="1221"/>
      <c r="BKS19" s="1221"/>
      <c r="BKT19" s="1221"/>
      <c r="BKU19" s="1221"/>
      <c r="BKV19" s="1221"/>
      <c r="BKW19" s="1221"/>
      <c r="BKX19" s="1221"/>
      <c r="BKY19" s="1221"/>
      <c r="BKZ19" s="1221"/>
      <c r="BLA19" s="1221"/>
      <c r="BLB19" s="1221"/>
      <c r="BLC19" s="1221"/>
      <c r="BLD19" s="1221"/>
      <c r="BLE19" s="1221"/>
      <c r="BLF19" s="1221"/>
      <c r="BLG19" s="1221"/>
      <c r="BLH19" s="1221"/>
      <c r="BLI19" s="1221"/>
      <c r="BLJ19" s="1221"/>
      <c r="BLK19" s="1221"/>
      <c r="BLL19" s="1221"/>
      <c r="BLM19" s="1221"/>
      <c r="BLN19" s="1221"/>
      <c r="BLO19" s="1221"/>
      <c r="BLP19" s="1221"/>
      <c r="BLQ19" s="1221"/>
      <c r="BLR19" s="1221"/>
      <c r="BLS19" s="1221"/>
      <c r="BLT19" s="1221"/>
      <c r="BLU19" s="1221"/>
      <c r="BLV19" s="1221"/>
      <c r="BLW19" s="1221"/>
      <c r="BLX19" s="1221"/>
      <c r="BLY19" s="1221"/>
      <c r="BLZ19" s="1221"/>
      <c r="BMA19" s="1221"/>
      <c r="BMB19" s="1221"/>
      <c r="BMC19" s="1221"/>
      <c r="BMD19" s="1221"/>
      <c r="BME19" s="1221"/>
      <c r="BMF19" s="1221"/>
      <c r="BMG19" s="1221"/>
      <c r="BMH19" s="1221"/>
      <c r="BMI19" s="1221"/>
      <c r="BMJ19" s="1221"/>
      <c r="BMK19" s="1221"/>
      <c r="BML19" s="1221"/>
      <c r="BMM19" s="1221"/>
      <c r="BMN19" s="1221"/>
      <c r="BMO19" s="1221"/>
      <c r="BMP19" s="1221"/>
      <c r="BMQ19" s="1221"/>
      <c r="BMR19" s="1221"/>
      <c r="BMS19" s="1221"/>
      <c r="BMT19" s="1221"/>
      <c r="BMU19" s="1221"/>
      <c r="BMV19" s="1221"/>
      <c r="BMW19" s="1221"/>
      <c r="BMX19" s="1221"/>
      <c r="BMY19" s="1221"/>
      <c r="BMZ19" s="1221"/>
      <c r="BNA19" s="1221"/>
      <c r="BNB19" s="1221"/>
      <c r="BNC19" s="1221"/>
      <c r="BND19" s="1221"/>
      <c r="BNE19" s="1221"/>
      <c r="BNF19" s="1221"/>
      <c r="BNG19" s="1221"/>
      <c r="BNH19" s="1221"/>
      <c r="BNI19" s="1221"/>
      <c r="BNJ19" s="1221"/>
      <c r="BNK19" s="1221"/>
      <c r="BNL19" s="1221"/>
      <c r="BNM19" s="1221"/>
      <c r="BNN19" s="1221"/>
      <c r="BNO19" s="1221"/>
      <c r="BNP19" s="1221"/>
      <c r="BNQ19" s="1221"/>
      <c r="BNR19" s="1221"/>
      <c r="BNS19" s="1221"/>
      <c r="BNT19" s="1221"/>
      <c r="BNU19" s="1221"/>
      <c r="BNV19" s="1221"/>
      <c r="BNW19" s="1221"/>
      <c r="BNX19" s="1221"/>
      <c r="BNY19" s="1221"/>
      <c r="BNZ19" s="1221"/>
      <c r="BOA19" s="1221"/>
      <c r="BOB19" s="1221"/>
      <c r="BOC19" s="1221"/>
      <c r="BOD19" s="1221"/>
      <c r="BOE19" s="1221"/>
      <c r="BOF19" s="1221"/>
      <c r="BOG19" s="1221"/>
      <c r="BOH19" s="1221"/>
      <c r="BOI19" s="1221"/>
      <c r="BOJ19" s="1221"/>
      <c r="BOK19" s="1221"/>
      <c r="BOL19" s="1221"/>
      <c r="BOM19" s="1221"/>
      <c r="BON19" s="1221"/>
      <c r="BOO19" s="1221"/>
      <c r="BOP19" s="1221"/>
      <c r="BOQ19" s="1221"/>
      <c r="BOR19" s="1221"/>
      <c r="BOS19" s="1221"/>
      <c r="BOT19" s="1221"/>
      <c r="BOU19" s="1221"/>
      <c r="BOV19" s="1221"/>
      <c r="BOW19" s="1221"/>
      <c r="BOX19" s="1221"/>
      <c r="BOY19" s="1221"/>
      <c r="BOZ19" s="1221"/>
      <c r="BPA19" s="1221"/>
      <c r="BPB19" s="1221"/>
      <c r="BPC19" s="1221"/>
      <c r="BPD19" s="1221"/>
      <c r="BPE19" s="1221"/>
      <c r="BPF19" s="1221"/>
      <c r="BPG19" s="1221"/>
      <c r="BPH19" s="1221"/>
      <c r="BPI19" s="1221"/>
      <c r="BPJ19" s="1221"/>
      <c r="BPK19" s="1221"/>
      <c r="BPL19" s="1221"/>
      <c r="BPM19" s="1221"/>
      <c r="BPN19" s="1221"/>
      <c r="BPO19" s="1221"/>
      <c r="BPP19" s="1221"/>
      <c r="BPQ19" s="1221"/>
      <c r="BPR19" s="1221"/>
      <c r="BPS19" s="1221"/>
      <c r="BPT19" s="1221"/>
      <c r="BPU19" s="1221"/>
      <c r="BPV19" s="1221"/>
      <c r="BPW19" s="1221"/>
      <c r="BPX19" s="1221"/>
      <c r="BPY19" s="1221"/>
      <c r="BPZ19" s="1221"/>
      <c r="BQA19" s="1221"/>
      <c r="BQB19" s="1221"/>
      <c r="BQC19" s="1221"/>
      <c r="BQD19" s="1221"/>
      <c r="BQE19" s="1221"/>
      <c r="BQF19" s="1221"/>
      <c r="BQG19" s="1221"/>
      <c r="BQH19" s="1221"/>
      <c r="BQI19" s="1221"/>
      <c r="BQJ19" s="1221"/>
      <c r="BQK19" s="1221"/>
      <c r="BQL19" s="1221"/>
      <c r="BQM19" s="1221"/>
      <c r="BQN19" s="1221"/>
      <c r="BQO19" s="1221"/>
      <c r="BQP19" s="1221"/>
      <c r="BQQ19" s="1221"/>
      <c r="BQR19" s="1221"/>
      <c r="BQS19" s="1221"/>
      <c r="BQT19" s="1221"/>
      <c r="BQU19" s="1221"/>
      <c r="BQV19" s="1221"/>
      <c r="BQW19" s="1221"/>
      <c r="BQX19" s="1221"/>
      <c r="BQY19" s="1221"/>
      <c r="BQZ19" s="1221"/>
      <c r="BRA19" s="1221"/>
      <c r="BRB19" s="1221"/>
      <c r="BRC19" s="1221"/>
      <c r="BRD19" s="1221"/>
      <c r="BRE19" s="1221"/>
      <c r="BRF19" s="1221"/>
      <c r="BRG19" s="1221"/>
      <c r="BRH19" s="1221"/>
      <c r="BRI19" s="1221"/>
      <c r="BRJ19" s="1221"/>
      <c r="BRK19" s="1221"/>
      <c r="BRL19" s="1221"/>
      <c r="BRM19" s="1221"/>
      <c r="BRN19" s="1221"/>
      <c r="BRO19" s="1221"/>
      <c r="BRP19" s="1221"/>
      <c r="BRQ19" s="1221"/>
      <c r="BRR19" s="1221"/>
      <c r="BRS19" s="1221"/>
      <c r="BRT19" s="1221"/>
      <c r="BRU19" s="1221"/>
      <c r="BRV19" s="1221"/>
      <c r="BRW19" s="1221"/>
      <c r="BRX19" s="1221"/>
      <c r="BRY19" s="1221"/>
      <c r="BRZ19" s="1221"/>
      <c r="BSA19" s="1221"/>
      <c r="BSB19" s="1221"/>
      <c r="BSC19" s="1221"/>
      <c r="BSD19" s="1221"/>
      <c r="BSE19" s="1221"/>
      <c r="BSF19" s="1221"/>
      <c r="BSG19" s="1221"/>
      <c r="BSH19" s="1221"/>
      <c r="BSI19" s="1221"/>
      <c r="BSJ19" s="1221"/>
      <c r="BSK19" s="1221"/>
      <c r="BSL19" s="1221"/>
      <c r="BSM19" s="1221"/>
      <c r="BSN19" s="1221"/>
      <c r="BSO19" s="1221"/>
      <c r="BSP19" s="1221"/>
      <c r="BSQ19" s="1221"/>
      <c r="BSR19" s="1221"/>
      <c r="BSS19" s="1221"/>
      <c r="BST19" s="1221"/>
      <c r="BSU19" s="1221"/>
      <c r="BSV19" s="1221"/>
      <c r="BSW19" s="1221"/>
      <c r="BSX19" s="1221"/>
      <c r="BSY19" s="1221"/>
      <c r="BSZ19" s="1221"/>
      <c r="BTA19" s="1221"/>
      <c r="BTB19" s="1221"/>
      <c r="BTC19" s="1221"/>
      <c r="BTD19" s="1221"/>
      <c r="BTE19" s="1221"/>
      <c r="BTF19" s="1221"/>
      <c r="BTG19" s="1221"/>
      <c r="BTH19" s="1221"/>
      <c r="BTI19" s="1221"/>
      <c r="BTJ19" s="1221"/>
      <c r="BTK19" s="1221"/>
      <c r="BTL19" s="1221"/>
      <c r="BTM19" s="1221"/>
      <c r="BTN19" s="1221"/>
      <c r="BTO19" s="1221"/>
      <c r="BTP19" s="1221"/>
      <c r="BTQ19" s="1221"/>
      <c r="BTR19" s="1221"/>
      <c r="BTS19" s="1221"/>
      <c r="BTT19" s="1221"/>
      <c r="BTU19" s="1221"/>
      <c r="BTV19" s="1221"/>
      <c r="BTW19" s="1221"/>
      <c r="BTX19" s="1221"/>
      <c r="BTY19" s="1221"/>
      <c r="BTZ19" s="1221"/>
      <c r="BUA19" s="1221"/>
      <c r="BUB19" s="1221"/>
      <c r="BUC19" s="1221"/>
      <c r="BUD19" s="1221"/>
      <c r="BUE19" s="1221"/>
      <c r="BUF19" s="1221"/>
      <c r="BUG19" s="1221"/>
      <c r="BUH19" s="1221"/>
      <c r="BUI19" s="1221"/>
      <c r="BUJ19" s="1221"/>
      <c r="BUK19" s="1221"/>
      <c r="BUL19" s="1221"/>
      <c r="BUM19" s="1221"/>
      <c r="BUN19" s="1221"/>
      <c r="BUO19" s="1221"/>
      <c r="BUP19" s="1221"/>
      <c r="BUQ19" s="1221"/>
      <c r="BUR19" s="1221"/>
      <c r="BUS19" s="1221"/>
      <c r="BUT19" s="1221"/>
      <c r="BUU19" s="1221"/>
      <c r="BUV19" s="1221"/>
      <c r="BUW19" s="1221"/>
      <c r="BUX19" s="1221"/>
      <c r="BUY19" s="1221"/>
      <c r="BUZ19" s="1221"/>
      <c r="BVA19" s="1221"/>
      <c r="BVB19" s="1221"/>
      <c r="BVC19" s="1221"/>
      <c r="BVD19" s="1221"/>
      <c r="BVE19" s="1221"/>
      <c r="BVF19" s="1221"/>
      <c r="BVG19" s="1221"/>
      <c r="BVH19" s="1221"/>
      <c r="BVI19" s="1221"/>
      <c r="BVJ19" s="1221"/>
      <c r="BVK19" s="1221"/>
      <c r="BVL19" s="1221"/>
      <c r="BVM19" s="1221"/>
      <c r="BVN19" s="1221"/>
      <c r="BVO19" s="1221"/>
      <c r="BVP19" s="1221"/>
      <c r="BVQ19" s="1221"/>
      <c r="BVR19" s="1221"/>
      <c r="BVS19" s="1221"/>
      <c r="BVT19" s="1221"/>
      <c r="BVU19" s="1221"/>
      <c r="BVV19" s="1221"/>
      <c r="BVW19" s="1221"/>
      <c r="BVX19" s="1221"/>
      <c r="BVY19" s="1221"/>
      <c r="BVZ19" s="1221"/>
      <c r="BWA19" s="1221"/>
      <c r="BWB19" s="1221"/>
      <c r="BWC19" s="1221"/>
      <c r="BWD19" s="1221"/>
      <c r="BWE19" s="1221"/>
      <c r="BWF19" s="1221"/>
      <c r="BWG19" s="1221"/>
      <c r="BWH19" s="1221"/>
      <c r="BWI19" s="1221"/>
      <c r="BWJ19" s="1221"/>
      <c r="BWK19" s="1221"/>
      <c r="BWL19" s="1221"/>
      <c r="BWM19" s="1221"/>
      <c r="BWN19" s="1221"/>
      <c r="BWO19" s="1221"/>
      <c r="BWP19" s="1221"/>
      <c r="BWQ19" s="1221"/>
      <c r="BWR19" s="1221"/>
      <c r="BWS19" s="1221"/>
      <c r="BWT19" s="1221"/>
      <c r="BWU19" s="1221"/>
      <c r="BWV19" s="1221"/>
      <c r="BWW19" s="1221"/>
      <c r="BWX19" s="1221"/>
      <c r="BWY19" s="1221"/>
      <c r="BWZ19" s="1221"/>
      <c r="BXA19" s="1221"/>
      <c r="BXB19" s="1221"/>
      <c r="BXC19" s="1221"/>
      <c r="BXD19" s="1221"/>
      <c r="BXE19" s="1221"/>
      <c r="BXF19" s="1221"/>
      <c r="BXG19" s="1221"/>
      <c r="BXH19" s="1221"/>
      <c r="BXI19" s="1221"/>
      <c r="BXJ19" s="1221"/>
      <c r="BXK19" s="1221"/>
      <c r="BXL19" s="1221"/>
      <c r="BXM19" s="1221"/>
      <c r="BXN19" s="1221"/>
      <c r="BXO19" s="1221"/>
      <c r="BXP19" s="1221"/>
      <c r="BXQ19" s="1221"/>
      <c r="BXR19" s="1221"/>
      <c r="BXS19" s="1221"/>
      <c r="BXT19" s="1221"/>
      <c r="BXU19" s="1221"/>
      <c r="BXV19" s="1221"/>
      <c r="BXW19" s="1221"/>
      <c r="BXX19" s="1221"/>
      <c r="BXY19" s="1221"/>
      <c r="BXZ19" s="1221"/>
      <c r="BYA19" s="1221"/>
      <c r="BYB19" s="1221"/>
      <c r="BYC19" s="1221"/>
      <c r="BYD19" s="1221"/>
      <c r="BYE19" s="1221"/>
      <c r="BYF19" s="1221"/>
      <c r="BYG19" s="1221"/>
      <c r="BYH19" s="1221"/>
      <c r="BYI19" s="1221"/>
      <c r="BYJ19" s="1221"/>
      <c r="BYK19" s="1221"/>
      <c r="BYL19" s="1221"/>
      <c r="BYM19" s="1221"/>
      <c r="BYN19" s="1221"/>
      <c r="BYO19" s="1221"/>
      <c r="BYP19" s="1221"/>
      <c r="BYQ19" s="1221"/>
      <c r="BYR19" s="1221"/>
      <c r="BYS19" s="1221"/>
      <c r="BYT19" s="1221"/>
      <c r="BYU19" s="1221"/>
      <c r="BYV19" s="1221"/>
      <c r="BYW19" s="1221"/>
      <c r="BYX19" s="1221"/>
      <c r="BYY19" s="1221"/>
      <c r="BYZ19" s="1221"/>
      <c r="BZA19" s="1221"/>
      <c r="BZB19" s="1221"/>
      <c r="BZC19" s="1221"/>
      <c r="BZD19" s="1221"/>
      <c r="BZE19" s="1221"/>
      <c r="BZF19" s="1221"/>
      <c r="BZG19" s="1221"/>
      <c r="BZH19" s="1221"/>
      <c r="BZI19" s="1221"/>
      <c r="BZJ19" s="1221"/>
      <c r="BZK19" s="1221"/>
      <c r="BZL19" s="1221"/>
      <c r="BZM19" s="1221"/>
      <c r="BZN19" s="1221"/>
      <c r="BZO19" s="1221"/>
      <c r="BZP19" s="1221"/>
      <c r="BZQ19" s="1221"/>
      <c r="BZR19" s="1221"/>
      <c r="BZS19" s="1221"/>
      <c r="BZT19" s="1221"/>
      <c r="BZU19" s="1221"/>
      <c r="BZV19" s="1221"/>
      <c r="BZW19" s="1221"/>
      <c r="BZX19" s="1221"/>
      <c r="BZY19" s="1221"/>
      <c r="BZZ19" s="1221"/>
      <c r="CAA19" s="1221"/>
      <c r="CAB19" s="1221"/>
      <c r="CAC19" s="1221"/>
      <c r="CAD19" s="1221"/>
      <c r="CAE19" s="1221"/>
      <c r="CAF19" s="1221"/>
      <c r="CAG19" s="1221"/>
      <c r="CAH19" s="1221"/>
      <c r="CAI19" s="1221"/>
      <c r="CAJ19" s="1221"/>
      <c r="CAK19" s="1221"/>
      <c r="CAL19" s="1221"/>
      <c r="CAM19" s="1221"/>
      <c r="CAN19" s="1221"/>
      <c r="CAO19" s="1221"/>
      <c r="CAP19" s="1221"/>
      <c r="CAQ19" s="1221"/>
      <c r="CAR19" s="1221"/>
      <c r="CAS19" s="1221"/>
      <c r="CAT19" s="1221"/>
      <c r="CAU19" s="1221"/>
      <c r="CAV19" s="1221"/>
      <c r="CAW19" s="1221"/>
      <c r="CAX19" s="1221"/>
      <c r="CAY19" s="1221"/>
      <c r="CAZ19" s="1221"/>
      <c r="CBA19" s="1221"/>
      <c r="CBB19" s="1221"/>
      <c r="CBC19" s="1221"/>
      <c r="CBD19" s="1221"/>
      <c r="CBE19" s="1221"/>
      <c r="CBF19" s="1221"/>
      <c r="CBG19" s="1221"/>
      <c r="CBH19" s="1221"/>
      <c r="CBI19" s="1221"/>
      <c r="CBJ19" s="1221"/>
      <c r="CBK19" s="1221"/>
      <c r="CBL19" s="1221"/>
      <c r="CBM19" s="1221"/>
      <c r="CBN19" s="1221"/>
      <c r="CBO19" s="1221"/>
      <c r="CBP19" s="1221"/>
      <c r="CBQ19" s="1221"/>
      <c r="CBR19" s="1221"/>
      <c r="CBS19" s="1221"/>
      <c r="CBT19" s="1221"/>
      <c r="CBU19" s="1221"/>
      <c r="CBV19" s="1221"/>
      <c r="CBW19" s="1221"/>
      <c r="CBX19" s="1221"/>
      <c r="CBY19" s="1221"/>
      <c r="CBZ19" s="1221"/>
      <c r="CCA19" s="1221"/>
      <c r="CCB19" s="1221"/>
      <c r="CCC19" s="1221"/>
      <c r="CCD19" s="1221"/>
      <c r="CCE19" s="1221"/>
      <c r="CCF19" s="1221"/>
      <c r="CCG19" s="1221"/>
      <c r="CCH19" s="1221"/>
      <c r="CCI19" s="1221"/>
      <c r="CCJ19" s="1221"/>
      <c r="CCK19" s="1221"/>
      <c r="CCL19" s="1221"/>
      <c r="CCM19" s="1221"/>
      <c r="CCN19" s="1221"/>
      <c r="CCO19" s="1221"/>
      <c r="CCP19" s="1221"/>
      <c r="CCQ19" s="1221"/>
      <c r="CCR19" s="1221"/>
      <c r="CCS19" s="1221"/>
      <c r="CCT19" s="1221"/>
      <c r="CCU19" s="1221"/>
      <c r="CCV19" s="1221"/>
      <c r="CCW19" s="1221"/>
      <c r="CCX19" s="1221"/>
      <c r="CCY19" s="1221"/>
      <c r="CCZ19" s="1221"/>
      <c r="CDA19" s="1221"/>
      <c r="CDB19" s="1221"/>
      <c r="CDC19" s="1221"/>
      <c r="CDD19" s="1221"/>
      <c r="CDE19" s="1221"/>
      <c r="CDF19" s="1221"/>
      <c r="CDG19" s="1221"/>
      <c r="CDH19" s="1221"/>
      <c r="CDI19" s="1221"/>
      <c r="CDJ19" s="1221"/>
      <c r="CDK19" s="1221"/>
      <c r="CDL19" s="1221"/>
      <c r="CDM19" s="1221"/>
      <c r="CDN19" s="1221"/>
      <c r="CDO19" s="1221"/>
      <c r="CDP19" s="1221"/>
      <c r="CDQ19" s="1221"/>
      <c r="CDR19" s="1221"/>
      <c r="CDS19" s="1221"/>
      <c r="CDT19" s="1221"/>
      <c r="CDU19" s="1221"/>
      <c r="CDV19" s="1221"/>
      <c r="CDW19" s="1221"/>
      <c r="CDX19" s="1221"/>
      <c r="CDY19" s="1221"/>
      <c r="CDZ19" s="1221"/>
      <c r="CEA19" s="1221"/>
      <c r="CEB19" s="1221"/>
      <c r="CEC19" s="1221"/>
      <c r="CED19" s="1221"/>
      <c r="CEE19" s="1221"/>
      <c r="CEF19" s="1221"/>
      <c r="CEG19" s="1221"/>
      <c r="CEH19" s="1221"/>
      <c r="CEI19" s="1221"/>
      <c r="CEJ19" s="1221"/>
      <c r="CEK19" s="1221"/>
      <c r="CEL19" s="1221"/>
      <c r="CEM19" s="1221"/>
      <c r="CEN19" s="1221"/>
      <c r="CEO19" s="1221"/>
      <c r="CEP19" s="1221"/>
      <c r="CEQ19" s="1221"/>
      <c r="CER19" s="1221"/>
      <c r="CES19" s="1221"/>
      <c r="CET19" s="1221"/>
      <c r="CEU19" s="1221"/>
      <c r="CEV19" s="1221"/>
      <c r="CEW19" s="1221"/>
      <c r="CEX19" s="1221"/>
      <c r="CEY19" s="1221"/>
      <c r="CEZ19" s="1221"/>
      <c r="CFA19" s="1221"/>
      <c r="CFB19" s="1221"/>
      <c r="CFC19" s="1221"/>
      <c r="CFD19" s="1221"/>
      <c r="CFE19" s="1221"/>
      <c r="CFF19" s="1221"/>
      <c r="CFG19" s="1221"/>
      <c r="CFH19" s="1221"/>
      <c r="CFI19" s="1221"/>
      <c r="CFJ19" s="1221"/>
      <c r="CFK19" s="1221"/>
      <c r="CFL19" s="1221"/>
      <c r="CFM19" s="1221"/>
      <c r="CFN19" s="1221"/>
      <c r="CFO19" s="1221"/>
      <c r="CFP19" s="1221"/>
      <c r="CFQ19" s="1221"/>
      <c r="CFR19" s="1221"/>
      <c r="CFS19" s="1221"/>
      <c r="CFT19" s="1221"/>
      <c r="CFU19" s="1221"/>
      <c r="CFV19" s="1221"/>
      <c r="CFW19" s="1221"/>
      <c r="CFX19" s="1221"/>
      <c r="CFY19" s="1221"/>
      <c r="CFZ19" s="1221"/>
      <c r="CGA19" s="1221"/>
      <c r="CGB19" s="1221"/>
      <c r="CGC19" s="1221"/>
      <c r="CGD19" s="1221"/>
      <c r="CGE19" s="1221"/>
      <c r="CGF19" s="1221"/>
      <c r="CGG19" s="1221"/>
      <c r="CGH19" s="1221"/>
      <c r="CGI19" s="1221"/>
      <c r="CGJ19" s="1221"/>
      <c r="CGK19" s="1221"/>
      <c r="CGL19" s="1221"/>
      <c r="CGM19" s="1221"/>
      <c r="CGN19" s="1221"/>
      <c r="CGO19" s="1221"/>
      <c r="CGP19" s="1221"/>
      <c r="CGQ19" s="1221"/>
      <c r="CGR19" s="1221"/>
      <c r="CGS19" s="1221"/>
      <c r="CGT19" s="1221"/>
      <c r="CGU19" s="1221"/>
      <c r="CGV19" s="1221"/>
      <c r="CGW19" s="1221"/>
      <c r="CGX19" s="1221"/>
      <c r="CGY19" s="1221"/>
      <c r="CGZ19" s="1221"/>
      <c r="CHA19" s="1221"/>
      <c r="CHB19" s="1221"/>
      <c r="CHC19" s="1221"/>
      <c r="CHD19" s="1221"/>
      <c r="CHE19" s="1221"/>
      <c r="CHF19" s="1221"/>
      <c r="CHG19" s="1221"/>
      <c r="CHH19" s="1221"/>
      <c r="CHI19" s="1221"/>
      <c r="CHJ19" s="1221"/>
      <c r="CHK19" s="1221"/>
      <c r="CHL19" s="1221"/>
      <c r="CHM19" s="1221"/>
      <c r="CHN19" s="1221"/>
      <c r="CHO19" s="1221"/>
      <c r="CHP19" s="1221"/>
      <c r="CHQ19" s="1221"/>
      <c r="CHR19" s="1221"/>
      <c r="CHS19" s="1221"/>
      <c r="CHT19" s="1221"/>
      <c r="CHU19" s="1221"/>
      <c r="CHV19" s="1221"/>
      <c r="CHW19" s="1221"/>
      <c r="CHX19" s="1221"/>
      <c r="CHY19" s="1221"/>
      <c r="CHZ19" s="1221"/>
      <c r="CIA19" s="1221"/>
      <c r="CIB19" s="1221"/>
      <c r="CIC19" s="1221"/>
      <c r="CID19" s="1221"/>
      <c r="CIE19" s="1221"/>
      <c r="CIF19" s="1221"/>
      <c r="CIG19" s="1221"/>
      <c r="CIH19" s="1221"/>
      <c r="CII19" s="1221"/>
      <c r="CIJ19" s="1221"/>
      <c r="CIK19" s="1221"/>
      <c r="CIL19" s="1221"/>
      <c r="CIM19" s="1221"/>
      <c r="CIN19" s="1221"/>
      <c r="CIO19" s="1221"/>
      <c r="CIP19" s="1221"/>
      <c r="CIQ19" s="1221"/>
      <c r="CIR19" s="1221"/>
      <c r="CIS19" s="1221"/>
      <c r="CIT19" s="1221"/>
      <c r="CIU19" s="1221"/>
      <c r="CIV19" s="1221"/>
      <c r="CIW19" s="1221"/>
      <c r="CIX19" s="1221"/>
      <c r="CIY19" s="1221"/>
      <c r="CIZ19" s="1221"/>
      <c r="CJA19" s="1221"/>
      <c r="CJB19" s="1221"/>
      <c r="CJC19" s="1221"/>
      <c r="CJD19" s="1221"/>
      <c r="CJE19" s="1221"/>
      <c r="CJF19" s="1221"/>
      <c r="CJG19" s="1221"/>
      <c r="CJH19" s="1221"/>
      <c r="CJI19" s="1221"/>
      <c r="CJJ19" s="1221"/>
      <c r="CJK19" s="1221"/>
      <c r="CJL19" s="1221"/>
      <c r="CJM19" s="1221"/>
      <c r="CJN19" s="1221"/>
      <c r="CJO19" s="1221"/>
      <c r="CJP19" s="1221"/>
      <c r="CJQ19" s="1221"/>
      <c r="CJR19" s="1221"/>
      <c r="CJS19" s="1221"/>
      <c r="CJT19" s="1221"/>
      <c r="CJU19" s="1221"/>
      <c r="CJV19" s="1221"/>
      <c r="CJW19" s="1221"/>
      <c r="CJX19" s="1221"/>
      <c r="CJY19" s="1221"/>
      <c r="CJZ19" s="1221"/>
      <c r="CKA19" s="1221"/>
      <c r="CKB19" s="1221"/>
      <c r="CKC19" s="1221"/>
      <c r="CKD19" s="1221"/>
      <c r="CKE19" s="1221"/>
      <c r="CKF19" s="1221"/>
      <c r="CKG19" s="1221"/>
      <c r="CKH19" s="1221"/>
      <c r="CKI19" s="1221"/>
      <c r="CKJ19" s="1221"/>
      <c r="CKK19" s="1221"/>
      <c r="CKL19" s="1221"/>
      <c r="CKM19" s="1221"/>
      <c r="CKN19" s="1221"/>
      <c r="CKO19" s="1221"/>
      <c r="CKP19" s="1221"/>
      <c r="CKQ19" s="1221"/>
      <c r="CKR19" s="1221"/>
      <c r="CKS19" s="1221"/>
      <c r="CKT19" s="1221"/>
      <c r="CKU19" s="1221"/>
      <c r="CKV19" s="1221"/>
      <c r="CKW19" s="1221"/>
      <c r="CKX19" s="1221"/>
      <c r="CKY19" s="1221"/>
      <c r="CKZ19" s="1221"/>
      <c r="CLA19" s="1221"/>
      <c r="CLB19" s="1221"/>
      <c r="CLC19" s="1221"/>
      <c r="CLD19" s="1221"/>
      <c r="CLE19" s="1221"/>
      <c r="CLF19" s="1221"/>
      <c r="CLG19" s="1221"/>
      <c r="CLH19" s="1221"/>
      <c r="CLI19" s="1221"/>
      <c r="CLJ19" s="1221"/>
      <c r="CLK19" s="1221"/>
      <c r="CLL19" s="1221"/>
      <c r="CLM19" s="1221"/>
      <c r="CLN19" s="1221"/>
      <c r="CLO19" s="1221"/>
      <c r="CLP19" s="1221"/>
      <c r="CLQ19" s="1221"/>
      <c r="CLR19" s="1221"/>
      <c r="CLS19" s="1221"/>
      <c r="CLT19" s="1221"/>
      <c r="CLU19" s="1221"/>
      <c r="CLV19" s="1221"/>
      <c r="CLW19" s="1221"/>
      <c r="CLX19" s="1221"/>
      <c r="CLY19" s="1221"/>
      <c r="CLZ19" s="1221"/>
      <c r="CMA19" s="1221"/>
      <c r="CMB19" s="1221"/>
      <c r="CMC19" s="1221"/>
      <c r="CMD19" s="1221"/>
      <c r="CME19" s="1221"/>
      <c r="CMF19" s="1221"/>
      <c r="CMG19" s="1221"/>
      <c r="CMH19" s="1221"/>
      <c r="CMI19" s="1221"/>
      <c r="CMJ19" s="1221"/>
      <c r="CMK19" s="1221"/>
      <c r="CML19" s="1221"/>
      <c r="CMM19" s="1221"/>
      <c r="CMN19" s="1221"/>
      <c r="CMO19" s="1221"/>
      <c r="CMP19" s="1221"/>
      <c r="CMQ19" s="1221"/>
      <c r="CMR19" s="1221"/>
      <c r="CMS19" s="1221"/>
      <c r="CMT19" s="1221"/>
      <c r="CMU19" s="1221"/>
      <c r="CMV19" s="1221"/>
      <c r="CMW19" s="1221"/>
      <c r="CMX19" s="1221"/>
      <c r="CMY19" s="1221"/>
      <c r="CMZ19" s="1221"/>
      <c r="CNA19" s="1221"/>
      <c r="CNB19" s="1221"/>
      <c r="CNC19" s="1221"/>
      <c r="CND19" s="1221"/>
      <c r="CNE19" s="1221"/>
      <c r="CNF19" s="1221"/>
      <c r="CNG19" s="1221"/>
      <c r="CNH19" s="1221"/>
      <c r="CNI19" s="1221"/>
      <c r="CNJ19" s="1221"/>
      <c r="CNK19" s="1221"/>
      <c r="CNL19" s="1221"/>
      <c r="CNM19" s="1221"/>
      <c r="CNN19" s="1221"/>
      <c r="CNO19" s="1221"/>
      <c r="CNP19" s="1221"/>
      <c r="CNQ19" s="1221"/>
      <c r="CNR19" s="1221"/>
      <c r="CNS19" s="1221"/>
      <c r="CNT19" s="1221"/>
      <c r="CNU19" s="1221"/>
      <c r="CNV19" s="1221"/>
      <c r="CNW19" s="1221"/>
      <c r="CNX19" s="1221"/>
      <c r="CNY19" s="1221"/>
      <c r="CNZ19" s="1221"/>
      <c r="COA19" s="1221"/>
      <c r="COB19" s="1221"/>
      <c r="COC19" s="1221"/>
      <c r="COD19" s="1221"/>
      <c r="COE19" s="1221"/>
      <c r="COF19" s="1221"/>
      <c r="COG19" s="1221"/>
      <c r="COH19" s="1221"/>
      <c r="COI19" s="1221"/>
      <c r="COJ19" s="1221"/>
      <c r="COK19" s="1221"/>
      <c r="COL19" s="1221"/>
      <c r="COM19" s="1221"/>
      <c r="CON19" s="1221"/>
      <c r="COO19" s="1221"/>
      <c r="COP19" s="1221"/>
      <c r="COQ19" s="1221"/>
      <c r="COR19" s="1221"/>
      <c r="COS19" s="1221"/>
      <c r="COT19" s="1221"/>
      <c r="COU19" s="1221"/>
      <c r="COV19" s="1221"/>
      <c r="COW19" s="1221"/>
      <c r="COX19" s="1221"/>
      <c r="COY19" s="1221"/>
      <c r="COZ19" s="1221"/>
      <c r="CPA19" s="1221"/>
      <c r="CPB19" s="1221"/>
      <c r="CPC19" s="1221"/>
      <c r="CPD19" s="1221"/>
      <c r="CPE19" s="1221"/>
      <c r="CPF19" s="1221"/>
      <c r="CPG19" s="1221"/>
      <c r="CPH19" s="1221"/>
      <c r="CPI19" s="1221"/>
      <c r="CPJ19" s="1221"/>
      <c r="CPK19" s="1221"/>
      <c r="CPL19" s="1221"/>
      <c r="CPM19" s="1221"/>
      <c r="CPN19" s="1221"/>
      <c r="CPO19" s="1221"/>
      <c r="CPP19" s="1221"/>
      <c r="CPQ19" s="1221"/>
      <c r="CPR19" s="1221"/>
      <c r="CPS19" s="1221"/>
      <c r="CPT19" s="1221"/>
      <c r="CPU19" s="1221"/>
      <c r="CPV19" s="1221"/>
      <c r="CPW19" s="1221"/>
      <c r="CPX19" s="1221"/>
      <c r="CPY19" s="1221"/>
      <c r="CPZ19" s="1221"/>
      <c r="CQA19" s="1221"/>
      <c r="CQB19" s="1221"/>
      <c r="CQC19" s="1221"/>
      <c r="CQD19" s="1221"/>
      <c r="CQE19" s="1221"/>
      <c r="CQF19" s="1221"/>
      <c r="CQG19" s="1221"/>
      <c r="CQH19" s="1221"/>
      <c r="CQI19" s="1221"/>
      <c r="CQJ19" s="1221"/>
      <c r="CQK19" s="1221"/>
      <c r="CQL19" s="1221"/>
      <c r="CQM19" s="1221"/>
      <c r="CQN19" s="1221"/>
      <c r="CQO19" s="1221"/>
      <c r="CQP19" s="1221"/>
      <c r="CQQ19" s="1221"/>
      <c r="CQR19" s="1221"/>
      <c r="CQS19" s="1221"/>
      <c r="CQT19" s="1221"/>
      <c r="CQU19" s="1221"/>
      <c r="CQV19" s="1221"/>
      <c r="CQW19" s="1221"/>
      <c r="CQX19" s="1221"/>
      <c r="CQY19" s="1221"/>
      <c r="CQZ19" s="1221"/>
      <c r="CRA19" s="1221"/>
      <c r="CRB19" s="1221"/>
      <c r="CRC19" s="1221"/>
      <c r="CRD19" s="1221"/>
      <c r="CRE19" s="1221"/>
      <c r="CRF19" s="1221"/>
      <c r="CRG19" s="1221"/>
      <c r="CRH19" s="1221"/>
      <c r="CRI19" s="1221"/>
      <c r="CRJ19" s="1221"/>
      <c r="CRK19" s="1221"/>
      <c r="CRL19" s="1221"/>
      <c r="CRM19" s="1221"/>
      <c r="CRN19" s="1221"/>
      <c r="CRO19" s="1221"/>
      <c r="CRP19" s="1221"/>
      <c r="CRQ19" s="1221"/>
      <c r="CRR19" s="1221"/>
      <c r="CRS19" s="1221"/>
      <c r="CRT19" s="1221"/>
      <c r="CRU19" s="1221"/>
      <c r="CRV19" s="1221"/>
      <c r="CRW19" s="1221"/>
      <c r="CRX19" s="1221"/>
      <c r="CRY19" s="1221"/>
      <c r="CRZ19" s="1221"/>
      <c r="CSA19" s="1221"/>
      <c r="CSB19" s="1221"/>
      <c r="CSC19" s="1221"/>
      <c r="CSD19" s="1221"/>
      <c r="CSE19" s="1221"/>
      <c r="CSF19" s="1221"/>
      <c r="CSG19" s="1221"/>
      <c r="CSH19" s="1221"/>
      <c r="CSI19" s="1221"/>
      <c r="CSJ19" s="1221"/>
      <c r="CSK19" s="1221"/>
      <c r="CSL19" s="1221"/>
      <c r="CSM19" s="1221"/>
      <c r="CSN19" s="1221"/>
      <c r="CSO19" s="1221"/>
      <c r="CSP19" s="1221"/>
      <c r="CSQ19" s="1221"/>
      <c r="CSR19" s="1221"/>
      <c r="CSS19" s="1221"/>
      <c r="CST19" s="1221"/>
      <c r="CSU19" s="1221"/>
      <c r="CSV19" s="1221"/>
      <c r="CSW19" s="1221"/>
      <c r="CSX19" s="1221"/>
      <c r="CSY19" s="1221"/>
      <c r="CSZ19" s="1221"/>
      <c r="CTA19" s="1221"/>
      <c r="CTB19" s="1221"/>
      <c r="CTC19" s="1221"/>
      <c r="CTD19" s="1221"/>
      <c r="CTE19" s="1221"/>
      <c r="CTF19" s="1221"/>
      <c r="CTG19" s="1221"/>
      <c r="CTH19" s="1221"/>
      <c r="CTI19" s="1221"/>
      <c r="CTJ19" s="1221"/>
      <c r="CTK19" s="1221"/>
      <c r="CTL19" s="1221"/>
      <c r="CTM19" s="1221"/>
      <c r="CTN19" s="1221"/>
      <c r="CTO19" s="1221"/>
      <c r="CTP19" s="1221"/>
      <c r="CTQ19" s="1221"/>
      <c r="CTR19" s="1221"/>
      <c r="CTS19" s="1221"/>
      <c r="CTT19" s="1221"/>
      <c r="CTU19" s="1221"/>
      <c r="CTV19" s="1221"/>
      <c r="CTW19" s="1221"/>
      <c r="CTX19" s="1221"/>
      <c r="CTY19" s="1221"/>
      <c r="CTZ19" s="1221"/>
      <c r="CUA19" s="1221"/>
      <c r="CUB19" s="1221"/>
      <c r="CUC19" s="1221"/>
      <c r="CUD19" s="1221"/>
      <c r="CUE19" s="1221"/>
      <c r="CUF19" s="1221"/>
      <c r="CUG19" s="1221"/>
      <c r="CUH19" s="1221"/>
      <c r="CUI19" s="1221"/>
      <c r="CUJ19" s="1221"/>
      <c r="CUK19" s="1221"/>
      <c r="CUL19" s="1221"/>
      <c r="CUM19" s="1221"/>
      <c r="CUN19" s="1221"/>
      <c r="CUO19" s="1221"/>
      <c r="CUP19" s="1221"/>
      <c r="CUQ19" s="1221"/>
      <c r="CUR19" s="1221"/>
      <c r="CUS19" s="1221"/>
      <c r="CUT19" s="1221"/>
      <c r="CUU19" s="1221"/>
      <c r="CUV19" s="1221"/>
      <c r="CUW19" s="1221"/>
      <c r="CUX19" s="1221"/>
      <c r="CUY19" s="1221"/>
      <c r="CUZ19" s="1221"/>
      <c r="CVA19" s="1221"/>
      <c r="CVB19" s="1221"/>
      <c r="CVC19" s="1221"/>
      <c r="CVD19" s="1221"/>
      <c r="CVE19" s="1221"/>
      <c r="CVF19" s="1221"/>
      <c r="CVG19" s="1221"/>
      <c r="CVH19" s="1221"/>
      <c r="CVI19" s="1221"/>
      <c r="CVJ19" s="1221"/>
      <c r="CVK19" s="1221"/>
      <c r="CVL19" s="1221"/>
      <c r="CVM19" s="1221"/>
      <c r="CVN19" s="1221"/>
      <c r="CVO19" s="1221"/>
      <c r="CVP19" s="1221"/>
      <c r="CVQ19" s="1221"/>
      <c r="CVR19" s="1221"/>
      <c r="CVS19" s="1221"/>
      <c r="CVT19" s="1221"/>
      <c r="CVU19" s="1221"/>
      <c r="CVV19" s="1221"/>
      <c r="CVW19" s="1221"/>
      <c r="CVX19" s="1221"/>
      <c r="CVY19" s="1221"/>
      <c r="CVZ19" s="1221"/>
      <c r="CWA19" s="1221"/>
      <c r="CWB19" s="1221"/>
      <c r="CWC19" s="1221"/>
      <c r="CWD19" s="1221"/>
      <c r="CWE19" s="1221"/>
      <c r="CWF19" s="1221"/>
      <c r="CWG19" s="1221"/>
      <c r="CWH19" s="1221"/>
      <c r="CWI19" s="1221"/>
      <c r="CWJ19" s="1221"/>
      <c r="CWK19" s="1221"/>
      <c r="CWL19" s="1221"/>
      <c r="CWM19" s="1221"/>
      <c r="CWN19" s="1221"/>
      <c r="CWO19" s="1221"/>
      <c r="CWP19" s="1221"/>
      <c r="CWQ19" s="1221"/>
      <c r="CWR19" s="1221"/>
      <c r="CWS19" s="1221"/>
      <c r="CWT19" s="1221"/>
      <c r="CWU19" s="1221"/>
      <c r="CWV19" s="1221"/>
      <c r="CWW19" s="1221"/>
      <c r="CWX19" s="1221"/>
      <c r="CWY19" s="1221"/>
      <c r="CWZ19" s="1221"/>
      <c r="CXA19" s="1221"/>
      <c r="CXB19" s="1221"/>
      <c r="CXC19" s="1221"/>
      <c r="CXD19" s="1221"/>
      <c r="CXE19" s="1221"/>
      <c r="CXF19" s="1221"/>
      <c r="CXG19" s="1221"/>
      <c r="CXH19" s="1221"/>
      <c r="CXI19" s="1221"/>
      <c r="CXJ19" s="1221"/>
      <c r="CXK19" s="1221"/>
      <c r="CXL19" s="1221"/>
      <c r="CXM19" s="1221"/>
      <c r="CXN19" s="1221"/>
      <c r="CXO19" s="1221"/>
      <c r="CXP19" s="1221"/>
      <c r="CXQ19" s="1221"/>
      <c r="CXR19" s="1221"/>
      <c r="CXS19" s="1221"/>
      <c r="CXT19" s="1221"/>
      <c r="CXU19" s="1221"/>
      <c r="CXV19" s="1221"/>
      <c r="CXW19" s="1221"/>
      <c r="CXX19" s="1221"/>
      <c r="CXY19" s="1221"/>
      <c r="CXZ19" s="1221"/>
      <c r="CYA19" s="1221"/>
      <c r="CYB19" s="1221"/>
      <c r="CYC19" s="1221"/>
      <c r="CYD19" s="1221"/>
      <c r="CYE19" s="1221"/>
      <c r="CYF19" s="1221"/>
      <c r="CYG19" s="1221"/>
      <c r="CYH19" s="1221"/>
      <c r="CYI19" s="1221"/>
      <c r="CYJ19" s="1221"/>
      <c r="CYK19" s="1221"/>
      <c r="CYL19" s="1221"/>
      <c r="CYM19" s="1221"/>
      <c r="CYN19" s="1221"/>
      <c r="CYO19" s="1221"/>
      <c r="CYP19" s="1221"/>
      <c r="CYQ19" s="1221"/>
      <c r="CYR19" s="1221"/>
      <c r="CYS19" s="1221"/>
      <c r="CYT19" s="1221"/>
      <c r="CYU19" s="1221"/>
      <c r="CYV19" s="1221"/>
      <c r="CYW19" s="1221"/>
      <c r="CYX19" s="1221"/>
      <c r="CYY19" s="1221"/>
      <c r="CYZ19" s="1221"/>
      <c r="CZA19" s="1221"/>
      <c r="CZB19" s="1221"/>
      <c r="CZC19" s="1221"/>
      <c r="CZD19" s="1221"/>
      <c r="CZE19" s="1221"/>
      <c r="CZF19" s="1221"/>
      <c r="CZG19" s="1221"/>
      <c r="CZH19" s="1221"/>
      <c r="CZI19" s="1221"/>
      <c r="CZJ19" s="1221"/>
      <c r="CZK19" s="1221"/>
      <c r="CZL19" s="1221"/>
      <c r="CZM19" s="1221"/>
      <c r="CZN19" s="1221"/>
      <c r="CZO19" s="1221"/>
      <c r="CZP19" s="1221"/>
      <c r="CZQ19" s="1221"/>
      <c r="CZR19" s="1221"/>
      <c r="CZS19" s="1221"/>
      <c r="CZT19" s="1221"/>
      <c r="CZU19" s="1221"/>
      <c r="CZV19" s="1221"/>
      <c r="CZW19" s="1221"/>
      <c r="CZX19" s="1221"/>
      <c r="CZY19" s="1221"/>
      <c r="CZZ19" s="1221"/>
      <c r="DAA19" s="1221"/>
      <c r="DAB19" s="1221"/>
      <c r="DAC19" s="1221"/>
      <c r="DAD19" s="1221"/>
      <c r="DAE19" s="1221"/>
      <c r="DAF19" s="1221"/>
      <c r="DAG19" s="1221"/>
      <c r="DAH19" s="1221"/>
      <c r="DAI19" s="1221"/>
      <c r="DAJ19" s="1221"/>
      <c r="DAK19" s="1221"/>
      <c r="DAL19" s="1221"/>
      <c r="DAM19" s="1221"/>
      <c r="DAN19" s="1221"/>
      <c r="DAO19" s="1221"/>
      <c r="DAP19" s="1221"/>
      <c r="DAQ19" s="1221"/>
      <c r="DAR19" s="1221"/>
      <c r="DAS19" s="1221"/>
      <c r="DAT19" s="1221"/>
      <c r="DAU19" s="1221"/>
      <c r="DAV19" s="1221"/>
      <c r="DAW19" s="1221"/>
      <c r="DAX19" s="1221"/>
      <c r="DAY19" s="1221"/>
      <c r="DAZ19" s="1221"/>
      <c r="DBA19" s="1221"/>
      <c r="DBB19" s="1221"/>
      <c r="DBC19" s="1221"/>
      <c r="DBD19" s="1221"/>
      <c r="DBE19" s="1221"/>
      <c r="DBF19" s="1221"/>
      <c r="DBG19" s="1221"/>
      <c r="DBH19" s="1221"/>
      <c r="DBI19" s="1221"/>
      <c r="DBJ19" s="1221"/>
      <c r="DBK19" s="1221"/>
      <c r="DBL19" s="1221"/>
      <c r="DBM19" s="1221"/>
      <c r="DBN19" s="1221"/>
      <c r="DBO19" s="1221"/>
      <c r="DBP19" s="1221"/>
      <c r="DBQ19" s="1221"/>
      <c r="DBR19" s="1221"/>
      <c r="DBS19" s="1221"/>
      <c r="DBT19" s="1221"/>
      <c r="DBU19" s="1221"/>
      <c r="DBV19" s="1221"/>
      <c r="DBW19" s="1221"/>
      <c r="DBX19" s="1221"/>
      <c r="DBY19" s="1221"/>
      <c r="DBZ19" s="1221"/>
      <c r="DCA19" s="1221"/>
      <c r="DCB19" s="1221"/>
      <c r="DCC19" s="1221"/>
      <c r="DCD19" s="1221"/>
      <c r="DCE19" s="1221"/>
      <c r="DCF19" s="1221"/>
      <c r="DCG19" s="1221"/>
      <c r="DCH19" s="1221"/>
      <c r="DCI19" s="1221"/>
      <c r="DCJ19" s="1221"/>
      <c r="DCK19" s="1221"/>
      <c r="DCL19" s="1221"/>
      <c r="DCM19" s="1221"/>
      <c r="DCN19" s="1221"/>
      <c r="DCO19" s="1221"/>
      <c r="DCP19" s="1221"/>
      <c r="DCQ19" s="1221"/>
      <c r="DCR19" s="1221"/>
      <c r="DCS19" s="1221"/>
      <c r="DCT19" s="1221"/>
      <c r="DCU19" s="1221"/>
      <c r="DCV19" s="1221"/>
      <c r="DCW19" s="1221"/>
      <c r="DCX19" s="1221"/>
      <c r="DCY19" s="1221"/>
      <c r="DCZ19" s="1221"/>
      <c r="DDA19" s="1221"/>
      <c r="DDB19" s="1221"/>
      <c r="DDC19" s="1221"/>
      <c r="DDD19" s="1221"/>
      <c r="DDE19" s="1221"/>
      <c r="DDF19" s="1221"/>
      <c r="DDG19" s="1221"/>
      <c r="DDH19" s="1221"/>
      <c r="DDI19" s="1221"/>
      <c r="DDJ19" s="1221"/>
      <c r="DDK19" s="1221"/>
      <c r="DDL19" s="1221"/>
      <c r="DDM19" s="1221"/>
      <c r="DDN19" s="1221"/>
      <c r="DDO19" s="1221"/>
      <c r="DDP19" s="1221"/>
      <c r="DDQ19" s="1221"/>
      <c r="DDR19" s="1221"/>
      <c r="DDS19" s="1221"/>
      <c r="DDT19" s="1221"/>
      <c r="DDU19" s="1221"/>
      <c r="DDV19" s="1221"/>
      <c r="DDW19" s="1221"/>
      <c r="DDX19" s="1221"/>
      <c r="DDY19" s="1221"/>
      <c r="DDZ19" s="1221"/>
      <c r="DEA19" s="1221"/>
      <c r="DEB19" s="1221"/>
      <c r="DEC19" s="1221"/>
      <c r="DED19" s="1221"/>
      <c r="DEE19" s="1221"/>
      <c r="DEF19" s="1221"/>
      <c r="DEG19" s="1221"/>
      <c r="DEH19" s="1221"/>
      <c r="DEI19" s="1221"/>
      <c r="DEJ19" s="1221"/>
      <c r="DEK19" s="1221"/>
      <c r="DEL19" s="1221"/>
      <c r="DEM19" s="1221"/>
      <c r="DEN19" s="1221"/>
      <c r="DEO19" s="1221"/>
      <c r="DEP19" s="1221"/>
      <c r="DEQ19" s="1221"/>
      <c r="DER19" s="1221"/>
      <c r="DES19" s="1221"/>
      <c r="DET19" s="1221"/>
      <c r="DEU19" s="1221"/>
      <c r="DEV19" s="1221"/>
      <c r="DEW19" s="1221"/>
      <c r="DEX19" s="1221"/>
      <c r="DEY19" s="1221"/>
      <c r="DEZ19" s="1221"/>
      <c r="DFA19" s="1221"/>
      <c r="DFB19" s="1221"/>
      <c r="DFC19" s="1221"/>
      <c r="DFD19" s="1221"/>
      <c r="DFE19" s="1221"/>
      <c r="DFF19" s="1221"/>
      <c r="DFG19" s="1221"/>
      <c r="DFH19" s="1221"/>
      <c r="DFI19" s="1221"/>
      <c r="DFJ19" s="1221"/>
      <c r="DFK19" s="1221"/>
      <c r="DFL19" s="1221"/>
      <c r="DFM19" s="1221"/>
      <c r="DFN19" s="1221"/>
      <c r="DFO19" s="1221"/>
      <c r="DFP19" s="1221"/>
      <c r="DFQ19" s="1221"/>
      <c r="DFR19" s="1221"/>
      <c r="DFS19" s="1221"/>
      <c r="DFT19" s="1221"/>
      <c r="DFU19" s="1221"/>
      <c r="DFV19" s="1221"/>
      <c r="DFW19" s="1221"/>
      <c r="DFX19" s="1221"/>
      <c r="DFY19" s="1221"/>
      <c r="DFZ19" s="1221"/>
      <c r="DGA19" s="1221"/>
      <c r="DGB19" s="1221"/>
      <c r="DGC19" s="1221"/>
      <c r="DGD19" s="1221"/>
      <c r="DGE19" s="1221"/>
      <c r="DGF19" s="1221"/>
      <c r="DGG19" s="1221"/>
      <c r="DGH19" s="1221"/>
      <c r="DGI19" s="1221"/>
      <c r="DGJ19" s="1221"/>
      <c r="DGK19" s="1221"/>
      <c r="DGL19" s="1221"/>
      <c r="DGM19" s="1221"/>
      <c r="DGN19" s="1221"/>
      <c r="DGO19" s="1221"/>
      <c r="DGP19" s="1221"/>
      <c r="DGQ19" s="1221"/>
      <c r="DGR19" s="1221"/>
      <c r="DGS19" s="1221"/>
      <c r="DGT19" s="1221"/>
      <c r="DGU19" s="1221"/>
      <c r="DGV19" s="1221"/>
      <c r="DGW19" s="1221"/>
      <c r="DGX19" s="1221"/>
      <c r="DGY19" s="1221"/>
      <c r="DGZ19" s="1221"/>
      <c r="DHA19" s="1221"/>
      <c r="DHB19" s="1221"/>
      <c r="DHC19" s="1221"/>
      <c r="DHD19" s="1221"/>
      <c r="DHE19" s="1221"/>
      <c r="DHF19" s="1221"/>
      <c r="DHG19" s="1221"/>
      <c r="DHH19" s="1221"/>
      <c r="DHI19" s="1221"/>
      <c r="DHJ19" s="1221"/>
      <c r="DHK19" s="1221"/>
      <c r="DHL19" s="1221"/>
      <c r="DHM19" s="1221"/>
      <c r="DHN19" s="1221"/>
      <c r="DHO19" s="1221"/>
      <c r="DHP19" s="1221"/>
      <c r="DHQ19" s="1221"/>
      <c r="DHR19" s="1221"/>
      <c r="DHS19" s="1221"/>
      <c r="DHT19" s="1221"/>
      <c r="DHU19" s="1221"/>
      <c r="DHV19" s="1221"/>
      <c r="DHW19" s="1221"/>
      <c r="DHX19" s="1221"/>
      <c r="DHY19" s="1221"/>
      <c r="DHZ19" s="1221"/>
      <c r="DIA19" s="1221"/>
      <c r="DIB19" s="1221"/>
      <c r="DIC19" s="1221"/>
      <c r="DID19" s="1221"/>
      <c r="DIE19" s="1221"/>
      <c r="DIF19" s="1221"/>
      <c r="DIG19" s="1221"/>
      <c r="DIH19" s="1221"/>
      <c r="DII19" s="1221"/>
      <c r="DIJ19" s="1221"/>
      <c r="DIK19" s="1221"/>
      <c r="DIL19" s="1221"/>
      <c r="DIM19" s="1221"/>
      <c r="DIN19" s="1221"/>
      <c r="DIO19" s="1221"/>
      <c r="DIP19" s="1221"/>
      <c r="DIQ19" s="1221"/>
      <c r="DIR19" s="1221"/>
      <c r="DIS19" s="1221"/>
      <c r="DIT19" s="1221"/>
      <c r="DIU19" s="1221"/>
      <c r="DIV19" s="1221"/>
      <c r="DIW19" s="1221"/>
      <c r="DIX19" s="1221"/>
      <c r="DIY19" s="1221"/>
      <c r="DIZ19" s="1221"/>
      <c r="DJA19" s="1221"/>
      <c r="DJB19" s="1221"/>
      <c r="DJC19" s="1221"/>
      <c r="DJD19" s="1221"/>
      <c r="DJE19" s="1221"/>
      <c r="DJF19" s="1221"/>
      <c r="DJG19" s="1221"/>
      <c r="DJH19" s="1221"/>
      <c r="DJI19" s="1221"/>
      <c r="DJJ19" s="1221"/>
      <c r="DJK19" s="1221"/>
      <c r="DJL19" s="1221"/>
      <c r="DJM19" s="1221"/>
      <c r="DJN19" s="1221"/>
      <c r="DJO19" s="1221"/>
      <c r="DJP19" s="1221"/>
      <c r="DJQ19" s="1221"/>
      <c r="DJR19" s="1221"/>
      <c r="DJS19" s="1221"/>
      <c r="DJT19" s="1221"/>
      <c r="DJU19" s="1221"/>
      <c r="DJV19" s="1221"/>
      <c r="DJW19" s="1221"/>
      <c r="DJX19" s="1221"/>
      <c r="DJY19" s="1221"/>
      <c r="DJZ19" s="1221"/>
      <c r="DKA19" s="1221"/>
      <c r="DKB19" s="1221"/>
      <c r="DKC19" s="1221"/>
      <c r="DKD19" s="1221"/>
      <c r="DKE19" s="1221"/>
      <c r="DKF19" s="1221"/>
      <c r="DKG19" s="1221"/>
      <c r="DKH19" s="1221"/>
      <c r="DKI19" s="1221"/>
      <c r="DKJ19" s="1221"/>
      <c r="DKK19" s="1221"/>
      <c r="DKL19" s="1221"/>
      <c r="DKM19" s="1221"/>
      <c r="DKN19" s="1221"/>
      <c r="DKO19" s="1221"/>
      <c r="DKP19" s="1221"/>
      <c r="DKQ19" s="1221"/>
      <c r="DKR19" s="1221"/>
      <c r="DKS19" s="1221"/>
      <c r="DKT19" s="1221"/>
      <c r="DKU19" s="1221"/>
      <c r="DKV19" s="1221"/>
      <c r="DKW19" s="1221"/>
      <c r="DKX19" s="1221"/>
      <c r="DKY19" s="1221"/>
      <c r="DKZ19" s="1221"/>
      <c r="DLA19" s="1221"/>
      <c r="DLB19" s="1221"/>
      <c r="DLC19" s="1221"/>
      <c r="DLD19" s="1221"/>
      <c r="DLE19" s="1221"/>
      <c r="DLF19" s="1221"/>
      <c r="DLG19" s="1221"/>
      <c r="DLH19" s="1221"/>
      <c r="DLI19" s="1221"/>
      <c r="DLJ19" s="1221"/>
      <c r="DLK19" s="1221"/>
      <c r="DLL19" s="1221"/>
      <c r="DLM19" s="1221"/>
      <c r="DLN19" s="1221"/>
      <c r="DLO19" s="1221"/>
      <c r="DLP19" s="1221"/>
      <c r="DLQ19" s="1221"/>
      <c r="DLR19" s="1221"/>
      <c r="DLS19" s="1221"/>
      <c r="DLT19" s="1221"/>
      <c r="DLU19" s="1221"/>
      <c r="DLV19" s="1221"/>
      <c r="DLW19" s="1221"/>
      <c r="DLX19" s="1221"/>
      <c r="DLY19" s="1221"/>
      <c r="DLZ19" s="1221"/>
      <c r="DMA19" s="1221"/>
      <c r="DMB19" s="1221"/>
      <c r="DMC19" s="1221"/>
      <c r="DMD19" s="1221"/>
      <c r="DME19" s="1221"/>
      <c r="DMF19" s="1221"/>
      <c r="DMG19" s="1221"/>
      <c r="DMH19" s="1221"/>
      <c r="DMI19" s="1221"/>
      <c r="DMJ19" s="1221"/>
      <c r="DMK19" s="1221"/>
      <c r="DML19" s="1221"/>
      <c r="DMM19" s="1221"/>
      <c r="DMN19" s="1221"/>
      <c r="DMO19" s="1221"/>
      <c r="DMP19" s="1221"/>
      <c r="DMQ19" s="1221"/>
      <c r="DMR19" s="1221"/>
      <c r="DMS19" s="1221"/>
      <c r="DMT19" s="1221"/>
      <c r="DMU19" s="1221"/>
      <c r="DMV19" s="1221"/>
      <c r="DMW19" s="1221"/>
      <c r="DMX19" s="1221"/>
      <c r="DMY19" s="1221"/>
      <c r="DMZ19" s="1221"/>
      <c r="DNA19" s="1221"/>
      <c r="DNB19" s="1221"/>
      <c r="DNC19" s="1221"/>
      <c r="DND19" s="1221"/>
      <c r="DNE19" s="1221"/>
      <c r="DNF19" s="1221"/>
      <c r="DNG19" s="1221"/>
      <c r="DNH19" s="1221"/>
      <c r="DNI19" s="1221"/>
      <c r="DNJ19" s="1221"/>
      <c r="DNK19" s="1221"/>
      <c r="DNL19" s="1221"/>
      <c r="DNM19" s="1221"/>
      <c r="DNN19" s="1221"/>
      <c r="DNO19" s="1221"/>
      <c r="DNP19" s="1221"/>
      <c r="DNQ19" s="1221"/>
      <c r="DNR19" s="1221"/>
      <c r="DNS19" s="1221"/>
      <c r="DNT19" s="1221"/>
      <c r="DNU19" s="1221"/>
      <c r="DNV19" s="1221"/>
      <c r="DNW19" s="1221"/>
      <c r="DNX19" s="1221"/>
      <c r="DNY19" s="1221"/>
      <c r="DNZ19" s="1221"/>
      <c r="DOA19" s="1221"/>
      <c r="DOB19" s="1221"/>
      <c r="DOC19" s="1221"/>
      <c r="DOD19" s="1221"/>
      <c r="DOE19" s="1221"/>
      <c r="DOF19" s="1221"/>
      <c r="DOG19" s="1221"/>
      <c r="DOH19" s="1221"/>
      <c r="DOI19" s="1221"/>
      <c r="DOJ19" s="1221"/>
      <c r="DOK19" s="1221"/>
      <c r="DOL19" s="1221"/>
      <c r="DOM19" s="1221"/>
      <c r="DON19" s="1221"/>
      <c r="DOO19" s="1221"/>
      <c r="DOP19" s="1221"/>
      <c r="DOQ19" s="1221"/>
      <c r="DOR19" s="1221"/>
      <c r="DOS19" s="1221"/>
      <c r="DOT19" s="1221"/>
      <c r="DOU19" s="1221"/>
      <c r="DOV19" s="1221"/>
      <c r="DOW19" s="1221"/>
      <c r="DOX19" s="1221"/>
      <c r="DOY19" s="1221"/>
      <c r="DOZ19" s="1221"/>
      <c r="DPA19" s="1221"/>
      <c r="DPB19" s="1221"/>
      <c r="DPC19" s="1221"/>
      <c r="DPD19" s="1221"/>
      <c r="DPE19" s="1221"/>
      <c r="DPF19" s="1221"/>
      <c r="DPG19" s="1221"/>
      <c r="DPH19" s="1221"/>
      <c r="DPI19" s="1221"/>
      <c r="DPJ19" s="1221"/>
      <c r="DPK19" s="1221"/>
      <c r="DPL19" s="1221"/>
      <c r="DPM19" s="1221"/>
      <c r="DPN19" s="1221"/>
      <c r="DPO19" s="1221"/>
      <c r="DPP19" s="1221"/>
      <c r="DPQ19" s="1221"/>
      <c r="DPR19" s="1221"/>
      <c r="DPS19" s="1221"/>
      <c r="DPT19" s="1221"/>
      <c r="DPU19" s="1221"/>
      <c r="DPV19" s="1221"/>
      <c r="DPW19" s="1221"/>
      <c r="DPX19" s="1221"/>
      <c r="DPY19" s="1221"/>
      <c r="DPZ19" s="1221"/>
      <c r="DQA19" s="1221"/>
      <c r="DQB19" s="1221"/>
      <c r="DQC19" s="1221"/>
      <c r="DQD19" s="1221"/>
      <c r="DQE19" s="1221"/>
      <c r="DQF19" s="1221"/>
      <c r="DQG19" s="1221"/>
      <c r="DQH19" s="1221"/>
      <c r="DQI19" s="1221"/>
      <c r="DQJ19" s="1221"/>
      <c r="DQK19" s="1221"/>
      <c r="DQL19" s="1221"/>
      <c r="DQM19" s="1221"/>
      <c r="DQN19" s="1221"/>
      <c r="DQO19" s="1221"/>
      <c r="DQP19" s="1221"/>
      <c r="DQQ19" s="1221"/>
      <c r="DQR19" s="1221"/>
      <c r="DQS19" s="1221"/>
      <c r="DQT19" s="1221"/>
      <c r="DQU19" s="1221"/>
      <c r="DQV19" s="1221"/>
      <c r="DQW19" s="1221"/>
      <c r="DQX19" s="1221"/>
      <c r="DQY19" s="1221"/>
      <c r="DQZ19" s="1221"/>
      <c r="DRA19" s="1221"/>
      <c r="DRB19" s="1221"/>
      <c r="DRC19" s="1221"/>
      <c r="DRD19" s="1221"/>
      <c r="DRE19" s="1221"/>
      <c r="DRF19" s="1221"/>
      <c r="DRG19" s="1221"/>
      <c r="DRH19" s="1221"/>
      <c r="DRI19" s="1221"/>
      <c r="DRJ19" s="1221"/>
      <c r="DRK19" s="1221"/>
      <c r="DRL19" s="1221"/>
      <c r="DRM19" s="1221"/>
      <c r="DRN19" s="1221"/>
      <c r="DRO19" s="1221"/>
      <c r="DRP19" s="1221"/>
      <c r="DRQ19" s="1221"/>
      <c r="DRR19" s="1221"/>
      <c r="DRS19" s="1221"/>
      <c r="DRT19" s="1221"/>
      <c r="DRU19" s="1221"/>
      <c r="DRV19" s="1221"/>
      <c r="DRW19" s="1221"/>
      <c r="DRX19" s="1221"/>
      <c r="DRY19" s="1221"/>
      <c r="DRZ19" s="1221"/>
      <c r="DSA19" s="1221"/>
      <c r="DSB19" s="1221"/>
      <c r="DSC19" s="1221"/>
      <c r="DSD19" s="1221"/>
      <c r="DSE19" s="1221"/>
      <c r="DSF19" s="1221"/>
      <c r="DSG19" s="1221"/>
      <c r="DSH19" s="1221"/>
      <c r="DSI19" s="1221"/>
      <c r="DSJ19" s="1221"/>
      <c r="DSK19" s="1221"/>
      <c r="DSL19" s="1221"/>
      <c r="DSM19" s="1221"/>
      <c r="DSN19" s="1221"/>
      <c r="DSO19" s="1221"/>
      <c r="DSP19" s="1221"/>
      <c r="DSQ19" s="1221"/>
      <c r="DSR19" s="1221"/>
      <c r="DSS19" s="1221"/>
      <c r="DST19" s="1221"/>
      <c r="DSU19" s="1221"/>
      <c r="DSV19" s="1221"/>
      <c r="DSW19" s="1221"/>
      <c r="DSX19" s="1221"/>
      <c r="DSY19" s="1221"/>
      <c r="DSZ19" s="1221"/>
      <c r="DTA19" s="1221"/>
      <c r="DTB19" s="1221"/>
      <c r="DTC19" s="1221"/>
      <c r="DTD19" s="1221"/>
      <c r="DTE19" s="1221"/>
      <c r="DTF19" s="1221"/>
      <c r="DTG19" s="1221"/>
      <c r="DTH19" s="1221"/>
      <c r="DTI19" s="1221"/>
      <c r="DTJ19" s="1221"/>
      <c r="DTK19" s="1221"/>
      <c r="DTL19" s="1221"/>
      <c r="DTM19" s="1221"/>
      <c r="DTN19" s="1221"/>
      <c r="DTO19" s="1221"/>
      <c r="DTP19" s="1221"/>
      <c r="DTQ19" s="1221"/>
      <c r="DTR19" s="1221"/>
      <c r="DTS19" s="1221"/>
      <c r="DTT19" s="1221"/>
      <c r="DTU19" s="1221"/>
      <c r="DTV19" s="1221"/>
      <c r="DTW19" s="1221"/>
      <c r="DTX19" s="1221"/>
      <c r="DTY19" s="1221"/>
      <c r="DTZ19" s="1221"/>
      <c r="DUA19" s="1221"/>
      <c r="DUB19" s="1221"/>
      <c r="DUC19" s="1221"/>
      <c r="DUD19" s="1221"/>
      <c r="DUE19" s="1221"/>
      <c r="DUF19" s="1221"/>
      <c r="DUG19" s="1221"/>
      <c r="DUH19" s="1221"/>
      <c r="DUI19" s="1221"/>
      <c r="DUJ19" s="1221"/>
      <c r="DUK19" s="1221"/>
      <c r="DUL19" s="1221"/>
      <c r="DUM19" s="1221"/>
      <c r="DUN19" s="1221"/>
      <c r="DUO19" s="1221"/>
      <c r="DUP19" s="1221"/>
      <c r="DUQ19" s="1221"/>
      <c r="DUR19" s="1221"/>
      <c r="DUS19" s="1221"/>
      <c r="DUT19" s="1221"/>
      <c r="DUU19" s="1221"/>
      <c r="DUV19" s="1221"/>
      <c r="DUW19" s="1221"/>
      <c r="DUX19" s="1221"/>
      <c r="DUY19" s="1221"/>
      <c r="DUZ19" s="1221"/>
      <c r="DVA19" s="1221"/>
      <c r="DVB19" s="1221"/>
      <c r="DVC19" s="1221"/>
      <c r="DVD19" s="1221"/>
      <c r="DVE19" s="1221"/>
      <c r="DVF19" s="1221"/>
      <c r="DVG19" s="1221"/>
      <c r="DVH19" s="1221"/>
      <c r="DVI19" s="1221"/>
      <c r="DVJ19" s="1221"/>
      <c r="DVK19" s="1221"/>
      <c r="DVL19" s="1221"/>
      <c r="DVM19" s="1221"/>
      <c r="DVN19" s="1221"/>
      <c r="DVO19" s="1221"/>
      <c r="DVP19" s="1221"/>
      <c r="DVQ19" s="1221"/>
      <c r="DVR19" s="1221"/>
      <c r="DVS19" s="1221"/>
      <c r="DVT19" s="1221"/>
      <c r="DVU19" s="1221"/>
      <c r="DVV19" s="1221"/>
      <c r="DVW19" s="1221"/>
      <c r="DVX19" s="1221"/>
      <c r="DVY19" s="1221"/>
      <c r="DVZ19" s="1221"/>
      <c r="DWA19" s="1221"/>
      <c r="DWB19" s="1221"/>
      <c r="DWC19" s="1221"/>
      <c r="DWD19" s="1221"/>
      <c r="DWE19" s="1221"/>
      <c r="DWF19" s="1221"/>
      <c r="DWG19" s="1221"/>
      <c r="DWH19" s="1221"/>
      <c r="DWI19" s="1221"/>
      <c r="DWJ19" s="1221"/>
      <c r="DWK19" s="1221"/>
      <c r="DWL19" s="1221"/>
      <c r="DWM19" s="1221"/>
      <c r="DWN19" s="1221"/>
      <c r="DWO19" s="1221"/>
      <c r="DWP19" s="1221"/>
      <c r="DWQ19" s="1221"/>
      <c r="DWR19" s="1221"/>
      <c r="DWS19" s="1221"/>
      <c r="DWT19" s="1221"/>
      <c r="DWU19" s="1221"/>
      <c r="DWV19" s="1221"/>
      <c r="DWW19" s="1221"/>
      <c r="DWX19" s="1221"/>
      <c r="DWY19" s="1221"/>
      <c r="DWZ19" s="1221"/>
      <c r="DXA19" s="1221"/>
      <c r="DXB19" s="1221"/>
      <c r="DXC19" s="1221"/>
      <c r="DXD19" s="1221"/>
      <c r="DXE19" s="1221"/>
      <c r="DXF19" s="1221"/>
      <c r="DXG19" s="1221"/>
      <c r="DXH19" s="1221"/>
      <c r="DXI19" s="1221"/>
      <c r="DXJ19" s="1221"/>
      <c r="DXK19" s="1221"/>
      <c r="DXL19" s="1221"/>
      <c r="DXM19" s="1221"/>
      <c r="DXN19" s="1221"/>
      <c r="DXO19" s="1221"/>
      <c r="DXP19" s="1221"/>
      <c r="DXQ19" s="1221"/>
      <c r="DXR19" s="1221"/>
      <c r="DXS19" s="1221"/>
      <c r="DXT19" s="1221"/>
      <c r="DXU19" s="1221"/>
      <c r="DXV19" s="1221"/>
      <c r="DXW19" s="1221"/>
      <c r="DXX19" s="1221"/>
      <c r="DXY19" s="1221"/>
      <c r="DXZ19" s="1221"/>
      <c r="DYA19" s="1221"/>
      <c r="DYB19" s="1221"/>
      <c r="DYC19" s="1221"/>
      <c r="DYD19" s="1221"/>
      <c r="DYE19" s="1221"/>
      <c r="DYF19" s="1221"/>
      <c r="DYG19" s="1221"/>
      <c r="DYH19" s="1221"/>
      <c r="DYI19" s="1221"/>
      <c r="DYJ19" s="1221"/>
      <c r="DYK19" s="1221"/>
      <c r="DYL19" s="1221"/>
      <c r="DYM19" s="1221"/>
      <c r="DYN19" s="1221"/>
      <c r="DYO19" s="1221"/>
      <c r="DYP19" s="1221"/>
      <c r="DYQ19" s="1221"/>
      <c r="DYR19" s="1221"/>
      <c r="DYS19" s="1221"/>
      <c r="DYT19" s="1221"/>
      <c r="DYU19" s="1221"/>
      <c r="DYV19" s="1221"/>
      <c r="DYW19" s="1221"/>
      <c r="DYX19" s="1221"/>
      <c r="DYY19" s="1221"/>
      <c r="DYZ19" s="1221"/>
      <c r="DZA19" s="1221"/>
      <c r="DZB19" s="1221"/>
      <c r="DZC19" s="1221"/>
      <c r="DZD19" s="1221"/>
      <c r="DZE19" s="1221"/>
      <c r="DZF19" s="1221"/>
      <c r="DZG19" s="1221"/>
      <c r="DZH19" s="1221"/>
      <c r="DZI19" s="1221"/>
      <c r="DZJ19" s="1221"/>
      <c r="DZK19" s="1221"/>
      <c r="DZL19" s="1221"/>
      <c r="DZM19" s="1221"/>
      <c r="DZN19" s="1221"/>
      <c r="DZO19" s="1221"/>
      <c r="DZP19" s="1221"/>
      <c r="DZQ19" s="1221"/>
      <c r="DZR19" s="1221"/>
      <c r="DZS19" s="1221"/>
      <c r="DZT19" s="1221"/>
      <c r="DZU19" s="1221"/>
      <c r="DZV19" s="1221"/>
      <c r="DZW19" s="1221"/>
      <c r="DZX19" s="1221"/>
      <c r="DZY19" s="1221"/>
      <c r="DZZ19" s="1221"/>
      <c r="EAA19" s="1221"/>
      <c r="EAB19" s="1221"/>
      <c r="EAC19" s="1221"/>
      <c r="EAD19" s="1221"/>
      <c r="EAE19" s="1221"/>
      <c r="EAF19" s="1221"/>
      <c r="EAG19" s="1221"/>
      <c r="EAH19" s="1221"/>
      <c r="EAI19" s="1221"/>
      <c r="EAJ19" s="1221"/>
      <c r="EAK19" s="1221"/>
      <c r="EAL19" s="1221"/>
      <c r="EAM19" s="1221"/>
      <c r="EAN19" s="1221"/>
      <c r="EAO19" s="1221"/>
      <c r="EAP19" s="1221"/>
      <c r="EAQ19" s="1221"/>
      <c r="EAR19" s="1221"/>
      <c r="EAS19" s="1221"/>
      <c r="EAT19" s="1221"/>
      <c r="EAU19" s="1221"/>
      <c r="EAV19" s="1221"/>
      <c r="EAW19" s="1221"/>
      <c r="EAX19" s="1221"/>
      <c r="EAY19" s="1221"/>
      <c r="EAZ19" s="1221"/>
      <c r="EBA19" s="1221"/>
      <c r="EBB19" s="1221"/>
      <c r="EBC19" s="1221"/>
      <c r="EBD19" s="1221"/>
      <c r="EBE19" s="1221"/>
      <c r="EBF19" s="1221"/>
      <c r="EBG19" s="1221"/>
      <c r="EBH19" s="1221"/>
      <c r="EBI19" s="1221"/>
      <c r="EBJ19" s="1221"/>
      <c r="EBK19" s="1221"/>
      <c r="EBL19" s="1221"/>
      <c r="EBM19" s="1221"/>
      <c r="EBN19" s="1221"/>
      <c r="EBO19" s="1221"/>
      <c r="EBP19" s="1221"/>
      <c r="EBQ19" s="1221"/>
      <c r="EBR19" s="1221"/>
      <c r="EBS19" s="1221"/>
      <c r="EBT19" s="1221"/>
      <c r="EBU19" s="1221"/>
      <c r="EBV19" s="1221"/>
      <c r="EBW19" s="1221"/>
      <c r="EBX19" s="1221"/>
      <c r="EBY19" s="1221"/>
      <c r="EBZ19" s="1221"/>
      <c r="ECA19" s="1221"/>
      <c r="ECB19" s="1221"/>
      <c r="ECC19" s="1221"/>
      <c r="ECD19" s="1221"/>
      <c r="ECE19" s="1221"/>
      <c r="ECF19" s="1221"/>
      <c r="ECG19" s="1221"/>
      <c r="ECH19" s="1221"/>
      <c r="ECI19" s="1221"/>
      <c r="ECJ19" s="1221"/>
      <c r="ECK19" s="1221"/>
      <c r="ECL19" s="1221"/>
      <c r="ECM19" s="1221"/>
      <c r="ECN19" s="1221"/>
      <c r="ECO19" s="1221"/>
    </row>
    <row r="20" spans="2:3473" s="1248" customFormat="1" ht="13" outlineLevel="1">
      <c r="B20" s="1249" t="s">
        <v>496</v>
      </c>
      <c r="C20" s="1250">
        <v>4</v>
      </c>
      <c r="D20" s="1251" t="s">
        <v>602</v>
      </c>
      <c r="E20" s="1252">
        <f t="shared" si="4"/>
        <v>0</v>
      </c>
      <c r="F20" s="1252">
        <f t="shared" si="4"/>
        <v>0</v>
      </c>
      <c r="G20" s="1252">
        <f t="shared" si="4"/>
        <v>0</v>
      </c>
      <c r="H20" s="1252">
        <f t="shared" si="4"/>
        <v>0</v>
      </c>
      <c r="I20" s="1252">
        <f t="shared" si="4"/>
        <v>0</v>
      </c>
      <c r="J20" s="1252">
        <f t="shared" si="4"/>
        <v>0</v>
      </c>
      <c r="K20" s="1252">
        <f t="shared" si="4"/>
        <v>0</v>
      </c>
      <c r="L20" s="1252">
        <f t="shared" si="4"/>
        <v>0</v>
      </c>
      <c r="M20" s="1252">
        <f t="shared" si="4"/>
        <v>0</v>
      </c>
      <c r="N20" s="1252" t="str">
        <f t="shared" si="4"/>
        <v/>
      </c>
      <c r="O20" s="1252" t="str">
        <f t="shared" si="4"/>
        <v/>
      </c>
      <c r="P20" s="1252" t="str">
        <f t="shared" si="4"/>
        <v/>
      </c>
      <c r="Q20" s="1252">
        <f t="shared" si="4"/>
        <v>0</v>
      </c>
      <c r="R20" s="1252">
        <f t="shared" si="4"/>
        <v>0</v>
      </c>
      <c r="S20" s="1252">
        <f t="shared" si="8"/>
        <v>0</v>
      </c>
      <c r="T20" s="1252">
        <f t="shared" si="5"/>
        <v>0</v>
      </c>
      <c r="U20" s="1252">
        <f t="shared" si="5"/>
        <v>0</v>
      </c>
      <c r="V20" s="1252">
        <f t="shared" si="9"/>
        <v>0</v>
      </c>
      <c r="W20" s="1252" t="str">
        <f t="shared" si="10"/>
        <v/>
      </c>
      <c r="X20" s="1252" t="str">
        <f t="shared" si="10"/>
        <v/>
      </c>
      <c r="Y20" s="1252" t="str">
        <f t="shared" si="10"/>
        <v/>
      </c>
      <c r="Z20" s="1252">
        <f t="shared" si="11"/>
        <v>0</v>
      </c>
      <c r="AA20" s="1252">
        <f t="shared" si="11"/>
        <v>0</v>
      </c>
      <c r="AB20" s="1252">
        <f t="shared" si="11"/>
        <v>0</v>
      </c>
      <c r="AC20" s="1252">
        <f t="shared" si="15"/>
        <v>0</v>
      </c>
      <c r="AD20" s="1260">
        <f t="shared" si="15"/>
        <v>0</v>
      </c>
      <c r="AE20" s="1260">
        <f t="shared" si="15"/>
        <v>0</v>
      </c>
      <c r="AF20" s="1254"/>
      <c r="AG20" s="1255"/>
      <c r="AH20" s="1255"/>
      <c r="AI20" s="1256">
        <f>AJ20+AK20</f>
        <v>0</v>
      </c>
      <c r="AJ20" s="1256">
        <f>IF($BK20=0,0,$BK20*AJ$6/($BK$6-$AG$6))</f>
        <v>0</v>
      </c>
      <c r="AK20" s="1256">
        <f>IF($BL20=0,0,$BL20*AK$6/($BL$6-$AH$6))</f>
        <v>0</v>
      </c>
      <c r="AL20" s="1256">
        <f t="shared" si="20"/>
        <v>0</v>
      </c>
      <c r="AM20" s="1261">
        <f>IF($BK20=0,0,$BK20*AM$7/($BK$7-$AG$7))</f>
        <v>0</v>
      </c>
      <c r="AN20" s="1261">
        <f>IF($BL20=0,0,$BL20*AN$7/($BL$7-$AH$7))</f>
        <v>0</v>
      </c>
      <c r="AO20" s="1256">
        <f t="shared" si="21"/>
        <v>0</v>
      </c>
      <c r="AP20" s="1256">
        <f>IF($BK20=0,0,$BK20*AP$6/($BK$6-$AG$6))</f>
        <v>0</v>
      </c>
      <c r="AQ20" s="1256">
        <f>IF($BL20=0,0,$BL20*AQ$6/($BL$6-$AH$6))</f>
        <v>0</v>
      </c>
      <c r="AR20" s="1256">
        <f>AS20+AT20</f>
        <v>0</v>
      </c>
      <c r="AS20" s="1256">
        <f>IF($BK20=0,0,$BK20*AS$6/($BK$6-$AG$6))</f>
        <v>0</v>
      </c>
      <c r="AT20" s="1256">
        <f>IF($BL20=0,0,$BL20*AT$6/($BL$6-$AH$6))</f>
        <v>0</v>
      </c>
      <c r="AU20" s="1256">
        <f>AV20+AW20</f>
        <v>0</v>
      </c>
      <c r="AV20" s="1256">
        <f>IF($BK20=0,0,$BK20*AV$6/($BK$6-$AG$6))</f>
        <v>0</v>
      </c>
      <c r="AW20" s="1256">
        <f>IF($BL20=0,0,$BL20*AW$6/($BL$6-$AH$6))</f>
        <v>0</v>
      </c>
      <c r="AX20" s="1256"/>
      <c r="AY20" s="1256"/>
      <c r="AZ20" s="1256"/>
      <c r="BA20" s="1257">
        <f>BB20+BC20</f>
        <v>0</v>
      </c>
      <c r="BB20" s="1257">
        <f>AG20+AJ20+AM20+AP20+AS20+AV20</f>
        <v>0</v>
      </c>
      <c r="BC20" s="1257">
        <f>AH20+AK20+AN20+AQ20+AT20+AW20</f>
        <v>0</v>
      </c>
      <c r="BD20" s="1256">
        <f t="shared" si="36"/>
        <v>0</v>
      </c>
      <c r="BE20" s="1256">
        <f t="shared" ref="BE20" si="38">IF($BK20=0,0,$BK20*BE$7/($BK$7-$AG$7))</f>
        <v>0</v>
      </c>
      <c r="BF20" s="1256">
        <f t="shared" si="37"/>
        <v>0</v>
      </c>
      <c r="BG20" s="1256">
        <f t="shared" si="33"/>
        <v>0</v>
      </c>
      <c r="BH20" s="1257">
        <f t="shared" si="34"/>
        <v>0</v>
      </c>
      <c r="BI20" s="1257">
        <f t="shared" si="34"/>
        <v>0</v>
      </c>
      <c r="BJ20" s="1256">
        <f>BK20+BL20</f>
        <v>0</v>
      </c>
      <c r="BK20" s="1256">
        <f>VLOOKUP($D20,'当期公摊测算表（全期）'!$D$9:$W$192,20,0)</f>
        <v>0</v>
      </c>
      <c r="BL20" s="1256">
        <f>VLOOKUP($D20,'当期公摊测算表（全期）'!$D$9:$W$192,19,0)</f>
        <v>0</v>
      </c>
      <c r="BM20" s="1262" t="s">
        <v>20</v>
      </c>
      <c r="BN20" s="1225">
        <f t="shared" si="12"/>
        <v>0</v>
      </c>
      <c r="BO20" s="1225">
        <f t="shared" si="13"/>
        <v>0</v>
      </c>
      <c r="BP20" s="1225">
        <f t="shared" si="14"/>
        <v>0</v>
      </c>
      <c r="BQ20" s="1225"/>
      <c r="BR20" s="1221"/>
      <c r="BS20" s="1221"/>
      <c r="BT20" s="1221"/>
      <c r="BU20" s="1221"/>
      <c r="BV20" s="1221"/>
      <c r="BW20" s="1221"/>
      <c r="BX20" s="1221"/>
      <c r="BY20" s="1221"/>
      <c r="BZ20" s="1221"/>
      <c r="CA20" s="1221"/>
      <c r="CB20" s="1221"/>
      <c r="CC20" s="1221"/>
      <c r="CD20" s="1221"/>
      <c r="CE20" s="1221"/>
      <c r="CF20" s="1221"/>
      <c r="CG20" s="1221"/>
      <c r="CH20" s="1221"/>
      <c r="CI20" s="1221"/>
      <c r="CJ20" s="1221"/>
      <c r="CK20" s="1221"/>
      <c r="CL20" s="1221"/>
      <c r="CM20" s="1221"/>
      <c r="CN20" s="1221"/>
      <c r="CO20" s="1221"/>
      <c r="CP20" s="1221"/>
      <c r="CQ20" s="1221"/>
      <c r="CR20" s="1221"/>
      <c r="CS20" s="1221"/>
      <c r="CT20" s="1221"/>
      <c r="CU20" s="1221"/>
      <c r="CV20" s="1221"/>
      <c r="CW20" s="1221"/>
      <c r="CX20" s="1221"/>
      <c r="CY20" s="1221"/>
      <c r="CZ20" s="1221"/>
      <c r="DA20" s="1221"/>
      <c r="DB20" s="1221"/>
      <c r="DC20" s="1221"/>
      <c r="DD20" s="1221"/>
      <c r="DE20" s="1221"/>
      <c r="DF20" s="1221"/>
      <c r="DG20" s="1221"/>
      <c r="DH20" s="1221"/>
      <c r="DI20" s="1221"/>
      <c r="DJ20" s="1221"/>
      <c r="DK20" s="1221"/>
      <c r="DL20" s="1221"/>
      <c r="DM20" s="1221"/>
      <c r="DN20" s="1221"/>
      <c r="DO20" s="1221"/>
      <c r="DP20" s="1221"/>
      <c r="DQ20" s="1221"/>
      <c r="DR20" s="1221"/>
      <c r="DS20" s="1221"/>
      <c r="DT20" s="1221"/>
      <c r="DU20" s="1221"/>
      <c r="DV20" s="1221"/>
      <c r="DW20" s="1221"/>
      <c r="DX20" s="1221"/>
      <c r="DY20" s="1221"/>
      <c r="DZ20" s="1221"/>
      <c r="EA20" s="1221"/>
      <c r="EB20" s="1221"/>
      <c r="EC20" s="1221"/>
      <c r="ED20" s="1221"/>
      <c r="EE20" s="1221"/>
      <c r="EF20" s="1221"/>
      <c r="EG20" s="1221"/>
      <c r="EH20" s="1221"/>
      <c r="EI20" s="1221"/>
      <c r="EJ20" s="1221"/>
      <c r="EK20" s="1221"/>
      <c r="EL20" s="1221"/>
      <c r="EM20" s="1221"/>
      <c r="EN20" s="1221"/>
      <c r="EO20" s="1221"/>
      <c r="EP20" s="1221"/>
      <c r="EQ20" s="1221"/>
      <c r="ER20" s="1221"/>
      <c r="ES20" s="1221"/>
      <c r="ET20" s="1221"/>
      <c r="EU20" s="1221"/>
      <c r="EV20" s="1221"/>
      <c r="EW20" s="1221"/>
      <c r="EX20" s="1221"/>
      <c r="EY20" s="1221"/>
      <c r="EZ20" s="1221"/>
      <c r="FA20" s="1221"/>
      <c r="FB20" s="1221"/>
      <c r="FC20" s="1221"/>
      <c r="FD20" s="1221"/>
      <c r="FE20" s="1221"/>
      <c r="FF20" s="1221"/>
      <c r="FG20" s="1221"/>
      <c r="FH20" s="1221"/>
      <c r="FI20" s="1221"/>
      <c r="FJ20" s="1221"/>
      <c r="FK20" s="1221"/>
      <c r="FL20" s="1221"/>
      <c r="FM20" s="1221"/>
      <c r="FN20" s="1221"/>
      <c r="FO20" s="1221"/>
      <c r="FP20" s="1221"/>
      <c r="FQ20" s="1221"/>
      <c r="FR20" s="1221"/>
      <c r="FS20" s="1221"/>
      <c r="FT20" s="1221"/>
      <c r="FU20" s="1221"/>
      <c r="FV20" s="1221"/>
      <c r="FW20" s="1221"/>
      <c r="FX20" s="1221"/>
      <c r="FY20" s="1221"/>
      <c r="FZ20" s="1221"/>
      <c r="GA20" s="1221"/>
      <c r="GB20" s="1221"/>
      <c r="GC20" s="1221"/>
      <c r="GD20" s="1221"/>
      <c r="GE20" s="1221"/>
      <c r="GF20" s="1221"/>
      <c r="GG20" s="1221"/>
      <c r="GH20" s="1221"/>
      <c r="GI20" s="1221"/>
      <c r="GJ20" s="1221"/>
      <c r="GK20" s="1221"/>
      <c r="GL20" s="1221"/>
      <c r="GM20" s="1221"/>
      <c r="GN20" s="1221"/>
      <c r="GO20" s="1221"/>
      <c r="GP20" s="1221"/>
      <c r="GQ20" s="1221"/>
      <c r="GR20" s="1221"/>
      <c r="GS20" s="1221"/>
      <c r="GT20" s="1221"/>
      <c r="GU20" s="1221"/>
      <c r="GV20" s="1221"/>
      <c r="GW20" s="1221"/>
      <c r="GX20" s="1221"/>
      <c r="GY20" s="1221"/>
      <c r="GZ20" s="1221"/>
      <c r="HA20" s="1221"/>
      <c r="HB20" s="1221"/>
      <c r="HC20" s="1221"/>
      <c r="HD20" s="1221"/>
      <c r="HE20" s="1221"/>
      <c r="HF20" s="1221"/>
      <c r="HG20" s="1221"/>
      <c r="HH20" s="1221"/>
      <c r="HI20" s="1221"/>
      <c r="HJ20" s="1221"/>
      <c r="HK20" s="1221"/>
      <c r="HL20" s="1221"/>
      <c r="HM20" s="1221"/>
      <c r="HN20" s="1221"/>
      <c r="HO20" s="1221"/>
      <c r="HP20" s="1221"/>
      <c r="HQ20" s="1221"/>
      <c r="HR20" s="1221"/>
      <c r="HS20" s="1221"/>
      <c r="HT20" s="1221"/>
      <c r="HU20" s="1221"/>
      <c r="HV20" s="1221"/>
      <c r="HW20" s="1221"/>
      <c r="HX20" s="1221"/>
      <c r="HY20" s="1221"/>
      <c r="HZ20" s="1221"/>
      <c r="IA20" s="1221"/>
      <c r="IB20" s="1221"/>
      <c r="IC20" s="1221"/>
      <c r="ID20" s="1221"/>
      <c r="IE20" s="1221"/>
      <c r="IF20" s="1221"/>
      <c r="IG20" s="1221"/>
      <c r="IH20" s="1221"/>
      <c r="II20" s="1221"/>
      <c r="IJ20" s="1221"/>
      <c r="IK20" s="1221"/>
      <c r="IL20" s="1221"/>
      <c r="IM20" s="1221"/>
      <c r="IN20" s="1221"/>
      <c r="IO20" s="1221"/>
      <c r="IP20" s="1221"/>
      <c r="IQ20" s="1221"/>
      <c r="IR20" s="1221"/>
      <c r="IS20" s="1221"/>
      <c r="IT20" s="1221"/>
      <c r="IU20" s="1221"/>
      <c r="IV20" s="1221"/>
      <c r="IW20" s="1221"/>
      <c r="IX20" s="1221"/>
      <c r="IY20" s="1221"/>
      <c r="IZ20" s="1221"/>
      <c r="JA20" s="1221"/>
      <c r="JB20" s="1221"/>
      <c r="JC20" s="1221"/>
      <c r="JD20" s="1221"/>
      <c r="JE20" s="1221"/>
      <c r="JF20" s="1221"/>
      <c r="JG20" s="1221"/>
      <c r="JH20" s="1221"/>
      <c r="JI20" s="1221"/>
      <c r="JJ20" s="1221"/>
      <c r="JK20" s="1221"/>
      <c r="JL20" s="1221"/>
      <c r="JM20" s="1221"/>
      <c r="JN20" s="1221"/>
      <c r="JO20" s="1221"/>
      <c r="JP20" s="1221"/>
      <c r="JQ20" s="1221"/>
      <c r="JR20" s="1221"/>
      <c r="JS20" s="1221"/>
      <c r="JT20" s="1221"/>
      <c r="JU20" s="1221"/>
      <c r="JV20" s="1221"/>
      <c r="JW20" s="1221"/>
      <c r="JX20" s="1221"/>
      <c r="JY20" s="1221"/>
      <c r="JZ20" s="1221"/>
      <c r="KA20" s="1221"/>
      <c r="KB20" s="1221"/>
      <c r="KC20" s="1221"/>
      <c r="KD20" s="1221"/>
      <c r="KE20" s="1221"/>
      <c r="KF20" s="1221"/>
      <c r="KG20" s="1221"/>
      <c r="KH20" s="1221"/>
      <c r="KI20" s="1221"/>
      <c r="KJ20" s="1221"/>
      <c r="KK20" s="1221"/>
      <c r="KL20" s="1221"/>
      <c r="KM20" s="1221"/>
      <c r="KN20" s="1221"/>
      <c r="KO20" s="1221"/>
      <c r="KP20" s="1221"/>
      <c r="KQ20" s="1221"/>
      <c r="KR20" s="1221"/>
      <c r="KS20" s="1221"/>
      <c r="KT20" s="1221"/>
      <c r="KU20" s="1221"/>
      <c r="KV20" s="1221"/>
      <c r="KW20" s="1221"/>
      <c r="KX20" s="1221"/>
      <c r="KY20" s="1221"/>
      <c r="KZ20" s="1221"/>
      <c r="LA20" s="1221"/>
      <c r="LB20" s="1221"/>
      <c r="LC20" s="1221"/>
      <c r="LD20" s="1221"/>
      <c r="LE20" s="1221"/>
      <c r="LF20" s="1221"/>
      <c r="LG20" s="1221"/>
      <c r="LH20" s="1221"/>
      <c r="LI20" s="1221"/>
      <c r="LJ20" s="1221"/>
      <c r="LK20" s="1221"/>
      <c r="LL20" s="1221"/>
      <c r="LM20" s="1221"/>
      <c r="LN20" s="1221"/>
      <c r="LO20" s="1221"/>
      <c r="LP20" s="1221"/>
      <c r="LQ20" s="1221"/>
      <c r="LR20" s="1221"/>
      <c r="LS20" s="1221"/>
      <c r="LT20" s="1221"/>
      <c r="LU20" s="1221"/>
      <c r="LV20" s="1221"/>
      <c r="LW20" s="1221"/>
      <c r="LX20" s="1221"/>
      <c r="LY20" s="1221"/>
      <c r="LZ20" s="1221"/>
      <c r="MA20" s="1221"/>
      <c r="MB20" s="1221"/>
      <c r="MC20" s="1221"/>
      <c r="MD20" s="1221"/>
      <c r="ME20" s="1221"/>
      <c r="MF20" s="1221"/>
      <c r="MG20" s="1221"/>
      <c r="MH20" s="1221"/>
      <c r="MI20" s="1221"/>
      <c r="MJ20" s="1221"/>
      <c r="MK20" s="1221"/>
      <c r="ML20" s="1221"/>
      <c r="MM20" s="1221"/>
      <c r="MN20" s="1221"/>
      <c r="MO20" s="1221"/>
      <c r="MP20" s="1221"/>
      <c r="MQ20" s="1221"/>
      <c r="MR20" s="1221"/>
      <c r="MS20" s="1221"/>
      <c r="MT20" s="1221"/>
      <c r="MU20" s="1221"/>
      <c r="MV20" s="1221"/>
      <c r="MW20" s="1221"/>
      <c r="MX20" s="1221"/>
      <c r="MY20" s="1221"/>
      <c r="MZ20" s="1221"/>
      <c r="NA20" s="1221"/>
      <c r="NB20" s="1221"/>
      <c r="NC20" s="1221"/>
      <c r="ND20" s="1221"/>
      <c r="NE20" s="1221"/>
      <c r="NF20" s="1221"/>
      <c r="NG20" s="1221"/>
      <c r="NH20" s="1221"/>
      <c r="NI20" s="1221"/>
      <c r="NJ20" s="1221"/>
      <c r="NK20" s="1221"/>
      <c r="NL20" s="1221"/>
      <c r="NM20" s="1221"/>
      <c r="NN20" s="1221"/>
      <c r="NO20" s="1221"/>
      <c r="NP20" s="1221"/>
      <c r="NQ20" s="1221"/>
      <c r="NR20" s="1221"/>
      <c r="NS20" s="1221"/>
      <c r="NT20" s="1221"/>
      <c r="NU20" s="1221"/>
      <c r="NV20" s="1221"/>
      <c r="NW20" s="1221"/>
      <c r="NX20" s="1221"/>
      <c r="NY20" s="1221"/>
      <c r="NZ20" s="1221"/>
      <c r="OA20" s="1221"/>
      <c r="OB20" s="1221"/>
      <c r="OC20" s="1221"/>
      <c r="OD20" s="1221"/>
      <c r="OE20" s="1221"/>
      <c r="OF20" s="1221"/>
      <c r="OG20" s="1221"/>
      <c r="OH20" s="1221"/>
      <c r="OI20" s="1221"/>
      <c r="OJ20" s="1221"/>
      <c r="OK20" s="1221"/>
      <c r="OL20" s="1221"/>
      <c r="OM20" s="1221"/>
      <c r="ON20" s="1221"/>
      <c r="OO20" s="1221"/>
      <c r="OP20" s="1221"/>
      <c r="OQ20" s="1221"/>
      <c r="OR20" s="1221"/>
      <c r="OS20" s="1221"/>
      <c r="OT20" s="1221"/>
      <c r="OU20" s="1221"/>
      <c r="OV20" s="1221"/>
      <c r="OW20" s="1221"/>
      <c r="OX20" s="1221"/>
      <c r="OY20" s="1221"/>
      <c r="OZ20" s="1221"/>
      <c r="PA20" s="1221"/>
      <c r="PB20" s="1221"/>
      <c r="PC20" s="1221"/>
      <c r="PD20" s="1221"/>
      <c r="PE20" s="1221"/>
      <c r="PF20" s="1221"/>
      <c r="PG20" s="1221"/>
      <c r="PH20" s="1221"/>
      <c r="PI20" s="1221"/>
      <c r="PJ20" s="1221"/>
      <c r="PK20" s="1221"/>
      <c r="PL20" s="1221"/>
      <c r="PM20" s="1221"/>
      <c r="PN20" s="1221"/>
      <c r="PO20" s="1221"/>
      <c r="PP20" s="1221"/>
      <c r="PQ20" s="1221"/>
      <c r="PR20" s="1221"/>
      <c r="PS20" s="1221"/>
      <c r="PT20" s="1221"/>
      <c r="PU20" s="1221"/>
      <c r="PV20" s="1221"/>
      <c r="PW20" s="1221"/>
      <c r="PX20" s="1221"/>
      <c r="PY20" s="1221"/>
      <c r="PZ20" s="1221"/>
      <c r="QA20" s="1221"/>
      <c r="QB20" s="1221"/>
      <c r="QC20" s="1221"/>
      <c r="QD20" s="1221"/>
      <c r="QE20" s="1221"/>
      <c r="QF20" s="1221"/>
      <c r="QG20" s="1221"/>
      <c r="QH20" s="1221"/>
      <c r="QI20" s="1221"/>
      <c r="QJ20" s="1221"/>
      <c r="QK20" s="1221"/>
      <c r="QL20" s="1221"/>
      <c r="QM20" s="1221"/>
      <c r="QN20" s="1221"/>
      <c r="QO20" s="1221"/>
      <c r="QP20" s="1221"/>
      <c r="QQ20" s="1221"/>
      <c r="QR20" s="1221"/>
      <c r="QS20" s="1221"/>
      <c r="QT20" s="1221"/>
      <c r="QU20" s="1221"/>
      <c r="QV20" s="1221"/>
      <c r="QW20" s="1221"/>
      <c r="QX20" s="1221"/>
      <c r="QY20" s="1221"/>
      <c r="QZ20" s="1221"/>
      <c r="RA20" s="1221"/>
      <c r="RB20" s="1221"/>
      <c r="RC20" s="1221"/>
      <c r="RD20" s="1221"/>
      <c r="RE20" s="1221"/>
      <c r="RF20" s="1221"/>
      <c r="RG20" s="1221"/>
      <c r="RH20" s="1221"/>
      <c r="RI20" s="1221"/>
      <c r="RJ20" s="1221"/>
      <c r="RK20" s="1221"/>
      <c r="RL20" s="1221"/>
      <c r="RM20" s="1221"/>
      <c r="RN20" s="1221"/>
      <c r="RO20" s="1221"/>
      <c r="RP20" s="1221"/>
      <c r="RQ20" s="1221"/>
      <c r="RR20" s="1221"/>
      <c r="RS20" s="1221"/>
      <c r="RT20" s="1221"/>
      <c r="RU20" s="1221"/>
      <c r="RV20" s="1221"/>
      <c r="RW20" s="1221"/>
      <c r="RX20" s="1221"/>
      <c r="RY20" s="1221"/>
      <c r="RZ20" s="1221"/>
      <c r="SA20" s="1221"/>
      <c r="SB20" s="1221"/>
      <c r="SC20" s="1221"/>
      <c r="SD20" s="1221"/>
      <c r="SE20" s="1221"/>
      <c r="SF20" s="1221"/>
      <c r="SG20" s="1221"/>
      <c r="SH20" s="1221"/>
      <c r="SI20" s="1221"/>
      <c r="SJ20" s="1221"/>
      <c r="SK20" s="1221"/>
      <c r="SL20" s="1221"/>
      <c r="SM20" s="1221"/>
      <c r="SN20" s="1221"/>
      <c r="SO20" s="1221"/>
      <c r="SP20" s="1221"/>
      <c r="SQ20" s="1221"/>
      <c r="SR20" s="1221"/>
      <c r="SS20" s="1221"/>
      <c r="ST20" s="1221"/>
      <c r="SU20" s="1221"/>
      <c r="SV20" s="1221"/>
      <c r="SW20" s="1221"/>
      <c r="SX20" s="1221"/>
      <c r="SY20" s="1221"/>
      <c r="SZ20" s="1221"/>
      <c r="TA20" s="1221"/>
      <c r="TB20" s="1221"/>
      <c r="TC20" s="1221"/>
      <c r="TD20" s="1221"/>
      <c r="TE20" s="1221"/>
      <c r="TF20" s="1221"/>
      <c r="TG20" s="1221"/>
      <c r="TH20" s="1221"/>
      <c r="TI20" s="1221"/>
      <c r="TJ20" s="1221"/>
      <c r="TK20" s="1221"/>
      <c r="TL20" s="1221"/>
      <c r="TM20" s="1221"/>
      <c r="TN20" s="1221"/>
      <c r="TO20" s="1221"/>
      <c r="TP20" s="1221"/>
      <c r="TQ20" s="1221"/>
      <c r="TR20" s="1221"/>
      <c r="TS20" s="1221"/>
      <c r="TT20" s="1221"/>
      <c r="TU20" s="1221"/>
      <c r="TV20" s="1221"/>
      <c r="TW20" s="1221"/>
      <c r="TX20" s="1221"/>
      <c r="TY20" s="1221"/>
      <c r="TZ20" s="1221"/>
      <c r="UA20" s="1221"/>
      <c r="UB20" s="1221"/>
      <c r="UC20" s="1221"/>
      <c r="UD20" s="1221"/>
      <c r="UE20" s="1221"/>
      <c r="UF20" s="1221"/>
      <c r="UG20" s="1221"/>
      <c r="UH20" s="1221"/>
      <c r="UI20" s="1221"/>
      <c r="UJ20" s="1221"/>
      <c r="UK20" s="1221"/>
      <c r="UL20" s="1221"/>
      <c r="UM20" s="1221"/>
      <c r="UN20" s="1221"/>
      <c r="UO20" s="1221"/>
      <c r="UP20" s="1221"/>
      <c r="UQ20" s="1221"/>
      <c r="UR20" s="1221"/>
      <c r="US20" s="1221"/>
      <c r="UT20" s="1221"/>
      <c r="UU20" s="1221"/>
      <c r="UV20" s="1221"/>
      <c r="UW20" s="1221"/>
      <c r="UX20" s="1221"/>
      <c r="UY20" s="1221"/>
      <c r="UZ20" s="1221"/>
      <c r="VA20" s="1221"/>
      <c r="VB20" s="1221"/>
      <c r="VC20" s="1221"/>
      <c r="VD20" s="1221"/>
      <c r="VE20" s="1221"/>
      <c r="VF20" s="1221"/>
      <c r="VG20" s="1221"/>
      <c r="VH20" s="1221"/>
      <c r="VI20" s="1221"/>
      <c r="VJ20" s="1221"/>
      <c r="VK20" s="1221"/>
      <c r="VL20" s="1221"/>
      <c r="VM20" s="1221"/>
      <c r="VN20" s="1221"/>
      <c r="VO20" s="1221"/>
      <c r="VP20" s="1221"/>
      <c r="VQ20" s="1221"/>
      <c r="VR20" s="1221"/>
      <c r="VS20" s="1221"/>
      <c r="VT20" s="1221"/>
      <c r="VU20" s="1221"/>
      <c r="VV20" s="1221"/>
      <c r="VW20" s="1221"/>
      <c r="VX20" s="1221"/>
      <c r="VY20" s="1221"/>
      <c r="VZ20" s="1221"/>
      <c r="WA20" s="1221"/>
      <c r="WB20" s="1221"/>
      <c r="WC20" s="1221"/>
      <c r="WD20" s="1221"/>
      <c r="WE20" s="1221"/>
      <c r="WF20" s="1221"/>
      <c r="WG20" s="1221"/>
      <c r="WH20" s="1221"/>
      <c r="WI20" s="1221"/>
      <c r="WJ20" s="1221"/>
      <c r="WK20" s="1221"/>
      <c r="WL20" s="1221"/>
      <c r="WM20" s="1221"/>
      <c r="WN20" s="1221"/>
      <c r="WO20" s="1221"/>
      <c r="WP20" s="1221"/>
      <c r="WQ20" s="1221"/>
      <c r="WR20" s="1221"/>
      <c r="WS20" s="1221"/>
      <c r="WT20" s="1221"/>
      <c r="WU20" s="1221"/>
      <c r="WV20" s="1221"/>
      <c r="WW20" s="1221"/>
      <c r="WX20" s="1221"/>
      <c r="WY20" s="1221"/>
      <c r="WZ20" s="1221"/>
      <c r="XA20" s="1221"/>
      <c r="XB20" s="1221"/>
      <c r="XC20" s="1221"/>
      <c r="XD20" s="1221"/>
      <c r="XE20" s="1221"/>
      <c r="XF20" s="1221"/>
      <c r="XG20" s="1221"/>
      <c r="XH20" s="1221"/>
      <c r="XI20" s="1221"/>
      <c r="XJ20" s="1221"/>
      <c r="XK20" s="1221"/>
      <c r="XL20" s="1221"/>
      <c r="XM20" s="1221"/>
      <c r="XN20" s="1221"/>
      <c r="XO20" s="1221"/>
      <c r="XP20" s="1221"/>
      <c r="XQ20" s="1221"/>
      <c r="XR20" s="1221"/>
      <c r="XS20" s="1221"/>
      <c r="XT20" s="1221"/>
      <c r="XU20" s="1221"/>
      <c r="XV20" s="1221"/>
      <c r="XW20" s="1221"/>
      <c r="XX20" s="1221"/>
      <c r="XY20" s="1221"/>
      <c r="XZ20" s="1221"/>
      <c r="YA20" s="1221"/>
      <c r="YB20" s="1221"/>
      <c r="YC20" s="1221"/>
      <c r="YD20" s="1221"/>
      <c r="YE20" s="1221"/>
      <c r="YF20" s="1221"/>
      <c r="YG20" s="1221"/>
      <c r="YH20" s="1221"/>
      <c r="YI20" s="1221"/>
      <c r="YJ20" s="1221"/>
      <c r="YK20" s="1221"/>
      <c r="YL20" s="1221"/>
      <c r="YM20" s="1221"/>
      <c r="YN20" s="1221"/>
      <c r="YO20" s="1221"/>
      <c r="YP20" s="1221"/>
      <c r="YQ20" s="1221"/>
      <c r="YR20" s="1221"/>
      <c r="YS20" s="1221"/>
      <c r="YT20" s="1221"/>
      <c r="YU20" s="1221"/>
      <c r="YV20" s="1221"/>
      <c r="YW20" s="1221"/>
      <c r="YX20" s="1221"/>
      <c r="YY20" s="1221"/>
      <c r="YZ20" s="1221"/>
      <c r="ZA20" s="1221"/>
      <c r="ZB20" s="1221"/>
      <c r="ZC20" s="1221"/>
      <c r="ZD20" s="1221"/>
      <c r="ZE20" s="1221"/>
      <c r="ZF20" s="1221"/>
      <c r="ZG20" s="1221"/>
      <c r="ZH20" s="1221"/>
      <c r="ZI20" s="1221"/>
      <c r="ZJ20" s="1221"/>
      <c r="ZK20" s="1221"/>
      <c r="ZL20" s="1221"/>
      <c r="ZM20" s="1221"/>
      <c r="ZN20" s="1221"/>
      <c r="ZO20" s="1221"/>
      <c r="ZP20" s="1221"/>
      <c r="ZQ20" s="1221"/>
      <c r="ZR20" s="1221"/>
      <c r="ZS20" s="1221"/>
      <c r="ZT20" s="1221"/>
      <c r="ZU20" s="1221"/>
      <c r="ZV20" s="1221"/>
      <c r="ZW20" s="1221"/>
      <c r="ZX20" s="1221"/>
      <c r="ZY20" s="1221"/>
      <c r="ZZ20" s="1221"/>
      <c r="AAA20" s="1221"/>
      <c r="AAB20" s="1221"/>
      <c r="AAC20" s="1221"/>
      <c r="AAD20" s="1221"/>
      <c r="AAE20" s="1221"/>
      <c r="AAF20" s="1221"/>
      <c r="AAG20" s="1221"/>
      <c r="AAH20" s="1221"/>
      <c r="AAI20" s="1221"/>
      <c r="AAJ20" s="1221"/>
      <c r="AAK20" s="1221"/>
      <c r="AAL20" s="1221"/>
      <c r="AAM20" s="1221"/>
      <c r="AAN20" s="1221"/>
      <c r="AAO20" s="1221"/>
      <c r="AAP20" s="1221"/>
      <c r="AAQ20" s="1221"/>
      <c r="AAR20" s="1221"/>
      <c r="AAS20" s="1221"/>
      <c r="AAT20" s="1221"/>
      <c r="AAU20" s="1221"/>
      <c r="AAV20" s="1221"/>
      <c r="AAW20" s="1221"/>
      <c r="AAX20" s="1221"/>
      <c r="AAY20" s="1221"/>
      <c r="AAZ20" s="1221"/>
      <c r="ABA20" s="1221"/>
      <c r="ABB20" s="1221"/>
      <c r="ABC20" s="1221"/>
      <c r="ABD20" s="1221"/>
      <c r="ABE20" s="1221"/>
      <c r="ABF20" s="1221"/>
      <c r="ABG20" s="1221"/>
      <c r="ABH20" s="1221"/>
      <c r="ABI20" s="1221"/>
      <c r="ABJ20" s="1221"/>
      <c r="ABK20" s="1221"/>
      <c r="ABL20" s="1221"/>
      <c r="ABM20" s="1221"/>
      <c r="ABN20" s="1221"/>
      <c r="ABO20" s="1221"/>
      <c r="ABP20" s="1221"/>
      <c r="ABQ20" s="1221"/>
      <c r="ABR20" s="1221"/>
      <c r="ABS20" s="1221"/>
      <c r="ABT20" s="1221"/>
      <c r="ABU20" s="1221"/>
      <c r="ABV20" s="1221"/>
      <c r="ABW20" s="1221"/>
      <c r="ABX20" s="1221"/>
      <c r="ABY20" s="1221"/>
      <c r="ABZ20" s="1221"/>
      <c r="ACA20" s="1221"/>
      <c r="ACB20" s="1221"/>
      <c r="ACC20" s="1221"/>
      <c r="ACD20" s="1221"/>
      <c r="ACE20" s="1221"/>
      <c r="ACF20" s="1221"/>
      <c r="ACG20" s="1221"/>
      <c r="ACH20" s="1221"/>
      <c r="ACI20" s="1221"/>
      <c r="ACJ20" s="1221"/>
      <c r="ACK20" s="1221"/>
      <c r="ACL20" s="1221"/>
      <c r="ACM20" s="1221"/>
      <c r="ACN20" s="1221"/>
      <c r="ACO20" s="1221"/>
      <c r="ACP20" s="1221"/>
      <c r="ACQ20" s="1221"/>
      <c r="ACR20" s="1221"/>
      <c r="ACS20" s="1221"/>
      <c r="ACT20" s="1221"/>
      <c r="ACU20" s="1221"/>
      <c r="ACV20" s="1221"/>
      <c r="ACW20" s="1221"/>
      <c r="ACX20" s="1221"/>
      <c r="ACY20" s="1221"/>
      <c r="ACZ20" s="1221"/>
      <c r="ADA20" s="1221"/>
      <c r="ADB20" s="1221"/>
      <c r="ADC20" s="1221"/>
      <c r="ADD20" s="1221"/>
      <c r="ADE20" s="1221"/>
      <c r="ADF20" s="1221"/>
      <c r="ADG20" s="1221"/>
      <c r="ADH20" s="1221"/>
      <c r="ADI20" s="1221"/>
      <c r="ADJ20" s="1221"/>
      <c r="ADK20" s="1221"/>
      <c r="ADL20" s="1221"/>
      <c r="ADM20" s="1221"/>
      <c r="ADN20" s="1221"/>
      <c r="ADO20" s="1221"/>
      <c r="ADP20" s="1221"/>
      <c r="ADQ20" s="1221"/>
      <c r="ADR20" s="1221"/>
      <c r="ADS20" s="1221"/>
      <c r="ADT20" s="1221"/>
      <c r="ADU20" s="1221"/>
      <c r="ADV20" s="1221"/>
      <c r="ADW20" s="1221"/>
      <c r="ADX20" s="1221"/>
      <c r="ADY20" s="1221"/>
      <c r="ADZ20" s="1221"/>
      <c r="AEA20" s="1221"/>
      <c r="AEB20" s="1221"/>
      <c r="AEC20" s="1221"/>
      <c r="AED20" s="1221"/>
      <c r="AEE20" s="1221"/>
      <c r="AEF20" s="1221"/>
      <c r="AEG20" s="1221"/>
      <c r="AEH20" s="1221"/>
      <c r="AEI20" s="1221"/>
      <c r="AEJ20" s="1221"/>
      <c r="AEK20" s="1221"/>
      <c r="AEL20" s="1221"/>
      <c r="AEM20" s="1221"/>
      <c r="AEN20" s="1221"/>
      <c r="AEO20" s="1221"/>
      <c r="AEP20" s="1221"/>
      <c r="AEQ20" s="1221"/>
      <c r="AER20" s="1221"/>
      <c r="AES20" s="1221"/>
      <c r="AET20" s="1221"/>
      <c r="AEU20" s="1221"/>
      <c r="AEV20" s="1221"/>
      <c r="AEW20" s="1221"/>
      <c r="AEX20" s="1221"/>
      <c r="AEY20" s="1221"/>
      <c r="AEZ20" s="1221"/>
      <c r="AFA20" s="1221"/>
      <c r="AFB20" s="1221"/>
      <c r="AFC20" s="1221"/>
      <c r="AFD20" s="1221"/>
      <c r="AFE20" s="1221"/>
      <c r="AFF20" s="1221"/>
      <c r="AFG20" s="1221"/>
      <c r="AFH20" s="1221"/>
      <c r="AFI20" s="1221"/>
      <c r="AFJ20" s="1221"/>
      <c r="AFK20" s="1221"/>
      <c r="AFL20" s="1221"/>
      <c r="AFM20" s="1221"/>
      <c r="AFN20" s="1221"/>
      <c r="AFO20" s="1221"/>
      <c r="AFP20" s="1221"/>
      <c r="AFQ20" s="1221"/>
      <c r="AFR20" s="1221"/>
      <c r="AFS20" s="1221"/>
      <c r="AFT20" s="1221"/>
      <c r="AFU20" s="1221"/>
      <c r="AFV20" s="1221"/>
      <c r="AFW20" s="1221"/>
      <c r="AFX20" s="1221"/>
      <c r="AFY20" s="1221"/>
      <c r="AFZ20" s="1221"/>
      <c r="AGA20" s="1221"/>
      <c r="AGB20" s="1221"/>
      <c r="AGC20" s="1221"/>
      <c r="AGD20" s="1221"/>
      <c r="AGE20" s="1221"/>
      <c r="AGF20" s="1221"/>
      <c r="AGG20" s="1221"/>
      <c r="AGH20" s="1221"/>
      <c r="AGI20" s="1221"/>
      <c r="AGJ20" s="1221"/>
      <c r="AGK20" s="1221"/>
      <c r="AGL20" s="1221"/>
      <c r="AGM20" s="1221"/>
      <c r="AGN20" s="1221"/>
      <c r="AGO20" s="1221"/>
      <c r="AGP20" s="1221"/>
      <c r="AGQ20" s="1221"/>
      <c r="AGR20" s="1221"/>
      <c r="AGS20" s="1221"/>
      <c r="AGT20" s="1221"/>
      <c r="AGU20" s="1221"/>
      <c r="AGV20" s="1221"/>
      <c r="AGW20" s="1221"/>
      <c r="AGX20" s="1221"/>
      <c r="AGY20" s="1221"/>
      <c r="AGZ20" s="1221"/>
      <c r="AHA20" s="1221"/>
      <c r="AHB20" s="1221"/>
      <c r="AHC20" s="1221"/>
      <c r="AHD20" s="1221"/>
      <c r="AHE20" s="1221"/>
      <c r="AHF20" s="1221"/>
      <c r="AHG20" s="1221"/>
      <c r="AHH20" s="1221"/>
      <c r="AHI20" s="1221"/>
      <c r="AHJ20" s="1221"/>
      <c r="AHK20" s="1221"/>
      <c r="AHL20" s="1221"/>
      <c r="AHM20" s="1221"/>
      <c r="AHN20" s="1221"/>
      <c r="AHO20" s="1221"/>
      <c r="AHP20" s="1221"/>
      <c r="AHQ20" s="1221"/>
      <c r="AHR20" s="1221"/>
      <c r="AHS20" s="1221"/>
      <c r="AHT20" s="1221"/>
      <c r="AHU20" s="1221"/>
      <c r="AHV20" s="1221"/>
      <c r="AHW20" s="1221"/>
      <c r="AHX20" s="1221"/>
      <c r="AHY20" s="1221"/>
      <c r="AHZ20" s="1221"/>
      <c r="AIA20" s="1221"/>
      <c r="AIB20" s="1221"/>
      <c r="AIC20" s="1221"/>
      <c r="AID20" s="1221"/>
      <c r="AIE20" s="1221"/>
      <c r="AIF20" s="1221"/>
      <c r="AIG20" s="1221"/>
      <c r="AIH20" s="1221"/>
      <c r="AII20" s="1221"/>
      <c r="AIJ20" s="1221"/>
      <c r="AIK20" s="1221"/>
      <c r="AIL20" s="1221"/>
      <c r="AIM20" s="1221"/>
      <c r="AIN20" s="1221"/>
      <c r="AIO20" s="1221"/>
      <c r="AIP20" s="1221"/>
      <c r="AIQ20" s="1221"/>
      <c r="AIR20" s="1221"/>
      <c r="AIS20" s="1221"/>
      <c r="AIT20" s="1221"/>
      <c r="AIU20" s="1221"/>
      <c r="AIV20" s="1221"/>
      <c r="AIW20" s="1221"/>
      <c r="AIX20" s="1221"/>
      <c r="AIY20" s="1221"/>
      <c r="AIZ20" s="1221"/>
      <c r="AJA20" s="1221"/>
      <c r="AJB20" s="1221"/>
      <c r="AJC20" s="1221"/>
      <c r="AJD20" s="1221"/>
      <c r="AJE20" s="1221"/>
      <c r="AJF20" s="1221"/>
      <c r="AJG20" s="1221"/>
      <c r="AJH20" s="1221"/>
      <c r="AJI20" s="1221"/>
      <c r="AJJ20" s="1221"/>
      <c r="AJK20" s="1221"/>
      <c r="AJL20" s="1221"/>
      <c r="AJM20" s="1221"/>
      <c r="AJN20" s="1221"/>
      <c r="AJO20" s="1221"/>
      <c r="AJP20" s="1221"/>
      <c r="AJQ20" s="1221"/>
      <c r="AJR20" s="1221"/>
      <c r="AJS20" s="1221"/>
      <c r="AJT20" s="1221"/>
      <c r="AJU20" s="1221"/>
      <c r="AJV20" s="1221"/>
      <c r="AJW20" s="1221"/>
      <c r="AJX20" s="1221"/>
      <c r="AJY20" s="1221"/>
      <c r="AJZ20" s="1221"/>
      <c r="AKA20" s="1221"/>
      <c r="AKB20" s="1221"/>
      <c r="AKC20" s="1221"/>
      <c r="AKD20" s="1221"/>
      <c r="AKE20" s="1221"/>
      <c r="AKF20" s="1221"/>
      <c r="AKG20" s="1221"/>
      <c r="AKH20" s="1221"/>
      <c r="AKI20" s="1221"/>
      <c r="AKJ20" s="1221"/>
      <c r="AKK20" s="1221"/>
      <c r="AKL20" s="1221"/>
      <c r="AKM20" s="1221"/>
      <c r="AKN20" s="1221"/>
      <c r="AKO20" s="1221"/>
      <c r="AKP20" s="1221"/>
      <c r="AKQ20" s="1221"/>
      <c r="AKR20" s="1221"/>
      <c r="AKS20" s="1221"/>
      <c r="AKT20" s="1221"/>
      <c r="AKU20" s="1221"/>
      <c r="AKV20" s="1221"/>
      <c r="AKW20" s="1221"/>
      <c r="AKX20" s="1221"/>
      <c r="AKY20" s="1221"/>
      <c r="AKZ20" s="1221"/>
      <c r="ALA20" s="1221"/>
      <c r="ALB20" s="1221"/>
      <c r="ALC20" s="1221"/>
      <c r="ALD20" s="1221"/>
      <c r="ALE20" s="1221"/>
      <c r="ALF20" s="1221"/>
      <c r="ALG20" s="1221"/>
      <c r="ALH20" s="1221"/>
      <c r="ALI20" s="1221"/>
      <c r="ALJ20" s="1221"/>
      <c r="ALK20" s="1221"/>
      <c r="ALL20" s="1221"/>
      <c r="ALM20" s="1221"/>
      <c r="ALN20" s="1221"/>
      <c r="ALO20" s="1221"/>
      <c r="ALP20" s="1221"/>
      <c r="ALQ20" s="1221"/>
      <c r="ALR20" s="1221"/>
      <c r="ALS20" s="1221"/>
      <c r="ALT20" s="1221"/>
      <c r="ALU20" s="1221"/>
      <c r="ALV20" s="1221"/>
      <c r="ALW20" s="1221"/>
      <c r="ALX20" s="1221"/>
      <c r="ALY20" s="1221"/>
      <c r="ALZ20" s="1221"/>
      <c r="AMA20" s="1221"/>
      <c r="AMB20" s="1221"/>
      <c r="AMC20" s="1221"/>
      <c r="AMD20" s="1221"/>
      <c r="AME20" s="1221"/>
      <c r="AMF20" s="1221"/>
      <c r="AMG20" s="1221"/>
      <c r="AMH20" s="1221"/>
      <c r="AMI20" s="1221"/>
      <c r="AMJ20" s="1221"/>
      <c r="AMK20" s="1221"/>
      <c r="AML20" s="1221"/>
      <c r="AMM20" s="1221"/>
      <c r="AMN20" s="1221"/>
      <c r="AMO20" s="1221"/>
      <c r="AMP20" s="1221"/>
      <c r="AMQ20" s="1221"/>
      <c r="AMR20" s="1221"/>
      <c r="AMS20" s="1221"/>
      <c r="AMT20" s="1221"/>
      <c r="AMU20" s="1221"/>
      <c r="AMV20" s="1221"/>
      <c r="AMW20" s="1221"/>
      <c r="AMX20" s="1221"/>
      <c r="AMY20" s="1221"/>
      <c r="AMZ20" s="1221"/>
      <c r="ANA20" s="1221"/>
      <c r="ANB20" s="1221"/>
      <c r="ANC20" s="1221"/>
      <c r="AND20" s="1221"/>
      <c r="ANE20" s="1221"/>
      <c r="ANF20" s="1221"/>
      <c r="ANG20" s="1221"/>
      <c r="ANH20" s="1221"/>
      <c r="ANI20" s="1221"/>
      <c r="ANJ20" s="1221"/>
      <c r="ANK20" s="1221"/>
      <c r="ANL20" s="1221"/>
      <c r="ANM20" s="1221"/>
      <c r="ANN20" s="1221"/>
      <c r="ANO20" s="1221"/>
      <c r="ANP20" s="1221"/>
      <c r="ANQ20" s="1221"/>
      <c r="ANR20" s="1221"/>
      <c r="ANS20" s="1221"/>
      <c r="ANT20" s="1221"/>
      <c r="ANU20" s="1221"/>
      <c r="ANV20" s="1221"/>
      <c r="ANW20" s="1221"/>
      <c r="ANX20" s="1221"/>
      <c r="ANY20" s="1221"/>
      <c r="ANZ20" s="1221"/>
      <c r="AOA20" s="1221"/>
      <c r="AOB20" s="1221"/>
      <c r="AOC20" s="1221"/>
      <c r="AOD20" s="1221"/>
      <c r="AOE20" s="1221"/>
      <c r="AOF20" s="1221"/>
      <c r="AOG20" s="1221"/>
      <c r="AOH20" s="1221"/>
      <c r="AOI20" s="1221"/>
      <c r="AOJ20" s="1221"/>
      <c r="AOK20" s="1221"/>
      <c r="AOL20" s="1221"/>
      <c r="AOM20" s="1221"/>
      <c r="AON20" s="1221"/>
      <c r="AOO20" s="1221"/>
      <c r="AOP20" s="1221"/>
      <c r="AOQ20" s="1221"/>
      <c r="AOR20" s="1221"/>
      <c r="AOS20" s="1221"/>
      <c r="AOT20" s="1221"/>
      <c r="AOU20" s="1221"/>
      <c r="AOV20" s="1221"/>
      <c r="AOW20" s="1221"/>
      <c r="AOX20" s="1221"/>
      <c r="AOY20" s="1221"/>
      <c r="AOZ20" s="1221"/>
      <c r="APA20" s="1221"/>
      <c r="APB20" s="1221"/>
      <c r="APC20" s="1221"/>
      <c r="APD20" s="1221"/>
      <c r="APE20" s="1221"/>
      <c r="APF20" s="1221"/>
      <c r="APG20" s="1221"/>
      <c r="APH20" s="1221"/>
      <c r="API20" s="1221"/>
      <c r="APJ20" s="1221"/>
      <c r="APK20" s="1221"/>
      <c r="APL20" s="1221"/>
      <c r="APM20" s="1221"/>
      <c r="APN20" s="1221"/>
      <c r="APO20" s="1221"/>
      <c r="APP20" s="1221"/>
      <c r="APQ20" s="1221"/>
      <c r="APR20" s="1221"/>
      <c r="APS20" s="1221"/>
      <c r="APT20" s="1221"/>
      <c r="APU20" s="1221"/>
      <c r="APV20" s="1221"/>
      <c r="APW20" s="1221"/>
      <c r="APX20" s="1221"/>
      <c r="APY20" s="1221"/>
      <c r="APZ20" s="1221"/>
      <c r="AQA20" s="1221"/>
      <c r="AQB20" s="1221"/>
      <c r="AQC20" s="1221"/>
      <c r="AQD20" s="1221"/>
      <c r="AQE20" s="1221"/>
      <c r="AQF20" s="1221"/>
      <c r="AQG20" s="1221"/>
      <c r="AQH20" s="1221"/>
      <c r="AQI20" s="1221"/>
      <c r="AQJ20" s="1221"/>
      <c r="AQK20" s="1221"/>
      <c r="AQL20" s="1221"/>
      <c r="AQM20" s="1221"/>
      <c r="AQN20" s="1221"/>
      <c r="AQO20" s="1221"/>
      <c r="AQP20" s="1221"/>
      <c r="AQQ20" s="1221"/>
      <c r="AQR20" s="1221"/>
      <c r="AQS20" s="1221"/>
      <c r="AQT20" s="1221"/>
      <c r="AQU20" s="1221"/>
      <c r="AQV20" s="1221"/>
      <c r="AQW20" s="1221"/>
      <c r="AQX20" s="1221"/>
      <c r="AQY20" s="1221"/>
      <c r="AQZ20" s="1221"/>
      <c r="ARA20" s="1221"/>
      <c r="ARB20" s="1221"/>
      <c r="ARC20" s="1221"/>
      <c r="ARD20" s="1221"/>
      <c r="ARE20" s="1221"/>
      <c r="ARF20" s="1221"/>
      <c r="ARG20" s="1221"/>
      <c r="ARH20" s="1221"/>
      <c r="ARI20" s="1221"/>
      <c r="ARJ20" s="1221"/>
      <c r="ARK20" s="1221"/>
      <c r="ARL20" s="1221"/>
      <c r="ARM20" s="1221"/>
      <c r="ARN20" s="1221"/>
      <c r="ARO20" s="1221"/>
      <c r="ARP20" s="1221"/>
      <c r="ARQ20" s="1221"/>
      <c r="ARR20" s="1221"/>
      <c r="ARS20" s="1221"/>
      <c r="ART20" s="1221"/>
      <c r="ARU20" s="1221"/>
      <c r="ARV20" s="1221"/>
      <c r="ARW20" s="1221"/>
      <c r="ARX20" s="1221"/>
      <c r="ARY20" s="1221"/>
      <c r="ARZ20" s="1221"/>
      <c r="ASA20" s="1221"/>
      <c r="ASB20" s="1221"/>
      <c r="ASC20" s="1221"/>
      <c r="ASD20" s="1221"/>
      <c r="ASE20" s="1221"/>
      <c r="ASF20" s="1221"/>
      <c r="ASG20" s="1221"/>
      <c r="ASH20" s="1221"/>
      <c r="ASI20" s="1221"/>
      <c r="ASJ20" s="1221"/>
      <c r="ASK20" s="1221"/>
      <c r="ASL20" s="1221"/>
      <c r="ASM20" s="1221"/>
      <c r="ASN20" s="1221"/>
      <c r="ASO20" s="1221"/>
      <c r="ASP20" s="1221"/>
      <c r="ASQ20" s="1221"/>
      <c r="ASR20" s="1221"/>
      <c r="ASS20" s="1221"/>
      <c r="AST20" s="1221"/>
      <c r="ASU20" s="1221"/>
      <c r="ASV20" s="1221"/>
      <c r="ASW20" s="1221"/>
      <c r="ASX20" s="1221"/>
      <c r="ASY20" s="1221"/>
      <c r="ASZ20" s="1221"/>
      <c r="ATA20" s="1221"/>
      <c r="ATB20" s="1221"/>
      <c r="ATC20" s="1221"/>
      <c r="ATD20" s="1221"/>
      <c r="ATE20" s="1221"/>
      <c r="ATF20" s="1221"/>
      <c r="ATG20" s="1221"/>
      <c r="ATH20" s="1221"/>
      <c r="ATI20" s="1221"/>
      <c r="ATJ20" s="1221"/>
      <c r="ATK20" s="1221"/>
      <c r="ATL20" s="1221"/>
      <c r="ATM20" s="1221"/>
      <c r="ATN20" s="1221"/>
      <c r="ATO20" s="1221"/>
      <c r="ATP20" s="1221"/>
      <c r="ATQ20" s="1221"/>
      <c r="ATR20" s="1221"/>
      <c r="ATS20" s="1221"/>
      <c r="ATT20" s="1221"/>
      <c r="ATU20" s="1221"/>
      <c r="ATV20" s="1221"/>
      <c r="ATW20" s="1221"/>
      <c r="ATX20" s="1221"/>
      <c r="ATY20" s="1221"/>
      <c r="ATZ20" s="1221"/>
      <c r="AUA20" s="1221"/>
      <c r="AUB20" s="1221"/>
      <c r="AUC20" s="1221"/>
      <c r="AUD20" s="1221"/>
      <c r="AUE20" s="1221"/>
      <c r="AUF20" s="1221"/>
      <c r="AUG20" s="1221"/>
      <c r="AUH20" s="1221"/>
      <c r="AUI20" s="1221"/>
      <c r="AUJ20" s="1221"/>
      <c r="AUK20" s="1221"/>
      <c r="AUL20" s="1221"/>
      <c r="AUM20" s="1221"/>
      <c r="AUN20" s="1221"/>
      <c r="AUO20" s="1221"/>
      <c r="AUP20" s="1221"/>
      <c r="AUQ20" s="1221"/>
      <c r="AUR20" s="1221"/>
      <c r="AUS20" s="1221"/>
      <c r="AUT20" s="1221"/>
      <c r="AUU20" s="1221"/>
      <c r="AUV20" s="1221"/>
      <c r="AUW20" s="1221"/>
      <c r="AUX20" s="1221"/>
      <c r="AUY20" s="1221"/>
      <c r="AUZ20" s="1221"/>
      <c r="AVA20" s="1221"/>
      <c r="AVB20" s="1221"/>
      <c r="AVC20" s="1221"/>
      <c r="AVD20" s="1221"/>
      <c r="AVE20" s="1221"/>
      <c r="AVF20" s="1221"/>
      <c r="AVG20" s="1221"/>
      <c r="AVH20" s="1221"/>
      <c r="AVI20" s="1221"/>
      <c r="AVJ20" s="1221"/>
      <c r="AVK20" s="1221"/>
      <c r="AVL20" s="1221"/>
      <c r="AVM20" s="1221"/>
      <c r="AVN20" s="1221"/>
      <c r="AVO20" s="1221"/>
      <c r="AVP20" s="1221"/>
      <c r="AVQ20" s="1221"/>
      <c r="AVR20" s="1221"/>
      <c r="AVS20" s="1221"/>
      <c r="AVT20" s="1221"/>
      <c r="AVU20" s="1221"/>
      <c r="AVV20" s="1221"/>
      <c r="AVW20" s="1221"/>
      <c r="AVX20" s="1221"/>
      <c r="AVY20" s="1221"/>
      <c r="AVZ20" s="1221"/>
      <c r="AWA20" s="1221"/>
      <c r="AWB20" s="1221"/>
      <c r="AWC20" s="1221"/>
      <c r="AWD20" s="1221"/>
      <c r="AWE20" s="1221"/>
      <c r="AWF20" s="1221"/>
      <c r="AWG20" s="1221"/>
      <c r="AWH20" s="1221"/>
      <c r="AWI20" s="1221"/>
      <c r="AWJ20" s="1221"/>
      <c r="AWK20" s="1221"/>
      <c r="AWL20" s="1221"/>
      <c r="AWM20" s="1221"/>
      <c r="AWN20" s="1221"/>
      <c r="AWO20" s="1221"/>
      <c r="AWP20" s="1221"/>
      <c r="AWQ20" s="1221"/>
      <c r="AWR20" s="1221"/>
      <c r="AWS20" s="1221"/>
      <c r="AWT20" s="1221"/>
      <c r="AWU20" s="1221"/>
      <c r="AWV20" s="1221"/>
      <c r="AWW20" s="1221"/>
      <c r="AWX20" s="1221"/>
      <c r="AWY20" s="1221"/>
      <c r="AWZ20" s="1221"/>
      <c r="AXA20" s="1221"/>
      <c r="AXB20" s="1221"/>
      <c r="AXC20" s="1221"/>
      <c r="AXD20" s="1221"/>
      <c r="AXE20" s="1221"/>
      <c r="AXF20" s="1221"/>
      <c r="AXG20" s="1221"/>
      <c r="AXH20" s="1221"/>
      <c r="AXI20" s="1221"/>
      <c r="AXJ20" s="1221"/>
      <c r="AXK20" s="1221"/>
      <c r="AXL20" s="1221"/>
      <c r="AXM20" s="1221"/>
      <c r="AXN20" s="1221"/>
      <c r="AXO20" s="1221"/>
      <c r="AXP20" s="1221"/>
      <c r="AXQ20" s="1221"/>
      <c r="AXR20" s="1221"/>
      <c r="AXS20" s="1221"/>
      <c r="AXT20" s="1221"/>
      <c r="AXU20" s="1221"/>
      <c r="AXV20" s="1221"/>
      <c r="AXW20" s="1221"/>
      <c r="AXX20" s="1221"/>
      <c r="AXY20" s="1221"/>
      <c r="AXZ20" s="1221"/>
      <c r="AYA20" s="1221"/>
      <c r="AYB20" s="1221"/>
      <c r="AYC20" s="1221"/>
      <c r="AYD20" s="1221"/>
      <c r="AYE20" s="1221"/>
      <c r="AYF20" s="1221"/>
      <c r="AYG20" s="1221"/>
      <c r="AYH20" s="1221"/>
      <c r="AYI20" s="1221"/>
      <c r="AYJ20" s="1221"/>
      <c r="AYK20" s="1221"/>
      <c r="AYL20" s="1221"/>
      <c r="AYM20" s="1221"/>
      <c r="AYN20" s="1221"/>
      <c r="AYO20" s="1221"/>
      <c r="AYP20" s="1221"/>
      <c r="AYQ20" s="1221"/>
      <c r="AYR20" s="1221"/>
      <c r="AYS20" s="1221"/>
      <c r="AYT20" s="1221"/>
      <c r="AYU20" s="1221"/>
      <c r="AYV20" s="1221"/>
      <c r="AYW20" s="1221"/>
      <c r="AYX20" s="1221"/>
      <c r="AYY20" s="1221"/>
      <c r="AYZ20" s="1221"/>
      <c r="AZA20" s="1221"/>
      <c r="AZB20" s="1221"/>
      <c r="AZC20" s="1221"/>
      <c r="AZD20" s="1221"/>
      <c r="AZE20" s="1221"/>
      <c r="AZF20" s="1221"/>
      <c r="AZG20" s="1221"/>
      <c r="AZH20" s="1221"/>
      <c r="AZI20" s="1221"/>
      <c r="AZJ20" s="1221"/>
      <c r="AZK20" s="1221"/>
      <c r="AZL20" s="1221"/>
      <c r="AZM20" s="1221"/>
      <c r="AZN20" s="1221"/>
      <c r="AZO20" s="1221"/>
      <c r="AZP20" s="1221"/>
      <c r="AZQ20" s="1221"/>
      <c r="AZR20" s="1221"/>
      <c r="AZS20" s="1221"/>
      <c r="AZT20" s="1221"/>
      <c r="AZU20" s="1221"/>
      <c r="AZV20" s="1221"/>
      <c r="AZW20" s="1221"/>
      <c r="AZX20" s="1221"/>
      <c r="AZY20" s="1221"/>
      <c r="AZZ20" s="1221"/>
      <c r="BAA20" s="1221"/>
      <c r="BAB20" s="1221"/>
      <c r="BAC20" s="1221"/>
      <c r="BAD20" s="1221"/>
      <c r="BAE20" s="1221"/>
      <c r="BAF20" s="1221"/>
      <c r="BAG20" s="1221"/>
      <c r="BAH20" s="1221"/>
      <c r="BAI20" s="1221"/>
      <c r="BAJ20" s="1221"/>
      <c r="BAK20" s="1221"/>
      <c r="BAL20" s="1221"/>
      <c r="BAM20" s="1221"/>
      <c r="BAN20" s="1221"/>
      <c r="BAO20" s="1221"/>
      <c r="BAP20" s="1221"/>
      <c r="BAQ20" s="1221"/>
      <c r="BAR20" s="1221"/>
      <c r="BAS20" s="1221"/>
      <c r="BAT20" s="1221"/>
      <c r="BAU20" s="1221"/>
      <c r="BAV20" s="1221"/>
      <c r="BAW20" s="1221"/>
      <c r="BAX20" s="1221"/>
      <c r="BAY20" s="1221"/>
      <c r="BAZ20" s="1221"/>
      <c r="BBA20" s="1221"/>
      <c r="BBB20" s="1221"/>
      <c r="BBC20" s="1221"/>
      <c r="BBD20" s="1221"/>
      <c r="BBE20" s="1221"/>
      <c r="BBF20" s="1221"/>
      <c r="BBG20" s="1221"/>
      <c r="BBH20" s="1221"/>
      <c r="BBI20" s="1221"/>
      <c r="BBJ20" s="1221"/>
      <c r="BBK20" s="1221"/>
      <c r="BBL20" s="1221"/>
      <c r="BBM20" s="1221"/>
      <c r="BBN20" s="1221"/>
      <c r="BBO20" s="1221"/>
      <c r="BBP20" s="1221"/>
      <c r="BBQ20" s="1221"/>
      <c r="BBR20" s="1221"/>
      <c r="BBS20" s="1221"/>
      <c r="BBT20" s="1221"/>
      <c r="BBU20" s="1221"/>
      <c r="BBV20" s="1221"/>
      <c r="BBW20" s="1221"/>
      <c r="BBX20" s="1221"/>
      <c r="BBY20" s="1221"/>
      <c r="BBZ20" s="1221"/>
      <c r="BCA20" s="1221"/>
      <c r="BCB20" s="1221"/>
      <c r="BCC20" s="1221"/>
      <c r="BCD20" s="1221"/>
      <c r="BCE20" s="1221"/>
      <c r="BCF20" s="1221"/>
      <c r="BCG20" s="1221"/>
      <c r="BCH20" s="1221"/>
      <c r="BCI20" s="1221"/>
      <c r="BCJ20" s="1221"/>
      <c r="BCK20" s="1221"/>
      <c r="BCL20" s="1221"/>
      <c r="BCM20" s="1221"/>
      <c r="BCN20" s="1221"/>
      <c r="BCO20" s="1221"/>
      <c r="BCP20" s="1221"/>
      <c r="BCQ20" s="1221"/>
      <c r="BCR20" s="1221"/>
      <c r="BCS20" s="1221"/>
      <c r="BCT20" s="1221"/>
      <c r="BCU20" s="1221"/>
      <c r="BCV20" s="1221"/>
      <c r="BCW20" s="1221"/>
      <c r="BCX20" s="1221"/>
      <c r="BCY20" s="1221"/>
      <c r="BCZ20" s="1221"/>
      <c r="BDA20" s="1221"/>
      <c r="BDB20" s="1221"/>
      <c r="BDC20" s="1221"/>
      <c r="BDD20" s="1221"/>
      <c r="BDE20" s="1221"/>
      <c r="BDF20" s="1221"/>
      <c r="BDG20" s="1221"/>
      <c r="BDH20" s="1221"/>
      <c r="BDI20" s="1221"/>
      <c r="BDJ20" s="1221"/>
      <c r="BDK20" s="1221"/>
      <c r="BDL20" s="1221"/>
      <c r="BDM20" s="1221"/>
      <c r="BDN20" s="1221"/>
      <c r="BDO20" s="1221"/>
      <c r="BDP20" s="1221"/>
      <c r="BDQ20" s="1221"/>
      <c r="BDR20" s="1221"/>
      <c r="BDS20" s="1221"/>
      <c r="BDT20" s="1221"/>
      <c r="BDU20" s="1221"/>
      <c r="BDV20" s="1221"/>
      <c r="BDW20" s="1221"/>
      <c r="BDX20" s="1221"/>
      <c r="BDY20" s="1221"/>
      <c r="BDZ20" s="1221"/>
      <c r="BEA20" s="1221"/>
      <c r="BEB20" s="1221"/>
      <c r="BEC20" s="1221"/>
      <c r="BED20" s="1221"/>
      <c r="BEE20" s="1221"/>
      <c r="BEF20" s="1221"/>
      <c r="BEG20" s="1221"/>
      <c r="BEH20" s="1221"/>
      <c r="BEI20" s="1221"/>
      <c r="BEJ20" s="1221"/>
      <c r="BEK20" s="1221"/>
      <c r="BEL20" s="1221"/>
      <c r="BEM20" s="1221"/>
      <c r="BEN20" s="1221"/>
      <c r="BEO20" s="1221"/>
      <c r="BEP20" s="1221"/>
      <c r="BEQ20" s="1221"/>
      <c r="BER20" s="1221"/>
      <c r="BES20" s="1221"/>
      <c r="BET20" s="1221"/>
      <c r="BEU20" s="1221"/>
      <c r="BEV20" s="1221"/>
      <c r="BEW20" s="1221"/>
      <c r="BEX20" s="1221"/>
      <c r="BEY20" s="1221"/>
      <c r="BEZ20" s="1221"/>
      <c r="BFA20" s="1221"/>
      <c r="BFB20" s="1221"/>
      <c r="BFC20" s="1221"/>
      <c r="BFD20" s="1221"/>
      <c r="BFE20" s="1221"/>
      <c r="BFF20" s="1221"/>
      <c r="BFG20" s="1221"/>
      <c r="BFH20" s="1221"/>
      <c r="BFI20" s="1221"/>
      <c r="BFJ20" s="1221"/>
      <c r="BFK20" s="1221"/>
      <c r="BFL20" s="1221"/>
      <c r="BFM20" s="1221"/>
      <c r="BFN20" s="1221"/>
      <c r="BFO20" s="1221"/>
      <c r="BFP20" s="1221"/>
      <c r="BFQ20" s="1221"/>
      <c r="BFR20" s="1221"/>
      <c r="BFS20" s="1221"/>
      <c r="BFT20" s="1221"/>
      <c r="BFU20" s="1221"/>
      <c r="BFV20" s="1221"/>
      <c r="BFW20" s="1221"/>
      <c r="BFX20" s="1221"/>
      <c r="BFY20" s="1221"/>
      <c r="BFZ20" s="1221"/>
      <c r="BGA20" s="1221"/>
      <c r="BGB20" s="1221"/>
      <c r="BGC20" s="1221"/>
      <c r="BGD20" s="1221"/>
      <c r="BGE20" s="1221"/>
      <c r="BGF20" s="1221"/>
      <c r="BGG20" s="1221"/>
      <c r="BGH20" s="1221"/>
      <c r="BGI20" s="1221"/>
      <c r="BGJ20" s="1221"/>
      <c r="BGK20" s="1221"/>
      <c r="BGL20" s="1221"/>
      <c r="BGM20" s="1221"/>
      <c r="BGN20" s="1221"/>
      <c r="BGO20" s="1221"/>
      <c r="BGP20" s="1221"/>
      <c r="BGQ20" s="1221"/>
      <c r="BGR20" s="1221"/>
      <c r="BGS20" s="1221"/>
      <c r="BGT20" s="1221"/>
      <c r="BGU20" s="1221"/>
      <c r="BGV20" s="1221"/>
      <c r="BGW20" s="1221"/>
      <c r="BGX20" s="1221"/>
      <c r="BGY20" s="1221"/>
      <c r="BGZ20" s="1221"/>
      <c r="BHA20" s="1221"/>
      <c r="BHB20" s="1221"/>
      <c r="BHC20" s="1221"/>
      <c r="BHD20" s="1221"/>
      <c r="BHE20" s="1221"/>
      <c r="BHF20" s="1221"/>
      <c r="BHG20" s="1221"/>
      <c r="BHH20" s="1221"/>
      <c r="BHI20" s="1221"/>
      <c r="BHJ20" s="1221"/>
      <c r="BHK20" s="1221"/>
      <c r="BHL20" s="1221"/>
      <c r="BHM20" s="1221"/>
      <c r="BHN20" s="1221"/>
      <c r="BHO20" s="1221"/>
      <c r="BHP20" s="1221"/>
      <c r="BHQ20" s="1221"/>
      <c r="BHR20" s="1221"/>
      <c r="BHS20" s="1221"/>
      <c r="BHT20" s="1221"/>
      <c r="BHU20" s="1221"/>
      <c r="BHV20" s="1221"/>
      <c r="BHW20" s="1221"/>
      <c r="BHX20" s="1221"/>
      <c r="BHY20" s="1221"/>
      <c r="BHZ20" s="1221"/>
      <c r="BIA20" s="1221"/>
      <c r="BIB20" s="1221"/>
      <c r="BIC20" s="1221"/>
      <c r="BID20" s="1221"/>
      <c r="BIE20" s="1221"/>
      <c r="BIF20" s="1221"/>
      <c r="BIG20" s="1221"/>
      <c r="BIH20" s="1221"/>
      <c r="BII20" s="1221"/>
      <c r="BIJ20" s="1221"/>
      <c r="BIK20" s="1221"/>
      <c r="BIL20" s="1221"/>
      <c r="BIM20" s="1221"/>
      <c r="BIN20" s="1221"/>
      <c r="BIO20" s="1221"/>
      <c r="BIP20" s="1221"/>
      <c r="BIQ20" s="1221"/>
      <c r="BIR20" s="1221"/>
      <c r="BIS20" s="1221"/>
      <c r="BIT20" s="1221"/>
      <c r="BIU20" s="1221"/>
      <c r="BIV20" s="1221"/>
      <c r="BIW20" s="1221"/>
      <c r="BIX20" s="1221"/>
      <c r="BIY20" s="1221"/>
      <c r="BIZ20" s="1221"/>
      <c r="BJA20" s="1221"/>
      <c r="BJB20" s="1221"/>
      <c r="BJC20" s="1221"/>
      <c r="BJD20" s="1221"/>
      <c r="BJE20" s="1221"/>
      <c r="BJF20" s="1221"/>
      <c r="BJG20" s="1221"/>
      <c r="BJH20" s="1221"/>
      <c r="BJI20" s="1221"/>
      <c r="BJJ20" s="1221"/>
      <c r="BJK20" s="1221"/>
      <c r="BJL20" s="1221"/>
      <c r="BJM20" s="1221"/>
      <c r="BJN20" s="1221"/>
      <c r="BJO20" s="1221"/>
      <c r="BJP20" s="1221"/>
      <c r="BJQ20" s="1221"/>
      <c r="BJR20" s="1221"/>
      <c r="BJS20" s="1221"/>
      <c r="BJT20" s="1221"/>
      <c r="BJU20" s="1221"/>
      <c r="BJV20" s="1221"/>
      <c r="BJW20" s="1221"/>
      <c r="BJX20" s="1221"/>
      <c r="BJY20" s="1221"/>
      <c r="BJZ20" s="1221"/>
      <c r="BKA20" s="1221"/>
      <c r="BKB20" s="1221"/>
      <c r="BKC20" s="1221"/>
      <c r="BKD20" s="1221"/>
      <c r="BKE20" s="1221"/>
      <c r="BKF20" s="1221"/>
      <c r="BKG20" s="1221"/>
      <c r="BKH20" s="1221"/>
      <c r="BKI20" s="1221"/>
      <c r="BKJ20" s="1221"/>
      <c r="BKK20" s="1221"/>
      <c r="BKL20" s="1221"/>
      <c r="BKM20" s="1221"/>
      <c r="BKN20" s="1221"/>
      <c r="BKO20" s="1221"/>
      <c r="BKP20" s="1221"/>
      <c r="BKQ20" s="1221"/>
      <c r="BKR20" s="1221"/>
      <c r="BKS20" s="1221"/>
      <c r="BKT20" s="1221"/>
      <c r="BKU20" s="1221"/>
      <c r="BKV20" s="1221"/>
      <c r="BKW20" s="1221"/>
      <c r="BKX20" s="1221"/>
      <c r="BKY20" s="1221"/>
      <c r="BKZ20" s="1221"/>
      <c r="BLA20" s="1221"/>
      <c r="BLB20" s="1221"/>
      <c r="BLC20" s="1221"/>
      <c r="BLD20" s="1221"/>
      <c r="BLE20" s="1221"/>
      <c r="BLF20" s="1221"/>
      <c r="BLG20" s="1221"/>
      <c r="BLH20" s="1221"/>
      <c r="BLI20" s="1221"/>
      <c r="BLJ20" s="1221"/>
      <c r="BLK20" s="1221"/>
      <c r="BLL20" s="1221"/>
      <c r="BLM20" s="1221"/>
      <c r="BLN20" s="1221"/>
      <c r="BLO20" s="1221"/>
      <c r="BLP20" s="1221"/>
      <c r="BLQ20" s="1221"/>
      <c r="BLR20" s="1221"/>
      <c r="BLS20" s="1221"/>
      <c r="BLT20" s="1221"/>
      <c r="BLU20" s="1221"/>
      <c r="BLV20" s="1221"/>
      <c r="BLW20" s="1221"/>
      <c r="BLX20" s="1221"/>
      <c r="BLY20" s="1221"/>
      <c r="BLZ20" s="1221"/>
      <c r="BMA20" s="1221"/>
      <c r="BMB20" s="1221"/>
      <c r="BMC20" s="1221"/>
      <c r="BMD20" s="1221"/>
      <c r="BME20" s="1221"/>
      <c r="BMF20" s="1221"/>
      <c r="BMG20" s="1221"/>
      <c r="BMH20" s="1221"/>
      <c r="BMI20" s="1221"/>
      <c r="BMJ20" s="1221"/>
      <c r="BMK20" s="1221"/>
      <c r="BML20" s="1221"/>
      <c r="BMM20" s="1221"/>
      <c r="BMN20" s="1221"/>
      <c r="BMO20" s="1221"/>
      <c r="BMP20" s="1221"/>
      <c r="BMQ20" s="1221"/>
      <c r="BMR20" s="1221"/>
      <c r="BMS20" s="1221"/>
      <c r="BMT20" s="1221"/>
      <c r="BMU20" s="1221"/>
      <c r="BMV20" s="1221"/>
      <c r="BMW20" s="1221"/>
      <c r="BMX20" s="1221"/>
      <c r="BMY20" s="1221"/>
      <c r="BMZ20" s="1221"/>
      <c r="BNA20" s="1221"/>
      <c r="BNB20" s="1221"/>
      <c r="BNC20" s="1221"/>
      <c r="BND20" s="1221"/>
      <c r="BNE20" s="1221"/>
      <c r="BNF20" s="1221"/>
      <c r="BNG20" s="1221"/>
      <c r="BNH20" s="1221"/>
      <c r="BNI20" s="1221"/>
      <c r="BNJ20" s="1221"/>
      <c r="BNK20" s="1221"/>
      <c r="BNL20" s="1221"/>
      <c r="BNM20" s="1221"/>
      <c r="BNN20" s="1221"/>
      <c r="BNO20" s="1221"/>
      <c r="BNP20" s="1221"/>
      <c r="BNQ20" s="1221"/>
      <c r="BNR20" s="1221"/>
      <c r="BNS20" s="1221"/>
      <c r="BNT20" s="1221"/>
      <c r="BNU20" s="1221"/>
      <c r="BNV20" s="1221"/>
      <c r="BNW20" s="1221"/>
      <c r="BNX20" s="1221"/>
      <c r="BNY20" s="1221"/>
      <c r="BNZ20" s="1221"/>
      <c r="BOA20" s="1221"/>
      <c r="BOB20" s="1221"/>
      <c r="BOC20" s="1221"/>
      <c r="BOD20" s="1221"/>
      <c r="BOE20" s="1221"/>
      <c r="BOF20" s="1221"/>
      <c r="BOG20" s="1221"/>
      <c r="BOH20" s="1221"/>
      <c r="BOI20" s="1221"/>
      <c r="BOJ20" s="1221"/>
      <c r="BOK20" s="1221"/>
      <c r="BOL20" s="1221"/>
      <c r="BOM20" s="1221"/>
      <c r="BON20" s="1221"/>
      <c r="BOO20" s="1221"/>
      <c r="BOP20" s="1221"/>
      <c r="BOQ20" s="1221"/>
      <c r="BOR20" s="1221"/>
      <c r="BOS20" s="1221"/>
      <c r="BOT20" s="1221"/>
      <c r="BOU20" s="1221"/>
      <c r="BOV20" s="1221"/>
      <c r="BOW20" s="1221"/>
      <c r="BOX20" s="1221"/>
      <c r="BOY20" s="1221"/>
      <c r="BOZ20" s="1221"/>
      <c r="BPA20" s="1221"/>
      <c r="BPB20" s="1221"/>
      <c r="BPC20" s="1221"/>
      <c r="BPD20" s="1221"/>
      <c r="BPE20" s="1221"/>
      <c r="BPF20" s="1221"/>
      <c r="BPG20" s="1221"/>
      <c r="BPH20" s="1221"/>
      <c r="BPI20" s="1221"/>
      <c r="BPJ20" s="1221"/>
      <c r="BPK20" s="1221"/>
      <c r="BPL20" s="1221"/>
      <c r="BPM20" s="1221"/>
      <c r="BPN20" s="1221"/>
      <c r="BPO20" s="1221"/>
      <c r="BPP20" s="1221"/>
      <c r="BPQ20" s="1221"/>
      <c r="BPR20" s="1221"/>
      <c r="BPS20" s="1221"/>
      <c r="BPT20" s="1221"/>
      <c r="BPU20" s="1221"/>
      <c r="BPV20" s="1221"/>
      <c r="BPW20" s="1221"/>
      <c r="BPX20" s="1221"/>
      <c r="BPY20" s="1221"/>
      <c r="BPZ20" s="1221"/>
      <c r="BQA20" s="1221"/>
      <c r="BQB20" s="1221"/>
      <c r="BQC20" s="1221"/>
      <c r="BQD20" s="1221"/>
      <c r="BQE20" s="1221"/>
      <c r="BQF20" s="1221"/>
      <c r="BQG20" s="1221"/>
      <c r="BQH20" s="1221"/>
      <c r="BQI20" s="1221"/>
      <c r="BQJ20" s="1221"/>
      <c r="BQK20" s="1221"/>
      <c r="BQL20" s="1221"/>
      <c r="BQM20" s="1221"/>
      <c r="BQN20" s="1221"/>
      <c r="BQO20" s="1221"/>
      <c r="BQP20" s="1221"/>
      <c r="BQQ20" s="1221"/>
      <c r="BQR20" s="1221"/>
      <c r="BQS20" s="1221"/>
      <c r="BQT20" s="1221"/>
      <c r="BQU20" s="1221"/>
      <c r="BQV20" s="1221"/>
      <c r="BQW20" s="1221"/>
      <c r="BQX20" s="1221"/>
      <c r="BQY20" s="1221"/>
      <c r="BQZ20" s="1221"/>
      <c r="BRA20" s="1221"/>
      <c r="BRB20" s="1221"/>
      <c r="BRC20" s="1221"/>
      <c r="BRD20" s="1221"/>
      <c r="BRE20" s="1221"/>
      <c r="BRF20" s="1221"/>
      <c r="BRG20" s="1221"/>
      <c r="BRH20" s="1221"/>
      <c r="BRI20" s="1221"/>
      <c r="BRJ20" s="1221"/>
      <c r="BRK20" s="1221"/>
      <c r="BRL20" s="1221"/>
      <c r="BRM20" s="1221"/>
      <c r="BRN20" s="1221"/>
      <c r="BRO20" s="1221"/>
      <c r="BRP20" s="1221"/>
      <c r="BRQ20" s="1221"/>
      <c r="BRR20" s="1221"/>
      <c r="BRS20" s="1221"/>
      <c r="BRT20" s="1221"/>
      <c r="BRU20" s="1221"/>
      <c r="BRV20" s="1221"/>
      <c r="BRW20" s="1221"/>
      <c r="BRX20" s="1221"/>
      <c r="BRY20" s="1221"/>
      <c r="BRZ20" s="1221"/>
      <c r="BSA20" s="1221"/>
      <c r="BSB20" s="1221"/>
      <c r="BSC20" s="1221"/>
      <c r="BSD20" s="1221"/>
      <c r="BSE20" s="1221"/>
      <c r="BSF20" s="1221"/>
      <c r="BSG20" s="1221"/>
      <c r="BSH20" s="1221"/>
      <c r="BSI20" s="1221"/>
      <c r="BSJ20" s="1221"/>
      <c r="BSK20" s="1221"/>
      <c r="BSL20" s="1221"/>
      <c r="BSM20" s="1221"/>
      <c r="BSN20" s="1221"/>
      <c r="BSO20" s="1221"/>
      <c r="BSP20" s="1221"/>
      <c r="BSQ20" s="1221"/>
      <c r="BSR20" s="1221"/>
      <c r="BSS20" s="1221"/>
      <c r="BST20" s="1221"/>
      <c r="BSU20" s="1221"/>
      <c r="BSV20" s="1221"/>
      <c r="BSW20" s="1221"/>
      <c r="BSX20" s="1221"/>
      <c r="BSY20" s="1221"/>
      <c r="BSZ20" s="1221"/>
      <c r="BTA20" s="1221"/>
      <c r="BTB20" s="1221"/>
      <c r="BTC20" s="1221"/>
      <c r="BTD20" s="1221"/>
      <c r="BTE20" s="1221"/>
      <c r="BTF20" s="1221"/>
      <c r="BTG20" s="1221"/>
      <c r="BTH20" s="1221"/>
      <c r="BTI20" s="1221"/>
      <c r="BTJ20" s="1221"/>
      <c r="BTK20" s="1221"/>
      <c r="BTL20" s="1221"/>
      <c r="BTM20" s="1221"/>
      <c r="BTN20" s="1221"/>
      <c r="BTO20" s="1221"/>
      <c r="BTP20" s="1221"/>
      <c r="BTQ20" s="1221"/>
      <c r="BTR20" s="1221"/>
      <c r="BTS20" s="1221"/>
      <c r="BTT20" s="1221"/>
      <c r="BTU20" s="1221"/>
      <c r="BTV20" s="1221"/>
      <c r="BTW20" s="1221"/>
      <c r="BTX20" s="1221"/>
      <c r="BTY20" s="1221"/>
      <c r="BTZ20" s="1221"/>
      <c r="BUA20" s="1221"/>
      <c r="BUB20" s="1221"/>
      <c r="BUC20" s="1221"/>
      <c r="BUD20" s="1221"/>
      <c r="BUE20" s="1221"/>
      <c r="BUF20" s="1221"/>
      <c r="BUG20" s="1221"/>
      <c r="BUH20" s="1221"/>
      <c r="BUI20" s="1221"/>
      <c r="BUJ20" s="1221"/>
      <c r="BUK20" s="1221"/>
      <c r="BUL20" s="1221"/>
      <c r="BUM20" s="1221"/>
      <c r="BUN20" s="1221"/>
      <c r="BUO20" s="1221"/>
      <c r="BUP20" s="1221"/>
      <c r="BUQ20" s="1221"/>
      <c r="BUR20" s="1221"/>
      <c r="BUS20" s="1221"/>
      <c r="BUT20" s="1221"/>
      <c r="BUU20" s="1221"/>
      <c r="BUV20" s="1221"/>
      <c r="BUW20" s="1221"/>
      <c r="BUX20" s="1221"/>
      <c r="BUY20" s="1221"/>
      <c r="BUZ20" s="1221"/>
      <c r="BVA20" s="1221"/>
      <c r="BVB20" s="1221"/>
      <c r="BVC20" s="1221"/>
      <c r="BVD20" s="1221"/>
      <c r="BVE20" s="1221"/>
      <c r="BVF20" s="1221"/>
      <c r="BVG20" s="1221"/>
      <c r="BVH20" s="1221"/>
      <c r="BVI20" s="1221"/>
      <c r="BVJ20" s="1221"/>
      <c r="BVK20" s="1221"/>
      <c r="BVL20" s="1221"/>
      <c r="BVM20" s="1221"/>
      <c r="BVN20" s="1221"/>
      <c r="BVO20" s="1221"/>
      <c r="BVP20" s="1221"/>
      <c r="BVQ20" s="1221"/>
      <c r="BVR20" s="1221"/>
      <c r="BVS20" s="1221"/>
      <c r="BVT20" s="1221"/>
      <c r="BVU20" s="1221"/>
      <c r="BVV20" s="1221"/>
      <c r="BVW20" s="1221"/>
      <c r="BVX20" s="1221"/>
      <c r="BVY20" s="1221"/>
      <c r="BVZ20" s="1221"/>
      <c r="BWA20" s="1221"/>
      <c r="BWB20" s="1221"/>
      <c r="BWC20" s="1221"/>
      <c r="BWD20" s="1221"/>
      <c r="BWE20" s="1221"/>
      <c r="BWF20" s="1221"/>
      <c r="BWG20" s="1221"/>
      <c r="BWH20" s="1221"/>
      <c r="BWI20" s="1221"/>
      <c r="BWJ20" s="1221"/>
      <c r="BWK20" s="1221"/>
      <c r="BWL20" s="1221"/>
      <c r="BWM20" s="1221"/>
      <c r="BWN20" s="1221"/>
      <c r="BWO20" s="1221"/>
      <c r="BWP20" s="1221"/>
      <c r="BWQ20" s="1221"/>
      <c r="BWR20" s="1221"/>
      <c r="BWS20" s="1221"/>
      <c r="BWT20" s="1221"/>
      <c r="BWU20" s="1221"/>
      <c r="BWV20" s="1221"/>
      <c r="BWW20" s="1221"/>
      <c r="BWX20" s="1221"/>
      <c r="BWY20" s="1221"/>
      <c r="BWZ20" s="1221"/>
      <c r="BXA20" s="1221"/>
      <c r="BXB20" s="1221"/>
      <c r="BXC20" s="1221"/>
      <c r="BXD20" s="1221"/>
      <c r="BXE20" s="1221"/>
      <c r="BXF20" s="1221"/>
      <c r="BXG20" s="1221"/>
      <c r="BXH20" s="1221"/>
      <c r="BXI20" s="1221"/>
      <c r="BXJ20" s="1221"/>
      <c r="BXK20" s="1221"/>
      <c r="BXL20" s="1221"/>
      <c r="BXM20" s="1221"/>
      <c r="BXN20" s="1221"/>
      <c r="BXO20" s="1221"/>
      <c r="BXP20" s="1221"/>
      <c r="BXQ20" s="1221"/>
      <c r="BXR20" s="1221"/>
      <c r="BXS20" s="1221"/>
      <c r="BXT20" s="1221"/>
      <c r="BXU20" s="1221"/>
      <c r="BXV20" s="1221"/>
      <c r="BXW20" s="1221"/>
      <c r="BXX20" s="1221"/>
      <c r="BXY20" s="1221"/>
      <c r="BXZ20" s="1221"/>
      <c r="BYA20" s="1221"/>
      <c r="BYB20" s="1221"/>
      <c r="BYC20" s="1221"/>
      <c r="BYD20" s="1221"/>
      <c r="BYE20" s="1221"/>
      <c r="BYF20" s="1221"/>
      <c r="BYG20" s="1221"/>
      <c r="BYH20" s="1221"/>
      <c r="BYI20" s="1221"/>
      <c r="BYJ20" s="1221"/>
      <c r="BYK20" s="1221"/>
      <c r="BYL20" s="1221"/>
      <c r="BYM20" s="1221"/>
      <c r="BYN20" s="1221"/>
      <c r="BYO20" s="1221"/>
      <c r="BYP20" s="1221"/>
      <c r="BYQ20" s="1221"/>
      <c r="BYR20" s="1221"/>
      <c r="BYS20" s="1221"/>
      <c r="BYT20" s="1221"/>
      <c r="BYU20" s="1221"/>
      <c r="BYV20" s="1221"/>
      <c r="BYW20" s="1221"/>
      <c r="BYX20" s="1221"/>
      <c r="BYY20" s="1221"/>
      <c r="BYZ20" s="1221"/>
      <c r="BZA20" s="1221"/>
      <c r="BZB20" s="1221"/>
      <c r="BZC20" s="1221"/>
      <c r="BZD20" s="1221"/>
      <c r="BZE20" s="1221"/>
      <c r="BZF20" s="1221"/>
      <c r="BZG20" s="1221"/>
      <c r="BZH20" s="1221"/>
      <c r="BZI20" s="1221"/>
      <c r="BZJ20" s="1221"/>
      <c r="BZK20" s="1221"/>
      <c r="BZL20" s="1221"/>
      <c r="BZM20" s="1221"/>
      <c r="BZN20" s="1221"/>
      <c r="BZO20" s="1221"/>
      <c r="BZP20" s="1221"/>
      <c r="BZQ20" s="1221"/>
      <c r="BZR20" s="1221"/>
      <c r="BZS20" s="1221"/>
      <c r="BZT20" s="1221"/>
      <c r="BZU20" s="1221"/>
      <c r="BZV20" s="1221"/>
      <c r="BZW20" s="1221"/>
      <c r="BZX20" s="1221"/>
      <c r="BZY20" s="1221"/>
      <c r="BZZ20" s="1221"/>
      <c r="CAA20" s="1221"/>
      <c r="CAB20" s="1221"/>
      <c r="CAC20" s="1221"/>
      <c r="CAD20" s="1221"/>
      <c r="CAE20" s="1221"/>
      <c r="CAF20" s="1221"/>
      <c r="CAG20" s="1221"/>
      <c r="CAH20" s="1221"/>
      <c r="CAI20" s="1221"/>
      <c r="CAJ20" s="1221"/>
      <c r="CAK20" s="1221"/>
      <c r="CAL20" s="1221"/>
      <c r="CAM20" s="1221"/>
      <c r="CAN20" s="1221"/>
      <c r="CAO20" s="1221"/>
      <c r="CAP20" s="1221"/>
      <c r="CAQ20" s="1221"/>
      <c r="CAR20" s="1221"/>
      <c r="CAS20" s="1221"/>
      <c r="CAT20" s="1221"/>
      <c r="CAU20" s="1221"/>
      <c r="CAV20" s="1221"/>
      <c r="CAW20" s="1221"/>
      <c r="CAX20" s="1221"/>
      <c r="CAY20" s="1221"/>
      <c r="CAZ20" s="1221"/>
      <c r="CBA20" s="1221"/>
      <c r="CBB20" s="1221"/>
      <c r="CBC20" s="1221"/>
      <c r="CBD20" s="1221"/>
      <c r="CBE20" s="1221"/>
      <c r="CBF20" s="1221"/>
      <c r="CBG20" s="1221"/>
      <c r="CBH20" s="1221"/>
      <c r="CBI20" s="1221"/>
      <c r="CBJ20" s="1221"/>
      <c r="CBK20" s="1221"/>
      <c r="CBL20" s="1221"/>
      <c r="CBM20" s="1221"/>
      <c r="CBN20" s="1221"/>
      <c r="CBO20" s="1221"/>
      <c r="CBP20" s="1221"/>
      <c r="CBQ20" s="1221"/>
      <c r="CBR20" s="1221"/>
      <c r="CBS20" s="1221"/>
      <c r="CBT20" s="1221"/>
      <c r="CBU20" s="1221"/>
      <c r="CBV20" s="1221"/>
      <c r="CBW20" s="1221"/>
      <c r="CBX20" s="1221"/>
      <c r="CBY20" s="1221"/>
      <c r="CBZ20" s="1221"/>
      <c r="CCA20" s="1221"/>
      <c r="CCB20" s="1221"/>
      <c r="CCC20" s="1221"/>
      <c r="CCD20" s="1221"/>
      <c r="CCE20" s="1221"/>
      <c r="CCF20" s="1221"/>
      <c r="CCG20" s="1221"/>
      <c r="CCH20" s="1221"/>
      <c r="CCI20" s="1221"/>
      <c r="CCJ20" s="1221"/>
      <c r="CCK20" s="1221"/>
      <c r="CCL20" s="1221"/>
      <c r="CCM20" s="1221"/>
      <c r="CCN20" s="1221"/>
      <c r="CCO20" s="1221"/>
      <c r="CCP20" s="1221"/>
      <c r="CCQ20" s="1221"/>
      <c r="CCR20" s="1221"/>
      <c r="CCS20" s="1221"/>
      <c r="CCT20" s="1221"/>
      <c r="CCU20" s="1221"/>
      <c r="CCV20" s="1221"/>
      <c r="CCW20" s="1221"/>
      <c r="CCX20" s="1221"/>
      <c r="CCY20" s="1221"/>
      <c r="CCZ20" s="1221"/>
      <c r="CDA20" s="1221"/>
      <c r="CDB20" s="1221"/>
      <c r="CDC20" s="1221"/>
      <c r="CDD20" s="1221"/>
      <c r="CDE20" s="1221"/>
      <c r="CDF20" s="1221"/>
      <c r="CDG20" s="1221"/>
      <c r="CDH20" s="1221"/>
      <c r="CDI20" s="1221"/>
      <c r="CDJ20" s="1221"/>
      <c r="CDK20" s="1221"/>
      <c r="CDL20" s="1221"/>
      <c r="CDM20" s="1221"/>
      <c r="CDN20" s="1221"/>
      <c r="CDO20" s="1221"/>
      <c r="CDP20" s="1221"/>
      <c r="CDQ20" s="1221"/>
      <c r="CDR20" s="1221"/>
      <c r="CDS20" s="1221"/>
      <c r="CDT20" s="1221"/>
      <c r="CDU20" s="1221"/>
      <c r="CDV20" s="1221"/>
      <c r="CDW20" s="1221"/>
      <c r="CDX20" s="1221"/>
      <c r="CDY20" s="1221"/>
      <c r="CDZ20" s="1221"/>
      <c r="CEA20" s="1221"/>
      <c r="CEB20" s="1221"/>
      <c r="CEC20" s="1221"/>
      <c r="CED20" s="1221"/>
      <c r="CEE20" s="1221"/>
      <c r="CEF20" s="1221"/>
      <c r="CEG20" s="1221"/>
      <c r="CEH20" s="1221"/>
      <c r="CEI20" s="1221"/>
      <c r="CEJ20" s="1221"/>
      <c r="CEK20" s="1221"/>
      <c r="CEL20" s="1221"/>
      <c r="CEM20" s="1221"/>
      <c r="CEN20" s="1221"/>
      <c r="CEO20" s="1221"/>
      <c r="CEP20" s="1221"/>
      <c r="CEQ20" s="1221"/>
      <c r="CER20" s="1221"/>
      <c r="CES20" s="1221"/>
      <c r="CET20" s="1221"/>
      <c r="CEU20" s="1221"/>
      <c r="CEV20" s="1221"/>
      <c r="CEW20" s="1221"/>
      <c r="CEX20" s="1221"/>
      <c r="CEY20" s="1221"/>
      <c r="CEZ20" s="1221"/>
      <c r="CFA20" s="1221"/>
      <c r="CFB20" s="1221"/>
      <c r="CFC20" s="1221"/>
      <c r="CFD20" s="1221"/>
      <c r="CFE20" s="1221"/>
      <c r="CFF20" s="1221"/>
      <c r="CFG20" s="1221"/>
      <c r="CFH20" s="1221"/>
      <c r="CFI20" s="1221"/>
      <c r="CFJ20" s="1221"/>
      <c r="CFK20" s="1221"/>
      <c r="CFL20" s="1221"/>
      <c r="CFM20" s="1221"/>
      <c r="CFN20" s="1221"/>
      <c r="CFO20" s="1221"/>
      <c r="CFP20" s="1221"/>
      <c r="CFQ20" s="1221"/>
      <c r="CFR20" s="1221"/>
      <c r="CFS20" s="1221"/>
      <c r="CFT20" s="1221"/>
      <c r="CFU20" s="1221"/>
      <c r="CFV20" s="1221"/>
      <c r="CFW20" s="1221"/>
      <c r="CFX20" s="1221"/>
      <c r="CFY20" s="1221"/>
      <c r="CFZ20" s="1221"/>
      <c r="CGA20" s="1221"/>
      <c r="CGB20" s="1221"/>
      <c r="CGC20" s="1221"/>
      <c r="CGD20" s="1221"/>
      <c r="CGE20" s="1221"/>
      <c r="CGF20" s="1221"/>
      <c r="CGG20" s="1221"/>
      <c r="CGH20" s="1221"/>
      <c r="CGI20" s="1221"/>
      <c r="CGJ20" s="1221"/>
      <c r="CGK20" s="1221"/>
      <c r="CGL20" s="1221"/>
      <c r="CGM20" s="1221"/>
      <c r="CGN20" s="1221"/>
      <c r="CGO20" s="1221"/>
      <c r="CGP20" s="1221"/>
      <c r="CGQ20" s="1221"/>
      <c r="CGR20" s="1221"/>
      <c r="CGS20" s="1221"/>
      <c r="CGT20" s="1221"/>
      <c r="CGU20" s="1221"/>
      <c r="CGV20" s="1221"/>
      <c r="CGW20" s="1221"/>
      <c r="CGX20" s="1221"/>
      <c r="CGY20" s="1221"/>
      <c r="CGZ20" s="1221"/>
      <c r="CHA20" s="1221"/>
      <c r="CHB20" s="1221"/>
      <c r="CHC20" s="1221"/>
      <c r="CHD20" s="1221"/>
      <c r="CHE20" s="1221"/>
      <c r="CHF20" s="1221"/>
      <c r="CHG20" s="1221"/>
      <c r="CHH20" s="1221"/>
      <c r="CHI20" s="1221"/>
      <c r="CHJ20" s="1221"/>
      <c r="CHK20" s="1221"/>
      <c r="CHL20" s="1221"/>
      <c r="CHM20" s="1221"/>
      <c r="CHN20" s="1221"/>
      <c r="CHO20" s="1221"/>
      <c r="CHP20" s="1221"/>
      <c r="CHQ20" s="1221"/>
      <c r="CHR20" s="1221"/>
      <c r="CHS20" s="1221"/>
      <c r="CHT20" s="1221"/>
      <c r="CHU20" s="1221"/>
      <c r="CHV20" s="1221"/>
      <c r="CHW20" s="1221"/>
      <c r="CHX20" s="1221"/>
      <c r="CHY20" s="1221"/>
      <c r="CHZ20" s="1221"/>
      <c r="CIA20" s="1221"/>
      <c r="CIB20" s="1221"/>
      <c r="CIC20" s="1221"/>
      <c r="CID20" s="1221"/>
      <c r="CIE20" s="1221"/>
      <c r="CIF20" s="1221"/>
      <c r="CIG20" s="1221"/>
      <c r="CIH20" s="1221"/>
      <c r="CII20" s="1221"/>
      <c r="CIJ20" s="1221"/>
      <c r="CIK20" s="1221"/>
      <c r="CIL20" s="1221"/>
      <c r="CIM20" s="1221"/>
      <c r="CIN20" s="1221"/>
      <c r="CIO20" s="1221"/>
      <c r="CIP20" s="1221"/>
      <c r="CIQ20" s="1221"/>
      <c r="CIR20" s="1221"/>
      <c r="CIS20" s="1221"/>
      <c r="CIT20" s="1221"/>
      <c r="CIU20" s="1221"/>
      <c r="CIV20" s="1221"/>
      <c r="CIW20" s="1221"/>
      <c r="CIX20" s="1221"/>
      <c r="CIY20" s="1221"/>
      <c r="CIZ20" s="1221"/>
      <c r="CJA20" s="1221"/>
      <c r="CJB20" s="1221"/>
      <c r="CJC20" s="1221"/>
      <c r="CJD20" s="1221"/>
      <c r="CJE20" s="1221"/>
      <c r="CJF20" s="1221"/>
      <c r="CJG20" s="1221"/>
      <c r="CJH20" s="1221"/>
      <c r="CJI20" s="1221"/>
      <c r="CJJ20" s="1221"/>
      <c r="CJK20" s="1221"/>
      <c r="CJL20" s="1221"/>
      <c r="CJM20" s="1221"/>
      <c r="CJN20" s="1221"/>
      <c r="CJO20" s="1221"/>
      <c r="CJP20" s="1221"/>
      <c r="CJQ20" s="1221"/>
      <c r="CJR20" s="1221"/>
      <c r="CJS20" s="1221"/>
      <c r="CJT20" s="1221"/>
      <c r="CJU20" s="1221"/>
      <c r="CJV20" s="1221"/>
      <c r="CJW20" s="1221"/>
      <c r="CJX20" s="1221"/>
      <c r="CJY20" s="1221"/>
      <c r="CJZ20" s="1221"/>
      <c r="CKA20" s="1221"/>
      <c r="CKB20" s="1221"/>
      <c r="CKC20" s="1221"/>
      <c r="CKD20" s="1221"/>
      <c r="CKE20" s="1221"/>
      <c r="CKF20" s="1221"/>
      <c r="CKG20" s="1221"/>
      <c r="CKH20" s="1221"/>
      <c r="CKI20" s="1221"/>
      <c r="CKJ20" s="1221"/>
      <c r="CKK20" s="1221"/>
      <c r="CKL20" s="1221"/>
      <c r="CKM20" s="1221"/>
      <c r="CKN20" s="1221"/>
      <c r="CKO20" s="1221"/>
      <c r="CKP20" s="1221"/>
      <c r="CKQ20" s="1221"/>
      <c r="CKR20" s="1221"/>
      <c r="CKS20" s="1221"/>
      <c r="CKT20" s="1221"/>
      <c r="CKU20" s="1221"/>
      <c r="CKV20" s="1221"/>
      <c r="CKW20" s="1221"/>
      <c r="CKX20" s="1221"/>
      <c r="CKY20" s="1221"/>
      <c r="CKZ20" s="1221"/>
      <c r="CLA20" s="1221"/>
      <c r="CLB20" s="1221"/>
      <c r="CLC20" s="1221"/>
      <c r="CLD20" s="1221"/>
      <c r="CLE20" s="1221"/>
      <c r="CLF20" s="1221"/>
      <c r="CLG20" s="1221"/>
      <c r="CLH20" s="1221"/>
      <c r="CLI20" s="1221"/>
      <c r="CLJ20" s="1221"/>
      <c r="CLK20" s="1221"/>
      <c r="CLL20" s="1221"/>
      <c r="CLM20" s="1221"/>
      <c r="CLN20" s="1221"/>
      <c r="CLO20" s="1221"/>
      <c r="CLP20" s="1221"/>
      <c r="CLQ20" s="1221"/>
      <c r="CLR20" s="1221"/>
      <c r="CLS20" s="1221"/>
      <c r="CLT20" s="1221"/>
      <c r="CLU20" s="1221"/>
      <c r="CLV20" s="1221"/>
      <c r="CLW20" s="1221"/>
      <c r="CLX20" s="1221"/>
      <c r="CLY20" s="1221"/>
      <c r="CLZ20" s="1221"/>
      <c r="CMA20" s="1221"/>
      <c r="CMB20" s="1221"/>
      <c r="CMC20" s="1221"/>
      <c r="CMD20" s="1221"/>
      <c r="CME20" s="1221"/>
      <c r="CMF20" s="1221"/>
      <c r="CMG20" s="1221"/>
      <c r="CMH20" s="1221"/>
      <c r="CMI20" s="1221"/>
      <c r="CMJ20" s="1221"/>
      <c r="CMK20" s="1221"/>
      <c r="CML20" s="1221"/>
      <c r="CMM20" s="1221"/>
      <c r="CMN20" s="1221"/>
      <c r="CMO20" s="1221"/>
      <c r="CMP20" s="1221"/>
      <c r="CMQ20" s="1221"/>
      <c r="CMR20" s="1221"/>
      <c r="CMS20" s="1221"/>
      <c r="CMT20" s="1221"/>
      <c r="CMU20" s="1221"/>
      <c r="CMV20" s="1221"/>
      <c r="CMW20" s="1221"/>
      <c r="CMX20" s="1221"/>
      <c r="CMY20" s="1221"/>
      <c r="CMZ20" s="1221"/>
      <c r="CNA20" s="1221"/>
      <c r="CNB20" s="1221"/>
      <c r="CNC20" s="1221"/>
      <c r="CND20" s="1221"/>
      <c r="CNE20" s="1221"/>
      <c r="CNF20" s="1221"/>
      <c r="CNG20" s="1221"/>
      <c r="CNH20" s="1221"/>
      <c r="CNI20" s="1221"/>
      <c r="CNJ20" s="1221"/>
      <c r="CNK20" s="1221"/>
      <c r="CNL20" s="1221"/>
      <c r="CNM20" s="1221"/>
      <c r="CNN20" s="1221"/>
      <c r="CNO20" s="1221"/>
      <c r="CNP20" s="1221"/>
      <c r="CNQ20" s="1221"/>
      <c r="CNR20" s="1221"/>
      <c r="CNS20" s="1221"/>
      <c r="CNT20" s="1221"/>
      <c r="CNU20" s="1221"/>
      <c r="CNV20" s="1221"/>
      <c r="CNW20" s="1221"/>
      <c r="CNX20" s="1221"/>
      <c r="CNY20" s="1221"/>
      <c r="CNZ20" s="1221"/>
      <c r="COA20" s="1221"/>
      <c r="COB20" s="1221"/>
      <c r="COC20" s="1221"/>
      <c r="COD20" s="1221"/>
      <c r="COE20" s="1221"/>
      <c r="COF20" s="1221"/>
      <c r="COG20" s="1221"/>
      <c r="COH20" s="1221"/>
      <c r="COI20" s="1221"/>
      <c r="COJ20" s="1221"/>
      <c r="COK20" s="1221"/>
      <c r="COL20" s="1221"/>
      <c r="COM20" s="1221"/>
      <c r="CON20" s="1221"/>
      <c r="COO20" s="1221"/>
      <c r="COP20" s="1221"/>
      <c r="COQ20" s="1221"/>
      <c r="COR20" s="1221"/>
      <c r="COS20" s="1221"/>
      <c r="COT20" s="1221"/>
      <c r="COU20" s="1221"/>
      <c r="COV20" s="1221"/>
      <c r="COW20" s="1221"/>
      <c r="COX20" s="1221"/>
      <c r="COY20" s="1221"/>
      <c r="COZ20" s="1221"/>
      <c r="CPA20" s="1221"/>
      <c r="CPB20" s="1221"/>
      <c r="CPC20" s="1221"/>
      <c r="CPD20" s="1221"/>
      <c r="CPE20" s="1221"/>
      <c r="CPF20" s="1221"/>
      <c r="CPG20" s="1221"/>
      <c r="CPH20" s="1221"/>
      <c r="CPI20" s="1221"/>
      <c r="CPJ20" s="1221"/>
      <c r="CPK20" s="1221"/>
      <c r="CPL20" s="1221"/>
      <c r="CPM20" s="1221"/>
      <c r="CPN20" s="1221"/>
      <c r="CPO20" s="1221"/>
      <c r="CPP20" s="1221"/>
      <c r="CPQ20" s="1221"/>
      <c r="CPR20" s="1221"/>
      <c r="CPS20" s="1221"/>
      <c r="CPT20" s="1221"/>
      <c r="CPU20" s="1221"/>
      <c r="CPV20" s="1221"/>
      <c r="CPW20" s="1221"/>
      <c r="CPX20" s="1221"/>
      <c r="CPY20" s="1221"/>
      <c r="CPZ20" s="1221"/>
      <c r="CQA20" s="1221"/>
      <c r="CQB20" s="1221"/>
      <c r="CQC20" s="1221"/>
      <c r="CQD20" s="1221"/>
      <c r="CQE20" s="1221"/>
      <c r="CQF20" s="1221"/>
      <c r="CQG20" s="1221"/>
      <c r="CQH20" s="1221"/>
      <c r="CQI20" s="1221"/>
      <c r="CQJ20" s="1221"/>
      <c r="CQK20" s="1221"/>
      <c r="CQL20" s="1221"/>
      <c r="CQM20" s="1221"/>
      <c r="CQN20" s="1221"/>
      <c r="CQO20" s="1221"/>
      <c r="CQP20" s="1221"/>
      <c r="CQQ20" s="1221"/>
      <c r="CQR20" s="1221"/>
      <c r="CQS20" s="1221"/>
      <c r="CQT20" s="1221"/>
      <c r="CQU20" s="1221"/>
      <c r="CQV20" s="1221"/>
      <c r="CQW20" s="1221"/>
      <c r="CQX20" s="1221"/>
      <c r="CQY20" s="1221"/>
      <c r="CQZ20" s="1221"/>
      <c r="CRA20" s="1221"/>
      <c r="CRB20" s="1221"/>
      <c r="CRC20" s="1221"/>
      <c r="CRD20" s="1221"/>
      <c r="CRE20" s="1221"/>
      <c r="CRF20" s="1221"/>
      <c r="CRG20" s="1221"/>
      <c r="CRH20" s="1221"/>
      <c r="CRI20" s="1221"/>
      <c r="CRJ20" s="1221"/>
      <c r="CRK20" s="1221"/>
      <c r="CRL20" s="1221"/>
      <c r="CRM20" s="1221"/>
      <c r="CRN20" s="1221"/>
      <c r="CRO20" s="1221"/>
      <c r="CRP20" s="1221"/>
      <c r="CRQ20" s="1221"/>
      <c r="CRR20" s="1221"/>
      <c r="CRS20" s="1221"/>
      <c r="CRT20" s="1221"/>
      <c r="CRU20" s="1221"/>
      <c r="CRV20" s="1221"/>
      <c r="CRW20" s="1221"/>
      <c r="CRX20" s="1221"/>
      <c r="CRY20" s="1221"/>
      <c r="CRZ20" s="1221"/>
      <c r="CSA20" s="1221"/>
      <c r="CSB20" s="1221"/>
      <c r="CSC20" s="1221"/>
      <c r="CSD20" s="1221"/>
      <c r="CSE20" s="1221"/>
      <c r="CSF20" s="1221"/>
      <c r="CSG20" s="1221"/>
      <c r="CSH20" s="1221"/>
      <c r="CSI20" s="1221"/>
      <c r="CSJ20" s="1221"/>
      <c r="CSK20" s="1221"/>
      <c r="CSL20" s="1221"/>
      <c r="CSM20" s="1221"/>
      <c r="CSN20" s="1221"/>
      <c r="CSO20" s="1221"/>
      <c r="CSP20" s="1221"/>
      <c r="CSQ20" s="1221"/>
      <c r="CSR20" s="1221"/>
      <c r="CSS20" s="1221"/>
      <c r="CST20" s="1221"/>
      <c r="CSU20" s="1221"/>
      <c r="CSV20" s="1221"/>
      <c r="CSW20" s="1221"/>
      <c r="CSX20" s="1221"/>
      <c r="CSY20" s="1221"/>
      <c r="CSZ20" s="1221"/>
      <c r="CTA20" s="1221"/>
      <c r="CTB20" s="1221"/>
      <c r="CTC20" s="1221"/>
      <c r="CTD20" s="1221"/>
      <c r="CTE20" s="1221"/>
      <c r="CTF20" s="1221"/>
      <c r="CTG20" s="1221"/>
      <c r="CTH20" s="1221"/>
      <c r="CTI20" s="1221"/>
      <c r="CTJ20" s="1221"/>
      <c r="CTK20" s="1221"/>
      <c r="CTL20" s="1221"/>
      <c r="CTM20" s="1221"/>
      <c r="CTN20" s="1221"/>
      <c r="CTO20" s="1221"/>
      <c r="CTP20" s="1221"/>
      <c r="CTQ20" s="1221"/>
      <c r="CTR20" s="1221"/>
      <c r="CTS20" s="1221"/>
      <c r="CTT20" s="1221"/>
      <c r="CTU20" s="1221"/>
      <c r="CTV20" s="1221"/>
      <c r="CTW20" s="1221"/>
      <c r="CTX20" s="1221"/>
      <c r="CTY20" s="1221"/>
      <c r="CTZ20" s="1221"/>
      <c r="CUA20" s="1221"/>
      <c r="CUB20" s="1221"/>
      <c r="CUC20" s="1221"/>
      <c r="CUD20" s="1221"/>
      <c r="CUE20" s="1221"/>
      <c r="CUF20" s="1221"/>
      <c r="CUG20" s="1221"/>
      <c r="CUH20" s="1221"/>
      <c r="CUI20" s="1221"/>
      <c r="CUJ20" s="1221"/>
      <c r="CUK20" s="1221"/>
      <c r="CUL20" s="1221"/>
      <c r="CUM20" s="1221"/>
      <c r="CUN20" s="1221"/>
      <c r="CUO20" s="1221"/>
      <c r="CUP20" s="1221"/>
      <c r="CUQ20" s="1221"/>
      <c r="CUR20" s="1221"/>
      <c r="CUS20" s="1221"/>
      <c r="CUT20" s="1221"/>
      <c r="CUU20" s="1221"/>
      <c r="CUV20" s="1221"/>
      <c r="CUW20" s="1221"/>
      <c r="CUX20" s="1221"/>
      <c r="CUY20" s="1221"/>
      <c r="CUZ20" s="1221"/>
      <c r="CVA20" s="1221"/>
      <c r="CVB20" s="1221"/>
      <c r="CVC20" s="1221"/>
      <c r="CVD20" s="1221"/>
      <c r="CVE20" s="1221"/>
      <c r="CVF20" s="1221"/>
      <c r="CVG20" s="1221"/>
      <c r="CVH20" s="1221"/>
      <c r="CVI20" s="1221"/>
      <c r="CVJ20" s="1221"/>
      <c r="CVK20" s="1221"/>
      <c r="CVL20" s="1221"/>
      <c r="CVM20" s="1221"/>
      <c r="CVN20" s="1221"/>
      <c r="CVO20" s="1221"/>
      <c r="CVP20" s="1221"/>
      <c r="CVQ20" s="1221"/>
      <c r="CVR20" s="1221"/>
      <c r="CVS20" s="1221"/>
      <c r="CVT20" s="1221"/>
      <c r="CVU20" s="1221"/>
      <c r="CVV20" s="1221"/>
      <c r="CVW20" s="1221"/>
      <c r="CVX20" s="1221"/>
      <c r="CVY20" s="1221"/>
      <c r="CVZ20" s="1221"/>
      <c r="CWA20" s="1221"/>
      <c r="CWB20" s="1221"/>
      <c r="CWC20" s="1221"/>
      <c r="CWD20" s="1221"/>
      <c r="CWE20" s="1221"/>
      <c r="CWF20" s="1221"/>
      <c r="CWG20" s="1221"/>
      <c r="CWH20" s="1221"/>
      <c r="CWI20" s="1221"/>
      <c r="CWJ20" s="1221"/>
      <c r="CWK20" s="1221"/>
      <c r="CWL20" s="1221"/>
      <c r="CWM20" s="1221"/>
      <c r="CWN20" s="1221"/>
      <c r="CWO20" s="1221"/>
      <c r="CWP20" s="1221"/>
      <c r="CWQ20" s="1221"/>
      <c r="CWR20" s="1221"/>
      <c r="CWS20" s="1221"/>
      <c r="CWT20" s="1221"/>
      <c r="CWU20" s="1221"/>
      <c r="CWV20" s="1221"/>
      <c r="CWW20" s="1221"/>
      <c r="CWX20" s="1221"/>
      <c r="CWY20" s="1221"/>
      <c r="CWZ20" s="1221"/>
      <c r="CXA20" s="1221"/>
      <c r="CXB20" s="1221"/>
      <c r="CXC20" s="1221"/>
      <c r="CXD20" s="1221"/>
      <c r="CXE20" s="1221"/>
      <c r="CXF20" s="1221"/>
      <c r="CXG20" s="1221"/>
      <c r="CXH20" s="1221"/>
      <c r="CXI20" s="1221"/>
      <c r="CXJ20" s="1221"/>
      <c r="CXK20" s="1221"/>
      <c r="CXL20" s="1221"/>
      <c r="CXM20" s="1221"/>
      <c r="CXN20" s="1221"/>
      <c r="CXO20" s="1221"/>
      <c r="CXP20" s="1221"/>
      <c r="CXQ20" s="1221"/>
      <c r="CXR20" s="1221"/>
      <c r="CXS20" s="1221"/>
      <c r="CXT20" s="1221"/>
      <c r="CXU20" s="1221"/>
      <c r="CXV20" s="1221"/>
      <c r="CXW20" s="1221"/>
      <c r="CXX20" s="1221"/>
      <c r="CXY20" s="1221"/>
      <c r="CXZ20" s="1221"/>
      <c r="CYA20" s="1221"/>
      <c r="CYB20" s="1221"/>
      <c r="CYC20" s="1221"/>
      <c r="CYD20" s="1221"/>
      <c r="CYE20" s="1221"/>
      <c r="CYF20" s="1221"/>
      <c r="CYG20" s="1221"/>
      <c r="CYH20" s="1221"/>
      <c r="CYI20" s="1221"/>
      <c r="CYJ20" s="1221"/>
      <c r="CYK20" s="1221"/>
      <c r="CYL20" s="1221"/>
      <c r="CYM20" s="1221"/>
      <c r="CYN20" s="1221"/>
      <c r="CYO20" s="1221"/>
      <c r="CYP20" s="1221"/>
      <c r="CYQ20" s="1221"/>
      <c r="CYR20" s="1221"/>
      <c r="CYS20" s="1221"/>
      <c r="CYT20" s="1221"/>
      <c r="CYU20" s="1221"/>
      <c r="CYV20" s="1221"/>
      <c r="CYW20" s="1221"/>
      <c r="CYX20" s="1221"/>
      <c r="CYY20" s="1221"/>
      <c r="CYZ20" s="1221"/>
      <c r="CZA20" s="1221"/>
      <c r="CZB20" s="1221"/>
      <c r="CZC20" s="1221"/>
      <c r="CZD20" s="1221"/>
      <c r="CZE20" s="1221"/>
      <c r="CZF20" s="1221"/>
      <c r="CZG20" s="1221"/>
      <c r="CZH20" s="1221"/>
      <c r="CZI20" s="1221"/>
      <c r="CZJ20" s="1221"/>
      <c r="CZK20" s="1221"/>
      <c r="CZL20" s="1221"/>
      <c r="CZM20" s="1221"/>
      <c r="CZN20" s="1221"/>
      <c r="CZO20" s="1221"/>
      <c r="CZP20" s="1221"/>
      <c r="CZQ20" s="1221"/>
      <c r="CZR20" s="1221"/>
      <c r="CZS20" s="1221"/>
      <c r="CZT20" s="1221"/>
      <c r="CZU20" s="1221"/>
      <c r="CZV20" s="1221"/>
      <c r="CZW20" s="1221"/>
      <c r="CZX20" s="1221"/>
      <c r="CZY20" s="1221"/>
      <c r="CZZ20" s="1221"/>
      <c r="DAA20" s="1221"/>
      <c r="DAB20" s="1221"/>
      <c r="DAC20" s="1221"/>
      <c r="DAD20" s="1221"/>
      <c r="DAE20" s="1221"/>
      <c r="DAF20" s="1221"/>
      <c r="DAG20" s="1221"/>
      <c r="DAH20" s="1221"/>
      <c r="DAI20" s="1221"/>
      <c r="DAJ20" s="1221"/>
      <c r="DAK20" s="1221"/>
      <c r="DAL20" s="1221"/>
      <c r="DAM20" s="1221"/>
      <c r="DAN20" s="1221"/>
      <c r="DAO20" s="1221"/>
      <c r="DAP20" s="1221"/>
      <c r="DAQ20" s="1221"/>
      <c r="DAR20" s="1221"/>
      <c r="DAS20" s="1221"/>
      <c r="DAT20" s="1221"/>
      <c r="DAU20" s="1221"/>
      <c r="DAV20" s="1221"/>
      <c r="DAW20" s="1221"/>
      <c r="DAX20" s="1221"/>
      <c r="DAY20" s="1221"/>
      <c r="DAZ20" s="1221"/>
      <c r="DBA20" s="1221"/>
      <c r="DBB20" s="1221"/>
      <c r="DBC20" s="1221"/>
      <c r="DBD20" s="1221"/>
      <c r="DBE20" s="1221"/>
      <c r="DBF20" s="1221"/>
      <c r="DBG20" s="1221"/>
      <c r="DBH20" s="1221"/>
      <c r="DBI20" s="1221"/>
      <c r="DBJ20" s="1221"/>
      <c r="DBK20" s="1221"/>
      <c r="DBL20" s="1221"/>
      <c r="DBM20" s="1221"/>
      <c r="DBN20" s="1221"/>
      <c r="DBO20" s="1221"/>
      <c r="DBP20" s="1221"/>
      <c r="DBQ20" s="1221"/>
      <c r="DBR20" s="1221"/>
      <c r="DBS20" s="1221"/>
      <c r="DBT20" s="1221"/>
      <c r="DBU20" s="1221"/>
      <c r="DBV20" s="1221"/>
      <c r="DBW20" s="1221"/>
      <c r="DBX20" s="1221"/>
      <c r="DBY20" s="1221"/>
      <c r="DBZ20" s="1221"/>
      <c r="DCA20" s="1221"/>
      <c r="DCB20" s="1221"/>
      <c r="DCC20" s="1221"/>
      <c r="DCD20" s="1221"/>
      <c r="DCE20" s="1221"/>
      <c r="DCF20" s="1221"/>
      <c r="DCG20" s="1221"/>
      <c r="DCH20" s="1221"/>
      <c r="DCI20" s="1221"/>
      <c r="DCJ20" s="1221"/>
      <c r="DCK20" s="1221"/>
      <c r="DCL20" s="1221"/>
      <c r="DCM20" s="1221"/>
      <c r="DCN20" s="1221"/>
      <c r="DCO20" s="1221"/>
      <c r="DCP20" s="1221"/>
      <c r="DCQ20" s="1221"/>
      <c r="DCR20" s="1221"/>
      <c r="DCS20" s="1221"/>
      <c r="DCT20" s="1221"/>
      <c r="DCU20" s="1221"/>
      <c r="DCV20" s="1221"/>
      <c r="DCW20" s="1221"/>
      <c r="DCX20" s="1221"/>
      <c r="DCY20" s="1221"/>
      <c r="DCZ20" s="1221"/>
      <c r="DDA20" s="1221"/>
      <c r="DDB20" s="1221"/>
      <c r="DDC20" s="1221"/>
      <c r="DDD20" s="1221"/>
      <c r="DDE20" s="1221"/>
      <c r="DDF20" s="1221"/>
      <c r="DDG20" s="1221"/>
      <c r="DDH20" s="1221"/>
      <c r="DDI20" s="1221"/>
      <c r="DDJ20" s="1221"/>
      <c r="DDK20" s="1221"/>
      <c r="DDL20" s="1221"/>
      <c r="DDM20" s="1221"/>
      <c r="DDN20" s="1221"/>
      <c r="DDO20" s="1221"/>
      <c r="DDP20" s="1221"/>
      <c r="DDQ20" s="1221"/>
      <c r="DDR20" s="1221"/>
      <c r="DDS20" s="1221"/>
      <c r="DDT20" s="1221"/>
      <c r="DDU20" s="1221"/>
      <c r="DDV20" s="1221"/>
      <c r="DDW20" s="1221"/>
      <c r="DDX20" s="1221"/>
      <c r="DDY20" s="1221"/>
      <c r="DDZ20" s="1221"/>
      <c r="DEA20" s="1221"/>
      <c r="DEB20" s="1221"/>
      <c r="DEC20" s="1221"/>
      <c r="DED20" s="1221"/>
      <c r="DEE20" s="1221"/>
      <c r="DEF20" s="1221"/>
      <c r="DEG20" s="1221"/>
      <c r="DEH20" s="1221"/>
      <c r="DEI20" s="1221"/>
      <c r="DEJ20" s="1221"/>
      <c r="DEK20" s="1221"/>
      <c r="DEL20" s="1221"/>
      <c r="DEM20" s="1221"/>
      <c r="DEN20" s="1221"/>
      <c r="DEO20" s="1221"/>
      <c r="DEP20" s="1221"/>
      <c r="DEQ20" s="1221"/>
      <c r="DER20" s="1221"/>
      <c r="DES20" s="1221"/>
      <c r="DET20" s="1221"/>
      <c r="DEU20" s="1221"/>
      <c r="DEV20" s="1221"/>
      <c r="DEW20" s="1221"/>
      <c r="DEX20" s="1221"/>
      <c r="DEY20" s="1221"/>
      <c r="DEZ20" s="1221"/>
      <c r="DFA20" s="1221"/>
      <c r="DFB20" s="1221"/>
      <c r="DFC20" s="1221"/>
      <c r="DFD20" s="1221"/>
      <c r="DFE20" s="1221"/>
      <c r="DFF20" s="1221"/>
      <c r="DFG20" s="1221"/>
      <c r="DFH20" s="1221"/>
      <c r="DFI20" s="1221"/>
      <c r="DFJ20" s="1221"/>
      <c r="DFK20" s="1221"/>
      <c r="DFL20" s="1221"/>
      <c r="DFM20" s="1221"/>
      <c r="DFN20" s="1221"/>
      <c r="DFO20" s="1221"/>
      <c r="DFP20" s="1221"/>
      <c r="DFQ20" s="1221"/>
      <c r="DFR20" s="1221"/>
      <c r="DFS20" s="1221"/>
      <c r="DFT20" s="1221"/>
      <c r="DFU20" s="1221"/>
      <c r="DFV20" s="1221"/>
      <c r="DFW20" s="1221"/>
      <c r="DFX20" s="1221"/>
      <c r="DFY20" s="1221"/>
      <c r="DFZ20" s="1221"/>
      <c r="DGA20" s="1221"/>
      <c r="DGB20" s="1221"/>
      <c r="DGC20" s="1221"/>
      <c r="DGD20" s="1221"/>
      <c r="DGE20" s="1221"/>
      <c r="DGF20" s="1221"/>
      <c r="DGG20" s="1221"/>
      <c r="DGH20" s="1221"/>
      <c r="DGI20" s="1221"/>
      <c r="DGJ20" s="1221"/>
      <c r="DGK20" s="1221"/>
      <c r="DGL20" s="1221"/>
      <c r="DGM20" s="1221"/>
      <c r="DGN20" s="1221"/>
      <c r="DGO20" s="1221"/>
      <c r="DGP20" s="1221"/>
      <c r="DGQ20" s="1221"/>
      <c r="DGR20" s="1221"/>
      <c r="DGS20" s="1221"/>
      <c r="DGT20" s="1221"/>
      <c r="DGU20" s="1221"/>
      <c r="DGV20" s="1221"/>
      <c r="DGW20" s="1221"/>
      <c r="DGX20" s="1221"/>
      <c r="DGY20" s="1221"/>
      <c r="DGZ20" s="1221"/>
      <c r="DHA20" s="1221"/>
      <c r="DHB20" s="1221"/>
      <c r="DHC20" s="1221"/>
      <c r="DHD20" s="1221"/>
      <c r="DHE20" s="1221"/>
      <c r="DHF20" s="1221"/>
      <c r="DHG20" s="1221"/>
      <c r="DHH20" s="1221"/>
      <c r="DHI20" s="1221"/>
      <c r="DHJ20" s="1221"/>
      <c r="DHK20" s="1221"/>
      <c r="DHL20" s="1221"/>
      <c r="DHM20" s="1221"/>
      <c r="DHN20" s="1221"/>
      <c r="DHO20" s="1221"/>
      <c r="DHP20" s="1221"/>
      <c r="DHQ20" s="1221"/>
      <c r="DHR20" s="1221"/>
      <c r="DHS20" s="1221"/>
      <c r="DHT20" s="1221"/>
      <c r="DHU20" s="1221"/>
      <c r="DHV20" s="1221"/>
      <c r="DHW20" s="1221"/>
      <c r="DHX20" s="1221"/>
      <c r="DHY20" s="1221"/>
      <c r="DHZ20" s="1221"/>
      <c r="DIA20" s="1221"/>
      <c r="DIB20" s="1221"/>
      <c r="DIC20" s="1221"/>
      <c r="DID20" s="1221"/>
      <c r="DIE20" s="1221"/>
      <c r="DIF20" s="1221"/>
      <c r="DIG20" s="1221"/>
      <c r="DIH20" s="1221"/>
      <c r="DII20" s="1221"/>
      <c r="DIJ20" s="1221"/>
      <c r="DIK20" s="1221"/>
      <c r="DIL20" s="1221"/>
      <c r="DIM20" s="1221"/>
      <c r="DIN20" s="1221"/>
      <c r="DIO20" s="1221"/>
      <c r="DIP20" s="1221"/>
      <c r="DIQ20" s="1221"/>
      <c r="DIR20" s="1221"/>
      <c r="DIS20" s="1221"/>
      <c r="DIT20" s="1221"/>
      <c r="DIU20" s="1221"/>
      <c r="DIV20" s="1221"/>
      <c r="DIW20" s="1221"/>
      <c r="DIX20" s="1221"/>
      <c r="DIY20" s="1221"/>
      <c r="DIZ20" s="1221"/>
      <c r="DJA20" s="1221"/>
      <c r="DJB20" s="1221"/>
      <c r="DJC20" s="1221"/>
      <c r="DJD20" s="1221"/>
      <c r="DJE20" s="1221"/>
      <c r="DJF20" s="1221"/>
      <c r="DJG20" s="1221"/>
      <c r="DJH20" s="1221"/>
      <c r="DJI20" s="1221"/>
      <c r="DJJ20" s="1221"/>
      <c r="DJK20" s="1221"/>
      <c r="DJL20" s="1221"/>
      <c r="DJM20" s="1221"/>
      <c r="DJN20" s="1221"/>
      <c r="DJO20" s="1221"/>
      <c r="DJP20" s="1221"/>
      <c r="DJQ20" s="1221"/>
      <c r="DJR20" s="1221"/>
      <c r="DJS20" s="1221"/>
      <c r="DJT20" s="1221"/>
      <c r="DJU20" s="1221"/>
      <c r="DJV20" s="1221"/>
      <c r="DJW20" s="1221"/>
      <c r="DJX20" s="1221"/>
      <c r="DJY20" s="1221"/>
      <c r="DJZ20" s="1221"/>
      <c r="DKA20" s="1221"/>
      <c r="DKB20" s="1221"/>
      <c r="DKC20" s="1221"/>
      <c r="DKD20" s="1221"/>
      <c r="DKE20" s="1221"/>
      <c r="DKF20" s="1221"/>
      <c r="DKG20" s="1221"/>
      <c r="DKH20" s="1221"/>
      <c r="DKI20" s="1221"/>
      <c r="DKJ20" s="1221"/>
      <c r="DKK20" s="1221"/>
      <c r="DKL20" s="1221"/>
      <c r="DKM20" s="1221"/>
      <c r="DKN20" s="1221"/>
      <c r="DKO20" s="1221"/>
      <c r="DKP20" s="1221"/>
      <c r="DKQ20" s="1221"/>
      <c r="DKR20" s="1221"/>
      <c r="DKS20" s="1221"/>
      <c r="DKT20" s="1221"/>
      <c r="DKU20" s="1221"/>
      <c r="DKV20" s="1221"/>
      <c r="DKW20" s="1221"/>
      <c r="DKX20" s="1221"/>
      <c r="DKY20" s="1221"/>
      <c r="DKZ20" s="1221"/>
      <c r="DLA20" s="1221"/>
      <c r="DLB20" s="1221"/>
      <c r="DLC20" s="1221"/>
      <c r="DLD20" s="1221"/>
      <c r="DLE20" s="1221"/>
      <c r="DLF20" s="1221"/>
      <c r="DLG20" s="1221"/>
      <c r="DLH20" s="1221"/>
      <c r="DLI20" s="1221"/>
      <c r="DLJ20" s="1221"/>
      <c r="DLK20" s="1221"/>
      <c r="DLL20" s="1221"/>
      <c r="DLM20" s="1221"/>
      <c r="DLN20" s="1221"/>
      <c r="DLO20" s="1221"/>
      <c r="DLP20" s="1221"/>
      <c r="DLQ20" s="1221"/>
      <c r="DLR20" s="1221"/>
      <c r="DLS20" s="1221"/>
      <c r="DLT20" s="1221"/>
      <c r="DLU20" s="1221"/>
      <c r="DLV20" s="1221"/>
      <c r="DLW20" s="1221"/>
      <c r="DLX20" s="1221"/>
      <c r="DLY20" s="1221"/>
      <c r="DLZ20" s="1221"/>
      <c r="DMA20" s="1221"/>
      <c r="DMB20" s="1221"/>
      <c r="DMC20" s="1221"/>
      <c r="DMD20" s="1221"/>
      <c r="DME20" s="1221"/>
      <c r="DMF20" s="1221"/>
      <c r="DMG20" s="1221"/>
      <c r="DMH20" s="1221"/>
      <c r="DMI20" s="1221"/>
      <c r="DMJ20" s="1221"/>
      <c r="DMK20" s="1221"/>
      <c r="DML20" s="1221"/>
      <c r="DMM20" s="1221"/>
      <c r="DMN20" s="1221"/>
      <c r="DMO20" s="1221"/>
      <c r="DMP20" s="1221"/>
      <c r="DMQ20" s="1221"/>
      <c r="DMR20" s="1221"/>
      <c r="DMS20" s="1221"/>
      <c r="DMT20" s="1221"/>
      <c r="DMU20" s="1221"/>
      <c r="DMV20" s="1221"/>
      <c r="DMW20" s="1221"/>
      <c r="DMX20" s="1221"/>
      <c r="DMY20" s="1221"/>
      <c r="DMZ20" s="1221"/>
      <c r="DNA20" s="1221"/>
      <c r="DNB20" s="1221"/>
      <c r="DNC20" s="1221"/>
      <c r="DND20" s="1221"/>
      <c r="DNE20" s="1221"/>
      <c r="DNF20" s="1221"/>
      <c r="DNG20" s="1221"/>
      <c r="DNH20" s="1221"/>
      <c r="DNI20" s="1221"/>
      <c r="DNJ20" s="1221"/>
      <c r="DNK20" s="1221"/>
      <c r="DNL20" s="1221"/>
      <c r="DNM20" s="1221"/>
      <c r="DNN20" s="1221"/>
      <c r="DNO20" s="1221"/>
      <c r="DNP20" s="1221"/>
      <c r="DNQ20" s="1221"/>
      <c r="DNR20" s="1221"/>
      <c r="DNS20" s="1221"/>
      <c r="DNT20" s="1221"/>
      <c r="DNU20" s="1221"/>
      <c r="DNV20" s="1221"/>
      <c r="DNW20" s="1221"/>
      <c r="DNX20" s="1221"/>
      <c r="DNY20" s="1221"/>
      <c r="DNZ20" s="1221"/>
      <c r="DOA20" s="1221"/>
      <c r="DOB20" s="1221"/>
      <c r="DOC20" s="1221"/>
      <c r="DOD20" s="1221"/>
      <c r="DOE20" s="1221"/>
      <c r="DOF20" s="1221"/>
      <c r="DOG20" s="1221"/>
      <c r="DOH20" s="1221"/>
      <c r="DOI20" s="1221"/>
      <c r="DOJ20" s="1221"/>
      <c r="DOK20" s="1221"/>
      <c r="DOL20" s="1221"/>
      <c r="DOM20" s="1221"/>
      <c r="DON20" s="1221"/>
      <c r="DOO20" s="1221"/>
      <c r="DOP20" s="1221"/>
      <c r="DOQ20" s="1221"/>
      <c r="DOR20" s="1221"/>
      <c r="DOS20" s="1221"/>
      <c r="DOT20" s="1221"/>
      <c r="DOU20" s="1221"/>
      <c r="DOV20" s="1221"/>
      <c r="DOW20" s="1221"/>
      <c r="DOX20" s="1221"/>
      <c r="DOY20" s="1221"/>
      <c r="DOZ20" s="1221"/>
      <c r="DPA20" s="1221"/>
      <c r="DPB20" s="1221"/>
      <c r="DPC20" s="1221"/>
      <c r="DPD20" s="1221"/>
      <c r="DPE20" s="1221"/>
      <c r="DPF20" s="1221"/>
      <c r="DPG20" s="1221"/>
      <c r="DPH20" s="1221"/>
      <c r="DPI20" s="1221"/>
      <c r="DPJ20" s="1221"/>
      <c r="DPK20" s="1221"/>
      <c r="DPL20" s="1221"/>
      <c r="DPM20" s="1221"/>
      <c r="DPN20" s="1221"/>
      <c r="DPO20" s="1221"/>
      <c r="DPP20" s="1221"/>
      <c r="DPQ20" s="1221"/>
      <c r="DPR20" s="1221"/>
      <c r="DPS20" s="1221"/>
      <c r="DPT20" s="1221"/>
      <c r="DPU20" s="1221"/>
      <c r="DPV20" s="1221"/>
      <c r="DPW20" s="1221"/>
      <c r="DPX20" s="1221"/>
      <c r="DPY20" s="1221"/>
      <c r="DPZ20" s="1221"/>
      <c r="DQA20" s="1221"/>
      <c r="DQB20" s="1221"/>
      <c r="DQC20" s="1221"/>
      <c r="DQD20" s="1221"/>
      <c r="DQE20" s="1221"/>
      <c r="DQF20" s="1221"/>
      <c r="DQG20" s="1221"/>
      <c r="DQH20" s="1221"/>
      <c r="DQI20" s="1221"/>
      <c r="DQJ20" s="1221"/>
      <c r="DQK20" s="1221"/>
      <c r="DQL20" s="1221"/>
      <c r="DQM20" s="1221"/>
      <c r="DQN20" s="1221"/>
      <c r="DQO20" s="1221"/>
      <c r="DQP20" s="1221"/>
      <c r="DQQ20" s="1221"/>
      <c r="DQR20" s="1221"/>
      <c r="DQS20" s="1221"/>
      <c r="DQT20" s="1221"/>
      <c r="DQU20" s="1221"/>
      <c r="DQV20" s="1221"/>
      <c r="DQW20" s="1221"/>
      <c r="DQX20" s="1221"/>
      <c r="DQY20" s="1221"/>
      <c r="DQZ20" s="1221"/>
      <c r="DRA20" s="1221"/>
      <c r="DRB20" s="1221"/>
      <c r="DRC20" s="1221"/>
      <c r="DRD20" s="1221"/>
      <c r="DRE20" s="1221"/>
      <c r="DRF20" s="1221"/>
      <c r="DRG20" s="1221"/>
      <c r="DRH20" s="1221"/>
      <c r="DRI20" s="1221"/>
      <c r="DRJ20" s="1221"/>
      <c r="DRK20" s="1221"/>
      <c r="DRL20" s="1221"/>
      <c r="DRM20" s="1221"/>
      <c r="DRN20" s="1221"/>
      <c r="DRO20" s="1221"/>
      <c r="DRP20" s="1221"/>
      <c r="DRQ20" s="1221"/>
      <c r="DRR20" s="1221"/>
      <c r="DRS20" s="1221"/>
      <c r="DRT20" s="1221"/>
      <c r="DRU20" s="1221"/>
      <c r="DRV20" s="1221"/>
      <c r="DRW20" s="1221"/>
      <c r="DRX20" s="1221"/>
      <c r="DRY20" s="1221"/>
      <c r="DRZ20" s="1221"/>
      <c r="DSA20" s="1221"/>
      <c r="DSB20" s="1221"/>
      <c r="DSC20" s="1221"/>
      <c r="DSD20" s="1221"/>
      <c r="DSE20" s="1221"/>
      <c r="DSF20" s="1221"/>
      <c r="DSG20" s="1221"/>
      <c r="DSH20" s="1221"/>
      <c r="DSI20" s="1221"/>
      <c r="DSJ20" s="1221"/>
      <c r="DSK20" s="1221"/>
      <c r="DSL20" s="1221"/>
      <c r="DSM20" s="1221"/>
      <c r="DSN20" s="1221"/>
      <c r="DSO20" s="1221"/>
      <c r="DSP20" s="1221"/>
      <c r="DSQ20" s="1221"/>
      <c r="DSR20" s="1221"/>
      <c r="DSS20" s="1221"/>
      <c r="DST20" s="1221"/>
      <c r="DSU20" s="1221"/>
      <c r="DSV20" s="1221"/>
      <c r="DSW20" s="1221"/>
      <c r="DSX20" s="1221"/>
      <c r="DSY20" s="1221"/>
      <c r="DSZ20" s="1221"/>
      <c r="DTA20" s="1221"/>
      <c r="DTB20" s="1221"/>
      <c r="DTC20" s="1221"/>
      <c r="DTD20" s="1221"/>
      <c r="DTE20" s="1221"/>
      <c r="DTF20" s="1221"/>
      <c r="DTG20" s="1221"/>
      <c r="DTH20" s="1221"/>
      <c r="DTI20" s="1221"/>
      <c r="DTJ20" s="1221"/>
      <c r="DTK20" s="1221"/>
      <c r="DTL20" s="1221"/>
      <c r="DTM20" s="1221"/>
      <c r="DTN20" s="1221"/>
      <c r="DTO20" s="1221"/>
      <c r="DTP20" s="1221"/>
      <c r="DTQ20" s="1221"/>
      <c r="DTR20" s="1221"/>
      <c r="DTS20" s="1221"/>
      <c r="DTT20" s="1221"/>
      <c r="DTU20" s="1221"/>
      <c r="DTV20" s="1221"/>
      <c r="DTW20" s="1221"/>
      <c r="DTX20" s="1221"/>
      <c r="DTY20" s="1221"/>
      <c r="DTZ20" s="1221"/>
      <c r="DUA20" s="1221"/>
      <c r="DUB20" s="1221"/>
      <c r="DUC20" s="1221"/>
      <c r="DUD20" s="1221"/>
      <c r="DUE20" s="1221"/>
      <c r="DUF20" s="1221"/>
      <c r="DUG20" s="1221"/>
      <c r="DUH20" s="1221"/>
      <c r="DUI20" s="1221"/>
      <c r="DUJ20" s="1221"/>
      <c r="DUK20" s="1221"/>
      <c r="DUL20" s="1221"/>
      <c r="DUM20" s="1221"/>
      <c r="DUN20" s="1221"/>
      <c r="DUO20" s="1221"/>
      <c r="DUP20" s="1221"/>
      <c r="DUQ20" s="1221"/>
      <c r="DUR20" s="1221"/>
      <c r="DUS20" s="1221"/>
      <c r="DUT20" s="1221"/>
      <c r="DUU20" s="1221"/>
      <c r="DUV20" s="1221"/>
      <c r="DUW20" s="1221"/>
      <c r="DUX20" s="1221"/>
      <c r="DUY20" s="1221"/>
      <c r="DUZ20" s="1221"/>
      <c r="DVA20" s="1221"/>
      <c r="DVB20" s="1221"/>
      <c r="DVC20" s="1221"/>
      <c r="DVD20" s="1221"/>
      <c r="DVE20" s="1221"/>
      <c r="DVF20" s="1221"/>
      <c r="DVG20" s="1221"/>
      <c r="DVH20" s="1221"/>
      <c r="DVI20" s="1221"/>
      <c r="DVJ20" s="1221"/>
      <c r="DVK20" s="1221"/>
      <c r="DVL20" s="1221"/>
      <c r="DVM20" s="1221"/>
      <c r="DVN20" s="1221"/>
      <c r="DVO20" s="1221"/>
      <c r="DVP20" s="1221"/>
      <c r="DVQ20" s="1221"/>
      <c r="DVR20" s="1221"/>
      <c r="DVS20" s="1221"/>
      <c r="DVT20" s="1221"/>
      <c r="DVU20" s="1221"/>
      <c r="DVV20" s="1221"/>
      <c r="DVW20" s="1221"/>
      <c r="DVX20" s="1221"/>
      <c r="DVY20" s="1221"/>
      <c r="DVZ20" s="1221"/>
      <c r="DWA20" s="1221"/>
      <c r="DWB20" s="1221"/>
      <c r="DWC20" s="1221"/>
      <c r="DWD20" s="1221"/>
      <c r="DWE20" s="1221"/>
      <c r="DWF20" s="1221"/>
      <c r="DWG20" s="1221"/>
      <c r="DWH20" s="1221"/>
      <c r="DWI20" s="1221"/>
      <c r="DWJ20" s="1221"/>
      <c r="DWK20" s="1221"/>
      <c r="DWL20" s="1221"/>
      <c r="DWM20" s="1221"/>
      <c r="DWN20" s="1221"/>
      <c r="DWO20" s="1221"/>
      <c r="DWP20" s="1221"/>
      <c r="DWQ20" s="1221"/>
      <c r="DWR20" s="1221"/>
      <c r="DWS20" s="1221"/>
      <c r="DWT20" s="1221"/>
      <c r="DWU20" s="1221"/>
      <c r="DWV20" s="1221"/>
      <c r="DWW20" s="1221"/>
      <c r="DWX20" s="1221"/>
      <c r="DWY20" s="1221"/>
      <c r="DWZ20" s="1221"/>
      <c r="DXA20" s="1221"/>
      <c r="DXB20" s="1221"/>
      <c r="DXC20" s="1221"/>
      <c r="DXD20" s="1221"/>
      <c r="DXE20" s="1221"/>
      <c r="DXF20" s="1221"/>
      <c r="DXG20" s="1221"/>
      <c r="DXH20" s="1221"/>
      <c r="DXI20" s="1221"/>
      <c r="DXJ20" s="1221"/>
      <c r="DXK20" s="1221"/>
      <c r="DXL20" s="1221"/>
      <c r="DXM20" s="1221"/>
      <c r="DXN20" s="1221"/>
      <c r="DXO20" s="1221"/>
      <c r="DXP20" s="1221"/>
      <c r="DXQ20" s="1221"/>
      <c r="DXR20" s="1221"/>
      <c r="DXS20" s="1221"/>
      <c r="DXT20" s="1221"/>
      <c r="DXU20" s="1221"/>
      <c r="DXV20" s="1221"/>
      <c r="DXW20" s="1221"/>
      <c r="DXX20" s="1221"/>
      <c r="DXY20" s="1221"/>
      <c r="DXZ20" s="1221"/>
      <c r="DYA20" s="1221"/>
      <c r="DYB20" s="1221"/>
      <c r="DYC20" s="1221"/>
      <c r="DYD20" s="1221"/>
      <c r="DYE20" s="1221"/>
      <c r="DYF20" s="1221"/>
      <c r="DYG20" s="1221"/>
      <c r="DYH20" s="1221"/>
      <c r="DYI20" s="1221"/>
      <c r="DYJ20" s="1221"/>
      <c r="DYK20" s="1221"/>
      <c r="DYL20" s="1221"/>
      <c r="DYM20" s="1221"/>
      <c r="DYN20" s="1221"/>
      <c r="DYO20" s="1221"/>
      <c r="DYP20" s="1221"/>
      <c r="DYQ20" s="1221"/>
      <c r="DYR20" s="1221"/>
      <c r="DYS20" s="1221"/>
      <c r="DYT20" s="1221"/>
      <c r="DYU20" s="1221"/>
      <c r="DYV20" s="1221"/>
      <c r="DYW20" s="1221"/>
      <c r="DYX20" s="1221"/>
      <c r="DYY20" s="1221"/>
      <c r="DYZ20" s="1221"/>
      <c r="DZA20" s="1221"/>
      <c r="DZB20" s="1221"/>
      <c r="DZC20" s="1221"/>
      <c r="DZD20" s="1221"/>
      <c r="DZE20" s="1221"/>
      <c r="DZF20" s="1221"/>
      <c r="DZG20" s="1221"/>
      <c r="DZH20" s="1221"/>
      <c r="DZI20" s="1221"/>
      <c r="DZJ20" s="1221"/>
      <c r="DZK20" s="1221"/>
      <c r="DZL20" s="1221"/>
      <c r="DZM20" s="1221"/>
      <c r="DZN20" s="1221"/>
      <c r="DZO20" s="1221"/>
      <c r="DZP20" s="1221"/>
      <c r="DZQ20" s="1221"/>
      <c r="DZR20" s="1221"/>
      <c r="DZS20" s="1221"/>
      <c r="DZT20" s="1221"/>
      <c r="DZU20" s="1221"/>
      <c r="DZV20" s="1221"/>
      <c r="DZW20" s="1221"/>
      <c r="DZX20" s="1221"/>
      <c r="DZY20" s="1221"/>
      <c r="DZZ20" s="1221"/>
      <c r="EAA20" s="1221"/>
      <c r="EAB20" s="1221"/>
      <c r="EAC20" s="1221"/>
      <c r="EAD20" s="1221"/>
      <c r="EAE20" s="1221"/>
      <c r="EAF20" s="1221"/>
      <c r="EAG20" s="1221"/>
      <c r="EAH20" s="1221"/>
      <c r="EAI20" s="1221"/>
      <c r="EAJ20" s="1221"/>
      <c r="EAK20" s="1221"/>
      <c r="EAL20" s="1221"/>
      <c r="EAM20" s="1221"/>
      <c r="EAN20" s="1221"/>
      <c r="EAO20" s="1221"/>
      <c r="EAP20" s="1221"/>
      <c r="EAQ20" s="1221"/>
      <c r="EAR20" s="1221"/>
      <c r="EAS20" s="1221"/>
      <c r="EAT20" s="1221"/>
      <c r="EAU20" s="1221"/>
      <c r="EAV20" s="1221"/>
      <c r="EAW20" s="1221"/>
      <c r="EAX20" s="1221"/>
      <c r="EAY20" s="1221"/>
      <c r="EAZ20" s="1221"/>
      <c r="EBA20" s="1221"/>
      <c r="EBB20" s="1221"/>
      <c r="EBC20" s="1221"/>
      <c r="EBD20" s="1221"/>
      <c r="EBE20" s="1221"/>
      <c r="EBF20" s="1221"/>
      <c r="EBG20" s="1221"/>
      <c r="EBH20" s="1221"/>
      <c r="EBI20" s="1221"/>
      <c r="EBJ20" s="1221"/>
      <c r="EBK20" s="1221"/>
      <c r="EBL20" s="1221"/>
      <c r="EBM20" s="1221"/>
      <c r="EBN20" s="1221"/>
      <c r="EBO20" s="1221"/>
      <c r="EBP20" s="1221"/>
      <c r="EBQ20" s="1221"/>
      <c r="EBR20" s="1221"/>
      <c r="EBS20" s="1221"/>
      <c r="EBT20" s="1221"/>
      <c r="EBU20" s="1221"/>
      <c r="EBV20" s="1221"/>
      <c r="EBW20" s="1221"/>
      <c r="EBX20" s="1221"/>
      <c r="EBY20" s="1221"/>
      <c r="EBZ20" s="1221"/>
      <c r="ECA20" s="1221"/>
      <c r="ECB20" s="1221"/>
      <c r="ECC20" s="1221"/>
      <c r="ECD20" s="1221"/>
      <c r="ECE20" s="1221"/>
      <c r="ECF20" s="1221"/>
      <c r="ECG20" s="1221"/>
      <c r="ECH20" s="1221"/>
      <c r="ECI20" s="1221"/>
      <c r="ECJ20" s="1221"/>
      <c r="ECK20" s="1221"/>
      <c r="ECL20" s="1221"/>
      <c r="ECM20" s="1221"/>
      <c r="ECN20" s="1221"/>
      <c r="ECO20" s="1221"/>
    </row>
    <row r="21" spans="2:3473" s="1237" customFormat="1" ht="13">
      <c r="B21" s="1238">
        <v>5001.04</v>
      </c>
      <c r="C21" s="1239" t="s">
        <v>34</v>
      </c>
      <c r="D21" s="1240" t="s">
        <v>497</v>
      </c>
      <c r="E21" s="1241">
        <f t="shared" si="4"/>
        <v>0</v>
      </c>
      <c r="F21" s="1241">
        <f t="shared" si="4"/>
        <v>0</v>
      </c>
      <c r="G21" s="1241">
        <f t="shared" si="4"/>
        <v>0</v>
      </c>
      <c r="H21" s="1241">
        <f t="shared" si="4"/>
        <v>617.69000033585053</v>
      </c>
      <c r="I21" s="1241">
        <f t="shared" si="4"/>
        <v>556.73110336209675</v>
      </c>
      <c r="J21" s="1241">
        <f t="shared" si="4"/>
        <v>60.958896973753859</v>
      </c>
      <c r="K21" s="1241">
        <f t="shared" si="4"/>
        <v>0</v>
      </c>
      <c r="L21" s="1241">
        <f t="shared" si="4"/>
        <v>0</v>
      </c>
      <c r="M21" s="1241">
        <f t="shared" si="4"/>
        <v>0</v>
      </c>
      <c r="N21" s="1241" t="str">
        <f t="shared" si="4"/>
        <v/>
      </c>
      <c r="O21" s="1241" t="str">
        <f t="shared" si="4"/>
        <v/>
      </c>
      <c r="P21" s="1241" t="str">
        <f t="shared" si="4"/>
        <v/>
      </c>
      <c r="Q21" s="1241">
        <f t="shared" si="4"/>
        <v>787.60999980058943</v>
      </c>
      <c r="R21" s="1241">
        <f t="shared" si="4"/>
        <v>709.012015841991</v>
      </c>
      <c r="S21" s="1241">
        <f t="shared" si="8"/>
        <v>78.597983958598292</v>
      </c>
      <c r="T21" s="1241">
        <f t="shared" si="5"/>
        <v>0</v>
      </c>
      <c r="U21" s="1241">
        <f t="shared" si="5"/>
        <v>0</v>
      </c>
      <c r="V21" s="1241">
        <f t="shared" si="9"/>
        <v>0</v>
      </c>
      <c r="W21" s="1241" t="str">
        <f t="shared" si="10"/>
        <v/>
      </c>
      <c r="X21" s="1241" t="str">
        <f t="shared" si="10"/>
        <v/>
      </c>
      <c r="Y21" s="1241" t="str">
        <f t="shared" si="10"/>
        <v/>
      </c>
      <c r="Z21" s="1242">
        <f t="shared" si="11"/>
        <v>533.36064351981781</v>
      </c>
      <c r="AA21" s="1242">
        <f t="shared" si="11"/>
        <v>480.3493781889054</v>
      </c>
      <c r="AB21" s="1242">
        <f t="shared" si="11"/>
        <v>53.011265330912451</v>
      </c>
      <c r="AC21" s="1242">
        <f t="shared" si="15"/>
        <v>708.60063993572578</v>
      </c>
      <c r="AD21" s="1243">
        <f t="shared" si="15"/>
        <v>638.17209033485642</v>
      </c>
      <c r="AE21" s="1243">
        <f t="shared" si="15"/>
        <v>70.428549600869403</v>
      </c>
      <c r="AF21" s="1244">
        <f>SUM(AF22:AF25)</f>
        <v>0</v>
      </c>
      <c r="AG21" s="1245">
        <f t="shared" ref="AG21:BL21" si="39">SUM(AG22:AG25)</f>
        <v>0</v>
      </c>
      <c r="AH21" s="1245">
        <f t="shared" si="39"/>
        <v>0</v>
      </c>
      <c r="AI21" s="1245">
        <f t="shared" si="39"/>
        <v>2666.8117189999994</v>
      </c>
      <c r="AJ21" s="1245">
        <f t="shared" si="39"/>
        <v>2403.6280819999993</v>
      </c>
      <c r="AK21" s="1245">
        <f t="shared" si="39"/>
        <v>263.18363700000003</v>
      </c>
      <c r="AL21" s="1245">
        <f t="shared" si="39"/>
        <v>0</v>
      </c>
      <c r="AM21" s="1245">
        <f t="shared" si="39"/>
        <v>0</v>
      </c>
      <c r="AN21" s="1245">
        <f t="shared" si="39"/>
        <v>0</v>
      </c>
      <c r="AO21" s="1245">
        <f t="shared" si="39"/>
        <v>0</v>
      </c>
      <c r="AP21" s="1245">
        <f t="shared" si="39"/>
        <v>0</v>
      </c>
      <c r="AQ21" s="1245">
        <f t="shared" si="39"/>
        <v>0</v>
      </c>
      <c r="AR21" s="1245">
        <f t="shared" si="39"/>
        <v>4660.6333420000001</v>
      </c>
      <c r="AS21" s="1245">
        <f t="shared" si="39"/>
        <v>4195.5346449999997</v>
      </c>
      <c r="AT21" s="1245">
        <f t="shared" si="39"/>
        <v>465.09869700000002</v>
      </c>
      <c r="AU21" s="1245">
        <f t="shared" si="39"/>
        <v>0</v>
      </c>
      <c r="AV21" s="1245">
        <f t="shared" si="39"/>
        <v>0</v>
      </c>
      <c r="AW21" s="1245">
        <f t="shared" si="39"/>
        <v>0</v>
      </c>
      <c r="AX21" s="1245"/>
      <c r="AY21" s="1245"/>
      <c r="AZ21" s="1245"/>
      <c r="BA21" s="1245">
        <f t="shared" si="39"/>
        <v>7327.4450609999985</v>
      </c>
      <c r="BB21" s="1245">
        <f t="shared" si="39"/>
        <v>6599.162726999999</v>
      </c>
      <c r="BC21" s="1245">
        <f t="shared" si="39"/>
        <v>728.28233399999999</v>
      </c>
      <c r="BD21" s="1245">
        <f t="shared" si="39"/>
        <v>0</v>
      </c>
      <c r="BE21" s="1245">
        <f t="shared" si="39"/>
        <v>0</v>
      </c>
      <c r="BF21" s="1245">
        <f t="shared" si="39"/>
        <v>0</v>
      </c>
      <c r="BG21" s="1245">
        <f t="shared" si="39"/>
        <v>0</v>
      </c>
      <c r="BH21" s="1245">
        <f t="shared" si="39"/>
        <v>0</v>
      </c>
      <c r="BI21" s="1245">
        <f t="shared" si="39"/>
        <v>0</v>
      </c>
      <c r="BJ21" s="1245">
        <f t="shared" si="39"/>
        <v>7327.4450609999985</v>
      </c>
      <c r="BK21" s="1245">
        <f t="shared" si="39"/>
        <v>6599.162726999999</v>
      </c>
      <c r="BL21" s="1245">
        <f t="shared" si="39"/>
        <v>728.28233399999999</v>
      </c>
      <c r="BM21" s="1246"/>
      <c r="BN21" s="1225">
        <f t="shared" si="12"/>
        <v>0</v>
      </c>
      <c r="BO21" s="1225">
        <f t="shared" si="13"/>
        <v>9.0949470177292824E-13</v>
      </c>
      <c r="BP21" s="1225">
        <f t="shared" si="14"/>
        <v>0</v>
      </c>
      <c r="BQ21" s="1247"/>
      <c r="BR21" s="1247"/>
      <c r="BS21" s="1247"/>
      <c r="BT21" s="1247"/>
      <c r="BU21" s="1247"/>
      <c r="BV21" s="1247"/>
      <c r="BW21" s="1247"/>
      <c r="BX21" s="1247"/>
      <c r="BY21" s="1247"/>
      <c r="BZ21" s="1247"/>
      <c r="CA21" s="1247"/>
      <c r="CB21" s="1247"/>
      <c r="CC21" s="1247"/>
      <c r="CD21" s="1247"/>
      <c r="CE21" s="1247"/>
      <c r="CF21" s="1247"/>
      <c r="CG21" s="1247"/>
      <c r="CH21" s="1247"/>
      <c r="CI21" s="1247"/>
      <c r="CJ21" s="1247"/>
      <c r="CK21" s="1247"/>
      <c r="CL21" s="1247"/>
      <c r="CM21" s="1247"/>
      <c r="CN21" s="1247"/>
      <c r="CO21" s="1247"/>
      <c r="CP21" s="1247"/>
      <c r="CQ21" s="1247"/>
      <c r="CR21" s="1247"/>
      <c r="CS21" s="1247"/>
      <c r="CT21" s="1247"/>
      <c r="CU21" s="1247"/>
      <c r="CV21" s="1247"/>
      <c r="CW21" s="1247"/>
      <c r="CX21" s="1247"/>
      <c r="CY21" s="1247"/>
      <c r="CZ21" s="1247"/>
      <c r="DA21" s="1247"/>
      <c r="DB21" s="1247"/>
      <c r="DC21" s="1247"/>
      <c r="DD21" s="1247"/>
      <c r="DE21" s="1247"/>
      <c r="DF21" s="1247"/>
      <c r="DG21" s="1247"/>
      <c r="DH21" s="1247"/>
      <c r="DI21" s="1247"/>
      <c r="DJ21" s="1247"/>
      <c r="DK21" s="1247"/>
      <c r="DL21" s="1247"/>
      <c r="DM21" s="1247"/>
      <c r="DN21" s="1247"/>
      <c r="DO21" s="1247"/>
      <c r="DP21" s="1247"/>
      <c r="DQ21" s="1247"/>
      <c r="DR21" s="1247"/>
      <c r="DS21" s="1247"/>
      <c r="DT21" s="1247"/>
      <c r="DU21" s="1247"/>
      <c r="DV21" s="1247"/>
      <c r="DW21" s="1247"/>
      <c r="DX21" s="1247"/>
      <c r="DY21" s="1247"/>
      <c r="DZ21" s="1247"/>
      <c r="EA21" s="1247"/>
      <c r="EB21" s="1247"/>
      <c r="EC21" s="1247"/>
      <c r="ED21" s="1247"/>
      <c r="EE21" s="1247"/>
      <c r="EF21" s="1247"/>
      <c r="EG21" s="1247"/>
      <c r="EH21" s="1247"/>
      <c r="EI21" s="1247"/>
      <c r="EJ21" s="1247"/>
      <c r="EK21" s="1247"/>
      <c r="EL21" s="1247"/>
      <c r="EM21" s="1247"/>
      <c r="EN21" s="1247"/>
      <c r="EO21" s="1247"/>
      <c r="EP21" s="1247"/>
      <c r="EQ21" s="1247"/>
      <c r="ER21" s="1247"/>
      <c r="ES21" s="1247"/>
      <c r="ET21" s="1247"/>
      <c r="EU21" s="1247"/>
      <c r="EV21" s="1247"/>
      <c r="EW21" s="1247"/>
      <c r="EX21" s="1247"/>
      <c r="EY21" s="1247"/>
      <c r="EZ21" s="1247"/>
      <c r="FA21" s="1247"/>
      <c r="FB21" s="1247"/>
      <c r="FC21" s="1247"/>
      <c r="FD21" s="1247"/>
      <c r="FE21" s="1247"/>
      <c r="FF21" s="1247"/>
      <c r="FG21" s="1247"/>
      <c r="FH21" s="1247"/>
      <c r="FI21" s="1247"/>
      <c r="FJ21" s="1247"/>
      <c r="FK21" s="1247"/>
      <c r="FL21" s="1247"/>
      <c r="FM21" s="1247"/>
      <c r="FN21" s="1247"/>
      <c r="FO21" s="1247"/>
      <c r="FP21" s="1247"/>
      <c r="FQ21" s="1247"/>
      <c r="FR21" s="1247"/>
      <c r="FS21" s="1247"/>
      <c r="FT21" s="1247"/>
      <c r="FU21" s="1247"/>
      <c r="FV21" s="1247"/>
      <c r="FW21" s="1247"/>
      <c r="FX21" s="1247"/>
      <c r="FY21" s="1247"/>
      <c r="FZ21" s="1247"/>
      <c r="GA21" s="1247"/>
      <c r="GB21" s="1247"/>
      <c r="GC21" s="1247"/>
      <c r="GD21" s="1247"/>
      <c r="GE21" s="1247"/>
      <c r="GF21" s="1247"/>
      <c r="GG21" s="1247"/>
      <c r="GH21" s="1247"/>
      <c r="GI21" s="1247"/>
      <c r="GJ21" s="1247"/>
      <c r="GK21" s="1247"/>
      <c r="GL21" s="1247"/>
      <c r="GM21" s="1247"/>
      <c r="GN21" s="1247"/>
      <c r="GO21" s="1247"/>
      <c r="GP21" s="1247"/>
      <c r="GQ21" s="1247"/>
      <c r="GR21" s="1247"/>
      <c r="GS21" s="1247"/>
      <c r="GT21" s="1247"/>
      <c r="GU21" s="1247"/>
      <c r="GV21" s="1247"/>
      <c r="GW21" s="1247"/>
      <c r="GX21" s="1247"/>
      <c r="GY21" s="1247"/>
      <c r="GZ21" s="1247"/>
      <c r="HA21" s="1247"/>
      <c r="HB21" s="1247"/>
      <c r="HC21" s="1247"/>
      <c r="HD21" s="1247"/>
      <c r="HE21" s="1247"/>
      <c r="HF21" s="1247"/>
      <c r="HG21" s="1247"/>
      <c r="HH21" s="1247"/>
      <c r="HI21" s="1247"/>
      <c r="HJ21" s="1247"/>
      <c r="HK21" s="1247"/>
      <c r="HL21" s="1247"/>
      <c r="HM21" s="1247"/>
      <c r="HN21" s="1247"/>
      <c r="HO21" s="1247"/>
      <c r="HP21" s="1247"/>
      <c r="HQ21" s="1247"/>
      <c r="HR21" s="1247"/>
      <c r="HS21" s="1247"/>
      <c r="HT21" s="1247"/>
      <c r="HU21" s="1247"/>
      <c r="HV21" s="1247"/>
      <c r="HW21" s="1247"/>
      <c r="HX21" s="1247"/>
      <c r="HY21" s="1247"/>
      <c r="HZ21" s="1247"/>
      <c r="IA21" s="1247"/>
      <c r="IB21" s="1247"/>
      <c r="IC21" s="1247"/>
      <c r="ID21" s="1247"/>
      <c r="IE21" s="1247"/>
      <c r="IF21" s="1247"/>
      <c r="IG21" s="1247"/>
      <c r="IH21" s="1247"/>
      <c r="II21" s="1247"/>
      <c r="IJ21" s="1247"/>
      <c r="IK21" s="1247"/>
      <c r="IL21" s="1247"/>
      <c r="IM21" s="1247"/>
      <c r="IN21" s="1247"/>
      <c r="IO21" s="1247"/>
      <c r="IP21" s="1247"/>
      <c r="IQ21" s="1247"/>
      <c r="IR21" s="1247"/>
      <c r="IS21" s="1247"/>
      <c r="IT21" s="1247"/>
      <c r="IU21" s="1247"/>
      <c r="IV21" s="1247"/>
      <c r="IW21" s="1247"/>
      <c r="IX21" s="1247"/>
      <c r="IY21" s="1247"/>
      <c r="IZ21" s="1247"/>
      <c r="JA21" s="1247"/>
      <c r="JB21" s="1247"/>
      <c r="JC21" s="1247"/>
      <c r="JD21" s="1247"/>
      <c r="JE21" s="1247"/>
      <c r="JF21" s="1247"/>
      <c r="JG21" s="1247"/>
      <c r="JH21" s="1247"/>
      <c r="JI21" s="1247"/>
      <c r="JJ21" s="1247"/>
      <c r="JK21" s="1247"/>
      <c r="JL21" s="1247"/>
      <c r="JM21" s="1247"/>
      <c r="JN21" s="1247"/>
      <c r="JO21" s="1247"/>
      <c r="JP21" s="1247"/>
      <c r="JQ21" s="1247"/>
      <c r="JR21" s="1247"/>
      <c r="JS21" s="1247"/>
      <c r="JT21" s="1247"/>
      <c r="JU21" s="1247"/>
      <c r="JV21" s="1247"/>
      <c r="JW21" s="1247"/>
      <c r="JX21" s="1247"/>
      <c r="JY21" s="1247"/>
      <c r="JZ21" s="1247"/>
      <c r="KA21" s="1247"/>
      <c r="KB21" s="1247"/>
      <c r="KC21" s="1247"/>
      <c r="KD21" s="1247"/>
      <c r="KE21" s="1247"/>
      <c r="KF21" s="1247"/>
      <c r="KG21" s="1247"/>
      <c r="KH21" s="1247"/>
      <c r="KI21" s="1247"/>
      <c r="KJ21" s="1247"/>
      <c r="KK21" s="1247"/>
      <c r="KL21" s="1247"/>
      <c r="KM21" s="1247"/>
      <c r="KN21" s="1247"/>
      <c r="KO21" s="1247"/>
      <c r="KP21" s="1247"/>
      <c r="KQ21" s="1247"/>
      <c r="KR21" s="1247"/>
      <c r="KS21" s="1247"/>
      <c r="KT21" s="1247"/>
      <c r="KU21" s="1247"/>
      <c r="KV21" s="1247"/>
      <c r="KW21" s="1247"/>
      <c r="KX21" s="1247"/>
      <c r="KY21" s="1247"/>
      <c r="KZ21" s="1247"/>
      <c r="LA21" s="1247"/>
      <c r="LB21" s="1247"/>
      <c r="LC21" s="1247"/>
      <c r="LD21" s="1247"/>
      <c r="LE21" s="1247"/>
      <c r="LF21" s="1247"/>
      <c r="LG21" s="1247"/>
      <c r="LH21" s="1247"/>
      <c r="LI21" s="1247"/>
      <c r="LJ21" s="1247"/>
      <c r="LK21" s="1247"/>
      <c r="LL21" s="1247"/>
      <c r="LM21" s="1247"/>
      <c r="LN21" s="1247"/>
      <c r="LO21" s="1247"/>
      <c r="LP21" s="1247"/>
      <c r="LQ21" s="1247"/>
      <c r="LR21" s="1247"/>
      <c r="LS21" s="1247"/>
      <c r="LT21" s="1247"/>
      <c r="LU21" s="1247"/>
      <c r="LV21" s="1247"/>
      <c r="LW21" s="1247"/>
      <c r="LX21" s="1247"/>
      <c r="LY21" s="1247"/>
      <c r="LZ21" s="1247"/>
      <c r="MA21" s="1247"/>
      <c r="MB21" s="1247"/>
      <c r="MC21" s="1247"/>
      <c r="MD21" s="1247"/>
      <c r="ME21" s="1247"/>
      <c r="MF21" s="1247"/>
      <c r="MG21" s="1247"/>
      <c r="MH21" s="1247"/>
      <c r="MI21" s="1247"/>
      <c r="MJ21" s="1247"/>
      <c r="MK21" s="1247"/>
      <c r="ML21" s="1247"/>
      <c r="MM21" s="1247"/>
      <c r="MN21" s="1247"/>
      <c r="MO21" s="1247"/>
      <c r="MP21" s="1247"/>
      <c r="MQ21" s="1247"/>
      <c r="MR21" s="1247"/>
      <c r="MS21" s="1247"/>
      <c r="MT21" s="1247"/>
      <c r="MU21" s="1247"/>
      <c r="MV21" s="1247"/>
      <c r="MW21" s="1247"/>
      <c r="MX21" s="1247"/>
      <c r="MY21" s="1247"/>
      <c r="MZ21" s="1247"/>
      <c r="NA21" s="1247"/>
      <c r="NB21" s="1247"/>
      <c r="NC21" s="1247"/>
      <c r="ND21" s="1247"/>
      <c r="NE21" s="1247"/>
      <c r="NF21" s="1247"/>
      <c r="NG21" s="1247"/>
      <c r="NH21" s="1247"/>
      <c r="NI21" s="1247"/>
      <c r="NJ21" s="1247"/>
      <c r="NK21" s="1247"/>
      <c r="NL21" s="1247"/>
      <c r="NM21" s="1247"/>
      <c r="NN21" s="1247"/>
      <c r="NO21" s="1247"/>
      <c r="NP21" s="1247"/>
      <c r="NQ21" s="1247"/>
      <c r="NR21" s="1247"/>
      <c r="NS21" s="1247"/>
      <c r="NT21" s="1247"/>
      <c r="NU21" s="1247"/>
      <c r="NV21" s="1247"/>
      <c r="NW21" s="1247"/>
      <c r="NX21" s="1247"/>
      <c r="NY21" s="1247"/>
      <c r="NZ21" s="1247"/>
      <c r="OA21" s="1247"/>
      <c r="OB21" s="1247"/>
      <c r="OC21" s="1247"/>
      <c r="OD21" s="1247"/>
      <c r="OE21" s="1247"/>
      <c r="OF21" s="1247"/>
      <c r="OG21" s="1247"/>
      <c r="OH21" s="1247"/>
      <c r="OI21" s="1247"/>
      <c r="OJ21" s="1247"/>
      <c r="OK21" s="1247"/>
      <c r="OL21" s="1247"/>
      <c r="OM21" s="1247"/>
      <c r="ON21" s="1247"/>
      <c r="OO21" s="1247"/>
      <c r="OP21" s="1247"/>
      <c r="OQ21" s="1247"/>
      <c r="OR21" s="1247"/>
      <c r="OS21" s="1247"/>
      <c r="OT21" s="1247"/>
      <c r="OU21" s="1247"/>
      <c r="OV21" s="1247"/>
      <c r="OW21" s="1247"/>
      <c r="OX21" s="1247"/>
      <c r="OY21" s="1247"/>
      <c r="OZ21" s="1247"/>
      <c r="PA21" s="1247"/>
      <c r="PB21" s="1247"/>
      <c r="PC21" s="1247"/>
      <c r="PD21" s="1247"/>
      <c r="PE21" s="1247"/>
      <c r="PF21" s="1247"/>
      <c r="PG21" s="1247"/>
      <c r="PH21" s="1247"/>
      <c r="PI21" s="1247"/>
      <c r="PJ21" s="1247"/>
      <c r="PK21" s="1247"/>
      <c r="PL21" s="1247"/>
      <c r="PM21" s="1247"/>
      <c r="PN21" s="1247"/>
      <c r="PO21" s="1247"/>
      <c r="PP21" s="1247"/>
      <c r="PQ21" s="1247"/>
      <c r="PR21" s="1247"/>
      <c r="PS21" s="1247"/>
      <c r="PT21" s="1247"/>
      <c r="PU21" s="1247"/>
      <c r="PV21" s="1247"/>
      <c r="PW21" s="1247"/>
      <c r="PX21" s="1247"/>
      <c r="PY21" s="1247"/>
      <c r="PZ21" s="1247"/>
      <c r="QA21" s="1247"/>
      <c r="QB21" s="1247"/>
      <c r="QC21" s="1247"/>
      <c r="QD21" s="1247"/>
      <c r="QE21" s="1247"/>
      <c r="QF21" s="1247"/>
      <c r="QG21" s="1247"/>
      <c r="QH21" s="1247"/>
      <c r="QI21" s="1247"/>
      <c r="QJ21" s="1247"/>
      <c r="QK21" s="1247"/>
      <c r="QL21" s="1247"/>
      <c r="QM21" s="1247"/>
      <c r="QN21" s="1247"/>
      <c r="QO21" s="1247"/>
      <c r="QP21" s="1247"/>
      <c r="QQ21" s="1247"/>
      <c r="QR21" s="1247"/>
      <c r="QS21" s="1247"/>
      <c r="QT21" s="1247"/>
      <c r="QU21" s="1247"/>
      <c r="QV21" s="1247"/>
      <c r="QW21" s="1247"/>
      <c r="QX21" s="1247"/>
      <c r="QY21" s="1247"/>
      <c r="QZ21" s="1247"/>
      <c r="RA21" s="1247"/>
      <c r="RB21" s="1247"/>
      <c r="RC21" s="1247"/>
      <c r="RD21" s="1247"/>
      <c r="RE21" s="1247"/>
      <c r="RF21" s="1247"/>
      <c r="RG21" s="1247"/>
      <c r="RH21" s="1247"/>
      <c r="RI21" s="1247"/>
      <c r="RJ21" s="1247"/>
      <c r="RK21" s="1247"/>
      <c r="RL21" s="1247"/>
      <c r="RM21" s="1247"/>
      <c r="RN21" s="1247"/>
      <c r="RO21" s="1247"/>
      <c r="RP21" s="1247"/>
      <c r="RQ21" s="1247"/>
      <c r="RR21" s="1247"/>
      <c r="RS21" s="1247"/>
      <c r="RT21" s="1247"/>
      <c r="RU21" s="1247"/>
      <c r="RV21" s="1247"/>
      <c r="RW21" s="1247"/>
      <c r="RX21" s="1247"/>
      <c r="RY21" s="1247"/>
      <c r="RZ21" s="1247"/>
      <c r="SA21" s="1247"/>
      <c r="SB21" s="1247"/>
      <c r="SC21" s="1247"/>
      <c r="SD21" s="1247"/>
      <c r="SE21" s="1247"/>
      <c r="SF21" s="1247"/>
      <c r="SG21" s="1247"/>
      <c r="SH21" s="1247"/>
      <c r="SI21" s="1247"/>
      <c r="SJ21" s="1247"/>
      <c r="SK21" s="1247"/>
      <c r="SL21" s="1247"/>
      <c r="SM21" s="1247"/>
      <c r="SN21" s="1247"/>
      <c r="SO21" s="1247"/>
      <c r="SP21" s="1247"/>
      <c r="SQ21" s="1247"/>
      <c r="SR21" s="1247"/>
      <c r="SS21" s="1247"/>
      <c r="ST21" s="1247"/>
      <c r="SU21" s="1247"/>
      <c r="SV21" s="1247"/>
      <c r="SW21" s="1247"/>
      <c r="SX21" s="1247"/>
      <c r="SY21" s="1247"/>
      <c r="SZ21" s="1247"/>
      <c r="TA21" s="1247"/>
      <c r="TB21" s="1247"/>
      <c r="TC21" s="1247"/>
      <c r="TD21" s="1247"/>
      <c r="TE21" s="1247"/>
      <c r="TF21" s="1247"/>
      <c r="TG21" s="1247"/>
      <c r="TH21" s="1247"/>
      <c r="TI21" s="1247"/>
      <c r="TJ21" s="1247"/>
      <c r="TK21" s="1247"/>
      <c r="TL21" s="1247"/>
      <c r="TM21" s="1247"/>
      <c r="TN21" s="1247"/>
      <c r="TO21" s="1247"/>
      <c r="TP21" s="1247"/>
      <c r="TQ21" s="1247"/>
      <c r="TR21" s="1247"/>
      <c r="TS21" s="1247"/>
      <c r="TT21" s="1247"/>
      <c r="TU21" s="1247"/>
      <c r="TV21" s="1247"/>
      <c r="TW21" s="1247"/>
      <c r="TX21" s="1247"/>
      <c r="TY21" s="1247"/>
      <c r="TZ21" s="1247"/>
      <c r="UA21" s="1247"/>
      <c r="UB21" s="1247"/>
      <c r="UC21" s="1247"/>
      <c r="UD21" s="1247"/>
      <c r="UE21" s="1247"/>
      <c r="UF21" s="1247"/>
      <c r="UG21" s="1247"/>
      <c r="UH21" s="1247"/>
      <c r="UI21" s="1247"/>
      <c r="UJ21" s="1247"/>
      <c r="UK21" s="1247"/>
      <c r="UL21" s="1247"/>
      <c r="UM21" s="1247"/>
      <c r="UN21" s="1247"/>
      <c r="UO21" s="1247"/>
      <c r="UP21" s="1247"/>
      <c r="UQ21" s="1247"/>
      <c r="UR21" s="1247"/>
      <c r="US21" s="1247"/>
      <c r="UT21" s="1247"/>
      <c r="UU21" s="1247"/>
      <c r="UV21" s="1247"/>
      <c r="UW21" s="1247"/>
      <c r="UX21" s="1247"/>
      <c r="UY21" s="1247"/>
      <c r="UZ21" s="1247"/>
      <c r="VA21" s="1247"/>
      <c r="VB21" s="1247"/>
      <c r="VC21" s="1247"/>
      <c r="VD21" s="1247"/>
      <c r="VE21" s="1247"/>
      <c r="VF21" s="1247"/>
      <c r="VG21" s="1247"/>
      <c r="VH21" s="1247"/>
      <c r="VI21" s="1247"/>
      <c r="VJ21" s="1247"/>
      <c r="VK21" s="1247"/>
      <c r="VL21" s="1247"/>
      <c r="VM21" s="1247"/>
      <c r="VN21" s="1247"/>
      <c r="VO21" s="1247"/>
      <c r="VP21" s="1247"/>
      <c r="VQ21" s="1247"/>
      <c r="VR21" s="1247"/>
      <c r="VS21" s="1247"/>
      <c r="VT21" s="1247"/>
      <c r="VU21" s="1247"/>
      <c r="VV21" s="1247"/>
      <c r="VW21" s="1247"/>
      <c r="VX21" s="1247"/>
      <c r="VY21" s="1247"/>
      <c r="VZ21" s="1247"/>
      <c r="WA21" s="1247"/>
      <c r="WB21" s="1247"/>
      <c r="WC21" s="1247"/>
      <c r="WD21" s="1247"/>
      <c r="WE21" s="1247"/>
      <c r="WF21" s="1247"/>
      <c r="WG21" s="1247"/>
      <c r="WH21" s="1247"/>
      <c r="WI21" s="1247"/>
      <c r="WJ21" s="1247"/>
      <c r="WK21" s="1247"/>
      <c r="WL21" s="1247"/>
      <c r="WM21" s="1247"/>
      <c r="WN21" s="1247"/>
      <c r="WO21" s="1247"/>
      <c r="WP21" s="1247"/>
      <c r="WQ21" s="1247"/>
      <c r="WR21" s="1247"/>
      <c r="WS21" s="1247"/>
      <c r="WT21" s="1247"/>
      <c r="WU21" s="1247"/>
      <c r="WV21" s="1247"/>
      <c r="WW21" s="1247"/>
      <c r="WX21" s="1247"/>
      <c r="WY21" s="1247"/>
      <c r="WZ21" s="1247"/>
      <c r="XA21" s="1247"/>
      <c r="XB21" s="1247"/>
      <c r="XC21" s="1247"/>
      <c r="XD21" s="1247"/>
      <c r="XE21" s="1247"/>
      <c r="XF21" s="1247"/>
      <c r="XG21" s="1247"/>
      <c r="XH21" s="1247"/>
      <c r="XI21" s="1247"/>
      <c r="XJ21" s="1247"/>
      <c r="XK21" s="1247"/>
      <c r="XL21" s="1247"/>
      <c r="XM21" s="1247"/>
      <c r="XN21" s="1247"/>
      <c r="XO21" s="1247"/>
      <c r="XP21" s="1247"/>
      <c r="XQ21" s="1247"/>
      <c r="XR21" s="1247"/>
      <c r="XS21" s="1247"/>
      <c r="XT21" s="1247"/>
      <c r="XU21" s="1247"/>
      <c r="XV21" s="1247"/>
      <c r="XW21" s="1247"/>
      <c r="XX21" s="1247"/>
      <c r="XY21" s="1247"/>
      <c r="XZ21" s="1247"/>
      <c r="YA21" s="1247"/>
      <c r="YB21" s="1247"/>
      <c r="YC21" s="1247"/>
      <c r="YD21" s="1247"/>
      <c r="YE21" s="1247"/>
      <c r="YF21" s="1247"/>
      <c r="YG21" s="1247"/>
      <c r="YH21" s="1247"/>
      <c r="YI21" s="1247"/>
      <c r="YJ21" s="1247"/>
      <c r="YK21" s="1247"/>
      <c r="YL21" s="1247"/>
      <c r="YM21" s="1247"/>
      <c r="YN21" s="1247"/>
      <c r="YO21" s="1247"/>
      <c r="YP21" s="1247"/>
      <c r="YQ21" s="1247"/>
      <c r="YR21" s="1247"/>
      <c r="YS21" s="1247"/>
      <c r="YT21" s="1247"/>
      <c r="YU21" s="1247"/>
      <c r="YV21" s="1247"/>
      <c r="YW21" s="1247"/>
      <c r="YX21" s="1247"/>
      <c r="YY21" s="1247"/>
      <c r="YZ21" s="1247"/>
      <c r="ZA21" s="1247"/>
      <c r="ZB21" s="1247"/>
      <c r="ZC21" s="1247"/>
      <c r="ZD21" s="1247"/>
      <c r="ZE21" s="1247"/>
      <c r="ZF21" s="1247"/>
      <c r="ZG21" s="1247"/>
      <c r="ZH21" s="1247"/>
      <c r="ZI21" s="1247"/>
      <c r="ZJ21" s="1247"/>
      <c r="ZK21" s="1247"/>
      <c r="ZL21" s="1247"/>
      <c r="ZM21" s="1247"/>
      <c r="ZN21" s="1247"/>
      <c r="ZO21" s="1247"/>
      <c r="ZP21" s="1247"/>
      <c r="ZQ21" s="1247"/>
      <c r="ZR21" s="1247"/>
      <c r="ZS21" s="1247"/>
      <c r="ZT21" s="1247"/>
      <c r="ZU21" s="1247"/>
      <c r="ZV21" s="1247"/>
      <c r="ZW21" s="1247"/>
      <c r="ZX21" s="1247"/>
      <c r="ZY21" s="1247"/>
      <c r="ZZ21" s="1247"/>
      <c r="AAA21" s="1247"/>
      <c r="AAB21" s="1247"/>
      <c r="AAC21" s="1247"/>
      <c r="AAD21" s="1247"/>
      <c r="AAE21" s="1247"/>
      <c r="AAF21" s="1247"/>
      <c r="AAG21" s="1247"/>
      <c r="AAH21" s="1247"/>
      <c r="AAI21" s="1247"/>
      <c r="AAJ21" s="1247"/>
      <c r="AAK21" s="1247"/>
      <c r="AAL21" s="1247"/>
      <c r="AAM21" s="1247"/>
      <c r="AAN21" s="1247"/>
      <c r="AAO21" s="1247"/>
      <c r="AAP21" s="1247"/>
      <c r="AAQ21" s="1247"/>
      <c r="AAR21" s="1247"/>
      <c r="AAS21" s="1247"/>
      <c r="AAT21" s="1247"/>
      <c r="AAU21" s="1247"/>
      <c r="AAV21" s="1247"/>
      <c r="AAW21" s="1247"/>
      <c r="AAX21" s="1247"/>
      <c r="AAY21" s="1247"/>
      <c r="AAZ21" s="1247"/>
      <c r="ABA21" s="1247"/>
      <c r="ABB21" s="1247"/>
      <c r="ABC21" s="1247"/>
      <c r="ABD21" s="1247"/>
      <c r="ABE21" s="1247"/>
      <c r="ABF21" s="1247"/>
      <c r="ABG21" s="1247"/>
      <c r="ABH21" s="1247"/>
      <c r="ABI21" s="1247"/>
      <c r="ABJ21" s="1247"/>
      <c r="ABK21" s="1247"/>
      <c r="ABL21" s="1247"/>
      <c r="ABM21" s="1247"/>
      <c r="ABN21" s="1247"/>
      <c r="ABO21" s="1247"/>
      <c r="ABP21" s="1247"/>
      <c r="ABQ21" s="1247"/>
      <c r="ABR21" s="1247"/>
      <c r="ABS21" s="1247"/>
      <c r="ABT21" s="1247"/>
      <c r="ABU21" s="1247"/>
      <c r="ABV21" s="1247"/>
      <c r="ABW21" s="1247"/>
      <c r="ABX21" s="1247"/>
      <c r="ABY21" s="1247"/>
      <c r="ABZ21" s="1247"/>
      <c r="ACA21" s="1247"/>
      <c r="ACB21" s="1247"/>
      <c r="ACC21" s="1247"/>
      <c r="ACD21" s="1247"/>
      <c r="ACE21" s="1247"/>
      <c r="ACF21" s="1247"/>
      <c r="ACG21" s="1247"/>
      <c r="ACH21" s="1247"/>
      <c r="ACI21" s="1247"/>
      <c r="ACJ21" s="1247"/>
      <c r="ACK21" s="1247"/>
      <c r="ACL21" s="1247"/>
      <c r="ACM21" s="1247"/>
      <c r="ACN21" s="1247"/>
      <c r="ACO21" s="1247"/>
      <c r="ACP21" s="1247"/>
      <c r="ACQ21" s="1247"/>
      <c r="ACR21" s="1247"/>
      <c r="ACS21" s="1247"/>
      <c r="ACT21" s="1247"/>
      <c r="ACU21" s="1247"/>
      <c r="ACV21" s="1247"/>
      <c r="ACW21" s="1247"/>
      <c r="ACX21" s="1247"/>
      <c r="ACY21" s="1247"/>
      <c r="ACZ21" s="1247"/>
      <c r="ADA21" s="1247"/>
      <c r="ADB21" s="1247"/>
      <c r="ADC21" s="1247"/>
      <c r="ADD21" s="1247"/>
      <c r="ADE21" s="1247"/>
      <c r="ADF21" s="1247"/>
      <c r="ADG21" s="1247"/>
      <c r="ADH21" s="1247"/>
      <c r="ADI21" s="1247"/>
      <c r="ADJ21" s="1247"/>
      <c r="ADK21" s="1247"/>
      <c r="ADL21" s="1247"/>
      <c r="ADM21" s="1247"/>
      <c r="ADN21" s="1247"/>
      <c r="ADO21" s="1247"/>
      <c r="ADP21" s="1247"/>
      <c r="ADQ21" s="1247"/>
      <c r="ADR21" s="1247"/>
      <c r="ADS21" s="1247"/>
      <c r="ADT21" s="1247"/>
      <c r="ADU21" s="1247"/>
      <c r="ADV21" s="1247"/>
      <c r="ADW21" s="1247"/>
      <c r="ADX21" s="1247"/>
      <c r="ADY21" s="1247"/>
      <c r="ADZ21" s="1247"/>
      <c r="AEA21" s="1247"/>
      <c r="AEB21" s="1247"/>
      <c r="AEC21" s="1247"/>
      <c r="AED21" s="1247"/>
      <c r="AEE21" s="1247"/>
      <c r="AEF21" s="1247"/>
      <c r="AEG21" s="1247"/>
      <c r="AEH21" s="1247"/>
      <c r="AEI21" s="1247"/>
      <c r="AEJ21" s="1247"/>
      <c r="AEK21" s="1247"/>
      <c r="AEL21" s="1247"/>
      <c r="AEM21" s="1247"/>
      <c r="AEN21" s="1247"/>
      <c r="AEO21" s="1247"/>
      <c r="AEP21" s="1247"/>
      <c r="AEQ21" s="1247"/>
      <c r="AER21" s="1247"/>
      <c r="AES21" s="1247"/>
      <c r="AET21" s="1247"/>
      <c r="AEU21" s="1247"/>
      <c r="AEV21" s="1247"/>
      <c r="AEW21" s="1247"/>
      <c r="AEX21" s="1247"/>
      <c r="AEY21" s="1247"/>
      <c r="AEZ21" s="1247"/>
      <c r="AFA21" s="1247"/>
      <c r="AFB21" s="1247"/>
      <c r="AFC21" s="1247"/>
      <c r="AFD21" s="1247"/>
      <c r="AFE21" s="1247"/>
      <c r="AFF21" s="1247"/>
      <c r="AFG21" s="1247"/>
      <c r="AFH21" s="1247"/>
      <c r="AFI21" s="1247"/>
      <c r="AFJ21" s="1247"/>
      <c r="AFK21" s="1247"/>
      <c r="AFL21" s="1247"/>
      <c r="AFM21" s="1247"/>
      <c r="AFN21" s="1247"/>
      <c r="AFO21" s="1247"/>
      <c r="AFP21" s="1247"/>
      <c r="AFQ21" s="1247"/>
      <c r="AFR21" s="1247"/>
      <c r="AFS21" s="1247"/>
      <c r="AFT21" s="1247"/>
      <c r="AFU21" s="1247"/>
      <c r="AFV21" s="1247"/>
      <c r="AFW21" s="1247"/>
      <c r="AFX21" s="1247"/>
      <c r="AFY21" s="1247"/>
      <c r="AFZ21" s="1247"/>
      <c r="AGA21" s="1247"/>
      <c r="AGB21" s="1247"/>
      <c r="AGC21" s="1247"/>
      <c r="AGD21" s="1247"/>
      <c r="AGE21" s="1247"/>
      <c r="AGF21" s="1247"/>
      <c r="AGG21" s="1247"/>
      <c r="AGH21" s="1247"/>
      <c r="AGI21" s="1247"/>
      <c r="AGJ21" s="1247"/>
      <c r="AGK21" s="1247"/>
      <c r="AGL21" s="1247"/>
      <c r="AGM21" s="1247"/>
      <c r="AGN21" s="1247"/>
      <c r="AGO21" s="1247"/>
      <c r="AGP21" s="1247"/>
      <c r="AGQ21" s="1247"/>
      <c r="AGR21" s="1247"/>
      <c r="AGS21" s="1247"/>
      <c r="AGT21" s="1247"/>
      <c r="AGU21" s="1247"/>
      <c r="AGV21" s="1247"/>
      <c r="AGW21" s="1247"/>
      <c r="AGX21" s="1247"/>
      <c r="AGY21" s="1247"/>
      <c r="AGZ21" s="1247"/>
      <c r="AHA21" s="1247"/>
      <c r="AHB21" s="1247"/>
      <c r="AHC21" s="1247"/>
      <c r="AHD21" s="1247"/>
      <c r="AHE21" s="1247"/>
      <c r="AHF21" s="1247"/>
      <c r="AHG21" s="1247"/>
      <c r="AHH21" s="1247"/>
      <c r="AHI21" s="1247"/>
      <c r="AHJ21" s="1247"/>
      <c r="AHK21" s="1247"/>
      <c r="AHL21" s="1247"/>
      <c r="AHM21" s="1247"/>
      <c r="AHN21" s="1247"/>
      <c r="AHO21" s="1247"/>
      <c r="AHP21" s="1247"/>
      <c r="AHQ21" s="1247"/>
      <c r="AHR21" s="1247"/>
      <c r="AHS21" s="1247"/>
      <c r="AHT21" s="1247"/>
      <c r="AHU21" s="1247"/>
      <c r="AHV21" s="1247"/>
      <c r="AHW21" s="1247"/>
      <c r="AHX21" s="1247"/>
      <c r="AHY21" s="1247"/>
      <c r="AHZ21" s="1247"/>
      <c r="AIA21" s="1247"/>
      <c r="AIB21" s="1247"/>
      <c r="AIC21" s="1247"/>
      <c r="AID21" s="1247"/>
      <c r="AIE21" s="1247"/>
      <c r="AIF21" s="1247"/>
      <c r="AIG21" s="1247"/>
      <c r="AIH21" s="1247"/>
      <c r="AII21" s="1247"/>
      <c r="AIJ21" s="1247"/>
      <c r="AIK21" s="1247"/>
      <c r="AIL21" s="1247"/>
      <c r="AIM21" s="1247"/>
      <c r="AIN21" s="1247"/>
      <c r="AIO21" s="1247"/>
      <c r="AIP21" s="1247"/>
      <c r="AIQ21" s="1247"/>
      <c r="AIR21" s="1247"/>
      <c r="AIS21" s="1247"/>
      <c r="AIT21" s="1247"/>
      <c r="AIU21" s="1247"/>
      <c r="AIV21" s="1247"/>
      <c r="AIW21" s="1247"/>
      <c r="AIX21" s="1247"/>
      <c r="AIY21" s="1247"/>
      <c r="AIZ21" s="1247"/>
      <c r="AJA21" s="1247"/>
      <c r="AJB21" s="1247"/>
      <c r="AJC21" s="1247"/>
      <c r="AJD21" s="1247"/>
      <c r="AJE21" s="1247"/>
      <c r="AJF21" s="1247"/>
      <c r="AJG21" s="1247"/>
      <c r="AJH21" s="1247"/>
      <c r="AJI21" s="1247"/>
      <c r="AJJ21" s="1247"/>
      <c r="AJK21" s="1247"/>
      <c r="AJL21" s="1247"/>
      <c r="AJM21" s="1247"/>
      <c r="AJN21" s="1247"/>
      <c r="AJO21" s="1247"/>
      <c r="AJP21" s="1247"/>
      <c r="AJQ21" s="1247"/>
      <c r="AJR21" s="1247"/>
      <c r="AJS21" s="1247"/>
      <c r="AJT21" s="1247"/>
      <c r="AJU21" s="1247"/>
      <c r="AJV21" s="1247"/>
      <c r="AJW21" s="1247"/>
      <c r="AJX21" s="1247"/>
      <c r="AJY21" s="1247"/>
      <c r="AJZ21" s="1247"/>
      <c r="AKA21" s="1247"/>
      <c r="AKB21" s="1247"/>
      <c r="AKC21" s="1247"/>
      <c r="AKD21" s="1247"/>
      <c r="AKE21" s="1247"/>
      <c r="AKF21" s="1247"/>
      <c r="AKG21" s="1247"/>
      <c r="AKH21" s="1247"/>
      <c r="AKI21" s="1247"/>
      <c r="AKJ21" s="1247"/>
      <c r="AKK21" s="1247"/>
      <c r="AKL21" s="1247"/>
      <c r="AKM21" s="1247"/>
      <c r="AKN21" s="1247"/>
      <c r="AKO21" s="1247"/>
      <c r="AKP21" s="1247"/>
      <c r="AKQ21" s="1247"/>
      <c r="AKR21" s="1247"/>
      <c r="AKS21" s="1247"/>
      <c r="AKT21" s="1247"/>
      <c r="AKU21" s="1247"/>
      <c r="AKV21" s="1247"/>
      <c r="AKW21" s="1247"/>
      <c r="AKX21" s="1247"/>
      <c r="AKY21" s="1247"/>
      <c r="AKZ21" s="1247"/>
      <c r="ALA21" s="1247"/>
      <c r="ALB21" s="1247"/>
      <c r="ALC21" s="1247"/>
      <c r="ALD21" s="1247"/>
      <c r="ALE21" s="1247"/>
      <c r="ALF21" s="1247"/>
      <c r="ALG21" s="1247"/>
      <c r="ALH21" s="1247"/>
      <c r="ALI21" s="1247"/>
      <c r="ALJ21" s="1247"/>
      <c r="ALK21" s="1247"/>
      <c r="ALL21" s="1247"/>
      <c r="ALM21" s="1247"/>
      <c r="ALN21" s="1247"/>
      <c r="ALO21" s="1247"/>
      <c r="ALP21" s="1247"/>
      <c r="ALQ21" s="1247"/>
      <c r="ALR21" s="1247"/>
      <c r="ALS21" s="1247"/>
      <c r="ALT21" s="1247"/>
      <c r="ALU21" s="1247"/>
      <c r="ALV21" s="1247"/>
      <c r="ALW21" s="1247"/>
      <c r="ALX21" s="1247"/>
      <c r="ALY21" s="1247"/>
      <c r="ALZ21" s="1247"/>
      <c r="AMA21" s="1247"/>
      <c r="AMB21" s="1247"/>
      <c r="AMC21" s="1247"/>
      <c r="AMD21" s="1247"/>
      <c r="AME21" s="1247"/>
      <c r="AMF21" s="1247"/>
      <c r="AMG21" s="1247"/>
      <c r="AMH21" s="1247"/>
      <c r="AMI21" s="1247"/>
      <c r="AMJ21" s="1247"/>
      <c r="AMK21" s="1247"/>
      <c r="AML21" s="1247"/>
      <c r="AMM21" s="1247"/>
      <c r="AMN21" s="1247"/>
      <c r="AMO21" s="1247"/>
      <c r="AMP21" s="1247"/>
      <c r="AMQ21" s="1247"/>
      <c r="AMR21" s="1247"/>
      <c r="AMS21" s="1247"/>
      <c r="AMT21" s="1247"/>
      <c r="AMU21" s="1247"/>
      <c r="AMV21" s="1247"/>
      <c r="AMW21" s="1247"/>
      <c r="AMX21" s="1247"/>
      <c r="AMY21" s="1247"/>
      <c r="AMZ21" s="1247"/>
      <c r="ANA21" s="1247"/>
      <c r="ANB21" s="1247"/>
      <c r="ANC21" s="1247"/>
      <c r="AND21" s="1247"/>
      <c r="ANE21" s="1247"/>
      <c r="ANF21" s="1247"/>
      <c r="ANG21" s="1247"/>
      <c r="ANH21" s="1247"/>
      <c r="ANI21" s="1247"/>
      <c r="ANJ21" s="1247"/>
      <c r="ANK21" s="1247"/>
      <c r="ANL21" s="1247"/>
      <c r="ANM21" s="1247"/>
      <c r="ANN21" s="1247"/>
      <c r="ANO21" s="1247"/>
      <c r="ANP21" s="1247"/>
      <c r="ANQ21" s="1247"/>
      <c r="ANR21" s="1247"/>
      <c r="ANS21" s="1247"/>
      <c r="ANT21" s="1247"/>
      <c r="ANU21" s="1247"/>
      <c r="ANV21" s="1247"/>
      <c r="ANW21" s="1247"/>
      <c r="ANX21" s="1247"/>
      <c r="ANY21" s="1247"/>
      <c r="ANZ21" s="1247"/>
      <c r="AOA21" s="1247"/>
      <c r="AOB21" s="1247"/>
      <c r="AOC21" s="1247"/>
      <c r="AOD21" s="1247"/>
      <c r="AOE21" s="1247"/>
      <c r="AOF21" s="1247"/>
      <c r="AOG21" s="1247"/>
      <c r="AOH21" s="1247"/>
      <c r="AOI21" s="1247"/>
      <c r="AOJ21" s="1247"/>
      <c r="AOK21" s="1247"/>
      <c r="AOL21" s="1247"/>
      <c r="AOM21" s="1247"/>
      <c r="AON21" s="1247"/>
      <c r="AOO21" s="1247"/>
      <c r="AOP21" s="1247"/>
      <c r="AOQ21" s="1247"/>
      <c r="AOR21" s="1247"/>
      <c r="AOS21" s="1247"/>
      <c r="AOT21" s="1247"/>
      <c r="AOU21" s="1247"/>
      <c r="AOV21" s="1247"/>
      <c r="AOW21" s="1247"/>
      <c r="AOX21" s="1247"/>
      <c r="AOY21" s="1247"/>
      <c r="AOZ21" s="1247"/>
      <c r="APA21" s="1247"/>
      <c r="APB21" s="1247"/>
      <c r="APC21" s="1247"/>
      <c r="APD21" s="1247"/>
      <c r="APE21" s="1247"/>
      <c r="APF21" s="1247"/>
      <c r="APG21" s="1247"/>
      <c r="APH21" s="1247"/>
      <c r="API21" s="1247"/>
      <c r="APJ21" s="1247"/>
      <c r="APK21" s="1247"/>
      <c r="APL21" s="1247"/>
      <c r="APM21" s="1247"/>
      <c r="APN21" s="1247"/>
      <c r="APO21" s="1247"/>
      <c r="APP21" s="1247"/>
      <c r="APQ21" s="1247"/>
      <c r="APR21" s="1247"/>
      <c r="APS21" s="1247"/>
      <c r="APT21" s="1247"/>
      <c r="APU21" s="1247"/>
      <c r="APV21" s="1247"/>
      <c r="APW21" s="1247"/>
      <c r="APX21" s="1247"/>
      <c r="APY21" s="1247"/>
      <c r="APZ21" s="1247"/>
      <c r="AQA21" s="1247"/>
      <c r="AQB21" s="1247"/>
      <c r="AQC21" s="1247"/>
      <c r="AQD21" s="1247"/>
      <c r="AQE21" s="1247"/>
      <c r="AQF21" s="1247"/>
      <c r="AQG21" s="1247"/>
      <c r="AQH21" s="1247"/>
      <c r="AQI21" s="1247"/>
      <c r="AQJ21" s="1247"/>
      <c r="AQK21" s="1247"/>
      <c r="AQL21" s="1247"/>
      <c r="AQM21" s="1247"/>
      <c r="AQN21" s="1247"/>
      <c r="AQO21" s="1247"/>
      <c r="AQP21" s="1247"/>
      <c r="AQQ21" s="1247"/>
      <c r="AQR21" s="1247"/>
      <c r="AQS21" s="1247"/>
      <c r="AQT21" s="1247"/>
      <c r="AQU21" s="1247"/>
      <c r="AQV21" s="1247"/>
      <c r="AQW21" s="1247"/>
      <c r="AQX21" s="1247"/>
      <c r="AQY21" s="1247"/>
      <c r="AQZ21" s="1247"/>
      <c r="ARA21" s="1247"/>
      <c r="ARB21" s="1247"/>
      <c r="ARC21" s="1247"/>
      <c r="ARD21" s="1247"/>
      <c r="ARE21" s="1247"/>
      <c r="ARF21" s="1247"/>
      <c r="ARG21" s="1247"/>
      <c r="ARH21" s="1247"/>
      <c r="ARI21" s="1247"/>
      <c r="ARJ21" s="1247"/>
      <c r="ARK21" s="1247"/>
      <c r="ARL21" s="1247"/>
      <c r="ARM21" s="1247"/>
      <c r="ARN21" s="1247"/>
      <c r="ARO21" s="1247"/>
      <c r="ARP21" s="1247"/>
      <c r="ARQ21" s="1247"/>
      <c r="ARR21" s="1247"/>
      <c r="ARS21" s="1247"/>
      <c r="ART21" s="1247"/>
      <c r="ARU21" s="1247"/>
      <c r="ARV21" s="1247"/>
      <c r="ARW21" s="1247"/>
      <c r="ARX21" s="1247"/>
      <c r="ARY21" s="1247"/>
      <c r="ARZ21" s="1247"/>
      <c r="ASA21" s="1247"/>
      <c r="ASB21" s="1247"/>
      <c r="ASC21" s="1247"/>
      <c r="ASD21" s="1247"/>
      <c r="ASE21" s="1247"/>
      <c r="ASF21" s="1247"/>
      <c r="ASG21" s="1247"/>
      <c r="ASH21" s="1247"/>
      <c r="ASI21" s="1247"/>
      <c r="ASJ21" s="1247"/>
      <c r="ASK21" s="1247"/>
      <c r="ASL21" s="1247"/>
      <c r="ASM21" s="1247"/>
      <c r="ASN21" s="1247"/>
      <c r="ASO21" s="1247"/>
      <c r="ASP21" s="1247"/>
      <c r="ASQ21" s="1247"/>
      <c r="ASR21" s="1247"/>
      <c r="ASS21" s="1247"/>
      <c r="AST21" s="1247"/>
      <c r="ASU21" s="1247"/>
      <c r="ASV21" s="1247"/>
      <c r="ASW21" s="1247"/>
      <c r="ASX21" s="1247"/>
      <c r="ASY21" s="1247"/>
      <c r="ASZ21" s="1247"/>
      <c r="ATA21" s="1247"/>
      <c r="ATB21" s="1247"/>
      <c r="ATC21" s="1247"/>
      <c r="ATD21" s="1247"/>
      <c r="ATE21" s="1247"/>
      <c r="ATF21" s="1247"/>
      <c r="ATG21" s="1247"/>
      <c r="ATH21" s="1247"/>
      <c r="ATI21" s="1247"/>
      <c r="ATJ21" s="1247"/>
      <c r="ATK21" s="1247"/>
      <c r="ATL21" s="1247"/>
      <c r="ATM21" s="1247"/>
      <c r="ATN21" s="1247"/>
      <c r="ATO21" s="1247"/>
      <c r="ATP21" s="1247"/>
      <c r="ATQ21" s="1247"/>
      <c r="ATR21" s="1247"/>
      <c r="ATS21" s="1247"/>
      <c r="ATT21" s="1247"/>
      <c r="ATU21" s="1247"/>
      <c r="ATV21" s="1247"/>
      <c r="ATW21" s="1247"/>
      <c r="ATX21" s="1247"/>
      <c r="ATY21" s="1247"/>
      <c r="ATZ21" s="1247"/>
      <c r="AUA21" s="1247"/>
      <c r="AUB21" s="1247"/>
      <c r="AUC21" s="1247"/>
      <c r="AUD21" s="1247"/>
      <c r="AUE21" s="1247"/>
      <c r="AUF21" s="1247"/>
      <c r="AUG21" s="1247"/>
      <c r="AUH21" s="1247"/>
      <c r="AUI21" s="1247"/>
      <c r="AUJ21" s="1247"/>
      <c r="AUK21" s="1247"/>
      <c r="AUL21" s="1247"/>
      <c r="AUM21" s="1247"/>
      <c r="AUN21" s="1247"/>
      <c r="AUO21" s="1247"/>
      <c r="AUP21" s="1247"/>
      <c r="AUQ21" s="1247"/>
      <c r="AUR21" s="1247"/>
      <c r="AUS21" s="1247"/>
      <c r="AUT21" s="1247"/>
      <c r="AUU21" s="1247"/>
      <c r="AUV21" s="1247"/>
      <c r="AUW21" s="1247"/>
      <c r="AUX21" s="1247"/>
      <c r="AUY21" s="1247"/>
      <c r="AUZ21" s="1247"/>
      <c r="AVA21" s="1247"/>
      <c r="AVB21" s="1247"/>
      <c r="AVC21" s="1247"/>
      <c r="AVD21" s="1247"/>
      <c r="AVE21" s="1247"/>
      <c r="AVF21" s="1247"/>
      <c r="AVG21" s="1247"/>
      <c r="AVH21" s="1247"/>
      <c r="AVI21" s="1247"/>
      <c r="AVJ21" s="1247"/>
      <c r="AVK21" s="1247"/>
      <c r="AVL21" s="1247"/>
      <c r="AVM21" s="1247"/>
      <c r="AVN21" s="1247"/>
      <c r="AVO21" s="1247"/>
      <c r="AVP21" s="1247"/>
      <c r="AVQ21" s="1247"/>
      <c r="AVR21" s="1247"/>
      <c r="AVS21" s="1247"/>
      <c r="AVT21" s="1247"/>
      <c r="AVU21" s="1247"/>
      <c r="AVV21" s="1247"/>
      <c r="AVW21" s="1247"/>
      <c r="AVX21" s="1247"/>
      <c r="AVY21" s="1247"/>
      <c r="AVZ21" s="1247"/>
      <c r="AWA21" s="1247"/>
      <c r="AWB21" s="1247"/>
      <c r="AWC21" s="1247"/>
      <c r="AWD21" s="1247"/>
      <c r="AWE21" s="1247"/>
      <c r="AWF21" s="1247"/>
      <c r="AWG21" s="1247"/>
      <c r="AWH21" s="1247"/>
      <c r="AWI21" s="1247"/>
      <c r="AWJ21" s="1247"/>
      <c r="AWK21" s="1247"/>
      <c r="AWL21" s="1247"/>
      <c r="AWM21" s="1247"/>
      <c r="AWN21" s="1247"/>
      <c r="AWO21" s="1247"/>
      <c r="AWP21" s="1247"/>
      <c r="AWQ21" s="1247"/>
      <c r="AWR21" s="1247"/>
      <c r="AWS21" s="1247"/>
      <c r="AWT21" s="1247"/>
      <c r="AWU21" s="1247"/>
      <c r="AWV21" s="1247"/>
      <c r="AWW21" s="1247"/>
      <c r="AWX21" s="1247"/>
      <c r="AWY21" s="1247"/>
      <c r="AWZ21" s="1247"/>
      <c r="AXA21" s="1247"/>
      <c r="AXB21" s="1247"/>
      <c r="AXC21" s="1247"/>
      <c r="AXD21" s="1247"/>
      <c r="AXE21" s="1247"/>
      <c r="AXF21" s="1247"/>
      <c r="AXG21" s="1247"/>
      <c r="AXH21" s="1247"/>
      <c r="AXI21" s="1247"/>
      <c r="AXJ21" s="1247"/>
      <c r="AXK21" s="1247"/>
      <c r="AXL21" s="1247"/>
      <c r="AXM21" s="1247"/>
      <c r="AXN21" s="1247"/>
      <c r="AXO21" s="1247"/>
      <c r="AXP21" s="1247"/>
      <c r="AXQ21" s="1247"/>
      <c r="AXR21" s="1247"/>
      <c r="AXS21" s="1247"/>
      <c r="AXT21" s="1247"/>
      <c r="AXU21" s="1247"/>
      <c r="AXV21" s="1247"/>
      <c r="AXW21" s="1247"/>
      <c r="AXX21" s="1247"/>
      <c r="AXY21" s="1247"/>
      <c r="AXZ21" s="1247"/>
      <c r="AYA21" s="1247"/>
      <c r="AYB21" s="1247"/>
      <c r="AYC21" s="1247"/>
      <c r="AYD21" s="1247"/>
      <c r="AYE21" s="1247"/>
      <c r="AYF21" s="1247"/>
      <c r="AYG21" s="1247"/>
      <c r="AYH21" s="1247"/>
      <c r="AYI21" s="1247"/>
      <c r="AYJ21" s="1247"/>
      <c r="AYK21" s="1247"/>
      <c r="AYL21" s="1247"/>
      <c r="AYM21" s="1247"/>
      <c r="AYN21" s="1247"/>
      <c r="AYO21" s="1247"/>
      <c r="AYP21" s="1247"/>
      <c r="AYQ21" s="1247"/>
      <c r="AYR21" s="1247"/>
      <c r="AYS21" s="1247"/>
      <c r="AYT21" s="1247"/>
      <c r="AYU21" s="1247"/>
      <c r="AYV21" s="1247"/>
      <c r="AYW21" s="1247"/>
      <c r="AYX21" s="1247"/>
      <c r="AYY21" s="1247"/>
      <c r="AYZ21" s="1247"/>
      <c r="AZA21" s="1247"/>
      <c r="AZB21" s="1247"/>
      <c r="AZC21" s="1247"/>
      <c r="AZD21" s="1247"/>
      <c r="AZE21" s="1247"/>
      <c r="AZF21" s="1247"/>
      <c r="AZG21" s="1247"/>
      <c r="AZH21" s="1247"/>
      <c r="AZI21" s="1247"/>
      <c r="AZJ21" s="1247"/>
      <c r="AZK21" s="1247"/>
      <c r="AZL21" s="1247"/>
      <c r="AZM21" s="1247"/>
      <c r="AZN21" s="1247"/>
      <c r="AZO21" s="1247"/>
      <c r="AZP21" s="1247"/>
      <c r="AZQ21" s="1247"/>
      <c r="AZR21" s="1247"/>
      <c r="AZS21" s="1247"/>
      <c r="AZT21" s="1247"/>
      <c r="AZU21" s="1247"/>
      <c r="AZV21" s="1247"/>
      <c r="AZW21" s="1247"/>
      <c r="AZX21" s="1247"/>
      <c r="AZY21" s="1247"/>
      <c r="AZZ21" s="1247"/>
      <c r="BAA21" s="1247"/>
      <c r="BAB21" s="1247"/>
      <c r="BAC21" s="1247"/>
      <c r="BAD21" s="1247"/>
      <c r="BAE21" s="1247"/>
      <c r="BAF21" s="1247"/>
      <c r="BAG21" s="1247"/>
      <c r="BAH21" s="1247"/>
      <c r="BAI21" s="1247"/>
      <c r="BAJ21" s="1247"/>
      <c r="BAK21" s="1247"/>
      <c r="BAL21" s="1247"/>
      <c r="BAM21" s="1247"/>
      <c r="BAN21" s="1247"/>
      <c r="BAO21" s="1247"/>
      <c r="BAP21" s="1247"/>
      <c r="BAQ21" s="1247"/>
      <c r="BAR21" s="1247"/>
      <c r="BAS21" s="1247"/>
      <c r="BAT21" s="1247"/>
      <c r="BAU21" s="1247"/>
      <c r="BAV21" s="1247"/>
      <c r="BAW21" s="1247"/>
      <c r="BAX21" s="1247"/>
      <c r="BAY21" s="1247"/>
      <c r="BAZ21" s="1247"/>
      <c r="BBA21" s="1247"/>
      <c r="BBB21" s="1247"/>
      <c r="BBC21" s="1247"/>
      <c r="BBD21" s="1247"/>
      <c r="BBE21" s="1247"/>
      <c r="BBF21" s="1247"/>
      <c r="BBG21" s="1247"/>
      <c r="BBH21" s="1247"/>
      <c r="BBI21" s="1247"/>
      <c r="BBJ21" s="1247"/>
      <c r="BBK21" s="1247"/>
      <c r="BBL21" s="1247"/>
      <c r="BBM21" s="1247"/>
      <c r="BBN21" s="1247"/>
      <c r="BBO21" s="1247"/>
      <c r="BBP21" s="1247"/>
      <c r="BBQ21" s="1247"/>
      <c r="BBR21" s="1247"/>
      <c r="BBS21" s="1247"/>
      <c r="BBT21" s="1247"/>
      <c r="BBU21" s="1247"/>
      <c r="BBV21" s="1247"/>
      <c r="BBW21" s="1247"/>
      <c r="BBX21" s="1247"/>
      <c r="BBY21" s="1247"/>
      <c r="BBZ21" s="1247"/>
      <c r="BCA21" s="1247"/>
      <c r="BCB21" s="1247"/>
      <c r="BCC21" s="1247"/>
      <c r="BCD21" s="1247"/>
      <c r="BCE21" s="1247"/>
      <c r="BCF21" s="1247"/>
      <c r="BCG21" s="1247"/>
      <c r="BCH21" s="1247"/>
      <c r="BCI21" s="1247"/>
      <c r="BCJ21" s="1247"/>
      <c r="BCK21" s="1247"/>
      <c r="BCL21" s="1247"/>
      <c r="BCM21" s="1247"/>
      <c r="BCN21" s="1247"/>
      <c r="BCO21" s="1247"/>
      <c r="BCP21" s="1247"/>
      <c r="BCQ21" s="1247"/>
      <c r="BCR21" s="1247"/>
      <c r="BCS21" s="1247"/>
      <c r="BCT21" s="1247"/>
      <c r="BCU21" s="1247"/>
      <c r="BCV21" s="1247"/>
      <c r="BCW21" s="1247"/>
      <c r="BCX21" s="1247"/>
      <c r="BCY21" s="1247"/>
      <c r="BCZ21" s="1247"/>
      <c r="BDA21" s="1247"/>
      <c r="BDB21" s="1247"/>
      <c r="BDC21" s="1247"/>
      <c r="BDD21" s="1247"/>
      <c r="BDE21" s="1247"/>
      <c r="BDF21" s="1247"/>
      <c r="BDG21" s="1247"/>
      <c r="BDH21" s="1247"/>
      <c r="BDI21" s="1247"/>
      <c r="BDJ21" s="1247"/>
      <c r="BDK21" s="1247"/>
      <c r="BDL21" s="1247"/>
      <c r="BDM21" s="1247"/>
      <c r="BDN21" s="1247"/>
      <c r="BDO21" s="1247"/>
      <c r="BDP21" s="1247"/>
      <c r="BDQ21" s="1247"/>
      <c r="BDR21" s="1247"/>
      <c r="BDS21" s="1247"/>
      <c r="BDT21" s="1247"/>
      <c r="BDU21" s="1247"/>
      <c r="BDV21" s="1247"/>
      <c r="BDW21" s="1247"/>
      <c r="BDX21" s="1247"/>
      <c r="BDY21" s="1247"/>
      <c r="BDZ21" s="1247"/>
      <c r="BEA21" s="1247"/>
      <c r="BEB21" s="1247"/>
      <c r="BEC21" s="1247"/>
      <c r="BED21" s="1247"/>
      <c r="BEE21" s="1247"/>
      <c r="BEF21" s="1247"/>
      <c r="BEG21" s="1247"/>
      <c r="BEH21" s="1247"/>
      <c r="BEI21" s="1247"/>
      <c r="BEJ21" s="1247"/>
      <c r="BEK21" s="1247"/>
      <c r="BEL21" s="1247"/>
      <c r="BEM21" s="1247"/>
      <c r="BEN21" s="1247"/>
      <c r="BEO21" s="1247"/>
      <c r="BEP21" s="1247"/>
      <c r="BEQ21" s="1247"/>
      <c r="BER21" s="1247"/>
      <c r="BES21" s="1247"/>
      <c r="BET21" s="1247"/>
      <c r="BEU21" s="1247"/>
      <c r="BEV21" s="1247"/>
      <c r="BEW21" s="1247"/>
      <c r="BEX21" s="1247"/>
      <c r="BEY21" s="1247"/>
      <c r="BEZ21" s="1247"/>
      <c r="BFA21" s="1247"/>
      <c r="BFB21" s="1247"/>
      <c r="BFC21" s="1247"/>
      <c r="BFD21" s="1247"/>
      <c r="BFE21" s="1247"/>
      <c r="BFF21" s="1247"/>
      <c r="BFG21" s="1247"/>
      <c r="BFH21" s="1247"/>
      <c r="BFI21" s="1247"/>
      <c r="BFJ21" s="1247"/>
      <c r="BFK21" s="1247"/>
      <c r="BFL21" s="1247"/>
      <c r="BFM21" s="1247"/>
      <c r="BFN21" s="1247"/>
      <c r="BFO21" s="1247"/>
      <c r="BFP21" s="1247"/>
      <c r="BFQ21" s="1247"/>
      <c r="BFR21" s="1247"/>
      <c r="BFS21" s="1247"/>
      <c r="BFT21" s="1247"/>
      <c r="BFU21" s="1247"/>
      <c r="BFV21" s="1247"/>
      <c r="BFW21" s="1247"/>
      <c r="BFX21" s="1247"/>
      <c r="BFY21" s="1247"/>
      <c r="BFZ21" s="1247"/>
      <c r="BGA21" s="1247"/>
      <c r="BGB21" s="1247"/>
      <c r="BGC21" s="1247"/>
      <c r="BGD21" s="1247"/>
      <c r="BGE21" s="1247"/>
      <c r="BGF21" s="1247"/>
      <c r="BGG21" s="1247"/>
      <c r="BGH21" s="1247"/>
      <c r="BGI21" s="1247"/>
      <c r="BGJ21" s="1247"/>
      <c r="BGK21" s="1247"/>
      <c r="BGL21" s="1247"/>
      <c r="BGM21" s="1247"/>
      <c r="BGN21" s="1247"/>
      <c r="BGO21" s="1247"/>
      <c r="BGP21" s="1247"/>
      <c r="BGQ21" s="1247"/>
      <c r="BGR21" s="1247"/>
      <c r="BGS21" s="1247"/>
      <c r="BGT21" s="1247"/>
      <c r="BGU21" s="1247"/>
      <c r="BGV21" s="1247"/>
      <c r="BGW21" s="1247"/>
      <c r="BGX21" s="1247"/>
      <c r="BGY21" s="1247"/>
      <c r="BGZ21" s="1247"/>
      <c r="BHA21" s="1247"/>
      <c r="BHB21" s="1247"/>
      <c r="BHC21" s="1247"/>
      <c r="BHD21" s="1247"/>
      <c r="BHE21" s="1247"/>
      <c r="BHF21" s="1247"/>
      <c r="BHG21" s="1247"/>
      <c r="BHH21" s="1247"/>
      <c r="BHI21" s="1247"/>
      <c r="BHJ21" s="1247"/>
      <c r="BHK21" s="1247"/>
      <c r="BHL21" s="1247"/>
      <c r="BHM21" s="1247"/>
      <c r="BHN21" s="1247"/>
      <c r="BHO21" s="1247"/>
      <c r="BHP21" s="1247"/>
      <c r="BHQ21" s="1247"/>
      <c r="BHR21" s="1247"/>
      <c r="BHS21" s="1247"/>
      <c r="BHT21" s="1247"/>
      <c r="BHU21" s="1247"/>
      <c r="BHV21" s="1247"/>
      <c r="BHW21" s="1247"/>
      <c r="BHX21" s="1247"/>
      <c r="BHY21" s="1247"/>
      <c r="BHZ21" s="1247"/>
      <c r="BIA21" s="1247"/>
      <c r="BIB21" s="1247"/>
      <c r="BIC21" s="1247"/>
      <c r="BID21" s="1247"/>
      <c r="BIE21" s="1247"/>
      <c r="BIF21" s="1247"/>
      <c r="BIG21" s="1247"/>
      <c r="BIH21" s="1247"/>
      <c r="BII21" s="1247"/>
      <c r="BIJ21" s="1247"/>
      <c r="BIK21" s="1247"/>
      <c r="BIL21" s="1247"/>
      <c r="BIM21" s="1247"/>
      <c r="BIN21" s="1247"/>
      <c r="BIO21" s="1247"/>
      <c r="BIP21" s="1247"/>
      <c r="BIQ21" s="1247"/>
      <c r="BIR21" s="1247"/>
      <c r="BIS21" s="1247"/>
      <c r="BIT21" s="1247"/>
      <c r="BIU21" s="1247"/>
      <c r="BIV21" s="1247"/>
      <c r="BIW21" s="1247"/>
      <c r="BIX21" s="1247"/>
      <c r="BIY21" s="1247"/>
      <c r="BIZ21" s="1247"/>
      <c r="BJA21" s="1247"/>
      <c r="BJB21" s="1247"/>
      <c r="BJC21" s="1247"/>
      <c r="BJD21" s="1247"/>
      <c r="BJE21" s="1247"/>
      <c r="BJF21" s="1247"/>
      <c r="BJG21" s="1247"/>
      <c r="BJH21" s="1247"/>
      <c r="BJI21" s="1247"/>
      <c r="BJJ21" s="1247"/>
      <c r="BJK21" s="1247"/>
      <c r="BJL21" s="1247"/>
      <c r="BJM21" s="1247"/>
      <c r="BJN21" s="1247"/>
      <c r="BJO21" s="1247"/>
      <c r="BJP21" s="1247"/>
      <c r="BJQ21" s="1247"/>
      <c r="BJR21" s="1247"/>
      <c r="BJS21" s="1247"/>
      <c r="BJT21" s="1247"/>
      <c r="BJU21" s="1247"/>
      <c r="BJV21" s="1247"/>
      <c r="BJW21" s="1247"/>
      <c r="BJX21" s="1247"/>
      <c r="BJY21" s="1247"/>
      <c r="BJZ21" s="1247"/>
      <c r="BKA21" s="1247"/>
      <c r="BKB21" s="1247"/>
      <c r="BKC21" s="1247"/>
      <c r="BKD21" s="1247"/>
      <c r="BKE21" s="1247"/>
      <c r="BKF21" s="1247"/>
      <c r="BKG21" s="1247"/>
      <c r="BKH21" s="1247"/>
      <c r="BKI21" s="1247"/>
      <c r="BKJ21" s="1247"/>
      <c r="BKK21" s="1247"/>
      <c r="BKL21" s="1247"/>
      <c r="BKM21" s="1247"/>
      <c r="BKN21" s="1247"/>
      <c r="BKO21" s="1247"/>
      <c r="BKP21" s="1247"/>
      <c r="BKQ21" s="1247"/>
      <c r="BKR21" s="1247"/>
      <c r="BKS21" s="1247"/>
      <c r="BKT21" s="1247"/>
      <c r="BKU21" s="1247"/>
      <c r="BKV21" s="1247"/>
      <c r="BKW21" s="1247"/>
      <c r="BKX21" s="1247"/>
      <c r="BKY21" s="1247"/>
      <c r="BKZ21" s="1247"/>
      <c r="BLA21" s="1247"/>
      <c r="BLB21" s="1247"/>
      <c r="BLC21" s="1247"/>
      <c r="BLD21" s="1247"/>
      <c r="BLE21" s="1247"/>
      <c r="BLF21" s="1247"/>
      <c r="BLG21" s="1247"/>
      <c r="BLH21" s="1247"/>
      <c r="BLI21" s="1247"/>
      <c r="BLJ21" s="1247"/>
      <c r="BLK21" s="1247"/>
      <c r="BLL21" s="1247"/>
      <c r="BLM21" s="1247"/>
      <c r="BLN21" s="1247"/>
      <c r="BLO21" s="1247"/>
      <c r="BLP21" s="1247"/>
      <c r="BLQ21" s="1247"/>
      <c r="BLR21" s="1247"/>
      <c r="BLS21" s="1247"/>
      <c r="BLT21" s="1247"/>
      <c r="BLU21" s="1247"/>
      <c r="BLV21" s="1247"/>
      <c r="BLW21" s="1247"/>
      <c r="BLX21" s="1247"/>
      <c r="BLY21" s="1247"/>
      <c r="BLZ21" s="1247"/>
      <c r="BMA21" s="1247"/>
      <c r="BMB21" s="1247"/>
      <c r="BMC21" s="1247"/>
      <c r="BMD21" s="1247"/>
      <c r="BME21" s="1247"/>
      <c r="BMF21" s="1247"/>
      <c r="BMG21" s="1247"/>
      <c r="BMH21" s="1247"/>
      <c r="BMI21" s="1247"/>
      <c r="BMJ21" s="1247"/>
      <c r="BMK21" s="1247"/>
      <c r="BML21" s="1247"/>
      <c r="BMM21" s="1247"/>
      <c r="BMN21" s="1247"/>
      <c r="BMO21" s="1247"/>
      <c r="BMP21" s="1247"/>
      <c r="BMQ21" s="1247"/>
      <c r="BMR21" s="1247"/>
      <c r="BMS21" s="1247"/>
      <c r="BMT21" s="1247"/>
      <c r="BMU21" s="1247"/>
      <c r="BMV21" s="1247"/>
      <c r="BMW21" s="1247"/>
      <c r="BMX21" s="1247"/>
      <c r="BMY21" s="1247"/>
      <c r="BMZ21" s="1247"/>
      <c r="BNA21" s="1247"/>
      <c r="BNB21" s="1247"/>
      <c r="BNC21" s="1247"/>
      <c r="BND21" s="1247"/>
      <c r="BNE21" s="1247"/>
      <c r="BNF21" s="1247"/>
      <c r="BNG21" s="1247"/>
      <c r="BNH21" s="1247"/>
      <c r="BNI21" s="1247"/>
      <c r="BNJ21" s="1247"/>
      <c r="BNK21" s="1247"/>
      <c r="BNL21" s="1247"/>
      <c r="BNM21" s="1247"/>
      <c r="BNN21" s="1247"/>
      <c r="BNO21" s="1247"/>
      <c r="BNP21" s="1247"/>
      <c r="BNQ21" s="1247"/>
      <c r="BNR21" s="1247"/>
      <c r="BNS21" s="1247"/>
      <c r="BNT21" s="1247"/>
      <c r="BNU21" s="1247"/>
      <c r="BNV21" s="1247"/>
      <c r="BNW21" s="1247"/>
      <c r="BNX21" s="1247"/>
      <c r="BNY21" s="1247"/>
      <c r="BNZ21" s="1247"/>
      <c r="BOA21" s="1247"/>
      <c r="BOB21" s="1247"/>
      <c r="BOC21" s="1247"/>
      <c r="BOD21" s="1247"/>
      <c r="BOE21" s="1247"/>
      <c r="BOF21" s="1247"/>
      <c r="BOG21" s="1247"/>
      <c r="BOH21" s="1247"/>
      <c r="BOI21" s="1247"/>
      <c r="BOJ21" s="1247"/>
      <c r="BOK21" s="1247"/>
      <c r="BOL21" s="1247"/>
      <c r="BOM21" s="1247"/>
      <c r="BON21" s="1247"/>
      <c r="BOO21" s="1247"/>
      <c r="BOP21" s="1247"/>
      <c r="BOQ21" s="1247"/>
      <c r="BOR21" s="1247"/>
      <c r="BOS21" s="1247"/>
      <c r="BOT21" s="1247"/>
      <c r="BOU21" s="1247"/>
      <c r="BOV21" s="1247"/>
      <c r="BOW21" s="1247"/>
      <c r="BOX21" s="1247"/>
      <c r="BOY21" s="1247"/>
      <c r="BOZ21" s="1247"/>
      <c r="BPA21" s="1247"/>
      <c r="BPB21" s="1247"/>
      <c r="BPC21" s="1247"/>
      <c r="BPD21" s="1247"/>
      <c r="BPE21" s="1247"/>
      <c r="BPF21" s="1247"/>
      <c r="BPG21" s="1247"/>
      <c r="BPH21" s="1247"/>
      <c r="BPI21" s="1247"/>
      <c r="BPJ21" s="1247"/>
      <c r="BPK21" s="1247"/>
      <c r="BPL21" s="1247"/>
      <c r="BPM21" s="1247"/>
      <c r="BPN21" s="1247"/>
      <c r="BPO21" s="1247"/>
      <c r="BPP21" s="1247"/>
      <c r="BPQ21" s="1247"/>
      <c r="BPR21" s="1247"/>
      <c r="BPS21" s="1247"/>
      <c r="BPT21" s="1247"/>
      <c r="BPU21" s="1247"/>
      <c r="BPV21" s="1247"/>
      <c r="BPW21" s="1247"/>
      <c r="BPX21" s="1247"/>
      <c r="BPY21" s="1247"/>
      <c r="BPZ21" s="1247"/>
      <c r="BQA21" s="1247"/>
      <c r="BQB21" s="1247"/>
      <c r="BQC21" s="1247"/>
      <c r="BQD21" s="1247"/>
      <c r="BQE21" s="1247"/>
      <c r="BQF21" s="1247"/>
      <c r="BQG21" s="1247"/>
      <c r="BQH21" s="1247"/>
      <c r="BQI21" s="1247"/>
      <c r="BQJ21" s="1247"/>
      <c r="BQK21" s="1247"/>
      <c r="BQL21" s="1247"/>
      <c r="BQM21" s="1247"/>
      <c r="BQN21" s="1247"/>
      <c r="BQO21" s="1247"/>
      <c r="BQP21" s="1247"/>
      <c r="BQQ21" s="1247"/>
      <c r="BQR21" s="1247"/>
      <c r="BQS21" s="1247"/>
      <c r="BQT21" s="1247"/>
      <c r="BQU21" s="1247"/>
      <c r="BQV21" s="1247"/>
      <c r="BQW21" s="1247"/>
      <c r="BQX21" s="1247"/>
      <c r="BQY21" s="1247"/>
      <c r="BQZ21" s="1247"/>
      <c r="BRA21" s="1247"/>
      <c r="BRB21" s="1247"/>
      <c r="BRC21" s="1247"/>
      <c r="BRD21" s="1247"/>
      <c r="BRE21" s="1247"/>
      <c r="BRF21" s="1247"/>
      <c r="BRG21" s="1247"/>
      <c r="BRH21" s="1247"/>
      <c r="BRI21" s="1247"/>
      <c r="BRJ21" s="1247"/>
      <c r="BRK21" s="1247"/>
      <c r="BRL21" s="1247"/>
      <c r="BRM21" s="1247"/>
      <c r="BRN21" s="1247"/>
      <c r="BRO21" s="1247"/>
      <c r="BRP21" s="1247"/>
      <c r="BRQ21" s="1247"/>
      <c r="BRR21" s="1247"/>
      <c r="BRS21" s="1247"/>
      <c r="BRT21" s="1247"/>
      <c r="BRU21" s="1247"/>
      <c r="BRV21" s="1247"/>
      <c r="BRW21" s="1247"/>
      <c r="BRX21" s="1247"/>
      <c r="BRY21" s="1247"/>
      <c r="BRZ21" s="1247"/>
      <c r="BSA21" s="1247"/>
      <c r="BSB21" s="1247"/>
      <c r="BSC21" s="1247"/>
      <c r="BSD21" s="1247"/>
      <c r="BSE21" s="1247"/>
      <c r="BSF21" s="1247"/>
      <c r="BSG21" s="1247"/>
      <c r="BSH21" s="1247"/>
      <c r="BSI21" s="1247"/>
      <c r="BSJ21" s="1247"/>
      <c r="BSK21" s="1247"/>
      <c r="BSL21" s="1247"/>
      <c r="BSM21" s="1247"/>
      <c r="BSN21" s="1247"/>
      <c r="BSO21" s="1247"/>
      <c r="BSP21" s="1247"/>
      <c r="BSQ21" s="1247"/>
      <c r="BSR21" s="1247"/>
      <c r="BSS21" s="1247"/>
      <c r="BST21" s="1247"/>
      <c r="BSU21" s="1247"/>
      <c r="BSV21" s="1247"/>
      <c r="BSW21" s="1247"/>
      <c r="BSX21" s="1247"/>
      <c r="BSY21" s="1247"/>
      <c r="BSZ21" s="1247"/>
      <c r="BTA21" s="1247"/>
      <c r="BTB21" s="1247"/>
      <c r="BTC21" s="1247"/>
      <c r="BTD21" s="1247"/>
      <c r="BTE21" s="1247"/>
      <c r="BTF21" s="1247"/>
      <c r="BTG21" s="1247"/>
      <c r="BTH21" s="1247"/>
      <c r="BTI21" s="1247"/>
      <c r="BTJ21" s="1247"/>
      <c r="BTK21" s="1247"/>
      <c r="BTL21" s="1247"/>
      <c r="BTM21" s="1247"/>
      <c r="BTN21" s="1247"/>
      <c r="BTO21" s="1247"/>
      <c r="BTP21" s="1247"/>
      <c r="BTQ21" s="1247"/>
      <c r="BTR21" s="1247"/>
      <c r="BTS21" s="1247"/>
      <c r="BTT21" s="1247"/>
      <c r="BTU21" s="1247"/>
      <c r="BTV21" s="1247"/>
      <c r="BTW21" s="1247"/>
      <c r="BTX21" s="1247"/>
      <c r="BTY21" s="1247"/>
      <c r="BTZ21" s="1247"/>
      <c r="BUA21" s="1247"/>
      <c r="BUB21" s="1247"/>
      <c r="BUC21" s="1247"/>
      <c r="BUD21" s="1247"/>
      <c r="BUE21" s="1247"/>
      <c r="BUF21" s="1247"/>
      <c r="BUG21" s="1247"/>
      <c r="BUH21" s="1247"/>
      <c r="BUI21" s="1247"/>
      <c r="BUJ21" s="1247"/>
      <c r="BUK21" s="1247"/>
      <c r="BUL21" s="1247"/>
      <c r="BUM21" s="1247"/>
      <c r="BUN21" s="1247"/>
      <c r="BUO21" s="1247"/>
      <c r="BUP21" s="1247"/>
      <c r="BUQ21" s="1247"/>
      <c r="BUR21" s="1247"/>
      <c r="BUS21" s="1247"/>
      <c r="BUT21" s="1247"/>
      <c r="BUU21" s="1247"/>
      <c r="BUV21" s="1247"/>
      <c r="BUW21" s="1247"/>
      <c r="BUX21" s="1247"/>
      <c r="BUY21" s="1247"/>
      <c r="BUZ21" s="1247"/>
      <c r="BVA21" s="1247"/>
      <c r="BVB21" s="1247"/>
      <c r="BVC21" s="1247"/>
      <c r="BVD21" s="1247"/>
      <c r="BVE21" s="1247"/>
      <c r="BVF21" s="1247"/>
      <c r="BVG21" s="1247"/>
      <c r="BVH21" s="1247"/>
      <c r="BVI21" s="1247"/>
      <c r="BVJ21" s="1247"/>
      <c r="BVK21" s="1247"/>
      <c r="BVL21" s="1247"/>
      <c r="BVM21" s="1247"/>
      <c r="BVN21" s="1247"/>
      <c r="BVO21" s="1247"/>
      <c r="BVP21" s="1247"/>
      <c r="BVQ21" s="1247"/>
      <c r="BVR21" s="1247"/>
      <c r="BVS21" s="1247"/>
      <c r="BVT21" s="1247"/>
      <c r="BVU21" s="1247"/>
      <c r="BVV21" s="1247"/>
      <c r="BVW21" s="1247"/>
      <c r="BVX21" s="1247"/>
      <c r="BVY21" s="1247"/>
      <c r="BVZ21" s="1247"/>
      <c r="BWA21" s="1247"/>
      <c r="BWB21" s="1247"/>
      <c r="BWC21" s="1247"/>
      <c r="BWD21" s="1247"/>
      <c r="BWE21" s="1247"/>
      <c r="BWF21" s="1247"/>
      <c r="BWG21" s="1247"/>
      <c r="BWH21" s="1247"/>
      <c r="BWI21" s="1247"/>
      <c r="BWJ21" s="1247"/>
      <c r="BWK21" s="1247"/>
      <c r="BWL21" s="1247"/>
      <c r="BWM21" s="1247"/>
      <c r="BWN21" s="1247"/>
      <c r="BWO21" s="1247"/>
      <c r="BWP21" s="1247"/>
      <c r="BWQ21" s="1247"/>
      <c r="BWR21" s="1247"/>
      <c r="BWS21" s="1247"/>
      <c r="BWT21" s="1247"/>
      <c r="BWU21" s="1247"/>
      <c r="BWV21" s="1247"/>
      <c r="BWW21" s="1247"/>
      <c r="BWX21" s="1247"/>
      <c r="BWY21" s="1247"/>
      <c r="BWZ21" s="1247"/>
      <c r="BXA21" s="1247"/>
      <c r="BXB21" s="1247"/>
      <c r="BXC21" s="1247"/>
      <c r="BXD21" s="1247"/>
      <c r="BXE21" s="1247"/>
      <c r="BXF21" s="1247"/>
      <c r="BXG21" s="1247"/>
      <c r="BXH21" s="1247"/>
      <c r="BXI21" s="1247"/>
      <c r="BXJ21" s="1247"/>
      <c r="BXK21" s="1247"/>
      <c r="BXL21" s="1247"/>
      <c r="BXM21" s="1247"/>
      <c r="BXN21" s="1247"/>
      <c r="BXO21" s="1247"/>
      <c r="BXP21" s="1247"/>
      <c r="BXQ21" s="1247"/>
      <c r="BXR21" s="1247"/>
      <c r="BXS21" s="1247"/>
      <c r="BXT21" s="1247"/>
      <c r="BXU21" s="1247"/>
      <c r="BXV21" s="1247"/>
      <c r="BXW21" s="1247"/>
      <c r="BXX21" s="1247"/>
      <c r="BXY21" s="1247"/>
      <c r="BXZ21" s="1247"/>
      <c r="BYA21" s="1247"/>
      <c r="BYB21" s="1247"/>
      <c r="BYC21" s="1247"/>
      <c r="BYD21" s="1247"/>
      <c r="BYE21" s="1247"/>
      <c r="BYF21" s="1247"/>
      <c r="BYG21" s="1247"/>
      <c r="BYH21" s="1247"/>
      <c r="BYI21" s="1247"/>
      <c r="BYJ21" s="1247"/>
      <c r="BYK21" s="1247"/>
      <c r="BYL21" s="1247"/>
      <c r="BYM21" s="1247"/>
      <c r="BYN21" s="1247"/>
      <c r="BYO21" s="1247"/>
      <c r="BYP21" s="1247"/>
      <c r="BYQ21" s="1247"/>
      <c r="BYR21" s="1247"/>
      <c r="BYS21" s="1247"/>
      <c r="BYT21" s="1247"/>
      <c r="BYU21" s="1247"/>
      <c r="BYV21" s="1247"/>
      <c r="BYW21" s="1247"/>
      <c r="BYX21" s="1247"/>
      <c r="BYY21" s="1247"/>
      <c r="BYZ21" s="1247"/>
      <c r="BZA21" s="1247"/>
      <c r="BZB21" s="1247"/>
      <c r="BZC21" s="1247"/>
      <c r="BZD21" s="1247"/>
      <c r="BZE21" s="1247"/>
      <c r="BZF21" s="1247"/>
      <c r="BZG21" s="1247"/>
      <c r="BZH21" s="1247"/>
      <c r="BZI21" s="1247"/>
      <c r="BZJ21" s="1247"/>
      <c r="BZK21" s="1247"/>
      <c r="BZL21" s="1247"/>
      <c r="BZM21" s="1247"/>
      <c r="BZN21" s="1247"/>
      <c r="BZO21" s="1247"/>
      <c r="BZP21" s="1247"/>
      <c r="BZQ21" s="1247"/>
      <c r="BZR21" s="1247"/>
      <c r="BZS21" s="1247"/>
      <c r="BZT21" s="1247"/>
      <c r="BZU21" s="1247"/>
      <c r="BZV21" s="1247"/>
      <c r="BZW21" s="1247"/>
      <c r="BZX21" s="1247"/>
      <c r="BZY21" s="1247"/>
      <c r="BZZ21" s="1247"/>
      <c r="CAA21" s="1247"/>
      <c r="CAB21" s="1247"/>
      <c r="CAC21" s="1247"/>
      <c r="CAD21" s="1247"/>
      <c r="CAE21" s="1247"/>
      <c r="CAF21" s="1247"/>
      <c r="CAG21" s="1247"/>
      <c r="CAH21" s="1247"/>
      <c r="CAI21" s="1247"/>
      <c r="CAJ21" s="1247"/>
      <c r="CAK21" s="1247"/>
      <c r="CAL21" s="1247"/>
      <c r="CAM21" s="1247"/>
      <c r="CAN21" s="1247"/>
      <c r="CAO21" s="1247"/>
      <c r="CAP21" s="1247"/>
      <c r="CAQ21" s="1247"/>
      <c r="CAR21" s="1247"/>
      <c r="CAS21" s="1247"/>
      <c r="CAT21" s="1247"/>
      <c r="CAU21" s="1247"/>
      <c r="CAV21" s="1247"/>
      <c r="CAW21" s="1247"/>
      <c r="CAX21" s="1247"/>
      <c r="CAY21" s="1247"/>
      <c r="CAZ21" s="1247"/>
      <c r="CBA21" s="1247"/>
      <c r="CBB21" s="1247"/>
      <c r="CBC21" s="1247"/>
      <c r="CBD21" s="1247"/>
      <c r="CBE21" s="1247"/>
      <c r="CBF21" s="1247"/>
      <c r="CBG21" s="1247"/>
      <c r="CBH21" s="1247"/>
      <c r="CBI21" s="1247"/>
      <c r="CBJ21" s="1247"/>
      <c r="CBK21" s="1247"/>
      <c r="CBL21" s="1247"/>
      <c r="CBM21" s="1247"/>
      <c r="CBN21" s="1247"/>
      <c r="CBO21" s="1247"/>
      <c r="CBP21" s="1247"/>
      <c r="CBQ21" s="1247"/>
      <c r="CBR21" s="1247"/>
      <c r="CBS21" s="1247"/>
      <c r="CBT21" s="1247"/>
      <c r="CBU21" s="1247"/>
      <c r="CBV21" s="1247"/>
      <c r="CBW21" s="1247"/>
      <c r="CBX21" s="1247"/>
      <c r="CBY21" s="1247"/>
      <c r="CBZ21" s="1247"/>
      <c r="CCA21" s="1247"/>
      <c r="CCB21" s="1247"/>
      <c r="CCC21" s="1247"/>
      <c r="CCD21" s="1247"/>
      <c r="CCE21" s="1247"/>
      <c r="CCF21" s="1247"/>
      <c r="CCG21" s="1247"/>
      <c r="CCH21" s="1247"/>
      <c r="CCI21" s="1247"/>
      <c r="CCJ21" s="1247"/>
      <c r="CCK21" s="1247"/>
      <c r="CCL21" s="1247"/>
      <c r="CCM21" s="1247"/>
      <c r="CCN21" s="1247"/>
      <c r="CCO21" s="1247"/>
      <c r="CCP21" s="1247"/>
      <c r="CCQ21" s="1247"/>
      <c r="CCR21" s="1247"/>
      <c r="CCS21" s="1247"/>
      <c r="CCT21" s="1247"/>
      <c r="CCU21" s="1247"/>
      <c r="CCV21" s="1247"/>
      <c r="CCW21" s="1247"/>
      <c r="CCX21" s="1247"/>
      <c r="CCY21" s="1247"/>
      <c r="CCZ21" s="1247"/>
      <c r="CDA21" s="1247"/>
      <c r="CDB21" s="1247"/>
      <c r="CDC21" s="1247"/>
      <c r="CDD21" s="1247"/>
      <c r="CDE21" s="1247"/>
      <c r="CDF21" s="1247"/>
      <c r="CDG21" s="1247"/>
      <c r="CDH21" s="1247"/>
      <c r="CDI21" s="1247"/>
      <c r="CDJ21" s="1247"/>
      <c r="CDK21" s="1247"/>
      <c r="CDL21" s="1247"/>
      <c r="CDM21" s="1247"/>
      <c r="CDN21" s="1247"/>
      <c r="CDO21" s="1247"/>
      <c r="CDP21" s="1247"/>
      <c r="CDQ21" s="1247"/>
      <c r="CDR21" s="1247"/>
      <c r="CDS21" s="1247"/>
      <c r="CDT21" s="1247"/>
      <c r="CDU21" s="1247"/>
      <c r="CDV21" s="1247"/>
      <c r="CDW21" s="1247"/>
      <c r="CDX21" s="1247"/>
      <c r="CDY21" s="1247"/>
      <c r="CDZ21" s="1247"/>
      <c r="CEA21" s="1247"/>
      <c r="CEB21" s="1247"/>
      <c r="CEC21" s="1247"/>
      <c r="CED21" s="1247"/>
      <c r="CEE21" s="1247"/>
      <c r="CEF21" s="1247"/>
      <c r="CEG21" s="1247"/>
      <c r="CEH21" s="1247"/>
      <c r="CEI21" s="1247"/>
      <c r="CEJ21" s="1247"/>
      <c r="CEK21" s="1247"/>
      <c r="CEL21" s="1247"/>
      <c r="CEM21" s="1247"/>
      <c r="CEN21" s="1247"/>
      <c r="CEO21" s="1247"/>
      <c r="CEP21" s="1247"/>
      <c r="CEQ21" s="1247"/>
      <c r="CER21" s="1247"/>
      <c r="CES21" s="1247"/>
      <c r="CET21" s="1247"/>
      <c r="CEU21" s="1247"/>
      <c r="CEV21" s="1247"/>
      <c r="CEW21" s="1247"/>
      <c r="CEX21" s="1247"/>
      <c r="CEY21" s="1247"/>
      <c r="CEZ21" s="1247"/>
      <c r="CFA21" s="1247"/>
      <c r="CFB21" s="1247"/>
      <c r="CFC21" s="1247"/>
      <c r="CFD21" s="1247"/>
      <c r="CFE21" s="1247"/>
      <c r="CFF21" s="1247"/>
      <c r="CFG21" s="1247"/>
      <c r="CFH21" s="1247"/>
      <c r="CFI21" s="1247"/>
      <c r="CFJ21" s="1247"/>
      <c r="CFK21" s="1247"/>
      <c r="CFL21" s="1247"/>
      <c r="CFM21" s="1247"/>
      <c r="CFN21" s="1247"/>
      <c r="CFO21" s="1247"/>
      <c r="CFP21" s="1247"/>
      <c r="CFQ21" s="1247"/>
      <c r="CFR21" s="1247"/>
      <c r="CFS21" s="1247"/>
      <c r="CFT21" s="1247"/>
      <c r="CFU21" s="1247"/>
      <c r="CFV21" s="1247"/>
      <c r="CFW21" s="1247"/>
      <c r="CFX21" s="1247"/>
      <c r="CFY21" s="1247"/>
      <c r="CFZ21" s="1247"/>
      <c r="CGA21" s="1247"/>
      <c r="CGB21" s="1247"/>
      <c r="CGC21" s="1247"/>
      <c r="CGD21" s="1247"/>
      <c r="CGE21" s="1247"/>
      <c r="CGF21" s="1247"/>
      <c r="CGG21" s="1247"/>
      <c r="CGH21" s="1247"/>
      <c r="CGI21" s="1247"/>
      <c r="CGJ21" s="1247"/>
      <c r="CGK21" s="1247"/>
      <c r="CGL21" s="1247"/>
      <c r="CGM21" s="1247"/>
      <c r="CGN21" s="1247"/>
      <c r="CGO21" s="1247"/>
      <c r="CGP21" s="1247"/>
      <c r="CGQ21" s="1247"/>
      <c r="CGR21" s="1247"/>
      <c r="CGS21" s="1247"/>
      <c r="CGT21" s="1247"/>
      <c r="CGU21" s="1247"/>
      <c r="CGV21" s="1247"/>
      <c r="CGW21" s="1247"/>
      <c r="CGX21" s="1247"/>
      <c r="CGY21" s="1247"/>
      <c r="CGZ21" s="1247"/>
      <c r="CHA21" s="1247"/>
      <c r="CHB21" s="1247"/>
      <c r="CHC21" s="1247"/>
      <c r="CHD21" s="1247"/>
      <c r="CHE21" s="1247"/>
      <c r="CHF21" s="1247"/>
      <c r="CHG21" s="1247"/>
      <c r="CHH21" s="1247"/>
      <c r="CHI21" s="1247"/>
      <c r="CHJ21" s="1247"/>
      <c r="CHK21" s="1247"/>
      <c r="CHL21" s="1247"/>
      <c r="CHM21" s="1247"/>
      <c r="CHN21" s="1247"/>
      <c r="CHO21" s="1247"/>
      <c r="CHP21" s="1247"/>
      <c r="CHQ21" s="1247"/>
      <c r="CHR21" s="1247"/>
      <c r="CHS21" s="1247"/>
      <c r="CHT21" s="1247"/>
      <c r="CHU21" s="1247"/>
      <c r="CHV21" s="1247"/>
      <c r="CHW21" s="1247"/>
      <c r="CHX21" s="1247"/>
      <c r="CHY21" s="1247"/>
      <c r="CHZ21" s="1247"/>
      <c r="CIA21" s="1247"/>
      <c r="CIB21" s="1247"/>
      <c r="CIC21" s="1247"/>
      <c r="CID21" s="1247"/>
      <c r="CIE21" s="1247"/>
      <c r="CIF21" s="1247"/>
      <c r="CIG21" s="1247"/>
      <c r="CIH21" s="1247"/>
      <c r="CII21" s="1247"/>
      <c r="CIJ21" s="1247"/>
      <c r="CIK21" s="1247"/>
      <c r="CIL21" s="1247"/>
      <c r="CIM21" s="1247"/>
      <c r="CIN21" s="1247"/>
      <c r="CIO21" s="1247"/>
      <c r="CIP21" s="1247"/>
      <c r="CIQ21" s="1247"/>
      <c r="CIR21" s="1247"/>
      <c r="CIS21" s="1247"/>
      <c r="CIT21" s="1247"/>
      <c r="CIU21" s="1247"/>
      <c r="CIV21" s="1247"/>
      <c r="CIW21" s="1247"/>
      <c r="CIX21" s="1247"/>
      <c r="CIY21" s="1247"/>
      <c r="CIZ21" s="1247"/>
      <c r="CJA21" s="1247"/>
      <c r="CJB21" s="1247"/>
      <c r="CJC21" s="1247"/>
      <c r="CJD21" s="1247"/>
      <c r="CJE21" s="1247"/>
      <c r="CJF21" s="1247"/>
      <c r="CJG21" s="1247"/>
      <c r="CJH21" s="1247"/>
      <c r="CJI21" s="1247"/>
      <c r="CJJ21" s="1247"/>
      <c r="CJK21" s="1247"/>
      <c r="CJL21" s="1247"/>
      <c r="CJM21" s="1247"/>
      <c r="CJN21" s="1247"/>
      <c r="CJO21" s="1247"/>
      <c r="CJP21" s="1247"/>
      <c r="CJQ21" s="1247"/>
      <c r="CJR21" s="1247"/>
      <c r="CJS21" s="1247"/>
      <c r="CJT21" s="1247"/>
      <c r="CJU21" s="1247"/>
      <c r="CJV21" s="1247"/>
      <c r="CJW21" s="1247"/>
      <c r="CJX21" s="1247"/>
      <c r="CJY21" s="1247"/>
      <c r="CJZ21" s="1247"/>
      <c r="CKA21" s="1247"/>
      <c r="CKB21" s="1247"/>
      <c r="CKC21" s="1247"/>
      <c r="CKD21" s="1247"/>
      <c r="CKE21" s="1247"/>
      <c r="CKF21" s="1247"/>
      <c r="CKG21" s="1247"/>
      <c r="CKH21" s="1247"/>
      <c r="CKI21" s="1247"/>
      <c r="CKJ21" s="1247"/>
      <c r="CKK21" s="1247"/>
      <c r="CKL21" s="1247"/>
      <c r="CKM21" s="1247"/>
      <c r="CKN21" s="1247"/>
      <c r="CKO21" s="1247"/>
      <c r="CKP21" s="1247"/>
      <c r="CKQ21" s="1247"/>
      <c r="CKR21" s="1247"/>
      <c r="CKS21" s="1247"/>
      <c r="CKT21" s="1247"/>
      <c r="CKU21" s="1247"/>
      <c r="CKV21" s="1247"/>
      <c r="CKW21" s="1247"/>
      <c r="CKX21" s="1247"/>
      <c r="CKY21" s="1247"/>
      <c r="CKZ21" s="1247"/>
      <c r="CLA21" s="1247"/>
      <c r="CLB21" s="1247"/>
      <c r="CLC21" s="1247"/>
      <c r="CLD21" s="1247"/>
      <c r="CLE21" s="1247"/>
      <c r="CLF21" s="1247"/>
      <c r="CLG21" s="1247"/>
      <c r="CLH21" s="1247"/>
      <c r="CLI21" s="1247"/>
      <c r="CLJ21" s="1247"/>
      <c r="CLK21" s="1247"/>
      <c r="CLL21" s="1247"/>
      <c r="CLM21" s="1247"/>
      <c r="CLN21" s="1247"/>
      <c r="CLO21" s="1247"/>
      <c r="CLP21" s="1247"/>
      <c r="CLQ21" s="1247"/>
      <c r="CLR21" s="1247"/>
      <c r="CLS21" s="1247"/>
      <c r="CLT21" s="1247"/>
      <c r="CLU21" s="1247"/>
      <c r="CLV21" s="1247"/>
      <c r="CLW21" s="1247"/>
      <c r="CLX21" s="1247"/>
      <c r="CLY21" s="1247"/>
      <c r="CLZ21" s="1247"/>
      <c r="CMA21" s="1247"/>
      <c r="CMB21" s="1247"/>
      <c r="CMC21" s="1247"/>
      <c r="CMD21" s="1247"/>
      <c r="CME21" s="1247"/>
      <c r="CMF21" s="1247"/>
      <c r="CMG21" s="1247"/>
      <c r="CMH21" s="1247"/>
      <c r="CMI21" s="1247"/>
      <c r="CMJ21" s="1247"/>
      <c r="CMK21" s="1247"/>
      <c r="CML21" s="1247"/>
      <c r="CMM21" s="1247"/>
      <c r="CMN21" s="1247"/>
      <c r="CMO21" s="1247"/>
      <c r="CMP21" s="1247"/>
      <c r="CMQ21" s="1247"/>
      <c r="CMR21" s="1247"/>
      <c r="CMS21" s="1247"/>
      <c r="CMT21" s="1247"/>
      <c r="CMU21" s="1247"/>
      <c r="CMV21" s="1247"/>
      <c r="CMW21" s="1247"/>
      <c r="CMX21" s="1247"/>
      <c r="CMY21" s="1247"/>
      <c r="CMZ21" s="1247"/>
      <c r="CNA21" s="1247"/>
      <c r="CNB21" s="1247"/>
      <c r="CNC21" s="1247"/>
      <c r="CND21" s="1247"/>
      <c r="CNE21" s="1247"/>
      <c r="CNF21" s="1247"/>
      <c r="CNG21" s="1247"/>
      <c r="CNH21" s="1247"/>
      <c r="CNI21" s="1247"/>
      <c r="CNJ21" s="1247"/>
      <c r="CNK21" s="1247"/>
      <c r="CNL21" s="1247"/>
      <c r="CNM21" s="1247"/>
      <c r="CNN21" s="1247"/>
      <c r="CNO21" s="1247"/>
      <c r="CNP21" s="1247"/>
      <c r="CNQ21" s="1247"/>
      <c r="CNR21" s="1247"/>
      <c r="CNS21" s="1247"/>
      <c r="CNT21" s="1247"/>
      <c r="CNU21" s="1247"/>
      <c r="CNV21" s="1247"/>
      <c r="CNW21" s="1247"/>
      <c r="CNX21" s="1247"/>
      <c r="CNY21" s="1247"/>
      <c r="CNZ21" s="1247"/>
      <c r="COA21" s="1247"/>
      <c r="COB21" s="1247"/>
      <c r="COC21" s="1247"/>
      <c r="COD21" s="1247"/>
      <c r="COE21" s="1247"/>
      <c r="COF21" s="1247"/>
      <c r="COG21" s="1247"/>
      <c r="COH21" s="1247"/>
      <c r="COI21" s="1247"/>
      <c r="COJ21" s="1247"/>
      <c r="COK21" s="1247"/>
      <c r="COL21" s="1247"/>
      <c r="COM21" s="1247"/>
      <c r="CON21" s="1247"/>
      <c r="COO21" s="1247"/>
      <c r="COP21" s="1247"/>
      <c r="COQ21" s="1247"/>
      <c r="COR21" s="1247"/>
      <c r="COS21" s="1247"/>
      <c r="COT21" s="1247"/>
      <c r="COU21" s="1247"/>
      <c r="COV21" s="1247"/>
      <c r="COW21" s="1247"/>
      <c r="COX21" s="1247"/>
      <c r="COY21" s="1247"/>
      <c r="COZ21" s="1247"/>
      <c r="CPA21" s="1247"/>
      <c r="CPB21" s="1247"/>
      <c r="CPC21" s="1247"/>
      <c r="CPD21" s="1247"/>
      <c r="CPE21" s="1247"/>
      <c r="CPF21" s="1247"/>
      <c r="CPG21" s="1247"/>
      <c r="CPH21" s="1247"/>
      <c r="CPI21" s="1247"/>
      <c r="CPJ21" s="1247"/>
      <c r="CPK21" s="1247"/>
      <c r="CPL21" s="1247"/>
      <c r="CPM21" s="1247"/>
      <c r="CPN21" s="1247"/>
      <c r="CPO21" s="1247"/>
      <c r="CPP21" s="1247"/>
      <c r="CPQ21" s="1247"/>
      <c r="CPR21" s="1247"/>
      <c r="CPS21" s="1247"/>
      <c r="CPT21" s="1247"/>
      <c r="CPU21" s="1247"/>
      <c r="CPV21" s="1247"/>
      <c r="CPW21" s="1247"/>
      <c r="CPX21" s="1247"/>
      <c r="CPY21" s="1247"/>
      <c r="CPZ21" s="1247"/>
      <c r="CQA21" s="1247"/>
      <c r="CQB21" s="1247"/>
      <c r="CQC21" s="1247"/>
      <c r="CQD21" s="1247"/>
      <c r="CQE21" s="1247"/>
      <c r="CQF21" s="1247"/>
      <c r="CQG21" s="1247"/>
      <c r="CQH21" s="1247"/>
      <c r="CQI21" s="1247"/>
      <c r="CQJ21" s="1247"/>
      <c r="CQK21" s="1247"/>
      <c r="CQL21" s="1247"/>
      <c r="CQM21" s="1247"/>
      <c r="CQN21" s="1247"/>
      <c r="CQO21" s="1247"/>
      <c r="CQP21" s="1247"/>
      <c r="CQQ21" s="1247"/>
      <c r="CQR21" s="1247"/>
      <c r="CQS21" s="1247"/>
      <c r="CQT21" s="1247"/>
      <c r="CQU21" s="1247"/>
      <c r="CQV21" s="1247"/>
      <c r="CQW21" s="1247"/>
      <c r="CQX21" s="1247"/>
      <c r="CQY21" s="1247"/>
      <c r="CQZ21" s="1247"/>
      <c r="CRA21" s="1247"/>
      <c r="CRB21" s="1247"/>
      <c r="CRC21" s="1247"/>
      <c r="CRD21" s="1247"/>
      <c r="CRE21" s="1247"/>
      <c r="CRF21" s="1247"/>
      <c r="CRG21" s="1247"/>
      <c r="CRH21" s="1247"/>
      <c r="CRI21" s="1247"/>
      <c r="CRJ21" s="1247"/>
      <c r="CRK21" s="1247"/>
      <c r="CRL21" s="1247"/>
      <c r="CRM21" s="1247"/>
      <c r="CRN21" s="1247"/>
      <c r="CRO21" s="1247"/>
      <c r="CRP21" s="1247"/>
      <c r="CRQ21" s="1247"/>
      <c r="CRR21" s="1247"/>
      <c r="CRS21" s="1247"/>
      <c r="CRT21" s="1247"/>
      <c r="CRU21" s="1247"/>
      <c r="CRV21" s="1247"/>
      <c r="CRW21" s="1247"/>
      <c r="CRX21" s="1247"/>
      <c r="CRY21" s="1247"/>
      <c r="CRZ21" s="1247"/>
      <c r="CSA21" s="1247"/>
      <c r="CSB21" s="1247"/>
      <c r="CSC21" s="1247"/>
      <c r="CSD21" s="1247"/>
      <c r="CSE21" s="1247"/>
      <c r="CSF21" s="1247"/>
      <c r="CSG21" s="1247"/>
      <c r="CSH21" s="1247"/>
      <c r="CSI21" s="1247"/>
      <c r="CSJ21" s="1247"/>
      <c r="CSK21" s="1247"/>
      <c r="CSL21" s="1247"/>
      <c r="CSM21" s="1247"/>
      <c r="CSN21" s="1247"/>
      <c r="CSO21" s="1247"/>
      <c r="CSP21" s="1247"/>
      <c r="CSQ21" s="1247"/>
      <c r="CSR21" s="1247"/>
      <c r="CSS21" s="1247"/>
      <c r="CST21" s="1247"/>
      <c r="CSU21" s="1247"/>
      <c r="CSV21" s="1247"/>
      <c r="CSW21" s="1247"/>
      <c r="CSX21" s="1247"/>
      <c r="CSY21" s="1247"/>
      <c r="CSZ21" s="1247"/>
      <c r="CTA21" s="1247"/>
      <c r="CTB21" s="1247"/>
      <c r="CTC21" s="1247"/>
      <c r="CTD21" s="1247"/>
      <c r="CTE21" s="1247"/>
      <c r="CTF21" s="1247"/>
      <c r="CTG21" s="1247"/>
      <c r="CTH21" s="1247"/>
      <c r="CTI21" s="1247"/>
      <c r="CTJ21" s="1247"/>
      <c r="CTK21" s="1247"/>
      <c r="CTL21" s="1247"/>
      <c r="CTM21" s="1247"/>
      <c r="CTN21" s="1247"/>
      <c r="CTO21" s="1247"/>
      <c r="CTP21" s="1247"/>
      <c r="CTQ21" s="1247"/>
      <c r="CTR21" s="1247"/>
      <c r="CTS21" s="1247"/>
      <c r="CTT21" s="1247"/>
      <c r="CTU21" s="1247"/>
      <c r="CTV21" s="1247"/>
      <c r="CTW21" s="1247"/>
      <c r="CTX21" s="1247"/>
      <c r="CTY21" s="1247"/>
      <c r="CTZ21" s="1247"/>
      <c r="CUA21" s="1247"/>
      <c r="CUB21" s="1247"/>
      <c r="CUC21" s="1247"/>
      <c r="CUD21" s="1247"/>
      <c r="CUE21" s="1247"/>
      <c r="CUF21" s="1247"/>
      <c r="CUG21" s="1247"/>
      <c r="CUH21" s="1247"/>
      <c r="CUI21" s="1247"/>
      <c r="CUJ21" s="1247"/>
      <c r="CUK21" s="1247"/>
      <c r="CUL21" s="1247"/>
      <c r="CUM21" s="1247"/>
      <c r="CUN21" s="1247"/>
      <c r="CUO21" s="1247"/>
      <c r="CUP21" s="1247"/>
      <c r="CUQ21" s="1247"/>
      <c r="CUR21" s="1247"/>
      <c r="CUS21" s="1247"/>
      <c r="CUT21" s="1247"/>
      <c r="CUU21" s="1247"/>
      <c r="CUV21" s="1247"/>
      <c r="CUW21" s="1247"/>
      <c r="CUX21" s="1247"/>
      <c r="CUY21" s="1247"/>
      <c r="CUZ21" s="1247"/>
      <c r="CVA21" s="1247"/>
      <c r="CVB21" s="1247"/>
      <c r="CVC21" s="1247"/>
      <c r="CVD21" s="1247"/>
      <c r="CVE21" s="1247"/>
      <c r="CVF21" s="1247"/>
      <c r="CVG21" s="1247"/>
      <c r="CVH21" s="1247"/>
      <c r="CVI21" s="1247"/>
      <c r="CVJ21" s="1247"/>
      <c r="CVK21" s="1247"/>
      <c r="CVL21" s="1247"/>
      <c r="CVM21" s="1247"/>
      <c r="CVN21" s="1247"/>
      <c r="CVO21" s="1247"/>
      <c r="CVP21" s="1247"/>
      <c r="CVQ21" s="1247"/>
      <c r="CVR21" s="1247"/>
      <c r="CVS21" s="1247"/>
      <c r="CVT21" s="1247"/>
      <c r="CVU21" s="1247"/>
      <c r="CVV21" s="1247"/>
      <c r="CVW21" s="1247"/>
      <c r="CVX21" s="1247"/>
      <c r="CVY21" s="1247"/>
      <c r="CVZ21" s="1247"/>
      <c r="CWA21" s="1247"/>
      <c r="CWB21" s="1247"/>
      <c r="CWC21" s="1247"/>
      <c r="CWD21" s="1247"/>
      <c r="CWE21" s="1247"/>
      <c r="CWF21" s="1247"/>
      <c r="CWG21" s="1247"/>
      <c r="CWH21" s="1247"/>
      <c r="CWI21" s="1247"/>
      <c r="CWJ21" s="1247"/>
      <c r="CWK21" s="1247"/>
      <c r="CWL21" s="1247"/>
      <c r="CWM21" s="1247"/>
      <c r="CWN21" s="1247"/>
      <c r="CWO21" s="1247"/>
      <c r="CWP21" s="1247"/>
      <c r="CWQ21" s="1247"/>
      <c r="CWR21" s="1247"/>
      <c r="CWS21" s="1247"/>
      <c r="CWT21" s="1247"/>
      <c r="CWU21" s="1247"/>
      <c r="CWV21" s="1247"/>
      <c r="CWW21" s="1247"/>
      <c r="CWX21" s="1247"/>
      <c r="CWY21" s="1247"/>
      <c r="CWZ21" s="1247"/>
      <c r="CXA21" s="1247"/>
      <c r="CXB21" s="1247"/>
      <c r="CXC21" s="1247"/>
      <c r="CXD21" s="1247"/>
      <c r="CXE21" s="1247"/>
      <c r="CXF21" s="1247"/>
      <c r="CXG21" s="1247"/>
      <c r="CXH21" s="1247"/>
      <c r="CXI21" s="1247"/>
      <c r="CXJ21" s="1247"/>
      <c r="CXK21" s="1247"/>
      <c r="CXL21" s="1247"/>
      <c r="CXM21" s="1247"/>
      <c r="CXN21" s="1247"/>
      <c r="CXO21" s="1247"/>
      <c r="CXP21" s="1247"/>
      <c r="CXQ21" s="1247"/>
      <c r="CXR21" s="1247"/>
      <c r="CXS21" s="1247"/>
      <c r="CXT21" s="1247"/>
      <c r="CXU21" s="1247"/>
      <c r="CXV21" s="1247"/>
      <c r="CXW21" s="1247"/>
      <c r="CXX21" s="1247"/>
      <c r="CXY21" s="1247"/>
      <c r="CXZ21" s="1247"/>
      <c r="CYA21" s="1247"/>
      <c r="CYB21" s="1247"/>
      <c r="CYC21" s="1247"/>
      <c r="CYD21" s="1247"/>
      <c r="CYE21" s="1247"/>
      <c r="CYF21" s="1247"/>
      <c r="CYG21" s="1247"/>
      <c r="CYH21" s="1247"/>
      <c r="CYI21" s="1247"/>
      <c r="CYJ21" s="1247"/>
      <c r="CYK21" s="1247"/>
      <c r="CYL21" s="1247"/>
      <c r="CYM21" s="1247"/>
      <c r="CYN21" s="1247"/>
      <c r="CYO21" s="1247"/>
      <c r="CYP21" s="1247"/>
      <c r="CYQ21" s="1247"/>
      <c r="CYR21" s="1247"/>
      <c r="CYS21" s="1247"/>
      <c r="CYT21" s="1247"/>
      <c r="CYU21" s="1247"/>
      <c r="CYV21" s="1247"/>
      <c r="CYW21" s="1247"/>
      <c r="CYX21" s="1247"/>
      <c r="CYY21" s="1247"/>
      <c r="CYZ21" s="1247"/>
      <c r="CZA21" s="1247"/>
      <c r="CZB21" s="1247"/>
      <c r="CZC21" s="1247"/>
      <c r="CZD21" s="1247"/>
      <c r="CZE21" s="1247"/>
      <c r="CZF21" s="1247"/>
      <c r="CZG21" s="1247"/>
      <c r="CZH21" s="1247"/>
      <c r="CZI21" s="1247"/>
      <c r="CZJ21" s="1247"/>
      <c r="CZK21" s="1247"/>
      <c r="CZL21" s="1247"/>
      <c r="CZM21" s="1247"/>
      <c r="CZN21" s="1247"/>
      <c r="CZO21" s="1247"/>
      <c r="CZP21" s="1247"/>
      <c r="CZQ21" s="1247"/>
      <c r="CZR21" s="1247"/>
      <c r="CZS21" s="1247"/>
      <c r="CZT21" s="1247"/>
      <c r="CZU21" s="1247"/>
      <c r="CZV21" s="1247"/>
      <c r="CZW21" s="1247"/>
      <c r="CZX21" s="1247"/>
      <c r="CZY21" s="1247"/>
      <c r="CZZ21" s="1247"/>
      <c r="DAA21" s="1247"/>
      <c r="DAB21" s="1247"/>
      <c r="DAC21" s="1247"/>
      <c r="DAD21" s="1247"/>
      <c r="DAE21" s="1247"/>
      <c r="DAF21" s="1247"/>
      <c r="DAG21" s="1247"/>
      <c r="DAH21" s="1247"/>
      <c r="DAI21" s="1247"/>
      <c r="DAJ21" s="1247"/>
      <c r="DAK21" s="1247"/>
      <c r="DAL21" s="1247"/>
      <c r="DAM21" s="1247"/>
      <c r="DAN21" s="1247"/>
      <c r="DAO21" s="1247"/>
      <c r="DAP21" s="1247"/>
      <c r="DAQ21" s="1247"/>
      <c r="DAR21" s="1247"/>
      <c r="DAS21" s="1247"/>
      <c r="DAT21" s="1247"/>
      <c r="DAU21" s="1247"/>
      <c r="DAV21" s="1247"/>
      <c r="DAW21" s="1247"/>
      <c r="DAX21" s="1247"/>
      <c r="DAY21" s="1247"/>
      <c r="DAZ21" s="1247"/>
      <c r="DBA21" s="1247"/>
      <c r="DBB21" s="1247"/>
      <c r="DBC21" s="1247"/>
      <c r="DBD21" s="1247"/>
      <c r="DBE21" s="1247"/>
      <c r="DBF21" s="1247"/>
      <c r="DBG21" s="1247"/>
      <c r="DBH21" s="1247"/>
      <c r="DBI21" s="1247"/>
      <c r="DBJ21" s="1247"/>
      <c r="DBK21" s="1247"/>
      <c r="DBL21" s="1247"/>
      <c r="DBM21" s="1247"/>
      <c r="DBN21" s="1247"/>
      <c r="DBO21" s="1247"/>
      <c r="DBP21" s="1247"/>
      <c r="DBQ21" s="1247"/>
      <c r="DBR21" s="1247"/>
      <c r="DBS21" s="1247"/>
      <c r="DBT21" s="1247"/>
      <c r="DBU21" s="1247"/>
      <c r="DBV21" s="1247"/>
      <c r="DBW21" s="1247"/>
      <c r="DBX21" s="1247"/>
      <c r="DBY21" s="1247"/>
      <c r="DBZ21" s="1247"/>
      <c r="DCA21" s="1247"/>
      <c r="DCB21" s="1247"/>
      <c r="DCC21" s="1247"/>
      <c r="DCD21" s="1247"/>
      <c r="DCE21" s="1247"/>
      <c r="DCF21" s="1247"/>
      <c r="DCG21" s="1247"/>
      <c r="DCH21" s="1247"/>
      <c r="DCI21" s="1247"/>
      <c r="DCJ21" s="1247"/>
      <c r="DCK21" s="1247"/>
      <c r="DCL21" s="1247"/>
      <c r="DCM21" s="1247"/>
      <c r="DCN21" s="1247"/>
      <c r="DCO21" s="1247"/>
      <c r="DCP21" s="1247"/>
      <c r="DCQ21" s="1247"/>
      <c r="DCR21" s="1247"/>
      <c r="DCS21" s="1247"/>
      <c r="DCT21" s="1247"/>
      <c r="DCU21" s="1247"/>
      <c r="DCV21" s="1247"/>
      <c r="DCW21" s="1247"/>
      <c r="DCX21" s="1247"/>
      <c r="DCY21" s="1247"/>
      <c r="DCZ21" s="1247"/>
      <c r="DDA21" s="1247"/>
      <c r="DDB21" s="1247"/>
      <c r="DDC21" s="1247"/>
      <c r="DDD21" s="1247"/>
      <c r="DDE21" s="1247"/>
      <c r="DDF21" s="1247"/>
      <c r="DDG21" s="1247"/>
      <c r="DDH21" s="1247"/>
      <c r="DDI21" s="1247"/>
      <c r="DDJ21" s="1247"/>
      <c r="DDK21" s="1247"/>
      <c r="DDL21" s="1247"/>
      <c r="DDM21" s="1247"/>
      <c r="DDN21" s="1247"/>
      <c r="DDO21" s="1247"/>
      <c r="DDP21" s="1247"/>
      <c r="DDQ21" s="1247"/>
      <c r="DDR21" s="1247"/>
      <c r="DDS21" s="1247"/>
      <c r="DDT21" s="1247"/>
      <c r="DDU21" s="1247"/>
      <c r="DDV21" s="1247"/>
      <c r="DDW21" s="1247"/>
      <c r="DDX21" s="1247"/>
      <c r="DDY21" s="1247"/>
      <c r="DDZ21" s="1247"/>
      <c r="DEA21" s="1247"/>
      <c r="DEB21" s="1247"/>
      <c r="DEC21" s="1247"/>
      <c r="DED21" s="1247"/>
      <c r="DEE21" s="1247"/>
      <c r="DEF21" s="1247"/>
      <c r="DEG21" s="1247"/>
      <c r="DEH21" s="1247"/>
      <c r="DEI21" s="1247"/>
      <c r="DEJ21" s="1247"/>
      <c r="DEK21" s="1247"/>
      <c r="DEL21" s="1247"/>
      <c r="DEM21" s="1247"/>
      <c r="DEN21" s="1247"/>
      <c r="DEO21" s="1247"/>
      <c r="DEP21" s="1247"/>
      <c r="DEQ21" s="1247"/>
      <c r="DER21" s="1247"/>
      <c r="DES21" s="1247"/>
      <c r="DET21" s="1247"/>
      <c r="DEU21" s="1247"/>
      <c r="DEV21" s="1247"/>
      <c r="DEW21" s="1247"/>
      <c r="DEX21" s="1247"/>
      <c r="DEY21" s="1247"/>
      <c r="DEZ21" s="1247"/>
      <c r="DFA21" s="1247"/>
      <c r="DFB21" s="1247"/>
      <c r="DFC21" s="1247"/>
      <c r="DFD21" s="1247"/>
      <c r="DFE21" s="1247"/>
      <c r="DFF21" s="1247"/>
      <c r="DFG21" s="1247"/>
      <c r="DFH21" s="1247"/>
      <c r="DFI21" s="1247"/>
      <c r="DFJ21" s="1247"/>
      <c r="DFK21" s="1247"/>
      <c r="DFL21" s="1247"/>
      <c r="DFM21" s="1247"/>
      <c r="DFN21" s="1247"/>
      <c r="DFO21" s="1247"/>
      <c r="DFP21" s="1247"/>
      <c r="DFQ21" s="1247"/>
      <c r="DFR21" s="1247"/>
      <c r="DFS21" s="1247"/>
      <c r="DFT21" s="1247"/>
      <c r="DFU21" s="1247"/>
      <c r="DFV21" s="1247"/>
      <c r="DFW21" s="1247"/>
      <c r="DFX21" s="1247"/>
      <c r="DFY21" s="1247"/>
      <c r="DFZ21" s="1247"/>
      <c r="DGA21" s="1247"/>
      <c r="DGB21" s="1247"/>
      <c r="DGC21" s="1247"/>
      <c r="DGD21" s="1247"/>
      <c r="DGE21" s="1247"/>
      <c r="DGF21" s="1247"/>
      <c r="DGG21" s="1247"/>
      <c r="DGH21" s="1247"/>
      <c r="DGI21" s="1247"/>
      <c r="DGJ21" s="1247"/>
      <c r="DGK21" s="1247"/>
      <c r="DGL21" s="1247"/>
      <c r="DGM21" s="1247"/>
      <c r="DGN21" s="1247"/>
      <c r="DGO21" s="1247"/>
      <c r="DGP21" s="1247"/>
      <c r="DGQ21" s="1247"/>
      <c r="DGR21" s="1247"/>
      <c r="DGS21" s="1247"/>
      <c r="DGT21" s="1247"/>
      <c r="DGU21" s="1247"/>
      <c r="DGV21" s="1247"/>
      <c r="DGW21" s="1247"/>
      <c r="DGX21" s="1247"/>
      <c r="DGY21" s="1247"/>
      <c r="DGZ21" s="1247"/>
      <c r="DHA21" s="1247"/>
      <c r="DHB21" s="1247"/>
      <c r="DHC21" s="1247"/>
      <c r="DHD21" s="1247"/>
      <c r="DHE21" s="1247"/>
      <c r="DHF21" s="1247"/>
      <c r="DHG21" s="1247"/>
      <c r="DHH21" s="1247"/>
      <c r="DHI21" s="1247"/>
      <c r="DHJ21" s="1247"/>
      <c r="DHK21" s="1247"/>
      <c r="DHL21" s="1247"/>
      <c r="DHM21" s="1247"/>
      <c r="DHN21" s="1247"/>
      <c r="DHO21" s="1247"/>
      <c r="DHP21" s="1247"/>
      <c r="DHQ21" s="1247"/>
      <c r="DHR21" s="1247"/>
      <c r="DHS21" s="1247"/>
      <c r="DHT21" s="1247"/>
      <c r="DHU21" s="1247"/>
      <c r="DHV21" s="1247"/>
      <c r="DHW21" s="1247"/>
      <c r="DHX21" s="1247"/>
      <c r="DHY21" s="1247"/>
      <c r="DHZ21" s="1247"/>
      <c r="DIA21" s="1247"/>
      <c r="DIB21" s="1247"/>
      <c r="DIC21" s="1247"/>
      <c r="DID21" s="1247"/>
      <c r="DIE21" s="1247"/>
      <c r="DIF21" s="1247"/>
      <c r="DIG21" s="1247"/>
      <c r="DIH21" s="1247"/>
      <c r="DII21" s="1247"/>
      <c r="DIJ21" s="1247"/>
      <c r="DIK21" s="1247"/>
      <c r="DIL21" s="1247"/>
      <c r="DIM21" s="1247"/>
      <c r="DIN21" s="1247"/>
      <c r="DIO21" s="1247"/>
      <c r="DIP21" s="1247"/>
      <c r="DIQ21" s="1247"/>
      <c r="DIR21" s="1247"/>
      <c r="DIS21" s="1247"/>
      <c r="DIT21" s="1247"/>
      <c r="DIU21" s="1247"/>
      <c r="DIV21" s="1247"/>
      <c r="DIW21" s="1247"/>
      <c r="DIX21" s="1247"/>
      <c r="DIY21" s="1247"/>
      <c r="DIZ21" s="1247"/>
      <c r="DJA21" s="1247"/>
      <c r="DJB21" s="1247"/>
      <c r="DJC21" s="1247"/>
      <c r="DJD21" s="1247"/>
      <c r="DJE21" s="1247"/>
      <c r="DJF21" s="1247"/>
      <c r="DJG21" s="1247"/>
      <c r="DJH21" s="1247"/>
      <c r="DJI21" s="1247"/>
      <c r="DJJ21" s="1247"/>
      <c r="DJK21" s="1247"/>
      <c r="DJL21" s="1247"/>
      <c r="DJM21" s="1247"/>
      <c r="DJN21" s="1247"/>
      <c r="DJO21" s="1247"/>
      <c r="DJP21" s="1247"/>
      <c r="DJQ21" s="1247"/>
      <c r="DJR21" s="1247"/>
      <c r="DJS21" s="1247"/>
      <c r="DJT21" s="1247"/>
      <c r="DJU21" s="1247"/>
      <c r="DJV21" s="1247"/>
      <c r="DJW21" s="1247"/>
      <c r="DJX21" s="1247"/>
      <c r="DJY21" s="1247"/>
      <c r="DJZ21" s="1247"/>
      <c r="DKA21" s="1247"/>
      <c r="DKB21" s="1247"/>
      <c r="DKC21" s="1247"/>
      <c r="DKD21" s="1247"/>
      <c r="DKE21" s="1247"/>
      <c r="DKF21" s="1247"/>
      <c r="DKG21" s="1247"/>
      <c r="DKH21" s="1247"/>
      <c r="DKI21" s="1247"/>
      <c r="DKJ21" s="1247"/>
      <c r="DKK21" s="1247"/>
      <c r="DKL21" s="1247"/>
      <c r="DKM21" s="1247"/>
      <c r="DKN21" s="1247"/>
      <c r="DKO21" s="1247"/>
      <c r="DKP21" s="1247"/>
      <c r="DKQ21" s="1247"/>
      <c r="DKR21" s="1247"/>
      <c r="DKS21" s="1247"/>
      <c r="DKT21" s="1247"/>
      <c r="DKU21" s="1247"/>
      <c r="DKV21" s="1247"/>
      <c r="DKW21" s="1247"/>
      <c r="DKX21" s="1247"/>
      <c r="DKY21" s="1247"/>
      <c r="DKZ21" s="1247"/>
      <c r="DLA21" s="1247"/>
      <c r="DLB21" s="1247"/>
      <c r="DLC21" s="1247"/>
      <c r="DLD21" s="1247"/>
      <c r="DLE21" s="1247"/>
      <c r="DLF21" s="1247"/>
      <c r="DLG21" s="1247"/>
      <c r="DLH21" s="1247"/>
      <c r="DLI21" s="1247"/>
      <c r="DLJ21" s="1247"/>
      <c r="DLK21" s="1247"/>
      <c r="DLL21" s="1247"/>
      <c r="DLM21" s="1247"/>
      <c r="DLN21" s="1247"/>
      <c r="DLO21" s="1247"/>
      <c r="DLP21" s="1247"/>
      <c r="DLQ21" s="1247"/>
      <c r="DLR21" s="1247"/>
      <c r="DLS21" s="1247"/>
      <c r="DLT21" s="1247"/>
      <c r="DLU21" s="1247"/>
      <c r="DLV21" s="1247"/>
      <c r="DLW21" s="1247"/>
      <c r="DLX21" s="1247"/>
      <c r="DLY21" s="1247"/>
      <c r="DLZ21" s="1247"/>
      <c r="DMA21" s="1247"/>
      <c r="DMB21" s="1247"/>
      <c r="DMC21" s="1247"/>
      <c r="DMD21" s="1247"/>
      <c r="DME21" s="1247"/>
      <c r="DMF21" s="1247"/>
      <c r="DMG21" s="1247"/>
      <c r="DMH21" s="1247"/>
      <c r="DMI21" s="1247"/>
      <c r="DMJ21" s="1247"/>
      <c r="DMK21" s="1247"/>
      <c r="DML21" s="1247"/>
      <c r="DMM21" s="1247"/>
      <c r="DMN21" s="1247"/>
      <c r="DMO21" s="1247"/>
      <c r="DMP21" s="1247"/>
      <c r="DMQ21" s="1247"/>
      <c r="DMR21" s="1247"/>
      <c r="DMS21" s="1247"/>
      <c r="DMT21" s="1247"/>
      <c r="DMU21" s="1247"/>
      <c r="DMV21" s="1247"/>
      <c r="DMW21" s="1247"/>
      <c r="DMX21" s="1247"/>
      <c r="DMY21" s="1247"/>
      <c r="DMZ21" s="1247"/>
      <c r="DNA21" s="1247"/>
      <c r="DNB21" s="1247"/>
      <c r="DNC21" s="1247"/>
      <c r="DND21" s="1247"/>
      <c r="DNE21" s="1247"/>
      <c r="DNF21" s="1247"/>
      <c r="DNG21" s="1247"/>
      <c r="DNH21" s="1247"/>
      <c r="DNI21" s="1247"/>
      <c r="DNJ21" s="1247"/>
      <c r="DNK21" s="1247"/>
      <c r="DNL21" s="1247"/>
      <c r="DNM21" s="1247"/>
      <c r="DNN21" s="1247"/>
      <c r="DNO21" s="1247"/>
      <c r="DNP21" s="1247"/>
      <c r="DNQ21" s="1247"/>
      <c r="DNR21" s="1247"/>
      <c r="DNS21" s="1247"/>
      <c r="DNT21" s="1247"/>
      <c r="DNU21" s="1247"/>
      <c r="DNV21" s="1247"/>
      <c r="DNW21" s="1247"/>
      <c r="DNX21" s="1247"/>
      <c r="DNY21" s="1247"/>
      <c r="DNZ21" s="1247"/>
      <c r="DOA21" s="1247"/>
      <c r="DOB21" s="1247"/>
      <c r="DOC21" s="1247"/>
      <c r="DOD21" s="1247"/>
      <c r="DOE21" s="1247"/>
      <c r="DOF21" s="1247"/>
      <c r="DOG21" s="1247"/>
      <c r="DOH21" s="1247"/>
      <c r="DOI21" s="1247"/>
      <c r="DOJ21" s="1247"/>
      <c r="DOK21" s="1247"/>
      <c r="DOL21" s="1247"/>
      <c r="DOM21" s="1247"/>
      <c r="DON21" s="1247"/>
      <c r="DOO21" s="1247"/>
      <c r="DOP21" s="1247"/>
      <c r="DOQ21" s="1247"/>
      <c r="DOR21" s="1247"/>
      <c r="DOS21" s="1247"/>
      <c r="DOT21" s="1247"/>
      <c r="DOU21" s="1247"/>
      <c r="DOV21" s="1247"/>
      <c r="DOW21" s="1247"/>
      <c r="DOX21" s="1247"/>
      <c r="DOY21" s="1247"/>
      <c r="DOZ21" s="1247"/>
      <c r="DPA21" s="1247"/>
      <c r="DPB21" s="1247"/>
      <c r="DPC21" s="1247"/>
      <c r="DPD21" s="1247"/>
      <c r="DPE21" s="1247"/>
      <c r="DPF21" s="1247"/>
      <c r="DPG21" s="1247"/>
      <c r="DPH21" s="1247"/>
      <c r="DPI21" s="1247"/>
      <c r="DPJ21" s="1247"/>
      <c r="DPK21" s="1247"/>
      <c r="DPL21" s="1247"/>
      <c r="DPM21" s="1247"/>
      <c r="DPN21" s="1247"/>
      <c r="DPO21" s="1247"/>
      <c r="DPP21" s="1247"/>
      <c r="DPQ21" s="1247"/>
      <c r="DPR21" s="1247"/>
      <c r="DPS21" s="1247"/>
      <c r="DPT21" s="1247"/>
      <c r="DPU21" s="1247"/>
      <c r="DPV21" s="1247"/>
      <c r="DPW21" s="1247"/>
      <c r="DPX21" s="1247"/>
      <c r="DPY21" s="1247"/>
      <c r="DPZ21" s="1247"/>
      <c r="DQA21" s="1247"/>
      <c r="DQB21" s="1247"/>
      <c r="DQC21" s="1247"/>
      <c r="DQD21" s="1247"/>
      <c r="DQE21" s="1247"/>
      <c r="DQF21" s="1247"/>
      <c r="DQG21" s="1247"/>
      <c r="DQH21" s="1247"/>
      <c r="DQI21" s="1247"/>
      <c r="DQJ21" s="1247"/>
      <c r="DQK21" s="1247"/>
      <c r="DQL21" s="1247"/>
      <c r="DQM21" s="1247"/>
      <c r="DQN21" s="1247"/>
      <c r="DQO21" s="1247"/>
      <c r="DQP21" s="1247"/>
      <c r="DQQ21" s="1247"/>
      <c r="DQR21" s="1247"/>
      <c r="DQS21" s="1247"/>
      <c r="DQT21" s="1247"/>
      <c r="DQU21" s="1247"/>
      <c r="DQV21" s="1247"/>
      <c r="DQW21" s="1247"/>
      <c r="DQX21" s="1247"/>
      <c r="DQY21" s="1247"/>
      <c r="DQZ21" s="1247"/>
      <c r="DRA21" s="1247"/>
      <c r="DRB21" s="1247"/>
      <c r="DRC21" s="1247"/>
      <c r="DRD21" s="1247"/>
      <c r="DRE21" s="1247"/>
      <c r="DRF21" s="1247"/>
      <c r="DRG21" s="1247"/>
      <c r="DRH21" s="1247"/>
      <c r="DRI21" s="1247"/>
      <c r="DRJ21" s="1247"/>
      <c r="DRK21" s="1247"/>
      <c r="DRL21" s="1247"/>
      <c r="DRM21" s="1247"/>
      <c r="DRN21" s="1247"/>
      <c r="DRO21" s="1247"/>
      <c r="DRP21" s="1247"/>
      <c r="DRQ21" s="1247"/>
      <c r="DRR21" s="1247"/>
      <c r="DRS21" s="1247"/>
      <c r="DRT21" s="1247"/>
      <c r="DRU21" s="1247"/>
      <c r="DRV21" s="1247"/>
      <c r="DRW21" s="1247"/>
      <c r="DRX21" s="1247"/>
      <c r="DRY21" s="1247"/>
      <c r="DRZ21" s="1247"/>
      <c r="DSA21" s="1247"/>
      <c r="DSB21" s="1247"/>
      <c r="DSC21" s="1247"/>
      <c r="DSD21" s="1247"/>
      <c r="DSE21" s="1247"/>
      <c r="DSF21" s="1247"/>
      <c r="DSG21" s="1247"/>
      <c r="DSH21" s="1247"/>
      <c r="DSI21" s="1247"/>
      <c r="DSJ21" s="1247"/>
      <c r="DSK21" s="1247"/>
      <c r="DSL21" s="1247"/>
      <c r="DSM21" s="1247"/>
      <c r="DSN21" s="1247"/>
      <c r="DSO21" s="1247"/>
      <c r="DSP21" s="1247"/>
      <c r="DSQ21" s="1247"/>
      <c r="DSR21" s="1247"/>
      <c r="DSS21" s="1247"/>
      <c r="DST21" s="1247"/>
      <c r="DSU21" s="1247"/>
      <c r="DSV21" s="1247"/>
      <c r="DSW21" s="1247"/>
      <c r="DSX21" s="1247"/>
      <c r="DSY21" s="1247"/>
      <c r="DSZ21" s="1247"/>
      <c r="DTA21" s="1247"/>
      <c r="DTB21" s="1247"/>
      <c r="DTC21" s="1247"/>
      <c r="DTD21" s="1247"/>
      <c r="DTE21" s="1247"/>
      <c r="DTF21" s="1247"/>
      <c r="DTG21" s="1247"/>
      <c r="DTH21" s="1247"/>
      <c r="DTI21" s="1247"/>
      <c r="DTJ21" s="1247"/>
      <c r="DTK21" s="1247"/>
      <c r="DTL21" s="1247"/>
      <c r="DTM21" s="1247"/>
      <c r="DTN21" s="1247"/>
      <c r="DTO21" s="1247"/>
      <c r="DTP21" s="1247"/>
      <c r="DTQ21" s="1247"/>
      <c r="DTR21" s="1247"/>
      <c r="DTS21" s="1247"/>
      <c r="DTT21" s="1247"/>
      <c r="DTU21" s="1247"/>
      <c r="DTV21" s="1247"/>
      <c r="DTW21" s="1247"/>
      <c r="DTX21" s="1247"/>
      <c r="DTY21" s="1247"/>
      <c r="DTZ21" s="1247"/>
      <c r="DUA21" s="1247"/>
      <c r="DUB21" s="1247"/>
      <c r="DUC21" s="1247"/>
      <c r="DUD21" s="1247"/>
      <c r="DUE21" s="1247"/>
      <c r="DUF21" s="1247"/>
      <c r="DUG21" s="1247"/>
      <c r="DUH21" s="1247"/>
      <c r="DUI21" s="1247"/>
      <c r="DUJ21" s="1247"/>
      <c r="DUK21" s="1247"/>
      <c r="DUL21" s="1247"/>
      <c r="DUM21" s="1247"/>
      <c r="DUN21" s="1247"/>
      <c r="DUO21" s="1247"/>
      <c r="DUP21" s="1247"/>
      <c r="DUQ21" s="1247"/>
      <c r="DUR21" s="1247"/>
      <c r="DUS21" s="1247"/>
      <c r="DUT21" s="1247"/>
      <c r="DUU21" s="1247"/>
      <c r="DUV21" s="1247"/>
      <c r="DUW21" s="1247"/>
      <c r="DUX21" s="1247"/>
      <c r="DUY21" s="1247"/>
      <c r="DUZ21" s="1247"/>
      <c r="DVA21" s="1247"/>
      <c r="DVB21" s="1247"/>
      <c r="DVC21" s="1247"/>
      <c r="DVD21" s="1247"/>
      <c r="DVE21" s="1247"/>
      <c r="DVF21" s="1247"/>
      <c r="DVG21" s="1247"/>
      <c r="DVH21" s="1247"/>
      <c r="DVI21" s="1247"/>
      <c r="DVJ21" s="1247"/>
      <c r="DVK21" s="1247"/>
      <c r="DVL21" s="1247"/>
      <c r="DVM21" s="1247"/>
      <c r="DVN21" s="1247"/>
      <c r="DVO21" s="1247"/>
      <c r="DVP21" s="1247"/>
      <c r="DVQ21" s="1247"/>
      <c r="DVR21" s="1247"/>
      <c r="DVS21" s="1247"/>
      <c r="DVT21" s="1247"/>
      <c r="DVU21" s="1247"/>
      <c r="DVV21" s="1247"/>
      <c r="DVW21" s="1247"/>
      <c r="DVX21" s="1247"/>
      <c r="DVY21" s="1247"/>
      <c r="DVZ21" s="1247"/>
      <c r="DWA21" s="1247"/>
      <c r="DWB21" s="1247"/>
      <c r="DWC21" s="1247"/>
      <c r="DWD21" s="1247"/>
      <c r="DWE21" s="1247"/>
      <c r="DWF21" s="1247"/>
      <c r="DWG21" s="1247"/>
      <c r="DWH21" s="1247"/>
      <c r="DWI21" s="1247"/>
      <c r="DWJ21" s="1247"/>
      <c r="DWK21" s="1247"/>
      <c r="DWL21" s="1247"/>
      <c r="DWM21" s="1247"/>
      <c r="DWN21" s="1247"/>
      <c r="DWO21" s="1247"/>
      <c r="DWP21" s="1247"/>
      <c r="DWQ21" s="1247"/>
      <c r="DWR21" s="1247"/>
      <c r="DWS21" s="1247"/>
      <c r="DWT21" s="1247"/>
      <c r="DWU21" s="1247"/>
      <c r="DWV21" s="1247"/>
      <c r="DWW21" s="1247"/>
      <c r="DWX21" s="1247"/>
      <c r="DWY21" s="1247"/>
      <c r="DWZ21" s="1247"/>
      <c r="DXA21" s="1247"/>
      <c r="DXB21" s="1247"/>
      <c r="DXC21" s="1247"/>
      <c r="DXD21" s="1247"/>
      <c r="DXE21" s="1247"/>
      <c r="DXF21" s="1247"/>
      <c r="DXG21" s="1247"/>
      <c r="DXH21" s="1247"/>
      <c r="DXI21" s="1247"/>
      <c r="DXJ21" s="1247"/>
      <c r="DXK21" s="1247"/>
      <c r="DXL21" s="1247"/>
      <c r="DXM21" s="1247"/>
      <c r="DXN21" s="1247"/>
      <c r="DXO21" s="1247"/>
      <c r="DXP21" s="1247"/>
      <c r="DXQ21" s="1247"/>
      <c r="DXR21" s="1247"/>
      <c r="DXS21" s="1247"/>
      <c r="DXT21" s="1247"/>
      <c r="DXU21" s="1247"/>
      <c r="DXV21" s="1247"/>
      <c r="DXW21" s="1247"/>
      <c r="DXX21" s="1247"/>
      <c r="DXY21" s="1247"/>
      <c r="DXZ21" s="1247"/>
      <c r="DYA21" s="1247"/>
      <c r="DYB21" s="1247"/>
      <c r="DYC21" s="1247"/>
      <c r="DYD21" s="1247"/>
      <c r="DYE21" s="1247"/>
      <c r="DYF21" s="1247"/>
      <c r="DYG21" s="1247"/>
      <c r="DYH21" s="1247"/>
      <c r="DYI21" s="1247"/>
      <c r="DYJ21" s="1247"/>
      <c r="DYK21" s="1247"/>
      <c r="DYL21" s="1247"/>
      <c r="DYM21" s="1247"/>
      <c r="DYN21" s="1247"/>
      <c r="DYO21" s="1247"/>
      <c r="DYP21" s="1247"/>
      <c r="DYQ21" s="1247"/>
      <c r="DYR21" s="1247"/>
      <c r="DYS21" s="1247"/>
      <c r="DYT21" s="1247"/>
      <c r="DYU21" s="1247"/>
      <c r="DYV21" s="1247"/>
      <c r="DYW21" s="1247"/>
      <c r="DYX21" s="1247"/>
      <c r="DYY21" s="1247"/>
      <c r="DYZ21" s="1247"/>
      <c r="DZA21" s="1247"/>
      <c r="DZB21" s="1247"/>
      <c r="DZC21" s="1247"/>
      <c r="DZD21" s="1247"/>
      <c r="DZE21" s="1247"/>
      <c r="DZF21" s="1247"/>
      <c r="DZG21" s="1247"/>
      <c r="DZH21" s="1247"/>
      <c r="DZI21" s="1247"/>
      <c r="DZJ21" s="1247"/>
      <c r="DZK21" s="1247"/>
      <c r="DZL21" s="1247"/>
      <c r="DZM21" s="1247"/>
      <c r="DZN21" s="1247"/>
      <c r="DZO21" s="1247"/>
      <c r="DZP21" s="1247"/>
      <c r="DZQ21" s="1247"/>
      <c r="DZR21" s="1247"/>
      <c r="DZS21" s="1247"/>
      <c r="DZT21" s="1247"/>
      <c r="DZU21" s="1247"/>
      <c r="DZV21" s="1247"/>
      <c r="DZW21" s="1247"/>
      <c r="DZX21" s="1247"/>
      <c r="DZY21" s="1247"/>
      <c r="DZZ21" s="1247"/>
      <c r="EAA21" s="1247"/>
      <c r="EAB21" s="1247"/>
      <c r="EAC21" s="1247"/>
      <c r="EAD21" s="1247"/>
      <c r="EAE21" s="1247"/>
      <c r="EAF21" s="1247"/>
      <c r="EAG21" s="1247"/>
      <c r="EAH21" s="1247"/>
      <c r="EAI21" s="1247"/>
      <c r="EAJ21" s="1247"/>
      <c r="EAK21" s="1247"/>
      <c r="EAL21" s="1247"/>
      <c r="EAM21" s="1247"/>
      <c r="EAN21" s="1247"/>
      <c r="EAO21" s="1247"/>
      <c r="EAP21" s="1247"/>
      <c r="EAQ21" s="1247"/>
      <c r="EAR21" s="1247"/>
      <c r="EAS21" s="1247"/>
      <c r="EAT21" s="1247"/>
      <c r="EAU21" s="1247"/>
      <c r="EAV21" s="1247"/>
      <c r="EAW21" s="1247"/>
      <c r="EAX21" s="1247"/>
      <c r="EAY21" s="1247"/>
      <c r="EAZ21" s="1247"/>
      <c r="EBA21" s="1247"/>
      <c r="EBB21" s="1247"/>
      <c r="EBC21" s="1247"/>
      <c r="EBD21" s="1247"/>
      <c r="EBE21" s="1247"/>
      <c r="EBF21" s="1247"/>
      <c r="EBG21" s="1247"/>
      <c r="EBH21" s="1247"/>
      <c r="EBI21" s="1247"/>
      <c r="EBJ21" s="1247"/>
      <c r="EBK21" s="1247"/>
      <c r="EBL21" s="1247"/>
      <c r="EBM21" s="1247"/>
      <c r="EBN21" s="1247"/>
      <c r="EBO21" s="1247"/>
      <c r="EBP21" s="1247"/>
      <c r="EBQ21" s="1247"/>
      <c r="EBR21" s="1247"/>
      <c r="EBS21" s="1247"/>
      <c r="EBT21" s="1247"/>
      <c r="EBU21" s="1247"/>
      <c r="EBV21" s="1247"/>
      <c r="EBW21" s="1247"/>
      <c r="EBX21" s="1247"/>
      <c r="EBY21" s="1247"/>
      <c r="EBZ21" s="1247"/>
      <c r="ECA21" s="1247"/>
      <c r="ECB21" s="1247"/>
      <c r="ECC21" s="1247"/>
      <c r="ECD21" s="1247"/>
      <c r="ECE21" s="1247"/>
      <c r="ECF21" s="1247"/>
      <c r="ECG21" s="1247"/>
      <c r="ECH21" s="1247"/>
      <c r="ECI21" s="1247"/>
      <c r="ECJ21" s="1247"/>
      <c r="ECK21" s="1247"/>
      <c r="ECL21" s="1247"/>
      <c r="ECM21" s="1247"/>
      <c r="ECN21" s="1247"/>
      <c r="ECO21" s="1247"/>
    </row>
    <row r="22" spans="2:3473" s="1248" customFormat="1" ht="13" outlineLevel="1">
      <c r="B22" s="1249" t="s">
        <v>676</v>
      </c>
      <c r="C22" s="1250">
        <v>1</v>
      </c>
      <c r="D22" s="1251" t="s">
        <v>22</v>
      </c>
      <c r="E22" s="1252">
        <f t="shared" si="4"/>
        <v>0</v>
      </c>
      <c r="F22" s="1252">
        <f t="shared" si="4"/>
        <v>0</v>
      </c>
      <c r="G22" s="1252">
        <f t="shared" si="4"/>
        <v>0</v>
      </c>
      <c r="H22" s="1252">
        <f t="shared" si="4"/>
        <v>617.69000033585053</v>
      </c>
      <c r="I22" s="1252">
        <f t="shared" si="4"/>
        <v>556.73110336209675</v>
      </c>
      <c r="J22" s="1252">
        <f t="shared" si="4"/>
        <v>60.958896973753859</v>
      </c>
      <c r="K22" s="1252">
        <f t="shared" si="4"/>
        <v>0</v>
      </c>
      <c r="L22" s="1252">
        <f t="shared" si="4"/>
        <v>0</v>
      </c>
      <c r="M22" s="1252">
        <f t="shared" si="4"/>
        <v>0</v>
      </c>
      <c r="N22" s="1252" t="str">
        <f t="shared" si="4"/>
        <v/>
      </c>
      <c r="O22" s="1252" t="str">
        <f t="shared" si="4"/>
        <v/>
      </c>
      <c r="P22" s="1252" t="str">
        <f t="shared" si="4"/>
        <v/>
      </c>
      <c r="Q22" s="1252">
        <f t="shared" si="4"/>
        <v>787.60999980058943</v>
      </c>
      <c r="R22" s="1252">
        <f t="shared" si="4"/>
        <v>709.012015841991</v>
      </c>
      <c r="S22" s="1252">
        <f t="shared" si="8"/>
        <v>78.597983958598292</v>
      </c>
      <c r="T22" s="1252">
        <f t="shared" si="5"/>
        <v>0</v>
      </c>
      <c r="U22" s="1252">
        <f t="shared" si="5"/>
        <v>0</v>
      </c>
      <c r="V22" s="1252">
        <f t="shared" si="9"/>
        <v>0</v>
      </c>
      <c r="W22" s="1252" t="str">
        <f t="shared" si="10"/>
        <v/>
      </c>
      <c r="X22" s="1252" t="str">
        <f t="shared" si="10"/>
        <v/>
      </c>
      <c r="Y22" s="1252" t="str">
        <f t="shared" si="10"/>
        <v/>
      </c>
      <c r="Z22" s="1252">
        <f t="shared" si="11"/>
        <v>533.36064351981781</v>
      </c>
      <c r="AA22" s="1252">
        <f t="shared" si="11"/>
        <v>480.3493781889054</v>
      </c>
      <c r="AB22" s="1252">
        <f t="shared" si="11"/>
        <v>53.011265330912451</v>
      </c>
      <c r="AC22" s="1252">
        <f t="shared" si="15"/>
        <v>708.60063993572578</v>
      </c>
      <c r="AD22" s="1260">
        <f t="shared" si="15"/>
        <v>638.17209033485642</v>
      </c>
      <c r="AE22" s="1260">
        <f t="shared" si="15"/>
        <v>70.428549600869403</v>
      </c>
      <c r="AF22" s="1254">
        <f t="shared" ref="AF22:AF30" si="40">AG22+AH22</f>
        <v>0</v>
      </c>
      <c r="AG22" s="1256">
        <f>VLOOKUP($D22,车位!$D$17:$U$199,14,0)*车位!$K$3</f>
        <v>0</v>
      </c>
      <c r="AH22" s="1256">
        <f>VLOOKUP($D22,车位!$D$17:$U$199,16,0)*车位!$K$3</f>
        <v>0</v>
      </c>
      <c r="AI22" s="1256">
        <f t="shared" ref="AI22:AI43" si="41">AJ22+AK22</f>
        <v>2666.8117189999994</v>
      </c>
      <c r="AJ22" s="1256">
        <f>VLOOKUP($D22,高层!$D$11:$U$202,14,0)</f>
        <v>2403.6280819999993</v>
      </c>
      <c r="AK22" s="1256">
        <f>VLOOKUP($D22,高层!$D$11:$U$202,16,0)</f>
        <v>263.18363700000003</v>
      </c>
      <c r="AL22" s="1256">
        <f t="shared" si="20"/>
        <v>0</v>
      </c>
      <c r="AM22" s="1256">
        <f>VLOOKUP($D22,人防车位!D:U,14,0)</f>
        <v>0</v>
      </c>
      <c r="AN22" s="1256">
        <f>VLOOKUP($D22,人防车位!D:U,16,0)</f>
        <v>0</v>
      </c>
      <c r="AO22" s="1256">
        <f t="shared" si="21"/>
        <v>0</v>
      </c>
      <c r="AP22" s="1256">
        <f>VLOOKUP($D22,人才公寓销售!$D$11:$U$202,14,0)</f>
        <v>0</v>
      </c>
      <c r="AQ22" s="1256">
        <f>VLOOKUP($D22,人才公寓销售!$D$11:$U$202,16,0)</f>
        <v>0</v>
      </c>
      <c r="AR22" s="1256">
        <f>AS22+AT22</f>
        <v>4660.6333420000001</v>
      </c>
      <c r="AS22" s="1256">
        <f>VLOOKUP($D22,小高层!$D$11:$U$202,14,0)</f>
        <v>4195.5346449999997</v>
      </c>
      <c r="AT22" s="1256">
        <f>VLOOKUP($D22,小高层!$D$11:$U$202,16,0)</f>
        <v>465.09869700000002</v>
      </c>
      <c r="AU22" s="1256">
        <f>AV22+AW22</f>
        <v>0</v>
      </c>
      <c r="AV22" s="1256">
        <f>VLOOKUP($D22,临街商业!$D$11:$U$202,14,0)</f>
        <v>0</v>
      </c>
      <c r="AW22" s="1256">
        <f>VLOOKUP($D22,临街商业!$D$11:$U$202,16,0)</f>
        <v>0</v>
      </c>
      <c r="AX22" s="1256"/>
      <c r="AY22" s="1256"/>
      <c r="AZ22" s="1256"/>
      <c r="BA22" s="1257">
        <f>BB22+BC22</f>
        <v>7327.4450609999985</v>
      </c>
      <c r="BB22" s="1257">
        <f>AG22+AJ22+AM22+AP22+AS22+AV22+AY22</f>
        <v>6599.162726999999</v>
      </c>
      <c r="BC22" s="1257">
        <f>AH22+AK22+AN22+AQ22+AT22+AW22+AZ22</f>
        <v>728.28233399999999</v>
      </c>
      <c r="BD22" s="1256">
        <f t="shared" ref="BD22:BD25" si="42">+BE22+BF22</f>
        <v>0</v>
      </c>
      <c r="BE22" s="1256">
        <v>0</v>
      </c>
      <c r="BF22" s="1256">
        <v>0</v>
      </c>
      <c r="BG22" s="1256">
        <f>+BH22+BI22</f>
        <v>0</v>
      </c>
      <c r="BH22" s="1257">
        <f>+BE22</f>
        <v>0</v>
      </c>
      <c r="BI22" s="1257">
        <f>+BF22</f>
        <v>0</v>
      </c>
      <c r="BJ22" s="1256">
        <f>BA22+BG22</f>
        <v>7327.4450609999985</v>
      </c>
      <c r="BK22" s="1257">
        <f>BB22+BH22</f>
        <v>6599.162726999999</v>
      </c>
      <c r="BL22" s="1257">
        <f t="shared" ref="BJ22:BL25" si="43">BC22+BI22</f>
        <v>728.28233399999999</v>
      </c>
      <c r="BM22" s="1262" t="s">
        <v>489</v>
      </c>
      <c r="BN22" s="1225">
        <f t="shared" si="12"/>
        <v>0</v>
      </c>
      <c r="BO22" s="1225">
        <f t="shared" si="13"/>
        <v>9.0949470177292824E-13</v>
      </c>
      <c r="BP22" s="1225">
        <f t="shared" si="14"/>
        <v>0</v>
      </c>
      <c r="BQ22" s="1225"/>
      <c r="BR22" s="1221"/>
      <c r="BS22" s="1221"/>
      <c r="BT22" s="1221"/>
      <c r="BU22" s="1221"/>
      <c r="BV22" s="1221"/>
      <c r="BW22" s="1221"/>
      <c r="BX22" s="1221"/>
      <c r="BY22" s="1221"/>
      <c r="BZ22" s="1221"/>
      <c r="CA22" s="1221"/>
      <c r="CB22" s="1221"/>
      <c r="CC22" s="1221"/>
      <c r="CD22" s="1221"/>
      <c r="CE22" s="1221"/>
      <c r="CF22" s="1221"/>
      <c r="CG22" s="1221"/>
      <c r="CH22" s="1221"/>
      <c r="CI22" s="1221"/>
      <c r="CJ22" s="1221"/>
      <c r="CK22" s="1221"/>
      <c r="CL22" s="1221"/>
      <c r="CM22" s="1221"/>
      <c r="CN22" s="1221"/>
      <c r="CO22" s="1221"/>
      <c r="CP22" s="1221"/>
      <c r="CQ22" s="1221"/>
      <c r="CR22" s="1221"/>
      <c r="CS22" s="1221"/>
      <c r="CT22" s="1221"/>
      <c r="CU22" s="1221"/>
      <c r="CV22" s="1221"/>
      <c r="CW22" s="1221"/>
      <c r="CX22" s="1221"/>
      <c r="CY22" s="1221"/>
      <c r="CZ22" s="1221"/>
      <c r="DA22" s="1221"/>
      <c r="DB22" s="1221"/>
      <c r="DC22" s="1221"/>
      <c r="DD22" s="1221"/>
      <c r="DE22" s="1221"/>
      <c r="DF22" s="1221"/>
      <c r="DG22" s="1221"/>
      <c r="DH22" s="1221"/>
      <c r="DI22" s="1221"/>
      <c r="DJ22" s="1221"/>
      <c r="DK22" s="1221"/>
      <c r="DL22" s="1221"/>
      <c r="DM22" s="1221"/>
      <c r="DN22" s="1221"/>
      <c r="DO22" s="1221"/>
      <c r="DP22" s="1221"/>
      <c r="DQ22" s="1221"/>
      <c r="DR22" s="1221"/>
      <c r="DS22" s="1221"/>
      <c r="DT22" s="1221"/>
      <c r="DU22" s="1221"/>
      <c r="DV22" s="1221"/>
      <c r="DW22" s="1221"/>
      <c r="DX22" s="1221"/>
      <c r="DY22" s="1221"/>
      <c r="DZ22" s="1221"/>
      <c r="EA22" s="1221"/>
      <c r="EB22" s="1221"/>
      <c r="EC22" s="1221"/>
      <c r="ED22" s="1221"/>
      <c r="EE22" s="1221"/>
      <c r="EF22" s="1221"/>
      <c r="EG22" s="1221"/>
      <c r="EH22" s="1221"/>
      <c r="EI22" s="1221"/>
      <c r="EJ22" s="1221"/>
      <c r="EK22" s="1221"/>
      <c r="EL22" s="1221"/>
      <c r="EM22" s="1221"/>
      <c r="EN22" s="1221"/>
      <c r="EO22" s="1221"/>
      <c r="EP22" s="1221"/>
      <c r="EQ22" s="1221"/>
      <c r="ER22" s="1221"/>
      <c r="ES22" s="1221"/>
      <c r="ET22" s="1221"/>
      <c r="EU22" s="1221"/>
      <c r="EV22" s="1221"/>
      <c r="EW22" s="1221"/>
      <c r="EX22" s="1221"/>
      <c r="EY22" s="1221"/>
      <c r="EZ22" s="1221"/>
      <c r="FA22" s="1221"/>
      <c r="FB22" s="1221"/>
      <c r="FC22" s="1221"/>
      <c r="FD22" s="1221"/>
      <c r="FE22" s="1221"/>
      <c r="FF22" s="1221"/>
      <c r="FG22" s="1221"/>
      <c r="FH22" s="1221"/>
      <c r="FI22" s="1221"/>
      <c r="FJ22" s="1221"/>
      <c r="FK22" s="1221"/>
      <c r="FL22" s="1221"/>
      <c r="FM22" s="1221"/>
      <c r="FN22" s="1221"/>
      <c r="FO22" s="1221"/>
      <c r="FP22" s="1221"/>
      <c r="FQ22" s="1221"/>
      <c r="FR22" s="1221"/>
      <c r="FS22" s="1221"/>
      <c r="FT22" s="1221"/>
      <c r="FU22" s="1221"/>
      <c r="FV22" s="1221"/>
      <c r="FW22" s="1221"/>
      <c r="FX22" s="1221"/>
      <c r="FY22" s="1221"/>
      <c r="FZ22" s="1221"/>
      <c r="GA22" s="1221"/>
      <c r="GB22" s="1221"/>
      <c r="GC22" s="1221"/>
      <c r="GD22" s="1221"/>
      <c r="GE22" s="1221"/>
      <c r="GF22" s="1221"/>
      <c r="GG22" s="1221"/>
      <c r="GH22" s="1221"/>
      <c r="GI22" s="1221"/>
      <c r="GJ22" s="1221"/>
      <c r="GK22" s="1221"/>
      <c r="GL22" s="1221"/>
      <c r="GM22" s="1221"/>
      <c r="GN22" s="1221"/>
      <c r="GO22" s="1221"/>
      <c r="GP22" s="1221"/>
      <c r="GQ22" s="1221"/>
      <c r="GR22" s="1221"/>
      <c r="GS22" s="1221"/>
      <c r="GT22" s="1221"/>
      <c r="GU22" s="1221"/>
      <c r="GV22" s="1221"/>
      <c r="GW22" s="1221"/>
      <c r="GX22" s="1221"/>
      <c r="GY22" s="1221"/>
      <c r="GZ22" s="1221"/>
      <c r="HA22" s="1221"/>
      <c r="HB22" s="1221"/>
      <c r="HC22" s="1221"/>
      <c r="HD22" s="1221"/>
      <c r="HE22" s="1221"/>
      <c r="HF22" s="1221"/>
      <c r="HG22" s="1221"/>
      <c r="HH22" s="1221"/>
      <c r="HI22" s="1221"/>
      <c r="HJ22" s="1221"/>
      <c r="HK22" s="1221"/>
      <c r="HL22" s="1221"/>
      <c r="HM22" s="1221"/>
      <c r="HN22" s="1221"/>
      <c r="HO22" s="1221"/>
      <c r="HP22" s="1221"/>
      <c r="HQ22" s="1221"/>
      <c r="HR22" s="1221"/>
      <c r="HS22" s="1221"/>
      <c r="HT22" s="1221"/>
      <c r="HU22" s="1221"/>
      <c r="HV22" s="1221"/>
      <c r="HW22" s="1221"/>
      <c r="HX22" s="1221"/>
      <c r="HY22" s="1221"/>
      <c r="HZ22" s="1221"/>
      <c r="IA22" s="1221"/>
      <c r="IB22" s="1221"/>
      <c r="IC22" s="1221"/>
      <c r="ID22" s="1221"/>
      <c r="IE22" s="1221"/>
      <c r="IF22" s="1221"/>
      <c r="IG22" s="1221"/>
      <c r="IH22" s="1221"/>
      <c r="II22" s="1221"/>
      <c r="IJ22" s="1221"/>
      <c r="IK22" s="1221"/>
      <c r="IL22" s="1221"/>
      <c r="IM22" s="1221"/>
      <c r="IN22" s="1221"/>
      <c r="IO22" s="1221"/>
      <c r="IP22" s="1221"/>
      <c r="IQ22" s="1221"/>
      <c r="IR22" s="1221"/>
      <c r="IS22" s="1221"/>
      <c r="IT22" s="1221"/>
      <c r="IU22" s="1221"/>
      <c r="IV22" s="1221"/>
      <c r="IW22" s="1221"/>
      <c r="IX22" s="1221"/>
      <c r="IY22" s="1221"/>
      <c r="IZ22" s="1221"/>
      <c r="JA22" s="1221"/>
      <c r="JB22" s="1221"/>
      <c r="JC22" s="1221"/>
      <c r="JD22" s="1221"/>
      <c r="JE22" s="1221"/>
      <c r="JF22" s="1221"/>
      <c r="JG22" s="1221"/>
      <c r="JH22" s="1221"/>
      <c r="JI22" s="1221"/>
      <c r="JJ22" s="1221"/>
      <c r="JK22" s="1221"/>
      <c r="JL22" s="1221"/>
      <c r="JM22" s="1221"/>
      <c r="JN22" s="1221"/>
      <c r="JO22" s="1221"/>
      <c r="JP22" s="1221"/>
      <c r="JQ22" s="1221"/>
      <c r="JR22" s="1221"/>
      <c r="JS22" s="1221"/>
      <c r="JT22" s="1221"/>
      <c r="JU22" s="1221"/>
      <c r="JV22" s="1221"/>
      <c r="JW22" s="1221"/>
      <c r="JX22" s="1221"/>
      <c r="JY22" s="1221"/>
      <c r="JZ22" s="1221"/>
      <c r="KA22" s="1221"/>
      <c r="KB22" s="1221"/>
      <c r="KC22" s="1221"/>
      <c r="KD22" s="1221"/>
      <c r="KE22" s="1221"/>
      <c r="KF22" s="1221"/>
      <c r="KG22" s="1221"/>
      <c r="KH22" s="1221"/>
      <c r="KI22" s="1221"/>
      <c r="KJ22" s="1221"/>
      <c r="KK22" s="1221"/>
      <c r="KL22" s="1221"/>
      <c r="KM22" s="1221"/>
      <c r="KN22" s="1221"/>
      <c r="KO22" s="1221"/>
      <c r="KP22" s="1221"/>
      <c r="KQ22" s="1221"/>
      <c r="KR22" s="1221"/>
      <c r="KS22" s="1221"/>
      <c r="KT22" s="1221"/>
      <c r="KU22" s="1221"/>
      <c r="KV22" s="1221"/>
      <c r="KW22" s="1221"/>
      <c r="KX22" s="1221"/>
      <c r="KY22" s="1221"/>
      <c r="KZ22" s="1221"/>
      <c r="LA22" s="1221"/>
      <c r="LB22" s="1221"/>
      <c r="LC22" s="1221"/>
      <c r="LD22" s="1221"/>
      <c r="LE22" s="1221"/>
      <c r="LF22" s="1221"/>
      <c r="LG22" s="1221"/>
      <c r="LH22" s="1221"/>
      <c r="LI22" s="1221"/>
      <c r="LJ22" s="1221"/>
      <c r="LK22" s="1221"/>
      <c r="LL22" s="1221"/>
      <c r="LM22" s="1221"/>
      <c r="LN22" s="1221"/>
      <c r="LO22" s="1221"/>
      <c r="LP22" s="1221"/>
      <c r="LQ22" s="1221"/>
      <c r="LR22" s="1221"/>
      <c r="LS22" s="1221"/>
      <c r="LT22" s="1221"/>
      <c r="LU22" s="1221"/>
      <c r="LV22" s="1221"/>
      <c r="LW22" s="1221"/>
      <c r="LX22" s="1221"/>
      <c r="LY22" s="1221"/>
      <c r="LZ22" s="1221"/>
      <c r="MA22" s="1221"/>
      <c r="MB22" s="1221"/>
      <c r="MC22" s="1221"/>
      <c r="MD22" s="1221"/>
      <c r="ME22" s="1221"/>
      <c r="MF22" s="1221"/>
      <c r="MG22" s="1221"/>
      <c r="MH22" s="1221"/>
      <c r="MI22" s="1221"/>
      <c r="MJ22" s="1221"/>
      <c r="MK22" s="1221"/>
      <c r="ML22" s="1221"/>
      <c r="MM22" s="1221"/>
      <c r="MN22" s="1221"/>
      <c r="MO22" s="1221"/>
      <c r="MP22" s="1221"/>
      <c r="MQ22" s="1221"/>
      <c r="MR22" s="1221"/>
      <c r="MS22" s="1221"/>
      <c r="MT22" s="1221"/>
      <c r="MU22" s="1221"/>
      <c r="MV22" s="1221"/>
      <c r="MW22" s="1221"/>
      <c r="MX22" s="1221"/>
      <c r="MY22" s="1221"/>
      <c r="MZ22" s="1221"/>
      <c r="NA22" s="1221"/>
      <c r="NB22" s="1221"/>
      <c r="NC22" s="1221"/>
      <c r="ND22" s="1221"/>
      <c r="NE22" s="1221"/>
      <c r="NF22" s="1221"/>
      <c r="NG22" s="1221"/>
      <c r="NH22" s="1221"/>
      <c r="NI22" s="1221"/>
      <c r="NJ22" s="1221"/>
      <c r="NK22" s="1221"/>
      <c r="NL22" s="1221"/>
      <c r="NM22" s="1221"/>
      <c r="NN22" s="1221"/>
      <c r="NO22" s="1221"/>
      <c r="NP22" s="1221"/>
      <c r="NQ22" s="1221"/>
      <c r="NR22" s="1221"/>
      <c r="NS22" s="1221"/>
      <c r="NT22" s="1221"/>
      <c r="NU22" s="1221"/>
      <c r="NV22" s="1221"/>
      <c r="NW22" s="1221"/>
      <c r="NX22" s="1221"/>
      <c r="NY22" s="1221"/>
      <c r="NZ22" s="1221"/>
      <c r="OA22" s="1221"/>
      <c r="OB22" s="1221"/>
      <c r="OC22" s="1221"/>
      <c r="OD22" s="1221"/>
      <c r="OE22" s="1221"/>
      <c r="OF22" s="1221"/>
      <c r="OG22" s="1221"/>
      <c r="OH22" s="1221"/>
      <c r="OI22" s="1221"/>
      <c r="OJ22" s="1221"/>
      <c r="OK22" s="1221"/>
      <c r="OL22" s="1221"/>
      <c r="OM22" s="1221"/>
      <c r="ON22" s="1221"/>
      <c r="OO22" s="1221"/>
      <c r="OP22" s="1221"/>
      <c r="OQ22" s="1221"/>
      <c r="OR22" s="1221"/>
      <c r="OS22" s="1221"/>
      <c r="OT22" s="1221"/>
      <c r="OU22" s="1221"/>
      <c r="OV22" s="1221"/>
      <c r="OW22" s="1221"/>
      <c r="OX22" s="1221"/>
      <c r="OY22" s="1221"/>
      <c r="OZ22" s="1221"/>
      <c r="PA22" s="1221"/>
      <c r="PB22" s="1221"/>
      <c r="PC22" s="1221"/>
      <c r="PD22" s="1221"/>
      <c r="PE22" s="1221"/>
      <c r="PF22" s="1221"/>
      <c r="PG22" s="1221"/>
      <c r="PH22" s="1221"/>
      <c r="PI22" s="1221"/>
      <c r="PJ22" s="1221"/>
      <c r="PK22" s="1221"/>
      <c r="PL22" s="1221"/>
      <c r="PM22" s="1221"/>
      <c r="PN22" s="1221"/>
      <c r="PO22" s="1221"/>
      <c r="PP22" s="1221"/>
      <c r="PQ22" s="1221"/>
      <c r="PR22" s="1221"/>
      <c r="PS22" s="1221"/>
      <c r="PT22" s="1221"/>
      <c r="PU22" s="1221"/>
      <c r="PV22" s="1221"/>
      <c r="PW22" s="1221"/>
      <c r="PX22" s="1221"/>
      <c r="PY22" s="1221"/>
      <c r="PZ22" s="1221"/>
      <c r="QA22" s="1221"/>
      <c r="QB22" s="1221"/>
      <c r="QC22" s="1221"/>
      <c r="QD22" s="1221"/>
      <c r="QE22" s="1221"/>
      <c r="QF22" s="1221"/>
      <c r="QG22" s="1221"/>
      <c r="QH22" s="1221"/>
      <c r="QI22" s="1221"/>
      <c r="QJ22" s="1221"/>
      <c r="QK22" s="1221"/>
      <c r="QL22" s="1221"/>
      <c r="QM22" s="1221"/>
      <c r="QN22" s="1221"/>
      <c r="QO22" s="1221"/>
      <c r="QP22" s="1221"/>
      <c r="QQ22" s="1221"/>
      <c r="QR22" s="1221"/>
      <c r="QS22" s="1221"/>
      <c r="QT22" s="1221"/>
      <c r="QU22" s="1221"/>
      <c r="QV22" s="1221"/>
      <c r="QW22" s="1221"/>
      <c r="QX22" s="1221"/>
      <c r="QY22" s="1221"/>
      <c r="QZ22" s="1221"/>
      <c r="RA22" s="1221"/>
      <c r="RB22" s="1221"/>
      <c r="RC22" s="1221"/>
      <c r="RD22" s="1221"/>
      <c r="RE22" s="1221"/>
      <c r="RF22" s="1221"/>
      <c r="RG22" s="1221"/>
      <c r="RH22" s="1221"/>
      <c r="RI22" s="1221"/>
      <c r="RJ22" s="1221"/>
      <c r="RK22" s="1221"/>
      <c r="RL22" s="1221"/>
      <c r="RM22" s="1221"/>
      <c r="RN22" s="1221"/>
      <c r="RO22" s="1221"/>
      <c r="RP22" s="1221"/>
      <c r="RQ22" s="1221"/>
      <c r="RR22" s="1221"/>
      <c r="RS22" s="1221"/>
      <c r="RT22" s="1221"/>
      <c r="RU22" s="1221"/>
      <c r="RV22" s="1221"/>
      <c r="RW22" s="1221"/>
      <c r="RX22" s="1221"/>
      <c r="RY22" s="1221"/>
      <c r="RZ22" s="1221"/>
      <c r="SA22" s="1221"/>
      <c r="SB22" s="1221"/>
      <c r="SC22" s="1221"/>
      <c r="SD22" s="1221"/>
      <c r="SE22" s="1221"/>
      <c r="SF22" s="1221"/>
      <c r="SG22" s="1221"/>
      <c r="SH22" s="1221"/>
      <c r="SI22" s="1221"/>
      <c r="SJ22" s="1221"/>
      <c r="SK22" s="1221"/>
      <c r="SL22" s="1221"/>
      <c r="SM22" s="1221"/>
      <c r="SN22" s="1221"/>
      <c r="SO22" s="1221"/>
      <c r="SP22" s="1221"/>
      <c r="SQ22" s="1221"/>
      <c r="SR22" s="1221"/>
      <c r="SS22" s="1221"/>
      <c r="ST22" s="1221"/>
      <c r="SU22" s="1221"/>
      <c r="SV22" s="1221"/>
      <c r="SW22" s="1221"/>
      <c r="SX22" s="1221"/>
      <c r="SY22" s="1221"/>
      <c r="SZ22" s="1221"/>
      <c r="TA22" s="1221"/>
      <c r="TB22" s="1221"/>
      <c r="TC22" s="1221"/>
      <c r="TD22" s="1221"/>
      <c r="TE22" s="1221"/>
      <c r="TF22" s="1221"/>
      <c r="TG22" s="1221"/>
      <c r="TH22" s="1221"/>
      <c r="TI22" s="1221"/>
      <c r="TJ22" s="1221"/>
      <c r="TK22" s="1221"/>
      <c r="TL22" s="1221"/>
      <c r="TM22" s="1221"/>
      <c r="TN22" s="1221"/>
      <c r="TO22" s="1221"/>
      <c r="TP22" s="1221"/>
      <c r="TQ22" s="1221"/>
      <c r="TR22" s="1221"/>
      <c r="TS22" s="1221"/>
      <c r="TT22" s="1221"/>
      <c r="TU22" s="1221"/>
      <c r="TV22" s="1221"/>
      <c r="TW22" s="1221"/>
      <c r="TX22" s="1221"/>
      <c r="TY22" s="1221"/>
      <c r="TZ22" s="1221"/>
      <c r="UA22" s="1221"/>
      <c r="UB22" s="1221"/>
      <c r="UC22" s="1221"/>
      <c r="UD22" s="1221"/>
      <c r="UE22" s="1221"/>
      <c r="UF22" s="1221"/>
      <c r="UG22" s="1221"/>
      <c r="UH22" s="1221"/>
      <c r="UI22" s="1221"/>
      <c r="UJ22" s="1221"/>
      <c r="UK22" s="1221"/>
      <c r="UL22" s="1221"/>
      <c r="UM22" s="1221"/>
      <c r="UN22" s="1221"/>
      <c r="UO22" s="1221"/>
      <c r="UP22" s="1221"/>
      <c r="UQ22" s="1221"/>
      <c r="UR22" s="1221"/>
      <c r="US22" s="1221"/>
      <c r="UT22" s="1221"/>
      <c r="UU22" s="1221"/>
      <c r="UV22" s="1221"/>
      <c r="UW22" s="1221"/>
      <c r="UX22" s="1221"/>
      <c r="UY22" s="1221"/>
      <c r="UZ22" s="1221"/>
      <c r="VA22" s="1221"/>
      <c r="VB22" s="1221"/>
      <c r="VC22" s="1221"/>
      <c r="VD22" s="1221"/>
      <c r="VE22" s="1221"/>
      <c r="VF22" s="1221"/>
      <c r="VG22" s="1221"/>
      <c r="VH22" s="1221"/>
      <c r="VI22" s="1221"/>
      <c r="VJ22" s="1221"/>
      <c r="VK22" s="1221"/>
      <c r="VL22" s="1221"/>
      <c r="VM22" s="1221"/>
      <c r="VN22" s="1221"/>
      <c r="VO22" s="1221"/>
      <c r="VP22" s="1221"/>
      <c r="VQ22" s="1221"/>
      <c r="VR22" s="1221"/>
      <c r="VS22" s="1221"/>
      <c r="VT22" s="1221"/>
      <c r="VU22" s="1221"/>
      <c r="VV22" s="1221"/>
      <c r="VW22" s="1221"/>
      <c r="VX22" s="1221"/>
      <c r="VY22" s="1221"/>
      <c r="VZ22" s="1221"/>
      <c r="WA22" s="1221"/>
      <c r="WB22" s="1221"/>
      <c r="WC22" s="1221"/>
      <c r="WD22" s="1221"/>
      <c r="WE22" s="1221"/>
      <c r="WF22" s="1221"/>
      <c r="WG22" s="1221"/>
      <c r="WH22" s="1221"/>
      <c r="WI22" s="1221"/>
      <c r="WJ22" s="1221"/>
      <c r="WK22" s="1221"/>
      <c r="WL22" s="1221"/>
      <c r="WM22" s="1221"/>
      <c r="WN22" s="1221"/>
      <c r="WO22" s="1221"/>
      <c r="WP22" s="1221"/>
      <c r="WQ22" s="1221"/>
      <c r="WR22" s="1221"/>
      <c r="WS22" s="1221"/>
      <c r="WT22" s="1221"/>
      <c r="WU22" s="1221"/>
      <c r="WV22" s="1221"/>
      <c r="WW22" s="1221"/>
      <c r="WX22" s="1221"/>
      <c r="WY22" s="1221"/>
      <c r="WZ22" s="1221"/>
      <c r="XA22" s="1221"/>
      <c r="XB22" s="1221"/>
      <c r="XC22" s="1221"/>
      <c r="XD22" s="1221"/>
      <c r="XE22" s="1221"/>
      <c r="XF22" s="1221"/>
      <c r="XG22" s="1221"/>
      <c r="XH22" s="1221"/>
      <c r="XI22" s="1221"/>
      <c r="XJ22" s="1221"/>
      <c r="XK22" s="1221"/>
      <c r="XL22" s="1221"/>
      <c r="XM22" s="1221"/>
      <c r="XN22" s="1221"/>
      <c r="XO22" s="1221"/>
      <c r="XP22" s="1221"/>
      <c r="XQ22" s="1221"/>
      <c r="XR22" s="1221"/>
      <c r="XS22" s="1221"/>
      <c r="XT22" s="1221"/>
      <c r="XU22" s="1221"/>
      <c r="XV22" s="1221"/>
      <c r="XW22" s="1221"/>
      <c r="XX22" s="1221"/>
      <c r="XY22" s="1221"/>
      <c r="XZ22" s="1221"/>
      <c r="YA22" s="1221"/>
      <c r="YB22" s="1221"/>
      <c r="YC22" s="1221"/>
      <c r="YD22" s="1221"/>
      <c r="YE22" s="1221"/>
      <c r="YF22" s="1221"/>
      <c r="YG22" s="1221"/>
      <c r="YH22" s="1221"/>
      <c r="YI22" s="1221"/>
      <c r="YJ22" s="1221"/>
      <c r="YK22" s="1221"/>
      <c r="YL22" s="1221"/>
      <c r="YM22" s="1221"/>
      <c r="YN22" s="1221"/>
      <c r="YO22" s="1221"/>
      <c r="YP22" s="1221"/>
      <c r="YQ22" s="1221"/>
      <c r="YR22" s="1221"/>
      <c r="YS22" s="1221"/>
      <c r="YT22" s="1221"/>
      <c r="YU22" s="1221"/>
      <c r="YV22" s="1221"/>
      <c r="YW22" s="1221"/>
      <c r="YX22" s="1221"/>
      <c r="YY22" s="1221"/>
      <c r="YZ22" s="1221"/>
      <c r="ZA22" s="1221"/>
      <c r="ZB22" s="1221"/>
      <c r="ZC22" s="1221"/>
      <c r="ZD22" s="1221"/>
      <c r="ZE22" s="1221"/>
      <c r="ZF22" s="1221"/>
      <c r="ZG22" s="1221"/>
      <c r="ZH22" s="1221"/>
      <c r="ZI22" s="1221"/>
      <c r="ZJ22" s="1221"/>
      <c r="ZK22" s="1221"/>
      <c r="ZL22" s="1221"/>
      <c r="ZM22" s="1221"/>
      <c r="ZN22" s="1221"/>
      <c r="ZO22" s="1221"/>
      <c r="ZP22" s="1221"/>
      <c r="ZQ22" s="1221"/>
      <c r="ZR22" s="1221"/>
      <c r="ZS22" s="1221"/>
      <c r="ZT22" s="1221"/>
      <c r="ZU22" s="1221"/>
      <c r="ZV22" s="1221"/>
      <c r="ZW22" s="1221"/>
      <c r="ZX22" s="1221"/>
      <c r="ZY22" s="1221"/>
      <c r="ZZ22" s="1221"/>
      <c r="AAA22" s="1221"/>
      <c r="AAB22" s="1221"/>
      <c r="AAC22" s="1221"/>
      <c r="AAD22" s="1221"/>
      <c r="AAE22" s="1221"/>
      <c r="AAF22" s="1221"/>
      <c r="AAG22" s="1221"/>
      <c r="AAH22" s="1221"/>
      <c r="AAI22" s="1221"/>
      <c r="AAJ22" s="1221"/>
      <c r="AAK22" s="1221"/>
      <c r="AAL22" s="1221"/>
      <c r="AAM22" s="1221"/>
      <c r="AAN22" s="1221"/>
      <c r="AAO22" s="1221"/>
      <c r="AAP22" s="1221"/>
      <c r="AAQ22" s="1221"/>
      <c r="AAR22" s="1221"/>
      <c r="AAS22" s="1221"/>
      <c r="AAT22" s="1221"/>
      <c r="AAU22" s="1221"/>
      <c r="AAV22" s="1221"/>
      <c r="AAW22" s="1221"/>
      <c r="AAX22" s="1221"/>
      <c r="AAY22" s="1221"/>
      <c r="AAZ22" s="1221"/>
      <c r="ABA22" s="1221"/>
      <c r="ABB22" s="1221"/>
      <c r="ABC22" s="1221"/>
      <c r="ABD22" s="1221"/>
      <c r="ABE22" s="1221"/>
      <c r="ABF22" s="1221"/>
      <c r="ABG22" s="1221"/>
      <c r="ABH22" s="1221"/>
      <c r="ABI22" s="1221"/>
      <c r="ABJ22" s="1221"/>
      <c r="ABK22" s="1221"/>
      <c r="ABL22" s="1221"/>
      <c r="ABM22" s="1221"/>
      <c r="ABN22" s="1221"/>
      <c r="ABO22" s="1221"/>
      <c r="ABP22" s="1221"/>
      <c r="ABQ22" s="1221"/>
      <c r="ABR22" s="1221"/>
      <c r="ABS22" s="1221"/>
      <c r="ABT22" s="1221"/>
      <c r="ABU22" s="1221"/>
      <c r="ABV22" s="1221"/>
      <c r="ABW22" s="1221"/>
      <c r="ABX22" s="1221"/>
      <c r="ABY22" s="1221"/>
      <c r="ABZ22" s="1221"/>
      <c r="ACA22" s="1221"/>
      <c r="ACB22" s="1221"/>
      <c r="ACC22" s="1221"/>
      <c r="ACD22" s="1221"/>
      <c r="ACE22" s="1221"/>
      <c r="ACF22" s="1221"/>
      <c r="ACG22" s="1221"/>
      <c r="ACH22" s="1221"/>
      <c r="ACI22" s="1221"/>
      <c r="ACJ22" s="1221"/>
      <c r="ACK22" s="1221"/>
      <c r="ACL22" s="1221"/>
      <c r="ACM22" s="1221"/>
      <c r="ACN22" s="1221"/>
      <c r="ACO22" s="1221"/>
      <c r="ACP22" s="1221"/>
      <c r="ACQ22" s="1221"/>
      <c r="ACR22" s="1221"/>
      <c r="ACS22" s="1221"/>
      <c r="ACT22" s="1221"/>
      <c r="ACU22" s="1221"/>
      <c r="ACV22" s="1221"/>
      <c r="ACW22" s="1221"/>
      <c r="ACX22" s="1221"/>
      <c r="ACY22" s="1221"/>
      <c r="ACZ22" s="1221"/>
      <c r="ADA22" s="1221"/>
      <c r="ADB22" s="1221"/>
      <c r="ADC22" s="1221"/>
      <c r="ADD22" s="1221"/>
      <c r="ADE22" s="1221"/>
      <c r="ADF22" s="1221"/>
      <c r="ADG22" s="1221"/>
      <c r="ADH22" s="1221"/>
      <c r="ADI22" s="1221"/>
      <c r="ADJ22" s="1221"/>
      <c r="ADK22" s="1221"/>
      <c r="ADL22" s="1221"/>
      <c r="ADM22" s="1221"/>
      <c r="ADN22" s="1221"/>
      <c r="ADO22" s="1221"/>
      <c r="ADP22" s="1221"/>
      <c r="ADQ22" s="1221"/>
      <c r="ADR22" s="1221"/>
      <c r="ADS22" s="1221"/>
      <c r="ADT22" s="1221"/>
      <c r="ADU22" s="1221"/>
      <c r="ADV22" s="1221"/>
      <c r="ADW22" s="1221"/>
      <c r="ADX22" s="1221"/>
      <c r="ADY22" s="1221"/>
      <c r="ADZ22" s="1221"/>
      <c r="AEA22" s="1221"/>
      <c r="AEB22" s="1221"/>
      <c r="AEC22" s="1221"/>
      <c r="AED22" s="1221"/>
      <c r="AEE22" s="1221"/>
      <c r="AEF22" s="1221"/>
      <c r="AEG22" s="1221"/>
      <c r="AEH22" s="1221"/>
      <c r="AEI22" s="1221"/>
      <c r="AEJ22" s="1221"/>
      <c r="AEK22" s="1221"/>
      <c r="AEL22" s="1221"/>
      <c r="AEM22" s="1221"/>
      <c r="AEN22" s="1221"/>
      <c r="AEO22" s="1221"/>
      <c r="AEP22" s="1221"/>
      <c r="AEQ22" s="1221"/>
      <c r="AER22" s="1221"/>
      <c r="AES22" s="1221"/>
      <c r="AET22" s="1221"/>
      <c r="AEU22" s="1221"/>
      <c r="AEV22" s="1221"/>
      <c r="AEW22" s="1221"/>
      <c r="AEX22" s="1221"/>
      <c r="AEY22" s="1221"/>
      <c r="AEZ22" s="1221"/>
      <c r="AFA22" s="1221"/>
      <c r="AFB22" s="1221"/>
      <c r="AFC22" s="1221"/>
      <c r="AFD22" s="1221"/>
      <c r="AFE22" s="1221"/>
      <c r="AFF22" s="1221"/>
      <c r="AFG22" s="1221"/>
      <c r="AFH22" s="1221"/>
      <c r="AFI22" s="1221"/>
      <c r="AFJ22" s="1221"/>
      <c r="AFK22" s="1221"/>
      <c r="AFL22" s="1221"/>
      <c r="AFM22" s="1221"/>
      <c r="AFN22" s="1221"/>
      <c r="AFO22" s="1221"/>
      <c r="AFP22" s="1221"/>
      <c r="AFQ22" s="1221"/>
      <c r="AFR22" s="1221"/>
      <c r="AFS22" s="1221"/>
      <c r="AFT22" s="1221"/>
      <c r="AFU22" s="1221"/>
      <c r="AFV22" s="1221"/>
      <c r="AFW22" s="1221"/>
      <c r="AFX22" s="1221"/>
      <c r="AFY22" s="1221"/>
      <c r="AFZ22" s="1221"/>
      <c r="AGA22" s="1221"/>
      <c r="AGB22" s="1221"/>
      <c r="AGC22" s="1221"/>
      <c r="AGD22" s="1221"/>
      <c r="AGE22" s="1221"/>
      <c r="AGF22" s="1221"/>
      <c r="AGG22" s="1221"/>
      <c r="AGH22" s="1221"/>
      <c r="AGI22" s="1221"/>
      <c r="AGJ22" s="1221"/>
      <c r="AGK22" s="1221"/>
      <c r="AGL22" s="1221"/>
      <c r="AGM22" s="1221"/>
      <c r="AGN22" s="1221"/>
      <c r="AGO22" s="1221"/>
      <c r="AGP22" s="1221"/>
      <c r="AGQ22" s="1221"/>
      <c r="AGR22" s="1221"/>
      <c r="AGS22" s="1221"/>
      <c r="AGT22" s="1221"/>
      <c r="AGU22" s="1221"/>
      <c r="AGV22" s="1221"/>
      <c r="AGW22" s="1221"/>
      <c r="AGX22" s="1221"/>
      <c r="AGY22" s="1221"/>
      <c r="AGZ22" s="1221"/>
      <c r="AHA22" s="1221"/>
      <c r="AHB22" s="1221"/>
      <c r="AHC22" s="1221"/>
      <c r="AHD22" s="1221"/>
      <c r="AHE22" s="1221"/>
      <c r="AHF22" s="1221"/>
      <c r="AHG22" s="1221"/>
      <c r="AHH22" s="1221"/>
      <c r="AHI22" s="1221"/>
      <c r="AHJ22" s="1221"/>
      <c r="AHK22" s="1221"/>
      <c r="AHL22" s="1221"/>
      <c r="AHM22" s="1221"/>
      <c r="AHN22" s="1221"/>
      <c r="AHO22" s="1221"/>
      <c r="AHP22" s="1221"/>
      <c r="AHQ22" s="1221"/>
      <c r="AHR22" s="1221"/>
      <c r="AHS22" s="1221"/>
      <c r="AHT22" s="1221"/>
      <c r="AHU22" s="1221"/>
      <c r="AHV22" s="1221"/>
      <c r="AHW22" s="1221"/>
      <c r="AHX22" s="1221"/>
      <c r="AHY22" s="1221"/>
      <c r="AHZ22" s="1221"/>
      <c r="AIA22" s="1221"/>
      <c r="AIB22" s="1221"/>
      <c r="AIC22" s="1221"/>
      <c r="AID22" s="1221"/>
      <c r="AIE22" s="1221"/>
      <c r="AIF22" s="1221"/>
      <c r="AIG22" s="1221"/>
      <c r="AIH22" s="1221"/>
      <c r="AII22" s="1221"/>
      <c r="AIJ22" s="1221"/>
      <c r="AIK22" s="1221"/>
      <c r="AIL22" s="1221"/>
      <c r="AIM22" s="1221"/>
      <c r="AIN22" s="1221"/>
      <c r="AIO22" s="1221"/>
      <c r="AIP22" s="1221"/>
      <c r="AIQ22" s="1221"/>
      <c r="AIR22" s="1221"/>
      <c r="AIS22" s="1221"/>
      <c r="AIT22" s="1221"/>
      <c r="AIU22" s="1221"/>
      <c r="AIV22" s="1221"/>
      <c r="AIW22" s="1221"/>
      <c r="AIX22" s="1221"/>
      <c r="AIY22" s="1221"/>
      <c r="AIZ22" s="1221"/>
      <c r="AJA22" s="1221"/>
      <c r="AJB22" s="1221"/>
      <c r="AJC22" s="1221"/>
      <c r="AJD22" s="1221"/>
      <c r="AJE22" s="1221"/>
      <c r="AJF22" s="1221"/>
      <c r="AJG22" s="1221"/>
      <c r="AJH22" s="1221"/>
      <c r="AJI22" s="1221"/>
      <c r="AJJ22" s="1221"/>
      <c r="AJK22" s="1221"/>
      <c r="AJL22" s="1221"/>
      <c r="AJM22" s="1221"/>
      <c r="AJN22" s="1221"/>
      <c r="AJO22" s="1221"/>
      <c r="AJP22" s="1221"/>
      <c r="AJQ22" s="1221"/>
      <c r="AJR22" s="1221"/>
      <c r="AJS22" s="1221"/>
      <c r="AJT22" s="1221"/>
      <c r="AJU22" s="1221"/>
      <c r="AJV22" s="1221"/>
      <c r="AJW22" s="1221"/>
      <c r="AJX22" s="1221"/>
      <c r="AJY22" s="1221"/>
      <c r="AJZ22" s="1221"/>
      <c r="AKA22" s="1221"/>
      <c r="AKB22" s="1221"/>
      <c r="AKC22" s="1221"/>
      <c r="AKD22" s="1221"/>
      <c r="AKE22" s="1221"/>
      <c r="AKF22" s="1221"/>
      <c r="AKG22" s="1221"/>
      <c r="AKH22" s="1221"/>
      <c r="AKI22" s="1221"/>
      <c r="AKJ22" s="1221"/>
      <c r="AKK22" s="1221"/>
      <c r="AKL22" s="1221"/>
      <c r="AKM22" s="1221"/>
      <c r="AKN22" s="1221"/>
      <c r="AKO22" s="1221"/>
      <c r="AKP22" s="1221"/>
      <c r="AKQ22" s="1221"/>
      <c r="AKR22" s="1221"/>
      <c r="AKS22" s="1221"/>
      <c r="AKT22" s="1221"/>
      <c r="AKU22" s="1221"/>
      <c r="AKV22" s="1221"/>
      <c r="AKW22" s="1221"/>
      <c r="AKX22" s="1221"/>
      <c r="AKY22" s="1221"/>
      <c r="AKZ22" s="1221"/>
      <c r="ALA22" s="1221"/>
      <c r="ALB22" s="1221"/>
      <c r="ALC22" s="1221"/>
      <c r="ALD22" s="1221"/>
      <c r="ALE22" s="1221"/>
      <c r="ALF22" s="1221"/>
      <c r="ALG22" s="1221"/>
      <c r="ALH22" s="1221"/>
      <c r="ALI22" s="1221"/>
      <c r="ALJ22" s="1221"/>
      <c r="ALK22" s="1221"/>
      <c r="ALL22" s="1221"/>
      <c r="ALM22" s="1221"/>
      <c r="ALN22" s="1221"/>
      <c r="ALO22" s="1221"/>
      <c r="ALP22" s="1221"/>
      <c r="ALQ22" s="1221"/>
      <c r="ALR22" s="1221"/>
      <c r="ALS22" s="1221"/>
      <c r="ALT22" s="1221"/>
      <c r="ALU22" s="1221"/>
      <c r="ALV22" s="1221"/>
      <c r="ALW22" s="1221"/>
      <c r="ALX22" s="1221"/>
      <c r="ALY22" s="1221"/>
      <c r="ALZ22" s="1221"/>
      <c r="AMA22" s="1221"/>
      <c r="AMB22" s="1221"/>
      <c r="AMC22" s="1221"/>
      <c r="AMD22" s="1221"/>
      <c r="AME22" s="1221"/>
      <c r="AMF22" s="1221"/>
      <c r="AMG22" s="1221"/>
      <c r="AMH22" s="1221"/>
      <c r="AMI22" s="1221"/>
      <c r="AMJ22" s="1221"/>
      <c r="AMK22" s="1221"/>
      <c r="AML22" s="1221"/>
      <c r="AMM22" s="1221"/>
      <c r="AMN22" s="1221"/>
      <c r="AMO22" s="1221"/>
      <c r="AMP22" s="1221"/>
      <c r="AMQ22" s="1221"/>
      <c r="AMR22" s="1221"/>
      <c r="AMS22" s="1221"/>
      <c r="AMT22" s="1221"/>
      <c r="AMU22" s="1221"/>
      <c r="AMV22" s="1221"/>
      <c r="AMW22" s="1221"/>
      <c r="AMX22" s="1221"/>
      <c r="AMY22" s="1221"/>
      <c r="AMZ22" s="1221"/>
      <c r="ANA22" s="1221"/>
      <c r="ANB22" s="1221"/>
      <c r="ANC22" s="1221"/>
      <c r="AND22" s="1221"/>
      <c r="ANE22" s="1221"/>
      <c r="ANF22" s="1221"/>
      <c r="ANG22" s="1221"/>
      <c r="ANH22" s="1221"/>
      <c r="ANI22" s="1221"/>
      <c r="ANJ22" s="1221"/>
      <c r="ANK22" s="1221"/>
      <c r="ANL22" s="1221"/>
      <c r="ANM22" s="1221"/>
      <c r="ANN22" s="1221"/>
      <c r="ANO22" s="1221"/>
      <c r="ANP22" s="1221"/>
      <c r="ANQ22" s="1221"/>
      <c r="ANR22" s="1221"/>
      <c r="ANS22" s="1221"/>
      <c r="ANT22" s="1221"/>
      <c r="ANU22" s="1221"/>
      <c r="ANV22" s="1221"/>
      <c r="ANW22" s="1221"/>
      <c r="ANX22" s="1221"/>
      <c r="ANY22" s="1221"/>
      <c r="ANZ22" s="1221"/>
      <c r="AOA22" s="1221"/>
      <c r="AOB22" s="1221"/>
      <c r="AOC22" s="1221"/>
      <c r="AOD22" s="1221"/>
      <c r="AOE22" s="1221"/>
      <c r="AOF22" s="1221"/>
      <c r="AOG22" s="1221"/>
      <c r="AOH22" s="1221"/>
      <c r="AOI22" s="1221"/>
      <c r="AOJ22" s="1221"/>
      <c r="AOK22" s="1221"/>
      <c r="AOL22" s="1221"/>
      <c r="AOM22" s="1221"/>
      <c r="AON22" s="1221"/>
      <c r="AOO22" s="1221"/>
      <c r="AOP22" s="1221"/>
      <c r="AOQ22" s="1221"/>
      <c r="AOR22" s="1221"/>
      <c r="AOS22" s="1221"/>
      <c r="AOT22" s="1221"/>
      <c r="AOU22" s="1221"/>
      <c r="AOV22" s="1221"/>
      <c r="AOW22" s="1221"/>
      <c r="AOX22" s="1221"/>
      <c r="AOY22" s="1221"/>
      <c r="AOZ22" s="1221"/>
      <c r="APA22" s="1221"/>
      <c r="APB22" s="1221"/>
      <c r="APC22" s="1221"/>
      <c r="APD22" s="1221"/>
      <c r="APE22" s="1221"/>
      <c r="APF22" s="1221"/>
      <c r="APG22" s="1221"/>
      <c r="APH22" s="1221"/>
      <c r="API22" s="1221"/>
      <c r="APJ22" s="1221"/>
      <c r="APK22" s="1221"/>
      <c r="APL22" s="1221"/>
      <c r="APM22" s="1221"/>
      <c r="APN22" s="1221"/>
      <c r="APO22" s="1221"/>
      <c r="APP22" s="1221"/>
      <c r="APQ22" s="1221"/>
      <c r="APR22" s="1221"/>
      <c r="APS22" s="1221"/>
      <c r="APT22" s="1221"/>
      <c r="APU22" s="1221"/>
      <c r="APV22" s="1221"/>
      <c r="APW22" s="1221"/>
      <c r="APX22" s="1221"/>
      <c r="APY22" s="1221"/>
      <c r="APZ22" s="1221"/>
      <c r="AQA22" s="1221"/>
      <c r="AQB22" s="1221"/>
      <c r="AQC22" s="1221"/>
      <c r="AQD22" s="1221"/>
      <c r="AQE22" s="1221"/>
      <c r="AQF22" s="1221"/>
      <c r="AQG22" s="1221"/>
      <c r="AQH22" s="1221"/>
      <c r="AQI22" s="1221"/>
      <c r="AQJ22" s="1221"/>
      <c r="AQK22" s="1221"/>
      <c r="AQL22" s="1221"/>
      <c r="AQM22" s="1221"/>
      <c r="AQN22" s="1221"/>
      <c r="AQO22" s="1221"/>
      <c r="AQP22" s="1221"/>
      <c r="AQQ22" s="1221"/>
      <c r="AQR22" s="1221"/>
      <c r="AQS22" s="1221"/>
      <c r="AQT22" s="1221"/>
      <c r="AQU22" s="1221"/>
      <c r="AQV22" s="1221"/>
      <c r="AQW22" s="1221"/>
      <c r="AQX22" s="1221"/>
      <c r="AQY22" s="1221"/>
      <c r="AQZ22" s="1221"/>
      <c r="ARA22" s="1221"/>
      <c r="ARB22" s="1221"/>
      <c r="ARC22" s="1221"/>
      <c r="ARD22" s="1221"/>
      <c r="ARE22" s="1221"/>
      <c r="ARF22" s="1221"/>
      <c r="ARG22" s="1221"/>
      <c r="ARH22" s="1221"/>
      <c r="ARI22" s="1221"/>
      <c r="ARJ22" s="1221"/>
      <c r="ARK22" s="1221"/>
      <c r="ARL22" s="1221"/>
      <c r="ARM22" s="1221"/>
      <c r="ARN22" s="1221"/>
      <c r="ARO22" s="1221"/>
      <c r="ARP22" s="1221"/>
      <c r="ARQ22" s="1221"/>
      <c r="ARR22" s="1221"/>
      <c r="ARS22" s="1221"/>
      <c r="ART22" s="1221"/>
      <c r="ARU22" s="1221"/>
      <c r="ARV22" s="1221"/>
      <c r="ARW22" s="1221"/>
      <c r="ARX22" s="1221"/>
      <c r="ARY22" s="1221"/>
      <c r="ARZ22" s="1221"/>
      <c r="ASA22" s="1221"/>
      <c r="ASB22" s="1221"/>
      <c r="ASC22" s="1221"/>
      <c r="ASD22" s="1221"/>
      <c r="ASE22" s="1221"/>
      <c r="ASF22" s="1221"/>
      <c r="ASG22" s="1221"/>
      <c r="ASH22" s="1221"/>
      <c r="ASI22" s="1221"/>
      <c r="ASJ22" s="1221"/>
      <c r="ASK22" s="1221"/>
      <c r="ASL22" s="1221"/>
      <c r="ASM22" s="1221"/>
      <c r="ASN22" s="1221"/>
      <c r="ASO22" s="1221"/>
      <c r="ASP22" s="1221"/>
      <c r="ASQ22" s="1221"/>
      <c r="ASR22" s="1221"/>
      <c r="ASS22" s="1221"/>
      <c r="AST22" s="1221"/>
      <c r="ASU22" s="1221"/>
      <c r="ASV22" s="1221"/>
      <c r="ASW22" s="1221"/>
      <c r="ASX22" s="1221"/>
      <c r="ASY22" s="1221"/>
      <c r="ASZ22" s="1221"/>
      <c r="ATA22" s="1221"/>
      <c r="ATB22" s="1221"/>
      <c r="ATC22" s="1221"/>
      <c r="ATD22" s="1221"/>
      <c r="ATE22" s="1221"/>
      <c r="ATF22" s="1221"/>
      <c r="ATG22" s="1221"/>
      <c r="ATH22" s="1221"/>
      <c r="ATI22" s="1221"/>
      <c r="ATJ22" s="1221"/>
      <c r="ATK22" s="1221"/>
      <c r="ATL22" s="1221"/>
      <c r="ATM22" s="1221"/>
      <c r="ATN22" s="1221"/>
      <c r="ATO22" s="1221"/>
      <c r="ATP22" s="1221"/>
      <c r="ATQ22" s="1221"/>
      <c r="ATR22" s="1221"/>
      <c r="ATS22" s="1221"/>
      <c r="ATT22" s="1221"/>
      <c r="ATU22" s="1221"/>
      <c r="ATV22" s="1221"/>
      <c r="ATW22" s="1221"/>
      <c r="ATX22" s="1221"/>
      <c r="ATY22" s="1221"/>
      <c r="ATZ22" s="1221"/>
      <c r="AUA22" s="1221"/>
      <c r="AUB22" s="1221"/>
      <c r="AUC22" s="1221"/>
      <c r="AUD22" s="1221"/>
      <c r="AUE22" s="1221"/>
      <c r="AUF22" s="1221"/>
      <c r="AUG22" s="1221"/>
      <c r="AUH22" s="1221"/>
      <c r="AUI22" s="1221"/>
      <c r="AUJ22" s="1221"/>
      <c r="AUK22" s="1221"/>
      <c r="AUL22" s="1221"/>
      <c r="AUM22" s="1221"/>
      <c r="AUN22" s="1221"/>
      <c r="AUO22" s="1221"/>
      <c r="AUP22" s="1221"/>
      <c r="AUQ22" s="1221"/>
      <c r="AUR22" s="1221"/>
      <c r="AUS22" s="1221"/>
      <c r="AUT22" s="1221"/>
      <c r="AUU22" s="1221"/>
      <c r="AUV22" s="1221"/>
      <c r="AUW22" s="1221"/>
      <c r="AUX22" s="1221"/>
      <c r="AUY22" s="1221"/>
      <c r="AUZ22" s="1221"/>
      <c r="AVA22" s="1221"/>
      <c r="AVB22" s="1221"/>
      <c r="AVC22" s="1221"/>
      <c r="AVD22" s="1221"/>
      <c r="AVE22" s="1221"/>
      <c r="AVF22" s="1221"/>
      <c r="AVG22" s="1221"/>
      <c r="AVH22" s="1221"/>
      <c r="AVI22" s="1221"/>
      <c r="AVJ22" s="1221"/>
      <c r="AVK22" s="1221"/>
      <c r="AVL22" s="1221"/>
      <c r="AVM22" s="1221"/>
      <c r="AVN22" s="1221"/>
      <c r="AVO22" s="1221"/>
      <c r="AVP22" s="1221"/>
      <c r="AVQ22" s="1221"/>
      <c r="AVR22" s="1221"/>
      <c r="AVS22" s="1221"/>
      <c r="AVT22" s="1221"/>
      <c r="AVU22" s="1221"/>
      <c r="AVV22" s="1221"/>
      <c r="AVW22" s="1221"/>
      <c r="AVX22" s="1221"/>
      <c r="AVY22" s="1221"/>
      <c r="AVZ22" s="1221"/>
      <c r="AWA22" s="1221"/>
      <c r="AWB22" s="1221"/>
      <c r="AWC22" s="1221"/>
      <c r="AWD22" s="1221"/>
      <c r="AWE22" s="1221"/>
      <c r="AWF22" s="1221"/>
      <c r="AWG22" s="1221"/>
      <c r="AWH22" s="1221"/>
      <c r="AWI22" s="1221"/>
      <c r="AWJ22" s="1221"/>
      <c r="AWK22" s="1221"/>
      <c r="AWL22" s="1221"/>
      <c r="AWM22" s="1221"/>
      <c r="AWN22" s="1221"/>
      <c r="AWO22" s="1221"/>
      <c r="AWP22" s="1221"/>
      <c r="AWQ22" s="1221"/>
      <c r="AWR22" s="1221"/>
      <c r="AWS22" s="1221"/>
      <c r="AWT22" s="1221"/>
      <c r="AWU22" s="1221"/>
      <c r="AWV22" s="1221"/>
      <c r="AWW22" s="1221"/>
      <c r="AWX22" s="1221"/>
      <c r="AWY22" s="1221"/>
      <c r="AWZ22" s="1221"/>
      <c r="AXA22" s="1221"/>
      <c r="AXB22" s="1221"/>
      <c r="AXC22" s="1221"/>
      <c r="AXD22" s="1221"/>
      <c r="AXE22" s="1221"/>
      <c r="AXF22" s="1221"/>
      <c r="AXG22" s="1221"/>
      <c r="AXH22" s="1221"/>
      <c r="AXI22" s="1221"/>
      <c r="AXJ22" s="1221"/>
      <c r="AXK22" s="1221"/>
      <c r="AXL22" s="1221"/>
      <c r="AXM22" s="1221"/>
      <c r="AXN22" s="1221"/>
      <c r="AXO22" s="1221"/>
      <c r="AXP22" s="1221"/>
      <c r="AXQ22" s="1221"/>
      <c r="AXR22" s="1221"/>
      <c r="AXS22" s="1221"/>
      <c r="AXT22" s="1221"/>
      <c r="AXU22" s="1221"/>
      <c r="AXV22" s="1221"/>
      <c r="AXW22" s="1221"/>
      <c r="AXX22" s="1221"/>
      <c r="AXY22" s="1221"/>
      <c r="AXZ22" s="1221"/>
      <c r="AYA22" s="1221"/>
      <c r="AYB22" s="1221"/>
      <c r="AYC22" s="1221"/>
      <c r="AYD22" s="1221"/>
      <c r="AYE22" s="1221"/>
      <c r="AYF22" s="1221"/>
      <c r="AYG22" s="1221"/>
      <c r="AYH22" s="1221"/>
      <c r="AYI22" s="1221"/>
      <c r="AYJ22" s="1221"/>
      <c r="AYK22" s="1221"/>
      <c r="AYL22" s="1221"/>
      <c r="AYM22" s="1221"/>
      <c r="AYN22" s="1221"/>
      <c r="AYO22" s="1221"/>
      <c r="AYP22" s="1221"/>
      <c r="AYQ22" s="1221"/>
      <c r="AYR22" s="1221"/>
      <c r="AYS22" s="1221"/>
      <c r="AYT22" s="1221"/>
      <c r="AYU22" s="1221"/>
      <c r="AYV22" s="1221"/>
      <c r="AYW22" s="1221"/>
      <c r="AYX22" s="1221"/>
      <c r="AYY22" s="1221"/>
      <c r="AYZ22" s="1221"/>
      <c r="AZA22" s="1221"/>
      <c r="AZB22" s="1221"/>
      <c r="AZC22" s="1221"/>
      <c r="AZD22" s="1221"/>
      <c r="AZE22" s="1221"/>
      <c r="AZF22" s="1221"/>
      <c r="AZG22" s="1221"/>
      <c r="AZH22" s="1221"/>
      <c r="AZI22" s="1221"/>
      <c r="AZJ22" s="1221"/>
      <c r="AZK22" s="1221"/>
      <c r="AZL22" s="1221"/>
      <c r="AZM22" s="1221"/>
      <c r="AZN22" s="1221"/>
      <c r="AZO22" s="1221"/>
      <c r="AZP22" s="1221"/>
      <c r="AZQ22" s="1221"/>
      <c r="AZR22" s="1221"/>
      <c r="AZS22" s="1221"/>
      <c r="AZT22" s="1221"/>
      <c r="AZU22" s="1221"/>
      <c r="AZV22" s="1221"/>
      <c r="AZW22" s="1221"/>
      <c r="AZX22" s="1221"/>
      <c r="AZY22" s="1221"/>
      <c r="AZZ22" s="1221"/>
      <c r="BAA22" s="1221"/>
      <c r="BAB22" s="1221"/>
      <c r="BAC22" s="1221"/>
      <c r="BAD22" s="1221"/>
      <c r="BAE22" s="1221"/>
      <c r="BAF22" s="1221"/>
      <c r="BAG22" s="1221"/>
      <c r="BAH22" s="1221"/>
      <c r="BAI22" s="1221"/>
      <c r="BAJ22" s="1221"/>
      <c r="BAK22" s="1221"/>
      <c r="BAL22" s="1221"/>
      <c r="BAM22" s="1221"/>
      <c r="BAN22" s="1221"/>
      <c r="BAO22" s="1221"/>
      <c r="BAP22" s="1221"/>
      <c r="BAQ22" s="1221"/>
      <c r="BAR22" s="1221"/>
      <c r="BAS22" s="1221"/>
      <c r="BAT22" s="1221"/>
      <c r="BAU22" s="1221"/>
      <c r="BAV22" s="1221"/>
      <c r="BAW22" s="1221"/>
      <c r="BAX22" s="1221"/>
      <c r="BAY22" s="1221"/>
      <c r="BAZ22" s="1221"/>
      <c r="BBA22" s="1221"/>
      <c r="BBB22" s="1221"/>
      <c r="BBC22" s="1221"/>
      <c r="BBD22" s="1221"/>
      <c r="BBE22" s="1221"/>
      <c r="BBF22" s="1221"/>
      <c r="BBG22" s="1221"/>
      <c r="BBH22" s="1221"/>
      <c r="BBI22" s="1221"/>
      <c r="BBJ22" s="1221"/>
      <c r="BBK22" s="1221"/>
      <c r="BBL22" s="1221"/>
      <c r="BBM22" s="1221"/>
      <c r="BBN22" s="1221"/>
      <c r="BBO22" s="1221"/>
      <c r="BBP22" s="1221"/>
      <c r="BBQ22" s="1221"/>
      <c r="BBR22" s="1221"/>
      <c r="BBS22" s="1221"/>
      <c r="BBT22" s="1221"/>
      <c r="BBU22" s="1221"/>
      <c r="BBV22" s="1221"/>
      <c r="BBW22" s="1221"/>
      <c r="BBX22" s="1221"/>
      <c r="BBY22" s="1221"/>
      <c r="BBZ22" s="1221"/>
      <c r="BCA22" s="1221"/>
      <c r="BCB22" s="1221"/>
      <c r="BCC22" s="1221"/>
      <c r="BCD22" s="1221"/>
      <c r="BCE22" s="1221"/>
      <c r="BCF22" s="1221"/>
      <c r="BCG22" s="1221"/>
      <c r="BCH22" s="1221"/>
      <c r="BCI22" s="1221"/>
      <c r="BCJ22" s="1221"/>
      <c r="BCK22" s="1221"/>
      <c r="BCL22" s="1221"/>
      <c r="BCM22" s="1221"/>
      <c r="BCN22" s="1221"/>
      <c r="BCO22" s="1221"/>
      <c r="BCP22" s="1221"/>
      <c r="BCQ22" s="1221"/>
      <c r="BCR22" s="1221"/>
      <c r="BCS22" s="1221"/>
      <c r="BCT22" s="1221"/>
      <c r="BCU22" s="1221"/>
      <c r="BCV22" s="1221"/>
      <c r="BCW22" s="1221"/>
      <c r="BCX22" s="1221"/>
      <c r="BCY22" s="1221"/>
      <c r="BCZ22" s="1221"/>
      <c r="BDA22" s="1221"/>
      <c r="BDB22" s="1221"/>
      <c r="BDC22" s="1221"/>
      <c r="BDD22" s="1221"/>
      <c r="BDE22" s="1221"/>
      <c r="BDF22" s="1221"/>
      <c r="BDG22" s="1221"/>
      <c r="BDH22" s="1221"/>
      <c r="BDI22" s="1221"/>
      <c r="BDJ22" s="1221"/>
      <c r="BDK22" s="1221"/>
      <c r="BDL22" s="1221"/>
      <c r="BDM22" s="1221"/>
      <c r="BDN22" s="1221"/>
      <c r="BDO22" s="1221"/>
      <c r="BDP22" s="1221"/>
      <c r="BDQ22" s="1221"/>
      <c r="BDR22" s="1221"/>
      <c r="BDS22" s="1221"/>
      <c r="BDT22" s="1221"/>
      <c r="BDU22" s="1221"/>
      <c r="BDV22" s="1221"/>
      <c r="BDW22" s="1221"/>
      <c r="BDX22" s="1221"/>
      <c r="BDY22" s="1221"/>
      <c r="BDZ22" s="1221"/>
      <c r="BEA22" s="1221"/>
      <c r="BEB22" s="1221"/>
      <c r="BEC22" s="1221"/>
      <c r="BED22" s="1221"/>
      <c r="BEE22" s="1221"/>
      <c r="BEF22" s="1221"/>
      <c r="BEG22" s="1221"/>
      <c r="BEH22" s="1221"/>
      <c r="BEI22" s="1221"/>
      <c r="BEJ22" s="1221"/>
      <c r="BEK22" s="1221"/>
      <c r="BEL22" s="1221"/>
      <c r="BEM22" s="1221"/>
      <c r="BEN22" s="1221"/>
      <c r="BEO22" s="1221"/>
      <c r="BEP22" s="1221"/>
      <c r="BEQ22" s="1221"/>
      <c r="BER22" s="1221"/>
      <c r="BES22" s="1221"/>
      <c r="BET22" s="1221"/>
      <c r="BEU22" s="1221"/>
      <c r="BEV22" s="1221"/>
      <c r="BEW22" s="1221"/>
      <c r="BEX22" s="1221"/>
      <c r="BEY22" s="1221"/>
      <c r="BEZ22" s="1221"/>
      <c r="BFA22" s="1221"/>
      <c r="BFB22" s="1221"/>
      <c r="BFC22" s="1221"/>
      <c r="BFD22" s="1221"/>
      <c r="BFE22" s="1221"/>
      <c r="BFF22" s="1221"/>
      <c r="BFG22" s="1221"/>
      <c r="BFH22" s="1221"/>
      <c r="BFI22" s="1221"/>
      <c r="BFJ22" s="1221"/>
      <c r="BFK22" s="1221"/>
      <c r="BFL22" s="1221"/>
      <c r="BFM22" s="1221"/>
      <c r="BFN22" s="1221"/>
      <c r="BFO22" s="1221"/>
      <c r="BFP22" s="1221"/>
      <c r="BFQ22" s="1221"/>
      <c r="BFR22" s="1221"/>
      <c r="BFS22" s="1221"/>
      <c r="BFT22" s="1221"/>
      <c r="BFU22" s="1221"/>
      <c r="BFV22" s="1221"/>
      <c r="BFW22" s="1221"/>
      <c r="BFX22" s="1221"/>
      <c r="BFY22" s="1221"/>
      <c r="BFZ22" s="1221"/>
      <c r="BGA22" s="1221"/>
      <c r="BGB22" s="1221"/>
      <c r="BGC22" s="1221"/>
      <c r="BGD22" s="1221"/>
      <c r="BGE22" s="1221"/>
      <c r="BGF22" s="1221"/>
      <c r="BGG22" s="1221"/>
      <c r="BGH22" s="1221"/>
      <c r="BGI22" s="1221"/>
      <c r="BGJ22" s="1221"/>
      <c r="BGK22" s="1221"/>
      <c r="BGL22" s="1221"/>
      <c r="BGM22" s="1221"/>
      <c r="BGN22" s="1221"/>
      <c r="BGO22" s="1221"/>
      <c r="BGP22" s="1221"/>
      <c r="BGQ22" s="1221"/>
      <c r="BGR22" s="1221"/>
      <c r="BGS22" s="1221"/>
      <c r="BGT22" s="1221"/>
      <c r="BGU22" s="1221"/>
      <c r="BGV22" s="1221"/>
      <c r="BGW22" s="1221"/>
      <c r="BGX22" s="1221"/>
      <c r="BGY22" s="1221"/>
      <c r="BGZ22" s="1221"/>
      <c r="BHA22" s="1221"/>
      <c r="BHB22" s="1221"/>
      <c r="BHC22" s="1221"/>
      <c r="BHD22" s="1221"/>
      <c r="BHE22" s="1221"/>
      <c r="BHF22" s="1221"/>
      <c r="BHG22" s="1221"/>
      <c r="BHH22" s="1221"/>
      <c r="BHI22" s="1221"/>
      <c r="BHJ22" s="1221"/>
      <c r="BHK22" s="1221"/>
      <c r="BHL22" s="1221"/>
      <c r="BHM22" s="1221"/>
      <c r="BHN22" s="1221"/>
      <c r="BHO22" s="1221"/>
      <c r="BHP22" s="1221"/>
      <c r="BHQ22" s="1221"/>
      <c r="BHR22" s="1221"/>
      <c r="BHS22" s="1221"/>
      <c r="BHT22" s="1221"/>
      <c r="BHU22" s="1221"/>
      <c r="BHV22" s="1221"/>
      <c r="BHW22" s="1221"/>
      <c r="BHX22" s="1221"/>
      <c r="BHY22" s="1221"/>
      <c r="BHZ22" s="1221"/>
      <c r="BIA22" s="1221"/>
      <c r="BIB22" s="1221"/>
      <c r="BIC22" s="1221"/>
      <c r="BID22" s="1221"/>
      <c r="BIE22" s="1221"/>
      <c r="BIF22" s="1221"/>
      <c r="BIG22" s="1221"/>
      <c r="BIH22" s="1221"/>
      <c r="BII22" s="1221"/>
      <c r="BIJ22" s="1221"/>
      <c r="BIK22" s="1221"/>
      <c r="BIL22" s="1221"/>
      <c r="BIM22" s="1221"/>
      <c r="BIN22" s="1221"/>
      <c r="BIO22" s="1221"/>
      <c r="BIP22" s="1221"/>
      <c r="BIQ22" s="1221"/>
      <c r="BIR22" s="1221"/>
      <c r="BIS22" s="1221"/>
      <c r="BIT22" s="1221"/>
      <c r="BIU22" s="1221"/>
      <c r="BIV22" s="1221"/>
      <c r="BIW22" s="1221"/>
      <c r="BIX22" s="1221"/>
      <c r="BIY22" s="1221"/>
      <c r="BIZ22" s="1221"/>
      <c r="BJA22" s="1221"/>
      <c r="BJB22" s="1221"/>
      <c r="BJC22" s="1221"/>
      <c r="BJD22" s="1221"/>
      <c r="BJE22" s="1221"/>
      <c r="BJF22" s="1221"/>
      <c r="BJG22" s="1221"/>
      <c r="BJH22" s="1221"/>
      <c r="BJI22" s="1221"/>
      <c r="BJJ22" s="1221"/>
      <c r="BJK22" s="1221"/>
      <c r="BJL22" s="1221"/>
      <c r="BJM22" s="1221"/>
      <c r="BJN22" s="1221"/>
      <c r="BJO22" s="1221"/>
      <c r="BJP22" s="1221"/>
      <c r="BJQ22" s="1221"/>
      <c r="BJR22" s="1221"/>
      <c r="BJS22" s="1221"/>
      <c r="BJT22" s="1221"/>
      <c r="BJU22" s="1221"/>
      <c r="BJV22" s="1221"/>
      <c r="BJW22" s="1221"/>
      <c r="BJX22" s="1221"/>
      <c r="BJY22" s="1221"/>
      <c r="BJZ22" s="1221"/>
      <c r="BKA22" s="1221"/>
      <c r="BKB22" s="1221"/>
      <c r="BKC22" s="1221"/>
      <c r="BKD22" s="1221"/>
      <c r="BKE22" s="1221"/>
      <c r="BKF22" s="1221"/>
      <c r="BKG22" s="1221"/>
      <c r="BKH22" s="1221"/>
      <c r="BKI22" s="1221"/>
      <c r="BKJ22" s="1221"/>
      <c r="BKK22" s="1221"/>
      <c r="BKL22" s="1221"/>
      <c r="BKM22" s="1221"/>
      <c r="BKN22" s="1221"/>
      <c r="BKO22" s="1221"/>
      <c r="BKP22" s="1221"/>
      <c r="BKQ22" s="1221"/>
      <c r="BKR22" s="1221"/>
      <c r="BKS22" s="1221"/>
      <c r="BKT22" s="1221"/>
      <c r="BKU22" s="1221"/>
      <c r="BKV22" s="1221"/>
      <c r="BKW22" s="1221"/>
      <c r="BKX22" s="1221"/>
      <c r="BKY22" s="1221"/>
      <c r="BKZ22" s="1221"/>
      <c r="BLA22" s="1221"/>
      <c r="BLB22" s="1221"/>
      <c r="BLC22" s="1221"/>
      <c r="BLD22" s="1221"/>
      <c r="BLE22" s="1221"/>
      <c r="BLF22" s="1221"/>
      <c r="BLG22" s="1221"/>
      <c r="BLH22" s="1221"/>
      <c r="BLI22" s="1221"/>
      <c r="BLJ22" s="1221"/>
      <c r="BLK22" s="1221"/>
      <c r="BLL22" s="1221"/>
      <c r="BLM22" s="1221"/>
      <c r="BLN22" s="1221"/>
      <c r="BLO22" s="1221"/>
      <c r="BLP22" s="1221"/>
      <c r="BLQ22" s="1221"/>
      <c r="BLR22" s="1221"/>
      <c r="BLS22" s="1221"/>
      <c r="BLT22" s="1221"/>
      <c r="BLU22" s="1221"/>
      <c r="BLV22" s="1221"/>
      <c r="BLW22" s="1221"/>
      <c r="BLX22" s="1221"/>
      <c r="BLY22" s="1221"/>
      <c r="BLZ22" s="1221"/>
      <c r="BMA22" s="1221"/>
      <c r="BMB22" s="1221"/>
      <c r="BMC22" s="1221"/>
      <c r="BMD22" s="1221"/>
      <c r="BME22" s="1221"/>
      <c r="BMF22" s="1221"/>
      <c r="BMG22" s="1221"/>
      <c r="BMH22" s="1221"/>
      <c r="BMI22" s="1221"/>
      <c r="BMJ22" s="1221"/>
      <c r="BMK22" s="1221"/>
      <c r="BML22" s="1221"/>
      <c r="BMM22" s="1221"/>
      <c r="BMN22" s="1221"/>
      <c r="BMO22" s="1221"/>
      <c r="BMP22" s="1221"/>
      <c r="BMQ22" s="1221"/>
      <c r="BMR22" s="1221"/>
      <c r="BMS22" s="1221"/>
      <c r="BMT22" s="1221"/>
      <c r="BMU22" s="1221"/>
      <c r="BMV22" s="1221"/>
      <c r="BMW22" s="1221"/>
      <c r="BMX22" s="1221"/>
      <c r="BMY22" s="1221"/>
      <c r="BMZ22" s="1221"/>
      <c r="BNA22" s="1221"/>
      <c r="BNB22" s="1221"/>
      <c r="BNC22" s="1221"/>
      <c r="BND22" s="1221"/>
      <c r="BNE22" s="1221"/>
      <c r="BNF22" s="1221"/>
      <c r="BNG22" s="1221"/>
      <c r="BNH22" s="1221"/>
      <c r="BNI22" s="1221"/>
      <c r="BNJ22" s="1221"/>
      <c r="BNK22" s="1221"/>
      <c r="BNL22" s="1221"/>
      <c r="BNM22" s="1221"/>
      <c r="BNN22" s="1221"/>
      <c r="BNO22" s="1221"/>
      <c r="BNP22" s="1221"/>
      <c r="BNQ22" s="1221"/>
      <c r="BNR22" s="1221"/>
      <c r="BNS22" s="1221"/>
      <c r="BNT22" s="1221"/>
      <c r="BNU22" s="1221"/>
      <c r="BNV22" s="1221"/>
      <c r="BNW22" s="1221"/>
      <c r="BNX22" s="1221"/>
      <c r="BNY22" s="1221"/>
      <c r="BNZ22" s="1221"/>
      <c r="BOA22" s="1221"/>
      <c r="BOB22" s="1221"/>
      <c r="BOC22" s="1221"/>
      <c r="BOD22" s="1221"/>
      <c r="BOE22" s="1221"/>
      <c r="BOF22" s="1221"/>
      <c r="BOG22" s="1221"/>
      <c r="BOH22" s="1221"/>
      <c r="BOI22" s="1221"/>
      <c r="BOJ22" s="1221"/>
      <c r="BOK22" s="1221"/>
      <c r="BOL22" s="1221"/>
      <c r="BOM22" s="1221"/>
      <c r="BON22" s="1221"/>
      <c r="BOO22" s="1221"/>
      <c r="BOP22" s="1221"/>
      <c r="BOQ22" s="1221"/>
      <c r="BOR22" s="1221"/>
      <c r="BOS22" s="1221"/>
      <c r="BOT22" s="1221"/>
      <c r="BOU22" s="1221"/>
      <c r="BOV22" s="1221"/>
      <c r="BOW22" s="1221"/>
      <c r="BOX22" s="1221"/>
      <c r="BOY22" s="1221"/>
      <c r="BOZ22" s="1221"/>
      <c r="BPA22" s="1221"/>
      <c r="BPB22" s="1221"/>
      <c r="BPC22" s="1221"/>
      <c r="BPD22" s="1221"/>
      <c r="BPE22" s="1221"/>
      <c r="BPF22" s="1221"/>
      <c r="BPG22" s="1221"/>
      <c r="BPH22" s="1221"/>
      <c r="BPI22" s="1221"/>
      <c r="BPJ22" s="1221"/>
      <c r="BPK22" s="1221"/>
      <c r="BPL22" s="1221"/>
      <c r="BPM22" s="1221"/>
      <c r="BPN22" s="1221"/>
      <c r="BPO22" s="1221"/>
      <c r="BPP22" s="1221"/>
      <c r="BPQ22" s="1221"/>
      <c r="BPR22" s="1221"/>
      <c r="BPS22" s="1221"/>
      <c r="BPT22" s="1221"/>
      <c r="BPU22" s="1221"/>
      <c r="BPV22" s="1221"/>
      <c r="BPW22" s="1221"/>
      <c r="BPX22" s="1221"/>
      <c r="BPY22" s="1221"/>
      <c r="BPZ22" s="1221"/>
      <c r="BQA22" s="1221"/>
      <c r="BQB22" s="1221"/>
      <c r="BQC22" s="1221"/>
      <c r="BQD22" s="1221"/>
      <c r="BQE22" s="1221"/>
      <c r="BQF22" s="1221"/>
      <c r="BQG22" s="1221"/>
      <c r="BQH22" s="1221"/>
      <c r="BQI22" s="1221"/>
      <c r="BQJ22" s="1221"/>
      <c r="BQK22" s="1221"/>
      <c r="BQL22" s="1221"/>
      <c r="BQM22" s="1221"/>
      <c r="BQN22" s="1221"/>
      <c r="BQO22" s="1221"/>
      <c r="BQP22" s="1221"/>
      <c r="BQQ22" s="1221"/>
      <c r="BQR22" s="1221"/>
      <c r="BQS22" s="1221"/>
      <c r="BQT22" s="1221"/>
      <c r="BQU22" s="1221"/>
      <c r="BQV22" s="1221"/>
      <c r="BQW22" s="1221"/>
      <c r="BQX22" s="1221"/>
      <c r="BQY22" s="1221"/>
      <c r="BQZ22" s="1221"/>
      <c r="BRA22" s="1221"/>
      <c r="BRB22" s="1221"/>
      <c r="BRC22" s="1221"/>
      <c r="BRD22" s="1221"/>
      <c r="BRE22" s="1221"/>
      <c r="BRF22" s="1221"/>
      <c r="BRG22" s="1221"/>
      <c r="BRH22" s="1221"/>
      <c r="BRI22" s="1221"/>
      <c r="BRJ22" s="1221"/>
      <c r="BRK22" s="1221"/>
      <c r="BRL22" s="1221"/>
      <c r="BRM22" s="1221"/>
      <c r="BRN22" s="1221"/>
      <c r="BRO22" s="1221"/>
      <c r="BRP22" s="1221"/>
      <c r="BRQ22" s="1221"/>
      <c r="BRR22" s="1221"/>
      <c r="BRS22" s="1221"/>
      <c r="BRT22" s="1221"/>
      <c r="BRU22" s="1221"/>
      <c r="BRV22" s="1221"/>
      <c r="BRW22" s="1221"/>
      <c r="BRX22" s="1221"/>
      <c r="BRY22" s="1221"/>
      <c r="BRZ22" s="1221"/>
      <c r="BSA22" s="1221"/>
      <c r="BSB22" s="1221"/>
      <c r="BSC22" s="1221"/>
      <c r="BSD22" s="1221"/>
      <c r="BSE22" s="1221"/>
      <c r="BSF22" s="1221"/>
      <c r="BSG22" s="1221"/>
      <c r="BSH22" s="1221"/>
      <c r="BSI22" s="1221"/>
      <c r="BSJ22" s="1221"/>
      <c r="BSK22" s="1221"/>
      <c r="BSL22" s="1221"/>
      <c r="BSM22" s="1221"/>
      <c r="BSN22" s="1221"/>
      <c r="BSO22" s="1221"/>
      <c r="BSP22" s="1221"/>
      <c r="BSQ22" s="1221"/>
      <c r="BSR22" s="1221"/>
      <c r="BSS22" s="1221"/>
      <c r="BST22" s="1221"/>
      <c r="BSU22" s="1221"/>
      <c r="BSV22" s="1221"/>
      <c r="BSW22" s="1221"/>
      <c r="BSX22" s="1221"/>
      <c r="BSY22" s="1221"/>
      <c r="BSZ22" s="1221"/>
      <c r="BTA22" s="1221"/>
      <c r="BTB22" s="1221"/>
      <c r="BTC22" s="1221"/>
      <c r="BTD22" s="1221"/>
      <c r="BTE22" s="1221"/>
      <c r="BTF22" s="1221"/>
      <c r="BTG22" s="1221"/>
      <c r="BTH22" s="1221"/>
      <c r="BTI22" s="1221"/>
      <c r="BTJ22" s="1221"/>
      <c r="BTK22" s="1221"/>
      <c r="BTL22" s="1221"/>
      <c r="BTM22" s="1221"/>
      <c r="BTN22" s="1221"/>
      <c r="BTO22" s="1221"/>
      <c r="BTP22" s="1221"/>
      <c r="BTQ22" s="1221"/>
      <c r="BTR22" s="1221"/>
      <c r="BTS22" s="1221"/>
      <c r="BTT22" s="1221"/>
      <c r="BTU22" s="1221"/>
      <c r="BTV22" s="1221"/>
      <c r="BTW22" s="1221"/>
      <c r="BTX22" s="1221"/>
      <c r="BTY22" s="1221"/>
      <c r="BTZ22" s="1221"/>
      <c r="BUA22" s="1221"/>
      <c r="BUB22" s="1221"/>
      <c r="BUC22" s="1221"/>
      <c r="BUD22" s="1221"/>
      <c r="BUE22" s="1221"/>
      <c r="BUF22" s="1221"/>
      <c r="BUG22" s="1221"/>
      <c r="BUH22" s="1221"/>
      <c r="BUI22" s="1221"/>
      <c r="BUJ22" s="1221"/>
      <c r="BUK22" s="1221"/>
      <c r="BUL22" s="1221"/>
      <c r="BUM22" s="1221"/>
      <c r="BUN22" s="1221"/>
      <c r="BUO22" s="1221"/>
      <c r="BUP22" s="1221"/>
      <c r="BUQ22" s="1221"/>
      <c r="BUR22" s="1221"/>
      <c r="BUS22" s="1221"/>
      <c r="BUT22" s="1221"/>
      <c r="BUU22" s="1221"/>
      <c r="BUV22" s="1221"/>
      <c r="BUW22" s="1221"/>
      <c r="BUX22" s="1221"/>
      <c r="BUY22" s="1221"/>
      <c r="BUZ22" s="1221"/>
      <c r="BVA22" s="1221"/>
      <c r="BVB22" s="1221"/>
      <c r="BVC22" s="1221"/>
      <c r="BVD22" s="1221"/>
      <c r="BVE22" s="1221"/>
      <c r="BVF22" s="1221"/>
      <c r="BVG22" s="1221"/>
      <c r="BVH22" s="1221"/>
      <c r="BVI22" s="1221"/>
      <c r="BVJ22" s="1221"/>
      <c r="BVK22" s="1221"/>
      <c r="BVL22" s="1221"/>
      <c r="BVM22" s="1221"/>
      <c r="BVN22" s="1221"/>
      <c r="BVO22" s="1221"/>
      <c r="BVP22" s="1221"/>
      <c r="BVQ22" s="1221"/>
      <c r="BVR22" s="1221"/>
      <c r="BVS22" s="1221"/>
      <c r="BVT22" s="1221"/>
      <c r="BVU22" s="1221"/>
      <c r="BVV22" s="1221"/>
      <c r="BVW22" s="1221"/>
      <c r="BVX22" s="1221"/>
      <c r="BVY22" s="1221"/>
      <c r="BVZ22" s="1221"/>
      <c r="BWA22" s="1221"/>
      <c r="BWB22" s="1221"/>
      <c r="BWC22" s="1221"/>
      <c r="BWD22" s="1221"/>
      <c r="BWE22" s="1221"/>
      <c r="BWF22" s="1221"/>
      <c r="BWG22" s="1221"/>
      <c r="BWH22" s="1221"/>
      <c r="BWI22" s="1221"/>
      <c r="BWJ22" s="1221"/>
      <c r="BWK22" s="1221"/>
      <c r="BWL22" s="1221"/>
      <c r="BWM22" s="1221"/>
      <c r="BWN22" s="1221"/>
      <c r="BWO22" s="1221"/>
      <c r="BWP22" s="1221"/>
      <c r="BWQ22" s="1221"/>
      <c r="BWR22" s="1221"/>
      <c r="BWS22" s="1221"/>
      <c r="BWT22" s="1221"/>
      <c r="BWU22" s="1221"/>
      <c r="BWV22" s="1221"/>
      <c r="BWW22" s="1221"/>
      <c r="BWX22" s="1221"/>
      <c r="BWY22" s="1221"/>
      <c r="BWZ22" s="1221"/>
      <c r="BXA22" s="1221"/>
      <c r="BXB22" s="1221"/>
      <c r="BXC22" s="1221"/>
      <c r="BXD22" s="1221"/>
      <c r="BXE22" s="1221"/>
      <c r="BXF22" s="1221"/>
      <c r="BXG22" s="1221"/>
      <c r="BXH22" s="1221"/>
      <c r="BXI22" s="1221"/>
      <c r="BXJ22" s="1221"/>
      <c r="BXK22" s="1221"/>
      <c r="BXL22" s="1221"/>
      <c r="BXM22" s="1221"/>
      <c r="BXN22" s="1221"/>
      <c r="BXO22" s="1221"/>
      <c r="BXP22" s="1221"/>
      <c r="BXQ22" s="1221"/>
      <c r="BXR22" s="1221"/>
      <c r="BXS22" s="1221"/>
      <c r="BXT22" s="1221"/>
      <c r="BXU22" s="1221"/>
      <c r="BXV22" s="1221"/>
      <c r="BXW22" s="1221"/>
      <c r="BXX22" s="1221"/>
      <c r="BXY22" s="1221"/>
      <c r="BXZ22" s="1221"/>
      <c r="BYA22" s="1221"/>
      <c r="BYB22" s="1221"/>
      <c r="BYC22" s="1221"/>
      <c r="BYD22" s="1221"/>
      <c r="BYE22" s="1221"/>
      <c r="BYF22" s="1221"/>
      <c r="BYG22" s="1221"/>
      <c r="BYH22" s="1221"/>
      <c r="BYI22" s="1221"/>
      <c r="BYJ22" s="1221"/>
      <c r="BYK22" s="1221"/>
      <c r="BYL22" s="1221"/>
      <c r="BYM22" s="1221"/>
      <c r="BYN22" s="1221"/>
      <c r="BYO22" s="1221"/>
      <c r="BYP22" s="1221"/>
      <c r="BYQ22" s="1221"/>
      <c r="BYR22" s="1221"/>
      <c r="BYS22" s="1221"/>
      <c r="BYT22" s="1221"/>
      <c r="BYU22" s="1221"/>
      <c r="BYV22" s="1221"/>
      <c r="BYW22" s="1221"/>
      <c r="BYX22" s="1221"/>
      <c r="BYY22" s="1221"/>
      <c r="BYZ22" s="1221"/>
      <c r="BZA22" s="1221"/>
      <c r="BZB22" s="1221"/>
      <c r="BZC22" s="1221"/>
      <c r="BZD22" s="1221"/>
      <c r="BZE22" s="1221"/>
      <c r="BZF22" s="1221"/>
      <c r="BZG22" s="1221"/>
      <c r="BZH22" s="1221"/>
      <c r="BZI22" s="1221"/>
      <c r="BZJ22" s="1221"/>
      <c r="BZK22" s="1221"/>
      <c r="BZL22" s="1221"/>
      <c r="BZM22" s="1221"/>
      <c r="BZN22" s="1221"/>
      <c r="BZO22" s="1221"/>
      <c r="BZP22" s="1221"/>
      <c r="BZQ22" s="1221"/>
      <c r="BZR22" s="1221"/>
      <c r="BZS22" s="1221"/>
      <c r="BZT22" s="1221"/>
      <c r="BZU22" s="1221"/>
      <c r="BZV22" s="1221"/>
      <c r="BZW22" s="1221"/>
      <c r="BZX22" s="1221"/>
      <c r="BZY22" s="1221"/>
      <c r="BZZ22" s="1221"/>
      <c r="CAA22" s="1221"/>
      <c r="CAB22" s="1221"/>
      <c r="CAC22" s="1221"/>
      <c r="CAD22" s="1221"/>
      <c r="CAE22" s="1221"/>
      <c r="CAF22" s="1221"/>
      <c r="CAG22" s="1221"/>
      <c r="CAH22" s="1221"/>
      <c r="CAI22" s="1221"/>
      <c r="CAJ22" s="1221"/>
      <c r="CAK22" s="1221"/>
      <c r="CAL22" s="1221"/>
      <c r="CAM22" s="1221"/>
      <c r="CAN22" s="1221"/>
      <c r="CAO22" s="1221"/>
      <c r="CAP22" s="1221"/>
      <c r="CAQ22" s="1221"/>
      <c r="CAR22" s="1221"/>
      <c r="CAS22" s="1221"/>
      <c r="CAT22" s="1221"/>
      <c r="CAU22" s="1221"/>
      <c r="CAV22" s="1221"/>
      <c r="CAW22" s="1221"/>
      <c r="CAX22" s="1221"/>
      <c r="CAY22" s="1221"/>
      <c r="CAZ22" s="1221"/>
      <c r="CBA22" s="1221"/>
      <c r="CBB22" s="1221"/>
      <c r="CBC22" s="1221"/>
      <c r="CBD22" s="1221"/>
      <c r="CBE22" s="1221"/>
      <c r="CBF22" s="1221"/>
      <c r="CBG22" s="1221"/>
      <c r="CBH22" s="1221"/>
      <c r="CBI22" s="1221"/>
      <c r="CBJ22" s="1221"/>
      <c r="CBK22" s="1221"/>
      <c r="CBL22" s="1221"/>
      <c r="CBM22" s="1221"/>
      <c r="CBN22" s="1221"/>
      <c r="CBO22" s="1221"/>
      <c r="CBP22" s="1221"/>
      <c r="CBQ22" s="1221"/>
      <c r="CBR22" s="1221"/>
      <c r="CBS22" s="1221"/>
      <c r="CBT22" s="1221"/>
      <c r="CBU22" s="1221"/>
      <c r="CBV22" s="1221"/>
      <c r="CBW22" s="1221"/>
      <c r="CBX22" s="1221"/>
      <c r="CBY22" s="1221"/>
      <c r="CBZ22" s="1221"/>
      <c r="CCA22" s="1221"/>
      <c r="CCB22" s="1221"/>
      <c r="CCC22" s="1221"/>
      <c r="CCD22" s="1221"/>
      <c r="CCE22" s="1221"/>
      <c r="CCF22" s="1221"/>
      <c r="CCG22" s="1221"/>
      <c r="CCH22" s="1221"/>
      <c r="CCI22" s="1221"/>
      <c r="CCJ22" s="1221"/>
      <c r="CCK22" s="1221"/>
      <c r="CCL22" s="1221"/>
      <c r="CCM22" s="1221"/>
      <c r="CCN22" s="1221"/>
      <c r="CCO22" s="1221"/>
      <c r="CCP22" s="1221"/>
      <c r="CCQ22" s="1221"/>
      <c r="CCR22" s="1221"/>
      <c r="CCS22" s="1221"/>
      <c r="CCT22" s="1221"/>
      <c r="CCU22" s="1221"/>
      <c r="CCV22" s="1221"/>
      <c r="CCW22" s="1221"/>
      <c r="CCX22" s="1221"/>
      <c r="CCY22" s="1221"/>
      <c r="CCZ22" s="1221"/>
      <c r="CDA22" s="1221"/>
      <c r="CDB22" s="1221"/>
      <c r="CDC22" s="1221"/>
      <c r="CDD22" s="1221"/>
      <c r="CDE22" s="1221"/>
      <c r="CDF22" s="1221"/>
      <c r="CDG22" s="1221"/>
      <c r="CDH22" s="1221"/>
      <c r="CDI22" s="1221"/>
      <c r="CDJ22" s="1221"/>
      <c r="CDK22" s="1221"/>
      <c r="CDL22" s="1221"/>
      <c r="CDM22" s="1221"/>
      <c r="CDN22" s="1221"/>
      <c r="CDO22" s="1221"/>
      <c r="CDP22" s="1221"/>
      <c r="CDQ22" s="1221"/>
      <c r="CDR22" s="1221"/>
      <c r="CDS22" s="1221"/>
      <c r="CDT22" s="1221"/>
      <c r="CDU22" s="1221"/>
      <c r="CDV22" s="1221"/>
      <c r="CDW22" s="1221"/>
      <c r="CDX22" s="1221"/>
      <c r="CDY22" s="1221"/>
      <c r="CDZ22" s="1221"/>
      <c r="CEA22" s="1221"/>
      <c r="CEB22" s="1221"/>
      <c r="CEC22" s="1221"/>
      <c r="CED22" s="1221"/>
      <c r="CEE22" s="1221"/>
      <c r="CEF22" s="1221"/>
      <c r="CEG22" s="1221"/>
      <c r="CEH22" s="1221"/>
      <c r="CEI22" s="1221"/>
      <c r="CEJ22" s="1221"/>
      <c r="CEK22" s="1221"/>
      <c r="CEL22" s="1221"/>
      <c r="CEM22" s="1221"/>
      <c r="CEN22" s="1221"/>
      <c r="CEO22" s="1221"/>
      <c r="CEP22" s="1221"/>
      <c r="CEQ22" s="1221"/>
      <c r="CER22" s="1221"/>
      <c r="CES22" s="1221"/>
      <c r="CET22" s="1221"/>
      <c r="CEU22" s="1221"/>
      <c r="CEV22" s="1221"/>
      <c r="CEW22" s="1221"/>
      <c r="CEX22" s="1221"/>
      <c r="CEY22" s="1221"/>
      <c r="CEZ22" s="1221"/>
      <c r="CFA22" s="1221"/>
      <c r="CFB22" s="1221"/>
      <c r="CFC22" s="1221"/>
      <c r="CFD22" s="1221"/>
      <c r="CFE22" s="1221"/>
      <c r="CFF22" s="1221"/>
      <c r="CFG22" s="1221"/>
      <c r="CFH22" s="1221"/>
      <c r="CFI22" s="1221"/>
      <c r="CFJ22" s="1221"/>
      <c r="CFK22" s="1221"/>
      <c r="CFL22" s="1221"/>
      <c r="CFM22" s="1221"/>
      <c r="CFN22" s="1221"/>
      <c r="CFO22" s="1221"/>
      <c r="CFP22" s="1221"/>
      <c r="CFQ22" s="1221"/>
      <c r="CFR22" s="1221"/>
      <c r="CFS22" s="1221"/>
      <c r="CFT22" s="1221"/>
      <c r="CFU22" s="1221"/>
      <c r="CFV22" s="1221"/>
      <c r="CFW22" s="1221"/>
      <c r="CFX22" s="1221"/>
      <c r="CFY22" s="1221"/>
      <c r="CFZ22" s="1221"/>
      <c r="CGA22" s="1221"/>
      <c r="CGB22" s="1221"/>
      <c r="CGC22" s="1221"/>
      <c r="CGD22" s="1221"/>
      <c r="CGE22" s="1221"/>
      <c r="CGF22" s="1221"/>
      <c r="CGG22" s="1221"/>
      <c r="CGH22" s="1221"/>
      <c r="CGI22" s="1221"/>
      <c r="CGJ22" s="1221"/>
      <c r="CGK22" s="1221"/>
      <c r="CGL22" s="1221"/>
      <c r="CGM22" s="1221"/>
      <c r="CGN22" s="1221"/>
      <c r="CGO22" s="1221"/>
      <c r="CGP22" s="1221"/>
      <c r="CGQ22" s="1221"/>
      <c r="CGR22" s="1221"/>
      <c r="CGS22" s="1221"/>
      <c r="CGT22" s="1221"/>
      <c r="CGU22" s="1221"/>
      <c r="CGV22" s="1221"/>
      <c r="CGW22" s="1221"/>
      <c r="CGX22" s="1221"/>
      <c r="CGY22" s="1221"/>
      <c r="CGZ22" s="1221"/>
      <c r="CHA22" s="1221"/>
      <c r="CHB22" s="1221"/>
      <c r="CHC22" s="1221"/>
      <c r="CHD22" s="1221"/>
      <c r="CHE22" s="1221"/>
      <c r="CHF22" s="1221"/>
      <c r="CHG22" s="1221"/>
      <c r="CHH22" s="1221"/>
      <c r="CHI22" s="1221"/>
      <c r="CHJ22" s="1221"/>
      <c r="CHK22" s="1221"/>
      <c r="CHL22" s="1221"/>
      <c r="CHM22" s="1221"/>
      <c r="CHN22" s="1221"/>
      <c r="CHO22" s="1221"/>
      <c r="CHP22" s="1221"/>
      <c r="CHQ22" s="1221"/>
      <c r="CHR22" s="1221"/>
      <c r="CHS22" s="1221"/>
      <c r="CHT22" s="1221"/>
      <c r="CHU22" s="1221"/>
      <c r="CHV22" s="1221"/>
      <c r="CHW22" s="1221"/>
      <c r="CHX22" s="1221"/>
      <c r="CHY22" s="1221"/>
      <c r="CHZ22" s="1221"/>
      <c r="CIA22" s="1221"/>
      <c r="CIB22" s="1221"/>
      <c r="CIC22" s="1221"/>
      <c r="CID22" s="1221"/>
      <c r="CIE22" s="1221"/>
      <c r="CIF22" s="1221"/>
      <c r="CIG22" s="1221"/>
      <c r="CIH22" s="1221"/>
      <c r="CII22" s="1221"/>
      <c r="CIJ22" s="1221"/>
      <c r="CIK22" s="1221"/>
      <c r="CIL22" s="1221"/>
      <c r="CIM22" s="1221"/>
      <c r="CIN22" s="1221"/>
      <c r="CIO22" s="1221"/>
      <c r="CIP22" s="1221"/>
      <c r="CIQ22" s="1221"/>
      <c r="CIR22" s="1221"/>
      <c r="CIS22" s="1221"/>
      <c r="CIT22" s="1221"/>
      <c r="CIU22" s="1221"/>
      <c r="CIV22" s="1221"/>
      <c r="CIW22" s="1221"/>
      <c r="CIX22" s="1221"/>
      <c r="CIY22" s="1221"/>
      <c r="CIZ22" s="1221"/>
      <c r="CJA22" s="1221"/>
      <c r="CJB22" s="1221"/>
      <c r="CJC22" s="1221"/>
      <c r="CJD22" s="1221"/>
      <c r="CJE22" s="1221"/>
      <c r="CJF22" s="1221"/>
      <c r="CJG22" s="1221"/>
      <c r="CJH22" s="1221"/>
      <c r="CJI22" s="1221"/>
      <c r="CJJ22" s="1221"/>
      <c r="CJK22" s="1221"/>
      <c r="CJL22" s="1221"/>
      <c r="CJM22" s="1221"/>
      <c r="CJN22" s="1221"/>
      <c r="CJO22" s="1221"/>
      <c r="CJP22" s="1221"/>
      <c r="CJQ22" s="1221"/>
      <c r="CJR22" s="1221"/>
      <c r="CJS22" s="1221"/>
      <c r="CJT22" s="1221"/>
      <c r="CJU22" s="1221"/>
      <c r="CJV22" s="1221"/>
      <c r="CJW22" s="1221"/>
      <c r="CJX22" s="1221"/>
      <c r="CJY22" s="1221"/>
      <c r="CJZ22" s="1221"/>
      <c r="CKA22" s="1221"/>
      <c r="CKB22" s="1221"/>
      <c r="CKC22" s="1221"/>
      <c r="CKD22" s="1221"/>
      <c r="CKE22" s="1221"/>
      <c r="CKF22" s="1221"/>
      <c r="CKG22" s="1221"/>
      <c r="CKH22" s="1221"/>
      <c r="CKI22" s="1221"/>
      <c r="CKJ22" s="1221"/>
      <c r="CKK22" s="1221"/>
      <c r="CKL22" s="1221"/>
      <c r="CKM22" s="1221"/>
      <c r="CKN22" s="1221"/>
      <c r="CKO22" s="1221"/>
      <c r="CKP22" s="1221"/>
      <c r="CKQ22" s="1221"/>
      <c r="CKR22" s="1221"/>
      <c r="CKS22" s="1221"/>
      <c r="CKT22" s="1221"/>
      <c r="CKU22" s="1221"/>
      <c r="CKV22" s="1221"/>
      <c r="CKW22" s="1221"/>
      <c r="CKX22" s="1221"/>
      <c r="CKY22" s="1221"/>
      <c r="CKZ22" s="1221"/>
      <c r="CLA22" s="1221"/>
      <c r="CLB22" s="1221"/>
      <c r="CLC22" s="1221"/>
      <c r="CLD22" s="1221"/>
      <c r="CLE22" s="1221"/>
      <c r="CLF22" s="1221"/>
      <c r="CLG22" s="1221"/>
      <c r="CLH22" s="1221"/>
      <c r="CLI22" s="1221"/>
      <c r="CLJ22" s="1221"/>
      <c r="CLK22" s="1221"/>
      <c r="CLL22" s="1221"/>
      <c r="CLM22" s="1221"/>
      <c r="CLN22" s="1221"/>
      <c r="CLO22" s="1221"/>
      <c r="CLP22" s="1221"/>
      <c r="CLQ22" s="1221"/>
      <c r="CLR22" s="1221"/>
      <c r="CLS22" s="1221"/>
      <c r="CLT22" s="1221"/>
      <c r="CLU22" s="1221"/>
      <c r="CLV22" s="1221"/>
      <c r="CLW22" s="1221"/>
      <c r="CLX22" s="1221"/>
      <c r="CLY22" s="1221"/>
      <c r="CLZ22" s="1221"/>
      <c r="CMA22" s="1221"/>
      <c r="CMB22" s="1221"/>
      <c r="CMC22" s="1221"/>
      <c r="CMD22" s="1221"/>
      <c r="CME22" s="1221"/>
      <c r="CMF22" s="1221"/>
      <c r="CMG22" s="1221"/>
      <c r="CMH22" s="1221"/>
      <c r="CMI22" s="1221"/>
      <c r="CMJ22" s="1221"/>
      <c r="CMK22" s="1221"/>
      <c r="CML22" s="1221"/>
      <c r="CMM22" s="1221"/>
      <c r="CMN22" s="1221"/>
      <c r="CMO22" s="1221"/>
      <c r="CMP22" s="1221"/>
      <c r="CMQ22" s="1221"/>
      <c r="CMR22" s="1221"/>
      <c r="CMS22" s="1221"/>
      <c r="CMT22" s="1221"/>
      <c r="CMU22" s="1221"/>
      <c r="CMV22" s="1221"/>
      <c r="CMW22" s="1221"/>
      <c r="CMX22" s="1221"/>
      <c r="CMY22" s="1221"/>
      <c r="CMZ22" s="1221"/>
      <c r="CNA22" s="1221"/>
      <c r="CNB22" s="1221"/>
      <c r="CNC22" s="1221"/>
      <c r="CND22" s="1221"/>
      <c r="CNE22" s="1221"/>
      <c r="CNF22" s="1221"/>
      <c r="CNG22" s="1221"/>
      <c r="CNH22" s="1221"/>
      <c r="CNI22" s="1221"/>
      <c r="CNJ22" s="1221"/>
      <c r="CNK22" s="1221"/>
      <c r="CNL22" s="1221"/>
      <c r="CNM22" s="1221"/>
      <c r="CNN22" s="1221"/>
      <c r="CNO22" s="1221"/>
      <c r="CNP22" s="1221"/>
      <c r="CNQ22" s="1221"/>
      <c r="CNR22" s="1221"/>
      <c r="CNS22" s="1221"/>
      <c r="CNT22" s="1221"/>
      <c r="CNU22" s="1221"/>
      <c r="CNV22" s="1221"/>
      <c r="CNW22" s="1221"/>
      <c r="CNX22" s="1221"/>
      <c r="CNY22" s="1221"/>
      <c r="CNZ22" s="1221"/>
      <c r="COA22" s="1221"/>
      <c r="COB22" s="1221"/>
      <c r="COC22" s="1221"/>
      <c r="COD22" s="1221"/>
      <c r="COE22" s="1221"/>
      <c r="COF22" s="1221"/>
      <c r="COG22" s="1221"/>
      <c r="COH22" s="1221"/>
      <c r="COI22" s="1221"/>
      <c r="COJ22" s="1221"/>
      <c r="COK22" s="1221"/>
      <c r="COL22" s="1221"/>
      <c r="COM22" s="1221"/>
      <c r="CON22" s="1221"/>
      <c r="COO22" s="1221"/>
      <c r="COP22" s="1221"/>
      <c r="COQ22" s="1221"/>
      <c r="COR22" s="1221"/>
      <c r="COS22" s="1221"/>
      <c r="COT22" s="1221"/>
      <c r="COU22" s="1221"/>
      <c r="COV22" s="1221"/>
      <c r="COW22" s="1221"/>
      <c r="COX22" s="1221"/>
      <c r="COY22" s="1221"/>
      <c r="COZ22" s="1221"/>
      <c r="CPA22" s="1221"/>
      <c r="CPB22" s="1221"/>
      <c r="CPC22" s="1221"/>
      <c r="CPD22" s="1221"/>
      <c r="CPE22" s="1221"/>
      <c r="CPF22" s="1221"/>
      <c r="CPG22" s="1221"/>
      <c r="CPH22" s="1221"/>
      <c r="CPI22" s="1221"/>
      <c r="CPJ22" s="1221"/>
      <c r="CPK22" s="1221"/>
      <c r="CPL22" s="1221"/>
      <c r="CPM22" s="1221"/>
      <c r="CPN22" s="1221"/>
      <c r="CPO22" s="1221"/>
      <c r="CPP22" s="1221"/>
      <c r="CPQ22" s="1221"/>
      <c r="CPR22" s="1221"/>
      <c r="CPS22" s="1221"/>
      <c r="CPT22" s="1221"/>
      <c r="CPU22" s="1221"/>
      <c r="CPV22" s="1221"/>
      <c r="CPW22" s="1221"/>
      <c r="CPX22" s="1221"/>
      <c r="CPY22" s="1221"/>
      <c r="CPZ22" s="1221"/>
      <c r="CQA22" s="1221"/>
      <c r="CQB22" s="1221"/>
      <c r="CQC22" s="1221"/>
      <c r="CQD22" s="1221"/>
      <c r="CQE22" s="1221"/>
      <c r="CQF22" s="1221"/>
      <c r="CQG22" s="1221"/>
      <c r="CQH22" s="1221"/>
      <c r="CQI22" s="1221"/>
      <c r="CQJ22" s="1221"/>
      <c r="CQK22" s="1221"/>
      <c r="CQL22" s="1221"/>
      <c r="CQM22" s="1221"/>
      <c r="CQN22" s="1221"/>
      <c r="CQO22" s="1221"/>
      <c r="CQP22" s="1221"/>
      <c r="CQQ22" s="1221"/>
      <c r="CQR22" s="1221"/>
      <c r="CQS22" s="1221"/>
      <c r="CQT22" s="1221"/>
      <c r="CQU22" s="1221"/>
      <c r="CQV22" s="1221"/>
      <c r="CQW22" s="1221"/>
      <c r="CQX22" s="1221"/>
      <c r="CQY22" s="1221"/>
      <c r="CQZ22" s="1221"/>
      <c r="CRA22" s="1221"/>
      <c r="CRB22" s="1221"/>
      <c r="CRC22" s="1221"/>
      <c r="CRD22" s="1221"/>
      <c r="CRE22" s="1221"/>
      <c r="CRF22" s="1221"/>
      <c r="CRG22" s="1221"/>
      <c r="CRH22" s="1221"/>
      <c r="CRI22" s="1221"/>
      <c r="CRJ22" s="1221"/>
      <c r="CRK22" s="1221"/>
      <c r="CRL22" s="1221"/>
      <c r="CRM22" s="1221"/>
      <c r="CRN22" s="1221"/>
      <c r="CRO22" s="1221"/>
      <c r="CRP22" s="1221"/>
      <c r="CRQ22" s="1221"/>
      <c r="CRR22" s="1221"/>
      <c r="CRS22" s="1221"/>
      <c r="CRT22" s="1221"/>
      <c r="CRU22" s="1221"/>
      <c r="CRV22" s="1221"/>
      <c r="CRW22" s="1221"/>
      <c r="CRX22" s="1221"/>
      <c r="CRY22" s="1221"/>
      <c r="CRZ22" s="1221"/>
      <c r="CSA22" s="1221"/>
      <c r="CSB22" s="1221"/>
      <c r="CSC22" s="1221"/>
      <c r="CSD22" s="1221"/>
      <c r="CSE22" s="1221"/>
      <c r="CSF22" s="1221"/>
      <c r="CSG22" s="1221"/>
      <c r="CSH22" s="1221"/>
      <c r="CSI22" s="1221"/>
      <c r="CSJ22" s="1221"/>
      <c r="CSK22" s="1221"/>
      <c r="CSL22" s="1221"/>
      <c r="CSM22" s="1221"/>
      <c r="CSN22" s="1221"/>
      <c r="CSO22" s="1221"/>
      <c r="CSP22" s="1221"/>
      <c r="CSQ22" s="1221"/>
      <c r="CSR22" s="1221"/>
      <c r="CSS22" s="1221"/>
      <c r="CST22" s="1221"/>
      <c r="CSU22" s="1221"/>
      <c r="CSV22" s="1221"/>
      <c r="CSW22" s="1221"/>
      <c r="CSX22" s="1221"/>
      <c r="CSY22" s="1221"/>
      <c r="CSZ22" s="1221"/>
      <c r="CTA22" s="1221"/>
      <c r="CTB22" s="1221"/>
      <c r="CTC22" s="1221"/>
      <c r="CTD22" s="1221"/>
      <c r="CTE22" s="1221"/>
      <c r="CTF22" s="1221"/>
      <c r="CTG22" s="1221"/>
      <c r="CTH22" s="1221"/>
      <c r="CTI22" s="1221"/>
      <c r="CTJ22" s="1221"/>
      <c r="CTK22" s="1221"/>
      <c r="CTL22" s="1221"/>
      <c r="CTM22" s="1221"/>
      <c r="CTN22" s="1221"/>
      <c r="CTO22" s="1221"/>
      <c r="CTP22" s="1221"/>
      <c r="CTQ22" s="1221"/>
      <c r="CTR22" s="1221"/>
      <c r="CTS22" s="1221"/>
      <c r="CTT22" s="1221"/>
      <c r="CTU22" s="1221"/>
      <c r="CTV22" s="1221"/>
      <c r="CTW22" s="1221"/>
      <c r="CTX22" s="1221"/>
      <c r="CTY22" s="1221"/>
      <c r="CTZ22" s="1221"/>
      <c r="CUA22" s="1221"/>
      <c r="CUB22" s="1221"/>
      <c r="CUC22" s="1221"/>
      <c r="CUD22" s="1221"/>
      <c r="CUE22" s="1221"/>
      <c r="CUF22" s="1221"/>
      <c r="CUG22" s="1221"/>
      <c r="CUH22" s="1221"/>
      <c r="CUI22" s="1221"/>
      <c r="CUJ22" s="1221"/>
      <c r="CUK22" s="1221"/>
      <c r="CUL22" s="1221"/>
      <c r="CUM22" s="1221"/>
      <c r="CUN22" s="1221"/>
      <c r="CUO22" s="1221"/>
      <c r="CUP22" s="1221"/>
      <c r="CUQ22" s="1221"/>
      <c r="CUR22" s="1221"/>
      <c r="CUS22" s="1221"/>
      <c r="CUT22" s="1221"/>
      <c r="CUU22" s="1221"/>
      <c r="CUV22" s="1221"/>
      <c r="CUW22" s="1221"/>
      <c r="CUX22" s="1221"/>
      <c r="CUY22" s="1221"/>
      <c r="CUZ22" s="1221"/>
      <c r="CVA22" s="1221"/>
      <c r="CVB22" s="1221"/>
      <c r="CVC22" s="1221"/>
      <c r="CVD22" s="1221"/>
      <c r="CVE22" s="1221"/>
      <c r="CVF22" s="1221"/>
      <c r="CVG22" s="1221"/>
      <c r="CVH22" s="1221"/>
      <c r="CVI22" s="1221"/>
      <c r="CVJ22" s="1221"/>
      <c r="CVK22" s="1221"/>
      <c r="CVL22" s="1221"/>
      <c r="CVM22" s="1221"/>
      <c r="CVN22" s="1221"/>
      <c r="CVO22" s="1221"/>
      <c r="CVP22" s="1221"/>
      <c r="CVQ22" s="1221"/>
      <c r="CVR22" s="1221"/>
      <c r="CVS22" s="1221"/>
      <c r="CVT22" s="1221"/>
      <c r="CVU22" s="1221"/>
      <c r="CVV22" s="1221"/>
      <c r="CVW22" s="1221"/>
      <c r="CVX22" s="1221"/>
      <c r="CVY22" s="1221"/>
      <c r="CVZ22" s="1221"/>
      <c r="CWA22" s="1221"/>
      <c r="CWB22" s="1221"/>
      <c r="CWC22" s="1221"/>
      <c r="CWD22" s="1221"/>
      <c r="CWE22" s="1221"/>
      <c r="CWF22" s="1221"/>
      <c r="CWG22" s="1221"/>
      <c r="CWH22" s="1221"/>
      <c r="CWI22" s="1221"/>
      <c r="CWJ22" s="1221"/>
      <c r="CWK22" s="1221"/>
      <c r="CWL22" s="1221"/>
      <c r="CWM22" s="1221"/>
      <c r="CWN22" s="1221"/>
      <c r="CWO22" s="1221"/>
      <c r="CWP22" s="1221"/>
      <c r="CWQ22" s="1221"/>
      <c r="CWR22" s="1221"/>
      <c r="CWS22" s="1221"/>
      <c r="CWT22" s="1221"/>
      <c r="CWU22" s="1221"/>
      <c r="CWV22" s="1221"/>
      <c r="CWW22" s="1221"/>
      <c r="CWX22" s="1221"/>
      <c r="CWY22" s="1221"/>
      <c r="CWZ22" s="1221"/>
      <c r="CXA22" s="1221"/>
      <c r="CXB22" s="1221"/>
      <c r="CXC22" s="1221"/>
      <c r="CXD22" s="1221"/>
      <c r="CXE22" s="1221"/>
      <c r="CXF22" s="1221"/>
      <c r="CXG22" s="1221"/>
      <c r="CXH22" s="1221"/>
      <c r="CXI22" s="1221"/>
      <c r="CXJ22" s="1221"/>
      <c r="CXK22" s="1221"/>
      <c r="CXL22" s="1221"/>
      <c r="CXM22" s="1221"/>
      <c r="CXN22" s="1221"/>
      <c r="CXO22" s="1221"/>
      <c r="CXP22" s="1221"/>
      <c r="CXQ22" s="1221"/>
      <c r="CXR22" s="1221"/>
      <c r="CXS22" s="1221"/>
      <c r="CXT22" s="1221"/>
      <c r="CXU22" s="1221"/>
      <c r="CXV22" s="1221"/>
      <c r="CXW22" s="1221"/>
      <c r="CXX22" s="1221"/>
      <c r="CXY22" s="1221"/>
      <c r="CXZ22" s="1221"/>
      <c r="CYA22" s="1221"/>
      <c r="CYB22" s="1221"/>
      <c r="CYC22" s="1221"/>
      <c r="CYD22" s="1221"/>
      <c r="CYE22" s="1221"/>
      <c r="CYF22" s="1221"/>
      <c r="CYG22" s="1221"/>
      <c r="CYH22" s="1221"/>
      <c r="CYI22" s="1221"/>
      <c r="CYJ22" s="1221"/>
      <c r="CYK22" s="1221"/>
      <c r="CYL22" s="1221"/>
      <c r="CYM22" s="1221"/>
      <c r="CYN22" s="1221"/>
      <c r="CYO22" s="1221"/>
      <c r="CYP22" s="1221"/>
      <c r="CYQ22" s="1221"/>
      <c r="CYR22" s="1221"/>
      <c r="CYS22" s="1221"/>
      <c r="CYT22" s="1221"/>
      <c r="CYU22" s="1221"/>
      <c r="CYV22" s="1221"/>
      <c r="CYW22" s="1221"/>
      <c r="CYX22" s="1221"/>
      <c r="CYY22" s="1221"/>
      <c r="CYZ22" s="1221"/>
      <c r="CZA22" s="1221"/>
      <c r="CZB22" s="1221"/>
      <c r="CZC22" s="1221"/>
      <c r="CZD22" s="1221"/>
      <c r="CZE22" s="1221"/>
      <c r="CZF22" s="1221"/>
      <c r="CZG22" s="1221"/>
      <c r="CZH22" s="1221"/>
      <c r="CZI22" s="1221"/>
      <c r="CZJ22" s="1221"/>
      <c r="CZK22" s="1221"/>
      <c r="CZL22" s="1221"/>
      <c r="CZM22" s="1221"/>
      <c r="CZN22" s="1221"/>
      <c r="CZO22" s="1221"/>
      <c r="CZP22" s="1221"/>
      <c r="CZQ22" s="1221"/>
      <c r="CZR22" s="1221"/>
      <c r="CZS22" s="1221"/>
      <c r="CZT22" s="1221"/>
      <c r="CZU22" s="1221"/>
      <c r="CZV22" s="1221"/>
      <c r="CZW22" s="1221"/>
      <c r="CZX22" s="1221"/>
      <c r="CZY22" s="1221"/>
      <c r="CZZ22" s="1221"/>
      <c r="DAA22" s="1221"/>
      <c r="DAB22" s="1221"/>
      <c r="DAC22" s="1221"/>
      <c r="DAD22" s="1221"/>
      <c r="DAE22" s="1221"/>
      <c r="DAF22" s="1221"/>
      <c r="DAG22" s="1221"/>
      <c r="DAH22" s="1221"/>
      <c r="DAI22" s="1221"/>
      <c r="DAJ22" s="1221"/>
      <c r="DAK22" s="1221"/>
      <c r="DAL22" s="1221"/>
      <c r="DAM22" s="1221"/>
      <c r="DAN22" s="1221"/>
      <c r="DAO22" s="1221"/>
      <c r="DAP22" s="1221"/>
      <c r="DAQ22" s="1221"/>
      <c r="DAR22" s="1221"/>
      <c r="DAS22" s="1221"/>
      <c r="DAT22" s="1221"/>
      <c r="DAU22" s="1221"/>
      <c r="DAV22" s="1221"/>
      <c r="DAW22" s="1221"/>
      <c r="DAX22" s="1221"/>
      <c r="DAY22" s="1221"/>
      <c r="DAZ22" s="1221"/>
      <c r="DBA22" s="1221"/>
      <c r="DBB22" s="1221"/>
      <c r="DBC22" s="1221"/>
      <c r="DBD22" s="1221"/>
      <c r="DBE22" s="1221"/>
      <c r="DBF22" s="1221"/>
      <c r="DBG22" s="1221"/>
      <c r="DBH22" s="1221"/>
      <c r="DBI22" s="1221"/>
      <c r="DBJ22" s="1221"/>
      <c r="DBK22" s="1221"/>
      <c r="DBL22" s="1221"/>
      <c r="DBM22" s="1221"/>
      <c r="DBN22" s="1221"/>
      <c r="DBO22" s="1221"/>
      <c r="DBP22" s="1221"/>
      <c r="DBQ22" s="1221"/>
      <c r="DBR22" s="1221"/>
      <c r="DBS22" s="1221"/>
      <c r="DBT22" s="1221"/>
      <c r="DBU22" s="1221"/>
      <c r="DBV22" s="1221"/>
      <c r="DBW22" s="1221"/>
      <c r="DBX22" s="1221"/>
      <c r="DBY22" s="1221"/>
      <c r="DBZ22" s="1221"/>
      <c r="DCA22" s="1221"/>
      <c r="DCB22" s="1221"/>
      <c r="DCC22" s="1221"/>
      <c r="DCD22" s="1221"/>
      <c r="DCE22" s="1221"/>
      <c r="DCF22" s="1221"/>
      <c r="DCG22" s="1221"/>
      <c r="DCH22" s="1221"/>
      <c r="DCI22" s="1221"/>
      <c r="DCJ22" s="1221"/>
      <c r="DCK22" s="1221"/>
      <c r="DCL22" s="1221"/>
      <c r="DCM22" s="1221"/>
      <c r="DCN22" s="1221"/>
      <c r="DCO22" s="1221"/>
      <c r="DCP22" s="1221"/>
      <c r="DCQ22" s="1221"/>
      <c r="DCR22" s="1221"/>
      <c r="DCS22" s="1221"/>
      <c r="DCT22" s="1221"/>
      <c r="DCU22" s="1221"/>
      <c r="DCV22" s="1221"/>
      <c r="DCW22" s="1221"/>
      <c r="DCX22" s="1221"/>
      <c r="DCY22" s="1221"/>
      <c r="DCZ22" s="1221"/>
      <c r="DDA22" s="1221"/>
      <c r="DDB22" s="1221"/>
      <c r="DDC22" s="1221"/>
      <c r="DDD22" s="1221"/>
      <c r="DDE22" s="1221"/>
      <c r="DDF22" s="1221"/>
      <c r="DDG22" s="1221"/>
      <c r="DDH22" s="1221"/>
      <c r="DDI22" s="1221"/>
      <c r="DDJ22" s="1221"/>
      <c r="DDK22" s="1221"/>
      <c r="DDL22" s="1221"/>
      <c r="DDM22" s="1221"/>
      <c r="DDN22" s="1221"/>
      <c r="DDO22" s="1221"/>
      <c r="DDP22" s="1221"/>
      <c r="DDQ22" s="1221"/>
      <c r="DDR22" s="1221"/>
      <c r="DDS22" s="1221"/>
      <c r="DDT22" s="1221"/>
      <c r="DDU22" s="1221"/>
      <c r="DDV22" s="1221"/>
      <c r="DDW22" s="1221"/>
      <c r="DDX22" s="1221"/>
      <c r="DDY22" s="1221"/>
      <c r="DDZ22" s="1221"/>
      <c r="DEA22" s="1221"/>
      <c r="DEB22" s="1221"/>
      <c r="DEC22" s="1221"/>
      <c r="DED22" s="1221"/>
      <c r="DEE22" s="1221"/>
      <c r="DEF22" s="1221"/>
      <c r="DEG22" s="1221"/>
      <c r="DEH22" s="1221"/>
      <c r="DEI22" s="1221"/>
      <c r="DEJ22" s="1221"/>
      <c r="DEK22" s="1221"/>
      <c r="DEL22" s="1221"/>
      <c r="DEM22" s="1221"/>
      <c r="DEN22" s="1221"/>
      <c r="DEO22" s="1221"/>
      <c r="DEP22" s="1221"/>
      <c r="DEQ22" s="1221"/>
      <c r="DER22" s="1221"/>
      <c r="DES22" s="1221"/>
      <c r="DET22" s="1221"/>
      <c r="DEU22" s="1221"/>
      <c r="DEV22" s="1221"/>
      <c r="DEW22" s="1221"/>
      <c r="DEX22" s="1221"/>
      <c r="DEY22" s="1221"/>
      <c r="DEZ22" s="1221"/>
      <c r="DFA22" s="1221"/>
      <c r="DFB22" s="1221"/>
      <c r="DFC22" s="1221"/>
      <c r="DFD22" s="1221"/>
      <c r="DFE22" s="1221"/>
      <c r="DFF22" s="1221"/>
      <c r="DFG22" s="1221"/>
      <c r="DFH22" s="1221"/>
      <c r="DFI22" s="1221"/>
      <c r="DFJ22" s="1221"/>
      <c r="DFK22" s="1221"/>
      <c r="DFL22" s="1221"/>
      <c r="DFM22" s="1221"/>
      <c r="DFN22" s="1221"/>
      <c r="DFO22" s="1221"/>
      <c r="DFP22" s="1221"/>
      <c r="DFQ22" s="1221"/>
      <c r="DFR22" s="1221"/>
      <c r="DFS22" s="1221"/>
      <c r="DFT22" s="1221"/>
      <c r="DFU22" s="1221"/>
      <c r="DFV22" s="1221"/>
      <c r="DFW22" s="1221"/>
      <c r="DFX22" s="1221"/>
      <c r="DFY22" s="1221"/>
      <c r="DFZ22" s="1221"/>
      <c r="DGA22" s="1221"/>
      <c r="DGB22" s="1221"/>
      <c r="DGC22" s="1221"/>
      <c r="DGD22" s="1221"/>
      <c r="DGE22" s="1221"/>
      <c r="DGF22" s="1221"/>
      <c r="DGG22" s="1221"/>
      <c r="DGH22" s="1221"/>
      <c r="DGI22" s="1221"/>
      <c r="DGJ22" s="1221"/>
      <c r="DGK22" s="1221"/>
      <c r="DGL22" s="1221"/>
      <c r="DGM22" s="1221"/>
      <c r="DGN22" s="1221"/>
      <c r="DGO22" s="1221"/>
      <c r="DGP22" s="1221"/>
      <c r="DGQ22" s="1221"/>
      <c r="DGR22" s="1221"/>
      <c r="DGS22" s="1221"/>
      <c r="DGT22" s="1221"/>
      <c r="DGU22" s="1221"/>
      <c r="DGV22" s="1221"/>
      <c r="DGW22" s="1221"/>
      <c r="DGX22" s="1221"/>
      <c r="DGY22" s="1221"/>
      <c r="DGZ22" s="1221"/>
      <c r="DHA22" s="1221"/>
      <c r="DHB22" s="1221"/>
      <c r="DHC22" s="1221"/>
      <c r="DHD22" s="1221"/>
      <c r="DHE22" s="1221"/>
      <c r="DHF22" s="1221"/>
      <c r="DHG22" s="1221"/>
      <c r="DHH22" s="1221"/>
      <c r="DHI22" s="1221"/>
      <c r="DHJ22" s="1221"/>
      <c r="DHK22" s="1221"/>
      <c r="DHL22" s="1221"/>
      <c r="DHM22" s="1221"/>
      <c r="DHN22" s="1221"/>
      <c r="DHO22" s="1221"/>
      <c r="DHP22" s="1221"/>
      <c r="DHQ22" s="1221"/>
      <c r="DHR22" s="1221"/>
      <c r="DHS22" s="1221"/>
      <c r="DHT22" s="1221"/>
      <c r="DHU22" s="1221"/>
      <c r="DHV22" s="1221"/>
      <c r="DHW22" s="1221"/>
      <c r="DHX22" s="1221"/>
      <c r="DHY22" s="1221"/>
      <c r="DHZ22" s="1221"/>
      <c r="DIA22" s="1221"/>
      <c r="DIB22" s="1221"/>
      <c r="DIC22" s="1221"/>
      <c r="DID22" s="1221"/>
      <c r="DIE22" s="1221"/>
      <c r="DIF22" s="1221"/>
      <c r="DIG22" s="1221"/>
      <c r="DIH22" s="1221"/>
      <c r="DII22" s="1221"/>
      <c r="DIJ22" s="1221"/>
      <c r="DIK22" s="1221"/>
      <c r="DIL22" s="1221"/>
      <c r="DIM22" s="1221"/>
      <c r="DIN22" s="1221"/>
      <c r="DIO22" s="1221"/>
      <c r="DIP22" s="1221"/>
      <c r="DIQ22" s="1221"/>
      <c r="DIR22" s="1221"/>
      <c r="DIS22" s="1221"/>
      <c r="DIT22" s="1221"/>
      <c r="DIU22" s="1221"/>
      <c r="DIV22" s="1221"/>
      <c r="DIW22" s="1221"/>
      <c r="DIX22" s="1221"/>
      <c r="DIY22" s="1221"/>
      <c r="DIZ22" s="1221"/>
      <c r="DJA22" s="1221"/>
      <c r="DJB22" s="1221"/>
      <c r="DJC22" s="1221"/>
      <c r="DJD22" s="1221"/>
      <c r="DJE22" s="1221"/>
      <c r="DJF22" s="1221"/>
      <c r="DJG22" s="1221"/>
      <c r="DJH22" s="1221"/>
      <c r="DJI22" s="1221"/>
      <c r="DJJ22" s="1221"/>
      <c r="DJK22" s="1221"/>
      <c r="DJL22" s="1221"/>
      <c r="DJM22" s="1221"/>
      <c r="DJN22" s="1221"/>
      <c r="DJO22" s="1221"/>
      <c r="DJP22" s="1221"/>
      <c r="DJQ22" s="1221"/>
      <c r="DJR22" s="1221"/>
      <c r="DJS22" s="1221"/>
      <c r="DJT22" s="1221"/>
      <c r="DJU22" s="1221"/>
      <c r="DJV22" s="1221"/>
      <c r="DJW22" s="1221"/>
      <c r="DJX22" s="1221"/>
      <c r="DJY22" s="1221"/>
      <c r="DJZ22" s="1221"/>
      <c r="DKA22" s="1221"/>
      <c r="DKB22" s="1221"/>
      <c r="DKC22" s="1221"/>
      <c r="DKD22" s="1221"/>
      <c r="DKE22" s="1221"/>
      <c r="DKF22" s="1221"/>
      <c r="DKG22" s="1221"/>
      <c r="DKH22" s="1221"/>
      <c r="DKI22" s="1221"/>
      <c r="DKJ22" s="1221"/>
      <c r="DKK22" s="1221"/>
      <c r="DKL22" s="1221"/>
      <c r="DKM22" s="1221"/>
      <c r="DKN22" s="1221"/>
      <c r="DKO22" s="1221"/>
      <c r="DKP22" s="1221"/>
      <c r="DKQ22" s="1221"/>
      <c r="DKR22" s="1221"/>
      <c r="DKS22" s="1221"/>
      <c r="DKT22" s="1221"/>
      <c r="DKU22" s="1221"/>
      <c r="DKV22" s="1221"/>
      <c r="DKW22" s="1221"/>
      <c r="DKX22" s="1221"/>
      <c r="DKY22" s="1221"/>
      <c r="DKZ22" s="1221"/>
      <c r="DLA22" s="1221"/>
      <c r="DLB22" s="1221"/>
      <c r="DLC22" s="1221"/>
      <c r="DLD22" s="1221"/>
      <c r="DLE22" s="1221"/>
      <c r="DLF22" s="1221"/>
      <c r="DLG22" s="1221"/>
      <c r="DLH22" s="1221"/>
      <c r="DLI22" s="1221"/>
      <c r="DLJ22" s="1221"/>
      <c r="DLK22" s="1221"/>
      <c r="DLL22" s="1221"/>
      <c r="DLM22" s="1221"/>
      <c r="DLN22" s="1221"/>
      <c r="DLO22" s="1221"/>
      <c r="DLP22" s="1221"/>
      <c r="DLQ22" s="1221"/>
      <c r="DLR22" s="1221"/>
      <c r="DLS22" s="1221"/>
      <c r="DLT22" s="1221"/>
      <c r="DLU22" s="1221"/>
      <c r="DLV22" s="1221"/>
      <c r="DLW22" s="1221"/>
      <c r="DLX22" s="1221"/>
      <c r="DLY22" s="1221"/>
      <c r="DLZ22" s="1221"/>
      <c r="DMA22" s="1221"/>
      <c r="DMB22" s="1221"/>
      <c r="DMC22" s="1221"/>
      <c r="DMD22" s="1221"/>
      <c r="DME22" s="1221"/>
      <c r="DMF22" s="1221"/>
      <c r="DMG22" s="1221"/>
      <c r="DMH22" s="1221"/>
      <c r="DMI22" s="1221"/>
      <c r="DMJ22" s="1221"/>
      <c r="DMK22" s="1221"/>
      <c r="DML22" s="1221"/>
      <c r="DMM22" s="1221"/>
      <c r="DMN22" s="1221"/>
      <c r="DMO22" s="1221"/>
      <c r="DMP22" s="1221"/>
      <c r="DMQ22" s="1221"/>
      <c r="DMR22" s="1221"/>
      <c r="DMS22" s="1221"/>
      <c r="DMT22" s="1221"/>
      <c r="DMU22" s="1221"/>
      <c r="DMV22" s="1221"/>
      <c r="DMW22" s="1221"/>
      <c r="DMX22" s="1221"/>
      <c r="DMY22" s="1221"/>
      <c r="DMZ22" s="1221"/>
      <c r="DNA22" s="1221"/>
      <c r="DNB22" s="1221"/>
      <c r="DNC22" s="1221"/>
      <c r="DND22" s="1221"/>
      <c r="DNE22" s="1221"/>
      <c r="DNF22" s="1221"/>
      <c r="DNG22" s="1221"/>
      <c r="DNH22" s="1221"/>
      <c r="DNI22" s="1221"/>
      <c r="DNJ22" s="1221"/>
      <c r="DNK22" s="1221"/>
      <c r="DNL22" s="1221"/>
      <c r="DNM22" s="1221"/>
      <c r="DNN22" s="1221"/>
      <c r="DNO22" s="1221"/>
      <c r="DNP22" s="1221"/>
      <c r="DNQ22" s="1221"/>
      <c r="DNR22" s="1221"/>
      <c r="DNS22" s="1221"/>
      <c r="DNT22" s="1221"/>
      <c r="DNU22" s="1221"/>
      <c r="DNV22" s="1221"/>
      <c r="DNW22" s="1221"/>
      <c r="DNX22" s="1221"/>
      <c r="DNY22" s="1221"/>
      <c r="DNZ22" s="1221"/>
      <c r="DOA22" s="1221"/>
      <c r="DOB22" s="1221"/>
      <c r="DOC22" s="1221"/>
      <c r="DOD22" s="1221"/>
      <c r="DOE22" s="1221"/>
      <c r="DOF22" s="1221"/>
      <c r="DOG22" s="1221"/>
      <c r="DOH22" s="1221"/>
      <c r="DOI22" s="1221"/>
      <c r="DOJ22" s="1221"/>
      <c r="DOK22" s="1221"/>
      <c r="DOL22" s="1221"/>
      <c r="DOM22" s="1221"/>
      <c r="DON22" s="1221"/>
      <c r="DOO22" s="1221"/>
      <c r="DOP22" s="1221"/>
      <c r="DOQ22" s="1221"/>
      <c r="DOR22" s="1221"/>
      <c r="DOS22" s="1221"/>
      <c r="DOT22" s="1221"/>
      <c r="DOU22" s="1221"/>
      <c r="DOV22" s="1221"/>
      <c r="DOW22" s="1221"/>
      <c r="DOX22" s="1221"/>
      <c r="DOY22" s="1221"/>
      <c r="DOZ22" s="1221"/>
      <c r="DPA22" s="1221"/>
      <c r="DPB22" s="1221"/>
      <c r="DPC22" s="1221"/>
      <c r="DPD22" s="1221"/>
      <c r="DPE22" s="1221"/>
      <c r="DPF22" s="1221"/>
      <c r="DPG22" s="1221"/>
      <c r="DPH22" s="1221"/>
      <c r="DPI22" s="1221"/>
      <c r="DPJ22" s="1221"/>
      <c r="DPK22" s="1221"/>
      <c r="DPL22" s="1221"/>
      <c r="DPM22" s="1221"/>
      <c r="DPN22" s="1221"/>
      <c r="DPO22" s="1221"/>
      <c r="DPP22" s="1221"/>
      <c r="DPQ22" s="1221"/>
      <c r="DPR22" s="1221"/>
      <c r="DPS22" s="1221"/>
      <c r="DPT22" s="1221"/>
      <c r="DPU22" s="1221"/>
      <c r="DPV22" s="1221"/>
      <c r="DPW22" s="1221"/>
      <c r="DPX22" s="1221"/>
      <c r="DPY22" s="1221"/>
      <c r="DPZ22" s="1221"/>
      <c r="DQA22" s="1221"/>
      <c r="DQB22" s="1221"/>
      <c r="DQC22" s="1221"/>
      <c r="DQD22" s="1221"/>
      <c r="DQE22" s="1221"/>
      <c r="DQF22" s="1221"/>
      <c r="DQG22" s="1221"/>
      <c r="DQH22" s="1221"/>
      <c r="DQI22" s="1221"/>
      <c r="DQJ22" s="1221"/>
      <c r="DQK22" s="1221"/>
      <c r="DQL22" s="1221"/>
      <c r="DQM22" s="1221"/>
      <c r="DQN22" s="1221"/>
      <c r="DQO22" s="1221"/>
      <c r="DQP22" s="1221"/>
      <c r="DQQ22" s="1221"/>
      <c r="DQR22" s="1221"/>
      <c r="DQS22" s="1221"/>
      <c r="DQT22" s="1221"/>
      <c r="DQU22" s="1221"/>
      <c r="DQV22" s="1221"/>
      <c r="DQW22" s="1221"/>
      <c r="DQX22" s="1221"/>
      <c r="DQY22" s="1221"/>
      <c r="DQZ22" s="1221"/>
      <c r="DRA22" s="1221"/>
      <c r="DRB22" s="1221"/>
      <c r="DRC22" s="1221"/>
      <c r="DRD22" s="1221"/>
      <c r="DRE22" s="1221"/>
      <c r="DRF22" s="1221"/>
      <c r="DRG22" s="1221"/>
      <c r="DRH22" s="1221"/>
      <c r="DRI22" s="1221"/>
      <c r="DRJ22" s="1221"/>
      <c r="DRK22" s="1221"/>
      <c r="DRL22" s="1221"/>
      <c r="DRM22" s="1221"/>
      <c r="DRN22" s="1221"/>
      <c r="DRO22" s="1221"/>
      <c r="DRP22" s="1221"/>
      <c r="DRQ22" s="1221"/>
      <c r="DRR22" s="1221"/>
      <c r="DRS22" s="1221"/>
      <c r="DRT22" s="1221"/>
      <c r="DRU22" s="1221"/>
      <c r="DRV22" s="1221"/>
      <c r="DRW22" s="1221"/>
      <c r="DRX22" s="1221"/>
      <c r="DRY22" s="1221"/>
      <c r="DRZ22" s="1221"/>
      <c r="DSA22" s="1221"/>
      <c r="DSB22" s="1221"/>
      <c r="DSC22" s="1221"/>
      <c r="DSD22" s="1221"/>
      <c r="DSE22" s="1221"/>
      <c r="DSF22" s="1221"/>
      <c r="DSG22" s="1221"/>
      <c r="DSH22" s="1221"/>
      <c r="DSI22" s="1221"/>
      <c r="DSJ22" s="1221"/>
      <c r="DSK22" s="1221"/>
      <c r="DSL22" s="1221"/>
      <c r="DSM22" s="1221"/>
      <c r="DSN22" s="1221"/>
      <c r="DSO22" s="1221"/>
      <c r="DSP22" s="1221"/>
      <c r="DSQ22" s="1221"/>
      <c r="DSR22" s="1221"/>
      <c r="DSS22" s="1221"/>
      <c r="DST22" s="1221"/>
      <c r="DSU22" s="1221"/>
      <c r="DSV22" s="1221"/>
      <c r="DSW22" s="1221"/>
      <c r="DSX22" s="1221"/>
      <c r="DSY22" s="1221"/>
      <c r="DSZ22" s="1221"/>
      <c r="DTA22" s="1221"/>
      <c r="DTB22" s="1221"/>
      <c r="DTC22" s="1221"/>
      <c r="DTD22" s="1221"/>
      <c r="DTE22" s="1221"/>
      <c r="DTF22" s="1221"/>
      <c r="DTG22" s="1221"/>
      <c r="DTH22" s="1221"/>
      <c r="DTI22" s="1221"/>
      <c r="DTJ22" s="1221"/>
      <c r="DTK22" s="1221"/>
      <c r="DTL22" s="1221"/>
      <c r="DTM22" s="1221"/>
      <c r="DTN22" s="1221"/>
      <c r="DTO22" s="1221"/>
      <c r="DTP22" s="1221"/>
      <c r="DTQ22" s="1221"/>
      <c r="DTR22" s="1221"/>
      <c r="DTS22" s="1221"/>
      <c r="DTT22" s="1221"/>
      <c r="DTU22" s="1221"/>
      <c r="DTV22" s="1221"/>
      <c r="DTW22" s="1221"/>
      <c r="DTX22" s="1221"/>
      <c r="DTY22" s="1221"/>
      <c r="DTZ22" s="1221"/>
      <c r="DUA22" s="1221"/>
      <c r="DUB22" s="1221"/>
      <c r="DUC22" s="1221"/>
      <c r="DUD22" s="1221"/>
      <c r="DUE22" s="1221"/>
      <c r="DUF22" s="1221"/>
      <c r="DUG22" s="1221"/>
      <c r="DUH22" s="1221"/>
      <c r="DUI22" s="1221"/>
      <c r="DUJ22" s="1221"/>
      <c r="DUK22" s="1221"/>
      <c r="DUL22" s="1221"/>
      <c r="DUM22" s="1221"/>
      <c r="DUN22" s="1221"/>
      <c r="DUO22" s="1221"/>
      <c r="DUP22" s="1221"/>
      <c r="DUQ22" s="1221"/>
      <c r="DUR22" s="1221"/>
      <c r="DUS22" s="1221"/>
      <c r="DUT22" s="1221"/>
      <c r="DUU22" s="1221"/>
      <c r="DUV22" s="1221"/>
      <c r="DUW22" s="1221"/>
      <c r="DUX22" s="1221"/>
      <c r="DUY22" s="1221"/>
      <c r="DUZ22" s="1221"/>
      <c r="DVA22" s="1221"/>
      <c r="DVB22" s="1221"/>
      <c r="DVC22" s="1221"/>
      <c r="DVD22" s="1221"/>
      <c r="DVE22" s="1221"/>
      <c r="DVF22" s="1221"/>
      <c r="DVG22" s="1221"/>
      <c r="DVH22" s="1221"/>
      <c r="DVI22" s="1221"/>
      <c r="DVJ22" s="1221"/>
      <c r="DVK22" s="1221"/>
      <c r="DVL22" s="1221"/>
      <c r="DVM22" s="1221"/>
      <c r="DVN22" s="1221"/>
      <c r="DVO22" s="1221"/>
      <c r="DVP22" s="1221"/>
      <c r="DVQ22" s="1221"/>
      <c r="DVR22" s="1221"/>
      <c r="DVS22" s="1221"/>
      <c r="DVT22" s="1221"/>
      <c r="DVU22" s="1221"/>
      <c r="DVV22" s="1221"/>
      <c r="DVW22" s="1221"/>
      <c r="DVX22" s="1221"/>
      <c r="DVY22" s="1221"/>
      <c r="DVZ22" s="1221"/>
      <c r="DWA22" s="1221"/>
      <c r="DWB22" s="1221"/>
      <c r="DWC22" s="1221"/>
      <c r="DWD22" s="1221"/>
      <c r="DWE22" s="1221"/>
      <c r="DWF22" s="1221"/>
      <c r="DWG22" s="1221"/>
      <c r="DWH22" s="1221"/>
      <c r="DWI22" s="1221"/>
      <c r="DWJ22" s="1221"/>
      <c r="DWK22" s="1221"/>
      <c r="DWL22" s="1221"/>
      <c r="DWM22" s="1221"/>
      <c r="DWN22" s="1221"/>
      <c r="DWO22" s="1221"/>
      <c r="DWP22" s="1221"/>
      <c r="DWQ22" s="1221"/>
      <c r="DWR22" s="1221"/>
      <c r="DWS22" s="1221"/>
      <c r="DWT22" s="1221"/>
      <c r="DWU22" s="1221"/>
      <c r="DWV22" s="1221"/>
      <c r="DWW22" s="1221"/>
      <c r="DWX22" s="1221"/>
      <c r="DWY22" s="1221"/>
      <c r="DWZ22" s="1221"/>
      <c r="DXA22" s="1221"/>
      <c r="DXB22" s="1221"/>
      <c r="DXC22" s="1221"/>
      <c r="DXD22" s="1221"/>
      <c r="DXE22" s="1221"/>
      <c r="DXF22" s="1221"/>
      <c r="DXG22" s="1221"/>
      <c r="DXH22" s="1221"/>
      <c r="DXI22" s="1221"/>
      <c r="DXJ22" s="1221"/>
      <c r="DXK22" s="1221"/>
      <c r="DXL22" s="1221"/>
      <c r="DXM22" s="1221"/>
      <c r="DXN22" s="1221"/>
      <c r="DXO22" s="1221"/>
      <c r="DXP22" s="1221"/>
      <c r="DXQ22" s="1221"/>
      <c r="DXR22" s="1221"/>
      <c r="DXS22" s="1221"/>
      <c r="DXT22" s="1221"/>
      <c r="DXU22" s="1221"/>
      <c r="DXV22" s="1221"/>
      <c r="DXW22" s="1221"/>
      <c r="DXX22" s="1221"/>
      <c r="DXY22" s="1221"/>
      <c r="DXZ22" s="1221"/>
      <c r="DYA22" s="1221"/>
      <c r="DYB22" s="1221"/>
      <c r="DYC22" s="1221"/>
      <c r="DYD22" s="1221"/>
      <c r="DYE22" s="1221"/>
      <c r="DYF22" s="1221"/>
      <c r="DYG22" s="1221"/>
      <c r="DYH22" s="1221"/>
      <c r="DYI22" s="1221"/>
      <c r="DYJ22" s="1221"/>
      <c r="DYK22" s="1221"/>
      <c r="DYL22" s="1221"/>
      <c r="DYM22" s="1221"/>
      <c r="DYN22" s="1221"/>
      <c r="DYO22" s="1221"/>
      <c r="DYP22" s="1221"/>
      <c r="DYQ22" s="1221"/>
      <c r="DYR22" s="1221"/>
      <c r="DYS22" s="1221"/>
      <c r="DYT22" s="1221"/>
      <c r="DYU22" s="1221"/>
      <c r="DYV22" s="1221"/>
      <c r="DYW22" s="1221"/>
      <c r="DYX22" s="1221"/>
      <c r="DYY22" s="1221"/>
      <c r="DYZ22" s="1221"/>
      <c r="DZA22" s="1221"/>
      <c r="DZB22" s="1221"/>
      <c r="DZC22" s="1221"/>
      <c r="DZD22" s="1221"/>
      <c r="DZE22" s="1221"/>
      <c r="DZF22" s="1221"/>
      <c r="DZG22" s="1221"/>
      <c r="DZH22" s="1221"/>
      <c r="DZI22" s="1221"/>
      <c r="DZJ22" s="1221"/>
      <c r="DZK22" s="1221"/>
      <c r="DZL22" s="1221"/>
      <c r="DZM22" s="1221"/>
      <c r="DZN22" s="1221"/>
      <c r="DZO22" s="1221"/>
      <c r="DZP22" s="1221"/>
      <c r="DZQ22" s="1221"/>
      <c r="DZR22" s="1221"/>
      <c r="DZS22" s="1221"/>
      <c r="DZT22" s="1221"/>
      <c r="DZU22" s="1221"/>
      <c r="DZV22" s="1221"/>
      <c r="DZW22" s="1221"/>
      <c r="DZX22" s="1221"/>
      <c r="DZY22" s="1221"/>
      <c r="DZZ22" s="1221"/>
      <c r="EAA22" s="1221"/>
      <c r="EAB22" s="1221"/>
      <c r="EAC22" s="1221"/>
      <c r="EAD22" s="1221"/>
      <c r="EAE22" s="1221"/>
      <c r="EAF22" s="1221"/>
      <c r="EAG22" s="1221"/>
      <c r="EAH22" s="1221"/>
      <c r="EAI22" s="1221"/>
      <c r="EAJ22" s="1221"/>
      <c r="EAK22" s="1221"/>
      <c r="EAL22" s="1221"/>
      <c r="EAM22" s="1221"/>
      <c r="EAN22" s="1221"/>
      <c r="EAO22" s="1221"/>
      <c r="EAP22" s="1221"/>
      <c r="EAQ22" s="1221"/>
      <c r="EAR22" s="1221"/>
      <c r="EAS22" s="1221"/>
      <c r="EAT22" s="1221"/>
      <c r="EAU22" s="1221"/>
      <c r="EAV22" s="1221"/>
      <c r="EAW22" s="1221"/>
      <c r="EAX22" s="1221"/>
      <c r="EAY22" s="1221"/>
      <c r="EAZ22" s="1221"/>
      <c r="EBA22" s="1221"/>
      <c r="EBB22" s="1221"/>
      <c r="EBC22" s="1221"/>
      <c r="EBD22" s="1221"/>
      <c r="EBE22" s="1221"/>
      <c r="EBF22" s="1221"/>
      <c r="EBG22" s="1221"/>
      <c r="EBH22" s="1221"/>
      <c r="EBI22" s="1221"/>
      <c r="EBJ22" s="1221"/>
      <c r="EBK22" s="1221"/>
      <c r="EBL22" s="1221"/>
      <c r="EBM22" s="1221"/>
      <c r="EBN22" s="1221"/>
      <c r="EBO22" s="1221"/>
      <c r="EBP22" s="1221"/>
      <c r="EBQ22" s="1221"/>
      <c r="EBR22" s="1221"/>
      <c r="EBS22" s="1221"/>
      <c r="EBT22" s="1221"/>
      <c r="EBU22" s="1221"/>
      <c r="EBV22" s="1221"/>
      <c r="EBW22" s="1221"/>
      <c r="EBX22" s="1221"/>
      <c r="EBY22" s="1221"/>
      <c r="EBZ22" s="1221"/>
      <c r="ECA22" s="1221"/>
      <c r="ECB22" s="1221"/>
      <c r="ECC22" s="1221"/>
      <c r="ECD22" s="1221"/>
      <c r="ECE22" s="1221"/>
      <c r="ECF22" s="1221"/>
      <c r="ECG22" s="1221"/>
      <c r="ECH22" s="1221"/>
      <c r="ECI22" s="1221"/>
      <c r="ECJ22" s="1221"/>
      <c r="ECK22" s="1221"/>
      <c r="ECL22" s="1221"/>
      <c r="ECM22" s="1221"/>
      <c r="ECN22" s="1221"/>
      <c r="ECO22" s="1221"/>
    </row>
    <row r="23" spans="2:3473" s="1248" customFormat="1" ht="13" outlineLevel="1">
      <c r="B23" s="1249" t="s">
        <v>687</v>
      </c>
      <c r="C23" s="1250">
        <v>2</v>
      </c>
      <c r="D23" s="1251" t="s">
        <v>3146</v>
      </c>
      <c r="E23" s="1252">
        <f t="shared" si="4"/>
        <v>0</v>
      </c>
      <c r="F23" s="1252">
        <f t="shared" si="4"/>
        <v>0</v>
      </c>
      <c r="G23" s="1252">
        <f t="shared" si="4"/>
        <v>0</v>
      </c>
      <c r="H23" s="1252">
        <f t="shared" si="4"/>
        <v>0</v>
      </c>
      <c r="I23" s="1252">
        <f t="shared" si="4"/>
        <v>0</v>
      </c>
      <c r="J23" s="1252">
        <f t="shared" si="4"/>
        <v>0</v>
      </c>
      <c r="K23" s="1252">
        <f t="shared" si="4"/>
        <v>0</v>
      </c>
      <c r="L23" s="1252">
        <f t="shared" si="4"/>
        <v>0</v>
      </c>
      <c r="M23" s="1252">
        <f t="shared" si="4"/>
        <v>0</v>
      </c>
      <c r="N23" s="1252" t="str">
        <f t="shared" si="4"/>
        <v/>
      </c>
      <c r="O23" s="1252" t="str">
        <f t="shared" si="4"/>
        <v/>
      </c>
      <c r="P23" s="1252" t="str">
        <f t="shared" si="4"/>
        <v/>
      </c>
      <c r="Q23" s="1252">
        <f t="shared" si="4"/>
        <v>0</v>
      </c>
      <c r="R23" s="1252">
        <f t="shared" si="4"/>
        <v>0</v>
      </c>
      <c r="S23" s="1252">
        <f t="shared" si="8"/>
        <v>0</v>
      </c>
      <c r="T23" s="1252">
        <f t="shared" si="5"/>
        <v>0</v>
      </c>
      <c r="U23" s="1252">
        <f t="shared" si="5"/>
        <v>0</v>
      </c>
      <c r="V23" s="1252">
        <f t="shared" si="9"/>
        <v>0</v>
      </c>
      <c r="W23" s="1252" t="str">
        <f t="shared" si="10"/>
        <v/>
      </c>
      <c r="X23" s="1252" t="str">
        <f t="shared" si="10"/>
        <v/>
      </c>
      <c r="Y23" s="1252" t="str">
        <f t="shared" si="10"/>
        <v/>
      </c>
      <c r="Z23" s="1252">
        <f t="shared" si="11"/>
        <v>0</v>
      </c>
      <c r="AA23" s="1252">
        <f t="shared" si="11"/>
        <v>0</v>
      </c>
      <c r="AB23" s="1252">
        <f t="shared" si="11"/>
        <v>0</v>
      </c>
      <c r="AC23" s="1252">
        <f t="shared" si="15"/>
        <v>0</v>
      </c>
      <c r="AD23" s="1260">
        <f t="shared" si="15"/>
        <v>0</v>
      </c>
      <c r="AE23" s="1260">
        <f t="shared" si="15"/>
        <v>0</v>
      </c>
      <c r="AF23" s="1254">
        <f t="shared" si="40"/>
        <v>0</v>
      </c>
      <c r="AG23" s="1256">
        <f>VLOOKUP($D23,车位!$D$17:$U$199,14,0)*车位!$K$3</f>
        <v>0</v>
      </c>
      <c r="AH23" s="1256">
        <f>VLOOKUP($D23,车位!$D$17:$U$199,16,0)*车位!$K$3</f>
        <v>0</v>
      </c>
      <c r="AI23" s="1256">
        <f t="shared" si="41"/>
        <v>0</v>
      </c>
      <c r="AJ23" s="1256">
        <f>VLOOKUP($D23,高层!$D$11:$U$202,14,0)</f>
        <v>0</v>
      </c>
      <c r="AK23" s="1256">
        <f>VLOOKUP($D23,高层!$D$11:$U$202,16,0)</f>
        <v>0</v>
      </c>
      <c r="AL23" s="1256">
        <f t="shared" si="20"/>
        <v>0</v>
      </c>
      <c r="AM23" s="1256">
        <f>VLOOKUP($D23,人防车位!D:U,14,0)</f>
        <v>0</v>
      </c>
      <c r="AN23" s="1256">
        <f>VLOOKUP($D23,人防车位!D:U,16,0)</f>
        <v>0</v>
      </c>
      <c r="AO23" s="1256">
        <f t="shared" si="21"/>
        <v>0</v>
      </c>
      <c r="AP23" s="1256">
        <f>VLOOKUP($D23,人才公寓销售!$D$11:$U$202,14,0)</f>
        <v>0</v>
      </c>
      <c r="AQ23" s="1256">
        <f>VLOOKUP($D23,人才公寓销售!$D$11:$U$202,16,0)</f>
        <v>0</v>
      </c>
      <c r="AR23" s="1256">
        <f>AS23+AT23</f>
        <v>0</v>
      </c>
      <c r="AS23" s="1256">
        <f>VLOOKUP($D23,小高层!$D$11:$U$202,14,0)</f>
        <v>0</v>
      </c>
      <c r="AT23" s="1256">
        <f>VLOOKUP($D23,小高层!$D$11:$U$202,16,0)</f>
        <v>0</v>
      </c>
      <c r="AU23" s="1256">
        <f>AV23+AW23</f>
        <v>0</v>
      </c>
      <c r="AV23" s="1256">
        <f>VLOOKUP($D23,临街商业!$D$11:$U$202,14,0)</f>
        <v>0</v>
      </c>
      <c r="AW23" s="1256">
        <f>VLOOKUP($D23,临街商业!$D$11:$U$202,16,0)</f>
        <v>0</v>
      </c>
      <c r="AX23" s="1256"/>
      <c r="AY23" s="1256"/>
      <c r="AZ23" s="1256"/>
      <c r="BA23" s="1257">
        <f>BB23+BC23</f>
        <v>0</v>
      </c>
      <c r="BB23" s="1257">
        <f t="shared" ref="BB23:BC25" si="44">AG23+AJ23+AM23+AP23+AS23+AV23</f>
        <v>0</v>
      </c>
      <c r="BC23" s="1257">
        <f t="shared" si="44"/>
        <v>0</v>
      </c>
      <c r="BD23" s="1256">
        <f t="shared" si="42"/>
        <v>0</v>
      </c>
      <c r="BE23" s="1256">
        <v>0</v>
      </c>
      <c r="BF23" s="1256">
        <v>0</v>
      </c>
      <c r="BG23" s="1256">
        <f t="shared" ref="BG23:BG25" si="45">+BH23+BI23</f>
        <v>0</v>
      </c>
      <c r="BH23" s="1257">
        <f t="shared" ref="BH23:BI25" si="46">+BE23</f>
        <v>0</v>
      </c>
      <c r="BI23" s="1257">
        <f t="shared" si="46"/>
        <v>0</v>
      </c>
      <c r="BJ23" s="1256">
        <f t="shared" si="43"/>
        <v>0</v>
      </c>
      <c r="BK23" s="1257">
        <f t="shared" si="43"/>
        <v>0</v>
      </c>
      <c r="BL23" s="1257">
        <f t="shared" si="43"/>
        <v>0</v>
      </c>
      <c r="BM23" s="1262" t="s">
        <v>489</v>
      </c>
      <c r="BN23" s="1225">
        <f t="shared" si="12"/>
        <v>0</v>
      </c>
      <c r="BO23" s="1225">
        <f t="shared" si="13"/>
        <v>0</v>
      </c>
      <c r="BP23" s="1225">
        <f t="shared" si="14"/>
        <v>0</v>
      </c>
      <c r="BQ23" s="1225"/>
      <c r="BR23" s="1221"/>
      <c r="BS23" s="1221"/>
      <c r="BT23" s="1221"/>
      <c r="BU23" s="1221"/>
      <c r="BV23" s="1221"/>
      <c r="BW23" s="1221"/>
      <c r="BX23" s="1221"/>
      <c r="BY23" s="1221"/>
      <c r="BZ23" s="1221"/>
      <c r="CA23" s="1221"/>
      <c r="CB23" s="1221"/>
      <c r="CC23" s="1221"/>
      <c r="CD23" s="1221"/>
      <c r="CE23" s="1221"/>
      <c r="CF23" s="1221"/>
      <c r="CG23" s="1221"/>
      <c r="CH23" s="1221"/>
      <c r="CI23" s="1221"/>
      <c r="CJ23" s="1221"/>
      <c r="CK23" s="1221"/>
      <c r="CL23" s="1221"/>
      <c r="CM23" s="1221"/>
      <c r="CN23" s="1221"/>
      <c r="CO23" s="1221"/>
      <c r="CP23" s="1221"/>
      <c r="CQ23" s="1221"/>
      <c r="CR23" s="1221"/>
      <c r="CS23" s="1221"/>
      <c r="CT23" s="1221"/>
      <c r="CU23" s="1221"/>
      <c r="CV23" s="1221"/>
      <c r="CW23" s="1221"/>
      <c r="CX23" s="1221"/>
      <c r="CY23" s="1221"/>
      <c r="CZ23" s="1221"/>
      <c r="DA23" s="1221"/>
      <c r="DB23" s="1221"/>
      <c r="DC23" s="1221"/>
      <c r="DD23" s="1221"/>
      <c r="DE23" s="1221"/>
      <c r="DF23" s="1221"/>
      <c r="DG23" s="1221"/>
      <c r="DH23" s="1221"/>
      <c r="DI23" s="1221"/>
      <c r="DJ23" s="1221"/>
      <c r="DK23" s="1221"/>
      <c r="DL23" s="1221"/>
      <c r="DM23" s="1221"/>
      <c r="DN23" s="1221"/>
      <c r="DO23" s="1221"/>
      <c r="DP23" s="1221"/>
      <c r="DQ23" s="1221"/>
      <c r="DR23" s="1221"/>
      <c r="DS23" s="1221"/>
      <c r="DT23" s="1221"/>
      <c r="DU23" s="1221"/>
      <c r="DV23" s="1221"/>
      <c r="DW23" s="1221"/>
      <c r="DX23" s="1221"/>
      <c r="DY23" s="1221"/>
      <c r="DZ23" s="1221"/>
      <c r="EA23" s="1221"/>
      <c r="EB23" s="1221"/>
      <c r="EC23" s="1221"/>
      <c r="ED23" s="1221"/>
      <c r="EE23" s="1221"/>
      <c r="EF23" s="1221"/>
      <c r="EG23" s="1221"/>
      <c r="EH23" s="1221"/>
      <c r="EI23" s="1221"/>
      <c r="EJ23" s="1221"/>
      <c r="EK23" s="1221"/>
      <c r="EL23" s="1221"/>
      <c r="EM23" s="1221"/>
      <c r="EN23" s="1221"/>
      <c r="EO23" s="1221"/>
      <c r="EP23" s="1221"/>
      <c r="EQ23" s="1221"/>
      <c r="ER23" s="1221"/>
      <c r="ES23" s="1221"/>
      <c r="ET23" s="1221"/>
      <c r="EU23" s="1221"/>
      <c r="EV23" s="1221"/>
      <c r="EW23" s="1221"/>
      <c r="EX23" s="1221"/>
      <c r="EY23" s="1221"/>
      <c r="EZ23" s="1221"/>
      <c r="FA23" s="1221"/>
      <c r="FB23" s="1221"/>
      <c r="FC23" s="1221"/>
      <c r="FD23" s="1221"/>
      <c r="FE23" s="1221"/>
      <c r="FF23" s="1221"/>
      <c r="FG23" s="1221"/>
      <c r="FH23" s="1221"/>
      <c r="FI23" s="1221"/>
      <c r="FJ23" s="1221"/>
      <c r="FK23" s="1221"/>
      <c r="FL23" s="1221"/>
      <c r="FM23" s="1221"/>
      <c r="FN23" s="1221"/>
      <c r="FO23" s="1221"/>
      <c r="FP23" s="1221"/>
      <c r="FQ23" s="1221"/>
      <c r="FR23" s="1221"/>
      <c r="FS23" s="1221"/>
      <c r="FT23" s="1221"/>
      <c r="FU23" s="1221"/>
      <c r="FV23" s="1221"/>
      <c r="FW23" s="1221"/>
      <c r="FX23" s="1221"/>
      <c r="FY23" s="1221"/>
      <c r="FZ23" s="1221"/>
      <c r="GA23" s="1221"/>
      <c r="GB23" s="1221"/>
      <c r="GC23" s="1221"/>
      <c r="GD23" s="1221"/>
      <c r="GE23" s="1221"/>
      <c r="GF23" s="1221"/>
      <c r="GG23" s="1221"/>
      <c r="GH23" s="1221"/>
      <c r="GI23" s="1221"/>
      <c r="GJ23" s="1221"/>
      <c r="GK23" s="1221"/>
      <c r="GL23" s="1221"/>
      <c r="GM23" s="1221"/>
      <c r="GN23" s="1221"/>
      <c r="GO23" s="1221"/>
      <c r="GP23" s="1221"/>
      <c r="GQ23" s="1221"/>
      <c r="GR23" s="1221"/>
      <c r="GS23" s="1221"/>
      <c r="GT23" s="1221"/>
      <c r="GU23" s="1221"/>
      <c r="GV23" s="1221"/>
      <c r="GW23" s="1221"/>
      <c r="GX23" s="1221"/>
      <c r="GY23" s="1221"/>
      <c r="GZ23" s="1221"/>
      <c r="HA23" s="1221"/>
      <c r="HB23" s="1221"/>
      <c r="HC23" s="1221"/>
      <c r="HD23" s="1221"/>
      <c r="HE23" s="1221"/>
      <c r="HF23" s="1221"/>
      <c r="HG23" s="1221"/>
      <c r="HH23" s="1221"/>
      <c r="HI23" s="1221"/>
      <c r="HJ23" s="1221"/>
      <c r="HK23" s="1221"/>
      <c r="HL23" s="1221"/>
      <c r="HM23" s="1221"/>
      <c r="HN23" s="1221"/>
      <c r="HO23" s="1221"/>
      <c r="HP23" s="1221"/>
      <c r="HQ23" s="1221"/>
      <c r="HR23" s="1221"/>
      <c r="HS23" s="1221"/>
      <c r="HT23" s="1221"/>
      <c r="HU23" s="1221"/>
      <c r="HV23" s="1221"/>
      <c r="HW23" s="1221"/>
      <c r="HX23" s="1221"/>
      <c r="HY23" s="1221"/>
      <c r="HZ23" s="1221"/>
      <c r="IA23" s="1221"/>
      <c r="IB23" s="1221"/>
      <c r="IC23" s="1221"/>
      <c r="ID23" s="1221"/>
      <c r="IE23" s="1221"/>
      <c r="IF23" s="1221"/>
      <c r="IG23" s="1221"/>
      <c r="IH23" s="1221"/>
      <c r="II23" s="1221"/>
      <c r="IJ23" s="1221"/>
      <c r="IK23" s="1221"/>
      <c r="IL23" s="1221"/>
      <c r="IM23" s="1221"/>
      <c r="IN23" s="1221"/>
      <c r="IO23" s="1221"/>
      <c r="IP23" s="1221"/>
      <c r="IQ23" s="1221"/>
      <c r="IR23" s="1221"/>
      <c r="IS23" s="1221"/>
      <c r="IT23" s="1221"/>
      <c r="IU23" s="1221"/>
      <c r="IV23" s="1221"/>
      <c r="IW23" s="1221"/>
      <c r="IX23" s="1221"/>
      <c r="IY23" s="1221"/>
      <c r="IZ23" s="1221"/>
      <c r="JA23" s="1221"/>
      <c r="JB23" s="1221"/>
      <c r="JC23" s="1221"/>
      <c r="JD23" s="1221"/>
      <c r="JE23" s="1221"/>
      <c r="JF23" s="1221"/>
      <c r="JG23" s="1221"/>
      <c r="JH23" s="1221"/>
      <c r="JI23" s="1221"/>
      <c r="JJ23" s="1221"/>
      <c r="JK23" s="1221"/>
      <c r="JL23" s="1221"/>
      <c r="JM23" s="1221"/>
      <c r="JN23" s="1221"/>
      <c r="JO23" s="1221"/>
      <c r="JP23" s="1221"/>
      <c r="JQ23" s="1221"/>
      <c r="JR23" s="1221"/>
      <c r="JS23" s="1221"/>
      <c r="JT23" s="1221"/>
      <c r="JU23" s="1221"/>
      <c r="JV23" s="1221"/>
      <c r="JW23" s="1221"/>
      <c r="JX23" s="1221"/>
      <c r="JY23" s="1221"/>
      <c r="JZ23" s="1221"/>
      <c r="KA23" s="1221"/>
      <c r="KB23" s="1221"/>
      <c r="KC23" s="1221"/>
      <c r="KD23" s="1221"/>
      <c r="KE23" s="1221"/>
      <c r="KF23" s="1221"/>
      <c r="KG23" s="1221"/>
      <c r="KH23" s="1221"/>
      <c r="KI23" s="1221"/>
      <c r="KJ23" s="1221"/>
      <c r="KK23" s="1221"/>
      <c r="KL23" s="1221"/>
      <c r="KM23" s="1221"/>
      <c r="KN23" s="1221"/>
      <c r="KO23" s="1221"/>
      <c r="KP23" s="1221"/>
      <c r="KQ23" s="1221"/>
      <c r="KR23" s="1221"/>
      <c r="KS23" s="1221"/>
      <c r="KT23" s="1221"/>
      <c r="KU23" s="1221"/>
      <c r="KV23" s="1221"/>
      <c r="KW23" s="1221"/>
      <c r="KX23" s="1221"/>
      <c r="KY23" s="1221"/>
      <c r="KZ23" s="1221"/>
      <c r="LA23" s="1221"/>
      <c r="LB23" s="1221"/>
      <c r="LC23" s="1221"/>
      <c r="LD23" s="1221"/>
      <c r="LE23" s="1221"/>
      <c r="LF23" s="1221"/>
      <c r="LG23" s="1221"/>
      <c r="LH23" s="1221"/>
      <c r="LI23" s="1221"/>
      <c r="LJ23" s="1221"/>
      <c r="LK23" s="1221"/>
      <c r="LL23" s="1221"/>
      <c r="LM23" s="1221"/>
      <c r="LN23" s="1221"/>
      <c r="LO23" s="1221"/>
      <c r="LP23" s="1221"/>
      <c r="LQ23" s="1221"/>
      <c r="LR23" s="1221"/>
      <c r="LS23" s="1221"/>
      <c r="LT23" s="1221"/>
      <c r="LU23" s="1221"/>
      <c r="LV23" s="1221"/>
      <c r="LW23" s="1221"/>
      <c r="LX23" s="1221"/>
      <c r="LY23" s="1221"/>
      <c r="LZ23" s="1221"/>
      <c r="MA23" s="1221"/>
      <c r="MB23" s="1221"/>
      <c r="MC23" s="1221"/>
      <c r="MD23" s="1221"/>
      <c r="ME23" s="1221"/>
      <c r="MF23" s="1221"/>
      <c r="MG23" s="1221"/>
      <c r="MH23" s="1221"/>
      <c r="MI23" s="1221"/>
      <c r="MJ23" s="1221"/>
      <c r="MK23" s="1221"/>
      <c r="ML23" s="1221"/>
      <c r="MM23" s="1221"/>
      <c r="MN23" s="1221"/>
      <c r="MO23" s="1221"/>
      <c r="MP23" s="1221"/>
      <c r="MQ23" s="1221"/>
      <c r="MR23" s="1221"/>
      <c r="MS23" s="1221"/>
      <c r="MT23" s="1221"/>
      <c r="MU23" s="1221"/>
      <c r="MV23" s="1221"/>
      <c r="MW23" s="1221"/>
      <c r="MX23" s="1221"/>
      <c r="MY23" s="1221"/>
      <c r="MZ23" s="1221"/>
      <c r="NA23" s="1221"/>
      <c r="NB23" s="1221"/>
      <c r="NC23" s="1221"/>
      <c r="ND23" s="1221"/>
      <c r="NE23" s="1221"/>
      <c r="NF23" s="1221"/>
      <c r="NG23" s="1221"/>
      <c r="NH23" s="1221"/>
      <c r="NI23" s="1221"/>
      <c r="NJ23" s="1221"/>
      <c r="NK23" s="1221"/>
      <c r="NL23" s="1221"/>
      <c r="NM23" s="1221"/>
      <c r="NN23" s="1221"/>
      <c r="NO23" s="1221"/>
      <c r="NP23" s="1221"/>
      <c r="NQ23" s="1221"/>
      <c r="NR23" s="1221"/>
      <c r="NS23" s="1221"/>
      <c r="NT23" s="1221"/>
      <c r="NU23" s="1221"/>
      <c r="NV23" s="1221"/>
      <c r="NW23" s="1221"/>
      <c r="NX23" s="1221"/>
      <c r="NY23" s="1221"/>
      <c r="NZ23" s="1221"/>
      <c r="OA23" s="1221"/>
      <c r="OB23" s="1221"/>
      <c r="OC23" s="1221"/>
      <c r="OD23" s="1221"/>
      <c r="OE23" s="1221"/>
      <c r="OF23" s="1221"/>
      <c r="OG23" s="1221"/>
      <c r="OH23" s="1221"/>
      <c r="OI23" s="1221"/>
      <c r="OJ23" s="1221"/>
      <c r="OK23" s="1221"/>
      <c r="OL23" s="1221"/>
      <c r="OM23" s="1221"/>
      <c r="ON23" s="1221"/>
      <c r="OO23" s="1221"/>
      <c r="OP23" s="1221"/>
      <c r="OQ23" s="1221"/>
      <c r="OR23" s="1221"/>
      <c r="OS23" s="1221"/>
      <c r="OT23" s="1221"/>
      <c r="OU23" s="1221"/>
      <c r="OV23" s="1221"/>
      <c r="OW23" s="1221"/>
      <c r="OX23" s="1221"/>
      <c r="OY23" s="1221"/>
      <c r="OZ23" s="1221"/>
      <c r="PA23" s="1221"/>
      <c r="PB23" s="1221"/>
      <c r="PC23" s="1221"/>
      <c r="PD23" s="1221"/>
      <c r="PE23" s="1221"/>
      <c r="PF23" s="1221"/>
      <c r="PG23" s="1221"/>
      <c r="PH23" s="1221"/>
      <c r="PI23" s="1221"/>
      <c r="PJ23" s="1221"/>
      <c r="PK23" s="1221"/>
      <c r="PL23" s="1221"/>
      <c r="PM23" s="1221"/>
      <c r="PN23" s="1221"/>
      <c r="PO23" s="1221"/>
      <c r="PP23" s="1221"/>
      <c r="PQ23" s="1221"/>
      <c r="PR23" s="1221"/>
      <c r="PS23" s="1221"/>
      <c r="PT23" s="1221"/>
      <c r="PU23" s="1221"/>
      <c r="PV23" s="1221"/>
      <c r="PW23" s="1221"/>
      <c r="PX23" s="1221"/>
      <c r="PY23" s="1221"/>
      <c r="PZ23" s="1221"/>
      <c r="QA23" s="1221"/>
      <c r="QB23" s="1221"/>
      <c r="QC23" s="1221"/>
      <c r="QD23" s="1221"/>
      <c r="QE23" s="1221"/>
      <c r="QF23" s="1221"/>
      <c r="QG23" s="1221"/>
      <c r="QH23" s="1221"/>
      <c r="QI23" s="1221"/>
      <c r="QJ23" s="1221"/>
      <c r="QK23" s="1221"/>
      <c r="QL23" s="1221"/>
      <c r="QM23" s="1221"/>
      <c r="QN23" s="1221"/>
      <c r="QO23" s="1221"/>
      <c r="QP23" s="1221"/>
      <c r="QQ23" s="1221"/>
      <c r="QR23" s="1221"/>
      <c r="QS23" s="1221"/>
      <c r="QT23" s="1221"/>
      <c r="QU23" s="1221"/>
      <c r="QV23" s="1221"/>
      <c r="QW23" s="1221"/>
      <c r="QX23" s="1221"/>
      <c r="QY23" s="1221"/>
      <c r="QZ23" s="1221"/>
      <c r="RA23" s="1221"/>
      <c r="RB23" s="1221"/>
      <c r="RC23" s="1221"/>
      <c r="RD23" s="1221"/>
      <c r="RE23" s="1221"/>
      <c r="RF23" s="1221"/>
      <c r="RG23" s="1221"/>
      <c r="RH23" s="1221"/>
      <c r="RI23" s="1221"/>
      <c r="RJ23" s="1221"/>
      <c r="RK23" s="1221"/>
      <c r="RL23" s="1221"/>
      <c r="RM23" s="1221"/>
      <c r="RN23" s="1221"/>
      <c r="RO23" s="1221"/>
      <c r="RP23" s="1221"/>
      <c r="RQ23" s="1221"/>
      <c r="RR23" s="1221"/>
      <c r="RS23" s="1221"/>
      <c r="RT23" s="1221"/>
      <c r="RU23" s="1221"/>
      <c r="RV23" s="1221"/>
      <c r="RW23" s="1221"/>
      <c r="RX23" s="1221"/>
      <c r="RY23" s="1221"/>
      <c r="RZ23" s="1221"/>
      <c r="SA23" s="1221"/>
      <c r="SB23" s="1221"/>
      <c r="SC23" s="1221"/>
      <c r="SD23" s="1221"/>
      <c r="SE23" s="1221"/>
      <c r="SF23" s="1221"/>
      <c r="SG23" s="1221"/>
      <c r="SH23" s="1221"/>
      <c r="SI23" s="1221"/>
      <c r="SJ23" s="1221"/>
      <c r="SK23" s="1221"/>
      <c r="SL23" s="1221"/>
      <c r="SM23" s="1221"/>
      <c r="SN23" s="1221"/>
      <c r="SO23" s="1221"/>
      <c r="SP23" s="1221"/>
      <c r="SQ23" s="1221"/>
      <c r="SR23" s="1221"/>
      <c r="SS23" s="1221"/>
      <c r="ST23" s="1221"/>
      <c r="SU23" s="1221"/>
      <c r="SV23" s="1221"/>
      <c r="SW23" s="1221"/>
      <c r="SX23" s="1221"/>
      <c r="SY23" s="1221"/>
      <c r="SZ23" s="1221"/>
      <c r="TA23" s="1221"/>
      <c r="TB23" s="1221"/>
      <c r="TC23" s="1221"/>
      <c r="TD23" s="1221"/>
      <c r="TE23" s="1221"/>
      <c r="TF23" s="1221"/>
      <c r="TG23" s="1221"/>
      <c r="TH23" s="1221"/>
      <c r="TI23" s="1221"/>
      <c r="TJ23" s="1221"/>
      <c r="TK23" s="1221"/>
      <c r="TL23" s="1221"/>
      <c r="TM23" s="1221"/>
      <c r="TN23" s="1221"/>
      <c r="TO23" s="1221"/>
      <c r="TP23" s="1221"/>
      <c r="TQ23" s="1221"/>
      <c r="TR23" s="1221"/>
      <c r="TS23" s="1221"/>
      <c r="TT23" s="1221"/>
      <c r="TU23" s="1221"/>
      <c r="TV23" s="1221"/>
      <c r="TW23" s="1221"/>
      <c r="TX23" s="1221"/>
      <c r="TY23" s="1221"/>
      <c r="TZ23" s="1221"/>
      <c r="UA23" s="1221"/>
      <c r="UB23" s="1221"/>
      <c r="UC23" s="1221"/>
      <c r="UD23" s="1221"/>
      <c r="UE23" s="1221"/>
      <c r="UF23" s="1221"/>
      <c r="UG23" s="1221"/>
      <c r="UH23" s="1221"/>
      <c r="UI23" s="1221"/>
      <c r="UJ23" s="1221"/>
      <c r="UK23" s="1221"/>
      <c r="UL23" s="1221"/>
      <c r="UM23" s="1221"/>
      <c r="UN23" s="1221"/>
      <c r="UO23" s="1221"/>
      <c r="UP23" s="1221"/>
      <c r="UQ23" s="1221"/>
      <c r="UR23" s="1221"/>
      <c r="US23" s="1221"/>
      <c r="UT23" s="1221"/>
      <c r="UU23" s="1221"/>
      <c r="UV23" s="1221"/>
      <c r="UW23" s="1221"/>
      <c r="UX23" s="1221"/>
      <c r="UY23" s="1221"/>
      <c r="UZ23" s="1221"/>
      <c r="VA23" s="1221"/>
      <c r="VB23" s="1221"/>
      <c r="VC23" s="1221"/>
      <c r="VD23" s="1221"/>
      <c r="VE23" s="1221"/>
      <c r="VF23" s="1221"/>
      <c r="VG23" s="1221"/>
      <c r="VH23" s="1221"/>
      <c r="VI23" s="1221"/>
      <c r="VJ23" s="1221"/>
      <c r="VK23" s="1221"/>
      <c r="VL23" s="1221"/>
      <c r="VM23" s="1221"/>
      <c r="VN23" s="1221"/>
      <c r="VO23" s="1221"/>
      <c r="VP23" s="1221"/>
      <c r="VQ23" s="1221"/>
      <c r="VR23" s="1221"/>
      <c r="VS23" s="1221"/>
      <c r="VT23" s="1221"/>
      <c r="VU23" s="1221"/>
      <c r="VV23" s="1221"/>
      <c r="VW23" s="1221"/>
      <c r="VX23" s="1221"/>
      <c r="VY23" s="1221"/>
      <c r="VZ23" s="1221"/>
      <c r="WA23" s="1221"/>
      <c r="WB23" s="1221"/>
      <c r="WC23" s="1221"/>
      <c r="WD23" s="1221"/>
      <c r="WE23" s="1221"/>
      <c r="WF23" s="1221"/>
      <c r="WG23" s="1221"/>
      <c r="WH23" s="1221"/>
      <c r="WI23" s="1221"/>
      <c r="WJ23" s="1221"/>
      <c r="WK23" s="1221"/>
      <c r="WL23" s="1221"/>
      <c r="WM23" s="1221"/>
      <c r="WN23" s="1221"/>
      <c r="WO23" s="1221"/>
      <c r="WP23" s="1221"/>
      <c r="WQ23" s="1221"/>
      <c r="WR23" s="1221"/>
      <c r="WS23" s="1221"/>
      <c r="WT23" s="1221"/>
      <c r="WU23" s="1221"/>
      <c r="WV23" s="1221"/>
      <c r="WW23" s="1221"/>
      <c r="WX23" s="1221"/>
      <c r="WY23" s="1221"/>
      <c r="WZ23" s="1221"/>
      <c r="XA23" s="1221"/>
      <c r="XB23" s="1221"/>
      <c r="XC23" s="1221"/>
      <c r="XD23" s="1221"/>
      <c r="XE23" s="1221"/>
      <c r="XF23" s="1221"/>
      <c r="XG23" s="1221"/>
      <c r="XH23" s="1221"/>
      <c r="XI23" s="1221"/>
      <c r="XJ23" s="1221"/>
      <c r="XK23" s="1221"/>
      <c r="XL23" s="1221"/>
      <c r="XM23" s="1221"/>
      <c r="XN23" s="1221"/>
      <c r="XO23" s="1221"/>
      <c r="XP23" s="1221"/>
      <c r="XQ23" s="1221"/>
      <c r="XR23" s="1221"/>
      <c r="XS23" s="1221"/>
      <c r="XT23" s="1221"/>
      <c r="XU23" s="1221"/>
      <c r="XV23" s="1221"/>
      <c r="XW23" s="1221"/>
      <c r="XX23" s="1221"/>
      <c r="XY23" s="1221"/>
      <c r="XZ23" s="1221"/>
      <c r="YA23" s="1221"/>
      <c r="YB23" s="1221"/>
      <c r="YC23" s="1221"/>
      <c r="YD23" s="1221"/>
      <c r="YE23" s="1221"/>
      <c r="YF23" s="1221"/>
      <c r="YG23" s="1221"/>
      <c r="YH23" s="1221"/>
      <c r="YI23" s="1221"/>
      <c r="YJ23" s="1221"/>
      <c r="YK23" s="1221"/>
      <c r="YL23" s="1221"/>
      <c r="YM23" s="1221"/>
      <c r="YN23" s="1221"/>
      <c r="YO23" s="1221"/>
      <c r="YP23" s="1221"/>
      <c r="YQ23" s="1221"/>
      <c r="YR23" s="1221"/>
      <c r="YS23" s="1221"/>
      <c r="YT23" s="1221"/>
      <c r="YU23" s="1221"/>
      <c r="YV23" s="1221"/>
      <c r="YW23" s="1221"/>
      <c r="YX23" s="1221"/>
      <c r="YY23" s="1221"/>
      <c r="YZ23" s="1221"/>
      <c r="ZA23" s="1221"/>
      <c r="ZB23" s="1221"/>
      <c r="ZC23" s="1221"/>
      <c r="ZD23" s="1221"/>
      <c r="ZE23" s="1221"/>
      <c r="ZF23" s="1221"/>
      <c r="ZG23" s="1221"/>
      <c r="ZH23" s="1221"/>
      <c r="ZI23" s="1221"/>
      <c r="ZJ23" s="1221"/>
      <c r="ZK23" s="1221"/>
      <c r="ZL23" s="1221"/>
      <c r="ZM23" s="1221"/>
      <c r="ZN23" s="1221"/>
      <c r="ZO23" s="1221"/>
      <c r="ZP23" s="1221"/>
      <c r="ZQ23" s="1221"/>
      <c r="ZR23" s="1221"/>
      <c r="ZS23" s="1221"/>
      <c r="ZT23" s="1221"/>
      <c r="ZU23" s="1221"/>
      <c r="ZV23" s="1221"/>
      <c r="ZW23" s="1221"/>
      <c r="ZX23" s="1221"/>
      <c r="ZY23" s="1221"/>
      <c r="ZZ23" s="1221"/>
      <c r="AAA23" s="1221"/>
      <c r="AAB23" s="1221"/>
      <c r="AAC23" s="1221"/>
      <c r="AAD23" s="1221"/>
      <c r="AAE23" s="1221"/>
      <c r="AAF23" s="1221"/>
      <c r="AAG23" s="1221"/>
      <c r="AAH23" s="1221"/>
      <c r="AAI23" s="1221"/>
      <c r="AAJ23" s="1221"/>
      <c r="AAK23" s="1221"/>
      <c r="AAL23" s="1221"/>
      <c r="AAM23" s="1221"/>
      <c r="AAN23" s="1221"/>
      <c r="AAO23" s="1221"/>
      <c r="AAP23" s="1221"/>
      <c r="AAQ23" s="1221"/>
      <c r="AAR23" s="1221"/>
      <c r="AAS23" s="1221"/>
      <c r="AAT23" s="1221"/>
      <c r="AAU23" s="1221"/>
      <c r="AAV23" s="1221"/>
      <c r="AAW23" s="1221"/>
      <c r="AAX23" s="1221"/>
      <c r="AAY23" s="1221"/>
      <c r="AAZ23" s="1221"/>
      <c r="ABA23" s="1221"/>
      <c r="ABB23" s="1221"/>
      <c r="ABC23" s="1221"/>
      <c r="ABD23" s="1221"/>
      <c r="ABE23" s="1221"/>
      <c r="ABF23" s="1221"/>
      <c r="ABG23" s="1221"/>
      <c r="ABH23" s="1221"/>
      <c r="ABI23" s="1221"/>
      <c r="ABJ23" s="1221"/>
      <c r="ABK23" s="1221"/>
      <c r="ABL23" s="1221"/>
      <c r="ABM23" s="1221"/>
      <c r="ABN23" s="1221"/>
      <c r="ABO23" s="1221"/>
      <c r="ABP23" s="1221"/>
      <c r="ABQ23" s="1221"/>
      <c r="ABR23" s="1221"/>
      <c r="ABS23" s="1221"/>
      <c r="ABT23" s="1221"/>
      <c r="ABU23" s="1221"/>
      <c r="ABV23" s="1221"/>
      <c r="ABW23" s="1221"/>
      <c r="ABX23" s="1221"/>
      <c r="ABY23" s="1221"/>
      <c r="ABZ23" s="1221"/>
      <c r="ACA23" s="1221"/>
      <c r="ACB23" s="1221"/>
      <c r="ACC23" s="1221"/>
      <c r="ACD23" s="1221"/>
      <c r="ACE23" s="1221"/>
      <c r="ACF23" s="1221"/>
      <c r="ACG23" s="1221"/>
      <c r="ACH23" s="1221"/>
      <c r="ACI23" s="1221"/>
      <c r="ACJ23" s="1221"/>
      <c r="ACK23" s="1221"/>
      <c r="ACL23" s="1221"/>
      <c r="ACM23" s="1221"/>
      <c r="ACN23" s="1221"/>
      <c r="ACO23" s="1221"/>
      <c r="ACP23" s="1221"/>
      <c r="ACQ23" s="1221"/>
      <c r="ACR23" s="1221"/>
      <c r="ACS23" s="1221"/>
      <c r="ACT23" s="1221"/>
      <c r="ACU23" s="1221"/>
      <c r="ACV23" s="1221"/>
      <c r="ACW23" s="1221"/>
      <c r="ACX23" s="1221"/>
      <c r="ACY23" s="1221"/>
      <c r="ACZ23" s="1221"/>
      <c r="ADA23" s="1221"/>
      <c r="ADB23" s="1221"/>
      <c r="ADC23" s="1221"/>
      <c r="ADD23" s="1221"/>
      <c r="ADE23" s="1221"/>
      <c r="ADF23" s="1221"/>
      <c r="ADG23" s="1221"/>
      <c r="ADH23" s="1221"/>
      <c r="ADI23" s="1221"/>
      <c r="ADJ23" s="1221"/>
      <c r="ADK23" s="1221"/>
      <c r="ADL23" s="1221"/>
      <c r="ADM23" s="1221"/>
      <c r="ADN23" s="1221"/>
      <c r="ADO23" s="1221"/>
      <c r="ADP23" s="1221"/>
      <c r="ADQ23" s="1221"/>
      <c r="ADR23" s="1221"/>
      <c r="ADS23" s="1221"/>
      <c r="ADT23" s="1221"/>
      <c r="ADU23" s="1221"/>
      <c r="ADV23" s="1221"/>
      <c r="ADW23" s="1221"/>
      <c r="ADX23" s="1221"/>
      <c r="ADY23" s="1221"/>
      <c r="ADZ23" s="1221"/>
      <c r="AEA23" s="1221"/>
      <c r="AEB23" s="1221"/>
      <c r="AEC23" s="1221"/>
      <c r="AED23" s="1221"/>
      <c r="AEE23" s="1221"/>
      <c r="AEF23" s="1221"/>
      <c r="AEG23" s="1221"/>
      <c r="AEH23" s="1221"/>
      <c r="AEI23" s="1221"/>
      <c r="AEJ23" s="1221"/>
      <c r="AEK23" s="1221"/>
      <c r="AEL23" s="1221"/>
      <c r="AEM23" s="1221"/>
      <c r="AEN23" s="1221"/>
      <c r="AEO23" s="1221"/>
      <c r="AEP23" s="1221"/>
      <c r="AEQ23" s="1221"/>
      <c r="AER23" s="1221"/>
      <c r="AES23" s="1221"/>
      <c r="AET23" s="1221"/>
      <c r="AEU23" s="1221"/>
      <c r="AEV23" s="1221"/>
      <c r="AEW23" s="1221"/>
      <c r="AEX23" s="1221"/>
      <c r="AEY23" s="1221"/>
      <c r="AEZ23" s="1221"/>
      <c r="AFA23" s="1221"/>
      <c r="AFB23" s="1221"/>
      <c r="AFC23" s="1221"/>
      <c r="AFD23" s="1221"/>
      <c r="AFE23" s="1221"/>
      <c r="AFF23" s="1221"/>
      <c r="AFG23" s="1221"/>
      <c r="AFH23" s="1221"/>
      <c r="AFI23" s="1221"/>
      <c r="AFJ23" s="1221"/>
      <c r="AFK23" s="1221"/>
      <c r="AFL23" s="1221"/>
      <c r="AFM23" s="1221"/>
      <c r="AFN23" s="1221"/>
      <c r="AFO23" s="1221"/>
      <c r="AFP23" s="1221"/>
      <c r="AFQ23" s="1221"/>
      <c r="AFR23" s="1221"/>
      <c r="AFS23" s="1221"/>
      <c r="AFT23" s="1221"/>
      <c r="AFU23" s="1221"/>
      <c r="AFV23" s="1221"/>
      <c r="AFW23" s="1221"/>
      <c r="AFX23" s="1221"/>
      <c r="AFY23" s="1221"/>
      <c r="AFZ23" s="1221"/>
      <c r="AGA23" s="1221"/>
      <c r="AGB23" s="1221"/>
      <c r="AGC23" s="1221"/>
      <c r="AGD23" s="1221"/>
      <c r="AGE23" s="1221"/>
      <c r="AGF23" s="1221"/>
      <c r="AGG23" s="1221"/>
      <c r="AGH23" s="1221"/>
      <c r="AGI23" s="1221"/>
      <c r="AGJ23" s="1221"/>
      <c r="AGK23" s="1221"/>
      <c r="AGL23" s="1221"/>
      <c r="AGM23" s="1221"/>
      <c r="AGN23" s="1221"/>
      <c r="AGO23" s="1221"/>
      <c r="AGP23" s="1221"/>
      <c r="AGQ23" s="1221"/>
      <c r="AGR23" s="1221"/>
      <c r="AGS23" s="1221"/>
      <c r="AGT23" s="1221"/>
      <c r="AGU23" s="1221"/>
      <c r="AGV23" s="1221"/>
      <c r="AGW23" s="1221"/>
      <c r="AGX23" s="1221"/>
      <c r="AGY23" s="1221"/>
      <c r="AGZ23" s="1221"/>
      <c r="AHA23" s="1221"/>
      <c r="AHB23" s="1221"/>
      <c r="AHC23" s="1221"/>
      <c r="AHD23" s="1221"/>
      <c r="AHE23" s="1221"/>
      <c r="AHF23" s="1221"/>
      <c r="AHG23" s="1221"/>
      <c r="AHH23" s="1221"/>
      <c r="AHI23" s="1221"/>
      <c r="AHJ23" s="1221"/>
      <c r="AHK23" s="1221"/>
      <c r="AHL23" s="1221"/>
      <c r="AHM23" s="1221"/>
      <c r="AHN23" s="1221"/>
      <c r="AHO23" s="1221"/>
      <c r="AHP23" s="1221"/>
      <c r="AHQ23" s="1221"/>
      <c r="AHR23" s="1221"/>
      <c r="AHS23" s="1221"/>
      <c r="AHT23" s="1221"/>
      <c r="AHU23" s="1221"/>
      <c r="AHV23" s="1221"/>
      <c r="AHW23" s="1221"/>
      <c r="AHX23" s="1221"/>
      <c r="AHY23" s="1221"/>
      <c r="AHZ23" s="1221"/>
      <c r="AIA23" s="1221"/>
      <c r="AIB23" s="1221"/>
      <c r="AIC23" s="1221"/>
      <c r="AID23" s="1221"/>
      <c r="AIE23" s="1221"/>
      <c r="AIF23" s="1221"/>
      <c r="AIG23" s="1221"/>
      <c r="AIH23" s="1221"/>
      <c r="AII23" s="1221"/>
      <c r="AIJ23" s="1221"/>
      <c r="AIK23" s="1221"/>
      <c r="AIL23" s="1221"/>
      <c r="AIM23" s="1221"/>
      <c r="AIN23" s="1221"/>
      <c r="AIO23" s="1221"/>
      <c r="AIP23" s="1221"/>
      <c r="AIQ23" s="1221"/>
      <c r="AIR23" s="1221"/>
      <c r="AIS23" s="1221"/>
      <c r="AIT23" s="1221"/>
      <c r="AIU23" s="1221"/>
      <c r="AIV23" s="1221"/>
      <c r="AIW23" s="1221"/>
      <c r="AIX23" s="1221"/>
      <c r="AIY23" s="1221"/>
      <c r="AIZ23" s="1221"/>
      <c r="AJA23" s="1221"/>
      <c r="AJB23" s="1221"/>
      <c r="AJC23" s="1221"/>
      <c r="AJD23" s="1221"/>
      <c r="AJE23" s="1221"/>
      <c r="AJF23" s="1221"/>
      <c r="AJG23" s="1221"/>
      <c r="AJH23" s="1221"/>
      <c r="AJI23" s="1221"/>
      <c r="AJJ23" s="1221"/>
      <c r="AJK23" s="1221"/>
      <c r="AJL23" s="1221"/>
      <c r="AJM23" s="1221"/>
      <c r="AJN23" s="1221"/>
      <c r="AJO23" s="1221"/>
      <c r="AJP23" s="1221"/>
      <c r="AJQ23" s="1221"/>
      <c r="AJR23" s="1221"/>
      <c r="AJS23" s="1221"/>
      <c r="AJT23" s="1221"/>
      <c r="AJU23" s="1221"/>
      <c r="AJV23" s="1221"/>
      <c r="AJW23" s="1221"/>
      <c r="AJX23" s="1221"/>
      <c r="AJY23" s="1221"/>
      <c r="AJZ23" s="1221"/>
      <c r="AKA23" s="1221"/>
      <c r="AKB23" s="1221"/>
      <c r="AKC23" s="1221"/>
      <c r="AKD23" s="1221"/>
      <c r="AKE23" s="1221"/>
      <c r="AKF23" s="1221"/>
      <c r="AKG23" s="1221"/>
      <c r="AKH23" s="1221"/>
      <c r="AKI23" s="1221"/>
      <c r="AKJ23" s="1221"/>
      <c r="AKK23" s="1221"/>
      <c r="AKL23" s="1221"/>
      <c r="AKM23" s="1221"/>
      <c r="AKN23" s="1221"/>
      <c r="AKO23" s="1221"/>
      <c r="AKP23" s="1221"/>
      <c r="AKQ23" s="1221"/>
      <c r="AKR23" s="1221"/>
      <c r="AKS23" s="1221"/>
      <c r="AKT23" s="1221"/>
      <c r="AKU23" s="1221"/>
      <c r="AKV23" s="1221"/>
      <c r="AKW23" s="1221"/>
      <c r="AKX23" s="1221"/>
      <c r="AKY23" s="1221"/>
      <c r="AKZ23" s="1221"/>
      <c r="ALA23" s="1221"/>
      <c r="ALB23" s="1221"/>
      <c r="ALC23" s="1221"/>
      <c r="ALD23" s="1221"/>
      <c r="ALE23" s="1221"/>
      <c r="ALF23" s="1221"/>
      <c r="ALG23" s="1221"/>
      <c r="ALH23" s="1221"/>
      <c r="ALI23" s="1221"/>
      <c r="ALJ23" s="1221"/>
      <c r="ALK23" s="1221"/>
      <c r="ALL23" s="1221"/>
      <c r="ALM23" s="1221"/>
      <c r="ALN23" s="1221"/>
      <c r="ALO23" s="1221"/>
      <c r="ALP23" s="1221"/>
      <c r="ALQ23" s="1221"/>
      <c r="ALR23" s="1221"/>
      <c r="ALS23" s="1221"/>
      <c r="ALT23" s="1221"/>
      <c r="ALU23" s="1221"/>
      <c r="ALV23" s="1221"/>
      <c r="ALW23" s="1221"/>
      <c r="ALX23" s="1221"/>
      <c r="ALY23" s="1221"/>
      <c r="ALZ23" s="1221"/>
      <c r="AMA23" s="1221"/>
      <c r="AMB23" s="1221"/>
      <c r="AMC23" s="1221"/>
      <c r="AMD23" s="1221"/>
      <c r="AME23" s="1221"/>
      <c r="AMF23" s="1221"/>
      <c r="AMG23" s="1221"/>
      <c r="AMH23" s="1221"/>
      <c r="AMI23" s="1221"/>
      <c r="AMJ23" s="1221"/>
      <c r="AMK23" s="1221"/>
      <c r="AML23" s="1221"/>
      <c r="AMM23" s="1221"/>
      <c r="AMN23" s="1221"/>
      <c r="AMO23" s="1221"/>
      <c r="AMP23" s="1221"/>
      <c r="AMQ23" s="1221"/>
      <c r="AMR23" s="1221"/>
      <c r="AMS23" s="1221"/>
      <c r="AMT23" s="1221"/>
      <c r="AMU23" s="1221"/>
      <c r="AMV23" s="1221"/>
      <c r="AMW23" s="1221"/>
      <c r="AMX23" s="1221"/>
      <c r="AMY23" s="1221"/>
      <c r="AMZ23" s="1221"/>
      <c r="ANA23" s="1221"/>
      <c r="ANB23" s="1221"/>
      <c r="ANC23" s="1221"/>
      <c r="AND23" s="1221"/>
      <c r="ANE23" s="1221"/>
      <c r="ANF23" s="1221"/>
      <c r="ANG23" s="1221"/>
      <c r="ANH23" s="1221"/>
      <c r="ANI23" s="1221"/>
      <c r="ANJ23" s="1221"/>
      <c r="ANK23" s="1221"/>
      <c r="ANL23" s="1221"/>
      <c r="ANM23" s="1221"/>
      <c r="ANN23" s="1221"/>
      <c r="ANO23" s="1221"/>
      <c r="ANP23" s="1221"/>
      <c r="ANQ23" s="1221"/>
      <c r="ANR23" s="1221"/>
      <c r="ANS23" s="1221"/>
      <c r="ANT23" s="1221"/>
      <c r="ANU23" s="1221"/>
      <c r="ANV23" s="1221"/>
      <c r="ANW23" s="1221"/>
      <c r="ANX23" s="1221"/>
      <c r="ANY23" s="1221"/>
      <c r="ANZ23" s="1221"/>
      <c r="AOA23" s="1221"/>
      <c r="AOB23" s="1221"/>
      <c r="AOC23" s="1221"/>
      <c r="AOD23" s="1221"/>
      <c r="AOE23" s="1221"/>
      <c r="AOF23" s="1221"/>
      <c r="AOG23" s="1221"/>
      <c r="AOH23" s="1221"/>
      <c r="AOI23" s="1221"/>
      <c r="AOJ23" s="1221"/>
      <c r="AOK23" s="1221"/>
      <c r="AOL23" s="1221"/>
      <c r="AOM23" s="1221"/>
      <c r="AON23" s="1221"/>
      <c r="AOO23" s="1221"/>
      <c r="AOP23" s="1221"/>
      <c r="AOQ23" s="1221"/>
      <c r="AOR23" s="1221"/>
      <c r="AOS23" s="1221"/>
      <c r="AOT23" s="1221"/>
      <c r="AOU23" s="1221"/>
      <c r="AOV23" s="1221"/>
      <c r="AOW23" s="1221"/>
      <c r="AOX23" s="1221"/>
      <c r="AOY23" s="1221"/>
      <c r="AOZ23" s="1221"/>
      <c r="APA23" s="1221"/>
      <c r="APB23" s="1221"/>
      <c r="APC23" s="1221"/>
      <c r="APD23" s="1221"/>
      <c r="APE23" s="1221"/>
      <c r="APF23" s="1221"/>
      <c r="APG23" s="1221"/>
      <c r="APH23" s="1221"/>
      <c r="API23" s="1221"/>
      <c r="APJ23" s="1221"/>
      <c r="APK23" s="1221"/>
      <c r="APL23" s="1221"/>
      <c r="APM23" s="1221"/>
      <c r="APN23" s="1221"/>
      <c r="APO23" s="1221"/>
      <c r="APP23" s="1221"/>
      <c r="APQ23" s="1221"/>
      <c r="APR23" s="1221"/>
      <c r="APS23" s="1221"/>
      <c r="APT23" s="1221"/>
      <c r="APU23" s="1221"/>
      <c r="APV23" s="1221"/>
      <c r="APW23" s="1221"/>
      <c r="APX23" s="1221"/>
      <c r="APY23" s="1221"/>
      <c r="APZ23" s="1221"/>
      <c r="AQA23" s="1221"/>
      <c r="AQB23" s="1221"/>
      <c r="AQC23" s="1221"/>
      <c r="AQD23" s="1221"/>
      <c r="AQE23" s="1221"/>
      <c r="AQF23" s="1221"/>
      <c r="AQG23" s="1221"/>
      <c r="AQH23" s="1221"/>
      <c r="AQI23" s="1221"/>
      <c r="AQJ23" s="1221"/>
      <c r="AQK23" s="1221"/>
      <c r="AQL23" s="1221"/>
      <c r="AQM23" s="1221"/>
      <c r="AQN23" s="1221"/>
      <c r="AQO23" s="1221"/>
      <c r="AQP23" s="1221"/>
      <c r="AQQ23" s="1221"/>
      <c r="AQR23" s="1221"/>
      <c r="AQS23" s="1221"/>
      <c r="AQT23" s="1221"/>
      <c r="AQU23" s="1221"/>
      <c r="AQV23" s="1221"/>
      <c r="AQW23" s="1221"/>
      <c r="AQX23" s="1221"/>
      <c r="AQY23" s="1221"/>
      <c r="AQZ23" s="1221"/>
      <c r="ARA23" s="1221"/>
      <c r="ARB23" s="1221"/>
      <c r="ARC23" s="1221"/>
      <c r="ARD23" s="1221"/>
      <c r="ARE23" s="1221"/>
      <c r="ARF23" s="1221"/>
      <c r="ARG23" s="1221"/>
      <c r="ARH23" s="1221"/>
      <c r="ARI23" s="1221"/>
      <c r="ARJ23" s="1221"/>
      <c r="ARK23" s="1221"/>
      <c r="ARL23" s="1221"/>
      <c r="ARM23" s="1221"/>
      <c r="ARN23" s="1221"/>
      <c r="ARO23" s="1221"/>
      <c r="ARP23" s="1221"/>
      <c r="ARQ23" s="1221"/>
      <c r="ARR23" s="1221"/>
      <c r="ARS23" s="1221"/>
      <c r="ART23" s="1221"/>
      <c r="ARU23" s="1221"/>
      <c r="ARV23" s="1221"/>
      <c r="ARW23" s="1221"/>
      <c r="ARX23" s="1221"/>
      <c r="ARY23" s="1221"/>
      <c r="ARZ23" s="1221"/>
      <c r="ASA23" s="1221"/>
      <c r="ASB23" s="1221"/>
      <c r="ASC23" s="1221"/>
      <c r="ASD23" s="1221"/>
      <c r="ASE23" s="1221"/>
      <c r="ASF23" s="1221"/>
      <c r="ASG23" s="1221"/>
      <c r="ASH23" s="1221"/>
      <c r="ASI23" s="1221"/>
      <c r="ASJ23" s="1221"/>
      <c r="ASK23" s="1221"/>
      <c r="ASL23" s="1221"/>
      <c r="ASM23" s="1221"/>
      <c r="ASN23" s="1221"/>
      <c r="ASO23" s="1221"/>
      <c r="ASP23" s="1221"/>
      <c r="ASQ23" s="1221"/>
      <c r="ASR23" s="1221"/>
      <c r="ASS23" s="1221"/>
      <c r="AST23" s="1221"/>
      <c r="ASU23" s="1221"/>
      <c r="ASV23" s="1221"/>
      <c r="ASW23" s="1221"/>
      <c r="ASX23" s="1221"/>
      <c r="ASY23" s="1221"/>
      <c r="ASZ23" s="1221"/>
      <c r="ATA23" s="1221"/>
      <c r="ATB23" s="1221"/>
      <c r="ATC23" s="1221"/>
      <c r="ATD23" s="1221"/>
      <c r="ATE23" s="1221"/>
      <c r="ATF23" s="1221"/>
      <c r="ATG23" s="1221"/>
      <c r="ATH23" s="1221"/>
      <c r="ATI23" s="1221"/>
      <c r="ATJ23" s="1221"/>
      <c r="ATK23" s="1221"/>
      <c r="ATL23" s="1221"/>
      <c r="ATM23" s="1221"/>
      <c r="ATN23" s="1221"/>
      <c r="ATO23" s="1221"/>
      <c r="ATP23" s="1221"/>
      <c r="ATQ23" s="1221"/>
      <c r="ATR23" s="1221"/>
      <c r="ATS23" s="1221"/>
      <c r="ATT23" s="1221"/>
      <c r="ATU23" s="1221"/>
      <c r="ATV23" s="1221"/>
      <c r="ATW23" s="1221"/>
      <c r="ATX23" s="1221"/>
      <c r="ATY23" s="1221"/>
      <c r="ATZ23" s="1221"/>
      <c r="AUA23" s="1221"/>
      <c r="AUB23" s="1221"/>
      <c r="AUC23" s="1221"/>
      <c r="AUD23" s="1221"/>
      <c r="AUE23" s="1221"/>
      <c r="AUF23" s="1221"/>
      <c r="AUG23" s="1221"/>
      <c r="AUH23" s="1221"/>
      <c r="AUI23" s="1221"/>
      <c r="AUJ23" s="1221"/>
      <c r="AUK23" s="1221"/>
      <c r="AUL23" s="1221"/>
      <c r="AUM23" s="1221"/>
      <c r="AUN23" s="1221"/>
      <c r="AUO23" s="1221"/>
      <c r="AUP23" s="1221"/>
      <c r="AUQ23" s="1221"/>
      <c r="AUR23" s="1221"/>
      <c r="AUS23" s="1221"/>
      <c r="AUT23" s="1221"/>
      <c r="AUU23" s="1221"/>
      <c r="AUV23" s="1221"/>
      <c r="AUW23" s="1221"/>
      <c r="AUX23" s="1221"/>
      <c r="AUY23" s="1221"/>
      <c r="AUZ23" s="1221"/>
      <c r="AVA23" s="1221"/>
      <c r="AVB23" s="1221"/>
      <c r="AVC23" s="1221"/>
      <c r="AVD23" s="1221"/>
      <c r="AVE23" s="1221"/>
      <c r="AVF23" s="1221"/>
      <c r="AVG23" s="1221"/>
      <c r="AVH23" s="1221"/>
      <c r="AVI23" s="1221"/>
      <c r="AVJ23" s="1221"/>
      <c r="AVK23" s="1221"/>
      <c r="AVL23" s="1221"/>
      <c r="AVM23" s="1221"/>
      <c r="AVN23" s="1221"/>
      <c r="AVO23" s="1221"/>
      <c r="AVP23" s="1221"/>
      <c r="AVQ23" s="1221"/>
      <c r="AVR23" s="1221"/>
      <c r="AVS23" s="1221"/>
      <c r="AVT23" s="1221"/>
      <c r="AVU23" s="1221"/>
      <c r="AVV23" s="1221"/>
      <c r="AVW23" s="1221"/>
      <c r="AVX23" s="1221"/>
      <c r="AVY23" s="1221"/>
      <c r="AVZ23" s="1221"/>
      <c r="AWA23" s="1221"/>
      <c r="AWB23" s="1221"/>
      <c r="AWC23" s="1221"/>
      <c r="AWD23" s="1221"/>
      <c r="AWE23" s="1221"/>
      <c r="AWF23" s="1221"/>
      <c r="AWG23" s="1221"/>
      <c r="AWH23" s="1221"/>
      <c r="AWI23" s="1221"/>
      <c r="AWJ23" s="1221"/>
      <c r="AWK23" s="1221"/>
      <c r="AWL23" s="1221"/>
      <c r="AWM23" s="1221"/>
      <c r="AWN23" s="1221"/>
      <c r="AWO23" s="1221"/>
      <c r="AWP23" s="1221"/>
      <c r="AWQ23" s="1221"/>
      <c r="AWR23" s="1221"/>
      <c r="AWS23" s="1221"/>
      <c r="AWT23" s="1221"/>
      <c r="AWU23" s="1221"/>
      <c r="AWV23" s="1221"/>
      <c r="AWW23" s="1221"/>
      <c r="AWX23" s="1221"/>
      <c r="AWY23" s="1221"/>
      <c r="AWZ23" s="1221"/>
      <c r="AXA23" s="1221"/>
      <c r="AXB23" s="1221"/>
      <c r="AXC23" s="1221"/>
      <c r="AXD23" s="1221"/>
      <c r="AXE23" s="1221"/>
      <c r="AXF23" s="1221"/>
      <c r="AXG23" s="1221"/>
      <c r="AXH23" s="1221"/>
      <c r="AXI23" s="1221"/>
      <c r="AXJ23" s="1221"/>
      <c r="AXK23" s="1221"/>
      <c r="AXL23" s="1221"/>
      <c r="AXM23" s="1221"/>
      <c r="AXN23" s="1221"/>
      <c r="AXO23" s="1221"/>
      <c r="AXP23" s="1221"/>
      <c r="AXQ23" s="1221"/>
      <c r="AXR23" s="1221"/>
      <c r="AXS23" s="1221"/>
      <c r="AXT23" s="1221"/>
      <c r="AXU23" s="1221"/>
      <c r="AXV23" s="1221"/>
      <c r="AXW23" s="1221"/>
      <c r="AXX23" s="1221"/>
      <c r="AXY23" s="1221"/>
      <c r="AXZ23" s="1221"/>
      <c r="AYA23" s="1221"/>
      <c r="AYB23" s="1221"/>
      <c r="AYC23" s="1221"/>
      <c r="AYD23" s="1221"/>
      <c r="AYE23" s="1221"/>
      <c r="AYF23" s="1221"/>
      <c r="AYG23" s="1221"/>
      <c r="AYH23" s="1221"/>
      <c r="AYI23" s="1221"/>
      <c r="AYJ23" s="1221"/>
      <c r="AYK23" s="1221"/>
      <c r="AYL23" s="1221"/>
      <c r="AYM23" s="1221"/>
      <c r="AYN23" s="1221"/>
      <c r="AYO23" s="1221"/>
      <c r="AYP23" s="1221"/>
      <c r="AYQ23" s="1221"/>
      <c r="AYR23" s="1221"/>
      <c r="AYS23" s="1221"/>
      <c r="AYT23" s="1221"/>
      <c r="AYU23" s="1221"/>
      <c r="AYV23" s="1221"/>
      <c r="AYW23" s="1221"/>
      <c r="AYX23" s="1221"/>
      <c r="AYY23" s="1221"/>
      <c r="AYZ23" s="1221"/>
      <c r="AZA23" s="1221"/>
      <c r="AZB23" s="1221"/>
      <c r="AZC23" s="1221"/>
      <c r="AZD23" s="1221"/>
      <c r="AZE23" s="1221"/>
      <c r="AZF23" s="1221"/>
      <c r="AZG23" s="1221"/>
      <c r="AZH23" s="1221"/>
      <c r="AZI23" s="1221"/>
      <c r="AZJ23" s="1221"/>
      <c r="AZK23" s="1221"/>
      <c r="AZL23" s="1221"/>
      <c r="AZM23" s="1221"/>
      <c r="AZN23" s="1221"/>
      <c r="AZO23" s="1221"/>
      <c r="AZP23" s="1221"/>
      <c r="AZQ23" s="1221"/>
      <c r="AZR23" s="1221"/>
      <c r="AZS23" s="1221"/>
      <c r="AZT23" s="1221"/>
      <c r="AZU23" s="1221"/>
      <c r="AZV23" s="1221"/>
      <c r="AZW23" s="1221"/>
      <c r="AZX23" s="1221"/>
      <c r="AZY23" s="1221"/>
      <c r="AZZ23" s="1221"/>
      <c r="BAA23" s="1221"/>
      <c r="BAB23" s="1221"/>
      <c r="BAC23" s="1221"/>
      <c r="BAD23" s="1221"/>
      <c r="BAE23" s="1221"/>
      <c r="BAF23" s="1221"/>
      <c r="BAG23" s="1221"/>
      <c r="BAH23" s="1221"/>
      <c r="BAI23" s="1221"/>
      <c r="BAJ23" s="1221"/>
      <c r="BAK23" s="1221"/>
      <c r="BAL23" s="1221"/>
      <c r="BAM23" s="1221"/>
      <c r="BAN23" s="1221"/>
      <c r="BAO23" s="1221"/>
      <c r="BAP23" s="1221"/>
      <c r="BAQ23" s="1221"/>
      <c r="BAR23" s="1221"/>
      <c r="BAS23" s="1221"/>
      <c r="BAT23" s="1221"/>
      <c r="BAU23" s="1221"/>
      <c r="BAV23" s="1221"/>
      <c r="BAW23" s="1221"/>
      <c r="BAX23" s="1221"/>
      <c r="BAY23" s="1221"/>
      <c r="BAZ23" s="1221"/>
      <c r="BBA23" s="1221"/>
      <c r="BBB23" s="1221"/>
      <c r="BBC23" s="1221"/>
      <c r="BBD23" s="1221"/>
      <c r="BBE23" s="1221"/>
      <c r="BBF23" s="1221"/>
      <c r="BBG23" s="1221"/>
      <c r="BBH23" s="1221"/>
      <c r="BBI23" s="1221"/>
      <c r="BBJ23" s="1221"/>
      <c r="BBK23" s="1221"/>
      <c r="BBL23" s="1221"/>
      <c r="BBM23" s="1221"/>
      <c r="BBN23" s="1221"/>
      <c r="BBO23" s="1221"/>
      <c r="BBP23" s="1221"/>
      <c r="BBQ23" s="1221"/>
      <c r="BBR23" s="1221"/>
      <c r="BBS23" s="1221"/>
      <c r="BBT23" s="1221"/>
      <c r="BBU23" s="1221"/>
      <c r="BBV23" s="1221"/>
      <c r="BBW23" s="1221"/>
      <c r="BBX23" s="1221"/>
      <c r="BBY23" s="1221"/>
      <c r="BBZ23" s="1221"/>
      <c r="BCA23" s="1221"/>
      <c r="BCB23" s="1221"/>
      <c r="BCC23" s="1221"/>
      <c r="BCD23" s="1221"/>
      <c r="BCE23" s="1221"/>
      <c r="BCF23" s="1221"/>
      <c r="BCG23" s="1221"/>
      <c r="BCH23" s="1221"/>
      <c r="BCI23" s="1221"/>
      <c r="BCJ23" s="1221"/>
      <c r="BCK23" s="1221"/>
      <c r="BCL23" s="1221"/>
      <c r="BCM23" s="1221"/>
      <c r="BCN23" s="1221"/>
      <c r="BCO23" s="1221"/>
      <c r="BCP23" s="1221"/>
      <c r="BCQ23" s="1221"/>
      <c r="BCR23" s="1221"/>
      <c r="BCS23" s="1221"/>
      <c r="BCT23" s="1221"/>
      <c r="BCU23" s="1221"/>
      <c r="BCV23" s="1221"/>
      <c r="BCW23" s="1221"/>
      <c r="BCX23" s="1221"/>
      <c r="BCY23" s="1221"/>
      <c r="BCZ23" s="1221"/>
      <c r="BDA23" s="1221"/>
      <c r="BDB23" s="1221"/>
      <c r="BDC23" s="1221"/>
      <c r="BDD23" s="1221"/>
      <c r="BDE23" s="1221"/>
      <c r="BDF23" s="1221"/>
      <c r="BDG23" s="1221"/>
      <c r="BDH23" s="1221"/>
      <c r="BDI23" s="1221"/>
      <c r="BDJ23" s="1221"/>
      <c r="BDK23" s="1221"/>
      <c r="BDL23" s="1221"/>
      <c r="BDM23" s="1221"/>
      <c r="BDN23" s="1221"/>
      <c r="BDO23" s="1221"/>
      <c r="BDP23" s="1221"/>
      <c r="BDQ23" s="1221"/>
      <c r="BDR23" s="1221"/>
      <c r="BDS23" s="1221"/>
      <c r="BDT23" s="1221"/>
      <c r="BDU23" s="1221"/>
      <c r="BDV23" s="1221"/>
      <c r="BDW23" s="1221"/>
      <c r="BDX23" s="1221"/>
      <c r="BDY23" s="1221"/>
      <c r="BDZ23" s="1221"/>
      <c r="BEA23" s="1221"/>
      <c r="BEB23" s="1221"/>
      <c r="BEC23" s="1221"/>
      <c r="BED23" s="1221"/>
      <c r="BEE23" s="1221"/>
      <c r="BEF23" s="1221"/>
      <c r="BEG23" s="1221"/>
      <c r="BEH23" s="1221"/>
      <c r="BEI23" s="1221"/>
      <c r="BEJ23" s="1221"/>
      <c r="BEK23" s="1221"/>
      <c r="BEL23" s="1221"/>
      <c r="BEM23" s="1221"/>
      <c r="BEN23" s="1221"/>
      <c r="BEO23" s="1221"/>
      <c r="BEP23" s="1221"/>
      <c r="BEQ23" s="1221"/>
      <c r="BER23" s="1221"/>
      <c r="BES23" s="1221"/>
      <c r="BET23" s="1221"/>
      <c r="BEU23" s="1221"/>
      <c r="BEV23" s="1221"/>
      <c r="BEW23" s="1221"/>
      <c r="BEX23" s="1221"/>
      <c r="BEY23" s="1221"/>
      <c r="BEZ23" s="1221"/>
      <c r="BFA23" s="1221"/>
      <c r="BFB23" s="1221"/>
      <c r="BFC23" s="1221"/>
      <c r="BFD23" s="1221"/>
      <c r="BFE23" s="1221"/>
      <c r="BFF23" s="1221"/>
      <c r="BFG23" s="1221"/>
      <c r="BFH23" s="1221"/>
      <c r="BFI23" s="1221"/>
      <c r="BFJ23" s="1221"/>
      <c r="BFK23" s="1221"/>
      <c r="BFL23" s="1221"/>
      <c r="BFM23" s="1221"/>
      <c r="BFN23" s="1221"/>
      <c r="BFO23" s="1221"/>
      <c r="BFP23" s="1221"/>
      <c r="BFQ23" s="1221"/>
      <c r="BFR23" s="1221"/>
      <c r="BFS23" s="1221"/>
      <c r="BFT23" s="1221"/>
      <c r="BFU23" s="1221"/>
      <c r="BFV23" s="1221"/>
      <c r="BFW23" s="1221"/>
      <c r="BFX23" s="1221"/>
      <c r="BFY23" s="1221"/>
      <c r="BFZ23" s="1221"/>
      <c r="BGA23" s="1221"/>
      <c r="BGB23" s="1221"/>
      <c r="BGC23" s="1221"/>
      <c r="BGD23" s="1221"/>
      <c r="BGE23" s="1221"/>
      <c r="BGF23" s="1221"/>
      <c r="BGG23" s="1221"/>
      <c r="BGH23" s="1221"/>
      <c r="BGI23" s="1221"/>
      <c r="BGJ23" s="1221"/>
      <c r="BGK23" s="1221"/>
      <c r="BGL23" s="1221"/>
      <c r="BGM23" s="1221"/>
      <c r="BGN23" s="1221"/>
      <c r="BGO23" s="1221"/>
      <c r="BGP23" s="1221"/>
      <c r="BGQ23" s="1221"/>
      <c r="BGR23" s="1221"/>
      <c r="BGS23" s="1221"/>
      <c r="BGT23" s="1221"/>
      <c r="BGU23" s="1221"/>
      <c r="BGV23" s="1221"/>
      <c r="BGW23" s="1221"/>
      <c r="BGX23" s="1221"/>
      <c r="BGY23" s="1221"/>
      <c r="BGZ23" s="1221"/>
      <c r="BHA23" s="1221"/>
      <c r="BHB23" s="1221"/>
      <c r="BHC23" s="1221"/>
      <c r="BHD23" s="1221"/>
      <c r="BHE23" s="1221"/>
      <c r="BHF23" s="1221"/>
      <c r="BHG23" s="1221"/>
      <c r="BHH23" s="1221"/>
      <c r="BHI23" s="1221"/>
      <c r="BHJ23" s="1221"/>
      <c r="BHK23" s="1221"/>
      <c r="BHL23" s="1221"/>
      <c r="BHM23" s="1221"/>
      <c r="BHN23" s="1221"/>
      <c r="BHO23" s="1221"/>
      <c r="BHP23" s="1221"/>
      <c r="BHQ23" s="1221"/>
      <c r="BHR23" s="1221"/>
      <c r="BHS23" s="1221"/>
      <c r="BHT23" s="1221"/>
      <c r="BHU23" s="1221"/>
      <c r="BHV23" s="1221"/>
      <c r="BHW23" s="1221"/>
      <c r="BHX23" s="1221"/>
      <c r="BHY23" s="1221"/>
      <c r="BHZ23" s="1221"/>
      <c r="BIA23" s="1221"/>
      <c r="BIB23" s="1221"/>
      <c r="BIC23" s="1221"/>
      <c r="BID23" s="1221"/>
      <c r="BIE23" s="1221"/>
      <c r="BIF23" s="1221"/>
      <c r="BIG23" s="1221"/>
      <c r="BIH23" s="1221"/>
      <c r="BII23" s="1221"/>
      <c r="BIJ23" s="1221"/>
      <c r="BIK23" s="1221"/>
      <c r="BIL23" s="1221"/>
      <c r="BIM23" s="1221"/>
      <c r="BIN23" s="1221"/>
      <c r="BIO23" s="1221"/>
      <c r="BIP23" s="1221"/>
      <c r="BIQ23" s="1221"/>
      <c r="BIR23" s="1221"/>
      <c r="BIS23" s="1221"/>
      <c r="BIT23" s="1221"/>
      <c r="BIU23" s="1221"/>
      <c r="BIV23" s="1221"/>
      <c r="BIW23" s="1221"/>
      <c r="BIX23" s="1221"/>
      <c r="BIY23" s="1221"/>
      <c r="BIZ23" s="1221"/>
      <c r="BJA23" s="1221"/>
      <c r="BJB23" s="1221"/>
      <c r="BJC23" s="1221"/>
      <c r="BJD23" s="1221"/>
      <c r="BJE23" s="1221"/>
      <c r="BJF23" s="1221"/>
      <c r="BJG23" s="1221"/>
      <c r="BJH23" s="1221"/>
      <c r="BJI23" s="1221"/>
      <c r="BJJ23" s="1221"/>
      <c r="BJK23" s="1221"/>
      <c r="BJL23" s="1221"/>
      <c r="BJM23" s="1221"/>
      <c r="BJN23" s="1221"/>
      <c r="BJO23" s="1221"/>
      <c r="BJP23" s="1221"/>
      <c r="BJQ23" s="1221"/>
      <c r="BJR23" s="1221"/>
      <c r="BJS23" s="1221"/>
      <c r="BJT23" s="1221"/>
      <c r="BJU23" s="1221"/>
      <c r="BJV23" s="1221"/>
      <c r="BJW23" s="1221"/>
      <c r="BJX23" s="1221"/>
      <c r="BJY23" s="1221"/>
      <c r="BJZ23" s="1221"/>
      <c r="BKA23" s="1221"/>
      <c r="BKB23" s="1221"/>
      <c r="BKC23" s="1221"/>
      <c r="BKD23" s="1221"/>
      <c r="BKE23" s="1221"/>
      <c r="BKF23" s="1221"/>
      <c r="BKG23" s="1221"/>
      <c r="BKH23" s="1221"/>
      <c r="BKI23" s="1221"/>
      <c r="BKJ23" s="1221"/>
      <c r="BKK23" s="1221"/>
      <c r="BKL23" s="1221"/>
      <c r="BKM23" s="1221"/>
      <c r="BKN23" s="1221"/>
      <c r="BKO23" s="1221"/>
      <c r="BKP23" s="1221"/>
      <c r="BKQ23" s="1221"/>
      <c r="BKR23" s="1221"/>
      <c r="BKS23" s="1221"/>
      <c r="BKT23" s="1221"/>
      <c r="BKU23" s="1221"/>
      <c r="BKV23" s="1221"/>
      <c r="BKW23" s="1221"/>
      <c r="BKX23" s="1221"/>
      <c r="BKY23" s="1221"/>
      <c r="BKZ23" s="1221"/>
      <c r="BLA23" s="1221"/>
      <c r="BLB23" s="1221"/>
      <c r="BLC23" s="1221"/>
      <c r="BLD23" s="1221"/>
      <c r="BLE23" s="1221"/>
      <c r="BLF23" s="1221"/>
      <c r="BLG23" s="1221"/>
      <c r="BLH23" s="1221"/>
      <c r="BLI23" s="1221"/>
      <c r="BLJ23" s="1221"/>
      <c r="BLK23" s="1221"/>
      <c r="BLL23" s="1221"/>
      <c r="BLM23" s="1221"/>
      <c r="BLN23" s="1221"/>
      <c r="BLO23" s="1221"/>
      <c r="BLP23" s="1221"/>
      <c r="BLQ23" s="1221"/>
      <c r="BLR23" s="1221"/>
      <c r="BLS23" s="1221"/>
      <c r="BLT23" s="1221"/>
      <c r="BLU23" s="1221"/>
      <c r="BLV23" s="1221"/>
      <c r="BLW23" s="1221"/>
      <c r="BLX23" s="1221"/>
      <c r="BLY23" s="1221"/>
      <c r="BLZ23" s="1221"/>
      <c r="BMA23" s="1221"/>
      <c r="BMB23" s="1221"/>
      <c r="BMC23" s="1221"/>
      <c r="BMD23" s="1221"/>
      <c r="BME23" s="1221"/>
      <c r="BMF23" s="1221"/>
      <c r="BMG23" s="1221"/>
      <c r="BMH23" s="1221"/>
      <c r="BMI23" s="1221"/>
      <c r="BMJ23" s="1221"/>
      <c r="BMK23" s="1221"/>
      <c r="BML23" s="1221"/>
      <c r="BMM23" s="1221"/>
      <c r="BMN23" s="1221"/>
      <c r="BMO23" s="1221"/>
      <c r="BMP23" s="1221"/>
      <c r="BMQ23" s="1221"/>
      <c r="BMR23" s="1221"/>
      <c r="BMS23" s="1221"/>
      <c r="BMT23" s="1221"/>
      <c r="BMU23" s="1221"/>
      <c r="BMV23" s="1221"/>
      <c r="BMW23" s="1221"/>
      <c r="BMX23" s="1221"/>
      <c r="BMY23" s="1221"/>
      <c r="BMZ23" s="1221"/>
      <c r="BNA23" s="1221"/>
      <c r="BNB23" s="1221"/>
      <c r="BNC23" s="1221"/>
      <c r="BND23" s="1221"/>
      <c r="BNE23" s="1221"/>
      <c r="BNF23" s="1221"/>
      <c r="BNG23" s="1221"/>
      <c r="BNH23" s="1221"/>
      <c r="BNI23" s="1221"/>
      <c r="BNJ23" s="1221"/>
      <c r="BNK23" s="1221"/>
      <c r="BNL23" s="1221"/>
      <c r="BNM23" s="1221"/>
      <c r="BNN23" s="1221"/>
      <c r="BNO23" s="1221"/>
      <c r="BNP23" s="1221"/>
      <c r="BNQ23" s="1221"/>
      <c r="BNR23" s="1221"/>
      <c r="BNS23" s="1221"/>
      <c r="BNT23" s="1221"/>
      <c r="BNU23" s="1221"/>
      <c r="BNV23" s="1221"/>
      <c r="BNW23" s="1221"/>
      <c r="BNX23" s="1221"/>
      <c r="BNY23" s="1221"/>
      <c r="BNZ23" s="1221"/>
      <c r="BOA23" s="1221"/>
      <c r="BOB23" s="1221"/>
      <c r="BOC23" s="1221"/>
      <c r="BOD23" s="1221"/>
      <c r="BOE23" s="1221"/>
      <c r="BOF23" s="1221"/>
      <c r="BOG23" s="1221"/>
      <c r="BOH23" s="1221"/>
      <c r="BOI23" s="1221"/>
      <c r="BOJ23" s="1221"/>
      <c r="BOK23" s="1221"/>
      <c r="BOL23" s="1221"/>
      <c r="BOM23" s="1221"/>
      <c r="BON23" s="1221"/>
      <c r="BOO23" s="1221"/>
      <c r="BOP23" s="1221"/>
      <c r="BOQ23" s="1221"/>
      <c r="BOR23" s="1221"/>
      <c r="BOS23" s="1221"/>
      <c r="BOT23" s="1221"/>
      <c r="BOU23" s="1221"/>
      <c r="BOV23" s="1221"/>
      <c r="BOW23" s="1221"/>
      <c r="BOX23" s="1221"/>
      <c r="BOY23" s="1221"/>
      <c r="BOZ23" s="1221"/>
      <c r="BPA23" s="1221"/>
      <c r="BPB23" s="1221"/>
      <c r="BPC23" s="1221"/>
      <c r="BPD23" s="1221"/>
      <c r="BPE23" s="1221"/>
      <c r="BPF23" s="1221"/>
      <c r="BPG23" s="1221"/>
      <c r="BPH23" s="1221"/>
      <c r="BPI23" s="1221"/>
      <c r="BPJ23" s="1221"/>
      <c r="BPK23" s="1221"/>
      <c r="BPL23" s="1221"/>
      <c r="BPM23" s="1221"/>
      <c r="BPN23" s="1221"/>
      <c r="BPO23" s="1221"/>
      <c r="BPP23" s="1221"/>
      <c r="BPQ23" s="1221"/>
      <c r="BPR23" s="1221"/>
      <c r="BPS23" s="1221"/>
      <c r="BPT23" s="1221"/>
      <c r="BPU23" s="1221"/>
      <c r="BPV23" s="1221"/>
      <c r="BPW23" s="1221"/>
      <c r="BPX23" s="1221"/>
      <c r="BPY23" s="1221"/>
      <c r="BPZ23" s="1221"/>
      <c r="BQA23" s="1221"/>
      <c r="BQB23" s="1221"/>
      <c r="BQC23" s="1221"/>
      <c r="BQD23" s="1221"/>
      <c r="BQE23" s="1221"/>
      <c r="BQF23" s="1221"/>
      <c r="BQG23" s="1221"/>
      <c r="BQH23" s="1221"/>
      <c r="BQI23" s="1221"/>
      <c r="BQJ23" s="1221"/>
      <c r="BQK23" s="1221"/>
      <c r="BQL23" s="1221"/>
      <c r="BQM23" s="1221"/>
      <c r="BQN23" s="1221"/>
      <c r="BQO23" s="1221"/>
      <c r="BQP23" s="1221"/>
      <c r="BQQ23" s="1221"/>
      <c r="BQR23" s="1221"/>
      <c r="BQS23" s="1221"/>
      <c r="BQT23" s="1221"/>
      <c r="BQU23" s="1221"/>
      <c r="BQV23" s="1221"/>
      <c r="BQW23" s="1221"/>
      <c r="BQX23" s="1221"/>
      <c r="BQY23" s="1221"/>
      <c r="BQZ23" s="1221"/>
      <c r="BRA23" s="1221"/>
      <c r="BRB23" s="1221"/>
      <c r="BRC23" s="1221"/>
      <c r="BRD23" s="1221"/>
      <c r="BRE23" s="1221"/>
      <c r="BRF23" s="1221"/>
      <c r="BRG23" s="1221"/>
      <c r="BRH23" s="1221"/>
      <c r="BRI23" s="1221"/>
      <c r="BRJ23" s="1221"/>
      <c r="BRK23" s="1221"/>
      <c r="BRL23" s="1221"/>
      <c r="BRM23" s="1221"/>
      <c r="BRN23" s="1221"/>
      <c r="BRO23" s="1221"/>
      <c r="BRP23" s="1221"/>
      <c r="BRQ23" s="1221"/>
      <c r="BRR23" s="1221"/>
      <c r="BRS23" s="1221"/>
      <c r="BRT23" s="1221"/>
      <c r="BRU23" s="1221"/>
      <c r="BRV23" s="1221"/>
      <c r="BRW23" s="1221"/>
      <c r="BRX23" s="1221"/>
      <c r="BRY23" s="1221"/>
      <c r="BRZ23" s="1221"/>
      <c r="BSA23" s="1221"/>
      <c r="BSB23" s="1221"/>
      <c r="BSC23" s="1221"/>
      <c r="BSD23" s="1221"/>
      <c r="BSE23" s="1221"/>
      <c r="BSF23" s="1221"/>
      <c r="BSG23" s="1221"/>
      <c r="BSH23" s="1221"/>
      <c r="BSI23" s="1221"/>
      <c r="BSJ23" s="1221"/>
      <c r="BSK23" s="1221"/>
      <c r="BSL23" s="1221"/>
      <c r="BSM23" s="1221"/>
      <c r="BSN23" s="1221"/>
      <c r="BSO23" s="1221"/>
      <c r="BSP23" s="1221"/>
      <c r="BSQ23" s="1221"/>
      <c r="BSR23" s="1221"/>
      <c r="BSS23" s="1221"/>
      <c r="BST23" s="1221"/>
      <c r="BSU23" s="1221"/>
      <c r="BSV23" s="1221"/>
      <c r="BSW23" s="1221"/>
      <c r="BSX23" s="1221"/>
      <c r="BSY23" s="1221"/>
      <c r="BSZ23" s="1221"/>
      <c r="BTA23" s="1221"/>
      <c r="BTB23" s="1221"/>
      <c r="BTC23" s="1221"/>
      <c r="BTD23" s="1221"/>
      <c r="BTE23" s="1221"/>
      <c r="BTF23" s="1221"/>
      <c r="BTG23" s="1221"/>
      <c r="BTH23" s="1221"/>
      <c r="BTI23" s="1221"/>
      <c r="BTJ23" s="1221"/>
      <c r="BTK23" s="1221"/>
      <c r="BTL23" s="1221"/>
      <c r="BTM23" s="1221"/>
      <c r="BTN23" s="1221"/>
      <c r="BTO23" s="1221"/>
      <c r="BTP23" s="1221"/>
      <c r="BTQ23" s="1221"/>
      <c r="BTR23" s="1221"/>
      <c r="BTS23" s="1221"/>
      <c r="BTT23" s="1221"/>
      <c r="BTU23" s="1221"/>
      <c r="BTV23" s="1221"/>
      <c r="BTW23" s="1221"/>
      <c r="BTX23" s="1221"/>
      <c r="BTY23" s="1221"/>
      <c r="BTZ23" s="1221"/>
      <c r="BUA23" s="1221"/>
      <c r="BUB23" s="1221"/>
      <c r="BUC23" s="1221"/>
      <c r="BUD23" s="1221"/>
      <c r="BUE23" s="1221"/>
      <c r="BUF23" s="1221"/>
      <c r="BUG23" s="1221"/>
      <c r="BUH23" s="1221"/>
      <c r="BUI23" s="1221"/>
      <c r="BUJ23" s="1221"/>
      <c r="BUK23" s="1221"/>
      <c r="BUL23" s="1221"/>
      <c r="BUM23" s="1221"/>
      <c r="BUN23" s="1221"/>
      <c r="BUO23" s="1221"/>
      <c r="BUP23" s="1221"/>
      <c r="BUQ23" s="1221"/>
      <c r="BUR23" s="1221"/>
      <c r="BUS23" s="1221"/>
      <c r="BUT23" s="1221"/>
      <c r="BUU23" s="1221"/>
      <c r="BUV23" s="1221"/>
      <c r="BUW23" s="1221"/>
      <c r="BUX23" s="1221"/>
      <c r="BUY23" s="1221"/>
      <c r="BUZ23" s="1221"/>
      <c r="BVA23" s="1221"/>
      <c r="BVB23" s="1221"/>
      <c r="BVC23" s="1221"/>
      <c r="BVD23" s="1221"/>
      <c r="BVE23" s="1221"/>
      <c r="BVF23" s="1221"/>
      <c r="BVG23" s="1221"/>
      <c r="BVH23" s="1221"/>
      <c r="BVI23" s="1221"/>
      <c r="BVJ23" s="1221"/>
      <c r="BVK23" s="1221"/>
      <c r="BVL23" s="1221"/>
      <c r="BVM23" s="1221"/>
      <c r="BVN23" s="1221"/>
      <c r="BVO23" s="1221"/>
      <c r="BVP23" s="1221"/>
      <c r="BVQ23" s="1221"/>
      <c r="BVR23" s="1221"/>
      <c r="BVS23" s="1221"/>
      <c r="BVT23" s="1221"/>
      <c r="BVU23" s="1221"/>
      <c r="BVV23" s="1221"/>
      <c r="BVW23" s="1221"/>
      <c r="BVX23" s="1221"/>
      <c r="BVY23" s="1221"/>
      <c r="BVZ23" s="1221"/>
      <c r="BWA23" s="1221"/>
      <c r="BWB23" s="1221"/>
      <c r="BWC23" s="1221"/>
      <c r="BWD23" s="1221"/>
      <c r="BWE23" s="1221"/>
      <c r="BWF23" s="1221"/>
      <c r="BWG23" s="1221"/>
      <c r="BWH23" s="1221"/>
      <c r="BWI23" s="1221"/>
      <c r="BWJ23" s="1221"/>
      <c r="BWK23" s="1221"/>
      <c r="BWL23" s="1221"/>
      <c r="BWM23" s="1221"/>
      <c r="BWN23" s="1221"/>
      <c r="BWO23" s="1221"/>
      <c r="BWP23" s="1221"/>
      <c r="BWQ23" s="1221"/>
      <c r="BWR23" s="1221"/>
      <c r="BWS23" s="1221"/>
      <c r="BWT23" s="1221"/>
      <c r="BWU23" s="1221"/>
      <c r="BWV23" s="1221"/>
      <c r="BWW23" s="1221"/>
      <c r="BWX23" s="1221"/>
      <c r="BWY23" s="1221"/>
      <c r="BWZ23" s="1221"/>
      <c r="BXA23" s="1221"/>
      <c r="BXB23" s="1221"/>
      <c r="BXC23" s="1221"/>
      <c r="BXD23" s="1221"/>
      <c r="BXE23" s="1221"/>
      <c r="BXF23" s="1221"/>
      <c r="BXG23" s="1221"/>
      <c r="BXH23" s="1221"/>
      <c r="BXI23" s="1221"/>
      <c r="BXJ23" s="1221"/>
      <c r="BXK23" s="1221"/>
      <c r="BXL23" s="1221"/>
      <c r="BXM23" s="1221"/>
      <c r="BXN23" s="1221"/>
      <c r="BXO23" s="1221"/>
      <c r="BXP23" s="1221"/>
      <c r="BXQ23" s="1221"/>
      <c r="BXR23" s="1221"/>
      <c r="BXS23" s="1221"/>
      <c r="BXT23" s="1221"/>
      <c r="BXU23" s="1221"/>
      <c r="BXV23" s="1221"/>
      <c r="BXW23" s="1221"/>
      <c r="BXX23" s="1221"/>
      <c r="BXY23" s="1221"/>
      <c r="BXZ23" s="1221"/>
      <c r="BYA23" s="1221"/>
      <c r="BYB23" s="1221"/>
      <c r="BYC23" s="1221"/>
      <c r="BYD23" s="1221"/>
      <c r="BYE23" s="1221"/>
      <c r="BYF23" s="1221"/>
      <c r="BYG23" s="1221"/>
      <c r="BYH23" s="1221"/>
      <c r="BYI23" s="1221"/>
      <c r="BYJ23" s="1221"/>
      <c r="BYK23" s="1221"/>
      <c r="BYL23" s="1221"/>
      <c r="BYM23" s="1221"/>
      <c r="BYN23" s="1221"/>
      <c r="BYO23" s="1221"/>
      <c r="BYP23" s="1221"/>
      <c r="BYQ23" s="1221"/>
      <c r="BYR23" s="1221"/>
      <c r="BYS23" s="1221"/>
      <c r="BYT23" s="1221"/>
      <c r="BYU23" s="1221"/>
      <c r="BYV23" s="1221"/>
      <c r="BYW23" s="1221"/>
      <c r="BYX23" s="1221"/>
      <c r="BYY23" s="1221"/>
      <c r="BYZ23" s="1221"/>
      <c r="BZA23" s="1221"/>
      <c r="BZB23" s="1221"/>
      <c r="BZC23" s="1221"/>
      <c r="BZD23" s="1221"/>
      <c r="BZE23" s="1221"/>
      <c r="BZF23" s="1221"/>
      <c r="BZG23" s="1221"/>
      <c r="BZH23" s="1221"/>
      <c r="BZI23" s="1221"/>
      <c r="BZJ23" s="1221"/>
      <c r="BZK23" s="1221"/>
      <c r="BZL23" s="1221"/>
      <c r="BZM23" s="1221"/>
      <c r="BZN23" s="1221"/>
      <c r="BZO23" s="1221"/>
      <c r="BZP23" s="1221"/>
      <c r="BZQ23" s="1221"/>
      <c r="BZR23" s="1221"/>
      <c r="BZS23" s="1221"/>
      <c r="BZT23" s="1221"/>
      <c r="BZU23" s="1221"/>
      <c r="BZV23" s="1221"/>
      <c r="BZW23" s="1221"/>
      <c r="BZX23" s="1221"/>
      <c r="BZY23" s="1221"/>
      <c r="BZZ23" s="1221"/>
      <c r="CAA23" s="1221"/>
      <c r="CAB23" s="1221"/>
      <c r="CAC23" s="1221"/>
      <c r="CAD23" s="1221"/>
      <c r="CAE23" s="1221"/>
      <c r="CAF23" s="1221"/>
      <c r="CAG23" s="1221"/>
      <c r="CAH23" s="1221"/>
      <c r="CAI23" s="1221"/>
      <c r="CAJ23" s="1221"/>
      <c r="CAK23" s="1221"/>
      <c r="CAL23" s="1221"/>
      <c r="CAM23" s="1221"/>
      <c r="CAN23" s="1221"/>
      <c r="CAO23" s="1221"/>
      <c r="CAP23" s="1221"/>
      <c r="CAQ23" s="1221"/>
      <c r="CAR23" s="1221"/>
      <c r="CAS23" s="1221"/>
      <c r="CAT23" s="1221"/>
      <c r="CAU23" s="1221"/>
      <c r="CAV23" s="1221"/>
      <c r="CAW23" s="1221"/>
      <c r="CAX23" s="1221"/>
      <c r="CAY23" s="1221"/>
      <c r="CAZ23" s="1221"/>
      <c r="CBA23" s="1221"/>
      <c r="CBB23" s="1221"/>
      <c r="CBC23" s="1221"/>
      <c r="CBD23" s="1221"/>
      <c r="CBE23" s="1221"/>
      <c r="CBF23" s="1221"/>
      <c r="CBG23" s="1221"/>
      <c r="CBH23" s="1221"/>
      <c r="CBI23" s="1221"/>
      <c r="CBJ23" s="1221"/>
      <c r="CBK23" s="1221"/>
      <c r="CBL23" s="1221"/>
      <c r="CBM23" s="1221"/>
      <c r="CBN23" s="1221"/>
      <c r="CBO23" s="1221"/>
      <c r="CBP23" s="1221"/>
      <c r="CBQ23" s="1221"/>
      <c r="CBR23" s="1221"/>
      <c r="CBS23" s="1221"/>
      <c r="CBT23" s="1221"/>
      <c r="CBU23" s="1221"/>
      <c r="CBV23" s="1221"/>
      <c r="CBW23" s="1221"/>
      <c r="CBX23" s="1221"/>
      <c r="CBY23" s="1221"/>
      <c r="CBZ23" s="1221"/>
      <c r="CCA23" s="1221"/>
      <c r="CCB23" s="1221"/>
      <c r="CCC23" s="1221"/>
      <c r="CCD23" s="1221"/>
      <c r="CCE23" s="1221"/>
      <c r="CCF23" s="1221"/>
      <c r="CCG23" s="1221"/>
      <c r="CCH23" s="1221"/>
      <c r="CCI23" s="1221"/>
      <c r="CCJ23" s="1221"/>
      <c r="CCK23" s="1221"/>
      <c r="CCL23" s="1221"/>
      <c r="CCM23" s="1221"/>
      <c r="CCN23" s="1221"/>
      <c r="CCO23" s="1221"/>
      <c r="CCP23" s="1221"/>
      <c r="CCQ23" s="1221"/>
      <c r="CCR23" s="1221"/>
      <c r="CCS23" s="1221"/>
      <c r="CCT23" s="1221"/>
      <c r="CCU23" s="1221"/>
      <c r="CCV23" s="1221"/>
      <c r="CCW23" s="1221"/>
      <c r="CCX23" s="1221"/>
      <c r="CCY23" s="1221"/>
      <c r="CCZ23" s="1221"/>
      <c r="CDA23" s="1221"/>
      <c r="CDB23" s="1221"/>
      <c r="CDC23" s="1221"/>
      <c r="CDD23" s="1221"/>
      <c r="CDE23" s="1221"/>
      <c r="CDF23" s="1221"/>
      <c r="CDG23" s="1221"/>
      <c r="CDH23" s="1221"/>
      <c r="CDI23" s="1221"/>
      <c r="CDJ23" s="1221"/>
      <c r="CDK23" s="1221"/>
      <c r="CDL23" s="1221"/>
      <c r="CDM23" s="1221"/>
      <c r="CDN23" s="1221"/>
      <c r="CDO23" s="1221"/>
      <c r="CDP23" s="1221"/>
      <c r="CDQ23" s="1221"/>
      <c r="CDR23" s="1221"/>
      <c r="CDS23" s="1221"/>
      <c r="CDT23" s="1221"/>
      <c r="CDU23" s="1221"/>
      <c r="CDV23" s="1221"/>
      <c r="CDW23" s="1221"/>
      <c r="CDX23" s="1221"/>
      <c r="CDY23" s="1221"/>
      <c r="CDZ23" s="1221"/>
      <c r="CEA23" s="1221"/>
      <c r="CEB23" s="1221"/>
      <c r="CEC23" s="1221"/>
      <c r="CED23" s="1221"/>
      <c r="CEE23" s="1221"/>
      <c r="CEF23" s="1221"/>
      <c r="CEG23" s="1221"/>
      <c r="CEH23" s="1221"/>
      <c r="CEI23" s="1221"/>
      <c r="CEJ23" s="1221"/>
      <c r="CEK23" s="1221"/>
      <c r="CEL23" s="1221"/>
      <c r="CEM23" s="1221"/>
      <c r="CEN23" s="1221"/>
      <c r="CEO23" s="1221"/>
      <c r="CEP23" s="1221"/>
      <c r="CEQ23" s="1221"/>
      <c r="CER23" s="1221"/>
      <c r="CES23" s="1221"/>
      <c r="CET23" s="1221"/>
      <c r="CEU23" s="1221"/>
      <c r="CEV23" s="1221"/>
      <c r="CEW23" s="1221"/>
      <c r="CEX23" s="1221"/>
      <c r="CEY23" s="1221"/>
      <c r="CEZ23" s="1221"/>
      <c r="CFA23" s="1221"/>
      <c r="CFB23" s="1221"/>
      <c r="CFC23" s="1221"/>
      <c r="CFD23" s="1221"/>
      <c r="CFE23" s="1221"/>
      <c r="CFF23" s="1221"/>
      <c r="CFG23" s="1221"/>
      <c r="CFH23" s="1221"/>
      <c r="CFI23" s="1221"/>
      <c r="CFJ23" s="1221"/>
      <c r="CFK23" s="1221"/>
      <c r="CFL23" s="1221"/>
      <c r="CFM23" s="1221"/>
      <c r="CFN23" s="1221"/>
      <c r="CFO23" s="1221"/>
      <c r="CFP23" s="1221"/>
      <c r="CFQ23" s="1221"/>
      <c r="CFR23" s="1221"/>
      <c r="CFS23" s="1221"/>
      <c r="CFT23" s="1221"/>
      <c r="CFU23" s="1221"/>
      <c r="CFV23" s="1221"/>
      <c r="CFW23" s="1221"/>
      <c r="CFX23" s="1221"/>
      <c r="CFY23" s="1221"/>
      <c r="CFZ23" s="1221"/>
      <c r="CGA23" s="1221"/>
      <c r="CGB23" s="1221"/>
      <c r="CGC23" s="1221"/>
      <c r="CGD23" s="1221"/>
      <c r="CGE23" s="1221"/>
      <c r="CGF23" s="1221"/>
      <c r="CGG23" s="1221"/>
      <c r="CGH23" s="1221"/>
      <c r="CGI23" s="1221"/>
      <c r="CGJ23" s="1221"/>
      <c r="CGK23" s="1221"/>
      <c r="CGL23" s="1221"/>
      <c r="CGM23" s="1221"/>
      <c r="CGN23" s="1221"/>
      <c r="CGO23" s="1221"/>
      <c r="CGP23" s="1221"/>
      <c r="CGQ23" s="1221"/>
      <c r="CGR23" s="1221"/>
      <c r="CGS23" s="1221"/>
      <c r="CGT23" s="1221"/>
      <c r="CGU23" s="1221"/>
      <c r="CGV23" s="1221"/>
      <c r="CGW23" s="1221"/>
      <c r="CGX23" s="1221"/>
      <c r="CGY23" s="1221"/>
      <c r="CGZ23" s="1221"/>
      <c r="CHA23" s="1221"/>
      <c r="CHB23" s="1221"/>
      <c r="CHC23" s="1221"/>
      <c r="CHD23" s="1221"/>
      <c r="CHE23" s="1221"/>
      <c r="CHF23" s="1221"/>
      <c r="CHG23" s="1221"/>
      <c r="CHH23" s="1221"/>
      <c r="CHI23" s="1221"/>
      <c r="CHJ23" s="1221"/>
      <c r="CHK23" s="1221"/>
      <c r="CHL23" s="1221"/>
      <c r="CHM23" s="1221"/>
      <c r="CHN23" s="1221"/>
      <c r="CHO23" s="1221"/>
      <c r="CHP23" s="1221"/>
      <c r="CHQ23" s="1221"/>
      <c r="CHR23" s="1221"/>
      <c r="CHS23" s="1221"/>
      <c r="CHT23" s="1221"/>
      <c r="CHU23" s="1221"/>
      <c r="CHV23" s="1221"/>
      <c r="CHW23" s="1221"/>
      <c r="CHX23" s="1221"/>
      <c r="CHY23" s="1221"/>
      <c r="CHZ23" s="1221"/>
      <c r="CIA23" s="1221"/>
      <c r="CIB23" s="1221"/>
      <c r="CIC23" s="1221"/>
      <c r="CID23" s="1221"/>
      <c r="CIE23" s="1221"/>
      <c r="CIF23" s="1221"/>
      <c r="CIG23" s="1221"/>
      <c r="CIH23" s="1221"/>
      <c r="CII23" s="1221"/>
      <c r="CIJ23" s="1221"/>
      <c r="CIK23" s="1221"/>
      <c r="CIL23" s="1221"/>
      <c r="CIM23" s="1221"/>
      <c r="CIN23" s="1221"/>
      <c r="CIO23" s="1221"/>
      <c r="CIP23" s="1221"/>
      <c r="CIQ23" s="1221"/>
      <c r="CIR23" s="1221"/>
      <c r="CIS23" s="1221"/>
      <c r="CIT23" s="1221"/>
      <c r="CIU23" s="1221"/>
      <c r="CIV23" s="1221"/>
      <c r="CIW23" s="1221"/>
      <c r="CIX23" s="1221"/>
      <c r="CIY23" s="1221"/>
      <c r="CIZ23" s="1221"/>
      <c r="CJA23" s="1221"/>
      <c r="CJB23" s="1221"/>
      <c r="CJC23" s="1221"/>
      <c r="CJD23" s="1221"/>
      <c r="CJE23" s="1221"/>
      <c r="CJF23" s="1221"/>
      <c r="CJG23" s="1221"/>
      <c r="CJH23" s="1221"/>
      <c r="CJI23" s="1221"/>
      <c r="CJJ23" s="1221"/>
      <c r="CJK23" s="1221"/>
      <c r="CJL23" s="1221"/>
      <c r="CJM23" s="1221"/>
      <c r="CJN23" s="1221"/>
      <c r="CJO23" s="1221"/>
      <c r="CJP23" s="1221"/>
      <c r="CJQ23" s="1221"/>
      <c r="CJR23" s="1221"/>
      <c r="CJS23" s="1221"/>
      <c r="CJT23" s="1221"/>
      <c r="CJU23" s="1221"/>
      <c r="CJV23" s="1221"/>
      <c r="CJW23" s="1221"/>
      <c r="CJX23" s="1221"/>
      <c r="CJY23" s="1221"/>
      <c r="CJZ23" s="1221"/>
      <c r="CKA23" s="1221"/>
      <c r="CKB23" s="1221"/>
      <c r="CKC23" s="1221"/>
      <c r="CKD23" s="1221"/>
      <c r="CKE23" s="1221"/>
      <c r="CKF23" s="1221"/>
      <c r="CKG23" s="1221"/>
      <c r="CKH23" s="1221"/>
      <c r="CKI23" s="1221"/>
      <c r="CKJ23" s="1221"/>
      <c r="CKK23" s="1221"/>
      <c r="CKL23" s="1221"/>
      <c r="CKM23" s="1221"/>
      <c r="CKN23" s="1221"/>
      <c r="CKO23" s="1221"/>
      <c r="CKP23" s="1221"/>
      <c r="CKQ23" s="1221"/>
      <c r="CKR23" s="1221"/>
      <c r="CKS23" s="1221"/>
      <c r="CKT23" s="1221"/>
      <c r="CKU23" s="1221"/>
      <c r="CKV23" s="1221"/>
      <c r="CKW23" s="1221"/>
      <c r="CKX23" s="1221"/>
      <c r="CKY23" s="1221"/>
      <c r="CKZ23" s="1221"/>
      <c r="CLA23" s="1221"/>
      <c r="CLB23" s="1221"/>
      <c r="CLC23" s="1221"/>
      <c r="CLD23" s="1221"/>
      <c r="CLE23" s="1221"/>
      <c r="CLF23" s="1221"/>
      <c r="CLG23" s="1221"/>
      <c r="CLH23" s="1221"/>
      <c r="CLI23" s="1221"/>
      <c r="CLJ23" s="1221"/>
      <c r="CLK23" s="1221"/>
      <c r="CLL23" s="1221"/>
      <c r="CLM23" s="1221"/>
      <c r="CLN23" s="1221"/>
      <c r="CLO23" s="1221"/>
      <c r="CLP23" s="1221"/>
      <c r="CLQ23" s="1221"/>
      <c r="CLR23" s="1221"/>
      <c r="CLS23" s="1221"/>
      <c r="CLT23" s="1221"/>
      <c r="CLU23" s="1221"/>
      <c r="CLV23" s="1221"/>
      <c r="CLW23" s="1221"/>
      <c r="CLX23" s="1221"/>
      <c r="CLY23" s="1221"/>
      <c r="CLZ23" s="1221"/>
      <c r="CMA23" s="1221"/>
      <c r="CMB23" s="1221"/>
      <c r="CMC23" s="1221"/>
      <c r="CMD23" s="1221"/>
      <c r="CME23" s="1221"/>
      <c r="CMF23" s="1221"/>
      <c r="CMG23" s="1221"/>
      <c r="CMH23" s="1221"/>
      <c r="CMI23" s="1221"/>
      <c r="CMJ23" s="1221"/>
      <c r="CMK23" s="1221"/>
      <c r="CML23" s="1221"/>
      <c r="CMM23" s="1221"/>
      <c r="CMN23" s="1221"/>
      <c r="CMO23" s="1221"/>
      <c r="CMP23" s="1221"/>
      <c r="CMQ23" s="1221"/>
      <c r="CMR23" s="1221"/>
      <c r="CMS23" s="1221"/>
      <c r="CMT23" s="1221"/>
      <c r="CMU23" s="1221"/>
      <c r="CMV23" s="1221"/>
      <c r="CMW23" s="1221"/>
      <c r="CMX23" s="1221"/>
      <c r="CMY23" s="1221"/>
      <c r="CMZ23" s="1221"/>
      <c r="CNA23" s="1221"/>
      <c r="CNB23" s="1221"/>
      <c r="CNC23" s="1221"/>
      <c r="CND23" s="1221"/>
      <c r="CNE23" s="1221"/>
      <c r="CNF23" s="1221"/>
      <c r="CNG23" s="1221"/>
      <c r="CNH23" s="1221"/>
      <c r="CNI23" s="1221"/>
      <c r="CNJ23" s="1221"/>
      <c r="CNK23" s="1221"/>
      <c r="CNL23" s="1221"/>
      <c r="CNM23" s="1221"/>
      <c r="CNN23" s="1221"/>
      <c r="CNO23" s="1221"/>
      <c r="CNP23" s="1221"/>
      <c r="CNQ23" s="1221"/>
      <c r="CNR23" s="1221"/>
      <c r="CNS23" s="1221"/>
      <c r="CNT23" s="1221"/>
      <c r="CNU23" s="1221"/>
      <c r="CNV23" s="1221"/>
      <c r="CNW23" s="1221"/>
      <c r="CNX23" s="1221"/>
      <c r="CNY23" s="1221"/>
      <c r="CNZ23" s="1221"/>
      <c r="COA23" s="1221"/>
      <c r="COB23" s="1221"/>
      <c r="COC23" s="1221"/>
      <c r="COD23" s="1221"/>
      <c r="COE23" s="1221"/>
      <c r="COF23" s="1221"/>
      <c r="COG23" s="1221"/>
      <c r="COH23" s="1221"/>
      <c r="COI23" s="1221"/>
      <c r="COJ23" s="1221"/>
      <c r="COK23" s="1221"/>
      <c r="COL23" s="1221"/>
      <c r="COM23" s="1221"/>
      <c r="CON23" s="1221"/>
      <c r="COO23" s="1221"/>
      <c r="COP23" s="1221"/>
      <c r="COQ23" s="1221"/>
      <c r="COR23" s="1221"/>
      <c r="COS23" s="1221"/>
      <c r="COT23" s="1221"/>
      <c r="COU23" s="1221"/>
      <c r="COV23" s="1221"/>
      <c r="COW23" s="1221"/>
      <c r="COX23" s="1221"/>
      <c r="COY23" s="1221"/>
      <c r="COZ23" s="1221"/>
      <c r="CPA23" s="1221"/>
      <c r="CPB23" s="1221"/>
      <c r="CPC23" s="1221"/>
      <c r="CPD23" s="1221"/>
      <c r="CPE23" s="1221"/>
      <c r="CPF23" s="1221"/>
      <c r="CPG23" s="1221"/>
      <c r="CPH23" s="1221"/>
      <c r="CPI23" s="1221"/>
      <c r="CPJ23" s="1221"/>
      <c r="CPK23" s="1221"/>
      <c r="CPL23" s="1221"/>
      <c r="CPM23" s="1221"/>
      <c r="CPN23" s="1221"/>
      <c r="CPO23" s="1221"/>
      <c r="CPP23" s="1221"/>
      <c r="CPQ23" s="1221"/>
      <c r="CPR23" s="1221"/>
      <c r="CPS23" s="1221"/>
      <c r="CPT23" s="1221"/>
      <c r="CPU23" s="1221"/>
      <c r="CPV23" s="1221"/>
      <c r="CPW23" s="1221"/>
      <c r="CPX23" s="1221"/>
      <c r="CPY23" s="1221"/>
      <c r="CPZ23" s="1221"/>
      <c r="CQA23" s="1221"/>
      <c r="CQB23" s="1221"/>
      <c r="CQC23" s="1221"/>
      <c r="CQD23" s="1221"/>
      <c r="CQE23" s="1221"/>
      <c r="CQF23" s="1221"/>
      <c r="CQG23" s="1221"/>
      <c r="CQH23" s="1221"/>
      <c r="CQI23" s="1221"/>
      <c r="CQJ23" s="1221"/>
      <c r="CQK23" s="1221"/>
      <c r="CQL23" s="1221"/>
      <c r="CQM23" s="1221"/>
      <c r="CQN23" s="1221"/>
      <c r="CQO23" s="1221"/>
      <c r="CQP23" s="1221"/>
      <c r="CQQ23" s="1221"/>
      <c r="CQR23" s="1221"/>
      <c r="CQS23" s="1221"/>
      <c r="CQT23" s="1221"/>
      <c r="CQU23" s="1221"/>
      <c r="CQV23" s="1221"/>
      <c r="CQW23" s="1221"/>
      <c r="CQX23" s="1221"/>
      <c r="CQY23" s="1221"/>
      <c r="CQZ23" s="1221"/>
      <c r="CRA23" s="1221"/>
      <c r="CRB23" s="1221"/>
      <c r="CRC23" s="1221"/>
      <c r="CRD23" s="1221"/>
      <c r="CRE23" s="1221"/>
      <c r="CRF23" s="1221"/>
      <c r="CRG23" s="1221"/>
      <c r="CRH23" s="1221"/>
      <c r="CRI23" s="1221"/>
      <c r="CRJ23" s="1221"/>
      <c r="CRK23" s="1221"/>
      <c r="CRL23" s="1221"/>
      <c r="CRM23" s="1221"/>
      <c r="CRN23" s="1221"/>
      <c r="CRO23" s="1221"/>
      <c r="CRP23" s="1221"/>
      <c r="CRQ23" s="1221"/>
      <c r="CRR23" s="1221"/>
      <c r="CRS23" s="1221"/>
      <c r="CRT23" s="1221"/>
      <c r="CRU23" s="1221"/>
      <c r="CRV23" s="1221"/>
      <c r="CRW23" s="1221"/>
      <c r="CRX23" s="1221"/>
      <c r="CRY23" s="1221"/>
      <c r="CRZ23" s="1221"/>
      <c r="CSA23" s="1221"/>
      <c r="CSB23" s="1221"/>
      <c r="CSC23" s="1221"/>
      <c r="CSD23" s="1221"/>
      <c r="CSE23" s="1221"/>
      <c r="CSF23" s="1221"/>
      <c r="CSG23" s="1221"/>
      <c r="CSH23" s="1221"/>
      <c r="CSI23" s="1221"/>
      <c r="CSJ23" s="1221"/>
      <c r="CSK23" s="1221"/>
      <c r="CSL23" s="1221"/>
      <c r="CSM23" s="1221"/>
      <c r="CSN23" s="1221"/>
      <c r="CSO23" s="1221"/>
      <c r="CSP23" s="1221"/>
      <c r="CSQ23" s="1221"/>
      <c r="CSR23" s="1221"/>
      <c r="CSS23" s="1221"/>
      <c r="CST23" s="1221"/>
      <c r="CSU23" s="1221"/>
      <c r="CSV23" s="1221"/>
      <c r="CSW23" s="1221"/>
      <c r="CSX23" s="1221"/>
      <c r="CSY23" s="1221"/>
      <c r="CSZ23" s="1221"/>
      <c r="CTA23" s="1221"/>
      <c r="CTB23" s="1221"/>
      <c r="CTC23" s="1221"/>
      <c r="CTD23" s="1221"/>
      <c r="CTE23" s="1221"/>
      <c r="CTF23" s="1221"/>
      <c r="CTG23" s="1221"/>
      <c r="CTH23" s="1221"/>
      <c r="CTI23" s="1221"/>
      <c r="CTJ23" s="1221"/>
      <c r="CTK23" s="1221"/>
      <c r="CTL23" s="1221"/>
      <c r="CTM23" s="1221"/>
      <c r="CTN23" s="1221"/>
      <c r="CTO23" s="1221"/>
      <c r="CTP23" s="1221"/>
      <c r="CTQ23" s="1221"/>
      <c r="CTR23" s="1221"/>
      <c r="CTS23" s="1221"/>
      <c r="CTT23" s="1221"/>
      <c r="CTU23" s="1221"/>
      <c r="CTV23" s="1221"/>
      <c r="CTW23" s="1221"/>
      <c r="CTX23" s="1221"/>
      <c r="CTY23" s="1221"/>
      <c r="CTZ23" s="1221"/>
      <c r="CUA23" s="1221"/>
      <c r="CUB23" s="1221"/>
      <c r="CUC23" s="1221"/>
      <c r="CUD23" s="1221"/>
      <c r="CUE23" s="1221"/>
      <c r="CUF23" s="1221"/>
      <c r="CUG23" s="1221"/>
      <c r="CUH23" s="1221"/>
      <c r="CUI23" s="1221"/>
      <c r="CUJ23" s="1221"/>
      <c r="CUK23" s="1221"/>
      <c r="CUL23" s="1221"/>
      <c r="CUM23" s="1221"/>
      <c r="CUN23" s="1221"/>
      <c r="CUO23" s="1221"/>
      <c r="CUP23" s="1221"/>
      <c r="CUQ23" s="1221"/>
      <c r="CUR23" s="1221"/>
      <c r="CUS23" s="1221"/>
      <c r="CUT23" s="1221"/>
      <c r="CUU23" s="1221"/>
      <c r="CUV23" s="1221"/>
      <c r="CUW23" s="1221"/>
      <c r="CUX23" s="1221"/>
      <c r="CUY23" s="1221"/>
      <c r="CUZ23" s="1221"/>
      <c r="CVA23" s="1221"/>
      <c r="CVB23" s="1221"/>
      <c r="CVC23" s="1221"/>
      <c r="CVD23" s="1221"/>
      <c r="CVE23" s="1221"/>
      <c r="CVF23" s="1221"/>
      <c r="CVG23" s="1221"/>
      <c r="CVH23" s="1221"/>
      <c r="CVI23" s="1221"/>
      <c r="CVJ23" s="1221"/>
      <c r="CVK23" s="1221"/>
      <c r="CVL23" s="1221"/>
      <c r="CVM23" s="1221"/>
      <c r="CVN23" s="1221"/>
      <c r="CVO23" s="1221"/>
      <c r="CVP23" s="1221"/>
      <c r="CVQ23" s="1221"/>
      <c r="CVR23" s="1221"/>
      <c r="CVS23" s="1221"/>
      <c r="CVT23" s="1221"/>
      <c r="CVU23" s="1221"/>
      <c r="CVV23" s="1221"/>
      <c r="CVW23" s="1221"/>
      <c r="CVX23" s="1221"/>
      <c r="CVY23" s="1221"/>
      <c r="CVZ23" s="1221"/>
      <c r="CWA23" s="1221"/>
      <c r="CWB23" s="1221"/>
      <c r="CWC23" s="1221"/>
      <c r="CWD23" s="1221"/>
      <c r="CWE23" s="1221"/>
      <c r="CWF23" s="1221"/>
      <c r="CWG23" s="1221"/>
      <c r="CWH23" s="1221"/>
      <c r="CWI23" s="1221"/>
      <c r="CWJ23" s="1221"/>
      <c r="CWK23" s="1221"/>
      <c r="CWL23" s="1221"/>
      <c r="CWM23" s="1221"/>
      <c r="CWN23" s="1221"/>
      <c r="CWO23" s="1221"/>
      <c r="CWP23" s="1221"/>
      <c r="CWQ23" s="1221"/>
      <c r="CWR23" s="1221"/>
      <c r="CWS23" s="1221"/>
      <c r="CWT23" s="1221"/>
      <c r="CWU23" s="1221"/>
      <c r="CWV23" s="1221"/>
      <c r="CWW23" s="1221"/>
      <c r="CWX23" s="1221"/>
      <c r="CWY23" s="1221"/>
      <c r="CWZ23" s="1221"/>
      <c r="CXA23" s="1221"/>
      <c r="CXB23" s="1221"/>
      <c r="CXC23" s="1221"/>
      <c r="CXD23" s="1221"/>
      <c r="CXE23" s="1221"/>
      <c r="CXF23" s="1221"/>
      <c r="CXG23" s="1221"/>
      <c r="CXH23" s="1221"/>
      <c r="CXI23" s="1221"/>
      <c r="CXJ23" s="1221"/>
      <c r="CXK23" s="1221"/>
      <c r="CXL23" s="1221"/>
      <c r="CXM23" s="1221"/>
      <c r="CXN23" s="1221"/>
      <c r="CXO23" s="1221"/>
      <c r="CXP23" s="1221"/>
      <c r="CXQ23" s="1221"/>
      <c r="CXR23" s="1221"/>
      <c r="CXS23" s="1221"/>
      <c r="CXT23" s="1221"/>
      <c r="CXU23" s="1221"/>
      <c r="CXV23" s="1221"/>
      <c r="CXW23" s="1221"/>
      <c r="CXX23" s="1221"/>
      <c r="CXY23" s="1221"/>
      <c r="CXZ23" s="1221"/>
      <c r="CYA23" s="1221"/>
      <c r="CYB23" s="1221"/>
      <c r="CYC23" s="1221"/>
      <c r="CYD23" s="1221"/>
      <c r="CYE23" s="1221"/>
      <c r="CYF23" s="1221"/>
      <c r="CYG23" s="1221"/>
      <c r="CYH23" s="1221"/>
      <c r="CYI23" s="1221"/>
      <c r="CYJ23" s="1221"/>
      <c r="CYK23" s="1221"/>
      <c r="CYL23" s="1221"/>
      <c r="CYM23" s="1221"/>
      <c r="CYN23" s="1221"/>
      <c r="CYO23" s="1221"/>
      <c r="CYP23" s="1221"/>
      <c r="CYQ23" s="1221"/>
      <c r="CYR23" s="1221"/>
      <c r="CYS23" s="1221"/>
      <c r="CYT23" s="1221"/>
      <c r="CYU23" s="1221"/>
      <c r="CYV23" s="1221"/>
      <c r="CYW23" s="1221"/>
      <c r="CYX23" s="1221"/>
      <c r="CYY23" s="1221"/>
      <c r="CYZ23" s="1221"/>
      <c r="CZA23" s="1221"/>
      <c r="CZB23" s="1221"/>
      <c r="CZC23" s="1221"/>
      <c r="CZD23" s="1221"/>
      <c r="CZE23" s="1221"/>
      <c r="CZF23" s="1221"/>
      <c r="CZG23" s="1221"/>
      <c r="CZH23" s="1221"/>
      <c r="CZI23" s="1221"/>
      <c r="CZJ23" s="1221"/>
      <c r="CZK23" s="1221"/>
      <c r="CZL23" s="1221"/>
      <c r="CZM23" s="1221"/>
      <c r="CZN23" s="1221"/>
      <c r="CZO23" s="1221"/>
      <c r="CZP23" s="1221"/>
      <c r="CZQ23" s="1221"/>
      <c r="CZR23" s="1221"/>
      <c r="CZS23" s="1221"/>
      <c r="CZT23" s="1221"/>
      <c r="CZU23" s="1221"/>
      <c r="CZV23" s="1221"/>
      <c r="CZW23" s="1221"/>
      <c r="CZX23" s="1221"/>
      <c r="CZY23" s="1221"/>
      <c r="CZZ23" s="1221"/>
      <c r="DAA23" s="1221"/>
      <c r="DAB23" s="1221"/>
      <c r="DAC23" s="1221"/>
      <c r="DAD23" s="1221"/>
      <c r="DAE23" s="1221"/>
      <c r="DAF23" s="1221"/>
      <c r="DAG23" s="1221"/>
      <c r="DAH23" s="1221"/>
      <c r="DAI23" s="1221"/>
      <c r="DAJ23" s="1221"/>
      <c r="DAK23" s="1221"/>
      <c r="DAL23" s="1221"/>
      <c r="DAM23" s="1221"/>
      <c r="DAN23" s="1221"/>
      <c r="DAO23" s="1221"/>
      <c r="DAP23" s="1221"/>
      <c r="DAQ23" s="1221"/>
      <c r="DAR23" s="1221"/>
      <c r="DAS23" s="1221"/>
      <c r="DAT23" s="1221"/>
      <c r="DAU23" s="1221"/>
      <c r="DAV23" s="1221"/>
      <c r="DAW23" s="1221"/>
      <c r="DAX23" s="1221"/>
      <c r="DAY23" s="1221"/>
      <c r="DAZ23" s="1221"/>
      <c r="DBA23" s="1221"/>
      <c r="DBB23" s="1221"/>
      <c r="DBC23" s="1221"/>
      <c r="DBD23" s="1221"/>
      <c r="DBE23" s="1221"/>
      <c r="DBF23" s="1221"/>
      <c r="DBG23" s="1221"/>
      <c r="DBH23" s="1221"/>
      <c r="DBI23" s="1221"/>
      <c r="DBJ23" s="1221"/>
      <c r="DBK23" s="1221"/>
      <c r="DBL23" s="1221"/>
      <c r="DBM23" s="1221"/>
      <c r="DBN23" s="1221"/>
      <c r="DBO23" s="1221"/>
      <c r="DBP23" s="1221"/>
      <c r="DBQ23" s="1221"/>
      <c r="DBR23" s="1221"/>
      <c r="DBS23" s="1221"/>
      <c r="DBT23" s="1221"/>
      <c r="DBU23" s="1221"/>
      <c r="DBV23" s="1221"/>
      <c r="DBW23" s="1221"/>
      <c r="DBX23" s="1221"/>
      <c r="DBY23" s="1221"/>
      <c r="DBZ23" s="1221"/>
      <c r="DCA23" s="1221"/>
      <c r="DCB23" s="1221"/>
      <c r="DCC23" s="1221"/>
      <c r="DCD23" s="1221"/>
      <c r="DCE23" s="1221"/>
      <c r="DCF23" s="1221"/>
      <c r="DCG23" s="1221"/>
      <c r="DCH23" s="1221"/>
      <c r="DCI23" s="1221"/>
      <c r="DCJ23" s="1221"/>
      <c r="DCK23" s="1221"/>
      <c r="DCL23" s="1221"/>
      <c r="DCM23" s="1221"/>
      <c r="DCN23" s="1221"/>
      <c r="DCO23" s="1221"/>
      <c r="DCP23" s="1221"/>
      <c r="DCQ23" s="1221"/>
      <c r="DCR23" s="1221"/>
      <c r="DCS23" s="1221"/>
      <c r="DCT23" s="1221"/>
      <c r="DCU23" s="1221"/>
      <c r="DCV23" s="1221"/>
      <c r="DCW23" s="1221"/>
      <c r="DCX23" s="1221"/>
      <c r="DCY23" s="1221"/>
      <c r="DCZ23" s="1221"/>
      <c r="DDA23" s="1221"/>
      <c r="DDB23" s="1221"/>
      <c r="DDC23" s="1221"/>
      <c r="DDD23" s="1221"/>
      <c r="DDE23" s="1221"/>
      <c r="DDF23" s="1221"/>
      <c r="DDG23" s="1221"/>
      <c r="DDH23" s="1221"/>
      <c r="DDI23" s="1221"/>
      <c r="DDJ23" s="1221"/>
      <c r="DDK23" s="1221"/>
      <c r="DDL23" s="1221"/>
      <c r="DDM23" s="1221"/>
      <c r="DDN23" s="1221"/>
      <c r="DDO23" s="1221"/>
      <c r="DDP23" s="1221"/>
      <c r="DDQ23" s="1221"/>
      <c r="DDR23" s="1221"/>
      <c r="DDS23" s="1221"/>
      <c r="DDT23" s="1221"/>
      <c r="DDU23" s="1221"/>
      <c r="DDV23" s="1221"/>
      <c r="DDW23" s="1221"/>
      <c r="DDX23" s="1221"/>
      <c r="DDY23" s="1221"/>
      <c r="DDZ23" s="1221"/>
      <c r="DEA23" s="1221"/>
      <c r="DEB23" s="1221"/>
      <c r="DEC23" s="1221"/>
      <c r="DED23" s="1221"/>
      <c r="DEE23" s="1221"/>
      <c r="DEF23" s="1221"/>
      <c r="DEG23" s="1221"/>
      <c r="DEH23" s="1221"/>
      <c r="DEI23" s="1221"/>
      <c r="DEJ23" s="1221"/>
      <c r="DEK23" s="1221"/>
      <c r="DEL23" s="1221"/>
      <c r="DEM23" s="1221"/>
      <c r="DEN23" s="1221"/>
      <c r="DEO23" s="1221"/>
      <c r="DEP23" s="1221"/>
      <c r="DEQ23" s="1221"/>
      <c r="DER23" s="1221"/>
      <c r="DES23" s="1221"/>
      <c r="DET23" s="1221"/>
      <c r="DEU23" s="1221"/>
      <c r="DEV23" s="1221"/>
      <c r="DEW23" s="1221"/>
      <c r="DEX23" s="1221"/>
      <c r="DEY23" s="1221"/>
      <c r="DEZ23" s="1221"/>
      <c r="DFA23" s="1221"/>
      <c r="DFB23" s="1221"/>
      <c r="DFC23" s="1221"/>
      <c r="DFD23" s="1221"/>
      <c r="DFE23" s="1221"/>
      <c r="DFF23" s="1221"/>
      <c r="DFG23" s="1221"/>
      <c r="DFH23" s="1221"/>
      <c r="DFI23" s="1221"/>
      <c r="DFJ23" s="1221"/>
      <c r="DFK23" s="1221"/>
      <c r="DFL23" s="1221"/>
      <c r="DFM23" s="1221"/>
      <c r="DFN23" s="1221"/>
      <c r="DFO23" s="1221"/>
      <c r="DFP23" s="1221"/>
      <c r="DFQ23" s="1221"/>
      <c r="DFR23" s="1221"/>
      <c r="DFS23" s="1221"/>
      <c r="DFT23" s="1221"/>
      <c r="DFU23" s="1221"/>
      <c r="DFV23" s="1221"/>
      <c r="DFW23" s="1221"/>
      <c r="DFX23" s="1221"/>
      <c r="DFY23" s="1221"/>
      <c r="DFZ23" s="1221"/>
      <c r="DGA23" s="1221"/>
      <c r="DGB23" s="1221"/>
      <c r="DGC23" s="1221"/>
      <c r="DGD23" s="1221"/>
      <c r="DGE23" s="1221"/>
      <c r="DGF23" s="1221"/>
      <c r="DGG23" s="1221"/>
      <c r="DGH23" s="1221"/>
      <c r="DGI23" s="1221"/>
      <c r="DGJ23" s="1221"/>
      <c r="DGK23" s="1221"/>
      <c r="DGL23" s="1221"/>
      <c r="DGM23" s="1221"/>
      <c r="DGN23" s="1221"/>
      <c r="DGO23" s="1221"/>
      <c r="DGP23" s="1221"/>
      <c r="DGQ23" s="1221"/>
      <c r="DGR23" s="1221"/>
      <c r="DGS23" s="1221"/>
      <c r="DGT23" s="1221"/>
      <c r="DGU23" s="1221"/>
      <c r="DGV23" s="1221"/>
      <c r="DGW23" s="1221"/>
      <c r="DGX23" s="1221"/>
      <c r="DGY23" s="1221"/>
      <c r="DGZ23" s="1221"/>
      <c r="DHA23" s="1221"/>
      <c r="DHB23" s="1221"/>
      <c r="DHC23" s="1221"/>
      <c r="DHD23" s="1221"/>
      <c r="DHE23" s="1221"/>
      <c r="DHF23" s="1221"/>
      <c r="DHG23" s="1221"/>
      <c r="DHH23" s="1221"/>
      <c r="DHI23" s="1221"/>
      <c r="DHJ23" s="1221"/>
      <c r="DHK23" s="1221"/>
      <c r="DHL23" s="1221"/>
      <c r="DHM23" s="1221"/>
      <c r="DHN23" s="1221"/>
      <c r="DHO23" s="1221"/>
      <c r="DHP23" s="1221"/>
      <c r="DHQ23" s="1221"/>
      <c r="DHR23" s="1221"/>
      <c r="DHS23" s="1221"/>
      <c r="DHT23" s="1221"/>
      <c r="DHU23" s="1221"/>
      <c r="DHV23" s="1221"/>
      <c r="DHW23" s="1221"/>
      <c r="DHX23" s="1221"/>
      <c r="DHY23" s="1221"/>
      <c r="DHZ23" s="1221"/>
      <c r="DIA23" s="1221"/>
      <c r="DIB23" s="1221"/>
      <c r="DIC23" s="1221"/>
      <c r="DID23" s="1221"/>
      <c r="DIE23" s="1221"/>
      <c r="DIF23" s="1221"/>
      <c r="DIG23" s="1221"/>
      <c r="DIH23" s="1221"/>
      <c r="DII23" s="1221"/>
      <c r="DIJ23" s="1221"/>
      <c r="DIK23" s="1221"/>
      <c r="DIL23" s="1221"/>
      <c r="DIM23" s="1221"/>
      <c r="DIN23" s="1221"/>
      <c r="DIO23" s="1221"/>
      <c r="DIP23" s="1221"/>
      <c r="DIQ23" s="1221"/>
      <c r="DIR23" s="1221"/>
      <c r="DIS23" s="1221"/>
      <c r="DIT23" s="1221"/>
      <c r="DIU23" s="1221"/>
      <c r="DIV23" s="1221"/>
      <c r="DIW23" s="1221"/>
      <c r="DIX23" s="1221"/>
      <c r="DIY23" s="1221"/>
      <c r="DIZ23" s="1221"/>
      <c r="DJA23" s="1221"/>
      <c r="DJB23" s="1221"/>
      <c r="DJC23" s="1221"/>
      <c r="DJD23" s="1221"/>
      <c r="DJE23" s="1221"/>
      <c r="DJF23" s="1221"/>
      <c r="DJG23" s="1221"/>
      <c r="DJH23" s="1221"/>
      <c r="DJI23" s="1221"/>
      <c r="DJJ23" s="1221"/>
      <c r="DJK23" s="1221"/>
      <c r="DJL23" s="1221"/>
      <c r="DJM23" s="1221"/>
      <c r="DJN23" s="1221"/>
      <c r="DJO23" s="1221"/>
      <c r="DJP23" s="1221"/>
      <c r="DJQ23" s="1221"/>
      <c r="DJR23" s="1221"/>
      <c r="DJS23" s="1221"/>
      <c r="DJT23" s="1221"/>
      <c r="DJU23" s="1221"/>
      <c r="DJV23" s="1221"/>
      <c r="DJW23" s="1221"/>
      <c r="DJX23" s="1221"/>
      <c r="DJY23" s="1221"/>
      <c r="DJZ23" s="1221"/>
      <c r="DKA23" s="1221"/>
      <c r="DKB23" s="1221"/>
      <c r="DKC23" s="1221"/>
      <c r="DKD23" s="1221"/>
      <c r="DKE23" s="1221"/>
      <c r="DKF23" s="1221"/>
      <c r="DKG23" s="1221"/>
      <c r="DKH23" s="1221"/>
      <c r="DKI23" s="1221"/>
      <c r="DKJ23" s="1221"/>
      <c r="DKK23" s="1221"/>
      <c r="DKL23" s="1221"/>
      <c r="DKM23" s="1221"/>
      <c r="DKN23" s="1221"/>
      <c r="DKO23" s="1221"/>
      <c r="DKP23" s="1221"/>
      <c r="DKQ23" s="1221"/>
      <c r="DKR23" s="1221"/>
      <c r="DKS23" s="1221"/>
      <c r="DKT23" s="1221"/>
      <c r="DKU23" s="1221"/>
      <c r="DKV23" s="1221"/>
      <c r="DKW23" s="1221"/>
      <c r="DKX23" s="1221"/>
      <c r="DKY23" s="1221"/>
      <c r="DKZ23" s="1221"/>
      <c r="DLA23" s="1221"/>
      <c r="DLB23" s="1221"/>
      <c r="DLC23" s="1221"/>
      <c r="DLD23" s="1221"/>
      <c r="DLE23" s="1221"/>
      <c r="DLF23" s="1221"/>
      <c r="DLG23" s="1221"/>
      <c r="DLH23" s="1221"/>
      <c r="DLI23" s="1221"/>
      <c r="DLJ23" s="1221"/>
      <c r="DLK23" s="1221"/>
      <c r="DLL23" s="1221"/>
      <c r="DLM23" s="1221"/>
      <c r="DLN23" s="1221"/>
      <c r="DLO23" s="1221"/>
      <c r="DLP23" s="1221"/>
      <c r="DLQ23" s="1221"/>
      <c r="DLR23" s="1221"/>
      <c r="DLS23" s="1221"/>
      <c r="DLT23" s="1221"/>
      <c r="DLU23" s="1221"/>
      <c r="DLV23" s="1221"/>
      <c r="DLW23" s="1221"/>
      <c r="DLX23" s="1221"/>
      <c r="DLY23" s="1221"/>
      <c r="DLZ23" s="1221"/>
      <c r="DMA23" s="1221"/>
      <c r="DMB23" s="1221"/>
      <c r="DMC23" s="1221"/>
      <c r="DMD23" s="1221"/>
      <c r="DME23" s="1221"/>
      <c r="DMF23" s="1221"/>
      <c r="DMG23" s="1221"/>
      <c r="DMH23" s="1221"/>
      <c r="DMI23" s="1221"/>
      <c r="DMJ23" s="1221"/>
      <c r="DMK23" s="1221"/>
      <c r="DML23" s="1221"/>
      <c r="DMM23" s="1221"/>
      <c r="DMN23" s="1221"/>
      <c r="DMO23" s="1221"/>
      <c r="DMP23" s="1221"/>
      <c r="DMQ23" s="1221"/>
      <c r="DMR23" s="1221"/>
      <c r="DMS23" s="1221"/>
      <c r="DMT23" s="1221"/>
      <c r="DMU23" s="1221"/>
      <c r="DMV23" s="1221"/>
      <c r="DMW23" s="1221"/>
      <c r="DMX23" s="1221"/>
      <c r="DMY23" s="1221"/>
      <c r="DMZ23" s="1221"/>
      <c r="DNA23" s="1221"/>
      <c r="DNB23" s="1221"/>
      <c r="DNC23" s="1221"/>
      <c r="DND23" s="1221"/>
      <c r="DNE23" s="1221"/>
      <c r="DNF23" s="1221"/>
      <c r="DNG23" s="1221"/>
      <c r="DNH23" s="1221"/>
      <c r="DNI23" s="1221"/>
      <c r="DNJ23" s="1221"/>
      <c r="DNK23" s="1221"/>
      <c r="DNL23" s="1221"/>
      <c r="DNM23" s="1221"/>
      <c r="DNN23" s="1221"/>
      <c r="DNO23" s="1221"/>
      <c r="DNP23" s="1221"/>
      <c r="DNQ23" s="1221"/>
      <c r="DNR23" s="1221"/>
      <c r="DNS23" s="1221"/>
      <c r="DNT23" s="1221"/>
      <c r="DNU23" s="1221"/>
      <c r="DNV23" s="1221"/>
      <c r="DNW23" s="1221"/>
      <c r="DNX23" s="1221"/>
      <c r="DNY23" s="1221"/>
      <c r="DNZ23" s="1221"/>
      <c r="DOA23" s="1221"/>
      <c r="DOB23" s="1221"/>
      <c r="DOC23" s="1221"/>
      <c r="DOD23" s="1221"/>
      <c r="DOE23" s="1221"/>
      <c r="DOF23" s="1221"/>
      <c r="DOG23" s="1221"/>
      <c r="DOH23" s="1221"/>
      <c r="DOI23" s="1221"/>
      <c r="DOJ23" s="1221"/>
      <c r="DOK23" s="1221"/>
      <c r="DOL23" s="1221"/>
      <c r="DOM23" s="1221"/>
      <c r="DON23" s="1221"/>
      <c r="DOO23" s="1221"/>
      <c r="DOP23" s="1221"/>
      <c r="DOQ23" s="1221"/>
      <c r="DOR23" s="1221"/>
      <c r="DOS23" s="1221"/>
      <c r="DOT23" s="1221"/>
      <c r="DOU23" s="1221"/>
      <c r="DOV23" s="1221"/>
      <c r="DOW23" s="1221"/>
      <c r="DOX23" s="1221"/>
      <c r="DOY23" s="1221"/>
      <c r="DOZ23" s="1221"/>
      <c r="DPA23" s="1221"/>
      <c r="DPB23" s="1221"/>
      <c r="DPC23" s="1221"/>
      <c r="DPD23" s="1221"/>
      <c r="DPE23" s="1221"/>
      <c r="DPF23" s="1221"/>
      <c r="DPG23" s="1221"/>
      <c r="DPH23" s="1221"/>
      <c r="DPI23" s="1221"/>
      <c r="DPJ23" s="1221"/>
      <c r="DPK23" s="1221"/>
      <c r="DPL23" s="1221"/>
      <c r="DPM23" s="1221"/>
      <c r="DPN23" s="1221"/>
      <c r="DPO23" s="1221"/>
      <c r="DPP23" s="1221"/>
      <c r="DPQ23" s="1221"/>
      <c r="DPR23" s="1221"/>
      <c r="DPS23" s="1221"/>
      <c r="DPT23" s="1221"/>
      <c r="DPU23" s="1221"/>
      <c r="DPV23" s="1221"/>
      <c r="DPW23" s="1221"/>
      <c r="DPX23" s="1221"/>
      <c r="DPY23" s="1221"/>
      <c r="DPZ23" s="1221"/>
      <c r="DQA23" s="1221"/>
      <c r="DQB23" s="1221"/>
      <c r="DQC23" s="1221"/>
      <c r="DQD23" s="1221"/>
      <c r="DQE23" s="1221"/>
      <c r="DQF23" s="1221"/>
      <c r="DQG23" s="1221"/>
      <c r="DQH23" s="1221"/>
      <c r="DQI23" s="1221"/>
      <c r="DQJ23" s="1221"/>
      <c r="DQK23" s="1221"/>
      <c r="DQL23" s="1221"/>
      <c r="DQM23" s="1221"/>
      <c r="DQN23" s="1221"/>
      <c r="DQO23" s="1221"/>
      <c r="DQP23" s="1221"/>
      <c r="DQQ23" s="1221"/>
      <c r="DQR23" s="1221"/>
      <c r="DQS23" s="1221"/>
      <c r="DQT23" s="1221"/>
      <c r="DQU23" s="1221"/>
      <c r="DQV23" s="1221"/>
      <c r="DQW23" s="1221"/>
      <c r="DQX23" s="1221"/>
      <c r="DQY23" s="1221"/>
      <c r="DQZ23" s="1221"/>
      <c r="DRA23" s="1221"/>
      <c r="DRB23" s="1221"/>
      <c r="DRC23" s="1221"/>
      <c r="DRD23" s="1221"/>
      <c r="DRE23" s="1221"/>
      <c r="DRF23" s="1221"/>
      <c r="DRG23" s="1221"/>
      <c r="DRH23" s="1221"/>
      <c r="DRI23" s="1221"/>
      <c r="DRJ23" s="1221"/>
      <c r="DRK23" s="1221"/>
      <c r="DRL23" s="1221"/>
      <c r="DRM23" s="1221"/>
      <c r="DRN23" s="1221"/>
      <c r="DRO23" s="1221"/>
      <c r="DRP23" s="1221"/>
      <c r="DRQ23" s="1221"/>
      <c r="DRR23" s="1221"/>
      <c r="DRS23" s="1221"/>
      <c r="DRT23" s="1221"/>
      <c r="DRU23" s="1221"/>
      <c r="DRV23" s="1221"/>
      <c r="DRW23" s="1221"/>
      <c r="DRX23" s="1221"/>
      <c r="DRY23" s="1221"/>
      <c r="DRZ23" s="1221"/>
      <c r="DSA23" s="1221"/>
      <c r="DSB23" s="1221"/>
      <c r="DSC23" s="1221"/>
      <c r="DSD23" s="1221"/>
      <c r="DSE23" s="1221"/>
      <c r="DSF23" s="1221"/>
      <c r="DSG23" s="1221"/>
      <c r="DSH23" s="1221"/>
      <c r="DSI23" s="1221"/>
      <c r="DSJ23" s="1221"/>
      <c r="DSK23" s="1221"/>
      <c r="DSL23" s="1221"/>
      <c r="DSM23" s="1221"/>
      <c r="DSN23" s="1221"/>
      <c r="DSO23" s="1221"/>
      <c r="DSP23" s="1221"/>
      <c r="DSQ23" s="1221"/>
      <c r="DSR23" s="1221"/>
      <c r="DSS23" s="1221"/>
      <c r="DST23" s="1221"/>
      <c r="DSU23" s="1221"/>
      <c r="DSV23" s="1221"/>
      <c r="DSW23" s="1221"/>
      <c r="DSX23" s="1221"/>
      <c r="DSY23" s="1221"/>
      <c r="DSZ23" s="1221"/>
      <c r="DTA23" s="1221"/>
      <c r="DTB23" s="1221"/>
      <c r="DTC23" s="1221"/>
      <c r="DTD23" s="1221"/>
      <c r="DTE23" s="1221"/>
      <c r="DTF23" s="1221"/>
      <c r="DTG23" s="1221"/>
      <c r="DTH23" s="1221"/>
      <c r="DTI23" s="1221"/>
      <c r="DTJ23" s="1221"/>
      <c r="DTK23" s="1221"/>
      <c r="DTL23" s="1221"/>
      <c r="DTM23" s="1221"/>
      <c r="DTN23" s="1221"/>
      <c r="DTO23" s="1221"/>
      <c r="DTP23" s="1221"/>
      <c r="DTQ23" s="1221"/>
      <c r="DTR23" s="1221"/>
      <c r="DTS23" s="1221"/>
      <c r="DTT23" s="1221"/>
      <c r="DTU23" s="1221"/>
      <c r="DTV23" s="1221"/>
      <c r="DTW23" s="1221"/>
      <c r="DTX23" s="1221"/>
      <c r="DTY23" s="1221"/>
      <c r="DTZ23" s="1221"/>
      <c r="DUA23" s="1221"/>
      <c r="DUB23" s="1221"/>
      <c r="DUC23" s="1221"/>
      <c r="DUD23" s="1221"/>
      <c r="DUE23" s="1221"/>
      <c r="DUF23" s="1221"/>
      <c r="DUG23" s="1221"/>
      <c r="DUH23" s="1221"/>
      <c r="DUI23" s="1221"/>
      <c r="DUJ23" s="1221"/>
      <c r="DUK23" s="1221"/>
      <c r="DUL23" s="1221"/>
      <c r="DUM23" s="1221"/>
      <c r="DUN23" s="1221"/>
      <c r="DUO23" s="1221"/>
      <c r="DUP23" s="1221"/>
      <c r="DUQ23" s="1221"/>
      <c r="DUR23" s="1221"/>
      <c r="DUS23" s="1221"/>
      <c r="DUT23" s="1221"/>
      <c r="DUU23" s="1221"/>
      <c r="DUV23" s="1221"/>
      <c r="DUW23" s="1221"/>
      <c r="DUX23" s="1221"/>
      <c r="DUY23" s="1221"/>
      <c r="DUZ23" s="1221"/>
      <c r="DVA23" s="1221"/>
      <c r="DVB23" s="1221"/>
      <c r="DVC23" s="1221"/>
      <c r="DVD23" s="1221"/>
      <c r="DVE23" s="1221"/>
      <c r="DVF23" s="1221"/>
      <c r="DVG23" s="1221"/>
      <c r="DVH23" s="1221"/>
      <c r="DVI23" s="1221"/>
      <c r="DVJ23" s="1221"/>
      <c r="DVK23" s="1221"/>
      <c r="DVL23" s="1221"/>
      <c r="DVM23" s="1221"/>
      <c r="DVN23" s="1221"/>
      <c r="DVO23" s="1221"/>
      <c r="DVP23" s="1221"/>
      <c r="DVQ23" s="1221"/>
      <c r="DVR23" s="1221"/>
      <c r="DVS23" s="1221"/>
      <c r="DVT23" s="1221"/>
      <c r="DVU23" s="1221"/>
      <c r="DVV23" s="1221"/>
      <c r="DVW23" s="1221"/>
      <c r="DVX23" s="1221"/>
      <c r="DVY23" s="1221"/>
      <c r="DVZ23" s="1221"/>
      <c r="DWA23" s="1221"/>
      <c r="DWB23" s="1221"/>
      <c r="DWC23" s="1221"/>
      <c r="DWD23" s="1221"/>
      <c r="DWE23" s="1221"/>
      <c r="DWF23" s="1221"/>
      <c r="DWG23" s="1221"/>
      <c r="DWH23" s="1221"/>
      <c r="DWI23" s="1221"/>
      <c r="DWJ23" s="1221"/>
      <c r="DWK23" s="1221"/>
      <c r="DWL23" s="1221"/>
      <c r="DWM23" s="1221"/>
      <c r="DWN23" s="1221"/>
      <c r="DWO23" s="1221"/>
      <c r="DWP23" s="1221"/>
      <c r="DWQ23" s="1221"/>
      <c r="DWR23" s="1221"/>
      <c r="DWS23" s="1221"/>
      <c r="DWT23" s="1221"/>
      <c r="DWU23" s="1221"/>
      <c r="DWV23" s="1221"/>
      <c r="DWW23" s="1221"/>
      <c r="DWX23" s="1221"/>
      <c r="DWY23" s="1221"/>
      <c r="DWZ23" s="1221"/>
      <c r="DXA23" s="1221"/>
      <c r="DXB23" s="1221"/>
      <c r="DXC23" s="1221"/>
      <c r="DXD23" s="1221"/>
      <c r="DXE23" s="1221"/>
      <c r="DXF23" s="1221"/>
      <c r="DXG23" s="1221"/>
      <c r="DXH23" s="1221"/>
      <c r="DXI23" s="1221"/>
      <c r="DXJ23" s="1221"/>
      <c r="DXK23" s="1221"/>
      <c r="DXL23" s="1221"/>
      <c r="DXM23" s="1221"/>
      <c r="DXN23" s="1221"/>
      <c r="DXO23" s="1221"/>
      <c r="DXP23" s="1221"/>
      <c r="DXQ23" s="1221"/>
      <c r="DXR23" s="1221"/>
      <c r="DXS23" s="1221"/>
      <c r="DXT23" s="1221"/>
      <c r="DXU23" s="1221"/>
      <c r="DXV23" s="1221"/>
      <c r="DXW23" s="1221"/>
      <c r="DXX23" s="1221"/>
      <c r="DXY23" s="1221"/>
      <c r="DXZ23" s="1221"/>
      <c r="DYA23" s="1221"/>
      <c r="DYB23" s="1221"/>
      <c r="DYC23" s="1221"/>
      <c r="DYD23" s="1221"/>
      <c r="DYE23" s="1221"/>
      <c r="DYF23" s="1221"/>
      <c r="DYG23" s="1221"/>
      <c r="DYH23" s="1221"/>
      <c r="DYI23" s="1221"/>
      <c r="DYJ23" s="1221"/>
      <c r="DYK23" s="1221"/>
      <c r="DYL23" s="1221"/>
      <c r="DYM23" s="1221"/>
      <c r="DYN23" s="1221"/>
      <c r="DYO23" s="1221"/>
      <c r="DYP23" s="1221"/>
      <c r="DYQ23" s="1221"/>
      <c r="DYR23" s="1221"/>
      <c r="DYS23" s="1221"/>
      <c r="DYT23" s="1221"/>
      <c r="DYU23" s="1221"/>
      <c r="DYV23" s="1221"/>
      <c r="DYW23" s="1221"/>
      <c r="DYX23" s="1221"/>
      <c r="DYY23" s="1221"/>
      <c r="DYZ23" s="1221"/>
      <c r="DZA23" s="1221"/>
      <c r="DZB23" s="1221"/>
      <c r="DZC23" s="1221"/>
      <c r="DZD23" s="1221"/>
      <c r="DZE23" s="1221"/>
      <c r="DZF23" s="1221"/>
      <c r="DZG23" s="1221"/>
      <c r="DZH23" s="1221"/>
      <c r="DZI23" s="1221"/>
      <c r="DZJ23" s="1221"/>
      <c r="DZK23" s="1221"/>
      <c r="DZL23" s="1221"/>
      <c r="DZM23" s="1221"/>
      <c r="DZN23" s="1221"/>
      <c r="DZO23" s="1221"/>
      <c r="DZP23" s="1221"/>
      <c r="DZQ23" s="1221"/>
      <c r="DZR23" s="1221"/>
      <c r="DZS23" s="1221"/>
      <c r="DZT23" s="1221"/>
      <c r="DZU23" s="1221"/>
      <c r="DZV23" s="1221"/>
      <c r="DZW23" s="1221"/>
      <c r="DZX23" s="1221"/>
      <c r="DZY23" s="1221"/>
      <c r="DZZ23" s="1221"/>
      <c r="EAA23" s="1221"/>
      <c r="EAB23" s="1221"/>
      <c r="EAC23" s="1221"/>
      <c r="EAD23" s="1221"/>
      <c r="EAE23" s="1221"/>
      <c r="EAF23" s="1221"/>
      <c r="EAG23" s="1221"/>
      <c r="EAH23" s="1221"/>
      <c r="EAI23" s="1221"/>
      <c r="EAJ23" s="1221"/>
      <c r="EAK23" s="1221"/>
      <c r="EAL23" s="1221"/>
      <c r="EAM23" s="1221"/>
      <c r="EAN23" s="1221"/>
      <c r="EAO23" s="1221"/>
      <c r="EAP23" s="1221"/>
      <c r="EAQ23" s="1221"/>
      <c r="EAR23" s="1221"/>
      <c r="EAS23" s="1221"/>
      <c r="EAT23" s="1221"/>
      <c r="EAU23" s="1221"/>
      <c r="EAV23" s="1221"/>
      <c r="EAW23" s="1221"/>
      <c r="EAX23" s="1221"/>
      <c r="EAY23" s="1221"/>
      <c r="EAZ23" s="1221"/>
      <c r="EBA23" s="1221"/>
      <c r="EBB23" s="1221"/>
      <c r="EBC23" s="1221"/>
      <c r="EBD23" s="1221"/>
      <c r="EBE23" s="1221"/>
      <c r="EBF23" s="1221"/>
      <c r="EBG23" s="1221"/>
      <c r="EBH23" s="1221"/>
      <c r="EBI23" s="1221"/>
      <c r="EBJ23" s="1221"/>
      <c r="EBK23" s="1221"/>
      <c r="EBL23" s="1221"/>
      <c r="EBM23" s="1221"/>
      <c r="EBN23" s="1221"/>
      <c r="EBO23" s="1221"/>
      <c r="EBP23" s="1221"/>
      <c r="EBQ23" s="1221"/>
      <c r="EBR23" s="1221"/>
      <c r="EBS23" s="1221"/>
      <c r="EBT23" s="1221"/>
      <c r="EBU23" s="1221"/>
      <c r="EBV23" s="1221"/>
      <c r="EBW23" s="1221"/>
      <c r="EBX23" s="1221"/>
      <c r="EBY23" s="1221"/>
      <c r="EBZ23" s="1221"/>
      <c r="ECA23" s="1221"/>
      <c r="ECB23" s="1221"/>
      <c r="ECC23" s="1221"/>
      <c r="ECD23" s="1221"/>
      <c r="ECE23" s="1221"/>
      <c r="ECF23" s="1221"/>
      <c r="ECG23" s="1221"/>
      <c r="ECH23" s="1221"/>
      <c r="ECI23" s="1221"/>
      <c r="ECJ23" s="1221"/>
      <c r="ECK23" s="1221"/>
      <c r="ECL23" s="1221"/>
      <c r="ECM23" s="1221"/>
      <c r="ECN23" s="1221"/>
      <c r="ECO23" s="1221"/>
    </row>
    <row r="24" spans="2:3473" s="1248" customFormat="1" ht="13" outlineLevel="1">
      <c r="B24" s="1249" t="s">
        <v>695</v>
      </c>
      <c r="C24" s="1250">
        <v>3</v>
      </c>
      <c r="D24" s="1251" t="s">
        <v>3147</v>
      </c>
      <c r="E24" s="1252">
        <f t="shared" ref="E24:R42" si="47">IF(AF$6=0,"",AF24*10000/AF$6)</f>
        <v>0</v>
      </c>
      <c r="F24" s="1252">
        <f t="shared" si="47"/>
        <v>0</v>
      </c>
      <c r="G24" s="1252">
        <f t="shared" si="47"/>
        <v>0</v>
      </c>
      <c r="H24" s="1252">
        <f t="shared" si="47"/>
        <v>0</v>
      </c>
      <c r="I24" s="1252">
        <f t="shared" si="47"/>
        <v>0</v>
      </c>
      <c r="J24" s="1252">
        <f t="shared" si="47"/>
        <v>0</v>
      </c>
      <c r="K24" s="1252">
        <f t="shared" si="47"/>
        <v>0</v>
      </c>
      <c r="L24" s="1252">
        <f t="shared" si="47"/>
        <v>0</v>
      </c>
      <c r="M24" s="1252">
        <f t="shared" si="47"/>
        <v>0</v>
      </c>
      <c r="N24" s="1252" t="str">
        <f t="shared" si="47"/>
        <v/>
      </c>
      <c r="O24" s="1252" t="str">
        <f t="shared" si="47"/>
        <v/>
      </c>
      <c r="P24" s="1252" t="str">
        <f t="shared" si="47"/>
        <v/>
      </c>
      <c r="Q24" s="1252">
        <f t="shared" si="47"/>
        <v>0</v>
      </c>
      <c r="R24" s="1252">
        <f t="shared" si="47"/>
        <v>0</v>
      </c>
      <c r="S24" s="1252">
        <f t="shared" si="8"/>
        <v>0</v>
      </c>
      <c r="T24" s="1252">
        <f t="shared" si="5"/>
        <v>0</v>
      </c>
      <c r="U24" s="1252">
        <f t="shared" si="5"/>
        <v>0</v>
      </c>
      <c r="V24" s="1252">
        <f t="shared" si="9"/>
        <v>0</v>
      </c>
      <c r="W24" s="1252" t="str">
        <f t="shared" si="10"/>
        <v/>
      </c>
      <c r="X24" s="1252" t="str">
        <f t="shared" si="10"/>
        <v/>
      </c>
      <c r="Y24" s="1252" t="str">
        <f t="shared" si="10"/>
        <v/>
      </c>
      <c r="Z24" s="1252">
        <f t="shared" si="11"/>
        <v>0</v>
      </c>
      <c r="AA24" s="1252">
        <f t="shared" si="11"/>
        <v>0</v>
      </c>
      <c r="AB24" s="1252">
        <f t="shared" si="11"/>
        <v>0</v>
      </c>
      <c r="AC24" s="1252">
        <f t="shared" si="15"/>
        <v>0</v>
      </c>
      <c r="AD24" s="1260">
        <f t="shared" si="15"/>
        <v>0</v>
      </c>
      <c r="AE24" s="1260">
        <f t="shared" si="15"/>
        <v>0</v>
      </c>
      <c r="AF24" s="1254">
        <f t="shared" si="40"/>
        <v>0</v>
      </c>
      <c r="AG24" s="1256">
        <f>VLOOKUP($D24,车位!$D$17:$U$199,14,0)*车位!$K$3</f>
        <v>0</v>
      </c>
      <c r="AH24" s="1256">
        <f>VLOOKUP($D24,车位!$D$17:$U$199,16,0)*车位!$K$3</f>
        <v>0</v>
      </c>
      <c r="AI24" s="1256">
        <f t="shared" si="41"/>
        <v>0</v>
      </c>
      <c r="AJ24" s="1256">
        <f>VLOOKUP($D24,高层!$D$11:$U$202,14,0)</f>
        <v>0</v>
      </c>
      <c r="AK24" s="1256">
        <f>VLOOKUP($D24,高层!$D$11:$U$202,16,0)</f>
        <v>0</v>
      </c>
      <c r="AL24" s="1256">
        <f t="shared" si="20"/>
        <v>0</v>
      </c>
      <c r="AM24" s="1256">
        <f>VLOOKUP($D24,人防车位!D:U,14,0)</f>
        <v>0</v>
      </c>
      <c r="AN24" s="1256">
        <f>VLOOKUP($D24,人防车位!D:U,16,0)</f>
        <v>0</v>
      </c>
      <c r="AO24" s="1256">
        <f t="shared" si="21"/>
        <v>0</v>
      </c>
      <c r="AP24" s="1256">
        <f>VLOOKUP($D24,人才公寓销售!$D$11:$U$202,14,0)</f>
        <v>0</v>
      </c>
      <c r="AQ24" s="1256">
        <f>VLOOKUP($D24,人才公寓销售!$D$11:$U$202,16,0)</f>
        <v>0</v>
      </c>
      <c r="AR24" s="1256">
        <f>AS24+AT24</f>
        <v>0</v>
      </c>
      <c r="AS24" s="1256">
        <f>VLOOKUP($D24,小高层!$D$11:$U$202,14,0)</f>
        <v>0</v>
      </c>
      <c r="AT24" s="1256">
        <f>VLOOKUP($D24,小高层!$D$11:$U$202,16,0)</f>
        <v>0</v>
      </c>
      <c r="AU24" s="1256">
        <f>AV24+AW24</f>
        <v>0</v>
      </c>
      <c r="AV24" s="1256">
        <f>VLOOKUP($D24,临街商业!$D$11:$U$202,14,0)</f>
        <v>0</v>
      </c>
      <c r="AW24" s="1256">
        <f>VLOOKUP($D24,临街商业!$D$11:$U$202,16,0)</f>
        <v>0</v>
      </c>
      <c r="AX24" s="1256"/>
      <c r="AY24" s="1256"/>
      <c r="AZ24" s="1256"/>
      <c r="BA24" s="1257">
        <f>BB24+BC24</f>
        <v>0</v>
      </c>
      <c r="BB24" s="1257">
        <f t="shared" si="44"/>
        <v>0</v>
      </c>
      <c r="BC24" s="1257">
        <f t="shared" si="44"/>
        <v>0</v>
      </c>
      <c r="BD24" s="1256">
        <f t="shared" si="42"/>
        <v>0</v>
      </c>
      <c r="BE24" s="1256">
        <v>0</v>
      </c>
      <c r="BF24" s="1256">
        <v>0</v>
      </c>
      <c r="BG24" s="1256">
        <f t="shared" si="45"/>
        <v>0</v>
      </c>
      <c r="BH24" s="1257">
        <f t="shared" si="46"/>
        <v>0</v>
      </c>
      <c r="BI24" s="1257">
        <f t="shared" si="46"/>
        <v>0</v>
      </c>
      <c r="BJ24" s="1256">
        <f t="shared" si="43"/>
        <v>0</v>
      </c>
      <c r="BK24" s="1257">
        <f t="shared" si="43"/>
        <v>0</v>
      </c>
      <c r="BL24" s="1257">
        <f t="shared" si="43"/>
        <v>0</v>
      </c>
      <c r="BM24" s="1262" t="s">
        <v>489</v>
      </c>
      <c r="BN24" s="1225">
        <f t="shared" si="12"/>
        <v>0</v>
      </c>
      <c r="BO24" s="1225">
        <f t="shared" si="13"/>
        <v>0</v>
      </c>
      <c r="BP24" s="1225">
        <f t="shared" si="14"/>
        <v>0</v>
      </c>
      <c r="BQ24" s="1225"/>
      <c r="BR24" s="1221"/>
      <c r="BS24" s="1221"/>
      <c r="BT24" s="1221"/>
      <c r="BU24" s="1221"/>
      <c r="BV24" s="1221"/>
      <c r="BW24" s="1221"/>
      <c r="BX24" s="1221"/>
      <c r="BY24" s="1221"/>
      <c r="BZ24" s="1221"/>
      <c r="CA24" s="1221"/>
      <c r="CB24" s="1221"/>
      <c r="CC24" s="1221"/>
      <c r="CD24" s="1221"/>
      <c r="CE24" s="1221"/>
      <c r="CF24" s="1221"/>
      <c r="CG24" s="1221"/>
      <c r="CH24" s="1221"/>
      <c r="CI24" s="1221"/>
      <c r="CJ24" s="1221"/>
      <c r="CK24" s="1221"/>
      <c r="CL24" s="1221"/>
      <c r="CM24" s="1221"/>
      <c r="CN24" s="1221"/>
      <c r="CO24" s="1221"/>
      <c r="CP24" s="1221"/>
      <c r="CQ24" s="1221"/>
      <c r="CR24" s="1221"/>
      <c r="CS24" s="1221"/>
      <c r="CT24" s="1221"/>
      <c r="CU24" s="1221"/>
      <c r="CV24" s="1221"/>
      <c r="CW24" s="1221"/>
      <c r="CX24" s="1221"/>
      <c r="CY24" s="1221"/>
      <c r="CZ24" s="1221"/>
      <c r="DA24" s="1221"/>
      <c r="DB24" s="1221"/>
      <c r="DC24" s="1221"/>
      <c r="DD24" s="1221"/>
      <c r="DE24" s="1221"/>
      <c r="DF24" s="1221"/>
      <c r="DG24" s="1221"/>
      <c r="DH24" s="1221"/>
      <c r="DI24" s="1221"/>
      <c r="DJ24" s="1221"/>
      <c r="DK24" s="1221"/>
      <c r="DL24" s="1221"/>
      <c r="DM24" s="1221"/>
      <c r="DN24" s="1221"/>
      <c r="DO24" s="1221"/>
      <c r="DP24" s="1221"/>
      <c r="DQ24" s="1221"/>
      <c r="DR24" s="1221"/>
      <c r="DS24" s="1221"/>
      <c r="DT24" s="1221"/>
      <c r="DU24" s="1221"/>
      <c r="DV24" s="1221"/>
      <c r="DW24" s="1221"/>
      <c r="DX24" s="1221"/>
      <c r="DY24" s="1221"/>
      <c r="DZ24" s="1221"/>
      <c r="EA24" s="1221"/>
      <c r="EB24" s="1221"/>
      <c r="EC24" s="1221"/>
      <c r="ED24" s="1221"/>
      <c r="EE24" s="1221"/>
      <c r="EF24" s="1221"/>
      <c r="EG24" s="1221"/>
      <c r="EH24" s="1221"/>
      <c r="EI24" s="1221"/>
      <c r="EJ24" s="1221"/>
      <c r="EK24" s="1221"/>
      <c r="EL24" s="1221"/>
      <c r="EM24" s="1221"/>
      <c r="EN24" s="1221"/>
      <c r="EO24" s="1221"/>
      <c r="EP24" s="1221"/>
      <c r="EQ24" s="1221"/>
      <c r="ER24" s="1221"/>
      <c r="ES24" s="1221"/>
      <c r="ET24" s="1221"/>
      <c r="EU24" s="1221"/>
      <c r="EV24" s="1221"/>
      <c r="EW24" s="1221"/>
      <c r="EX24" s="1221"/>
      <c r="EY24" s="1221"/>
      <c r="EZ24" s="1221"/>
      <c r="FA24" s="1221"/>
      <c r="FB24" s="1221"/>
      <c r="FC24" s="1221"/>
      <c r="FD24" s="1221"/>
      <c r="FE24" s="1221"/>
      <c r="FF24" s="1221"/>
      <c r="FG24" s="1221"/>
      <c r="FH24" s="1221"/>
      <c r="FI24" s="1221"/>
      <c r="FJ24" s="1221"/>
      <c r="FK24" s="1221"/>
      <c r="FL24" s="1221"/>
      <c r="FM24" s="1221"/>
      <c r="FN24" s="1221"/>
      <c r="FO24" s="1221"/>
      <c r="FP24" s="1221"/>
      <c r="FQ24" s="1221"/>
      <c r="FR24" s="1221"/>
      <c r="FS24" s="1221"/>
      <c r="FT24" s="1221"/>
      <c r="FU24" s="1221"/>
      <c r="FV24" s="1221"/>
      <c r="FW24" s="1221"/>
      <c r="FX24" s="1221"/>
      <c r="FY24" s="1221"/>
      <c r="FZ24" s="1221"/>
      <c r="GA24" s="1221"/>
      <c r="GB24" s="1221"/>
      <c r="GC24" s="1221"/>
      <c r="GD24" s="1221"/>
      <c r="GE24" s="1221"/>
      <c r="GF24" s="1221"/>
      <c r="GG24" s="1221"/>
      <c r="GH24" s="1221"/>
      <c r="GI24" s="1221"/>
      <c r="GJ24" s="1221"/>
      <c r="GK24" s="1221"/>
      <c r="GL24" s="1221"/>
      <c r="GM24" s="1221"/>
      <c r="GN24" s="1221"/>
      <c r="GO24" s="1221"/>
      <c r="GP24" s="1221"/>
      <c r="GQ24" s="1221"/>
      <c r="GR24" s="1221"/>
      <c r="GS24" s="1221"/>
      <c r="GT24" s="1221"/>
      <c r="GU24" s="1221"/>
      <c r="GV24" s="1221"/>
      <c r="GW24" s="1221"/>
      <c r="GX24" s="1221"/>
      <c r="GY24" s="1221"/>
      <c r="GZ24" s="1221"/>
      <c r="HA24" s="1221"/>
      <c r="HB24" s="1221"/>
      <c r="HC24" s="1221"/>
      <c r="HD24" s="1221"/>
      <c r="HE24" s="1221"/>
      <c r="HF24" s="1221"/>
      <c r="HG24" s="1221"/>
      <c r="HH24" s="1221"/>
      <c r="HI24" s="1221"/>
      <c r="HJ24" s="1221"/>
      <c r="HK24" s="1221"/>
      <c r="HL24" s="1221"/>
      <c r="HM24" s="1221"/>
      <c r="HN24" s="1221"/>
      <c r="HO24" s="1221"/>
      <c r="HP24" s="1221"/>
      <c r="HQ24" s="1221"/>
      <c r="HR24" s="1221"/>
      <c r="HS24" s="1221"/>
      <c r="HT24" s="1221"/>
      <c r="HU24" s="1221"/>
      <c r="HV24" s="1221"/>
      <c r="HW24" s="1221"/>
      <c r="HX24" s="1221"/>
      <c r="HY24" s="1221"/>
      <c r="HZ24" s="1221"/>
      <c r="IA24" s="1221"/>
      <c r="IB24" s="1221"/>
      <c r="IC24" s="1221"/>
      <c r="ID24" s="1221"/>
      <c r="IE24" s="1221"/>
      <c r="IF24" s="1221"/>
      <c r="IG24" s="1221"/>
      <c r="IH24" s="1221"/>
      <c r="II24" s="1221"/>
      <c r="IJ24" s="1221"/>
      <c r="IK24" s="1221"/>
      <c r="IL24" s="1221"/>
      <c r="IM24" s="1221"/>
      <c r="IN24" s="1221"/>
      <c r="IO24" s="1221"/>
      <c r="IP24" s="1221"/>
      <c r="IQ24" s="1221"/>
      <c r="IR24" s="1221"/>
      <c r="IS24" s="1221"/>
      <c r="IT24" s="1221"/>
      <c r="IU24" s="1221"/>
      <c r="IV24" s="1221"/>
      <c r="IW24" s="1221"/>
      <c r="IX24" s="1221"/>
      <c r="IY24" s="1221"/>
      <c r="IZ24" s="1221"/>
      <c r="JA24" s="1221"/>
      <c r="JB24" s="1221"/>
      <c r="JC24" s="1221"/>
      <c r="JD24" s="1221"/>
      <c r="JE24" s="1221"/>
      <c r="JF24" s="1221"/>
      <c r="JG24" s="1221"/>
      <c r="JH24" s="1221"/>
      <c r="JI24" s="1221"/>
      <c r="JJ24" s="1221"/>
      <c r="JK24" s="1221"/>
      <c r="JL24" s="1221"/>
      <c r="JM24" s="1221"/>
      <c r="JN24" s="1221"/>
      <c r="JO24" s="1221"/>
      <c r="JP24" s="1221"/>
      <c r="JQ24" s="1221"/>
      <c r="JR24" s="1221"/>
      <c r="JS24" s="1221"/>
      <c r="JT24" s="1221"/>
      <c r="JU24" s="1221"/>
      <c r="JV24" s="1221"/>
      <c r="JW24" s="1221"/>
      <c r="JX24" s="1221"/>
      <c r="JY24" s="1221"/>
      <c r="JZ24" s="1221"/>
      <c r="KA24" s="1221"/>
      <c r="KB24" s="1221"/>
      <c r="KC24" s="1221"/>
      <c r="KD24" s="1221"/>
      <c r="KE24" s="1221"/>
      <c r="KF24" s="1221"/>
      <c r="KG24" s="1221"/>
      <c r="KH24" s="1221"/>
      <c r="KI24" s="1221"/>
      <c r="KJ24" s="1221"/>
      <c r="KK24" s="1221"/>
      <c r="KL24" s="1221"/>
      <c r="KM24" s="1221"/>
      <c r="KN24" s="1221"/>
      <c r="KO24" s="1221"/>
      <c r="KP24" s="1221"/>
      <c r="KQ24" s="1221"/>
      <c r="KR24" s="1221"/>
      <c r="KS24" s="1221"/>
      <c r="KT24" s="1221"/>
      <c r="KU24" s="1221"/>
      <c r="KV24" s="1221"/>
      <c r="KW24" s="1221"/>
      <c r="KX24" s="1221"/>
      <c r="KY24" s="1221"/>
      <c r="KZ24" s="1221"/>
      <c r="LA24" s="1221"/>
      <c r="LB24" s="1221"/>
      <c r="LC24" s="1221"/>
      <c r="LD24" s="1221"/>
      <c r="LE24" s="1221"/>
      <c r="LF24" s="1221"/>
      <c r="LG24" s="1221"/>
      <c r="LH24" s="1221"/>
      <c r="LI24" s="1221"/>
      <c r="LJ24" s="1221"/>
      <c r="LK24" s="1221"/>
      <c r="LL24" s="1221"/>
      <c r="LM24" s="1221"/>
      <c r="LN24" s="1221"/>
      <c r="LO24" s="1221"/>
      <c r="LP24" s="1221"/>
      <c r="LQ24" s="1221"/>
      <c r="LR24" s="1221"/>
      <c r="LS24" s="1221"/>
      <c r="LT24" s="1221"/>
      <c r="LU24" s="1221"/>
      <c r="LV24" s="1221"/>
      <c r="LW24" s="1221"/>
      <c r="LX24" s="1221"/>
      <c r="LY24" s="1221"/>
      <c r="LZ24" s="1221"/>
      <c r="MA24" s="1221"/>
      <c r="MB24" s="1221"/>
      <c r="MC24" s="1221"/>
      <c r="MD24" s="1221"/>
      <c r="ME24" s="1221"/>
      <c r="MF24" s="1221"/>
      <c r="MG24" s="1221"/>
      <c r="MH24" s="1221"/>
      <c r="MI24" s="1221"/>
      <c r="MJ24" s="1221"/>
      <c r="MK24" s="1221"/>
      <c r="ML24" s="1221"/>
      <c r="MM24" s="1221"/>
      <c r="MN24" s="1221"/>
      <c r="MO24" s="1221"/>
      <c r="MP24" s="1221"/>
      <c r="MQ24" s="1221"/>
      <c r="MR24" s="1221"/>
      <c r="MS24" s="1221"/>
      <c r="MT24" s="1221"/>
      <c r="MU24" s="1221"/>
      <c r="MV24" s="1221"/>
      <c r="MW24" s="1221"/>
      <c r="MX24" s="1221"/>
      <c r="MY24" s="1221"/>
      <c r="MZ24" s="1221"/>
      <c r="NA24" s="1221"/>
      <c r="NB24" s="1221"/>
      <c r="NC24" s="1221"/>
      <c r="ND24" s="1221"/>
      <c r="NE24" s="1221"/>
      <c r="NF24" s="1221"/>
      <c r="NG24" s="1221"/>
      <c r="NH24" s="1221"/>
      <c r="NI24" s="1221"/>
      <c r="NJ24" s="1221"/>
      <c r="NK24" s="1221"/>
      <c r="NL24" s="1221"/>
      <c r="NM24" s="1221"/>
      <c r="NN24" s="1221"/>
      <c r="NO24" s="1221"/>
      <c r="NP24" s="1221"/>
      <c r="NQ24" s="1221"/>
      <c r="NR24" s="1221"/>
      <c r="NS24" s="1221"/>
      <c r="NT24" s="1221"/>
      <c r="NU24" s="1221"/>
      <c r="NV24" s="1221"/>
      <c r="NW24" s="1221"/>
      <c r="NX24" s="1221"/>
      <c r="NY24" s="1221"/>
      <c r="NZ24" s="1221"/>
      <c r="OA24" s="1221"/>
      <c r="OB24" s="1221"/>
      <c r="OC24" s="1221"/>
      <c r="OD24" s="1221"/>
      <c r="OE24" s="1221"/>
      <c r="OF24" s="1221"/>
      <c r="OG24" s="1221"/>
      <c r="OH24" s="1221"/>
      <c r="OI24" s="1221"/>
      <c r="OJ24" s="1221"/>
      <c r="OK24" s="1221"/>
      <c r="OL24" s="1221"/>
      <c r="OM24" s="1221"/>
      <c r="ON24" s="1221"/>
      <c r="OO24" s="1221"/>
      <c r="OP24" s="1221"/>
      <c r="OQ24" s="1221"/>
      <c r="OR24" s="1221"/>
      <c r="OS24" s="1221"/>
      <c r="OT24" s="1221"/>
      <c r="OU24" s="1221"/>
      <c r="OV24" s="1221"/>
      <c r="OW24" s="1221"/>
      <c r="OX24" s="1221"/>
      <c r="OY24" s="1221"/>
      <c r="OZ24" s="1221"/>
      <c r="PA24" s="1221"/>
      <c r="PB24" s="1221"/>
      <c r="PC24" s="1221"/>
      <c r="PD24" s="1221"/>
      <c r="PE24" s="1221"/>
      <c r="PF24" s="1221"/>
      <c r="PG24" s="1221"/>
      <c r="PH24" s="1221"/>
      <c r="PI24" s="1221"/>
      <c r="PJ24" s="1221"/>
      <c r="PK24" s="1221"/>
      <c r="PL24" s="1221"/>
      <c r="PM24" s="1221"/>
      <c r="PN24" s="1221"/>
      <c r="PO24" s="1221"/>
      <c r="PP24" s="1221"/>
      <c r="PQ24" s="1221"/>
      <c r="PR24" s="1221"/>
      <c r="PS24" s="1221"/>
      <c r="PT24" s="1221"/>
      <c r="PU24" s="1221"/>
      <c r="PV24" s="1221"/>
      <c r="PW24" s="1221"/>
      <c r="PX24" s="1221"/>
      <c r="PY24" s="1221"/>
      <c r="PZ24" s="1221"/>
      <c r="QA24" s="1221"/>
      <c r="QB24" s="1221"/>
      <c r="QC24" s="1221"/>
      <c r="QD24" s="1221"/>
      <c r="QE24" s="1221"/>
      <c r="QF24" s="1221"/>
      <c r="QG24" s="1221"/>
      <c r="QH24" s="1221"/>
      <c r="QI24" s="1221"/>
      <c r="QJ24" s="1221"/>
      <c r="QK24" s="1221"/>
      <c r="QL24" s="1221"/>
      <c r="QM24" s="1221"/>
      <c r="QN24" s="1221"/>
      <c r="QO24" s="1221"/>
      <c r="QP24" s="1221"/>
      <c r="QQ24" s="1221"/>
      <c r="QR24" s="1221"/>
      <c r="QS24" s="1221"/>
      <c r="QT24" s="1221"/>
      <c r="QU24" s="1221"/>
      <c r="QV24" s="1221"/>
      <c r="QW24" s="1221"/>
      <c r="QX24" s="1221"/>
      <c r="QY24" s="1221"/>
      <c r="QZ24" s="1221"/>
      <c r="RA24" s="1221"/>
      <c r="RB24" s="1221"/>
      <c r="RC24" s="1221"/>
      <c r="RD24" s="1221"/>
      <c r="RE24" s="1221"/>
      <c r="RF24" s="1221"/>
      <c r="RG24" s="1221"/>
      <c r="RH24" s="1221"/>
      <c r="RI24" s="1221"/>
      <c r="RJ24" s="1221"/>
      <c r="RK24" s="1221"/>
      <c r="RL24" s="1221"/>
      <c r="RM24" s="1221"/>
      <c r="RN24" s="1221"/>
      <c r="RO24" s="1221"/>
      <c r="RP24" s="1221"/>
      <c r="RQ24" s="1221"/>
      <c r="RR24" s="1221"/>
      <c r="RS24" s="1221"/>
      <c r="RT24" s="1221"/>
      <c r="RU24" s="1221"/>
      <c r="RV24" s="1221"/>
      <c r="RW24" s="1221"/>
      <c r="RX24" s="1221"/>
      <c r="RY24" s="1221"/>
      <c r="RZ24" s="1221"/>
      <c r="SA24" s="1221"/>
      <c r="SB24" s="1221"/>
      <c r="SC24" s="1221"/>
      <c r="SD24" s="1221"/>
      <c r="SE24" s="1221"/>
      <c r="SF24" s="1221"/>
      <c r="SG24" s="1221"/>
      <c r="SH24" s="1221"/>
      <c r="SI24" s="1221"/>
      <c r="SJ24" s="1221"/>
      <c r="SK24" s="1221"/>
      <c r="SL24" s="1221"/>
      <c r="SM24" s="1221"/>
      <c r="SN24" s="1221"/>
      <c r="SO24" s="1221"/>
      <c r="SP24" s="1221"/>
      <c r="SQ24" s="1221"/>
      <c r="SR24" s="1221"/>
      <c r="SS24" s="1221"/>
      <c r="ST24" s="1221"/>
      <c r="SU24" s="1221"/>
      <c r="SV24" s="1221"/>
      <c r="SW24" s="1221"/>
      <c r="SX24" s="1221"/>
      <c r="SY24" s="1221"/>
      <c r="SZ24" s="1221"/>
      <c r="TA24" s="1221"/>
      <c r="TB24" s="1221"/>
      <c r="TC24" s="1221"/>
      <c r="TD24" s="1221"/>
      <c r="TE24" s="1221"/>
      <c r="TF24" s="1221"/>
      <c r="TG24" s="1221"/>
      <c r="TH24" s="1221"/>
      <c r="TI24" s="1221"/>
      <c r="TJ24" s="1221"/>
      <c r="TK24" s="1221"/>
      <c r="TL24" s="1221"/>
      <c r="TM24" s="1221"/>
      <c r="TN24" s="1221"/>
      <c r="TO24" s="1221"/>
      <c r="TP24" s="1221"/>
      <c r="TQ24" s="1221"/>
      <c r="TR24" s="1221"/>
      <c r="TS24" s="1221"/>
      <c r="TT24" s="1221"/>
      <c r="TU24" s="1221"/>
      <c r="TV24" s="1221"/>
      <c r="TW24" s="1221"/>
      <c r="TX24" s="1221"/>
      <c r="TY24" s="1221"/>
      <c r="TZ24" s="1221"/>
      <c r="UA24" s="1221"/>
      <c r="UB24" s="1221"/>
      <c r="UC24" s="1221"/>
      <c r="UD24" s="1221"/>
      <c r="UE24" s="1221"/>
      <c r="UF24" s="1221"/>
      <c r="UG24" s="1221"/>
      <c r="UH24" s="1221"/>
      <c r="UI24" s="1221"/>
      <c r="UJ24" s="1221"/>
      <c r="UK24" s="1221"/>
      <c r="UL24" s="1221"/>
      <c r="UM24" s="1221"/>
      <c r="UN24" s="1221"/>
      <c r="UO24" s="1221"/>
      <c r="UP24" s="1221"/>
      <c r="UQ24" s="1221"/>
      <c r="UR24" s="1221"/>
      <c r="US24" s="1221"/>
      <c r="UT24" s="1221"/>
      <c r="UU24" s="1221"/>
      <c r="UV24" s="1221"/>
      <c r="UW24" s="1221"/>
      <c r="UX24" s="1221"/>
      <c r="UY24" s="1221"/>
      <c r="UZ24" s="1221"/>
      <c r="VA24" s="1221"/>
      <c r="VB24" s="1221"/>
      <c r="VC24" s="1221"/>
      <c r="VD24" s="1221"/>
      <c r="VE24" s="1221"/>
      <c r="VF24" s="1221"/>
      <c r="VG24" s="1221"/>
      <c r="VH24" s="1221"/>
      <c r="VI24" s="1221"/>
      <c r="VJ24" s="1221"/>
      <c r="VK24" s="1221"/>
      <c r="VL24" s="1221"/>
      <c r="VM24" s="1221"/>
      <c r="VN24" s="1221"/>
      <c r="VO24" s="1221"/>
      <c r="VP24" s="1221"/>
      <c r="VQ24" s="1221"/>
      <c r="VR24" s="1221"/>
      <c r="VS24" s="1221"/>
      <c r="VT24" s="1221"/>
      <c r="VU24" s="1221"/>
      <c r="VV24" s="1221"/>
      <c r="VW24" s="1221"/>
      <c r="VX24" s="1221"/>
      <c r="VY24" s="1221"/>
      <c r="VZ24" s="1221"/>
      <c r="WA24" s="1221"/>
      <c r="WB24" s="1221"/>
      <c r="WC24" s="1221"/>
      <c r="WD24" s="1221"/>
      <c r="WE24" s="1221"/>
      <c r="WF24" s="1221"/>
      <c r="WG24" s="1221"/>
      <c r="WH24" s="1221"/>
      <c r="WI24" s="1221"/>
      <c r="WJ24" s="1221"/>
      <c r="WK24" s="1221"/>
      <c r="WL24" s="1221"/>
      <c r="WM24" s="1221"/>
      <c r="WN24" s="1221"/>
      <c r="WO24" s="1221"/>
      <c r="WP24" s="1221"/>
      <c r="WQ24" s="1221"/>
      <c r="WR24" s="1221"/>
      <c r="WS24" s="1221"/>
      <c r="WT24" s="1221"/>
      <c r="WU24" s="1221"/>
      <c r="WV24" s="1221"/>
      <c r="WW24" s="1221"/>
      <c r="WX24" s="1221"/>
      <c r="WY24" s="1221"/>
      <c r="WZ24" s="1221"/>
      <c r="XA24" s="1221"/>
      <c r="XB24" s="1221"/>
      <c r="XC24" s="1221"/>
      <c r="XD24" s="1221"/>
      <c r="XE24" s="1221"/>
      <c r="XF24" s="1221"/>
      <c r="XG24" s="1221"/>
      <c r="XH24" s="1221"/>
      <c r="XI24" s="1221"/>
      <c r="XJ24" s="1221"/>
      <c r="XK24" s="1221"/>
      <c r="XL24" s="1221"/>
      <c r="XM24" s="1221"/>
      <c r="XN24" s="1221"/>
      <c r="XO24" s="1221"/>
      <c r="XP24" s="1221"/>
      <c r="XQ24" s="1221"/>
      <c r="XR24" s="1221"/>
      <c r="XS24" s="1221"/>
      <c r="XT24" s="1221"/>
      <c r="XU24" s="1221"/>
      <c r="XV24" s="1221"/>
      <c r="XW24" s="1221"/>
      <c r="XX24" s="1221"/>
      <c r="XY24" s="1221"/>
      <c r="XZ24" s="1221"/>
      <c r="YA24" s="1221"/>
      <c r="YB24" s="1221"/>
      <c r="YC24" s="1221"/>
      <c r="YD24" s="1221"/>
      <c r="YE24" s="1221"/>
      <c r="YF24" s="1221"/>
      <c r="YG24" s="1221"/>
      <c r="YH24" s="1221"/>
      <c r="YI24" s="1221"/>
      <c r="YJ24" s="1221"/>
      <c r="YK24" s="1221"/>
      <c r="YL24" s="1221"/>
      <c r="YM24" s="1221"/>
      <c r="YN24" s="1221"/>
      <c r="YO24" s="1221"/>
      <c r="YP24" s="1221"/>
      <c r="YQ24" s="1221"/>
      <c r="YR24" s="1221"/>
      <c r="YS24" s="1221"/>
      <c r="YT24" s="1221"/>
      <c r="YU24" s="1221"/>
      <c r="YV24" s="1221"/>
      <c r="YW24" s="1221"/>
      <c r="YX24" s="1221"/>
      <c r="YY24" s="1221"/>
      <c r="YZ24" s="1221"/>
      <c r="ZA24" s="1221"/>
      <c r="ZB24" s="1221"/>
      <c r="ZC24" s="1221"/>
      <c r="ZD24" s="1221"/>
      <c r="ZE24" s="1221"/>
      <c r="ZF24" s="1221"/>
      <c r="ZG24" s="1221"/>
      <c r="ZH24" s="1221"/>
      <c r="ZI24" s="1221"/>
      <c r="ZJ24" s="1221"/>
      <c r="ZK24" s="1221"/>
      <c r="ZL24" s="1221"/>
      <c r="ZM24" s="1221"/>
      <c r="ZN24" s="1221"/>
      <c r="ZO24" s="1221"/>
      <c r="ZP24" s="1221"/>
      <c r="ZQ24" s="1221"/>
      <c r="ZR24" s="1221"/>
      <c r="ZS24" s="1221"/>
      <c r="ZT24" s="1221"/>
      <c r="ZU24" s="1221"/>
      <c r="ZV24" s="1221"/>
      <c r="ZW24" s="1221"/>
      <c r="ZX24" s="1221"/>
      <c r="ZY24" s="1221"/>
      <c r="ZZ24" s="1221"/>
      <c r="AAA24" s="1221"/>
      <c r="AAB24" s="1221"/>
      <c r="AAC24" s="1221"/>
      <c r="AAD24" s="1221"/>
      <c r="AAE24" s="1221"/>
      <c r="AAF24" s="1221"/>
      <c r="AAG24" s="1221"/>
      <c r="AAH24" s="1221"/>
      <c r="AAI24" s="1221"/>
      <c r="AAJ24" s="1221"/>
      <c r="AAK24" s="1221"/>
      <c r="AAL24" s="1221"/>
      <c r="AAM24" s="1221"/>
      <c r="AAN24" s="1221"/>
      <c r="AAO24" s="1221"/>
      <c r="AAP24" s="1221"/>
      <c r="AAQ24" s="1221"/>
      <c r="AAR24" s="1221"/>
      <c r="AAS24" s="1221"/>
      <c r="AAT24" s="1221"/>
      <c r="AAU24" s="1221"/>
      <c r="AAV24" s="1221"/>
      <c r="AAW24" s="1221"/>
      <c r="AAX24" s="1221"/>
      <c r="AAY24" s="1221"/>
      <c r="AAZ24" s="1221"/>
      <c r="ABA24" s="1221"/>
      <c r="ABB24" s="1221"/>
      <c r="ABC24" s="1221"/>
      <c r="ABD24" s="1221"/>
      <c r="ABE24" s="1221"/>
      <c r="ABF24" s="1221"/>
      <c r="ABG24" s="1221"/>
      <c r="ABH24" s="1221"/>
      <c r="ABI24" s="1221"/>
      <c r="ABJ24" s="1221"/>
      <c r="ABK24" s="1221"/>
      <c r="ABL24" s="1221"/>
      <c r="ABM24" s="1221"/>
      <c r="ABN24" s="1221"/>
      <c r="ABO24" s="1221"/>
      <c r="ABP24" s="1221"/>
      <c r="ABQ24" s="1221"/>
      <c r="ABR24" s="1221"/>
      <c r="ABS24" s="1221"/>
      <c r="ABT24" s="1221"/>
      <c r="ABU24" s="1221"/>
      <c r="ABV24" s="1221"/>
      <c r="ABW24" s="1221"/>
      <c r="ABX24" s="1221"/>
      <c r="ABY24" s="1221"/>
      <c r="ABZ24" s="1221"/>
      <c r="ACA24" s="1221"/>
      <c r="ACB24" s="1221"/>
      <c r="ACC24" s="1221"/>
      <c r="ACD24" s="1221"/>
      <c r="ACE24" s="1221"/>
      <c r="ACF24" s="1221"/>
      <c r="ACG24" s="1221"/>
      <c r="ACH24" s="1221"/>
      <c r="ACI24" s="1221"/>
      <c r="ACJ24" s="1221"/>
      <c r="ACK24" s="1221"/>
      <c r="ACL24" s="1221"/>
      <c r="ACM24" s="1221"/>
      <c r="ACN24" s="1221"/>
      <c r="ACO24" s="1221"/>
      <c r="ACP24" s="1221"/>
      <c r="ACQ24" s="1221"/>
      <c r="ACR24" s="1221"/>
      <c r="ACS24" s="1221"/>
      <c r="ACT24" s="1221"/>
      <c r="ACU24" s="1221"/>
      <c r="ACV24" s="1221"/>
      <c r="ACW24" s="1221"/>
      <c r="ACX24" s="1221"/>
      <c r="ACY24" s="1221"/>
      <c r="ACZ24" s="1221"/>
      <c r="ADA24" s="1221"/>
      <c r="ADB24" s="1221"/>
      <c r="ADC24" s="1221"/>
      <c r="ADD24" s="1221"/>
      <c r="ADE24" s="1221"/>
      <c r="ADF24" s="1221"/>
      <c r="ADG24" s="1221"/>
      <c r="ADH24" s="1221"/>
      <c r="ADI24" s="1221"/>
      <c r="ADJ24" s="1221"/>
      <c r="ADK24" s="1221"/>
      <c r="ADL24" s="1221"/>
      <c r="ADM24" s="1221"/>
      <c r="ADN24" s="1221"/>
      <c r="ADO24" s="1221"/>
      <c r="ADP24" s="1221"/>
      <c r="ADQ24" s="1221"/>
      <c r="ADR24" s="1221"/>
      <c r="ADS24" s="1221"/>
      <c r="ADT24" s="1221"/>
      <c r="ADU24" s="1221"/>
      <c r="ADV24" s="1221"/>
      <c r="ADW24" s="1221"/>
      <c r="ADX24" s="1221"/>
      <c r="ADY24" s="1221"/>
      <c r="ADZ24" s="1221"/>
      <c r="AEA24" s="1221"/>
      <c r="AEB24" s="1221"/>
      <c r="AEC24" s="1221"/>
      <c r="AED24" s="1221"/>
      <c r="AEE24" s="1221"/>
      <c r="AEF24" s="1221"/>
      <c r="AEG24" s="1221"/>
      <c r="AEH24" s="1221"/>
      <c r="AEI24" s="1221"/>
      <c r="AEJ24" s="1221"/>
      <c r="AEK24" s="1221"/>
      <c r="AEL24" s="1221"/>
      <c r="AEM24" s="1221"/>
      <c r="AEN24" s="1221"/>
      <c r="AEO24" s="1221"/>
      <c r="AEP24" s="1221"/>
      <c r="AEQ24" s="1221"/>
      <c r="AER24" s="1221"/>
      <c r="AES24" s="1221"/>
      <c r="AET24" s="1221"/>
      <c r="AEU24" s="1221"/>
      <c r="AEV24" s="1221"/>
      <c r="AEW24" s="1221"/>
      <c r="AEX24" s="1221"/>
      <c r="AEY24" s="1221"/>
      <c r="AEZ24" s="1221"/>
      <c r="AFA24" s="1221"/>
      <c r="AFB24" s="1221"/>
      <c r="AFC24" s="1221"/>
      <c r="AFD24" s="1221"/>
      <c r="AFE24" s="1221"/>
      <c r="AFF24" s="1221"/>
      <c r="AFG24" s="1221"/>
      <c r="AFH24" s="1221"/>
      <c r="AFI24" s="1221"/>
      <c r="AFJ24" s="1221"/>
      <c r="AFK24" s="1221"/>
      <c r="AFL24" s="1221"/>
      <c r="AFM24" s="1221"/>
      <c r="AFN24" s="1221"/>
      <c r="AFO24" s="1221"/>
      <c r="AFP24" s="1221"/>
      <c r="AFQ24" s="1221"/>
      <c r="AFR24" s="1221"/>
      <c r="AFS24" s="1221"/>
      <c r="AFT24" s="1221"/>
      <c r="AFU24" s="1221"/>
      <c r="AFV24" s="1221"/>
      <c r="AFW24" s="1221"/>
      <c r="AFX24" s="1221"/>
      <c r="AFY24" s="1221"/>
      <c r="AFZ24" s="1221"/>
      <c r="AGA24" s="1221"/>
      <c r="AGB24" s="1221"/>
      <c r="AGC24" s="1221"/>
      <c r="AGD24" s="1221"/>
      <c r="AGE24" s="1221"/>
      <c r="AGF24" s="1221"/>
      <c r="AGG24" s="1221"/>
      <c r="AGH24" s="1221"/>
      <c r="AGI24" s="1221"/>
      <c r="AGJ24" s="1221"/>
      <c r="AGK24" s="1221"/>
      <c r="AGL24" s="1221"/>
      <c r="AGM24" s="1221"/>
      <c r="AGN24" s="1221"/>
      <c r="AGO24" s="1221"/>
      <c r="AGP24" s="1221"/>
      <c r="AGQ24" s="1221"/>
      <c r="AGR24" s="1221"/>
      <c r="AGS24" s="1221"/>
      <c r="AGT24" s="1221"/>
      <c r="AGU24" s="1221"/>
      <c r="AGV24" s="1221"/>
      <c r="AGW24" s="1221"/>
      <c r="AGX24" s="1221"/>
      <c r="AGY24" s="1221"/>
      <c r="AGZ24" s="1221"/>
      <c r="AHA24" s="1221"/>
      <c r="AHB24" s="1221"/>
      <c r="AHC24" s="1221"/>
      <c r="AHD24" s="1221"/>
      <c r="AHE24" s="1221"/>
      <c r="AHF24" s="1221"/>
      <c r="AHG24" s="1221"/>
      <c r="AHH24" s="1221"/>
      <c r="AHI24" s="1221"/>
      <c r="AHJ24" s="1221"/>
      <c r="AHK24" s="1221"/>
      <c r="AHL24" s="1221"/>
      <c r="AHM24" s="1221"/>
      <c r="AHN24" s="1221"/>
      <c r="AHO24" s="1221"/>
      <c r="AHP24" s="1221"/>
      <c r="AHQ24" s="1221"/>
      <c r="AHR24" s="1221"/>
      <c r="AHS24" s="1221"/>
      <c r="AHT24" s="1221"/>
      <c r="AHU24" s="1221"/>
      <c r="AHV24" s="1221"/>
      <c r="AHW24" s="1221"/>
      <c r="AHX24" s="1221"/>
      <c r="AHY24" s="1221"/>
      <c r="AHZ24" s="1221"/>
      <c r="AIA24" s="1221"/>
      <c r="AIB24" s="1221"/>
      <c r="AIC24" s="1221"/>
      <c r="AID24" s="1221"/>
      <c r="AIE24" s="1221"/>
      <c r="AIF24" s="1221"/>
      <c r="AIG24" s="1221"/>
      <c r="AIH24" s="1221"/>
      <c r="AII24" s="1221"/>
      <c r="AIJ24" s="1221"/>
      <c r="AIK24" s="1221"/>
      <c r="AIL24" s="1221"/>
      <c r="AIM24" s="1221"/>
      <c r="AIN24" s="1221"/>
      <c r="AIO24" s="1221"/>
      <c r="AIP24" s="1221"/>
      <c r="AIQ24" s="1221"/>
      <c r="AIR24" s="1221"/>
      <c r="AIS24" s="1221"/>
      <c r="AIT24" s="1221"/>
      <c r="AIU24" s="1221"/>
      <c r="AIV24" s="1221"/>
      <c r="AIW24" s="1221"/>
      <c r="AIX24" s="1221"/>
      <c r="AIY24" s="1221"/>
      <c r="AIZ24" s="1221"/>
      <c r="AJA24" s="1221"/>
      <c r="AJB24" s="1221"/>
      <c r="AJC24" s="1221"/>
      <c r="AJD24" s="1221"/>
      <c r="AJE24" s="1221"/>
      <c r="AJF24" s="1221"/>
      <c r="AJG24" s="1221"/>
      <c r="AJH24" s="1221"/>
      <c r="AJI24" s="1221"/>
      <c r="AJJ24" s="1221"/>
      <c r="AJK24" s="1221"/>
      <c r="AJL24" s="1221"/>
      <c r="AJM24" s="1221"/>
      <c r="AJN24" s="1221"/>
      <c r="AJO24" s="1221"/>
      <c r="AJP24" s="1221"/>
      <c r="AJQ24" s="1221"/>
      <c r="AJR24" s="1221"/>
      <c r="AJS24" s="1221"/>
      <c r="AJT24" s="1221"/>
      <c r="AJU24" s="1221"/>
      <c r="AJV24" s="1221"/>
      <c r="AJW24" s="1221"/>
      <c r="AJX24" s="1221"/>
      <c r="AJY24" s="1221"/>
      <c r="AJZ24" s="1221"/>
      <c r="AKA24" s="1221"/>
      <c r="AKB24" s="1221"/>
      <c r="AKC24" s="1221"/>
      <c r="AKD24" s="1221"/>
      <c r="AKE24" s="1221"/>
      <c r="AKF24" s="1221"/>
      <c r="AKG24" s="1221"/>
      <c r="AKH24" s="1221"/>
      <c r="AKI24" s="1221"/>
      <c r="AKJ24" s="1221"/>
      <c r="AKK24" s="1221"/>
      <c r="AKL24" s="1221"/>
      <c r="AKM24" s="1221"/>
      <c r="AKN24" s="1221"/>
      <c r="AKO24" s="1221"/>
      <c r="AKP24" s="1221"/>
      <c r="AKQ24" s="1221"/>
      <c r="AKR24" s="1221"/>
      <c r="AKS24" s="1221"/>
      <c r="AKT24" s="1221"/>
      <c r="AKU24" s="1221"/>
      <c r="AKV24" s="1221"/>
      <c r="AKW24" s="1221"/>
      <c r="AKX24" s="1221"/>
      <c r="AKY24" s="1221"/>
      <c r="AKZ24" s="1221"/>
      <c r="ALA24" s="1221"/>
      <c r="ALB24" s="1221"/>
      <c r="ALC24" s="1221"/>
      <c r="ALD24" s="1221"/>
      <c r="ALE24" s="1221"/>
      <c r="ALF24" s="1221"/>
      <c r="ALG24" s="1221"/>
      <c r="ALH24" s="1221"/>
      <c r="ALI24" s="1221"/>
      <c r="ALJ24" s="1221"/>
      <c r="ALK24" s="1221"/>
      <c r="ALL24" s="1221"/>
      <c r="ALM24" s="1221"/>
      <c r="ALN24" s="1221"/>
      <c r="ALO24" s="1221"/>
      <c r="ALP24" s="1221"/>
      <c r="ALQ24" s="1221"/>
      <c r="ALR24" s="1221"/>
      <c r="ALS24" s="1221"/>
      <c r="ALT24" s="1221"/>
      <c r="ALU24" s="1221"/>
      <c r="ALV24" s="1221"/>
      <c r="ALW24" s="1221"/>
      <c r="ALX24" s="1221"/>
      <c r="ALY24" s="1221"/>
      <c r="ALZ24" s="1221"/>
      <c r="AMA24" s="1221"/>
      <c r="AMB24" s="1221"/>
      <c r="AMC24" s="1221"/>
      <c r="AMD24" s="1221"/>
      <c r="AME24" s="1221"/>
      <c r="AMF24" s="1221"/>
      <c r="AMG24" s="1221"/>
      <c r="AMH24" s="1221"/>
      <c r="AMI24" s="1221"/>
      <c r="AMJ24" s="1221"/>
      <c r="AMK24" s="1221"/>
      <c r="AML24" s="1221"/>
      <c r="AMM24" s="1221"/>
      <c r="AMN24" s="1221"/>
      <c r="AMO24" s="1221"/>
      <c r="AMP24" s="1221"/>
      <c r="AMQ24" s="1221"/>
      <c r="AMR24" s="1221"/>
      <c r="AMS24" s="1221"/>
      <c r="AMT24" s="1221"/>
      <c r="AMU24" s="1221"/>
      <c r="AMV24" s="1221"/>
      <c r="AMW24" s="1221"/>
      <c r="AMX24" s="1221"/>
      <c r="AMY24" s="1221"/>
      <c r="AMZ24" s="1221"/>
      <c r="ANA24" s="1221"/>
      <c r="ANB24" s="1221"/>
      <c r="ANC24" s="1221"/>
      <c r="AND24" s="1221"/>
      <c r="ANE24" s="1221"/>
      <c r="ANF24" s="1221"/>
      <c r="ANG24" s="1221"/>
      <c r="ANH24" s="1221"/>
      <c r="ANI24" s="1221"/>
      <c r="ANJ24" s="1221"/>
      <c r="ANK24" s="1221"/>
      <c r="ANL24" s="1221"/>
      <c r="ANM24" s="1221"/>
      <c r="ANN24" s="1221"/>
      <c r="ANO24" s="1221"/>
      <c r="ANP24" s="1221"/>
      <c r="ANQ24" s="1221"/>
      <c r="ANR24" s="1221"/>
      <c r="ANS24" s="1221"/>
      <c r="ANT24" s="1221"/>
      <c r="ANU24" s="1221"/>
      <c r="ANV24" s="1221"/>
      <c r="ANW24" s="1221"/>
      <c r="ANX24" s="1221"/>
      <c r="ANY24" s="1221"/>
      <c r="ANZ24" s="1221"/>
      <c r="AOA24" s="1221"/>
      <c r="AOB24" s="1221"/>
      <c r="AOC24" s="1221"/>
      <c r="AOD24" s="1221"/>
      <c r="AOE24" s="1221"/>
      <c r="AOF24" s="1221"/>
      <c r="AOG24" s="1221"/>
      <c r="AOH24" s="1221"/>
      <c r="AOI24" s="1221"/>
      <c r="AOJ24" s="1221"/>
      <c r="AOK24" s="1221"/>
      <c r="AOL24" s="1221"/>
      <c r="AOM24" s="1221"/>
      <c r="AON24" s="1221"/>
      <c r="AOO24" s="1221"/>
      <c r="AOP24" s="1221"/>
      <c r="AOQ24" s="1221"/>
      <c r="AOR24" s="1221"/>
      <c r="AOS24" s="1221"/>
      <c r="AOT24" s="1221"/>
      <c r="AOU24" s="1221"/>
      <c r="AOV24" s="1221"/>
      <c r="AOW24" s="1221"/>
      <c r="AOX24" s="1221"/>
      <c r="AOY24" s="1221"/>
      <c r="AOZ24" s="1221"/>
      <c r="APA24" s="1221"/>
      <c r="APB24" s="1221"/>
      <c r="APC24" s="1221"/>
      <c r="APD24" s="1221"/>
      <c r="APE24" s="1221"/>
      <c r="APF24" s="1221"/>
      <c r="APG24" s="1221"/>
      <c r="APH24" s="1221"/>
      <c r="API24" s="1221"/>
      <c r="APJ24" s="1221"/>
      <c r="APK24" s="1221"/>
      <c r="APL24" s="1221"/>
      <c r="APM24" s="1221"/>
      <c r="APN24" s="1221"/>
      <c r="APO24" s="1221"/>
      <c r="APP24" s="1221"/>
      <c r="APQ24" s="1221"/>
      <c r="APR24" s="1221"/>
      <c r="APS24" s="1221"/>
      <c r="APT24" s="1221"/>
      <c r="APU24" s="1221"/>
      <c r="APV24" s="1221"/>
      <c r="APW24" s="1221"/>
      <c r="APX24" s="1221"/>
      <c r="APY24" s="1221"/>
      <c r="APZ24" s="1221"/>
      <c r="AQA24" s="1221"/>
      <c r="AQB24" s="1221"/>
      <c r="AQC24" s="1221"/>
      <c r="AQD24" s="1221"/>
      <c r="AQE24" s="1221"/>
      <c r="AQF24" s="1221"/>
      <c r="AQG24" s="1221"/>
      <c r="AQH24" s="1221"/>
      <c r="AQI24" s="1221"/>
      <c r="AQJ24" s="1221"/>
      <c r="AQK24" s="1221"/>
      <c r="AQL24" s="1221"/>
      <c r="AQM24" s="1221"/>
      <c r="AQN24" s="1221"/>
      <c r="AQO24" s="1221"/>
      <c r="AQP24" s="1221"/>
      <c r="AQQ24" s="1221"/>
      <c r="AQR24" s="1221"/>
      <c r="AQS24" s="1221"/>
      <c r="AQT24" s="1221"/>
      <c r="AQU24" s="1221"/>
      <c r="AQV24" s="1221"/>
      <c r="AQW24" s="1221"/>
      <c r="AQX24" s="1221"/>
      <c r="AQY24" s="1221"/>
      <c r="AQZ24" s="1221"/>
      <c r="ARA24" s="1221"/>
      <c r="ARB24" s="1221"/>
      <c r="ARC24" s="1221"/>
      <c r="ARD24" s="1221"/>
      <c r="ARE24" s="1221"/>
      <c r="ARF24" s="1221"/>
      <c r="ARG24" s="1221"/>
      <c r="ARH24" s="1221"/>
      <c r="ARI24" s="1221"/>
      <c r="ARJ24" s="1221"/>
      <c r="ARK24" s="1221"/>
      <c r="ARL24" s="1221"/>
      <c r="ARM24" s="1221"/>
      <c r="ARN24" s="1221"/>
      <c r="ARO24" s="1221"/>
      <c r="ARP24" s="1221"/>
      <c r="ARQ24" s="1221"/>
      <c r="ARR24" s="1221"/>
      <c r="ARS24" s="1221"/>
      <c r="ART24" s="1221"/>
      <c r="ARU24" s="1221"/>
      <c r="ARV24" s="1221"/>
      <c r="ARW24" s="1221"/>
      <c r="ARX24" s="1221"/>
      <c r="ARY24" s="1221"/>
      <c r="ARZ24" s="1221"/>
      <c r="ASA24" s="1221"/>
      <c r="ASB24" s="1221"/>
      <c r="ASC24" s="1221"/>
      <c r="ASD24" s="1221"/>
      <c r="ASE24" s="1221"/>
      <c r="ASF24" s="1221"/>
      <c r="ASG24" s="1221"/>
      <c r="ASH24" s="1221"/>
      <c r="ASI24" s="1221"/>
      <c r="ASJ24" s="1221"/>
      <c r="ASK24" s="1221"/>
      <c r="ASL24" s="1221"/>
      <c r="ASM24" s="1221"/>
      <c r="ASN24" s="1221"/>
      <c r="ASO24" s="1221"/>
      <c r="ASP24" s="1221"/>
      <c r="ASQ24" s="1221"/>
      <c r="ASR24" s="1221"/>
      <c r="ASS24" s="1221"/>
      <c r="AST24" s="1221"/>
      <c r="ASU24" s="1221"/>
      <c r="ASV24" s="1221"/>
      <c r="ASW24" s="1221"/>
      <c r="ASX24" s="1221"/>
      <c r="ASY24" s="1221"/>
      <c r="ASZ24" s="1221"/>
      <c r="ATA24" s="1221"/>
      <c r="ATB24" s="1221"/>
      <c r="ATC24" s="1221"/>
      <c r="ATD24" s="1221"/>
      <c r="ATE24" s="1221"/>
      <c r="ATF24" s="1221"/>
      <c r="ATG24" s="1221"/>
      <c r="ATH24" s="1221"/>
      <c r="ATI24" s="1221"/>
      <c r="ATJ24" s="1221"/>
      <c r="ATK24" s="1221"/>
      <c r="ATL24" s="1221"/>
      <c r="ATM24" s="1221"/>
      <c r="ATN24" s="1221"/>
      <c r="ATO24" s="1221"/>
      <c r="ATP24" s="1221"/>
      <c r="ATQ24" s="1221"/>
      <c r="ATR24" s="1221"/>
      <c r="ATS24" s="1221"/>
      <c r="ATT24" s="1221"/>
      <c r="ATU24" s="1221"/>
      <c r="ATV24" s="1221"/>
      <c r="ATW24" s="1221"/>
      <c r="ATX24" s="1221"/>
      <c r="ATY24" s="1221"/>
      <c r="ATZ24" s="1221"/>
      <c r="AUA24" s="1221"/>
      <c r="AUB24" s="1221"/>
      <c r="AUC24" s="1221"/>
      <c r="AUD24" s="1221"/>
      <c r="AUE24" s="1221"/>
      <c r="AUF24" s="1221"/>
      <c r="AUG24" s="1221"/>
      <c r="AUH24" s="1221"/>
      <c r="AUI24" s="1221"/>
      <c r="AUJ24" s="1221"/>
      <c r="AUK24" s="1221"/>
      <c r="AUL24" s="1221"/>
      <c r="AUM24" s="1221"/>
      <c r="AUN24" s="1221"/>
      <c r="AUO24" s="1221"/>
      <c r="AUP24" s="1221"/>
      <c r="AUQ24" s="1221"/>
      <c r="AUR24" s="1221"/>
      <c r="AUS24" s="1221"/>
      <c r="AUT24" s="1221"/>
      <c r="AUU24" s="1221"/>
      <c r="AUV24" s="1221"/>
      <c r="AUW24" s="1221"/>
      <c r="AUX24" s="1221"/>
      <c r="AUY24" s="1221"/>
      <c r="AUZ24" s="1221"/>
      <c r="AVA24" s="1221"/>
      <c r="AVB24" s="1221"/>
      <c r="AVC24" s="1221"/>
      <c r="AVD24" s="1221"/>
      <c r="AVE24" s="1221"/>
      <c r="AVF24" s="1221"/>
      <c r="AVG24" s="1221"/>
      <c r="AVH24" s="1221"/>
      <c r="AVI24" s="1221"/>
      <c r="AVJ24" s="1221"/>
      <c r="AVK24" s="1221"/>
      <c r="AVL24" s="1221"/>
      <c r="AVM24" s="1221"/>
      <c r="AVN24" s="1221"/>
      <c r="AVO24" s="1221"/>
      <c r="AVP24" s="1221"/>
      <c r="AVQ24" s="1221"/>
      <c r="AVR24" s="1221"/>
      <c r="AVS24" s="1221"/>
      <c r="AVT24" s="1221"/>
      <c r="AVU24" s="1221"/>
      <c r="AVV24" s="1221"/>
      <c r="AVW24" s="1221"/>
      <c r="AVX24" s="1221"/>
      <c r="AVY24" s="1221"/>
      <c r="AVZ24" s="1221"/>
      <c r="AWA24" s="1221"/>
      <c r="AWB24" s="1221"/>
      <c r="AWC24" s="1221"/>
      <c r="AWD24" s="1221"/>
      <c r="AWE24" s="1221"/>
      <c r="AWF24" s="1221"/>
      <c r="AWG24" s="1221"/>
      <c r="AWH24" s="1221"/>
      <c r="AWI24" s="1221"/>
      <c r="AWJ24" s="1221"/>
      <c r="AWK24" s="1221"/>
      <c r="AWL24" s="1221"/>
      <c r="AWM24" s="1221"/>
      <c r="AWN24" s="1221"/>
      <c r="AWO24" s="1221"/>
      <c r="AWP24" s="1221"/>
      <c r="AWQ24" s="1221"/>
      <c r="AWR24" s="1221"/>
      <c r="AWS24" s="1221"/>
      <c r="AWT24" s="1221"/>
      <c r="AWU24" s="1221"/>
      <c r="AWV24" s="1221"/>
      <c r="AWW24" s="1221"/>
      <c r="AWX24" s="1221"/>
      <c r="AWY24" s="1221"/>
      <c r="AWZ24" s="1221"/>
      <c r="AXA24" s="1221"/>
      <c r="AXB24" s="1221"/>
      <c r="AXC24" s="1221"/>
      <c r="AXD24" s="1221"/>
      <c r="AXE24" s="1221"/>
      <c r="AXF24" s="1221"/>
      <c r="AXG24" s="1221"/>
      <c r="AXH24" s="1221"/>
      <c r="AXI24" s="1221"/>
      <c r="AXJ24" s="1221"/>
      <c r="AXK24" s="1221"/>
      <c r="AXL24" s="1221"/>
      <c r="AXM24" s="1221"/>
      <c r="AXN24" s="1221"/>
      <c r="AXO24" s="1221"/>
      <c r="AXP24" s="1221"/>
      <c r="AXQ24" s="1221"/>
      <c r="AXR24" s="1221"/>
      <c r="AXS24" s="1221"/>
      <c r="AXT24" s="1221"/>
      <c r="AXU24" s="1221"/>
      <c r="AXV24" s="1221"/>
      <c r="AXW24" s="1221"/>
      <c r="AXX24" s="1221"/>
      <c r="AXY24" s="1221"/>
      <c r="AXZ24" s="1221"/>
      <c r="AYA24" s="1221"/>
      <c r="AYB24" s="1221"/>
      <c r="AYC24" s="1221"/>
      <c r="AYD24" s="1221"/>
      <c r="AYE24" s="1221"/>
      <c r="AYF24" s="1221"/>
      <c r="AYG24" s="1221"/>
      <c r="AYH24" s="1221"/>
      <c r="AYI24" s="1221"/>
      <c r="AYJ24" s="1221"/>
      <c r="AYK24" s="1221"/>
      <c r="AYL24" s="1221"/>
      <c r="AYM24" s="1221"/>
      <c r="AYN24" s="1221"/>
      <c r="AYO24" s="1221"/>
      <c r="AYP24" s="1221"/>
      <c r="AYQ24" s="1221"/>
      <c r="AYR24" s="1221"/>
      <c r="AYS24" s="1221"/>
      <c r="AYT24" s="1221"/>
      <c r="AYU24" s="1221"/>
      <c r="AYV24" s="1221"/>
      <c r="AYW24" s="1221"/>
      <c r="AYX24" s="1221"/>
      <c r="AYY24" s="1221"/>
      <c r="AYZ24" s="1221"/>
      <c r="AZA24" s="1221"/>
      <c r="AZB24" s="1221"/>
      <c r="AZC24" s="1221"/>
      <c r="AZD24" s="1221"/>
      <c r="AZE24" s="1221"/>
      <c r="AZF24" s="1221"/>
      <c r="AZG24" s="1221"/>
      <c r="AZH24" s="1221"/>
      <c r="AZI24" s="1221"/>
      <c r="AZJ24" s="1221"/>
      <c r="AZK24" s="1221"/>
      <c r="AZL24" s="1221"/>
      <c r="AZM24" s="1221"/>
      <c r="AZN24" s="1221"/>
      <c r="AZO24" s="1221"/>
      <c r="AZP24" s="1221"/>
      <c r="AZQ24" s="1221"/>
      <c r="AZR24" s="1221"/>
      <c r="AZS24" s="1221"/>
      <c r="AZT24" s="1221"/>
      <c r="AZU24" s="1221"/>
      <c r="AZV24" s="1221"/>
      <c r="AZW24" s="1221"/>
      <c r="AZX24" s="1221"/>
      <c r="AZY24" s="1221"/>
      <c r="AZZ24" s="1221"/>
      <c r="BAA24" s="1221"/>
      <c r="BAB24" s="1221"/>
      <c r="BAC24" s="1221"/>
      <c r="BAD24" s="1221"/>
      <c r="BAE24" s="1221"/>
      <c r="BAF24" s="1221"/>
      <c r="BAG24" s="1221"/>
      <c r="BAH24" s="1221"/>
      <c r="BAI24" s="1221"/>
      <c r="BAJ24" s="1221"/>
      <c r="BAK24" s="1221"/>
      <c r="BAL24" s="1221"/>
      <c r="BAM24" s="1221"/>
      <c r="BAN24" s="1221"/>
      <c r="BAO24" s="1221"/>
      <c r="BAP24" s="1221"/>
      <c r="BAQ24" s="1221"/>
      <c r="BAR24" s="1221"/>
      <c r="BAS24" s="1221"/>
      <c r="BAT24" s="1221"/>
      <c r="BAU24" s="1221"/>
      <c r="BAV24" s="1221"/>
      <c r="BAW24" s="1221"/>
      <c r="BAX24" s="1221"/>
      <c r="BAY24" s="1221"/>
      <c r="BAZ24" s="1221"/>
      <c r="BBA24" s="1221"/>
      <c r="BBB24" s="1221"/>
      <c r="BBC24" s="1221"/>
      <c r="BBD24" s="1221"/>
      <c r="BBE24" s="1221"/>
      <c r="BBF24" s="1221"/>
      <c r="BBG24" s="1221"/>
      <c r="BBH24" s="1221"/>
      <c r="BBI24" s="1221"/>
      <c r="BBJ24" s="1221"/>
      <c r="BBK24" s="1221"/>
      <c r="BBL24" s="1221"/>
      <c r="BBM24" s="1221"/>
      <c r="BBN24" s="1221"/>
      <c r="BBO24" s="1221"/>
      <c r="BBP24" s="1221"/>
      <c r="BBQ24" s="1221"/>
      <c r="BBR24" s="1221"/>
      <c r="BBS24" s="1221"/>
      <c r="BBT24" s="1221"/>
      <c r="BBU24" s="1221"/>
      <c r="BBV24" s="1221"/>
      <c r="BBW24" s="1221"/>
      <c r="BBX24" s="1221"/>
      <c r="BBY24" s="1221"/>
      <c r="BBZ24" s="1221"/>
      <c r="BCA24" s="1221"/>
      <c r="BCB24" s="1221"/>
      <c r="BCC24" s="1221"/>
      <c r="BCD24" s="1221"/>
      <c r="BCE24" s="1221"/>
      <c r="BCF24" s="1221"/>
      <c r="BCG24" s="1221"/>
      <c r="BCH24" s="1221"/>
      <c r="BCI24" s="1221"/>
      <c r="BCJ24" s="1221"/>
      <c r="BCK24" s="1221"/>
      <c r="BCL24" s="1221"/>
      <c r="BCM24" s="1221"/>
      <c r="BCN24" s="1221"/>
      <c r="BCO24" s="1221"/>
      <c r="BCP24" s="1221"/>
      <c r="BCQ24" s="1221"/>
      <c r="BCR24" s="1221"/>
      <c r="BCS24" s="1221"/>
      <c r="BCT24" s="1221"/>
      <c r="BCU24" s="1221"/>
      <c r="BCV24" s="1221"/>
      <c r="BCW24" s="1221"/>
      <c r="BCX24" s="1221"/>
      <c r="BCY24" s="1221"/>
      <c r="BCZ24" s="1221"/>
      <c r="BDA24" s="1221"/>
      <c r="BDB24" s="1221"/>
      <c r="BDC24" s="1221"/>
      <c r="BDD24" s="1221"/>
      <c r="BDE24" s="1221"/>
      <c r="BDF24" s="1221"/>
      <c r="BDG24" s="1221"/>
      <c r="BDH24" s="1221"/>
      <c r="BDI24" s="1221"/>
      <c r="BDJ24" s="1221"/>
      <c r="BDK24" s="1221"/>
      <c r="BDL24" s="1221"/>
      <c r="BDM24" s="1221"/>
      <c r="BDN24" s="1221"/>
      <c r="BDO24" s="1221"/>
      <c r="BDP24" s="1221"/>
      <c r="BDQ24" s="1221"/>
      <c r="BDR24" s="1221"/>
      <c r="BDS24" s="1221"/>
      <c r="BDT24" s="1221"/>
      <c r="BDU24" s="1221"/>
      <c r="BDV24" s="1221"/>
      <c r="BDW24" s="1221"/>
      <c r="BDX24" s="1221"/>
      <c r="BDY24" s="1221"/>
      <c r="BDZ24" s="1221"/>
      <c r="BEA24" s="1221"/>
      <c r="BEB24" s="1221"/>
      <c r="BEC24" s="1221"/>
      <c r="BED24" s="1221"/>
      <c r="BEE24" s="1221"/>
      <c r="BEF24" s="1221"/>
      <c r="BEG24" s="1221"/>
      <c r="BEH24" s="1221"/>
      <c r="BEI24" s="1221"/>
      <c r="BEJ24" s="1221"/>
      <c r="BEK24" s="1221"/>
      <c r="BEL24" s="1221"/>
      <c r="BEM24" s="1221"/>
      <c r="BEN24" s="1221"/>
      <c r="BEO24" s="1221"/>
      <c r="BEP24" s="1221"/>
      <c r="BEQ24" s="1221"/>
      <c r="BER24" s="1221"/>
      <c r="BES24" s="1221"/>
      <c r="BET24" s="1221"/>
      <c r="BEU24" s="1221"/>
      <c r="BEV24" s="1221"/>
      <c r="BEW24" s="1221"/>
      <c r="BEX24" s="1221"/>
      <c r="BEY24" s="1221"/>
      <c r="BEZ24" s="1221"/>
      <c r="BFA24" s="1221"/>
      <c r="BFB24" s="1221"/>
      <c r="BFC24" s="1221"/>
      <c r="BFD24" s="1221"/>
      <c r="BFE24" s="1221"/>
      <c r="BFF24" s="1221"/>
      <c r="BFG24" s="1221"/>
      <c r="BFH24" s="1221"/>
      <c r="BFI24" s="1221"/>
      <c r="BFJ24" s="1221"/>
      <c r="BFK24" s="1221"/>
      <c r="BFL24" s="1221"/>
      <c r="BFM24" s="1221"/>
      <c r="BFN24" s="1221"/>
      <c r="BFO24" s="1221"/>
      <c r="BFP24" s="1221"/>
      <c r="BFQ24" s="1221"/>
      <c r="BFR24" s="1221"/>
      <c r="BFS24" s="1221"/>
      <c r="BFT24" s="1221"/>
      <c r="BFU24" s="1221"/>
      <c r="BFV24" s="1221"/>
      <c r="BFW24" s="1221"/>
      <c r="BFX24" s="1221"/>
      <c r="BFY24" s="1221"/>
      <c r="BFZ24" s="1221"/>
      <c r="BGA24" s="1221"/>
      <c r="BGB24" s="1221"/>
      <c r="BGC24" s="1221"/>
      <c r="BGD24" s="1221"/>
      <c r="BGE24" s="1221"/>
      <c r="BGF24" s="1221"/>
      <c r="BGG24" s="1221"/>
      <c r="BGH24" s="1221"/>
      <c r="BGI24" s="1221"/>
      <c r="BGJ24" s="1221"/>
      <c r="BGK24" s="1221"/>
      <c r="BGL24" s="1221"/>
      <c r="BGM24" s="1221"/>
      <c r="BGN24" s="1221"/>
      <c r="BGO24" s="1221"/>
      <c r="BGP24" s="1221"/>
      <c r="BGQ24" s="1221"/>
      <c r="BGR24" s="1221"/>
      <c r="BGS24" s="1221"/>
      <c r="BGT24" s="1221"/>
      <c r="BGU24" s="1221"/>
      <c r="BGV24" s="1221"/>
      <c r="BGW24" s="1221"/>
      <c r="BGX24" s="1221"/>
      <c r="BGY24" s="1221"/>
      <c r="BGZ24" s="1221"/>
      <c r="BHA24" s="1221"/>
      <c r="BHB24" s="1221"/>
      <c r="BHC24" s="1221"/>
      <c r="BHD24" s="1221"/>
      <c r="BHE24" s="1221"/>
      <c r="BHF24" s="1221"/>
      <c r="BHG24" s="1221"/>
      <c r="BHH24" s="1221"/>
      <c r="BHI24" s="1221"/>
      <c r="BHJ24" s="1221"/>
      <c r="BHK24" s="1221"/>
      <c r="BHL24" s="1221"/>
      <c r="BHM24" s="1221"/>
      <c r="BHN24" s="1221"/>
      <c r="BHO24" s="1221"/>
      <c r="BHP24" s="1221"/>
      <c r="BHQ24" s="1221"/>
      <c r="BHR24" s="1221"/>
      <c r="BHS24" s="1221"/>
      <c r="BHT24" s="1221"/>
      <c r="BHU24" s="1221"/>
      <c r="BHV24" s="1221"/>
      <c r="BHW24" s="1221"/>
      <c r="BHX24" s="1221"/>
      <c r="BHY24" s="1221"/>
      <c r="BHZ24" s="1221"/>
      <c r="BIA24" s="1221"/>
      <c r="BIB24" s="1221"/>
      <c r="BIC24" s="1221"/>
      <c r="BID24" s="1221"/>
      <c r="BIE24" s="1221"/>
      <c r="BIF24" s="1221"/>
      <c r="BIG24" s="1221"/>
      <c r="BIH24" s="1221"/>
      <c r="BII24" s="1221"/>
      <c r="BIJ24" s="1221"/>
      <c r="BIK24" s="1221"/>
      <c r="BIL24" s="1221"/>
      <c r="BIM24" s="1221"/>
      <c r="BIN24" s="1221"/>
      <c r="BIO24" s="1221"/>
      <c r="BIP24" s="1221"/>
      <c r="BIQ24" s="1221"/>
      <c r="BIR24" s="1221"/>
      <c r="BIS24" s="1221"/>
      <c r="BIT24" s="1221"/>
      <c r="BIU24" s="1221"/>
      <c r="BIV24" s="1221"/>
      <c r="BIW24" s="1221"/>
      <c r="BIX24" s="1221"/>
      <c r="BIY24" s="1221"/>
      <c r="BIZ24" s="1221"/>
      <c r="BJA24" s="1221"/>
      <c r="BJB24" s="1221"/>
      <c r="BJC24" s="1221"/>
      <c r="BJD24" s="1221"/>
      <c r="BJE24" s="1221"/>
      <c r="BJF24" s="1221"/>
      <c r="BJG24" s="1221"/>
      <c r="BJH24" s="1221"/>
      <c r="BJI24" s="1221"/>
      <c r="BJJ24" s="1221"/>
      <c r="BJK24" s="1221"/>
      <c r="BJL24" s="1221"/>
      <c r="BJM24" s="1221"/>
      <c r="BJN24" s="1221"/>
      <c r="BJO24" s="1221"/>
      <c r="BJP24" s="1221"/>
      <c r="BJQ24" s="1221"/>
      <c r="BJR24" s="1221"/>
      <c r="BJS24" s="1221"/>
      <c r="BJT24" s="1221"/>
      <c r="BJU24" s="1221"/>
      <c r="BJV24" s="1221"/>
      <c r="BJW24" s="1221"/>
      <c r="BJX24" s="1221"/>
      <c r="BJY24" s="1221"/>
      <c r="BJZ24" s="1221"/>
      <c r="BKA24" s="1221"/>
      <c r="BKB24" s="1221"/>
      <c r="BKC24" s="1221"/>
      <c r="BKD24" s="1221"/>
      <c r="BKE24" s="1221"/>
      <c r="BKF24" s="1221"/>
      <c r="BKG24" s="1221"/>
      <c r="BKH24" s="1221"/>
      <c r="BKI24" s="1221"/>
      <c r="BKJ24" s="1221"/>
      <c r="BKK24" s="1221"/>
      <c r="BKL24" s="1221"/>
      <c r="BKM24" s="1221"/>
      <c r="BKN24" s="1221"/>
      <c r="BKO24" s="1221"/>
      <c r="BKP24" s="1221"/>
      <c r="BKQ24" s="1221"/>
      <c r="BKR24" s="1221"/>
      <c r="BKS24" s="1221"/>
      <c r="BKT24" s="1221"/>
      <c r="BKU24" s="1221"/>
      <c r="BKV24" s="1221"/>
      <c r="BKW24" s="1221"/>
      <c r="BKX24" s="1221"/>
      <c r="BKY24" s="1221"/>
      <c r="BKZ24" s="1221"/>
      <c r="BLA24" s="1221"/>
      <c r="BLB24" s="1221"/>
      <c r="BLC24" s="1221"/>
      <c r="BLD24" s="1221"/>
      <c r="BLE24" s="1221"/>
      <c r="BLF24" s="1221"/>
      <c r="BLG24" s="1221"/>
      <c r="BLH24" s="1221"/>
      <c r="BLI24" s="1221"/>
      <c r="BLJ24" s="1221"/>
      <c r="BLK24" s="1221"/>
      <c r="BLL24" s="1221"/>
      <c r="BLM24" s="1221"/>
      <c r="BLN24" s="1221"/>
      <c r="BLO24" s="1221"/>
      <c r="BLP24" s="1221"/>
      <c r="BLQ24" s="1221"/>
      <c r="BLR24" s="1221"/>
      <c r="BLS24" s="1221"/>
      <c r="BLT24" s="1221"/>
      <c r="BLU24" s="1221"/>
      <c r="BLV24" s="1221"/>
      <c r="BLW24" s="1221"/>
      <c r="BLX24" s="1221"/>
      <c r="BLY24" s="1221"/>
      <c r="BLZ24" s="1221"/>
      <c r="BMA24" s="1221"/>
      <c r="BMB24" s="1221"/>
      <c r="BMC24" s="1221"/>
      <c r="BMD24" s="1221"/>
      <c r="BME24" s="1221"/>
      <c r="BMF24" s="1221"/>
      <c r="BMG24" s="1221"/>
      <c r="BMH24" s="1221"/>
      <c r="BMI24" s="1221"/>
      <c r="BMJ24" s="1221"/>
      <c r="BMK24" s="1221"/>
      <c r="BML24" s="1221"/>
      <c r="BMM24" s="1221"/>
      <c r="BMN24" s="1221"/>
      <c r="BMO24" s="1221"/>
      <c r="BMP24" s="1221"/>
      <c r="BMQ24" s="1221"/>
      <c r="BMR24" s="1221"/>
      <c r="BMS24" s="1221"/>
      <c r="BMT24" s="1221"/>
      <c r="BMU24" s="1221"/>
      <c r="BMV24" s="1221"/>
      <c r="BMW24" s="1221"/>
      <c r="BMX24" s="1221"/>
      <c r="BMY24" s="1221"/>
      <c r="BMZ24" s="1221"/>
      <c r="BNA24" s="1221"/>
      <c r="BNB24" s="1221"/>
      <c r="BNC24" s="1221"/>
      <c r="BND24" s="1221"/>
      <c r="BNE24" s="1221"/>
      <c r="BNF24" s="1221"/>
      <c r="BNG24" s="1221"/>
      <c r="BNH24" s="1221"/>
      <c r="BNI24" s="1221"/>
      <c r="BNJ24" s="1221"/>
      <c r="BNK24" s="1221"/>
      <c r="BNL24" s="1221"/>
      <c r="BNM24" s="1221"/>
      <c r="BNN24" s="1221"/>
      <c r="BNO24" s="1221"/>
      <c r="BNP24" s="1221"/>
      <c r="BNQ24" s="1221"/>
      <c r="BNR24" s="1221"/>
      <c r="BNS24" s="1221"/>
      <c r="BNT24" s="1221"/>
      <c r="BNU24" s="1221"/>
      <c r="BNV24" s="1221"/>
      <c r="BNW24" s="1221"/>
      <c r="BNX24" s="1221"/>
      <c r="BNY24" s="1221"/>
      <c r="BNZ24" s="1221"/>
      <c r="BOA24" s="1221"/>
      <c r="BOB24" s="1221"/>
      <c r="BOC24" s="1221"/>
      <c r="BOD24" s="1221"/>
      <c r="BOE24" s="1221"/>
      <c r="BOF24" s="1221"/>
      <c r="BOG24" s="1221"/>
      <c r="BOH24" s="1221"/>
      <c r="BOI24" s="1221"/>
      <c r="BOJ24" s="1221"/>
      <c r="BOK24" s="1221"/>
      <c r="BOL24" s="1221"/>
      <c r="BOM24" s="1221"/>
      <c r="BON24" s="1221"/>
      <c r="BOO24" s="1221"/>
      <c r="BOP24" s="1221"/>
      <c r="BOQ24" s="1221"/>
      <c r="BOR24" s="1221"/>
      <c r="BOS24" s="1221"/>
      <c r="BOT24" s="1221"/>
      <c r="BOU24" s="1221"/>
      <c r="BOV24" s="1221"/>
      <c r="BOW24" s="1221"/>
      <c r="BOX24" s="1221"/>
      <c r="BOY24" s="1221"/>
      <c r="BOZ24" s="1221"/>
      <c r="BPA24" s="1221"/>
      <c r="BPB24" s="1221"/>
      <c r="BPC24" s="1221"/>
      <c r="BPD24" s="1221"/>
      <c r="BPE24" s="1221"/>
      <c r="BPF24" s="1221"/>
      <c r="BPG24" s="1221"/>
      <c r="BPH24" s="1221"/>
      <c r="BPI24" s="1221"/>
      <c r="BPJ24" s="1221"/>
      <c r="BPK24" s="1221"/>
      <c r="BPL24" s="1221"/>
      <c r="BPM24" s="1221"/>
      <c r="BPN24" s="1221"/>
      <c r="BPO24" s="1221"/>
      <c r="BPP24" s="1221"/>
      <c r="BPQ24" s="1221"/>
      <c r="BPR24" s="1221"/>
      <c r="BPS24" s="1221"/>
      <c r="BPT24" s="1221"/>
      <c r="BPU24" s="1221"/>
      <c r="BPV24" s="1221"/>
      <c r="BPW24" s="1221"/>
      <c r="BPX24" s="1221"/>
      <c r="BPY24" s="1221"/>
      <c r="BPZ24" s="1221"/>
      <c r="BQA24" s="1221"/>
      <c r="BQB24" s="1221"/>
      <c r="BQC24" s="1221"/>
      <c r="BQD24" s="1221"/>
      <c r="BQE24" s="1221"/>
      <c r="BQF24" s="1221"/>
      <c r="BQG24" s="1221"/>
      <c r="BQH24" s="1221"/>
      <c r="BQI24" s="1221"/>
      <c r="BQJ24" s="1221"/>
      <c r="BQK24" s="1221"/>
      <c r="BQL24" s="1221"/>
      <c r="BQM24" s="1221"/>
      <c r="BQN24" s="1221"/>
      <c r="BQO24" s="1221"/>
      <c r="BQP24" s="1221"/>
      <c r="BQQ24" s="1221"/>
      <c r="BQR24" s="1221"/>
      <c r="BQS24" s="1221"/>
      <c r="BQT24" s="1221"/>
      <c r="BQU24" s="1221"/>
      <c r="BQV24" s="1221"/>
      <c r="BQW24" s="1221"/>
      <c r="BQX24" s="1221"/>
      <c r="BQY24" s="1221"/>
      <c r="BQZ24" s="1221"/>
      <c r="BRA24" s="1221"/>
      <c r="BRB24" s="1221"/>
      <c r="BRC24" s="1221"/>
      <c r="BRD24" s="1221"/>
      <c r="BRE24" s="1221"/>
      <c r="BRF24" s="1221"/>
      <c r="BRG24" s="1221"/>
      <c r="BRH24" s="1221"/>
      <c r="BRI24" s="1221"/>
      <c r="BRJ24" s="1221"/>
      <c r="BRK24" s="1221"/>
      <c r="BRL24" s="1221"/>
      <c r="BRM24" s="1221"/>
      <c r="BRN24" s="1221"/>
      <c r="BRO24" s="1221"/>
      <c r="BRP24" s="1221"/>
      <c r="BRQ24" s="1221"/>
      <c r="BRR24" s="1221"/>
      <c r="BRS24" s="1221"/>
      <c r="BRT24" s="1221"/>
      <c r="BRU24" s="1221"/>
      <c r="BRV24" s="1221"/>
      <c r="BRW24" s="1221"/>
      <c r="BRX24" s="1221"/>
      <c r="BRY24" s="1221"/>
      <c r="BRZ24" s="1221"/>
      <c r="BSA24" s="1221"/>
      <c r="BSB24" s="1221"/>
      <c r="BSC24" s="1221"/>
      <c r="BSD24" s="1221"/>
      <c r="BSE24" s="1221"/>
      <c r="BSF24" s="1221"/>
      <c r="BSG24" s="1221"/>
      <c r="BSH24" s="1221"/>
      <c r="BSI24" s="1221"/>
      <c r="BSJ24" s="1221"/>
      <c r="BSK24" s="1221"/>
      <c r="BSL24" s="1221"/>
      <c r="BSM24" s="1221"/>
      <c r="BSN24" s="1221"/>
      <c r="BSO24" s="1221"/>
      <c r="BSP24" s="1221"/>
      <c r="BSQ24" s="1221"/>
      <c r="BSR24" s="1221"/>
      <c r="BSS24" s="1221"/>
      <c r="BST24" s="1221"/>
      <c r="BSU24" s="1221"/>
      <c r="BSV24" s="1221"/>
      <c r="BSW24" s="1221"/>
      <c r="BSX24" s="1221"/>
      <c r="BSY24" s="1221"/>
      <c r="BSZ24" s="1221"/>
      <c r="BTA24" s="1221"/>
      <c r="BTB24" s="1221"/>
      <c r="BTC24" s="1221"/>
      <c r="BTD24" s="1221"/>
      <c r="BTE24" s="1221"/>
      <c r="BTF24" s="1221"/>
      <c r="BTG24" s="1221"/>
      <c r="BTH24" s="1221"/>
      <c r="BTI24" s="1221"/>
      <c r="BTJ24" s="1221"/>
      <c r="BTK24" s="1221"/>
      <c r="BTL24" s="1221"/>
      <c r="BTM24" s="1221"/>
      <c r="BTN24" s="1221"/>
      <c r="BTO24" s="1221"/>
      <c r="BTP24" s="1221"/>
      <c r="BTQ24" s="1221"/>
      <c r="BTR24" s="1221"/>
      <c r="BTS24" s="1221"/>
      <c r="BTT24" s="1221"/>
      <c r="BTU24" s="1221"/>
      <c r="BTV24" s="1221"/>
      <c r="BTW24" s="1221"/>
      <c r="BTX24" s="1221"/>
      <c r="BTY24" s="1221"/>
      <c r="BTZ24" s="1221"/>
      <c r="BUA24" s="1221"/>
      <c r="BUB24" s="1221"/>
      <c r="BUC24" s="1221"/>
      <c r="BUD24" s="1221"/>
      <c r="BUE24" s="1221"/>
      <c r="BUF24" s="1221"/>
      <c r="BUG24" s="1221"/>
      <c r="BUH24" s="1221"/>
      <c r="BUI24" s="1221"/>
      <c r="BUJ24" s="1221"/>
      <c r="BUK24" s="1221"/>
      <c r="BUL24" s="1221"/>
      <c r="BUM24" s="1221"/>
      <c r="BUN24" s="1221"/>
      <c r="BUO24" s="1221"/>
      <c r="BUP24" s="1221"/>
      <c r="BUQ24" s="1221"/>
      <c r="BUR24" s="1221"/>
      <c r="BUS24" s="1221"/>
      <c r="BUT24" s="1221"/>
      <c r="BUU24" s="1221"/>
      <c r="BUV24" s="1221"/>
      <c r="BUW24" s="1221"/>
      <c r="BUX24" s="1221"/>
      <c r="BUY24" s="1221"/>
      <c r="BUZ24" s="1221"/>
      <c r="BVA24" s="1221"/>
      <c r="BVB24" s="1221"/>
      <c r="BVC24" s="1221"/>
      <c r="BVD24" s="1221"/>
      <c r="BVE24" s="1221"/>
      <c r="BVF24" s="1221"/>
      <c r="BVG24" s="1221"/>
      <c r="BVH24" s="1221"/>
      <c r="BVI24" s="1221"/>
      <c r="BVJ24" s="1221"/>
      <c r="BVK24" s="1221"/>
      <c r="BVL24" s="1221"/>
      <c r="BVM24" s="1221"/>
      <c r="BVN24" s="1221"/>
      <c r="BVO24" s="1221"/>
      <c r="BVP24" s="1221"/>
      <c r="BVQ24" s="1221"/>
      <c r="BVR24" s="1221"/>
      <c r="BVS24" s="1221"/>
      <c r="BVT24" s="1221"/>
      <c r="BVU24" s="1221"/>
      <c r="BVV24" s="1221"/>
      <c r="BVW24" s="1221"/>
      <c r="BVX24" s="1221"/>
      <c r="BVY24" s="1221"/>
      <c r="BVZ24" s="1221"/>
      <c r="BWA24" s="1221"/>
      <c r="BWB24" s="1221"/>
      <c r="BWC24" s="1221"/>
      <c r="BWD24" s="1221"/>
      <c r="BWE24" s="1221"/>
      <c r="BWF24" s="1221"/>
      <c r="BWG24" s="1221"/>
      <c r="BWH24" s="1221"/>
      <c r="BWI24" s="1221"/>
      <c r="BWJ24" s="1221"/>
      <c r="BWK24" s="1221"/>
      <c r="BWL24" s="1221"/>
      <c r="BWM24" s="1221"/>
      <c r="BWN24" s="1221"/>
      <c r="BWO24" s="1221"/>
      <c r="BWP24" s="1221"/>
      <c r="BWQ24" s="1221"/>
      <c r="BWR24" s="1221"/>
      <c r="BWS24" s="1221"/>
      <c r="BWT24" s="1221"/>
      <c r="BWU24" s="1221"/>
      <c r="BWV24" s="1221"/>
      <c r="BWW24" s="1221"/>
      <c r="BWX24" s="1221"/>
      <c r="BWY24" s="1221"/>
      <c r="BWZ24" s="1221"/>
      <c r="BXA24" s="1221"/>
      <c r="BXB24" s="1221"/>
      <c r="BXC24" s="1221"/>
      <c r="BXD24" s="1221"/>
      <c r="BXE24" s="1221"/>
      <c r="BXF24" s="1221"/>
      <c r="BXG24" s="1221"/>
      <c r="BXH24" s="1221"/>
      <c r="BXI24" s="1221"/>
      <c r="BXJ24" s="1221"/>
      <c r="BXK24" s="1221"/>
      <c r="BXL24" s="1221"/>
      <c r="BXM24" s="1221"/>
      <c r="BXN24" s="1221"/>
      <c r="BXO24" s="1221"/>
      <c r="BXP24" s="1221"/>
      <c r="BXQ24" s="1221"/>
      <c r="BXR24" s="1221"/>
      <c r="BXS24" s="1221"/>
      <c r="BXT24" s="1221"/>
      <c r="BXU24" s="1221"/>
      <c r="BXV24" s="1221"/>
      <c r="BXW24" s="1221"/>
      <c r="BXX24" s="1221"/>
      <c r="BXY24" s="1221"/>
      <c r="BXZ24" s="1221"/>
      <c r="BYA24" s="1221"/>
      <c r="BYB24" s="1221"/>
      <c r="BYC24" s="1221"/>
      <c r="BYD24" s="1221"/>
      <c r="BYE24" s="1221"/>
      <c r="BYF24" s="1221"/>
      <c r="BYG24" s="1221"/>
      <c r="BYH24" s="1221"/>
      <c r="BYI24" s="1221"/>
      <c r="BYJ24" s="1221"/>
      <c r="BYK24" s="1221"/>
      <c r="BYL24" s="1221"/>
      <c r="BYM24" s="1221"/>
      <c r="BYN24" s="1221"/>
      <c r="BYO24" s="1221"/>
      <c r="BYP24" s="1221"/>
      <c r="BYQ24" s="1221"/>
      <c r="BYR24" s="1221"/>
      <c r="BYS24" s="1221"/>
      <c r="BYT24" s="1221"/>
      <c r="BYU24" s="1221"/>
      <c r="BYV24" s="1221"/>
      <c r="BYW24" s="1221"/>
      <c r="BYX24" s="1221"/>
      <c r="BYY24" s="1221"/>
      <c r="BYZ24" s="1221"/>
      <c r="BZA24" s="1221"/>
      <c r="BZB24" s="1221"/>
      <c r="BZC24" s="1221"/>
      <c r="BZD24" s="1221"/>
      <c r="BZE24" s="1221"/>
      <c r="BZF24" s="1221"/>
      <c r="BZG24" s="1221"/>
      <c r="BZH24" s="1221"/>
      <c r="BZI24" s="1221"/>
      <c r="BZJ24" s="1221"/>
      <c r="BZK24" s="1221"/>
      <c r="BZL24" s="1221"/>
      <c r="BZM24" s="1221"/>
      <c r="BZN24" s="1221"/>
      <c r="BZO24" s="1221"/>
      <c r="BZP24" s="1221"/>
      <c r="BZQ24" s="1221"/>
      <c r="BZR24" s="1221"/>
      <c r="BZS24" s="1221"/>
      <c r="BZT24" s="1221"/>
      <c r="BZU24" s="1221"/>
      <c r="BZV24" s="1221"/>
      <c r="BZW24" s="1221"/>
      <c r="BZX24" s="1221"/>
      <c r="BZY24" s="1221"/>
      <c r="BZZ24" s="1221"/>
      <c r="CAA24" s="1221"/>
      <c r="CAB24" s="1221"/>
      <c r="CAC24" s="1221"/>
      <c r="CAD24" s="1221"/>
      <c r="CAE24" s="1221"/>
      <c r="CAF24" s="1221"/>
      <c r="CAG24" s="1221"/>
      <c r="CAH24" s="1221"/>
      <c r="CAI24" s="1221"/>
      <c r="CAJ24" s="1221"/>
      <c r="CAK24" s="1221"/>
      <c r="CAL24" s="1221"/>
      <c r="CAM24" s="1221"/>
      <c r="CAN24" s="1221"/>
      <c r="CAO24" s="1221"/>
      <c r="CAP24" s="1221"/>
      <c r="CAQ24" s="1221"/>
      <c r="CAR24" s="1221"/>
      <c r="CAS24" s="1221"/>
      <c r="CAT24" s="1221"/>
      <c r="CAU24" s="1221"/>
      <c r="CAV24" s="1221"/>
      <c r="CAW24" s="1221"/>
      <c r="CAX24" s="1221"/>
      <c r="CAY24" s="1221"/>
      <c r="CAZ24" s="1221"/>
      <c r="CBA24" s="1221"/>
      <c r="CBB24" s="1221"/>
      <c r="CBC24" s="1221"/>
      <c r="CBD24" s="1221"/>
      <c r="CBE24" s="1221"/>
      <c r="CBF24" s="1221"/>
      <c r="CBG24" s="1221"/>
      <c r="CBH24" s="1221"/>
      <c r="CBI24" s="1221"/>
      <c r="CBJ24" s="1221"/>
      <c r="CBK24" s="1221"/>
      <c r="CBL24" s="1221"/>
      <c r="CBM24" s="1221"/>
      <c r="CBN24" s="1221"/>
      <c r="CBO24" s="1221"/>
      <c r="CBP24" s="1221"/>
      <c r="CBQ24" s="1221"/>
      <c r="CBR24" s="1221"/>
      <c r="CBS24" s="1221"/>
      <c r="CBT24" s="1221"/>
      <c r="CBU24" s="1221"/>
      <c r="CBV24" s="1221"/>
      <c r="CBW24" s="1221"/>
      <c r="CBX24" s="1221"/>
      <c r="CBY24" s="1221"/>
      <c r="CBZ24" s="1221"/>
      <c r="CCA24" s="1221"/>
      <c r="CCB24" s="1221"/>
      <c r="CCC24" s="1221"/>
      <c r="CCD24" s="1221"/>
      <c r="CCE24" s="1221"/>
      <c r="CCF24" s="1221"/>
      <c r="CCG24" s="1221"/>
      <c r="CCH24" s="1221"/>
      <c r="CCI24" s="1221"/>
      <c r="CCJ24" s="1221"/>
      <c r="CCK24" s="1221"/>
      <c r="CCL24" s="1221"/>
      <c r="CCM24" s="1221"/>
      <c r="CCN24" s="1221"/>
      <c r="CCO24" s="1221"/>
      <c r="CCP24" s="1221"/>
      <c r="CCQ24" s="1221"/>
      <c r="CCR24" s="1221"/>
      <c r="CCS24" s="1221"/>
      <c r="CCT24" s="1221"/>
      <c r="CCU24" s="1221"/>
      <c r="CCV24" s="1221"/>
      <c r="CCW24" s="1221"/>
      <c r="CCX24" s="1221"/>
      <c r="CCY24" s="1221"/>
      <c r="CCZ24" s="1221"/>
      <c r="CDA24" s="1221"/>
      <c r="CDB24" s="1221"/>
      <c r="CDC24" s="1221"/>
      <c r="CDD24" s="1221"/>
      <c r="CDE24" s="1221"/>
      <c r="CDF24" s="1221"/>
      <c r="CDG24" s="1221"/>
      <c r="CDH24" s="1221"/>
      <c r="CDI24" s="1221"/>
      <c r="CDJ24" s="1221"/>
      <c r="CDK24" s="1221"/>
      <c r="CDL24" s="1221"/>
      <c r="CDM24" s="1221"/>
      <c r="CDN24" s="1221"/>
      <c r="CDO24" s="1221"/>
      <c r="CDP24" s="1221"/>
      <c r="CDQ24" s="1221"/>
      <c r="CDR24" s="1221"/>
      <c r="CDS24" s="1221"/>
      <c r="CDT24" s="1221"/>
      <c r="CDU24" s="1221"/>
      <c r="CDV24" s="1221"/>
      <c r="CDW24" s="1221"/>
      <c r="CDX24" s="1221"/>
      <c r="CDY24" s="1221"/>
      <c r="CDZ24" s="1221"/>
      <c r="CEA24" s="1221"/>
      <c r="CEB24" s="1221"/>
      <c r="CEC24" s="1221"/>
      <c r="CED24" s="1221"/>
      <c r="CEE24" s="1221"/>
      <c r="CEF24" s="1221"/>
      <c r="CEG24" s="1221"/>
      <c r="CEH24" s="1221"/>
      <c r="CEI24" s="1221"/>
      <c r="CEJ24" s="1221"/>
      <c r="CEK24" s="1221"/>
      <c r="CEL24" s="1221"/>
      <c r="CEM24" s="1221"/>
      <c r="CEN24" s="1221"/>
      <c r="CEO24" s="1221"/>
      <c r="CEP24" s="1221"/>
      <c r="CEQ24" s="1221"/>
      <c r="CER24" s="1221"/>
      <c r="CES24" s="1221"/>
      <c r="CET24" s="1221"/>
      <c r="CEU24" s="1221"/>
      <c r="CEV24" s="1221"/>
      <c r="CEW24" s="1221"/>
      <c r="CEX24" s="1221"/>
      <c r="CEY24" s="1221"/>
      <c r="CEZ24" s="1221"/>
      <c r="CFA24" s="1221"/>
      <c r="CFB24" s="1221"/>
      <c r="CFC24" s="1221"/>
      <c r="CFD24" s="1221"/>
      <c r="CFE24" s="1221"/>
      <c r="CFF24" s="1221"/>
      <c r="CFG24" s="1221"/>
      <c r="CFH24" s="1221"/>
      <c r="CFI24" s="1221"/>
      <c r="CFJ24" s="1221"/>
      <c r="CFK24" s="1221"/>
      <c r="CFL24" s="1221"/>
      <c r="CFM24" s="1221"/>
      <c r="CFN24" s="1221"/>
      <c r="CFO24" s="1221"/>
      <c r="CFP24" s="1221"/>
      <c r="CFQ24" s="1221"/>
      <c r="CFR24" s="1221"/>
      <c r="CFS24" s="1221"/>
      <c r="CFT24" s="1221"/>
      <c r="CFU24" s="1221"/>
      <c r="CFV24" s="1221"/>
      <c r="CFW24" s="1221"/>
      <c r="CFX24" s="1221"/>
      <c r="CFY24" s="1221"/>
      <c r="CFZ24" s="1221"/>
      <c r="CGA24" s="1221"/>
      <c r="CGB24" s="1221"/>
      <c r="CGC24" s="1221"/>
      <c r="CGD24" s="1221"/>
      <c r="CGE24" s="1221"/>
      <c r="CGF24" s="1221"/>
      <c r="CGG24" s="1221"/>
      <c r="CGH24" s="1221"/>
      <c r="CGI24" s="1221"/>
      <c r="CGJ24" s="1221"/>
      <c r="CGK24" s="1221"/>
      <c r="CGL24" s="1221"/>
      <c r="CGM24" s="1221"/>
      <c r="CGN24" s="1221"/>
      <c r="CGO24" s="1221"/>
      <c r="CGP24" s="1221"/>
      <c r="CGQ24" s="1221"/>
      <c r="CGR24" s="1221"/>
      <c r="CGS24" s="1221"/>
      <c r="CGT24" s="1221"/>
      <c r="CGU24" s="1221"/>
      <c r="CGV24" s="1221"/>
      <c r="CGW24" s="1221"/>
      <c r="CGX24" s="1221"/>
      <c r="CGY24" s="1221"/>
      <c r="CGZ24" s="1221"/>
      <c r="CHA24" s="1221"/>
      <c r="CHB24" s="1221"/>
      <c r="CHC24" s="1221"/>
      <c r="CHD24" s="1221"/>
      <c r="CHE24" s="1221"/>
      <c r="CHF24" s="1221"/>
      <c r="CHG24" s="1221"/>
      <c r="CHH24" s="1221"/>
      <c r="CHI24" s="1221"/>
      <c r="CHJ24" s="1221"/>
      <c r="CHK24" s="1221"/>
      <c r="CHL24" s="1221"/>
      <c r="CHM24" s="1221"/>
      <c r="CHN24" s="1221"/>
      <c r="CHO24" s="1221"/>
      <c r="CHP24" s="1221"/>
      <c r="CHQ24" s="1221"/>
      <c r="CHR24" s="1221"/>
      <c r="CHS24" s="1221"/>
      <c r="CHT24" s="1221"/>
      <c r="CHU24" s="1221"/>
      <c r="CHV24" s="1221"/>
      <c r="CHW24" s="1221"/>
      <c r="CHX24" s="1221"/>
      <c r="CHY24" s="1221"/>
      <c r="CHZ24" s="1221"/>
      <c r="CIA24" s="1221"/>
      <c r="CIB24" s="1221"/>
      <c r="CIC24" s="1221"/>
      <c r="CID24" s="1221"/>
      <c r="CIE24" s="1221"/>
      <c r="CIF24" s="1221"/>
      <c r="CIG24" s="1221"/>
      <c r="CIH24" s="1221"/>
      <c r="CII24" s="1221"/>
      <c r="CIJ24" s="1221"/>
      <c r="CIK24" s="1221"/>
      <c r="CIL24" s="1221"/>
      <c r="CIM24" s="1221"/>
      <c r="CIN24" s="1221"/>
      <c r="CIO24" s="1221"/>
      <c r="CIP24" s="1221"/>
      <c r="CIQ24" s="1221"/>
      <c r="CIR24" s="1221"/>
      <c r="CIS24" s="1221"/>
      <c r="CIT24" s="1221"/>
      <c r="CIU24" s="1221"/>
      <c r="CIV24" s="1221"/>
      <c r="CIW24" s="1221"/>
      <c r="CIX24" s="1221"/>
      <c r="CIY24" s="1221"/>
      <c r="CIZ24" s="1221"/>
      <c r="CJA24" s="1221"/>
      <c r="CJB24" s="1221"/>
      <c r="CJC24" s="1221"/>
      <c r="CJD24" s="1221"/>
      <c r="CJE24" s="1221"/>
      <c r="CJF24" s="1221"/>
      <c r="CJG24" s="1221"/>
      <c r="CJH24" s="1221"/>
      <c r="CJI24" s="1221"/>
      <c r="CJJ24" s="1221"/>
      <c r="CJK24" s="1221"/>
      <c r="CJL24" s="1221"/>
      <c r="CJM24" s="1221"/>
      <c r="CJN24" s="1221"/>
      <c r="CJO24" s="1221"/>
      <c r="CJP24" s="1221"/>
      <c r="CJQ24" s="1221"/>
      <c r="CJR24" s="1221"/>
      <c r="CJS24" s="1221"/>
      <c r="CJT24" s="1221"/>
      <c r="CJU24" s="1221"/>
      <c r="CJV24" s="1221"/>
      <c r="CJW24" s="1221"/>
      <c r="CJX24" s="1221"/>
      <c r="CJY24" s="1221"/>
      <c r="CJZ24" s="1221"/>
      <c r="CKA24" s="1221"/>
      <c r="CKB24" s="1221"/>
      <c r="CKC24" s="1221"/>
      <c r="CKD24" s="1221"/>
      <c r="CKE24" s="1221"/>
      <c r="CKF24" s="1221"/>
      <c r="CKG24" s="1221"/>
      <c r="CKH24" s="1221"/>
      <c r="CKI24" s="1221"/>
      <c r="CKJ24" s="1221"/>
      <c r="CKK24" s="1221"/>
      <c r="CKL24" s="1221"/>
      <c r="CKM24" s="1221"/>
      <c r="CKN24" s="1221"/>
      <c r="CKO24" s="1221"/>
      <c r="CKP24" s="1221"/>
      <c r="CKQ24" s="1221"/>
      <c r="CKR24" s="1221"/>
      <c r="CKS24" s="1221"/>
      <c r="CKT24" s="1221"/>
      <c r="CKU24" s="1221"/>
      <c r="CKV24" s="1221"/>
      <c r="CKW24" s="1221"/>
      <c r="CKX24" s="1221"/>
      <c r="CKY24" s="1221"/>
      <c r="CKZ24" s="1221"/>
      <c r="CLA24" s="1221"/>
      <c r="CLB24" s="1221"/>
      <c r="CLC24" s="1221"/>
      <c r="CLD24" s="1221"/>
      <c r="CLE24" s="1221"/>
      <c r="CLF24" s="1221"/>
      <c r="CLG24" s="1221"/>
      <c r="CLH24" s="1221"/>
      <c r="CLI24" s="1221"/>
      <c r="CLJ24" s="1221"/>
      <c r="CLK24" s="1221"/>
      <c r="CLL24" s="1221"/>
      <c r="CLM24" s="1221"/>
      <c r="CLN24" s="1221"/>
      <c r="CLO24" s="1221"/>
      <c r="CLP24" s="1221"/>
      <c r="CLQ24" s="1221"/>
      <c r="CLR24" s="1221"/>
      <c r="CLS24" s="1221"/>
      <c r="CLT24" s="1221"/>
      <c r="CLU24" s="1221"/>
      <c r="CLV24" s="1221"/>
      <c r="CLW24" s="1221"/>
      <c r="CLX24" s="1221"/>
      <c r="CLY24" s="1221"/>
      <c r="CLZ24" s="1221"/>
      <c r="CMA24" s="1221"/>
      <c r="CMB24" s="1221"/>
      <c r="CMC24" s="1221"/>
      <c r="CMD24" s="1221"/>
      <c r="CME24" s="1221"/>
      <c r="CMF24" s="1221"/>
      <c r="CMG24" s="1221"/>
      <c r="CMH24" s="1221"/>
      <c r="CMI24" s="1221"/>
      <c r="CMJ24" s="1221"/>
      <c r="CMK24" s="1221"/>
      <c r="CML24" s="1221"/>
      <c r="CMM24" s="1221"/>
      <c r="CMN24" s="1221"/>
      <c r="CMO24" s="1221"/>
      <c r="CMP24" s="1221"/>
      <c r="CMQ24" s="1221"/>
      <c r="CMR24" s="1221"/>
      <c r="CMS24" s="1221"/>
      <c r="CMT24" s="1221"/>
      <c r="CMU24" s="1221"/>
      <c r="CMV24" s="1221"/>
      <c r="CMW24" s="1221"/>
      <c r="CMX24" s="1221"/>
      <c r="CMY24" s="1221"/>
      <c r="CMZ24" s="1221"/>
      <c r="CNA24" s="1221"/>
      <c r="CNB24" s="1221"/>
      <c r="CNC24" s="1221"/>
      <c r="CND24" s="1221"/>
      <c r="CNE24" s="1221"/>
      <c r="CNF24" s="1221"/>
      <c r="CNG24" s="1221"/>
      <c r="CNH24" s="1221"/>
      <c r="CNI24" s="1221"/>
      <c r="CNJ24" s="1221"/>
      <c r="CNK24" s="1221"/>
      <c r="CNL24" s="1221"/>
      <c r="CNM24" s="1221"/>
      <c r="CNN24" s="1221"/>
      <c r="CNO24" s="1221"/>
      <c r="CNP24" s="1221"/>
      <c r="CNQ24" s="1221"/>
      <c r="CNR24" s="1221"/>
      <c r="CNS24" s="1221"/>
      <c r="CNT24" s="1221"/>
      <c r="CNU24" s="1221"/>
      <c r="CNV24" s="1221"/>
      <c r="CNW24" s="1221"/>
      <c r="CNX24" s="1221"/>
      <c r="CNY24" s="1221"/>
      <c r="CNZ24" s="1221"/>
      <c r="COA24" s="1221"/>
      <c r="COB24" s="1221"/>
      <c r="COC24" s="1221"/>
      <c r="COD24" s="1221"/>
      <c r="COE24" s="1221"/>
      <c r="COF24" s="1221"/>
      <c r="COG24" s="1221"/>
      <c r="COH24" s="1221"/>
      <c r="COI24" s="1221"/>
      <c r="COJ24" s="1221"/>
      <c r="COK24" s="1221"/>
      <c r="COL24" s="1221"/>
      <c r="COM24" s="1221"/>
      <c r="CON24" s="1221"/>
      <c r="COO24" s="1221"/>
      <c r="COP24" s="1221"/>
      <c r="COQ24" s="1221"/>
      <c r="COR24" s="1221"/>
      <c r="COS24" s="1221"/>
      <c r="COT24" s="1221"/>
      <c r="COU24" s="1221"/>
      <c r="COV24" s="1221"/>
      <c r="COW24" s="1221"/>
      <c r="COX24" s="1221"/>
      <c r="COY24" s="1221"/>
      <c r="COZ24" s="1221"/>
      <c r="CPA24" s="1221"/>
      <c r="CPB24" s="1221"/>
      <c r="CPC24" s="1221"/>
      <c r="CPD24" s="1221"/>
      <c r="CPE24" s="1221"/>
      <c r="CPF24" s="1221"/>
      <c r="CPG24" s="1221"/>
      <c r="CPH24" s="1221"/>
      <c r="CPI24" s="1221"/>
      <c r="CPJ24" s="1221"/>
      <c r="CPK24" s="1221"/>
      <c r="CPL24" s="1221"/>
      <c r="CPM24" s="1221"/>
      <c r="CPN24" s="1221"/>
      <c r="CPO24" s="1221"/>
      <c r="CPP24" s="1221"/>
      <c r="CPQ24" s="1221"/>
      <c r="CPR24" s="1221"/>
      <c r="CPS24" s="1221"/>
      <c r="CPT24" s="1221"/>
      <c r="CPU24" s="1221"/>
      <c r="CPV24" s="1221"/>
      <c r="CPW24" s="1221"/>
      <c r="CPX24" s="1221"/>
      <c r="CPY24" s="1221"/>
      <c r="CPZ24" s="1221"/>
      <c r="CQA24" s="1221"/>
      <c r="CQB24" s="1221"/>
      <c r="CQC24" s="1221"/>
      <c r="CQD24" s="1221"/>
      <c r="CQE24" s="1221"/>
      <c r="CQF24" s="1221"/>
      <c r="CQG24" s="1221"/>
      <c r="CQH24" s="1221"/>
      <c r="CQI24" s="1221"/>
      <c r="CQJ24" s="1221"/>
      <c r="CQK24" s="1221"/>
      <c r="CQL24" s="1221"/>
      <c r="CQM24" s="1221"/>
      <c r="CQN24" s="1221"/>
      <c r="CQO24" s="1221"/>
      <c r="CQP24" s="1221"/>
      <c r="CQQ24" s="1221"/>
      <c r="CQR24" s="1221"/>
      <c r="CQS24" s="1221"/>
      <c r="CQT24" s="1221"/>
      <c r="CQU24" s="1221"/>
      <c r="CQV24" s="1221"/>
      <c r="CQW24" s="1221"/>
      <c r="CQX24" s="1221"/>
      <c r="CQY24" s="1221"/>
      <c r="CQZ24" s="1221"/>
      <c r="CRA24" s="1221"/>
      <c r="CRB24" s="1221"/>
      <c r="CRC24" s="1221"/>
      <c r="CRD24" s="1221"/>
      <c r="CRE24" s="1221"/>
      <c r="CRF24" s="1221"/>
      <c r="CRG24" s="1221"/>
      <c r="CRH24" s="1221"/>
      <c r="CRI24" s="1221"/>
      <c r="CRJ24" s="1221"/>
      <c r="CRK24" s="1221"/>
      <c r="CRL24" s="1221"/>
      <c r="CRM24" s="1221"/>
      <c r="CRN24" s="1221"/>
      <c r="CRO24" s="1221"/>
      <c r="CRP24" s="1221"/>
      <c r="CRQ24" s="1221"/>
      <c r="CRR24" s="1221"/>
      <c r="CRS24" s="1221"/>
      <c r="CRT24" s="1221"/>
      <c r="CRU24" s="1221"/>
      <c r="CRV24" s="1221"/>
      <c r="CRW24" s="1221"/>
      <c r="CRX24" s="1221"/>
      <c r="CRY24" s="1221"/>
      <c r="CRZ24" s="1221"/>
      <c r="CSA24" s="1221"/>
      <c r="CSB24" s="1221"/>
      <c r="CSC24" s="1221"/>
      <c r="CSD24" s="1221"/>
      <c r="CSE24" s="1221"/>
      <c r="CSF24" s="1221"/>
      <c r="CSG24" s="1221"/>
      <c r="CSH24" s="1221"/>
      <c r="CSI24" s="1221"/>
      <c r="CSJ24" s="1221"/>
      <c r="CSK24" s="1221"/>
      <c r="CSL24" s="1221"/>
      <c r="CSM24" s="1221"/>
      <c r="CSN24" s="1221"/>
      <c r="CSO24" s="1221"/>
      <c r="CSP24" s="1221"/>
      <c r="CSQ24" s="1221"/>
      <c r="CSR24" s="1221"/>
      <c r="CSS24" s="1221"/>
      <c r="CST24" s="1221"/>
      <c r="CSU24" s="1221"/>
      <c r="CSV24" s="1221"/>
      <c r="CSW24" s="1221"/>
      <c r="CSX24" s="1221"/>
      <c r="CSY24" s="1221"/>
      <c r="CSZ24" s="1221"/>
      <c r="CTA24" s="1221"/>
      <c r="CTB24" s="1221"/>
      <c r="CTC24" s="1221"/>
      <c r="CTD24" s="1221"/>
      <c r="CTE24" s="1221"/>
      <c r="CTF24" s="1221"/>
      <c r="CTG24" s="1221"/>
      <c r="CTH24" s="1221"/>
      <c r="CTI24" s="1221"/>
      <c r="CTJ24" s="1221"/>
      <c r="CTK24" s="1221"/>
      <c r="CTL24" s="1221"/>
      <c r="CTM24" s="1221"/>
      <c r="CTN24" s="1221"/>
      <c r="CTO24" s="1221"/>
      <c r="CTP24" s="1221"/>
      <c r="CTQ24" s="1221"/>
      <c r="CTR24" s="1221"/>
      <c r="CTS24" s="1221"/>
      <c r="CTT24" s="1221"/>
      <c r="CTU24" s="1221"/>
      <c r="CTV24" s="1221"/>
      <c r="CTW24" s="1221"/>
      <c r="CTX24" s="1221"/>
      <c r="CTY24" s="1221"/>
      <c r="CTZ24" s="1221"/>
      <c r="CUA24" s="1221"/>
      <c r="CUB24" s="1221"/>
      <c r="CUC24" s="1221"/>
      <c r="CUD24" s="1221"/>
      <c r="CUE24" s="1221"/>
      <c r="CUF24" s="1221"/>
      <c r="CUG24" s="1221"/>
      <c r="CUH24" s="1221"/>
      <c r="CUI24" s="1221"/>
      <c r="CUJ24" s="1221"/>
      <c r="CUK24" s="1221"/>
      <c r="CUL24" s="1221"/>
      <c r="CUM24" s="1221"/>
      <c r="CUN24" s="1221"/>
      <c r="CUO24" s="1221"/>
      <c r="CUP24" s="1221"/>
      <c r="CUQ24" s="1221"/>
      <c r="CUR24" s="1221"/>
      <c r="CUS24" s="1221"/>
      <c r="CUT24" s="1221"/>
      <c r="CUU24" s="1221"/>
      <c r="CUV24" s="1221"/>
      <c r="CUW24" s="1221"/>
      <c r="CUX24" s="1221"/>
      <c r="CUY24" s="1221"/>
      <c r="CUZ24" s="1221"/>
      <c r="CVA24" s="1221"/>
      <c r="CVB24" s="1221"/>
      <c r="CVC24" s="1221"/>
      <c r="CVD24" s="1221"/>
      <c r="CVE24" s="1221"/>
      <c r="CVF24" s="1221"/>
      <c r="CVG24" s="1221"/>
      <c r="CVH24" s="1221"/>
      <c r="CVI24" s="1221"/>
      <c r="CVJ24" s="1221"/>
      <c r="CVK24" s="1221"/>
      <c r="CVL24" s="1221"/>
      <c r="CVM24" s="1221"/>
      <c r="CVN24" s="1221"/>
      <c r="CVO24" s="1221"/>
      <c r="CVP24" s="1221"/>
      <c r="CVQ24" s="1221"/>
      <c r="CVR24" s="1221"/>
      <c r="CVS24" s="1221"/>
      <c r="CVT24" s="1221"/>
      <c r="CVU24" s="1221"/>
      <c r="CVV24" s="1221"/>
      <c r="CVW24" s="1221"/>
      <c r="CVX24" s="1221"/>
      <c r="CVY24" s="1221"/>
      <c r="CVZ24" s="1221"/>
      <c r="CWA24" s="1221"/>
      <c r="CWB24" s="1221"/>
      <c r="CWC24" s="1221"/>
      <c r="CWD24" s="1221"/>
      <c r="CWE24" s="1221"/>
      <c r="CWF24" s="1221"/>
      <c r="CWG24" s="1221"/>
      <c r="CWH24" s="1221"/>
      <c r="CWI24" s="1221"/>
      <c r="CWJ24" s="1221"/>
      <c r="CWK24" s="1221"/>
      <c r="CWL24" s="1221"/>
      <c r="CWM24" s="1221"/>
      <c r="CWN24" s="1221"/>
      <c r="CWO24" s="1221"/>
      <c r="CWP24" s="1221"/>
      <c r="CWQ24" s="1221"/>
      <c r="CWR24" s="1221"/>
      <c r="CWS24" s="1221"/>
      <c r="CWT24" s="1221"/>
      <c r="CWU24" s="1221"/>
      <c r="CWV24" s="1221"/>
      <c r="CWW24" s="1221"/>
      <c r="CWX24" s="1221"/>
      <c r="CWY24" s="1221"/>
      <c r="CWZ24" s="1221"/>
      <c r="CXA24" s="1221"/>
      <c r="CXB24" s="1221"/>
      <c r="CXC24" s="1221"/>
      <c r="CXD24" s="1221"/>
      <c r="CXE24" s="1221"/>
      <c r="CXF24" s="1221"/>
      <c r="CXG24" s="1221"/>
      <c r="CXH24" s="1221"/>
      <c r="CXI24" s="1221"/>
      <c r="CXJ24" s="1221"/>
      <c r="CXK24" s="1221"/>
      <c r="CXL24" s="1221"/>
      <c r="CXM24" s="1221"/>
      <c r="CXN24" s="1221"/>
      <c r="CXO24" s="1221"/>
      <c r="CXP24" s="1221"/>
      <c r="CXQ24" s="1221"/>
      <c r="CXR24" s="1221"/>
      <c r="CXS24" s="1221"/>
      <c r="CXT24" s="1221"/>
      <c r="CXU24" s="1221"/>
      <c r="CXV24" s="1221"/>
      <c r="CXW24" s="1221"/>
      <c r="CXX24" s="1221"/>
      <c r="CXY24" s="1221"/>
      <c r="CXZ24" s="1221"/>
      <c r="CYA24" s="1221"/>
      <c r="CYB24" s="1221"/>
      <c r="CYC24" s="1221"/>
      <c r="CYD24" s="1221"/>
      <c r="CYE24" s="1221"/>
      <c r="CYF24" s="1221"/>
      <c r="CYG24" s="1221"/>
      <c r="CYH24" s="1221"/>
      <c r="CYI24" s="1221"/>
      <c r="CYJ24" s="1221"/>
      <c r="CYK24" s="1221"/>
      <c r="CYL24" s="1221"/>
      <c r="CYM24" s="1221"/>
      <c r="CYN24" s="1221"/>
      <c r="CYO24" s="1221"/>
      <c r="CYP24" s="1221"/>
      <c r="CYQ24" s="1221"/>
      <c r="CYR24" s="1221"/>
      <c r="CYS24" s="1221"/>
      <c r="CYT24" s="1221"/>
      <c r="CYU24" s="1221"/>
      <c r="CYV24" s="1221"/>
      <c r="CYW24" s="1221"/>
      <c r="CYX24" s="1221"/>
      <c r="CYY24" s="1221"/>
      <c r="CYZ24" s="1221"/>
      <c r="CZA24" s="1221"/>
      <c r="CZB24" s="1221"/>
      <c r="CZC24" s="1221"/>
      <c r="CZD24" s="1221"/>
      <c r="CZE24" s="1221"/>
      <c r="CZF24" s="1221"/>
      <c r="CZG24" s="1221"/>
      <c r="CZH24" s="1221"/>
      <c r="CZI24" s="1221"/>
      <c r="CZJ24" s="1221"/>
      <c r="CZK24" s="1221"/>
      <c r="CZL24" s="1221"/>
      <c r="CZM24" s="1221"/>
      <c r="CZN24" s="1221"/>
      <c r="CZO24" s="1221"/>
      <c r="CZP24" s="1221"/>
      <c r="CZQ24" s="1221"/>
      <c r="CZR24" s="1221"/>
      <c r="CZS24" s="1221"/>
      <c r="CZT24" s="1221"/>
      <c r="CZU24" s="1221"/>
      <c r="CZV24" s="1221"/>
      <c r="CZW24" s="1221"/>
      <c r="CZX24" s="1221"/>
      <c r="CZY24" s="1221"/>
      <c r="CZZ24" s="1221"/>
      <c r="DAA24" s="1221"/>
      <c r="DAB24" s="1221"/>
      <c r="DAC24" s="1221"/>
      <c r="DAD24" s="1221"/>
      <c r="DAE24" s="1221"/>
      <c r="DAF24" s="1221"/>
      <c r="DAG24" s="1221"/>
      <c r="DAH24" s="1221"/>
      <c r="DAI24" s="1221"/>
      <c r="DAJ24" s="1221"/>
      <c r="DAK24" s="1221"/>
      <c r="DAL24" s="1221"/>
      <c r="DAM24" s="1221"/>
      <c r="DAN24" s="1221"/>
      <c r="DAO24" s="1221"/>
      <c r="DAP24" s="1221"/>
      <c r="DAQ24" s="1221"/>
      <c r="DAR24" s="1221"/>
      <c r="DAS24" s="1221"/>
      <c r="DAT24" s="1221"/>
      <c r="DAU24" s="1221"/>
      <c r="DAV24" s="1221"/>
      <c r="DAW24" s="1221"/>
      <c r="DAX24" s="1221"/>
      <c r="DAY24" s="1221"/>
      <c r="DAZ24" s="1221"/>
      <c r="DBA24" s="1221"/>
      <c r="DBB24" s="1221"/>
      <c r="DBC24" s="1221"/>
      <c r="DBD24" s="1221"/>
      <c r="DBE24" s="1221"/>
      <c r="DBF24" s="1221"/>
      <c r="DBG24" s="1221"/>
      <c r="DBH24" s="1221"/>
      <c r="DBI24" s="1221"/>
      <c r="DBJ24" s="1221"/>
      <c r="DBK24" s="1221"/>
      <c r="DBL24" s="1221"/>
      <c r="DBM24" s="1221"/>
      <c r="DBN24" s="1221"/>
      <c r="DBO24" s="1221"/>
      <c r="DBP24" s="1221"/>
      <c r="DBQ24" s="1221"/>
      <c r="DBR24" s="1221"/>
      <c r="DBS24" s="1221"/>
      <c r="DBT24" s="1221"/>
      <c r="DBU24" s="1221"/>
      <c r="DBV24" s="1221"/>
      <c r="DBW24" s="1221"/>
      <c r="DBX24" s="1221"/>
      <c r="DBY24" s="1221"/>
      <c r="DBZ24" s="1221"/>
      <c r="DCA24" s="1221"/>
      <c r="DCB24" s="1221"/>
      <c r="DCC24" s="1221"/>
      <c r="DCD24" s="1221"/>
      <c r="DCE24" s="1221"/>
      <c r="DCF24" s="1221"/>
      <c r="DCG24" s="1221"/>
      <c r="DCH24" s="1221"/>
      <c r="DCI24" s="1221"/>
      <c r="DCJ24" s="1221"/>
      <c r="DCK24" s="1221"/>
      <c r="DCL24" s="1221"/>
      <c r="DCM24" s="1221"/>
      <c r="DCN24" s="1221"/>
      <c r="DCO24" s="1221"/>
      <c r="DCP24" s="1221"/>
      <c r="DCQ24" s="1221"/>
      <c r="DCR24" s="1221"/>
      <c r="DCS24" s="1221"/>
      <c r="DCT24" s="1221"/>
      <c r="DCU24" s="1221"/>
      <c r="DCV24" s="1221"/>
      <c r="DCW24" s="1221"/>
      <c r="DCX24" s="1221"/>
      <c r="DCY24" s="1221"/>
      <c r="DCZ24" s="1221"/>
      <c r="DDA24" s="1221"/>
      <c r="DDB24" s="1221"/>
      <c r="DDC24" s="1221"/>
      <c r="DDD24" s="1221"/>
      <c r="DDE24" s="1221"/>
      <c r="DDF24" s="1221"/>
      <c r="DDG24" s="1221"/>
      <c r="DDH24" s="1221"/>
      <c r="DDI24" s="1221"/>
      <c r="DDJ24" s="1221"/>
      <c r="DDK24" s="1221"/>
      <c r="DDL24" s="1221"/>
      <c r="DDM24" s="1221"/>
      <c r="DDN24" s="1221"/>
      <c r="DDO24" s="1221"/>
      <c r="DDP24" s="1221"/>
      <c r="DDQ24" s="1221"/>
      <c r="DDR24" s="1221"/>
      <c r="DDS24" s="1221"/>
      <c r="DDT24" s="1221"/>
      <c r="DDU24" s="1221"/>
      <c r="DDV24" s="1221"/>
      <c r="DDW24" s="1221"/>
      <c r="DDX24" s="1221"/>
      <c r="DDY24" s="1221"/>
      <c r="DDZ24" s="1221"/>
      <c r="DEA24" s="1221"/>
      <c r="DEB24" s="1221"/>
      <c r="DEC24" s="1221"/>
      <c r="DED24" s="1221"/>
      <c r="DEE24" s="1221"/>
      <c r="DEF24" s="1221"/>
      <c r="DEG24" s="1221"/>
      <c r="DEH24" s="1221"/>
      <c r="DEI24" s="1221"/>
      <c r="DEJ24" s="1221"/>
      <c r="DEK24" s="1221"/>
      <c r="DEL24" s="1221"/>
      <c r="DEM24" s="1221"/>
      <c r="DEN24" s="1221"/>
      <c r="DEO24" s="1221"/>
      <c r="DEP24" s="1221"/>
      <c r="DEQ24" s="1221"/>
      <c r="DER24" s="1221"/>
      <c r="DES24" s="1221"/>
      <c r="DET24" s="1221"/>
      <c r="DEU24" s="1221"/>
      <c r="DEV24" s="1221"/>
      <c r="DEW24" s="1221"/>
      <c r="DEX24" s="1221"/>
      <c r="DEY24" s="1221"/>
      <c r="DEZ24" s="1221"/>
      <c r="DFA24" s="1221"/>
      <c r="DFB24" s="1221"/>
      <c r="DFC24" s="1221"/>
      <c r="DFD24" s="1221"/>
      <c r="DFE24" s="1221"/>
      <c r="DFF24" s="1221"/>
      <c r="DFG24" s="1221"/>
      <c r="DFH24" s="1221"/>
      <c r="DFI24" s="1221"/>
      <c r="DFJ24" s="1221"/>
      <c r="DFK24" s="1221"/>
      <c r="DFL24" s="1221"/>
      <c r="DFM24" s="1221"/>
      <c r="DFN24" s="1221"/>
      <c r="DFO24" s="1221"/>
      <c r="DFP24" s="1221"/>
      <c r="DFQ24" s="1221"/>
      <c r="DFR24" s="1221"/>
      <c r="DFS24" s="1221"/>
      <c r="DFT24" s="1221"/>
      <c r="DFU24" s="1221"/>
      <c r="DFV24" s="1221"/>
      <c r="DFW24" s="1221"/>
      <c r="DFX24" s="1221"/>
      <c r="DFY24" s="1221"/>
      <c r="DFZ24" s="1221"/>
      <c r="DGA24" s="1221"/>
      <c r="DGB24" s="1221"/>
      <c r="DGC24" s="1221"/>
      <c r="DGD24" s="1221"/>
      <c r="DGE24" s="1221"/>
      <c r="DGF24" s="1221"/>
      <c r="DGG24" s="1221"/>
      <c r="DGH24" s="1221"/>
      <c r="DGI24" s="1221"/>
      <c r="DGJ24" s="1221"/>
      <c r="DGK24" s="1221"/>
      <c r="DGL24" s="1221"/>
      <c r="DGM24" s="1221"/>
      <c r="DGN24" s="1221"/>
      <c r="DGO24" s="1221"/>
      <c r="DGP24" s="1221"/>
      <c r="DGQ24" s="1221"/>
      <c r="DGR24" s="1221"/>
      <c r="DGS24" s="1221"/>
      <c r="DGT24" s="1221"/>
      <c r="DGU24" s="1221"/>
      <c r="DGV24" s="1221"/>
      <c r="DGW24" s="1221"/>
      <c r="DGX24" s="1221"/>
      <c r="DGY24" s="1221"/>
      <c r="DGZ24" s="1221"/>
      <c r="DHA24" s="1221"/>
      <c r="DHB24" s="1221"/>
      <c r="DHC24" s="1221"/>
      <c r="DHD24" s="1221"/>
      <c r="DHE24" s="1221"/>
      <c r="DHF24" s="1221"/>
      <c r="DHG24" s="1221"/>
      <c r="DHH24" s="1221"/>
      <c r="DHI24" s="1221"/>
      <c r="DHJ24" s="1221"/>
      <c r="DHK24" s="1221"/>
      <c r="DHL24" s="1221"/>
      <c r="DHM24" s="1221"/>
      <c r="DHN24" s="1221"/>
      <c r="DHO24" s="1221"/>
      <c r="DHP24" s="1221"/>
      <c r="DHQ24" s="1221"/>
      <c r="DHR24" s="1221"/>
      <c r="DHS24" s="1221"/>
      <c r="DHT24" s="1221"/>
      <c r="DHU24" s="1221"/>
      <c r="DHV24" s="1221"/>
      <c r="DHW24" s="1221"/>
      <c r="DHX24" s="1221"/>
      <c r="DHY24" s="1221"/>
      <c r="DHZ24" s="1221"/>
      <c r="DIA24" s="1221"/>
      <c r="DIB24" s="1221"/>
      <c r="DIC24" s="1221"/>
      <c r="DID24" s="1221"/>
      <c r="DIE24" s="1221"/>
      <c r="DIF24" s="1221"/>
      <c r="DIG24" s="1221"/>
      <c r="DIH24" s="1221"/>
      <c r="DII24" s="1221"/>
      <c r="DIJ24" s="1221"/>
      <c r="DIK24" s="1221"/>
      <c r="DIL24" s="1221"/>
      <c r="DIM24" s="1221"/>
      <c r="DIN24" s="1221"/>
      <c r="DIO24" s="1221"/>
      <c r="DIP24" s="1221"/>
      <c r="DIQ24" s="1221"/>
      <c r="DIR24" s="1221"/>
      <c r="DIS24" s="1221"/>
      <c r="DIT24" s="1221"/>
      <c r="DIU24" s="1221"/>
      <c r="DIV24" s="1221"/>
      <c r="DIW24" s="1221"/>
      <c r="DIX24" s="1221"/>
      <c r="DIY24" s="1221"/>
      <c r="DIZ24" s="1221"/>
      <c r="DJA24" s="1221"/>
      <c r="DJB24" s="1221"/>
      <c r="DJC24" s="1221"/>
      <c r="DJD24" s="1221"/>
      <c r="DJE24" s="1221"/>
      <c r="DJF24" s="1221"/>
      <c r="DJG24" s="1221"/>
      <c r="DJH24" s="1221"/>
      <c r="DJI24" s="1221"/>
      <c r="DJJ24" s="1221"/>
      <c r="DJK24" s="1221"/>
      <c r="DJL24" s="1221"/>
      <c r="DJM24" s="1221"/>
      <c r="DJN24" s="1221"/>
      <c r="DJO24" s="1221"/>
      <c r="DJP24" s="1221"/>
      <c r="DJQ24" s="1221"/>
      <c r="DJR24" s="1221"/>
      <c r="DJS24" s="1221"/>
      <c r="DJT24" s="1221"/>
      <c r="DJU24" s="1221"/>
      <c r="DJV24" s="1221"/>
      <c r="DJW24" s="1221"/>
      <c r="DJX24" s="1221"/>
      <c r="DJY24" s="1221"/>
      <c r="DJZ24" s="1221"/>
      <c r="DKA24" s="1221"/>
      <c r="DKB24" s="1221"/>
      <c r="DKC24" s="1221"/>
      <c r="DKD24" s="1221"/>
      <c r="DKE24" s="1221"/>
      <c r="DKF24" s="1221"/>
      <c r="DKG24" s="1221"/>
      <c r="DKH24" s="1221"/>
      <c r="DKI24" s="1221"/>
      <c r="DKJ24" s="1221"/>
      <c r="DKK24" s="1221"/>
      <c r="DKL24" s="1221"/>
      <c r="DKM24" s="1221"/>
      <c r="DKN24" s="1221"/>
      <c r="DKO24" s="1221"/>
      <c r="DKP24" s="1221"/>
      <c r="DKQ24" s="1221"/>
      <c r="DKR24" s="1221"/>
      <c r="DKS24" s="1221"/>
      <c r="DKT24" s="1221"/>
      <c r="DKU24" s="1221"/>
      <c r="DKV24" s="1221"/>
      <c r="DKW24" s="1221"/>
      <c r="DKX24" s="1221"/>
      <c r="DKY24" s="1221"/>
      <c r="DKZ24" s="1221"/>
      <c r="DLA24" s="1221"/>
      <c r="DLB24" s="1221"/>
      <c r="DLC24" s="1221"/>
      <c r="DLD24" s="1221"/>
      <c r="DLE24" s="1221"/>
      <c r="DLF24" s="1221"/>
      <c r="DLG24" s="1221"/>
      <c r="DLH24" s="1221"/>
      <c r="DLI24" s="1221"/>
      <c r="DLJ24" s="1221"/>
      <c r="DLK24" s="1221"/>
      <c r="DLL24" s="1221"/>
      <c r="DLM24" s="1221"/>
      <c r="DLN24" s="1221"/>
      <c r="DLO24" s="1221"/>
      <c r="DLP24" s="1221"/>
      <c r="DLQ24" s="1221"/>
      <c r="DLR24" s="1221"/>
      <c r="DLS24" s="1221"/>
      <c r="DLT24" s="1221"/>
      <c r="DLU24" s="1221"/>
      <c r="DLV24" s="1221"/>
      <c r="DLW24" s="1221"/>
      <c r="DLX24" s="1221"/>
      <c r="DLY24" s="1221"/>
      <c r="DLZ24" s="1221"/>
      <c r="DMA24" s="1221"/>
      <c r="DMB24" s="1221"/>
      <c r="DMC24" s="1221"/>
      <c r="DMD24" s="1221"/>
      <c r="DME24" s="1221"/>
      <c r="DMF24" s="1221"/>
      <c r="DMG24" s="1221"/>
      <c r="DMH24" s="1221"/>
      <c r="DMI24" s="1221"/>
      <c r="DMJ24" s="1221"/>
      <c r="DMK24" s="1221"/>
      <c r="DML24" s="1221"/>
      <c r="DMM24" s="1221"/>
      <c r="DMN24" s="1221"/>
      <c r="DMO24" s="1221"/>
      <c r="DMP24" s="1221"/>
      <c r="DMQ24" s="1221"/>
      <c r="DMR24" s="1221"/>
      <c r="DMS24" s="1221"/>
      <c r="DMT24" s="1221"/>
      <c r="DMU24" s="1221"/>
      <c r="DMV24" s="1221"/>
      <c r="DMW24" s="1221"/>
      <c r="DMX24" s="1221"/>
      <c r="DMY24" s="1221"/>
      <c r="DMZ24" s="1221"/>
      <c r="DNA24" s="1221"/>
      <c r="DNB24" s="1221"/>
      <c r="DNC24" s="1221"/>
      <c r="DND24" s="1221"/>
      <c r="DNE24" s="1221"/>
      <c r="DNF24" s="1221"/>
      <c r="DNG24" s="1221"/>
      <c r="DNH24" s="1221"/>
      <c r="DNI24" s="1221"/>
      <c r="DNJ24" s="1221"/>
      <c r="DNK24" s="1221"/>
      <c r="DNL24" s="1221"/>
      <c r="DNM24" s="1221"/>
      <c r="DNN24" s="1221"/>
      <c r="DNO24" s="1221"/>
      <c r="DNP24" s="1221"/>
      <c r="DNQ24" s="1221"/>
      <c r="DNR24" s="1221"/>
      <c r="DNS24" s="1221"/>
      <c r="DNT24" s="1221"/>
      <c r="DNU24" s="1221"/>
      <c r="DNV24" s="1221"/>
      <c r="DNW24" s="1221"/>
      <c r="DNX24" s="1221"/>
      <c r="DNY24" s="1221"/>
      <c r="DNZ24" s="1221"/>
      <c r="DOA24" s="1221"/>
      <c r="DOB24" s="1221"/>
      <c r="DOC24" s="1221"/>
      <c r="DOD24" s="1221"/>
      <c r="DOE24" s="1221"/>
      <c r="DOF24" s="1221"/>
      <c r="DOG24" s="1221"/>
      <c r="DOH24" s="1221"/>
      <c r="DOI24" s="1221"/>
      <c r="DOJ24" s="1221"/>
      <c r="DOK24" s="1221"/>
      <c r="DOL24" s="1221"/>
      <c r="DOM24" s="1221"/>
      <c r="DON24" s="1221"/>
      <c r="DOO24" s="1221"/>
      <c r="DOP24" s="1221"/>
      <c r="DOQ24" s="1221"/>
      <c r="DOR24" s="1221"/>
      <c r="DOS24" s="1221"/>
      <c r="DOT24" s="1221"/>
      <c r="DOU24" s="1221"/>
      <c r="DOV24" s="1221"/>
      <c r="DOW24" s="1221"/>
      <c r="DOX24" s="1221"/>
      <c r="DOY24" s="1221"/>
      <c r="DOZ24" s="1221"/>
      <c r="DPA24" s="1221"/>
      <c r="DPB24" s="1221"/>
      <c r="DPC24" s="1221"/>
      <c r="DPD24" s="1221"/>
      <c r="DPE24" s="1221"/>
      <c r="DPF24" s="1221"/>
      <c r="DPG24" s="1221"/>
      <c r="DPH24" s="1221"/>
      <c r="DPI24" s="1221"/>
      <c r="DPJ24" s="1221"/>
      <c r="DPK24" s="1221"/>
      <c r="DPL24" s="1221"/>
      <c r="DPM24" s="1221"/>
      <c r="DPN24" s="1221"/>
      <c r="DPO24" s="1221"/>
      <c r="DPP24" s="1221"/>
      <c r="DPQ24" s="1221"/>
      <c r="DPR24" s="1221"/>
      <c r="DPS24" s="1221"/>
      <c r="DPT24" s="1221"/>
      <c r="DPU24" s="1221"/>
      <c r="DPV24" s="1221"/>
      <c r="DPW24" s="1221"/>
      <c r="DPX24" s="1221"/>
      <c r="DPY24" s="1221"/>
      <c r="DPZ24" s="1221"/>
      <c r="DQA24" s="1221"/>
      <c r="DQB24" s="1221"/>
      <c r="DQC24" s="1221"/>
      <c r="DQD24" s="1221"/>
      <c r="DQE24" s="1221"/>
      <c r="DQF24" s="1221"/>
      <c r="DQG24" s="1221"/>
      <c r="DQH24" s="1221"/>
      <c r="DQI24" s="1221"/>
      <c r="DQJ24" s="1221"/>
      <c r="DQK24" s="1221"/>
      <c r="DQL24" s="1221"/>
      <c r="DQM24" s="1221"/>
      <c r="DQN24" s="1221"/>
      <c r="DQO24" s="1221"/>
      <c r="DQP24" s="1221"/>
      <c r="DQQ24" s="1221"/>
      <c r="DQR24" s="1221"/>
      <c r="DQS24" s="1221"/>
      <c r="DQT24" s="1221"/>
      <c r="DQU24" s="1221"/>
      <c r="DQV24" s="1221"/>
      <c r="DQW24" s="1221"/>
      <c r="DQX24" s="1221"/>
      <c r="DQY24" s="1221"/>
      <c r="DQZ24" s="1221"/>
      <c r="DRA24" s="1221"/>
      <c r="DRB24" s="1221"/>
      <c r="DRC24" s="1221"/>
      <c r="DRD24" s="1221"/>
      <c r="DRE24" s="1221"/>
      <c r="DRF24" s="1221"/>
      <c r="DRG24" s="1221"/>
      <c r="DRH24" s="1221"/>
      <c r="DRI24" s="1221"/>
      <c r="DRJ24" s="1221"/>
      <c r="DRK24" s="1221"/>
      <c r="DRL24" s="1221"/>
      <c r="DRM24" s="1221"/>
      <c r="DRN24" s="1221"/>
      <c r="DRO24" s="1221"/>
      <c r="DRP24" s="1221"/>
      <c r="DRQ24" s="1221"/>
      <c r="DRR24" s="1221"/>
      <c r="DRS24" s="1221"/>
      <c r="DRT24" s="1221"/>
      <c r="DRU24" s="1221"/>
      <c r="DRV24" s="1221"/>
      <c r="DRW24" s="1221"/>
      <c r="DRX24" s="1221"/>
      <c r="DRY24" s="1221"/>
      <c r="DRZ24" s="1221"/>
      <c r="DSA24" s="1221"/>
      <c r="DSB24" s="1221"/>
      <c r="DSC24" s="1221"/>
      <c r="DSD24" s="1221"/>
      <c r="DSE24" s="1221"/>
      <c r="DSF24" s="1221"/>
      <c r="DSG24" s="1221"/>
      <c r="DSH24" s="1221"/>
      <c r="DSI24" s="1221"/>
      <c r="DSJ24" s="1221"/>
      <c r="DSK24" s="1221"/>
      <c r="DSL24" s="1221"/>
      <c r="DSM24" s="1221"/>
      <c r="DSN24" s="1221"/>
      <c r="DSO24" s="1221"/>
      <c r="DSP24" s="1221"/>
      <c r="DSQ24" s="1221"/>
      <c r="DSR24" s="1221"/>
      <c r="DSS24" s="1221"/>
      <c r="DST24" s="1221"/>
      <c r="DSU24" s="1221"/>
      <c r="DSV24" s="1221"/>
      <c r="DSW24" s="1221"/>
      <c r="DSX24" s="1221"/>
      <c r="DSY24" s="1221"/>
      <c r="DSZ24" s="1221"/>
      <c r="DTA24" s="1221"/>
      <c r="DTB24" s="1221"/>
      <c r="DTC24" s="1221"/>
      <c r="DTD24" s="1221"/>
      <c r="DTE24" s="1221"/>
      <c r="DTF24" s="1221"/>
      <c r="DTG24" s="1221"/>
      <c r="DTH24" s="1221"/>
      <c r="DTI24" s="1221"/>
      <c r="DTJ24" s="1221"/>
      <c r="DTK24" s="1221"/>
      <c r="DTL24" s="1221"/>
      <c r="DTM24" s="1221"/>
      <c r="DTN24" s="1221"/>
      <c r="DTO24" s="1221"/>
      <c r="DTP24" s="1221"/>
      <c r="DTQ24" s="1221"/>
      <c r="DTR24" s="1221"/>
      <c r="DTS24" s="1221"/>
      <c r="DTT24" s="1221"/>
      <c r="DTU24" s="1221"/>
      <c r="DTV24" s="1221"/>
      <c r="DTW24" s="1221"/>
      <c r="DTX24" s="1221"/>
      <c r="DTY24" s="1221"/>
      <c r="DTZ24" s="1221"/>
      <c r="DUA24" s="1221"/>
      <c r="DUB24" s="1221"/>
      <c r="DUC24" s="1221"/>
      <c r="DUD24" s="1221"/>
      <c r="DUE24" s="1221"/>
      <c r="DUF24" s="1221"/>
      <c r="DUG24" s="1221"/>
      <c r="DUH24" s="1221"/>
      <c r="DUI24" s="1221"/>
      <c r="DUJ24" s="1221"/>
      <c r="DUK24" s="1221"/>
      <c r="DUL24" s="1221"/>
      <c r="DUM24" s="1221"/>
      <c r="DUN24" s="1221"/>
      <c r="DUO24" s="1221"/>
      <c r="DUP24" s="1221"/>
      <c r="DUQ24" s="1221"/>
      <c r="DUR24" s="1221"/>
      <c r="DUS24" s="1221"/>
      <c r="DUT24" s="1221"/>
      <c r="DUU24" s="1221"/>
      <c r="DUV24" s="1221"/>
      <c r="DUW24" s="1221"/>
      <c r="DUX24" s="1221"/>
      <c r="DUY24" s="1221"/>
      <c r="DUZ24" s="1221"/>
      <c r="DVA24" s="1221"/>
      <c r="DVB24" s="1221"/>
      <c r="DVC24" s="1221"/>
      <c r="DVD24" s="1221"/>
      <c r="DVE24" s="1221"/>
      <c r="DVF24" s="1221"/>
      <c r="DVG24" s="1221"/>
      <c r="DVH24" s="1221"/>
      <c r="DVI24" s="1221"/>
      <c r="DVJ24" s="1221"/>
      <c r="DVK24" s="1221"/>
      <c r="DVL24" s="1221"/>
      <c r="DVM24" s="1221"/>
      <c r="DVN24" s="1221"/>
      <c r="DVO24" s="1221"/>
      <c r="DVP24" s="1221"/>
      <c r="DVQ24" s="1221"/>
      <c r="DVR24" s="1221"/>
      <c r="DVS24" s="1221"/>
      <c r="DVT24" s="1221"/>
      <c r="DVU24" s="1221"/>
      <c r="DVV24" s="1221"/>
      <c r="DVW24" s="1221"/>
      <c r="DVX24" s="1221"/>
      <c r="DVY24" s="1221"/>
      <c r="DVZ24" s="1221"/>
      <c r="DWA24" s="1221"/>
      <c r="DWB24" s="1221"/>
      <c r="DWC24" s="1221"/>
      <c r="DWD24" s="1221"/>
      <c r="DWE24" s="1221"/>
      <c r="DWF24" s="1221"/>
      <c r="DWG24" s="1221"/>
      <c r="DWH24" s="1221"/>
      <c r="DWI24" s="1221"/>
      <c r="DWJ24" s="1221"/>
      <c r="DWK24" s="1221"/>
      <c r="DWL24" s="1221"/>
      <c r="DWM24" s="1221"/>
      <c r="DWN24" s="1221"/>
      <c r="DWO24" s="1221"/>
      <c r="DWP24" s="1221"/>
      <c r="DWQ24" s="1221"/>
      <c r="DWR24" s="1221"/>
      <c r="DWS24" s="1221"/>
      <c r="DWT24" s="1221"/>
      <c r="DWU24" s="1221"/>
      <c r="DWV24" s="1221"/>
      <c r="DWW24" s="1221"/>
      <c r="DWX24" s="1221"/>
      <c r="DWY24" s="1221"/>
      <c r="DWZ24" s="1221"/>
      <c r="DXA24" s="1221"/>
      <c r="DXB24" s="1221"/>
      <c r="DXC24" s="1221"/>
      <c r="DXD24" s="1221"/>
      <c r="DXE24" s="1221"/>
      <c r="DXF24" s="1221"/>
      <c r="DXG24" s="1221"/>
      <c r="DXH24" s="1221"/>
      <c r="DXI24" s="1221"/>
      <c r="DXJ24" s="1221"/>
      <c r="DXK24" s="1221"/>
      <c r="DXL24" s="1221"/>
      <c r="DXM24" s="1221"/>
      <c r="DXN24" s="1221"/>
      <c r="DXO24" s="1221"/>
      <c r="DXP24" s="1221"/>
      <c r="DXQ24" s="1221"/>
      <c r="DXR24" s="1221"/>
      <c r="DXS24" s="1221"/>
      <c r="DXT24" s="1221"/>
      <c r="DXU24" s="1221"/>
      <c r="DXV24" s="1221"/>
      <c r="DXW24" s="1221"/>
      <c r="DXX24" s="1221"/>
      <c r="DXY24" s="1221"/>
      <c r="DXZ24" s="1221"/>
      <c r="DYA24" s="1221"/>
      <c r="DYB24" s="1221"/>
      <c r="DYC24" s="1221"/>
      <c r="DYD24" s="1221"/>
      <c r="DYE24" s="1221"/>
      <c r="DYF24" s="1221"/>
      <c r="DYG24" s="1221"/>
      <c r="DYH24" s="1221"/>
      <c r="DYI24" s="1221"/>
      <c r="DYJ24" s="1221"/>
      <c r="DYK24" s="1221"/>
      <c r="DYL24" s="1221"/>
      <c r="DYM24" s="1221"/>
      <c r="DYN24" s="1221"/>
      <c r="DYO24" s="1221"/>
      <c r="DYP24" s="1221"/>
      <c r="DYQ24" s="1221"/>
      <c r="DYR24" s="1221"/>
      <c r="DYS24" s="1221"/>
      <c r="DYT24" s="1221"/>
      <c r="DYU24" s="1221"/>
      <c r="DYV24" s="1221"/>
      <c r="DYW24" s="1221"/>
      <c r="DYX24" s="1221"/>
      <c r="DYY24" s="1221"/>
      <c r="DYZ24" s="1221"/>
      <c r="DZA24" s="1221"/>
      <c r="DZB24" s="1221"/>
      <c r="DZC24" s="1221"/>
      <c r="DZD24" s="1221"/>
      <c r="DZE24" s="1221"/>
      <c r="DZF24" s="1221"/>
      <c r="DZG24" s="1221"/>
      <c r="DZH24" s="1221"/>
      <c r="DZI24" s="1221"/>
      <c r="DZJ24" s="1221"/>
      <c r="DZK24" s="1221"/>
      <c r="DZL24" s="1221"/>
      <c r="DZM24" s="1221"/>
      <c r="DZN24" s="1221"/>
      <c r="DZO24" s="1221"/>
      <c r="DZP24" s="1221"/>
      <c r="DZQ24" s="1221"/>
      <c r="DZR24" s="1221"/>
      <c r="DZS24" s="1221"/>
      <c r="DZT24" s="1221"/>
      <c r="DZU24" s="1221"/>
      <c r="DZV24" s="1221"/>
      <c r="DZW24" s="1221"/>
      <c r="DZX24" s="1221"/>
      <c r="DZY24" s="1221"/>
      <c r="DZZ24" s="1221"/>
      <c r="EAA24" s="1221"/>
      <c r="EAB24" s="1221"/>
      <c r="EAC24" s="1221"/>
      <c r="EAD24" s="1221"/>
      <c r="EAE24" s="1221"/>
      <c r="EAF24" s="1221"/>
      <c r="EAG24" s="1221"/>
      <c r="EAH24" s="1221"/>
      <c r="EAI24" s="1221"/>
      <c r="EAJ24" s="1221"/>
      <c r="EAK24" s="1221"/>
      <c r="EAL24" s="1221"/>
      <c r="EAM24" s="1221"/>
      <c r="EAN24" s="1221"/>
      <c r="EAO24" s="1221"/>
      <c r="EAP24" s="1221"/>
      <c r="EAQ24" s="1221"/>
      <c r="EAR24" s="1221"/>
      <c r="EAS24" s="1221"/>
      <c r="EAT24" s="1221"/>
      <c r="EAU24" s="1221"/>
      <c r="EAV24" s="1221"/>
      <c r="EAW24" s="1221"/>
      <c r="EAX24" s="1221"/>
      <c r="EAY24" s="1221"/>
      <c r="EAZ24" s="1221"/>
      <c r="EBA24" s="1221"/>
      <c r="EBB24" s="1221"/>
      <c r="EBC24" s="1221"/>
      <c r="EBD24" s="1221"/>
      <c r="EBE24" s="1221"/>
      <c r="EBF24" s="1221"/>
      <c r="EBG24" s="1221"/>
      <c r="EBH24" s="1221"/>
      <c r="EBI24" s="1221"/>
      <c r="EBJ24" s="1221"/>
      <c r="EBK24" s="1221"/>
      <c r="EBL24" s="1221"/>
      <c r="EBM24" s="1221"/>
      <c r="EBN24" s="1221"/>
      <c r="EBO24" s="1221"/>
      <c r="EBP24" s="1221"/>
      <c r="EBQ24" s="1221"/>
      <c r="EBR24" s="1221"/>
      <c r="EBS24" s="1221"/>
      <c r="EBT24" s="1221"/>
      <c r="EBU24" s="1221"/>
      <c r="EBV24" s="1221"/>
      <c r="EBW24" s="1221"/>
      <c r="EBX24" s="1221"/>
      <c r="EBY24" s="1221"/>
      <c r="EBZ24" s="1221"/>
      <c r="ECA24" s="1221"/>
      <c r="ECB24" s="1221"/>
      <c r="ECC24" s="1221"/>
      <c r="ECD24" s="1221"/>
      <c r="ECE24" s="1221"/>
      <c r="ECF24" s="1221"/>
      <c r="ECG24" s="1221"/>
      <c r="ECH24" s="1221"/>
      <c r="ECI24" s="1221"/>
      <c r="ECJ24" s="1221"/>
      <c r="ECK24" s="1221"/>
      <c r="ECL24" s="1221"/>
      <c r="ECM24" s="1221"/>
      <c r="ECN24" s="1221"/>
      <c r="ECO24" s="1221"/>
    </row>
    <row r="25" spans="2:3473" s="1248" customFormat="1" ht="13" outlineLevel="1">
      <c r="B25" s="1249" t="s">
        <v>697</v>
      </c>
      <c r="C25" s="1250">
        <v>4</v>
      </c>
      <c r="D25" s="1251" t="s">
        <v>3148</v>
      </c>
      <c r="E25" s="1252">
        <f t="shared" si="47"/>
        <v>0</v>
      </c>
      <c r="F25" s="1252">
        <f t="shared" si="47"/>
        <v>0</v>
      </c>
      <c r="G25" s="1252">
        <f t="shared" si="47"/>
        <v>0</v>
      </c>
      <c r="H25" s="1252">
        <f t="shared" si="47"/>
        <v>0</v>
      </c>
      <c r="I25" s="1252">
        <f t="shared" si="47"/>
        <v>0</v>
      </c>
      <c r="J25" s="1252">
        <f t="shared" si="47"/>
        <v>0</v>
      </c>
      <c r="K25" s="1252">
        <f t="shared" si="47"/>
        <v>0</v>
      </c>
      <c r="L25" s="1252">
        <f t="shared" si="47"/>
        <v>0</v>
      </c>
      <c r="M25" s="1252">
        <f t="shared" si="47"/>
        <v>0</v>
      </c>
      <c r="N25" s="1252" t="str">
        <f t="shared" si="47"/>
        <v/>
      </c>
      <c r="O25" s="1252" t="str">
        <f t="shared" si="47"/>
        <v/>
      </c>
      <c r="P25" s="1252" t="str">
        <f t="shared" si="47"/>
        <v/>
      </c>
      <c r="Q25" s="1252">
        <f t="shared" si="47"/>
        <v>0</v>
      </c>
      <c r="R25" s="1252">
        <f t="shared" si="47"/>
        <v>0</v>
      </c>
      <c r="S25" s="1252">
        <f t="shared" si="8"/>
        <v>0</v>
      </c>
      <c r="T25" s="1252">
        <f t="shared" si="5"/>
        <v>0</v>
      </c>
      <c r="U25" s="1252">
        <f t="shared" si="5"/>
        <v>0</v>
      </c>
      <c r="V25" s="1252">
        <f t="shared" si="9"/>
        <v>0</v>
      </c>
      <c r="W25" s="1252" t="str">
        <f t="shared" si="10"/>
        <v/>
      </c>
      <c r="X25" s="1252" t="str">
        <f t="shared" si="10"/>
        <v/>
      </c>
      <c r="Y25" s="1252" t="str">
        <f t="shared" si="10"/>
        <v/>
      </c>
      <c r="Z25" s="1252">
        <f t="shared" si="11"/>
        <v>0</v>
      </c>
      <c r="AA25" s="1252">
        <f t="shared" si="11"/>
        <v>0</v>
      </c>
      <c r="AB25" s="1252">
        <f t="shared" si="11"/>
        <v>0</v>
      </c>
      <c r="AC25" s="1252">
        <f t="shared" si="15"/>
        <v>0</v>
      </c>
      <c r="AD25" s="1260">
        <f t="shared" si="15"/>
        <v>0</v>
      </c>
      <c r="AE25" s="1260">
        <f t="shared" si="15"/>
        <v>0</v>
      </c>
      <c r="AF25" s="1254">
        <f t="shared" si="40"/>
        <v>0</v>
      </c>
      <c r="AG25" s="1256">
        <f>VLOOKUP($D25,车位!$D$17:$U$199,14,0)*车位!$K$3</f>
        <v>0</v>
      </c>
      <c r="AH25" s="1256">
        <f>VLOOKUP($D25,车位!$D$17:$U$199,16,0)*车位!$K$3</f>
        <v>0</v>
      </c>
      <c r="AI25" s="1256">
        <f t="shared" si="41"/>
        <v>0</v>
      </c>
      <c r="AJ25" s="1256">
        <f>VLOOKUP($D25,高层!$D$11:$U$202,14,0)</f>
        <v>0</v>
      </c>
      <c r="AK25" s="1256">
        <f>VLOOKUP($D25,高层!$D$11:$U$202,16,0)</f>
        <v>0</v>
      </c>
      <c r="AL25" s="1256">
        <f t="shared" si="20"/>
        <v>0</v>
      </c>
      <c r="AM25" s="1256">
        <f>VLOOKUP($D25,人防车位!D:U,14,0)</f>
        <v>0</v>
      </c>
      <c r="AN25" s="1256">
        <f>VLOOKUP($D25,人防车位!D:U,16,0)</f>
        <v>0</v>
      </c>
      <c r="AO25" s="1256">
        <f t="shared" si="21"/>
        <v>0</v>
      </c>
      <c r="AP25" s="1256">
        <f>VLOOKUP($D25,人才公寓销售!$D$11:$U$202,14,0)</f>
        <v>0</v>
      </c>
      <c r="AQ25" s="1256">
        <f>VLOOKUP($D25,人才公寓销售!$D$11:$U$202,16,0)</f>
        <v>0</v>
      </c>
      <c r="AR25" s="1256">
        <f>AS25+AT25</f>
        <v>0</v>
      </c>
      <c r="AS25" s="1256">
        <f>VLOOKUP($D25,小高层!$D$11:$U$202,14,0)</f>
        <v>0</v>
      </c>
      <c r="AT25" s="1256">
        <f>VLOOKUP($D25,小高层!$D$11:$U$202,16,0)</f>
        <v>0</v>
      </c>
      <c r="AU25" s="1256">
        <f>AV25+AW25</f>
        <v>0</v>
      </c>
      <c r="AV25" s="1256">
        <f>VLOOKUP($D25,临街商业!$D$11:$U$202,14,0)</f>
        <v>0</v>
      </c>
      <c r="AW25" s="1256">
        <f>VLOOKUP($D25,临街商业!$D$11:$U$202,16,0)</f>
        <v>0</v>
      </c>
      <c r="AX25" s="1256"/>
      <c r="AY25" s="1256"/>
      <c r="AZ25" s="1256"/>
      <c r="BA25" s="1257">
        <f>BB25+BC25</f>
        <v>0</v>
      </c>
      <c r="BB25" s="1257">
        <f t="shared" si="44"/>
        <v>0</v>
      </c>
      <c r="BC25" s="1257">
        <f t="shared" si="44"/>
        <v>0</v>
      </c>
      <c r="BD25" s="1256">
        <f t="shared" si="42"/>
        <v>0</v>
      </c>
      <c r="BE25" s="1256">
        <v>0</v>
      </c>
      <c r="BF25" s="1256">
        <v>0</v>
      </c>
      <c r="BG25" s="1256">
        <f t="shared" si="45"/>
        <v>0</v>
      </c>
      <c r="BH25" s="1257">
        <f t="shared" si="46"/>
        <v>0</v>
      </c>
      <c r="BI25" s="1257">
        <f t="shared" si="46"/>
        <v>0</v>
      </c>
      <c r="BJ25" s="1256">
        <f t="shared" si="43"/>
        <v>0</v>
      </c>
      <c r="BK25" s="1257">
        <f t="shared" si="43"/>
        <v>0</v>
      </c>
      <c r="BL25" s="1257">
        <f t="shared" si="43"/>
        <v>0</v>
      </c>
      <c r="BM25" s="1262" t="s">
        <v>489</v>
      </c>
      <c r="BN25" s="1225">
        <f t="shared" si="12"/>
        <v>0</v>
      </c>
      <c r="BO25" s="1225">
        <f t="shared" si="13"/>
        <v>0</v>
      </c>
      <c r="BP25" s="1225">
        <f t="shared" si="14"/>
        <v>0</v>
      </c>
      <c r="BQ25" s="1225"/>
      <c r="BR25" s="1221"/>
      <c r="BS25" s="1221"/>
      <c r="BT25" s="1221"/>
      <c r="BU25" s="1221"/>
      <c r="BV25" s="1221"/>
      <c r="BW25" s="1221"/>
      <c r="BX25" s="1221"/>
      <c r="BY25" s="1221"/>
      <c r="BZ25" s="1221"/>
      <c r="CA25" s="1221"/>
      <c r="CB25" s="1221"/>
      <c r="CC25" s="1221"/>
      <c r="CD25" s="1221"/>
      <c r="CE25" s="1221"/>
      <c r="CF25" s="1221"/>
      <c r="CG25" s="1221"/>
      <c r="CH25" s="1221"/>
      <c r="CI25" s="1221"/>
      <c r="CJ25" s="1221"/>
      <c r="CK25" s="1221"/>
      <c r="CL25" s="1221"/>
      <c r="CM25" s="1221"/>
      <c r="CN25" s="1221"/>
      <c r="CO25" s="1221"/>
      <c r="CP25" s="1221"/>
      <c r="CQ25" s="1221"/>
      <c r="CR25" s="1221"/>
      <c r="CS25" s="1221"/>
      <c r="CT25" s="1221"/>
      <c r="CU25" s="1221"/>
      <c r="CV25" s="1221"/>
      <c r="CW25" s="1221"/>
      <c r="CX25" s="1221"/>
      <c r="CY25" s="1221"/>
      <c r="CZ25" s="1221"/>
      <c r="DA25" s="1221"/>
      <c r="DB25" s="1221"/>
      <c r="DC25" s="1221"/>
      <c r="DD25" s="1221"/>
      <c r="DE25" s="1221"/>
      <c r="DF25" s="1221"/>
      <c r="DG25" s="1221"/>
      <c r="DH25" s="1221"/>
      <c r="DI25" s="1221"/>
      <c r="DJ25" s="1221"/>
      <c r="DK25" s="1221"/>
      <c r="DL25" s="1221"/>
      <c r="DM25" s="1221"/>
      <c r="DN25" s="1221"/>
      <c r="DO25" s="1221"/>
      <c r="DP25" s="1221"/>
      <c r="DQ25" s="1221"/>
      <c r="DR25" s="1221"/>
      <c r="DS25" s="1221"/>
      <c r="DT25" s="1221"/>
      <c r="DU25" s="1221"/>
      <c r="DV25" s="1221"/>
      <c r="DW25" s="1221"/>
      <c r="DX25" s="1221"/>
      <c r="DY25" s="1221"/>
      <c r="DZ25" s="1221"/>
      <c r="EA25" s="1221"/>
      <c r="EB25" s="1221"/>
      <c r="EC25" s="1221"/>
      <c r="ED25" s="1221"/>
      <c r="EE25" s="1221"/>
      <c r="EF25" s="1221"/>
      <c r="EG25" s="1221"/>
      <c r="EH25" s="1221"/>
      <c r="EI25" s="1221"/>
      <c r="EJ25" s="1221"/>
      <c r="EK25" s="1221"/>
      <c r="EL25" s="1221"/>
      <c r="EM25" s="1221"/>
      <c r="EN25" s="1221"/>
      <c r="EO25" s="1221"/>
      <c r="EP25" s="1221"/>
      <c r="EQ25" s="1221"/>
      <c r="ER25" s="1221"/>
      <c r="ES25" s="1221"/>
      <c r="ET25" s="1221"/>
      <c r="EU25" s="1221"/>
      <c r="EV25" s="1221"/>
      <c r="EW25" s="1221"/>
      <c r="EX25" s="1221"/>
      <c r="EY25" s="1221"/>
      <c r="EZ25" s="1221"/>
      <c r="FA25" s="1221"/>
      <c r="FB25" s="1221"/>
      <c r="FC25" s="1221"/>
      <c r="FD25" s="1221"/>
      <c r="FE25" s="1221"/>
      <c r="FF25" s="1221"/>
      <c r="FG25" s="1221"/>
      <c r="FH25" s="1221"/>
      <c r="FI25" s="1221"/>
      <c r="FJ25" s="1221"/>
      <c r="FK25" s="1221"/>
      <c r="FL25" s="1221"/>
      <c r="FM25" s="1221"/>
      <c r="FN25" s="1221"/>
      <c r="FO25" s="1221"/>
      <c r="FP25" s="1221"/>
      <c r="FQ25" s="1221"/>
      <c r="FR25" s="1221"/>
      <c r="FS25" s="1221"/>
      <c r="FT25" s="1221"/>
      <c r="FU25" s="1221"/>
      <c r="FV25" s="1221"/>
      <c r="FW25" s="1221"/>
      <c r="FX25" s="1221"/>
      <c r="FY25" s="1221"/>
      <c r="FZ25" s="1221"/>
      <c r="GA25" s="1221"/>
      <c r="GB25" s="1221"/>
      <c r="GC25" s="1221"/>
      <c r="GD25" s="1221"/>
      <c r="GE25" s="1221"/>
      <c r="GF25" s="1221"/>
      <c r="GG25" s="1221"/>
      <c r="GH25" s="1221"/>
      <c r="GI25" s="1221"/>
      <c r="GJ25" s="1221"/>
      <c r="GK25" s="1221"/>
      <c r="GL25" s="1221"/>
      <c r="GM25" s="1221"/>
      <c r="GN25" s="1221"/>
      <c r="GO25" s="1221"/>
      <c r="GP25" s="1221"/>
      <c r="GQ25" s="1221"/>
      <c r="GR25" s="1221"/>
      <c r="GS25" s="1221"/>
      <c r="GT25" s="1221"/>
      <c r="GU25" s="1221"/>
      <c r="GV25" s="1221"/>
      <c r="GW25" s="1221"/>
      <c r="GX25" s="1221"/>
      <c r="GY25" s="1221"/>
      <c r="GZ25" s="1221"/>
      <c r="HA25" s="1221"/>
      <c r="HB25" s="1221"/>
      <c r="HC25" s="1221"/>
      <c r="HD25" s="1221"/>
      <c r="HE25" s="1221"/>
      <c r="HF25" s="1221"/>
      <c r="HG25" s="1221"/>
      <c r="HH25" s="1221"/>
      <c r="HI25" s="1221"/>
      <c r="HJ25" s="1221"/>
      <c r="HK25" s="1221"/>
      <c r="HL25" s="1221"/>
      <c r="HM25" s="1221"/>
      <c r="HN25" s="1221"/>
      <c r="HO25" s="1221"/>
      <c r="HP25" s="1221"/>
      <c r="HQ25" s="1221"/>
      <c r="HR25" s="1221"/>
      <c r="HS25" s="1221"/>
      <c r="HT25" s="1221"/>
      <c r="HU25" s="1221"/>
      <c r="HV25" s="1221"/>
      <c r="HW25" s="1221"/>
      <c r="HX25" s="1221"/>
      <c r="HY25" s="1221"/>
      <c r="HZ25" s="1221"/>
      <c r="IA25" s="1221"/>
      <c r="IB25" s="1221"/>
      <c r="IC25" s="1221"/>
      <c r="ID25" s="1221"/>
      <c r="IE25" s="1221"/>
      <c r="IF25" s="1221"/>
      <c r="IG25" s="1221"/>
      <c r="IH25" s="1221"/>
      <c r="II25" s="1221"/>
      <c r="IJ25" s="1221"/>
      <c r="IK25" s="1221"/>
      <c r="IL25" s="1221"/>
      <c r="IM25" s="1221"/>
      <c r="IN25" s="1221"/>
      <c r="IO25" s="1221"/>
      <c r="IP25" s="1221"/>
      <c r="IQ25" s="1221"/>
      <c r="IR25" s="1221"/>
      <c r="IS25" s="1221"/>
      <c r="IT25" s="1221"/>
      <c r="IU25" s="1221"/>
      <c r="IV25" s="1221"/>
      <c r="IW25" s="1221"/>
      <c r="IX25" s="1221"/>
      <c r="IY25" s="1221"/>
      <c r="IZ25" s="1221"/>
      <c r="JA25" s="1221"/>
      <c r="JB25" s="1221"/>
      <c r="JC25" s="1221"/>
      <c r="JD25" s="1221"/>
      <c r="JE25" s="1221"/>
      <c r="JF25" s="1221"/>
      <c r="JG25" s="1221"/>
      <c r="JH25" s="1221"/>
      <c r="JI25" s="1221"/>
      <c r="JJ25" s="1221"/>
      <c r="JK25" s="1221"/>
      <c r="JL25" s="1221"/>
      <c r="JM25" s="1221"/>
      <c r="JN25" s="1221"/>
      <c r="JO25" s="1221"/>
      <c r="JP25" s="1221"/>
      <c r="JQ25" s="1221"/>
      <c r="JR25" s="1221"/>
      <c r="JS25" s="1221"/>
      <c r="JT25" s="1221"/>
      <c r="JU25" s="1221"/>
      <c r="JV25" s="1221"/>
      <c r="JW25" s="1221"/>
      <c r="JX25" s="1221"/>
      <c r="JY25" s="1221"/>
      <c r="JZ25" s="1221"/>
      <c r="KA25" s="1221"/>
      <c r="KB25" s="1221"/>
      <c r="KC25" s="1221"/>
      <c r="KD25" s="1221"/>
      <c r="KE25" s="1221"/>
      <c r="KF25" s="1221"/>
      <c r="KG25" s="1221"/>
      <c r="KH25" s="1221"/>
      <c r="KI25" s="1221"/>
      <c r="KJ25" s="1221"/>
      <c r="KK25" s="1221"/>
      <c r="KL25" s="1221"/>
      <c r="KM25" s="1221"/>
      <c r="KN25" s="1221"/>
      <c r="KO25" s="1221"/>
      <c r="KP25" s="1221"/>
      <c r="KQ25" s="1221"/>
      <c r="KR25" s="1221"/>
      <c r="KS25" s="1221"/>
      <c r="KT25" s="1221"/>
      <c r="KU25" s="1221"/>
      <c r="KV25" s="1221"/>
      <c r="KW25" s="1221"/>
      <c r="KX25" s="1221"/>
      <c r="KY25" s="1221"/>
      <c r="KZ25" s="1221"/>
      <c r="LA25" s="1221"/>
      <c r="LB25" s="1221"/>
      <c r="LC25" s="1221"/>
      <c r="LD25" s="1221"/>
      <c r="LE25" s="1221"/>
      <c r="LF25" s="1221"/>
      <c r="LG25" s="1221"/>
      <c r="LH25" s="1221"/>
      <c r="LI25" s="1221"/>
      <c r="LJ25" s="1221"/>
      <c r="LK25" s="1221"/>
      <c r="LL25" s="1221"/>
      <c r="LM25" s="1221"/>
      <c r="LN25" s="1221"/>
      <c r="LO25" s="1221"/>
      <c r="LP25" s="1221"/>
      <c r="LQ25" s="1221"/>
      <c r="LR25" s="1221"/>
      <c r="LS25" s="1221"/>
      <c r="LT25" s="1221"/>
      <c r="LU25" s="1221"/>
      <c r="LV25" s="1221"/>
      <c r="LW25" s="1221"/>
      <c r="LX25" s="1221"/>
      <c r="LY25" s="1221"/>
      <c r="LZ25" s="1221"/>
      <c r="MA25" s="1221"/>
      <c r="MB25" s="1221"/>
      <c r="MC25" s="1221"/>
      <c r="MD25" s="1221"/>
      <c r="ME25" s="1221"/>
      <c r="MF25" s="1221"/>
      <c r="MG25" s="1221"/>
      <c r="MH25" s="1221"/>
      <c r="MI25" s="1221"/>
      <c r="MJ25" s="1221"/>
      <c r="MK25" s="1221"/>
      <c r="ML25" s="1221"/>
      <c r="MM25" s="1221"/>
      <c r="MN25" s="1221"/>
      <c r="MO25" s="1221"/>
      <c r="MP25" s="1221"/>
      <c r="MQ25" s="1221"/>
      <c r="MR25" s="1221"/>
      <c r="MS25" s="1221"/>
      <c r="MT25" s="1221"/>
      <c r="MU25" s="1221"/>
      <c r="MV25" s="1221"/>
      <c r="MW25" s="1221"/>
      <c r="MX25" s="1221"/>
      <c r="MY25" s="1221"/>
      <c r="MZ25" s="1221"/>
      <c r="NA25" s="1221"/>
      <c r="NB25" s="1221"/>
      <c r="NC25" s="1221"/>
      <c r="ND25" s="1221"/>
      <c r="NE25" s="1221"/>
      <c r="NF25" s="1221"/>
      <c r="NG25" s="1221"/>
      <c r="NH25" s="1221"/>
      <c r="NI25" s="1221"/>
      <c r="NJ25" s="1221"/>
      <c r="NK25" s="1221"/>
      <c r="NL25" s="1221"/>
      <c r="NM25" s="1221"/>
      <c r="NN25" s="1221"/>
      <c r="NO25" s="1221"/>
      <c r="NP25" s="1221"/>
      <c r="NQ25" s="1221"/>
      <c r="NR25" s="1221"/>
      <c r="NS25" s="1221"/>
      <c r="NT25" s="1221"/>
      <c r="NU25" s="1221"/>
      <c r="NV25" s="1221"/>
      <c r="NW25" s="1221"/>
      <c r="NX25" s="1221"/>
      <c r="NY25" s="1221"/>
      <c r="NZ25" s="1221"/>
      <c r="OA25" s="1221"/>
      <c r="OB25" s="1221"/>
      <c r="OC25" s="1221"/>
      <c r="OD25" s="1221"/>
      <c r="OE25" s="1221"/>
      <c r="OF25" s="1221"/>
      <c r="OG25" s="1221"/>
      <c r="OH25" s="1221"/>
      <c r="OI25" s="1221"/>
      <c r="OJ25" s="1221"/>
      <c r="OK25" s="1221"/>
      <c r="OL25" s="1221"/>
      <c r="OM25" s="1221"/>
      <c r="ON25" s="1221"/>
      <c r="OO25" s="1221"/>
      <c r="OP25" s="1221"/>
      <c r="OQ25" s="1221"/>
      <c r="OR25" s="1221"/>
      <c r="OS25" s="1221"/>
      <c r="OT25" s="1221"/>
      <c r="OU25" s="1221"/>
      <c r="OV25" s="1221"/>
      <c r="OW25" s="1221"/>
      <c r="OX25" s="1221"/>
      <c r="OY25" s="1221"/>
      <c r="OZ25" s="1221"/>
      <c r="PA25" s="1221"/>
      <c r="PB25" s="1221"/>
      <c r="PC25" s="1221"/>
      <c r="PD25" s="1221"/>
      <c r="PE25" s="1221"/>
      <c r="PF25" s="1221"/>
      <c r="PG25" s="1221"/>
      <c r="PH25" s="1221"/>
      <c r="PI25" s="1221"/>
      <c r="PJ25" s="1221"/>
      <c r="PK25" s="1221"/>
      <c r="PL25" s="1221"/>
      <c r="PM25" s="1221"/>
      <c r="PN25" s="1221"/>
      <c r="PO25" s="1221"/>
      <c r="PP25" s="1221"/>
      <c r="PQ25" s="1221"/>
      <c r="PR25" s="1221"/>
      <c r="PS25" s="1221"/>
      <c r="PT25" s="1221"/>
      <c r="PU25" s="1221"/>
      <c r="PV25" s="1221"/>
      <c r="PW25" s="1221"/>
      <c r="PX25" s="1221"/>
      <c r="PY25" s="1221"/>
      <c r="PZ25" s="1221"/>
      <c r="QA25" s="1221"/>
      <c r="QB25" s="1221"/>
      <c r="QC25" s="1221"/>
      <c r="QD25" s="1221"/>
      <c r="QE25" s="1221"/>
      <c r="QF25" s="1221"/>
      <c r="QG25" s="1221"/>
      <c r="QH25" s="1221"/>
      <c r="QI25" s="1221"/>
      <c r="QJ25" s="1221"/>
      <c r="QK25" s="1221"/>
      <c r="QL25" s="1221"/>
      <c r="QM25" s="1221"/>
      <c r="QN25" s="1221"/>
      <c r="QO25" s="1221"/>
      <c r="QP25" s="1221"/>
      <c r="QQ25" s="1221"/>
      <c r="QR25" s="1221"/>
      <c r="QS25" s="1221"/>
      <c r="QT25" s="1221"/>
      <c r="QU25" s="1221"/>
      <c r="QV25" s="1221"/>
      <c r="QW25" s="1221"/>
      <c r="QX25" s="1221"/>
      <c r="QY25" s="1221"/>
      <c r="QZ25" s="1221"/>
      <c r="RA25" s="1221"/>
      <c r="RB25" s="1221"/>
      <c r="RC25" s="1221"/>
      <c r="RD25" s="1221"/>
      <c r="RE25" s="1221"/>
      <c r="RF25" s="1221"/>
      <c r="RG25" s="1221"/>
      <c r="RH25" s="1221"/>
      <c r="RI25" s="1221"/>
      <c r="RJ25" s="1221"/>
      <c r="RK25" s="1221"/>
      <c r="RL25" s="1221"/>
      <c r="RM25" s="1221"/>
      <c r="RN25" s="1221"/>
      <c r="RO25" s="1221"/>
      <c r="RP25" s="1221"/>
      <c r="RQ25" s="1221"/>
      <c r="RR25" s="1221"/>
      <c r="RS25" s="1221"/>
      <c r="RT25" s="1221"/>
      <c r="RU25" s="1221"/>
      <c r="RV25" s="1221"/>
      <c r="RW25" s="1221"/>
      <c r="RX25" s="1221"/>
      <c r="RY25" s="1221"/>
      <c r="RZ25" s="1221"/>
      <c r="SA25" s="1221"/>
      <c r="SB25" s="1221"/>
      <c r="SC25" s="1221"/>
      <c r="SD25" s="1221"/>
      <c r="SE25" s="1221"/>
      <c r="SF25" s="1221"/>
      <c r="SG25" s="1221"/>
      <c r="SH25" s="1221"/>
      <c r="SI25" s="1221"/>
      <c r="SJ25" s="1221"/>
      <c r="SK25" s="1221"/>
      <c r="SL25" s="1221"/>
      <c r="SM25" s="1221"/>
      <c r="SN25" s="1221"/>
      <c r="SO25" s="1221"/>
      <c r="SP25" s="1221"/>
      <c r="SQ25" s="1221"/>
      <c r="SR25" s="1221"/>
      <c r="SS25" s="1221"/>
      <c r="ST25" s="1221"/>
      <c r="SU25" s="1221"/>
      <c r="SV25" s="1221"/>
      <c r="SW25" s="1221"/>
      <c r="SX25" s="1221"/>
      <c r="SY25" s="1221"/>
      <c r="SZ25" s="1221"/>
      <c r="TA25" s="1221"/>
      <c r="TB25" s="1221"/>
      <c r="TC25" s="1221"/>
      <c r="TD25" s="1221"/>
      <c r="TE25" s="1221"/>
      <c r="TF25" s="1221"/>
      <c r="TG25" s="1221"/>
      <c r="TH25" s="1221"/>
      <c r="TI25" s="1221"/>
      <c r="TJ25" s="1221"/>
      <c r="TK25" s="1221"/>
      <c r="TL25" s="1221"/>
      <c r="TM25" s="1221"/>
      <c r="TN25" s="1221"/>
      <c r="TO25" s="1221"/>
      <c r="TP25" s="1221"/>
      <c r="TQ25" s="1221"/>
      <c r="TR25" s="1221"/>
      <c r="TS25" s="1221"/>
      <c r="TT25" s="1221"/>
      <c r="TU25" s="1221"/>
      <c r="TV25" s="1221"/>
      <c r="TW25" s="1221"/>
      <c r="TX25" s="1221"/>
      <c r="TY25" s="1221"/>
      <c r="TZ25" s="1221"/>
      <c r="UA25" s="1221"/>
      <c r="UB25" s="1221"/>
      <c r="UC25" s="1221"/>
      <c r="UD25" s="1221"/>
      <c r="UE25" s="1221"/>
      <c r="UF25" s="1221"/>
      <c r="UG25" s="1221"/>
      <c r="UH25" s="1221"/>
      <c r="UI25" s="1221"/>
      <c r="UJ25" s="1221"/>
      <c r="UK25" s="1221"/>
      <c r="UL25" s="1221"/>
      <c r="UM25" s="1221"/>
      <c r="UN25" s="1221"/>
      <c r="UO25" s="1221"/>
      <c r="UP25" s="1221"/>
      <c r="UQ25" s="1221"/>
      <c r="UR25" s="1221"/>
      <c r="US25" s="1221"/>
      <c r="UT25" s="1221"/>
      <c r="UU25" s="1221"/>
      <c r="UV25" s="1221"/>
      <c r="UW25" s="1221"/>
      <c r="UX25" s="1221"/>
      <c r="UY25" s="1221"/>
      <c r="UZ25" s="1221"/>
      <c r="VA25" s="1221"/>
      <c r="VB25" s="1221"/>
      <c r="VC25" s="1221"/>
      <c r="VD25" s="1221"/>
      <c r="VE25" s="1221"/>
      <c r="VF25" s="1221"/>
      <c r="VG25" s="1221"/>
      <c r="VH25" s="1221"/>
      <c r="VI25" s="1221"/>
      <c r="VJ25" s="1221"/>
      <c r="VK25" s="1221"/>
      <c r="VL25" s="1221"/>
      <c r="VM25" s="1221"/>
      <c r="VN25" s="1221"/>
      <c r="VO25" s="1221"/>
      <c r="VP25" s="1221"/>
      <c r="VQ25" s="1221"/>
      <c r="VR25" s="1221"/>
      <c r="VS25" s="1221"/>
      <c r="VT25" s="1221"/>
      <c r="VU25" s="1221"/>
      <c r="VV25" s="1221"/>
      <c r="VW25" s="1221"/>
      <c r="VX25" s="1221"/>
      <c r="VY25" s="1221"/>
      <c r="VZ25" s="1221"/>
      <c r="WA25" s="1221"/>
      <c r="WB25" s="1221"/>
      <c r="WC25" s="1221"/>
      <c r="WD25" s="1221"/>
      <c r="WE25" s="1221"/>
      <c r="WF25" s="1221"/>
      <c r="WG25" s="1221"/>
      <c r="WH25" s="1221"/>
      <c r="WI25" s="1221"/>
      <c r="WJ25" s="1221"/>
      <c r="WK25" s="1221"/>
      <c r="WL25" s="1221"/>
      <c r="WM25" s="1221"/>
      <c r="WN25" s="1221"/>
      <c r="WO25" s="1221"/>
      <c r="WP25" s="1221"/>
      <c r="WQ25" s="1221"/>
      <c r="WR25" s="1221"/>
      <c r="WS25" s="1221"/>
      <c r="WT25" s="1221"/>
      <c r="WU25" s="1221"/>
      <c r="WV25" s="1221"/>
      <c r="WW25" s="1221"/>
      <c r="WX25" s="1221"/>
      <c r="WY25" s="1221"/>
      <c r="WZ25" s="1221"/>
      <c r="XA25" s="1221"/>
      <c r="XB25" s="1221"/>
      <c r="XC25" s="1221"/>
      <c r="XD25" s="1221"/>
      <c r="XE25" s="1221"/>
      <c r="XF25" s="1221"/>
      <c r="XG25" s="1221"/>
      <c r="XH25" s="1221"/>
      <c r="XI25" s="1221"/>
      <c r="XJ25" s="1221"/>
      <c r="XK25" s="1221"/>
      <c r="XL25" s="1221"/>
      <c r="XM25" s="1221"/>
      <c r="XN25" s="1221"/>
      <c r="XO25" s="1221"/>
      <c r="XP25" s="1221"/>
      <c r="XQ25" s="1221"/>
      <c r="XR25" s="1221"/>
      <c r="XS25" s="1221"/>
      <c r="XT25" s="1221"/>
      <c r="XU25" s="1221"/>
      <c r="XV25" s="1221"/>
      <c r="XW25" s="1221"/>
      <c r="XX25" s="1221"/>
      <c r="XY25" s="1221"/>
      <c r="XZ25" s="1221"/>
      <c r="YA25" s="1221"/>
      <c r="YB25" s="1221"/>
      <c r="YC25" s="1221"/>
      <c r="YD25" s="1221"/>
      <c r="YE25" s="1221"/>
      <c r="YF25" s="1221"/>
      <c r="YG25" s="1221"/>
      <c r="YH25" s="1221"/>
      <c r="YI25" s="1221"/>
      <c r="YJ25" s="1221"/>
      <c r="YK25" s="1221"/>
      <c r="YL25" s="1221"/>
      <c r="YM25" s="1221"/>
      <c r="YN25" s="1221"/>
      <c r="YO25" s="1221"/>
      <c r="YP25" s="1221"/>
      <c r="YQ25" s="1221"/>
      <c r="YR25" s="1221"/>
      <c r="YS25" s="1221"/>
      <c r="YT25" s="1221"/>
      <c r="YU25" s="1221"/>
      <c r="YV25" s="1221"/>
      <c r="YW25" s="1221"/>
      <c r="YX25" s="1221"/>
      <c r="YY25" s="1221"/>
      <c r="YZ25" s="1221"/>
      <c r="ZA25" s="1221"/>
      <c r="ZB25" s="1221"/>
      <c r="ZC25" s="1221"/>
      <c r="ZD25" s="1221"/>
      <c r="ZE25" s="1221"/>
      <c r="ZF25" s="1221"/>
      <c r="ZG25" s="1221"/>
      <c r="ZH25" s="1221"/>
      <c r="ZI25" s="1221"/>
      <c r="ZJ25" s="1221"/>
      <c r="ZK25" s="1221"/>
      <c r="ZL25" s="1221"/>
      <c r="ZM25" s="1221"/>
      <c r="ZN25" s="1221"/>
      <c r="ZO25" s="1221"/>
      <c r="ZP25" s="1221"/>
      <c r="ZQ25" s="1221"/>
      <c r="ZR25" s="1221"/>
      <c r="ZS25" s="1221"/>
      <c r="ZT25" s="1221"/>
      <c r="ZU25" s="1221"/>
      <c r="ZV25" s="1221"/>
      <c r="ZW25" s="1221"/>
      <c r="ZX25" s="1221"/>
      <c r="ZY25" s="1221"/>
      <c r="ZZ25" s="1221"/>
      <c r="AAA25" s="1221"/>
      <c r="AAB25" s="1221"/>
      <c r="AAC25" s="1221"/>
      <c r="AAD25" s="1221"/>
      <c r="AAE25" s="1221"/>
      <c r="AAF25" s="1221"/>
      <c r="AAG25" s="1221"/>
      <c r="AAH25" s="1221"/>
      <c r="AAI25" s="1221"/>
      <c r="AAJ25" s="1221"/>
      <c r="AAK25" s="1221"/>
      <c r="AAL25" s="1221"/>
      <c r="AAM25" s="1221"/>
      <c r="AAN25" s="1221"/>
      <c r="AAO25" s="1221"/>
      <c r="AAP25" s="1221"/>
      <c r="AAQ25" s="1221"/>
      <c r="AAR25" s="1221"/>
      <c r="AAS25" s="1221"/>
      <c r="AAT25" s="1221"/>
      <c r="AAU25" s="1221"/>
      <c r="AAV25" s="1221"/>
      <c r="AAW25" s="1221"/>
      <c r="AAX25" s="1221"/>
      <c r="AAY25" s="1221"/>
      <c r="AAZ25" s="1221"/>
      <c r="ABA25" s="1221"/>
      <c r="ABB25" s="1221"/>
      <c r="ABC25" s="1221"/>
      <c r="ABD25" s="1221"/>
      <c r="ABE25" s="1221"/>
      <c r="ABF25" s="1221"/>
      <c r="ABG25" s="1221"/>
      <c r="ABH25" s="1221"/>
      <c r="ABI25" s="1221"/>
      <c r="ABJ25" s="1221"/>
      <c r="ABK25" s="1221"/>
      <c r="ABL25" s="1221"/>
      <c r="ABM25" s="1221"/>
      <c r="ABN25" s="1221"/>
      <c r="ABO25" s="1221"/>
      <c r="ABP25" s="1221"/>
      <c r="ABQ25" s="1221"/>
      <c r="ABR25" s="1221"/>
      <c r="ABS25" s="1221"/>
      <c r="ABT25" s="1221"/>
      <c r="ABU25" s="1221"/>
      <c r="ABV25" s="1221"/>
      <c r="ABW25" s="1221"/>
      <c r="ABX25" s="1221"/>
      <c r="ABY25" s="1221"/>
      <c r="ABZ25" s="1221"/>
      <c r="ACA25" s="1221"/>
      <c r="ACB25" s="1221"/>
      <c r="ACC25" s="1221"/>
      <c r="ACD25" s="1221"/>
      <c r="ACE25" s="1221"/>
      <c r="ACF25" s="1221"/>
      <c r="ACG25" s="1221"/>
      <c r="ACH25" s="1221"/>
      <c r="ACI25" s="1221"/>
      <c r="ACJ25" s="1221"/>
      <c r="ACK25" s="1221"/>
      <c r="ACL25" s="1221"/>
      <c r="ACM25" s="1221"/>
      <c r="ACN25" s="1221"/>
      <c r="ACO25" s="1221"/>
      <c r="ACP25" s="1221"/>
      <c r="ACQ25" s="1221"/>
      <c r="ACR25" s="1221"/>
      <c r="ACS25" s="1221"/>
      <c r="ACT25" s="1221"/>
      <c r="ACU25" s="1221"/>
      <c r="ACV25" s="1221"/>
      <c r="ACW25" s="1221"/>
      <c r="ACX25" s="1221"/>
      <c r="ACY25" s="1221"/>
      <c r="ACZ25" s="1221"/>
      <c r="ADA25" s="1221"/>
      <c r="ADB25" s="1221"/>
      <c r="ADC25" s="1221"/>
      <c r="ADD25" s="1221"/>
      <c r="ADE25" s="1221"/>
      <c r="ADF25" s="1221"/>
      <c r="ADG25" s="1221"/>
      <c r="ADH25" s="1221"/>
      <c r="ADI25" s="1221"/>
      <c r="ADJ25" s="1221"/>
      <c r="ADK25" s="1221"/>
      <c r="ADL25" s="1221"/>
      <c r="ADM25" s="1221"/>
      <c r="ADN25" s="1221"/>
      <c r="ADO25" s="1221"/>
      <c r="ADP25" s="1221"/>
      <c r="ADQ25" s="1221"/>
      <c r="ADR25" s="1221"/>
      <c r="ADS25" s="1221"/>
      <c r="ADT25" s="1221"/>
      <c r="ADU25" s="1221"/>
      <c r="ADV25" s="1221"/>
      <c r="ADW25" s="1221"/>
      <c r="ADX25" s="1221"/>
      <c r="ADY25" s="1221"/>
      <c r="ADZ25" s="1221"/>
      <c r="AEA25" s="1221"/>
      <c r="AEB25" s="1221"/>
      <c r="AEC25" s="1221"/>
      <c r="AED25" s="1221"/>
      <c r="AEE25" s="1221"/>
      <c r="AEF25" s="1221"/>
      <c r="AEG25" s="1221"/>
      <c r="AEH25" s="1221"/>
      <c r="AEI25" s="1221"/>
      <c r="AEJ25" s="1221"/>
      <c r="AEK25" s="1221"/>
      <c r="AEL25" s="1221"/>
      <c r="AEM25" s="1221"/>
      <c r="AEN25" s="1221"/>
      <c r="AEO25" s="1221"/>
      <c r="AEP25" s="1221"/>
      <c r="AEQ25" s="1221"/>
      <c r="AER25" s="1221"/>
      <c r="AES25" s="1221"/>
      <c r="AET25" s="1221"/>
      <c r="AEU25" s="1221"/>
      <c r="AEV25" s="1221"/>
      <c r="AEW25" s="1221"/>
      <c r="AEX25" s="1221"/>
      <c r="AEY25" s="1221"/>
      <c r="AEZ25" s="1221"/>
      <c r="AFA25" s="1221"/>
      <c r="AFB25" s="1221"/>
      <c r="AFC25" s="1221"/>
      <c r="AFD25" s="1221"/>
      <c r="AFE25" s="1221"/>
      <c r="AFF25" s="1221"/>
      <c r="AFG25" s="1221"/>
      <c r="AFH25" s="1221"/>
      <c r="AFI25" s="1221"/>
      <c r="AFJ25" s="1221"/>
      <c r="AFK25" s="1221"/>
      <c r="AFL25" s="1221"/>
      <c r="AFM25" s="1221"/>
      <c r="AFN25" s="1221"/>
      <c r="AFO25" s="1221"/>
      <c r="AFP25" s="1221"/>
      <c r="AFQ25" s="1221"/>
      <c r="AFR25" s="1221"/>
      <c r="AFS25" s="1221"/>
      <c r="AFT25" s="1221"/>
      <c r="AFU25" s="1221"/>
      <c r="AFV25" s="1221"/>
      <c r="AFW25" s="1221"/>
      <c r="AFX25" s="1221"/>
      <c r="AFY25" s="1221"/>
      <c r="AFZ25" s="1221"/>
      <c r="AGA25" s="1221"/>
      <c r="AGB25" s="1221"/>
      <c r="AGC25" s="1221"/>
      <c r="AGD25" s="1221"/>
      <c r="AGE25" s="1221"/>
      <c r="AGF25" s="1221"/>
      <c r="AGG25" s="1221"/>
      <c r="AGH25" s="1221"/>
      <c r="AGI25" s="1221"/>
      <c r="AGJ25" s="1221"/>
      <c r="AGK25" s="1221"/>
      <c r="AGL25" s="1221"/>
      <c r="AGM25" s="1221"/>
      <c r="AGN25" s="1221"/>
      <c r="AGO25" s="1221"/>
      <c r="AGP25" s="1221"/>
      <c r="AGQ25" s="1221"/>
      <c r="AGR25" s="1221"/>
      <c r="AGS25" s="1221"/>
      <c r="AGT25" s="1221"/>
      <c r="AGU25" s="1221"/>
      <c r="AGV25" s="1221"/>
      <c r="AGW25" s="1221"/>
      <c r="AGX25" s="1221"/>
      <c r="AGY25" s="1221"/>
      <c r="AGZ25" s="1221"/>
      <c r="AHA25" s="1221"/>
      <c r="AHB25" s="1221"/>
      <c r="AHC25" s="1221"/>
      <c r="AHD25" s="1221"/>
      <c r="AHE25" s="1221"/>
      <c r="AHF25" s="1221"/>
      <c r="AHG25" s="1221"/>
      <c r="AHH25" s="1221"/>
      <c r="AHI25" s="1221"/>
      <c r="AHJ25" s="1221"/>
      <c r="AHK25" s="1221"/>
      <c r="AHL25" s="1221"/>
      <c r="AHM25" s="1221"/>
      <c r="AHN25" s="1221"/>
      <c r="AHO25" s="1221"/>
      <c r="AHP25" s="1221"/>
      <c r="AHQ25" s="1221"/>
      <c r="AHR25" s="1221"/>
      <c r="AHS25" s="1221"/>
      <c r="AHT25" s="1221"/>
      <c r="AHU25" s="1221"/>
      <c r="AHV25" s="1221"/>
      <c r="AHW25" s="1221"/>
      <c r="AHX25" s="1221"/>
      <c r="AHY25" s="1221"/>
      <c r="AHZ25" s="1221"/>
      <c r="AIA25" s="1221"/>
      <c r="AIB25" s="1221"/>
      <c r="AIC25" s="1221"/>
      <c r="AID25" s="1221"/>
      <c r="AIE25" s="1221"/>
      <c r="AIF25" s="1221"/>
      <c r="AIG25" s="1221"/>
      <c r="AIH25" s="1221"/>
      <c r="AII25" s="1221"/>
      <c r="AIJ25" s="1221"/>
      <c r="AIK25" s="1221"/>
      <c r="AIL25" s="1221"/>
      <c r="AIM25" s="1221"/>
      <c r="AIN25" s="1221"/>
      <c r="AIO25" s="1221"/>
      <c r="AIP25" s="1221"/>
      <c r="AIQ25" s="1221"/>
      <c r="AIR25" s="1221"/>
      <c r="AIS25" s="1221"/>
      <c r="AIT25" s="1221"/>
      <c r="AIU25" s="1221"/>
      <c r="AIV25" s="1221"/>
      <c r="AIW25" s="1221"/>
      <c r="AIX25" s="1221"/>
      <c r="AIY25" s="1221"/>
      <c r="AIZ25" s="1221"/>
      <c r="AJA25" s="1221"/>
      <c r="AJB25" s="1221"/>
      <c r="AJC25" s="1221"/>
      <c r="AJD25" s="1221"/>
      <c r="AJE25" s="1221"/>
      <c r="AJF25" s="1221"/>
      <c r="AJG25" s="1221"/>
      <c r="AJH25" s="1221"/>
      <c r="AJI25" s="1221"/>
      <c r="AJJ25" s="1221"/>
      <c r="AJK25" s="1221"/>
      <c r="AJL25" s="1221"/>
      <c r="AJM25" s="1221"/>
      <c r="AJN25" s="1221"/>
      <c r="AJO25" s="1221"/>
      <c r="AJP25" s="1221"/>
      <c r="AJQ25" s="1221"/>
      <c r="AJR25" s="1221"/>
      <c r="AJS25" s="1221"/>
      <c r="AJT25" s="1221"/>
      <c r="AJU25" s="1221"/>
      <c r="AJV25" s="1221"/>
      <c r="AJW25" s="1221"/>
      <c r="AJX25" s="1221"/>
      <c r="AJY25" s="1221"/>
      <c r="AJZ25" s="1221"/>
      <c r="AKA25" s="1221"/>
      <c r="AKB25" s="1221"/>
      <c r="AKC25" s="1221"/>
      <c r="AKD25" s="1221"/>
      <c r="AKE25" s="1221"/>
      <c r="AKF25" s="1221"/>
      <c r="AKG25" s="1221"/>
      <c r="AKH25" s="1221"/>
      <c r="AKI25" s="1221"/>
      <c r="AKJ25" s="1221"/>
      <c r="AKK25" s="1221"/>
      <c r="AKL25" s="1221"/>
      <c r="AKM25" s="1221"/>
      <c r="AKN25" s="1221"/>
      <c r="AKO25" s="1221"/>
      <c r="AKP25" s="1221"/>
      <c r="AKQ25" s="1221"/>
      <c r="AKR25" s="1221"/>
      <c r="AKS25" s="1221"/>
      <c r="AKT25" s="1221"/>
      <c r="AKU25" s="1221"/>
      <c r="AKV25" s="1221"/>
      <c r="AKW25" s="1221"/>
      <c r="AKX25" s="1221"/>
      <c r="AKY25" s="1221"/>
      <c r="AKZ25" s="1221"/>
      <c r="ALA25" s="1221"/>
      <c r="ALB25" s="1221"/>
      <c r="ALC25" s="1221"/>
      <c r="ALD25" s="1221"/>
      <c r="ALE25" s="1221"/>
      <c r="ALF25" s="1221"/>
      <c r="ALG25" s="1221"/>
      <c r="ALH25" s="1221"/>
      <c r="ALI25" s="1221"/>
      <c r="ALJ25" s="1221"/>
      <c r="ALK25" s="1221"/>
      <c r="ALL25" s="1221"/>
      <c r="ALM25" s="1221"/>
      <c r="ALN25" s="1221"/>
      <c r="ALO25" s="1221"/>
      <c r="ALP25" s="1221"/>
      <c r="ALQ25" s="1221"/>
      <c r="ALR25" s="1221"/>
      <c r="ALS25" s="1221"/>
      <c r="ALT25" s="1221"/>
      <c r="ALU25" s="1221"/>
      <c r="ALV25" s="1221"/>
      <c r="ALW25" s="1221"/>
      <c r="ALX25" s="1221"/>
      <c r="ALY25" s="1221"/>
      <c r="ALZ25" s="1221"/>
      <c r="AMA25" s="1221"/>
      <c r="AMB25" s="1221"/>
      <c r="AMC25" s="1221"/>
      <c r="AMD25" s="1221"/>
      <c r="AME25" s="1221"/>
      <c r="AMF25" s="1221"/>
      <c r="AMG25" s="1221"/>
      <c r="AMH25" s="1221"/>
      <c r="AMI25" s="1221"/>
      <c r="AMJ25" s="1221"/>
      <c r="AMK25" s="1221"/>
      <c r="AML25" s="1221"/>
      <c r="AMM25" s="1221"/>
      <c r="AMN25" s="1221"/>
      <c r="AMO25" s="1221"/>
      <c r="AMP25" s="1221"/>
      <c r="AMQ25" s="1221"/>
      <c r="AMR25" s="1221"/>
      <c r="AMS25" s="1221"/>
      <c r="AMT25" s="1221"/>
      <c r="AMU25" s="1221"/>
      <c r="AMV25" s="1221"/>
      <c r="AMW25" s="1221"/>
      <c r="AMX25" s="1221"/>
      <c r="AMY25" s="1221"/>
      <c r="AMZ25" s="1221"/>
      <c r="ANA25" s="1221"/>
      <c r="ANB25" s="1221"/>
      <c r="ANC25" s="1221"/>
      <c r="AND25" s="1221"/>
      <c r="ANE25" s="1221"/>
      <c r="ANF25" s="1221"/>
      <c r="ANG25" s="1221"/>
      <c r="ANH25" s="1221"/>
      <c r="ANI25" s="1221"/>
      <c r="ANJ25" s="1221"/>
      <c r="ANK25" s="1221"/>
      <c r="ANL25" s="1221"/>
      <c r="ANM25" s="1221"/>
      <c r="ANN25" s="1221"/>
      <c r="ANO25" s="1221"/>
      <c r="ANP25" s="1221"/>
      <c r="ANQ25" s="1221"/>
      <c r="ANR25" s="1221"/>
      <c r="ANS25" s="1221"/>
      <c r="ANT25" s="1221"/>
      <c r="ANU25" s="1221"/>
      <c r="ANV25" s="1221"/>
      <c r="ANW25" s="1221"/>
      <c r="ANX25" s="1221"/>
      <c r="ANY25" s="1221"/>
      <c r="ANZ25" s="1221"/>
      <c r="AOA25" s="1221"/>
      <c r="AOB25" s="1221"/>
      <c r="AOC25" s="1221"/>
      <c r="AOD25" s="1221"/>
      <c r="AOE25" s="1221"/>
      <c r="AOF25" s="1221"/>
      <c r="AOG25" s="1221"/>
      <c r="AOH25" s="1221"/>
      <c r="AOI25" s="1221"/>
      <c r="AOJ25" s="1221"/>
      <c r="AOK25" s="1221"/>
      <c r="AOL25" s="1221"/>
      <c r="AOM25" s="1221"/>
      <c r="AON25" s="1221"/>
      <c r="AOO25" s="1221"/>
      <c r="AOP25" s="1221"/>
      <c r="AOQ25" s="1221"/>
      <c r="AOR25" s="1221"/>
      <c r="AOS25" s="1221"/>
      <c r="AOT25" s="1221"/>
      <c r="AOU25" s="1221"/>
      <c r="AOV25" s="1221"/>
      <c r="AOW25" s="1221"/>
      <c r="AOX25" s="1221"/>
      <c r="AOY25" s="1221"/>
      <c r="AOZ25" s="1221"/>
      <c r="APA25" s="1221"/>
      <c r="APB25" s="1221"/>
      <c r="APC25" s="1221"/>
      <c r="APD25" s="1221"/>
      <c r="APE25" s="1221"/>
      <c r="APF25" s="1221"/>
      <c r="APG25" s="1221"/>
      <c r="APH25" s="1221"/>
      <c r="API25" s="1221"/>
      <c r="APJ25" s="1221"/>
      <c r="APK25" s="1221"/>
      <c r="APL25" s="1221"/>
      <c r="APM25" s="1221"/>
      <c r="APN25" s="1221"/>
      <c r="APO25" s="1221"/>
      <c r="APP25" s="1221"/>
      <c r="APQ25" s="1221"/>
      <c r="APR25" s="1221"/>
      <c r="APS25" s="1221"/>
      <c r="APT25" s="1221"/>
      <c r="APU25" s="1221"/>
      <c r="APV25" s="1221"/>
      <c r="APW25" s="1221"/>
      <c r="APX25" s="1221"/>
      <c r="APY25" s="1221"/>
      <c r="APZ25" s="1221"/>
      <c r="AQA25" s="1221"/>
      <c r="AQB25" s="1221"/>
      <c r="AQC25" s="1221"/>
      <c r="AQD25" s="1221"/>
      <c r="AQE25" s="1221"/>
      <c r="AQF25" s="1221"/>
      <c r="AQG25" s="1221"/>
      <c r="AQH25" s="1221"/>
      <c r="AQI25" s="1221"/>
      <c r="AQJ25" s="1221"/>
      <c r="AQK25" s="1221"/>
      <c r="AQL25" s="1221"/>
      <c r="AQM25" s="1221"/>
      <c r="AQN25" s="1221"/>
      <c r="AQO25" s="1221"/>
      <c r="AQP25" s="1221"/>
      <c r="AQQ25" s="1221"/>
      <c r="AQR25" s="1221"/>
      <c r="AQS25" s="1221"/>
      <c r="AQT25" s="1221"/>
      <c r="AQU25" s="1221"/>
      <c r="AQV25" s="1221"/>
      <c r="AQW25" s="1221"/>
      <c r="AQX25" s="1221"/>
      <c r="AQY25" s="1221"/>
      <c r="AQZ25" s="1221"/>
      <c r="ARA25" s="1221"/>
      <c r="ARB25" s="1221"/>
      <c r="ARC25" s="1221"/>
      <c r="ARD25" s="1221"/>
      <c r="ARE25" s="1221"/>
      <c r="ARF25" s="1221"/>
      <c r="ARG25" s="1221"/>
      <c r="ARH25" s="1221"/>
      <c r="ARI25" s="1221"/>
      <c r="ARJ25" s="1221"/>
      <c r="ARK25" s="1221"/>
      <c r="ARL25" s="1221"/>
      <c r="ARM25" s="1221"/>
      <c r="ARN25" s="1221"/>
      <c r="ARO25" s="1221"/>
      <c r="ARP25" s="1221"/>
      <c r="ARQ25" s="1221"/>
      <c r="ARR25" s="1221"/>
      <c r="ARS25" s="1221"/>
      <c r="ART25" s="1221"/>
      <c r="ARU25" s="1221"/>
      <c r="ARV25" s="1221"/>
      <c r="ARW25" s="1221"/>
      <c r="ARX25" s="1221"/>
      <c r="ARY25" s="1221"/>
      <c r="ARZ25" s="1221"/>
      <c r="ASA25" s="1221"/>
      <c r="ASB25" s="1221"/>
      <c r="ASC25" s="1221"/>
      <c r="ASD25" s="1221"/>
      <c r="ASE25" s="1221"/>
      <c r="ASF25" s="1221"/>
      <c r="ASG25" s="1221"/>
      <c r="ASH25" s="1221"/>
      <c r="ASI25" s="1221"/>
      <c r="ASJ25" s="1221"/>
      <c r="ASK25" s="1221"/>
      <c r="ASL25" s="1221"/>
      <c r="ASM25" s="1221"/>
      <c r="ASN25" s="1221"/>
      <c r="ASO25" s="1221"/>
      <c r="ASP25" s="1221"/>
      <c r="ASQ25" s="1221"/>
      <c r="ASR25" s="1221"/>
      <c r="ASS25" s="1221"/>
      <c r="AST25" s="1221"/>
      <c r="ASU25" s="1221"/>
      <c r="ASV25" s="1221"/>
      <c r="ASW25" s="1221"/>
      <c r="ASX25" s="1221"/>
      <c r="ASY25" s="1221"/>
      <c r="ASZ25" s="1221"/>
      <c r="ATA25" s="1221"/>
      <c r="ATB25" s="1221"/>
      <c r="ATC25" s="1221"/>
      <c r="ATD25" s="1221"/>
      <c r="ATE25" s="1221"/>
      <c r="ATF25" s="1221"/>
      <c r="ATG25" s="1221"/>
      <c r="ATH25" s="1221"/>
      <c r="ATI25" s="1221"/>
      <c r="ATJ25" s="1221"/>
      <c r="ATK25" s="1221"/>
      <c r="ATL25" s="1221"/>
      <c r="ATM25" s="1221"/>
      <c r="ATN25" s="1221"/>
      <c r="ATO25" s="1221"/>
      <c r="ATP25" s="1221"/>
      <c r="ATQ25" s="1221"/>
      <c r="ATR25" s="1221"/>
      <c r="ATS25" s="1221"/>
      <c r="ATT25" s="1221"/>
      <c r="ATU25" s="1221"/>
      <c r="ATV25" s="1221"/>
      <c r="ATW25" s="1221"/>
      <c r="ATX25" s="1221"/>
      <c r="ATY25" s="1221"/>
      <c r="ATZ25" s="1221"/>
      <c r="AUA25" s="1221"/>
      <c r="AUB25" s="1221"/>
      <c r="AUC25" s="1221"/>
      <c r="AUD25" s="1221"/>
      <c r="AUE25" s="1221"/>
      <c r="AUF25" s="1221"/>
      <c r="AUG25" s="1221"/>
      <c r="AUH25" s="1221"/>
      <c r="AUI25" s="1221"/>
      <c r="AUJ25" s="1221"/>
      <c r="AUK25" s="1221"/>
      <c r="AUL25" s="1221"/>
      <c r="AUM25" s="1221"/>
      <c r="AUN25" s="1221"/>
      <c r="AUO25" s="1221"/>
      <c r="AUP25" s="1221"/>
      <c r="AUQ25" s="1221"/>
      <c r="AUR25" s="1221"/>
      <c r="AUS25" s="1221"/>
      <c r="AUT25" s="1221"/>
      <c r="AUU25" s="1221"/>
      <c r="AUV25" s="1221"/>
      <c r="AUW25" s="1221"/>
      <c r="AUX25" s="1221"/>
      <c r="AUY25" s="1221"/>
      <c r="AUZ25" s="1221"/>
      <c r="AVA25" s="1221"/>
      <c r="AVB25" s="1221"/>
      <c r="AVC25" s="1221"/>
      <c r="AVD25" s="1221"/>
      <c r="AVE25" s="1221"/>
      <c r="AVF25" s="1221"/>
      <c r="AVG25" s="1221"/>
      <c r="AVH25" s="1221"/>
      <c r="AVI25" s="1221"/>
      <c r="AVJ25" s="1221"/>
      <c r="AVK25" s="1221"/>
      <c r="AVL25" s="1221"/>
      <c r="AVM25" s="1221"/>
      <c r="AVN25" s="1221"/>
      <c r="AVO25" s="1221"/>
      <c r="AVP25" s="1221"/>
      <c r="AVQ25" s="1221"/>
      <c r="AVR25" s="1221"/>
      <c r="AVS25" s="1221"/>
      <c r="AVT25" s="1221"/>
      <c r="AVU25" s="1221"/>
      <c r="AVV25" s="1221"/>
      <c r="AVW25" s="1221"/>
      <c r="AVX25" s="1221"/>
      <c r="AVY25" s="1221"/>
      <c r="AVZ25" s="1221"/>
      <c r="AWA25" s="1221"/>
      <c r="AWB25" s="1221"/>
      <c r="AWC25" s="1221"/>
      <c r="AWD25" s="1221"/>
      <c r="AWE25" s="1221"/>
      <c r="AWF25" s="1221"/>
      <c r="AWG25" s="1221"/>
      <c r="AWH25" s="1221"/>
      <c r="AWI25" s="1221"/>
      <c r="AWJ25" s="1221"/>
      <c r="AWK25" s="1221"/>
      <c r="AWL25" s="1221"/>
      <c r="AWM25" s="1221"/>
      <c r="AWN25" s="1221"/>
      <c r="AWO25" s="1221"/>
      <c r="AWP25" s="1221"/>
      <c r="AWQ25" s="1221"/>
      <c r="AWR25" s="1221"/>
      <c r="AWS25" s="1221"/>
      <c r="AWT25" s="1221"/>
      <c r="AWU25" s="1221"/>
      <c r="AWV25" s="1221"/>
      <c r="AWW25" s="1221"/>
      <c r="AWX25" s="1221"/>
      <c r="AWY25" s="1221"/>
      <c r="AWZ25" s="1221"/>
      <c r="AXA25" s="1221"/>
      <c r="AXB25" s="1221"/>
      <c r="AXC25" s="1221"/>
      <c r="AXD25" s="1221"/>
      <c r="AXE25" s="1221"/>
      <c r="AXF25" s="1221"/>
      <c r="AXG25" s="1221"/>
      <c r="AXH25" s="1221"/>
      <c r="AXI25" s="1221"/>
      <c r="AXJ25" s="1221"/>
      <c r="AXK25" s="1221"/>
      <c r="AXL25" s="1221"/>
      <c r="AXM25" s="1221"/>
      <c r="AXN25" s="1221"/>
      <c r="AXO25" s="1221"/>
      <c r="AXP25" s="1221"/>
      <c r="AXQ25" s="1221"/>
      <c r="AXR25" s="1221"/>
      <c r="AXS25" s="1221"/>
      <c r="AXT25" s="1221"/>
      <c r="AXU25" s="1221"/>
      <c r="AXV25" s="1221"/>
      <c r="AXW25" s="1221"/>
      <c r="AXX25" s="1221"/>
      <c r="AXY25" s="1221"/>
      <c r="AXZ25" s="1221"/>
      <c r="AYA25" s="1221"/>
      <c r="AYB25" s="1221"/>
      <c r="AYC25" s="1221"/>
      <c r="AYD25" s="1221"/>
      <c r="AYE25" s="1221"/>
      <c r="AYF25" s="1221"/>
      <c r="AYG25" s="1221"/>
      <c r="AYH25" s="1221"/>
      <c r="AYI25" s="1221"/>
      <c r="AYJ25" s="1221"/>
      <c r="AYK25" s="1221"/>
      <c r="AYL25" s="1221"/>
      <c r="AYM25" s="1221"/>
      <c r="AYN25" s="1221"/>
      <c r="AYO25" s="1221"/>
      <c r="AYP25" s="1221"/>
      <c r="AYQ25" s="1221"/>
      <c r="AYR25" s="1221"/>
      <c r="AYS25" s="1221"/>
      <c r="AYT25" s="1221"/>
      <c r="AYU25" s="1221"/>
      <c r="AYV25" s="1221"/>
      <c r="AYW25" s="1221"/>
      <c r="AYX25" s="1221"/>
      <c r="AYY25" s="1221"/>
      <c r="AYZ25" s="1221"/>
      <c r="AZA25" s="1221"/>
      <c r="AZB25" s="1221"/>
      <c r="AZC25" s="1221"/>
      <c r="AZD25" s="1221"/>
      <c r="AZE25" s="1221"/>
      <c r="AZF25" s="1221"/>
      <c r="AZG25" s="1221"/>
      <c r="AZH25" s="1221"/>
      <c r="AZI25" s="1221"/>
      <c r="AZJ25" s="1221"/>
      <c r="AZK25" s="1221"/>
      <c r="AZL25" s="1221"/>
      <c r="AZM25" s="1221"/>
      <c r="AZN25" s="1221"/>
      <c r="AZO25" s="1221"/>
      <c r="AZP25" s="1221"/>
      <c r="AZQ25" s="1221"/>
      <c r="AZR25" s="1221"/>
      <c r="AZS25" s="1221"/>
      <c r="AZT25" s="1221"/>
      <c r="AZU25" s="1221"/>
      <c r="AZV25" s="1221"/>
      <c r="AZW25" s="1221"/>
      <c r="AZX25" s="1221"/>
      <c r="AZY25" s="1221"/>
      <c r="AZZ25" s="1221"/>
      <c r="BAA25" s="1221"/>
      <c r="BAB25" s="1221"/>
      <c r="BAC25" s="1221"/>
      <c r="BAD25" s="1221"/>
      <c r="BAE25" s="1221"/>
      <c r="BAF25" s="1221"/>
      <c r="BAG25" s="1221"/>
      <c r="BAH25" s="1221"/>
      <c r="BAI25" s="1221"/>
      <c r="BAJ25" s="1221"/>
      <c r="BAK25" s="1221"/>
      <c r="BAL25" s="1221"/>
      <c r="BAM25" s="1221"/>
      <c r="BAN25" s="1221"/>
      <c r="BAO25" s="1221"/>
      <c r="BAP25" s="1221"/>
      <c r="BAQ25" s="1221"/>
      <c r="BAR25" s="1221"/>
      <c r="BAS25" s="1221"/>
      <c r="BAT25" s="1221"/>
      <c r="BAU25" s="1221"/>
      <c r="BAV25" s="1221"/>
      <c r="BAW25" s="1221"/>
      <c r="BAX25" s="1221"/>
      <c r="BAY25" s="1221"/>
      <c r="BAZ25" s="1221"/>
      <c r="BBA25" s="1221"/>
      <c r="BBB25" s="1221"/>
      <c r="BBC25" s="1221"/>
      <c r="BBD25" s="1221"/>
      <c r="BBE25" s="1221"/>
      <c r="BBF25" s="1221"/>
      <c r="BBG25" s="1221"/>
      <c r="BBH25" s="1221"/>
      <c r="BBI25" s="1221"/>
      <c r="BBJ25" s="1221"/>
      <c r="BBK25" s="1221"/>
      <c r="BBL25" s="1221"/>
      <c r="BBM25" s="1221"/>
      <c r="BBN25" s="1221"/>
      <c r="BBO25" s="1221"/>
      <c r="BBP25" s="1221"/>
      <c r="BBQ25" s="1221"/>
      <c r="BBR25" s="1221"/>
      <c r="BBS25" s="1221"/>
      <c r="BBT25" s="1221"/>
      <c r="BBU25" s="1221"/>
      <c r="BBV25" s="1221"/>
      <c r="BBW25" s="1221"/>
      <c r="BBX25" s="1221"/>
      <c r="BBY25" s="1221"/>
      <c r="BBZ25" s="1221"/>
      <c r="BCA25" s="1221"/>
      <c r="BCB25" s="1221"/>
      <c r="BCC25" s="1221"/>
      <c r="BCD25" s="1221"/>
      <c r="BCE25" s="1221"/>
      <c r="BCF25" s="1221"/>
      <c r="BCG25" s="1221"/>
      <c r="BCH25" s="1221"/>
      <c r="BCI25" s="1221"/>
      <c r="BCJ25" s="1221"/>
      <c r="BCK25" s="1221"/>
      <c r="BCL25" s="1221"/>
      <c r="BCM25" s="1221"/>
      <c r="BCN25" s="1221"/>
      <c r="BCO25" s="1221"/>
      <c r="BCP25" s="1221"/>
      <c r="BCQ25" s="1221"/>
      <c r="BCR25" s="1221"/>
      <c r="BCS25" s="1221"/>
      <c r="BCT25" s="1221"/>
      <c r="BCU25" s="1221"/>
      <c r="BCV25" s="1221"/>
      <c r="BCW25" s="1221"/>
      <c r="BCX25" s="1221"/>
      <c r="BCY25" s="1221"/>
      <c r="BCZ25" s="1221"/>
      <c r="BDA25" s="1221"/>
      <c r="BDB25" s="1221"/>
      <c r="BDC25" s="1221"/>
      <c r="BDD25" s="1221"/>
      <c r="BDE25" s="1221"/>
      <c r="BDF25" s="1221"/>
      <c r="BDG25" s="1221"/>
      <c r="BDH25" s="1221"/>
      <c r="BDI25" s="1221"/>
      <c r="BDJ25" s="1221"/>
      <c r="BDK25" s="1221"/>
      <c r="BDL25" s="1221"/>
      <c r="BDM25" s="1221"/>
      <c r="BDN25" s="1221"/>
      <c r="BDO25" s="1221"/>
      <c r="BDP25" s="1221"/>
      <c r="BDQ25" s="1221"/>
      <c r="BDR25" s="1221"/>
      <c r="BDS25" s="1221"/>
      <c r="BDT25" s="1221"/>
      <c r="BDU25" s="1221"/>
      <c r="BDV25" s="1221"/>
      <c r="BDW25" s="1221"/>
      <c r="BDX25" s="1221"/>
      <c r="BDY25" s="1221"/>
      <c r="BDZ25" s="1221"/>
      <c r="BEA25" s="1221"/>
      <c r="BEB25" s="1221"/>
      <c r="BEC25" s="1221"/>
      <c r="BED25" s="1221"/>
      <c r="BEE25" s="1221"/>
      <c r="BEF25" s="1221"/>
      <c r="BEG25" s="1221"/>
      <c r="BEH25" s="1221"/>
      <c r="BEI25" s="1221"/>
      <c r="BEJ25" s="1221"/>
      <c r="BEK25" s="1221"/>
      <c r="BEL25" s="1221"/>
      <c r="BEM25" s="1221"/>
      <c r="BEN25" s="1221"/>
      <c r="BEO25" s="1221"/>
      <c r="BEP25" s="1221"/>
      <c r="BEQ25" s="1221"/>
      <c r="BER25" s="1221"/>
      <c r="BES25" s="1221"/>
      <c r="BET25" s="1221"/>
      <c r="BEU25" s="1221"/>
      <c r="BEV25" s="1221"/>
      <c r="BEW25" s="1221"/>
      <c r="BEX25" s="1221"/>
      <c r="BEY25" s="1221"/>
      <c r="BEZ25" s="1221"/>
      <c r="BFA25" s="1221"/>
      <c r="BFB25" s="1221"/>
      <c r="BFC25" s="1221"/>
      <c r="BFD25" s="1221"/>
      <c r="BFE25" s="1221"/>
      <c r="BFF25" s="1221"/>
      <c r="BFG25" s="1221"/>
      <c r="BFH25" s="1221"/>
      <c r="BFI25" s="1221"/>
      <c r="BFJ25" s="1221"/>
      <c r="BFK25" s="1221"/>
      <c r="BFL25" s="1221"/>
      <c r="BFM25" s="1221"/>
      <c r="BFN25" s="1221"/>
      <c r="BFO25" s="1221"/>
      <c r="BFP25" s="1221"/>
      <c r="BFQ25" s="1221"/>
      <c r="BFR25" s="1221"/>
      <c r="BFS25" s="1221"/>
      <c r="BFT25" s="1221"/>
      <c r="BFU25" s="1221"/>
      <c r="BFV25" s="1221"/>
      <c r="BFW25" s="1221"/>
      <c r="BFX25" s="1221"/>
      <c r="BFY25" s="1221"/>
      <c r="BFZ25" s="1221"/>
      <c r="BGA25" s="1221"/>
      <c r="BGB25" s="1221"/>
      <c r="BGC25" s="1221"/>
      <c r="BGD25" s="1221"/>
      <c r="BGE25" s="1221"/>
      <c r="BGF25" s="1221"/>
      <c r="BGG25" s="1221"/>
      <c r="BGH25" s="1221"/>
      <c r="BGI25" s="1221"/>
      <c r="BGJ25" s="1221"/>
      <c r="BGK25" s="1221"/>
      <c r="BGL25" s="1221"/>
      <c r="BGM25" s="1221"/>
      <c r="BGN25" s="1221"/>
      <c r="BGO25" s="1221"/>
      <c r="BGP25" s="1221"/>
      <c r="BGQ25" s="1221"/>
      <c r="BGR25" s="1221"/>
      <c r="BGS25" s="1221"/>
      <c r="BGT25" s="1221"/>
      <c r="BGU25" s="1221"/>
      <c r="BGV25" s="1221"/>
      <c r="BGW25" s="1221"/>
      <c r="BGX25" s="1221"/>
      <c r="BGY25" s="1221"/>
      <c r="BGZ25" s="1221"/>
      <c r="BHA25" s="1221"/>
      <c r="BHB25" s="1221"/>
      <c r="BHC25" s="1221"/>
      <c r="BHD25" s="1221"/>
      <c r="BHE25" s="1221"/>
      <c r="BHF25" s="1221"/>
      <c r="BHG25" s="1221"/>
      <c r="BHH25" s="1221"/>
      <c r="BHI25" s="1221"/>
      <c r="BHJ25" s="1221"/>
      <c r="BHK25" s="1221"/>
      <c r="BHL25" s="1221"/>
      <c r="BHM25" s="1221"/>
      <c r="BHN25" s="1221"/>
      <c r="BHO25" s="1221"/>
      <c r="BHP25" s="1221"/>
      <c r="BHQ25" s="1221"/>
      <c r="BHR25" s="1221"/>
      <c r="BHS25" s="1221"/>
      <c r="BHT25" s="1221"/>
      <c r="BHU25" s="1221"/>
      <c r="BHV25" s="1221"/>
      <c r="BHW25" s="1221"/>
      <c r="BHX25" s="1221"/>
      <c r="BHY25" s="1221"/>
      <c r="BHZ25" s="1221"/>
      <c r="BIA25" s="1221"/>
      <c r="BIB25" s="1221"/>
      <c r="BIC25" s="1221"/>
      <c r="BID25" s="1221"/>
      <c r="BIE25" s="1221"/>
      <c r="BIF25" s="1221"/>
      <c r="BIG25" s="1221"/>
      <c r="BIH25" s="1221"/>
      <c r="BII25" s="1221"/>
      <c r="BIJ25" s="1221"/>
      <c r="BIK25" s="1221"/>
      <c r="BIL25" s="1221"/>
      <c r="BIM25" s="1221"/>
      <c r="BIN25" s="1221"/>
      <c r="BIO25" s="1221"/>
      <c r="BIP25" s="1221"/>
      <c r="BIQ25" s="1221"/>
      <c r="BIR25" s="1221"/>
      <c r="BIS25" s="1221"/>
      <c r="BIT25" s="1221"/>
      <c r="BIU25" s="1221"/>
      <c r="BIV25" s="1221"/>
      <c r="BIW25" s="1221"/>
      <c r="BIX25" s="1221"/>
      <c r="BIY25" s="1221"/>
      <c r="BIZ25" s="1221"/>
      <c r="BJA25" s="1221"/>
      <c r="BJB25" s="1221"/>
      <c r="BJC25" s="1221"/>
      <c r="BJD25" s="1221"/>
      <c r="BJE25" s="1221"/>
      <c r="BJF25" s="1221"/>
      <c r="BJG25" s="1221"/>
      <c r="BJH25" s="1221"/>
      <c r="BJI25" s="1221"/>
      <c r="BJJ25" s="1221"/>
      <c r="BJK25" s="1221"/>
      <c r="BJL25" s="1221"/>
      <c r="BJM25" s="1221"/>
      <c r="BJN25" s="1221"/>
      <c r="BJO25" s="1221"/>
      <c r="BJP25" s="1221"/>
      <c r="BJQ25" s="1221"/>
      <c r="BJR25" s="1221"/>
      <c r="BJS25" s="1221"/>
      <c r="BJT25" s="1221"/>
      <c r="BJU25" s="1221"/>
      <c r="BJV25" s="1221"/>
      <c r="BJW25" s="1221"/>
      <c r="BJX25" s="1221"/>
      <c r="BJY25" s="1221"/>
      <c r="BJZ25" s="1221"/>
      <c r="BKA25" s="1221"/>
      <c r="BKB25" s="1221"/>
      <c r="BKC25" s="1221"/>
      <c r="BKD25" s="1221"/>
      <c r="BKE25" s="1221"/>
      <c r="BKF25" s="1221"/>
      <c r="BKG25" s="1221"/>
      <c r="BKH25" s="1221"/>
      <c r="BKI25" s="1221"/>
      <c r="BKJ25" s="1221"/>
      <c r="BKK25" s="1221"/>
      <c r="BKL25" s="1221"/>
      <c r="BKM25" s="1221"/>
      <c r="BKN25" s="1221"/>
      <c r="BKO25" s="1221"/>
      <c r="BKP25" s="1221"/>
      <c r="BKQ25" s="1221"/>
      <c r="BKR25" s="1221"/>
      <c r="BKS25" s="1221"/>
      <c r="BKT25" s="1221"/>
      <c r="BKU25" s="1221"/>
      <c r="BKV25" s="1221"/>
      <c r="BKW25" s="1221"/>
      <c r="BKX25" s="1221"/>
      <c r="BKY25" s="1221"/>
      <c r="BKZ25" s="1221"/>
      <c r="BLA25" s="1221"/>
      <c r="BLB25" s="1221"/>
      <c r="BLC25" s="1221"/>
      <c r="BLD25" s="1221"/>
      <c r="BLE25" s="1221"/>
      <c r="BLF25" s="1221"/>
      <c r="BLG25" s="1221"/>
      <c r="BLH25" s="1221"/>
      <c r="BLI25" s="1221"/>
      <c r="BLJ25" s="1221"/>
      <c r="BLK25" s="1221"/>
      <c r="BLL25" s="1221"/>
      <c r="BLM25" s="1221"/>
      <c r="BLN25" s="1221"/>
      <c r="BLO25" s="1221"/>
      <c r="BLP25" s="1221"/>
      <c r="BLQ25" s="1221"/>
      <c r="BLR25" s="1221"/>
      <c r="BLS25" s="1221"/>
      <c r="BLT25" s="1221"/>
      <c r="BLU25" s="1221"/>
      <c r="BLV25" s="1221"/>
      <c r="BLW25" s="1221"/>
      <c r="BLX25" s="1221"/>
      <c r="BLY25" s="1221"/>
      <c r="BLZ25" s="1221"/>
      <c r="BMA25" s="1221"/>
      <c r="BMB25" s="1221"/>
      <c r="BMC25" s="1221"/>
      <c r="BMD25" s="1221"/>
      <c r="BME25" s="1221"/>
      <c r="BMF25" s="1221"/>
      <c r="BMG25" s="1221"/>
      <c r="BMH25" s="1221"/>
      <c r="BMI25" s="1221"/>
      <c r="BMJ25" s="1221"/>
      <c r="BMK25" s="1221"/>
      <c r="BML25" s="1221"/>
      <c r="BMM25" s="1221"/>
      <c r="BMN25" s="1221"/>
      <c r="BMO25" s="1221"/>
      <c r="BMP25" s="1221"/>
      <c r="BMQ25" s="1221"/>
      <c r="BMR25" s="1221"/>
      <c r="BMS25" s="1221"/>
      <c r="BMT25" s="1221"/>
      <c r="BMU25" s="1221"/>
      <c r="BMV25" s="1221"/>
      <c r="BMW25" s="1221"/>
      <c r="BMX25" s="1221"/>
      <c r="BMY25" s="1221"/>
      <c r="BMZ25" s="1221"/>
      <c r="BNA25" s="1221"/>
      <c r="BNB25" s="1221"/>
      <c r="BNC25" s="1221"/>
      <c r="BND25" s="1221"/>
      <c r="BNE25" s="1221"/>
      <c r="BNF25" s="1221"/>
      <c r="BNG25" s="1221"/>
      <c r="BNH25" s="1221"/>
      <c r="BNI25" s="1221"/>
      <c r="BNJ25" s="1221"/>
      <c r="BNK25" s="1221"/>
      <c r="BNL25" s="1221"/>
      <c r="BNM25" s="1221"/>
      <c r="BNN25" s="1221"/>
      <c r="BNO25" s="1221"/>
      <c r="BNP25" s="1221"/>
      <c r="BNQ25" s="1221"/>
      <c r="BNR25" s="1221"/>
      <c r="BNS25" s="1221"/>
      <c r="BNT25" s="1221"/>
      <c r="BNU25" s="1221"/>
      <c r="BNV25" s="1221"/>
      <c r="BNW25" s="1221"/>
      <c r="BNX25" s="1221"/>
      <c r="BNY25" s="1221"/>
      <c r="BNZ25" s="1221"/>
      <c r="BOA25" s="1221"/>
      <c r="BOB25" s="1221"/>
      <c r="BOC25" s="1221"/>
      <c r="BOD25" s="1221"/>
      <c r="BOE25" s="1221"/>
      <c r="BOF25" s="1221"/>
      <c r="BOG25" s="1221"/>
      <c r="BOH25" s="1221"/>
      <c r="BOI25" s="1221"/>
      <c r="BOJ25" s="1221"/>
      <c r="BOK25" s="1221"/>
      <c r="BOL25" s="1221"/>
      <c r="BOM25" s="1221"/>
      <c r="BON25" s="1221"/>
      <c r="BOO25" s="1221"/>
      <c r="BOP25" s="1221"/>
      <c r="BOQ25" s="1221"/>
      <c r="BOR25" s="1221"/>
      <c r="BOS25" s="1221"/>
      <c r="BOT25" s="1221"/>
      <c r="BOU25" s="1221"/>
      <c r="BOV25" s="1221"/>
      <c r="BOW25" s="1221"/>
      <c r="BOX25" s="1221"/>
      <c r="BOY25" s="1221"/>
      <c r="BOZ25" s="1221"/>
      <c r="BPA25" s="1221"/>
      <c r="BPB25" s="1221"/>
      <c r="BPC25" s="1221"/>
      <c r="BPD25" s="1221"/>
      <c r="BPE25" s="1221"/>
      <c r="BPF25" s="1221"/>
      <c r="BPG25" s="1221"/>
      <c r="BPH25" s="1221"/>
      <c r="BPI25" s="1221"/>
      <c r="BPJ25" s="1221"/>
      <c r="BPK25" s="1221"/>
      <c r="BPL25" s="1221"/>
      <c r="BPM25" s="1221"/>
      <c r="BPN25" s="1221"/>
      <c r="BPO25" s="1221"/>
      <c r="BPP25" s="1221"/>
      <c r="BPQ25" s="1221"/>
      <c r="BPR25" s="1221"/>
      <c r="BPS25" s="1221"/>
      <c r="BPT25" s="1221"/>
      <c r="BPU25" s="1221"/>
      <c r="BPV25" s="1221"/>
      <c r="BPW25" s="1221"/>
      <c r="BPX25" s="1221"/>
      <c r="BPY25" s="1221"/>
      <c r="BPZ25" s="1221"/>
      <c r="BQA25" s="1221"/>
      <c r="BQB25" s="1221"/>
      <c r="BQC25" s="1221"/>
      <c r="BQD25" s="1221"/>
      <c r="BQE25" s="1221"/>
      <c r="BQF25" s="1221"/>
      <c r="BQG25" s="1221"/>
      <c r="BQH25" s="1221"/>
      <c r="BQI25" s="1221"/>
      <c r="BQJ25" s="1221"/>
      <c r="BQK25" s="1221"/>
      <c r="BQL25" s="1221"/>
      <c r="BQM25" s="1221"/>
      <c r="BQN25" s="1221"/>
      <c r="BQO25" s="1221"/>
      <c r="BQP25" s="1221"/>
      <c r="BQQ25" s="1221"/>
      <c r="BQR25" s="1221"/>
      <c r="BQS25" s="1221"/>
      <c r="BQT25" s="1221"/>
      <c r="BQU25" s="1221"/>
      <c r="BQV25" s="1221"/>
      <c r="BQW25" s="1221"/>
      <c r="BQX25" s="1221"/>
      <c r="BQY25" s="1221"/>
      <c r="BQZ25" s="1221"/>
      <c r="BRA25" s="1221"/>
      <c r="BRB25" s="1221"/>
      <c r="BRC25" s="1221"/>
      <c r="BRD25" s="1221"/>
      <c r="BRE25" s="1221"/>
      <c r="BRF25" s="1221"/>
      <c r="BRG25" s="1221"/>
      <c r="BRH25" s="1221"/>
      <c r="BRI25" s="1221"/>
      <c r="BRJ25" s="1221"/>
      <c r="BRK25" s="1221"/>
      <c r="BRL25" s="1221"/>
      <c r="BRM25" s="1221"/>
      <c r="BRN25" s="1221"/>
      <c r="BRO25" s="1221"/>
      <c r="BRP25" s="1221"/>
      <c r="BRQ25" s="1221"/>
      <c r="BRR25" s="1221"/>
      <c r="BRS25" s="1221"/>
      <c r="BRT25" s="1221"/>
      <c r="BRU25" s="1221"/>
      <c r="BRV25" s="1221"/>
      <c r="BRW25" s="1221"/>
      <c r="BRX25" s="1221"/>
      <c r="BRY25" s="1221"/>
      <c r="BRZ25" s="1221"/>
      <c r="BSA25" s="1221"/>
      <c r="BSB25" s="1221"/>
      <c r="BSC25" s="1221"/>
      <c r="BSD25" s="1221"/>
      <c r="BSE25" s="1221"/>
      <c r="BSF25" s="1221"/>
      <c r="BSG25" s="1221"/>
      <c r="BSH25" s="1221"/>
      <c r="BSI25" s="1221"/>
      <c r="BSJ25" s="1221"/>
      <c r="BSK25" s="1221"/>
      <c r="BSL25" s="1221"/>
      <c r="BSM25" s="1221"/>
      <c r="BSN25" s="1221"/>
      <c r="BSO25" s="1221"/>
      <c r="BSP25" s="1221"/>
      <c r="BSQ25" s="1221"/>
      <c r="BSR25" s="1221"/>
      <c r="BSS25" s="1221"/>
      <c r="BST25" s="1221"/>
      <c r="BSU25" s="1221"/>
      <c r="BSV25" s="1221"/>
      <c r="BSW25" s="1221"/>
      <c r="BSX25" s="1221"/>
      <c r="BSY25" s="1221"/>
      <c r="BSZ25" s="1221"/>
      <c r="BTA25" s="1221"/>
      <c r="BTB25" s="1221"/>
      <c r="BTC25" s="1221"/>
      <c r="BTD25" s="1221"/>
      <c r="BTE25" s="1221"/>
      <c r="BTF25" s="1221"/>
      <c r="BTG25" s="1221"/>
      <c r="BTH25" s="1221"/>
      <c r="BTI25" s="1221"/>
      <c r="BTJ25" s="1221"/>
      <c r="BTK25" s="1221"/>
      <c r="BTL25" s="1221"/>
      <c r="BTM25" s="1221"/>
      <c r="BTN25" s="1221"/>
      <c r="BTO25" s="1221"/>
      <c r="BTP25" s="1221"/>
      <c r="BTQ25" s="1221"/>
      <c r="BTR25" s="1221"/>
      <c r="BTS25" s="1221"/>
      <c r="BTT25" s="1221"/>
      <c r="BTU25" s="1221"/>
      <c r="BTV25" s="1221"/>
      <c r="BTW25" s="1221"/>
      <c r="BTX25" s="1221"/>
      <c r="BTY25" s="1221"/>
      <c r="BTZ25" s="1221"/>
      <c r="BUA25" s="1221"/>
      <c r="BUB25" s="1221"/>
      <c r="BUC25" s="1221"/>
      <c r="BUD25" s="1221"/>
      <c r="BUE25" s="1221"/>
      <c r="BUF25" s="1221"/>
      <c r="BUG25" s="1221"/>
      <c r="BUH25" s="1221"/>
      <c r="BUI25" s="1221"/>
      <c r="BUJ25" s="1221"/>
      <c r="BUK25" s="1221"/>
      <c r="BUL25" s="1221"/>
      <c r="BUM25" s="1221"/>
      <c r="BUN25" s="1221"/>
      <c r="BUO25" s="1221"/>
      <c r="BUP25" s="1221"/>
      <c r="BUQ25" s="1221"/>
      <c r="BUR25" s="1221"/>
      <c r="BUS25" s="1221"/>
      <c r="BUT25" s="1221"/>
      <c r="BUU25" s="1221"/>
      <c r="BUV25" s="1221"/>
      <c r="BUW25" s="1221"/>
      <c r="BUX25" s="1221"/>
      <c r="BUY25" s="1221"/>
      <c r="BUZ25" s="1221"/>
      <c r="BVA25" s="1221"/>
      <c r="BVB25" s="1221"/>
      <c r="BVC25" s="1221"/>
      <c r="BVD25" s="1221"/>
      <c r="BVE25" s="1221"/>
      <c r="BVF25" s="1221"/>
      <c r="BVG25" s="1221"/>
      <c r="BVH25" s="1221"/>
      <c r="BVI25" s="1221"/>
      <c r="BVJ25" s="1221"/>
      <c r="BVK25" s="1221"/>
      <c r="BVL25" s="1221"/>
      <c r="BVM25" s="1221"/>
      <c r="BVN25" s="1221"/>
      <c r="BVO25" s="1221"/>
      <c r="BVP25" s="1221"/>
      <c r="BVQ25" s="1221"/>
      <c r="BVR25" s="1221"/>
      <c r="BVS25" s="1221"/>
      <c r="BVT25" s="1221"/>
      <c r="BVU25" s="1221"/>
      <c r="BVV25" s="1221"/>
      <c r="BVW25" s="1221"/>
      <c r="BVX25" s="1221"/>
      <c r="BVY25" s="1221"/>
      <c r="BVZ25" s="1221"/>
      <c r="BWA25" s="1221"/>
      <c r="BWB25" s="1221"/>
      <c r="BWC25" s="1221"/>
      <c r="BWD25" s="1221"/>
      <c r="BWE25" s="1221"/>
      <c r="BWF25" s="1221"/>
      <c r="BWG25" s="1221"/>
      <c r="BWH25" s="1221"/>
      <c r="BWI25" s="1221"/>
      <c r="BWJ25" s="1221"/>
      <c r="BWK25" s="1221"/>
      <c r="BWL25" s="1221"/>
      <c r="BWM25" s="1221"/>
      <c r="BWN25" s="1221"/>
      <c r="BWO25" s="1221"/>
      <c r="BWP25" s="1221"/>
      <c r="BWQ25" s="1221"/>
      <c r="BWR25" s="1221"/>
      <c r="BWS25" s="1221"/>
      <c r="BWT25" s="1221"/>
      <c r="BWU25" s="1221"/>
      <c r="BWV25" s="1221"/>
      <c r="BWW25" s="1221"/>
      <c r="BWX25" s="1221"/>
      <c r="BWY25" s="1221"/>
      <c r="BWZ25" s="1221"/>
      <c r="BXA25" s="1221"/>
      <c r="BXB25" s="1221"/>
      <c r="BXC25" s="1221"/>
      <c r="BXD25" s="1221"/>
      <c r="BXE25" s="1221"/>
      <c r="BXF25" s="1221"/>
      <c r="BXG25" s="1221"/>
      <c r="BXH25" s="1221"/>
      <c r="BXI25" s="1221"/>
      <c r="BXJ25" s="1221"/>
      <c r="BXK25" s="1221"/>
      <c r="BXL25" s="1221"/>
      <c r="BXM25" s="1221"/>
      <c r="BXN25" s="1221"/>
      <c r="BXO25" s="1221"/>
      <c r="BXP25" s="1221"/>
      <c r="BXQ25" s="1221"/>
      <c r="BXR25" s="1221"/>
      <c r="BXS25" s="1221"/>
      <c r="BXT25" s="1221"/>
      <c r="BXU25" s="1221"/>
      <c r="BXV25" s="1221"/>
      <c r="BXW25" s="1221"/>
      <c r="BXX25" s="1221"/>
      <c r="BXY25" s="1221"/>
      <c r="BXZ25" s="1221"/>
      <c r="BYA25" s="1221"/>
      <c r="BYB25" s="1221"/>
      <c r="BYC25" s="1221"/>
      <c r="BYD25" s="1221"/>
      <c r="BYE25" s="1221"/>
      <c r="BYF25" s="1221"/>
      <c r="BYG25" s="1221"/>
      <c r="BYH25" s="1221"/>
      <c r="BYI25" s="1221"/>
      <c r="BYJ25" s="1221"/>
      <c r="BYK25" s="1221"/>
      <c r="BYL25" s="1221"/>
      <c r="BYM25" s="1221"/>
      <c r="BYN25" s="1221"/>
      <c r="BYO25" s="1221"/>
      <c r="BYP25" s="1221"/>
      <c r="BYQ25" s="1221"/>
      <c r="BYR25" s="1221"/>
      <c r="BYS25" s="1221"/>
      <c r="BYT25" s="1221"/>
      <c r="BYU25" s="1221"/>
      <c r="BYV25" s="1221"/>
      <c r="BYW25" s="1221"/>
      <c r="BYX25" s="1221"/>
      <c r="BYY25" s="1221"/>
      <c r="BYZ25" s="1221"/>
      <c r="BZA25" s="1221"/>
      <c r="BZB25" s="1221"/>
      <c r="BZC25" s="1221"/>
      <c r="BZD25" s="1221"/>
      <c r="BZE25" s="1221"/>
      <c r="BZF25" s="1221"/>
      <c r="BZG25" s="1221"/>
      <c r="BZH25" s="1221"/>
      <c r="BZI25" s="1221"/>
      <c r="BZJ25" s="1221"/>
      <c r="BZK25" s="1221"/>
      <c r="BZL25" s="1221"/>
      <c r="BZM25" s="1221"/>
      <c r="BZN25" s="1221"/>
      <c r="BZO25" s="1221"/>
      <c r="BZP25" s="1221"/>
      <c r="BZQ25" s="1221"/>
      <c r="BZR25" s="1221"/>
      <c r="BZS25" s="1221"/>
      <c r="BZT25" s="1221"/>
      <c r="BZU25" s="1221"/>
      <c r="BZV25" s="1221"/>
      <c r="BZW25" s="1221"/>
      <c r="BZX25" s="1221"/>
      <c r="BZY25" s="1221"/>
      <c r="BZZ25" s="1221"/>
      <c r="CAA25" s="1221"/>
      <c r="CAB25" s="1221"/>
      <c r="CAC25" s="1221"/>
      <c r="CAD25" s="1221"/>
      <c r="CAE25" s="1221"/>
      <c r="CAF25" s="1221"/>
      <c r="CAG25" s="1221"/>
      <c r="CAH25" s="1221"/>
      <c r="CAI25" s="1221"/>
      <c r="CAJ25" s="1221"/>
      <c r="CAK25" s="1221"/>
      <c r="CAL25" s="1221"/>
      <c r="CAM25" s="1221"/>
      <c r="CAN25" s="1221"/>
      <c r="CAO25" s="1221"/>
      <c r="CAP25" s="1221"/>
      <c r="CAQ25" s="1221"/>
      <c r="CAR25" s="1221"/>
      <c r="CAS25" s="1221"/>
      <c r="CAT25" s="1221"/>
      <c r="CAU25" s="1221"/>
      <c r="CAV25" s="1221"/>
      <c r="CAW25" s="1221"/>
      <c r="CAX25" s="1221"/>
      <c r="CAY25" s="1221"/>
      <c r="CAZ25" s="1221"/>
      <c r="CBA25" s="1221"/>
      <c r="CBB25" s="1221"/>
      <c r="CBC25" s="1221"/>
      <c r="CBD25" s="1221"/>
      <c r="CBE25" s="1221"/>
      <c r="CBF25" s="1221"/>
      <c r="CBG25" s="1221"/>
      <c r="CBH25" s="1221"/>
      <c r="CBI25" s="1221"/>
      <c r="CBJ25" s="1221"/>
      <c r="CBK25" s="1221"/>
      <c r="CBL25" s="1221"/>
      <c r="CBM25" s="1221"/>
      <c r="CBN25" s="1221"/>
      <c r="CBO25" s="1221"/>
      <c r="CBP25" s="1221"/>
      <c r="CBQ25" s="1221"/>
      <c r="CBR25" s="1221"/>
      <c r="CBS25" s="1221"/>
      <c r="CBT25" s="1221"/>
      <c r="CBU25" s="1221"/>
      <c r="CBV25" s="1221"/>
      <c r="CBW25" s="1221"/>
      <c r="CBX25" s="1221"/>
      <c r="CBY25" s="1221"/>
      <c r="CBZ25" s="1221"/>
      <c r="CCA25" s="1221"/>
      <c r="CCB25" s="1221"/>
      <c r="CCC25" s="1221"/>
      <c r="CCD25" s="1221"/>
      <c r="CCE25" s="1221"/>
      <c r="CCF25" s="1221"/>
      <c r="CCG25" s="1221"/>
      <c r="CCH25" s="1221"/>
      <c r="CCI25" s="1221"/>
      <c r="CCJ25" s="1221"/>
      <c r="CCK25" s="1221"/>
      <c r="CCL25" s="1221"/>
      <c r="CCM25" s="1221"/>
      <c r="CCN25" s="1221"/>
      <c r="CCO25" s="1221"/>
      <c r="CCP25" s="1221"/>
      <c r="CCQ25" s="1221"/>
      <c r="CCR25" s="1221"/>
      <c r="CCS25" s="1221"/>
      <c r="CCT25" s="1221"/>
      <c r="CCU25" s="1221"/>
      <c r="CCV25" s="1221"/>
      <c r="CCW25" s="1221"/>
      <c r="CCX25" s="1221"/>
      <c r="CCY25" s="1221"/>
      <c r="CCZ25" s="1221"/>
      <c r="CDA25" s="1221"/>
      <c r="CDB25" s="1221"/>
      <c r="CDC25" s="1221"/>
      <c r="CDD25" s="1221"/>
      <c r="CDE25" s="1221"/>
      <c r="CDF25" s="1221"/>
      <c r="CDG25" s="1221"/>
      <c r="CDH25" s="1221"/>
      <c r="CDI25" s="1221"/>
      <c r="CDJ25" s="1221"/>
      <c r="CDK25" s="1221"/>
      <c r="CDL25" s="1221"/>
      <c r="CDM25" s="1221"/>
      <c r="CDN25" s="1221"/>
      <c r="CDO25" s="1221"/>
      <c r="CDP25" s="1221"/>
      <c r="CDQ25" s="1221"/>
      <c r="CDR25" s="1221"/>
      <c r="CDS25" s="1221"/>
      <c r="CDT25" s="1221"/>
      <c r="CDU25" s="1221"/>
      <c r="CDV25" s="1221"/>
      <c r="CDW25" s="1221"/>
      <c r="CDX25" s="1221"/>
      <c r="CDY25" s="1221"/>
      <c r="CDZ25" s="1221"/>
      <c r="CEA25" s="1221"/>
      <c r="CEB25" s="1221"/>
      <c r="CEC25" s="1221"/>
      <c r="CED25" s="1221"/>
      <c r="CEE25" s="1221"/>
      <c r="CEF25" s="1221"/>
      <c r="CEG25" s="1221"/>
      <c r="CEH25" s="1221"/>
      <c r="CEI25" s="1221"/>
      <c r="CEJ25" s="1221"/>
      <c r="CEK25" s="1221"/>
      <c r="CEL25" s="1221"/>
      <c r="CEM25" s="1221"/>
      <c r="CEN25" s="1221"/>
      <c r="CEO25" s="1221"/>
      <c r="CEP25" s="1221"/>
      <c r="CEQ25" s="1221"/>
      <c r="CER25" s="1221"/>
      <c r="CES25" s="1221"/>
      <c r="CET25" s="1221"/>
      <c r="CEU25" s="1221"/>
      <c r="CEV25" s="1221"/>
      <c r="CEW25" s="1221"/>
      <c r="CEX25" s="1221"/>
      <c r="CEY25" s="1221"/>
      <c r="CEZ25" s="1221"/>
      <c r="CFA25" s="1221"/>
      <c r="CFB25" s="1221"/>
      <c r="CFC25" s="1221"/>
      <c r="CFD25" s="1221"/>
      <c r="CFE25" s="1221"/>
      <c r="CFF25" s="1221"/>
      <c r="CFG25" s="1221"/>
      <c r="CFH25" s="1221"/>
      <c r="CFI25" s="1221"/>
      <c r="CFJ25" s="1221"/>
      <c r="CFK25" s="1221"/>
      <c r="CFL25" s="1221"/>
      <c r="CFM25" s="1221"/>
      <c r="CFN25" s="1221"/>
      <c r="CFO25" s="1221"/>
      <c r="CFP25" s="1221"/>
      <c r="CFQ25" s="1221"/>
      <c r="CFR25" s="1221"/>
      <c r="CFS25" s="1221"/>
      <c r="CFT25" s="1221"/>
      <c r="CFU25" s="1221"/>
      <c r="CFV25" s="1221"/>
      <c r="CFW25" s="1221"/>
      <c r="CFX25" s="1221"/>
      <c r="CFY25" s="1221"/>
      <c r="CFZ25" s="1221"/>
      <c r="CGA25" s="1221"/>
      <c r="CGB25" s="1221"/>
      <c r="CGC25" s="1221"/>
      <c r="CGD25" s="1221"/>
      <c r="CGE25" s="1221"/>
      <c r="CGF25" s="1221"/>
      <c r="CGG25" s="1221"/>
      <c r="CGH25" s="1221"/>
      <c r="CGI25" s="1221"/>
      <c r="CGJ25" s="1221"/>
      <c r="CGK25" s="1221"/>
      <c r="CGL25" s="1221"/>
      <c r="CGM25" s="1221"/>
      <c r="CGN25" s="1221"/>
      <c r="CGO25" s="1221"/>
      <c r="CGP25" s="1221"/>
      <c r="CGQ25" s="1221"/>
      <c r="CGR25" s="1221"/>
      <c r="CGS25" s="1221"/>
      <c r="CGT25" s="1221"/>
      <c r="CGU25" s="1221"/>
      <c r="CGV25" s="1221"/>
      <c r="CGW25" s="1221"/>
      <c r="CGX25" s="1221"/>
      <c r="CGY25" s="1221"/>
      <c r="CGZ25" s="1221"/>
      <c r="CHA25" s="1221"/>
      <c r="CHB25" s="1221"/>
      <c r="CHC25" s="1221"/>
      <c r="CHD25" s="1221"/>
      <c r="CHE25" s="1221"/>
      <c r="CHF25" s="1221"/>
      <c r="CHG25" s="1221"/>
      <c r="CHH25" s="1221"/>
      <c r="CHI25" s="1221"/>
      <c r="CHJ25" s="1221"/>
      <c r="CHK25" s="1221"/>
      <c r="CHL25" s="1221"/>
      <c r="CHM25" s="1221"/>
      <c r="CHN25" s="1221"/>
      <c r="CHO25" s="1221"/>
      <c r="CHP25" s="1221"/>
      <c r="CHQ25" s="1221"/>
      <c r="CHR25" s="1221"/>
      <c r="CHS25" s="1221"/>
      <c r="CHT25" s="1221"/>
      <c r="CHU25" s="1221"/>
      <c r="CHV25" s="1221"/>
      <c r="CHW25" s="1221"/>
      <c r="CHX25" s="1221"/>
      <c r="CHY25" s="1221"/>
      <c r="CHZ25" s="1221"/>
      <c r="CIA25" s="1221"/>
      <c r="CIB25" s="1221"/>
      <c r="CIC25" s="1221"/>
      <c r="CID25" s="1221"/>
      <c r="CIE25" s="1221"/>
      <c r="CIF25" s="1221"/>
      <c r="CIG25" s="1221"/>
      <c r="CIH25" s="1221"/>
      <c r="CII25" s="1221"/>
      <c r="CIJ25" s="1221"/>
      <c r="CIK25" s="1221"/>
      <c r="CIL25" s="1221"/>
      <c r="CIM25" s="1221"/>
      <c r="CIN25" s="1221"/>
      <c r="CIO25" s="1221"/>
      <c r="CIP25" s="1221"/>
      <c r="CIQ25" s="1221"/>
      <c r="CIR25" s="1221"/>
      <c r="CIS25" s="1221"/>
      <c r="CIT25" s="1221"/>
      <c r="CIU25" s="1221"/>
      <c r="CIV25" s="1221"/>
      <c r="CIW25" s="1221"/>
      <c r="CIX25" s="1221"/>
      <c r="CIY25" s="1221"/>
      <c r="CIZ25" s="1221"/>
      <c r="CJA25" s="1221"/>
      <c r="CJB25" s="1221"/>
      <c r="CJC25" s="1221"/>
      <c r="CJD25" s="1221"/>
      <c r="CJE25" s="1221"/>
      <c r="CJF25" s="1221"/>
      <c r="CJG25" s="1221"/>
      <c r="CJH25" s="1221"/>
      <c r="CJI25" s="1221"/>
      <c r="CJJ25" s="1221"/>
      <c r="CJK25" s="1221"/>
      <c r="CJL25" s="1221"/>
      <c r="CJM25" s="1221"/>
      <c r="CJN25" s="1221"/>
      <c r="CJO25" s="1221"/>
      <c r="CJP25" s="1221"/>
      <c r="CJQ25" s="1221"/>
      <c r="CJR25" s="1221"/>
      <c r="CJS25" s="1221"/>
      <c r="CJT25" s="1221"/>
      <c r="CJU25" s="1221"/>
      <c r="CJV25" s="1221"/>
      <c r="CJW25" s="1221"/>
      <c r="CJX25" s="1221"/>
      <c r="CJY25" s="1221"/>
      <c r="CJZ25" s="1221"/>
      <c r="CKA25" s="1221"/>
      <c r="CKB25" s="1221"/>
      <c r="CKC25" s="1221"/>
      <c r="CKD25" s="1221"/>
      <c r="CKE25" s="1221"/>
      <c r="CKF25" s="1221"/>
      <c r="CKG25" s="1221"/>
      <c r="CKH25" s="1221"/>
      <c r="CKI25" s="1221"/>
      <c r="CKJ25" s="1221"/>
      <c r="CKK25" s="1221"/>
      <c r="CKL25" s="1221"/>
      <c r="CKM25" s="1221"/>
      <c r="CKN25" s="1221"/>
      <c r="CKO25" s="1221"/>
      <c r="CKP25" s="1221"/>
      <c r="CKQ25" s="1221"/>
      <c r="CKR25" s="1221"/>
      <c r="CKS25" s="1221"/>
      <c r="CKT25" s="1221"/>
      <c r="CKU25" s="1221"/>
      <c r="CKV25" s="1221"/>
      <c r="CKW25" s="1221"/>
      <c r="CKX25" s="1221"/>
      <c r="CKY25" s="1221"/>
      <c r="CKZ25" s="1221"/>
      <c r="CLA25" s="1221"/>
      <c r="CLB25" s="1221"/>
      <c r="CLC25" s="1221"/>
      <c r="CLD25" s="1221"/>
      <c r="CLE25" s="1221"/>
      <c r="CLF25" s="1221"/>
      <c r="CLG25" s="1221"/>
      <c r="CLH25" s="1221"/>
      <c r="CLI25" s="1221"/>
      <c r="CLJ25" s="1221"/>
      <c r="CLK25" s="1221"/>
      <c r="CLL25" s="1221"/>
      <c r="CLM25" s="1221"/>
      <c r="CLN25" s="1221"/>
      <c r="CLO25" s="1221"/>
      <c r="CLP25" s="1221"/>
      <c r="CLQ25" s="1221"/>
      <c r="CLR25" s="1221"/>
      <c r="CLS25" s="1221"/>
      <c r="CLT25" s="1221"/>
      <c r="CLU25" s="1221"/>
      <c r="CLV25" s="1221"/>
      <c r="CLW25" s="1221"/>
      <c r="CLX25" s="1221"/>
      <c r="CLY25" s="1221"/>
      <c r="CLZ25" s="1221"/>
      <c r="CMA25" s="1221"/>
      <c r="CMB25" s="1221"/>
      <c r="CMC25" s="1221"/>
      <c r="CMD25" s="1221"/>
      <c r="CME25" s="1221"/>
      <c r="CMF25" s="1221"/>
      <c r="CMG25" s="1221"/>
      <c r="CMH25" s="1221"/>
      <c r="CMI25" s="1221"/>
      <c r="CMJ25" s="1221"/>
      <c r="CMK25" s="1221"/>
      <c r="CML25" s="1221"/>
      <c r="CMM25" s="1221"/>
      <c r="CMN25" s="1221"/>
      <c r="CMO25" s="1221"/>
      <c r="CMP25" s="1221"/>
      <c r="CMQ25" s="1221"/>
      <c r="CMR25" s="1221"/>
      <c r="CMS25" s="1221"/>
      <c r="CMT25" s="1221"/>
      <c r="CMU25" s="1221"/>
      <c r="CMV25" s="1221"/>
      <c r="CMW25" s="1221"/>
      <c r="CMX25" s="1221"/>
      <c r="CMY25" s="1221"/>
      <c r="CMZ25" s="1221"/>
      <c r="CNA25" s="1221"/>
      <c r="CNB25" s="1221"/>
      <c r="CNC25" s="1221"/>
      <c r="CND25" s="1221"/>
      <c r="CNE25" s="1221"/>
      <c r="CNF25" s="1221"/>
      <c r="CNG25" s="1221"/>
      <c r="CNH25" s="1221"/>
      <c r="CNI25" s="1221"/>
      <c r="CNJ25" s="1221"/>
      <c r="CNK25" s="1221"/>
      <c r="CNL25" s="1221"/>
      <c r="CNM25" s="1221"/>
      <c r="CNN25" s="1221"/>
      <c r="CNO25" s="1221"/>
      <c r="CNP25" s="1221"/>
      <c r="CNQ25" s="1221"/>
      <c r="CNR25" s="1221"/>
      <c r="CNS25" s="1221"/>
      <c r="CNT25" s="1221"/>
      <c r="CNU25" s="1221"/>
      <c r="CNV25" s="1221"/>
      <c r="CNW25" s="1221"/>
      <c r="CNX25" s="1221"/>
      <c r="CNY25" s="1221"/>
      <c r="CNZ25" s="1221"/>
      <c r="COA25" s="1221"/>
      <c r="COB25" s="1221"/>
      <c r="COC25" s="1221"/>
      <c r="COD25" s="1221"/>
      <c r="COE25" s="1221"/>
      <c r="COF25" s="1221"/>
      <c r="COG25" s="1221"/>
      <c r="COH25" s="1221"/>
      <c r="COI25" s="1221"/>
      <c r="COJ25" s="1221"/>
      <c r="COK25" s="1221"/>
      <c r="COL25" s="1221"/>
      <c r="COM25" s="1221"/>
      <c r="CON25" s="1221"/>
      <c r="COO25" s="1221"/>
      <c r="COP25" s="1221"/>
      <c r="COQ25" s="1221"/>
      <c r="COR25" s="1221"/>
      <c r="COS25" s="1221"/>
      <c r="COT25" s="1221"/>
      <c r="COU25" s="1221"/>
      <c r="COV25" s="1221"/>
      <c r="COW25" s="1221"/>
      <c r="COX25" s="1221"/>
      <c r="COY25" s="1221"/>
      <c r="COZ25" s="1221"/>
      <c r="CPA25" s="1221"/>
      <c r="CPB25" s="1221"/>
      <c r="CPC25" s="1221"/>
      <c r="CPD25" s="1221"/>
      <c r="CPE25" s="1221"/>
      <c r="CPF25" s="1221"/>
      <c r="CPG25" s="1221"/>
      <c r="CPH25" s="1221"/>
      <c r="CPI25" s="1221"/>
      <c r="CPJ25" s="1221"/>
      <c r="CPK25" s="1221"/>
      <c r="CPL25" s="1221"/>
      <c r="CPM25" s="1221"/>
      <c r="CPN25" s="1221"/>
      <c r="CPO25" s="1221"/>
      <c r="CPP25" s="1221"/>
      <c r="CPQ25" s="1221"/>
      <c r="CPR25" s="1221"/>
      <c r="CPS25" s="1221"/>
      <c r="CPT25" s="1221"/>
      <c r="CPU25" s="1221"/>
      <c r="CPV25" s="1221"/>
      <c r="CPW25" s="1221"/>
      <c r="CPX25" s="1221"/>
      <c r="CPY25" s="1221"/>
      <c r="CPZ25" s="1221"/>
      <c r="CQA25" s="1221"/>
      <c r="CQB25" s="1221"/>
      <c r="CQC25" s="1221"/>
      <c r="CQD25" s="1221"/>
      <c r="CQE25" s="1221"/>
      <c r="CQF25" s="1221"/>
      <c r="CQG25" s="1221"/>
      <c r="CQH25" s="1221"/>
      <c r="CQI25" s="1221"/>
      <c r="CQJ25" s="1221"/>
      <c r="CQK25" s="1221"/>
      <c r="CQL25" s="1221"/>
      <c r="CQM25" s="1221"/>
      <c r="CQN25" s="1221"/>
      <c r="CQO25" s="1221"/>
      <c r="CQP25" s="1221"/>
      <c r="CQQ25" s="1221"/>
      <c r="CQR25" s="1221"/>
      <c r="CQS25" s="1221"/>
      <c r="CQT25" s="1221"/>
      <c r="CQU25" s="1221"/>
      <c r="CQV25" s="1221"/>
      <c r="CQW25" s="1221"/>
      <c r="CQX25" s="1221"/>
      <c r="CQY25" s="1221"/>
      <c r="CQZ25" s="1221"/>
      <c r="CRA25" s="1221"/>
      <c r="CRB25" s="1221"/>
      <c r="CRC25" s="1221"/>
      <c r="CRD25" s="1221"/>
      <c r="CRE25" s="1221"/>
      <c r="CRF25" s="1221"/>
      <c r="CRG25" s="1221"/>
      <c r="CRH25" s="1221"/>
      <c r="CRI25" s="1221"/>
      <c r="CRJ25" s="1221"/>
      <c r="CRK25" s="1221"/>
      <c r="CRL25" s="1221"/>
      <c r="CRM25" s="1221"/>
      <c r="CRN25" s="1221"/>
      <c r="CRO25" s="1221"/>
      <c r="CRP25" s="1221"/>
      <c r="CRQ25" s="1221"/>
      <c r="CRR25" s="1221"/>
      <c r="CRS25" s="1221"/>
      <c r="CRT25" s="1221"/>
      <c r="CRU25" s="1221"/>
      <c r="CRV25" s="1221"/>
      <c r="CRW25" s="1221"/>
      <c r="CRX25" s="1221"/>
      <c r="CRY25" s="1221"/>
      <c r="CRZ25" s="1221"/>
      <c r="CSA25" s="1221"/>
      <c r="CSB25" s="1221"/>
      <c r="CSC25" s="1221"/>
      <c r="CSD25" s="1221"/>
      <c r="CSE25" s="1221"/>
      <c r="CSF25" s="1221"/>
      <c r="CSG25" s="1221"/>
      <c r="CSH25" s="1221"/>
      <c r="CSI25" s="1221"/>
      <c r="CSJ25" s="1221"/>
      <c r="CSK25" s="1221"/>
      <c r="CSL25" s="1221"/>
      <c r="CSM25" s="1221"/>
      <c r="CSN25" s="1221"/>
      <c r="CSO25" s="1221"/>
      <c r="CSP25" s="1221"/>
      <c r="CSQ25" s="1221"/>
      <c r="CSR25" s="1221"/>
      <c r="CSS25" s="1221"/>
      <c r="CST25" s="1221"/>
      <c r="CSU25" s="1221"/>
      <c r="CSV25" s="1221"/>
      <c r="CSW25" s="1221"/>
      <c r="CSX25" s="1221"/>
      <c r="CSY25" s="1221"/>
      <c r="CSZ25" s="1221"/>
      <c r="CTA25" s="1221"/>
      <c r="CTB25" s="1221"/>
      <c r="CTC25" s="1221"/>
      <c r="CTD25" s="1221"/>
      <c r="CTE25" s="1221"/>
      <c r="CTF25" s="1221"/>
      <c r="CTG25" s="1221"/>
      <c r="CTH25" s="1221"/>
      <c r="CTI25" s="1221"/>
      <c r="CTJ25" s="1221"/>
      <c r="CTK25" s="1221"/>
      <c r="CTL25" s="1221"/>
      <c r="CTM25" s="1221"/>
      <c r="CTN25" s="1221"/>
      <c r="CTO25" s="1221"/>
      <c r="CTP25" s="1221"/>
      <c r="CTQ25" s="1221"/>
      <c r="CTR25" s="1221"/>
      <c r="CTS25" s="1221"/>
      <c r="CTT25" s="1221"/>
      <c r="CTU25" s="1221"/>
      <c r="CTV25" s="1221"/>
      <c r="CTW25" s="1221"/>
      <c r="CTX25" s="1221"/>
      <c r="CTY25" s="1221"/>
      <c r="CTZ25" s="1221"/>
      <c r="CUA25" s="1221"/>
      <c r="CUB25" s="1221"/>
      <c r="CUC25" s="1221"/>
      <c r="CUD25" s="1221"/>
      <c r="CUE25" s="1221"/>
      <c r="CUF25" s="1221"/>
      <c r="CUG25" s="1221"/>
      <c r="CUH25" s="1221"/>
      <c r="CUI25" s="1221"/>
      <c r="CUJ25" s="1221"/>
      <c r="CUK25" s="1221"/>
      <c r="CUL25" s="1221"/>
      <c r="CUM25" s="1221"/>
      <c r="CUN25" s="1221"/>
      <c r="CUO25" s="1221"/>
      <c r="CUP25" s="1221"/>
      <c r="CUQ25" s="1221"/>
      <c r="CUR25" s="1221"/>
      <c r="CUS25" s="1221"/>
      <c r="CUT25" s="1221"/>
      <c r="CUU25" s="1221"/>
      <c r="CUV25" s="1221"/>
      <c r="CUW25" s="1221"/>
      <c r="CUX25" s="1221"/>
      <c r="CUY25" s="1221"/>
      <c r="CUZ25" s="1221"/>
      <c r="CVA25" s="1221"/>
      <c r="CVB25" s="1221"/>
      <c r="CVC25" s="1221"/>
      <c r="CVD25" s="1221"/>
      <c r="CVE25" s="1221"/>
      <c r="CVF25" s="1221"/>
      <c r="CVG25" s="1221"/>
      <c r="CVH25" s="1221"/>
      <c r="CVI25" s="1221"/>
      <c r="CVJ25" s="1221"/>
      <c r="CVK25" s="1221"/>
      <c r="CVL25" s="1221"/>
      <c r="CVM25" s="1221"/>
      <c r="CVN25" s="1221"/>
      <c r="CVO25" s="1221"/>
      <c r="CVP25" s="1221"/>
      <c r="CVQ25" s="1221"/>
      <c r="CVR25" s="1221"/>
      <c r="CVS25" s="1221"/>
      <c r="CVT25" s="1221"/>
      <c r="CVU25" s="1221"/>
      <c r="CVV25" s="1221"/>
      <c r="CVW25" s="1221"/>
      <c r="CVX25" s="1221"/>
      <c r="CVY25" s="1221"/>
      <c r="CVZ25" s="1221"/>
      <c r="CWA25" s="1221"/>
      <c r="CWB25" s="1221"/>
      <c r="CWC25" s="1221"/>
      <c r="CWD25" s="1221"/>
      <c r="CWE25" s="1221"/>
      <c r="CWF25" s="1221"/>
      <c r="CWG25" s="1221"/>
      <c r="CWH25" s="1221"/>
      <c r="CWI25" s="1221"/>
      <c r="CWJ25" s="1221"/>
      <c r="CWK25" s="1221"/>
      <c r="CWL25" s="1221"/>
      <c r="CWM25" s="1221"/>
      <c r="CWN25" s="1221"/>
      <c r="CWO25" s="1221"/>
      <c r="CWP25" s="1221"/>
      <c r="CWQ25" s="1221"/>
      <c r="CWR25" s="1221"/>
      <c r="CWS25" s="1221"/>
      <c r="CWT25" s="1221"/>
      <c r="CWU25" s="1221"/>
      <c r="CWV25" s="1221"/>
      <c r="CWW25" s="1221"/>
      <c r="CWX25" s="1221"/>
      <c r="CWY25" s="1221"/>
      <c r="CWZ25" s="1221"/>
      <c r="CXA25" s="1221"/>
      <c r="CXB25" s="1221"/>
      <c r="CXC25" s="1221"/>
      <c r="CXD25" s="1221"/>
      <c r="CXE25" s="1221"/>
      <c r="CXF25" s="1221"/>
      <c r="CXG25" s="1221"/>
      <c r="CXH25" s="1221"/>
      <c r="CXI25" s="1221"/>
      <c r="CXJ25" s="1221"/>
      <c r="CXK25" s="1221"/>
      <c r="CXL25" s="1221"/>
      <c r="CXM25" s="1221"/>
      <c r="CXN25" s="1221"/>
      <c r="CXO25" s="1221"/>
      <c r="CXP25" s="1221"/>
      <c r="CXQ25" s="1221"/>
      <c r="CXR25" s="1221"/>
      <c r="CXS25" s="1221"/>
      <c r="CXT25" s="1221"/>
      <c r="CXU25" s="1221"/>
      <c r="CXV25" s="1221"/>
      <c r="CXW25" s="1221"/>
      <c r="CXX25" s="1221"/>
      <c r="CXY25" s="1221"/>
      <c r="CXZ25" s="1221"/>
      <c r="CYA25" s="1221"/>
      <c r="CYB25" s="1221"/>
      <c r="CYC25" s="1221"/>
      <c r="CYD25" s="1221"/>
      <c r="CYE25" s="1221"/>
      <c r="CYF25" s="1221"/>
      <c r="CYG25" s="1221"/>
      <c r="CYH25" s="1221"/>
      <c r="CYI25" s="1221"/>
      <c r="CYJ25" s="1221"/>
      <c r="CYK25" s="1221"/>
      <c r="CYL25" s="1221"/>
      <c r="CYM25" s="1221"/>
      <c r="CYN25" s="1221"/>
      <c r="CYO25" s="1221"/>
      <c r="CYP25" s="1221"/>
      <c r="CYQ25" s="1221"/>
      <c r="CYR25" s="1221"/>
      <c r="CYS25" s="1221"/>
      <c r="CYT25" s="1221"/>
      <c r="CYU25" s="1221"/>
      <c r="CYV25" s="1221"/>
      <c r="CYW25" s="1221"/>
      <c r="CYX25" s="1221"/>
      <c r="CYY25" s="1221"/>
      <c r="CYZ25" s="1221"/>
      <c r="CZA25" s="1221"/>
      <c r="CZB25" s="1221"/>
      <c r="CZC25" s="1221"/>
      <c r="CZD25" s="1221"/>
      <c r="CZE25" s="1221"/>
      <c r="CZF25" s="1221"/>
      <c r="CZG25" s="1221"/>
      <c r="CZH25" s="1221"/>
      <c r="CZI25" s="1221"/>
      <c r="CZJ25" s="1221"/>
      <c r="CZK25" s="1221"/>
      <c r="CZL25" s="1221"/>
      <c r="CZM25" s="1221"/>
      <c r="CZN25" s="1221"/>
      <c r="CZO25" s="1221"/>
      <c r="CZP25" s="1221"/>
      <c r="CZQ25" s="1221"/>
      <c r="CZR25" s="1221"/>
      <c r="CZS25" s="1221"/>
      <c r="CZT25" s="1221"/>
      <c r="CZU25" s="1221"/>
      <c r="CZV25" s="1221"/>
      <c r="CZW25" s="1221"/>
      <c r="CZX25" s="1221"/>
      <c r="CZY25" s="1221"/>
      <c r="CZZ25" s="1221"/>
      <c r="DAA25" s="1221"/>
      <c r="DAB25" s="1221"/>
      <c r="DAC25" s="1221"/>
      <c r="DAD25" s="1221"/>
      <c r="DAE25" s="1221"/>
      <c r="DAF25" s="1221"/>
      <c r="DAG25" s="1221"/>
      <c r="DAH25" s="1221"/>
      <c r="DAI25" s="1221"/>
      <c r="DAJ25" s="1221"/>
      <c r="DAK25" s="1221"/>
      <c r="DAL25" s="1221"/>
      <c r="DAM25" s="1221"/>
      <c r="DAN25" s="1221"/>
      <c r="DAO25" s="1221"/>
      <c r="DAP25" s="1221"/>
      <c r="DAQ25" s="1221"/>
      <c r="DAR25" s="1221"/>
      <c r="DAS25" s="1221"/>
      <c r="DAT25" s="1221"/>
      <c r="DAU25" s="1221"/>
      <c r="DAV25" s="1221"/>
      <c r="DAW25" s="1221"/>
      <c r="DAX25" s="1221"/>
      <c r="DAY25" s="1221"/>
      <c r="DAZ25" s="1221"/>
      <c r="DBA25" s="1221"/>
      <c r="DBB25" s="1221"/>
      <c r="DBC25" s="1221"/>
      <c r="DBD25" s="1221"/>
      <c r="DBE25" s="1221"/>
      <c r="DBF25" s="1221"/>
      <c r="DBG25" s="1221"/>
      <c r="DBH25" s="1221"/>
      <c r="DBI25" s="1221"/>
      <c r="DBJ25" s="1221"/>
      <c r="DBK25" s="1221"/>
      <c r="DBL25" s="1221"/>
      <c r="DBM25" s="1221"/>
      <c r="DBN25" s="1221"/>
      <c r="DBO25" s="1221"/>
      <c r="DBP25" s="1221"/>
      <c r="DBQ25" s="1221"/>
      <c r="DBR25" s="1221"/>
      <c r="DBS25" s="1221"/>
      <c r="DBT25" s="1221"/>
      <c r="DBU25" s="1221"/>
      <c r="DBV25" s="1221"/>
      <c r="DBW25" s="1221"/>
      <c r="DBX25" s="1221"/>
      <c r="DBY25" s="1221"/>
      <c r="DBZ25" s="1221"/>
      <c r="DCA25" s="1221"/>
      <c r="DCB25" s="1221"/>
      <c r="DCC25" s="1221"/>
      <c r="DCD25" s="1221"/>
      <c r="DCE25" s="1221"/>
      <c r="DCF25" s="1221"/>
      <c r="DCG25" s="1221"/>
      <c r="DCH25" s="1221"/>
      <c r="DCI25" s="1221"/>
      <c r="DCJ25" s="1221"/>
      <c r="DCK25" s="1221"/>
      <c r="DCL25" s="1221"/>
      <c r="DCM25" s="1221"/>
      <c r="DCN25" s="1221"/>
      <c r="DCO25" s="1221"/>
      <c r="DCP25" s="1221"/>
      <c r="DCQ25" s="1221"/>
      <c r="DCR25" s="1221"/>
      <c r="DCS25" s="1221"/>
      <c r="DCT25" s="1221"/>
      <c r="DCU25" s="1221"/>
      <c r="DCV25" s="1221"/>
      <c r="DCW25" s="1221"/>
      <c r="DCX25" s="1221"/>
      <c r="DCY25" s="1221"/>
      <c r="DCZ25" s="1221"/>
      <c r="DDA25" s="1221"/>
      <c r="DDB25" s="1221"/>
      <c r="DDC25" s="1221"/>
      <c r="DDD25" s="1221"/>
      <c r="DDE25" s="1221"/>
      <c r="DDF25" s="1221"/>
      <c r="DDG25" s="1221"/>
      <c r="DDH25" s="1221"/>
      <c r="DDI25" s="1221"/>
      <c r="DDJ25" s="1221"/>
      <c r="DDK25" s="1221"/>
      <c r="DDL25" s="1221"/>
      <c r="DDM25" s="1221"/>
      <c r="DDN25" s="1221"/>
      <c r="DDO25" s="1221"/>
      <c r="DDP25" s="1221"/>
      <c r="DDQ25" s="1221"/>
      <c r="DDR25" s="1221"/>
      <c r="DDS25" s="1221"/>
      <c r="DDT25" s="1221"/>
      <c r="DDU25" s="1221"/>
      <c r="DDV25" s="1221"/>
      <c r="DDW25" s="1221"/>
      <c r="DDX25" s="1221"/>
      <c r="DDY25" s="1221"/>
      <c r="DDZ25" s="1221"/>
      <c r="DEA25" s="1221"/>
      <c r="DEB25" s="1221"/>
      <c r="DEC25" s="1221"/>
      <c r="DED25" s="1221"/>
      <c r="DEE25" s="1221"/>
      <c r="DEF25" s="1221"/>
      <c r="DEG25" s="1221"/>
      <c r="DEH25" s="1221"/>
      <c r="DEI25" s="1221"/>
      <c r="DEJ25" s="1221"/>
      <c r="DEK25" s="1221"/>
      <c r="DEL25" s="1221"/>
      <c r="DEM25" s="1221"/>
      <c r="DEN25" s="1221"/>
      <c r="DEO25" s="1221"/>
      <c r="DEP25" s="1221"/>
      <c r="DEQ25" s="1221"/>
      <c r="DER25" s="1221"/>
      <c r="DES25" s="1221"/>
      <c r="DET25" s="1221"/>
      <c r="DEU25" s="1221"/>
      <c r="DEV25" s="1221"/>
      <c r="DEW25" s="1221"/>
      <c r="DEX25" s="1221"/>
      <c r="DEY25" s="1221"/>
      <c r="DEZ25" s="1221"/>
      <c r="DFA25" s="1221"/>
      <c r="DFB25" s="1221"/>
      <c r="DFC25" s="1221"/>
      <c r="DFD25" s="1221"/>
      <c r="DFE25" s="1221"/>
      <c r="DFF25" s="1221"/>
      <c r="DFG25" s="1221"/>
      <c r="DFH25" s="1221"/>
      <c r="DFI25" s="1221"/>
      <c r="DFJ25" s="1221"/>
      <c r="DFK25" s="1221"/>
      <c r="DFL25" s="1221"/>
      <c r="DFM25" s="1221"/>
      <c r="DFN25" s="1221"/>
      <c r="DFO25" s="1221"/>
      <c r="DFP25" s="1221"/>
      <c r="DFQ25" s="1221"/>
      <c r="DFR25" s="1221"/>
      <c r="DFS25" s="1221"/>
      <c r="DFT25" s="1221"/>
      <c r="DFU25" s="1221"/>
      <c r="DFV25" s="1221"/>
      <c r="DFW25" s="1221"/>
      <c r="DFX25" s="1221"/>
      <c r="DFY25" s="1221"/>
      <c r="DFZ25" s="1221"/>
      <c r="DGA25" s="1221"/>
      <c r="DGB25" s="1221"/>
      <c r="DGC25" s="1221"/>
      <c r="DGD25" s="1221"/>
      <c r="DGE25" s="1221"/>
      <c r="DGF25" s="1221"/>
      <c r="DGG25" s="1221"/>
      <c r="DGH25" s="1221"/>
      <c r="DGI25" s="1221"/>
      <c r="DGJ25" s="1221"/>
      <c r="DGK25" s="1221"/>
      <c r="DGL25" s="1221"/>
      <c r="DGM25" s="1221"/>
      <c r="DGN25" s="1221"/>
      <c r="DGO25" s="1221"/>
      <c r="DGP25" s="1221"/>
      <c r="DGQ25" s="1221"/>
      <c r="DGR25" s="1221"/>
      <c r="DGS25" s="1221"/>
      <c r="DGT25" s="1221"/>
      <c r="DGU25" s="1221"/>
      <c r="DGV25" s="1221"/>
      <c r="DGW25" s="1221"/>
      <c r="DGX25" s="1221"/>
      <c r="DGY25" s="1221"/>
      <c r="DGZ25" s="1221"/>
      <c r="DHA25" s="1221"/>
      <c r="DHB25" s="1221"/>
      <c r="DHC25" s="1221"/>
      <c r="DHD25" s="1221"/>
      <c r="DHE25" s="1221"/>
      <c r="DHF25" s="1221"/>
      <c r="DHG25" s="1221"/>
      <c r="DHH25" s="1221"/>
      <c r="DHI25" s="1221"/>
      <c r="DHJ25" s="1221"/>
      <c r="DHK25" s="1221"/>
      <c r="DHL25" s="1221"/>
      <c r="DHM25" s="1221"/>
      <c r="DHN25" s="1221"/>
      <c r="DHO25" s="1221"/>
      <c r="DHP25" s="1221"/>
      <c r="DHQ25" s="1221"/>
      <c r="DHR25" s="1221"/>
      <c r="DHS25" s="1221"/>
      <c r="DHT25" s="1221"/>
      <c r="DHU25" s="1221"/>
      <c r="DHV25" s="1221"/>
      <c r="DHW25" s="1221"/>
      <c r="DHX25" s="1221"/>
      <c r="DHY25" s="1221"/>
      <c r="DHZ25" s="1221"/>
      <c r="DIA25" s="1221"/>
      <c r="DIB25" s="1221"/>
      <c r="DIC25" s="1221"/>
      <c r="DID25" s="1221"/>
      <c r="DIE25" s="1221"/>
      <c r="DIF25" s="1221"/>
      <c r="DIG25" s="1221"/>
      <c r="DIH25" s="1221"/>
      <c r="DII25" s="1221"/>
      <c r="DIJ25" s="1221"/>
      <c r="DIK25" s="1221"/>
      <c r="DIL25" s="1221"/>
      <c r="DIM25" s="1221"/>
      <c r="DIN25" s="1221"/>
      <c r="DIO25" s="1221"/>
      <c r="DIP25" s="1221"/>
      <c r="DIQ25" s="1221"/>
      <c r="DIR25" s="1221"/>
      <c r="DIS25" s="1221"/>
      <c r="DIT25" s="1221"/>
      <c r="DIU25" s="1221"/>
      <c r="DIV25" s="1221"/>
      <c r="DIW25" s="1221"/>
      <c r="DIX25" s="1221"/>
      <c r="DIY25" s="1221"/>
      <c r="DIZ25" s="1221"/>
      <c r="DJA25" s="1221"/>
      <c r="DJB25" s="1221"/>
      <c r="DJC25" s="1221"/>
      <c r="DJD25" s="1221"/>
      <c r="DJE25" s="1221"/>
      <c r="DJF25" s="1221"/>
      <c r="DJG25" s="1221"/>
      <c r="DJH25" s="1221"/>
      <c r="DJI25" s="1221"/>
      <c r="DJJ25" s="1221"/>
      <c r="DJK25" s="1221"/>
      <c r="DJL25" s="1221"/>
      <c r="DJM25" s="1221"/>
      <c r="DJN25" s="1221"/>
      <c r="DJO25" s="1221"/>
      <c r="DJP25" s="1221"/>
      <c r="DJQ25" s="1221"/>
      <c r="DJR25" s="1221"/>
      <c r="DJS25" s="1221"/>
      <c r="DJT25" s="1221"/>
      <c r="DJU25" s="1221"/>
      <c r="DJV25" s="1221"/>
      <c r="DJW25" s="1221"/>
      <c r="DJX25" s="1221"/>
      <c r="DJY25" s="1221"/>
      <c r="DJZ25" s="1221"/>
      <c r="DKA25" s="1221"/>
      <c r="DKB25" s="1221"/>
      <c r="DKC25" s="1221"/>
      <c r="DKD25" s="1221"/>
      <c r="DKE25" s="1221"/>
      <c r="DKF25" s="1221"/>
      <c r="DKG25" s="1221"/>
      <c r="DKH25" s="1221"/>
      <c r="DKI25" s="1221"/>
      <c r="DKJ25" s="1221"/>
      <c r="DKK25" s="1221"/>
      <c r="DKL25" s="1221"/>
      <c r="DKM25" s="1221"/>
      <c r="DKN25" s="1221"/>
      <c r="DKO25" s="1221"/>
      <c r="DKP25" s="1221"/>
      <c r="DKQ25" s="1221"/>
      <c r="DKR25" s="1221"/>
      <c r="DKS25" s="1221"/>
      <c r="DKT25" s="1221"/>
      <c r="DKU25" s="1221"/>
      <c r="DKV25" s="1221"/>
      <c r="DKW25" s="1221"/>
      <c r="DKX25" s="1221"/>
      <c r="DKY25" s="1221"/>
      <c r="DKZ25" s="1221"/>
      <c r="DLA25" s="1221"/>
      <c r="DLB25" s="1221"/>
      <c r="DLC25" s="1221"/>
      <c r="DLD25" s="1221"/>
      <c r="DLE25" s="1221"/>
      <c r="DLF25" s="1221"/>
      <c r="DLG25" s="1221"/>
      <c r="DLH25" s="1221"/>
      <c r="DLI25" s="1221"/>
      <c r="DLJ25" s="1221"/>
      <c r="DLK25" s="1221"/>
      <c r="DLL25" s="1221"/>
      <c r="DLM25" s="1221"/>
      <c r="DLN25" s="1221"/>
      <c r="DLO25" s="1221"/>
      <c r="DLP25" s="1221"/>
      <c r="DLQ25" s="1221"/>
      <c r="DLR25" s="1221"/>
      <c r="DLS25" s="1221"/>
      <c r="DLT25" s="1221"/>
      <c r="DLU25" s="1221"/>
      <c r="DLV25" s="1221"/>
      <c r="DLW25" s="1221"/>
      <c r="DLX25" s="1221"/>
      <c r="DLY25" s="1221"/>
      <c r="DLZ25" s="1221"/>
      <c r="DMA25" s="1221"/>
      <c r="DMB25" s="1221"/>
      <c r="DMC25" s="1221"/>
      <c r="DMD25" s="1221"/>
      <c r="DME25" s="1221"/>
      <c r="DMF25" s="1221"/>
      <c r="DMG25" s="1221"/>
      <c r="DMH25" s="1221"/>
      <c r="DMI25" s="1221"/>
      <c r="DMJ25" s="1221"/>
      <c r="DMK25" s="1221"/>
      <c r="DML25" s="1221"/>
      <c r="DMM25" s="1221"/>
      <c r="DMN25" s="1221"/>
      <c r="DMO25" s="1221"/>
      <c r="DMP25" s="1221"/>
      <c r="DMQ25" s="1221"/>
      <c r="DMR25" s="1221"/>
      <c r="DMS25" s="1221"/>
      <c r="DMT25" s="1221"/>
      <c r="DMU25" s="1221"/>
      <c r="DMV25" s="1221"/>
      <c r="DMW25" s="1221"/>
      <c r="DMX25" s="1221"/>
      <c r="DMY25" s="1221"/>
      <c r="DMZ25" s="1221"/>
      <c r="DNA25" s="1221"/>
      <c r="DNB25" s="1221"/>
      <c r="DNC25" s="1221"/>
      <c r="DND25" s="1221"/>
      <c r="DNE25" s="1221"/>
      <c r="DNF25" s="1221"/>
      <c r="DNG25" s="1221"/>
      <c r="DNH25" s="1221"/>
      <c r="DNI25" s="1221"/>
      <c r="DNJ25" s="1221"/>
      <c r="DNK25" s="1221"/>
      <c r="DNL25" s="1221"/>
      <c r="DNM25" s="1221"/>
      <c r="DNN25" s="1221"/>
      <c r="DNO25" s="1221"/>
      <c r="DNP25" s="1221"/>
      <c r="DNQ25" s="1221"/>
      <c r="DNR25" s="1221"/>
      <c r="DNS25" s="1221"/>
      <c r="DNT25" s="1221"/>
      <c r="DNU25" s="1221"/>
      <c r="DNV25" s="1221"/>
      <c r="DNW25" s="1221"/>
      <c r="DNX25" s="1221"/>
      <c r="DNY25" s="1221"/>
      <c r="DNZ25" s="1221"/>
      <c r="DOA25" s="1221"/>
      <c r="DOB25" s="1221"/>
      <c r="DOC25" s="1221"/>
      <c r="DOD25" s="1221"/>
      <c r="DOE25" s="1221"/>
      <c r="DOF25" s="1221"/>
      <c r="DOG25" s="1221"/>
      <c r="DOH25" s="1221"/>
      <c r="DOI25" s="1221"/>
      <c r="DOJ25" s="1221"/>
      <c r="DOK25" s="1221"/>
      <c r="DOL25" s="1221"/>
      <c r="DOM25" s="1221"/>
      <c r="DON25" s="1221"/>
      <c r="DOO25" s="1221"/>
      <c r="DOP25" s="1221"/>
      <c r="DOQ25" s="1221"/>
      <c r="DOR25" s="1221"/>
      <c r="DOS25" s="1221"/>
      <c r="DOT25" s="1221"/>
      <c r="DOU25" s="1221"/>
      <c r="DOV25" s="1221"/>
      <c r="DOW25" s="1221"/>
      <c r="DOX25" s="1221"/>
      <c r="DOY25" s="1221"/>
      <c r="DOZ25" s="1221"/>
      <c r="DPA25" s="1221"/>
      <c r="DPB25" s="1221"/>
      <c r="DPC25" s="1221"/>
      <c r="DPD25" s="1221"/>
      <c r="DPE25" s="1221"/>
      <c r="DPF25" s="1221"/>
      <c r="DPG25" s="1221"/>
      <c r="DPH25" s="1221"/>
      <c r="DPI25" s="1221"/>
      <c r="DPJ25" s="1221"/>
      <c r="DPK25" s="1221"/>
      <c r="DPL25" s="1221"/>
      <c r="DPM25" s="1221"/>
      <c r="DPN25" s="1221"/>
      <c r="DPO25" s="1221"/>
      <c r="DPP25" s="1221"/>
      <c r="DPQ25" s="1221"/>
      <c r="DPR25" s="1221"/>
      <c r="DPS25" s="1221"/>
      <c r="DPT25" s="1221"/>
      <c r="DPU25" s="1221"/>
      <c r="DPV25" s="1221"/>
      <c r="DPW25" s="1221"/>
      <c r="DPX25" s="1221"/>
      <c r="DPY25" s="1221"/>
      <c r="DPZ25" s="1221"/>
      <c r="DQA25" s="1221"/>
      <c r="DQB25" s="1221"/>
      <c r="DQC25" s="1221"/>
      <c r="DQD25" s="1221"/>
      <c r="DQE25" s="1221"/>
      <c r="DQF25" s="1221"/>
      <c r="DQG25" s="1221"/>
      <c r="DQH25" s="1221"/>
      <c r="DQI25" s="1221"/>
      <c r="DQJ25" s="1221"/>
      <c r="DQK25" s="1221"/>
      <c r="DQL25" s="1221"/>
      <c r="DQM25" s="1221"/>
      <c r="DQN25" s="1221"/>
      <c r="DQO25" s="1221"/>
      <c r="DQP25" s="1221"/>
      <c r="DQQ25" s="1221"/>
      <c r="DQR25" s="1221"/>
      <c r="DQS25" s="1221"/>
      <c r="DQT25" s="1221"/>
      <c r="DQU25" s="1221"/>
      <c r="DQV25" s="1221"/>
      <c r="DQW25" s="1221"/>
      <c r="DQX25" s="1221"/>
      <c r="DQY25" s="1221"/>
      <c r="DQZ25" s="1221"/>
      <c r="DRA25" s="1221"/>
      <c r="DRB25" s="1221"/>
      <c r="DRC25" s="1221"/>
      <c r="DRD25" s="1221"/>
      <c r="DRE25" s="1221"/>
      <c r="DRF25" s="1221"/>
      <c r="DRG25" s="1221"/>
      <c r="DRH25" s="1221"/>
      <c r="DRI25" s="1221"/>
      <c r="DRJ25" s="1221"/>
      <c r="DRK25" s="1221"/>
      <c r="DRL25" s="1221"/>
      <c r="DRM25" s="1221"/>
      <c r="DRN25" s="1221"/>
      <c r="DRO25" s="1221"/>
      <c r="DRP25" s="1221"/>
      <c r="DRQ25" s="1221"/>
      <c r="DRR25" s="1221"/>
      <c r="DRS25" s="1221"/>
      <c r="DRT25" s="1221"/>
      <c r="DRU25" s="1221"/>
      <c r="DRV25" s="1221"/>
      <c r="DRW25" s="1221"/>
      <c r="DRX25" s="1221"/>
      <c r="DRY25" s="1221"/>
      <c r="DRZ25" s="1221"/>
      <c r="DSA25" s="1221"/>
      <c r="DSB25" s="1221"/>
      <c r="DSC25" s="1221"/>
      <c r="DSD25" s="1221"/>
      <c r="DSE25" s="1221"/>
      <c r="DSF25" s="1221"/>
      <c r="DSG25" s="1221"/>
      <c r="DSH25" s="1221"/>
      <c r="DSI25" s="1221"/>
      <c r="DSJ25" s="1221"/>
      <c r="DSK25" s="1221"/>
      <c r="DSL25" s="1221"/>
      <c r="DSM25" s="1221"/>
      <c r="DSN25" s="1221"/>
      <c r="DSO25" s="1221"/>
      <c r="DSP25" s="1221"/>
      <c r="DSQ25" s="1221"/>
      <c r="DSR25" s="1221"/>
      <c r="DSS25" s="1221"/>
      <c r="DST25" s="1221"/>
      <c r="DSU25" s="1221"/>
      <c r="DSV25" s="1221"/>
      <c r="DSW25" s="1221"/>
      <c r="DSX25" s="1221"/>
      <c r="DSY25" s="1221"/>
      <c r="DSZ25" s="1221"/>
      <c r="DTA25" s="1221"/>
      <c r="DTB25" s="1221"/>
      <c r="DTC25" s="1221"/>
      <c r="DTD25" s="1221"/>
      <c r="DTE25" s="1221"/>
      <c r="DTF25" s="1221"/>
      <c r="DTG25" s="1221"/>
      <c r="DTH25" s="1221"/>
      <c r="DTI25" s="1221"/>
      <c r="DTJ25" s="1221"/>
      <c r="DTK25" s="1221"/>
      <c r="DTL25" s="1221"/>
      <c r="DTM25" s="1221"/>
      <c r="DTN25" s="1221"/>
      <c r="DTO25" s="1221"/>
      <c r="DTP25" s="1221"/>
      <c r="DTQ25" s="1221"/>
      <c r="DTR25" s="1221"/>
      <c r="DTS25" s="1221"/>
      <c r="DTT25" s="1221"/>
      <c r="DTU25" s="1221"/>
      <c r="DTV25" s="1221"/>
      <c r="DTW25" s="1221"/>
      <c r="DTX25" s="1221"/>
      <c r="DTY25" s="1221"/>
      <c r="DTZ25" s="1221"/>
      <c r="DUA25" s="1221"/>
      <c r="DUB25" s="1221"/>
      <c r="DUC25" s="1221"/>
      <c r="DUD25" s="1221"/>
      <c r="DUE25" s="1221"/>
      <c r="DUF25" s="1221"/>
      <c r="DUG25" s="1221"/>
      <c r="DUH25" s="1221"/>
      <c r="DUI25" s="1221"/>
      <c r="DUJ25" s="1221"/>
      <c r="DUK25" s="1221"/>
      <c r="DUL25" s="1221"/>
      <c r="DUM25" s="1221"/>
      <c r="DUN25" s="1221"/>
      <c r="DUO25" s="1221"/>
      <c r="DUP25" s="1221"/>
      <c r="DUQ25" s="1221"/>
      <c r="DUR25" s="1221"/>
      <c r="DUS25" s="1221"/>
      <c r="DUT25" s="1221"/>
      <c r="DUU25" s="1221"/>
      <c r="DUV25" s="1221"/>
      <c r="DUW25" s="1221"/>
      <c r="DUX25" s="1221"/>
      <c r="DUY25" s="1221"/>
      <c r="DUZ25" s="1221"/>
      <c r="DVA25" s="1221"/>
      <c r="DVB25" s="1221"/>
      <c r="DVC25" s="1221"/>
      <c r="DVD25" s="1221"/>
      <c r="DVE25" s="1221"/>
      <c r="DVF25" s="1221"/>
      <c r="DVG25" s="1221"/>
      <c r="DVH25" s="1221"/>
      <c r="DVI25" s="1221"/>
      <c r="DVJ25" s="1221"/>
      <c r="DVK25" s="1221"/>
      <c r="DVL25" s="1221"/>
      <c r="DVM25" s="1221"/>
      <c r="DVN25" s="1221"/>
      <c r="DVO25" s="1221"/>
      <c r="DVP25" s="1221"/>
      <c r="DVQ25" s="1221"/>
      <c r="DVR25" s="1221"/>
      <c r="DVS25" s="1221"/>
      <c r="DVT25" s="1221"/>
      <c r="DVU25" s="1221"/>
      <c r="DVV25" s="1221"/>
      <c r="DVW25" s="1221"/>
      <c r="DVX25" s="1221"/>
      <c r="DVY25" s="1221"/>
      <c r="DVZ25" s="1221"/>
      <c r="DWA25" s="1221"/>
      <c r="DWB25" s="1221"/>
      <c r="DWC25" s="1221"/>
      <c r="DWD25" s="1221"/>
      <c r="DWE25" s="1221"/>
      <c r="DWF25" s="1221"/>
      <c r="DWG25" s="1221"/>
      <c r="DWH25" s="1221"/>
      <c r="DWI25" s="1221"/>
      <c r="DWJ25" s="1221"/>
      <c r="DWK25" s="1221"/>
      <c r="DWL25" s="1221"/>
      <c r="DWM25" s="1221"/>
      <c r="DWN25" s="1221"/>
      <c r="DWO25" s="1221"/>
      <c r="DWP25" s="1221"/>
      <c r="DWQ25" s="1221"/>
      <c r="DWR25" s="1221"/>
      <c r="DWS25" s="1221"/>
      <c r="DWT25" s="1221"/>
      <c r="DWU25" s="1221"/>
      <c r="DWV25" s="1221"/>
      <c r="DWW25" s="1221"/>
      <c r="DWX25" s="1221"/>
      <c r="DWY25" s="1221"/>
      <c r="DWZ25" s="1221"/>
      <c r="DXA25" s="1221"/>
      <c r="DXB25" s="1221"/>
      <c r="DXC25" s="1221"/>
      <c r="DXD25" s="1221"/>
      <c r="DXE25" s="1221"/>
      <c r="DXF25" s="1221"/>
      <c r="DXG25" s="1221"/>
      <c r="DXH25" s="1221"/>
      <c r="DXI25" s="1221"/>
      <c r="DXJ25" s="1221"/>
      <c r="DXK25" s="1221"/>
      <c r="DXL25" s="1221"/>
      <c r="DXM25" s="1221"/>
      <c r="DXN25" s="1221"/>
      <c r="DXO25" s="1221"/>
      <c r="DXP25" s="1221"/>
      <c r="DXQ25" s="1221"/>
      <c r="DXR25" s="1221"/>
      <c r="DXS25" s="1221"/>
      <c r="DXT25" s="1221"/>
      <c r="DXU25" s="1221"/>
      <c r="DXV25" s="1221"/>
      <c r="DXW25" s="1221"/>
      <c r="DXX25" s="1221"/>
      <c r="DXY25" s="1221"/>
      <c r="DXZ25" s="1221"/>
      <c r="DYA25" s="1221"/>
      <c r="DYB25" s="1221"/>
      <c r="DYC25" s="1221"/>
      <c r="DYD25" s="1221"/>
      <c r="DYE25" s="1221"/>
      <c r="DYF25" s="1221"/>
      <c r="DYG25" s="1221"/>
      <c r="DYH25" s="1221"/>
      <c r="DYI25" s="1221"/>
      <c r="DYJ25" s="1221"/>
      <c r="DYK25" s="1221"/>
      <c r="DYL25" s="1221"/>
      <c r="DYM25" s="1221"/>
      <c r="DYN25" s="1221"/>
      <c r="DYO25" s="1221"/>
      <c r="DYP25" s="1221"/>
      <c r="DYQ25" s="1221"/>
      <c r="DYR25" s="1221"/>
      <c r="DYS25" s="1221"/>
      <c r="DYT25" s="1221"/>
      <c r="DYU25" s="1221"/>
      <c r="DYV25" s="1221"/>
      <c r="DYW25" s="1221"/>
      <c r="DYX25" s="1221"/>
      <c r="DYY25" s="1221"/>
      <c r="DYZ25" s="1221"/>
      <c r="DZA25" s="1221"/>
      <c r="DZB25" s="1221"/>
      <c r="DZC25" s="1221"/>
      <c r="DZD25" s="1221"/>
      <c r="DZE25" s="1221"/>
      <c r="DZF25" s="1221"/>
      <c r="DZG25" s="1221"/>
      <c r="DZH25" s="1221"/>
      <c r="DZI25" s="1221"/>
      <c r="DZJ25" s="1221"/>
      <c r="DZK25" s="1221"/>
      <c r="DZL25" s="1221"/>
      <c r="DZM25" s="1221"/>
      <c r="DZN25" s="1221"/>
      <c r="DZO25" s="1221"/>
      <c r="DZP25" s="1221"/>
      <c r="DZQ25" s="1221"/>
      <c r="DZR25" s="1221"/>
      <c r="DZS25" s="1221"/>
      <c r="DZT25" s="1221"/>
      <c r="DZU25" s="1221"/>
      <c r="DZV25" s="1221"/>
      <c r="DZW25" s="1221"/>
      <c r="DZX25" s="1221"/>
      <c r="DZY25" s="1221"/>
      <c r="DZZ25" s="1221"/>
      <c r="EAA25" s="1221"/>
      <c r="EAB25" s="1221"/>
      <c r="EAC25" s="1221"/>
      <c r="EAD25" s="1221"/>
      <c r="EAE25" s="1221"/>
      <c r="EAF25" s="1221"/>
      <c r="EAG25" s="1221"/>
      <c r="EAH25" s="1221"/>
      <c r="EAI25" s="1221"/>
      <c r="EAJ25" s="1221"/>
      <c r="EAK25" s="1221"/>
      <c r="EAL25" s="1221"/>
      <c r="EAM25" s="1221"/>
      <c r="EAN25" s="1221"/>
      <c r="EAO25" s="1221"/>
      <c r="EAP25" s="1221"/>
      <c r="EAQ25" s="1221"/>
      <c r="EAR25" s="1221"/>
      <c r="EAS25" s="1221"/>
      <c r="EAT25" s="1221"/>
      <c r="EAU25" s="1221"/>
      <c r="EAV25" s="1221"/>
      <c r="EAW25" s="1221"/>
      <c r="EAX25" s="1221"/>
      <c r="EAY25" s="1221"/>
      <c r="EAZ25" s="1221"/>
      <c r="EBA25" s="1221"/>
      <c r="EBB25" s="1221"/>
      <c r="EBC25" s="1221"/>
      <c r="EBD25" s="1221"/>
      <c r="EBE25" s="1221"/>
      <c r="EBF25" s="1221"/>
      <c r="EBG25" s="1221"/>
      <c r="EBH25" s="1221"/>
      <c r="EBI25" s="1221"/>
      <c r="EBJ25" s="1221"/>
      <c r="EBK25" s="1221"/>
      <c r="EBL25" s="1221"/>
      <c r="EBM25" s="1221"/>
      <c r="EBN25" s="1221"/>
      <c r="EBO25" s="1221"/>
      <c r="EBP25" s="1221"/>
      <c r="EBQ25" s="1221"/>
      <c r="EBR25" s="1221"/>
      <c r="EBS25" s="1221"/>
      <c r="EBT25" s="1221"/>
      <c r="EBU25" s="1221"/>
      <c r="EBV25" s="1221"/>
      <c r="EBW25" s="1221"/>
      <c r="EBX25" s="1221"/>
      <c r="EBY25" s="1221"/>
      <c r="EBZ25" s="1221"/>
      <c r="ECA25" s="1221"/>
      <c r="ECB25" s="1221"/>
      <c r="ECC25" s="1221"/>
      <c r="ECD25" s="1221"/>
      <c r="ECE25" s="1221"/>
      <c r="ECF25" s="1221"/>
      <c r="ECG25" s="1221"/>
      <c r="ECH25" s="1221"/>
      <c r="ECI25" s="1221"/>
      <c r="ECJ25" s="1221"/>
      <c r="ECK25" s="1221"/>
      <c r="ECL25" s="1221"/>
      <c r="ECM25" s="1221"/>
      <c r="ECN25" s="1221"/>
      <c r="ECO25" s="1221"/>
    </row>
    <row r="26" spans="2:3473" s="1237" customFormat="1" ht="13">
      <c r="B26" s="1238">
        <v>5001.05</v>
      </c>
      <c r="C26" s="1239" t="s">
        <v>379</v>
      </c>
      <c r="D26" s="1240" t="s">
        <v>498</v>
      </c>
      <c r="E26" s="1241">
        <f t="shared" si="47"/>
        <v>35.761773825312602</v>
      </c>
      <c r="F26" s="1241">
        <f t="shared" si="47"/>
        <v>32.054554253501358</v>
      </c>
      <c r="G26" s="1241">
        <f t="shared" si="47"/>
        <v>3.7072195718112426</v>
      </c>
      <c r="H26" s="1241">
        <f t="shared" si="47"/>
        <v>707.15625626100928</v>
      </c>
      <c r="I26" s="1241">
        <f t="shared" si="47"/>
        <v>637.18619422128404</v>
      </c>
      <c r="J26" s="1241">
        <f t="shared" si="47"/>
        <v>69.970062039725349</v>
      </c>
      <c r="K26" s="1241">
        <f t="shared" si="47"/>
        <v>18.14346196151121</v>
      </c>
      <c r="L26" s="1241">
        <f t="shared" si="47"/>
        <v>16.294873975456241</v>
      </c>
      <c r="M26" s="1241">
        <f t="shared" si="47"/>
        <v>1.8485879860549683</v>
      </c>
      <c r="N26" s="1241" t="str">
        <f t="shared" si="47"/>
        <v/>
      </c>
      <c r="O26" s="1241" t="str">
        <f t="shared" si="47"/>
        <v/>
      </c>
      <c r="P26" s="1241" t="str">
        <f t="shared" si="47"/>
        <v/>
      </c>
      <c r="Q26" s="1241">
        <f t="shared" si="47"/>
        <v>687.84876563134253</v>
      </c>
      <c r="R26" s="1241">
        <f t="shared" si="47"/>
        <v>619.79239562797284</v>
      </c>
      <c r="S26" s="1241">
        <f t="shared" si="8"/>
        <v>68.056370003369693</v>
      </c>
      <c r="T26" s="1241">
        <f t="shared" si="5"/>
        <v>881.71822500070812</v>
      </c>
      <c r="U26" s="1241">
        <f t="shared" si="5"/>
        <v>796.93106248760535</v>
      </c>
      <c r="V26" s="1241">
        <f t="shared" si="9"/>
        <v>84.787162513102828</v>
      </c>
      <c r="W26" s="1241" t="str">
        <f t="shared" si="10"/>
        <v/>
      </c>
      <c r="X26" s="1241" t="str">
        <f t="shared" si="10"/>
        <v/>
      </c>
      <c r="Y26" s="1241" t="str">
        <f t="shared" si="10"/>
        <v/>
      </c>
      <c r="Z26" s="1242">
        <f t="shared" si="11"/>
        <v>532.94005559000482</v>
      </c>
      <c r="AA26" s="1242">
        <f t="shared" si="11"/>
        <v>480.19445012481879</v>
      </c>
      <c r="AB26" s="1242">
        <f t="shared" si="11"/>
        <v>52.745605465186031</v>
      </c>
      <c r="AC26" s="1242">
        <f t="shared" si="15"/>
        <v>708.04186440581793</v>
      </c>
      <c r="AD26" s="1243">
        <f t="shared" si="15"/>
        <v>637.96625938971715</v>
      </c>
      <c r="AE26" s="1243">
        <f t="shared" si="15"/>
        <v>70.075605016100866</v>
      </c>
      <c r="AF26" s="1244">
        <f>SUM(AF27:AF30)</f>
        <v>87.851801390881747</v>
      </c>
      <c r="AG26" s="1245">
        <f t="shared" ref="AG26:BL26" si="48">SUM(AG27:AG30)</f>
        <v>78.744705106283391</v>
      </c>
      <c r="AH26" s="1245">
        <f t="shared" si="48"/>
        <v>9.1070962845983505</v>
      </c>
      <c r="AI26" s="1245">
        <f t="shared" si="48"/>
        <v>3053.072885</v>
      </c>
      <c r="AJ26" s="1245">
        <f t="shared" si="48"/>
        <v>2750.9844890000004</v>
      </c>
      <c r="AK26" s="1245">
        <f t="shared" si="48"/>
        <v>302.08839599999999</v>
      </c>
      <c r="AL26" s="1245">
        <f t="shared" si="48"/>
        <v>17.072017958836128</v>
      </c>
      <c r="AM26" s="1245">
        <f t="shared" si="48"/>
        <v>15.332596487709647</v>
      </c>
      <c r="AN26" s="1245">
        <f t="shared" si="48"/>
        <v>1.7394214711264779</v>
      </c>
      <c r="AO26" s="1245">
        <f t="shared" si="48"/>
        <v>0</v>
      </c>
      <c r="AP26" s="1245">
        <f t="shared" si="48"/>
        <v>0</v>
      </c>
      <c r="AQ26" s="1245">
        <f t="shared" si="48"/>
        <v>0</v>
      </c>
      <c r="AR26" s="1245">
        <f t="shared" si="48"/>
        <v>4070.302424</v>
      </c>
      <c r="AS26" s="1245">
        <f t="shared" si="48"/>
        <v>3667.5830740000001</v>
      </c>
      <c r="AT26" s="1245">
        <f t="shared" si="48"/>
        <v>402.71934999999996</v>
      </c>
      <c r="AU26" s="1245">
        <f t="shared" si="48"/>
        <v>93.36778799999999</v>
      </c>
      <c r="AV26" s="1245">
        <f t="shared" si="48"/>
        <v>84.389420999999999</v>
      </c>
      <c r="AW26" s="1245">
        <f t="shared" si="48"/>
        <v>8.9783669999999987</v>
      </c>
      <c r="AX26" s="1245"/>
      <c r="AY26" s="1245"/>
      <c r="AZ26" s="1245"/>
      <c r="BA26" s="1245">
        <f t="shared" si="48"/>
        <v>7321.6669163497163</v>
      </c>
      <c r="BB26" s="1245">
        <f t="shared" si="48"/>
        <v>6597.0342855939925</v>
      </c>
      <c r="BC26" s="1245">
        <f t="shared" si="48"/>
        <v>724.63263075572479</v>
      </c>
      <c r="BD26" s="1245">
        <f t="shared" si="48"/>
        <v>0</v>
      </c>
      <c r="BE26" s="1245">
        <f t="shared" si="48"/>
        <v>0</v>
      </c>
      <c r="BF26" s="1245">
        <f t="shared" si="48"/>
        <v>0</v>
      </c>
      <c r="BG26" s="1245">
        <f t="shared" si="48"/>
        <v>0</v>
      </c>
      <c r="BH26" s="1245">
        <f t="shared" si="48"/>
        <v>0</v>
      </c>
      <c r="BI26" s="1245">
        <f t="shared" si="48"/>
        <v>0</v>
      </c>
      <c r="BJ26" s="1245">
        <f t="shared" si="48"/>
        <v>7321.6669163497163</v>
      </c>
      <c r="BK26" s="1245">
        <f t="shared" si="48"/>
        <v>6597.0342855939925</v>
      </c>
      <c r="BL26" s="1245">
        <f t="shared" si="48"/>
        <v>724.63263075572479</v>
      </c>
      <c r="BM26" s="1246"/>
      <c r="BN26" s="1225">
        <f t="shared" si="12"/>
        <v>0</v>
      </c>
      <c r="BO26" s="1225">
        <f t="shared" si="13"/>
        <v>9.0949470177292824E-13</v>
      </c>
      <c r="BP26" s="1225">
        <f t="shared" si="14"/>
        <v>0</v>
      </c>
      <c r="BQ26" s="1247"/>
      <c r="BR26" s="1247"/>
      <c r="BS26" s="1247"/>
      <c r="BT26" s="1247"/>
      <c r="BU26" s="1247"/>
      <c r="BV26" s="1247"/>
      <c r="BW26" s="1247"/>
      <c r="BX26" s="1247"/>
      <c r="BY26" s="1247"/>
      <c r="BZ26" s="1247"/>
      <c r="CA26" s="1247"/>
      <c r="CB26" s="1247"/>
      <c r="CC26" s="1247"/>
      <c r="CD26" s="1247"/>
      <c r="CE26" s="1247"/>
      <c r="CF26" s="1247"/>
      <c r="CG26" s="1247"/>
      <c r="CH26" s="1247"/>
      <c r="CI26" s="1247"/>
      <c r="CJ26" s="1247"/>
      <c r="CK26" s="1247"/>
      <c r="CL26" s="1247"/>
      <c r="CM26" s="1247"/>
      <c r="CN26" s="1247"/>
      <c r="CO26" s="1247"/>
      <c r="CP26" s="1247"/>
      <c r="CQ26" s="1247"/>
      <c r="CR26" s="1247"/>
      <c r="CS26" s="1247"/>
      <c r="CT26" s="1247"/>
      <c r="CU26" s="1247"/>
      <c r="CV26" s="1247"/>
      <c r="CW26" s="1247"/>
      <c r="CX26" s="1247"/>
      <c r="CY26" s="1247"/>
      <c r="CZ26" s="1247"/>
      <c r="DA26" s="1247"/>
      <c r="DB26" s="1247"/>
      <c r="DC26" s="1247"/>
      <c r="DD26" s="1247"/>
      <c r="DE26" s="1247"/>
      <c r="DF26" s="1247"/>
      <c r="DG26" s="1247"/>
      <c r="DH26" s="1247"/>
      <c r="DI26" s="1247"/>
      <c r="DJ26" s="1247"/>
      <c r="DK26" s="1247"/>
      <c r="DL26" s="1247"/>
      <c r="DM26" s="1247"/>
      <c r="DN26" s="1247"/>
      <c r="DO26" s="1247"/>
      <c r="DP26" s="1247"/>
      <c r="DQ26" s="1247"/>
      <c r="DR26" s="1247"/>
      <c r="DS26" s="1247"/>
      <c r="DT26" s="1247"/>
      <c r="DU26" s="1247"/>
      <c r="DV26" s="1247"/>
      <c r="DW26" s="1247"/>
      <c r="DX26" s="1247"/>
      <c r="DY26" s="1247"/>
      <c r="DZ26" s="1247"/>
      <c r="EA26" s="1247"/>
      <c r="EB26" s="1247"/>
      <c r="EC26" s="1247"/>
      <c r="ED26" s="1247"/>
      <c r="EE26" s="1247"/>
      <c r="EF26" s="1247"/>
      <c r="EG26" s="1247"/>
      <c r="EH26" s="1247"/>
      <c r="EI26" s="1247"/>
      <c r="EJ26" s="1247"/>
      <c r="EK26" s="1247"/>
      <c r="EL26" s="1247"/>
      <c r="EM26" s="1247"/>
      <c r="EN26" s="1247"/>
      <c r="EO26" s="1247"/>
      <c r="EP26" s="1247"/>
      <c r="EQ26" s="1247"/>
      <c r="ER26" s="1247"/>
      <c r="ES26" s="1247"/>
      <c r="ET26" s="1247"/>
      <c r="EU26" s="1247"/>
      <c r="EV26" s="1247"/>
      <c r="EW26" s="1247"/>
      <c r="EX26" s="1247"/>
      <c r="EY26" s="1247"/>
      <c r="EZ26" s="1247"/>
      <c r="FA26" s="1247"/>
      <c r="FB26" s="1247"/>
      <c r="FC26" s="1247"/>
      <c r="FD26" s="1247"/>
      <c r="FE26" s="1247"/>
      <c r="FF26" s="1247"/>
      <c r="FG26" s="1247"/>
      <c r="FH26" s="1247"/>
      <c r="FI26" s="1247"/>
      <c r="FJ26" s="1247"/>
      <c r="FK26" s="1247"/>
      <c r="FL26" s="1247"/>
      <c r="FM26" s="1247"/>
      <c r="FN26" s="1247"/>
      <c r="FO26" s="1247"/>
      <c r="FP26" s="1247"/>
      <c r="FQ26" s="1247"/>
      <c r="FR26" s="1247"/>
      <c r="FS26" s="1247"/>
      <c r="FT26" s="1247"/>
      <c r="FU26" s="1247"/>
      <c r="FV26" s="1247"/>
      <c r="FW26" s="1247"/>
      <c r="FX26" s="1247"/>
      <c r="FY26" s="1247"/>
      <c r="FZ26" s="1247"/>
      <c r="GA26" s="1247"/>
      <c r="GB26" s="1247"/>
      <c r="GC26" s="1247"/>
      <c r="GD26" s="1247"/>
      <c r="GE26" s="1247"/>
      <c r="GF26" s="1247"/>
      <c r="GG26" s="1247"/>
      <c r="GH26" s="1247"/>
      <c r="GI26" s="1247"/>
      <c r="GJ26" s="1247"/>
      <c r="GK26" s="1247"/>
      <c r="GL26" s="1247"/>
      <c r="GM26" s="1247"/>
      <c r="GN26" s="1247"/>
      <c r="GO26" s="1247"/>
      <c r="GP26" s="1247"/>
      <c r="GQ26" s="1247"/>
      <c r="GR26" s="1247"/>
      <c r="GS26" s="1247"/>
      <c r="GT26" s="1247"/>
      <c r="GU26" s="1247"/>
      <c r="GV26" s="1247"/>
      <c r="GW26" s="1247"/>
      <c r="GX26" s="1247"/>
      <c r="GY26" s="1247"/>
      <c r="GZ26" s="1247"/>
      <c r="HA26" s="1247"/>
      <c r="HB26" s="1247"/>
      <c r="HC26" s="1247"/>
      <c r="HD26" s="1247"/>
      <c r="HE26" s="1247"/>
      <c r="HF26" s="1247"/>
      <c r="HG26" s="1247"/>
      <c r="HH26" s="1247"/>
      <c r="HI26" s="1247"/>
      <c r="HJ26" s="1247"/>
      <c r="HK26" s="1247"/>
      <c r="HL26" s="1247"/>
      <c r="HM26" s="1247"/>
      <c r="HN26" s="1247"/>
      <c r="HO26" s="1247"/>
      <c r="HP26" s="1247"/>
      <c r="HQ26" s="1247"/>
      <c r="HR26" s="1247"/>
      <c r="HS26" s="1247"/>
      <c r="HT26" s="1247"/>
      <c r="HU26" s="1247"/>
      <c r="HV26" s="1247"/>
      <c r="HW26" s="1247"/>
      <c r="HX26" s="1247"/>
      <c r="HY26" s="1247"/>
      <c r="HZ26" s="1247"/>
      <c r="IA26" s="1247"/>
      <c r="IB26" s="1247"/>
      <c r="IC26" s="1247"/>
      <c r="ID26" s="1247"/>
      <c r="IE26" s="1247"/>
      <c r="IF26" s="1247"/>
      <c r="IG26" s="1247"/>
      <c r="IH26" s="1247"/>
      <c r="II26" s="1247"/>
      <c r="IJ26" s="1247"/>
      <c r="IK26" s="1247"/>
      <c r="IL26" s="1247"/>
      <c r="IM26" s="1247"/>
      <c r="IN26" s="1247"/>
      <c r="IO26" s="1247"/>
      <c r="IP26" s="1247"/>
      <c r="IQ26" s="1247"/>
      <c r="IR26" s="1247"/>
      <c r="IS26" s="1247"/>
      <c r="IT26" s="1247"/>
      <c r="IU26" s="1247"/>
      <c r="IV26" s="1247"/>
      <c r="IW26" s="1247"/>
      <c r="IX26" s="1247"/>
      <c r="IY26" s="1247"/>
      <c r="IZ26" s="1247"/>
      <c r="JA26" s="1247"/>
      <c r="JB26" s="1247"/>
      <c r="JC26" s="1247"/>
      <c r="JD26" s="1247"/>
      <c r="JE26" s="1247"/>
      <c r="JF26" s="1247"/>
      <c r="JG26" s="1247"/>
      <c r="JH26" s="1247"/>
      <c r="JI26" s="1247"/>
      <c r="JJ26" s="1247"/>
      <c r="JK26" s="1247"/>
      <c r="JL26" s="1247"/>
      <c r="JM26" s="1247"/>
      <c r="JN26" s="1247"/>
      <c r="JO26" s="1247"/>
      <c r="JP26" s="1247"/>
      <c r="JQ26" s="1247"/>
      <c r="JR26" s="1247"/>
      <c r="JS26" s="1247"/>
      <c r="JT26" s="1247"/>
      <c r="JU26" s="1247"/>
      <c r="JV26" s="1247"/>
      <c r="JW26" s="1247"/>
      <c r="JX26" s="1247"/>
      <c r="JY26" s="1247"/>
      <c r="JZ26" s="1247"/>
      <c r="KA26" s="1247"/>
      <c r="KB26" s="1247"/>
      <c r="KC26" s="1247"/>
      <c r="KD26" s="1247"/>
      <c r="KE26" s="1247"/>
      <c r="KF26" s="1247"/>
      <c r="KG26" s="1247"/>
      <c r="KH26" s="1247"/>
      <c r="KI26" s="1247"/>
      <c r="KJ26" s="1247"/>
      <c r="KK26" s="1247"/>
      <c r="KL26" s="1247"/>
      <c r="KM26" s="1247"/>
      <c r="KN26" s="1247"/>
      <c r="KO26" s="1247"/>
      <c r="KP26" s="1247"/>
      <c r="KQ26" s="1247"/>
      <c r="KR26" s="1247"/>
      <c r="KS26" s="1247"/>
      <c r="KT26" s="1247"/>
      <c r="KU26" s="1247"/>
      <c r="KV26" s="1247"/>
      <c r="KW26" s="1247"/>
      <c r="KX26" s="1247"/>
      <c r="KY26" s="1247"/>
      <c r="KZ26" s="1247"/>
      <c r="LA26" s="1247"/>
      <c r="LB26" s="1247"/>
      <c r="LC26" s="1247"/>
      <c r="LD26" s="1247"/>
      <c r="LE26" s="1247"/>
      <c r="LF26" s="1247"/>
      <c r="LG26" s="1247"/>
      <c r="LH26" s="1247"/>
      <c r="LI26" s="1247"/>
      <c r="LJ26" s="1247"/>
      <c r="LK26" s="1247"/>
      <c r="LL26" s="1247"/>
      <c r="LM26" s="1247"/>
      <c r="LN26" s="1247"/>
      <c r="LO26" s="1247"/>
      <c r="LP26" s="1247"/>
      <c r="LQ26" s="1247"/>
      <c r="LR26" s="1247"/>
      <c r="LS26" s="1247"/>
      <c r="LT26" s="1247"/>
      <c r="LU26" s="1247"/>
      <c r="LV26" s="1247"/>
      <c r="LW26" s="1247"/>
      <c r="LX26" s="1247"/>
      <c r="LY26" s="1247"/>
      <c r="LZ26" s="1247"/>
      <c r="MA26" s="1247"/>
      <c r="MB26" s="1247"/>
      <c r="MC26" s="1247"/>
      <c r="MD26" s="1247"/>
      <c r="ME26" s="1247"/>
      <c r="MF26" s="1247"/>
      <c r="MG26" s="1247"/>
      <c r="MH26" s="1247"/>
      <c r="MI26" s="1247"/>
      <c r="MJ26" s="1247"/>
      <c r="MK26" s="1247"/>
      <c r="ML26" s="1247"/>
      <c r="MM26" s="1247"/>
      <c r="MN26" s="1247"/>
      <c r="MO26" s="1247"/>
      <c r="MP26" s="1247"/>
      <c r="MQ26" s="1247"/>
      <c r="MR26" s="1247"/>
      <c r="MS26" s="1247"/>
      <c r="MT26" s="1247"/>
      <c r="MU26" s="1247"/>
      <c r="MV26" s="1247"/>
      <c r="MW26" s="1247"/>
      <c r="MX26" s="1247"/>
      <c r="MY26" s="1247"/>
      <c r="MZ26" s="1247"/>
      <c r="NA26" s="1247"/>
      <c r="NB26" s="1247"/>
      <c r="NC26" s="1247"/>
      <c r="ND26" s="1247"/>
      <c r="NE26" s="1247"/>
      <c r="NF26" s="1247"/>
      <c r="NG26" s="1247"/>
      <c r="NH26" s="1247"/>
      <c r="NI26" s="1247"/>
      <c r="NJ26" s="1247"/>
      <c r="NK26" s="1247"/>
      <c r="NL26" s="1247"/>
      <c r="NM26" s="1247"/>
      <c r="NN26" s="1247"/>
      <c r="NO26" s="1247"/>
      <c r="NP26" s="1247"/>
      <c r="NQ26" s="1247"/>
      <c r="NR26" s="1247"/>
      <c r="NS26" s="1247"/>
      <c r="NT26" s="1247"/>
      <c r="NU26" s="1247"/>
      <c r="NV26" s="1247"/>
      <c r="NW26" s="1247"/>
      <c r="NX26" s="1247"/>
      <c r="NY26" s="1247"/>
      <c r="NZ26" s="1247"/>
      <c r="OA26" s="1247"/>
      <c r="OB26" s="1247"/>
      <c r="OC26" s="1247"/>
      <c r="OD26" s="1247"/>
      <c r="OE26" s="1247"/>
      <c r="OF26" s="1247"/>
      <c r="OG26" s="1247"/>
      <c r="OH26" s="1247"/>
      <c r="OI26" s="1247"/>
      <c r="OJ26" s="1247"/>
      <c r="OK26" s="1247"/>
      <c r="OL26" s="1247"/>
      <c r="OM26" s="1247"/>
      <c r="ON26" s="1247"/>
      <c r="OO26" s="1247"/>
      <c r="OP26" s="1247"/>
      <c r="OQ26" s="1247"/>
      <c r="OR26" s="1247"/>
      <c r="OS26" s="1247"/>
      <c r="OT26" s="1247"/>
      <c r="OU26" s="1247"/>
      <c r="OV26" s="1247"/>
      <c r="OW26" s="1247"/>
      <c r="OX26" s="1247"/>
      <c r="OY26" s="1247"/>
      <c r="OZ26" s="1247"/>
      <c r="PA26" s="1247"/>
      <c r="PB26" s="1247"/>
      <c r="PC26" s="1247"/>
      <c r="PD26" s="1247"/>
      <c r="PE26" s="1247"/>
      <c r="PF26" s="1247"/>
      <c r="PG26" s="1247"/>
      <c r="PH26" s="1247"/>
      <c r="PI26" s="1247"/>
      <c r="PJ26" s="1247"/>
      <c r="PK26" s="1247"/>
      <c r="PL26" s="1247"/>
      <c r="PM26" s="1247"/>
      <c r="PN26" s="1247"/>
      <c r="PO26" s="1247"/>
      <c r="PP26" s="1247"/>
      <c r="PQ26" s="1247"/>
      <c r="PR26" s="1247"/>
      <c r="PS26" s="1247"/>
      <c r="PT26" s="1247"/>
      <c r="PU26" s="1247"/>
      <c r="PV26" s="1247"/>
      <c r="PW26" s="1247"/>
      <c r="PX26" s="1247"/>
      <c r="PY26" s="1247"/>
      <c r="PZ26" s="1247"/>
      <c r="QA26" s="1247"/>
      <c r="QB26" s="1247"/>
      <c r="QC26" s="1247"/>
      <c r="QD26" s="1247"/>
      <c r="QE26" s="1247"/>
      <c r="QF26" s="1247"/>
      <c r="QG26" s="1247"/>
      <c r="QH26" s="1247"/>
      <c r="QI26" s="1247"/>
      <c r="QJ26" s="1247"/>
      <c r="QK26" s="1247"/>
      <c r="QL26" s="1247"/>
      <c r="QM26" s="1247"/>
      <c r="QN26" s="1247"/>
      <c r="QO26" s="1247"/>
      <c r="QP26" s="1247"/>
      <c r="QQ26" s="1247"/>
      <c r="QR26" s="1247"/>
      <c r="QS26" s="1247"/>
      <c r="QT26" s="1247"/>
      <c r="QU26" s="1247"/>
      <c r="QV26" s="1247"/>
      <c r="QW26" s="1247"/>
      <c r="QX26" s="1247"/>
      <c r="QY26" s="1247"/>
      <c r="QZ26" s="1247"/>
      <c r="RA26" s="1247"/>
      <c r="RB26" s="1247"/>
      <c r="RC26" s="1247"/>
      <c r="RD26" s="1247"/>
      <c r="RE26" s="1247"/>
      <c r="RF26" s="1247"/>
      <c r="RG26" s="1247"/>
      <c r="RH26" s="1247"/>
      <c r="RI26" s="1247"/>
      <c r="RJ26" s="1247"/>
      <c r="RK26" s="1247"/>
      <c r="RL26" s="1247"/>
      <c r="RM26" s="1247"/>
      <c r="RN26" s="1247"/>
      <c r="RO26" s="1247"/>
      <c r="RP26" s="1247"/>
      <c r="RQ26" s="1247"/>
      <c r="RR26" s="1247"/>
      <c r="RS26" s="1247"/>
      <c r="RT26" s="1247"/>
      <c r="RU26" s="1247"/>
      <c r="RV26" s="1247"/>
      <c r="RW26" s="1247"/>
      <c r="RX26" s="1247"/>
      <c r="RY26" s="1247"/>
      <c r="RZ26" s="1247"/>
      <c r="SA26" s="1247"/>
      <c r="SB26" s="1247"/>
      <c r="SC26" s="1247"/>
      <c r="SD26" s="1247"/>
      <c r="SE26" s="1247"/>
      <c r="SF26" s="1247"/>
      <c r="SG26" s="1247"/>
      <c r="SH26" s="1247"/>
      <c r="SI26" s="1247"/>
      <c r="SJ26" s="1247"/>
      <c r="SK26" s="1247"/>
      <c r="SL26" s="1247"/>
      <c r="SM26" s="1247"/>
      <c r="SN26" s="1247"/>
      <c r="SO26" s="1247"/>
      <c r="SP26" s="1247"/>
      <c r="SQ26" s="1247"/>
      <c r="SR26" s="1247"/>
      <c r="SS26" s="1247"/>
      <c r="ST26" s="1247"/>
      <c r="SU26" s="1247"/>
      <c r="SV26" s="1247"/>
      <c r="SW26" s="1247"/>
      <c r="SX26" s="1247"/>
      <c r="SY26" s="1247"/>
      <c r="SZ26" s="1247"/>
      <c r="TA26" s="1247"/>
      <c r="TB26" s="1247"/>
      <c r="TC26" s="1247"/>
      <c r="TD26" s="1247"/>
      <c r="TE26" s="1247"/>
      <c r="TF26" s="1247"/>
      <c r="TG26" s="1247"/>
      <c r="TH26" s="1247"/>
      <c r="TI26" s="1247"/>
      <c r="TJ26" s="1247"/>
      <c r="TK26" s="1247"/>
      <c r="TL26" s="1247"/>
      <c r="TM26" s="1247"/>
      <c r="TN26" s="1247"/>
      <c r="TO26" s="1247"/>
      <c r="TP26" s="1247"/>
      <c r="TQ26" s="1247"/>
      <c r="TR26" s="1247"/>
      <c r="TS26" s="1247"/>
      <c r="TT26" s="1247"/>
      <c r="TU26" s="1247"/>
      <c r="TV26" s="1247"/>
      <c r="TW26" s="1247"/>
      <c r="TX26" s="1247"/>
      <c r="TY26" s="1247"/>
      <c r="TZ26" s="1247"/>
      <c r="UA26" s="1247"/>
      <c r="UB26" s="1247"/>
      <c r="UC26" s="1247"/>
      <c r="UD26" s="1247"/>
      <c r="UE26" s="1247"/>
      <c r="UF26" s="1247"/>
      <c r="UG26" s="1247"/>
      <c r="UH26" s="1247"/>
      <c r="UI26" s="1247"/>
      <c r="UJ26" s="1247"/>
      <c r="UK26" s="1247"/>
      <c r="UL26" s="1247"/>
      <c r="UM26" s="1247"/>
      <c r="UN26" s="1247"/>
      <c r="UO26" s="1247"/>
      <c r="UP26" s="1247"/>
      <c r="UQ26" s="1247"/>
      <c r="UR26" s="1247"/>
      <c r="US26" s="1247"/>
      <c r="UT26" s="1247"/>
      <c r="UU26" s="1247"/>
      <c r="UV26" s="1247"/>
      <c r="UW26" s="1247"/>
      <c r="UX26" s="1247"/>
      <c r="UY26" s="1247"/>
      <c r="UZ26" s="1247"/>
      <c r="VA26" s="1247"/>
      <c r="VB26" s="1247"/>
      <c r="VC26" s="1247"/>
      <c r="VD26" s="1247"/>
      <c r="VE26" s="1247"/>
      <c r="VF26" s="1247"/>
      <c r="VG26" s="1247"/>
      <c r="VH26" s="1247"/>
      <c r="VI26" s="1247"/>
      <c r="VJ26" s="1247"/>
      <c r="VK26" s="1247"/>
      <c r="VL26" s="1247"/>
      <c r="VM26" s="1247"/>
      <c r="VN26" s="1247"/>
      <c r="VO26" s="1247"/>
      <c r="VP26" s="1247"/>
      <c r="VQ26" s="1247"/>
      <c r="VR26" s="1247"/>
      <c r="VS26" s="1247"/>
      <c r="VT26" s="1247"/>
      <c r="VU26" s="1247"/>
      <c r="VV26" s="1247"/>
      <c r="VW26" s="1247"/>
      <c r="VX26" s="1247"/>
      <c r="VY26" s="1247"/>
      <c r="VZ26" s="1247"/>
      <c r="WA26" s="1247"/>
      <c r="WB26" s="1247"/>
      <c r="WC26" s="1247"/>
      <c r="WD26" s="1247"/>
      <c r="WE26" s="1247"/>
      <c r="WF26" s="1247"/>
      <c r="WG26" s="1247"/>
      <c r="WH26" s="1247"/>
      <c r="WI26" s="1247"/>
      <c r="WJ26" s="1247"/>
      <c r="WK26" s="1247"/>
      <c r="WL26" s="1247"/>
      <c r="WM26" s="1247"/>
      <c r="WN26" s="1247"/>
      <c r="WO26" s="1247"/>
      <c r="WP26" s="1247"/>
      <c r="WQ26" s="1247"/>
      <c r="WR26" s="1247"/>
      <c r="WS26" s="1247"/>
      <c r="WT26" s="1247"/>
      <c r="WU26" s="1247"/>
      <c r="WV26" s="1247"/>
      <c r="WW26" s="1247"/>
      <c r="WX26" s="1247"/>
      <c r="WY26" s="1247"/>
      <c r="WZ26" s="1247"/>
      <c r="XA26" s="1247"/>
      <c r="XB26" s="1247"/>
      <c r="XC26" s="1247"/>
      <c r="XD26" s="1247"/>
      <c r="XE26" s="1247"/>
      <c r="XF26" s="1247"/>
      <c r="XG26" s="1247"/>
      <c r="XH26" s="1247"/>
      <c r="XI26" s="1247"/>
      <c r="XJ26" s="1247"/>
      <c r="XK26" s="1247"/>
      <c r="XL26" s="1247"/>
      <c r="XM26" s="1247"/>
      <c r="XN26" s="1247"/>
      <c r="XO26" s="1247"/>
      <c r="XP26" s="1247"/>
      <c r="XQ26" s="1247"/>
      <c r="XR26" s="1247"/>
      <c r="XS26" s="1247"/>
      <c r="XT26" s="1247"/>
      <c r="XU26" s="1247"/>
      <c r="XV26" s="1247"/>
      <c r="XW26" s="1247"/>
      <c r="XX26" s="1247"/>
      <c r="XY26" s="1247"/>
      <c r="XZ26" s="1247"/>
      <c r="YA26" s="1247"/>
      <c r="YB26" s="1247"/>
      <c r="YC26" s="1247"/>
      <c r="YD26" s="1247"/>
      <c r="YE26" s="1247"/>
      <c r="YF26" s="1247"/>
      <c r="YG26" s="1247"/>
      <c r="YH26" s="1247"/>
      <c r="YI26" s="1247"/>
      <c r="YJ26" s="1247"/>
      <c r="YK26" s="1247"/>
      <c r="YL26" s="1247"/>
      <c r="YM26" s="1247"/>
      <c r="YN26" s="1247"/>
      <c r="YO26" s="1247"/>
      <c r="YP26" s="1247"/>
      <c r="YQ26" s="1247"/>
      <c r="YR26" s="1247"/>
      <c r="YS26" s="1247"/>
      <c r="YT26" s="1247"/>
      <c r="YU26" s="1247"/>
      <c r="YV26" s="1247"/>
      <c r="YW26" s="1247"/>
      <c r="YX26" s="1247"/>
      <c r="YY26" s="1247"/>
      <c r="YZ26" s="1247"/>
      <c r="ZA26" s="1247"/>
      <c r="ZB26" s="1247"/>
      <c r="ZC26" s="1247"/>
      <c r="ZD26" s="1247"/>
      <c r="ZE26" s="1247"/>
      <c r="ZF26" s="1247"/>
      <c r="ZG26" s="1247"/>
      <c r="ZH26" s="1247"/>
      <c r="ZI26" s="1247"/>
      <c r="ZJ26" s="1247"/>
      <c r="ZK26" s="1247"/>
      <c r="ZL26" s="1247"/>
      <c r="ZM26" s="1247"/>
      <c r="ZN26" s="1247"/>
      <c r="ZO26" s="1247"/>
      <c r="ZP26" s="1247"/>
      <c r="ZQ26" s="1247"/>
      <c r="ZR26" s="1247"/>
      <c r="ZS26" s="1247"/>
      <c r="ZT26" s="1247"/>
      <c r="ZU26" s="1247"/>
      <c r="ZV26" s="1247"/>
      <c r="ZW26" s="1247"/>
      <c r="ZX26" s="1247"/>
      <c r="ZY26" s="1247"/>
      <c r="ZZ26" s="1247"/>
      <c r="AAA26" s="1247"/>
      <c r="AAB26" s="1247"/>
      <c r="AAC26" s="1247"/>
      <c r="AAD26" s="1247"/>
      <c r="AAE26" s="1247"/>
      <c r="AAF26" s="1247"/>
      <c r="AAG26" s="1247"/>
      <c r="AAH26" s="1247"/>
      <c r="AAI26" s="1247"/>
      <c r="AAJ26" s="1247"/>
      <c r="AAK26" s="1247"/>
      <c r="AAL26" s="1247"/>
      <c r="AAM26" s="1247"/>
      <c r="AAN26" s="1247"/>
      <c r="AAO26" s="1247"/>
      <c r="AAP26" s="1247"/>
      <c r="AAQ26" s="1247"/>
      <c r="AAR26" s="1247"/>
      <c r="AAS26" s="1247"/>
      <c r="AAT26" s="1247"/>
      <c r="AAU26" s="1247"/>
      <c r="AAV26" s="1247"/>
      <c r="AAW26" s="1247"/>
      <c r="AAX26" s="1247"/>
      <c r="AAY26" s="1247"/>
      <c r="AAZ26" s="1247"/>
      <c r="ABA26" s="1247"/>
      <c r="ABB26" s="1247"/>
      <c r="ABC26" s="1247"/>
      <c r="ABD26" s="1247"/>
      <c r="ABE26" s="1247"/>
      <c r="ABF26" s="1247"/>
      <c r="ABG26" s="1247"/>
      <c r="ABH26" s="1247"/>
      <c r="ABI26" s="1247"/>
      <c r="ABJ26" s="1247"/>
      <c r="ABK26" s="1247"/>
      <c r="ABL26" s="1247"/>
      <c r="ABM26" s="1247"/>
      <c r="ABN26" s="1247"/>
      <c r="ABO26" s="1247"/>
      <c r="ABP26" s="1247"/>
      <c r="ABQ26" s="1247"/>
      <c r="ABR26" s="1247"/>
      <c r="ABS26" s="1247"/>
      <c r="ABT26" s="1247"/>
      <c r="ABU26" s="1247"/>
      <c r="ABV26" s="1247"/>
      <c r="ABW26" s="1247"/>
      <c r="ABX26" s="1247"/>
      <c r="ABY26" s="1247"/>
      <c r="ABZ26" s="1247"/>
      <c r="ACA26" s="1247"/>
      <c r="ACB26" s="1247"/>
      <c r="ACC26" s="1247"/>
      <c r="ACD26" s="1247"/>
      <c r="ACE26" s="1247"/>
      <c r="ACF26" s="1247"/>
      <c r="ACG26" s="1247"/>
      <c r="ACH26" s="1247"/>
      <c r="ACI26" s="1247"/>
      <c r="ACJ26" s="1247"/>
      <c r="ACK26" s="1247"/>
      <c r="ACL26" s="1247"/>
      <c r="ACM26" s="1247"/>
      <c r="ACN26" s="1247"/>
      <c r="ACO26" s="1247"/>
      <c r="ACP26" s="1247"/>
      <c r="ACQ26" s="1247"/>
      <c r="ACR26" s="1247"/>
      <c r="ACS26" s="1247"/>
      <c r="ACT26" s="1247"/>
      <c r="ACU26" s="1247"/>
      <c r="ACV26" s="1247"/>
      <c r="ACW26" s="1247"/>
      <c r="ACX26" s="1247"/>
      <c r="ACY26" s="1247"/>
      <c r="ACZ26" s="1247"/>
      <c r="ADA26" s="1247"/>
      <c r="ADB26" s="1247"/>
      <c r="ADC26" s="1247"/>
      <c r="ADD26" s="1247"/>
      <c r="ADE26" s="1247"/>
      <c r="ADF26" s="1247"/>
      <c r="ADG26" s="1247"/>
      <c r="ADH26" s="1247"/>
      <c r="ADI26" s="1247"/>
      <c r="ADJ26" s="1247"/>
      <c r="ADK26" s="1247"/>
      <c r="ADL26" s="1247"/>
      <c r="ADM26" s="1247"/>
      <c r="ADN26" s="1247"/>
      <c r="ADO26" s="1247"/>
      <c r="ADP26" s="1247"/>
      <c r="ADQ26" s="1247"/>
      <c r="ADR26" s="1247"/>
      <c r="ADS26" s="1247"/>
      <c r="ADT26" s="1247"/>
      <c r="ADU26" s="1247"/>
      <c r="ADV26" s="1247"/>
      <c r="ADW26" s="1247"/>
      <c r="ADX26" s="1247"/>
      <c r="ADY26" s="1247"/>
      <c r="ADZ26" s="1247"/>
      <c r="AEA26" s="1247"/>
      <c r="AEB26" s="1247"/>
      <c r="AEC26" s="1247"/>
      <c r="AED26" s="1247"/>
      <c r="AEE26" s="1247"/>
      <c r="AEF26" s="1247"/>
      <c r="AEG26" s="1247"/>
      <c r="AEH26" s="1247"/>
      <c r="AEI26" s="1247"/>
      <c r="AEJ26" s="1247"/>
      <c r="AEK26" s="1247"/>
      <c r="AEL26" s="1247"/>
      <c r="AEM26" s="1247"/>
      <c r="AEN26" s="1247"/>
      <c r="AEO26" s="1247"/>
      <c r="AEP26" s="1247"/>
      <c r="AEQ26" s="1247"/>
      <c r="AER26" s="1247"/>
      <c r="AES26" s="1247"/>
      <c r="AET26" s="1247"/>
      <c r="AEU26" s="1247"/>
      <c r="AEV26" s="1247"/>
      <c r="AEW26" s="1247"/>
      <c r="AEX26" s="1247"/>
      <c r="AEY26" s="1247"/>
      <c r="AEZ26" s="1247"/>
      <c r="AFA26" s="1247"/>
      <c r="AFB26" s="1247"/>
      <c r="AFC26" s="1247"/>
      <c r="AFD26" s="1247"/>
      <c r="AFE26" s="1247"/>
      <c r="AFF26" s="1247"/>
      <c r="AFG26" s="1247"/>
      <c r="AFH26" s="1247"/>
      <c r="AFI26" s="1247"/>
      <c r="AFJ26" s="1247"/>
      <c r="AFK26" s="1247"/>
      <c r="AFL26" s="1247"/>
      <c r="AFM26" s="1247"/>
      <c r="AFN26" s="1247"/>
      <c r="AFO26" s="1247"/>
      <c r="AFP26" s="1247"/>
      <c r="AFQ26" s="1247"/>
      <c r="AFR26" s="1247"/>
      <c r="AFS26" s="1247"/>
      <c r="AFT26" s="1247"/>
      <c r="AFU26" s="1247"/>
      <c r="AFV26" s="1247"/>
      <c r="AFW26" s="1247"/>
      <c r="AFX26" s="1247"/>
      <c r="AFY26" s="1247"/>
      <c r="AFZ26" s="1247"/>
      <c r="AGA26" s="1247"/>
      <c r="AGB26" s="1247"/>
      <c r="AGC26" s="1247"/>
      <c r="AGD26" s="1247"/>
      <c r="AGE26" s="1247"/>
      <c r="AGF26" s="1247"/>
      <c r="AGG26" s="1247"/>
      <c r="AGH26" s="1247"/>
      <c r="AGI26" s="1247"/>
      <c r="AGJ26" s="1247"/>
      <c r="AGK26" s="1247"/>
      <c r="AGL26" s="1247"/>
      <c r="AGM26" s="1247"/>
      <c r="AGN26" s="1247"/>
      <c r="AGO26" s="1247"/>
      <c r="AGP26" s="1247"/>
      <c r="AGQ26" s="1247"/>
      <c r="AGR26" s="1247"/>
      <c r="AGS26" s="1247"/>
      <c r="AGT26" s="1247"/>
      <c r="AGU26" s="1247"/>
      <c r="AGV26" s="1247"/>
      <c r="AGW26" s="1247"/>
      <c r="AGX26" s="1247"/>
      <c r="AGY26" s="1247"/>
      <c r="AGZ26" s="1247"/>
      <c r="AHA26" s="1247"/>
      <c r="AHB26" s="1247"/>
      <c r="AHC26" s="1247"/>
      <c r="AHD26" s="1247"/>
      <c r="AHE26" s="1247"/>
      <c r="AHF26" s="1247"/>
      <c r="AHG26" s="1247"/>
      <c r="AHH26" s="1247"/>
      <c r="AHI26" s="1247"/>
      <c r="AHJ26" s="1247"/>
      <c r="AHK26" s="1247"/>
      <c r="AHL26" s="1247"/>
      <c r="AHM26" s="1247"/>
      <c r="AHN26" s="1247"/>
      <c r="AHO26" s="1247"/>
      <c r="AHP26" s="1247"/>
      <c r="AHQ26" s="1247"/>
      <c r="AHR26" s="1247"/>
      <c r="AHS26" s="1247"/>
      <c r="AHT26" s="1247"/>
      <c r="AHU26" s="1247"/>
      <c r="AHV26" s="1247"/>
      <c r="AHW26" s="1247"/>
      <c r="AHX26" s="1247"/>
      <c r="AHY26" s="1247"/>
      <c r="AHZ26" s="1247"/>
      <c r="AIA26" s="1247"/>
      <c r="AIB26" s="1247"/>
      <c r="AIC26" s="1247"/>
      <c r="AID26" s="1247"/>
      <c r="AIE26" s="1247"/>
      <c r="AIF26" s="1247"/>
      <c r="AIG26" s="1247"/>
      <c r="AIH26" s="1247"/>
      <c r="AII26" s="1247"/>
      <c r="AIJ26" s="1247"/>
      <c r="AIK26" s="1247"/>
      <c r="AIL26" s="1247"/>
      <c r="AIM26" s="1247"/>
      <c r="AIN26" s="1247"/>
      <c r="AIO26" s="1247"/>
      <c r="AIP26" s="1247"/>
      <c r="AIQ26" s="1247"/>
      <c r="AIR26" s="1247"/>
      <c r="AIS26" s="1247"/>
      <c r="AIT26" s="1247"/>
      <c r="AIU26" s="1247"/>
      <c r="AIV26" s="1247"/>
      <c r="AIW26" s="1247"/>
      <c r="AIX26" s="1247"/>
      <c r="AIY26" s="1247"/>
      <c r="AIZ26" s="1247"/>
      <c r="AJA26" s="1247"/>
      <c r="AJB26" s="1247"/>
      <c r="AJC26" s="1247"/>
      <c r="AJD26" s="1247"/>
      <c r="AJE26" s="1247"/>
      <c r="AJF26" s="1247"/>
      <c r="AJG26" s="1247"/>
      <c r="AJH26" s="1247"/>
      <c r="AJI26" s="1247"/>
      <c r="AJJ26" s="1247"/>
      <c r="AJK26" s="1247"/>
      <c r="AJL26" s="1247"/>
      <c r="AJM26" s="1247"/>
      <c r="AJN26" s="1247"/>
      <c r="AJO26" s="1247"/>
      <c r="AJP26" s="1247"/>
      <c r="AJQ26" s="1247"/>
      <c r="AJR26" s="1247"/>
      <c r="AJS26" s="1247"/>
      <c r="AJT26" s="1247"/>
      <c r="AJU26" s="1247"/>
      <c r="AJV26" s="1247"/>
      <c r="AJW26" s="1247"/>
      <c r="AJX26" s="1247"/>
      <c r="AJY26" s="1247"/>
      <c r="AJZ26" s="1247"/>
      <c r="AKA26" s="1247"/>
      <c r="AKB26" s="1247"/>
      <c r="AKC26" s="1247"/>
      <c r="AKD26" s="1247"/>
      <c r="AKE26" s="1247"/>
      <c r="AKF26" s="1247"/>
      <c r="AKG26" s="1247"/>
      <c r="AKH26" s="1247"/>
      <c r="AKI26" s="1247"/>
      <c r="AKJ26" s="1247"/>
      <c r="AKK26" s="1247"/>
      <c r="AKL26" s="1247"/>
      <c r="AKM26" s="1247"/>
      <c r="AKN26" s="1247"/>
      <c r="AKO26" s="1247"/>
      <c r="AKP26" s="1247"/>
      <c r="AKQ26" s="1247"/>
      <c r="AKR26" s="1247"/>
      <c r="AKS26" s="1247"/>
      <c r="AKT26" s="1247"/>
      <c r="AKU26" s="1247"/>
      <c r="AKV26" s="1247"/>
      <c r="AKW26" s="1247"/>
      <c r="AKX26" s="1247"/>
      <c r="AKY26" s="1247"/>
      <c r="AKZ26" s="1247"/>
      <c r="ALA26" s="1247"/>
      <c r="ALB26" s="1247"/>
      <c r="ALC26" s="1247"/>
      <c r="ALD26" s="1247"/>
      <c r="ALE26" s="1247"/>
      <c r="ALF26" s="1247"/>
      <c r="ALG26" s="1247"/>
      <c r="ALH26" s="1247"/>
      <c r="ALI26" s="1247"/>
      <c r="ALJ26" s="1247"/>
      <c r="ALK26" s="1247"/>
      <c r="ALL26" s="1247"/>
      <c r="ALM26" s="1247"/>
      <c r="ALN26" s="1247"/>
      <c r="ALO26" s="1247"/>
      <c r="ALP26" s="1247"/>
      <c r="ALQ26" s="1247"/>
      <c r="ALR26" s="1247"/>
      <c r="ALS26" s="1247"/>
      <c r="ALT26" s="1247"/>
      <c r="ALU26" s="1247"/>
      <c r="ALV26" s="1247"/>
      <c r="ALW26" s="1247"/>
      <c r="ALX26" s="1247"/>
      <c r="ALY26" s="1247"/>
      <c r="ALZ26" s="1247"/>
      <c r="AMA26" s="1247"/>
      <c r="AMB26" s="1247"/>
      <c r="AMC26" s="1247"/>
      <c r="AMD26" s="1247"/>
      <c r="AME26" s="1247"/>
      <c r="AMF26" s="1247"/>
      <c r="AMG26" s="1247"/>
      <c r="AMH26" s="1247"/>
      <c r="AMI26" s="1247"/>
      <c r="AMJ26" s="1247"/>
      <c r="AMK26" s="1247"/>
      <c r="AML26" s="1247"/>
      <c r="AMM26" s="1247"/>
      <c r="AMN26" s="1247"/>
      <c r="AMO26" s="1247"/>
      <c r="AMP26" s="1247"/>
      <c r="AMQ26" s="1247"/>
      <c r="AMR26" s="1247"/>
      <c r="AMS26" s="1247"/>
      <c r="AMT26" s="1247"/>
      <c r="AMU26" s="1247"/>
      <c r="AMV26" s="1247"/>
      <c r="AMW26" s="1247"/>
      <c r="AMX26" s="1247"/>
      <c r="AMY26" s="1247"/>
      <c r="AMZ26" s="1247"/>
      <c r="ANA26" s="1247"/>
      <c r="ANB26" s="1247"/>
      <c r="ANC26" s="1247"/>
      <c r="AND26" s="1247"/>
      <c r="ANE26" s="1247"/>
      <c r="ANF26" s="1247"/>
      <c r="ANG26" s="1247"/>
      <c r="ANH26" s="1247"/>
      <c r="ANI26" s="1247"/>
      <c r="ANJ26" s="1247"/>
      <c r="ANK26" s="1247"/>
      <c r="ANL26" s="1247"/>
      <c r="ANM26" s="1247"/>
      <c r="ANN26" s="1247"/>
      <c r="ANO26" s="1247"/>
      <c r="ANP26" s="1247"/>
      <c r="ANQ26" s="1247"/>
      <c r="ANR26" s="1247"/>
      <c r="ANS26" s="1247"/>
      <c r="ANT26" s="1247"/>
      <c r="ANU26" s="1247"/>
      <c r="ANV26" s="1247"/>
      <c r="ANW26" s="1247"/>
      <c r="ANX26" s="1247"/>
      <c r="ANY26" s="1247"/>
      <c r="ANZ26" s="1247"/>
      <c r="AOA26" s="1247"/>
      <c r="AOB26" s="1247"/>
      <c r="AOC26" s="1247"/>
      <c r="AOD26" s="1247"/>
      <c r="AOE26" s="1247"/>
      <c r="AOF26" s="1247"/>
      <c r="AOG26" s="1247"/>
      <c r="AOH26" s="1247"/>
      <c r="AOI26" s="1247"/>
      <c r="AOJ26" s="1247"/>
      <c r="AOK26" s="1247"/>
      <c r="AOL26" s="1247"/>
      <c r="AOM26" s="1247"/>
      <c r="AON26" s="1247"/>
      <c r="AOO26" s="1247"/>
      <c r="AOP26" s="1247"/>
      <c r="AOQ26" s="1247"/>
      <c r="AOR26" s="1247"/>
      <c r="AOS26" s="1247"/>
      <c r="AOT26" s="1247"/>
      <c r="AOU26" s="1247"/>
      <c r="AOV26" s="1247"/>
      <c r="AOW26" s="1247"/>
      <c r="AOX26" s="1247"/>
      <c r="AOY26" s="1247"/>
      <c r="AOZ26" s="1247"/>
      <c r="APA26" s="1247"/>
      <c r="APB26" s="1247"/>
      <c r="APC26" s="1247"/>
      <c r="APD26" s="1247"/>
      <c r="APE26" s="1247"/>
      <c r="APF26" s="1247"/>
      <c r="APG26" s="1247"/>
      <c r="APH26" s="1247"/>
      <c r="API26" s="1247"/>
      <c r="APJ26" s="1247"/>
      <c r="APK26" s="1247"/>
      <c r="APL26" s="1247"/>
      <c r="APM26" s="1247"/>
      <c r="APN26" s="1247"/>
      <c r="APO26" s="1247"/>
      <c r="APP26" s="1247"/>
      <c r="APQ26" s="1247"/>
      <c r="APR26" s="1247"/>
      <c r="APS26" s="1247"/>
      <c r="APT26" s="1247"/>
      <c r="APU26" s="1247"/>
      <c r="APV26" s="1247"/>
      <c r="APW26" s="1247"/>
      <c r="APX26" s="1247"/>
      <c r="APY26" s="1247"/>
      <c r="APZ26" s="1247"/>
      <c r="AQA26" s="1247"/>
      <c r="AQB26" s="1247"/>
      <c r="AQC26" s="1247"/>
      <c r="AQD26" s="1247"/>
      <c r="AQE26" s="1247"/>
      <c r="AQF26" s="1247"/>
      <c r="AQG26" s="1247"/>
      <c r="AQH26" s="1247"/>
      <c r="AQI26" s="1247"/>
      <c r="AQJ26" s="1247"/>
      <c r="AQK26" s="1247"/>
      <c r="AQL26" s="1247"/>
      <c r="AQM26" s="1247"/>
      <c r="AQN26" s="1247"/>
      <c r="AQO26" s="1247"/>
      <c r="AQP26" s="1247"/>
      <c r="AQQ26" s="1247"/>
      <c r="AQR26" s="1247"/>
      <c r="AQS26" s="1247"/>
      <c r="AQT26" s="1247"/>
      <c r="AQU26" s="1247"/>
      <c r="AQV26" s="1247"/>
      <c r="AQW26" s="1247"/>
      <c r="AQX26" s="1247"/>
      <c r="AQY26" s="1247"/>
      <c r="AQZ26" s="1247"/>
      <c r="ARA26" s="1247"/>
      <c r="ARB26" s="1247"/>
      <c r="ARC26" s="1247"/>
      <c r="ARD26" s="1247"/>
      <c r="ARE26" s="1247"/>
      <c r="ARF26" s="1247"/>
      <c r="ARG26" s="1247"/>
      <c r="ARH26" s="1247"/>
      <c r="ARI26" s="1247"/>
      <c r="ARJ26" s="1247"/>
      <c r="ARK26" s="1247"/>
      <c r="ARL26" s="1247"/>
      <c r="ARM26" s="1247"/>
      <c r="ARN26" s="1247"/>
      <c r="ARO26" s="1247"/>
      <c r="ARP26" s="1247"/>
      <c r="ARQ26" s="1247"/>
      <c r="ARR26" s="1247"/>
      <c r="ARS26" s="1247"/>
      <c r="ART26" s="1247"/>
      <c r="ARU26" s="1247"/>
      <c r="ARV26" s="1247"/>
      <c r="ARW26" s="1247"/>
      <c r="ARX26" s="1247"/>
      <c r="ARY26" s="1247"/>
      <c r="ARZ26" s="1247"/>
      <c r="ASA26" s="1247"/>
      <c r="ASB26" s="1247"/>
      <c r="ASC26" s="1247"/>
      <c r="ASD26" s="1247"/>
      <c r="ASE26" s="1247"/>
      <c r="ASF26" s="1247"/>
      <c r="ASG26" s="1247"/>
      <c r="ASH26" s="1247"/>
      <c r="ASI26" s="1247"/>
      <c r="ASJ26" s="1247"/>
      <c r="ASK26" s="1247"/>
      <c r="ASL26" s="1247"/>
      <c r="ASM26" s="1247"/>
      <c r="ASN26" s="1247"/>
      <c r="ASO26" s="1247"/>
      <c r="ASP26" s="1247"/>
      <c r="ASQ26" s="1247"/>
      <c r="ASR26" s="1247"/>
      <c r="ASS26" s="1247"/>
      <c r="AST26" s="1247"/>
      <c r="ASU26" s="1247"/>
      <c r="ASV26" s="1247"/>
      <c r="ASW26" s="1247"/>
      <c r="ASX26" s="1247"/>
      <c r="ASY26" s="1247"/>
      <c r="ASZ26" s="1247"/>
      <c r="ATA26" s="1247"/>
      <c r="ATB26" s="1247"/>
      <c r="ATC26" s="1247"/>
      <c r="ATD26" s="1247"/>
      <c r="ATE26" s="1247"/>
      <c r="ATF26" s="1247"/>
      <c r="ATG26" s="1247"/>
      <c r="ATH26" s="1247"/>
      <c r="ATI26" s="1247"/>
      <c r="ATJ26" s="1247"/>
      <c r="ATK26" s="1247"/>
      <c r="ATL26" s="1247"/>
      <c r="ATM26" s="1247"/>
      <c r="ATN26" s="1247"/>
      <c r="ATO26" s="1247"/>
      <c r="ATP26" s="1247"/>
      <c r="ATQ26" s="1247"/>
      <c r="ATR26" s="1247"/>
      <c r="ATS26" s="1247"/>
      <c r="ATT26" s="1247"/>
      <c r="ATU26" s="1247"/>
      <c r="ATV26" s="1247"/>
      <c r="ATW26" s="1247"/>
      <c r="ATX26" s="1247"/>
      <c r="ATY26" s="1247"/>
      <c r="ATZ26" s="1247"/>
      <c r="AUA26" s="1247"/>
      <c r="AUB26" s="1247"/>
      <c r="AUC26" s="1247"/>
      <c r="AUD26" s="1247"/>
      <c r="AUE26" s="1247"/>
      <c r="AUF26" s="1247"/>
      <c r="AUG26" s="1247"/>
      <c r="AUH26" s="1247"/>
      <c r="AUI26" s="1247"/>
      <c r="AUJ26" s="1247"/>
      <c r="AUK26" s="1247"/>
      <c r="AUL26" s="1247"/>
      <c r="AUM26" s="1247"/>
      <c r="AUN26" s="1247"/>
      <c r="AUO26" s="1247"/>
      <c r="AUP26" s="1247"/>
      <c r="AUQ26" s="1247"/>
      <c r="AUR26" s="1247"/>
      <c r="AUS26" s="1247"/>
      <c r="AUT26" s="1247"/>
      <c r="AUU26" s="1247"/>
      <c r="AUV26" s="1247"/>
      <c r="AUW26" s="1247"/>
      <c r="AUX26" s="1247"/>
      <c r="AUY26" s="1247"/>
      <c r="AUZ26" s="1247"/>
      <c r="AVA26" s="1247"/>
      <c r="AVB26" s="1247"/>
      <c r="AVC26" s="1247"/>
      <c r="AVD26" s="1247"/>
      <c r="AVE26" s="1247"/>
      <c r="AVF26" s="1247"/>
      <c r="AVG26" s="1247"/>
      <c r="AVH26" s="1247"/>
      <c r="AVI26" s="1247"/>
      <c r="AVJ26" s="1247"/>
      <c r="AVK26" s="1247"/>
      <c r="AVL26" s="1247"/>
      <c r="AVM26" s="1247"/>
      <c r="AVN26" s="1247"/>
      <c r="AVO26" s="1247"/>
      <c r="AVP26" s="1247"/>
      <c r="AVQ26" s="1247"/>
      <c r="AVR26" s="1247"/>
      <c r="AVS26" s="1247"/>
      <c r="AVT26" s="1247"/>
      <c r="AVU26" s="1247"/>
      <c r="AVV26" s="1247"/>
      <c r="AVW26" s="1247"/>
      <c r="AVX26" s="1247"/>
      <c r="AVY26" s="1247"/>
      <c r="AVZ26" s="1247"/>
      <c r="AWA26" s="1247"/>
      <c r="AWB26" s="1247"/>
      <c r="AWC26" s="1247"/>
      <c r="AWD26" s="1247"/>
      <c r="AWE26" s="1247"/>
      <c r="AWF26" s="1247"/>
      <c r="AWG26" s="1247"/>
      <c r="AWH26" s="1247"/>
      <c r="AWI26" s="1247"/>
      <c r="AWJ26" s="1247"/>
      <c r="AWK26" s="1247"/>
      <c r="AWL26" s="1247"/>
      <c r="AWM26" s="1247"/>
      <c r="AWN26" s="1247"/>
      <c r="AWO26" s="1247"/>
      <c r="AWP26" s="1247"/>
      <c r="AWQ26" s="1247"/>
      <c r="AWR26" s="1247"/>
      <c r="AWS26" s="1247"/>
      <c r="AWT26" s="1247"/>
      <c r="AWU26" s="1247"/>
      <c r="AWV26" s="1247"/>
      <c r="AWW26" s="1247"/>
      <c r="AWX26" s="1247"/>
      <c r="AWY26" s="1247"/>
      <c r="AWZ26" s="1247"/>
      <c r="AXA26" s="1247"/>
      <c r="AXB26" s="1247"/>
      <c r="AXC26" s="1247"/>
      <c r="AXD26" s="1247"/>
      <c r="AXE26" s="1247"/>
      <c r="AXF26" s="1247"/>
      <c r="AXG26" s="1247"/>
      <c r="AXH26" s="1247"/>
      <c r="AXI26" s="1247"/>
      <c r="AXJ26" s="1247"/>
      <c r="AXK26" s="1247"/>
      <c r="AXL26" s="1247"/>
      <c r="AXM26" s="1247"/>
      <c r="AXN26" s="1247"/>
      <c r="AXO26" s="1247"/>
      <c r="AXP26" s="1247"/>
      <c r="AXQ26" s="1247"/>
      <c r="AXR26" s="1247"/>
      <c r="AXS26" s="1247"/>
      <c r="AXT26" s="1247"/>
      <c r="AXU26" s="1247"/>
      <c r="AXV26" s="1247"/>
      <c r="AXW26" s="1247"/>
      <c r="AXX26" s="1247"/>
      <c r="AXY26" s="1247"/>
      <c r="AXZ26" s="1247"/>
      <c r="AYA26" s="1247"/>
      <c r="AYB26" s="1247"/>
      <c r="AYC26" s="1247"/>
      <c r="AYD26" s="1247"/>
      <c r="AYE26" s="1247"/>
      <c r="AYF26" s="1247"/>
      <c r="AYG26" s="1247"/>
      <c r="AYH26" s="1247"/>
      <c r="AYI26" s="1247"/>
      <c r="AYJ26" s="1247"/>
      <c r="AYK26" s="1247"/>
      <c r="AYL26" s="1247"/>
      <c r="AYM26" s="1247"/>
      <c r="AYN26" s="1247"/>
      <c r="AYO26" s="1247"/>
      <c r="AYP26" s="1247"/>
      <c r="AYQ26" s="1247"/>
      <c r="AYR26" s="1247"/>
      <c r="AYS26" s="1247"/>
      <c r="AYT26" s="1247"/>
      <c r="AYU26" s="1247"/>
      <c r="AYV26" s="1247"/>
      <c r="AYW26" s="1247"/>
      <c r="AYX26" s="1247"/>
      <c r="AYY26" s="1247"/>
      <c r="AYZ26" s="1247"/>
      <c r="AZA26" s="1247"/>
      <c r="AZB26" s="1247"/>
      <c r="AZC26" s="1247"/>
      <c r="AZD26" s="1247"/>
      <c r="AZE26" s="1247"/>
      <c r="AZF26" s="1247"/>
      <c r="AZG26" s="1247"/>
      <c r="AZH26" s="1247"/>
      <c r="AZI26" s="1247"/>
      <c r="AZJ26" s="1247"/>
      <c r="AZK26" s="1247"/>
      <c r="AZL26" s="1247"/>
      <c r="AZM26" s="1247"/>
      <c r="AZN26" s="1247"/>
      <c r="AZO26" s="1247"/>
      <c r="AZP26" s="1247"/>
      <c r="AZQ26" s="1247"/>
      <c r="AZR26" s="1247"/>
      <c r="AZS26" s="1247"/>
      <c r="AZT26" s="1247"/>
      <c r="AZU26" s="1247"/>
      <c r="AZV26" s="1247"/>
      <c r="AZW26" s="1247"/>
      <c r="AZX26" s="1247"/>
      <c r="AZY26" s="1247"/>
      <c r="AZZ26" s="1247"/>
      <c r="BAA26" s="1247"/>
      <c r="BAB26" s="1247"/>
      <c r="BAC26" s="1247"/>
      <c r="BAD26" s="1247"/>
      <c r="BAE26" s="1247"/>
      <c r="BAF26" s="1247"/>
      <c r="BAG26" s="1247"/>
      <c r="BAH26" s="1247"/>
      <c r="BAI26" s="1247"/>
      <c r="BAJ26" s="1247"/>
      <c r="BAK26" s="1247"/>
      <c r="BAL26" s="1247"/>
      <c r="BAM26" s="1247"/>
      <c r="BAN26" s="1247"/>
      <c r="BAO26" s="1247"/>
      <c r="BAP26" s="1247"/>
      <c r="BAQ26" s="1247"/>
      <c r="BAR26" s="1247"/>
      <c r="BAS26" s="1247"/>
      <c r="BAT26" s="1247"/>
      <c r="BAU26" s="1247"/>
      <c r="BAV26" s="1247"/>
      <c r="BAW26" s="1247"/>
      <c r="BAX26" s="1247"/>
      <c r="BAY26" s="1247"/>
      <c r="BAZ26" s="1247"/>
      <c r="BBA26" s="1247"/>
      <c r="BBB26" s="1247"/>
      <c r="BBC26" s="1247"/>
      <c r="BBD26" s="1247"/>
      <c r="BBE26" s="1247"/>
      <c r="BBF26" s="1247"/>
      <c r="BBG26" s="1247"/>
      <c r="BBH26" s="1247"/>
      <c r="BBI26" s="1247"/>
      <c r="BBJ26" s="1247"/>
      <c r="BBK26" s="1247"/>
      <c r="BBL26" s="1247"/>
      <c r="BBM26" s="1247"/>
      <c r="BBN26" s="1247"/>
      <c r="BBO26" s="1247"/>
      <c r="BBP26" s="1247"/>
      <c r="BBQ26" s="1247"/>
      <c r="BBR26" s="1247"/>
      <c r="BBS26" s="1247"/>
      <c r="BBT26" s="1247"/>
      <c r="BBU26" s="1247"/>
      <c r="BBV26" s="1247"/>
      <c r="BBW26" s="1247"/>
      <c r="BBX26" s="1247"/>
      <c r="BBY26" s="1247"/>
      <c r="BBZ26" s="1247"/>
      <c r="BCA26" s="1247"/>
      <c r="BCB26" s="1247"/>
      <c r="BCC26" s="1247"/>
      <c r="BCD26" s="1247"/>
      <c r="BCE26" s="1247"/>
      <c r="BCF26" s="1247"/>
      <c r="BCG26" s="1247"/>
      <c r="BCH26" s="1247"/>
      <c r="BCI26" s="1247"/>
      <c r="BCJ26" s="1247"/>
      <c r="BCK26" s="1247"/>
      <c r="BCL26" s="1247"/>
      <c r="BCM26" s="1247"/>
      <c r="BCN26" s="1247"/>
      <c r="BCO26" s="1247"/>
      <c r="BCP26" s="1247"/>
      <c r="BCQ26" s="1247"/>
      <c r="BCR26" s="1247"/>
      <c r="BCS26" s="1247"/>
      <c r="BCT26" s="1247"/>
      <c r="BCU26" s="1247"/>
      <c r="BCV26" s="1247"/>
      <c r="BCW26" s="1247"/>
      <c r="BCX26" s="1247"/>
      <c r="BCY26" s="1247"/>
      <c r="BCZ26" s="1247"/>
      <c r="BDA26" s="1247"/>
      <c r="BDB26" s="1247"/>
      <c r="BDC26" s="1247"/>
      <c r="BDD26" s="1247"/>
      <c r="BDE26" s="1247"/>
      <c r="BDF26" s="1247"/>
      <c r="BDG26" s="1247"/>
      <c r="BDH26" s="1247"/>
      <c r="BDI26" s="1247"/>
      <c r="BDJ26" s="1247"/>
      <c r="BDK26" s="1247"/>
      <c r="BDL26" s="1247"/>
      <c r="BDM26" s="1247"/>
      <c r="BDN26" s="1247"/>
      <c r="BDO26" s="1247"/>
      <c r="BDP26" s="1247"/>
      <c r="BDQ26" s="1247"/>
      <c r="BDR26" s="1247"/>
      <c r="BDS26" s="1247"/>
      <c r="BDT26" s="1247"/>
      <c r="BDU26" s="1247"/>
      <c r="BDV26" s="1247"/>
      <c r="BDW26" s="1247"/>
      <c r="BDX26" s="1247"/>
      <c r="BDY26" s="1247"/>
      <c r="BDZ26" s="1247"/>
      <c r="BEA26" s="1247"/>
      <c r="BEB26" s="1247"/>
      <c r="BEC26" s="1247"/>
      <c r="BED26" s="1247"/>
      <c r="BEE26" s="1247"/>
      <c r="BEF26" s="1247"/>
      <c r="BEG26" s="1247"/>
      <c r="BEH26" s="1247"/>
      <c r="BEI26" s="1247"/>
      <c r="BEJ26" s="1247"/>
      <c r="BEK26" s="1247"/>
      <c r="BEL26" s="1247"/>
      <c r="BEM26" s="1247"/>
      <c r="BEN26" s="1247"/>
      <c r="BEO26" s="1247"/>
      <c r="BEP26" s="1247"/>
      <c r="BEQ26" s="1247"/>
      <c r="BER26" s="1247"/>
      <c r="BES26" s="1247"/>
      <c r="BET26" s="1247"/>
      <c r="BEU26" s="1247"/>
      <c r="BEV26" s="1247"/>
      <c r="BEW26" s="1247"/>
      <c r="BEX26" s="1247"/>
      <c r="BEY26" s="1247"/>
      <c r="BEZ26" s="1247"/>
      <c r="BFA26" s="1247"/>
      <c r="BFB26" s="1247"/>
      <c r="BFC26" s="1247"/>
      <c r="BFD26" s="1247"/>
      <c r="BFE26" s="1247"/>
      <c r="BFF26" s="1247"/>
      <c r="BFG26" s="1247"/>
      <c r="BFH26" s="1247"/>
      <c r="BFI26" s="1247"/>
      <c r="BFJ26" s="1247"/>
      <c r="BFK26" s="1247"/>
      <c r="BFL26" s="1247"/>
      <c r="BFM26" s="1247"/>
      <c r="BFN26" s="1247"/>
      <c r="BFO26" s="1247"/>
      <c r="BFP26" s="1247"/>
      <c r="BFQ26" s="1247"/>
      <c r="BFR26" s="1247"/>
      <c r="BFS26" s="1247"/>
      <c r="BFT26" s="1247"/>
      <c r="BFU26" s="1247"/>
      <c r="BFV26" s="1247"/>
      <c r="BFW26" s="1247"/>
      <c r="BFX26" s="1247"/>
      <c r="BFY26" s="1247"/>
      <c r="BFZ26" s="1247"/>
      <c r="BGA26" s="1247"/>
      <c r="BGB26" s="1247"/>
      <c r="BGC26" s="1247"/>
      <c r="BGD26" s="1247"/>
      <c r="BGE26" s="1247"/>
      <c r="BGF26" s="1247"/>
      <c r="BGG26" s="1247"/>
      <c r="BGH26" s="1247"/>
      <c r="BGI26" s="1247"/>
      <c r="BGJ26" s="1247"/>
      <c r="BGK26" s="1247"/>
      <c r="BGL26" s="1247"/>
      <c r="BGM26" s="1247"/>
      <c r="BGN26" s="1247"/>
      <c r="BGO26" s="1247"/>
      <c r="BGP26" s="1247"/>
      <c r="BGQ26" s="1247"/>
      <c r="BGR26" s="1247"/>
      <c r="BGS26" s="1247"/>
      <c r="BGT26" s="1247"/>
      <c r="BGU26" s="1247"/>
      <c r="BGV26" s="1247"/>
      <c r="BGW26" s="1247"/>
      <c r="BGX26" s="1247"/>
      <c r="BGY26" s="1247"/>
      <c r="BGZ26" s="1247"/>
      <c r="BHA26" s="1247"/>
      <c r="BHB26" s="1247"/>
      <c r="BHC26" s="1247"/>
      <c r="BHD26" s="1247"/>
      <c r="BHE26" s="1247"/>
      <c r="BHF26" s="1247"/>
      <c r="BHG26" s="1247"/>
      <c r="BHH26" s="1247"/>
      <c r="BHI26" s="1247"/>
      <c r="BHJ26" s="1247"/>
      <c r="BHK26" s="1247"/>
      <c r="BHL26" s="1247"/>
      <c r="BHM26" s="1247"/>
      <c r="BHN26" s="1247"/>
      <c r="BHO26" s="1247"/>
      <c r="BHP26" s="1247"/>
      <c r="BHQ26" s="1247"/>
      <c r="BHR26" s="1247"/>
      <c r="BHS26" s="1247"/>
      <c r="BHT26" s="1247"/>
      <c r="BHU26" s="1247"/>
      <c r="BHV26" s="1247"/>
      <c r="BHW26" s="1247"/>
      <c r="BHX26" s="1247"/>
      <c r="BHY26" s="1247"/>
      <c r="BHZ26" s="1247"/>
      <c r="BIA26" s="1247"/>
      <c r="BIB26" s="1247"/>
      <c r="BIC26" s="1247"/>
      <c r="BID26" s="1247"/>
      <c r="BIE26" s="1247"/>
      <c r="BIF26" s="1247"/>
      <c r="BIG26" s="1247"/>
      <c r="BIH26" s="1247"/>
      <c r="BII26" s="1247"/>
      <c r="BIJ26" s="1247"/>
      <c r="BIK26" s="1247"/>
      <c r="BIL26" s="1247"/>
      <c r="BIM26" s="1247"/>
      <c r="BIN26" s="1247"/>
      <c r="BIO26" s="1247"/>
      <c r="BIP26" s="1247"/>
      <c r="BIQ26" s="1247"/>
      <c r="BIR26" s="1247"/>
      <c r="BIS26" s="1247"/>
      <c r="BIT26" s="1247"/>
      <c r="BIU26" s="1247"/>
      <c r="BIV26" s="1247"/>
      <c r="BIW26" s="1247"/>
      <c r="BIX26" s="1247"/>
      <c r="BIY26" s="1247"/>
      <c r="BIZ26" s="1247"/>
      <c r="BJA26" s="1247"/>
      <c r="BJB26" s="1247"/>
      <c r="BJC26" s="1247"/>
      <c r="BJD26" s="1247"/>
      <c r="BJE26" s="1247"/>
      <c r="BJF26" s="1247"/>
      <c r="BJG26" s="1247"/>
      <c r="BJH26" s="1247"/>
      <c r="BJI26" s="1247"/>
      <c r="BJJ26" s="1247"/>
      <c r="BJK26" s="1247"/>
      <c r="BJL26" s="1247"/>
      <c r="BJM26" s="1247"/>
      <c r="BJN26" s="1247"/>
      <c r="BJO26" s="1247"/>
      <c r="BJP26" s="1247"/>
      <c r="BJQ26" s="1247"/>
      <c r="BJR26" s="1247"/>
      <c r="BJS26" s="1247"/>
      <c r="BJT26" s="1247"/>
      <c r="BJU26" s="1247"/>
      <c r="BJV26" s="1247"/>
      <c r="BJW26" s="1247"/>
      <c r="BJX26" s="1247"/>
      <c r="BJY26" s="1247"/>
      <c r="BJZ26" s="1247"/>
      <c r="BKA26" s="1247"/>
      <c r="BKB26" s="1247"/>
      <c r="BKC26" s="1247"/>
      <c r="BKD26" s="1247"/>
      <c r="BKE26" s="1247"/>
      <c r="BKF26" s="1247"/>
      <c r="BKG26" s="1247"/>
      <c r="BKH26" s="1247"/>
      <c r="BKI26" s="1247"/>
      <c r="BKJ26" s="1247"/>
      <c r="BKK26" s="1247"/>
      <c r="BKL26" s="1247"/>
      <c r="BKM26" s="1247"/>
      <c r="BKN26" s="1247"/>
      <c r="BKO26" s="1247"/>
      <c r="BKP26" s="1247"/>
      <c r="BKQ26" s="1247"/>
      <c r="BKR26" s="1247"/>
      <c r="BKS26" s="1247"/>
      <c r="BKT26" s="1247"/>
      <c r="BKU26" s="1247"/>
      <c r="BKV26" s="1247"/>
      <c r="BKW26" s="1247"/>
      <c r="BKX26" s="1247"/>
      <c r="BKY26" s="1247"/>
      <c r="BKZ26" s="1247"/>
      <c r="BLA26" s="1247"/>
      <c r="BLB26" s="1247"/>
      <c r="BLC26" s="1247"/>
      <c r="BLD26" s="1247"/>
      <c r="BLE26" s="1247"/>
      <c r="BLF26" s="1247"/>
      <c r="BLG26" s="1247"/>
      <c r="BLH26" s="1247"/>
      <c r="BLI26" s="1247"/>
      <c r="BLJ26" s="1247"/>
      <c r="BLK26" s="1247"/>
      <c r="BLL26" s="1247"/>
      <c r="BLM26" s="1247"/>
      <c r="BLN26" s="1247"/>
      <c r="BLO26" s="1247"/>
      <c r="BLP26" s="1247"/>
      <c r="BLQ26" s="1247"/>
      <c r="BLR26" s="1247"/>
      <c r="BLS26" s="1247"/>
      <c r="BLT26" s="1247"/>
      <c r="BLU26" s="1247"/>
      <c r="BLV26" s="1247"/>
      <c r="BLW26" s="1247"/>
      <c r="BLX26" s="1247"/>
      <c r="BLY26" s="1247"/>
      <c r="BLZ26" s="1247"/>
      <c r="BMA26" s="1247"/>
      <c r="BMB26" s="1247"/>
      <c r="BMC26" s="1247"/>
      <c r="BMD26" s="1247"/>
      <c r="BME26" s="1247"/>
      <c r="BMF26" s="1247"/>
      <c r="BMG26" s="1247"/>
      <c r="BMH26" s="1247"/>
      <c r="BMI26" s="1247"/>
      <c r="BMJ26" s="1247"/>
      <c r="BMK26" s="1247"/>
      <c r="BML26" s="1247"/>
      <c r="BMM26" s="1247"/>
      <c r="BMN26" s="1247"/>
      <c r="BMO26" s="1247"/>
      <c r="BMP26" s="1247"/>
      <c r="BMQ26" s="1247"/>
      <c r="BMR26" s="1247"/>
      <c r="BMS26" s="1247"/>
      <c r="BMT26" s="1247"/>
      <c r="BMU26" s="1247"/>
      <c r="BMV26" s="1247"/>
      <c r="BMW26" s="1247"/>
      <c r="BMX26" s="1247"/>
      <c r="BMY26" s="1247"/>
      <c r="BMZ26" s="1247"/>
      <c r="BNA26" s="1247"/>
      <c r="BNB26" s="1247"/>
      <c r="BNC26" s="1247"/>
      <c r="BND26" s="1247"/>
      <c r="BNE26" s="1247"/>
      <c r="BNF26" s="1247"/>
      <c r="BNG26" s="1247"/>
      <c r="BNH26" s="1247"/>
      <c r="BNI26" s="1247"/>
      <c r="BNJ26" s="1247"/>
      <c r="BNK26" s="1247"/>
      <c r="BNL26" s="1247"/>
      <c r="BNM26" s="1247"/>
      <c r="BNN26" s="1247"/>
      <c r="BNO26" s="1247"/>
      <c r="BNP26" s="1247"/>
      <c r="BNQ26" s="1247"/>
      <c r="BNR26" s="1247"/>
      <c r="BNS26" s="1247"/>
      <c r="BNT26" s="1247"/>
      <c r="BNU26" s="1247"/>
      <c r="BNV26" s="1247"/>
      <c r="BNW26" s="1247"/>
      <c r="BNX26" s="1247"/>
      <c r="BNY26" s="1247"/>
      <c r="BNZ26" s="1247"/>
      <c r="BOA26" s="1247"/>
      <c r="BOB26" s="1247"/>
      <c r="BOC26" s="1247"/>
      <c r="BOD26" s="1247"/>
      <c r="BOE26" s="1247"/>
      <c r="BOF26" s="1247"/>
      <c r="BOG26" s="1247"/>
      <c r="BOH26" s="1247"/>
      <c r="BOI26" s="1247"/>
      <c r="BOJ26" s="1247"/>
      <c r="BOK26" s="1247"/>
      <c r="BOL26" s="1247"/>
      <c r="BOM26" s="1247"/>
      <c r="BON26" s="1247"/>
      <c r="BOO26" s="1247"/>
      <c r="BOP26" s="1247"/>
      <c r="BOQ26" s="1247"/>
      <c r="BOR26" s="1247"/>
      <c r="BOS26" s="1247"/>
      <c r="BOT26" s="1247"/>
      <c r="BOU26" s="1247"/>
      <c r="BOV26" s="1247"/>
      <c r="BOW26" s="1247"/>
      <c r="BOX26" s="1247"/>
      <c r="BOY26" s="1247"/>
      <c r="BOZ26" s="1247"/>
      <c r="BPA26" s="1247"/>
      <c r="BPB26" s="1247"/>
      <c r="BPC26" s="1247"/>
      <c r="BPD26" s="1247"/>
      <c r="BPE26" s="1247"/>
      <c r="BPF26" s="1247"/>
      <c r="BPG26" s="1247"/>
      <c r="BPH26" s="1247"/>
      <c r="BPI26" s="1247"/>
      <c r="BPJ26" s="1247"/>
      <c r="BPK26" s="1247"/>
      <c r="BPL26" s="1247"/>
      <c r="BPM26" s="1247"/>
      <c r="BPN26" s="1247"/>
      <c r="BPO26" s="1247"/>
      <c r="BPP26" s="1247"/>
      <c r="BPQ26" s="1247"/>
      <c r="BPR26" s="1247"/>
      <c r="BPS26" s="1247"/>
      <c r="BPT26" s="1247"/>
      <c r="BPU26" s="1247"/>
      <c r="BPV26" s="1247"/>
      <c r="BPW26" s="1247"/>
      <c r="BPX26" s="1247"/>
      <c r="BPY26" s="1247"/>
      <c r="BPZ26" s="1247"/>
      <c r="BQA26" s="1247"/>
      <c r="BQB26" s="1247"/>
      <c r="BQC26" s="1247"/>
      <c r="BQD26" s="1247"/>
      <c r="BQE26" s="1247"/>
      <c r="BQF26" s="1247"/>
      <c r="BQG26" s="1247"/>
      <c r="BQH26" s="1247"/>
      <c r="BQI26" s="1247"/>
      <c r="BQJ26" s="1247"/>
      <c r="BQK26" s="1247"/>
      <c r="BQL26" s="1247"/>
      <c r="BQM26" s="1247"/>
      <c r="BQN26" s="1247"/>
      <c r="BQO26" s="1247"/>
      <c r="BQP26" s="1247"/>
      <c r="BQQ26" s="1247"/>
      <c r="BQR26" s="1247"/>
      <c r="BQS26" s="1247"/>
      <c r="BQT26" s="1247"/>
      <c r="BQU26" s="1247"/>
      <c r="BQV26" s="1247"/>
      <c r="BQW26" s="1247"/>
      <c r="BQX26" s="1247"/>
      <c r="BQY26" s="1247"/>
      <c r="BQZ26" s="1247"/>
      <c r="BRA26" s="1247"/>
      <c r="BRB26" s="1247"/>
      <c r="BRC26" s="1247"/>
      <c r="BRD26" s="1247"/>
      <c r="BRE26" s="1247"/>
      <c r="BRF26" s="1247"/>
      <c r="BRG26" s="1247"/>
      <c r="BRH26" s="1247"/>
      <c r="BRI26" s="1247"/>
      <c r="BRJ26" s="1247"/>
      <c r="BRK26" s="1247"/>
      <c r="BRL26" s="1247"/>
      <c r="BRM26" s="1247"/>
      <c r="BRN26" s="1247"/>
      <c r="BRO26" s="1247"/>
      <c r="BRP26" s="1247"/>
      <c r="BRQ26" s="1247"/>
      <c r="BRR26" s="1247"/>
      <c r="BRS26" s="1247"/>
      <c r="BRT26" s="1247"/>
      <c r="BRU26" s="1247"/>
      <c r="BRV26" s="1247"/>
      <c r="BRW26" s="1247"/>
      <c r="BRX26" s="1247"/>
      <c r="BRY26" s="1247"/>
      <c r="BRZ26" s="1247"/>
      <c r="BSA26" s="1247"/>
      <c r="BSB26" s="1247"/>
      <c r="BSC26" s="1247"/>
      <c r="BSD26" s="1247"/>
      <c r="BSE26" s="1247"/>
      <c r="BSF26" s="1247"/>
      <c r="BSG26" s="1247"/>
      <c r="BSH26" s="1247"/>
      <c r="BSI26" s="1247"/>
      <c r="BSJ26" s="1247"/>
      <c r="BSK26" s="1247"/>
      <c r="BSL26" s="1247"/>
      <c r="BSM26" s="1247"/>
      <c r="BSN26" s="1247"/>
      <c r="BSO26" s="1247"/>
      <c r="BSP26" s="1247"/>
      <c r="BSQ26" s="1247"/>
      <c r="BSR26" s="1247"/>
      <c r="BSS26" s="1247"/>
      <c r="BST26" s="1247"/>
      <c r="BSU26" s="1247"/>
      <c r="BSV26" s="1247"/>
      <c r="BSW26" s="1247"/>
      <c r="BSX26" s="1247"/>
      <c r="BSY26" s="1247"/>
      <c r="BSZ26" s="1247"/>
      <c r="BTA26" s="1247"/>
      <c r="BTB26" s="1247"/>
      <c r="BTC26" s="1247"/>
      <c r="BTD26" s="1247"/>
      <c r="BTE26" s="1247"/>
      <c r="BTF26" s="1247"/>
      <c r="BTG26" s="1247"/>
      <c r="BTH26" s="1247"/>
      <c r="BTI26" s="1247"/>
      <c r="BTJ26" s="1247"/>
      <c r="BTK26" s="1247"/>
      <c r="BTL26" s="1247"/>
      <c r="BTM26" s="1247"/>
      <c r="BTN26" s="1247"/>
      <c r="BTO26" s="1247"/>
      <c r="BTP26" s="1247"/>
      <c r="BTQ26" s="1247"/>
      <c r="BTR26" s="1247"/>
      <c r="BTS26" s="1247"/>
      <c r="BTT26" s="1247"/>
      <c r="BTU26" s="1247"/>
      <c r="BTV26" s="1247"/>
      <c r="BTW26" s="1247"/>
      <c r="BTX26" s="1247"/>
      <c r="BTY26" s="1247"/>
      <c r="BTZ26" s="1247"/>
      <c r="BUA26" s="1247"/>
      <c r="BUB26" s="1247"/>
      <c r="BUC26" s="1247"/>
      <c r="BUD26" s="1247"/>
      <c r="BUE26" s="1247"/>
      <c r="BUF26" s="1247"/>
      <c r="BUG26" s="1247"/>
      <c r="BUH26" s="1247"/>
      <c r="BUI26" s="1247"/>
      <c r="BUJ26" s="1247"/>
      <c r="BUK26" s="1247"/>
      <c r="BUL26" s="1247"/>
      <c r="BUM26" s="1247"/>
      <c r="BUN26" s="1247"/>
      <c r="BUO26" s="1247"/>
      <c r="BUP26" s="1247"/>
      <c r="BUQ26" s="1247"/>
      <c r="BUR26" s="1247"/>
      <c r="BUS26" s="1247"/>
      <c r="BUT26" s="1247"/>
      <c r="BUU26" s="1247"/>
      <c r="BUV26" s="1247"/>
      <c r="BUW26" s="1247"/>
      <c r="BUX26" s="1247"/>
      <c r="BUY26" s="1247"/>
      <c r="BUZ26" s="1247"/>
      <c r="BVA26" s="1247"/>
      <c r="BVB26" s="1247"/>
      <c r="BVC26" s="1247"/>
      <c r="BVD26" s="1247"/>
      <c r="BVE26" s="1247"/>
      <c r="BVF26" s="1247"/>
      <c r="BVG26" s="1247"/>
      <c r="BVH26" s="1247"/>
      <c r="BVI26" s="1247"/>
      <c r="BVJ26" s="1247"/>
      <c r="BVK26" s="1247"/>
      <c r="BVL26" s="1247"/>
      <c r="BVM26" s="1247"/>
      <c r="BVN26" s="1247"/>
      <c r="BVO26" s="1247"/>
      <c r="BVP26" s="1247"/>
      <c r="BVQ26" s="1247"/>
      <c r="BVR26" s="1247"/>
      <c r="BVS26" s="1247"/>
      <c r="BVT26" s="1247"/>
      <c r="BVU26" s="1247"/>
      <c r="BVV26" s="1247"/>
      <c r="BVW26" s="1247"/>
      <c r="BVX26" s="1247"/>
      <c r="BVY26" s="1247"/>
      <c r="BVZ26" s="1247"/>
      <c r="BWA26" s="1247"/>
      <c r="BWB26" s="1247"/>
      <c r="BWC26" s="1247"/>
      <c r="BWD26" s="1247"/>
      <c r="BWE26" s="1247"/>
      <c r="BWF26" s="1247"/>
      <c r="BWG26" s="1247"/>
      <c r="BWH26" s="1247"/>
      <c r="BWI26" s="1247"/>
      <c r="BWJ26" s="1247"/>
      <c r="BWK26" s="1247"/>
      <c r="BWL26" s="1247"/>
      <c r="BWM26" s="1247"/>
      <c r="BWN26" s="1247"/>
      <c r="BWO26" s="1247"/>
      <c r="BWP26" s="1247"/>
      <c r="BWQ26" s="1247"/>
      <c r="BWR26" s="1247"/>
      <c r="BWS26" s="1247"/>
      <c r="BWT26" s="1247"/>
      <c r="BWU26" s="1247"/>
      <c r="BWV26" s="1247"/>
      <c r="BWW26" s="1247"/>
      <c r="BWX26" s="1247"/>
      <c r="BWY26" s="1247"/>
      <c r="BWZ26" s="1247"/>
      <c r="BXA26" s="1247"/>
      <c r="BXB26" s="1247"/>
      <c r="BXC26" s="1247"/>
      <c r="BXD26" s="1247"/>
      <c r="BXE26" s="1247"/>
      <c r="BXF26" s="1247"/>
      <c r="BXG26" s="1247"/>
      <c r="BXH26" s="1247"/>
      <c r="BXI26" s="1247"/>
      <c r="BXJ26" s="1247"/>
      <c r="BXK26" s="1247"/>
      <c r="BXL26" s="1247"/>
      <c r="BXM26" s="1247"/>
      <c r="BXN26" s="1247"/>
      <c r="BXO26" s="1247"/>
      <c r="BXP26" s="1247"/>
      <c r="BXQ26" s="1247"/>
      <c r="BXR26" s="1247"/>
      <c r="BXS26" s="1247"/>
      <c r="BXT26" s="1247"/>
      <c r="BXU26" s="1247"/>
      <c r="BXV26" s="1247"/>
      <c r="BXW26" s="1247"/>
      <c r="BXX26" s="1247"/>
      <c r="BXY26" s="1247"/>
      <c r="BXZ26" s="1247"/>
      <c r="BYA26" s="1247"/>
      <c r="BYB26" s="1247"/>
      <c r="BYC26" s="1247"/>
      <c r="BYD26" s="1247"/>
      <c r="BYE26" s="1247"/>
      <c r="BYF26" s="1247"/>
      <c r="BYG26" s="1247"/>
      <c r="BYH26" s="1247"/>
      <c r="BYI26" s="1247"/>
      <c r="BYJ26" s="1247"/>
      <c r="BYK26" s="1247"/>
      <c r="BYL26" s="1247"/>
      <c r="BYM26" s="1247"/>
      <c r="BYN26" s="1247"/>
      <c r="BYO26" s="1247"/>
      <c r="BYP26" s="1247"/>
      <c r="BYQ26" s="1247"/>
      <c r="BYR26" s="1247"/>
      <c r="BYS26" s="1247"/>
      <c r="BYT26" s="1247"/>
      <c r="BYU26" s="1247"/>
      <c r="BYV26" s="1247"/>
      <c r="BYW26" s="1247"/>
      <c r="BYX26" s="1247"/>
      <c r="BYY26" s="1247"/>
      <c r="BYZ26" s="1247"/>
      <c r="BZA26" s="1247"/>
      <c r="BZB26" s="1247"/>
      <c r="BZC26" s="1247"/>
      <c r="BZD26" s="1247"/>
      <c r="BZE26" s="1247"/>
      <c r="BZF26" s="1247"/>
      <c r="BZG26" s="1247"/>
      <c r="BZH26" s="1247"/>
      <c r="BZI26" s="1247"/>
      <c r="BZJ26" s="1247"/>
      <c r="BZK26" s="1247"/>
      <c r="BZL26" s="1247"/>
      <c r="BZM26" s="1247"/>
      <c r="BZN26" s="1247"/>
      <c r="BZO26" s="1247"/>
      <c r="BZP26" s="1247"/>
      <c r="BZQ26" s="1247"/>
      <c r="BZR26" s="1247"/>
      <c r="BZS26" s="1247"/>
      <c r="BZT26" s="1247"/>
      <c r="BZU26" s="1247"/>
      <c r="BZV26" s="1247"/>
      <c r="BZW26" s="1247"/>
      <c r="BZX26" s="1247"/>
      <c r="BZY26" s="1247"/>
      <c r="BZZ26" s="1247"/>
      <c r="CAA26" s="1247"/>
      <c r="CAB26" s="1247"/>
      <c r="CAC26" s="1247"/>
      <c r="CAD26" s="1247"/>
      <c r="CAE26" s="1247"/>
      <c r="CAF26" s="1247"/>
      <c r="CAG26" s="1247"/>
      <c r="CAH26" s="1247"/>
      <c r="CAI26" s="1247"/>
      <c r="CAJ26" s="1247"/>
      <c r="CAK26" s="1247"/>
      <c r="CAL26" s="1247"/>
      <c r="CAM26" s="1247"/>
      <c r="CAN26" s="1247"/>
      <c r="CAO26" s="1247"/>
      <c r="CAP26" s="1247"/>
      <c r="CAQ26" s="1247"/>
      <c r="CAR26" s="1247"/>
      <c r="CAS26" s="1247"/>
      <c r="CAT26" s="1247"/>
      <c r="CAU26" s="1247"/>
      <c r="CAV26" s="1247"/>
      <c r="CAW26" s="1247"/>
      <c r="CAX26" s="1247"/>
      <c r="CAY26" s="1247"/>
      <c r="CAZ26" s="1247"/>
      <c r="CBA26" s="1247"/>
      <c r="CBB26" s="1247"/>
      <c r="CBC26" s="1247"/>
      <c r="CBD26" s="1247"/>
      <c r="CBE26" s="1247"/>
      <c r="CBF26" s="1247"/>
      <c r="CBG26" s="1247"/>
      <c r="CBH26" s="1247"/>
      <c r="CBI26" s="1247"/>
      <c r="CBJ26" s="1247"/>
      <c r="CBK26" s="1247"/>
      <c r="CBL26" s="1247"/>
      <c r="CBM26" s="1247"/>
      <c r="CBN26" s="1247"/>
      <c r="CBO26" s="1247"/>
      <c r="CBP26" s="1247"/>
      <c r="CBQ26" s="1247"/>
      <c r="CBR26" s="1247"/>
      <c r="CBS26" s="1247"/>
      <c r="CBT26" s="1247"/>
      <c r="CBU26" s="1247"/>
      <c r="CBV26" s="1247"/>
      <c r="CBW26" s="1247"/>
      <c r="CBX26" s="1247"/>
      <c r="CBY26" s="1247"/>
      <c r="CBZ26" s="1247"/>
      <c r="CCA26" s="1247"/>
      <c r="CCB26" s="1247"/>
      <c r="CCC26" s="1247"/>
      <c r="CCD26" s="1247"/>
      <c r="CCE26" s="1247"/>
      <c r="CCF26" s="1247"/>
      <c r="CCG26" s="1247"/>
      <c r="CCH26" s="1247"/>
      <c r="CCI26" s="1247"/>
      <c r="CCJ26" s="1247"/>
      <c r="CCK26" s="1247"/>
      <c r="CCL26" s="1247"/>
      <c r="CCM26" s="1247"/>
      <c r="CCN26" s="1247"/>
      <c r="CCO26" s="1247"/>
      <c r="CCP26" s="1247"/>
      <c r="CCQ26" s="1247"/>
      <c r="CCR26" s="1247"/>
      <c r="CCS26" s="1247"/>
      <c r="CCT26" s="1247"/>
      <c r="CCU26" s="1247"/>
      <c r="CCV26" s="1247"/>
      <c r="CCW26" s="1247"/>
      <c r="CCX26" s="1247"/>
      <c r="CCY26" s="1247"/>
      <c r="CCZ26" s="1247"/>
      <c r="CDA26" s="1247"/>
      <c r="CDB26" s="1247"/>
      <c r="CDC26" s="1247"/>
      <c r="CDD26" s="1247"/>
      <c r="CDE26" s="1247"/>
      <c r="CDF26" s="1247"/>
      <c r="CDG26" s="1247"/>
      <c r="CDH26" s="1247"/>
      <c r="CDI26" s="1247"/>
      <c r="CDJ26" s="1247"/>
      <c r="CDK26" s="1247"/>
      <c r="CDL26" s="1247"/>
      <c r="CDM26" s="1247"/>
      <c r="CDN26" s="1247"/>
      <c r="CDO26" s="1247"/>
      <c r="CDP26" s="1247"/>
      <c r="CDQ26" s="1247"/>
      <c r="CDR26" s="1247"/>
      <c r="CDS26" s="1247"/>
      <c r="CDT26" s="1247"/>
      <c r="CDU26" s="1247"/>
      <c r="CDV26" s="1247"/>
      <c r="CDW26" s="1247"/>
      <c r="CDX26" s="1247"/>
      <c r="CDY26" s="1247"/>
      <c r="CDZ26" s="1247"/>
      <c r="CEA26" s="1247"/>
      <c r="CEB26" s="1247"/>
      <c r="CEC26" s="1247"/>
      <c r="CED26" s="1247"/>
      <c r="CEE26" s="1247"/>
      <c r="CEF26" s="1247"/>
      <c r="CEG26" s="1247"/>
      <c r="CEH26" s="1247"/>
      <c r="CEI26" s="1247"/>
      <c r="CEJ26" s="1247"/>
      <c r="CEK26" s="1247"/>
      <c r="CEL26" s="1247"/>
      <c r="CEM26" s="1247"/>
      <c r="CEN26" s="1247"/>
      <c r="CEO26" s="1247"/>
      <c r="CEP26" s="1247"/>
      <c r="CEQ26" s="1247"/>
      <c r="CER26" s="1247"/>
      <c r="CES26" s="1247"/>
      <c r="CET26" s="1247"/>
      <c r="CEU26" s="1247"/>
      <c r="CEV26" s="1247"/>
      <c r="CEW26" s="1247"/>
      <c r="CEX26" s="1247"/>
      <c r="CEY26" s="1247"/>
      <c r="CEZ26" s="1247"/>
      <c r="CFA26" s="1247"/>
      <c r="CFB26" s="1247"/>
      <c r="CFC26" s="1247"/>
      <c r="CFD26" s="1247"/>
      <c r="CFE26" s="1247"/>
      <c r="CFF26" s="1247"/>
      <c r="CFG26" s="1247"/>
      <c r="CFH26" s="1247"/>
      <c r="CFI26" s="1247"/>
      <c r="CFJ26" s="1247"/>
      <c r="CFK26" s="1247"/>
      <c r="CFL26" s="1247"/>
      <c r="CFM26" s="1247"/>
      <c r="CFN26" s="1247"/>
      <c r="CFO26" s="1247"/>
      <c r="CFP26" s="1247"/>
      <c r="CFQ26" s="1247"/>
      <c r="CFR26" s="1247"/>
      <c r="CFS26" s="1247"/>
      <c r="CFT26" s="1247"/>
      <c r="CFU26" s="1247"/>
      <c r="CFV26" s="1247"/>
      <c r="CFW26" s="1247"/>
      <c r="CFX26" s="1247"/>
      <c r="CFY26" s="1247"/>
      <c r="CFZ26" s="1247"/>
      <c r="CGA26" s="1247"/>
      <c r="CGB26" s="1247"/>
      <c r="CGC26" s="1247"/>
      <c r="CGD26" s="1247"/>
      <c r="CGE26" s="1247"/>
      <c r="CGF26" s="1247"/>
      <c r="CGG26" s="1247"/>
      <c r="CGH26" s="1247"/>
      <c r="CGI26" s="1247"/>
      <c r="CGJ26" s="1247"/>
      <c r="CGK26" s="1247"/>
      <c r="CGL26" s="1247"/>
      <c r="CGM26" s="1247"/>
      <c r="CGN26" s="1247"/>
      <c r="CGO26" s="1247"/>
      <c r="CGP26" s="1247"/>
      <c r="CGQ26" s="1247"/>
      <c r="CGR26" s="1247"/>
      <c r="CGS26" s="1247"/>
      <c r="CGT26" s="1247"/>
      <c r="CGU26" s="1247"/>
      <c r="CGV26" s="1247"/>
      <c r="CGW26" s="1247"/>
      <c r="CGX26" s="1247"/>
      <c r="CGY26" s="1247"/>
      <c r="CGZ26" s="1247"/>
      <c r="CHA26" s="1247"/>
      <c r="CHB26" s="1247"/>
      <c r="CHC26" s="1247"/>
      <c r="CHD26" s="1247"/>
      <c r="CHE26" s="1247"/>
      <c r="CHF26" s="1247"/>
      <c r="CHG26" s="1247"/>
      <c r="CHH26" s="1247"/>
      <c r="CHI26" s="1247"/>
      <c r="CHJ26" s="1247"/>
      <c r="CHK26" s="1247"/>
      <c r="CHL26" s="1247"/>
      <c r="CHM26" s="1247"/>
      <c r="CHN26" s="1247"/>
      <c r="CHO26" s="1247"/>
      <c r="CHP26" s="1247"/>
      <c r="CHQ26" s="1247"/>
      <c r="CHR26" s="1247"/>
      <c r="CHS26" s="1247"/>
      <c r="CHT26" s="1247"/>
      <c r="CHU26" s="1247"/>
      <c r="CHV26" s="1247"/>
      <c r="CHW26" s="1247"/>
      <c r="CHX26" s="1247"/>
      <c r="CHY26" s="1247"/>
      <c r="CHZ26" s="1247"/>
      <c r="CIA26" s="1247"/>
      <c r="CIB26" s="1247"/>
      <c r="CIC26" s="1247"/>
      <c r="CID26" s="1247"/>
      <c r="CIE26" s="1247"/>
      <c r="CIF26" s="1247"/>
      <c r="CIG26" s="1247"/>
      <c r="CIH26" s="1247"/>
      <c r="CII26" s="1247"/>
      <c r="CIJ26" s="1247"/>
      <c r="CIK26" s="1247"/>
      <c r="CIL26" s="1247"/>
      <c r="CIM26" s="1247"/>
      <c r="CIN26" s="1247"/>
      <c r="CIO26" s="1247"/>
      <c r="CIP26" s="1247"/>
      <c r="CIQ26" s="1247"/>
      <c r="CIR26" s="1247"/>
      <c r="CIS26" s="1247"/>
      <c r="CIT26" s="1247"/>
      <c r="CIU26" s="1247"/>
      <c r="CIV26" s="1247"/>
      <c r="CIW26" s="1247"/>
      <c r="CIX26" s="1247"/>
      <c r="CIY26" s="1247"/>
      <c r="CIZ26" s="1247"/>
      <c r="CJA26" s="1247"/>
      <c r="CJB26" s="1247"/>
      <c r="CJC26" s="1247"/>
      <c r="CJD26" s="1247"/>
      <c r="CJE26" s="1247"/>
      <c r="CJF26" s="1247"/>
      <c r="CJG26" s="1247"/>
      <c r="CJH26" s="1247"/>
      <c r="CJI26" s="1247"/>
      <c r="CJJ26" s="1247"/>
      <c r="CJK26" s="1247"/>
      <c r="CJL26" s="1247"/>
      <c r="CJM26" s="1247"/>
      <c r="CJN26" s="1247"/>
      <c r="CJO26" s="1247"/>
      <c r="CJP26" s="1247"/>
      <c r="CJQ26" s="1247"/>
      <c r="CJR26" s="1247"/>
      <c r="CJS26" s="1247"/>
      <c r="CJT26" s="1247"/>
      <c r="CJU26" s="1247"/>
      <c r="CJV26" s="1247"/>
      <c r="CJW26" s="1247"/>
      <c r="CJX26" s="1247"/>
      <c r="CJY26" s="1247"/>
      <c r="CJZ26" s="1247"/>
      <c r="CKA26" s="1247"/>
      <c r="CKB26" s="1247"/>
      <c r="CKC26" s="1247"/>
      <c r="CKD26" s="1247"/>
      <c r="CKE26" s="1247"/>
      <c r="CKF26" s="1247"/>
      <c r="CKG26" s="1247"/>
      <c r="CKH26" s="1247"/>
      <c r="CKI26" s="1247"/>
      <c r="CKJ26" s="1247"/>
      <c r="CKK26" s="1247"/>
      <c r="CKL26" s="1247"/>
      <c r="CKM26" s="1247"/>
      <c r="CKN26" s="1247"/>
      <c r="CKO26" s="1247"/>
      <c r="CKP26" s="1247"/>
      <c r="CKQ26" s="1247"/>
      <c r="CKR26" s="1247"/>
      <c r="CKS26" s="1247"/>
      <c r="CKT26" s="1247"/>
      <c r="CKU26" s="1247"/>
      <c r="CKV26" s="1247"/>
      <c r="CKW26" s="1247"/>
      <c r="CKX26" s="1247"/>
      <c r="CKY26" s="1247"/>
      <c r="CKZ26" s="1247"/>
      <c r="CLA26" s="1247"/>
      <c r="CLB26" s="1247"/>
      <c r="CLC26" s="1247"/>
      <c r="CLD26" s="1247"/>
      <c r="CLE26" s="1247"/>
      <c r="CLF26" s="1247"/>
      <c r="CLG26" s="1247"/>
      <c r="CLH26" s="1247"/>
      <c r="CLI26" s="1247"/>
      <c r="CLJ26" s="1247"/>
      <c r="CLK26" s="1247"/>
      <c r="CLL26" s="1247"/>
      <c r="CLM26" s="1247"/>
      <c r="CLN26" s="1247"/>
      <c r="CLO26" s="1247"/>
      <c r="CLP26" s="1247"/>
      <c r="CLQ26" s="1247"/>
      <c r="CLR26" s="1247"/>
      <c r="CLS26" s="1247"/>
      <c r="CLT26" s="1247"/>
      <c r="CLU26" s="1247"/>
      <c r="CLV26" s="1247"/>
      <c r="CLW26" s="1247"/>
      <c r="CLX26" s="1247"/>
      <c r="CLY26" s="1247"/>
      <c r="CLZ26" s="1247"/>
      <c r="CMA26" s="1247"/>
      <c r="CMB26" s="1247"/>
      <c r="CMC26" s="1247"/>
      <c r="CMD26" s="1247"/>
      <c r="CME26" s="1247"/>
      <c r="CMF26" s="1247"/>
      <c r="CMG26" s="1247"/>
      <c r="CMH26" s="1247"/>
      <c r="CMI26" s="1247"/>
      <c r="CMJ26" s="1247"/>
      <c r="CMK26" s="1247"/>
      <c r="CML26" s="1247"/>
      <c r="CMM26" s="1247"/>
      <c r="CMN26" s="1247"/>
      <c r="CMO26" s="1247"/>
      <c r="CMP26" s="1247"/>
      <c r="CMQ26" s="1247"/>
      <c r="CMR26" s="1247"/>
      <c r="CMS26" s="1247"/>
      <c r="CMT26" s="1247"/>
      <c r="CMU26" s="1247"/>
      <c r="CMV26" s="1247"/>
      <c r="CMW26" s="1247"/>
      <c r="CMX26" s="1247"/>
      <c r="CMY26" s="1247"/>
      <c r="CMZ26" s="1247"/>
      <c r="CNA26" s="1247"/>
      <c r="CNB26" s="1247"/>
      <c r="CNC26" s="1247"/>
      <c r="CND26" s="1247"/>
      <c r="CNE26" s="1247"/>
      <c r="CNF26" s="1247"/>
      <c r="CNG26" s="1247"/>
      <c r="CNH26" s="1247"/>
      <c r="CNI26" s="1247"/>
      <c r="CNJ26" s="1247"/>
      <c r="CNK26" s="1247"/>
      <c r="CNL26" s="1247"/>
      <c r="CNM26" s="1247"/>
      <c r="CNN26" s="1247"/>
      <c r="CNO26" s="1247"/>
      <c r="CNP26" s="1247"/>
      <c r="CNQ26" s="1247"/>
      <c r="CNR26" s="1247"/>
      <c r="CNS26" s="1247"/>
      <c r="CNT26" s="1247"/>
      <c r="CNU26" s="1247"/>
      <c r="CNV26" s="1247"/>
      <c r="CNW26" s="1247"/>
      <c r="CNX26" s="1247"/>
      <c r="CNY26" s="1247"/>
      <c r="CNZ26" s="1247"/>
      <c r="COA26" s="1247"/>
      <c r="COB26" s="1247"/>
      <c r="COC26" s="1247"/>
      <c r="COD26" s="1247"/>
      <c r="COE26" s="1247"/>
      <c r="COF26" s="1247"/>
      <c r="COG26" s="1247"/>
      <c r="COH26" s="1247"/>
      <c r="COI26" s="1247"/>
      <c r="COJ26" s="1247"/>
      <c r="COK26" s="1247"/>
      <c r="COL26" s="1247"/>
      <c r="COM26" s="1247"/>
      <c r="CON26" s="1247"/>
      <c r="COO26" s="1247"/>
      <c r="COP26" s="1247"/>
      <c r="COQ26" s="1247"/>
      <c r="COR26" s="1247"/>
      <c r="COS26" s="1247"/>
      <c r="COT26" s="1247"/>
      <c r="COU26" s="1247"/>
      <c r="COV26" s="1247"/>
      <c r="COW26" s="1247"/>
      <c r="COX26" s="1247"/>
      <c r="COY26" s="1247"/>
      <c r="COZ26" s="1247"/>
      <c r="CPA26" s="1247"/>
      <c r="CPB26" s="1247"/>
      <c r="CPC26" s="1247"/>
      <c r="CPD26" s="1247"/>
      <c r="CPE26" s="1247"/>
      <c r="CPF26" s="1247"/>
      <c r="CPG26" s="1247"/>
      <c r="CPH26" s="1247"/>
      <c r="CPI26" s="1247"/>
      <c r="CPJ26" s="1247"/>
      <c r="CPK26" s="1247"/>
      <c r="CPL26" s="1247"/>
      <c r="CPM26" s="1247"/>
      <c r="CPN26" s="1247"/>
      <c r="CPO26" s="1247"/>
      <c r="CPP26" s="1247"/>
      <c r="CPQ26" s="1247"/>
      <c r="CPR26" s="1247"/>
      <c r="CPS26" s="1247"/>
      <c r="CPT26" s="1247"/>
      <c r="CPU26" s="1247"/>
      <c r="CPV26" s="1247"/>
      <c r="CPW26" s="1247"/>
      <c r="CPX26" s="1247"/>
      <c r="CPY26" s="1247"/>
      <c r="CPZ26" s="1247"/>
      <c r="CQA26" s="1247"/>
      <c r="CQB26" s="1247"/>
      <c r="CQC26" s="1247"/>
      <c r="CQD26" s="1247"/>
      <c r="CQE26" s="1247"/>
      <c r="CQF26" s="1247"/>
      <c r="CQG26" s="1247"/>
      <c r="CQH26" s="1247"/>
      <c r="CQI26" s="1247"/>
      <c r="CQJ26" s="1247"/>
      <c r="CQK26" s="1247"/>
      <c r="CQL26" s="1247"/>
      <c r="CQM26" s="1247"/>
      <c r="CQN26" s="1247"/>
      <c r="CQO26" s="1247"/>
      <c r="CQP26" s="1247"/>
      <c r="CQQ26" s="1247"/>
      <c r="CQR26" s="1247"/>
      <c r="CQS26" s="1247"/>
      <c r="CQT26" s="1247"/>
      <c r="CQU26" s="1247"/>
      <c r="CQV26" s="1247"/>
      <c r="CQW26" s="1247"/>
      <c r="CQX26" s="1247"/>
      <c r="CQY26" s="1247"/>
      <c r="CQZ26" s="1247"/>
      <c r="CRA26" s="1247"/>
      <c r="CRB26" s="1247"/>
      <c r="CRC26" s="1247"/>
      <c r="CRD26" s="1247"/>
      <c r="CRE26" s="1247"/>
      <c r="CRF26" s="1247"/>
      <c r="CRG26" s="1247"/>
      <c r="CRH26" s="1247"/>
      <c r="CRI26" s="1247"/>
      <c r="CRJ26" s="1247"/>
      <c r="CRK26" s="1247"/>
      <c r="CRL26" s="1247"/>
      <c r="CRM26" s="1247"/>
      <c r="CRN26" s="1247"/>
      <c r="CRO26" s="1247"/>
      <c r="CRP26" s="1247"/>
      <c r="CRQ26" s="1247"/>
      <c r="CRR26" s="1247"/>
      <c r="CRS26" s="1247"/>
      <c r="CRT26" s="1247"/>
      <c r="CRU26" s="1247"/>
      <c r="CRV26" s="1247"/>
      <c r="CRW26" s="1247"/>
      <c r="CRX26" s="1247"/>
      <c r="CRY26" s="1247"/>
      <c r="CRZ26" s="1247"/>
      <c r="CSA26" s="1247"/>
      <c r="CSB26" s="1247"/>
      <c r="CSC26" s="1247"/>
      <c r="CSD26" s="1247"/>
      <c r="CSE26" s="1247"/>
      <c r="CSF26" s="1247"/>
      <c r="CSG26" s="1247"/>
      <c r="CSH26" s="1247"/>
      <c r="CSI26" s="1247"/>
      <c r="CSJ26" s="1247"/>
      <c r="CSK26" s="1247"/>
      <c r="CSL26" s="1247"/>
      <c r="CSM26" s="1247"/>
      <c r="CSN26" s="1247"/>
      <c r="CSO26" s="1247"/>
      <c r="CSP26" s="1247"/>
      <c r="CSQ26" s="1247"/>
      <c r="CSR26" s="1247"/>
      <c r="CSS26" s="1247"/>
      <c r="CST26" s="1247"/>
      <c r="CSU26" s="1247"/>
      <c r="CSV26" s="1247"/>
      <c r="CSW26" s="1247"/>
      <c r="CSX26" s="1247"/>
      <c r="CSY26" s="1247"/>
      <c r="CSZ26" s="1247"/>
      <c r="CTA26" s="1247"/>
      <c r="CTB26" s="1247"/>
      <c r="CTC26" s="1247"/>
      <c r="CTD26" s="1247"/>
      <c r="CTE26" s="1247"/>
      <c r="CTF26" s="1247"/>
      <c r="CTG26" s="1247"/>
      <c r="CTH26" s="1247"/>
      <c r="CTI26" s="1247"/>
      <c r="CTJ26" s="1247"/>
      <c r="CTK26" s="1247"/>
      <c r="CTL26" s="1247"/>
      <c r="CTM26" s="1247"/>
      <c r="CTN26" s="1247"/>
      <c r="CTO26" s="1247"/>
      <c r="CTP26" s="1247"/>
      <c r="CTQ26" s="1247"/>
      <c r="CTR26" s="1247"/>
      <c r="CTS26" s="1247"/>
      <c r="CTT26" s="1247"/>
      <c r="CTU26" s="1247"/>
      <c r="CTV26" s="1247"/>
      <c r="CTW26" s="1247"/>
      <c r="CTX26" s="1247"/>
      <c r="CTY26" s="1247"/>
      <c r="CTZ26" s="1247"/>
      <c r="CUA26" s="1247"/>
      <c r="CUB26" s="1247"/>
      <c r="CUC26" s="1247"/>
      <c r="CUD26" s="1247"/>
      <c r="CUE26" s="1247"/>
      <c r="CUF26" s="1247"/>
      <c r="CUG26" s="1247"/>
      <c r="CUH26" s="1247"/>
      <c r="CUI26" s="1247"/>
      <c r="CUJ26" s="1247"/>
      <c r="CUK26" s="1247"/>
      <c r="CUL26" s="1247"/>
      <c r="CUM26" s="1247"/>
      <c r="CUN26" s="1247"/>
      <c r="CUO26" s="1247"/>
      <c r="CUP26" s="1247"/>
      <c r="CUQ26" s="1247"/>
      <c r="CUR26" s="1247"/>
      <c r="CUS26" s="1247"/>
      <c r="CUT26" s="1247"/>
      <c r="CUU26" s="1247"/>
      <c r="CUV26" s="1247"/>
      <c r="CUW26" s="1247"/>
      <c r="CUX26" s="1247"/>
      <c r="CUY26" s="1247"/>
      <c r="CUZ26" s="1247"/>
      <c r="CVA26" s="1247"/>
      <c r="CVB26" s="1247"/>
      <c r="CVC26" s="1247"/>
      <c r="CVD26" s="1247"/>
      <c r="CVE26" s="1247"/>
      <c r="CVF26" s="1247"/>
      <c r="CVG26" s="1247"/>
      <c r="CVH26" s="1247"/>
      <c r="CVI26" s="1247"/>
      <c r="CVJ26" s="1247"/>
      <c r="CVK26" s="1247"/>
      <c r="CVL26" s="1247"/>
      <c r="CVM26" s="1247"/>
      <c r="CVN26" s="1247"/>
      <c r="CVO26" s="1247"/>
      <c r="CVP26" s="1247"/>
      <c r="CVQ26" s="1247"/>
      <c r="CVR26" s="1247"/>
      <c r="CVS26" s="1247"/>
      <c r="CVT26" s="1247"/>
      <c r="CVU26" s="1247"/>
      <c r="CVV26" s="1247"/>
      <c r="CVW26" s="1247"/>
      <c r="CVX26" s="1247"/>
      <c r="CVY26" s="1247"/>
      <c r="CVZ26" s="1247"/>
      <c r="CWA26" s="1247"/>
      <c r="CWB26" s="1247"/>
      <c r="CWC26" s="1247"/>
      <c r="CWD26" s="1247"/>
      <c r="CWE26" s="1247"/>
      <c r="CWF26" s="1247"/>
      <c r="CWG26" s="1247"/>
      <c r="CWH26" s="1247"/>
      <c r="CWI26" s="1247"/>
      <c r="CWJ26" s="1247"/>
      <c r="CWK26" s="1247"/>
      <c r="CWL26" s="1247"/>
      <c r="CWM26" s="1247"/>
      <c r="CWN26" s="1247"/>
      <c r="CWO26" s="1247"/>
      <c r="CWP26" s="1247"/>
      <c r="CWQ26" s="1247"/>
      <c r="CWR26" s="1247"/>
      <c r="CWS26" s="1247"/>
      <c r="CWT26" s="1247"/>
      <c r="CWU26" s="1247"/>
      <c r="CWV26" s="1247"/>
      <c r="CWW26" s="1247"/>
      <c r="CWX26" s="1247"/>
      <c r="CWY26" s="1247"/>
      <c r="CWZ26" s="1247"/>
      <c r="CXA26" s="1247"/>
      <c r="CXB26" s="1247"/>
      <c r="CXC26" s="1247"/>
      <c r="CXD26" s="1247"/>
      <c r="CXE26" s="1247"/>
      <c r="CXF26" s="1247"/>
      <c r="CXG26" s="1247"/>
      <c r="CXH26" s="1247"/>
      <c r="CXI26" s="1247"/>
      <c r="CXJ26" s="1247"/>
      <c r="CXK26" s="1247"/>
      <c r="CXL26" s="1247"/>
      <c r="CXM26" s="1247"/>
      <c r="CXN26" s="1247"/>
      <c r="CXO26" s="1247"/>
      <c r="CXP26" s="1247"/>
      <c r="CXQ26" s="1247"/>
      <c r="CXR26" s="1247"/>
      <c r="CXS26" s="1247"/>
      <c r="CXT26" s="1247"/>
      <c r="CXU26" s="1247"/>
      <c r="CXV26" s="1247"/>
      <c r="CXW26" s="1247"/>
      <c r="CXX26" s="1247"/>
      <c r="CXY26" s="1247"/>
      <c r="CXZ26" s="1247"/>
      <c r="CYA26" s="1247"/>
      <c r="CYB26" s="1247"/>
      <c r="CYC26" s="1247"/>
      <c r="CYD26" s="1247"/>
      <c r="CYE26" s="1247"/>
      <c r="CYF26" s="1247"/>
      <c r="CYG26" s="1247"/>
      <c r="CYH26" s="1247"/>
      <c r="CYI26" s="1247"/>
      <c r="CYJ26" s="1247"/>
      <c r="CYK26" s="1247"/>
      <c r="CYL26" s="1247"/>
      <c r="CYM26" s="1247"/>
      <c r="CYN26" s="1247"/>
      <c r="CYO26" s="1247"/>
      <c r="CYP26" s="1247"/>
      <c r="CYQ26" s="1247"/>
      <c r="CYR26" s="1247"/>
      <c r="CYS26" s="1247"/>
      <c r="CYT26" s="1247"/>
      <c r="CYU26" s="1247"/>
      <c r="CYV26" s="1247"/>
      <c r="CYW26" s="1247"/>
      <c r="CYX26" s="1247"/>
      <c r="CYY26" s="1247"/>
      <c r="CYZ26" s="1247"/>
      <c r="CZA26" s="1247"/>
      <c r="CZB26" s="1247"/>
      <c r="CZC26" s="1247"/>
      <c r="CZD26" s="1247"/>
      <c r="CZE26" s="1247"/>
      <c r="CZF26" s="1247"/>
      <c r="CZG26" s="1247"/>
      <c r="CZH26" s="1247"/>
      <c r="CZI26" s="1247"/>
      <c r="CZJ26" s="1247"/>
      <c r="CZK26" s="1247"/>
      <c r="CZL26" s="1247"/>
      <c r="CZM26" s="1247"/>
      <c r="CZN26" s="1247"/>
      <c r="CZO26" s="1247"/>
      <c r="CZP26" s="1247"/>
      <c r="CZQ26" s="1247"/>
      <c r="CZR26" s="1247"/>
      <c r="CZS26" s="1247"/>
      <c r="CZT26" s="1247"/>
      <c r="CZU26" s="1247"/>
      <c r="CZV26" s="1247"/>
      <c r="CZW26" s="1247"/>
      <c r="CZX26" s="1247"/>
      <c r="CZY26" s="1247"/>
      <c r="CZZ26" s="1247"/>
      <c r="DAA26" s="1247"/>
      <c r="DAB26" s="1247"/>
      <c r="DAC26" s="1247"/>
      <c r="DAD26" s="1247"/>
      <c r="DAE26" s="1247"/>
      <c r="DAF26" s="1247"/>
      <c r="DAG26" s="1247"/>
      <c r="DAH26" s="1247"/>
      <c r="DAI26" s="1247"/>
      <c r="DAJ26" s="1247"/>
      <c r="DAK26" s="1247"/>
      <c r="DAL26" s="1247"/>
      <c r="DAM26" s="1247"/>
      <c r="DAN26" s="1247"/>
      <c r="DAO26" s="1247"/>
      <c r="DAP26" s="1247"/>
      <c r="DAQ26" s="1247"/>
      <c r="DAR26" s="1247"/>
      <c r="DAS26" s="1247"/>
      <c r="DAT26" s="1247"/>
      <c r="DAU26" s="1247"/>
      <c r="DAV26" s="1247"/>
      <c r="DAW26" s="1247"/>
      <c r="DAX26" s="1247"/>
      <c r="DAY26" s="1247"/>
      <c r="DAZ26" s="1247"/>
      <c r="DBA26" s="1247"/>
      <c r="DBB26" s="1247"/>
      <c r="DBC26" s="1247"/>
      <c r="DBD26" s="1247"/>
      <c r="DBE26" s="1247"/>
      <c r="DBF26" s="1247"/>
      <c r="DBG26" s="1247"/>
      <c r="DBH26" s="1247"/>
      <c r="DBI26" s="1247"/>
      <c r="DBJ26" s="1247"/>
      <c r="DBK26" s="1247"/>
      <c r="DBL26" s="1247"/>
      <c r="DBM26" s="1247"/>
      <c r="DBN26" s="1247"/>
      <c r="DBO26" s="1247"/>
      <c r="DBP26" s="1247"/>
      <c r="DBQ26" s="1247"/>
      <c r="DBR26" s="1247"/>
      <c r="DBS26" s="1247"/>
      <c r="DBT26" s="1247"/>
      <c r="DBU26" s="1247"/>
      <c r="DBV26" s="1247"/>
      <c r="DBW26" s="1247"/>
      <c r="DBX26" s="1247"/>
      <c r="DBY26" s="1247"/>
      <c r="DBZ26" s="1247"/>
      <c r="DCA26" s="1247"/>
      <c r="DCB26" s="1247"/>
      <c r="DCC26" s="1247"/>
      <c r="DCD26" s="1247"/>
      <c r="DCE26" s="1247"/>
      <c r="DCF26" s="1247"/>
      <c r="DCG26" s="1247"/>
      <c r="DCH26" s="1247"/>
      <c r="DCI26" s="1247"/>
      <c r="DCJ26" s="1247"/>
      <c r="DCK26" s="1247"/>
      <c r="DCL26" s="1247"/>
      <c r="DCM26" s="1247"/>
      <c r="DCN26" s="1247"/>
      <c r="DCO26" s="1247"/>
      <c r="DCP26" s="1247"/>
      <c r="DCQ26" s="1247"/>
      <c r="DCR26" s="1247"/>
      <c r="DCS26" s="1247"/>
      <c r="DCT26" s="1247"/>
      <c r="DCU26" s="1247"/>
      <c r="DCV26" s="1247"/>
      <c r="DCW26" s="1247"/>
      <c r="DCX26" s="1247"/>
      <c r="DCY26" s="1247"/>
      <c r="DCZ26" s="1247"/>
      <c r="DDA26" s="1247"/>
      <c r="DDB26" s="1247"/>
      <c r="DDC26" s="1247"/>
      <c r="DDD26" s="1247"/>
      <c r="DDE26" s="1247"/>
      <c r="DDF26" s="1247"/>
      <c r="DDG26" s="1247"/>
      <c r="DDH26" s="1247"/>
      <c r="DDI26" s="1247"/>
      <c r="DDJ26" s="1247"/>
      <c r="DDK26" s="1247"/>
      <c r="DDL26" s="1247"/>
      <c r="DDM26" s="1247"/>
      <c r="DDN26" s="1247"/>
      <c r="DDO26" s="1247"/>
      <c r="DDP26" s="1247"/>
      <c r="DDQ26" s="1247"/>
      <c r="DDR26" s="1247"/>
      <c r="DDS26" s="1247"/>
      <c r="DDT26" s="1247"/>
      <c r="DDU26" s="1247"/>
      <c r="DDV26" s="1247"/>
      <c r="DDW26" s="1247"/>
      <c r="DDX26" s="1247"/>
      <c r="DDY26" s="1247"/>
      <c r="DDZ26" s="1247"/>
      <c r="DEA26" s="1247"/>
      <c r="DEB26" s="1247"/>
      <c r="DEC26" s="1247"/>
      <c r="DED26" s="1247"/>
      <c r="DEE26" s="1247"/>
      <c r="DEF26" s="1247"/>
      <c r="DEG26" s="1247"/>
      <c r="DEH26" s="1247"/>
      <c r="DEI26" s="1247"/>
      <c r="DEJ26" s="1247"/>
      <c r="DEK26" s="1247"/>
      <c r="DEL26" s="1247"/>
      <c r="DEM26" s="1247"/>
      <c r="DEN26" s="1247"/>
      <c r="DEO26" s="1247"/>
      <c r="DEP26" s="1247"/>
      <c r="DEQ26" s="1247"/>
      <c r="DER26" s="1247"/>
      <c r="DES26" s="1247"/>
      <c r="DET26" s="1247"/>
      <c r="DEU26" s="1247"/>
      <c r="DEV26" s="1247"/>
      <c r="DEW26" s="1247"/>
      <c r="DEX26" s="1247"/>
      <c r="DEY26" s="1247"/>
      <c r="DEZ26" s="1247"/>
      <c r="DFA26" s="1247"/>
      <c r="DFB26" s="1247"/>
      <c r="DFC26" s="1247"/>
      <c r="DFD26" s="1247"/>
      <c r="DFE26" s="1247"/>
      <c r="DFF26" s="1247"/>
      <c r="DFG26" s="1247"/>
      <c r="DFH26" s="1247"/>
      <c r="DFI26" s="1247"/>
      <c r="DFJ26" s="1247"/>
      <c r="DFK26" s="1247"/>
      <c r="DFL26" s="1247"/>
      <c r="DFM26" s="1247"/>
      <c r="DFN26" s="1247"/>
      <c r="DFO26" s="1247"/>
      <c r="DFP26" s="1247"/>
      <c r="DFQ26" s="1247"/>
      <c r="DFR26" s="1247"/>
      <c r="DFS26" s="1247"/>
      <c r="DFT26" s="1247"/>
      <c r="DFU26" s="1247"/>
      <c r="DFV26" s="1247"/>
      <c r="DFW26" s="1247"/>
      <c r="DFX26" s="1247"/>
      <c r="DFY26" s="1247"/>
      <c r="DFZ26" s="1247"/>
      <c r="DGA26" s="1247"/>
      <c r="DGB26" s="1247"/>
      <c r="DGC26" s="1247"/>
      <c r="DGD26" s="1247"/>
      <c r="DGE26" s="1247"/>
      <c r="DGF26" s="1247"/>
      <c r="DGG26" s="1247"/>
      <c r="DGH26" s="1247"/>
      <c r="DGI26" s="1247"/>
      <c r="DGJ26" s="1247"/>
      <c r="DGK26" s="1247"/>
      <c r="DGL26" s="1247"/>
      <c r="DGM26" s="1247"/>
      <c r="DGN26" s="1247"/>
      <c r="DGO26" s="1247"/>
      <c r="DGP26" s="1247"/>
      <c r="DGQ26" s="1247"/>
      <c r="DGR26" s="1247"/>
      <c r="DGS26" s="1247"/>
      <c r="DGT26" s="1247"/>
      <c r="DGU26" s="1247"/>
      <c r="DGV26" s="1247"/>
      <c r="DGW26" s="1247"/>
      <c r="DGX26" s="1247"/>
      <c r="DGY26" s="1247"/>
      <c r="DGZ26" s="1247"/>
      <c r="DHA26" s="1247"/>
      <c r="DHB26" s="1247"/>
      <c r="DHC26" s="1247"/>
      <c r="DHD26" s="1247"/>
      <c r="DHE26" s="1247"/>
      <c r="DHF26" s="1247"/>
      <c r="DHG26" s="1247"/>
      <c r="DHH26" s="1247"/>
      <c r="DHI26" s="1247"/>
      <c r="DHJ26" s="1247"/>
      <c r="DHK26" s="1247"/>
      <c r="DHL26" s="1247"/>
      <c r="DHM26" s="1247"/>
      <c r="DHN26" s="1247"/>
      <c r="DHO26" s="1247"/>
      <c r="DHP26" s="1247"/>
      <c r="DHQ26" s="1247"/>
      <c r="DHR26" s="1247"/>
      <c r="DHS26" s="1247"/>
      <c r="DHT26" s="1247"/>
      <c r="DHU26" s="1247"/>
      <c r="DHV26" s="1247"/>
      <c r="DHW26" s="1247"/>
      <c r="DHX26" s="1247"/>
      <c r="DHY26" s="1247"/>
      <c r="DHZ26" s="1247"/>
      <c r="DIA26" s="1247"/>
      <c r="DIB26" s="1247"/>
      <c r="DIC26" s="1247"/>
      <c r="DID26" s="1247"/>
      <c r="DIE26" s="1247"/>
      <c r="DIF26" s="1247"/>
      <c r="DIG26" s="1247"/>
      <c r="DIH26" s="1247"/>
      <c r="DII26" s="1247"/>
      <c r="DIJ26" s="1247"/>
      <c r="DIK26" s="1247"/>
      <c r="DIL26" s="1247"/>
      <c r="DIM26" s="1247"/>
      <c r="DIN26" s="1247"/>
      <c r="DIO26" s="1247"/>
      <c r="DIP26" s="1247"/>
      <c r="DIQ26" s="1247"/>
      <c r="DIR26" s="1247"/>
      <c r="DIS26" s="1247"/>
      <c r="DIT26" s="1247"/>
      <c r="DIU26" s="1247"/>
      <c r="DIV26" s="1247"/>
      <c r="DIW26" s="1247"/>
      <c r="DIX26" s="1247"/>
      <c r="DIY26" s="1247"/>
      <c r="DIZ26" s="1247"/>
      <c r="DJA26" s="1247"/>
      <c r="DJB26" s="1247"/>
      <c r="DJC26" s="1247"/>
      <c r="DJD26" s="1247"/>
      <c r="DJE26" s="1247"/>
      <c r="DJF26" s="1247"/>
      <c r="DJG26" s="1247"/>
      <c r="DJH26" s="1247"/>
      <c r="DJI26" s="1247"/>
      <c r="DJJ26" s="1247"/>
      <c r="DJK26" s="1247"/>
      <c r="DJL26" s="1247"/>
      <c r="DJM26" s="1247"/>
      <c r="DJN26" s="1247"/>
      <c r="DJO26" s="1247"/>
      <c r="DJP26" s="1247"/>
      <c r="DJQ26" s="1247"/>
      <c r="DJR26" s="1247"/>
      <c r="DJS26" s="1247"/>
      <c r="DJT26" s="1247"/>
      <c r="DJU26" s="1247"/>
      <c r="DJV26" s="1247"/>
      <c r="DJW26" s="1247"/>
      <c r="DJX26" s="1247"/>
      <c r="DJY26" s="1247"/>
      <c r="DJZ26" s="1247"/>
      <c r="DKA26" s="1247"/>
      <c r="DKB26" s="1247"/>
      <c r="DKC26" s="1247"/>
      <c r="DKD26" s="1247"/>
      <c r="DKE26" s="1247"/>
      <c r="DKF26" s="1247"/>
      <c r="DKG26" s="1247"/>
      <c r="DKH26" s="1247"/>
      <c r="DKI26" s="1247"/>
      <c r="DKJ26" s="1247"/>
      <c r="DKK26" s="1247"/>
      <c r="DKL26" s="1247"/>
      <c r="DKM26" s="1247"/>
      <c r="DKN26" s="1247"/>
      <c r="DKO26" s="1247"/>
      <c r="DKP26" s="1247"/>
      <c r="DKQ26" s="1247"/>
      <c r="DKR26" s="1247"/>
      <c r="DKS26" s="1247"/>
      <c r="DKT26" s="1247"/>
      <c r="DKU26" s="1247"/>
      <c r="DKV26" s="1247"/>
      <c r="DKW26" s="1247"/>
      <c r="DKX26" s="1247"/>
      <c r="DKY26" s="1247"/>
      <c r="DKZ26" s="1247"/>
      <c r="DLA26" s="1247"/>
      <c r="DLB26" s="1247"/>
      <c r="DLC26" s="1247"/>
      <c r="DLD26" s="1247"/>
      <c r="DLE26" s="1247"/>
      <c r="DLF26" s="1247"/>
      <c r="DLG26" s="1247"/>
      <c r="DLH26" s="1247"/>
      <c r="DLI26" s="1247"/>
      <c r="DLJ26" s="1247"/>
      <c r="DLK26" s="1247"/>
      <c r="DLL26" s="1247"/>
      <c r="DLM26" s="1247"/>
      <c r="DLN26" s="1247"/>
      <c r="DLO26" s="1247"/>
      <c r="DLP26" s="1247"/>
      <c r="DLQ26" s="1247"/>
      <c r="DLR26" s="1247"/>
      <c r="DLS26" s="1247"/>
      <c r="DLT26" s="1247"/>
      <c r="DLU26" s="1247"/>
      <c r="DLV26" s="1247"/>
      <c r="DLW26" s="1247"/>
      <c r="DLX26" s="1247"/>
      <c r="DLY26" s="1247"/>
      <c r="DLZ26" s="1247"/>
      <c r="DMA26" s="1247"/>
      <c r="DMB26" s="1247"/>
      <c r="DMC26" s="1247"/>
      <c r="DMD26" s="1247"/>
      <c r="DME26" s="1247"/>
      <c r="DMF26" s="1247"/>
      <c r="DMG26" s="1247"/>
      <c r="DMH26" s="1247"/>
      <c r="DMI26" s="1247"/>
      <c r="DMJ26" s="1247"/>
      <c r="DMK26" s="1247"/>
      <c r="DML26" s="1247"/>
      <c r="DMM26" s="1247"/>
      <c r="DMN26" s="1247"/>
      <c r="DMO26" s="1247"/>
      <c r="DMP26" s="1247"/>
      <c r="DMQ26" s="1247"/>
      <c r="DMR26" s="1247"/>
      <c r="DMS26" s="1247"/>
      <c r="DMT26" s="1247"/>
      <c r="DMU26" s="1247"/>
      <c r="DMV26" s="1247"/>
      <c r="DMW26" s="1247"/>
      <c r="DMX26" s="1247"/>
      <c r="DMY26" s="1247"/>
      <c r="DMZ26" s="1247"/>
      <c r="DNA26" s="1247"/>
      <c r="DNB26" s="1247"/>
      <c r="DNC26" s="1247"/>
      <c r="DND26" s="1247"/>
      <c r="DNE26" s="1247"/>
      <c r="DNF26" s="1247"/>
      <c r="DNG26" s="1247"/>
      <c r="DNH26" s="1247"/>
      <c r="DNI26" s="1247"/>
      <c r="DNJ26" s="1247"/>
      <c r="DNK26" s="1247"/>
      <c r="DNL26" s="1247"/>
      <c r="DNM26" s="1247"/>
      <c r="DNN26" s="1247"/>
      <c r="DNO26" s="1247"/>
      <c r="DNP26" s="1247"/>
      <c r="DNQ26" s="1247"/>
      <c r="DNR26" s="1247"/>
      <c r="DNS26" s="1247"/>
      <c r="DNT26" s="1247"/>
      <c r="DNU26" s="1247"/>
      <c r="DNV26" s="1247"/>
      <c r="DNW26" s="1247"/>
      <c r="DNX26" s="1247"/>
      <c r="DNY26" s="1247"/>
      <c r="DNZ26" s="1247"/>
      <c r="DOA26" s="1247"/>
      <c r="DOB26" s="1247"/>
      <c r="DOC26" s="1247"/>
      <c r="DOD26" s="1247"/>
      <c r="DOE26" s="1247"/>
      <c r="DOF26" s="1247"/>
      <c r="DOG26" s="1247"/>
      <c r="DOH26" s="1247"/>
      <c r="DOI26" s="1247"/>
      <c r="DOJ26" s="1247"/>
      <c r="DOK26" s="1247"/>
      <c r="DOL26" s="1247"/>
      <c r="DOM26" s="1247"/>
      <c r="DON26" s="1247"/>
      <c r="DOO26" s="1247"/>
      <c r="DOP26" s="1247"/>
      <c r="DOQ26" s="1247"/>
      <c r="DOR26" s="1247"/>
      <c r="DOS26" s="1247"/>
      <c r="DOT26" s="1247"/>
      <c r="DOU26" s="1247"/>
      <c r="DOV26" s="1247"/>
      <c r="DOW26" s="1247"/>
      <c r="DOX26" s="1247"/>
      <c r="DOY26" s="1247"/>
      <c r="DOZ26" s="1247"/>
      <c r="DPA26" s="1247"/>
      <c r="DPB26" s="1247"/>
      <c r="DPC26" s="1247"/>
      <c r="DPD26" s="1247"/>
      <c r="DPE26" s="1247"/>
      <c r="DPF26" s="1247"/>
      <c r="DPG26" s="1247"/>
      <c r="DPH26" s="1247"/>
      <c r="DPI26" s="1247"/>
      <c r="DPJ26" s="1247"/>
      <c r="DPK26" s="1247"/>
      <c r="DPL26" s="1247"/>
      <c r="DPM26" s="1247"/>
      <c r="DPN26" s="1247"/>
      <c r="DPO26" s="1247"/>
      <c r="DPP26" s="1247"/>
      <c r="DPQ26" s="1247"/>
      <c r="DPR26" s="1247"/>
      <c r="DPS26" s="1247"/>
      <c r="DPT26" s="1247"/>
      <c r="DPU26" s="1247"/>
      <c r="DPV26" s="1247"/>
      <c r="DPW26" s="1247"/>
      <c r="DPX26" s="1247"/>
      <c r="DPY26" s="1247"/>
      <c r="DPZ26" s="1247"/>
      <c r="DQA26" s="1247"/>
      <c r="DQB26" s="1247"/>
      <c r="DQC26" s="1247"/>
      <c r="DQD26" s="1247"/>
      <c r="DQE26" s="1247"/>
      <c r="DQF26" s="1247"/>
      <c r="DQG26" s="1247"/>
      <c r="DQH26" s="1247"/>
      <c r="DQI26" s="1247"/>
      <c r="DQJ26" s="1247"/>
      <c r="DQK26" s="1247"/>
      <c r="DQL26" s="1247"/>
      <c r="DQM26" s="1247"/>
      <c r="DQN26" s="1247"/>
      <c r="DQO26" s="1247"/>
      <c r="DQP26" s="1247"/>
      <c r="DQQ26" s="1247"/>
      <c r="DQR26" s="1247"/>
      <c r="DQS26" s="1247"/>
      <c r="DQT26" s="1247"/>
      <c r="DQU26" s="1247"/>
      <c r="DQV26" s="1247"/>
      <c r="DQW26" s="1247"/>
      <c r="DQX26" s="1247"/>
      <c r="DQY26" s="1247"/>
      <c r="DQZ26" s="1247"/>
      <c r="DRA26" s="1247"/>
      <c r="DRB26" s="1247"/>
      <c r="DRC26" s="1247"/>
      <c r="DRD26" s="1247"/>
      <c r="DRE26" s="1247"/>
      <c r="DRF26" s="1247"/>
      <c r="DRG26" s="1247"/>
      <c r="DRH26" s="1247"/>
      <c r="DRI26" s="1247"/>
      <c r="DRJ26" s="1247"/>
      <c r="DRK26" s="1247"/>
      <c r="DRL26" s="1247"/>
      <c r="DRM26" s="1247"/>
      <c r="DRN26" s="1247"/>
      <c r="DRO26" s="1247"/>
      <c r="DRP26" s="1247"/>
      <c r="DRQ26" s="1247"/>
      <c r="DRR26" s="1247"/>
      <c r="DRS26" s="1247"/>
      <c r="DRT26" s="1247"/>
      <c r="DRU26" s="1247"/>
      <c r="DRV26" s="1247"/>
      <c r="DRW26" s="1247"/>
      <c r="DRX26" s="1247"/>
      <c r="DRY26" s="1247"/>
      <c r="DRZ26" s="1247"/>
      <c r="DSA26" s="1247"/>
      <c r="DSB26" s="1247"/>
      <c r="DSC26" s="1247"/>
      <c r="DSD26" s="1247"/>
      <c r="DSE26" s="1247"/>
      <c r="DSF26" s="1247"/>
      <c r="DSG26" s="1247"/>
      <c r="DSH26" s="1247"/>
      <c r="DSI26" s="1247"/>
      <c r="DSJ26" s="1247"/>
      <c r="DSK26" s="1247"/>
      <c r="DSL26" s="1247"/>
      <c r="DSM26" s="1247"/>
      <c r="DSN26" s="1247"/>
      <c r="DSO26" s="1247"/>
      <c r="DSP26" s="1247"/>
      <c r="DSQ26" s="1247"/>
      <c r="DSR26" s="1247"/>
      <c r="DSS26" s="1247"/>
      <c r="DST26" s="1247"/>
      <c r="DSU26" s="1247"/>
      <c r="DSV26" s="1247"/>
      <c r="DSW26" s="1247"/>
      <c r="DSX26" s="1247"/>
      <c r="DSY26" s="1247"/>
      <c r="DSZ26" s="1247"/>
      <c r="DTA26" s="1247"/>
      <c r="DTB26" s="1247"/>
      <c r="DTC26" s="1247"/>
      <c r="DTD26" s="1247"/>
      <c r="DTE26" s="1247"/>
      <c r="DTF26" s="1247"/>
      <c r="DTG26" s="1247"/>
      <c r="DTH26" s="1247"/>
      <c r="DTI26" s="1247"/>
      <c r="DTJ26" s="1247"/>
      <c r="DTK26" s="1247"/>
      <c r="DTL26" s="1247"/>
      <c r="DTM26" s="1247"/>
      <c r="DTN26" s="1247"/>
      <c r="DTO26" s="1247"/>
      <c r="DTP26" s="1247"/>
      <c r="DTQ26" s="1247"/>
      <c r="DTR26" s="1247"/>
      <c r="DTS26" s="1247"/>
      <c r="DTT26" s="1247"/>
      <c r="DTU26" s="1247"/>
      <c r="DTV26" s="1247"/>
      <c r="DTW26" s="1247"/>
      <c r="DTX26" s="1247"/>
      <c r="DTY26" s="1247"/>
      <c r="DTZ26" s="1247"/>
      <c r="DUA26" s="1247"/>
      <c r="DUB26" s="1247"/>
      <c r="DUC26" s="1247"/>
      <c r="DUD26" s="1247"/>
      <c r="DUE26" s="1247"/>
      <c r="DUF26" s="1247"/>
      <c r="DUG26" s="1247"/>
      <c r="DUH26" s="1247"/>
      <c r="DUI26" s="1247"/>
      <c r="DUJ26" s="1247"/>
      <c r="DUK26" s="1247"/>
      <c r="DUL26" s="1247"/>
      <c r="DUM26" s="1247"/>
      <c r="DUN26" s="1247"/>
      <c r="DUO26" s="1247"/>
      <c r="DUP26" s="1247"/>
      <c r="DUQ26" s="1247"/>
      <c r="DUR26" s="1247"/>
      <c r="DUS26" s="1247"/>
      <c r="DUT26" s="1247"/>
      <c r="DUU26" s="1247"/>
      <c r="DUV26" s="1247"/>
      <c r="DUW26" s="1247"/>
      <c r="DUX26" s="1247"/>
      <c r="DUY26" s="1247"/>
      <c r="DUZ26" s="1247"/>
      <c r="DVA26" s="1247"/>
      <c r="DVB26" s="1247"/>
      <c r="DVC26" s="1247"/>
      <c r="DVD26" s="1247"/>
      <c r="DVE26" s="1247"/>
      <c r="DVF26" s="1247"/>
      <c r="DVG26" s="1247"/>
      <c r="DVH26" s="1247"/>
      <c r="DVI26" s="1247"/>
      <c r="DVJ26" s="1247"/>
      <c r="DVK26" s="1247"/>
      <c r="DVL26" s="1247"/>
      <c r="DVM26" s="1247"/>
      <c r="DVN26" s="1247"/>
      <c r="DVO26" s="1247"/>
      <c r="DVP26" s="1247"/>
      <c r="DVQ26" s="1247"/>
      <c r="DVR26" s="1247"/>
      <c r="DVS26" s="1247"/>
      <c r="DVT26" s="1247"/>
      <c r="DVU26" s="1247"/>
      <c r="DVV26" s="1247"/>
      <c r="DVW26" s="1247"/>
      <c r="DVX26" s="1247"/>
      <c r="DVY26" s="1247"/>
      <c r="DVZ26" s="1247"/>
      <c r="DWA26" s="1247"/>
      <c r="DWB26" s="1247"/>
      <c r="DWC26" s="1247"/>
      <c r="DWD26" s="1247"/>
      <c r="DWE26" s="1247"/>
      <c r="DWF26" s="1247"/>
      <c r="DWG26" s="1247"/>
      <c r="DWH26" s="1247"/>
      <c r="DWI26" s="1247"/>
      <c r="DWJ26" s="1247"/>
      <c r="DWK26" s="1247"/>
      <c r="DWL26" s="1247"/>
      <c r="DWM26" s="1247"/>
      <c r="DWN26" s="1247"/>
      <c r="DWO26" s="1247"/>
      <c r="DWP26" s="1247"/>
      <c r="DWQ26" s="1247"/>
      <c r="DWR26" s="1247"/>
      <c r="DWS26" s="1247"/>
      <c r="DWT26" s="1247"/>
      <c r="DWU26" s="1247"/>
      <c r="DWV26" s="1247"/>
      <c r="DWW26" s="1247"/>
      <c r="DWX26" s="1247"/>
      <c r="DWY26" s="1247"/>
      <c r="DWZ26" s="1247"/>
      <c r="DXA26" s="1247"/>
      <c r="DXB26" s="1247"/>
      <c r="DXC26" s="1247"/>
      <c r="DXD26" s="1247"/>
      <c r="DXE26" s="1247"/>
      <c r="DXF26" s="1247"/>
      <c r="DXG26" s="1247"/>
      <c r="DXH26" s="1247"/>
      <c r="DXI26" s="1247"/>
      <c r="DXJ26" s="1247"/>
      <c r="DXK26" s="1247"/>
      <c r="DXL26" s="1247"/>
      <c r="DXM26" s="1247"/>
      <c r="DXN26" s="1247"/>
      <c r="DXO26" s="1247"/>
      <c r="DXP26" s="1247"/>
      <c r="DXQ26" s="1247"/>
      <c r="DXR26" s="1247"/>
      <c r="DXS26" s="1247"/>
      <c r="DXT26" s="1247"/>
      <c r="DXU26" s="1247"/>
      <c r="DXV26" s="1247"/>
      <c r="DXW26" s="1247"/>
      <c r="DXX26" s="1247"/>
      <c r="DXY26" s="1247"/>
      <c r="DXZ26" s="1247"/>
      <c r="DYA26" s="1247"/>
      <c r="DYB26" s="1247"/>
      <c r="DYC26" s="1247"/>
      <c r="DYD26" s="1247"/>
      <c r="DYE26" s="1247"/>
      <c r="DYF26" s="1247"/>
      <c r="DYG26" s="1247"/>
      <c r="DYH26" s="1247"/>
      <c r="DYI26" s="1247"/>
      <c r="DYJ26" s="1247"/>
      <c r="DYK26" s="1247"/>
      <c r="DYL26" s="1247"/>
      <c r="DYM26" s="1247"/>
      <c r="DYN26" s="1247"/>
      <c r="DYO26" s="1247"/>
      <c r="DYP26" s="1247"/>
      <c r="DYQ26" s="1247"/>
      <c r="DYR26" s="1247"/>
      <c r="DYS26" s="1247"/>
      <c r="DYT26" s="1247"/>
      <c r="DYU26" s="1247"/>
      <c r="DYV26" s="1247"/>
      <c r="DYW26" s="1247"/>
      <c r="DYX26" s="1247"/>
      <c r="DYY26" s="1247"/>
      <c r="DYZ26" s="1247"/>
      <c r="DZA26" s="1247"/>
      <c r="DZB26" s="1247"/>
      <c r="DZC26" s="1247"/>
      <c r="DZD26" s="1247"/>
      <c r="DZE26" s="1247"/>
      <c r="DZF26" s="1247"/>
      <c r="DZG26" s="1247"/>
      <c r="DZH26" s="1247"/>
      <c r="DZI26" s="1247"/>
      <c r="DZJ26" s="1247"/>
      <c r="DZK26" s="1247"/>
      <c r="DZL26" s="1247"/>
      <c r="DZM26" s="1247"/>
      <c r="DZN26" s="1247"/>
      <c r="DZO26" s="1247"/>
      <c r="DZP26" s="1247"/>
      <c r="DZQ26" s="1247"/>
      <c r="DZR26" s="1247"/>
      <c r="DZS26" s="1247"/>
      <c r="DZT26" s="1247"/>
      <c r="DZU26" s="1247"/>
      <c r="DZV26" s="1247"/>
      <c r="DZW26" s="1247"/>
      <c r="DZX26" s="1247"/>
      <c r="DZY26" s="1247"/>
      <c r="DZZ26" s="1247"/>
      <c r="EAA26" s="1247"/>
      <c r="EAB26" s="1247"/>
      <c r="EAC26" s="1247"/>
      <c r="EAD26" s="1247"/>
      <c r="EAE26" s="1247"/>
      <c r="EAF26" s="1247"/>
      <c r="EAG26" s="1247"/>
      <c r="EAH26" s="1247"/>
      <c r="EAI26" s="1247"/>
      <c r="EAJ26" s="1247"/>
      <c r="EAK26" s="1247"/>
      <c r="EAL26" s="1247"/>
      <c r="EAM26" s="1247"/>
      <c r="EAN26" s="1247"/>
      <c r="EAO26" s="1247"/>
      <c r="EAP26" s="1247"/>
      <c r="EAQ26" s="1247"/>
      <c r="EAR26" s="1247"/>
      <c r="EAS26" s="1247"/>
      <c r="EAT26" s="1247"/>
      <c r="EAU26" s="1247"/>
      <c r="EAV26" s="1247"/>
      <c r="EAW26" s="1247"/>
      <c r="EAX26" s="1247"/>
      <c r="EAY26" s="1247"/>
      <c r="EAZ26" s="1247"/>
      <c r="EBA26" s="1247"/>
      <c r="EBB26" s="1247"/>
      <c r="EBC26" s="1247"/>
      <c r="EBD26" s="1247"/>
      <c r="EBE26" s="1247"/>
      <c r="EBF26" s="1247"/>
      <c r="EBG26" s="1247"/>
      <c r="EBH26" s="1247"/>
      <c r="EBI26" s="1247"/>
      <c r="EBJ26" s="1247"/>
      <c r="EBK26" s="1247"/>
      <c r="EBL26" s="1247"/>
      <c r="EBM26" s="1247"/>
      <c r="EBN26" s="1247"/>
      <c r="EBO26" s="1247"/>
      <c r="EBP26" s="1247"/>
      <c r="EBQ26" s="1247"/>
      <c r="EBR26" s="1247"/>
      <c r="EBS26" s="1247"/>
      <c r="EBT26" s="1247"/>
      <c r="EBU26" s="1247"/>
      <c r="EBV26" s="1247"/>
      <c r="EBW26" s="1247"/>
      <c r="EBX26" s="1247"/>
      <c r="EBY26" s="1247"/>
      <c r="EBZ26" s="1247"/>
      <c r="ECA26" s="1247"/>
      <c r="ECB26" s="1247"/>
      <c r="ECC26" s="1247"/>
      <c r="ECD26" s="1247"/>
      <c r="ECE26" s="1247"/>
      <c r="ECF26" s="1247"/>
      <c r="ECG26" s="1247"/>
      <c r="ECH26" s="1247"/>
      <c r="ECI26" s="1247"/>
      <c r="ECJ26" s="1247"/>
      <c r="ECK26" s="1247"/>
      <c r="ECL26" s="1247"/>
      <c r="ECM26" s="1247"/>
      <c r="ECN26" s="1247"/>
      <c r="ECO26" s="1247"/>
    </row>
    <row r="27" spans="2:3473" s="1248" customFormat="1" ht="13" outlineLevel="1">
      <c r="B27" s="1249" t="s">
        <v>499</v>
      </c>
      <c r="C27" s="1250">
        <v>1</v>
      </c>
      <c r="D27" s="1251" t="s">
        <v>35</v>
      </c>
      <c r="E27" s="1252">
        <f t="shared" si="47"/>
        <v>22.446899032830707</v>
      </c>
      <c r="F27" s="1252">
        <f t="shared" si="47"/>
        <v>19.974894535655331</v>
      </c>
      <c r="G27" s="1252">
        <f t="shared" si="47"/>
        <v>2.4720044971753761</v>
      </c>
      <c r="H27" s="1252">
        <f t="shared" si="47"/>
        <v>479.23383081696255</v>
      </c>
      <c r="I27" s="1252">
        <f t="shared" si="47"/>
        <v>429.34674728626874</v>
      </c>
      <c r="J27" s="1252">
        <f t="shared" si="47"/>
        <v>49.887083530693864</v>
      </c>
      <c r="K27" s="1252">
        <f t="shared" si="47"/>
        <v>7.9806150839609034</v>
      </c>
      <c r="L27" s="1252">
        <f t="shared" si="47"/>
        <v>7.0624914795441107</v>
      </c>
      <c r="M27" s="1252">
        <f t="shared" si="47"/>
        <v>0.91812360441679353</v>
      </c>
      <c r="N27" s="1252" t="str">
        <f t="shared" si="47"/>
        <v/>
      </c>
      <c r="O27" s="1252" t="str">
        <f t="shared" si="47"/>
        <v/>
      </c>
      <c r="P27" s="1252" t="str">
        <f t="shared" si="47"/>
        <v/>
      </c>
      <c r="Q27" s="1252">
        <f t="shared" si="47"/>
        <v>495.97891317154495</v>
      </c>
      <c r="R27" s="1252">
        <f t="shared" si="47"/>
        <v>444.73502823350248</v>
      </c>
      <c r="S27" s="1252">
        <f t="shared" si="8"/>
        <v>51.243884938042441</v>
      </c>
      <c r="T27" s="1252">
        <f t="shared" si="5"/>
        <v>811.60027575004938</v>
      </c>
      <c r="U27" s="1252">
        <f t="shared" si="5"/>
        <v>732.602674397741</v>
      </c>
      <c r="V27" s="1252">
        <f t="shared" si="9"/>
        <v>78.997601352308436</v>
      </c>
      <c r="W27" s="1252" t="str">
        <f t="shared" si="10"/>
        <v/>
      </c>
      <c r="X27" s="1252" t="str">
        <f t="shared" si="10"/>
        <v/>
      </c>
      <c r="Y27" s="1252" t="str">
        <f t="shared" si="10"/>
        <v/>
      </c>
      <c r="Z27" s="1252">
        <f t="shared" si="11"/>
        <v>375.05204604241317</v>
      </c>
      <c r="AA27" s="1252">
        <f t="shared" si="11"/>
        <v>336.18855118332988</v>
      </c>
      <c r="AB27" s="1252">
        <f t="shared" si="11"/>
        <v>38.863494859083325</v>
      </c>
      <c r="AC27" s="1252">
        <f t="shared" si="15"/>
        <v>498.27845954476101</v>
      </c>
      <c r="AD27" s="1260">
        <f t="shared" si="15"/>
        <v>446.64604597643222</v>
      </c>
      <c r="AE27" s="1260">
        <f t="shared" si="15"/>
        <v>51.632413568328815</v>
      </c>
      <c r="AF27" s="1254">
        <f t="shared" si="40"/>
        <v>55.142693013667397</v>
      </c>
      <c r="AG27" s="1256">
        <f>VLOOKUP($D27,车位!$D$17:$U$199,14,0)*车位!$K$3</f>
        <v>49.070006317978326</v>
      </c>
      <c r="AH27" s="1256">
        <f>VLOOKUP($D27,车位!$D$17:$U$199,16,0)*车位!$K$3</f>
        <v>6.0726866956890753</v>
      </c>
      <c r="AI27" s="1256">
        <f t="shared" si="41"/>
        <v>2069.041745</v>
      </c>
      <c r="AJ27" s="1256">
        <f>VLOOKUP($D27,高层!$D$11:$U$202,14,0)</f>
        <v>1853.6595</v>
      </c>
      <c r="AK27" s="1256">
        <f>VLOOKUP($D27,高层!$D$11:$U$202,16,0)</f>
        <v>215.38224500000001</v>
      </c>
      <c r="AL27" s="1256">
        <f t="shared" si="20"/>
        <v>7.5093278407926762</v>
      </c>
      <c r="AM27" s="1256">
        <f>VLOOKUP($D27,人防车位!D:U,14,0)*人防车位!K3</f>
        <v>6.6454231077111121</v>
      </c>
      <c r="AN27" s="1256">
        <f>VLOOKUP($D27,人防车位!D:U,16,0)*人防车位!K3</f>
        <v>0.86390473308156424</v>
      </c>
      <c r="AO27" s="1256">
        <f t="shared" si="21"/>
        <v>0</v>
      </c>
      <c r="AP27" s="1256">
        <f>VLOOKUP($D27,人才公寓销售!$D$11:$U$202,14,0)</f>
        <v>0</v>
      </c>
      <c r="AQ27" s="1256">
        <f>VLOOKUP($D27,人才公寓销售!$D$11:$U$202,16,0)</f>
        <v>0</v>
      </c>
      <c r="AR27" s="1256">
        <f>AS27+AT27</f>
        <v>2934.9244680000002</v>
      </c>
      <c r="AS27" s="1256">
        <f>VLOOKUP($D27,小高层!$D$11:$U$202,14,0)</f>
        <v>2631.6919560000001</v>
      </c>
      <c r="AT27" s="1256">
        <f>VLOOKUP($D27,小高层!$D$11:$U$202,16,0)</f>
        <v>303.23251199999999</v>
      </c>
      <c r="AU27" s="1256">
        <f>AV27+AW27</f>
        <v>85.942787999999993</v>
      </c>
      <c r="AV27" s="1256">
        <f>VLOOKUP($D27,临街商业!$D$11:$U$202,14,0)</f>
        <v>77.577494999999999</v>
      </c>
      <c r="AW27" s="1256">
        <f>VLOOKUP($D27,临街商业!$D$11:$U$202,16,0)</f>
        <v>8.3652929999999976</v>
      </c>
      <c r="AX27" s="1256"/>
      <c r="AY27" s="1256"/>
      <c r="AZ27" s="1256"/>
      <c r="BA27" s="1257">
        <f>BB27+BC27</f>
        <v>5152.5610218544589</v>
      </c>
      <c r="BB27" s="1257">
        <f t="shared" ref="BB27:BC30" si="49">AG27+AJ27+AM27+AP27+AS27+AV27+AY27</f>
        <v>4618.6443804256887</v>
      </c>
      <c r="BC27" s="1257">
        <f t="shared" si="49"/>
        <v>533.91664142877062</v>
      </c>
      <c r="BD27" s="1256">
        <f t="shared" ref="BD27:BD30" si="50">+BE27+BF27</f>
        <v>0</v>
      </c>
      <c r="BE27" s="1256">
        <v>0</v>
      </c>
      <c r="BF27" s="1256">
        <v>0</v>
      </c>
      <c r="BG27" s="1256">
        <f>+BH27+BI27</f>
        <v>0</v>
      </c>
      <c r="BH27" s="1257">
        <f>+BE27</f>
        <v>0</v>
      </c>
      <c r="BI27" s="1257">
        <f>+BF27</f>
        <v>0</v>
      </c>
      <c r="BJ27" s="1256">
        <f t="shared" ref="BJ27:BL30" si="51">BA27+BG27</f>
        <v>5152.5610218544589</v>
      </c>
      <c r="BK27" s="1257">
        <f t="shared" si="51"/>
        <v>4618.6443804256887</v>
      </c>
      <c r="BL27" s="1257">
        <f t="shared" si="51"/>
        <v>533.91664142877062</v>
      </c>
      <c r="BM27" s="1262" t="s">
        <v>489</v>
      </c>
      <c r="BN27" s="1225">
        <f t="shared" si="12"/>
        <v>0</v>
      </c>
      <c r="BO27" s="1225">
        <f t="shared" si="13"/>
        <v>1.8189894035458565E-12</v>
      </c>
      <c r="BP27" s="1225">
        <f t="shared" si="14"/>
        <v>0</v>
      </c>
      <c r="BQ27" s="1225"/>
      <c r="BR27" s="1221"/>
      <c r="BS27" s="1221"/>
      <c r="BT27" s="1221"/>
      <c r="BU27" s="1221"/>
      <c r="BV27" s="1221"/>
      <c r="BW27" s="1221"/>
      <c r="BX27" s="1221"/>
      <c r="BY27" s="1221"/>
      <c r="BZ27" s="1221"/>
      <c r="CA27" s="1221"/>
      <c r="CB27" s="1221"/>
      <c r="CC27" s="1221"/>
      <c r="CD27" s="1221"/>
      <c r="CE27" s="1221"/>
      <c r="CF27" s="1221"/>
      <c r="CG27" s="1221"/>
      <c r="CH27" s="1221"/>
      <c r="CI27" s="1221"/>
      <c r="CJ27" s="1221"/>
      <c r="CK27" s="1221"/>
      <c r="CL27" s="1221"/>
      <c r="CM27" s="1221"/>
      <c r="CN27" s="1221"/>
      <c r="CO27" s="1221"/>
      <c r="CP27" s="1221"/>
      <c r="CQ27" s="1221"/>
      <c r="CR27" s="1221"/>
      <c r="CS27" s="1221"/>
      <c r="CT27" s="1221"/>
      <c r="CU27" s="1221"/>
      <c r="CV27" s="1221"/>
      <c r="CW27" s="1221"/>
      <c r="CX27" s="1221"/>
      <c r="CY27" s="1221"/>
      <c r="CZ27" s="1221"/>
      <c r="DA27" s="1221"/>
      <c r="DB27" s="1221"/>
      <c r="DC27" s="1221"/>
      <c r="DD27" s="1221"/>
      <c r="DE27" s="1221"/>
      <c r="DF27" s="1221"/>
      <c r="DG27" s="1221"/>
      <c r="DH27" s="1221"/>
      <c r="DI27" s="1221"/>
      <c r="DJ27" s="1221"/>
      <c r="DK27" s="1221"/>
      <c r="DL27" s="1221"/>
      <c r="DM27" s="1221"/>
      <c r="DN27" s="1221"/>
      <c r="DO27" s="1221"/>
      <c r="DP27" s="1221"/>
      <c r="DQ27" s="1221"/>
      <c r="DR27" s="1221"/>
      <c r="DS27" s="1221"/>
      <c r="DT27" s="1221"/>
      <c r="DU27" s="1221"/>
      <c r="DV27" s="1221"/>
      <c r="DW27" s="1221"/>
      <c r="DX27" s="1221"/>
      <c r="DY27" s="1221"/>
      <c r="DZ27" s="1221"/>
      <c r="EA27" s="1221"/>
      <c r="EB27" s="1221"/>
      <c r="EC27" s="1221"/>
      <c r="ED27" s="1221"/>
      <c r="EE27" s="1221"/>
      <c r="EF27" s="1221"/>
      <c r="EG27" s="1221"/>
      <c r="EH27" s="1221"/>
      <c r="EI27" s="1221"/>
      <c r="EJ27" s="1221"/>
      <c r="EK27" s="1221"/>
      <c r="EL27" s="1221"/>
      <c r="EM27" s="1221"/>
      <c r="EN27" s="1221"/>
      <c r="EO27" s="1221"/>
      <c r="EP27" s="1221"/>
      <c r="EQ27" s="1221"/>
      <c r="ER27" s="1221"/>
      <c r="ES27" s="1221"/>
      <c r="ET27" s="1221"/>
      <c r="EU27" s="1221"/>
      <c r="EV27" s="1221"/>
      <c r="EW27" s="1221"/>
      <c r="EX27" s="1221"/>
      <c r="EY27" s="1221"/>
      <c r="EZ27" s="1221"/>
      <c r="FA27" s="1221"/>
      <c r="FB27" s="1221"/>
      <c r="FC27" s="1221"/>
      <c r="FD27" s="1221"/>
      <c r="FE27" s="1221"/>
      <c r="FF27" s="1221"/>
      <c r="FG27" s="1221"/>
      <c r="FH27" s="1221"/>
      <c r="FI27" s="1221"/>
      <c r="FJ27" s="1221"/>
      <c r="FK27" s="1221"/>
      <c r="FL27" s="1221"/>
      <c r="FM27" s="1221"/>
      <c r="FN27" s="1221"/>
      <c r="FO27" s="1221"/>
      <c r="FP27" s="1221"/>
      <c r="FQ27" s="1221"/>
      <c r="FR27" s="1221"/>
      <c r="FS27" s="1221"/>
      <c r="FT27" s="1221"/>
      <c r="FU27" s="1221"/>
      <c r="FV27" s="1221"/>
      <c r="FW27" s="1221"/>
      <c r="FX27" s="1221"/>
      <c r="FY27" s="1221"/>
      <c r="FZ27" s="1221"/>
      <c r="GA27" s="1221"/>
      <c r="GB27" s="1221"/>
      <c r="GC27" s="1221"/>
      <c r="GD27" s="1221"/>
      <c r="GE27" s="1221"/>
      <c r="GF27" s="1221"/>
      <c r="GG27" s="1221"/>
      <c r="GH27" s="1221"/>
      <c r="GI27" s="1221"/>
      <c r="GJ27" s="1221"/>
      <c r="GK27" s="1221"/>
      <c r="GL27" s="1221"/>
      <c r="GM27" s="1221"/>
      <c r="GN27" s="1221"/>
      <c r="GO27" s="1221"/>
      <c r="GP27" s="1221"/>
      <c r="GQ27" s="1221"/>
      <c r="GR27" s="1221"/>
      <c r="GS27" s="1221"/>
      <c r="GT27" s="1221"/>
      <c r="GU27" s="1221"/>
      <c r="GV27" s="1221"/>
      <c r="GW27" s="1221"/>
      <c r="GX27" s="1221"/>
      <c r="GY27" s="1221"/>
      <c r="GZ27" s="1221"/>
      <c r="HA27" s="1221"/>
      <c r="HB27" s="1221"/>
      <c r="HC27" s="1221"/>
      <c r="HD27" s="1221"/>
      <c r="HE27" s="1221"/>
      <c r="HF27" s="1221"/>
      <c r="HG27" s="1221"/>
      <c r="HH27" s="1221"/>
      <c r="HI27" s="1221"/>
      <c r="HJ27" s="1221"/>
      <c r="HK27" s="1221"/>
      <c r="HL27" s="1221"/>
      <c r="HM27" s="1221"/>
      <c r="HN27" s="1221"/>
      <c r="HO27" s="1221"/>
      <c r="HP27" s="1221"/>
      <c r="HQ27" s="1221"/>
      <c r="HR27" s="1221"/>
      <c r="HS27" s="1221"/>
      <c r="HT27" s="1221"/>
      <c r="HU27" s="1221"/>
      <c r="HV27" s="1221"/>
      <c r="HW27" s="1221"/>
      <c r="HX27" s="1221"/>
      <c r="HY27" s="1221"/>
      <c r="HZ27" s="1221"/>
      <c r="IA27" s="1221"/>
      <c r="IB27" s="1221"/>
      <c r="IC27" s="1221"/>
      <c r="ID27" s="1221"/>
      <c r="IE27" s="1221"/>
      <c r="IF27" s="1221"/>
      <c r="IG27" s="1221"/>
      <c r="IH27" s="1221"/>
      <c r="II27" s="1221"/>
      <c r="IJ27" s="1221"/>
      <c r="IK27" s="1221"/>
      <c r="IL27" s="1221"/>
      <c r="IM27" s="1221"/>
      <c r="IN27" s="1221"/>
      <c r="IO27" s="1221"/>
      <c r="IP27" s="1221"/>
      <c r="IQ27" s="1221"/>
      <c r="IR27" s="1221"/>
      <c r="IS27" s="1221"/>
      <c r="IT27" s="1221"/>
      <c r="IU27" s="1221"/>
      <c r="IV27" s="1221"/>
      <c r="IW27" s="1221"/>
      <c r="IX27" s="1221"/>
      <c r="IY27" s="1221"/>
      <c r="IZ27" s="1221"/>
      <c r="JA27" s="1221"/>
      <c r="JB27" s="1221"/>
      <c r="JC27" s="1221"/>
      <c r="JD27" s="1221"/>
      <c r="JE27" s="1221"/>
      <c r="JF27" s="1221"/>
      <c r="JG27" s="1221"/>
      <c r="JH27" s="1221"/>
      <c r="JI27" s="1221"/>
      <c r="JJ27" s="1221"/>
      <c r="JK27" s="1221"/>
      <c r="JL27" s="1221"/>
      <c r="JM27" s="1221"/>
      <c r="JN27" s="1221"/>
      <c r="JO27" s="1221"/>
      <c r="JP27" s="1221"/>
      <c r="JQ27" s="1221"/>
      <c r="JR27" s="1221"/>
      <c r="JS27" s="1221"/>
      <c r="JT27" s="1221"/>
      <c r="JU27" s="1221"/>
      <c r="JV27" s="1221"/>
      <c r="JW27" s="1221"/>
      <c r="JX27" s="1221"/>
      <c r="JY27" s="1221"/>
      <c r="JZ27" s="1221"/>
      <c r="KA27" s="1221"/>
      <c r="KB27" s="1221"/>
      <c r="KC27" s="1221"/>
      <c r="KD27" s="1221"/>
      <c r="KE27" s="1221"/>
      <c r="KF27" s="1221"/>
      <c r="KG27" s="1221"/>
      <c r="KH27" s="1221"/>
      <c r="KI27" s="1221"/>
      <c r="KJ27" s="1221"/>
      <c r="KK27" s="1221"/>
      <c r="KL27" s="1221"/>
      <c r="KM27" s="1221"/>
      <c r="KN27" s="1221"/>
      <c r="KO27" s="1221"/>
      <c r="KP27" s="1221"/>
      <c r="KQ27" s="1221"/>
      <c r="KR27" s="1221"/>
      <c r="KS27" s="1221"/>
      <c r="KT27" s="1221"/>
      <c r="KU27" s="1221"/>
      <c r="KV27" s="1221"/>
      <c r="KW27" s="1221"/>
      <c r="KX27" s="1221"/>
      <c r="KY27" s="1221"/>
      <c r="KZ27" s="1221"/>
      <c r="LA27" s="1221"/>
      <c r="LB27" s="1221"/>
      <c r="LC27" s="1221"/>
      <c r="LD27" s="1221"/>
      <c r="LE27" s="1221"/>
      <c r="LF27" s="1221"/>
      <c r="LG27" s="1221"/>
      <c r="LH27" s="1221"/>
      <c r="LI27" s="1221"/>
      <c r="LJ27" s="1221"/>
      <c r="LK27" s="1221"/>
      <c r="LL27" s="1221"/>
      <c r="LM27" s="1221"/>
      <c r="LN27" s="1221"/>
      <c r="LO27" s="1221"/>
      <c r="LP27" s="1221"/>
      <c r="LQ27" s="1221"/>
      <c r="LR27" s="1221"/>
      <c r="LS27" s="1221"/>
      <c r="LT27" s="1221"/>
      <c r="LU27" s="1221"/>
      <c r="LV27" s="1221"/>
      <c r="LW27" s="1221"/>
      <c r="LX27" s="1221"/>
      <c r="LY27" s="1221"/>
      <c r="LZ27" s="1221"/>
      <c r="MA27" s="1221"/>
      <c r="MB27" s="1221"/>
      <c r="MC27" s="1221"/>
      <c r="MD27" s="1221"/>
      <c r="ME27" s="1221"/>
      <c r="MF27" s="1221"/>
      <c r="MG27" s="1221"/>
      <c r="MH27" s="1221"/>
      <c r="MI27" s="1221"/>
      <c r="MJ27" s="1221"/>
      <c r="MK27" s="1221"/>
      <c r="ML27" s="1221"/>
      <c r="MM27" s="1221"/>
      <c r="MN27" s="1221"/>
      <c r="MO27" s="1221"/>
      <c r="MP27" s="1221"/>
      <c r="MQ27" s="1221"/>
      <c r="MR27" s="1221"/>
      <c r="MS27" s="1221"/>
      <c r="MT27" s="1221"/>
      <c r="MU27" s="1221"/>
      <c r="MV27" s="1221"/>
      <c r="MW27" s="1221"/>
      <c r="MX27" s="1221"/>
      <c r="MY27" s="1221"/>
      <c r="MZ27" s="1221"/>
      <c r="NA27" s="1221"/>
      <c r="NB27" s="1221"/>
      <c r="NC27" s="1221"/>
      <c r="ND27" s="1221"/>
      <c r="NE27" s="1221"/>
      <c r="NF27" s="1221"/>
      <c r="NG27" s="1221"/>
      <c r="NH27" s="1221"/>
      <c r="NI27" s="1221"/>
      <c r="NJ27" s="1221"/>
      <c r="NK27" s="1221"/>
      <c r="NL27" s="1221"/>
      <c r="NM27" s="1221"/>
      <c r="NN27" s="1221"/>
      <c r="NO27" s="1221"/>
      <c r="NP27" s="1221"/>
      <c r="NQ27" s="1221"/>
      <c r="NR27" s="1221"/>
      <c r="NS27" s="1221"/>
      <c r="NT27" s="1221"/>
      <c r="NU27" s="1221"/>
      <c r="NV27" s="1221"/>
      <c r="NW27" s="1221"/>
      <c r="NX27" s="1221"/>
      <c r="NY27" s="1221"/>
      <c r="NZ27" s="1221"/>
      <c r="OA27" s="1221"/>
      <c r="OB27" s="1221"/>
      <c r="OC27" s="1221"/>
      <c r="OD27" s="1221"/>
      <c r="OE27" s="1221"/>
      <c r="OF27" s="1221"/>
      <c r="OG27" s="1221"/>
      <c r="OH27" s="1221"/>
      <c r="OI27" s="1221"/>
      <c r="OJ27" s="1221"/>
      <c r="OK27" s="1221"/>
      <c r="OL27" s="1221"/>
      <c r="OM27" s="1221"/>
      <c r="ON27" s="1221"/>
      <c r="OO27" s="1221"/>
      <c r="OP27" s="1221"/>
      <c r="OQ27" s="1221"/>
      <c r="OR27" s="1221"/>
      <c r="OS27" s="1221"/>
      <c r="OT27" s="1221"/>
      <c r="OU27" s="1221"/>
      <c r="OV27" s="1221"/>
      <c r="OW27" s="1221"/>
      <c r="OX27" s="1221"/>
      <c r="OY27" s="1221"/>
      <c r="OZ27" s="1221"/>
      <c r="PA27" s="1221"/>
      <c r="PB27" s="1221"/>
      <c r="PC27" s="1221"/>
      <c r="PD27" s="1221"/>
      <c r="PE27" s="1221"/>
      <c r="PF27" s="1221"/>
      <c r="PG27" s="1221"/>
      <c r="PH27" s="1221"/>
      <c r="PI27" s="1221"/>
      <c r="PJ27" s="1221"/>
      <c r="PK27" s="1221"/>
      <c r="PL27" s="1221"/>
      <c r="PM27" s="1221"/>
      <c r="PN27" s="1221"/>
      <c r="PO27" s="1221"/>
      <c r="PP27" s="1221"/>
      <c r="PQ27" s="1221"/>
      <c r="PR27" s="1221"/>
      <c r="PS27" s="1221"/>
      <c r="PT27" s="1221"/>
      <c r="PU27" s="1221"/>
      <c r="PV27" s="1221"/>
      <c r="PW27" s="1221"/>
      <c r="PX27" s="1221"/>
      <c r="PY27" s="1221"/>
      <c r="PZ27" s="1221"/>
      <c r="QA27" s="1221"/>
      <c r="QB27" s="1221"/>
      <c r="QC27" s="1221"/>
      <c r="QD27" s="1221"/>
      <c r="QE27" s="1221"/>
      <c r="QF27" s="1221"/>
      <c r="QG27" s="1221"/>
      <c r="QH27" s="1221"/>
      <c r="QI27" s="1221"/>
      <c r="QJ27" s="1221"/>
      <c r="QK27" s="1221"/>
      <c r="QL27" s="1221"/>
      <c r="QM27" s="1221"/>
      <c r="QN27" s="1221"/>
      <c r="QO27" s="1221"/>
      <c r="QP27" s="1221"/>
      <c r="QQ27" s="1221"/>
      <c r="QR27" s="1221"/>
      <c r="QS27" s="1221"/>
      <c r="QT27" s="1221"/>
      <c r="QU27" s="1221"/>
      <c r="QV27" s="1221"/>
      <c r="QW27" s="1221"/>
      <c r="QX27" s="1221"/>
      <c r="QY27" s="1221"/>
      <c r="QZ27" s="1221"/>
      <c r="RA27" s="1221"/>
      <c r="RB27" s="1221"/>
      <c r="RC27" s="1221"/>
      <c r="RD27" s="1221"/>
      <c r="RE27" s="1221"/>
      <c r="RF27" s="1221"/>
      <c r="RG27" s="1221"/>
      <c r="RH27" s="1221"/>
      <c r="RI27" s="1221"/>
      <c r="RJ27" s="1221"/>
      <c r="RK27" s="1221"/>
      <c r="RL27" s="1221"/>
      <c r="RM27" s="1221"/>
      <c r="RN27" s="1221"/>
      <c r="RO27" s="1221"/>
      <c r="RP27" s="1221"/>
      <c r="RQ27" s="1221"/>
      <c r="RR27" s="1221"/>
      <c r="RS27" s="1221"/>
      <c r="RT27" s="1221"/>
      <c r="RU27" s="1221"/>
      <c r="RV27" s="1221"/>
      <c r="RW27" s="1221"/>
      <c r="RX27" s="1221"/>
      <c r="RY27" s="1221"/>
      <c r="RZ27" s="1221"/>
      <c r="SA27" s="1221"/>
      <c r="SB27" s="1221"/>
      <c r="SC27" s="1221"/>
      <c r="SD27" s="1221"/>
      <c r="SE27" s="1221"/>
      <c r="SF27" s="1221"/>
      <c r="SG27" s="1221"/>
      <c r="SH27" s="1221"/>
      <c r="SI27" s="1221"/>
      <c r="SJ27" s="1221"/>
      <c r="SK27" s="1221"/>
      <c r="SL27" s="1221"/>
      <c r="SM27" s="1221"/>
      <c r="SN27" s="1221"/>
      <c r="SO27" s="1221"/>
      <c r="SP27" s="1221"/>
      <c r="SQ27" s="1221"/>
      <c r="SR27" s="1221"/>
      <c r="SS27" s="1221"/>
      <c r="ST27" s="1221"/>
      <c r="SU27" s="1221"/>
      <c r="SV27" s="1221"/>
      <c r="SW27" s="1221"/>
      <c r="SX27" s="1221"/>
      <c r="SY27" s="1221"/>
      <c r="SZ27" s="1221"/>
      <c r="TA27" s="1221"/>
      <c r="TB27" s="1221"/>
      <c r="TC27" s="1221"/>
      <c r="TD27" s="1221"/>
      <c r="TE27" s="1221"/>
      <c r="TF27" s="1221"/>
      <c r="TG27" s="1221"/>
      <c r="TH27" s="1221"/>
      <c r="TI27" s="1221"/>
      <c r="TJ27" s="1221"/>
      <c r="TK27" s="1221"/>
      <c r="TL27" s="1221"/>
      <c r="TM27" s="1221"/>
      <c r="TN27" s="1221"/>
      <c r="TO27" s="1221"/>
      <c r="TP27" s="1221"/>
      <c r="TQ27" s="1221"/>
      <c r="TR27" s="1221"/>
      <c r="TS27" s="1221"/>
      <c r="TT27" s="1221"/>
      <c r="TU27" s="1221"/>
      <c r="TV27" s="1221"/>
      <c r="TW27" s="1221"/>
      <c r="TX27" s="1221"/>
      <c r="TY27" s="1221"/>
      <c r="TZ27" s="1221"/>
      <c r="UA27" s="1221"/>
      <c r="UB27" s="1221"/>
      <c r="UC27" s="1221"/>
      <c r="UD27" s="1221"/>
      <c r="UE27" s="1221"/>
      <c r="UF27" s="1221"/>
      <c r="UG27" s="1221"/>
      <c r="UH27" s="1221"/>
      <c r="UI27" s="1221"/>
      <c r="UJ27" s="1221"/>
      <c r="UK27" s="1221"/>
      <c r="UL27" s="1221"/>
      <c r="UM27" s="1221"/>
      <c r="UN27" s="1221"/>
      <c r="UO27" s="1221"/>
      <c r="UP27" s="1221"/>
      <c r="UQ27" s="1221"/>
      <c r="UR27" s="1221"/>
      <c r="US27" s="1221"/>
      <c r="UT27" s="1221"/>
      <c r="UU27" s="1221"/>
      <c r="UV27" s="1221"/>
      <c r="UW27" s="1221"/>
      <c r="UX27" s="1221"/>
      <c r="UY27" s="1221"/>
      <c r="UZ27" s="1221"/>
      <c r="VA27" s="1221"/>
      <c r="VB27" s="1221"/>
      <c r="VC27" s="1221"/>
      <c r="VD27" s="1221"/>
      <c r="VE27" s="1221"/>
      <c r="VF27" s="1221"/>
      <c r="VG27" s="1221"/>
      <c r="VH27" s="1221"/>
      <c r="VI27" s="1221"/>
      <c r="VJ27" s="1221"/>
      <c r="VK27" s="1221"/>
      <c r="VL27" s="1221"/>
      <c r="VM27" s="1221"/>
      <c r="VN27" s="1221"/>
      <c r="VO27" s="1221"/>
      <c r="VP27" s="1221"/>
      <c r="VQ27" s="1221"/>
      <c r="VR27" s="1221"/>
      <c r="VS27" s="1221"/>
      <c r="VT27" s="1221"/>
      <c r="VU27" s="1221"/>
      <c r="VV27" s="1221"/>
      <c r="VW27" s="1221"/>
      <c r="VX27" s="1221"/>
      <c r="VY27" s="1221"/>
      <c r="VZ27" s="1221"/>
      <c r="WA27" s="1221"/>
      <c r="WB27" s="1221"/>
      <c r="WC27" s="1221"/>
      <c r="WD27" s="1221"/>
      <c r="WE27" s="1221"/>
      <c r="WF27" s="1221"/>
      <c r="WG27" s="1221"/>
      <c r="WH27" s="1221"/>
      <c r="WI27" s="1221"/>
      <c r="WJ27" s="1221"/>
      <c r="WK27" s="1221"/>
      <c r="WL27" s="1221"/>
      <c r="WM27" s="1221"/>
      <c r="WN27" s="1221"/>
      <c r="WO27" s="1221"/>
      <c r="WP27" s="1221"/>
      <c r="WQ27" s="1221"/>
      <c r="WR27" s="1221"/>
      <c r="WS27" s="1221"/>
      <c r="WT27" s="1221"/>
      <c r="WU27" s="1221"/>
      <c r="WV27" s="1221"/>
      <c r="WW27" s="1221"/>
      <c r="WX27" s="1221"/>
      <c r="WY27" s="1221"/>
      <c r="WZ27" s="1221"/>
      <c r="XA27" s="1221"/>
      <c r="XB27" s="1221"/>
      <c r="XC27" s="1221"/>
      <c r="XD27" s="1221"/>
      <c r="XE27" s="1221"/>
      <c r="XF27" s="1221"/>
      <c r="XG27" s="1221"/>
      <c r="XH27" s="1221"/>
      <c r="XI27" s="1221"/>
      <c r="XJ27" s="1221"/>
      <c r="XK27" s="1221"/>
      <c r="XL27" s="1221"/>
      <c r="XM27" s="1221"/>
      <c r="XN27" s="1221"/>
      <c r="XO27" s="1221"/>
      <c r="XP27" s="1221"/>
      <c r="XQ27" s="1221"/>
      <c r="XR27" s="1221"/>
      <c r="XS27" s="1221"/>
      <c r="XT27" s="1221"/>
      <c r="XU27" s="1221"/>
      <c r="XV27" s="1221"/>
      <c r="XW27" s="1221"/>
      <c r="XX27" s="1221"/>
      <c r="XY27" s="1221"/>
      <c r="XZ27" s="1221"/>
      <c r="YA27" s="1221"/>
      <c r="YB27" s="1221"/>
      <c r="YC27" s="1221"/>
      <c r="YD27" s="1221"/>
      <c r="YE27" s="1221"/>
      <c r="YF27" s="1221"/>
      <c r="YG27" s="1221"/>
      <c r="YH27" s="1221"/>
      <c r="YI27" s="1221"/>
      <c r="YJ27" s="1221"/>
      <c r="YK27" s="1221"/>
      <c r="YL27" s="1221"/>
      <c r="YM27" s="1221"/>
      <c r="YN27" s="1221"/>
      <c r="YO27" s="1221"/>
      <c r="YP27" s="1221"/>
      <c r="YQ27" s="1221"/>
      <c r="YR27" s="1221"/>
      <c r="YS27" s="1221"/>
      <c r="YT27" s="1221"/>
      <c r="YU27" s="1221"/>
      <c r="YV27" s="1221"/>
      <c r="YW27" s="1221"/>
      <c r="YX27" s="1221"/>
      <c r="YY27" s="1221"/>
      <c r="YZ27" s="1221"/>
      <c r="ZA27" s="1221"/>
      <c r="ZB27" s="1221"/>
      <c r="ZC27" s="1221"/>
      <c r="ZD27" s="1221"/>
      <c r="ZE27" s="1221"/>
      <c r="ZF27" s="1221"/>
      <c r="ZG27" s="1221"/>
      <c r="ZH27" s="1221"/>
      <c r="ZI27" s="1221"/>
      <c r="ZJ27" s="1221"/>
      <c r="ZK27" s="1221"/>
      <c r="ZL27" s="1221"/>
      <c r="ZM27" s="1221"/>
      <c r="ZN27" s="1221"/>
      <c r="ZO27" s="1221"/>
      <c r="ZP27" s="1221"/>
      <c r="ZQ27" s="1221"/>
      <c r="ZR27" s="1221"/>
      <c r="ZS27" s="1221"/>
      <c r="ZT27" s="1221"/>
      <c r="ZU27" s="1221"/>
      <c r="ZV27" s="1221"/>
      <c r="ZW27" s="1221"/>
      <c r="ZX27" s="1221"/>
      <c r="ZY27" s="1221"/>
      <c r="ZZ27" s="1221"/>
      <c r="AAA27" s="1221"/>
      <c r="AAB27" s="1221"/>
      <c r="AAC27" s="1221"/>
      <c r="AAD27" s="1221"/>
      <c r="AAE27" s="1221"/>
      <c r="AAF27" s="1221"/>
      <c r="AAG27" s="1221"/>
      <c r="AAH27" s="1221"/>
      <c r="AAI27" s="1221"/>
      <c r="AAJ27" s="1221"/>
      <c r="AAK27" s="1221"/>
      <c r="AAL27" s="1221"/>
      <c r="AAM27" s="1221"/>
      <c r="AAN27" s="1221"/>
      <c r="AAO27" s="1221"/>
      <c r="AAP27" s="1221"/>
      <c r="AAQ27" s="1221"/>
      <c r="AAR27" s="1221"/>
      <c r="AAS27" s="1221"/>
      <c r="AAT27" s="1221"/>
      <c r="AAU27" s="1221"/>
      <c r="AAV27" s="1221"/>
      <c r="AAW27" s="1221"/>
      <c r="AAX27" s="1221"/>
      <c r="AAY27" s="1221"/>
      <c r="AAZ27" s="1221"/>
      <c r="ABA27" s="1221"/>
      <c r="ABB27" s="1221"/>
      <c r="ABC27" s="1221"/>
      <c r="ABD27" s="1221"/>
      <c r="ABE27" s="1221"/>
      <c r="ABF27" s="1221"/>
      <c r="ABG27" s="1221"/>
      <c r="ABH27" s="1221"/>
      <c r="ABI27" s="1221"/>
      <c r="ABJ27" s="1221"/>
      <c r="ABK27" s="1221"/>
      <c r="ABL27" s="1221"/>
      <c r="ABM27" s="1221"/>
      <c r="ABN27" s="1221"/>
      <c r="ABO27" s="1221"/>
      <c r="ABP27" s="1221"/>
      <c r="ABQ27" s="1221"/>
      <c r="ABR27" s="1221"/>
      <c r="ABS27" s="1221"/>
      <c r="ABT27" s="1221"/>
      <c r="ABU27" s="1221"/>
      <c r="ABV27" s="1221"/>
      <c r="ABW27" s="1221"/>
      <c r="ABX27" s="1221"/>
      <c r="ABY27" s="1221"/>
      <c r="ABZ27" s="1221"/>
      <c r="ACA27" s="1221"/>
      <c r="ACB27" s="1221"/>
      <c r="ACC27" s="1221"/>
      <c r="ACD27" s="1221"/>
      <c r="ACE27" s="1221"/>
      <c r="ACF27" s="1221"/>
      <c r="ACG27" s="1221"/>
      <c r="ACH27" s="1221"/>
      <c r="ACI27" s="1221"/>
      <c r="ACJ27" s="1221"/>
      <c r="ACK27" s="1221"/>
      <c r="ACL27" s="1221"/>
      <c r="ACM27" s="1221"/>
      <c r="ACN27" s="1221"/>
      <c r="ACO27" s="1221"/>
      <c r="ACP27" s="1221"/>
      <c r="ACQ27" s="1221"/>
      <c r="ACR27" s="1221"/>
      <c r="ACS27" s="1221"/>
      <c r="ACT27" s="1221"/>
      <c r="ACU27" s="1221"/>
      <c r="ACV27" s="1221"/>
      <c r="ACW27" s="1221"/>
      <c r="ACX27" s="1221"/>
      <c r="ACY27" s="1221"/>
      <c r="ACZ27" s="1221"/>
      <c r="ADA27" s="1221"/>
      <c r="ADB27" s="1221"/>
      <c r="ADC27" s="1221"/>
      <c r="ADD27" s="1221"/>
      <c r="ADE27" s="1221"/>
      <c r="ADF27" s="1221"/>
      <c r="ADG27" s="1221"/>
      <c r="ADH27" s="1221"/>
      <c r="ADI27" s="1221"/>
      <c r="ADJ27" s="1221"/>
      <c r="ADK27" s="1221"/>
      <c r="ADL27" s="1221"/>
      <c r="ADM27" s="1221"/>
      <c r="ADN27" s="1221"/>
      <c r="ADO27" s="1221"/>
      <c r="ADP27" s="1221"/>
      <c r="ADQ27" s="1221"/>
      <c r="ADR27" s="1221"/>
      <c r="ADS27" s="1221"/>
      <c r="ADT27" s="1221"/>
      <c r="ADU27" s="1221"/>
      <c r="ADV27" s="1221"/>
      <c r="ADW27" s="1221"/>
      <c r="ADX27" s="1221"/>
      <c r="ADY27" s="1221"/>
      <c r="ADZ27" s="1221"/>
      <c r="AEA27" s="1221"/>
      <c r="AEB27" s="1221"/>
      <c r="AEC27" s="1221"/>
      <c r="AED27" s="1221"/>
      <c r="AEE27" s="1221"/>
      <c r="AEF27" s="1221"/>
      <c r="AEG27" s="1221"/>
      <c r="AEH27" s="1221"/>
      <c r="AEI27" s="1221"/>
      <c r="AEJ27" s="1221"/>
      <c r="AEK27" s="1221"/>
      <c r="AEL27" s="1221"/>
      <c r="AEM27" s="1221"/>
      <c r="AEN27" s="1221"/>
      <c r="AEO27" s="1221"/>
      <c r="AEP27" s="1221"/>
      <c r="AEQ27" s="1221"/>
      <c r="AER27" s="1221"/>
      <c r="AES27" s="1221"/>
      <c r="AET27" s="1221"/>
      <c r="AEU27" s="1221"/>
      <c r="AEV27" s="1221"/>
      <c r="AEW27" s="1221"/>
      <c r="AEX27" s="1221"/>
      <c r="AEY27" s="1221"/>
      <c r="AEZ27" s="1221"/>
      <c r="AFA27" s="1221"/>
      <c r="AFB27" s="1221"/>
      <c r="AFC27" s="1221"/>
      <c r="AFD27" s="1221"/>
      <c r="AFE27" s="1221"/>
      <c r="AFF27" s="1221"/>
      <c r="AFG27" s="1221"/>
      <c r="AFH27" s="1221"/>
      <c r="AFI27" s="1221"/>
      <c r="AFJ27" s="1221"/>
      <c r="AFK27" s="1221"/>
      <c r="AFL27" s="1221"/>
      <c r="AFM27" s="1221"/>
      <c r="AFN27" s="1221"/>
      <c r="AFO27" s="1221"/>
      <c r="AFP27" s="1221"/>
      <c r="AFQ27" s="1221"/>
      <c r="AFR27" s="1221"/>
      <c r="AFS27" s="1221"/>
      <c r="AFT27" s="1221"/>
      <c r="AFU27" s="1221"/>
      <c r="AFV27" s="1221"/>
      <c r="AFW27" s="1221"/>
      <c r="AFX27" s="1221"/>
      <c r="AFY27" s="1221"/>
      <c r="AFZ27" s="1221"/>
      <c r="AGA27" s="1221"/>
      <c r="AGB27" s="1221"/>
      <c r="AGC27" s="1221"/>
      <c r="AGD27" s="1221"/>
      <c r="AGE27" s="1221"/>
      <c r="AGF27" s="1221"/>
      <c r="AGG27" s="1221"/>
      <c r="AGH27" s="1221"/>
      <c r="AGI27" s="1221"/>
      <c r="AGJ27" s="1221"/>
      <c r="AGK27" s="1221"/>
      <c r="AGL27" s="1221"/>
      <c r="AGM27" s="1221"/>
      <c r="AGN27" s="1221"/>
      <c r="AGO27" s="1221"/>
      <c r="AGP27" s="1221"/>
      <c r="AGQ27" s="1221"/>
      <c r="AGR27" s="1221"/>
      <c r="AGS27" s="1221"/>
      <c r="AGT27" s="1221"/>
      <c r="AGU27" s="1221"/>
      <c r="AGV27" s="1221"/>
      <c r="AGW27" s="1221"/>
      <c r="AGX27" s="1221"/>
      <c r="AGY27" s="1221"/>
      <c r="AGZ27" s="1221"/>
      <c r="AHA27" s="1221"/>
      <c r="AHB27" s="1221"/>
      <c r="AHC27" s="1221"/>
      <c r="AHD27" s="1221"/>
      <c r="AHE27" s="1221"/>
      <c r="AHF27" s="1221"/>
      <c r="AHG27" s="1221"/>
      <c r="AHH27" s="1221"/>
      <c r="AHI27" s="1221"/>
      <c r="AHJ27" s="1221"/>
      <c r="AHK27" s="1221"/>
      <c r="AHL27" s="1221"/>
      <c r="AHM27" s="1221"/>
      <c r="AHN27" s="1221"/>
      <c r="AHO27" s="1221"/>
      <c r="AHP27" s="1221"/>
      <c r="AHQ27" s="1221"/>
      <c r="AHR27" s="1221"/>
      <c r="AHS27" s="1221"/>
      <c r="AHT27" s="1221"/>
      <c r="AHU27" s="1221"/>
      <c r="AHV27" s="1221"/>
      <c r="AHW27" s="1221"/>
      <c r="AHX27" s="1221"/>
      <c r="AHY27" s="1221"/>
      <c r="AHZ27" s="1221"/>
      <c r="AIA27" s="1221"/>
      <c r="AIB27" s="1221"/>
      <c r="AIC27" s="1221"/>
      <c r="AID27" s="1221"/>
      <c r="AIE27" s="1221"/>
      <c r="AIF27" s="1221"/>
      <c r="AIG27" s="1221"/>
      <c r="AIH27" s="1221"/>
      <c r="AII27" s="1221"/>
      <c r="AIJ27" s="1221"/>
      <c r="AIK27" s="1221"/>
      <c r="AIL27" s="1221"/>
      <c r="AIM27" s="1221"/>
      <c r="AIN27" s="1221"/>
      <c r="AIO27" s="1221"/>
      <c r="AIP27" s="1221"/>
      <c r="AIQ27" s="1221"/>
      <c r="AIR27" s="1221"/>
      <c r="AIS27" s="1221"/>
      <c r="AIT27" s="1221"/>
      <c r="AIU27" s="1221"/>
      <c r="AIV27" s="1221"/>
      <c r="AIW27" s="1221"/>
      <c r="AIX27" s="1221"/>
      <c r="AIY27" s="1221"/>
      <c r="AIZ27" s="1221"/>
      <c r="AJA27" s="1221"/>
      <c r="AJB27" s="1221"/>
      <c r="AJC27" s="1221"/>
      <c r="AJD27" s="1221"/>
      <c r="AJE27" s="1221"/>
      <c r="AJF27" s="1221"/>
      <c r="AJG27" s="1221"/>
      <c r="AJH27" s="1221"/>
      <c r="AJI27" s="1221"/>
      <c r="AJJ27" s="1221"/>
      <c r="AJK27" s="1221"/>
      <c r="AJL27" s="1221"/>
      <c r="AJM27" s="1221"/>
      <c r="AJN27" s="1221"/>
      <c r="AJO27" s="1221"/>
      <c r="AJP27" s="1221"/>
      <c r="AJQ27" s="1221"/>
      <c r="AJR27" s="1221"/>
      <c r="AJS27" s="1221"/>
      <c r="AJT27" s="1221"/>
      <c r="AJU27" s="1221"/>
      <c r="AJV27" s="1221"/>
      <c r="AJW27" s="1221"/>
      <c r="AJX27" s="1221"/>
      <c r="AJY27" s="1221"/>
      <c r="AJZ27" s="1221"/>
      <c r="AKA27" s="1221"/>
      <c r="AKB27" s="1221"/>
      <c r="AKC27" s="1221"/>
      <c r="AKD27" s="1221"/>
      <c r="AKE27" s="1221"/>
      <c r="AKF27" s="1221"/>
      <c r="AKG27" s="1221"/>
      <c r="AKH27" s="1221"/>
      <c r="AKI27" s="1221"/>
      <c r="AKJ27" s="1221"/>
      <c r="AKK27" s="1221"/>
      <c r="AKL27" s="1221"/>
      <c r="AKM27" s="1221"/>
      <c r="AKN27" s="1221"/>
      <c r="AKO27" s="1221"/>
      <c r="AKP27" s="1221"/>
      <c r="AKQ27" s="1221"/>
      <c r="AKR27" s="1221"/>
      <c r="AKS27" s="1221"/>
      <c r="AKT27" s="1221"/>
      <c r="AKU27" s="1221"/>
      <c r="AKV27" s="1221"/>
      <c r="AKW27" s="1221"/>
      <c r="AKX27" s="1221"/>
      <c r="AKY27" s="1221"/>
      <c r="AKZ27" s="1221"/>
      <c r="ALA27" s="1221"/>
      <c r="ALB27" s="1221"/>
      <c r="ALC27" s="1221"/>
      <c r="ALD27" s="1221"/>
      <c r="ALE27" s="1221"/>
      <c r="ALF27" s="1221"/>
      <c r="ALG27" s="1221"/>
      <c r="ALH27" s="1221"/>
      <c r="ALI27" s="1221"/>
      <c r="ALJ27" s="1221"/>
      <c r="ALK27" s="1221"/>
      <c r="ALL27" s="1221"/>
      <c r="ALM27" s="1221"/>
      <c r="ALN27" s="1221"/>
      <c r="ALO27" s="1221"/>
      <c r="ALP27" s="1221"/>
      <c r="ALQ27" s="1221"/>
      <c r="ALR27" s="1221"/>
      <c r="ALS27" s="1221"/>
      <c r="ALT27" s="1221"/>
      <c r="ALU27" s="1221"/>
      <c r="ALV27" s="1221"/>
      <c r="ALW27" s="1221"/>
      <c r="ALX27" s="1221"/>
      <c r="ALY27" s="1221"/>
      <c r="ALZ27" s="1221"/>
      <c r="AMA27" s="1221"/>
      <c r="AMB27" s="1221"/>
      <c r="AMC27" s="1221"/>
      <c r="AMD27" s="1221"/>
      <c r="AME27" s="1221"/>
      <c r="AMF27" s="1221"/>
      <c r="AMG27" s="1221"/>
      <c r="AMH27" s="1221"/>
      <c r="AMI27" s="1221"/>
      <c r="AMJ27" s="1221"/>
      <c r="AMK27" s="1221"/>
      <c r="AML27" s="1221"/>
      <c r="AMM27" s="1221"/>
      <c r="AMN27" s="1221"/>
      <c r="AMO27" s="1221"/>
      <c r="AMP27" s="1221"/>
      <c r="AMQ27" s="1221"/>
      <c r="AMR27" s="1221"/>
      <c r="AMS27" s="1221"/>
      <c r="AMT27" s="1221"/>
      <c r="AMU27" s="1221"/>
      <c r="AMV27" s="1221"/>
      <c r="AMW27" s="1221"/>
      <c r="AMX27" s="1221"/>
      <c r="AMY27" s="1221"/>
      <c r="AMZ27" s="1221"/>
      <c r="ANA27" s="1221"/>
      <c r="ANB27" s="1221"/>
      <c r="ANC27" s="1221"/>
      <c r="AND27" s="1221"/>
      <c r="ANE27" s="1221"/>
      <c r="ANF27" s="1221"/>
      <c r="ANG27" s="1221"/>
      <c r="ANH27" s="1221"/>
      <c r="ANI27" s="1221"/>
      <c r="ANJ27" s="1221"/>
      <c r="ANK27" s="1221"/>
      <c r="ANL27" s="1221"/>
      <c r="ANM27" s="1221"/>
      <c r="ANN27" s="1221"/>
      <c r="ANO27" s="1221"/>
      <c r="ANP27" s="1221"/>
      <c r="ANQ27" s="1221"/>
      <c r="ANR27" s="1221"/>
      <c r="ANS27" s="1221"/>
      <c r="ANT27" s="1221"/>
      <c r="ANU27" s="1221"/>
      <c r="ANV27" s="1221"/>
      <c r="ANW27" s="1221"/>
      <c r="ANX27" s="1221"/>
      <c r="ANY27" s="1221"/>
      <c r="ANZ27" s="1221"/>
      <c r="AOA27" s="1221"/>
      <c r="AOB27" s="1221"/>
      <c r="AOC27" s="1221"/>
      <c r="AOD27" s="1221"/>
      <c r="AOE27" s="1221"/>
      <c r="AOF27" s="1221"/>
      <c r="AOG27" s="1221"/>
      <c r="AOH27" s="1221"/>
      <c r="AOI27" s="1221"/>
      <c r="AOJ27" s="1221"/>
      <c r="AOK27" s="1221"/>
      <c r="AOL27" s="1221"/>
      <c r="AOM27" s="1221"/>
      <c r="AON27" s="1221"/>
      <c r="AOO27" s="1221"/>
      <c r="AOP27" s="1221"/>
      <c r="AOQ27" s="1221"/>
      <c r="AOR27" s="1221"/>
      <c r="AOS27" s="1221"/>
      <c r="AOT27" s="1221"/>
      <c r="AOU27" s="1221"/>
      <c r="AOV27" s="1221"/>
      <c r="AOW27" s="1221"/>
      <c r="AOX27" s="1221"/>
      <c r="AOY27" s="1221"/>
      <c r="AOZ27" s="1221"/>
      <c r="APA27" s="1221"/>
      <c r="APB27" s="1221"/>
      <c r="APC27" s="1221"/>
      <c r="APD27" s="1221"/>
      <c r="APE27" s="1221"/>
      <c r="APF27" s="1221"/>
      <c r="APG27" s="1221"/>
      <c r="APH27" s="1221"/>
      <c r="API27" s="1221"/>
      <c r="APJ27" s="1221"/>
      <c r="APK27" s="1221"/>
      <c r="APL27" s="1221"/>
      <c r="APM27" s="1221"/>
      <c r="APN27" s="1221"/>
      <c r="APO27" s="1221"/>
      <c r="APP27" s="1221"/>
      <c r="APQ27" s="1221"/>
      <c r="APR27" s="1221"/>
      <c r="APS27" s="1221"/>
      <c r="APT27" s="1221"/>
      <c r="APU27" s="1221"/>
      <c r="APV27" s="1221"/>
      <c r="APW27" s="1221"/>
      <c r="APX27" s="1221"/>
      <c r="APY27" s="1221"/>
      <c r="APZ27" s="1221"/>
      <c r="AQA27" s="1221"/>
      <c r="AQB27" s="1221"/>
      <c r="AQC27" s="1221"/>
      <c r="AQD27" s="1221"/>
      <c r="AQE27" s="1221"/>
      <c r="AQF27" s="1221"/>
      <c r="AQG27" s="1221"/>
      <c r="AQH27" s="1221"/>
      <c r="AQI27" s="1221"/>
      <c r="AQJ27" s="1221"/>
      <c r="AQK27" s="1221"/>
      <c r="AQL27" s="1221"/>
      <c r="AQM27" s="1221"/>
      <c r="AQN27" s="1221"/>
      <c r="AQO27" s="1221"/>
      <c r="AQP27" s="1221"/>
      <c r="AQQ27" s="1221"/>
      <c r="AQR27" s="1221"/>
      <c r="AQS27" s="1221"/>
      <c r="AQT27" s="1221"/>
      <c r="AQU27" s="1221"/>
      <c r="AQV27" s="1221"/>
      <c r="AQW27" s="1221"/>
      <c r="AQX27" s="1221"/>
      <c r="AQY27" s="1221"/>
      <c r="AQZ27" s="1221"/>
      <c r="ARA27" s="1221"/>
      <c r="ARB27" s="1221"/>
      <c r="ARC27" s="1221"/>
      <c r="ARD27" s="1221"/>
      <c r="ARE27" s="1221"/>
      <c r="ARF27" s="1221"/>
      <c r="ARG27" s="1221"/>
      <c r="ARH27" s="1221"/>
      <c r="ARI27" s="1221"/>
      <c r="ARJ27" s="1221"/>
      <c r="ARK27" s="1221"/>
      <c r="ARL27" s="1221"/>
      <c r="ARM27" s="1221"/>
      <c r="ARN27" s="1221"/>
      <c r="ARO27" s="1221"/>
      <c r="ARP27" s="1221"/>
      <c r="ARQ27" s="1221"/>
      <c r="ARR27" s="1221"/>
      <c r="ARS27" s="1221"/>
      <c r="ART27" s="1221"/>
      <c r="ARU27" s="1221"/>
      <c r="ARV27" s="1221"/>
      <c r="ARW27" s="1221"/>
      <c r="ARX27" s="1221"/>
      <c r="ARY27" s="1221"/>
      <c r="ARZ27" s="1221"/>
      <c r="ASA27" s="1221"/>
      <c r="ASB27" s="1221"/>
      <c r="ASC27" s="1221"/>
      <c r="ASD27" s="1221"/>
      <c r="ASE27" s="1221"/>
      <c r="ASF27" s="1221"/>
      <c r="ASG27" s="1221"/>
      <c r="ASH27" s="1221"/>
      <c r="ASI27" s="1221"/>
      <c r="ASJ27" s="1221"/>
      <c r="ASK27" s="1221"/>
      <c r="ASL27" s="1221"/>
      <c r="ASM27" s="1221"/>
      <c r="ASN27" s="1221"/>
      <c r="ASO27" s="1221"/>
      <c r="ASP27" s="1221"/>
      <c r="ASQ27" s="1221"/>
      <c r="ASR27" s="1221"/>
      <c r="ASS27" s="1221"/>
      <c r="AST27" s="1221"/>
      <c r="ASU27" s="1221"/>
      <c r="ASV27" s="1221"/>
      <c r="ASW27" s="1221"/>
      <c r="ASX27" s="1221"/>
      <c r="ASY27" s="1221"/>
      <c r="ASZ27" s="1221"/>
      <c r="ATA27" s="1221"/>
      <c r="ATB27" s="1221"/>
      <c r="ATC27" s="1221"/>
      <c r="ATD27" s="1221"/>
      <c r="ATE27" s="1221"/>
      <c r="ATF27" s="1221"/>
      <c r="ATG27" s="1221"/>
      <c r="ATH27" s="1221"/>
      <c r="ATI27" s="1221"/>
      <c r="ATJ27" s="1221"/>
      <c r="ATK27" s="1221"/>
      <c r="ATL27" s="1221"/>
      <c r="ATM27" s="1221"/>
      <c r="ATN27" s="1221"/>
      <c r="ATO27" s="1221"/>
      <c r="ATP27" s="1221"/>
      <c r="ATQ27" s="1221"/>
      <c r="ATR27" s="1221"/>
      <c r="ATS27" s="1221"/>
      <c r="ATT27" s="1221"/>
      <c r="ATU27" s="1221"/>
      <c r="ATV27" s="1221"/>
      <c r="ATW27" s="1221"/>
      <c r="ATX27" s="1221"/>
      <c r="ATY27" s="1221"/>
      <c r="ATZ27" s="1221"/>
      <c r="AUA27" s="1221"/>
      <c r="AUB27" s="1221"/>
      <c r="AUC27" s="1221"/>
      <c r="AUD27" s="1221"/>
      <c r="AUE27" s="1221"/>
      <c r="AUF27" s="1221"/>
      <c r="AUG27" s="1221"/>
      <c r="AUH27" s="1221"/>
      <c r="AUI27" s="1221"/>
      <c r="AUJ27" s="1221"/>
      <c r="AUK27" s="1221"/>
      <c r="AUL27" s="1221"/>
      <c r="AUM27" s="1221"/>
      <c r="AUN27" s="1221"/>
      <c r="AUO27" s="1221"/>
      <c r="AUP27" s="1221"/>
      <c r="AUQ27" s="1221"/>
      <c r="AUR27" s="1221"/>
      <c r="AUS27" s="1221"/>
      <c r="AUT27" s="1221"/>
      <c r="AUU27" s="1221"/>
      <c r="AUV27" s="1221"/>
      <c r="AUW27" s="1221"/>
      <c r="AUX27" s="1221"/>
      <c r="AUY27" s="1221"/>
      <c r="AUZ27" s="1221"/>
      <c r="AVA27" s="1221"/>
      <c r="AVB27" s="1221"/>
      <c r="AVC27" s="1221"/>
      <c r="AVD27" s="1221"/>
      <c r="AVE27" s="1221"/>
      <c r="AVF27" s="1221"/>
      <c r="AVG27" s="1221"/>
      <c r="AVH27" s="1221"/>
      <c r="AVI27" s="1221"/>
      <c r="AVJ27" s="1221"/>
      <c r="AVK27" s="1221"/>
      <c r="AVL27" s="1221"/>
      <c r="AVM27" s="1221"/>
      <c r="AVN27" s="1221"/>
      <c r="AVO27" s="1221"/>
      <c r="AVP27" s="1221"/>
      <c r="AVQ27" s="1221"/>
      <c r="AVR27" s="1221"/>
      <c r="AVS27" s="1221"/>
      <c r="AVT27" s="1221"/>
      <c r="AVU27" s="1221"/>
      <c r="AVV27" s="1221"/>
      <c r="AVW27" s="1221"/>
      <c r="AVX27" s="1221"/>
      <c r="AVY27" s="1221"/>
      <c r="AVZ27" s="1221"/>
      <c r="AWA27" s="1221"/>
      <c r="AWB27" s="1221"/>
      <c r="AWC27" s="1221"/>
      <c r="AWD27" s="1221"/>
      <c r="AWE27" s="1221"/>
      <c r="AWF27" s="1221"/>
      <c r="AWG27" s="1221"/>
      <c r="AWH27" s="1221"/>
      <c r="AWI27" s="1221"/>
      <c r="AWJ27" s="1221"/>
      <c r="AWK27" s="1221"/>
      <c r="AWL27" s="1221"/>
      <c r="AWM27" s="1221"/>
      <c r="AWN27" s="1221"/>
      <c r="AWO27" s="1221"/>
      <c r="AWP27" s="1221"/>
      <c r="AWQ27" s="1221"/>
      <c r="AWR27" s="1221"/>
      <c r="AWS27" s="1221"/>
      <c r="AWT27" s="1221"/>
      <c r="AWU27" s="1221"/>
      <c r="AWV27" s="1221"/>
      <c r="AWW27" s="1221"/>
      <c r="AWX27" s="1221"/>
      <c r="AWY27" s="1221"/>
      <c r="AWZ27" s="1221"/>
      <c r="AXA27" s="1221"/>
      <c r="AXB27" s="1221"/>
      <c r="AXC27" s="1221"/>
      <c r="AXD27" s="1221"/>
      <c r="AXE27" s="1221"/>
      <c r="AXF27" s="1221"/>
      <c r="AXG27" s="1221"/>
      <c r="AXH27" s="1221"/>
      <c r="AXI27" s="1221"/>
      <c r="AXJ27" s="1221"/>
      <c r="AXK27" s="1221"/>
      <c r="AXL27" s="1221"/>
      <c r="AXM27" s="1221"/>
      <c r="AXN27" s="1221"/>
      <c r="AXO27" s="1221"/>
      <c r="AXP27" s="1221"/>
      <c r="AXQ27" s="1221"/>
      <c r="AXR27" s="1221"/>
      <c r="AXS27" s="1221"/>
      <c r="AXT27" s="1221"/>
      <c r="AXU27" s="1221"/>
      <c r="AXV27" s="1221"/>
      <c r="AXW27" s="1221"/>
      <c r="AXX27" s="1221"/>
      <c r="AXY27" s="1221"/>
      <c r="AXZ27" s="1221"/>
      <c r="AYA27" s="1221"/>
      <c r="AYB27" s="1221"/>
      <c r="AYC27" s="1221"/>
      <c r="AYD27" s="1221"/>
      <c r="AYE27" s="1221"/>
      <c r="AYF27" s="1221"/>
      <c r="AYG27" s="1221"/>
      <c r="AYH27" s="1221"/>
      <c r="AYI27" s="1221"/>
      <c r="AYJ27" s="1221"/>
      <c r="AYK27" s="1221"/>
      <c r="AYL27" s="1221"/>
      <c r="AYM27" s="1221"/>
      <c r="AYN27" s="1221"/>
      <c r="AYO27" s="1221"/>
      <c r="AYP27" s="1221"/>
      <c r="AYQ27" s="1221"/>
      <c r="AYR27" s="1221"/>
      <c r="AYS27" s="1221"/>
      <c r="AYT27" s="1221"/>
      <c r="AYU27" s="1221"/>
      <c r="AYV27" s="1221"/>
      <c r="AYW27" s="1221"/>
      <c r="AYX27" s="1221"/>
      <c r="AYY27" s="1221"/>
      <c r="AYZ27" s="1221"/>
      <c r="AZA27" s="1221"/>
      <c r="AZB27" s="1221"/>
      <c r="AZC27" s="1221"/>
      <c r="AZD27" s="1221"/>
      <c r="AZE27" s="1221"/>
      <c r="AZF27" s="1221"/>
      <c r="AZG27" s="1221"/>
      <c r="AZH27" s="1221"/>
      <c r="AZI27" s="1221"/>
      <c r="AZJ27" s="1221"/>
      <c r="AZK27" s="1221"/>
      <c r="AZL27" s="1221"/>
      <c r="AZM27" s="1221"/>
      <c r="AZN27" s="1221"/>
      <c r="AZO27" s="1221"/>
      <c r="AZP27" s="1221"/>
      <c r="AZQ27" s="1221"/>
      <c r="AZR27" s="1221"/>
      <c r="AZS27" s="1221"/>
      <c r="AZT27" s="1221"/>
      <c r="AZU27" s="1221"/>
      <c r="AZV27" s="1221"/>
      <c r="AZW27" s="1221"/>
      <c r="AZX27" s="1221"/>
      <c r="AZY27" s="1221"/>
      <c r="AZZ27" s="1221"/>
      <c r="BAA27" s="1221"/>
      <c r="BAB27" s="1221"/>
      <c r="BAC27" s="1221"/>
      <c r="BAD27" s="1221"/>
      <c r="BAE27" s="1221"/>
      <c r="BAF27" s="1221"/>
      <c r="BAG27" s="1221"/>
      <c r="BAH27" s="1221"/>
      <c r="BAI27" s="1221"/>
      <c r="BAJ27" s="1221"/>
      <c r="BAK27" s="1221"/>
      <c r="BAL27" s="1221"/>
      <c r="BAM27" s="1221"/>
      <c r="BAN27" s="1221"/>
      <c r="BAO27" s="1221"/>
      <c r="BAP27" s="1221"/>
      <c r="BAQ27" s="1221"/>
      <c r="BAR27" s="1221"/>
      <c r="BAS27" s="1221"/>
      <c r="BAT27" s="1221"/>
      <c r="BAU27" s="1221"/>
      <c r="BAV27" s="1221"/>
      <c r="BAW27" s="1221"/>
      <c r="BAX27" s="1221"/>
      <c r="BAY27" s="1221"/>
      <c r="BAZ27" s="1221"/>
      <c r="BBA27" s="1221"/>
      <c r="BBB27" s="1221"/>
      <c r="BBC27" s="1221"/>
      <c r="BBD27" s="1221"/>
      <c r="BBE27" s="1221"/>
      <c r="BBF27" s="1221"/>
      <c r="BBG27" s="1221"/>
      <c r="BBH27" s="1221"/>
      <c r="BBI27" s="1221"/>
      <c r="BBJ27" s="1221"/>
      <c r="BBK27" s="1221"/>
      <c r="BBL27" s="1221"/>
      <c r="BBM27" s="1221"/>
      <c r="BBN27" s="1221"/>
      <c r="BBO27" s="1221"/>
      <c r="BBP27" s="1221"/>
      <c r="BBQ27" s="1221"/>
      <c r="BBR27" s="1221"/>
      <c r="BBS27" s="1221"/>
      <c r="BBT27" s="1221"/>
      <c r="BBU27" s="1221"/>
      <c r="BBV27" s="1221"/>
      <c r="BBW27" s="1221"/>
      <c r="BBX27" s="1221"/>
      <c r="BBY27" s="1221"/>
      <c r="BBZ27" s="1221"/>
      <c r="BCA27" s="1221"/>
      <c r="BCB27" s="1221"/>
      <c r="BCC27" s="1221"/>
      <c r="BCD27" s="1221"/>
      <c r="BCE27" s="1221"/>
      <c r="BCF27" s="1221"/>
      <c r="BCG27" s="1221"/>
      <c r="BCH27" s="1221"/>
      <c r="BCI27" s="1221"/>
      <c r="BCJ27" s="1221"/>
      <c r="BCK27" s="1221"/>
      <c r="BCL27" s="1221"/>
      <c r="BCM27" s="1221"/>
      <c r="BCN27" s="1221"/>
      <c r="BCO27" s="1221"/>
      <c r="BCP27" s="1221"/>
      <c r="BCQ27" s="1221"/>
      <c r="BCR27" s="1221"/>
      <c r="BCS27" s="1221"/>
      <c r="BCT27" s="1221"/>
      <c r="BCU27" s="1221"/>
      <c r="BCV27" s="1221"/>
      <c r="BCW27" s="1221"/>
      <c r="BCX27" s="1221"/>
      <c r="BCY27" s="1221"/>
      <c r="BCZ27" s="1221"/>
      <c r="BDA27" s="1221"/>
      <c r="BDB27" s="1221"/>
      <c r="BDC27" s="1221"/>
      <c r="BDD27" s="1221"/>
      <c r="BDE27" s="1221"/>
      <c r="BDF27" s="1221"/>
      <c r="BDG27" s="1221"/>
      <c r="BDH27" s="1221"/>
      <c r="BDI27" s="1221"/>
      <c r="BDJ27" s="1221"/>
      <c r="BDK27" s="1221"/>
      <c r="BDL27" s="1221"/>
      <c r="BDM27" s="1221"/>
      <c r="BDN27" s="1221"/>
      <c r="BDO27" s="1221"/>
      <c r="BDP27" s="1221"/>
      <c r="BDQ27" s="1221"/>
      <c r="BDR27" s="1221"/>
      <c r="BDS27" s="1221"/>
      <c r="BDT27" s="1221"/>
      <c r="BDU27" s="1221"/>
      <c r="BDV27" s="1221"/>
      <c r="BDW27" s="1221"/>
      <c r="BDX27" s="1221"/>
      <c r="BDY27" s="1221"/>
      <c r="BDZ27" s="1221"/>
      <c r="BEA27" s="1221"/>
      <c r="BEB27" s="1221"/>
      <c r="BEC27" s="1221"/>
      <c r="BED27" s="1221"/>
      <c r="BEE27" s="1221"/>
      <c r="BEF27" s="1221"/>
      <c r="BEG27" s="1221"/>
      <c r="BEH27" s="1221"/>
      <c r="BEI27" s="1221"/>
      <c r="BEJ27" s="1221"/>
      <c r="BEK27" s="1221"/>
      <c r="BEL27" s="1221"/>
      <c r="BEM27" s="1221"/>
      <c r="BEN27" s="1221"/>
      <c r="BEO27" s="1221"/>
      <c r="BEP27" s="1221"/>
      <c r="BEQ27" s="1221"/>
      <c r="BER27" s="1221"/>
      <c r="BES27" s="1221"/>
      <c r="BET27" s="1221"/>
      <c r="BEU27" s="1221"/>
      <c r="BEV27" s="1221"/>
      <c r="BEW27" s="1221"/>
      <c r="BEX27" s="1221"/>
      <c r="BEY27" s="1221"/>
      <c r="BEZ27" s="1221"/>
      <c r="BFA27" s="1221"/>
      <c r="BFB27" s="1221"/>
      <c r="BFC27" s="1221"/>
      <c r="BFD27" s="1221"/>
      <c r="BFE27" s="1221"/>
      <c r="BFF27" s="1221"/>
      <c r="BFG27" s="1221"/>
      <c r="BFH27" s="1221"/>
      <c r="BFI27" s="1221"/>
      <c r="BFJ27" s="1221"/>
      <c r="BFK27" s="1221"/>
      <c r="BFL27" s="1221"/>
      <c r="BFM27" s="1221"/>
      <c r="BFN27" s="1221"/>
      <c r="BFO27" s="1221"/>
      <c r="BFP27" s="1221"/>
      <c r="BFQ27" s="1221"/>
      <c r="BFR27" s="1221"/>
      <c r="BFS27" s="1221"/>
      <c r="BFT27" s="1221"/>
      <c r="BFU27" s="1221"/>
      <c r="BFV27" s="1221"/>
      <c r="BFW27" s="1221"/>
      <c r="BFX27" s="1221"/>
      <c r="BFY27" s="1221"/>
      <c r="BFZ27" s="1221"/>
      <c r="BGA27" s="1221"/>
      <c r="BGB27" s="1221"/>
      <c r="BGC27" s="1221"/>
      <c r="BGD27" s="1221"/>
      <c r="BGE27" s="1221"/>
      <c r="BGF27" s="1221"/>
      <c r="BGG27" s="1221"/>
      <c r="BGH27" s="1221"/>
      <c r="BGI27" s="1221"/>
      <c r="BGJ27" s="1221"/>
      <c r="BGK27" s="1221"/>
      <c r="BGL27" s="1221"/>
      <c r="BGM27" s="1221"/>
      <c r="BGN27" s="1221"/>
      <c r="BGO27" s="1221"/>
      <c r="BGP27" s="1221"/>
      <c r="BGQ27" s="1221"/>
      <c r="BGR27" s="1221"/>
      <c r="BGS27" s="1221"/>
      <c r="BGT27" s="1221"/>
      <c r="BGU27" s="1221"/>
      <c r="BGV27" s="1221"/>
      <c r="BGW27" s="1221"/>
      <c r="BGX27" s="1221"/>
      <c r="BGY27" s="1221"/>
      <c r="BGZ27" s="1221"/>
      <c r="BHA27" s="1221"/>
      <c r="BHB27" s="1221"/>
      <c r="BHC27" s="1221"/>
      <c r="BHD27" s="1221"/>
      <c r="BHE27" s="1221"/>
      <c r="BHF27" s="1221"/>
      <c r="BHG27" s="1221"/>
      <c r="BHH27" s="1221"/>
      <c r="BHI27" s="1221"/>
      <c r="BHJ27" s="1221"/>
      <c r="BHK27" s="1221"/>
      <c r="BHL27" s="1221"/>
      <c r="BHM27" s="1221"/>
      <c r="BHN27" s="1221"/>
      <c r="BHO27" s="1221"/>
      <c r="BHP27" s="1221"/>
      <c r="BHQ27" s="1221"/>
      <c r="BHR27" s="1221"/>
      <c r="BHS27" s="1221"/>
      <c r="BHT27" s="1221"/>
      <c r="BHU27" s="1221"/>
      <c r="BHV27" s="1221"/>
      <c r="BHW27" s="1221"/>
      <c r="BHX27" s="1221"/>
      <c r="BHY27" s="1221"/>
      <c r="BHZ27" s="1221"/>
      <c r="BIA27" s="1221"/>
      <c r="BIB27" s="1221"/>
      <c r="BIC27" s="1221"/>
      <c r="BID27" s="1221"/>
      <c r="BIE27" s="1221"/>
      <c r="BIF27" s="1221"/>
      <c r="BIG27" s="1221"/>
      <c r="BIH27" s="1221"/>
      <c r="BII27" s="1221"/>
      <c r="BIJ27" s="1221"/>
      <c r="BIK27" s="1221"/>
      <c r="BIL27" s="1221"/>
      <c r="BIM27" s="1221"/>
      <c r="BIN27" s="1221"/>
      <c r="BIO27" s="1221"/>
      <c r="BIP27" s="1221"/>
      <c r="BIQ27" s="1221"/>
      <c r="BIR27" s="1221"/>
      <c r="BIS27" s="1221"/>
      <c r="BIT27" s="1221"/>
      <c r="BIU27" s="1221"/>
      <c r="BIV27" s="1221"/>
      <c r="BIW27" s="1221"/>
      <c r="BIX27" s="1221"/>
      <c r="BIY27" s="1221"/>
      <c r="BIZ27" s="1221"/>
      <c r="BJA27" s="1221"/>
      <c r="BJB27" s="1221"/>
      <c r="BJC27" s="1221"/>
      <c r="BJD27" s="1221"/>
      <c r="BJE27" s="1221"/>
      <c r="BJF27" s="1221"/>
      <c r="BJG27" s="1221"/>
      <c r="BJH27" s="1221"/>
      <c r="BJI27" s="1221"/>
      <c r="BJJ27" s="1221"/>
      <c r="BJK27" s="1221"/>
      <c r="BJL27" s="1221"/>
      <c r="BJM27" s="1221"/>
      <c r="BJN27" s="1221"/>
      <c r="BJO27" s="1221"/>
      <c r="BJP27" s="1221"/>
      <c r="BJQ27" s="1221"/>
      <c r="BJR27" s="1221"/>
      <c r="BJS27" s="1221"/>
      <c r="BJT27" s="1221"/>
      <c r="BJU27" s="1221"/>
      <c r="BJV27" s="1221"/>
      <c r="BJW27" s="1221"/>
      <c r="BJX27" s="1221"/>
      <c r="BJY27" s="1221"/>
      <c r="BJZ27" s="1221"/>
      <c r="BKA27" s="1221"/>
      <c r="BKB27" s="1221"/>
      <c r="BKC27" s="1221"/>
      <c r="BKD27" s="1221"/>
      <c r="BKE27" s="1221"/>
      <c r="BKF27" s="1221"/>
      <c r="BKG27" s="1221"/>
      <c r="BKH27" s="1221"/>
      <c r="BKI27" s="1221"/>
      <c r="BKJ27" s="1221"/>
      <c r="BKK27" s="1221"/>
      <c r="BKL27" s="1221"/>
      <c r="BKM27" s="1221"/>
      <c r="BKN27" s="1221"/>
      <c r="BKO27" s="1221"/>
      <c r="BKP27" s="1221"/>
      <c r="BKQ27" s="1221"/>
      <c r="BKR27" s="1221"/>
      <c r="BKS27" s="1221"/>
      <c r="BKT27" s="1221"/>
      <c r="BKU27" s="1221"/>
      <c r="BKV27" s="1221"/>
      <c r="BKW27" s="1221"/>
      <c r="BKX27" s="1221"/>
      <c r="BKY27" s="1221"/>
      <c r="BKZ27" s="1221"/>
      <c r="BLA27" s="1221"/>
      <c r="BLB27" s="1221"/>
      <c r="BLC27" s="1221"/>
      <c r="BLD27" s="1221"/>
      <c r="BLE27" s="1221"/>
      <c r="BLF27" s="1221"/>
      <c r="BLG27" s="1221"/>
      <c r="BLH27" s="1221"/>
      <c r="BLI27" s="1221"/>
      <c r="BLJ27" s="1221"/>
      <c r="BLK27" s="1221"/>
      <c r="BLL27" s="1221"/>
      <c r="BLM27" s="1221"/>
      <c r="BLN27" s="1221"/>
      <c r="BLO27" s="1221"/>
      <c r="BLP27" s="1221"/>
      <c r="BLQ27" s="1221"/>
      <c r="BLR27" s="1221"/>
      <c r="BLS27" s="1221"/>
      <c r="BLT27" s="1221"/>
      <c r="BLU27" s="1221"/>
      <c r="BLV27" s="1221"/>
      <c r="BLW27" s="1221"/>
      <c r="BLX27" s="1221"/>
      <c r="BLY27" s="1221"/>
      <c r="BLZ27" s="1221"/>
      <c r="BMA27" s="1221"/>
      <c r="BMB27" s="1221"/>
      <c r="BMC27" s="1221"/>
      <c r="BMD27" s="1221"/>
      <c r="BME27" s="1221"/>
      <c r="BMF27" s="1221"/>
      <c r="BMG27" s="1221"/>
      <c r="BMH27" s="1221"/>
      <c r="BMI27" s="1221"/>
      <c r="BMJ27" s="1221"/>
      <c r="BMK27" s="1221"/>
      <c r="BML27" s="1221"/>
      <c r="BMM27" s="1221"/>
      <c r="BMN27" s="1221"/>
      <c r="BMO27" s="1221"/>
      <c r="BMP27" s="1221"/>
      <c r="BMQ27" s="1221"/>
      <c r="BMR27" s="1221"/>
      <c r="BMS27" s="1221"/>
      <c r="BMT27" s="1221"/>
      <c r="BMU27" s="1221"/>
      <c r="BMV27" s="1221"/>
      <c r="BMW27" s="1221"/>
      <c r="BMX27" s="1221"/>
      <c r="BMY27" s="1221"/>
      <c r="BMZ27" s="1221"/>
      <c r="BNA27" s="1221"/>
      <c r="BNB27" s="1221"/>
      <c r="BNC27" s="1221"/>
      <c r="BND27" s="1221"/>
      <c r="BNE27" s="1221"/>
      <c r="BNF27" s="1221"/>
      <c r="BNG27" s="1221"/>
      <c r="BNH27" s="1221"/>
      <c r="BNI27" s="1221"/>
      <c r="BNJ27" s="1221"/>
      <c r="BNK27" s="1221"/>
      <c r="BNL27" s="1221"/>
      <c r="BNM27" s="1221"/>
      <c r="BNN27" s="1221"/>
      <c r="BNO27" s="1221"/>
      <c r="BNP27" s="1221"/>
      <c r="BNQ27" s="1221"/>
      <c r="BNR27" s="1221"/>
      <c r="BNS27" s="1221"/>
      <c r="BNT27" s="1221"/>
      <c r="BNU27" s="1221"/>
      <c r="BNV27" s="1221"/>
      <c r="BNW27" s="1221"/>
      <c r="BNX27" s="1221"/>
      <c r="BNY27" s="1221"/>
      <c r="BNZ27" s="1221"/>
      <c r="BOA27" s="1221"/>
      <c r="BOB27" s="1221"/>
      <c r="BOC27" s="1221"/>
      <c r="BOD27" s="1221"/>
      <c r="BOE27" s="1221"/>
      <c r="BOF27" s="1221"/>
      <c r="BOG27" s="1221"/>
      <c r="BOH27" s="1221"/>
      <c r="BOI27" s="1221"/>
      <c r="BOJ27" s="1221"/>
      <c r="BOK27" s="1221"/>
      <c r="BOL27" s="1221"/>
      <c r="BOM27" s="1221"/>
      <c r="BON27" s="1221"/>
      <c r="BOO27" s="1221"/>
      <c r="BOP27" s="1221"/>
      <c r="BOQ27" s="1221"/>
      <c r="BOR27" s="1221"/>
      <c r="BOS27" s="1221"/>
      <c r="BOT27" s="1221"/>
      <c r="BOU27" s="1221"/>
      <c r="BOV27" s="1221"/>
      <c r="BOW27" s="1221"/>
      <c r="BOX27" s="1221"/>
      <c r="BOY27" s="1221"/>
      <c r="BOZ27" s="1221"/>
      <c r="BPA27" s="1221"/>
      <c r="BPB27" s="1221"/>
      <c r="BPC27" s="1221"/>
      <c r="BPD27" s="1221"/>
      <c r="BPE27" s="1221"/>
      <c r="BPF27" s="1221"/>
      <c r="BPG27" s="1221"/>
      <c r="BPH27" s="1221"/>
      <c r="BPI27" s="1221"/>
      <c r="BPJ27" s="1221"/>
      <c r="BPK27" s="1221"/>
      <c r="BPL27" s="1221"/>
      <c r="BPM27" s="1221"/>
      <c r="BPN27" s="1221"/>
      <c r="BPO27" s="1221"/>
      <c r="BPP27" s="1221"/>
      <c r="BPQ27" s="1221"/>
      <c r="BPR27" s="1221"/>
      <c r="BPS27" s="1221"/>
      <c r="BPT27" s="1221"/>
      <c r="BPU27" s="1221"/>
      <c r="BPV27" s="1221"/>
      <c r="BPW27" s="1221"/>
      <c r="BPX27" s="1221"/>
      <c r="BPY27" s="1221"/>
      <c r="BPZ27" s="1221"/>
      <c r="BQA27" s="1221"/>
      <c r="BQB27" s="1221"/>
      <c r="BQC27" s="1221"/>
      <c r="BQD27" s="1221"/>
      <c r="BQE27" s="1221"/>
      <c r="BQF27" s="1221"/>
      <c r="BQG27" s="1221"/>
      <c r="BQH27" s="1221"/>
      <c r="BQI27" s="1221"/>
      <c r="BQJ27" s="1221"/>
      <c r="BQK27" s="1221"/>
      <c r="BQL27" s="1221"/>
      <c r="BQM27" s="1221"/>
      <c r="BQN27" s="1221"/>
      <c r="BQO27" s="1221"/>
      <c r="BQP27" s="1221"/>
      <c r="BQQ27" s="1221"/>
      <c r="BQR27" s="1221"/>
      <c r="BQS27" s="1221"/>
      <c r="BQT27" s="1221"/>
      <c r="BQU27" s="1221"/>
      <c r="BQV27" s="1221"/>
      <c r="BQW27" s="1221"/>
      <c r="BQX27" s="1221"/>
      <c r="BQY27" s="1221"/>
      <c r="BQZ27" s="1221"/>
      <c r="BRA27" s="1221"/>
      <c r="BRB27" s="1221"/>
      <c r="BRC27" s="1221"/>
      <c r="BRD27" s="1221"/>
      <c r="BRE27" s="1221"/>
      <c r="BRF27" s="1221"/>
      <c r="BRG27" s="1221"/>
      <c r="BRH27" s="1221"/>
      <c r="BRI27" s="1221"/>
      <c r="BRJ27" s="1221"/>
      <c r="BRK27" s="1221"/>
      <c r="BRL27" s="1221"/>
      <c r="BRM27" s="1221"/>
      <c r="BRN27" s="1221"/>
      <c r="BRO27" s="1221"/>
      <c r="BRP27" s="1221"/>
      <c r="BRQ27" s="1221"/>
      <c r="BRR27" s="1221"/>
      <c r="BRS27" s="1221"/>
      <c r="BRT27" s="1221"/>
      <c r="BRU27" s="1221"/>
      <c r="BRV27" s="1221"/>
      <c r="BRW27" s="1221"/>
      <c r="BRX27" s="1221"/>
      <c r="BRY27" s="1221"/>
      <c r="BRZ27" s="1221"/>
      <c r="BSA27" s="1221"/>
      <c r="BSB27" s="1221"/>
      <c r="BSC27" s="1221"/>
      <c r="BSD27" s="1221"/>
      <c r="BSE27" s="1221"/>
      <c r="BSF27" s="1221"/>
      <c r="BSG27" s="1221"/>
      <c r="BSH27" s="1221"/>
      <c r="BSI27" s="1221"/>
      <c r="BSJ27" s="1221"/>
      <c r="BSK27" s="1221"/>
      <c r="BSL27" s="1221"/>
      <c r="BSM27" s="1221"/>
      <c r="BSN27" s="1221"/>
      <c r="BSO27" s="1221"/>
      <c r="BSP27" s="1221"/>
      <c r="BSQ27" s="1221"/>
      <c r="BSR27" s="1221"/>
      <c r="BSS27" s="1221"/>
      <c r="BST27" s="1221"/>
      <c r="BSU27" s="1221"/>
      <c r="BSV27" s="1221"/>
      <c r="BSW27" s="1221"/>
      <c r="BSX27" s="1221"/>
      <c r="BSY27" s="1221"/>
      <c r="BSZ27" s="1221"/>
      <c r="BTA27" s="1221"/>
      <c r="BTB27" s="1221"/>
      <c r="BTC27" s="1221"/>
      <c r="BTD27" s="1221"/>
      <c r="BTE27" s="1221"/>
      <c r="BTF27" s="1221"/>
      <c r="BTG27" s="1221"/>
      <c r="BTH27" s="1221"/>
      <c r="BTI27" s="1221"/>
      <c r="BTJ27" s="1221"/>
      <c r="BTK27" s="1221"/>
      <c r="BTL27" s="1221"/>
      <c r="BTM27" s="1221"/>
      <c r="BTN27" s="1221"/>
      <c r="BTO27" s="1221"/>
      <c r="BTP27" s="1221"/>
      <c r="BTQ27" s="1221"/>
      <c r="BTR27" s="1221"/>
      <c r="BTS27" s="1221"/>
      <c r="BTT27" s="1221"/>
      <c r="BTU27" s="1221"/>
      <c r="BTV27" s="1221"/>
      <c r="BTW27" s="1221"/>
      <c r="BTX27" s="1221"/>
      <c r="BTY27" s="1221"/>
      <c r="BTZ27" s="1221"/>
      <c r="BUA27" s="1221"/>
      <c r="BUB27" s="1221"/>
      <c r="BUC27" s="1221"/>
      <c r="BUD27" s="1221"/>
      <c r="BUE27" s="1221"/>
      <c r="BUF27" s="1221"/>
      <c r="BUG27" s="1221"/>
      <c r="BUH27" s="1221"/>
      <c r="BUI27" s="1221"/>
      <c r="BUJ27" s="1221"/>
      <c r="BUK27" s="1221"/>
      <c r="BUL27" s="1221"/>
      <c r="BUM27" s="1221"/>
      <c r="BUN27" s="1221"/>
      <c r="BUO27" s="1221"/>
      <c r="BUP27" s="1221"/>
      <c r="BUQ27" s="1221"/>
      <c r="BUR27" s="1221"/>
      <c r="BUS27" s="1221"/>
      <c r="BUT27" s="1221"/>
      <c r="BUU27" s="1221"/>
      <c r="BUV27" s="1221"/>
      <c r="BUW27" s="1221"/>
      <c r="BUX27" s="1221"/>
      <c r="BUY27" s="1221"/>
      <c r="BUZ27" s="1221"/>
      <c r="BVA27" s="1221"/>
      <c r="BVB27" s="1221"/>
      <c r="BVC27" s="1221"/>
      <c r="BVD27" s="1221"/>
      <c r="BVE27" s="1221"/>
      <c r="BVF27" s="1221"/>
      <c r="BVG27" s="1221"/>
      <c r="BVH27" s="1221"/>
      <c r="BVI27" s="1221"/>
      <c r="BVJ27" s="1221"/>
      <c r="BVK27" s="1221"/>
      <c r="BVL27" s="1221"/>
      <c r="BVM27" s="1221"/>
      <c r="BVN27" s="1221"/>
      <c r="BVO27" s="1221"/>
      <c r="BVP27" s="1221"/>
      <c r="BVQ27" s="1221"/>
      <c r="BVR27" s="1221"/>
      <c r="BVS27" s="1221"/>
      <c r="BVT27" s="1221"/>
      <c r="BVU27" s="1221"/>
      <c r="BVV27" s="1221"/>
      <c r="BVW27" s="1221"/>
      <c r="BVX27" s="1221"/>
      <c r="BVY27" s="1221"/>
      <c r="BVZ27" s="1221"/>
      <c r="BWA27" s="1221"/>
      <c r="BWB27" s="1221"/>
      <c r="BWC27" s="1221"/>
      <c r="BWD27" s="1221"/>
      <c r="BWE27" s="1221"/>
      <c r="BWF27" s="1221"/>
      <c r="BWG27" s="1221"/>
      <c r="BWH27" s="1221"/>
      <c r="BWI27" s="1221"/>
      <c r="BWJ27" s="1221"/>
      <c r="BWK27" s="1221"/>
      <c r="BWL27" s="1221"/>
      <c r="BWM27" s="1221"/>
      <c r="BWN27" s="1221"/>
      <c r="BWO27" s="1221"/>
      <c r="BWP27" s="1221"/>
      <c r="BWQ27" s="1221"/>
      <c r="BWR27" s="1221"/>
      <c r="BWS27" s="1221"/>
      <c r="BWT27" s="1221"/>
      <c r="BWU27" s="1221"/>
      <c r="BWV27" s="1221"/>
      <c r="BWW27" s="1221"/>
      <c r="BWX27" s="1221"/>
      <c r="BWY27" s="1221"/>
      <c r="BWZ27" s="1221"/>
      <c r="BXA27" s="1221"/>
      <c r="BXB27" s="1221"/>
      <c r="BXC27" s="1221"/>
      <c r="BXD27" s="1221"/>
      <c r="BXE27" s="1221"/>
      <c r="BXF27" s="1221"/>
      <c r="BXG27" s="1221"/>
      <c r="BXH27" s="1221"/>
      <c r="BXI27" s="1221"/>
      <c r="BXJ27" s="1221"/>
      <c r="BXK27" s="1221"/>
      <c r="BXL27" s="1221"/>
      <c r="BXM27" s="1221"/>
      <c r="BXN27" s="1221"/>
      <c r="BXO27" s="1221"/>
      <c r="BXP27" s="1221"/>
      <c r="BXQ27" s="1221"/>
      <c r="BXR27" s="1221"/>
      <c r="BXS27" s="1221"/>
      <c r="BXT27" s="1221"/>
      <c r="BXU27" s="1221"/>
      <c r="BXV27" s="1221"/>
      <c r="BXW27" s="1221"/>
      <c r="BXX27" s="1221"/>
      <c r="BXY27" s="1221"/>
      <c r="BXZ27" s="1221"/>
      <c r="BYA27" s="1221"/>
      <c r="BYB27" s="1221"/>
      <c r="BYC27" s="1221"/>
      <c r="BYD27" s="1221"/>
      <c r="BYE27" s="1221"/>
      <c r="BYF27" s="1221"/>
      <c r="BYG27" s="1221"/>
      <c r="BYH27" s="1221"/>
      <c r="BYI27" s="1221"/>
      <c r="BYJ27" s="1221"/>
      <c r="BYK27" s="1221"/>
      <c r="BYL27" s="1221"/>
      <c r="BYM27" s="1221"/>
      <c r="BYN27" s="1221"/>
      <c r="BYO27" s="1221"/>
      <c r="BYP27" s="1221"/>
      <c r="BYQ27" s="1221"/>
      <c r="BYR27" s="1221"/>
      <c r="BYS27" s="1221"/>
      <c r="BYT27" s="1221"/>
      <c r="BYU27" s="1221"/>
      <c r="BYV27" s="1221"/>
      <c r="BYW27" s="1221"/>
      <c r="BYX27" s="1221"/>
      <c r="BYY27" s="1221"/>
      <c r="BYZ27" s="1221"/>
      <c r="BZA27" s="1221"/>
      <c r="BZB27" s="1221"/>
      <c r="BZC27" s="1221"/>
      <c r="BZD27" s="1221"/>
      <c r="BZE27" s="1221"/>
      <c r="BZF27" s="1221"/>
      <c r="BZG27" s="1221"/>
      <c r="BZH27" s="1221"/>
      <c r="BZI27" s="1221"/>
      <c r="BZJ27" s="1221"/>
      <c r="BZK27" s="1221"/>
      <c r="BZL27" s="1221"/>
      <c r="BZM27" s="1221"/>
      <c r="BZN27" s="1221"/>
      <c r="BZO27" s="1221"/>
      <c r="BZP27" s="1221"/>
      <c r="BZQ27" s="1221"/>
      <c r="BZR27" s="1221"/>
      <c r="BZS27" s="1221"/>
      <c r="BZT27" s="1221"/>
      <c r="BZU27" s="1221"/>
      <c r="BZV27" s="1221"/>
      <c r="BZW27" s="1221"/>
      <c r="BZX27" s="1221"/>
      <c r="BZY27" s="1221"/>
      <c r="BZZ27" s="1221"/>
      <c r="CAA27" s="1221"/>
      <c r="CAB27" s="1221"/>
      <c r="CAC27" s="1221"/>
      <c r="CAD27" s="1221"/>
      <c r="CAE27" s="1221"/>
      <c r="CAF27" s="1221"/>
      <c r="CAG27" s="1221"/>
      <c r="CAH27" s="1221"/>
      <c r="CAI27" s="1221"/>
      <c r="CAJ27" s="1221"/>
      <c r="CAK27" s="1221"/>
      <c r="CAL27" s="1221"/>
      <c r="CAM27" s="1221"/>
      <c r="CAN27" s="1221"/>
      <c r="CAO27" s="1221"/>
      <c r="CAP27" s="1221"/>
      <c r="CAQ27" s="1221"/>
      <c r="CAR27" s="1221"/>
      <c r="CAS27" s="1221"/>
      <c r="CAT27" s="1221"/>
      <c r="CAU27" s="1221"/>
      <c r="CAV27" s="1221"/>
      <c r="CAW27" s="1221"/>
      <c r="CAX27" s="1221"/>
      <c r="CAY27" s="1221"/>
      <c r="CAZ27" s="1221"/>
      <c r="CBA27" s="1221"/>
      <c r="CBB27" s="1221"/>
      <c r="CBC27" s="1221"/>
      <c r="CBD27" s="1221"/>
      <c r="CBE27" s="1221"/>
      <c r="CBF27" s="1221"/>
      <c r="CBG27" s="1221"/>
      <c r="CBH27" s="1221"/>
      <c r="CBI27" s="1221"/>
      <c r="CBJ27" s="1221"/>
      <c r="CBK27" s="1221"/>
      <c r="CBL27" s="1221"/>
      <c r="CBM27" s="1221"/>
      <c r="CBN27" s="1221"/>
      <c r="CBO27" s="1221"/>
      <c r="CBP27" s="1221"/>
      <c r="CBQ27" s="1221"/>
      <c r="CBR27" s="1221"/>
      <c r="CBS27" s="1221"/>
      <c r="CBT27" s="1221"/>
      <c r="CBU27" s="1221"/>
      <c r="CBV27" s="1221"/>
      <c r="CBW27" s="1221"/>
      <c r="CBX27" s="1221"/>
      <c r="CBY27" s="1221"/>
      <c r="CBZ27" s="1221"/>
      <c r="CCA27" s="1221"/>
      <c r="CCB27" s="1221"/>
      <c r="CCC27" s="1221"/>
      <c r="CCD27" s="1221"/>
      <c r="CCE27" s="1221"/>
      <c r="CCF27" s="1221"/>
      <c r="CCG27" s="1221"/>
      <c r="CCH27" s="1221"/>
      <c r="CCI27" s="1221"/>
      <c r="CCJ27" s="1221"/>
      <c r="CCK27" s="1221"/>
      <c r="CCL27" s="1221"/>
      <c r="CCM27" s="1221"/>
      <c r="CCN27" s="1221"/>
      <c r="CCO27" s="1221"/>
      <c r="CCP27" s="1221"/>
      <c r="CCQ27" s="1221"/>
      <c r="CCR27" s="1221"/>
      <c r="CCS27" s="1221"/>
      <c r="CCT27" s="1221"/>
      <c r="CCU27" s="1221"/>
      <c r="CCV27" s="1221"/>
      <c r="CCW27" s="1221"/>
      <c r="CCX27" s="1221"/>
      <c r="CCY27" s="1221"/>
      <c r="CCZ27" s="1221"/>
      <c r="CDA27" s="1221"/>
      <c r="CDB27" s="1221"/>
      <c r="CDC27" s="1221"/>
      <c r="CDD27" s="1221"/>
      <c r="CDE27" s="1221"/>
      <c r="CDF27" s="1221"/>
      <c r="CDG27" s="1221"/>
      <c r="CDH27" s="1221"/>
      <c r="CDI27" s="1221"/>
      <c r="CDJ27" s="1221"/>
      <c r="CDK27" s="1221"/>
      <c r="CDL27" s="1221"/>
      <c r="CDM27" s="1221"/>
      <c r="CDN27" s="1221"/>
      <c r="CDO27" s="1221"/>
      <c r="CDP27" s="1221"/>
      <c r="CDQ27" s="1221"/>
      <c r="CDR27" s="1221"/>
      <c r="CDS27" s="1221"/>
      <c r="CDT27" s="1221"/>
      <c r="CDU27" s="1221"/>
      <c r="CDV27" s="1221"/>
      <c r="CDW27" s="1221"/>
      <c r="CDX27" s="1221"/>
      <c r="CDY27" s="1221"/>
      <c r="CDZ27" s="1221"/>
      <c r="CEA27" s="1221"/>
      <c r="CEB27" s="1221"/>
      <c r="CEC27" s="1221"/>
      <c r="CED27" s="1221"/>
      <c r="CEE27" s="1221"/>
      <c r="CEF27" s="1221"/>
      <c r="CEG27" s="1221"/>
      <c r="CEH27" s="1221"/>
      <c r="CEI27" s="1221"/>
      <c r="CEJ27" s="1221"/>
      <c r="CEK27" s="1221"/>
      <c r="CEL27" s="1221"/>
      <c r="CEM27" s="1221"/>
      <c r="CEN27" s="1221"/>
      <c r="CEO27" s="1221"/>
      <c r="CEP27" s="1221"/>
      <c r="CEQ27" s="1221"/>
      <c r="CER27" s="1221"/>
      <c r="CES27" s="1221"/>
      <c r="CET27" s="1221"/>
      <c r="CEU27" s="1221"/>
      <c r="CEV27" s="1221"/>
      <c r="CEW27" s="1221"/>
      <c r="CEX27" s="1221"/>
      <c r="CEY27" s="1221"/>
      <c r="CEZ27" s="1221"/>
      <c r="CFA27" s="1221"/>
      <c r="CFB27" s="1221"/>
      <c r="CFC27" s="1221"/>
      <c r="CFD27" s="1221"/>
      <c r="CFE27" s="1221"/>
      <c r="CFF27" s="1221"/>
      <c r="CFG27" s="1221"/>
      <c r="CFH27" s="1221"/>
      <c r="CFI27" s="1221"/>
      <c r="CFJ27" s="1221"/>
      <c r="CFK27" s="1221"/>
      <c r="CFL27" s="1221"/>
      <c r="CFM27" s="1221"/>
      <c r="CFN27" s="1221"/>
      <c r="CFO27" s="1221"/>
      <c r="CFP27" s="1221"/>
      <c r="CFQ27" s="1221"/>
      <c r="CFR27" s="1221"/>
      <c r="CFS27" s="1221"/>
      <c r="CFT27" s="1221"/>
      <c r="CFU27" s="1221"/>
      <c r="CFV27" s="1221"/>
      <c r="CFW27" s="1221"/>
      <c r="CFX27" s="1221"/>
      <c r="CFY27" s="1221"/>
      <c r="CFZ27" s="1221"/>
      <c r="CGA27" s="1221"/>
      <c r="CGB27" s="1221"/>
      <c r="CGC27" s="1221"/>
      <c r="CGD27" s="1221"/>
      <c r="CGE27" s="1221"/>
      <c r="CGF27" s="1221"/>
      <c r="CGG27" s="1221"/>
      <c r="CGH27" s="1221"/>
      <c r="CGI27" s="1221"/>
      <c r="CGJ27" s="1221"/>
      <c r="CGK27" s="1221"/>
      <c r="CGL27" s="1221"/>
      <c r="CGM27" s="1221"/>
      <c r="CGN27" s="1221"/>
      <c r="CGO27" s="1221"/>
      <c r="CGP27" s="1221"/>
      <c r="CGQ27" s="1221"/>
      <c r="CGR27" s="1221"/>
      <c r="CGS27" s="1221"/>
      <c r="CGT27" s="1221"/>
      <c r="CGU27" s="1221"/>
      <c r="CGV27" s="1221"/>
      <c r="CGW27" s="1221"/>
      <c r="CGX27" s="1221"/>
      <c r="CGY27" s="1221"/>
      <c r="CGZ27" s="1221"/>
      <c r="CHA27" s="1221"/>
      <c r="CHB27" s="1221"/>
      <c r="CHC27" s="1221"/>
      <c r="CHD27" s="1221"/>
      <c r="CHE27" s="1221"/>
      <c r="CHF27" s="1221"/>
      <c r="CHG27" s="1221"/>
      <c r="CHH27" s="1221"/>
      <c r="CHI27" s="1221"/>
      <c r="CHJ27" s="1221"/>
      <c r="CHK27" s="1221"/>
      <c r="CHL27" s="1221"/>
      <c r="CHM27" s="1221"/>
      <c r="CHN27" s="1221"/>
      <c r="CHO27" s="1221"/>
      <c r="CHP27" s="1221"/>
      <c r="CHQ27" s="1221"/>
      <c r="CHR27" s="1221"/>
      <c r="CHS27" s="1221"/>
      <c r="CHT27" s="1221"/>
      <c r="CHU27" s="1221"/>
      <c r="CHV27" s="1221"/>
      <c r="CHW27" s="1221"/>
      <c r="CHX27" s="1221"/>
      <c r="CHY27" s="1221"/>
      <c r="CHZ27" s="1221"/>
      <c r="CIA27" s="1221"/>
      <c r="CIB27" s="1221"/>
      <c r="CIC27" s="1221"/>
      <c r="CID27" s="1221"/>
      <c r="CIE27" s="1221"/>
      <c r="CIF27" s="1221"/>
      <c r="CIG27" s="1221"/>
      <c r="CIH27" s="1221"/>
      <c r="CII27" s="1221"/>
      <c r="CIJ27" s="1221"/>
      <c r="CIK27" s="1221"/>
      <c r="CIL27" s="1221"/>
      <c r="CIM27" s="1221"/>
      <c r="CIN27" s="1221"/>
      <c r="CIO27" s="1221"/>
      <c r="CIP27" s="1221"/>
      <c r="CIQ27" s="1221"/>
      <c r="CIR27" s="1221"/>
      <c r="CIS27" s="1221"/>
      <c r="CIT27" s="1221"/>
      <c r="CIU27" s="1221"/>
      <c r="CIV27" s="1221"/>
      <c r="CIW27" s="1221"/>
      <c r="CIX27" s="1221"/>
      <c r="CIY27" s="1221"/>
      <c r="CIZ27" s="1221"/>
      <c r="CJA27" s="1221"/>
      <c r="CJB27" s="1221"/>
      <c r="CJC27" s="1221"/>
      <c r="CJD27" s="1221"/>
      <c r="CJE27" s="1221"/>
      <c r="CJF27" s="1221"/>
      <c r="CJG27" s="1221"/>
      <c r="CJH27" s="1221"/>
      <c r="CJI27" s="1221"/>
      <c r="CJJ27" s="1221"/>
      <c r="CJK27" s="1221"/>
      <c r="CJL27" s="1221"/>
      <c r="CJM27" s="1221"/>
      <c r="CJN27" s="1221"/>
      <c r="CJO27" s="1221"/>
      <c r="CJP27" s="1221"/>
      <c r="CJQ27" s="1221"/>
      <c r="CJR27" s="1221"/>
      <c r="CJS27" s="1221"/>
      <c r="CJT27" s="1221"/>
      <c r="CJU27" s="1221"/>
      <c r="CJV27" s="1221"/>
      <c r="CJW27" s="1221"/>
      <c r="CJX27" s="1221"/>
      <c r="CJY27" s="1221"/>
      <c r="CJZ27" s="1221"/>
      <c r="CKA27" s="1221"/>
      <c r="CKB27" s="1221"/>
      <c r="CKC27" s="1221"/>
      <c r="CKD27" s="1221"/>
      <c r="CKE27" s="1221"/>
      <c r="CKF27" s="1221"/>
      <c r="CKG27" s="1221"/>
      <c r="CKH27" s="1221"/>
      <c r="CKI27" s="1221"/>
      <c r="CKJ27" s="1221"/>
      <c r="CKK27" s="1221"/>
      <c r="CKL27" s="1221"/>
      <c r="CKM27" s="1221"/>
      <c r="CKN27" s="1221"/>
      <c r="CKO27" s="1221"/>
      <c r="CKP27" s="1221"/>
      <c r="CKQ27" s="1221"/>
      <c r="CKR27" s="1221"/>
      <c r="CKS27" s="1221"/>
      <c r="CKT27" s="1221"/>
      <c r="CKU27" s="1221"/>
      <c r="CKV27" s="1221"/>
      <c r="CKW27" s="1221"/>
      <c r="CKX27" s="1221"/>
      <c r="CKY27" s="1221"/>
      <c r="CKZ27" s="1221"/>
      <c r="CLA27" s="1221"/>
      <c r="CLB27" s="1221"/>
      <c r="CLC27" s="1221"/>
      <c r="CLD27" s="1221"/>
      <c r="CLE27" s="1221"/>
      <c r="CLF27" s="1221"/>
      <c r="CLG27" s="1221"/>
      <c r="CLH27" s="1221"/>
      <c r="CLI27" s="1221"/>
      <c r="CLJ27" s="1221"/>
      <c r="CLK27" s="1221"/>
      <c r="CLL27" s="1221"/>
      <c r="CLM27" s="1221"/>
      <c r="CLN27" s="1221"/>
      <c r="CLO27" s="1221"/>
      <c r="CLP27" s="1221"/>
      <c r="CLQ27" s="1221"/>
      <c r="CLR27" s="1221"/>
      <c r="CLS27" s="1221"/>
      <c r="CLT27" s="1221"/>
      <c r="CLU27" s="1221"/>
      <c r="CLV27" s="1221"/>
      <c r="CLW27" s="1221"/>
      <c r="CLX27" s="1221"/>
      <c r="CLY27" s="1221"/>
      <c r="CLZ27" s="1221"/>
      <c r="CMA27" s="1221"/>
      <c r="CMB27" s="1221"/>
      <c r="CMC27" s="1221"/>
      <c r="CMD27" s="1221"/>
      <c r="CME27" s="1221"/>
      <c r="CMF27" s="1221"/>
      <c r="CMG27" s="1221"/>
      <c r="CMH27" s="1221"/>
      <c r="CMI27" s="1221"/>
      <c r="CMJ27" s="1221"/>
      <c r="CMK27" s="1221"/>
      <c r="CML27" s="1221"/>
      <c r="CMM27" s="1221"/>
      <c r="CMN27" s="1221"/>
      <c r="CMO27" s="1221"/>
      <c r="CMP27" s="1221"/>
      <c r="CMQ27" s="1221"/>
      <c r="CMR27" s="1221"/>
      <c r="CMS27" s="1221"/>
      <c r="CMT27" s="1221"/>
      <c r="CMU27" s="1221"/>
      <c r="CMV27" s="1221"/>
      <c r="CMW27" s="1221"/>
      <c r="CMX27" s="1221"/>
      <c r="CMY27" s="1221"/>
      <c r="CMZ27" s="1221"/>
      <c r="CNA27" s="1221"/>
      <c r="CNB27" s="1221"/>
      <c r="CNC27" s="1221"/>
      <c r="CND27" s="1221"/>
      <c r="CNE27" s="1221"/>
      <c r="CNF27" s="1221"/>
      <c r="CNG27" s="1221"/>
      <c r="CNH27" s="1221"/>
      <c r="CNI27" s="1221"/>
      <c r="CNJ27" s="1221"/>
      <c r="CNK27" s="1221"/>
      <c r="CNL27" s="1221"/>
      <c r="CNM27" s="1221"/>
      <c r="CNN27" s="1221"/>
      <c r="CNO27" s="1221"/>
      <c r="CNP27" s="1221"/>
      <c r="CNQ27" s="1221"/>
      <c r="CNR27" s="1221"/>
      <c r="CNS27" s="1221"/>
      <c r="CNT27" s="1221"/>
      <c r="CNU27" s="1221"/>
      <c r="CNV27" s="1221"/>
      <c r="CNW27" s="1221"/>
      <c r="CNX27" s="1221"/>
      <c r="CNY27" s="1221"/>
      <c r="CNZ27" s="1221"/>
      <c r="COA27" s="1221"/>
      <c r="COB27" s="1221"/>
      <c r="COC27" s="1221"/>
      <c r="COD27" s="1221"/>
      <c r="COE27" s="1221"/>
      <c r="COF27" s="1221"/>
      <c r="COG27" s="1221"/>
      <c r="COH27" s="1221"/>
      <c r="COI27" s="1221"/>
      <c r="COJ27" s="1221"/>
      <c r="COK27" s="1221"/>
      <c r="COL27" s="1221"/>
      <c r="COM27" s="1221"/>
      <c r="CON27" s="1221"/>
      <c r="COO27" s="1221"/>
      <c r="COP27" s="1221"/>
      <c r="COQ27" s="1221"/>
      <c r="COR27" s="1221"/>
      <c r="COS27" s="1221"/>
      <c r="COT27" s="1221"/>
      <c r="COU27" s="1221"/>
      <c r="COV27" s="1221"/>
      <c r="COW27" s="1221"/>
      <c r="COX27" s="1221"/>
      <c r="COY27" s="1221"/>
      <c r="COZ27" s="1221"/>
      <c r="CPA27" s="1221"/>
      <c r="CPB27" s="1221"/>
      <c r="CPC27" s="1221"/>
      <c r="CPD27" s="1221"/>
      <c r="CPE27" s="1221"/>
      <c r="CPF27" s="1221"/>
      <c r="CPG27" s="1221"/>
      <c r="CPH27" s="1221"/>
      <c r="CPI27" s="1221"/>
      <c r="CPJ27" s="1221"/>
      <c r="CPK27" s="1221"/>
      <c r="CPL27" s="1221"/>
      <c r="CPM27" s="1221"/>
      <c r="CPN27" s="1221"/>
      <c r="CPO27" s="1221"/>
      <c r="CPP27" s="1221"/>
      <c r="CPQ27" s="1221"/>
      <c r="CPR27" s="1221"/>
      <c r="CPS27" s="1221"/>
      <c r="CPT27" s="1221"/>
      <c r="CPU27" s="1221"/>
      <c r="CPV27" s="1221"/>
      <c r="CPW27" s="1221"/>
      <c r="CPX27" s="1221"/>
      <c r="CPY27" s="1221"/>
      <c r="CPZ27" s="1221"/>
      <c r="CQA27" s="1221"/>
      <c r="CQB27" s="1221"/>
      <c r="CQC27" s="1221"/>
      <c r="CQD27" s="1221"/>
      <c r="CQE27" s="1221"/>
      <c r="CQF27" s="1221"/>
      <c r="CQG27" s="1221"/>
      <c r="CQH27" s="1221"/>
      <c r="CQI27" s="1221"/>
      <c r="CQJ27" s="1221"/>
      <c r="CQK27" s="1221"/>
      <c r="CQL27" s="1221"/>
      <c r="CQM27" s="1221"/>
      <c r="CQN27" s="1221"/>
      <c r="CQO27" s="1221"/>
      <c r="CQP27" s="1221"/>
      <c r="CQQ27" s="1221"/>
      <c r="CQR27" s="1221"/>
      <c r="CQS27" s="1221"/>
      <c r="CQT27" s="1221"/>
      <c r="CQU27" s="1221"/>
      <c r="CQV27" s="1221"/>
      <c r="CQW27" s="1221"/>
      <c r="CQX27" s="1221"/>
      <c r="CQY27" s="1221"/>
      <c r="CQZ27" s="1221"/>
      <c r="CRA27" s="1221"/>
      <c r="CRB27" s="1221"/>
      <c r="CRC27" s="1221"/>
      <c r="CRD27" s="1221"/>
      <c r="CRE27" s="1221"/>
      <c r="CRF27" s="1221"/>
      <c r="CRG27" s="1221"/>
      <c r="CRH27" s="1221"/>
      <c r="CRI27" s="1221"/>
      <c r="CRJ27" s="1221"/>
      <c r="CRK27" s="1221"/>
      <c r="CRL27" s="1221"/>
      <c r="CRM27" s="1221"/>
      <c r="CRN27" s="1221"/>
      <c r="CRO27" s="1221"/>
      <c r="CRP27" s="1221"/>
      <c r="CRQ27" s="1221"/>
      <c r="CRR27" s="1221"/>
      <c r="CRS27" s="1221"/>
      <c r="CRT27" s="1221"/>
      <c r="CRU27" s="1221"/>
      <c r="CRV27" s="1221"/>
      <c r="CRW27" s="1221"/>
      <c r="CRX27" s="1221"/>
      <c r="CRY27" s="1221"/>
      <c r="CRZ27" s="1221"/>
      <c r="CSA27" s="1221"/>
      <c r="CSB27" s="1221"/>
      <c r="CSC27" s="1221"/>
      <c r="CSD27" s="1221"/>
      <c r="CSE27" s="1221"/>
      <c r="CSF27" s="1221"/>
      <c r="CSG27" s="1221"/>
      <c r="CSH27" s="1221"/>
      <c r="CSI27" s="1221"/>
      <c r="CSJ27" s="1221"/>
      <c r="CSK27" s="1221"/>
      <c r="CSL27" s="1221"/>
      <c r="CSM27" s="1221"/>
      <c r="CSN27" s="1221"/>
      <c r="CSO27" s="1221"/>
      <c r="CSP27" s="1221"/>
      <c r="CSQ27" s="1221"/>
      <c r="CSR27" s="1221"/>
      <c r="CSS27" s="1221"/>
      <c r="CST27" s="1221"/>
      <c r="CSU27" s="1221"/>
      <c r="CSV27" s="1221"/>
      <c r="CSW27" s="1221"/>
      <c r="CSX27" s="1221"/>
      <c r="CSY27" s="1221"/>
      <c r="CSZ27" s="1221"/>
      <c r="CTA27" s="1221"/>
      <c r="CTB27" s="1221"/>
      <c r="CTC27" s="1221"/>
      <c r="CTD27" s="1221"/>
      <c r="CTE27" s="1221"/>
      <c r="CTF27" s="1221"/>
      <c r="CTG27" s="1221"/>
      <c r="CTH27" s="1221"/>
      <c r="CTI27" s="1221"/>
      <c r="CTJ27" s="1221"/>
      <c r="CTK27" s="1221"/>
      <c r="CTL27" s="1221"/>
      <c r="CTM27" s="1221"/>
      <c r="CTN27" s="1221"/>
      <c r="CTO27" s="1221"/>
      <c r="CTP27" s="1221"/>
      <c r="CTQ27" s="1221"/>
      <c r="CTR27" s="1221"/>
      <c r="CTS27" s="1221"/>
      <c r="CTT27" s="1221"/>
      <c r="CTU27" s="1221"/>
      <c r="CTV27" s="1221"/>
      <c r="CTW27" s="1221"/>
      <c r="CTX27" s="1221"/>
      <c r="CTY27" s="1221"/>
      <c r="CTZ27" s="1221"/>
      <c r="CUA27" s="1221"/>
      <c r="CUB27" s="1221"/>
      <c r="CUC27" s="1221"/>
      <c r="CUD27" s="1221"/>
      <c r="CUE27" s="1221"/>
      <c r="CUF27" s="1221"/>
      <c r="CUG27" s="1221"/>
      <c r="CUH27" s="1221"/>
      <c r="CUI27" s="1221"/>
      <c r="CUJ27" s="1221"/>
      <c r="CUK27" s="1221"/>
      <c r="CUL27" s="1221"/>
      <c r="CUM27" s="1221"/>
      <c r="CUN27" s="1221"/>
      <c r="CUO27" s="1221"/>
      <c r="CUP27" s="1221"/>
      <c r="CUQ27" s="1221"/>
      <c r="CUR27" s="1221"/>
      <c r="CUS27" s="1221"/>
      <c r="CUT27" s="1221"/>
      <c r="CUU27" s="1221"/>
      <c r="CUV27" s="1221"/>
      <c r="CUW27" s="1221"/>
      <c r="CUX27" s="1221"/>
      <c r="CUY27" s="1221"/>
      <c r="CUZ27" s="1221"/>
      <c r="CVA27" s="1221"/>
      <c r="CVB27" s="1221"/>
      <c r="CVC27" s="1221"/>
      <c r="CVD27" s="1221"/>
      <c r="CVE27" s="1221"/>
      <c r="CVF27" s="1221"/>
      <c r="CVG27" s="1221"/>
      <c r="CVH27" s="1221"/>
      <c r="CVI27" s="1221"/>
      <c r="CVJ27" s="1221"/>
      <c r="CVK27" s="1221"/>
      <c r="CVL27" s="1221"/>
      <c r="CVM27" s="1221"/>
      <c r="CVN27" s="1221"/>
      <c r="CVO27" s="1221"/>
      <c r="CVP27" s="1221"/>
      <c r="CVQ27" s="1221"/>
      <c r="CVR27" s="1221"/>
      <c r="CVS27" s="1221"/>
      <c r="CVT27" s="1221"/>
      <c r="CVU27" s="1221"/>
      <c r="CVV27" s="1221"/>
      <c r="CVW27" s="1221"/>
      <c r="CVX27" s="1221"/>
      <c r="CVY27" s="1221"/>
      <c r="CVZ27" s="1221"/>
      <c r="CWA27" s="1221"/>
      <c r="CWB27" s="1221"/>
      <c r="CWC27" s="1221"/>
      <c r="CWD27" s="1221"/>
      <c r="CWE27" s="1221"/>
      <c r="CWF27" s="1221"/>
      <c r="CWG27" s="1221"/>
      <c r="CWH27" s="1221"/>
      <c r="CWI27" s="1221"/>
      <c r="CWJ27" s="1221"/>
      <c r="CWK27" s="1221"/>
      <c r="CWL27" s="1221"/>
      <c r="CWM27" s="1221"/>
      <c r="CWN27" s="1221"/>
      <c r="CWO27" s="1221"/>
      <c r="CWP27" s="1221"/>
      <c r="CWQ27" s="1221"/>
      <c r="CWR27" s="1221"/>
      <c r="CWS27" s="1221"/>
      <c r="CWT27" s="1221"/>
      <c r="CWU27" s="1221"/>
      <c r="CWV27" s="1221"/>
      <c r="CWW27" s="1221"/>
      <c r="CWX27" s="1221"/>
      <c r="CWY27" s="1221"/>
      <c r="CWZ27" s="1221"/>
      <c r="CXA27" s="1221"/>
      <c r="CXB27" s="1221"/>
      <c r="CXC27" s="1221"/>
      <c r="CXD27" s="1221"/>
      <c r="CXE27" s="1221"/>
      <c r="CXF27" s="1221"/>
      <c r="CXG27" s="1221"/>
      <c r="CXH27" s="1221"/>
      <c r="CXI27" s="1221"/>
      <c r="CXJ27" s="1221"/>
      <c r="CXK27" s="1221"/>
      <c r="CXL27" s="1221"/>
      <c r="CXM27" s="1221"/>
      <c r="CXN27" s="1221"/>
      <c r="CXO27" s="1221"/>
      <c r="CXP27" s="1221"/>
      <c r="CXQ27" s="1221"/>
      <c r="CXR27" s="1221"/>
      <c r="CXS27" s="1221"/>
      <c r="CXT27" s="1221"/>
      <c r="CXU27" s="1221"/>
      <c r="CXV27" s="1221"/>
      <c r="CXW27" s="1221"/>
      <c r="CXX27" s="1221"/>
      <c r="CXY27" s="1221"/>
      <c r="CXZ27" s="1221"/>
      <c r="CYA27" s="1221"/>
      <c r="CYB27" s="1221"/>
      <c r="CYC27" s="1221"/>
      <c r="CYD27" s="1221"/>
      <c r="CYE27" s="1221"/>
      <c r="CYF27" s="1221"/>
      <c r="CYG27" s="1221"/>
      <c r="CYH27" s="1221"/>
      <c r="CYI27" s="1221"/>
      <c r="CYJ27" s="1221"/>
      <c r="CYK27" s="1221"/>
      <c r="CYL27" s="1221"/>
      <c r="CYM27" s="1221"/>
      <c r="CYN27" s="1221"/>
      <c r="CYO27" s="1221"/>
      <c r="CYP27" s="1221"/>
      <c r="CYQ27" s="1221"/>
      <c r="CYR27" s="1221"/>
      <c r="CYS27" s="1221"/>
      <c r="CYT27" s="1221"/>
      <c r="CYU27" s="1221"/>
      <c r="CYV27" s="1221"/>
      <c r="CYW27" s="1221"/>
      <c r="CYX27" s="1221"/>
      <c r="CYY27" s="1221"/>
      <c r="CYZ27" s="1221"/>
      <c r="CZA27" s="1221"/>
      <c r="CZB27" s="1221"/>
      <c r="CZC27" s="1221"/>
      <c r="CZD27" s="1221"/>
      <c r="CZE27" s="1221"/>
      <c r="CZF27" s="1221"/>
      <c r="CZG27" s="1221"/>
      <c r="CZH27" s="1221"/>
      <c r="CZI27" s="1221"/>
      <c r="CZJ27" s="1221"/>
      <c r="CZK27" s="1221"/>
      <c r="CZL27" s="1221"/>
      <c r="CZM27" s="1221"/>
      <c r="CZN27" s="1221"/>
      <c r="CZO27" s="1221"/>
      <c r="CZP27" s="1221"/>
      <c r="CZQ27" s="1221"/>
      <c r="CZR27" s="1221"/>
      <c r="CZS27" s="1221"/>
      <c r="CZT27" s="1221"/>
      <c r="CZU27" s="1221"/>
      <c r="CZV27" s="1221"/>
      <c r="CZW27" s="1221"/>
      <c r="CZX27" s="1221"/>
      <c r="CZY27" s="1221"/>
      <c r="CZZ27" s="1221"/>
      <c r="DAA27" s="1221"/>
      <c r="DAB27" s="1221"/>
      <c r="DAC27" s="1221"/>
      <c r="DAD27" s="1221"/>
      <c r="DAE27" s="1221"/>
      <c r="DAF27" s="1221"/>
      <c r="DAG27" s="1221"/>
      <c r="DAH27" s="1221"/>
      <c r="DAI27" s="1221"/>
      <c r="DAJ27" s="1221"/>
      <c r="DAK27" s="1221"/>
      <c r="DAL27" s="1221"/>
      <c r="DAM27" s="1221"/>
      <c r="DAN27" s="1221"/>
      <c r="DAO27" s="1221"/>
      <c r="DAP27" s="1221"/>
      <c r="DAQ27" s="1221"/>
      <c r="DAR27" s="1221"/>
      <c r="DAS27" s="1221"/>
      <c r="DAT27" s="1221"/>
      <c r="DAU27" s="1221"/>
      <c r="DAV27" s="1221"/>
      <c r="DAW27" s="1221"/>
      <c r="DAX27" s="1221"/>
      <c r="DAY27" s="1221"/>
      <c r="DAZ27" s="1221"/>
      <c r="DBA27" s="1221"/>
      <c r="DBB27" s="1221"/>
      <c r="DBC27" s="1221"/>
      <c r="DBD27" s="1221"/>
      <c r="DBE27" s="1221"/>
      <c r="DBF27" s="1221"/>
      <c r="DBG27" s="1221"/>
      <c r="DBH27" s="1221"/>
      <c r="DBI27" s="1221"/>
      <c r="DBJ27" s="1221"/>
      <c r="DBK27" s="1221"/>
      <c r="DBL27" s="1221"/>
      <c r="DBM27" s="1221"/>
      <c r="DBN27" s="1221"/>
      <c r="DBO27" s="1221"/>
      <c r="DBP27" s="1221"/>
      <c r="DBQ27" s="1221"/>
      <c r="DBR27" s="1221"/>
      <c r="DBS27" s="1221"/>
      <c r="DBT27" s="1221"/>
      <c r="DBU27" s="1221"/>
      <c r="DBV27" s="1221"/>
      <c r="DBW27" s="1221"/>
      <c r="DBX27" s="1221"/>
      <c r="DBY27" s="1221"/>
      <c r="DBZ27" s="1221"/>
      <c r="DCA27" s="1221"/>
      <c r="DCB27" s="1221"/>
      <c r="DCC27" s="1221"/>
      <c r="DCD27" s="1221"/>
      <c r="DCE27" s="1221"/>
      <c r="DCF27" s="1221"/>
      <c r="DCG27" s="1221"/>
      <c r="DCH27" s="1221"/>
      <c r="DCI27" s="1221"/>
      <c r="DCJ27" s="1221"/>
      <c r="DCK27" s="1221"/>
      <c r="DCL27" s="1221"/>
      <c r="DCM27" s="1221"/>
      <c r="DCN27" s="1221"/>
      <c r="DCO27" s="1221"/>
      <c r="DCP27" s="1221"/>
      <c r="DCQ27" s="1221"/>
      <c r="DCR27" s="1221"/>
      <c r="DCS27" s="1221"/>
      <c r="DCT27" s="1221"/>
      <c r="DCU27" s="1221"/>
      <c r="DCV27" s="1221"/>
      <c r="DCW27" s="1221"/>
      <c r="DCX27" s="1221"/>
      <c r="DCY27" s="1221"/>
      <c r="DCZ27" s="1221"/>
      <c r="DDA27" s="1221"/>
      <c r="DDB27" s="1221"/>
      <c r="DDC27" s="1221"/>
      <c r="DDD27" s="1221"/>
      <c r="DDE27" s="1221"/>
      <c r="DDF27" s="1221"/>
      <c r="DDG27" s="1221"/>
      <c r="DDH27" s="1221"/>
      <c r="DDI27" s="1221"/>
      <c r="DDJ27" s="1221"/>
      <c r="DDK27" s="1221"/>
      <c r="DDL27" s="1221"/>
      <c r="DDM27" s="1221"/>
      <c r="DDN27" s="1221"/>
      <c r="DDO27" s="1221"/>
      <c r="DDP27" s="1221"/>
      <c r="DDQ27" s="1221"/>
      <c r="DDR27" s="1221"/>
      <c r="DDS27" s="1221"/>
      <c r="DDT27" s="1221"/>
      <c r="DDU27" s="1221"/>
      <c r="DDV27" s="1221"/>
      <c r="DDW27" s="1221"/>
      <c r="DDX27" s="1221"/>
      <c r="DDY27" s="1221"/>
      <c r="DDZ27" s="1221"/>
      <c r="DEA27" s="1221"/>
      <c r="DEB27" s="1221"/>
      <c r="DEC27" s="1221"/>
      <c r="DED27" s="1221"/>
      <c r="DEE27" s="1221"/>
      <c r="DEF27" s="1221"/>
      <c r="DEG27" s="1221"/>
      <c r="DEH27" s="1221"/>
      <c r="DEI27" s="1221"/>
      <c r="DEJ27" s="1221"/>
      <c r="DEK27" s="1221"/>
      <c r="DEL27" s="1221"/>
      <c r="DEM27" s="1221"/>
      <c r="DEN27" s="1221"/>
      <c r="DEO27" s="1221"/>
      <c r="DEP27" s="1221"/>
      <c r="DEQ27" s="1221"/>
      <c r="DER27" s="1221"/>
      <c r="DES27" s="1221"/>
      <c r="DET27" s="1221"/>
      <c r="DEU27" s="1221"/>
      <c r="DEV27" s="1221"/>
      <c r="DEW27" s="1221"/>
      <c r="DEX27" s="1221"/>
      <c r="DEY27" s="1221"/>
      <c r="DEZ27" s="1221"/>
      <c r="DFA27" s="1221"/>
      <c r="DFB27" s="1221"/>
      <c r="DFC27" s="1221"/>
      <c r="DFD27" s="1221"/>
      <c r="DFE27" s="1221"/>
      <c r="DFF27" s="1221"/>
      <c r="DFG27" s="1221"/>
      <c r="DFH27" s="1221"/>
      <c r="DFI27" s="1221"/>
      <c r="DFJ27" s="1221"/>
      <c r="DFK27" s="1221"/>
      <c r="DFL27" s="1221"/>
      <c r="DFM27" s="1221"/>
      <c r="DFN27" s="1221"/>
      <c r="DFO27" s="1221"/>
      <c r="DFP27" s="1221"/>
      <c r="DFQ27" s="1221"/>
      <c r="DFR27" s="1221"/>
      <c r="DFS27" s="1221"/>
      <c r="DFT27" s="1221"/>
      <c r="DFU27" s="1221"/>
      <c r="DFV27" s="1221"/>
      <c r="DFW27" s="1221"/>
      <c r="DFX27" s="1221"/>
      <c r="DFY27" s="1221"/>
      <c r="DFZ27" s="1221"/>
      <c r="DGA27" s="1221"/>
      <c r="DGB27" s="1221"/>
      <c r="DGC27" s="1221"/>
      <c r="DGD27" s="1221"/>
      <c r="DGE27" s="1221"/>
      <c r="DGF27" s="1221"/>
      <c r="DGG27" s="1221"/>
      <c r="DGH27" s="1221"/>
      <c r="DGI27" s="1221"/>
      <c r="DGJ27" s="1221"/>
      <c r="DGK27" s="1221"/>
      <c r="DGL27" s="1221"/>
      <c r="DGM27" s="1221"/>
      <c r="DGN27" s="1221"/>
      <c r="DGO27" s="1221"/>
      <c r="DGP27" s="1221"/>
      <c r="DGQ27" s="1221"/>
      <c r="DGR27" s="1221"/>
      <c r="DGS27" s="1221"/>
      <c r="DGT27" s="1221"/>
      <c r="DGU27" s="1221"/>
      <c r="DGV27" s="1221"/>
      <c r="DGW27" s="1221"/>
      <c r="DGX27" s="1221"/>
      <c r="DGY27" s="1221"/>
      <c r="DGZ27" s="1221"/>
      <c r="DHA27" s="1221"/>
      <c r="DHB27" s="1221"/>
      <c r="DHC27" s="1221"/>
      <c r="DHD27" s="1221"/>
      <c r="DHE27" s="1221"/>
      <c r="DHF27" s="1221"/>
      <c r="DHG27" s="1221"/>
      <c r="DHH27" s="1221"/>
      <c r="DHI27" s="1221"/>
      <c r="DHJ27" s="1221"/>
      <c r="DHK27" s="1221"/>
      <c r="DHL27" s="1221"/>
      <c r="DHM27" s="1221"/>
      <c r="DHN27" s="1221"/>
      <c r="DHO27" s="1221"/>
      <c r="DHP27" s="1221"/>
      <c r="DHQ27" s="1221"/>
      <c r="DHR27" s="1221"/>
      <c r="DHS27" s="1221"/>
      <c r="DHT27" s="1221"/>
      <c r="DHU27" s="1221"/>
      <c r="DHV27" s="1221"/>
      <c r="DHW27" s="1221"/>
      <c r="DHX27" s="1221"/>
      <c r="DHY27" s="1221"/>
      <c r="DHZ27" s="1221"/>
      <c r="DIA27" s="1221"/>
      <c r="DIB27" s="1221"/>
      <c r="DIC27" s="1221"/>
      <c r="DID27" s="1221"/>
      <c r="DIE27" s="1221"/>
      <c r="DIF27" s="1221"/>
      <c r="DIG27" s="1221"/>
      <c r="DIH27" s="1221"/>
      <c r="DII27" s="1221"/>
      <c r="DIJ27" s="1221"/>
      <c r="DIK27" s="1221"/>
      <c r="DIL27" s="1221"/>
      <c r="DIM27" s="1221"/>
      <c r="DIN27" s="1221"/>
      <c r="DIO27" s="1221"/>
      <c r="DIP27" s="1221"/>
      <c r="DIQ27" s="1221"/>
      <c r="DIR27" s="1221"/>
      <c r="DIS27" s="1221"/>
      <c r="DIT27" s="1221"/>
      <c r="DIU27" s="1221"/>
      <c r="DIV27" s="1221"/>
      <c r="DIW27" s="1221"/>
      <c r="DIX27" s="1221"/>
      <c r="DIY27" s="1221"/>
      <c r="DIZ27" s="1221"/>
      <c r="DJA27" s="1221"/>
      <c r="DJB27" s="1221"/>
      <c r="DJC27" s="1221"/>
      <c r="DJD27" s="1221"/>
      <c r="DJE27" s="1221"/>
      <c r="DJF27" s="1221"/>
      <c r="DJG27" s="1221"/>
      <c r="DJH27" s="1221"/>
      <c r="DJI27" s="1221"/>
      <c r="DJJ27" s="1221"/>
      <c r="DJK27" s="1221"/>
      <c r="DJL27" s="1221"/>
      <c r="DJM27" s="1221"/>
      <c r="DJN27" s="1221"/>
      <c r="DJO27" s="1221"/>
      <c r="DJP27" s="1221"/>
      <c r="DJQ27" s="1221"/>
      <c r="DJR27" s="1221"/>
      <c r="DJS27" s="1221"/>
      <c r="DJT27" s="1221"/>
      <c r="DJU27" s="1221"/>
      <c r="DJV27" s="1221"/>
      <c r="DJW27" s="1221"/>
      <c r="DJX27" s="1221"/>
      <c r="DJY27" s="1221"/>
      <c r="DJZ27" s="1221"/>
      <c r="DKA27" s="1221"/>
      <c r="DKB27" s="1221"/>
      <c r="DKC27" s="1221"/>
      <c r="DKD27" s="1221"/>
      <c r="DKE27" s="1221"/>
      <c r="DKF27" s="1221"/>
      <c r="DKG27" s="1221"/>
      <c r="DKH27" s="1221"/>
      <c r="DKI27" s="1221"/>
      <c r="DKJ27" s="1221"/>
      <c r="DKK27" s="1221"/>
      <c r="DKL27" s="1221"/>
      <c r="DKM27" s="1221"/>
      <c r="DKN27" s="1221"/>
      <c r="DKO27" s="1221"/>
      <c r="DKP27" s="1221"/>
      <c r="DKQ27" s="1221"/>
      <c r="DKR27" s="1221"/>
      <c r="DKS27" s="1221"/>
      <c r="DKT27" s="1221"/>
      <c r="DKU27" s="1221"/>
      <c r="DKV27" s="1221"/>
      <c r="DKW27" s="1221"/>
      <c r="DKX27" s="1221"/>
      <c r="DKY27" s="1221"/>
      <c r="DKZ27" s="1221"/>
      <c r="DLA27" s="1221"/>
      <c r="DLB27" s="1221"/>
      <c r="DLC27" s="1221"/>
      <c r="DLD27" s="1221"/>
      <c r="DLE27" s="1221"/>
      <c r="DLF27" s="1221"/>
      <c r="DLG27" s="1221"/>
      <c r="DLH27" s="1221"/>
      <c r="DLI27" s="1221"/>
      <c r="DLJ27" s="1221"/>
      <c r="DLK27" s="1221"/>
      <c r="DLL27" s="1221"/>
      <c r="DLM27" s="1221"/>
      <c r="DLN27" s="1221"/>
      <c r="DLO27" s="1221"/>
      <c r="DLP27" s="1221"/>
      <c r="DLQ27" s="1221"/>
      <c r="DLR27" s="1221"/>
      <c r="DLS27" s="1221"/>
      <c r="DLT27" s="1221"/>
      <c r="DLU27" s="1221"/>
      <c r="DLV27" s="1221"/>
      <c r="DLW27" s="1221"/>
      <c r="DLX27" s="1221"/>
      <c r="DLY27" s="1221"/>
      <c r="DLZ27" s="1221"/>
      <c r="DMA27" s="1221"/>
      <c r="DMB27" s="1221"/>
      <c r="DMC27" s="1221"/>
      <c r="DMD27" s="1221"/>
      <c r="DME27" s="1221"/>
      <c r="DMF27" s="1221"/>
      <c r="DMG27" s="1221"/>
      <c r="DMH27" s="1221"/>
      <c r="DMI27" s="1221"/>
      <c r="DMJ27" s="1221"/>
      <c r="DMK27" s="1221"/>
      <c r="DML27" s="1221"/>
      <c r="DMM27" s="1221"/>
      <c r="DMN27" s="1221"/>
      <c r="DMO27" s="1221"/>
      <c r="DMP27" s="1221"/>
      <c r="DMQ27" s="1221"/>
      <c r="DMR27" s="1221"/>
      <c r="DMS27" s="1221"/>
      <c r="DMT27" s="1221"/>
      <c r="DMU27" s="1221"/>
      <c r="DMV27" s="1221"/>
      <c r="DMW27" s="1221"/>
      <c r="DMX27" s="1221"/>
      <c r="DMY27" s="1221"/>
      <c r="DMZ27" s="1221"/>
      <c r="DNA27" s="1221"/>
      <c r="DNB27" s="1221"/>
      <c r="DNC27" s="1221"/>
      <c r="DND27" s="1221"/>
      <c r="DNE27" s="1221"/>
      <c r="DNF27" s="1221"/>
      <c r="DNG27" s="1221"/>
      <c r="DNH27" s="1221"/>
      <c r="DNI27" s="1221"/>
      <c r="DNJ27" s="1221"/>
      <c r="DNK27" s="1221"/>
      <c r="DNL27" s="1221"/>
      <c r="DNM27" s="1221"/>
      <c r="DNN27" s="1221"/>
      <c r="DNO27" s="1221"/>
      <c r="DNP27" s="1221"/>
      <c r="DNQ27" s="1221"/>
      <c r="DNR27" s="1221"/>
      <c r="DNS27" s="1221"/>
      <c r="DNT27" s="1221"/>
      <c r="DNU27" s="1221"/>
      <c r="DNV27" s="1221"/>
      <c r="DNW27" s="1221"/>
      <c r="DNX27" s="1221"/>
      <c r="DNY27" s="1221"/>
      <c r="DNZ27" s="1221"/>
      <c r="DOA27" s="1221"/>
      <c r="DOB27" s="1221"/>
      <c r="DOC27" s="1221"/>
      <c r="DOD27" s="1221"/>
      <c r="DOE27" s="1221"/>
      <c r="DOF27" s="1221"/>
      <c r="DOG27" s="1221"/>
      <c r="DOH27" s="1221"/>
      <c r="DOI27" s="1221"/>
      <c r="DOJ27" s="1221"/>
      <c r="DOK27" s="1221"/>
      <c r="DOL27" s="1221"/>
      <c r="DOM27" s="1221"/>
      <c r="DON27" s="1221"/>
      <c r="DOO27" s="1221"/>
      <c r="DOP27" s="1221"/>
      <c r="DOQ27" s="1221"/>
      <c r="DOR27" s="1221"/>
      <c r="DOS27" s="1221"/>
      <c r="DOT27" s="1221"/>
      <c r="DOU27" s="1221"/>
      <c r="DOV27" s="1221"/>
      <c r="DOW27" s="1221"/>
      <c r="DOX27" s="1221"/>
      <c r="DOY27" s="1221"/>
      <c r="DOZ27" s="1221"/>
      <c r="DPA27" s="1221"/>
      <c r="DPB27" s="1221"/>
      <c r="DPC27" s="1221"/>
      <c r="DPD27" s="1221"/>
      <c r="DPE27" s="1221"/>
      <c r="DPF27" s="1221"/>
      <c r="DPG27" s="1221"/>
      <c r="DPH27" s="1221"/>
      <c r="DPI27" s="1221"/>
      <c r="DPJ27" s="1221"/>
      <c r="DPK27" s="1221"/>
      <c r="DPL27" s="1221"/>
      <c r="DPM27" s="1221"/>
      <c r="DPN27" s="1221"/>
      <c r="DPO27" s="1221"/>
      <c r="DPP27" s="1221"/>
      <c r="DPQ27" s="1221"/>
      <c r="DPR27" s="1221"/>
      <c r="DPS27" s="1221"/>
      <c r="DPT27" s="1221"/>
      <c r="DPU27" s="1221"/>
      <c r="DPV27" s="1221"/>
      <c r="DPW27" s="1221"/>
      <c r="DPX27" s="1221"/>
      <c r="DPY27" s="1221"/>
      <c r="DPZ27" s="1221"/>
      <c r="DQA27" s="1221"/>
      <c r="DQB27" s="1221"/>
      <c r="DQC27" s="1221"/>
      <c r="DQD27" s="1221"/>
      <c r="DQE27" s="1221"/>
      <c r="DQF27" s="1221"/>
      <c r="DQG27" s="1221"/>
      <c r="DQH27" s="1221"/>
      <c r="DQI27" s="1221"/>
      <c r="DQJ27" s="1221"/>
      <c r="DQK27" s="1221"/>
      <c r="DQL27" s="1221"/>
      <c r="DQM27" s="1221"/>
      <c r="DQN27" s="1221"/>
      <c r="DQO27" s="1221"/>
      <c r="DQP27" s="1221"/>
      <c r="DQQ27" s="1221"/>
      <c r="DQR27" s="1221"/>
      <c r="DQS27" s="1221"/>
      <c r="DQT27" s="1221"/>
      <c r="DQU27" s="1221"/>
      <c r="DQV27" s="1221"/>
      <c r="DQW27" s="1221"/>
      <c r="DQX27" s="1221"/>
      <c r="DQY27" s="1221"/>
      <c r="DQZ27" s="1221"/>
      <c r="DRA27" s="1221"/>
      <c r="DRB27" s="1221"/>
      <c r="DRC27" s="1221"/>
      <c r="DRD27" s="1221"/>
      <c r="DRE27" s="1221"/>
      <c r="DRF27" s="1221"/>
      <c r="DRG27" s="1221"/>
      <c r="DRH27" s="1221"/>
      <c r="DRI27" s="1221"/>
      <c r="DRJ27" s="1221"/>
      <c r="DRK27" s="1221"/>
      <c r="DRL27" s="1221"/>
      <c r="DRM27" s="1221"/>
      <c r="DRN27" s="1221"/>
      <c r="DRO27" s="1221"/>
      <c r="DRP27" s="1221"/>
      <c r="DRQ27" s="1221"/>
      <c r="DRR27" s="1221"/>
      <c r="DRS27" s="1221"/>
      <c r="DRT27" s="1221"/>
      <c r="DRU27" s="1221"/>
      <c r="DRV27" s="1221"/>
      <c r="DRW27" s="1221"/>
      <c r="DRX27" s="1221"/>
      <c r="DRY27" s="1221"/>
      <c r="DRZ27" s="1221"/>
      <c r="DSA27" s="1221"/>
      <c r="DSB27" s="1221"/>
      <c r="DSC27" s="1221"/>
      <c r="DSD27" s="1221"/>
      <c r="DSE27" s="1221"/>
      <c r="DSF27" s="1221"/>
      <c r="DSG27" s="1221"/>
      <c r="DSH27" s="1221"/>
      <c r="DSI27" s="1221"/>
      <c r="DSJ27" s="1221"/>
      <c r="DSK27" s="1221"/>
      <c r="DSL27" s="1221"/>
      <c r="DSM27" s="1221"/>
      <c r="DSN27" s="1221"/>
      <c r="DSO27" s="1221"/>
      <c r="DSP27" s="1221"/>
      <c r="DSQ27" s="1221"/>
      <c r="DSR27" s="1221"/>
      <c r="DSS27" s="1221"/>
      <c r="DST27" s="1221"/>
      <c r="DSU27" s="1221"/>
      <c r="DSV27" s="1221"/>
      <c r="DSW27" s="1221"/>
      <c r="DSX27" s="1221"/>
      <c r="DSY27" s="1221"/>
      <c r="DSZ27" s="1221"/>
      <c r="DTA27" s="1221"/>
      <c r="DTB27" s="1221"/>
      <c r="DTC27" s="1221"/>
      <c r="DTD27" s="1221"/>
      <c r="DTE27" s="1221"/>
      <c r="DTF27" s="1221"/>
      <c r="DTG27" s="1221"/>
      <c r="DTH27" s="1221"/>
      <c r="DTI27" s="1221"/>
      <c r="DTJ27" s="1221"/>
      <c r="DTK27" s="1221"/>
      <c r="DTL27" s="1221"/>
      <c r="DTM27" s="1221"/>
      <c r="DTN27" s="1221"/>
      <c r="DTO27" s="1221"/>
      <c r="DTP27" s="1221"/>
      <c r="DTQ27" s="1221"/>
      <c r="DTR27" s="1221"/>
      <c r="DTS27" s="1221"/>
      <c r="DTT27" s="1221"/>
      <c r="DTU27" s="1221"/>
      <c r="DTV27" s="1221"/>
      <c r="DTW27" s="1221"/>
      <c r="DTX27" s="1221"/>
      <c r="DTY27" s="1221"/>
      <c r="DTZ27" s="1221"/>
      <c r="DUA27" s="1221"/>
      <c r="DUB27" s="1221"/>
      <c r="DUC27" s="1221"/>
      <c r="DUD27" s="1221"/>
      <c r="DUE27" s="1221"/>
      <c r="DUF27" s="1221"/>
      <c r="DUG27" s="1221"/>
      <c r="DUH27" s="1221"/>
      <c r="DUI27" s="1221"/>
      <c r="DUJ27" s="1221"/>
      <c r="DUK27" s="1221"/>
      <c r="DUL27" s="1221"/>
      <c r="DUM27" s="1221"/>
      <c r="DUN27" s="1221"/>
      <c r="DUO27" s="1221"/>
      <c r="DUP27" s="1221"/>
      <c r="DUQ27" s="1221"/>
      <c r="DUR27" s="1221"/>
      <c r="DUS27" s="1221"/>
      <c r="DUT27" s="1221"/>
      <c r="DUU27" s="1221"/>
      <c r="DUV27" s="1221"/>
      <c r="DUW27" s="1221"/>
      <c r="DUX27" s="1221"/>
      <c r="DUY27" s="1221"/>
      <c r="DUZ27" s="1221"/>
      <c r="DVA27" s="1221"/>
      <c r="DVB27" s="1221"/>
      <c r="DVC27" s="1221"/>
      <c r="DVD27" s="1221"/>
      <c r="DVE27" s="1221"/>
      <c r="DVF27" s="1221"/>
      <c r="DVG27" s="1221"/>
      <c r="DVH27" s="1221"/>
      <c r="DVI27" s="1221"/>
      <c r="DVJ27" s="1221"/>
      <c r="DVK27" s="1221"/>
      <c r="DVL27" s="1221"/>
      <c r="DVM27" s="1221"/>
      <c r="DVN27" s="1221"/>
      <c r="DVO27" s="1221"/>
      <c r="DVP27" s="1221"/>
      <c r="DVQ27" s="1221"/>
      <c r="DVR27" s="1221"/>
      <c r="DVS27" s="1221"/>
      <c r="DVT27" s="1221"/>
      <c r="DVU27" s="1221"/>
      <c r="DVV27" s="1221"/>
      <c r="DVW27" s="1221"/>
      <c r="DVX27" s="1221"/>
      <c r="DVY27" s="1221"/>
      <c r="DVZ27" s="1221"/>
      <c r="DWA27" s="1221"/>
      <c r="DWB27" s="1221"/>
      <c r="DWC27" s="1221"/>
      <c r="DWD27" s="1221"/>
      <c r="DWE27" s="1221"/>
      <c r="DWF27" s="1221"/>
      <c r="DWG27" s="1221"/>
      <c r="DWH27" s="1221"/>
      <c r="DWI27" s="1221"/>
      <c r="DWJ27" s="1221"/>
      <c r="DWK27" s="1221"/>
      <c r="DWL27" s="1221"/>
      <c r="DWM27" s="1221"/>
      <c r="DWN27" s="1221"/>
      <c r="DWO27" s="1221"/>
      <c r="DWP27" s="1221"/>
      <c r="DWQ27" s="1221"/>
      <c r="DWR27" s="1221"/>
      <c r="DWS27" s="1221"/>
      <c r="DWT27" s="1221"/>
      <c r="DWU27" s="1221"/>
      <c r="DWV27" s="1221"/>
      <c r="DWW27" s="1221"/>
      <c r="DWX27" s="1221"/>
      <c r="DWY27" s="1221"/>
      <c r="DWZ27" s="1221"/>
      <c r="DXA27" s="1221"/>
      <c r="DXB27" s="1221"/>
      <c r="DXC27" s="1221"/>
      <c r="DXD27" s="1221"/>
      <c r="DXE27" s="1221"/>
      <c r="DXF27" s="1221"/>
      <c r="DXG27" s="1221"/>
      <c r="DXH27" s="1221"/>
      <c r="DXI27" s="1221"/>
      <c r="DXJ27" s="1221"/>
      <c r="DXK27" s="1221"/>
      <c r="DXL27" s="1221"/>
      <c r="DXM27" s="1221"/>
      <c r="DXN27" s="1221"/>
      <c r="DXO27" s="1221"/>
      <c r="DXP27" s="1221"/>
      <c r="DXQ27" s="1221"/>
      <c r="DXR27" s="1221"/>
      <c r="DXS27" s="1221"/>
      <c r="DXT27" s="1221"/>
      <c r="DXU27" s="1221"/>
      <c r="DXV27" s="1221"/>
      <c r="DXW27" s="1221"/>
      <c r="DXX27" s="1221"/>
      <c r="DXY27" s="1221"/>
      <c r="DXZ27" s="1221"/>
      <c r="DYA27" s="1221"/>
      <c r="DYB27" s="1221"/>
      <c r="DYC27" s="1221"/>
      <c r="DYD27" s="1221"/>
      <c r="DYE27" s="1221"/>
      <c r="DYF27" s="1221"/>
      <c r="DYG27" s="1221"/>
      <c r="DYH27" s="1221"/>
      <c r="DYI27" s="1221"/>
      <c r="DYJ27" s="1221"/>
      <c r="DYK27" s="1221"/>
      <c r="DYL27" s="1221"/>
      <c r="DYM27" s="1221"/>
      <c r="DYN27" s="1221"/>
      <c r="DYO27" s="1221"/>
      <c r="DYP27" s="1221"/>
      <c r="DYQ27" s="1221"/>
      <c r="DYR27" s="1221"/>
      <c r="DYS27" s="1221"/>
      <c r="DYT27" s="1221"/>
      <c r="DYU27" s="1221"/>
      <c r="DYV27" s="1221"/>
      <c r="DYW27" s="1221"/>
      <c r="DYX27" s="1221"/>
      <c r="DYY27" s="1221"/>
      <c r="DYZ27" s="1221"/>
      <c r="DZA27" s="1221"/>
      <c r="DZB27" s="1221"/>
      <c r="DZC27" s="1221"/>
      <c r="DZD27" s="1221"/>
      <c r="DZE27" s="1221"/>
      <c r="DZF27" s="1221"/>
      <c r="DZG27" s="1221"/>
      <c r="DZH27" s="1221"/>
      <c r="DZI27" s="1221"/>
      <c r="DZJ27" s="1221"/>
      <c r="DZK27" s="1221"/>
      <c r="DZL27" s="1221"/>
      <c r="DZM27" s="1221"/>
      <c r="DZN27" s="1221"/>
      <c r="DZO27" s="1221"/>
      <c r="DZP27" s="1221"/>
      <c r="DZQ27" s="1221"/>
      <c r="DZR27" s="1221"/>
      <c r="DZS27" s="1221"/>
      <c r="DZT27" s="1221"/>
      <c r="DZU27" s="1221"/>
      <c r="DZV27" s="1221"/>
      <c r="DZW27" s="1221"/>
      <c r="DZX27" s="1221"/>
      <c r="DZY27" s="1221"/>
      <c r="DZZ27" s="1221"/>
      <c r="EAA27" s="1221"/>
      <c r="EAB27" s="1221"/>
      <c r="EAC27" s="1221"/>
      <c r="EAD27" s="1221"/>
      <c r="EAE27" s="1221"/>
      <c r="EAF27" s="1221"/>
      <c r="EAG27" s="1221"/>
      <c r="EAH27" s="1221"/>
      <c r="EAI27" s="1221"/>
      <c r="EAJ27" s="1221"/>
      <c r="EAK27" s="1221"/>
      <c r="EAL27" s="1221"/>
      <c r="EAM27" s="1221"/>
      <c r="EAN27" s="1221"/>
      <c r="EAO27" s="1221"/>
      <c r="EAP27" s="1221"/>
      <c r="EAQ27" s="1221"/>
      <c r="EAR27" s="1221"/>
      <c r="EAS27" s="1221"/>
      <c r="EAT27" s="1221"/>
      <c r="EAU27" s="1221"/>
      <c r="EAV27" s="1221"/>
      <c r="EAW27" s="1221"/>
      <c r="EAX27" s="1221"/>
      <c r="EAY27" s="1221"/>
      <c r="EAZ27" s="1221"/>
      <c r="EBA27" s="1221"/>
      <c r="EBB27" s="1221"/>
      <c r="EBC27" s="1221"/>
      <c r="EBD27" s="1221"/>
      <c r="EBE27" s="1221"/>
      <c r="EBF27" s="1221"/>
      <c r="EBG27" s="1221"/>
      <c r="EBH27" s="1221"/>
      <c r="EBI27" s="1221"/>
      <c r="EBJ27" s="1221"/>
      <c r="EBK27" s="1221"/>
      <c r="EBL27" s="1221"/>
      <c r="EBM27" s="1221"/>
      <c r="EBN27" s="1221"/>
      <c r="EBO27" s="1221"/>
      <c r="EBP27" s="1221"/>
      <c r="EBQ27" s="1221"/>
      <c r="EBR27" s="1221"/>
      <c r="EBS27" s="1221"/>
      <c r="EBT27" s="1221"/>
      <c r="EBU27" s="1221"/>
      <c r="EBV27" s="1221"/>
      <c r="EBW27" s="1221"/>
      <c r="EBX27" s="1221"/>
      <c r="EBY27" s="1221"/>
      <c r="EBZ27" s="1221"/>
      <c r="ECA27" s="1221"/>
      <c r="ECB27" s="1221"/>
      <c r="ECC27" s="1221"/>
      <c r="ECD27" s="1221"/>
      <c r="ECE27" s="1221"/>
      <c r="ECF27" s="1221"/>
      <c r="ECG27" s="1221"/>
      <c r="ECH27" s="1221"/>
      <c r="ECI27" s="1221"/>
      <c r="ECJ27" s="1221"/>
      <c r="ECK27" s="1221"/>
      <c r="ECL27" s="1221"/>
      <c r="ECM27" s="1221"/>
      <c r="ECN27" s="1221"/>
      <c r="ECO27" s="1221"/>
    </row>
    <row r="28" spans="2:3473" s="1248" customFormat="1" ht="13" outlineLevel="1">
      <c r="B28" s="1249" t="s">
        <v>501</v>
      </c>
      <c r="C28" s="1250">
        <v>2</v>
      </c>
      <c r="D28" s="1251" t="s">
        <v>83</v>
      </c>
      <c r="E28" s="1252">
        <f t="shared" si="47"/>
        <v>9.1325816669982718</v>
      </c>
      <c r="F28" s="1252">
        <f t="shared" si="47"/>
        <v>8.3785153317517427</v>
      </c>
      <c r="G28" s="1252">
        <f t="shared" si="47"/>
        <v>0.75406633524652955</v>
      </c>
      <c r="H28" s="1252">
        <f t="shared" si="47"/>
        <v>151.99498771828846</v>
      </c>
      <c r="I28" s="1252">
        <f t="shared" si="47"/>
        <v>139.44494307331158</v>
      </c>
      <c r="J28" s="1252">
        <f t="shared" si="47"/>
        <v>12.550044644976891</v>
      </c>
      <c r="K28" s="1252">
        <f t="shared" si="47"/>
        <v>7.3505665247008336</v>
      </c>
      <c r="L28" s="1252">
        <f t="shared" si="47"/>
        <v>6.7436389274845459</v>
      </c>
      <c r="M28" s="1252">
        <f t="shared" si="47"/>
        <v>0.60692759721628764</v>
      </c>
      <c r="N28" s="1252" t="str">
        <f t="shared" si="47"/>
        <v/>
      </c>
      <c r="O28" s="1252" t="str">
        <f t="shared" si="47"/>
        <v/>
      </c>
      <c r="P28" s="1252" t="str">
        <f t="shared" si="47"/>
        <v/>
      </c>
      <c r="Q28" s="1252">
        <f t="shared" si="47"/>
        <v>130.79878487953741</v>
      </c>
      <c r="R28" s="1252">
        <f t="shared" si="47"/>
        <v>119.99888515942203</v>
      </c>
      <c r="S28" s="1252">
        <f t="shared" si="8"/>
        <v>10.799899720115359</v>
      </c>
      <c r="T28" s="1252">
        <f t="shared" si="5"/>
        <v>0</v>
      </c>
      <c r="U28" s="1252">
        <f t="shared" si="5"/>
        <v>0</v>
      </c>
      <c r="V28" s="1252">
        <f t="shared" si="9"/>
        <v>0</v>
      </c>
      <c r="W28" s="1252" t="str">
        <f t="shared" si="10"/>
        <v/>
      </c>
      <c r="X28" s="1252" t="str">
        <f t="shared" si="10"/>
        <v/>
      </c>
      <c r="Y28" s="1252" t="str">
        <f t="shared" si="10"/>
        <v/>
      </c>
      <c r="Z28" s="1252">
        <f t="shared" si="11"/>
        <v>106.24110805410764</v>
      </c>
      <c r="AA28" s="1252">
        <f t="shared" si="11"/>
        <v>97.468906517828543</v>
      </c>
      <c r="AB28" s="1252">
        <f t="shared" si="11"/>
        <v>8.7722015362790966</v>
      </c>
      <c r="AC28" s="1252">
        <f t="shared" si="15"/>
        <v>141.14749198180016</v>
      </c>
      <c r="AD28" s="1260">
        <f t="shared" si="15"/>
        <v>129.49311197124814</v>
      </c>
      <c r="AE28" s="1260">
        <f t="shared" si="15"/>
        <v>11.654380010552016</v>
      </c>
      <c r="AF28" s="1254">
        <f t="shared" si="40"/>
        <v>22.434954001841287</v>
      </c>
      <c r="AG28" s="1256">
        <f>VLOOKUP($D28,车位!$D$17:$U$199,14,0)*车位!$K$3</f>
        <v>20.582526707736026</v>
      </c>
      <c r="AH28" s="1256">
        <f>VLOOKUP($D28,车位!$D$17:$U$199,16,0)*车位!$K$3</f>
        <v>1.8524272941052609</v>
      </c>
      <c r="AI28" s="1256">
        <f t="shared" si="41"/>
        <v>656.22239999999999</v>
      </c>
      <c r="AJ28" s="1256">
        <f>VLOOKUP($D28,高层!$D$11:$U$202,14,0)</f>
        <v>602.03890000000001</v>
      </c>
      <c r="AK28" s="1256">
        <f>VLOOKUP($D28,高层!$D$11:$U$202,16,0)</f>
        <v>54.183499999999995</v>
      </c>
      <c r="AL28" s="1256">
        <f t="shared" si="20"/>
        <v>6.9164861691511499</v>
      </c>
      <c r="AM28" s="1256">
        <f>VLOOKUP($D28,人防车位!D:U,14,0)*人防车位!K3</f>
        <v>6.3454000742608727</v>
      </c>
      <c r="AN28" s="1256">
        <f>VLOOKUP($D28,人防车位!D:U,16,0)*人防车位!K3</f>
        <v>0.57108609489027695</v>
      </c>
      <c r="AO28" s="1256">
        <f t="shared" si="21"/>
        <v>0</v>
      </c>
      <c r="AP28" s="1256">
        <f>VLOOKUP($D28,人才公寓销售!$D$11:$U$202,14,0)</f>
        <v>0</v>
      </c>
      <c r="AQ28" s="1256">
        <f>VLOOKUP($D28,人才公寓销售!$D$11:$U$202,16,0)</f>
        <v>0</v>
      </c>
      <c r="AR28" s="1256">
        <f>AS28+AT28</f>
        <v>773.99369999999999</v>
      </c>
      <c r="AS28" s="1256">
        <f>VLOOKUP($D28,小高层!$D$11:$U$202,14,0)</f>
        <v>710.08596299999999</v>
      </c>
      <c r="AT28" s="1256">
        <f>VLOOKUP($D28,小高层!$D$11:$U$202,16,0)</f>
        <v>63.907736999999983</v>
      </c>
      <c r="AU28" s="1256">
        <f>AV28+AW28</f>
        <v>0</v>
      </c>
      <c r="AV28" s="1256">
        <f>VLOOKUP($D28,临街商业!$D$11:$U$202,14,0)</f>
        <v>0</v>
      </c>
      <c r="AW28" s="1256">
        <f>VLOOKUP($D28,临街商业!$D$11:$U$202,16,0)</f>
        <v>0</v>
      </c>
      <c r="AX28" s="1256"/>
      <c r="AY28" s="1256"/>
      <c r="AZ28" s="1256"/>
      <c r="BA28" s="1257">
        <f>BB28+BC28</f>
        <v>1459.5675401709925</v>
      </c>
      <c r="BB28" s="1257">
        <f t="shared" si="49"/>
        <v>1339.052789781997</v>
      </c>
      <c r="BC28" s="1257">
        <f t="shared" si="49"/>
        <v>120.51475038899551</v>
      </c>
      <c r="BD28" s="1256">
        <f t="shared" si="50"/>
        <v>0</v>
      </c>
      <c r="BE28" s="1256">
        <v>0</v>
      </c>
      <c r="BF28" s="1256">
        <v>0</v>
      </c>
      <c r="BG28" s="1256">
        <f t="shared" ref="BG28:BG30" si="52">+BH28+BI28</f>
        <v>0</v>
      </c>
      <c r="BH28" s="1257">
        <f t="shared" ref="BH28:BI30" si="53">+BE28</f>
        <v>0</v>
      </c>
      <c r="BI28" s="1257">
        <f t="shared" si="53"/>
        <v>0</v>
      </c>
      <c r="BJ28" s="1256">
        <f t="shared" si="51"/>
        <v>1459.5675401709925</v>
      </c>
      <c r="BK28" s="1257">
        <f t="shared" si="51"/>
        <v>1339.052789781997</v>
      </c>
      <c r="BL28" s="1257">
        <f t="shared" si="51"/>
        <v>120.51475038899551</v>
      </c>
      <c r="BM28" s="1262" t="s">
        <v>489</v>
      </c>
      <c r="BN28" s="1225">
        <f t="shared" si="12"/>
        <v>0</v>
      </c>
      <c r="BO28" s="1225">
        <f t="shared" si="13"/>
        <v>0</v>
      </c>
      <c r="BP28" s="1225">
        <f t="shared" si="14"/>
        <v>0</v>
      </c>
      <c r="BQ28" s="1225"/>
      <c r="BR28" s="1221"/>
      <c r="BS28" s="1221"/>
      <c r="BT28" s="1221"/>
      <c r="BU28" s="1221"/>
      <c r="BV28" s="1221"/>
      <c r="BW28" s="1221"/>
      <c r="BX28" s="1221"/>
      <c r="BY28" s="1221"/>
      <c r="BZ28" s="1221"/>
      <c r="CA28" s="1221"/>
      <c r="CB28" s="1221"/>
      <c r="CC28" s="1221"/>
      <c r="CD28" s="1221"/>
      <c r="CE28" s="1221"/>
      <c r="CF28" s="1221"/>
      <c r="CG28" s="1221"/>
      <c r="CH28" s="1221"/>
      <c r="CI28" s="1221"/>
      <c r="CJ28" s="1221"/>
      <c r="CK28" s="1221"/>
      <c r="CL28" s="1221"/>
      <c r="CM28" s="1221"/>
      <c r="CN28" s="1221"/>
      <c r="CO28" s="1221"/>
      <c r="CP28" s="1221"/>
      <c r="CQ28" s="1221"/>
      <c r="CR28" s="1221"/>
      <c r="CS28" s="1221"/>
      <c r="CT28" s="1221"/>
      <c r="CU28" s="1221"/>
      <c r="CV28" s="1221"/>
      <c r="CW28" s="1221"/>
      <c r="CX28" s="1221"/>
      <c r="CY28" s="1221"/>
      <c r="CZ28" s="1221"/>
      <c r="DA28" s="1221"/>
      <c r="DB28" s="1221"/>
      <c r="DC28" s="1221"/>
      <c r="DD28" s="1221"/>
      <c r="DE28" s="1221"/>
      <c r="DF28" s="1221"/>
      <c r="DG28" s="1221"/>
      <c r="DH28" s="1221"/>
      <c r="DI28" s="1221"/>
      <c r="DJ28" s="1221"/>
      <c r="DK28" s="1221"/>
      <c r="DL28" s="1221"/>
      <c r="DM28" s="1221"/>
      <c r="DN28" s="1221"/>
      <c r="DO28" s="1221"/>
      <c r="DP28" s="1221"/>
      <c r="DQ28" s="1221"/>
      <c r="DR28" s="1221"/>
      <c r="DS28" s="1221"/>
      <c r="DT28" s="1221"/>
      <c r="DU28" s="1221"/>
      <c r="DV28" s="1221"/>
      <c r="DW28" s="1221"/>
      <c r="DX28" s="1221"/>
      <c r="DY28" s="1221"/>
      <c r="DZ28" s="1221"/>
      <c r="EA28" s="1221"/>
      <c r="EB28" s="1221"/>
      <c r="EC28" s="1221"/>
      <c r="ED28" s="1221"/>
      <c r="EE28" s="1221"/>
      <c r="EF28" s="1221"/>
      <c r="EG28" s="1221"/>
      <c r="EH28" s="1221"/>
      <c r="EI28" s="1221"/>
      <c r="EJ28" s="1221"/>
      <c r="EK28" s="1221"/>
      <c r="EL28" s="1221"/>
      <c r="EM28" s="1221"/>
      <c r="EN28" s="1221"/>
      <c r="EO28" s="1221"/>
      <c r="EP28" s="1221"/>
      <c r="EQ28" s="1221"/>
      <c r="ER28" s="1221"/>
      <c r="ES28" s="1221"/>
      <c r="ET28" s="1221"/>
      <c r="EU28" s="1221"/>
      <c r="EV28" s="1221"/>
      <c r="EW28" s="1221"/>
      <c r="EX28" s="1221"/>
      <c r="EY28" s="1221"/>
      <c r="EZ28" s="1221"/>
      <c r="FA28" s="1221"/>
      <c r="FB28" s="1221"/>
      <c r="FC28" s="1221"/>
      <c r="FD28" s="1221"/>
      <c r="FE28" s="1221"/>
      <c r="FF28" s="1221"/>
      <c r="FG28" s="1221"/>
      <c r="FH28" s="1221"/>
      <c r="FI28" s="1221"/>
      <c r="FJ28" s="1221"/>
      <c r="FK28" s="1221"/>
      <c r="FL28" s="1221"/>
      <c r="FM28" s="1221"/>
      <c r="FN28" s="1221"/>
      <c r="FO28" s="1221"/>
      <c r="FP28" s="1221"/>
      <c r="FQ28" s="1221"/>
      <c r="FR28" s="1221"/>
      <c r="FS28" s="1221"/>
      <c r="FT28" s="1221"/>
      <c r="FU28" s="1221"/>
      <c r="FV28" s="1221"/>
      <c r="FW28" s="1221"/>
      <c r="FX28" s="1221"/>
      <c r="FY28" s="1221"/>
      <c r="FZ28" s="1221"/>
      <c r="GA28" s="1221"/>
      <c r="GB28" s="1221"/>
      <c r="GC28" s="1221"/>
      <c r="GD28" s="1221"/>
      <c r="GE28" s="1221"/>
      <c r="GF28" s="1221"/>
      <c r="GG28" s="1221"/>
      <c r="GH28" s="1221"/>
      <c r="GI28" s="1221"/>
      <c r="GJ28" s="1221"/>
      <c r="GK28" s="1221"/>
      <c r="GL28" s="1221"/>
      <c r="GM28" s="1221"/>
      <c r="GN28" s="1221"/>
      <c r="GO28" s="1221"/>
      <c r="GP28" s="1221"/>
      <c r="GQ28" s="1221"/>
      <c r="GR28" s="1221"/>
      <c r="GS28" s="1221"/>
      <c r="GT28" s="1221"/>
      <c r="GU28" s="1221"/>
      <c r="GV28" s="1221"/>
      <c r="GW28" s="1221"/>
      <c r="GX28" s="1221"/>
      <c r="GY28" s="1221"/>
      <c r="GZ28" s="1221"/>
      <c r="HA28" s="1221"/>
      <c r="HB28" s="1221"/>
      <c r="HC28" s="1221"/>
      <c r="HD28" s="1221"/>
      <c r="HE28" s="1221"/>
      <c r="HF28" s="1221"/>
      <c r="HG28" s="1221"/>
      <c r="HH28" s="1221"/>
      <c r="HI28" s="1221"/>
      <c r="HJ28" s="1221"/>
      <c r="HK28" s="1221"/>
      <c r="HL28" s="1221"/>
      <c r="HM28" s="1221"/>
      <c r="HN28" s="1221"/>
      <c r="HO28" s="1221"/>
      <c r="HP28" s="1221"/>
      <c r="HQ28" s="1221"/>
      <c r="HR28" s="1221"/>
      <c r="HS28" s="1221"/>
      <c r="HT28" s="1221"/>
      <c r="HU28" s="1221"/>
      <c r="HV28" s="1221"/>
      <c r="HW28" s="1221"/>
      <c r="HX28" s="1221"/>
      <c r="HY28" s="1221"/>
      <c r="HZ28" s="1221"/>
      <c r="IA28" s="1221"/>
      <c r="IB28" s="1221"/>
      <c r="IC28" s="1221"/>
      <c r="ID28" s="1221"/>
      <c r="IE28" s="1221"/>
      <c r="IF28" s="1221"/>
      <c r="IG28" s="1221"/>
      <c r="IH28" s="1221"/>
      <c r="II28" s="1221"/>
      <c r="IJ28" s="1221"/>
      <c r="IK28" s="1221"/>
      <c r="IL28" s="1221"/>
      <c r="IM28" s="1221"/>
      <c r="IN28" s="1221"/>
      <c r="IO28" s="1221"/>
      <c r="IP28" s="1221"/>
      <c r="IQ28" s="1221"/>
      <c r="IR28" s="1221"/>
      <c r="IS28" s="1221"/>
      <c r="IT28" s="1221"/>
      <c r="IU28" s="1221"/>
      <c r="IV28" s="1221"/>
      <c r="IW28" s="1221"/>
      <c r="IX28" s="1221"/>
      <c r="IY28" s="1221"/>
      <c r="IZ28" s="1221"/>
      <c r="JA28" s="1221"/>
      <c r="JB28" s="1221"/>
      <c r="JC28" s="1221"/>
      <c r="JD28" s="1221"/>
      <c r="JE28" s="1221"/>
      <c r="JF28" s="1221"/>
      <c r="JG28" s="1221"/>
      <c r="JH28" s="1221"/>
      <c r="JI28" s="1221"/>
      <c r="JJ28" s="1221"/>
      <c r="JK28" s="1221"/>
      <c r="JL28" s="1221"/>
      <c r="JM28" s="1221"/>
      <c r="JN28" s="1221"/>
      <c r="JO28" s="1221"/>
      <c r="JP28" s="1221"/>
      <c r="JQ28" s="1221"/>
      <c r="JR28" s="1221"/>
      <c r="JS28" s="1221"/>
      <c r="JT28" s="1221"/>
      <c r="JU28" s="1221"/>
      <c r="JV28" s="1221"/>
      <c r="JW28" s="1221"/>
      <c r="JX28" s="1221"/>
      <c r="JY28" s="1221"/>
      <c r="JZ28" s="1221"/>
      <c r="KA28" s="1221"/>
      <c r="KB28" s="1221"/>
      <c r="KC28" s="1221"/>
      <c r="KD28" s="1221"/>
      <c r="KE28" s="1221"/>
      <c r="KF28" s="1221"/>
      <c r="KG28" s="1221"/>
      <c r="KH28" s="1221"/>
      <c r="KI28" s="1221"/>
      <c r="KJ28" s="1221"/>
      <c r="KK28" s="1221"/>
      <c r="KL28" s="1221"/>
      <c r="KM28" s="1221"/>
      <c r="KN28" s="1221"/>
      <c r="KO28" s="1221"/>
      <c r="KP28" s="1221"/>
      <c r="KQ28" s="1221"/>
      <c r="KR28" s="1221"/>
      <c r="KS28" s="1221"/>
      <c r="KT28" s="1221"/>
      <c r="KU28" s="1221"/>
      <c r="KV28" s="1221"/>
      <c r="KW28" s="1221"/>
      <c r="KX28" s="1221"/>
      <c r="KY28" s="1221"/>
      <c r="KZ28" s="1221"/>
      <c r="LA28" s="1221"/>
      <c r="LB28" s="1221"/>
      <c r="LC28" s="1221"/>
      <c r="LD28" s="1221"/>
      <c r="LE28" s="1221"/>
      <c r="LF28" s="1221"/>
      <c r="LG28" s="1221"/>
      <c r="LH28" s="1221"/>
      <c r="LI28" s="1221"/>
      <c r="LJ28" s="1221"/>
      <c r="LK28" s="1221"/>
      <c r="LL28" s="1221"/>
      <c r="LM28" s="1221"/>
      <c r="LN28" s="1221"/>
      <c r="LO28" s="1221"/>
      <c r="LP28" s="1221"/>
      <c r="LQ28" s="1221"/>
      <c r="LR28" s="1221"/>
      <c r="LS28" s="1221"/>
      <c r="LT28" s="1221"/>
      <c r="LU28" s="1221"/>
      <c r="LV28" s="1221"/>
      <c r="LW28" s="1221"/>
      <c r="LX28" s="1221"/>
      <c r="LY28" s="1221"/>
      <c r="LZ28" s="1221"/>
      <c r="MA28" s="1221"/>
      <c r="MB28" s="1221"/>
      <c r="MC28" s="1221"/>
      <c r="MD28" s="1221"/>
      <c r="ME28" s="1221"/>
      <c r="MF28" s="1221"/>
      <c r="MG28" s="1221"/>
      <c r="MH28" s="1221"/>
      <c r="MI28" s="1221"/>
      <c r="MJ28" s="1221"/>
      <c r="MK28" s="1221"/>
      <c r="ML28" s="1221"/>
      <c r="MM28" s="1221"/>
      <c r="MN28" s="1221"/>
      <c r="MO28" s="1221"/>
      <c r="MP28" s="1221"/>
      <c r="MQ28" s="1221"/>
      <c r="MR28" s="1221"/>
      <c r="MS28" s="1221"/>
      <c r="MT28" s="1221"/>
      <c r="MU28" s="1221"/>
      <c r="MV28" s="1221"/>
      <c r="MW28" s="1221"/>
      <c r="MX28" s="1221"/>
      <c r="MY28" s="1221"/>
      <c r="MZ28" s="1221"/>
      <c r="NA28" s="1221"/>
      <c r="NB28" s="1221"/>
      <c r="NC28" s="1221"/>
      <c r="ND28" s="1221"/>
      <c r="NE28" s="1221"/>
      <c r="NF28" s="1221"/>
      <c r="NG28" s="1221"/>
      <c r="NH28" s="1221"/>
      <c r="NI28" s="1221"/>
      <c r="NJ28" s="1221"/>
      <c r="NK28" s="1221"/>
      <c r="NL28" s="1221"/>
      <c r="NM28" s="1221"/>
      <c r="NN28" s="1221"/>
      <c r="NO28" s="1221"/>
      <c r="NP28" s="1221"/>
      <c r="NQ28" s="1221"/>
      <c r="NR28" s="1221"/>
      <c r="NS28" s="1221"/>
      <c r="NT28" s="1221"/>
      <c r="NU28" s="1221"/>
      <c r="NV28" s="1221"/>
      <c r="NW28" s="1221"/>
      <c r="NX28" s="1221"/>
      <c r="NY28" s="1221"/>
      <c r="NZ28" s="1221"/>
      <c r="OA28" s="1221"/>
      <c r="OB28" s="1221"/>
      <c r="OC28" s="1221"/>
      <c r="OD28" s="1221"/>
      <c r="OE28" s="1221"/>
      <c r="OF28" s="1221"/>
      <c r="OG28" s="1221"/>
      <c r="OH28" s="1221"/>
      <c r="OI28" s="1221"/>
      <c r="OJ28" s="1221"/>
      <c r="OK28" s="1221"/>
      <c r="OL28" s="1221"/>
      <c r="OM28" s="1221"/>
      <c r="ON28" s="1221"/>
      <c r="OO28" s="1221"/>
      <c r="OP28" s="1221"/>
      <c r="OQ28" s="1221"/>
      <c r="OR28" s="1221"/>
      <c r="OS28" s="1221"/>
      <c r="OT28" s="1221"/>
      <c r="OU28" s="1221"/>
      <c r="OV28" s="1221"/>
      <c r="OW28" s="1221"/>
      <c r="OX28" s="1221"/>
      <c r="OY28" s="1221"/>
      <c r="OZ28" s="1221"/>
      <c r="PA28" s="1221"/>
      <c r="PB28" s="1221"/>
      <c r="PC28" s="1221"/>
      <c r="PD28" s="1221"/>
      <c r="PE28" s="1221"/>
      <c r="PF28" s="1221"/>
      <c r="PG28" s="1221"/>
      <c r="PH28" s="1221"/>
      <c r="PI28" s="1221"/>
      <c r="PJ28" s="1221"/>
      <c r="PK28" s="1221"/>
      <c r="PL28" s="1221"/>
      <c r="PM28" s="1221"/>
      <c r="PN28" s="1221"/>
      <c r="PO28" s="1221"/>
      <c r="PP28" s="1221"/>
      <c r="PQ28" s="1221"/>
      <c r="PR28" s="1221"/>
      <c r="PS28" s="1221"/>
      <c r="PT28" s="1221"/>
      <c r="PU28" s="1221"/>
      <c r="PV28" s="1221"/>
      <c r="PW28" s="1221"/>
      <c r="PX28" s="1221"/>
      <c r="PY28" s="1221"/>
      <c r="PZ28" s="1221"/>
      <c r="QA28" s="1221"/>
      <c r="QB28" s="1221"/>
      <c r="QC28" s="1221"/>
      <c r="QD28" s="1221"/>
      <c r="QE28" s="1221"/>
      <c r="QF28" s="1221"/>
      <c r="QG28" s="1221"/>
      <c r="QH28" s="1221"/>
      <c r="QI28" s="1221"/>
      <c r="QJ28" s="1221"/>
      <c r="QK28" s="1221"/>
      <c r="QL28" s="1221"/>
      <c r="QM28" s="1221"/>
      <c r="QN28" s="1221"/>
      <c r="QO28" s="1221"/>
      <c r="QP28" s="1221"/>
      <c r="QQ28" s="1221"/>
      <c r="QR28" s="1221"/>
      <c r="QS28" s="1221"/>
      <c r="QT28" s="1221"/>
      <c r="QU28" s="1221"/>
      <c r="QV28" s="1221"/>
      <c r="QW28" s="1221"/>
      <c r="QX28" s="1221"/>
      <c r="QY28" s="1221"/>
      <c r="QZ28" s="1221"/>
      <c r="RA28" s="1221"/>
      <c r="RB28" s="1221"/>
      <c r="RC28" s="1221"/>
      <c r="RD28" s="1221"/>
      <c r="RE28" s="1221"/>
      <c r="RF28" s="1221"/>
      <c r="RG28" s="1221"/>
      <c r="RH28" s="1221"/>
      <c r="RI28" s="1221"/>
      <c r="RJ28" s="1221"/>
      <c r="RK28" s="1221"/>
      <c r="RL28" s="1221"/>
      <c r="RM28" s="1221"/>
      <c r="RN28" s="1221"/>
      <c r="RO28" s="1221"/>
      <c r="RP28" s="1221"/>
      <c r="RQ28" s="1221"/>
      <c r="RR28" s="1221"/>
      <c r="RS28" s="1221"/>
      <c r="RT28" s="1221"/>
      <c r="RU28" s="1221"/>
      <c r="RV28" s="1221"/>
      <c r="RW28" s="1221"/>
      <c r="RX28" s="1221"/>
      <c r="RY28" s="1221"/>
      <c r="RZ28" s="1221"/>
      <c r="SA28" s="1221"/>
      <c r="SB28" s="1221"/>
      <c r="SC28" s="1221"/>
      <c r="SD28" s="1221"/>
      <c r="SE28" s="1221"/>
      <c r="SF28" s="1221"/>
      <c r="SG28" s="1221"/>
      <c r="SH28" s="1221"/>
      <c r="SI28" s="1221"/>
      <c r="SJ28" s="1221"/>
      <c r="SK28" s="1221"/>
      <c r="SL28" s="1221"/>
      <c r="SM28" s="1221"/>
      <c r="SN28" s="1221"/>
      <c r="SO28" s="1221"/>
      <c r="SP28" s="1221"/>
      <c r="SQ28" s="1221"/>
      <c r="SR28" s="1221"/>
      <c r="SS28" s="1221"/>
      <c r="ST28" s="1221"/>
      <c r="SU28" s="1221"/>
      <c r="SV28" s="1221"/>
      <c r="SW28" s="1221"/>
      <c r="SX28" s="1221"/>
      <c r="SY28" s="1221"/>
      <c r="SZ28" s="1221"/>
      <c r="TA28" s="1221"/>
      <c r="TB28" s="1221"/>
      <c r="TC28" s="1221"/>
      <c r="TD28" s="1221"/>
      <c r="TE28" s="1221"/>
      <c r="TF28" s="1221"/>
      <c r="TG28" s="1221"/>
      <c r="TH28" s="1221"/>
      <c r="TI28" s="1221"/>
      <c r="TJ28" s="1221"/>
      <c r="TK28" s="1221"/>
      <c r="TL28" s="1221"/>
      <c r="TM28" s="1221"/>
      <c r="TN28" s="1221"/>
      <c r="TO28" s="1221"/>
      <c r="TP28" s="1221"/>
      <c r="TQ28" s="1221"/>
      <c r="TR28" s="1221"/>
      <c r="TS28" s="1221"/>
      <c r="TT28" s="1221"/>
      <c r="TU28" s="1221"/>
      <c r="TV28" s="1221"/>
      <c r="TW28" s="1221"/>
      <c r="TX28" s="1221"/>
      <c r="TY28" s="1221"/>
      <c r="TZ28" s="1221"/>
      <c r="UA28" s="1221"/>
      <c r="UB28" s="1221"/>
      <c r="UC28" s="1221"/>
      <c r="UD28" s="1221"/>
      <c r="UE28" s="1221"/>
      <c r="UF28" s="1221"/>
      <c r="UG28" s="1221"/>
      <c r="UH28" s="1221"/>
      <c r="UI28" s="1221"/>
      <c r="UJ28" s="1221"/>
      <c r="UK28" s="1221"/>
      <c r="UL28" s="1221"/>
      <c r="UM28" s="1221"/>
      <c r="UN28" s="1221"/>
      <c r="UO28" s="1221"/>
      <c r="UP28" s="1221"/>
      <c r="UQ28" s="1221"/>
      <c r="UR28" s="1221"/>
      <c r="US28" s="1221"/>
      <c r="UT28" s="1221"/>
      <c r="UU28" s="1221"/>
      <c r="UV28" s="1221"/>
      <c r="UW28" s="1221"/>
      <c r="UX28" s="1221"/>
      <c r="UY28" s="1221"/>
      <c r="UZ28" s="1221"/>
      <c r="VA28" s="1221"/>
      <c r="VB28" s="1221"/>
      <c r="VC28" s="1221"/>
      <c r="VD28" s="1221"/>
      <c r="VE28" s="1221"/>
      <c r="VF28" s="1221"/>
      <c r="VG28" s="1221"/>
      <c r="VH28" s="1221"/>
      <c r="VI28" s="1221"/>
      <c r="VJ28" s="1221"/>
      <c r="VK28" s="1221"/>
      <c r="VL28" s="1221"/>
      <c r="VM28" s="1221"/>
      <c r="VN28" s="1221"/>
      <c r="VO28" s="1221"/>
      <c r="VP28" s="1221"/>
      <c r="VQ28" s="1221"/>
      <c r="VR28" s="1221"/>
      <c r="VS28" s="1221"/>
      <c r="VT28" s="1221"/>
      <c r="VU28" s="1221"/>
      <c r="VV28" s="1221"/>
      <c r="VW28" s="1221"/>
      <c r="VX28" s="1221"/>
      <c r="VY28" s="1221"/>
      <c r="VZ28" s="1221"/>
      <c r="WA28" s="1221"/>
      <c r="WB28" s="1221"/>
      <c r="WC28" s="1221"/>
      <c r="WD28" s="1221"/>
      <c r="WE28" s="1221"/>
      <c r="WF28" s="1221"/>
      <c r="WG28" s="1221"/>
      <c r="WH28" s="1221"/>
      <c r="WI28" s="1221"/>
      <c r="WJ28" s="1221"/>
      <c r="WK28" s="1221"/>
      <c r="WL28" s="1221"/>
      <c r="WM28" s="1221"/>
      <c r="WN28" s="1221"/>
      <c r="WO28" s="1221"/>
      <c r="WP28" s="1221"/>
      <c r="WQ28" s="1221"/>
      <c r="WR28" s="1221"/>
      <c r="WS28" s="1221"/>
      <c r="WT28" s="1221"/>
      <c r="WU28" s="1221"/>
      <c r="WV28" s="1221"/>
      <c r="WW28" s="1221"/>
      <c r="WX28" s="1221"/>
      <c r="WY28" s="1221"/>
      <c r="WZ28" s="1221"/>
      <c r="XA28" s="1221"/>
      <c r="XB28" s="1221"/>
      <c r="XC28" s="1221"/>
      <c r="XD28" s="1221"/>
      <c r="XE28" s="1221"/>
      <c r="XF28" s="1221"/>
      <c r="XG28" s="1221"/>
      <c r="XH28" s="1221"/>
      <c r="XI28" s="1221"/>
      <c r="XJ28" s="1221"/>
      <c r="XK28" s="1221"/>
      <c r="XL28" s="1221"/>
      <c r="XM28" s="1221"/>
      <c r="XN28" s="1221"/>
      <c r="XO28" s="1221"/>
      <c r="XP28" s="1221"/>
      <c r="XQ28" s="1221"/>
      <c r="XR28" s="1221"/>
      <c r="XS28" s="1221"/>
      <c r="XT28" s="1221"/>
      <c r="XU28" s="1221"/>
      <c r="XV28" s="1221"/>
      <c r="XW28" s="1221"/>
      <c r="XX28" s="1221"/>
      <c r="XY28" s="1221"/>
      <c r="XZ28" s="1221"/>
      <c r="YA28" s="1221"/>
      <c r="YB28" s="1221"/>
      <c r="YC28" s="1221"/>
      <c r="YD28" s="1221"/>
      <c r="YE28" s="1221"/>
      <c r="YF28" s="1221"/>
      <c r="YG28" s="1221"/>
      <c r="YH28" s="1221"/>
      <c r="YI28" s="1221"/>
      <c r="YJ28" s="1221"/>
      <c r="YK28" s="1221"/>
      <c r="YL28" s="1221"/>
      <c r="YM28" s="1221"/>
      <c r="YN28" s="1221"/>
      <c r="YO28" s="1221"/>
      <c r="YP28" s="1221"/>
      <c r="YQ28" s="1221"/>
      <c r="YR28" s="1221"/>
      <c r="YS28" s="1221"/>
      <c r="YT28" s="1221"/>
      <c r="YU28" s="1221"/>
      <c r="YV28" s="1221"/>
      <c r="YW28" s="1221"/>
      <c r="YX28" s="1221"/>
      <c r="YY28" s="1221"/>
      <c r="YZ28" s="1221"/>
      <c r="ZA28" s="1221"/>
      <c r="ZB28" s="1221"/>
      <c r="ZC28" s="1221"/>
      <c r="ZD28" s="1221"/>
      <c r="ZE28" s="1221"/>
      <c r="ZF28" s="1221"/>
      <c r="ZG28" s="1221"/>
      <c r="ZH28" s="1221"/>
      <c r="ZI28" s="1221"/>
      <c r="ZJ28" s="1221"/>
      <c r="ZK28" s="1221"/>
      <c r="ZL28" s="1221"/>
      <c r="ZM28" s="1221"/>
      <c r="ZN28" s="1221"/>
      <c r="ZO28" s="1221"/>
      <c r="ZP28" s="1221"/>
      <c r="ZQ28" s="1221"/>
      <c r="ZR28" s="1221"/>
      <c r="ZS28" s="1221"/>
      <c r="ZT28" s="1221"/>
      <c r="ZU28" s="1221"/>
      <c r="ZV28" s="1221"/>
      <c r="ZW28" s="1221"/>
      <c r="ZX28" s="1221"/>
      <c r="ZY28" s="1221"/>
      <c r="ZZ28" s="1221"/>
      <c r="AAA28" s="1221"/>
      <c r="AAB28" s="1221"/>
      <c r="AAC28" s="1221"/>
      <c r="AAD28" s="1221"/>
      <c r="AAE28" s="1221"/>
      <c r="AAF28" s="1221"/>
      <c r="AAG28" s="1221"/>
      <c r="AAH28" s="1221"/>
      <c r="AAI28" s="1221"/>
      <c r="AAJ28" s="1221"/>
      <c r="AAK28" s="1221"/>
      <c r="AAL28" s="1221"/>
      <c r="AAM28" s="1221"/>
      <c r="AAN28" s="1221"/>
      <c r="AAO28" s="1221"/>
      <c r="AAP28" s="1221"/>
      <c r="AAQ28" s="1221"/>
      <c r="AAR28" s="1221"/>
      <c r="AAS28" s="1221"/>
      <c r="AAT28" s="1221"/>
      <c r="AAU28" s="1221"/>
      <c r="AAV28" s="1221"/>
      <c r="AAW28" s="1221"/>
      <c r="AAX28" s="1221"/>
      <c r="AAY28" s="1221"/>
      <c r="AAZ28" s="1221"/>
      <c r="ABA28" s="1221"/>
      <c r="ABB28" s="1221"/>
      <c r="ABC28" s="1221"/>
      <c r="ABD28" s="1221"/>
      <c r="ABE28" s="1221"/>
      <c r="ABF28" s="1221"/>
      <c r="ABG28" s="1221"/>
      <c r="ABH28" s="1221"/>
      <c r="ABI28" s="1221"/>
      <c r="ABJ28" s="1221"/>
      <c r="ABK28" s="1221"/>
      <c r="ABL28" s="1221"/>
      <c r="ABM28" s="1221"/>
      <c r="ABN28" s="1221"/>
      <c r="ABO28" s="1221"/>
      <c r="ABP28" s="1221"/>
      <c r="ABQ28" s="1221"/>
      <c r="ABR28" s="1221"/>
      <c r="ABS28" s="1221"/>
      <c r="ABT28" s="1221"/>
      <c r="ABU28" s="1221"/>
      <c r="ABV28" s="1221"/>
      <c r="ABW28" s="1221"/>
      <c r="ABX28" s="1221"/>
      <c r="ABY28" s="1221"/>
      <c r="ABZ28" s="1221"/>
      <c r="ACA28" s="1221"/>
      <c r="ACB28" s="1221"/>
      <c r="ACC28" s="1221"/>
      <c r="ACD28" s="1221"/>
      <c r="ACE28" s="1221"/>
      <c r="ACF28" s="1221"/>
      <c r="ACG28" s="1221"/>
      <c r="ACH28" s="1221"/>
      <c r="ACI28" s="1221"/>
      <c r="ACJ28" s="1221"/>
      <c r="ACK28" s="1221"/>
      <c r="ACL28" s="1221"/>
      <c r="ACM28" s="1221"/>
      <c r="ACN28" s="1221"/>
      <c r="ACO28" s="1221"/>
      <c r="ACP28" s="1221"/>
      <c r="ACQ28" s="1221"/>
      <c r="ACR28" s="1221"/>
      <c r="ACS28" s="1221"/>
      <c r="ACT28" s="1221"/>
      <c r="ACU28" s="1221"/>
      <c r="ACV28" s="1221"/>
      <c r="ACW28" s="1221"/>
      <c r="ACX28" s="1221"/>
      <c r="ACY28" s="1221"/>
      <c r="ACZ28" s="1221"/>
      <c r="ADA28" s="1221"/>
      <c r="ADB28" s="1221"/>
      <c r="ADC28" s="1221"/>
      <c r="ADD28" s="1221"/>
      <c r="ADE28" s="1221"/>
      <c r="ADF28" s="1221"/>
      <c r="ADG28" s="1221"/>
      <c r="ADH28" s="1221"/>
      <c r="ADI28" s="1221"/>
      <c r="ADJ28" s="1221"/>
      <c r="ADK28" s="1221"/>
      <c r="ADL28" s="1221"/>
      <c r="ADM28" s="1221"/>
      <c r="ADN28" s="1221"/>
      <c r="ADO28" s="1221"/>
      <c r="ADP28" s="1221"/>
      <c r="ADQ28" s="1221"/>
      <c r="ADR28" s="1221"/>
      <c r="ADS28" s="1221"/>
      <c r="ADT28" s="1221"/>
      <c r="ADU28" s="1221"/>
      <c r="ADV28" s="1221"/>
      <c r="ADW28" s="1221"/>
      <c r="ADX28" s="1221"/>
      <c r="ADY28" s="1221"/>
      <c r="ADZ28" s="1221"/>
      <c r="AEA28" s="1221"/>
      <c r="AEB28" s="1221"/>
      <c r="AEC28" s="1221"/>
      <c r="AED28" s="1221"/>
      <c r="AEE28" s="1221"/>
      <c r="AEF28" s="1221"/>
      <c r="AEG28" s="1221"/>
      <c r="AEH28" s="1221"/>
      <c r="AEI28" s="1221"/>
      <c r="AEJ28" s="1221"/>
      <c r="AEK28" s="1221"/>
      <c r="AEL28" s="1221"/>
      <c r="AEM28" s="1221"/>
      <c r="AEN28" s="1221"/>
      <c r="AEO28" s="1221"/>
      <c r="AEP28" s="1221"/>
      <c r="AEQ28" s="1221"/>
      <c r="AER28" s="1221"/>
      <c r="AES28" s="1221"/>
      <c r="AET28" s="1221"/>
      <c r="AEU28" s="1221"/>
      <c r="AEV28" s="1221"/>
      <c r="AEW28" s="1221"/>
      <c r="AEX28" s="1221"/>
      <c r="AEY28" s="1221"/>
      <c r="AEZ28" s="1221"/>
      <c r="AFA28" s="1221"/>
      <c r="AFB28" s="1221"/>
      <c r="AFC28" s="1221"/>
      <c r="AFD28" s="1221"/>
      <c r="AFE28" s="1221"/>
      <c r="AFF28" s="1221"/>
      <c r="AFG28" s="1221"/>
      <c r="AFH28" s="1221"/>
      <c r="AFI28" s="1221"/>
      <c r="AFJ28" s="1221"/>
      <c r="AFK28" s="1221"/>
      <c r="AFL28" s="1221"/>
      <c r="AFM28" s="1221"/>
      <c r="AFN28" s="1221"/>
      <c r="AFO28" s="1221"/>
      <c r="AFP28" s="1221"/>
      <c r="AFQ28" s="1221"/>
      <c r="AFR28" s="1221"/>
      <c r="AFS28" s="1221"/>
      <c r="AFT28" s="1221"/>
      <c r="AFU28" s="1221"/>
      <c r="AFV28" s="1221"/>
      <c r="AFW28" s="1221"/>
      <c r="AFX28" s="1221"/>
      <c r="AFY28" s="1221"/>
      <c r="AFZ28" s="1221"/>
      <c r="AGA28" s="1221"/>
      <c r="AGB28" s="1221"/>
      <c r="AGC28" s="1221"/>
      <c r="AGD28" s="1221"/>
      <c r="AGE28" s="1221"/>
      <c r="AGF28" s="1221"/>
      <c r="AGG28" s="1221"/>
      <c r="AGH28" s="1221"/>
      <c r="AGI28" s="1221"/>
      <c r="AGJ28" s="1221"/>
      <c r="AGK28" s="1221"/>
      <c r="AGL28" s="1221"/>
      <c r="AGM28" s="1221"/>
      <c r="AGN28" s="1221"/>
      <c r="AGO28" s="1221"/>
      <c r="AGP28" s="1221"/>
      <c r="AGQ28" s="1221"/>
      <c r="AGR28" s="1221"/>
      <c r="AGS28" s="1221"/>
      <c r="AGT28" s="1221"/>
      <c r="AGU28" s="1221"/>
      <c r="AGV28" s="1221"/>
      <c r="AGW28" s="1221"/>
      <c r="AGX28" s="1221"/>
      <c r="AGY28" s="1221"/>
      <c r="AGZ28" s="1221"/>
      <c r="AHA28" s="1221"/>
      <c r="AHB28" s="1221"/>
      <c r="AHC28" s="1221"/>
      <c r="AHD28" s="1221"/>
      <c r="AHE28" s="1221"/>
      <c r="AHF28" s="1221"/>
      <c r="AHG28" s="1221"/>
      <c r="AHH28" s="1221"/>
      <c r="AHI28" s="1221"/>
      <c r="AHJ28" s="1221"/>
      <c r="AHK28" s="1221"/>
      <c r="AHL28" s="1221"/>
      <c r="AHM28" s="1221"/>
      <c r="AHN28" s="1221"/>
      <c r="AHO28" s="1221"/>
      <c r="AHP28" s="1221"/>
      <c r="AHQ28" s="1221"/>
      <c r="AHR28" s="1221"/>
      <c r="AHS28" s="1221"/>
      <c r="AHT28" s="1221"/>
      <c r="AHU28" s="1221"/>
      <c r="AHV28" s="1221"/>
      <c r="AHW28" s="1221"/>
      <c r="AHX28" s="1221"/>
      <c r="AHY28" s="1221"/>
      <c r="AHZ28" s="1221"/>
      <c r="AIA28" s="1221"/>
      <c r="AIB28" s="1221"/>
      <c r="AIC28" s="1221"/>
      <c r="AID28" s="1221"/>
      <c r="AIE28" s="1221"/>
      <c r="AIF28" s="1221"/>
      <c r="AIG28" s="1221"/>
      <c r="AIH28" s="1221"/>
      <c r="AII28" s="1221"/>
      <c r="AIJ28" s="1221"/>
      <c r="AIK28" s="1221"/>
      <c r="AIL28" s="1221"/>
      <c r="AIM28" s="1221"/>
      <c r="AIN28" s="1221"/>
      <c r="AIO28" s="1221"/>
      <c r="AIP28" s="1221"/>
      <c r="AIQ28" s="1221"/>
      <c r="AIR28" s="1221"/>
      <c r="AIS28" s="1221"/>
      <c r="AIT28" s="1221"/>
      <c r="AIU28" s="1221"/>
      <c r="AIV28" s="1221"/>
      <c r="AIW28" s="1221"/>
      <c r="AIX28" s="1221"/>
      <c r="AIY28" s="1221"/>
      <c r="AIZ28" s="1221"/>
      <c r="AJA28" s="1221"/>
      <c r="AJB28" s="1221"/>
      <c r="AJC28" s="1221"/>
      <c r="AJD28" s="1221"/>
      <c r="AJE28" s="1221"/>
      <c r="AJF28" s="1221"/>
      <c r="AJG28" s="1221"/>
      <c r="AJH28" s="1221"/>
      <c r="AJI28" s="1221"/>
      <c r="AJJ28" s="1221"/>
      <c r="AJK28" s="1221"/>
      <c r="AJL28" s="1221"/>
      <c r="AJM28" s="1221"/>
      <c r="AJN28" s="1221"/>
      <c r="AJO28" s="1221"/>
      <c r="AJP28" s="1221"/>
      <c r="AJQ28" s="1221"/>
      <c r="AJR28" s="1221"/>
      <c r="AJS28" s="1221"/>
      <c r="AJT28" s="1221"/>
      <c r="AJU28" s="1221"/>
      <c r="AJV28" s="1221"/>
      <c r="AJW28" s="1221"/>
      <c r="AJX28" s="1221"/>
      <c r="AJY28" s="1221"/>
      <c r="AJZ28" s="1221"/>
      <c r="AKA28" s="1221"/>
      <c r="AKB28" s="1221"/>
      <c r="AKC28" s="1221"/>
      <c r="AKD28" s="1221"/>
      <c r="AKE28" s="1221"/>
      <c r="AKF28" s="1221"/>
      <c r="AKG28" s="1221"/>
      <c r="AKH28" s="1221"/>
      <c r="AKI28" s="1221"/>
      <c r="AKJ28" s="1221"/>
      <c r="AKK28" s="1221"/>
      <c r="AKL28" s="1221"/>
      <c r="AKM28" s="1221"/>
      <c r="AKN28" s="1221"/>
      <c r="AKO28" s="1221"/>
      <c r="AKP28" s="1221"/>
      <c r="AKQ28" s="1221"/>
      <c r="AKR28" s="1221"/>
      <c r="AKS28" s="1221"/>
      <c r="AKT28" s="1221"/>
      <c r="AKU28" s="1221"/>
      <c r="AKV28" s="1221"/>
      <c r="AKW28" s="1221"/>
      <c r="AKX28" s="1221"/>
      <c r="AKY28" s="1221"/>
      <c r="AKZ28" s="1221"/>
      <c r="ALA28" s="1221"/>
      <c r="ALB28" s="1221"/>
      <c r="ALC28" s="1221"/>
      <c r="ALD28" s="1221"/>
      <c r="ALE28" s="1221"/>
      <c r="ALF28" s="1221"/>
      <c r="ALG28" s="1221"/>
      <c r="ALH28" s="1221"/>
      <c r="ALI28" s="1221"/>
      <c r="ALJ28" s="1221"/>
      <c r="ALK28" s="1221"/>
      <c r="ALL28" s="1221"/>
      <c r="ALM28" s="1221"/>
      <c r="ALN28" s="1221"/>
      <c r="ALO28" s="1221"/>
      <c r="ALP28" s="1221"/>
      <c r="ALQ28" s="1221"/>
      <c r="ALR28" s="1221"/>
      <c r="ALS28" s="1221"/>
      <c r="ALT28" s="1221"/>
      <c r="ALU28" s="1221"/>
      <c r="ALV28" s="1221"/>
      <c r="ALW28" s="1221"/>
      <c r="ALX28" s="1221"/>
      <c r="ALY28" s="1221"/>
      <c r="ALZ28" s="1221"/>
      <c r="AMA28" s="1221"/>
      <c r="AMB28" s="1221"/>
      <c r="AMC28" s="1221"/>
      <c r="AMD28" s="1221"/>
      <c r="AME28" s="1221"/>
      <c r="AMF28" s="1221"/>
      <c r="AMG28" s="1221"/>
      <c r="AMH28" s="1221"/>
      <c r="AMI28" s="1221"/>
      <c r="AMJ28" s="1221"/>
      <c r="AMK28" s="1221"/>
      <c r="AML28" s="1221"/>
      <c r="AMM28" s="1221"/>
      <c r="AMN28" s="1221"/>
      <c r="AMO28" s="1221"/>
      <c r="AMP28" s="1221"/>
      <c r="AMQ28" s="1221"/>
      <c r="AMR28" s="1221"/>
      <c r="AMS28" s="1221"/>
      <c r="AMT28" s="1221"/>
      <c r="AMU28" s="1221"/>
      <c r="AMV28" s="1221"/>
      <c r="AMW28" s="1221"/>
      <c r="AMX28" s="1221"/>
      <c r="AMY28" s="1221"/>
      <c r="AMZ28" s="1221"/>
      <c r="ANA28" s="1221"/>
      <c r="ANB28" s="1221"/>
      <c r="ANC28" s="1221"/>
      <c r="AND28" s="1221"/>
      <c r="ANE28" s="1221"/>
      <c r="ANF28" s="1221"/>
      <c r="ANG28" s="1221"/>
      <c r="ANH28" s="1221"/>
      <c r="ANI28" s="1221"/>
      <c r="ANJ28" s="1221"/>
      <c r="ANK28" s="1221"/>
      <c r="ANL28" s="1221"/>
      <c r="ANM28" s="1221"/>
      <c r="ANN28" s="1221"/>
      <c r="ANO28" s="1221"/>
      <c r="ANP28" s="1221"/>
      <c r="ANQ28" s="1221"/>
      <c r="ANR28" s="1221"/>
      <c r="ANS28" s="1221"/>
      <c r="ANT28" s="1221"/>
      <c r="ANU28" s="1221"/>
      <c r="ANV28" s="1221"/>
      <c r="ANW28" s="1221"/>
      <c r="ANX28" s="1221"/>
      <c r="ANY28" s="1221"/>
      <c r="ANZ28" s="1221"/>
      <c r="AOA28" s="1221"/>
      <c r="AOB28" s="1221"/>
      <c r="AOC28" s="1221"/>
      <c r="AOD28" s="1221"/>
      <c r="AOE28" s="1221"/>
      <c r="AOF28" s="1221"/>
      <c r="AOG28" s="1221"/>
      <c r="AOH28" s="1221"/>
      <c r="AOI28" s="1221"/>
      <c r="AOJ28" s="1221"/>
      <c r="AOK28" s="1221"/>
      <c r="AOL28" s="1221"/>
      <c r="AOM28" s="1221"/>
      <c r="AON28" s="1221"/>
      <c r="AOO28" s="1221"/>
      <c r="AOP28" s="1221"/>
      <c r="AOQ28" s="1221"/>
      <c r="AOR28" s="1221"/>
      <c r="AOS28" s="1221"/>
      <c r="AOT28" s="1221"/>
      <c r="AOU28" s="1221"/>
      <c r="AOV28" s="1221"/>
      <c r="AOW28" s="1221"/>
      <c r="AOX28" s="1221"/>
      <c r="AOY28" s="1221"/>
      <c r="AOZ28" s="1221"/>
      <c r="APA28" s="1221"/>
      <c r="APB28" s="1221"/>
      <c r="APC28" s="1221"/>
      <c r="APD28" s="1221"/>
      <c r="APE28" s="1221"/>
      <c r="APF28" s="1221"/>
      <c r="APG28" s="1221"/>
      <c r="APH28" s="1221"/>
      <c r="API28" s="1221"/>
      <c r="APJ28" s="1221"/>
      <c r="APK28" s="1221"/>
      <c r="APL28" s="1221"/>
      <c r="APM28" s="1221"/>
      <c r="APN28" s="1221"/>
      <c r="APO28" s="1221"/>
      <c r="APP28" s="1221"/>
      <c r="APQ28" s="1221"/>
      <c r="APR28" s="1221"/>
      <c r="APS28" s="1221"/>
      <c r="APT28" s="1221"/>
      <c r="APU28" s="1221"/>
      <c r="APV28" s="1221"/>
      <c r="APW28" s="1221"/>
      <c r="APX28" s="1221"/>
      <c r="APY28" s="1221"/>
      <c r="APZ28" s="1221"/>
      <c r="AQA28" s="1221"/>
      <c r="AQB28" s="1221"/>
      <c r="AQC28" s="1221"/>
      <c r="AQD28" s="1221"/>
      <c r="AQE28" s="1221"/>
      <c r="AQF28" s="1221"/>
      <c r="AQG28" s="1221"/>
      <c r="AQH28" s="1221"/>
      <c r="AQI28" s="1221"/>
      <c r="AQJ28" s="1221"/>
      <c r="AQK28" s="1221"/>
      <c r="AQL28" s="1221"/>
      <c r="AQM28" s="1221"/>
      <c r="AQN28" s="1221"/>
      <c r="AQO28" s="1221"/>
      <c r="AQP28" s="1221"/>
      <c r="AQQ28" s="1221"/>
      <c r="AQR28" s="1221"/>
      <c r="AQS28" s="1221"/>
      <c r="AQT28" s="1221"/>
      <c r="AQU28" s="1221"/>
      <c r="AQV28" s="1221"/>
      <c r="AQW28" s="1221"/>
      <c r="AQX28" s="1221"/>
      <c r="AQY28" s="1221"/>
      <c r="AQZ28" s="1221"/>
      <c r="ARA28" s="1221"/>
      <c r="ARB28" s="1221"/>
      <c r="ARC28" s="1221"/>
      <c r="ARD28" s="1221"/>
      <c r="ARE28" s="1221"/>
      <c r="ARF28" s="1221"/>
      <c r="ARG28" s="1221"/>
      <c r="ARH28" s="1221"/>
      <c r="ARI28" s="1221"/>
      <c r="ARJ28" s="1221"/>
      <c r="ARK28" s="1221"/>
      <c r="ARL28" s="1221"/>
      <c r="ARM28" s="1221"/>
      <c r="ARN28" s="1221"/>
      <c r="ARO28" s="1221"/>
      <c r="ARP28" s="1221"/>
      <c r="ARQ28" s="1221"/>
      <c r="ARR28" s="1221"/>
      <c r="ARS28" s="1221"/>
      <c r="ART28" s="1221"/>
      <c r="ARU28" s="1221"/>
      <c r="ARV28" s="1221"/>
      <c r="ARW28" s="1221"/>
      <c r="ARX28" s="1221"/>
      <c r="ARY28" s="1221"/>
      <c r="ARZ28" s="1221"/>
      <c r="ASA28" s="1221"/>
      <c r="ASB28" s="1221"/>
      <c r="ASC28" s="1221"/>
      <c r="ASD28" s="1221"/>
      <c r="ASE28" s="1221"/>
      <c r="ASF28" s="1221"/>
      <c r="ASG28" s="1221"/>
      <c r="ASH28" s="1221"/>
      <c r="ASI28" s="1221"/>
      <c r="ASJ28" s="1221"/>
      <c r="ASK28" s="1221"/>
      <c r="ASL28" s="1221"/>
      <c r="ASM28" s="1221"/>
      <c r="ASN28" s="1221"/>
      <c r="ASO28" s="1221"/>
      <c r="ASP28" s="1221"/>
      <c r="ASQ28" s="1221"/>
      <c r="ASR28" s="1221"/>
      <c r="ASS28" s="1221"/>
      <c r="AST28" s="1221"/>
      <c r="ASU28" s="1221"/>
      <c r="ASV28" s="1221"/>
      <c r="ASW28" s="1221"/>
      <c r="ASX28" s="1221"/>
      <c r="ASY28" s="1221"/>
      <c r="ASZ28" s="1221"/>
      <c r="ATA28" s="1221"/>
      <c r="ATB28" s="1221"/>
      <c r="ATC28" s="1221"/>
      <c r="ATD28" s="1221"/>
      <c r="ATE28" s="1221"/>
      <c r="ATF28" s="1221"/>
      <c r="ATG28" s="1221"/>
      <c r="ATH28" s="1221"/>
      <c r="ATI28" s="1221"/>
      <c r="ATJ28" s="1221"/>
      <c r="ATK28" s="1221"/>
      <c r="ATL28" s="1221"/>
      <c r="ATM28" s="1221"/>
      <c r="ATN28" s="1221"/>
      <c r="ATO28" s="1221"/>
      <c r="ATP28" s="1221"/>
      <c r="ATQ28" s="1221"/>
      <c r="ATR28" s="1221"/>
      <c r="ATS28" s="1221"/>
      <c r="ATT28" s="1221"/>
      <c r="ATU28" s="1221"/>
      <c r="ATV28" s="1221"/>
      <c r="ATW28" s="1221"/>
      <c r="ATX28" s="1221"/>
      <c r="ATY28" s="1221"/>
      <c r="ATZ28" s="1221"/>
      <c r="AUA28" s="1221"/>
      <c r="AUB28" s="1221"/>
      <c r="AUC28" s="1221"/>
      <c r="AUD28" s="1221"/>
      <c r="AUE28" s="1221"/>
      <c r="AUF28" s="1221"/>
      <c r="AUG28" s="1221"/>
      <c r="AUH28" s="1221"/>
      <c r="AUI28" s="1221"/>
      <c r="AUJ28" s="1221"/>
      <c r="AUK28" s="1221"/>
      <c r="AUL28" s="1221"/>
      <c r="AUM28" s="1221"/>
      <c r="AUN28" s="1221"/>
      <c r="AUO28" s="1221"/>
      <c r="AUP28" s="1221"/>
      <c r="AUQ28" s="1221"/>
      <c r="AUR28" s="1221"/>
      <c r="AUS28" s="1221"/>
      <c r="AUT28" s="1221"/>
      <c r="AUU28" s="1221"/>
      <c r="AUV28" s="1221"/>
      <c r="AUW28" s="1221"/>
      <c r="AUX28" s="1221"/>
      <c r="AUY28" s="1221"/>
      <c r="AUZ28" s="1221"/>
      <c r="AVA28" s="1221"/>
      <c r="AVB28" s="1221"/>
      <c r="AVC28" s="1221"/>
      <c r="AVD28" s="1221"/>
      <c r="AVE28" s="1221"/>
      <c r="AVF28" s="1221"/>
      <c r="AVG28" s="1221"/>
      <c r="AVH28" s="1221"/>
      <c r="AVI28" s="1221"/>
      <c r="AVJ28" s="1221"/>
      <c r="AVK28" s="1221"/>
      <c r="AVL28" s="1221"/>
      <c r="AVM28" s="1221"/>
      <c r="AVN28" s="1221"/>
      <c r="AVO28" s="1221"/>
      <c r="AVP28" s="1221"/>
      <c r="AVQ28" s="1221"/>
      <c r="AVR28" s="1221"/>
      <c r="AVS28" s="1221"/>
      <c r="AVT28" s="1221"/>
      <c r="AVU28" s="1221"/>
      <c r="AVV28" s="1221"/>
      <c r="AVW28" s="1221"/>
      <c r="AVX28" s="1221"/>
      <c r="AVY28" s="1221"/>
      <c r="AVZ28" s="1221"/>
      <c r="AWA28" s="1221"/>
      <c r="AWB28" s="1221"/>
      <c r="AWC28" s="1221"/>
      <c r="AWD28" s="1221"/>
      <c r="AWE28" s="1221"/>
      <c r="AWF28" s="1221"/>
      <c r="AWG28" s="1221"/>
      <c r="AWH28" s="1221"/>
      <c r="AWI28" s="1221"/>
      <c r="AWJ28" s="1221"/>
      <c r="AWK28" s="1221"/>
      <c r="AWL28" s="1221"/>
      <c r="AWM28" s="1221"/>
      <c r="AWN28" s="1221"/>
      <c r="AWO28" s="1221"/>
      <c r="AWP28" s="1221"/>
      <c r="AWQ28" s="1221"/>
      <c r="AWR28" s="1221"/>
      <c r="AWS28" s="1221"/>
      <c r="AWT28" s="1221"/>
      <c r="AWU28" s="1221"/>
      <c r="AWV28" s="1221"/>
      <c r="AWW28" s="1221"/>
      <c r="AWX28" s="1221"/>
      <c r="AWY28" s="1221"/>
      <c r="AWZ28" s="1221"/>
      <c r="AXA28" s="1221"/>
      <c r="AXB28" s="1221"/>
      <c r="AXC28" s="1221"/>
      <c r="AXD28" s="1221"/>
      <c r="AXE28" s="1221"/>
      <c r="AXF28" s="1221"/>
      <c r="AXG28" s="1221"/>
      <c r="AXH28" s="1221"/>
      <c r="AXI28" s="1221"/>
      <c r="AXJ28" s="1221"/>
      <c r="AXK28" s="1221"/>
      <c r="AXL28" s="1221"/>
      <c r="AXM28" s="1221"/>
      <c r="AXN28" s="1221"/>
      <c r="AXO28" s="1221"/>
      <c r="AXP28" s="1221"/>
      <c r="AXQ28" s="1221"/>
      <c r="AXR28" s="1221"/>
      <c r="AXS28" s="1221"/>
      <c r="AXT28" s="1221"/>
      <c r="AXU28" s="1221"/>
      <c r="AXV28" s="1221"/>
      <c r="AXW28" s="1221"/>
      <c r="AXX28" s="1221"/>
      <c r="AXY28" s="1221"/>
      <c r="AXZ28" s="1221"/>
      <c r="AYA28" s="1221"/>
      <c r="AYB28" s="1221"/>
      <c r="AYC28" s="1221"/>
      <c r="AYD28" s="1221"/>
      <c r="AYE28" s="1221"/>
      <c r="AYF28" s="1221"/>
      <c r="AYG28" s="1221"/>
      <c r="AYH28" s="1221"/>
      <c r="AYI28" s="1221"/>
      <c r="AYJ28" s="1221"/>
      <c r="AYK28" s="1221"/>
      <c r="AYL28" s="1221"/>
      <c r="AYM28" s="1221"/>
      <c r="AYN28" s="1221"/>
      <c r="AYO28" s="1221"/>
      <c r="AYP28" s="1221"/>
      <c r="AYQ28" s="1221"/>
      <c r="AYR28" s="1221"/>
      <c r="AYS28" s="1221"/>
      <c r="AYT28" s="1221"/>
      <c r="AYU28" s="1221"/>
      <c r="AYV28" s="1221"/>
      <c r="AYW28" s="1221"/>
      <c r="AYX28" s="1221"/>
      <c r="AYY28" s="1221"/>
      <c r="AYZ28" s="1221"/>
      <c r="AZA28" s="1221"/>
      <c r="AZB28" s="1221"/>
      <c r="AZC28" s="1221"/>
      <c r="AZD28" s="1221"/>
      <c r="AZE28" s="1221"/>
      <c r="AZF28" s="1221"/>
      <c r="AZG28" s="1221"/>
      <c r="AZH28" s="1221"/>
      <c r="AZI28" s="1221"/>
      <c r="AZJ28" s="1221"/>
      <c r="AZK28" s="1221"/>
      <c r="AZL28" s="1221"/>
      <c r="AZM28" s="1221"/>
      <c r="AZN28" s="1221"/>
      <c r="AZO28" s="1221"/>
      <c r="AZP28" s="1221"/>
      <c r="AZQ28" s="1221"/>
      <c r="AZR28" s="1221"/>
      <c r="AZS28" s="1221"/>
      <c r="AZT28" s="1221"/>
      <c r="AZU28" s="1221"/>
      <c r="AZV28" s="1221"/>
      <c r="AZW28" s="1221"/>
      <c r="AZX28" s="1221"/>
      <c r="AZY28" s="1221"/>
      <c r="AZZ28" s="1221"/>
      <c r="BAA28" s="1221"/>
      <c r="BAB28" s="1221"/>
      <c r="BAC28" s="1221"/>
      <c r="BAD28" s="1221"/>
      <c r="BAE28" s="1221"/>
      <c r="BAF28" s="1221"/>
      <c r="BAG28" s="1221"/>
      <c r="BAH28" s="1221"/>
      <c r="BAI28" s="1221"/>
      <c r="BAJ28" s="1221"/>
      <c r="BAK28" s="1221"/>
      <c r="BAL28" s="1221"/>
      <c r="BAM28" s="1221"/>
      <c r="BAN28" s="1221"/>
      <c r="BAO28" s="1221"/>
      <c r="BAP28" s="1221"/>
      <c r="BAQ28" s="1221"/>
      <c r="BAR28" s="1221"/>
      <c r="BAS28" s="1221"/>
      <c r="BAT28" s="1221"/>
      <c r="BAU28" s="1221"/>
      <c r="BAV28" s="1221"/>
      <c r="BAW28" s="1221"/>
      <c r="BAX28" s="1221"/>
      <c r="BAY28" s="1221"/>
      <c r="BAZ28" s="1221"/>
      <c r="BBA28" s="1221"/>
      <c r="BBB28" s="1221"/>
      <c r="BBC28" s="1221"/>
      <c r="BBD28" s="1221"/>
      <c r="BBE28" s="1221"/>
      <c r="BBF28" s="1221"/>
      <c r="BBG28" s="1221"/>
      <c r="BBH28" s="1221"/>
      <c r="BBI28" s="1221"/>
      <c r="BBJ28" s="1221"/>
      <c r="BBK28" s="1221"/>
      <c r="BBL28" s="1221"/>
      <c r="BBM28" s="1221"/>
      <c r="BBN28" s="1221"/>
      <c r="BBO28" s="1221"/>
      <c r="BBP28" s="1221"/>
      <c r="BBQ28" s="1221"/>
      <c r="BBR28" s="1221"/>
      <c r="BBS28" s="1221"/>
      <c r="BBT28" s="1221"/>
      <c r="BBU28" s="1221"/>
      <c r="BBV28" s="1221"/>
      <c r="BBW28" s="1221"/>
      <c r="BBX28" s="1221"/>
      <c r="BBY28" s="1221"/>
      <c r="BBZ28" s="1221"/>
      <c r="BCA28" s="1221"/>
      <c r="BCB28" s="1221"/>
      <c r="BCC28" s="1221"/>
      <c r="BCD28" s="1221"/>
      <c r="BCE28" s="1221"/>
      <c r="BCF28" s="1221"/>
      <c r="BCG28" s="1221"/>
      <c r="BCH28" s="1221"/>
      <c r="BCI28" s="1221"/>
      <c r="BCJ28" s="1221"/>
      <c r="BCK28" s="1221"/>
      <c r="BCL28" s="1221"/>
      <c r="BCM28" s="1221"/>
      <c r="BCN28" s="1221"/>
      <c r="BCO28" s="1221"/>
      <c r="BCP28" s="1221"/>
      <c r="BCQ28" s="1221"/>
      <c r="BCR28" s="1221"/>
      <c r="BCS28" s="1221"/>
      <c r="BCT28" s="1221"/>
      <c r="BCU28" s="1221"/>
      <c r="BCV28" s="1221"/>
      <c r="BCW28" s="1221"/>
      <c r="BCX28" s="1221"/>
      <c r="BCY28" s="1221"/>
      <c r="BCZ28" s="1221"/>
      <c r="BDA28" s="1221"/>
      <c r="BDB28" s="1221"/>
      <c r="BDC28" s="1221"/>
      <c r="BDD28" s="1221"/>
      <c r="BDE28" s="1221"/>
      <c r="BDF28" s="1221"/>
      <c r="BDG28" s="1221"/>
      <c r="BDH28" s="1221"/>
      <c r="BDI28" s="1221"/>
      <c r="BDJ28" s="1221"/>
      <c r="BDK28" s="1221"/>
      <c r="BDL28" s="1221"/>
      <c r="BDM28" s="1221"/>
      <c r="BDN28" s="1221"/>
      <c r="BDO28" s="1221"/>
      <c r="BDP28" s="1221"/>
      <c r="BDQ28" s="1221"/>
      <c r="BDR28" s="1221"/>
      <c r="BDS28" s="1221"/>
      <c r="BDT28" s="1221"/>
      <c r="BDU28" s="1221"/>
      <c r="BDV28" s="1221"/>
      <c r="BDW28" s="1221"/>
      <c r="BDX28" s="1221"/>
      <c r="BDY28" s="1221"/>
      <c r="BDZ28" s="1221"/>
      <c r="BEA28" s="1221"/>
      <c r="BEB28" s="1221"/>
      <c r="BEC28" s="1221"/>
      <c r="BED28" s="1221"/>
      <c r="BEE28" s="1221"/>
      <c r="BEF28" s="1221"/>
      <c r="BEG28" s="1221"/>
      <c r="BEH28" s="1221"/>
      <c r="BEI28" s="1221"/>
      <c r="BEJ28" s="1221"/>
      <c r="BEK28" s="1221"/>
      <c r="BEL28" s="1221"/>
      <c r="BEM28" s="1221"/>
      <c r="BEN28" s="1221"/>
      <c r="BEO28" s="1221"/>
      <c r="BEP28" s="1221"/>
      <c r="BEQ28" s="1221"/>
      <c r="BER28" s="1221"/>
      <c r="BES28" s="1221"/>
      <c r="BET28" s="1221"/>
      <c r="BEU28" s="1221"/>
      <c r="BEV28" s="1221"/>
      <c r="BEW28" s="1221"/>
      <c r="BEX28" s="1221"/>
      <c r="BEY28" s="1221"/>
      <c r="BEZ28" s="1221"/>
      <c r="BFA28" s="1221"/>
      <c r="BFB28" s="1221"/>
      <c r="BFC28" s="1221"/>
      <c r="BFD28" s="1221"/>
      <c r="BFE28" s="1221"/>
      <c r="BFF28" s="1221"/>
      <c r="BFG28" s="1221"/>
      <c r="BFH28" s="1221"/>
      <c r="BFI28" s="1221"/>
      <c r="BFJ28" s="1221"/>
      <c r="BFK28" s="1221"/>
      <c r="BFL28" s="1221"/>
      <c r="BFM28" s="1221"/>
      <c r="BFN28" s="1221"/>
      <c r="BFO28" s="1221"/>
      <c r="BFP28" s="1221"/>
      <c r="BFQ28" s="1221"/>
      <c r="BFR28" s="1221"/>
      <c r="BFS28" s="1221"/>
      <c r="BFT28" s="1221"/>
      <c r="BFU28" s="1221"/>
      <c r="BFV28" s="1221"/>
      <c r="BFW28" s="1221"/>
      <c r="BFX28" s="1221"/>
      <c r="BFY28" s="1221"/>
      <c r="BFZ28" s="1221"/>
      <c r="BGA28" s="1221"/>
      <c r="BGB28" s="1221"/>
      <c r="BGC28" s="1221"/>
      <c r="BGD28" s="1221"/>
      <c r="BGE28" s="1221"/>
      <c r="BGF28" s="1221"/>
      <c r="BGG28" s="1221"/>
      <c r="BGH28" s="1221"/>
      <c r="BGI28" s="1221"/>
      <c r="BGJ28" s="1221"/>
      <c r="BGK28" s="1221"/>
      <c r="BGL28" s="1221"/>
      <c r="BGM28" s="1221"/>
      <c r="BGN28" s="1221"/>
      <c r="BGO28" s="1221"/>
      <c r="BGP28" s="1221"/>
      <c r="BGQ28" s="1221"/>
      <c r="BGR28" s="1221"/>
      <c r="BGS28" s="1221"/>
      <c r="BGT28" s="1221"/>
      <c r="BGU28" s="1221"/>
      <c r="BGV28" s="1221"/>
      <c r="BGW28" s="1221"/>
      <c r="BGX28" s="1221"/>
      <c r="BGY28" s="1221"/>
      <c r="BGZ28" s="1221"/>
      <c r="BHA28" s="1221"/>
      <c r="BHB28" s="1221"/>
      <c r="BHC28" s="1221"/>
      <c r="BHD28" s="1221"/>
      <c r="BHE28" s="1221"/>
      <c r="BHF28" s="1221"/>
      <c r="BHG28" s="1221"/>
      <c r="BHH28" s="1221"/>
      <c r="BHI28" s="1221"/>
      <c r="BHJ28" s="1221"/>
      <c r="BHK28" s="1221"/>
      <c r="BHL28" s="1221"/>
      <c r="BHM28" s="1221"/>
      <c r="BHN28" s="1221"/>
      <c r="BHO28" s="1221"/>
      <c r="BHP28" s="1221"/>
      <c r="BHQ28" s="1221"/>
      <c r="BHR28" s="1221"/>
      <c r="BHS28" s="1221"/>
      <c r="BHT28" s="1221"/>
      <c r="BHU28" s="1221"/>
      <c r="BHV28" s="1221"/>
      <c r="BHW28" s="1221"/>
      <c r="BHX28" s="1221"/>
      <c r="BHY28" s="1221"/>
      <c r="BHZ28" s="1221"/>
      <c r="BIA28" s="1221"/>
      <c r="BIB28" s="1221"/>
      <c r="BIC28" s="1221"/>
      <c r="BID28" s="1221"/>
      <c r="BIE28" s="1221"/>
      <c r="BIF28" s="1221"/>
      <c r="BIG28" s="1221"/>
      <c r="BIH28" s="1221"/>
      <c r="BII28" s="1221"/>
      <c r="BIJ28" s="1221"/>
      <c r="BIK28" s="1221"/>
      <c r="BIL28" s="1221"/>
      <c r="BIM28" s="1221"/>
      <c r="BIN28" s="1221"/>
      <c r="BIO28" s="1221"/>
      <c r="BIP28" s="1221"/>
      <c r="BIQ28" s="1221"/>
      <c r="BIR28" s="1221"/>
      <c r="BIS28" s="1221"/>
      <c r="BIT28" s="1221"/>
      <c r="BIU28" s="1221"/>
      <c r="BIV28" s="1221"/>
      <c r="BIW28" s="1221"/>
      <c r="BIX28" s="1221"/>
      <c r="BIY28" s="1221"/>
      <c r="BIZ28" s="1221"/>
      <c r="BJA28" s="1221"/>
      <c r="BJB28" s="1221"/>
      <c r="BJC28" s="1221"/>
      <c r="BJD28" s="1221"/>
      <c r="BJE28" s="1221"/>
      <c r="BJF28" s="1221"/>
      <c r="BJG28" s="1221"/>
      <c r="BJH28" s="1221"/>
      <c r="BJI28" s="1221"/>
      <c r="BJJ28" s="1221"/>
      <c r="BJK28" s="1221"/>
      <c r="BJL28" s="1221"/>
      <c r="BJM28" s="1221"/>
      <c r="BJN28" s="1221"/>
      <c r="BJO28" s="1221"/>
      <c r="BJP28" s="1221"/>
      <c r="BJQ28" s="1221"/>
      <c r="BJR28" s="1221"/>
      <c r="BJS28" s="1221"/>
      <c r="BJT28" s="1221"/>
      <c r="BJU28" s="1221"/>
      <c r="BJV28" s="1221"/>
      <c r="BJW28" s="1221"/>
      <c r="BJX28" s="1221"/>
      <c r="BJY28" s="1221"/>
      <c r="BJZ28" s="1221"/>
      <c r="BKA28" s="1221"/>
      <c r="BKB28" s="1221"/>
      <c r="BKC28" s="1221"/>
      <c r="BKD28" s="1221"/>
      <c r="BKE28" s="1221"/>
      <c r="BKF28" s="1221"/>
      <c r="BKG28" s="1221"/>
      <c r="BKH28" s="1221"/>
      <c r="BKI28" s="1221"/>
      <c r="BKJ28" s="1221"/>
      <c r="BKK28" s="1221"/>
      <c r="BKL28" s="1221"/>
      <c r="BKM28" s="1221"/>
      <c r="BKN28" s="1221"/>
      <c r="BKO28" s="1221"/>
      <c r="BKP28" s="1221"/>
      <c r="BKQ28" s="1221"/>
      <c r="BKR28" s="1221"/>
      <c r="BKS28" s="1221"/>
      <c r="BKT28" s="1221"/>
      <c r="BKU28" s="1221"/>
      <c r="BKV28" s="1221"/>
      <c r="BKW28" s="1221"/>
      <c r="BKX28" s="1221"/>
      <c r="BKY28" s="1221"/>
      <c r="BKZ28" s="1221"/>
      <c r="BLA28" s="1221"/>
      <c r="BLB28" s="1221"/>
      <c r="BLC28" s="1221"/>
      <c r="BLD28" s="1221"/>
      <c r="BLE28" s="1221"/>
      <c r="BLF28" s="1221"/>
      <c r="BLG28" s="1221"/>
      <c r="BLH28" s="1221"/>
      <c r="BLI28" s="1221"/>
      <c r="BLJ28" s="1221"/>
      <c r="BLK28" s="1221"/>
      <c r="BLL28" s="1221"/>
      <c r="BLM28" s="1221"/>
      <c r="BLN28" s="1221"/>
      <c r="BLO28" s="1221"/>
      <c r="BLP28" s="1221"/>
      <c r="BLQ28" s="1221"/>
      <c r="BLR28" s="1221"/>
      <c r="BLS28" s="1221"/>
      <c r="BLT28" s="1221"/>
      <c r="BLU28" s="1221"/>
      <c r="BLV28" s="1221"/>
      <c r="BLW28" s="1221"/>
      <c r="BLX28" s="1221"/>
      <c r="BLY28" s="1221"/>
      <c r="BLZ28" s="1221"/>
      <c r="BMA28" s="1221"/>
      <c r="BMB28" s="1221"/>
      <c r="BMC28" s="1221"/>
      <c r="BMD28" s="1221"/>
      <c r="BME28" s="1221"/>
      <c r="BMF28" s="1221"/>
      <c r="BMG28" s="1221"/>
      <c r="BMH28" s="1221"/>
      <c r="BMI28" s="1221"/>
      <c r="BMJ28" s="1221"/>
      <c r="BMK28" s="1221"/>
      <c r="BML28" s="1221"/>
      <c r="BMM28" s="1221"/>
      <c r="BMN28" s="1221"/>
      <c r="BMO28" s="1221"/>
      <c r="BMP28" s="1221"/>
      <c r="BMQ28" s="1221"/>
      <c r="BMR28" s="1221"/>
      <c r="BMS28" s="1221"/>
      <c r="BMT28" s="1221"/>
      <c r="BMU28" s="1221"/>
      <c r="BMV28" s="1221"/>
      <c r="BMW28" s="1221"/>
      <c r="BMX28" s="1221"/>
      <c r="BMY28" s="1221"/>
      <c r="BMZ28" s="1221"/>
      <c r="BNA28" s="1221"/>
      <c r="BNB28" s="1221"/>
      <c r="BNC28" s="1221"/>
      <c r="BND28" s="1221"/>
      <c r="BNE28" s="1221"/>
      <c r="BNF28" s="1221"/>
      <c r="BNG28" s="1221"/>
      <c r="BNH28" s="1221"/>
      <c r="BNI28" s="1221"/>
      <c r="BNJ28" s="1221"/>
      <c r="BNK28" s="1221"/>
      <c r="BNL28" s="1221"/>
      <c r="BNM28" s="1221"/>
      <c r="BNN28" s="1221"/>
      <c r="BNO28" s="1221"/>
      <c r="BNP28" s="1221"/>
      <c r="BNQ28" s="1221"/>
      <c r="BNR28" s="1221"/>
      <c r="BNS28" s="1221"/>
      <c r="BNT28" s="1221"/>
      <c r="BNU28" s="1221"/>
      <c r="BNV28" s="1221"/>
      <c r="BNW28" s="1221"/>
      <c r="BNX28" s="1221"/>
      <c r="BNY28" s="1221"/>
      <c r="BNZ28" s="1221"/>
      <c r="BOA28" s="1221"/>
      <c r="BOB28" s="1221"/>
      <c r="BOC28" s="1221"/>
      <c r="BOD28" s="1221"/>
      <c r="BOE28" s="1221"/>
      <c r="BOF28" s="1221"/>
      <c r="BOG28" s="1221"/>
      <c r="BOH28" s="1221"/>
      <c r="BOI28" s="1221"/>
      <c r="BOJ28" s="1221"/>
      <c r="BOK28" s="1221"/>
      <c r="BOL28" s="1221"/>
      <c r="BOM28" s="1221"/>
      <c r="BON28" s="1221"/>
      <c r="BOO28" s="1221"/>
      <c r="BOP28" s="1221"/>
      <c r="BOQ28" s="1221"/>
      <c r="BOR28" s="1221"/>
      <c r="BOS28" s="1221"/>
      <c r="BOT28" s="1221"/>
      <c r="BOU28" s="1221"/>
      <c r="BOV28" s="1221"/>
      <c r="BOW28" s="1221"/>
      <c r="BOX28" s="1221"/>
      <c r="BOY28" s="1221"/>
      <c r="BOZ28" s="1221"/>
      <c r="BPA28" s="1221"/>
      <c r="BPB28" s="1221"/>
      <c r="BPC28" s="1221"/>
      <c r="BPD28" s="1221"/>
      <c r="BPE28" s="1221"/>
      <c r="BPF28" s="1221"/>
      <c r="BPG28" s="1221"/>
      <c r="BPH28" s="1221"/>
      <c r="BPI28" s="1221"/>
      <c r="BPJ28" s="1221"/>
      <c r="BPK28" s="1221"/>
      <c r="BPL28" s="1221"/>
      <c r="BPM28" s="1221"/>
      <c r="BPN28" s="1221"/>
      <c r="BPO28" s="1221"/>
      <c r="BPP28" s="1221"/>
      <c r="BPQ28" s="1221"/>
      <c r="BPR28" s="1221"/>
      <c r="BPS28" s="1221"/>
      <c r="BPT28" s="1221"/>
      <c r="BPU28" s="1221"/>
      <c r="BPV28" s="1221"/>
      <c r="BPW28" s="1221"/>
      <c r="BPX28" s="1221"/>
      <c r="BPY28" s="1221"/>
      <c r="BPZ28" s="1221"/>
      <c r="BQA28" s="1221"/>
      <c r="BQB28" s="1221"/>
      <c r="BQC28" s="1221"/>
      <c r="BQD28" s="1221"/>
      <c r="BQE28" s="1221"/>
      <c r="BQF28" s="1221"/>
      <c r="BQG28" s="1221"/>
      <c r="BQH28" s="1221"/>
      <c r="BQI28" s="1221"/>
      <c r="BQJ28" s="1221"/>
      <c r="BQK28" s="1221"/>
      <c r="BQL28" s="1221"/>
      <c r="BQM28" s="1221"/>
      <c r="BQN28" s="1221"/>
      <c r="BQO28" s="1221"/>
      <c r="BQP28" s="1221"/>
      <c r="BQQ28" s="1221"/>
      <c r="BQR28" s="1221"/>
      <c r="BQS28" s="1221"/>
      <c r="BQT28" s="1221"/>
      <c r="BQU28" s="1221"/>
      <c r="BQV28" s="1221"/>
      <c r="BQW28" s="1221"/>
      <c r="BQX28" s="1221"/>
      <c r="BQY28" s="1221"/>
      <c r="BQZ28" s="1221"/>
      <c r="BRA28" s="1221"/>
      <c r="BRB28" s="1221"/>
      <c r="BRC28" s="1221"/>
      <c r="BRD28" s="1221"/>
      <c r="BRE28" s="1221"/>
      <c r="BRF28" s="1221"/>
      <c r="BRG28" s="1221"/>
      <c r="BRH28" s="1221"/>
      <c r="BRI28" s="1221"/>
      <c r="BRJ28" s="1221"/>
      <c r="BRK28" s="1221"/>
      <c r="BRL28" s="1221"/>
      <c r="BRM28" s="1221"/>
      <c r="BRN28" s="1221"/>
      <c r="BRO28" s="1221"/>
      <c r="BRP28" s="1221"/>
      <c r="BRQ28" s="1221"/>
      <c r="BRR28" s="1221"/>
      <c r="BRS28" s="1221"/>
      <c r="BRT28" s="1221"/>
      <c r="BRU28" s="1221"/>
      <c r="BRV28" s="1221"/>
      <c r="BRW28" s="1221"/>
      <c r="BRX28" s="1221"/>
      <c r="BRY28" s="1221"/>
      <c r="BRZ28" s="1221"/>
      <c r="BSA28" s="1221"/>
      <c r="BSB28" s="1221"/>
      <c r="BSC28" s="1221"/>
      <c r="BSD28" s="1221"/>
      <c r="BSE28" s="1221"/>
      <c r="BSF28" s="1221"/>
      <c r="BSG28" s="1221"/>
      <c r="BSH28" s="1221"/>
      <c r="BSI28" s="1221"/>
      <c r="BSJ28" s="1221"/>
      <c r="BSK28" s="1221"/>
      <c r="BSL28" s="1221"/>
      <c r="BSM28" s="1221"/>
      <c r="BSN28" s="1221"/>
      <c r="BSO28" s="1221"/>
      <c r="BSP28" s="1221"/>
      <c r="BSQ28" s="1221"/>
      <c r="BSR28" s="1221"/>
      <c r="BSS28" s="1221"/>
      <c r="BST28" s="1221"/>
      <c r="BSU28" s="1221"/>
      <c r="BSV28" s="1221"/>
      <c r="BSW28" s="1221"/>
      <c r="BSX28" s="1221"/>
      <c r="BSY28" s="1221"/>
      <c r="BSZ28" s="1221"/>
      <c r="BTA28" s="1221"/>
      <c r="BTB28" s="1221"/>
      <c r="BTC28" s="1221"/>
      <c r="BTD28" s="1221"/>
      <c r="BTE28" s="1221"/>
      <c r="BTF28" s="1221"/>
      <c r="BTG28" s="1221"/>
      <c r="BTH28" s="1221"/>
      <c r="BTI28" s="1221"/>
      <c r="BTJ28" s="1221"/>
      <c r="BTK28" s="1221"/>
      <c r="BTL28" s="1221"/>
      <c r="BTM28" s="1221"/>
      <c r="BTN28" s="1221"/>
      <c r="BTO28" s="1221"/>
      <c r="BTP28" s="1221"/>
      <c r="BTQ28" s="1221"/>
      <c r="BTR28" s="1221"/>
      <c r="BTS28" s="1221"/>
      <c r="BTT28" s="1221"/>
      <c r="BTU28" s="1221"/>
      <c r="BTV28" s="1221"/>
      <c r="BTW28" s="1221"/>
      <c r="BTX28" s="1221"/>
      <c r="BTY28" s="1221"/>
      <c r="BTZ28" s="1221"/>
      <c r="BUA28" s="1221"/>
      <c r="BUB28" s="1221"/>
      <c r="BUC28" s="1221"/>
      <c r="BUD28" s="1221"/>
      <c r="BUE28" s="1221"/>
      <c r="BUF28" s="1221"/>
      <c r="BUG28" s="1221"/>
      <c r="BUH28" s="1221"/>
      <c r="BUI28" s="1221"/>
      <c r="BUJ28" s="1221"/>
      <c r="BUK28" s="1221"/>
      <c r="BUL28" s="1221"/>
      <c r="BUM28" s="1221"/>
      <c r="BUN28" s="1221"/>
      <c r="BUO28" s="1221"/>
      <c r="BUP28" s="1221"/>
      <c r="BUQ28" s="1221"/>
      <c r="BUR28" s="1221"/>
      <c r="BUS28" s="1221"/>
      <c r="BUT28" s="1221"/>
      <c r="BUU28" s="1221"/>
      <c r="BUV28" s="1221"/>
      <c r="BUW28" s="1221"/>
      <c r="BUX28" s="1221"/>
      <c r="BUY28" s="1221"/>
      <c r="BUZ28" s="1221"/>
      <c r="BVA28" s="1221"/>
      <c r="BVB28" s="1221"/>
      <c r="BVC28" s="1221"/>
      <c r="BVD28" s="1221"/>
      <c r="BVE28" s="1221"/>
      <c r="BVF28" s="1221"/>
      <c r="BVG28" s="1221"/>
      <c r="BVH28" s="1221"/>
      <c r="BVI28" s="1221"/>
      <c r="BVJ28" s="1221"/>
      <c r="BVK28" s="1221"/>
      <c r="BVL28" s="1221"/>
      <c r="BVM28" s="1221"/>
      <c r="BVN28" s="1221"/>
      <c r="BVO28" s="1221"/>
      <c r="BVP28" s="1221"/>
      <c r="BVQ28" s="1221"/>
      <c r="BVR28" s="1221"/>
      <c r="BVS28" s="1221"/>
      <c r="BVT28" s="1221"/>
      <c r="BVU28" s="1221"/>
      <c r="BVV28" s="1221"/>
      <c r="BVW28" s="1221"/>
      <c r="BVX28" s="1221"/>
      <c r="BVY28" s="1221"/>
      <c r="BVZ28" s="1221"/>
      <c r="BWA28" s="1221"/>
      <c r="BWB28" s="1221"/>
      <c r="BWC28" s="1221"/>
      <c r="BWD28" s="1221"/>
      <c r="BWE28" s="1221"/>
      <c r="BWF28" s="1221"/>
      <c r="BWG28" s="1221"/>
      <c r="BWH28" s="1221"/>
      <c r="BWI28" s="1221"/>
      <c r="BWJ28" s="1221"/>
      <c r="BWK28" s="1221"/>
      <c r="BWL28" s="1221"/>
      <c r="BWM28" s="1221"/>
      <c r="BWN28" s="1221"/>
      <c r="BWO28" s="1221"/>
      <c r="BWP28" s="1221"/>
      <c r="BWQ28" s="1221"/>
      <c r="BWR28" s="1221"/>
      <c r="BWS28" s="1221"/>
      <c r="BWT28" s="1221"/>
      <c r="BWU28" s="1221"/>
      <c r="BWV28" s="1221"/>
      <c r="BWW28" s="1221"/>
      <c r="BWX28" s="1221"/>
      <c r="BWY28" s="1221"/>
      <c r="BWZ28" s="1221"/>
      <c r="BXA28" s="1221"/>
      <c r="BXB28" s="1221"/>
      <c r="BXC28" s="1221"/>
      <c r="BXD28" s="1221"/>
      <c r="BXE28" s="1221"/>
      <c r="BXF28" s="1221"/>
      <c r="BXG28" s="1221"/>
      <c r="BXH28" s="1221"/>
      <c r="BXI28" s="1221"/>
      <c r="BXJ28" s="1221"/>
      <c r="BXK28" s="1221"/>
      <c r="BXL28" s="1221"/>
      <c r="BXM28" s="1221"/>
      <c r="BXN28" s="1221"/>
      <c r="BXO28" s="1221"/>
      <c r="BXP28" s="1221"/>
      <c r="BXQ28" s="1221"/>
      <c r="BXR28" s="1221"/>
      <c r="BXS28" s="1221"/>
      <c r="BXT28" s="1221"/>
      <c r="BXU28" s="1221"/>
      <c r="BXV28" s="1221"/>
      <c r="BXW28" s="1221"/>
      <c r="BXX28" s="1221"/>
      <c r="BXY28" s="1221"/>
      <c r="BXZ28" s="1221"/>
      <c r="BYA28" s="1221"/>
      <c r="BYB28" s="1221"/>
      <c r="BYC28" s="1221"/>
      <c r="BYD28" s="1221"/>
      <c r="BYE28" s="1221"/>
      <c r="BYF28" s="1221"/>
      <c r="BYG28" s="1221"/>
      <c r="BYH28" s="1221"/>
      <c r="BYI28" s="1221"/>
      <c r="BYJ28" s="1221"/>
      <c r="BYK28" s="1221"/>
      <c r="BYL28" s="1221"/>
      <c r="BYM28" s="1221"/>
      <c r="BYN28" s="1221"/>
      <c r="BYO28" s="1221"/>
      <c r="BYP28" s="1221"/>
      <c r="BYQ28" s="1221"/>
      <c r="BYR28" s="1221"/>
      <c r="BYS28" s="1221"/>
      <c r="BYT28" s="1221"/>
      <c r="BYU28" s="1221"/>
      <c r="BYV28" s="1221"/>
      <c r="BYW28" s="1221"/>
      <c r="BYX28" s="1221"/>
      <c r="BYY28" s="1221"/>
      <c r="BYZ28" s="1221"/>
      <c r="BZA28" s="1221"/>
      <c r="BZB28" s="1221"/>
      <c r="BZC28" s="1221"/>
      <c r="BZD28" s="1221"/>
      <c r="BZE28" s="1221"/>
      <c r="BZF28" s="1221"/>
      <c r="BZG28" s="1221"/>
      <c r="BZH28" s="1221"/>
      <c r="BZI28" s="1221"/>
      <c r="BZJ28" s="1221"/>
      <c r="BZK28" s="1221"/>
      <c r="BZL28" s="1221"/>
      <c r="BZM28" s="1221"/>
      <c r="BZN28" s="1221"/>
      <c r="BZO28" s="1221"/>
      <c r="BZP28" s="1221"/>
      <c r="BZQ28" s="1221"/>
      <c r="BZR28" s="1221"/>
      <c r="BZS28" s="1221"/>
      <c r="BZT28" s="1221"/>
      <c r="BZU28" s="1221"/>
      <c r="BZV28" s="1221"/>
      <c r="BZW28" s="1221"/>
      <c r="BZX28" s="1221"/>
      <c r="BZY28" s="1221"/>
      <c r="BZZ28" s="1221"/>
      <c r="CAA28" s="1221"/>
      <c r="CAB28" s="1221"/>
      <c r="CAC28" s="1221"/>
      <c r="CAD28" s="1221"/>
      <c r="CAE28" s="1221"/>
      <c r="CAF28" s="1221"/>
      <c r="CAG28" s="1221"/>
      <c r="CAH28" s="1221"/>
      <c r="CAI28" s="1221"/>
      <c r="CAJ28" s="1221"/>
      <c r="CAK28" s="1221"/>
      <c r="CAL28" s="1221"/>
      <c r="CAM28" s="1221"/>
      <c r="CAN28" s="1221"/>
      <c r="CAO28" s="1221"/>
      <c r="CAP28" s="1221"/>
      <c r="CAQ28" s="1221"/>
      <c r="CAR28" s="1221"/>
      <c r="CAS28" s="1221"/>
      <c r="CAT28" s="1221"/>
      <c r="CAU28" s="1221"/>
      <c r="CAV28" s="1221"/>
      <c r="CAW28" s="1221"/>
      <c r="CAX28" s="1221"/>
      <c r="CAY28" s="1221"/>
      <c r="CAZ28" s="1221"/>
      <c r="CBA28" s="1221"/>
      <c r="CBB28" s="1221"/>
      <c r="CBC28" s="1221"/>
      <c r="CBD28" s="1221"/>
      <c r="CBE28" s="1221"/>
      <c r="CBF28" s="1221"/>
      <c r="CBG28" s="1221"/>
      <c r="CBH28" s="1221"/>
      <c r="CBI28" s="1221"/>
      <c r="CBJ28" s="1221"/>
      <c r="CBK28" s="1221"/>
      <c r="CBL28" s="1221"/>
      <c r="CBM28" s="1221"/>
      <c r="CBN28" s="1221"/>
      <c r="CBO28" s="1221"/>
      <c r="CBP28" s="1221"/>
      <c r="CBQ28" s="1221"/>
      <c r="CBR28" s="1221"/>
      <c r="CBS28" s="1221"/>
      <c r="CBT28" s="1221"/>
      <c r="CBU28" s="1221"/>
      <c r="CBV28" s="1221"/>
      <c r="CBW28" s="1221"/>
      <c r="CBX28" s="1221"/>
      <c r="CBY28" s="1221"/>
      <c r="CBZ28" s="1221"/>
      <c r="CCA28" s="1221"/>
      <c r="CCB28" s="1221"/>
      <c r="CCC28" s="1221"/>
      <c r="CCD28" s="1221"/>
      <c r="CCE28" s="1221"/>
      <c r="CCF28" s="1221"/>
      <c r="CCG28" s="1221"/>
      <c r="CCH28" s="1221"/>
      <c r="CCI28" s="1221"/>
      <c r="CCJ28" s="1221"/>
      <c r="CCK28" s="1221"/>
      <c r="CCL28" s="1221"/>
      <c r="CCM28" s="1221"/>
      <c r="CCN28" s="1221"/>
      <c r="CCO28" s="1221"/>
      <c r="CCP28" s="1221"/>
      <c r="CCQ28" s="1221"/>
      <c r="CCR28" s="1221"/>
      <c r="CCS28" s="1221"/>
      <c r="CCT28" s="1221"/>
      <c r="CCU28" s="1221"/>
      <c r="CCV28" s="1221"/>
      <c r="CCW28" s="1221"/>
      <c r="CCX28" s="1221"/>
      <c r="CCY28" s="1221"/>
      <c r="CCZ28" s="1221"/>
      <c r="CDA28" s="1221"/>
      <c r="CDB28" s="1221"/>
      <c r="CDC28" s="1221"/>
      <c r="CDD28" s="1221"/>
      <c r="CDE28" s="1221"/>
      <c r="CDF28" s="1221"/>
      <c r="CDG28" s="1221"/>
      <c r="CDH28" s="1221"/>
      <c r="CDI28" s="1221"/>
      <c r="CDJ28" s="1221"/>
      <c r="CDK28" s="1221"/>
      <c r="CDL28" s="1221"/>
      <c r="CDM28" s="1221"/>
      <c r="CDN28" s="1221"/>
      <c r="CDO28" s="1221"/>
      <c r="CDP28" s="1221"/>
      <c r="CDQ28" s="1221"/>
      <c r="CDR28" s="1221"/>
      <c r="CDS28" s="1221"/>
      <c r="CDT28" s="1221"/>
      <c r="CDU28" s="1221"/>
      <c r="CDV28" s="1221"/>
      <c r="CDW28" s="1221"/>
      <c r="CDX28" s="1221"/>
      <c r="CDY28" s="1221"/>
      <c r="CDZ28" s="1221"/>
      <c r="CEA28" s="1221"/>
      <c r="CEB28" s="1221"/>
      <c r="CEC28" s="1221"/>
      <c r="CED28" s="1221"/>
      <c r="CEE28" s="1221"/>
      <c r="CEF28" s="1221"/>
      <c r="CEG28" s="1221"/>
      <c r="CEH28" s="1221"/>
      <c r="CEI28" s="1221"/>
      <c r="CEJ28" s="1221"/>
      <c r="CEK28" s="1221"/>
      <c r="CEL28" s="1221"/>
      <c r="CEM28" s="1221"/>
      <c r="CEN28" s="1221"/>
      <c r="CEO28" s="1221"/>
      <c r="CEP28" s="1221"/>
      <c r="CEQ28" s="1221"/>
      <c r="CER28" s="1221"/>
      <c r="CES28" s="1221"/>
      <c r="CET28" s="1221"/>
      <c r="CEU28" s="1221"/>
      <c r="CEV28" s="1221"/>
      <c r="CEW28" s="1221"/>
      <c r="CEX28" s="1221"/>
      <c r="CEY28" s="1221"/>
      <c r="CEZ28" s="1221"/>
      <c r="CFA28" s="1221"/>
      <c r="CFB28" s="1221"/>
      <c r="CFC28" s="1221"/>
      <c r="CFD28" s="1221"/>
      <c r="CFE28" s="1221"/>
      <c r="CFF28" s="1221"/>
      <c r="CFG28" s="1221"/>
      <c r="CFH28" s="1221"/>
      <c r="CFI28" s="1221"/>
      <c r="CFJ28" s="1221"/>
      <c r="CFK28" s="1221"/>
      <c r="CFL28" s="1221"/>
      <c r="CFM28" s="1221"/>
      <c r="CFN28" s="1221"/>
      <c r="CFO28" s="1221"/>
      <c r="CFP28" s="1221"/>
      <c r="CFQ28" s="1221"/>
      <c r="CFR28" s="1221"/>
      <c r="CFS28" s="1221"/>
      <c r="CFT28" s="1221"/>
      <c r="CFU28" s="1221"/>
      <c r="CFV28" s="1221"/>
      <c r="CFW28" s="1221"/>
      <c r="CFX28" s="1221"/>
      <c r="CFY28" s="1221"/>
      <c r="CFZ28" s="1221"/>
      <c r="CGA28" s="1221"/>
      <c r="CGB28" s="1221"/>
      <c r="CGC28" s="1221"/>
      <c r="CGD28" s="1221"/>
      <c r="CGE28" s="1221"/>
      <c r="CGF28" s="1221"/>
      <c r="CGG28" s="1221"/>
      <c r="CGH28" s="1221"/>
      <c r="CGI28" s="1221"/>
      <c r="CGJ28" s="1221"/>
      <c r="CGK28" s="1221"/>
      <c r="CGL28" s="1221"/>
      <c r="CGM28" s="1221"/>
      <c r="CGN28" s="1221"/>
      <c r="CGO28" s="1221"/>
      <c r="CGP28" s="1221"/>
      <c r="CGQ28" s="1221"/>
      <c r="CGR28" s="1221"/>
      <c r="CGS28" s="1221"/>
      <c r="CGT28" s="1221"/>
      <c r="CGU28" s="1221"/>
      <c r="CGV28" s="1221"/>
      <c r="CGW28" s="1221"/>
      <c r="CGX28" s="1221"/>
      <c r="CGY28" s="1221"/>
      <c r="CGZ28" s="1221"/>
      <c r="CHA28" s="1221"/>
      <c r="CHB28" s="1221"/>
      <c r="CHC28" s="1221"/>
      <c r="CHD28" s="1221"/>
      <c r="CHE28" s="1221"/>
      <c r="CHF28" s="1221"/>
      <c r="CHG28" s="1221"/>
      <c r="CHH28" s="1221"/>
      <c r="CHI28" s="1221"/>
      <c r="CHJ28" s="1221"/>
      <c r="CHK28" s="1221"/>
      <c r="CHL28" s="1221"/>
      <c r="CHM28" s="1221"/>
      <c r="CHN28" s="1221"/>
      <c r="CHO28" s="1221"/>
      <c r="CHP28" s="1221"/>
      <c r="CHQ28" s="1221"/>
      <c r="CHR28" s="1221"/>
      <c r="CHS28" s="1221"/>
      <c r="CHT28" s="1221"/>
      <c r="CHU28" s="1221"/>
      <c r="CHV28" s="1221"/>
      <c r="CHW28" s="1221"/>
      <c r="CHX28" s="1221"/>
      <c r="CHY28" s="1221"/>
      <c r="CHZ28" s="1221"/>
      <c r="CIA28" s="1221"/>
      <c r="CIB28" s="1221"/>
      <c r="CIC28" s="1221"/>
      <c r="CID28" s="1221"/>
      <c r="CIE28" s="1221"/>
      <c r="CIF28" s="1221"/>
      <c r="CIG28" s="1221"/>
      <c r="CIH28" s="1221"/>
      <c r="CII28" s="1221"/>
      <c r="CIJ28" s="1221"/>
      <c r="CIK28" s="1221"/>
      <c r="CIL28" s="1221"/>
      <c r="CIM28" s="1221"/>
      <c r="CIN28" s="1221"/>
      <c r="CIO28" s="1221"/>
      <c r="CIP28" s="1221"/>
      <c r="CIQ28" s="1221"/>
      <c r="CIR28" s="1221"/>
      <c r="CIS28" s="1221"/>
      <c r="CIT28" s="1221"/>
      <c r="CIU28" s="1221"/>
      <c r="CIV28" s="1221"/>
      <c r="CIW28" s="1221"/>
      <c r="CIX28" s="1221"/>
      <c r="CIY28" s="1221"/>
      <c r="CIZ28" s="1221"/>
      <c r="CJA28" s="1221"/>
      <c r="CJB28" s="1221"/>
      <c r="CJC28" s="1221"/>
      <c r="CJD28" s="1221"/>
      <c r="CJE28" s="1221"/>
      <c r="CJF28" s="1221"/>
      <c r="CJG28" s="1221"/>
      <c r="CJH28" s="1221"/>
      <c r="CJI28" s="1221"/>
      <c r="CJJ28" s="1221"/>
      <c r="CJK28" s="1221"/>
      <c r="CJL28" s="1221"/>
      <c r="CJM28" s="1221"/>
      <c r="CJN28" s="1221"/>
      <c r="CJO28" s="1221"/>
      <c r="CJP28" s="1221"/>
      <c r="CJQ28" s="1221"/>
      <c r="CJR28" s="1221"/>
      <c r="CJS28" s="1221"/>
      <c r="CJT28" s="1221"/>
      <c r="CJU28" s="1221"/>
      <c r="CJV28" s="1221"/>
      <c r="CJW28" s="1221"/>
      <c r="CJX28" s="1221"/>
      <c r="CJY28" s="1221"/>
      <c r="CJZ28" s="1221"/>
      <c r="CKA28" s="1221"/>
      <c r="CKB28" s="1221"/>
      <c r="CKC28" s="1221"/>
      <c r="CKD28" s="1221"/>
      <c r="CKE28" s="1221"/>
      <c r="CKF28" s="1221"/>
      <c r="CKG28" s="1221"/>
      <c r="CKH28" s="1221"/>
      <c r="CKI28" s="1221"/>
      <c r="CKJ28" s="1221"/>
      <c r="CKK28" s="1221"/>
      <c r="CKL28" s="1221"/>
      <c r="CKM28" s="1221"/>
      <c r="CKN28" s="1221"/>
      <c r="CKO28" s="1221"/>
      <c r="CKP28" s="1221"/>
      <c r="CKQ28" s="1221"/>
      <c r="CKR28" s="1221"/>
      <c r="CKS28" s="1221"/>
      <c r="CKT28" s="1221"/>
      <c r="CKU28" s="1221"/>
      <c r="CKV28" s="1221"/>
      <c r="CKW28" s="1221"/>
      <c r="CKX28" s="1221"/>
      <c r="CKY28" s="1221"/>
      <c r="CKZ28" s="1221"/>
      <c r="CLA28" s="1221"/>
      <c r="CLB28" s="1221"/>
      <c r="CLC28" s="1221"/>
      <c r="CLD28" s="1221"/>
      <c r="CLE28" s="1221"/>
      <c r="CLF28" s="1221"/>
      <c r="CLG28" s="1221"/>
      <c r="CLH28" s="1221"/>
      <c r="CLI28" s="1221"/>
      <c r="CLJ28" s="1221"/>
      <c r="CLK28" s="1221"/>
      <c r="CLL28" s="1221"/>
      <c r="CLM28" s="1221"/>
      <c r="CLN28" s="1221"/>
      <c r="CLO28" s="1221"/>
      <c r="CLP28" s="1221"/>
      <c r="CLQ28" s="1221"/>
      <c r="CLR28" s="1221"/>
      <c r="CLS28" s="1221"/>
      <c r="CLT28" s="1221"/>
      <c r="CLU28" s="1221"/>
      <c r="CLV28" s="1221"/>
      <c r="CLW28" s="1221"/>
      <c r="CLX28" s="1221"/>
      <c r="CLY28" s="1221"/>
      <c r="CLZ28" s="1221"/>
      <c r="CMA28" s="1221"/>
      <c r="CMB28" s="1221"/>
      <c r="CMC28" s="1221"/>
      <c r="CMD28" s="1221"/>
      <c r="CME28" s="1221"/>
      <c r="CMF28" s="1221"/>
      <c r="CMG28" s="1221"/>
      <c r="CMH28" s="1221"/>
      <c r="CMI28" s="1221"/>
      <c r="CMJ28" s="1221"/>
      <c r="CMK28" s="1221"/>
      <c r="CML28" s="1221"/>
      <c r="CMM28" s="1221"/>
      <c r="CMN28" s="1221"/>
      <c r="CMO28" s="1221"/>
      <c r="CMP28" s="1221"/>
      <c r="CMQ28" s="1221"/>
      <c r="CMR28" s="1221"/>
      <c r="CMS28" s="1221"/>
      <c r="CMT28" s="1221"/>
      <c r="CMU28" s="1221"/>
      <c r="CMV28" s="1221"/>
      <c r="CMW28" s="1221"/>
      <c r="CMX28" s="1221"/>
      <c r="CMY28" s="1221"/>
      <c r="CMZ28" s="1221"/>
      <c r="CNA28" s="1221"/>
      <c r="CNB28" s="1221"/>
      <c r="CNC28" s="1221"/>
      <c r="CND28" s="1221"/>
      <c r="CNE28" s="1221"/>
      <c r="CNF28" s="1221"/>
      <c r="CNG28" s="1221"/>
      <c r="CNH28" s="1221"/>
      <c r="CNI28" s="1221"/>
      <c r="CNJ28" s="1221"/>
      <c r="CNK28" s="1221"/>
      <c r="CNL28" s="1221"/>
      <c r="CNM28" s="1221"/>
      <c r="CNN28" s="1221"/>
      <c r="CNO28" s="1221"/>
      <c r="CNP28" s="1221"/>
      <c r="CNQ28" s="1221"/>
      <c r="CNR28" s="1221"/>
      <c r="CNS28" s="1221"/>
      <c r="CNT28" s="1221"/>
      <c r="CNU28" s="1221"/>
      <c r="CNV28" s="1221"/>
      <c r="CNW28" s="1221"/>
      <c r="CNX28" s="1221"/>
      <c r="CNY28" s="1221"/>
      <c r="CNZ28" s="1221"/>
      <c r="COA28" s="1221"/>
      <c r="COB28" s="1221"/>
      <c r="COC28" s="1221"/>
      <c r="COD28" s="1221"/>
      <c r="COE28" s="1221"/>
      <c r="COF28" s="1221"/>
      <c r="COG28" s="1221"/>
      <c r="COH28" s="1221"/>
      <c r="COI28" s="1221"/>
      <c r="COJ28" s="1221"/>
      <c r="COK28" s="1221"/>
      <c r="COL28" s="1221"/>
      <c r="COM28" s="1221"/>
      <c r="CON28" s="1221"/>
      <c r="COO28" s="1221"/>
      <c r="COP28" s="1221"/>
      <c r="COQ28" s="1221"/>
      <c r="COR28" s="1221"/>
      <c r="COS28" s="1221"/>
      <c r="COT28" s="1221"/>
      <c r="COU28" s="1221"/>
      <c r="COV28" s="1221"/>
      <c r="COW28" s="1221"/>
      <c r="COX28" s="1221"/>
      <c r="COY28" s="1221"/>
      <c r="COZ28" s="1221"/>
      <c r="CPA28" s="1221"/>
      <c r="CPB28" s="1221"/>
      <c r="CPC28" s="1221"/>
      <c r="CPD28" s="1221"/>
      <c r="CPE28" s="1221"/>
      <c r="CPF28" s="1221"/>
      <c r="CPG28" s="1221"/>
      <c r="CPH28" s="1221"/>
      <c r="CPI28" s="1221"/>
      <c r="CPJ28" s="1221"/>
      <c r="CPK28" s="1221"/>
      <c r="CPL28" s="1221"/>
      <c r="CPM28" s="1221"/>
      <c r="CPN28" s="1221"/>
      <c r="CPO28" s="1221"/>
      <c r="CPP28" s="1221"/>
      <c r="CPQ28" s="1221"/>
      <c r="CPR28" s="1221"/>
      <c r="CPS28" s="1221"/>
      <c r="CPT28" s="1221"/>
      <c r="CPU28" s="1221"/>
      <c r="CPV28" s="1221"/>
      <c r="CPW28" s="1221"/>
      <c r="CPX28" s="1221"/>
      <c r="CPY28" s="1221"/>
      <c r="CPZ28" s="1221"/>
      <c r="CQA28" s="1221"/>
      <c r="CQB28" s="1221"/>
      <c r="CQC28" s="1221"/>
      <c r="CQD28" s="1221"/>
      <c r="CQE28" s="1221"/>
      <c r="CQF28" s="1221"/>
      <c r="CQG28" s="1221"/>
      <c r="CQH28" s="1221"/>
      <c r="CQI28" s="1221"/>
      <c r="CQJ28" s="1221"/>
      <c r="CQK28" s="1221"/>
      <c r="CQL28" s="1221"/>
      <c r="CQM28" s="1221"/>
      <c r="CQN28" s="1221"/>
      <c r="CQO28" s="1221"/>
      <c r="CQP28" s="1221"/>
      <c r="CQQ28" s="1221"/>
      <c r="CQR28" s="1221"/>
      <c r="CQS28" s="1221"/>
      <c r="CQT28" s="1221"/>
      <c r="CQU28" s="1221"/>
      <c r="CQV28" s="1221"/>
      <c r="CQW28" s="1221"/>
      <c r="CQX28" s="1221"/>
      <c r="CQY28" s="1221"/>
      <c r="CQZ28" s="1221"/>
      <c r="CRA28" s="1221"/>
      <c r="CRB28" s="1221"/>
      <c r="CRC28" s="1221"/>
      <c r="CRD28" s="1221"/>
      <c r="CRE28" s="1221"/>
      <c r="CRF28" s="1221"/>
      <c r="CRG28" s="1221"/>
      <c r="CRH28" s="1221"/>
      <c r="CRI28" s="1221"/>
      <c r="CRJ28" s="1221"/>
      <c r="CRK28" s="1221"/>
      <c r="CRL28" s="1221"/>
      <c r="CRM28" s="1221"/>
      <c r="CRN28" s="1221"/>
      <c r="CRO28" s="1221"/>
      <c r="CRP28" s="1221"/>
      <c r="CRQ28" s="1221"/>
      <c r="CRR28" s="1221"/>
      <c r="CRS28" s="1221"/>
      <c r="CRT28" s="1221"/>
      <c r="CRU28" s="1221"/>
      <c r="CRV28" s="1221"/>
      <c r="CRW28" s="1221"/>
      <c r="CRX28" s="1221"/>
      <c r="CRY28" s="1221"/>
      <c r="CRZ28" s="1221"/>
      <c r="CSA28" s="1221"/>
      <c r="CSB28" s="1221"/>
      <c r="CSC28" s="1221"/>
      <c r="CSD28" s="1221"/>
      <c r="CSE28" s="1221"/>
      <c r="CSF28" s="1221"/>
      <c r="CSG28" s="1221"/>
      <c r="CSH28" s="1221"/>
      <c r="CSI28" s="1221"/>
      <c r="CSJ28" s="1221"/>
      <c r="CSK28" s="1221"/>
      <c r="CSL28" s="1221"/>
      <c r="CSM28" s="1221"/>
      <c r="CSN28" s="1221"/>
      <c r="CSO28" s="1221"/>
      <c r="CSP28" s="1221"/>
      <c r="CSQ28" s="1221"/>
      <c r="CSR28" s="1221"/>
      <c r="CSS28" s="1221"/>
      <c r="CST28" s="1221"/>
      <c r="CSU28" s="1221"/>
      <c r="CSV28" s="1221"/>
      <c r="CSW28" s="1221"/>
      <c r="CSX28" s="1221"/>
      <c r="CSY28" s="1221"/>
      <c r="CSZ28" s="1221"/>
      <c r="CTA28" s="1221"/>
      <c r="CTB28" s="1221"/>
      <c r="CTC28" s="1221"/>
      <c r="CTD28" s="1221"/>
      <c r="CTE28" s="1221"/>
      <c r="CTF28" s="1221"/>
      <c r="CTG28" s="1221"/>
      <c r="CTH28" s="1221"/>
      <c r="CTI28" s="1221"/>
      <c r="CTJ28" s="1221"/>
      <c r="CTK28" s="1221"/>
      <c r="CTL28" s="1221"/>
      <c r="CTM28" s="1221"/>
      <c r="CTN28" s="1221"/>
      <c r="CTO28" s="1221"/>
      <c r="CTP28" s="1221"/>
      <c r="CTQ28" s="1221"/>
      <c r="CTR28" s="1221"/>
      <c r="CTS28" s="1221"/>
      <c r="CTT28" s="1221"/>
      <c r="CTU28" s="1221"/>
      <c r="CTV28" s="1221"/>
      <c r="CTW28" s="1221"/>
      <c r="CTX28" s="1221"/>
      <c r="CTY28" s="1221"/>
      <c r="CTZ28" s="1221"/>
      <c r="CUA28" s="1221"/>
      <c r="CUB28" s="1221"/>
      <c r="CUC28" s="1221"/>
      <c r="CUD28" s="1221"/>
      <c r="CUE28" s="1221"/>
      <c r="CUF28" s="1221"/>
      <c r="CUG28" s="1221"/>
      <c r="CUH28" s="1221"/>
      <c r="CUI28" s="1221"/>
      <c r="CUJ28" s="1221"/>
      <c r="CUK28" s="1221"/>
      <c r="CUL28" s="1221"/>
      <c r="CUM28" s="1221"/>
      <c r="CUN28" s="1221"/>
      <c r="CUO28" s="1221"/>
      <c r="CUP28" s="1221"/>
      <c r="CUQ28" s="1221"/>
      <c r="CUR28" s="1221"/>
      <c r="CUS28" s="1221"/>
      <c r="CUT28" s="1221"/>
      <c r="CUU28" s="1221"/>
      <c r="CUV28" s="1221"/>
      <c r="CUW28" s="1221"/>
      <c r="CUX28" s="1221"/>
      <c r="CUY28" s="1221"/>
      <c r="CUZ28" s="1221"/>
      <c r="CVA28" s="1221"/>
      <c r="CVB28" s="1221"/>
      <c r="CVC28" s="1221"/>
      <c r="CVD28" s="1221"/>
      <c r="CVE28" s="1221"/>
      <c r="CVF28" s="1221"/>
      <c r="CVG28" s="1221"/>
      <c r="CVH28" s="1221"/>
      <c r="CVI28" s="1221"/>
      <c r="CVJ28" s="1221"/>
      <c r="CVK28" s="1221"/>
      <c r="CVL28" s="1221"/>
      <c r="CVM28" s="1221"/>
      <c r="CVN28" s="1221"/>
      <c r="CVO28" s="1221"/>
      <c r="CVP28" s="1221"/>
      <c r="CVQ28" s="1221"/>
      <c r="CVR28" s="1221"/>
      <c r="CVS28" s="1221"/>
      <c r="CVT28" s="1221"/>
      <c r="CVU28" s="1221"/>
      <c r="CVV28" s="1221"/>
      <c r="CVW28" s="1221"/>
      <c r="CVX28" s="1221"/>
      <c r="CVY28" s="1221"/>
      <c r="CVZ28" s="1221"/>
      <c r="CWA28" s="1221"/>
      <c r="CWB28" s="1221"/>
      <c r="CWC28" s="1221"/>
      <c r="CWD28" s="1221"/>
      <c r="CWE28" s="1221"/>
      <c r="CWF28" s="1221"/>
      <c r="CWG28" s="1221"/>
      <c r="CWH28" s="1221"/>
      <c r="CWI28" s="1221"/>
      <c r="CWJ28" s="1221"/>
      <c r="CWK28" s="1221"/>
      <c r="CWL28" s="1221"/>
      <c r="CWM28" s="1221"/>
      <c r="CWN28" s="1221"/>
      <c r="CWO28" s="1221"/>
      <c r="CWP28" s="1221"/>
      <c r="CWQ28" s="1221"/>
      <c r="CWR28" s="1221"/>
      <c r="CWS28" s="1221"/>
      <c r="CWT28" s="1221"/>
      <c r="CWU28" s="1221"/>
      <c r="CWV28" s="1221"/>
      <c r="CWW28" s="1221"/>
      <c r="CWX28" s="1221"/>
      <c r="CWY28" s="1221"/>
      <c r="CWZ28" s="1221"/>
      <c r="CXA28" s="1221"/>
      <c r="CXB28" s="1221"/>
      <c r="CXC28" s="1221"/>
      <c r="CXD28" s="1221"/>
      <c r="CXE28" s="1221"/>
      <c r="CXF28" s="1221"/>
      <c r="CXG28" s="1221"/>
      <c r="CXH28" s="1221"/>
      <c r="CXI28" s="1221"/>
      <c r="CXJ28" s="1221"/>
      <c r="CXK28" s="1221"/>
      <c r="CXL28" s="1221"/>
      <c r="CXM28" s="1221"/>
      <c r="CXN28" s="1221"/>
      <c r="CXO28" s="1221"/>
      <c r="CXP28" s="1221"/>
      <c r="CXQ28" s="1221"/>
      <c r="CXR28" s="1221"/>
      <c r="CXS28" s="1221"/>
      <c r="CXT28" s="1221"/>
      <c r="CXU28" s="1221"/>
      <c r="CXV28" s="1221"/>
      <c r="CXW28" s="1221"/>
      <c r="CXX28" s="1221"/>
      <c r="CXY28" s="1221"/>
      <c r="CXZ28" s="1221"/>
      <c r="CYA28" s="1221"/>
      <c r="CYB28" s="1221"/>
      <c r="CYC28" s="1221"/>
      <c r="CYD28" s="1221"/>
      <c r="CYE28" s="1221"/>
      <c r="CYF28" s="1221"/>
      <c r="CYG28" s="1221"/>
      <c r="CYH28" s="1221"/>
      <c r="CYI28" s="1221"/>
      <c r="CYJ28" s="1221"/>
      <c r="CYK28" s="1221"/>
      <c r="CYL28" s="1221"/>
      <c r="CYM28" s="1221"/>
      <c r="CYN28" s="1221"/>
      <c r="CYO28" s="1221"/>
      <c r="CYP28" s="1221"/>
      <c r="CYQ28" s="1221"/>
      <c r="CYR28" s="1221"/>
      <c r="CYS28" s="1221"/>
      <c r="CYT28" s="1221"/>
      <c r="CYU28" s="1221"/>
      <c r="CYV28" s="1221"/>
      <c r="CYW28" s="1221"/>
      <c r="CYX28" s="1221"/>
      <c r="CYY28" s="1221"/>
      <c r="CYZ28" s="1221"/>
      <c r="CZA28" s="1221"/>
      <c r="CZB28" s="1221"/>
      <c r="CZC28" s="1221"/>
      <c r="CZD28" s="1221"/>
      <c r="CZE28" s="1221"/>
      <c r="CZF28" s="1221"/>
      <c r="CZG28" s="1221"/>
      <c r="CZH28" s="1221"/>
      <c r="CZI28" s="1221"/>
      <c r="CZJ28" s="1221"/>
      <c r="CZK28" s="1221"/>
      <c r="CZL28" s="1221"/>
      <c r="CZM28" s="1221"/>
      <c r="CZN28" s="1221"/>
      <c r="CZO28" s="1221"/>
      <c r="CZP28" s="1221"/>
      <c r="CZQ28" s="1221"/>
      <c r="CZR28" s="1221"/>
      <c r="CZS28" s="1221"/>
      <c r="CZT28" s="1221"/>
      <c r="CZU28" s="1221"/>
      <c r="CZV28" s="1221"/>
      <c r="CZW28" s="1221"/>
      <c r="CZX28" s="1221"/>
      <c r="CZY28" s="1221"/>
      <c r="CZZ28" s="1221"/>
      <c r="DAA28" s="1221"/>
      <c r="DAB28" s="1221"/>
      <c r="DAC28" s="1221"/>
      <c r="DAD28" s="1221"/>
      <c r="DAE28" s="1221"/>
      <c r="DAF28" s="1221"/>
      <c r="DAG28" s="1221"/>
      <c r="DAH28" s="1221"/>
      <c r="DAI28" s="1221"/>
      <c r="DAJ28" s="1221"/>
      <c r="DAK28" s="1221"/>
      <c r="DAL28" s="1221"/>
      <c r="DAM28" s="1221"/>
      <c r="DAN28" s="1221"/>
      <c r="DAO28" s="1221"/>
      <c r="DAP28" s="1221"/>
      <c r="DAQ28" s="1221"/>
      <c r="DAR28" s="1221"/>
      <c r="DAS28" s="1221"/>
      <c r="DAT28" s="1221"/>
      <c r="DAU28" s="1221"/>
      <c r="DAV28" s="1221"/>
      <c r="DAW28" s="1221"/>
      <c r="DAX28" s="1221"/>
      <c r="DAY28" s="1221"/>
      <c r="DAZ28" s="1221"/>
      <c r="DBA28" s="1221"/>
      <c r="DBB28" s="1221"/>
      <c r="DBC28" s="1221"/>
      <c r="DBD28" s="1221"/>
      <c r="DBE28" s="1221"/>
      <c r="DBF28" s="1221"/>
      <c r="DBG28" s="1221"/>
      <c r="DBH28" s="1221"/>
      <c r="DBI28" s="1221"/>
      <c r="DBJ28" s="1221"/>
      <c r="DBK28" s="1221"/>
      <c r="DBL28" s="1221"/>
      <c r="DBM28" s="1221"/>
      <c r="DBN28" s="1221"/>
      <c r="DBO28" s="1221"/>
      <c r="DBP28" s="1221"/>
      <c r="DBQ28" s="1221"/>
      <c r="DBR28" s="1221"/>
      <c r="DBS28" s="1221"/>
      <c r="DBT28" s="1221"/>
      <c r="DBU28" s="1221"/>
      <c r="DBV28" s="1221"/>
      <c r="DBW28" s="1221"/>
      <c r="DBX28" s="1221"/>
      <c r="DBY28" s="1221"/>
      <c r="DBZ28" s="1221"/>
      <c r="DCA28" s="1221"/>
      <c r="DCB28" s="1221"/>
      <c r="DCC28" s="1221"/>
      <c r="DCD28" s="1221"/>
      <c r="DCE28" s="1221"/>
      <c r="DCF28" s="1221"/>
      <c r="DCG28" s="1221"/>
      <c r="DCH28" s="1221"/>
      <c r="DCI28" s="1221"/>
      <c r="DCJ28" s="1221"/>
      <c r="DCK28" s="1221"/>
      <c r="DCL28" s="1221"/>
      <c r="DCM28" s="1221"/>
      <c r="DCN28" s="1221"/>
      <c r="DCO28" s="1221"/>
      <c r="DCP28" s="1221"/>
      <c r="DCQ28" s="1221"/>
      <c r="DCR28" s="1221"/>
      <c r="DCS28" s="1221"/>
      <c r="DCT28" s="1221"/>
      <c r="DCU28" s="1221"/>
      <c r="DCV28" s="1221"/>
      <c r="DCW28" s="1221"/>
      <c r="DCX28" s="1221"/>
      <c r="DCY28" s="1221"/>
      <c r="DCZ28" s="1221"/>
      <c r="DDA28" s="1221"/>
      <c r="DDB28" s="1221"/>
      <c r="DDC28" s="1221"/>
      <c r="DDD28" s="1221"/>
      <c r="DDE28" s="1221"/>
      <c r="DDF28" s="1221"/>
      <c r="DDG28" s="1221"/>
      <c r="DDH28" s="1221"/>
      <c r="DDI28" s="1221"/>
      <c r="DDJ28" s="1221"/>
      <c r="DDK28" s="1221"/>
      <c r="DDL28" s="1221"/>
      <c r="DDM28" s="1221"/>
      <c r="DDN28" s="1221"/>
      <c r="DDO28" s="1221"/>
      <c r="DDP28" s="1221"/>
      <c r="DDQ28" s="1221"/>
      <c r="DDR28" s="1221"/>
      <c r="DDS28" s="1221"/>
      <c r="DDT28" s="1221"/>
      <c r="DDU28" s="1221"/>
      <c r="DDV28" s="1221"/>
      <c r="DDW28" s="1221"/>
      <c r="DDX28" s="1221"/>
      <c r="DDY28" s="1221"/>
      <c r="DDZ28" s="1221"/>
      <c r="DEA28" s="1221"/>
      <c r="DEB28" s="1221"/>
      <c r="DEC28" s="1221"/>
      <c r="DED28" s="1221"/>
      <c r="DEE28" s="1221"/>
      <c r="DEF28" s="1221"/>
      <c r="DEG28" s="1221"/>
      <c r="DEH28" s="1221"/>
      <c r="DEI28" s="1221"/>
      <c r="DEJ28" s="1221"/>
      <c r="DEK28" s="1221"/>
      <c r="DEL28" s="1221"/>
      <c r="DEM28" s="1221"/>
      <c r="DEN28" s="1221"/>
      <c r="DEO28" s="1221"/>
      <c r="DEP28" s="1221"/>
      <c r="DEQ28" s="1221"/>
      <c r="DER28" s="1221"/>
      <c r="DES28" s="1221"/>
      <c r="DET28" s="1221"/>
      <c r="DEU28" s="1221"/>
      <c r="DEV28" s="1221"/>
      <c r="DEW28" s="1221"/>
      <c r="DEX28" s="1221"/>
      <c r="DEY28" s="1221"/>
      <c r="DEZ28" s="1221"/>
      <c r="DFA28" s="1221"/>
      <c r="DFB28" s="1221"/>
      <c r="DFC28" s="1221"/>
      <c r="DFD28" s="1221"/>
      <c r="DFE28" s="1221"/>
      <c r="DFF28" s="1221"/>
      <c r="DFG28" s="1221"/>
      <c r="DFH28" s="1221"/>
      <c r="DFI28" s="1221"/>
      <c r="DFJ28" s="1221"/>
      <c r="DFK28" s="1221"/>
      <c r="DFL28" s="1221"/>
      <c r="DFM28" s="1221"/>
      <c r="DFN28" s="1221"/>
      <c r="DFO28" s="1221"/>
      <c r="DFP28" s="1221"/>
      <c r="DFQ28" s="1221"/>
      <c r="DFR28" s="1221"/>
      <c r="DFS28" s="1221"/>
      <c r="DFT28" s="1221"/>
      <c r="DFU28" s="1221"/>
      <c r="DFV28" s="1221"/>
      <c r="DFW28" s="1221"/>
      <c r="DFX28" s="1221"/>
      <c r="DFY28" s="1221"/>
      <c r="DFZ28" s="1221"/>
      <c r="DGA28" s="1221"/>
      <c r="DGB28" s="1221"/>
      <c r="DGC28" s="1221"/>
      <c r="DGD28" s="1221"/>
      <c r="DGE28" s="1221"/>
      <c r="DGF28" s="1221"/>
      <c r="DGG28" s="1221"/>
      <c r="DGH28" s="1221"/>
      <c r="DGI28" s="1221"/>
      <c r="DGJ28" s="1221"/>
      <c r="DGK28" s="1221"/>
      <c r="DGL28" s="1221"/>
      <c r="DGM28" s="1221"/>
      <c r="DGN28" s="1221"/>
      <c r="DGO28" s="1221"/>
      <c r="DGP28" s="1221"/>
      <c r="DGQ28" s="1221"/>
      <c r="DGR28" s="1221"/>
      <c r="DGS28" s="1221"/>
      <c r="DGT28" s="1221"/>
      <c r="DGU28" s="1221"/>
      <c r="DGV28" s="1221"/>
      <c r="DGW28" s="1221"/>
      <c r="DGX28" s="1221"/>
      <c r="DGY28" s="1221"/>
      <c r="DGZ28" s="1221"/>
      <c r="DHA28" s="1221"/>
      <c r="DHB28" s="1221"/>
      <c r="DHC28" s="1221"/>
      <c r="DHD28" s="1221"/>
      <c r="DHE28" s="1221"/>
      <c r="DHF28" s="1221"/>
      <c r="DHG28" s="1221"/>
      <c r="DHH28" s="1221"/>
      <c r="DHI28" s="1221"/>
      <c r="DHJ28" s="1221"/>
      <c r="DHK28" s="1221"/>
      <c r="DHL28" s="1221"/>
      <c r="DHM28" s="1221"/>
      <c r="DHN28" s="1221"/>
      <c r="DHO28" s="1221"/>
      <c r="DHP28" s="1221"/>
      <c r="DHQ28" s="1221"/>
      <c r="DHR28" s="1221"/>
      <c r="DHS28" s="1221"/>
      <c r="DHT28" s="1221"/>
      <c r="DHU28" s="1221"/>
      <c r="DHV28" s="1221"/>
      <c r="DHW28" s="1221"/>
      <c r="DHX28" s="1221"/>
      <c r="DHY28" s="1221"/>
      <c r="DHZ28" s="1221"/>
      <c r="DIA28" s="1221"/>
      <c r="DIB28" s="1221"/>
      <c r="DIC28" s="1221"/>
      <c r="DID28" s="1221"/>
      <c r="DIE28" s="1221"/>
      <c r="DIF28" s="1221"/>
      <c r="DIG28" s="1221"/>
      <c r="DIH28" s="1221"/>
      <c r="DII28" s="1221"/>
      <c r="DIJ28" s="1221"/>
      <c r="DIK28" s="1221"/>
      <c r="DIL28" s="1221"/>
      <c r="DIM28" s="1221"/>
      <c r="DIN28" s="1221"/>
      <c r="DIO28" s="1221"/>
      <c r="DIP28" s="1221"/>
      <c r="DIQ28" s="1221"/>
      <c r="DIR28" s="1221"/>
      <c r="DIS28" s="1221"/>
      <c r="DIT28" s="1221"/>
      <c r="DIU28" s="1221"/>
      <c r="DIV28" s="1221"/>
      <c r="DIW28" s="1221"/>
      <c r="DIX28" s="1221"/>
      <c r="DIY28" s="1221"/>
      <c r="DIZ28" s="1221"/>
      <c r="DJA28" s="1221"/>
      <c r="DJB28" s="1221"/>
      <c r="DJC28" s="1221"/>
      <c r="DJD28" s="1221"/>
      <c r="DJE28" s="1221"/>
      <c r="DJF28" s="1221"/>
      <c r="DJG28" s="1221"/>
      <c r="DJH28" s="1221"/>
      <c r="DJI28" s="1221"/>
      <c r="DJJ28" s="1221"/>
      <c r="DJK28" s="1221"/>
      <c r="DJL28" s="1221"/>
      <c r="DJM28" s="1221"/>
      <c r="DJN28" s="1221"/>
      <c r="DJO28" s="1221"/>
      <c r="DJP28" s="1221"/>
      <c r="DJQ28" s="1221"/>
      <c r="DJR28" s="1221"/>
      <c r="DJS28" s="1221"/>
      <c r="DJT28" s="1221"/>
      <c r="DJU28" s="1221"/>
      <c r="DJV28" s="1221"/>
      <c r="DJW28" s="1221"/>
      <c r="DJX28" s="1221"/>
      <c r="DJY28" s="1221"/>
      <c r="DJZ28" s="1221"/>
      <c r="DKA28" s="1221"/>
      <c r="DKB28" s="1221"/>
      <c r="DKC28" s="1221"/>
      <c r="DKD28" s="1221"/>
      <c r="DKE28" s="1221"/>
      <c r="DKF28" s="1221"/>
      <c r="DKG28" s="1221"/>
      <c r="DKH28" s="1221"/>
      <c r="DKI28" s="1221"/>
      <c r="DKJ28" s="1221"/>
      <c r="DKK28" s="1221"/>
      <c r="DKL28" s="1221"/>
      <c r="DKM28" s="1221"/>
      <c r="DKN28" s="1221"/>
      <c r="DKO28" s="1221"/>
      <c r="DKP28" s="1221"/>
      <c r="DKQ28" s="1221"/>
      <c r="DKR28" s="1221"/>
      <c r="DKS28" s="1221"/>
      <c r="DKT28" s="1221"/>
      <c r="DKU28" s="1221"/>
      <c r="DKV28" s="1221"/>
      <c r="DKW28" s="1221"/>
      <c r="DKX28" s="1221"/>
      <c r="DKY28" s="1221"/>
      <c r="DKZ28" s="1221"/>
      <c r="DLA28" s="1221"/>
      <c r="DLB28" s="1221"/>
      <c r="DLC28" s="1221"/>
      <c r="DLD28" s="1221"/>
      <c r="DLE28" s="1221"/>
      <c r="DLF28" s="1221"/>
      <c r="DLG28" s="1221"/>
      <c r="DLH28" s="1221"/>
      <c r="DLI28" s="1221"/>
      <c r="DLJ28" s="1221"/>
      <c r="DLK28" s="1221"/>
      <c r="DLL28" s="1221"/>
      <c r="DLM28" s="1221"/>
      <c r="DLN28" s="1221"/>
      <c r="DLO28" s="1221"/>
      <c r="DLP28" s="1221"/>
      <c r="DLQ28" s="1221"/>
      <c r="DLR28" s="1221"/>
      <c r="DLS28" s="1221"/>
      <c r="DLT28" s="1221"/>
      <c r="DLU28" s="1221"/>
      <c r="DLV28" s="1221"/>
      <c r="DLW28" s="1221"/>
      <c r="DLX28" s="1221"/>
      <c r="DLY28" s="1221"/>
      <c r="DLZ28" s="1221"/>
      <c r="DMA28" s="1221"/>
      <c r="DMB28" s="1221"/>
      <c r="DMC28" s="1221"/>
      <c r="DMD28" s="1221"/>
      <c r="DME28" s="1221"/>
      <c r="DMF28" s="1221"/>
      <c r="DMG28" s="1221"/>
      <c r="DMH28" s="1221"/>
      <c r="DMI28" s="1221"/>
      <c r="DMJ28" s="1221"/>
      <c r="DMK28" s="1221"/>
      <c r="DML28" s="1221"/>
      <c r="DMM28" s="1221"/>
      <c r="DMN28" s="1221"/>
      <c r="DMO28" s="1221"/>
      <c r="DMP28" s="1221"/>
      <c r="DMQ28" s="1221"/>
      <c r="DMR28" s="1221"/>
      <c r="DMS28" s="1221"/>
      <c r="DMT28" s="1221"/>
      <c r="DMU28" s="1221"/>
      <c r="DMV28" s="1221"/>
      <c r="DMW28" s="1221"/>
      <c r="DMX28" s="1221"/>
      <c r="DMY28" s="1221"/>
      <c r="DMZ28" s="1221"/>
      <c r="DNA28" s="1221"/>
      <c r="DNB28" s="1221"/>
      <c r="DNC28" s="1221"/>
      <c r="DND28" s="1221"/>
      <c r="DNE28" s="1221"/>
      <c r="DNF28" s="1221"/>
      <c r="DNG28" s="1221"/>
      <c r="DNH28" s="1221"/>
      <c r="DNI28" s="1221"/>
      <c r="DNJ28" s="1221"/>
      <c r="DNK28" s="1221"/>
      <c r="DNL28" s="1221"/>
      <c r="DNM28" s="1221"/>
      <c r="DNN28" s="1221"/>
      <c r="DNO28" s="1221"/>
      <c r="DNP28" s="1221"/>
      <c r="DNQ28" s="1221"/>
      <c r="DNR28" s="1221"/>
      <c r="DNS28" s="1221"/>
      <c r="DNT28" s="1221"/>
      <c r="DNU28" s="1221"/>
      <c r="DNV28" s="1221"/>
      <c r="DNW28" s="1221"/>
      <c r="DNX28" s="1221"/>
      <c r="DNY28" s="1221"/>
      <c r="DNZ28" s="1221"/>
      <c r="DOA28" s="1221"/>
      <c r="DOB28" s="1221"/>
      <c r="DOC28" s="1221"/>
      <c r="DOD28" s="1221"/>
      <c r="DOE28" s="1221"/>
      <c r="DOF28" s="1221"/>
      <c r="DOG28" s="1221"/>
      <c r="DOH28" s="1221"/>
      <c r="DOI28" s="1221"/>
      <c r="DOJ28" s="1221"/>
      <c r="DOK28" s="1221"/>
      <c r="DOL28" s="1221"/>
      <c r="DOM28" s="1221"/>
      <c r="DON28" s="1221"/>
      <c r="DOO28" s="1221"/>
      <c r="DOP28" s="1221"/>
      <c r="DOQ28" s="1221"/>
      <c r="DOR28" s="1221"/>
      <c r="DOS28" s="1221"/>
      <c r="DOT28" s="1221"/>
      <c r="DOU28" s="1221"/>
      <c r="DOV28" s="1221"/>
      <c r="DOW28" s="1221"/>
      <c r="DOX28" s="1221"/>
      <c r="DOY28" s="1221"/>
      <c r="DOZ28" s="1221"/>
      <c r="DPA28" s="1221"/>
      <c r="DPB28" s="1221"/>
      <c r="DPC28" s="1221"/>
      <c r="DPD28" s="1221"/>
      <c r="DPE28" s="1221"/>
      <c r="DPF28" s="1221"/>
      <c r="DPG28" s="1221"/>
      <c r="DPH28" s="1221"/>
      <c r="DPI28" s="1221"/>
      <c r="DPJ28" s="1221"/>
      <c r="DPK28" s="1221"/>
      <c r="DPL28" s="1221"/>
      <c r="DPM28" s="1221"/>
      <c r="DPN28" s="1221"/>
      <c r="DPO28" s="1221"/>
      <c r="DPP28" s="1221"/>
      <c r="DPQ28" s="1221"/>
      <c r="DPR28" s="1221"/>
      <c r="DPS28" s="1221"/>
      <c r="DPT28" s="1221"/>
      <c r="DPU28" s="1221"/>
      <c r="DPV28" s="1221"/>
      <c r="DPW28" s="1221"/>
      <c r="DPX28" s="1221"/>
      <c r="DPY28" s="1221"/>
      <c r="DPZ28" s="1221"/>
      <c r="DQA28" s="1221"/>
      <c r="DQB28" s="1221"/>
      <c r="DQC28" s="1221"/>
      <c r="DQD28" s="1221"/>
      <c r="DQE28" s="1221"/>
      <c r="DQF28" s="1221"/>
      <c r="DQG28" s="1221"/>
      <c r="DQH28" s="1221"/>
      <c r="DQI28" s="1221"/>
      <c r="DQJ28" s="1221"/>
      <c r="DQK28" s="1221"/>
      <c r="DQL28" s="1221"/>
      <c r="DQM28" s="1221"/>
      <c r="DQN28" s="1221"/>
      <c r="DQO28" s="1221"/>
      <c r="DQP28" s="1221"/>
      <c r="DQQ28" s="1221"/>
      <c r="DQR28" s="1221"/>
      <c r="DQS28" s="1221"/>
      <c r="DQT28" s="1221"/>
      <c r="DQU28" s="1221"/>
      <c r="DQV28" s="1221"/>
      <c r="DQW28" s="1221"/>
      <c r="DQX28" s="1221"/>
      <c r="DQY28" s="1221"/>
      <c r="DQZ28" s="1221"/>
      <c r="DRA28" s="1221"/>
      <c r="DRB28" s="1221"/>
      <c r="DRC28" s="1221"/>
      <c r="DRD28" s="1221"/>
      <c r="DRE28" s="1221"/>
      <c r="DRF28" s="1221"/>
      <c r="DRG28" s="1221"/>
      <c r="DRH28" s="1221"/>
      <c r="DRI28" s="1221"/>
      <c r="DRJ28" s="1221"/>
      <c r="DRK28" s="1221"/>
      <c r="DRL28" s="1221"/>
      <c r="DRM28" s="1221"/>
      <c r="DRN28" s="1221"/>
      <c r="DRO28" s="1221"/>
      <c r="DRP28" s="1221"/>
      <c r="DRQ28" s="1221"/>
      <c r="DRR28" s="1221"/>
      <c r="DRS28" s="1221"/>
      <c r="DRT28" s="1221"/>
      <c r="DRU28" s="1221"/>
      <c r="DRV28" s="1221"/>
      <c r="DRW28" s="1221"/>
      <c r="DRX28" s="1221"/>
      <c r="DRY28" s="1221"/>
      <c r="DRZ28" s="1221"/>
      <c r="DSA28" s="1221"/>
      <c r="DSB28" s="1221"/>
      <c r="DSC28" s="1221"/>
      <c r="DSD28" s="1221"/>
      <c r="DSE28" s="1221"/>
      <c r="DSF28" s="1221"/>
      <c r="DSG28" s="1221"/>
      <c r="DSH28" s="1221"/>
      <c r="DSI28" s="1221"/>
      <c r="DSJ28" s="1221"/>
      <c r="DSK28" s="1221"/>
      <c r="DSL28" s="1221"/>
      <c r="DSM28" s="1221"/>
      <c r="DSN28" s="1221"/>
      <c r="DSO28" s="1221"/>
      <c r="DSP28" s="1221"/>
      <c r="DSQ28" s="1221"/>
      <c r="DSR28" s="1221"/>
      <c r="DSS28" s="1221"/>
      <c r="DST28" s="1221"/>
      <c r="DSU28" s="1221"/>
      <c r="DSV28" s="1221"/>
      <c r="DSW28" s="1221"/>
      <c r="DSX28" s="1221"/>
      <c r="DSY28" s="1221"/>
      <c r="DSZ28" s="1221"/>
      <c r="DTA28" s="1221"/>
      <c r="DTB28" s="1221"/>
      <c r="DTC28" s="1221"/>
      <c r="DTD28" s="1221"/>
      <c r="DTE28" s="1221"/>
      <c r="DTF28" s="1221"/>
      <c r="DTG28" s="1221"/>
      <c r="DTH28" s="1221"/>
      <c r="DTI28" s="1221"/>
      <c r="DTJ28" s="1221"/>
      <c r="DTK28" s="1221"/>
      <c r="DTL28" s="1221"/>
      <c r="DTM28" s="1221"/>
      <c r="DTN28" s="1221"/>
      <c r="DTO28" s="1221"/>
      <c r="DTP28" s="1221"/>
      <c r="DTQ28" s="1221"/>
      <c r="DTR28" s="1221"/>
      <c r="DTS28" s="1221"/>
      <c r="DTT28" s="1221"/>
      <c r="DTU28" s="1221"/>
      <c r="DTV28" s="1221"/>
      <c r="DTW28" s="1221"/>
      <c r="DTX28" s="1221"/>
      <c r="DTY28" s="1221"/>
      <c r="DTZ28" s="1221"/>
      <c r="DUA28" s="1221"/>
      <c r="DUB28" s="1221"/>
      <c r="DUC28" s="1221"/>
      <c r="DUD28" s="1221"/>
      <c r="DUE28" s="1221"/>
      <c r="DUF28" s="1221"/>
      <c r="DUG28" s="1221"/>
      <c r="DUH28" s="1221"/>
      <c r="DUI28" s="1221"/>
      <c r="DUJ28" s="1221"/>
      <c r="DUK28" s="1221"/>
      <c r="DUL28" s="1221"/>
      <c r="DUM28" s="1221"/>
      <c r="DUN28" s="1221"/>
      <c r="DUO28" s="1221"/>
      <c r="DUP28" s="1221"/>
      <c r="DUQ28" s="1221"/>
      <c r="DUR28" s="1221"/>
      <c r="DUS28" s="1221"/>
      <c r="DUT28" s="1221"/>
      <c r="DUU28" s="1221"/>
      <c r="DUV28" s="1221"/>
      <c r="DUW28" s="1221"/>
      <c r="DUX28" s="1221"/>
      <c r="DUY28" s="1221"/>
      <c r="DUZ28" s="1221"/>
      <c r="DVA28" s="1221"/>
      <c r="DVB28" s="1221"/>
      <c r="DVC28" s="1221"/>
      <c r="DVD28" s="1221"/>
      <c r="DVE28" s="1221"/>
      <c r="DVF28" s="1221"/>
      <c r="DVG28" s="1221"/>
      <c r="DVH28" s="1221"/>
      <c r="DVI28" s="1221"/>
      <c r="DVJ28" s="1221"/>
      <c r="DVK28" s="1221"/>
      <c r="DVL28" s="1221"/>
      <c r="DVM28" s="1221"/>
      <c r="DVN28" s="1221"/>
      <c r="DVO28" s="1221"/>
      <c r="DVP28" s="1221"/>
      <c r="DVQ28" s="1221"/>
      <c r="DVR28" s="1221"/>
      <c r="DVS28" s="1221"/>
      <c r="DVT28" s="1221"/>
      <c r="DVU28" s="1221"/>
      <c r="DVV28" s="1221"/>
      <c r="DVW28" s="1221"/>
      <c r="DVX28" s="1221"/>
      <c r="DVY28" s="1221"/>
      <c r="DVZ28" s="1221"/>
      <c r="DWA28" s="1221"/>
      <c r="DWB28" s="1221"/>
      <c r="DWC28" s="1221"/>
      <c r="DWD28" s="1221"/>
      <c r="DWE28" s="1221"/>
      <c r="DWF28" s="1221"/>
      <c r="DWG28" s="1221"/>
      <c r="DWH28" s="1221"/>
      <c r="DWI28" s="1221"/>
      <c r="DWJ28" s="1221"/>
      <c r="DWK28" s="1221"/>
      <c r="DWL28" s="1221"/>
      <c r="DWM28" s="1221"/>
      <c r="DWN28" s="1221"/>
      <c r="DWO28" s="1221"/>
      <c r="DWP28" s="1221"/>
      <c r="DWQ28" s="1221"/>
      <c r="DWR28" s="1221"/>
      <c r="DWS28" s="1221"/>
      <c r="DWT28" s="1221"/>
      <c r="DWU28" s="1221"/>
      <c r="DWV28" s="1221"/>
      <c r="DWW28" s="1221"/>
      <c r="DWX28" s="1221"/>
      <c r="DWY28" s="1221"/>
      <c r="DWZ28" s="1221"/>
      <c r="DXA28" s="1221"/>
      <c r="DXB28" s="1221"/>
      <c r="DXC28" s="1221"/>
      <c r="DXD28" s="1221"/>
      <c r="DXE28" s="1221"/>
      <c r="DXF28" s="1221"/>
      <c r="DXG28" s="1221"/>
      <c r="DXH28" s="1221"/>
      <c r="DXI28" s="1221"/>
      <c r="DXJ28" s="1221"/>
      <c r="DXK28" s="1221"/>
      <c r="DXL28" s="1221"/>
      <c r="DXM28" s="1221"/>
      <c r="DXN28" s="1221"/>
      <c r="DXO28" s="1221"/>
      <c r="DXP28" s="1221"/>
      <c r="DXQ28" s="1221"/>
      <c r="DXR28" s="1221"/>
      <c r="DXS28" s="1221"/>
      <c r="DXT28" s="1221"/>
      <c r="DXU28" s="1221"/>
      <c r="DXV28" s="1221"/>
      <c r="DXW28" s="1221"/>
      <c r="DXX28" s="1221"/>
      <c r="DXY28" s="1221"/>
      <c r="DXZ28" s="1221"/>
      <c r="DYA28" s="1221"/>
      <c r="DYB28" s="1221"/>
      <c r="DYC28" s="1221"/>
      <c r="DYD28" s="1221"/>
      <c r="DYE28" s="1221"/>
      <c r="DYF28" s="1221"/>
      <c r="DYG28" s="1221"/>
      <c r="DYH28" s="1221"/>
      <c r="DYI28" s="1221"/>
      <c r="DYJ28" s="1221"/>
      <c r="DYK28" s="1221"/>
      <c r="DYL28" s="1221"/>
      <c r="DYM28" s="1221"/>
      <c r="DYN28" s="1221"/>
      <c r="DYO28" s="1221"/>
      <c r="DYP28" s="1221"/>
      <c r="DYQ28" s="1221"/>
      <c r="DYR28" s="1221"/>
      <c r="DYS28" s="1221"/>
      <c r="DYT28" s="1221"/>
      <c r="DYU28" s="1221"/>
      <c r="DYV28" s="1221"/>
      <c r="DYW28" s="1221"/>
      <c r="DYX28" s="1221"/>
      <c r="DYY28" s="1221"/>
      <c r="DYZ28" s="1221"/>
      <c r="DZA28" s="1221"/>
      <c r="DZB28" s="1221"/>
      <c r="DZC28" s="1221"/>
      <c r="DZD28" s="1221"/>
      <c r="DZE28" s="1221"/>
      <c r="DZF28" s="1221"/>
      <c r="DZG28" s="1221"/>
      <c r="DZH28" s="1221"/>
      <c r="DZI28" s="1221"/>
      <c r="DZJ28" s="1221"/>
      <c r="DZK28" s="1221"/>
      <c r="DZL28" s="1221"/>
      <c r="DZM28" s="1221"/>
      <c r="DZN28" s="1221"/>
      <c r="DZO28" s="1221"/>
      <c r="DZP28" s="1221"/>
      <c r="DZQ28" s="1221"/>
      <c r="DZR28" s="1221"/>
      <c r="DZS28" s="1221"/>
      <c r="DZT28" s="1221"/>
      <c r="DZU28" s="1221"/>
      <c r="DZV28" s="1221"/>
      <c r="DZW28" s="1221"/>
      <c r="DZX28" s="1221"/>
      <c r="DZY28" s="1221"/>
      <c r="DZZ28" s="1221"/>
      <c r="EAA28" s="1221"/>
      <c r="EAB28" s="1221"/>
      <c r="EAC28" s="1221"/>
      <c r="EAD28" s="1221"/>
      <c r="EAE28" s="1221"/>
      <c r="EAF28" s="1221"/>
      <c r="EAG28" s="1221"/>
      <c r="EAH28" s="1221"/>
      <c r="EAI28" s="1221"/>
      <c r="EAJ28" s="1221"/>
      <c r="EAK28" s="1221"/>
      <c r="EAL28" s="1221"/>
      <c r="EAM28" s="1221"/>
      <c r="EAN28" s="1221"/>
      <c r="EAO28" s="1221"/>
      <c r="EAP28" s="1221"/>
      <c r="EAQ28" s="1221"/>
      <c r="EAR28" s="1221"/>
      <c r="EAS28" s="1221"/>
      <c r="EAT28" s="1221"/>
      <c r="EAU28" s="1221"/>
      <c r="EAV28" s="1221"/>
      <c r="EAW28" s="1221"/>
      <c r="EAX28" s="1221"/>
      <c r="EAY28" s="1221"/>
      <c r="EAZ28" s="1221"/>
      <c r="EBA28" s="1221"/>
      <c r="EBB28" s="1221"/>
      <c r="EBC28" s="1221"/>
      <c r="EBD28" s="1221"/>
      <c r="EBE28" s="1221"/>
      <c r="EBF28" s="1221"/>
      <c r="EBG28" s="1221"/>
      <c r="EBH28" s="1221"/>
      <c r="EBI28" s="1221"/>
      <c r="EBJ28" s="1221"/>
      <c r="EBK28" s="1221"/>
      <c r="EBL28" s="1221"/>
      <c r="EBM28" s="1221"/>
      <c r="EBN28" s="1221"/>
      <c r="EBO28" s="1221"/>
      <c r="EBP28" s="1221"/>
      <c r="EBQ28" s="1221"/>
      <c r="EBR28" s="1221"/>
      <c r="EBS28" s="1221"/>
      <c r="EBT28" s="1221"/>
      <c r="EBU28" s="1221"/>
      <c r="EBV28" s="1221"/>
      <c r="EBW28" s="1221"/>
      <c r="EBX28" s="1221"/>
      <c r="EBY28" s="1221"/>
      <c r="EBZ28" s="1221"/>
      <c r="ECA28" s="1221"/>
      <c r="ECB28" s="1221"/>
      <c r="ECC28" s="1221"/>
      <c r="ECD28" s="1221"/>
      <c r="ECE28" s="1221"/>
      <c r="ECF28" s="1221"/>
      <c r="ECG28" s="1221"/>
      <c r="ECH28" s="1221"/>
      <c r="ECI28" s="1221"/>
      <c r="ECJ28" s="1221"/>
      <c r="ECK28" s="1221"/>
      <c r="ECL28" s="1221"/>
      <c r="ECM28" s="1221"/>
      <c r="ECN28" s="1221"/>
      <c r="ECO28" s="1221"/>
    </row>
    <row r="29" spans="2:3473" s="1248" customFormat="1" ht="13" outlineLevel="1">
      <c r="B29" s="1249" t="s">
        <v>502</v>
      </c>
      <c r="C29" s="1250">
        <v>3</v>
      </c>
      <c r="D29" s="1251" t="s">
        <v>84</v>
      </c>
      <c r="E29" s="1252">
        <f t="shared" si="47"/>
        <v>0</v>
      </c>
      <c r="F29" s="1252">
        <f t="shared" si="47"/>
        <v>0</v>
      </c>
      <c r="G29" s="1252">
        <f t="shared" si="47"/>
        <v>0</v>
      </c>
      <c r="H29" s="1252">
        <f t="shared" si="47"/>
        <v>42.573991955797418</v>
      </c>
      <c r="I29" s="1252">
        <f t="shared" si="47"/>
        <v>38.878180245263643</v>
      </c>
      <c r="J29" s="1252">
        <f t="shared" si="47"/>
        <v>3.6958117105337811</v>
      </c>
      <c r="K29" s="1252">
        <f t="shared" si="47"/>
        <v>0</v>
      </c>
      <c r="L29" s="1252">
        <f t="shared" si="47"/>
        <v>0</v>
      </c>
      <c r="M29" s="1252">
        <f t="shared" si="47"/>
        <v>0</v>
      </c>
      <c r="N29" s="1252" t="str">
        <f t="shared" si="47"/>
        <v/>
      </c>
      <c r="O29" s="1252" t="str">
        <f t="shared" si="47"/>
        <v/>
      </c>
      <c r="P29" s="1252" t="str">
        <f t="shared" si="47"/>
        <v/>
      </c>
      <c r="Q29" s="1252">
        <f t="shared" si="47"/>
        <v>35.468771451428815</v>
      </c>
      <c r="R29" s="1252">
        <f t="shared" si="47"/>
        <v>32.401583083760237</v>
      </c>
      <c r="S29" s="1252">
        <f t="shared" si="8"/>
        <v>3.0671883676685732</v>
      </c>
      <c r="T29" s="1252">
        <f t="shared" si="5"/>
        <v>70.117949250658683</v>
      </c>
      <c r="U29" s="1252">
        <f t="shared" si="5"/>
        <v>64.328388089864291</v>
      </c>
      <c r="V29" s="1252">
        <f t="shared" si="9"/>
        <v>5.7895611607943893</v>
      </c>
      <c r="W29" s="1252" t="str">
        <f t="shared" si="10"/>
        <v/>
      </c>
      <c r="X29" s="1252" t="str">
        <f t="shared" si="10"/>
        <v/>
      </c>
      <c r="Y29" s="1252" t="str">
        <f t="shared" si="10"/>
        <v/>
      </c>
      <c r="Z29" s="1252">
        <f t="shared" si="11"/>
        <v>29.197155446804889</v>
      </c>
      <c r="AA29" s="1252">
        <f t="shared" si="11"/>
        <v>26.669960583060902</v>
      </c>
      <c r="AB29" s="1252">
        <f t="shared" si="11"/>
        <v>2.5271948637439845</v>
      </c>
      <c r="AC29" s="1252">
        <f t="shared" si="15"/>
        <v>38.790119378465292</v>
      </c>
      <c r="AD29" s="1260">
        <f t="shared" si="15"/>
        <v>35.432593997752178</v>
      </c>
      <c r="AE29" s="1260">
        <f t="shared" si="15"/>
        <v>3.3575253807131116</v>
      </c>
      <c r="AF29" s="1254">
        <f t="shared" si="40"/>
        <v>0</v>
      </c>
      <c r="AG29" s="1256">
        <f>VLOOKUP($D29,车位!$D$17:$U$199,14,0)*车位!$K$3</f>
        <v>0</v>
      </c>
      <c r="AH29" s="1256">
        <f>VLOOKUP($D29,车位!$D$17:$U$199,16,0)*车位!$K$3</f>
        <v>0</v>
      </c>
      <c r="AI29" s="1256">
        <f t="shared" si="41"/>
        <v>183.80874</v>
      </c>
      <c r="AJ29" s="1256">
        <f>VLOOKUP($D29,高层!$D$11:$U$202,14,0)</f>
        <v>167.85246100000001</v>
      </c>
      <c r="AK29" s="1256">
        <f>VLOOKUP($D29,高层!$D$11:$U$202,16,0)</f>
        <v>15.956278999999991</v>
      </c>
      <c r="AL29" s="1256">
        <f t="shared" si="20"/>
        <v>0</v>
      </c>
      <c r="AM29" s="1256">
        <f>VLOOKUP($D29,人防车位!D:U,14,0)</f>
        <v>0</v>
      </c>
      <c r="AN29" s="1256">
        <f>VLOOKUP($D29,人防车位!D:U,16,0)</f>
        <v>0</v>
      </c>
      <c r="AO29" s="1256">
        <f t="shared" si="21"/>
        <v>0</v>
      </c>
      <c r="AP29" s="1256">
        <f>VLOOKUP($D29,人才公寓销售!$D$11:$U$202,14,0)</f>
        <v>0</v>
      </c>
      <c r="AQ29" s="1256">
        <f>VLOOKUP($D29,人才公寓销售!$D$11:$U$202,16,0)</f>
        <v>0</v>
      </c>
      <c r="AR29" s="1256">
        <f>AS29+AT29</f>
        <v>209.88425599999999</v>
      </c>
      <c r="AS29" s="1256">
        <f>VLOOKUP($D29,小高层!$D$11:$U$202,14,0)</f>
        <v>191.73435900000001</v>
      </c>
      <c r="AT29" s="1256">
        <f>VLOOKUP($D29,小高层!$D$11:$U$202,16,0)</f>
        <v>18.149896999999985</v>
      </c>
      <c r="AU29" s="1256">
        <f>AV29+AW29</f>
        <v>7.4249999999999998</v>
      </c>
      <c r="AV29" s="1256">
        <f>VLOOKUP($D29,临街商业!$D$11:$U$202,14,0)</f>
        <v>6.8119259999999997</v>
      </c>
      <c r="AW29" s="1256">
        <f>VLOOKUP($D29,临街商业!$D$11:$U$202,16,0)</f>
        <v>0.61307400000000034</v>
      </c>
      <c r="AX29" s="1256"/>
      <c r="AY29" s="1256"/>
      <c r="AZ29" s="1256"/>
      <c r="BA29" s="1257">
        <f>BB29+BC29</f>
        <v>401.11799599999995</v>
      </c>
      <c r="BB29" s="1257">
        <f t="shared" si="49"/>
        <v>366.39874599999996</v>
      </c>
      <c r="BC29" s="1257">
        <f t="shared" si="49"/>
        <v>34.719249999999974</v>
      </c>
      <c r="BD29" s="1256">
        <f t="shared" si="50"/>
        <v>0</v>
      </c>
      <c r="BE29" s="1256">
        <v>0</v>
      </c>
      <c r="BF29" s="1256">
        <v>0</v>
      </c>
      <c r="BG29" s="1256">
        <f t="shared" si="52"/>
        <v>0</v>
      </c>
      <c r="BH29" s="1257">
        <f t="shared" si="53"/>
        <v>0</v>
      </c>
      <c r="BI29" s="1257">
        <f t="shared" si="53"/>
        <v>0</v>
      </c>
      <c r="BJ29" s="1256">
        <f t="shared" si="51"/>
        <v>401.11799599999995</v>
      </c>
      <c r="BK29" s="1257">
        <f t="shared" si="51"/>
        <v>366.39874599999996</v>
      </c>
      <c r="BL29" s="1257">
        <f t="shared" si="51"/>
        <v>34.719249999999974</v>
      </c>
      <c r="BM29" s="1262" t="s">
        <v>489</v>
      </c>
      <c r="BN29" s="1225">
        <f t="shared" si="12"/>
        <v>0</v>
      </c>
      <c r="BO29" s="1225">
        <f t="shared" si="13"/>
        <v>5.6843418860808015E-14</v>
      </c>
      <c r="BP29" s="1225">
        <f t="shared" si="14"/>
        <v>0</v>
      </c>
      <c r="BQ29" s="1225"/>
      <c r="BR29" s="1221"/>
      <c r="BS29" s="1221"/>
      <c r="BT29" s="1221"/>
      <c r="BU29" s="1221"/>
      <c r="BV29" s="1221"/>
      <c r="BW29" s="1221"/>
      <c r="BX29" s="1221"/>
      <c r="BY29" s="1221"/>
      <c r="BZ29" s="1221"/>
      <c r="CA29" s="1221"/>
      <c r="CB29" s="1221"/>
      <c r="CC29" s="1221"/>
      <c r="CD29" s="1221"/>
      <c r="CE29" s="1221"/>
      <c r="CF29" s="1221"/>
      <c r="CG29" s="1221"/>
      <c r="CH29" s="1221"/>
      <c r="CI29" s="1221"/>
      <c r="CJ29" s="1221"/>
      <c r="CK29" s="1221"/>
      <c r="CL29" s="1221"/>
      <c r="CM29" s="1221"/>
      <c r="CN29" s="1221"/>
      <c r="CO29" s="1221"/>
      <c r="CP29" s="1221"/>
      <c r="CQ29" s="1221"/>
      <c r="CR29" s="1221"/>
      <c r="CS29" s="1221"/>
      <c r="CT29" s="1221"/>
      <c r="CU29" s="1221"/>
      <c r="CV29" s="1221"/>
      <c r="CW29" s="1221"/>
      <c r="CX29" s="1221"/>
      <c r="CY29" s="1221"/>
      <c r="CZ29" s="1221"/>
      <c r="DA29" s="1221"/>
      <c r="DB29" s="1221"/>
      <c r="DC29" s="1221"/>
      <c r="DD29" s="1221"/>
      <c r="DE29" s="1221"/>
      <c r="DF29" s="1221"/>
      <c r="DG29" s="1221"/>
      <c r="DH29" s="1221"/>
      <c r="DI29" s="1221"/>
      <c r="DJ29" s="1221"/>
      <c r="DK29" s="1221"/>
      <c r="DL29" s="1221"/>
      <c r="DM29" s="1221"/>
      <c r="DN29" s="1221"/>
      <c r="DO29" s="1221"/>
      <c r="DP29" s="1221"/>
      <c r="DQ29" s="1221"/>
      <c r="DR29" s="1221"/>
      <c r="DS29" s="1221"/>
      <c r="DT29" s="1221"/>
      <c r="DU29" s="1221"/>
      <c r="DV29" s="1221"/>
      <c r="DW29" s="1221"/>
      <c r="DX29" s="1221"/>
      <c r="DY29" s="1221"/>
      <c r="DZ29" s="1221"/>
      <c r="EA29" s="1221"/>
      <c r="EB29" s="1221"/>
      <c r="EC29" s="1221"/>
      <c r="ED29" s="1221"/>
      <c r="EE29" s="1221"/>
      <c r="EF29" s="1221"/>
      <c r="EG29" s="1221"/>
      <c r="EH29" s="1221"/>
      <c r="EI29" s="1221"/>
      <c r="EJ29" s="1221"/>
      <c r="EK29" s="1221"/>
      <c r="EL29" s="1221"/>
      <c r="EM29" s="1221"/>
      <c r="EN29" s="1221"/>
      <c r="EO29" s="1221"/>
      <c r="EP29" s="1221"/>
      <c r="EQ29" s="1221"/>
      <c r="ER29" s="1221"/>
      <c r="ES29" s="1221"/>
      <c r="ET29" s="1221"/>
      <c r="EU29" s="1221"/>
      <c r="EV29" s="1221"/>
      <c r="EW29" s="1221"/>
      <c r="EX29" s="1221"/>
      <c r="EY29" s="1221"/>
      <c r="EZ29" s="1221"/>
      <c r="FA29" s="1221"/>
      <c r="FB29" s="1221"/>
      <c r="FC29" s="1221"/>
      <c r="FD29" s="1221"/>
      <c r="FE29" s="1221"/>
      <c r="FF29" s="1221"/>
      <c r="FG29" s="1221"/>
      <c r="FH29" s="1221"/>
      <c r="FI29" s="1221"/>
      <c r="FJ29" s="1221"/>
      <c r="FK29" s="1221"/>
      <c r="FL29" s="1221"/>
      <c r="FM29" s="1221"/>
      <c r="FN29" s="1221"/>
      <c r="FO29" s="1221"/>
      <c r="FP29" s="1221"/>
      <c r="FQ29" s="1221"/>
      <c r="FR29" s="1221"/>
      <c r="FS29" s="1221"/>
      <c r="FT29" s="1221"/>
      <c r="FU29" s="1221"/>
      <c r="FV29" s="1221"/>
      <c r="FW29" s="1221"/>
      <c r="FX29" s="1221"/>
      <c r="FY29" s="1221"/>
      <c r="FZ29" s="1221"/>
      <c r="GA29" s="1221"/>
      <c r="GB29" s="1221"/>
      <c r="GC29" s="1221"/>
      <c r="GD29" s="1221"/>
      <c r="GE29" s="1221"/>
      <c r="GF29" s="1221"/>
      <c r="GG29" s="1221"/>
      <c r="GH29" s="1221"/>
      <c r="GI29" s="1221"/>
      <c r="GJ29" s="1221"/>
      <c r="GK29" s="1221"/>
      <c r="GL29" s="1221"/>
      <c r="GM29" s="1221"/>
      <c r="GN29" s="1221"/>
      <c r="GO29" s="1221"/>
      <c r="GP29" s="1221"/>
      <c r="GQ29" s="1221"/>
      <c r="GR29" s="1221"/>
      <c r="GS29" s="1221"/>
      <c r="GT29" s="1221"/>
      <c r="GU29" s="1221"/>
      <c r="GV29" s="1221"/>
      <c r="GW29" s="1221"/>
      <c r="GX29" s="1221"/>
      <c r="GY29" s="1221"/>
      <c r="GZ29" s="1221"/>
      <c r="HA29" s="1221"/>
      <c r="HB29" s="1221"/>
      <c r="HC29" s="1221"/>
      <c r="HD29" s="1221"/>
      <c r="HE29" s="1221"/>
      <c r="HF29" s="1221"/>
      <c r="HG29" s="1221"/>
      <c r="HH29" s="1221"/>
      <c r="HI29" s="1221"/>
      <c r="HJ29" s="1221"/>
      <c r="HK29" s="1221"/>
      <c r="HL29" s="1221"/>
      <c r="HM29" s="1221"/>
      <c r="HN29" s="1221"/>
      <c r="HO29" s="1221"/>
      <c r="HP29" s="1221"/>
      <c r="HQ29" s="1221"/>
      <c r="HR29" s="1221"/>
      <c r="HS29" s="1221"/>
      <c r="HT29" s="1221"/>
      <c r="HU29" s="1221"/>
      <c r="HV29" s="1221"/>
      <c r="HW29" s="1221"/>
      <c r="HX29" s="1221"/>
      <c r="HY29" s="1221"/>
      <c r="HZ29" s="1221"/>
      <c r="IA29" s="1221"/>
      <c r="IB29" s="1221"/>
      <c r="IC29" s="1221"/>
      <c r="ID29" s="1221"/>
      <c r="IE29" s="1221"/>
      <c r="IF29" s="1221"/>
      <c r="IG29" s="1221"/>
      <c r="IH29" s="1221"/>
      <c r="II29" s="1221"/>
      <c r="IJ29" s="1221"/>
      <c r="IK29" s="1221"/>
      <c r="IL29" s="1221"/>
      <c r="IM29" s="1221"/>
      <c r="IN29" s="1221"/>
      <c r="IO29" s="1221"/>
      <c r="IP29" s="1221"/>
      <c r="IQ29" s="1221"/>
      <c r="IR29" s="1221"/>
      <c r="IS29" s="1221"/>
      <c r="IT29" s="1221"/>
      <c r="IU29" s="1221"/>
      <c r="IV29" s="1221"/>
      <c r="IW29" s="1221"/>
      <c r="IX29" s="1221"/>
      <c r="IY29" s="1221"/>
      <c r="IZ29" s="1221"/>
      <c r="JA29" s="1221"/>
      <c r="JB29" s="1221"/>
      <c r="JC29" s="1221"/>
      <c r="JD29" s="1221"/>
      <c r="JE29" s="1221"/>
      <c r="JF29" s="1221"/>
      <c r="JG29" s="1221"/>
      <c r="JH29" s="1221"/>
      <c r="JI29" s="1221"/>
      <c r="JJ29" s="1221"/>
      <c r="JK29" s="1221"/>
      <c r="JL29" s="1221"/>
      <c r="JM29" s="1221"/>
      <c r="JN29" s="1221"/>
      <c r="JO29" s="1221"/>
      <c r="JP29" s="1221"/>
      <c r="JQ29" s="1221"/>
      <c r="JR29" s="1221"/>
      <c r="JS29" s="1221"/>
      <c r="JT29" s="1221"/>
      <c r="JU29" s="1221"/>
      <c r="JV29" s="1221"/>
      <c r="JW29" s="1221"/>
      <c r="JX29" s="1221"/>
      <c r="JY29" s="1221"/>
      <c r="JZ29" s="1221"/>
      <c r="KA29" s="1221"/>
      <c r="KB29" s="1221"/>
      <c r="KC29" s="1221"/>
      <c r="KD29" s="1221"/>
      <c r="KE29" s="1221"/>
      <c r="KF29" s="1221"/>
      <c r="KG29" s="1221"/>
      <c r="KH29" s="1221"/>
      <c r="KI29" s="1221"/>
      <c r="KJ29" s="1221"/>
      <c r="KK29" s="1221"/>
      <c r="KL29" s="1221"/>
      <c r="KM29" s="1221"/>
      <c r="KN29" s="1221"/>
      <c r="KO29" s="1221"/>
      <c r="KP29" s="1221"/>
      <c r="KQ29" s="1221"/>
      <c r="KR29" s="1221"/>
      <c r="KS29" s="1221"/>
      <c r="KT29" s="1221"/>
      <c r="KU29" s="1221"/>
      <c r="KV29" s="1221"/>
      <c r="KW29" s="1221"/>
      <c r="KX29" s="1221"/>
      <c r="KY29" s="1221"/>
      <c r="KZ29" s="1221"/>
      <c r="LA29" s="1221"/>
      <c r="LB29" s="1221"/>
      <c r="LC29" s="1221"/>
      <c r="LD29" s="1221"/>
      <c r="LE29" s="1221"/>
      <c r="LF29" s="1221"/>
      <c r="LG29" s="1221"/>
      <c r="LH29" s="1221"/>
      <c r="LI29" s="1221"/>
      <c r="LJ29" s="1221"/>
      <c r="LK29" s="1221"/>
      <c r="LL29" s="1221"/>
      <c r="LM29" s="1221"/>
      <c r="LN29" s="1221"/>
      <c r="LO29" s="1221"/>
      <c r="LP29" s="1221"/>
      <c r="LQ29" s="1221"/>
      <c r="LR29" s="1221"/>
      <c r="LS29" s="1221"/>
      <c r="LT29" s="1221"/>
      <c r="LU29" s="1221"/>
      <c r="LV29" s="1221"/>
      <c r="LW29" s="1221"/>
      <c r="LX29" s="1221"/>
      <c r="LY29" s="1221"/>
      <c r="LZ29" s="1221"/>
      <c r="MA29" s="1221"/>
      <c r="MB29" s="1221"/>
      <c r="MC29" s="1221"/>
      <c r="MD29" s="1221"/>
      <c r="ME29" s="1221"/>
      <c r="MF29" s="1221"/>
      <c r="MG29" s="1221"/>
      <c r="MH29" s="1221"/>
      <c r="MI29" s="1221"/>
      <c r="MJ29" s="1221"/>
      <c r="MK29" s="1221"/>
      <c r="ML29" s="1221"/>
      <c r="MM29" s="1221"/>
      <c r="MN29" s="1221"/>
      <c r="MO29" s="1221"/>
      <c r="MP29" s="1221"/>
      <c r="MQ29" s="1221"/>
      <c r="MR29" s="1221"/>
      <c r="MS29" s="1221"/>
      <c r="MT29" s="1221"/>
      <c r="MU29" s="1221"/>
      <c r="MV29" s="1221"/>
      <c r="MW29" s="1221"/>
      <c r="MX29" s="1221"/>
      <c r="MY29" s="1221"/>
      <c r="MZ29" s="1221"/>
      <c r="NA29" s="1221"/>
      <c r="NB29" s="1221"/>
      <c r="NC29" s="1221"/>
      <c r="ND29" s="1221"/>
      <c r="NE29" s="1221"/>
      <c r="NF29" s="1221"/>
      <c r="NG29" s="1221"/>
      <c r="NH29" s="1221"/>
      <c r="NI29" s="1221"/>
      <c r="NJ29" s="1221"/>
      <c r="NK29" s="1221"/>
      <c r="NL29" s="1221"/>
      <c r="NM29" s="1221"/>
      <c r="NN29" s="1221"/>
      <c r="NO29" s="1221"/>
      <c r="NP29" s="1221"/>
      <c r="NQ29" s="1221"/>
      <c r="NR29" s="1221"/>
      <c r="NS29" s="1221"/>
      <c r="NT29" s="1221"/>
      <c r="NU29" s="1221"/>
      <c r="NV29" s="1221"/>
      <c r="NW29" s="1221"/>
      <c r="NX29" s="1221"/>
      <c r="NY29" s="1221"/>
      <c r="NZ29" s="1221"/>
      <c r="OA29" s="1221"/>
      <c r="OB29" s="1221"/>
      <c r="OC29" s="1221"/>
      <c r="OD29" s="1221"/>
      <c r="OE29" s="1221"/>
      <c r="OF29" s="1221"/>
      <c r="OG29" s="1221"/>
      <c r="OH29" s="1221"/>
      <c r="OI29" s="1221"/>
      <c r="OJ29" s="1221"/>
      <c r="OK29" s="1221"/>
      <c r="OL29" s="1221"/>
      <c r="OM29" s="1221"/>
      <c r="ON29" s="1221"/>
      <c r="OO29" s="1221"/>
      <c r="OP29" s="1221"/>
      <c r="OQ29" s="1221"/>
      <c r="OR29" s="1221"/>
      <c r="OS29" s="1221"/>
      <c r="OT29" s="1221"/>
      <c r="OU29" s="1221"/>
      <c r="OV29" s="1221"/>
      <c r="OW29" s="1221"/>
      <c r="OX29" s="1221"/>
      <c r="OY29" s="1221"/>
      <c r="OZ29" s="1221"/>
      <c r="PA29" s="1221"/>
      <c r="PB29" s="1221"/>
      <c r="PC29" s="1221"/>
      <c r="PD29" s="1221"/>
      <c r="PE29" s="1221"/>
      <c r="PF29" s="1221"/>
      <c r="PG29" s="1221"/>
      <c r="PH29" s="1221"/>
      <c r="PI29" s="1221"/>
      <c r="PJ29" s="1221"/>
      <c r="PK29" s="1221"/>
      <c r="PL29" s="1221"/>
      <c r="PM29" s="1221"/>
      <c r="PN29" s="1221"/>
      <c r="PO29" s="1221"/>
      <c r="PP29" s="1221"/>
      <c r="PQ29" s="1221"/>
      <c r="PR29" s="1221"/>
      <c r="PS29" s="1221"/>
      <c r="PT29" s="1221"/>
      <c r="PU29" s="1221"/>
      <c r="PV29" s="1221"/>
      <c r="PW29" s="1221"/>
      <c r="PX29" s="1221"/>
      <c r="PY29" s="1221"/>
      <c r="PZ29" s="1221"/>
      <c r="QA29" s="1221"/>
      <c r="QB29" s="1221"/>
      <c r="QC29" s="1221"/>
      <c r="QD29" s="1221"/>
      <c r="QE29" s="1221"/>
      <c r="QF29" s="1221"/>
      <c r="QG29" s="1221"/>
      <c r="QH29" s="1221"/>
      <c r="QI29" s="1221"/>
      <c r="QJ29" s="1221"/>
      <c r="QK29" s="1221"/>
      <c r="QL29" s="1221"/>
      <c r="QM29" s="1221"/>
      <c r="QN29" s="1221"/>
      <c r="QO29" s="1221"/>
      <c r="QP29" s="1221"/>
      <c r="QQ29" s="1221"/>
      <c r="QR29" s="1221"/>
      <c r="QS29" s="1221"/>
      <c r="QT29" s="1221"/>
      <c r="QU29" s="1221"/>
      <c r="QV29" s="1221"/>
      <c r="QW29" s="1221"/>
      <c r="QX29" s="1221"/>
      <c r="QY29" s="1221"/>
      <c r="QZ29" s="1221"/>
      <c r="RA29" s="1221"/>
      <c r="RB29" s="1221"/>
      <c r="RC29" s="1221"/>
      <c r="RD29" s="1221"/>
      <c r="RE29" s="1221"/>
      <c r="RF29" s="1221"/>
      <c r="RG29" s="1221"/>
      <c r="RH29" s="1221"/>
      <c r="RI29" s="1221"/>
      <c r="RJ29" s="1221"/>
      <c r="RK29" s="1221"/>
      <c r="RL29" s="1221"/>
      <c r="RM29" s="1221"/>
      <c r="RN29" s="1221"/>
      <c r="RO29" s="1221"/>
      <c r="RP29" s="1221"/>
      <c r="RQ29" s="1221"/>
      <c r="RR29" s="1221"/>
      <c r="RS29" s="1221"/>
      <c r="RT29" s="1221"/>
      <c r="RU29" s="1221"/>
      <c r="RV29" s="1221"/>
      <c r="RW29" s="1221"/>
      <c r="RX29" s="1221"/>
      <c r="RY29" s="1221"/>
      <c r="RZ29" s="1221"/>
      <c r="SA29" s="1221"/>
      <c r="SB29" s="1221"/>
      <c r="SC29" s="1221"/>
      <c r="SD29" s="1221"/>
      <c r="SE29" s="1221"/>
      <c r="SF29" s="1221"/>
      <c r="SG29" s="1221"/>
      <c r="SH29" s="1221"/>
      <c r="SI29" s="1221"/>
      <c r="SJ29" s="1221"/>
      <c r="SK29" s="1221"/>
      <c r="SL29" s="1221"/>
      <c r="SM29" s="1221"/>
      <c r="SN29" s="1221"/>
      <c r="SO29" s="1221"/>
      <c r="SP29" s="1221"/>
      <c r="SQ29" s="1221"/>
      <c r="SR29" s="1221"/>
      <c r="SS29" s="1221"/>
      <c r="ST29" s="1221"/>
      <c r="SU29" s="1221"/>
      <c r="SV29" s="1221"/>
      <c r="SW29" s="1221"/>
      <c r="SX29" s="1221"/>
      <c r="SY29" s="1221"/>
      <c r="SZ29" s="1221"/>
      <c r="TA29" s="1221"/>
      <c r="TB29" s="1221"/>
      <c r="TC29" s="1221"/>
      <c r="TD29" s="1221"/>
      <c r="TE29" s="1221"/>
      <c r="TF29" s="1221"/>
      <c r="TG29" s="1221"/>
      <c r="TH29" s="1221"/>
      <c r="TI29" s="1221"/>
      <c r="TJ29" s="1221"/>
      <c r="TK29" s="1221"/>
      <c r="TL29" s="1221"/>
      <c r="TM29" s="1221"/>
      <c r="TN29" s="1221"/>
      <c r="TO29" s="1221"/>
      <c r="TP29" s="1221"/>
      <c r="TQ29" s="1221"/>
      <c r="TR29" s="1221"/>
      <c r="TS29" s="1221"/>
      <c r="TT29" s="1221"/>
      <c r="TU29" s="1221"/>
      <c r="TV29" s="1221"/>
      <c r="TW29" s="1221"/>
      <c r="TX29" s="1221"/>
      <c r="TY29" s="1221"/>
      <c r="TZ29" s="1221"/>
      <c r="UA29" s="1221"/>
      <c r="UB29" s="1221"/>
      <c r="UC29" s="1221"/>
      <c r="UD29" s="1221"/>
      <c r="UE29" s="1221"/>
      <c r="UF29" s="1221"/>
      <c r="UG29" s="1221"/>
      <c r="UH29" s="1221"/>
      <c r="UI29" s="1221"/>
      <c r="UJ29" s="1221"/>
      <c r="UK29" s="1221"/>
      <c r="UL29" s="1221"/>
      <c r="UM29" s="1221"/>
      <c r="UN29" s="1221"/>
      <c r="UO29" s="1221"/>
      <c r="UP29" s="1221"/>
      <c r="UQ29" s="1221"/>
      <c r="UR29" s="1221"/>
      <c r="US29" s="1221"/>
      <c r="UT29" s="1221"/>
      <c r="UU29" s="1221"/>
      <c r="UV29" s="1221"/>
      <c r="UW29" s="1221"/>
      <c r="UX29" s="1221"/>
      <c r="UY29" s="1221"/>
      <c r="UZ29" s="1221"/>
      <c r="VA29" s="1221"/>
      <c r="VB29" s="1221"/>
      <c r="VC29" s="1221"/>
      <c r="VD29" s="1221"/>
      <c r="VE29" s="1221"/>
      <c r="VF29" s="1221"/>
      <c r="VG29" s="1221"/>
      <c r="VH29" s="1221"/>
      <c r="VI29" s="1221"/>
      <c r="VJ29" s="1221"/>
      <c r="VK29" s="1221"/>
      <c r="VL29" s="1221"/>
      <c r="VM29" s="1221"/>
      <c r="VN29" s="1221"/>
      <c r="VO29" s="1221"/>
      <c r="VP29" s="1221"/>
      <c r="VQ29" s="1221"/>
      <c r="VR29" s="1221"/>
      <c r="VS29" s="1221"/>
      <c r="VT29" s="1221"/>
      <c r="VU29" s="1221"/>
      <c r="VV29" s="1221"/>
      <c r="VW29" s="1221"/>
      <c r="VX29" s="1221"/>
      <c r="VY29" s="1221"/>
      <c r="VZ29" s="1221"/>
      <c r="WA29" s="1221"/>
      <c r="WB29" s="1221"/>
      <c r="WC29" s="1221"/>
      <c r="WD29" s="1221"/>
      <c r="WE29" s="1221"/>
      <c r="WF29" s="1221"/>
      <c r="WG29" s="1221"/>
      <c r="WH29" s="1221"/>
      <c r="WI29" s="1221"/>
      <c r="WJ29" s="1221"/>
      <c r="WK29" s="1221"/>
      <c r="WL29" s="1221"/>
      <c r="WM29" s="1221"/>
      <c r="WN29" s="1221"/>
      <c r="WO29" s="1221"/>
      <c r="WP29" s="1221"/>
      <c r="WQ29" s="1221"/>
      <c r="WR29" s="1221"/>
      <c r="WS29" s="1221"/>
      <c r="WT29" s="1221"/>
      <c r="WU29" s="1221"/>
      <c r="WV29" s="1221"/>
      <c r="WW29" s="1221"/>
      <c r="WX29" s="1221"/>
      <c r="WY29" s="1221"/>
      <c r="WZ29" s="1221"/>
      <c r="XA29" s="1221"/>
      <c r="XB29" s="1221"/>
      <c r="XC29" s="1221"/>
      <c r="XD29" s="1221"/>
      <c r="XE29" s="1221"/>
      <c r="XF29" s="1221"/>
      <c r="XG29" s="1221"/>
      <c r="XH29" s="1221"/>
      <c r="XI29" s="1221"/>
      <c r="XJ29" s="1221"/>
      <c r="XK29" s="1221"/>
      <c r="XL29" s="1221"/>
      <c r="XM29" s="1221"/>
      <c r="XN29" s="1221"/>
      <c r="XO29" s="1221"/>
      <c r="XP29" s="1221"/>
      <c r="XQ29" s="1221"/>
      <c r="XR29" s="1221"/>
      <c r="XS29" s="1221"/>
      <c r="XT29" s="1221"/>
      <c r="XU29" s="1221"/>
      <c r="XV29" s="1221"/>
      <c r="XW29" s="1221"/>
      <c r="XX29" s="1221"/>
      <c r="XY29" s="1221"/>
      <c r="XZ29" s="1221"/>
      <c r="YA29" s="1221"/>
      <c r="YB29" s="1221"/>
      <c r="YC29" s="1221"/>
      <c r="YD29" s="1221"/>
      <c r="YE29" s="1221"/>
      <c r="YF29" s="1221"/>
      <c r="YG29" s="1221"/>
      <c r="YH29" s="1221"/>
      <c r="YI29" s="1221"/>
      <c r="YJ29" s="1221"/>
      <c r="YK29" s="1221"/>
      <c r="YL29" s="1221"/>
      <c r="YM29" s="1221"/>
      <c r="YN29" s="1221"/>
      <c r="YO29" s="1221"/>
      <c r="YP29" s="1221"/>
      <c r="YQ29" s="1221"/>
      <c r="YR29" s="1221"/>
      <c r="YS29" s="1221"/>
      <c r="YT29" s="1221"/>
      <c r="YU29" s="1221"/>
      <c r="YV29" s="1221"/>
      <c r="YW29" s="1221"/>
      <c r="YX29" s="1221"/>
      <c r="YY29" s="1221"/>
      <c r="YZ29" s="1221"/>
      <c r="ZA29" s="1221"/>
      <c r="ZB29" s="1221"/>
      <c r="ZC29" s="1221"/>
      <c r="ZD29" s="1221"/>
      <c r="ZE29" s="1221"/>
      <c r="ZF29" s="1221"/>
      <c r="ZG29" s="1221"/>
      <c r="ZH29" s="1221"/>
      <c r="ZI29" s="1221"/>
      <c r="ZJ29" s="1221"/>
      <c r="ZK29" s="1221"/>
      <c r="ZL29" s="1221"/>
      <c r="ZM29" s="1221"/>
      <c r="ZN29" s="1221"/>
      <c r="ZO29" s="1221"/>
      <c r="ZP29" s="1221"/>
      <c r="ZQ29" s="1221"/>
      <c r="ZR29" s="1221"/>
      <c r="ZS29" s="1221"/>
      <c r="ZT29" s="1221"/>
      <c r="ZU29" s="1221"/>
      <c r="ZV29" s="1221"/>
      <c r="ZW29" s="1221"/>
      <c r="ZX29" s="1221"/>
      <c r="ZY29" s="1221"/>
      <c r="ZZ29" s="1221"/>
      <c r="AAA29" s="1221"/>
      <c r="AAB29" s="1221"/>
      <c r="AAC29" s="1221"/>
      <c r="AAD29" s="1221"/>
      <c r="AAE29" s="1221"/>
      <c r="AAF29" s="1221"/>
      <c r="AAG29" s="1221"/>
      <c r="AAH29" s="1221"/>
      <c r="AAI29" s="1221"/>
      <c r="AAJ29" s="1221"/>
      <c r="AAK29" s="1221"/>
      <c r="AAL29" s="1221"/>
      <c r="AAM29" s="1221"/>
      <c r="AAN29" s="1221"/>
      <c r="AAO29" s="1221"/>
      <c r="AAP29" s="1221"/>
      <c r="AAQ29" s="1221"/>
      <c r="AAR29" s="1221"/>
      <c r="AAS29" s="1221"/>
      <c r="AAT29" s="1221"/>
      <c r="AAU29" s="1221"/>
      <c r="AAV29" s="1221"/>
      <c r="AAW29" s="1221"/>
      <c r="AAX29" s="1221"/>
      <c r="AAY29" s="1221"/>
      <c r="AAZ29" s="1221"/>
      <c r="ABA29" s="1221"/>
      <c r="ABB29" s="1221"/>
      <c r="ABC29" s="1221"/>
      <c r="ABD29" s="1221"/>
      <c r="ABE29" s="1221"/>
      <c r="ABF29" s="1221"/>
      <c r="ABG29" s="1221"/>
      <c r="ABH29" s="1221"/>
      <c r="ABI29" s="1221"/>
      <c r="ABJ29" s="1221"/>
      <c r="ABK29" s="1221"/>
      <c r="ABL29" s="1221"/>
      <c r="ABM29" s="1221"/>
      <c r="ABN29" s="1221"/>
      <c r="ABO29" s="1221"/>
      <c r="ABP29" s="1221"/>
      <c r="ABQ29" s="1221"/>
      <c r="ABR29" s="1221"/>
      <c r="ABS29" s="1221"/>
      <c r="ABT29" s="1221"/>
      <c r="ABU29" s="1221"/>
      <c r="ABV29" s="1221"/>
      <c r="ABW29" s="1221"/>
      <c r="ABX29" s="1221"/>
      <c r="ABY29" s="1221"/>
      <c r="ABZ29" s="1221"/>
      <c r="ACA29" s="1221"/>
      <c r="ACB29" s="1221"/>
      <c r="ACC29" s="1221"/>
      <c r="ACD29" s="1221"/>
      <c r="ACE29" s="1221"/>
      <c r="ACF29" s="1221"/>
      <c r="ACG29" s="1221"/>
      <c r="ACH29" s="1221"/>
      <c r="ACI29" s="1221"/>
      <c r="ACJ29" s="1221"/>
      <c r="ACK29" s="1221"/>
      <c r="ACL29" s="1221"/>
      <c r="ACM29" s="1221"/>
      <c r="ACN29" s="1221"/>
      <c r="ACO29" s="1221"/>
      <c r="ACP29" s="1221"/>
      <c r="ACQ29" s="1221"/>
      <c r="ACR29" s="1221"/>
      <c r="ACS29" s="1221"/>
      <c r="ACT29" s="1221"/>
      <c r="ACU29" s="1221"/>
      <c r="ACV29" s="1221"/>
      <c r="ACW29" s="1221"/>
      <c r="ACX29" s="1221"/>
      <c r="ACY29" s="1221"/>
      <c r="ACZ29" s="1221"/>
      <c r="ADA29" s="1221"/>
      <c r="ADB29" s="1221"/>
      <c r="ADC29" s="1221"/>
      <c r="ADD29" s="1221"/>
      <c r="ADE29" s="1221"/>
      <c r="ADF29" s="1221"/>
      <c r="ADG29" s="1221"/>
      <c r="ADH29" s="1221"/>
      <c r="ADI29" s="1221"/>
      <c r="ADJ29" s="1221"/>
      <c r="ADK29" s="1221"/>
      <c r="ADL29" s="1221"/>
      <c r="ADM29" s="1221"/>
      <c r="ADN29" s="1221"/>
      <c r="ADO29" s="1221"/>
      <c r="ADP29" s="1221"/>
      <c r="ADQ29" s="1221"/>
      <c r="ADR29" s="1221"/>
      <c r="ADS29" s="1221"/>
      <c r="ADT29" s="1221"/>
      <c r="ADU29" s="1221"/>
      <c r="ADV29" s="1221"/>
      <c r="ADW29" s="1221"/>
      <c r="ADX29" s="1221"/>
      <c r="ADY29" s="1221"/>
      <c r="ADZ29" s="1221"/>
      <c r="AEA29" s="1221"/>
      <c r="AEB29" s="1221"/>
      <c r="AEC29" s="1221"/>
      <c r="AED29" s="1221"/>
      <c r="AEE29" s="1221"/>
      <c r="AEF29" s="1221"/>
      <c r="AEG29" s="1221"/>
      <c r="AEH29" s="1221"/>
      <c r="AEI29" s="1221"/>
      <c r="AEJ29" s="1221"/>
      <c r="AEK29" s="1221"/>
      <c r="AEL29" s="1221"/>
      <c r="AEM29" s="1221"/>
      <c r="AEN29" s="1221"/>
      <c r="AEO29" s="1221"/>
      <c r="AEP29" s="1221"/>
      <c r="AEQ29" s="1221"/>
      <c r="AER29" s="1221"/>
      <c r="AES29" s="1221"/>
      <c r="AET29" s="1221"/>
      <c r="AEU29" s="1221"/>
      <c r="AEV29" s="1221"/>
      <c r="AEW29" s="1221"/>
      <c r="AEX29" s="1221"/>
      <c r="AEY29" s="1221"/>
      <c r="AEZ29" s="1221"/>
      <c r="AFA29" s="1221"/>
      <c r="AFB29" s="1221"/>
      <c r="AFC29" s="1221"/>
      <c r="AFD29" s="1221"/>
      <c r="AFE29" s="1221"/>
      <c r="AFF29" s="1221"/>
      <c r="AFG29" s="1221"/>
      <c r="AFH29" s="1221"/>
      <c r="AFI29" s="1221"/>
      <c r="AFJ29" s="1221"/>
      <c r="AFK29" s="1221"/>
      <c r="AFL29" s="1221"/>
      <c r="AFM29" s="1221"/>
      <c r="AFN29" s="1221"/>
      <c r="AFO29" s="1221"/>
      <c r="AFP29" s="1221"/>
      <c r="AFQ29" s="1221"/>
      <c r="AFR29" s="1221"/>
      <c r="AFS29" s="1221"/>
      <c r="AFT29" s="1221"/>
      <c r="AFU29" s="1221"/>
      <c r="AFV29" s="1221"/>
      <c r="AFW29" s="1221"/>
      <c r="AFX29" s="1221"/>
      <c r="AFY29" s="1221"/>
      <c r="AFZ29" s="1221"/>
      <c r="AGA29" s="1221"/>
      <c r="AGB29" s="1221"/>
      <c r="AGC29" s="1221"/>
      <c r="AGD29" s="1221"/>
      <c r="AGE29" s="1221"/>
      <c r="AGF29" s="1221"/>
      <c r="AGG29" s="1221"/>
      <c r="AGH29" s="1221"/>
      <c r="AGI29" s="1221"/>
      <c r="AGJ29" s="1221"/>
      <c r="AGK29" s="1221"/>
      <c r="AGL29" s="1221"/>
      <c r="AGM29" s="1221"/>
      <c r="AGN29" s="1221"/>
      <c r="AGO29" s="1221"/>
      <c r="AGP29" s="1221"/>
      <c r="AGQ29" s="1221"/>
      <c r="AGR29" s="1221"/>
      <c r="AGS29" s="1221"/>
      <c r="AGT29" s="1221"/>
      <c r="AGU29" s="1221"/>
      <c r="AGV29" s="1221"/>
      <c r="AGW29" s="1221"/>
      <c r="AGX29" s="1221"/>
      <c r="AGY29" s="1221"/>
      <c r="AGZ29" s="1221"/>
      <c r="AHA29" s="1221"/>
      <c r="AHB29" s="1221"/>
      <c r="AHC29" s="1221"/>
      <c r="AHD29" s="1221"/>
      <c r="AHE29" s="1221"/>
      <c r="AHF29" s="1221"/>
      <c r="AHG29" s="1221"/>
      <c r="AHH29" s="1221"/>
      <c r="AHI29" s="1221"/>
      <c r="AHJ29" s="1221"/>
      <c r="AHK29" s="1221"/>
      <c r="AHL29" s="1221"/>
      <c r="AHM29" s="1221"/>
      <c r="AHN29" s="1221"/>
      <c r="AHO29" s="1221"/>
      <c r="AHP29" s="1221"/>
      <c r="AHQ29" s="1221"/>
      <c r="AHR29" s="1221"/>
      <c r="AHS29" s="1221"/>
      <c r="AHT29" s="1221"/>
      <c r="AHU29" s="1221"/>
      <c r="AHV29" s="1221"/>
      <c r="AHW29" s="1221"/>
      <c r="AHX29" s="1221"/>
      <c r="AHY29" s="1221"/>
      <c r="AHZ29" s="1221"/>
      <c r="AIA29" s="1221"/>
      <c r="AIB29" s="1221"/>
      <c r="AIC29" s="1221"/>
      <c r="AID29" s="1221"/>
      <c r="AIE29" s="1221"/>
      <c r="AIF29" s="1221"/>
      <c r="AIG29" s="1221"/>
      <c r="AIH29" s="1221"/>
      <c r="AII29" s="1221"/>
      <c r="AIJ29" s="1221"/>
      <c r="AIK29" s="1221"/>
      <c r="AIL29" s="1221"/>
      <c r="AIM29" s="1221"/>
      <c r="AIN29" s="1221"/>
      <c r="AIO29" s="1221"/>
      <c r="AIP29" s="1221"/>
      <c r="AIQ29" s="1221"/>
      <c r="AIR29" s="1221"/>
      <c r="AIS29" s="1221"/>
      <c r="AIT29" s="1221"/>
      <c r="AIU29" s="1221"/>
      <c r="AIV29" s="1221"/>
      <c r="AIW29" s="1221"/>
      <c r="AIX29" s="1221"/>
      <c r="AIY29" s="1221"/>
      <c r="AIZ29" s="1221"/>
      <c r="AJA29" s="1221"/>
      <c r="AJB29" s="1221"/>
      <c r="AJC29" s="1221"/>
      <c r="AJD29" s="1221"/>
      <c r="AJE29" s="1221"/>
      <c r="AJF29" s="1221"/>
      <c r="AJG29" s="1221"/>
      <c r="AJH29" s="1221"/>
      <c r="AJI29" s="1221"/>
      <c r="AJJ29" s="1221"/>
      <c r="AJK29" s="1221"/>
      <c r="AJL29" s="1221"/>
      <c r="AJM29" s="1221"/>
      <c r="AJN29" s="1221"/>
      <c r="AJO29" s="1221"/>
      <c r="AJP29" s="1221"/>
      <c r="AJQ29" s="1221"/>
      <c r="AJR29" s="1221"/>
      <c r="AJS29" s="1221"/>
      <c r="AJT29" s="1221"/>
      <c r="AJU29" s="1221"/>
      <c r="AJV29" s="1221"/>
      <c r="AJW29" s="1221"/>
      <c r="AJX29" s="1221"/>
      <c r="AJY29" s="1221"/>
      <c r="AJZ29" s="1221"/>
      <c r="AKA29" s="1221"/>
      <c r="AKB29" s="1221"/>
      <c r="AKC29" s="1221"/>
      <c r="AKD29" s="1221"/>
      <c r="AKE29" s="1221"/>
      <c r="AKF29" s="1221"/>
      <c r="AKG29" s="1221"/>
      <c r="AKH29" s="1221"/>
      <c r="AKI29" s="1221"/>
      <c r="AKJ29" s="1221"/>
      <c r="AKK29" s="1221"/>
      <c r="AKL29" s="1221"/>
      <c r="AKM29" s="1221"/>
      <c r="AKN29" s="1221"/>
      <c r="AKO29" s="1221"/>
      <c r="AKP29" s="1221"/>
      <c r="AKQ29" s="1221"/>
      <c r="AKR29" s="1221"/>
      <c r="AKS29" s="1221"/>
      <c r="AKT29" s="1221"/>
      <c r="AKU29" s="1221"/>
      <c r="AKV29" s="1221"/>
      <c r="AKW29" s="1221"/>
      <c r="AKX29" s="1221"/>
      <c r="AKY29" s="1221"/>
      <c r="AKZ29" s="1221"/>
      <c r="ALA29" s="1221"/>
      <c r="ALB29" s="1221"/>
      <c r="ALC29" s="1221"/>
      <c r="ALD29" s="1221"/>
      <c r="ALE29" s="1221"/>
      <c r="ALF29" s="1221"/>
      <c r="ALG29" s="1221"/>
      <c r="ALH29" s="1221"/>
      <c r="ALI29" s="1221"/>
      <c r="ALJ29" s="1221"/>
      <c r="ALK29" s="1221"/>
      <c r="ALL29" s="1221"/>
      <c r="ALM29" s="1221"/>
      <c r="ALN29" s="1221"/>
      <c r="ALO29" s="1221"/>
      <c r="ALP29" s="1221"/>
      <c r="ALQ29" s="1221"/>
      <c r="ALR29" s="1221"/>
      <c r="ALS29" s="1221"/>
      <c r="ALT29" s="1221"/>
      <c r="ALU29" s="1221"/>
      <c r="ALV29" s="1221"/>
      <c r="ALW29" s="1221"/>
      <c r="ALX29" s="1221"/>
      <c r="ALY29" s="1221"/>
      <c r="ALZ29" s="1221"/>
      <c r="AMA29" s="1221"/>
      <c r="AMB29" s="1221"/>
      <c r="AMC29" s="1221"/>
      <c r="AMD29" s="1221"/>
      <c r="AME29" s="1221"/>
      <c r="AMF29" s="1221"/>
      <c r="AMG29" s="1221"/>
      <c r="AMH29" s="1221"/>
      <c r="AMI29" s="1221"/>
      <c r="AMJ29" s="1221"/>
      <c r="AMK29" s="1221"/>
      <c r="AML29" s="1221"/>
      <c r="AMM29" s="1221"/>
      <c r="AMN29" s="1221"/>
      <c r="AMO29" s="1221"/>
      <c r="AMP29" s="1221"/>
      <c r="AMQ29" s="1221"/>
      <c r="AMR29" s="1221"/>
      <c r="AMS29" s="1221"/>
      <c r="AMT29" s="1221"/>
      <c r="AMU29" s="1221"/>
      <c r="AMV29" s="1221"/>
      <c r="AMW29" s="1221"/>
      <c r="AMX29" s="1221"/>
      <c r="AMY29" s="1221"/>
      <c r="AMZ29" s="1221"/>
      <c r="ANA29" s="1221"/>
      <c r="ANB29" s="1221"/>
      <c r="ANC29" s="1221"/>
      <c r="AND29" s="1221"/>
      <c r="ANE29" s="1221"/>
      <c r="ANF29" s="1221"/>
      <c r="ANG29" s="1221"/>
      <c r="ANH29" s="1221"/>
      <c r="ANI29" s="1221"/>
      <c r="ANJ29" s="1221"/>
      <c r="ANK29" s="1221"/>
      <c r="ANL29" s="1221"/>
      <c r="ANM29" s="1221"/>
      <c r="ANN29" s="1221"/>
      <c r="ANO29" s="1221"/>
      <c r="ANP29" s="1221"/>
      <c r="ANQ29" s="1221"/>
      <c r="ANR29" s="1221"/>
      <c r="ANS29" s="1221"/>
      <c r="ANT29" s="1221"/>
      <c r="ANU29" s="1221"/>
      <c r="ANV29" s="1221"/>
      <c r="ANW29" s="1221"/>
      <c r="ANX29" s="1221"/>
      <c r="ANY29" s="1221"/>
      <c r="ANZ29" s="1221"/>
      <c r="AOA29" s="1221"/>
      <c r="AOB29" s="1221"/>
      <c r="AOC29" s="1221"/>
      <c r="AOD29" s="1221"/>
      <c r="AOE29" s="1221"/>
      <c r="AOF29" s="1221"/>
      <c r="AOG29" s="1221"/>
      <c r="AOH29" s="1221"/>
      <c r="AOI29" s="1221"/>
      <c r="AOJ29" s="1221"/>
      <c r="AOK29" s="1221"/>
      <c r="AOL29" s="1221"/>
      <c r="AOM29" s="1221"/>
      <c r="AON29" s="1221"/>
      <c r="AOO29" s="1221"/>
      <c r="AOP29" s="1221"/>
      <c r="AOQ29" s="1221"/>
      <c r="AOR29" s="1221"/>
      <c r="AOS29" s="1221"/>
      <c r="AOT29" s="1221"/>
      <c r="AOU29" s="1221"/>
      <c r="AOV29" s="1221"/>
      <c r="AOW29" s="1221"/>
      <c r="AOX29" s="1221"/>
      <c r="AOY29" s="1221"/>
      <c r="AOZ29" s="1221"/>
      <c r="APA29" s="1221"/>
      <c r="APB29" s="1221"/>
      <c r="APC29" s="1221"/>
      <c r="APD29" s="1221"/>
      <c r="APE29" s="1221"/>
      <c r="APF29" s="1221"/>
      <c r="APG29" s="1221"/>
      <c r="APH29" s="1221"/>
      <c r="API29" s="1221"/>
      <c r="APJ29" s="1221"/>
      <c r="APK29" s="1221"/>
      <c r="APL29" s="1221"/>
      <c r="APM29" s="1221"/>
      <c r="APN29" s="1221"/>
      <c r="APO29" s="1221"/>
      <c r="APP29" s="1221"/>
      <c r="APQ29" s="1221"/>
      <c r="APR29" s="1221"/>
      <c r="APS29" s="1221"/>
      <c r="APT29" s="1221"/>
      <c r="APU29" s="1221"/>
      <c r="APV29" s="1221"/>
      <c r="APW29" s="1221"/>
      <c r="APX29" s="1221"/>
      <c r="APY29" s="1221"/>
      <c r="APZ29" s="1221"/>
      <c r="AQA29" s="1221"/>
      <c r="AQB29" s="1221"/>
      <c r="AQC29" s="1221"/>
      <c r="AQD29" s="1221"/>
      <c r="AQE29" s="1221"/>
      <c r="AQF29" s="1221"/>
      <c r="AQG29" s="1221"/>
      <c r="AQH29" s="1221"/>
      <c r="AQI29" s="1221"/>
      <c r="AQJ29" s="1221"/>
      <c r="AQK29" s="1221"/>
      <c r="AQL29" s="1221"/>
      <c r="AQM29" s="1221"/>
      <c r="AQN29" s="1221"/>
      <c r="AQO29" s="1221"/>
      <c r="AQP29" s="1221"/>
      <c r="AQQ29" s="1221"/>
      <c r="AQR29" s="1221"/>
      <c r="AQS29" s="1221"/>
      <c r="AQT29" s="1221"/>
      <c r="AQU29" s="1221"/>
      <c r="AQV29" s="1221"/>
      <c r="AQW29" s="1221"/>
      <c r="AQX29" s="1221"/>
      <c r="AQY29" s="1221"/>
      <c r="AQZ29" s="1221"/>
      <c r="ARA29" s="1221"/>
      <c r="ARB29" s="1221"/>
      <c r="ARC29" s="1221"/>
      <c r="ARD29" s="1221"/>
      <c r="ARE29" s="1221"/>
      <c r="ARF29" s="1221"/>
      <c r="ARG29" s="1221"/>
      <c r="ARH29" s="1221"/>
      <c r="ARI29" s="1221"/>
      <c r="ARJ29" s="1221"/>
      <c r="ARK29" s="1221"/>
      <c r="ARL29" s="1221"/>
      <c r="ARM29" s="1221"/>
      <c r="ARN29" s="1221"/>
      <c r="ARO29" s="1221"/>
      <c r="ARP29" s="1221"/>
      <c r="ARQ29" s="1221"/>
      <c r="ARR29" s="1221"/>
      <c r="ARS29" s="1221"/>
      <c r="ART29" s="1221"/>
      <c r="ARU29" s="1221"/>
      <c r="ARV29" s="1221"/>
      <c r="ARW29" s="1221"/>
      <c r="ARX29" s="1221"/>
      <c r="ARY29" s="1221"/>
      <c r="ARZ29" s="1221"/>
      <c r="ASA29" s="1221"/>
      <c r="ASB29" s="1221"/>
      <c r="ASC29" s="1221"/>
      <c r="ASD29" s="1221"/>
      <c r="ASE29" s="1221"/>
      <c r="ASF29" s="1221"/>
      <c r="ASG29" s="1221"/>
      <c r="ASH29" s="1221"/>
      <c r="ASI29" s="1221"/>
      <c r="ASJ29" s="1221"/>
      <c r="ASK29" s="1221"/>
      <c r="ASL29" s="1221"/>
      <c r="ASM29" s="1221"/>
      <c r="ASN29" s="1221"/>
      <c r="ASO29" s="1221"/>
      <c r="ASP29" s="1221"/>
      <c r="ASQ29" s="1221"/>
      <c r="ASR29" s="1221"/>
      <c r="ASS29" s="1221"/>
      <c r="AST29" s="1221"/>
      <c r="ASU29" s="1221"/>
      <c r="ASV29" s="1221"/>
      <c r="ASW29" s="1221"/>
      <c r="ASX29" s="1221"/>
      <c r="ASY29" s="1221"/>
      <c r="ASZ29" s="1221"/>
      <c r="ATA29" s="1221"/>
      <c r="ATB29" s="1221"/>
      <c r="ATC29" s="1221"/>
      <c r="ATD29" s="1221"/>
      <c r="ATE29" s="1221"/>
      <c r="ATF29" s="1221"/>
      <c r="ATG29" s="1221"/>
      <c r="ATH29" s="1221"/>
      <c r="ATI29" s="1221"/>
      <c r="ATJ29" s="1221"/>
      <c r="ATK29" s="1221"/>
      <c r="ATL29" s="1221"/>
      <c r="ATM29" s="1221"/>
      <c r="ATN29" s="1221"/>
      <c r="ATO29" s="1221"/>
      <c r="ATP29" s="1221"/>
      <c r="ATQ29" s="1221"/>
      <c r="ATR29" s="1221"/>
      <c r="ATS29" s="1221"/>
      <c r="ATT29" s="1221"/>
      <c r="ATU29" s="1221"/>
      <c r="ATV29" s="1221"/>
      <c r="ATW29" s="1221"/>
      <c r="ATX29" s="1221"/>
      <c r="ATY29" s="1221"/>
      <c r="ATZ29" s="1221"/>
      <c r="AUA29" s="1221"/>
      <c r="AUB29" s="1221"/>
      <c r="AUC29" s="1221"/>
      <c r="AUD29" s="1221"/>
      <c r="AUE29" s="1221"/>
      <c r="AUF29" s="1221"/>
      <c r="AUG29" s="1221"/>
      <c r="AUH29" s="1221"/>
      <c r="AUI29" s="1221"/>
      <c r="AUJ29" s="1221"/>
      <c r="AUK29" s="1221"/>
      <c r="AUL29" s="1221"/>
      <c r="AUM29" s="1221"/>
      <c r="AUN29" s="1221"/>
      <c r="AUO29" s="1221"/>
      <c r="AUP29" s="1221"/>
      <c r="AUQ29" s="1221"/>
      <c r="AUR29" s="1221"/>
      <c r="AUS29" s="1221"/>
      <c r="AUT29" s="1221"/>
      <c r="AUU29" s="1221"/>
      <c r="AUV29" s="1221"/>
      <c r="AUW29" s="1221"/>
      <c r="AUX29" s="1221"/>
      <c r="AUY29" s="1221"/>
      <c r="AUZ29" s="1221"/>
      <c r="AVA29" s="1221"/>
      <c r="AVB29" s="1221"/>
      <c r="AVC29" s="1221"/>
      <c r="AVD29" s="1221"/>
      <c r="AVE29" s="1221"/>
      <c r="AVF29" s="1221"/>
      <c r="AVG29" s="1221"/>
      <c r="AVH29" s="1221"/>
      <c r="AVI29" s="1221"/>
      <c r="AVJ29" s="1221"/>
      <c r="AVK29" s="1221"/>
      <c r="AVL29" s="1221"/>
      <c r="AVM29" s="1221"/>
      <c r="AVN29" s="1221"/>
      <c r="AVO29" s="1221"/>
      <c r="AVP29" s="1221"/>
      <c r="AVQ29" s="1221"/>
      <c r="AVR29" s="1221"/>
      <c r="AVS29" s="1221"/>
      <c r="AVT29" s="1221"/>
      <c r="AVU29" s="1221"/>
      <c r="AVV29" s="1221"/>
      <c r="AVW29" s="1221"/>
      <c r="AVX29" s="1221"/>
      <c r="AVY29" s="1221"/>
      <c r="AVZ29" s="1221"/>
      <c r="AWA29" s="1221"/>
      <c r="AWB29" s="1221"/>
      <c r="AWC29" s="1221"/>
      <c r="AWD29" s="1221"/>
      <c r="AWE29" s="1221"/>
      <c r="AWF29" s="1221"/>
      <c r="AWG29" s="1221"/>
      <c r="AWH29" s="1221"/>
      <c r="AWI29" s="1221"/>
      <c r="AWJ29" s="1221"/>
      <c r="AWK29" s="1221"/>
      <c r="AWL29" s="1221"/>
      <c r="AWM29" s="1221"/>
      <c r="AWN29" s="1221"/>
      <c r="AWO29" s="1221"/>
      <c r="AWP29" s="1221"/>
      <c r="AWQ29" s="1221"/>
      <c r="AWR29" s="1221"/>
      <c r="AWS29" s="1221"/>
      <c r="AWT29" s="1221"/>
      <c r="AWU29" s="1221"/>
      <c r="AWV29" s="1221"/>
      <c r="AWW29" s="1221"/>
      <c r="AWX29" s="1221"/>
      <c r="AWY29" s="1221"/>
      <c r="AWZ29" s="1221"/>
      <c r="AXA29" s="1221"/>
      <c r="AXB29" s="1221"/>
      <c r="AXC29" s="1221"/>
      <c r="AXD29" s="1221"/>
      <c r="AXE29" s="1221"/>
      <c r="AXF29" s="1221"/>
      <c r="AXG29" s="1221"/>
      <c r="AXH29" s="1221"/>
      <c r="AXI29" s="1221"/>
      <c r="AXJ29" s="1221"/>
      <c r="AXK29" s="1221"/>
      <c r="AXL29" s="1221"/>
      <c r="AXM29" s="1221"/>
      <c r="AXN29" s="1221"/>
      <c r="AXO29" s="1221"/>
      <c r="AXP29" s="1221"/>
      <c r="AXQ29" s="1221"/>
      <c r="AXR29" s="1221"/>
      <c r="AXS29" s="1221"/>
      <c r="AXT29" s="1221"/>
      <c r="AXU29" s="1221"/>
      <c r="AXV29" s="1221"/>
      <c r="AXW29" s="1221"/>
      <c r="AXX29" s="1221"/>
      <c r="AXY29" s="1221"/>
      <c r="AXZ29" s="1221"/>
      <c r="AYA29" s="1221"/>
      <c r="AYB29" s="1221"/>
      <c r="AYC29" s="1221"/>
      <c r="AYD29" s="1221"/>
      <c r="AYE29" s="1221"/>
      <c r="AYF29" s="1221"/>
      <c r="AYG29" s="1221"/>
      <c r="AYH29" s="1221"/>
      <c r="AYI29" s="1221"/>
      <c r="AYJ29" s="1221"/>
      <c r="AYK29" s="1221"/>
      <c r="AYL29" s="1221"/>
      <c r="AYM29" s="1221"/>
      <c r="AYN29" s="1221"/>
      <c r="AYO29" s="1221"/>
      <c r="AYP29" s="1221"/>
      <c r="AYQ29" s="1221"/>
      <c r="AYR29" s="1221"/>
      <c r="AYS29" s="1221"/>
      <c r="AYT29" s="1221"/>
      <c r="AYU29" s="1221"/>
      <c r="AYV29" s="1221"/>
      <c r="AYW29" s="1221"/>
      <c r="AYX29" s="1221"/>
      <c r="AYY29" s="1221"/>
      <c r="AYZ29" s="1221"/>
      <c r="AZA29" s="1221"/>
      <c r="AZB29" s="1221"/>
      <c r="AZC29" s="1221"/>
      <c r="AZD29" s="1221"/>
      <c r="AZE29" s="1221"/>
      <c r="AZF29" s="1221"/>
      <c r="AZG29" s="1221"/>
      <c r="AZH29" s="1221"/>
      <c r="AZI29" s="1221"/>
      <c r="AZJ29" s="1221"/>
      <c r="AZK29" s="1221"/>
      <c r="AZL29" s="1221"/>
      <c r="AZM29" s="1221"/>
      <c r="AZN29" s="1221"/>
      <c r="AZO29" s="1221"/>
      <c r="AZP29" s="1221"/>
      <c r="AZQ29" s="1221"/>
      <c r="AZR29" s="1221"/>
      <c r="AZS29" s="1221"/>
      <c r="AZT29" s="1221"/>
      <c r="AZU29" s="1221"/>
      <c r="AZV29" s="1221"/>
      <c r="AZW29" s="1221"/>
      <c r="AZX29" s="1221"/>
      <c r="AZY29" s="1221"/>
      <c r="AZZ29" s="1221"/>
      <c r="BAA29" s="1221"/>
      <c r="BAB29" s="1221"/>
      <c r="BAC29" s="1221"/>
      <c r="BAD29" s="1221"/>
      <c r="BAE29" s="1221"/>
      <c r="BAF29" s="1221"/>
      <c r="BAG29" s="1221"/>
      <c r="BAH29" s="1221"/>
      <c r="BAI29" s="1221"/>
      <c r="BAJ29" s="1221"/>
      <c r="BAK29" s="1221"/>
      <c r="BAL29" s="1221"/>
      <c r="BAM29" s="1221"/>
      <c r="BAN29" s="1221"/>
      <c r="BAO29" s="1221"/>
      <c r="BAP29" s="1221"/>
      <c r="BAQ29" s="1221"/>
      <c r="BAR29" s="1221"/>
      <c r="BAS29" s="1221"/>
      <c r="BAT29" s="1221"/>
      <c r="BAU29" s="1221"/>
      <c r="BAV29" s="1221"/>
      <c r="BAW29" s="1221"/>
      <c r="BAX29" s="1221"/>
      <c r="BAY29" s="1221"/>
      <c r="BAZ29" s="1221"/>
      <c r="BBA29" s="1221"/>
      <c r="BBB29" s="1221"/>
      <c r="BBC29" s="1221"/>
      <c r="BBD29" s="1221"/>
      <c r="BBE29" s="1221"/>
      <c r="BBF29" s="1221"/>
      <c r="BBG29" s="1221"/>
      <c r="BBH29" s="1221"/>
      <c r="BBI29" s="1221"/>
      <c r="BBJ29" s="1221"/>
      <c r="BBK29" s="1221"/>
      <c r="BBL29" s="1221"/>
      <c r="BBM29" s="1221"/>
      <c r="BBN29" s="1221"/>
      <c r="BBO29" s="1221"/>
      <c r="BBP29" s="1221"/>
      <c r="BBQ29" s="1221"/>
      <c r="BBR29" s="1221"/>
      <c r="BBS29" s="1221"/>
      <c r="BBT29" s="1221"/>
      <c r="BBU29" s="1221"/>
      <c r="BBV29" s="1221"/>
      <c r="BBW29" s="1221"/>
      <c r="BBX29" s="1221"/>
      <c r="BBY29" s="1221"/>
      <c r="BBZ29" s="1221"/>
      <c r="BCA29" s="1221"/>
      <c r="BCB29" s="1221"/>
      <c r="BCC29" s="1221"/>
      <c r="BCD29" s="1221"/>
      <c r="BCE29" s="1221"/>
      <c r="BCF29" s="1221"/>
      <c r="BCG29" s="1221"/>
      <c r="BCH29" s="1221"/>
      <c r="BCI29" s="1221"/>
      <c r="BCJ29" s="1221"/>
      <c r="BCK29" s="1221"/>
      <c r="BCL29" s="1221"/>
      <c r="BCM29" s="1221"/>
      <c r="BCN29" s="1221"/>
      <c r="BCO29" s="1221"/>
      <c r="BCP29" s="1221"/>
      <c r="BCQ29" s="1221"/>
      <c r="BCR29" s="1221"/>
      <c r="BCS29" s="1221"/>
      <c r="BCT29" s="1221"/>
      <c r="BCU29" s="1221"/>
      <c r="BCV29" s="1221"/>
      <c r="BCW29" s="1221"/>
      <c r="BCX29" s="1221"/>
      <c r="BCY29" s="1221"/>
      <c r="BCZ29" s="1221"/>
      <c r="BDA29" s="1221"/>
      <c r="BDB29" s="1221"/>
      <c r="BDC29" s="1221"/>
      <c r="BDD29" s="1221"/>
      <c r="BDE29" s="1221"/>
      <c r="BDF29" s="1221"/>
      <c r="BDG29" s="1221"/>
      <c r="BDH29" s="1221"/>
      <c r="BDI29" s="1221"/>
      <c r="BDJ29" s="1221"/>
      <c r="BDK29" s="1221"/>
      <c r="BDL29" s="1221"/>
      <c r="BDM29" s="1221"/>
      <c r="BDN29" s="1221"/>
      <c r="BDO29" s="1221"/>
      <c r="BDP29" s="1221"/>
      <c r="BDQ29" s="1221"/>
      <c r="BDR29" s="1221"/>
      <c r="BDS29" s="1221"/>
      <c r="BDT29" s="1221"/>
      <c r="BDU29" s="1221"/>
      <c r="BDV29" s="1221"/>
      <c r="BDW29" s="1221"/>
      <c r="BDX29" s="1221"/>
      <c r="BDY29" s="1221"/>
      <c r="BDZ29" s="1221"/>
      <c r="BEA29" s="1221"/>
      <c r="BEB29" s="1221"/>
      <c r="BEC29" s="1221"/>
      <c r="BED29" s="1221"/>
      <c r="BEE29" s="1221"/>
      <c r="BEF29" s="1221"/>
      <c r="BEG29" s="1221"/>
      <c r="BEH29" s="1221"/>
      <c r="BEI29" s="1221"/>
      <c r="BEJ29" s="1221"/>
      <c r="BEK29" s="1221"/>
      <c r="BEL29" s="1221"/>
      <c r="BEM29" s="1221"/>
      <c r="BEN29" s="1221"/>
      <c r="BEO29" s="1221"/>
      <c r="BEP29" s="1221"/>
      <c r="BEQ29" s="1221"/>
      <c r="BER29" s="1221"/>
      <c r="BES29" s="1221"/>
      <c r="BET29" s="1221"/>
      <c r="BEU29" s="1221"/>
      <c r="BEV29" s="1221"/>
      <c r="BEW29" s="1221"/>
      <c r="BEX29" s="1221"/>
      <c r="BEY29" s="1221"/>
      <c r="BEZ29" s="1221"/>
      <c r="BFA29" s="1221"/>
      <c r="BFB29" s="1221"/>
      <c r="BFC29" s="1221"/>
      <c r="BFD29" s="1221"/>
      <c r="BFE29" s="1221"/>
      <c r="BFF29" s="1221"/>
      <c r="BFG29" s="1221"/>
      <c r="BFH29" s="1221"/>
      <c r="BFI29" s="1221"/>
      <c r="BFJ29" s="1221"/>
      <c r="BFK29" s="1221"/>
      <c r="BFL29" s="1221"/>
      <c r="BFM29" s="1221"/>
      <c r="BFN29" s="1221"/>
      <c r="BFO29" s="1221"/>
      <c r="BFP29" s="1221"/>
      <c r="BFQ29" s="1221"/>
      <c r="BFR29" s="1221"/>
      <c r="BFS29" s="1221"/>
      <c r="BFT29" s="1221"/>
      <c r="BFU29" s="1221"/>
      <c r="BFV29" s="1221"/>
      <c r="BFW29" s="1221"/>
      <c r="BFX29" s="1221"/>
      <c r="BFY29" s="1221"/>
      <c r="BFZ29" s="1221"/>
      <c r="BGA29" s="1221"/>
      <c r="BGB29" s="1221"/>
      <c r="BGC29" s="1221"/>
      <c r="BGD29" s="1221"/>
      <c r="BGE29" s="1221"/>
      <c r="BGF29" s="1221"/>
      <c r="BGG29" s="1221"/>
      <c r="BGH29" s="1221"/>
      <c r="BGI29" s="1221"/>
      <c r="BGJ29" s="1221"/>
      <c r="BGK29" s="1221"/>
      <c r="BGL29" s="1221"/>
      <c r="BGM29" s="1221"/>
      <c r="BGN29" s="1221"/>
      <c r="BGO29" s="1221"/>
      <c r="BGP29" s="1221"/>
      <c r="BGQ29" s="1221"/>
      <c r="BGR29" s="1221"/>
      <c r="BGS29" s="1221"/>
      <c r="BGT29" s="1221"/>
      <c r="BGU29" s="1221"/>
      <c r="BGV29" s="1221"/>
      <c r="BGW29" s="1221"/>
      <c r="BGX29" s="1221"/>
      <c r="BGY29" s="1221"/>
      <c r="BGZ29" s="1221"/>
      <c r="BHA29" s="1221"/>
      <c r="BHB29" s="1221"/>
      <c r="BHC29" s="1221"/>
      <c r="BHD29" s="1221"/>
      <c r="BHE29" s="1221"/>
      <c r="BHF29" s="1221"/>
      <c r="BHG29" s="1221"/>
      <c r="BHH29" s="1221"/>
      <c r="BHI29" s="1221"/>
      <c r="BHJ29" s="1221"/>
      <c r="BHK29" s="1221"/>
      <c r="BHL29" s="1221"/>
      <c r="BHM29" s="1221"/>
      <c r="BHN29" s="1221"/>
      <c r="BHO29" s="1221"/>
      <c r="BHP29" s="1221"/>
      <c r="BHQ29" s="1221"/>
      <c r="BHR29" s="1221"/>
      <c r="BHS29" s="1221"/>
      <c r="BHT29" s="1221"/>
      <c r="BHU29" s="1221"/>
      <c r="BHV29" s="1221"/>
      <c r="BHW29" s="1221"/>
      <c r="BHX29" s="1221"/>
      <c r="BHY29" s="1221"/>
      <c r="BHZ29" s="1221"/>
      <c r="BIA29" s="1221"/>
      <c r="BIB29" s="1221"/>
      <c r="BIC29" s="1221"/>
      <c r="BID29" s="1221"/>
      <c r="BIE29" s="1221"/>
      <c r="BIF29" s="1221"/>
      <c r="BIG29" s="1221"/>
      <c r="BIH29" s="1221"/>
      <c r="BII29" s="1221"/>
      <c r="BIJ29" s="1221"/>
      <c r="BIK29" s="1221"/>
      <c r="BIL29" s="1221"/>
      <c r="BIM29" s="1221"/>
      <c r="BIN29" s="1221"/>
      <c r="BIO29" s="1221"/>
      <c r="BIP29" s="1221"/>
      <c r="BIQ29" s="1221"/>
      <c r="BIR29" s="1221"/>
      <c r="BIS29" s="1221"/>
      <c r="BIT29" s="1221"/>
      <c r="BIU29" s="1221"/>
      <c r="BIV29" s="1221"/>
      <c r="BIW29" s="1221"/>
      <c r="BIX29" s="1221"/>
      <c r="BIY29" s="1221"/>
      <c r="BIZ29" s="1221"/>
      <c r="BJA29" s="1221"/>
      <c r="BJB29" s="1221"/>
      <c r="BJC29" s="1221"/>
      <c r="BJD29" s="1221"/>
      <c r="BJE29" s="1221"/>
      <c r="BJF29" s="1221"/>
      <c r="BJG29" s="1221"/>
      <c r="BJH29" s="1221"/>
      <c r="BJI29" s="1221"/>
      <c r="BJJ29" s="1221"/>
      <c r="BJK29" s="1221"/>
      <c r="BJL29" s="1221"/>
      <c r="BJM29" s="1221"/>
      <c r="BJN29" s="1221"/>
      <c r="BJO29" s="1221"/>
      <c r="BJP29" s="1221"/>
      <c r="BJQ29" s="1221"/>
      <c r="BJR29" s="1221"/>
      <c r="BJS29" s="1221"/>
      <c r="BJT29" s="1221"/>
      <c r="BJU29" s="1221"/>
      <c r="BJV29" s="1221"/>
      <c r="BJW29" s="1221"/>
      <c r="BJX29" s="1221"/>
      <c r="BJY29" s="1221"/>
      <c r="BJZ29" s="1221"/>
      <c r="BKA29" s="1221"/>
      <c r="BKB29" s="1221"/>
      <c r="BKC29" s="1221"/>
      <c r="BKD29" s="1221"/>
      <c r="BKE29" s="1221"/>
      <c r="BKF29" s="1221"/>
      <c r="BKG29" s="1221"/>
      <c r="BKH29" s="1221"/>
      <c r="BKI29" s="1221"/>
      <c r="BKJ29" s="1221"/>
      <c r="BKK29" s="1221"/>
      <c r="BKL29" s="1221"/>
      <c r="BKM29" s="1221"/>
      <c r="BKN29" s="1221"/>
      <c r="BKO29" s="1221"/>
      <c r="BKP29" s="1221"/>
      <c r="BKQ29" s="1221"/>
      <c r="BKR29" s="1221"/>
      <c r="BKS29" s="1221"/>
      <c r="BKT29" s="1221"/>
      <c r="BKU29" s="1221"/>
      <c r="BKV29" s="1221"/>
      <c r="BKW29" s="1221"/>
      <c r="BKX29" s="1221"/>
      <c r="BKY29" s="1221"/>
      <c r="BKZ29" s="1221"/>
      <c r="BLA29" s="1221"/>
      <c r="BLB29" s="1221"/>
      <c r="BLC29" s="1221"/>
      <c r="BLD29" s="1221"/>
      <c r="BLE29" s="1221"/>
      <c r="BLF29" s="1221"/>
      <c r="BLG29" s="1221"/>
      <c r="BLH29" s="1221"/>
      <c r="BLI29" s="1221"/>
      <c r="BLJ29" s="1221"/>
      <c r="BLK29" s="1221"/>
      <c r="BLL29" s="1221"/>
      <c r="BLM29" s="1221"/>
      <c r="BLN29" s="1221"/>
      <c r="BLO29" s="1221"/>
      <c r="BLP29" s="1221"/>
      <c r="BLQ29" s="1221"/>
      <c r="BLR29" s="1221"/>
      <c r="BLS29" s="1221"/>
      <c r="BLT29" s="1221"/>
      <c r="BLU29" s="1221"/>
      <c r="BLV29" s="1221"/>
      <c r="BLW29" s="1221"/>
      <c r="BLX29" s="1221"/>
      <c r="BLY29" s="1221"/>
      <c r="BLZ29" s="1221"/>
      <c r="BMA29" s="1221"/>
      <c r="BMB29" s="1221"/>
      <c r="BMC29" s="1221"/>
      <c r="BMD29" s="1221"/>
      <c r="BME29" s="1221"/>
      <c r="BMF29" s="1221"/>
      <c r="BMG29" s="1221"/>
      <c r="BMH29" s="1221"/>
      <c r="BMI29" s="1221"/>
      <c r="BMJ29" s="1221"/>
      <c r="BMK29" s="1221"/>
      <c r="BML29" s="1221"/>
      <c r="BMM29" s="1221"/>
      <c r="BMN29" s="1221"/>
      <c r="BMO29" s="1221"/>
      <c r="BMP29" s="1221"/>
      <c r="BMQ29" s="1221"/>
      <c r="BMR29" s="1221"/>
      <c r="BMS29" s="1221"/>
      <c r="BMT29" s="1221"/>
      <c r="BMU29" s="1221"/>
      <c r="BMV29" s="1221"/>
      <c r="BMW29" s="1221"/>
      <c r="BMX29" s="1221"/>
      <c r="BMY29" s="1221"/>
      <c r="BMZ29" s="1221"/>
      <c r="BNA29" s="1221"/>
      <c r="BNB29" s="1221"/>
      <c r="BNC29" s="1221"/>
      <c r="BND29" s="1221"/>
      <c r="BNE29" s="1221"/>
      <c r="BNF29" s="1221"/>
      <c r="BNG29" s="1221"/>
      <c r="BNH29" s="1221"/>
      <c r="BNI29" s="1221"/>
      <c r="BNJ29" s="1221"/>
      <c r="BNK29" s="1221"/>
      <c r="BNL29" s="1221"/>
      <c r="BNM29" s="1221"/>
      <c r="BNN29" s="1221"/>
      <c r="BNO29" s="1221"/>
      <c r="BNP29" s="1221"/>
      <c r="BNQ29" s="1221"/>
      <c r="BNR29" s="1221"/>
      <c r="BNS29" s="1221"/>
      <c r="BNT29" s="1221"/>
      <c r="BNU29" s="1221"/>
      <c r="BNV29" s="1221"/>
      <c r="BNW29" s="1221"/>
      <c r="BNX29" s="1221"/>
      <c r="BNY29" s="1221"/>
      <c r="BNZ29" s="1221"/>
      <c r="BOA29" s="1221"/>
      <c r="BOB29" s="1221"/>
      <c r="BOC29" s="1221"/>
      <c r="BOD29" s="1221"/>
      <c r="BOE29" s="1221"/>
      <c r="BOF29" s="1221"/>
      <c r="BOG29" s="1221"/>
      <c r="BOH29" s="1221"/>
      <c r="BOI29" s="1221"/>
      <c r="BOJ29" s="1221"/>
      <c r="BOK29" s="1221"/>
      <c r="BOL29" s="1221"/>
      <c r="BOM29" s="1221"/>
      <c r="BON29" s="1221"/>
      <c r="BOO29" s="1221"/>
      <c r="BOP29" s="1221"/>
      <c r="BOQ29" s="1221"/>
      <c r="BOR29" s="1221"/>
      <c r="BOS29" s="1221"/>
      <c r="BOT29" s="1221"/>
      <c r="BOU29" s="1221"/>
      <c r="BOV29" s="1221"/>
      <c r="BOW29" s="1221"/>
      <c r="BOX29" s="1221"/>
      <c r="BOY29" s="1221"/>
      <c r="BOZ29" s="1221"/>
      <c r="BPA29" s="1221"/>
      <c r="BPB29" s="1221"/>
      <c r="BPC29" s="1221"/>
      <c r="BPD29" s="1221"/>
      <c r="BPE29" s="1221"/>
      <c r="BPF29" s="1221"/>
      <c r="BPG29" s="1221"/>
      <c r="BPH29" s="1221"/>
      <c r="BPI29" s="1221"/>
      <c r="BPJ29" s="1221"/>
      <c r="BPK29" s="1221"/>
      <c r="BPL29" s="1221"/>
      <c r="BPM29" s="1221"/>
      <c r="BPN29" s="1221"/>
      <c r="BPO29" s="1221"/>
      <c r="BPP29" s="1221"/>
      <c r="BPQ29" s="1221"/>
      <c r="BPR29" s="1221"/>
      <c r="BPS29" s="1221"/>
      <c r="BPT29" s="1221"/>
      <c r="BPU29" s="1221"/>
      <c r="BPV29" s="1221"/>
      <c r="BPW29" s="1221"/>
      <c r="BPX29" s="1221"/>
      <c r="BPY29" s="1221"/>
      <c r="BPZ29" s="1221"/>
      <c r="BQA29" s="1221"/>
      <c r="BQB29" s="1221"/>
      <c r="BQC29" s="1221"/>
      <c r="BQD29" s="1221"/>
      <c r="BQE29" s="1221"/>
      <c r="BQF29" s="1221"/>
      <c r="BQG29" s="1221"/>
      <c r="BQH29" s="1221"/>
      <c r="BQI29" s="1221"/>
      <c r="BQJ29" s="1221"/>
      <c r="BQK29" s="1221"/>
      <c r="BQL29" s="1221"/>
      <c r="BQM29" s="1221"/>
      <c r="BQN29" s="1221"/>
      <c r="BQO29" s="1221"/>
      <c r="BQP29" s="1221"/>
      <c r="BQQ29" s="1221"/>
      <c r="BQR29" s="1221"/>
      <c r="BQS29" s="1221"/>
      <c r="BQT29" s="1221"/>
      <c r="BQU29" s="1221"/>
      <c r="BQV29" s="1221"/>
      <c r="BQW29" s="1221"/>
      <c r="BQX29" s="1221"/>
      <c r="BQY29" s="1221"/>
      <c r="BQZ29" s="1221"/>
      <c r="BRA29" s="1221"/>
      <c r="BRB29" s="1221"/>
      <c r="BRC29" s="1221"/>
      <c r="BRD29" s="1221"/>
      <c r="BRE29" s="1221"/>
      <c r="BRF29" s="1221"/>
      <c r="BRG29" s="1221"/>
      <c r="BRH29" s="1221"/>
      <c r="BRI29" s="1221"/>
      <c r="BRJ29" s="1221"/>
      <c r="BRK29" s="1221"/>
      <c r="BRL29" s="1221"/>
      <c r="BRM29" s="1221"/>
      <c r="BRN29" s="1221"/>
      <c r="BRO29" s="1221"/>
      <c r="BRP29" s="1221"/>
      <c r="BRQ29" s="1221"/>
      <c r="BRR29" s="1221"/>
      <c r="BRS29" s="1221"/>
      <c r="BRT29" s="1221"/>
      <c r="BRU29" s="1221"/>
      <c r="BRV29" s="1221"/>
      <c r="BRW29" s="1221"/>
      <c r="BRX29" s="1221"/>
      <c r="BRY29" s="1221"/>
      <c r="BRZ29" s="1221"/>
      <c r="BSA29" s="1221"/>
      <c r="BSB29" s="1221"/>
      <c r="BSC29" s="1221"/>
      <c r="BSD29" s="1221"/>
      <c r="BSE29" s="1221"/>
      <c r="BSF29" s="1221"/>
      <c r="BSG29" s="1221"/>
      <c r="BSH29" s="1221"/>
      <c r="BSI29" s="1221"/>
      <c r="BSJ29" s="1221"/>
      <c r="BSK29" s="1221"/>
      <c r="BSL29" s="1221"/>
      <c r="BSM29" s="1221"/>
      <c r="BSN29" s="1221"/>
      <c r="BSO29" s="1221"/>
      <c r="BSP29" s="1221"/>
      <c r="BSQ29" s="1221"/>
      <c r="BSR29" s="1221"/>
      <c r="BSS29" s="1221"/>
      <c r="BST29" s="1221"/>
      <c r="BSU29" s="1221"/>
      <c r="BSV29" s="1221"/>
      <c r="BSW29" s="1221"/>
      <c r="BSX29" s="1221"/>
      <c r="BSY29" s="1221"/>
      <c r="BSZ29" s="1221"/>
      <c r="BTA29" s="1221"/>
      <c r="BTB29" s="1221"/>
      <c r="BTC29" s="1221"/>
      <c r="BTD29" s="1221"/>
      <c r="BTE29" s="1221"/>
      <c r="BTF29" s="1221"/>
      <c r="BTG29" s="1221"/>
      <c r="BTH29" s="1221"/>
      <c r="BTI29" s="1221"/>
      <c r="BTJ29" s="1221"/>
      <c r="BTK29" s="1221"/>
      <c r="BTL29" s="1221"/>
      <c r="BTM29" s="1221"/>
      <c r="BTN29" s="1221"/>
      <c r="BTO29" s="1221"/>
      <c r="BTP29" s="1221"/>
      <c r="BTQ29" s="1221"/>
      <c r="BTR29" s="1221"/>
      <c r="BTS29" s="1221"/>
      <c r="BTT29" s="1221"/>
      <c r="BTU29" s="1221"/>
      <c r="BTV29" s="1221"/>
      <c r="BTW29" s="1221"/>
      <c r="BTX29" s="1221"/>
      <c r="BTY29" s="1221"/>
      <c r="BTZ29" s="1221"/>
      <c r="BUA29" s="1221"/>
      <c r="BUB29" s="1221"/>
      <c r="BUC29" s="1221"/>
      <c r="BUD29" s="1221"/>
      <c r="BUE29" s="1221"/>
      <c r="BUF29" s="1221"/>
      <c r="BUG29" s="1221"/>
      <c r="BUH29" s="1221"/>
      <c r="BUI29" s="1221"/>
      <c r="BUJ29" s="1221"/>
      <c r="BUK29" s="1221"/>
      <c r="BUL29" s="1221"/>
      <c r="BUM29" s="1221"/>
      <c r="BUN29" s="1221"/>
      <c r="BUO29" s="1221"/>
      <c r="BUP29" s="1221"/>
      <c r="BUQ29" s="1221"/>
      <c r="BUR29" s="1221"/>
      <c r="BUS29" s="1221"/>
      <c r="BUT29" s="1221"/>
      <c r="BUU29" s="1221"/>
      <c r="BUV29" s="1221"/>
      <c r="BUW29" s="1221"/>
      <c r="BUX29" s="1221"/>
      <c r="BUY29" s="1221"/>
      <c r="BUZ29" s="1221"/>
      <c r="BVA29" s="1221"/>
      <c r="BVB29" s="1221"/>
      <c r="BVC29" s="1221"/>
      <c r="BVD29" s="1221"/>
      <c r="BVE29" s="1221"/>
      <c r="BVF29" s="1221"/>
      <c r="BVG29" s="1221"/>
      <c r="BVH29" s="1221"/>
      <c r="BVI29" s="1221"/>
      <c r="BVJ29" s="1221"/>
      <c r="BVK29" s="1221"/>
      <c r="BVL29" s="1221"/>
      <c r="BVM29" s="1221"/>
      <c r="BVN29" s="1221"/>
      <c r="BVO29" s="1221"/>
      <c r="BVP29" s="1221"/>
      <c r="BVQ29" s="1221"/>
      <c r="BVR29" s="1221"/>
      <c r="BVS29" s="1221"/>
      <c r="BVT29" s="1221"/>
      <c r="BVU29" s="1221"/>
      <c r="BVV29" s="1221"/>
      <c r="BVW29" s="1221"/>
      <c r="BVX29" s="1221"/>
      <c r="BVY29" s="1221"/>
      <c r="BVZ29" s="1221"/>
      <c r="BWA29" s="1221"/>
      <c r="BWB29" s="1221"/>
      <c r="BWC29" s="1221"/>
      <c r="BWD29" s="1221"/>
      <c r="BWE29" s="1221"/>
      <c r="BWF29" s="1221"/>
      <c r="BWG29" s="1221"/>
      <c r="BWH29" s="1221"/>
      <c r="BWI29" s="1221"/>
      <c r="BWJ29" s="1221"/>
      <c r="BWK29" s="1221"/>
      <c r="BWL29" s="1221"/>
      <c r="BWM29" s="1221"/>
      <c r="BWN29" s="1221"/>
      <c r="BWO29" s="1221"/>
      <c r="BWP29" s="1221"/>
      <c r="BWQ29" s="1221"/>
      <c r="BWR29" s="1221"/>
      <c r="BWS29" s="1221"/>
      <c r="BWT29" s="1221"/>
      <c r="BWU29" s="1221"/>
      <c r="BWV29" s="1221"/>
      <c r="BWW29" s="1221"/>
      <c r="BWX29" s="1221"/>
      <c r="BWY29" s="1221"/>
      <c r="BWZ29" s="1221"/>
      <c r="BXA29" s="1221"/>
      <c r="BXB29" s="1221"/>
      <c r="BXC29" s="1221"/>
      <c r="BXD29" s="1221"/>
      <c r="BXE29" s="1221"/>
      <c r="BXF29" s="1221"/>
      <c r="BXG29" s="1221"/>
      <c r="BXH29" s="1221"/>
      <c r="BXI29" s="1221"/>
      <c r="BXJ29" s="1221"/>
      <c r="BXK29" s="1221"/>
      <c r="BXL29" s="1221"/>
      <c r="BXM29" s="1221"/>
      <c r="BXN29" s="1221"/>
      <c r="BXO29" s="1221"/>
      <c r="BXP29" s="1221"/>
      <c r="BXQ29" s="1221"/>
      <c r="BXR29" s="1221"/>
      <c r="BXS29" s="1221"/>
      <c r="BXT29" s="1221"/>
      <c r="BXU29" s="1221"/>
      <c r="BXV29" s="1221"/>
      <c r="BXW29" s="1221"/>
      <c r="BXX29" s="1221"/>
      <c r="BXY29" s="1221"/>
      <c r="BXZ29" s="1221"/>
      <c r="BYA29" s="1221"/>
      <c r="BYB29" s="1221"/>
      <c r="BYC29" s="1221"/>
      <c r="BYD29" s="1221"/>
      <c r="BYE29" s="1221"/>
      <c r="BYF29" s="1221"/>
      <c r="BYG29" s="1221"/>
      <c r="BYH29" s="1221"/>
      <c r="BYI29" s="1221"/>
      <c r="BYJ29" s="1221"/>
      <c r="BYK29" s="1221"/>
      <c r="BYL29" s="1221"/>
      <c r="BYM29" s="1221"/>
      <c r="BYN29" s="1221"/>
      <c r="BYO29" s="1221"/>
      <c r="BYP29" s="1221"/>
      <c r="BYQ29" s="1221"/>
      <c r="BYR29" s="1221"/>
      <c r="BYS29" s="1221"/>
      <c r="BYT29" s="1221"/>
      <c r="BYU29" s="1221"/>
      <c r="BYV29" s="1221"/>
      <c r="BYW29" s="1221"/>
      <c r="BYX29" s="1221"/>
      <c r="BYY29" s="1221"/>
      <c r="BYZ29" s="1221"/>
      <c r="BZA29" s="1221"/>
      <c r="BZB29" s="1221"/>
      <c r="BZC29" s="1221"/>
      <c r="BZD29" s="1221"/>
      <c r="BZE29" s="1221"/>
      <c r="BZF29" s="1221"/>
      <c r="BZG29" s="1221"/>
      <c r="BZH29" s="1221"/>
      <c r="BZI29" s="1221"/>
      <c r="BZJ29" s="1221"/>
      <c r="BZK29" s="1221"/>
      <c r="BZL29" s="1221"/>
      <c r="BZM29" s="1221"/>
      <c r="BZN29" s="1221"/>
      <c r="BZO29" s="1221"/>
      <c r="BZP29" s="1221"/>
      <c r="BZQ29" s="1221"/>
      <c r="BZR29" s="1221"/>
      <c r="BZS29" s="1221"/>
      <c r="BZT29" s="1221"/>
      <c r="BZU29" s="1221"/>
      <c r="BZV29" s="1221"/>
      <c r="BZW29" s="1221"/>
      <c r="BZX29" s="1221"/>
      <c r="BZY29" s="1221"/>
      <c r="BZZ29" s="1221"/>
      <c r="CAA29" s="1221"/>
      <c r="CAB29" s="1221"/>
      <c r="CAC29" s="1221"/>
      <c r="CAD29" s="1221"/>
      <c r="CAE29" s="1221"/>
      <c r="CAF29" s="1221"/>
      <c r="CAG29" s="1221"/>
      <c r="CAH29" s="1221"/>
      <c r="CAI29" s="1221"/>
      <c r="CAJ29" s="1221"/>
      <c r="CAK29" s="1221"/>
      <c r="CAL29" s="1221"/>
      <c r="CAM29" s="1221"/>
      <c r="CAN29" s="1221"/>
      <c r="CAO29" s="1221"/>
      <c r="CAP29" s="1221"/>
      <c r="CAQ29" s="1221"/>
      <c r="CAR29" s="1221"/>
      <c r="CAS29" s="1221"/>
      <c r="CAT29" s="1221"/>
      <c r="CAU29" s="1221"/>
      <c r="CAV29" s="1221"/>
      <c r="CAW29" s="1221"/>
      <c r="CAX29" s="1221"/>
      <c r="CAY29" s="1221"/>
      <c r="CAZ29" s="1221"/>
      <c r="CBA29" s="1221"/>
      <c r="CBB29" s="1221"/>
      <c r="CBC29" s="1221"/>
      <c r="CBD29" s="1221"/>
      <c r="CBE29" s="1221"/>
      <c r="CBF29" s="1221"/>
      <c r="CBG29" s="1221"/>
      <c r="CBH29" s="1221"/>
      <c r="CBI29" s="1221"/>
      <c r="CBJ29" s="1221"/>
      <c r="CBK29" s="1221"/>
      <c r="CBL29" s="1221"/>
      <c r="CBM29" s="1221"/>
      <c r="CBN29" s="1221"/>
      <c r="CBO29" s="1221"/>
      <c r="CBP29" s="1221"/>
      <c r="CBQ29" s="1221"/>
      <c r="CBR29" s="1221"/>
      <c r="CBS29" s="1221"/>
      <c r="CBT29" s="1221"/>
      <c r="CBU29" s="1221"/>
      <c r="CBV29" s="1221"/>
      <c r="CBW29" s="1221"/>
      <c r="CBX29" s="1221"/>
      <c r="CBY29" s="1221"/>
      <c r="CBZ29" s="1221"/>
      <c r="CCA29" s="1221"/>
      <c r="CCB29" s="1221"/>
      <c r="CCC29" s="1221"/>
      <c r="CCD29" s="1221"/>
      <c r="CCE29" s="1221"/>
      <c r="CCF29" s="1221"/>
      <c r="CCG29" s="1221"/>
      <c r="CCH29" s="1221"/>
      <c r="CCI29" s="1221"/>
      <c r="CCJ29" s="1221"/>
      <c r="CCK29" s="1221"/>
      <c r="CCL29" s="1221"/>
      <c r="CCM29" s="1221"/>
      <c r="CCN29" s="1221"/>
      <c r="CCO29" s="1221"/>
      <c r="CCP29" s="1221"/>
      <c r="CCQ29" s="1221"/>
      <c r="CCR29" s="1221"/>
      <c r="CCS29" s="1221"/>
      <c r="CCT29" s="1221"/>
      <c r="CCU29" s="1221"/>
      <c r="CCV29" s="1221"/>
      <c r="CCW29" s="1221"/>
      <c r="CCX29" s="1221"/>
      <c r="CCY29" s="1221"/>
      <c r="CCZ29" s="1221"/>
      <c r="CDA29" s="1221"/>
      <c r="CDB29" s="1221"/>
      <c r="CDC29" s="1221"/>
      <c r="CDD29" s="1221"/>
      <c r="CDE29" s="1221"/>
      <c r="CDF29" s="1221"/>
      <c r="CDG29" s="1221"/>
      <c r="CDH29" s="1221"/>
      <c r="CDI29" s="1221"/>
      <c r="CDJ29" s="1221"/>
      <c r="CDK29" s="1221"/>
      <c r="CDL29" s="1221"/>
      <c r="CDM29" s="1221"/>
      <c r="CDN29" s="1221"/>
      <c r="CDO29" s="1221"/>
      <c r="CDP29" s="1221"/>
      <c r="CDQ29" s="1221"/>
      <c r="CDR29" s="1221"/>
      <c r="CDS29" s="1221"/>
      <c r="CDT29" s="1221"/>
      <c r="CDU29" s="1221"/>
      <c r="CDV29" s="1221"/>
      <c r="CDW29" s="1221"/>
      <c r="CDX29" s="1221"/>
      <c r="CDY29" s="1221"/>
      <c r="CDZ29" s="1221"/>
      <c r="CEA29" s="1221"/>
      <c r="CEB29" s="1221"/>
      <c r="CEC29" s="1221"/>
      <c r="CED29" s="1221"/>
      <c r="CEE29" s="1221"/>
      <c r="CEF29" s="1221"/>
      <c r="CEG29" s="1221"/>
      <c r="CEH29" s="1221"/>
      <c r="CEI29" s="1221"/>
      <c r="CEJ29" s="1221"/>
      <c r="CEK29" s="1221"/>
      <c r="CEL29" s="1221"/>
      <c r="CEM29" s="1221"/>
      <c r="CEN29" s="1221"/>
      <c r="CEO29" s="1221"/>
      <c r="CEP29" s="1221"/>
      <c r="CEQ29" s="1221"/>
      <c r="CER29" s="1221"/>
      <c r="CES29" s="1221"/>
      <c r="CET29" s="1221"/>
      <c r="CEU29" s="1221"/>
      <c r="CEV29" s="1221"/>
      <c r="CEW29" s="1221"/>
      <c r="CEX29" s="1221"/>
      <c r="CEY29" s="1221"/>
      <c r="CEZ29" s="1221"/>
      <c r="CFA29" s="1221"/>
      <c r="CFB29" s="1221"/>
      <c r="CFC29" s="1221"/>
      <c r="CFD29" s="1221"/>
      <c r="CFE29" s="1221"/>
      <c r="CFF29" s="1221"/>
      <c r="CFG29" s="1221"/>
      <c r="CFH29" s="1221"/>
      <c r="CFI29" s="1221"/>
      <c r="CFJ29" s="1221"/>
      <c r="CFK29" s="1221"/>
      <c r="CFL29" s="1221"/>
      <c r="CFM29" s="1221"/>
      <c r="CFN29" s="1221"/>
      <c r="CFO29" s="1221"/>
      <c r="CFP29" s="1221"/>
      <c r="CFQ29" s="1221"/>
      <c r="CFR29" s="1221"/>
      <c r="CFS29" s="1221"/>
      <c r="CFT29" s="1221"/>
      <c r="CFU29" s="1221"/>
      <c r="CFV29" s="1221"/>
      <c r="CFW29" s="1221"/>
      <c r="CFX29" s="1221"/>
      <c r="CFY29" s="1221"/>
      <c r="CFZ29" s="1221"/>
      <c r="CGA29" s="1221"/>
      <c r="CGB29" s="1221"/>
      <c r="CGC29" s="1221"/>
      <c r="CGD29" s="1221"/>
      <c r="CGE29" s="1221"/>
      <c r="CGF29" s="1221"/>
      <c r="CGG29" s="1221"/>
      <c r="CGH29" s="1221"/>
      <c r="CGI29" s="1221"/>
      <c r="CGJ29" s="1221"/>
      <c r="CGK29" s="1221"/>
      <c r="CGL29" s="1221"/>
      <c r="CGM29" s="1221"/>
      <c r="CGN29" s="1221"/>
      <c r="CGO29" s="1221"/>
      <c r="CGP29" s="1221"/>
      <c r="CGQ29" s="1221"/>
      <c r="CGR29" s="1221"/>
      <c r="CGS29" s="1221"/>
      <c r="CGT29" s="1221"/>
      <c r="CGU29" s="1221"/>
      <c r="CGV29" s="1221"/>
      <c r="CGW29" s="1221"/>
      <c r="CGX29" s="1221"/>
      <c r="CGY29" s="1221"/>
      <c r="CGZ29" s="1221"/>
      <c r="CHA29" s="1221"/>
      <c r="CHB29" s="1221"/>
      <c r="CHC29" s="1221"/>
      <c r="CHD29" s="1221"/>
      <c r="CHE29" s="1221"/>
      <c r="CHF29" s="1221"/>
      <c r="CHG29" s="1221"/>
      <c r="CHH29" s="1221"/>
      <c r="CHI29" s="1221"/>
      <c r="CHJ29" s="1221"/>
      <c r="CHK29" s="1221"/>
      <c r="CHL29" s="1221"/>
      <c r="CHM29" s="1221"/>
      <c r="CHN29" s="1221"/>
      <c r="CHO29" s="1221"/>
      <c r="CHP29" s="1221"/>
      <c r="CHQ29" s="1221"/>
      <c r="CHR29" s="1221"/>
      <c r="CHS29" s="1221"/>
      <c r="CHT29" s="1221"/>
      <c r="CHU29" s="1221"/>
      <c r="CHV29" s="1221"/>
      <c r="CHW29" s="1221"/>
      <c r="CHX29" s="1221"/>
      <c r="CHY29" s="1221"/>
      <c r="CHZ29" s="1221"/>
      <c r="CIA29" s="1221"/>
      <c r="CIB29" s="1221"/>
      <c r="CIC29" s="1221"/>
      <c r="CID29" s="1221"/>
      <c r="CIE29" s="1221"/>
      <c r="CIF29" s="1221"/>
      <c r="CIG29" s="1221"/>
      <c r="CIH29" s="1221"/>
      <c r="CII29" s="1221"/>
      <c r="CIJ29" s="1221"/>
      <c r="CIK29" s="1221"/>
      <c r="CIL29" s="1221"/>
      <c r="CIM29" s="1221"/>
      <c r="CIN29" s="1221"/>
      <c r="CIO29" s="1221"/>
      <c r="CIP29" s="1221"/>
      <c r="CIQ29" s="1221"/>
      <c r="CIR29" s="1221"/>
      <c r="CIS29" s="1221"/>
      <c r="CIT29" s="1221"/>
      <c r="CIU29" s="1221"/>
      <c r="CIV29" s="1221"/>
      <c r="CIW29" s="1221"/>
      <c r="CIX29" s="1221"/>
      <c r="CIY29" s="1221"/>
      <c r="CIZ29" s="1221"/>
      <c r="CJA29" s="1221"/>
      <c r="CJB29" s="1221"/>
      <c r="CJC29" s="1221"/>
      <c r="CJD29" s="1221"/>
      <c r="CJE29" s="1221"/>
      <c r="CJF29" s="1221"/>
      <c r="CJG29" s="1221"/>
      <c r="CJH29" s="1221"/>
      <c r="CJI29" s="1221"/>
      <c r="CJJ29" s="1221"/>
      <c r="CJK29" s="1221"/>
      <c r="CJL29" s="1221"/>
      <c r="CJM29" s="1221"/>
      <c r="CJN29" s="1221"/>
      <c r="CJO29" s="1221"/>
      <c r="CJP29" s="1221"/>
      <c r="CJQ29" s="1221"/>
      <c r="CJR29" s="1221"/>
      <c r="CJS29" s="1221"/>
      <c r="CJT29" s="1221"/>
      <c r="CJU29" s="1221"/>
      <c r="CJV29" s="1221"/>
      <c r="CJW29" s="1221"/>
      <c r="CJX29" s="1221"/>
      <c r="CJY29" s="1221"/>
      <c r="CJZ29" s="1221"/>
      <c r="CKA29" s="1221"/>
      <c r="CKB29" s="1221"/>
      <c r="CKC29" s="1221"/>
      <c r="CKD29" s="1221"/>
      <c r="CKE29" s="1221"/>
      <c r="CKF29" s="1221"/>
      <c r="CKG29" s="1221"/>
      <c r="CKH29" s="1221"/>
      <c r="CKI29" s="1221"/>
      <c r="CKJ29" s="1221"/>
      <c r="CKK29" s="1221"/>
      <c r="CKL29" s="1221"/>
      <c r="CKM29" s="1221"/>
      <c r="CKN29" s="1221"/>
      <c r="CKO29" s="1221"/>
      <c r="CKP29" s="1221"/>
      <c r="CKQ29" s="1221"/>
      <c r="CKR29" s="1221"/>
      <c r="CKS29" s="1221"/>
      <c r="CKT29" s="1221"/>
      <c r="CKU29" s="1221"/>
      <c r="CKV29" s="1221"/>
      <c r="CKW29" s="1221"/>
      <c r="CKX29" s="1221"/>
      <c r="CKY29" s="1221"/>
      <c r="CKZ29" s="1221"/>
      <c r="CLA29" s="1221"/>
      <c r="CLB29" s="1221"/>
      <c r="CLC29" s="1221"/>
      <c r="CLD29" s="1221"/>
      <c r="CLE29" s="1221"/>
      <c r="CLF29" s="1221"/>
      <c r="CLG29" s="1221"/>
      <c r="CLH29" s="1221"/>
      <c r="CLI29" s="1221"/>
      <c r="CLJ29" s="1221"/>
      <c r="CLK29" s="1221"/>
      <c r="CLL29" s="1221"/>
      <c r="CLM29" s="1221"/>
      <c r="CLN29" s="1221"/>
      <c r="CLO29" s="1221"/>
      <c r="CLP29" s="1221"/>
      <c r="CLQ29" s="1221"/>
      <c r="CLR29" s="1221"/>
      <c r="CLS29" s="1221"/>
      <c r="CLT29" s="1221"/>
      <c r="CLU29" s="1221"/>
      <c r="CLV29" s="1221"/>
      <c r="CLW29" s="1221"/>
      <c r="CLX29" s="1221"/>
      <c r="CLY29" s="1221"/>
      <c r="CLZ29" s="1221"/>
      <c r="CMA29" s="1221"/>
      <c r="CMB29" s="1221"/>
      <c r="CMC29" s="1221"/>
      <c r="CMD29" s="1221"/>
      <c r="CME29" s="1221"/>
      <c r="CMF29" s="1221"/>
      <c r="CMG29" s="1221"/>
      <c r="CMH29" s="1221"/>
      <c r="CMI29" s="1221"/>
      <c r="CMJ29" s="1221"/>
      <c r="CMK29" s="1221"/>
      <c r="CML29" s="1221"/>
      <c r="CMM29" s="1221"/>
      <c r="CMN29" s="1221"/>
      <c r="CMO29" s="1221"/>
      <c r="CMP29" s="1221"/>
      <c r="CMQ29" s="1221"/>
      <c r="CMR29" s="1221"/>
      <c r="CMS29" s="1221"/>
      <c r="CMT29" s="1221"/>
      <c r="CMU29" s="1221"/>
      <c r="CMV29" s="1221"/>
      <c r="CMW29" s="1221"/>
      <c r="CMX29" s="1221"/>
      <c r="CMY29" s="1221"/>
      <c r="CMZ29" s="1221"/>
      <c r="CNA29" s="1221"/>
      <c r="CNB29" s="1221"/>
      <c r="CNC29" s="1221"/>
      <c r="CND29" s="1221"/>
      <c r="CNE29" s="1221"/>
      <c r="CNF29" s="1221"/>
      <c r="CNG29" s="1221"/>
      <c r="CNH29" s="1221"/>
      <c r="CNI29" s="1221"/>
      <c r="CNJ29" s="1221"/>
      <c r="CNK29" s="1221"/>
      <c r="CNL29" s="1221"/>
      <c r="CNM29" s="1221"/>
      <c r="CNN29" s="1221"/>
      <c r="CNO29" s="1221"/>
      <c r="CNP29" s="1221"/>
      <c r="CNQ29" s="1221"/>
      <c r="CNR29" s="1221"/>
      <c r="CNS29" s="1221"/>
      <c r="CNT29" s="1221"/>
      <c r="CNU29" s="1221"/>
      <c r="CNV29" s="1221"/>
      <c r="CNW29" s="1221"/>
      <c r="CNX29" s="1221"/>
      <c r="CNY29" s="1221"/>
      <c r="CNZ29" s="1221"/>
      <c r="COA29" s="1221"/>
      <c r="COB29" s="1221"/>
      <c r="COC29" s="1221"/>
      <c r="COD29" s="1221"/>
      <c r="COE29" s="1221"/>
      <c r="COF29" s="1221"/>
      <c r="COG29" s="1221"/>
      <c r="COH29" s="1221"/>
      <c r="COI29" s="1221"/>
      <c r="COJ29" s="1221"/>
      <c r="COK29" s="1221"/>
      <c r="COL29" s="1221"/>
      <c r="COM29" s="1221"/>
      <c r="CON29" s="1221"/>
      <c r="COO29" s="1221"/>
      <c r="COP29" s="1221"/>
      <c r="COQ29" s="1221"/>
      <c r="COR29" s="1221"/>
      <c r="COS29" s="1221"/>
      <c r="COT29" s="1221"/>
      <c r="COU29" s="1221"/>
      <c r="COV29" s="1221"/>
      <c r="COW29" s="1221"/>
      <c r="COX29" s="1221"/>
      <c r="COY29" s="1221"/>
      <c r="COZ29" s="1221"/>
      <c r="CPA29" s="1221"/>
      <c r="CPB29" s="1221"/>
      <c r="CPC29" s="1221"/>
      <c r="CPD29" s="1221"/>
      <c r="CPE29" s="1221"/>
      <c r="CPF29" s="1221"/>
      <c r="CPG29" s="1221"/>
      <c r="CPH29" s="1221"/>
      <c r="CPI29" s="1221"/>
      <c r="CPJ29" s="1221"/>
      <c r="CPK29" s="1221"/>
      <c r="CPL29" s="1221"/>
      <c r="CPM29" s="1221"/>
      <c r="CPN29" s="1221"/>
      <c r="CPO29" s="1221"/>
      <c r="CPP29" s="1221"/>
      <c r="CPQ29" s="1221"/>
      <c r="CPR29" s="1221"/>
      <c r="CPS29" s="1221"/>
      <c r="CPT29" s="1221"/>
      <c r="CPU29" s="1221"/>
      <c r="CPV29" s="1221"/>
      <c r="CPW29" s="1221"/>
      <c r="CPX29" s="1221"/>
      <c r="CPY29" s="1221"/>
      <c r="CPZ29" s="1221"/>
      <c r="CQA29" s="1221"/>
      <c r="CQB29" s="1221"/>
      <c r="CQC29" s="1221"/>
      <c r="CQD29" s="1221"/>
      <c r="CQE29" s="1221"/>
      <c r="CQF29" s="1221"/>
      <c r="CQG29" s="1221"/>
      <c r="CQH29" s="1221"/>
      <c r="CQI29" s="1221"/>
      <c r="CQJ29" s="1221"/>
      <c r="CQK29" s="1221"/>
      <c r="CQL29" s="1221"/>
      <c r="CQM29" s="1221"/>
      <c r="CQN29" s="1221"/>
      <c r="CQO29" s="1221"/>
      <c r="CQP29" s="1221"/>
      <c r="CQQ29" s="1221"/>
      <c r="CQR29" s="1221"/>
      <c r="CQS29" s="1221"/>
      <c r="CQT29" s="1221"/>
      <c r="CQU29" s="1221"/>
      <c r="CQV29" s="1221"/>
      <c r="CQW29" s="1221"/>
      <c r="CQX29" s="1221"/>
      <c r="CQY29" s="1221"/>
      <c r="CQZ29" s="1221"/>
      <c r="CRA29" s="1221"/>
      <c r="CRB29" s="1221"/>
      <c r="CRC29" s="1221"/>
      <c r="CRD29" s="1221"/>
      <c r="CRE29" s="1221"/>
      <c r="CRF29" s="1221"/>
      <c r="CRG29" s="1221"/>
      <c r="CRH29" s="1221"/>
      <c r="CRI29" s="1221"/>
      <c r="CRJ29" s="1221"/>
      <c r="CRK29" s="1221"/>
      <c r="CRL29" s="1221"/>
      <c r="CRM29" s="1221"/>
      <c r="CRN29" s="1221"/>
      <c r="CRO29" s="1221"/>
      <c r="CRP29" s="1221"/>
      <c r="CRQ29" s="1221"/>
      <c r="CRR29" s="1221"/>
      <c r="CRS29" s="1221"/>
      <c r="CRT29" s="1221"/>
      <c r="CRU29" s="1221"/>
      <c r="CRV29" s="1221"/>
      <c r="CRW29" s="1221"/>
      <c r="CRX29" s="1221"/>
      <c r="CRY29" s="1221"/>
      <c r="CRZ29" s="1221"/>
      <c r="CSA29" s="1221"/>
      <c r="CSB29" s="1221"/>
      <c r="CSC29" s="1221"/>
      <c r="CSD29" s="1221"/>
      <c r="CSE29" s="1221"/>
      <c r="CSF29" s="1221"/>
      <c r="CSG29" s="1221"/>
      <c r="CSH29" s="1221"/>
      <c r="CSI29" s="1221"/>
      <c r="CSJ29" s="1221"/>
      <c r="CSK29" s="1221"/>
      <c r="CSL29" s="1221"/>
      <c r="CSM29" s="1221"/>
      <c r="CSN29" s="1221"/>
      <c r="CSO29" s="1221"/>
      <c r="CSP29" s="1221"/>
      <c r="CSQ29" s="1221"/>
      <c r="CSR29" s="1221"/>
      <c r="CSS29" s="1221"/>
      <c r="CST29" s="1221"/>
      <c r="CSU29" s="1221"/>
      <c r="CSV29" s="1221"/>
      <c r="CSW29" s="1221"/>
      <c r="CSX29" s="1221"/>
      <c r="CSY29" s="1221"/>
      <c r="CSZ29" s="1221"/>
      <c r="CTA29" s="1221"/>
      <c r="CTB29" s="1221"/>
      <c r="CTC29" s="1221"/>
      <c r="CTD29" s="1221"/>
      <c r="CTE29" s="1221"/>
      <c r="CTF29" s="1221"/>
      <c r="CTG29" s="1221"/>
      <c r="CTH29" s="1221"/>
      <c r="CTI29" s="1221"/>
      <c r="CTJ29" s="1221"/>
      <c r="CTK29" s="1221"/>
      <c r="CTL29" s="1221"/>
      <c r="CTM29" s="1221"/>
      <c r="CTN29" s="1221"/>
      <c r="CTO29" s="1221"/>
      <c r="CTP29" s="1221"/>
      <c r="CTQ29" s="1221"/>
      <c r="CTR29" s="1221"/>
      <c r="CTS29" s="1221"/>
      <c r="CTT29" s="1221"/>
      <c r="CTU29" s="1221"/>
      <c r="CTV29" s="1221"/>
      <c r="CTW29" s="1221"/>
      <c r="CTX29" s="1221"/>
      <c r="CTY29" s="1221"/>
      <c r="CTZ29" s="1221"/>
      <c r="CUA29" s="1221"/>
      <c r="CUB29" s="1221"/>
      <c r="CUC29" s="1221"/>
      <c r="CUD29" s="1221"/>
      <c r="CUE29" s="1221"/>
      <c r="CUF29" s="1221"/>
      <c r="CUG29" s="1221"/>
      <c r="CUH29" s="1221"/>
      <c r="CUI29" s="1221"/>
      <c r="CUJ29" s="1221"/>
      <c r="CUK29" s="1221"/>
      <c r="CUL29" s="1221"/>
      <c r="CUM29" s="1221"/>
      <c r="CUN29" s="1221"/>
      <c r="CUO29" s="1221"/>
      <c r="CUP29" s="1221"/>
      <c r="CUQ29" s="1221"/>
      <c r="CUR29" s="1221"/>
      <c r="CUS29" s="1221"/>
      <c r="CUT29" s="1221"/>
      <c r="CUU29" s="1221"/>
      <c r="CUV29" s="1221"/>
      <c r="CUW29" s="1221"/>
      <c r="CUX29" s="1221"/>
      <c r="CUY29" s="1221"/>
      <c r="CUZ29" s="1221"/>
      <c r="CVA29" s="1221"/>
      <c r="CVB29" s="1221"/>
      <c r="CVC29" s="1221"/>
      <c r="CVD29" s="1221"/>
      <c r="CVE29" s="1221"/>
      <c r="CVF29" s="1221"/>
      <c r="CVG29" s="1221"/>
      <c r="CVH29" s="1221"/>
      <c r="CVI29" s="1221"/>
      <c r="CVJ29" s="1221"/>
      <c r="CVK29" s="1221"/>
      <c r="CVL29" s="1221"/>
      <c r="CVM29" s="1221"/>
      <c r="CVN29" s="1221"/>
      <c r="CVO29" s="1221"/>
      <c r="CVP29" s="1221"/>
      <c r="CVQ29" s="1221"/>
      <c r="CVR29" s="1221"/>
      <c r="CVS29" s="1221"/>
      <c r="CVT29" s="1221"/>
      <c r="CVU29" s="1221"/>
      <c r="CVV29" s="1221"/>
      <c r="CVW29" s="1221"/>
      <c r="CVX29" s="1221"/>
      <c r="CVY29" s="1221"/>
      <c r="CVZ29" s="1221"/>
      <c r="CWA29" s="1221"/>
      <c r="CWB29" s="1221"/>
      <c r="CWC29" s="1221"/>
      <c r="CWD29" s="1221"/>
      <c r="CWE29" s="1221"/>
      <c r="CWF29" s="1221"/>
      <c r="CWG29" s="1221"/>
      <c r="CWH29" s="1221"/>
      <c r="CWI29" s="1221"/>
      <c r="CWJ29" s="1221"/>
      <c r="CWK29" s="1221"/>
      <c r="CWL29" s="1221"/>
      <c r="CWM29" s="1221"/>
      <c r="CWN29" s="1221"/>
      <c r="CWO29" s="1221"/>
      <c r="CWP29" s="1221"/>
      <c r="CWQ29" s="1221"/>
      <c r="CWR29" s="1221"/>
      <c r="CWS29" s="1221"/>
      <c r="CWT29" s="1221"/>
      <c r="CWU29" s="1221"/>
      <c r="CWV29" s="1221"/>
      <c r="CWW29" s="1221"/>
      <c r="CWX29" s="1221"/>
      <c r="CWY29" s="1221"/>
      <c r="CWZ29" s="1221"/>
      <c r="CXA29" s="1221"/>
      <c r="CXB29" s="1221"/>
      <c r="CXC29" s="1221"/>
      <c r="CXD29" s="1221"/>
      <c r="CXE29" s="1221"/>
      <c r="CXF29" s="1221"/>
      <c r="CXG29" s="1221"/>
      <c r="CXH29" s="1221"/>
      <c r="CXI29" s="1221"/>
      <c r="CXJ29" s="1221"/>
      <c r="CXK29" s="1221"/>
      <c r="CXL29" s="1221"/>
      <c r="CXM29" s="1221"/>
      <c r="CXN29" s="1221"/>
      <c r="CXO29" s="1221"/>
      <c r="CXP29" s="1221"/>
      <c r="CXQ29" s="1221"/>
      <c r="CXR29" s="1221"/>
      <c r="CXS29" s="1221"/>
      <c r="CXT29" s="1221"/>
      <c r="CXU29" s="1221"/>
      <c r="CXV29" s="1221"/>
      <c r="CXW29" s="1221"/>
      <c r="CXX29" s="1221"/>
      <c r="CXY29" s="1221"/>
      <c r="CXZ29" s="1221"/>
      <c r="CYA29" s="1221"/>
      <c r="CYB29" s="1221"/>
      <c r="CYC29" s="1221"/>
      <c r="CYD29" s="1221"/>
      <c r="CYE29" s="1221"/>
      <c r="CYF29" s="1221"/>
      <c r="CYG29" s="1221"/>
      <c r="CYH29" s="1221"/>
      <c r="CYI29" s="1221"/>
      <c r="CYJ29" s="1221"/>
      <c r="CYK29" s="1221"/>
      <c r="CYL29" s="1221"/>
      <c r="CYM29" s="1221"/>
      <c r="CYN29" s="1221"/>
      <c r="CYO29" s="1221"/>
      <c r="CYP29" s="1221"/>
      <c r="CYQ29" s="1221"/>
      <c r="CYR29" s="1221"/>
      <c r="CYS29" s="1221"/>
      <c r="CYT29" s="1221"/>
      <c r="CYU29" s="1221"/>
      <c r="CYV29" s="1221"/>
      <c r="CYW29" s="1221"/>
      <c r="CYX29" s="1221"/>
      <c r="CYY29" s="1221"/>
      <c r="CYZ29" s="1221"/>
      <c r="CZA29" s="1221"/>
      <c r="CZB29" s="1221"/>
      <c r="CZC29" s="1221"/>
      <c r="CZD29" s="1221"/>
      <c r="CZE29" s="1221"/>
      <c r="CZF29" s="1221"/>
      <c r="CZG29" s="1221"/>
      <c r="CZH29" s="1221"/>
      <c r="CZI29" s="1221"/>
      <c r="CZJ29" s="1221"/>
      <c r="CZK29" s="1221"/>
      <c r="CZL29" s="1221"/>
      <c r="CZM29" s="1221"/>
      <c r="CZN29" s="1221"/>
      <c r="CZO29" s="1221"/>
      <c r="CZP29" s="1221"/>
      <c r="CZQ29" s="1221"/>
      <c r="CZR29" s="1221"/>
      <c r="CZS29" s="1221"/>
      <c r="CZT29" s="1221"/>
      <c r="CZU29" s="1221"/>
      <c r="CZV29" s="1221"/>
      <c r="CZW29" s="1221"/>
      <c r="CZX29" s="1221"/>
      <c r="CZY29" s="1221"/>
      <c r="CZZ29" s="1221"/>
      <c r="DAA29" s="1221"/>
      <c r="DAB29" s="1221"/>
      <c r="DAC29" s="1221"/>
      <c r="DAD29" s="1221"/>
      <c r="DAE29" s="1221"/>
      <c r="DAF29" s="1221"/>
      <c r="DAG29" s="1221"/>
      <c r="DAH29" s="1221"/>
      <c r="DAI29" s="1221"/>
      <c r="DAJ29" s="1221"/>
      <c r="DAK29" s="1221"/>
      <c r="DAL29" s="1221"/>
      <c r="DAM29" s="1221"/>
      <c r="DAN29" s="1221"/>
      <c r="DAO29" s="1221"/>
      <c r="DAP29" s="1221"/>
      <c r="DAQ29" s="1221"/>
      <c r="DAR29" s="1221"/>
      <c r="DAS29" s="1221"/>
      <c r="DAT29" s="1221"/>
      <c r="DAU29" s="1221"/>
      <c r="DAV29" s="1221"/>
      <c r="DAW29" s="1221"/>
      <c r="DAX29" s="1221"/>
      <c r="DAY29" s="1221"/>
      <c r="DAZ29" s="1221"/>
      <c r="DBA29" s="1221"/>
      <c r="DBB29" s="1221"/>
      <c r="DBC29" s="1221"/>
      <c r="DBD29" s="1221"/>
      <c r="DBE29" s="1221"/>
      <c r="DBF29" s="1221"/>
      <c r="DBG29" s="1221"/>
      <c r="DBH29" s="1221"/>
      <c r="DBI29" s="1221"/>
      <c r="DBJ29" s="1221"/>
      <c r="DBK29" s="1221"/>
      <c r="DBL29" s="1221"/>
      <c r="DBM29" s="1221"/>
      <c r="DBN29" s="1221"/>
      <c r="DBO29" s="1221"/>
      <c r="DBP29" s="1221"/>
      <c r="DBQ29" s="1221"/>
      <c r="DBR29" s="1221"/>
      <c r="DBS29" s="1221"/>
      <c r="DBT29" s="1221"/>
      <c r="DBU29" s="1221"/>
      <c r="DBV29" s="1221"/>
      <c r="DBW29" s="1221"/>
      <c r="DBX29" s="1221"/>
      <c r="DBY29" s="1221"/>
      <c r="DBZ29" s="1221"/>
      <c r="DCA29" s="1221"/>
      <c r="DCB29" s="1221"/>
      <c r="DCC29" s="1221"/>
      <c r="DCD29" s="1221"/>
      <c r="DCE29" s="1221"/>
      <c r="DCF29" s="1221"/>
      <c r="DCG29" s="1221"/>
      <c r="DCH29" s="1221"/>
      <c r="DCI29" s="1221"/>
      <c r="DCJ29" s="1221"/>
      <c r="DCK29" s="1221"/>
      <c r="DCL29" s="1221"/>
      <c r="DCM29" s="1221"/>
      <c r="DCN29" s="1221"/>
      <c r="DCO29" s="1221"/>
      <c r="DCP29" s="1221"/>
      <c r="DCQ29" s="1221"/>
      <c r="DCR29" s="1221"/>
      <c r="DCS29" s="1221"/>
      <c r="DCT29" s="1221"/>
      <c r="DCU29" s="1221"/>
      <c r="DCV29" s="1221"/>
      <c r="DCW29" s="1221"/>
      <c r="DCX29" s="1221"/>
      <c r="DCY29" s="1221"/>
      <c r="DCZ29" s="1221"/>
      <c r="DDA29" s="1221"/>
      <c r="DDB29" s="1221"/>
      <c r="DDC29" s="1221"/>
      <c r="DDD29" s="1221"/>
      <c r="DDE29" s="1221"/>
      <c r="DDF29" s="1221"/>
      <c r="DDG29" s="1221"/>
      <c r="DDH29" s="1221"/>
      <c r="DDI29" s="1221"/>
      <c r="DDJ29" s="1221"/>
      <c r="DDK29" s="1221"/>
      <c r="DDL29" s="1221"/>
      <c r="DDM29" s="1221"/>
      <c r="DDN29" s="1221"/>
      <c r="DDO29" s="1221"/>
      <c r="DDP29" s="1221"/>
      <c r="DDQ29" s="1221"/>
      <c r="DDR29" s="1221"/>
      <c r="DDS29" s="1221"/>
      <c r="DDT29" s="1221"/>
      <c r="DDU29" s="1221"/>
      <c r="DDV29" s="1221"/>
      <c r="DDW29" s="1221"/>
      <c r="DDX29" s="1221"/>
      <c r="DDY29" s="1221"/>
      <c r="DDZ29" s="1221"/>
      <c r="DEA29" s="1221"/>
      <c r="DEB29" s="1221"/>
      <c r="DEC29" s="1221"/>
      <c r="DED29" s="1221"/>
      <c r="DEE29" s="1221"/>
      <c r="DEF29" s="1221"/>
      <c r="DEG29" s="1221"/>
      <c r="DEH29" s="1221"/>
      <c r="DEI29" s="1221"/>
      <c r="DEJ29" s="1221"/>
      <c r="DEK29" s="1221"/>
      <c r="DEL29" s="1221"/>
      <c r="DEM29" s="1221"/>
      <c r="DEN29" s="1221"/>
      <c r="DEO29" s="1221"/>
      <c r="DEP29" s="1221"/>
      <c r="DEQ29" s="1221"/>
      <c r="DER29" s="1221"/>
      <c r="DES29" s="1221"/>
      <c r="DET29" s="1221"/>
      <c r="DEU29" s="1221"/>
      <c r="DEV29" s="1221"/>
      <c r="DEW29" s="1221"/>
      <c r="DEX29" s="1221"/>
      <c r="DEY29" s="1221"/>
      <c r="DEZ29" s="1221"/>
      <c r="DFA29" s="1221"/>
      <c r="DFB29" s="1221"/>
      <c r="DFC29" s="1221"/>
      <c r="DFD29" s="1221"/>
      <c r="DFE29" s="1221"/>
      <c r="DFF29" s="1221"/>
      <c r="DFG29" s="1221"/>
      <c r="DFH29" s="1221"/>
      <c r="DFI29" s="1221"/>
      <c r="DFJ29" s="1221"/>
      <c r="DFK29" s="1221"/>
      <c r="DFL29" s="1221"/>
      <c r="DFM29" s="1221"/>
      <c r="DFN29" s="1221"/>
      <c r="DFO29" s="1221"/>
      <c r="DFP29" s="1221"/>
      <c r="DFQ29" s="1221"/>
      <c r="DFR29" s="1221"/>
      <c r="DFS29" s="1221"/>
      <c r="DFT29" s="1221"/>
      <c r="DFU29" s="1221"/>
      <c r="DFV29" s="1221"/>
      <c r="DFW29" s="1221"/>
      <c r="DFX29" s="1221"/>
      <c r="DFY29" s="1221"/>
      <c r="DFZ29" s="1221"/>
      <c r="DGA29" s="1221"/>
      <c r="DGB29" s="1221"/>
      <c r="DGC29" s="1221"/>
      <c r="DGD29" s="1221"/>
      <c r="DGE29" s="1221"/>
      <c r="DGF29" s="1221"/>
      <c r="DGG29" s="1221"/>
      <c r="DGH29" s="1221"/>
      <c r="DGI29" s="1221"/>
      <c r="DGJ29" s="1221"/>
      <c r="DGK29" s="1221"/>
      <c r="DGL29" s="1221"/>
      <c r="DGM29" s="1221"/>
      <c r="DGN29" s="1221"/>
      <c r="DGO29" s="1221"/>
      <c r="DGP29" s="1221"/>
      <c r="DGQ29" s="1221"/>
      <c r="DGR29" s="1221"/>
      <c r="DGS29" s="1221"/>
      <c r="DGT29" s="1221"/>
      <c r="DGU29" s="1221"/>
      <c r="DGV29" s="1221"/>
      <c r="DGW29" s="1221"/>
      <c r="DGX29" s="1221"/>
      <c r="DGY29" s="1221"/>
      <c r="DGZ29" s="1221"/>
      <c r="DHA29" s="1221"/>
      <c r="DHB29" s="1221"/>
      <c r="DHC29" s="1221"/>
      <c r="DHD29" s="1221"/>
      <c r="DHE29" s="1221"/>
      <c r="DHF29" s="1221"/>
      <c r="DHG29" s="1221"/>
      <c r="DHH29" s="1221"/>
      <c r="DHI29" s="1221"/>
      <c r="DHJ29" s="1221"/>
      <c r="DHK29" s="1221"/>
      <c r="DHL29" s="1221"/>
      <c r="DHM29" s="1221"/>
      <c r="DHN29" s="1221"/>
      <c r="DHO29" s="1221"/>
      <c r="DHP29" s="1221"/>
      <c r="DHQ29" s="1221"/>
      <c r="DHR29" s="1221"/>
      <c r="DHS29" s="1221"/>
      <c r="DHT29" s="1221"/>
      <c r="DHU29" s="1221"/>
      <c r="DHV29" s="1221"/>
      <c r="DHW29" s="1221"/>
      <c r="DHX29" s="1221"/>
      <c r="DHY29" s="1221"/>
      <c r="DHZ29" s="1221"/>
      <c r="DIA29" s="1221"/>
      <c r="DIB29" s="1221"/>
      <c r="DIC29" s="1221"/>
      <c r="DID29" s="1221"/>
      <c r="DIE29" s="1221"/>
      <c r="DIF29" s="1221"/>
      <c r="DIG29" s="1221"/>
      <c r="DIH29" s="1221"/>
      <c r="DII29" s="1221"/>
      <c r="DIJ29" s="1221"/>
      <c r="DIK29" s="1221"/>
      <c r="DIL29" s="1221"/>
      <c r="DIM29" s="1221"/>
      <c r="DIN29" s="1221"/>
      <c r="DIO29" s="1221"/>
      <c r="DIP29" s="1221"/>
      <c r="DIQ29" s="1221"/>
      <c r="DIR29" s="1221"/>
      <c r="DIS29" s="1221"/>
      <c r="DIT29" s="1221"/>
      <c r="DIU29" s="1221"/>
      <c r="DIV29" s="1221"/>
      <c r="DIW29" s="1221"/>
      <c r="DIX29" s="1221"/>
      <c r="DIY29" s="1221"/>
      <c r="DIZ29" s="1221"/>
      <c r="DJA29" s="1221"/>
      <c r="DJB29" s="1221"/>
      <c r="DJC29" s="1221"/>
      <c r="DJD29" s="1221"/>
      <c r="DJE29" s="1221"/>
      <c r="DJF29" s="1221"/>
      <c r="DJG29" s="1221"/>
      <c r="DJH29" s="1221"/>
      <c r="DJI29" s="1221"/>
      <c r="DJJ29" s="1221"/>
      <c r="DJK29" s="1221"/>
      <c r="DJL29" s="1221"/>
      <c r="DJM29" s="1221"/>
      <c r="DJN29" s="1221"/>
      <c r="DJO29" s="1221"/>
      <c r="DJP29" s="1221"/>
      <c r="DJQ29" s="1221"/>
      <c r="DJR29" s="1221"/>
      <c r="DJS29" s="1221"/>
      <c r="DJT29" s="1221"/>
      <c r="DJU29" s="1221"/>
      <c r="DJV29" s="1221"/>
      <c r="DJW29" s="1221"/>
      <c r="DJX29" s="1221"/>
      <c r="DJY29" s="1221"/>
      <c r="DJZ29" s="1221"/>
      <c r="DKA29" s="1221"/>
      <c r="DKB29" s="1221"/>
      <c r="DKC29" s="1221"/>
      <c r="DKD29" s="1221"/>
      <c r="DKE29" s="1221"/>
      <c r="DKF29" s="1221"/>
      <c r="DKG29" s="1221"/>
      <c r="DKH29" s="1221"/>
      <c r="DKI29" s="1221"/>
      <c r="DKJ29" s="1221"/>
      <c r="DKK29" s="1221"/>
      <c r="DKL29" s="1221"/>
      <c r="DKM29" s="1221"/>
      <c r="DKN29" s="1221"/>
      <c r="DKO29" s="1221"/>
      <c r="DKP29" s="1221"/>
      <c r="DKQ29" s="1221"/>
      <c r="DKR29" s="1221"/>
      <c r="DKS29" s="1221"/>
      <c r="DKT29" s="1221"/>
      <c r="DKU29" s="1221"/>
      <c r="DKV29" s="1221"/>
      <c r="DKW29" s="1221"/>
      <c r="DKX29" s="1221"/>
      <c r="DKY29" s="1221"/>
      <c r="DKZ29" s="1221"/>
      <c r="DLA29" s="1221"/>
      <c r="DLB29" s="1221"/>
      <c r="DLC29" s="1221"/>
      <c r="DLD29" s="1221"/>
      <c r="DLE29" s="1221"/>
      <c r="DLF29" s="1221"/>
      <c r="DLG29" s="1221"/>
      <c r="DLH29" s="1221"/>
      <c r="DLI29" s="1221"/>
      <c r="DLJ29" s="1221"/>
      <c r="DLK29" s="1221"/>
      <c r="DLL29" s="1221"/>
      <c r="DLM29" s="1221"/>
      <c r="DLN29" s="1221"/>
      <c r="DLO29" s="1221"/>
      <c r="DLP29" s="1221"/>
      <c r="DLQ29" s="1221"/>
      <c r="DLR29" s="1221"/>
      <c r="DLS29" s="1221"/>
      <c r="DLT29" s="1221"/>
      <c r="DLU29" s="1221"/>
      <c r="DLV29" s="1221"/>
      <c r="DLW29" s="1221"/>
      <c r="DLX29" s="1221"/>
      <c r="DLY29" s="1221"/>
      <c r="DLZ29" s="1221"/>
      <c r="DMA29" s="1221"/>
      <c r="DMB29" s="1221"/>
      <c r="DMC29" s="1221"/>
      <c r="DMD29" s="1221"/>
      <c r="DME29" s="1221"/>
      <c r="DMF29" s="1221"/>
      <c r="DMG29" s="1221"/>
      <c r="DMH29" s="1221"/>
      <c r="DMI29" s="1221"/>
      <c r="DMJ29" s="1221"/>
      <c r="DMK29" s="1221"/>
      <c r="DML29" s="1221"/>
      <c r="DMM29" s="1221"/>
      <c r="DMN29" s="1221"/>
      <c r="DMO29" s="1221"/>
      <c r="DMP29" s="1221"/>
      <c r="DMQ29" s="1221"/>
      <c r="DMR29" s="1221"/>
      <c r="DMS29" s="1221"/>
      <c r="DMT29" s="1221"/>
      <c r="DMU29" s="1221"/>
      <c r="DMV29" s="1221"/>
      <c r="DMW29" s="1221"/>
      <c r="DMX29" s="1221"/>
      <c r="DMY29" s="1221"/>
      <c r="DMZ29" s="1221"/>
      <c r="DNA29" s="1221"/>
      <c r="DNB29" s="1221"/>
      <c r="DNC29" s="1221"/>
      <c r="DND29" s="1221"/>
      <c r="DNE29" s="1221"/>
      <c r="DNF29" s="1221"/>
      <c r="DNG29" s="1221"/>
      <c r="DNH29" s="1221"/>
      <c r="DNI29" s="1221"/>
      <c r="DNJ29" s="1221"/>
      <c r="DNK29" s="1221"/>
      <c r="DNL29" s="1221"/>
      <c r="DNM29" s="1221"/>
      <c r="DNN29" s="1221"/>
      <c r="DNO29" s="1221"/>
      <c r="DNP29" s="1221"/>
      <c r="DNQ29" s="1221"/>
      <c r="DNR29" s="1221"/>
      <c r="DNS29" s="1221"/>
      <c r="DNT29" s="1221"/>
      <c r="DNU29" s="1221"/>
      <c r="DNV29" s="1221"/>
      <c r="DNW29" s="1221"/>
      <c r="DNX29" s="1221"/>
      <c r="DNY29" s="1221"/>
      <c r="DNZ29" s="1221"/>
      <c r="DOA29" s="1221"/>
      <c r="DOB29" s="1221"/>
      <c r="DOC29" s="1221"/>
      <c r="DOD29" s="1221"/>
      <c r="DOE29" s="1221"/>
      <c r="DOF29" s="1221"/>
      <c r="DOG29" s="1221"/>
      <c r="DOH29" s="1221"/>
      <c r="DOI29" s="1221"/>
      <c r="DOJ29" s="1221"/>
      <c r="DOK29" s="1221"/>
      <c r="DOL29" s="1221"/>
      <c r="DOM29" s="1221"/>
      <c r="DON29" s="1221"/>
      <c r="DOO29" s="1221"/>
      <c r="DOP29" s="1221"/>
      <c r="DOQ29" s="1221"/>
      <c r="DOR29" s="1221"/>
      <c r="DOS29" s="1221"/>
      <c r="DOT29" s="1221"/>
      <c r="DOU29" s="1221"/>
      <c r="DOV29" s="1221"/>
      <c r="DOW29" s="1221"/>
      <c r="DOX29" s="1221"/>
      <c r="DOY29" s="1221"/>
      <c r="DOZ29" s="1221"/>
      <c r="DPA29" s="1221"/>
      <c r="DPB29" s="1221"/>
      <c r="DPC29" s="1221"/>
      <c r="DPD29" s="1221"/>
      <c r="DPE29" s="1221"/>
      <c r="DPF29" s="1221"/>
      <c r="DPG29" s="1221"/>
      <c r="DPH29" s="1221"/>
      <c r="DPI29" s="1221"/>
      <c r="DPJ29" s="1221"/>
      <c r="DPK29" s="1221"/>
      <c r="DPL29" s="1221"/>
      <c r="DPM29" s="1221"/>
      <c r="DPN29" s="1221"/>
      <c r="DPO29" s="1221"/>
      <c r="DPP29" s="1221"/>
      <c r="DPQ29" s="1221"/>
      <c r="DPR29" s="1221"/>
      <c r="DPS29" s="1221"/>
      <c r="DPT29" s="1221"/>
      <c r="DPU29" s="1221"/>
      <c r="DPV29" s="1221"/>
      <c r="DPW29" s="1221"/>
      <c r="DPX29" s="1221"/>
      <c r="DPY29" s="1221"/>
      <c r="DPZ29" s="1221"/>
      <c r="DQA29" s="1221"/>
      <c r="DQB29" s="1221"/>
      <c r="DQC29" s="1221"/>
      <c r="DQD29" s="1221"/>
      <c r="DQE29" s="1221"/>
      <c r="DQF29" s="1221"/>
      <c r="DQG29" s="1221"/>
      <c r="DQH29" s="1221"/>
      <c r="DQI29" s="1221"/>
      <c r="DQJ29" s="1221"/>
      <c r="DQK29" s="1221"/>
      <c r="DQL29" s="1221"/>
      <c r="DQM29" s="1221"/>
      <c r="DQN29" s="1221"/>
      <c r="DQO29" s="1221"/>
      <c r="DQP29" s="1221"/>
      <c r="DQQ29" s="1221"/>
      <c r="DQR29" s="1221"/>
      <c r="DQS29" s="1221"/>
      <c r="DQT29" s="1221"/>
      <c r="DQU29" s="1221"/>
      <c r="DQV29" s="1221"/>
      <c r="DQW29" s="1221"/>
      <c r="DQX29" s="1221"/>
      <c r="DQY29" s="1221"/>
      <c r="DQZ29" s="1221"/>
      <c r="DRA29" s="1221"/>
      <c r="DRB29" s="1221"/>
      <c r="DRC29" s="1221"/>
      <c r="DRD29" s="1221"/>
      <c r="DRE29" s="1221"/>
      <c r="DRF29" s="1221"/>
      <c r="DRG29" s="1221"/>
      <c r="DRH29" s="1221"/>
      <c r="DRI29" s="1221"/>
      <c r="DRJ29" s="1221"/>
      <c r="DRK29" s="1221"/>
      <c r="DRL29" s="1221"/>
      <c r="DRM29" s="1221"/>
      <c r="DRN29" s="1221"/>
      <c r="DRO29" s="1221"/>
      <c r="DRP29" s="1221"/>
      <c r="DRQ29" s="1221"/>
      <c r="DRR29" s="1221"/>
      <c r="DRS29" s="1221"/>
      <c r="DRT29" s="1221"/>
      <c r="DRU29" s="1221"/>
      <c r="DRV29" s="1221"/>
      <c r="DRW29" s="1221"/>
      <c r="DRX29" s="1221"/>
      <c r="DRY29" s="1221"/>
      <c r="DRZ29" s="1221"/>
      <c r="DSA29" s="1221"/>
      <c r="DSB29" s="1221"/>
      <c r="DSC29" s="1221"/>
      <c r="DSD29" s="1221"/>
      <c r="DSE29" s="1221"/>
      <c r="DSF29" s="1221"/>
      <c r="DSG29" s="1221"/>
      <c r="DSH29" s="1221"/>
      <c r="DSI29" s="1221"/>
      <c r="DSJ29" s="1221"/>
      <c r="DSK29" s="1221"/>
      <c r="DSL29" s="1221"/>
      <c r="DSM29" s="1221"/>
      <c r="DSN29" s="1221"/>
      <c r="DSO29" s="1221"/>
      <c r="DSP29" s="1221"/>
      <c r="DSQ29" s="1221"/>
      <c r="DSR29" s="1221"/>
      <c r="DSS29" s="1221"/>
      <c r="DST29" s="1221"/>
      <c r="DSU29" s="1221"/>
      <c r="DSV29" s="1221"/>
      <c r="DSW29" s="1221"/>
      <c r="DSX29" s="1221"/>
      <c r="DSY29" s="1221"/>
      <c r="DSZ29" s="1221"/>
      <c r="DTA29" s="1221"/>
      <c r="DTB29" s="1221"/>
      <c r="DTC29" s="1221"/>
      <c r="DTD29" s="1221"/>
      <c r="DTE29" s="1221"/>
      <c r="DTF29" s="1221"/>
      <c r="DTG29" s="1221"/>
      <c r="DTH29" s="1221"/>
      <c r="DTI29" s="1221"/>
      <c r="DTJ29" s="1221"/>
      <c r="DTK29" s="1221"/>
      <c r="DTL29" s="1221"/>
      <c r="DTM29" s="1221"/>
      <c r="DTN29" s="1221"/>
      <c r="DTO29" s="1221"/>
      <c r="DTP29" s="1221"/>
      <c r="DTQ29" s="1221"/>
      <c r="DTR29" s="1221"/>
      <c r="DTS29" s="1221"/>
      <c r="DTT29" s="1221"/>
      <c r="DTU29" s="1221"/>
      <c r="DTV29" s="1221"/>
      <c r="DTW29" s="1221"/>
      <c r="DTX29" s="1221"/>
      <c r="DTY29" s="1221"/>
      <c r="DTZ29" s="1221"/>
      <c r="DUA29" s="1221"/>
      <c r="DUB29" s="1221"/>
      <c r="DUC29" s="1221"/>
      <c r="DUD29" s="1221"/>
      <c r="DUE29" s="1221"/>
      <c r="DUF29" s="1221"/>
      <c r="DUG29" s="1221"/>
      <c r="DUH29" s="1221"/>
      <c r="DUI29" s="1221"/>
      <c r="DUJ29" s="1221"/>
      <c r="DUK29" s="1221"/>
      <c r="DUL29" s="1221"/>
      <c r="DUM29" s="1221"/>
      <c r="DUN29" s="1221"/>
      <c r="DUO29" s="1221"/>
      <c r="DUP29" s="1221"/>
      <c r="DUQ29" s="1221"/>
      <c r="DUR29" s="1221"/>
      <c r="DUS29" s="1221"/>
      <c r="DUT29" s="1221"/>
      <c r="DUU29" s="1221"/>
      <c r="DUV29" s="1221"/>
      <c r="DUW29" s="1221"/>
      <c r="DUX29" s="1221"/>
      <c r="DUY29" s="1221"/>
      <c r="DUZ29" s="1221"/>
      <c r="DVA29" s="1221"/>
      <c r="DVB29" s="1221"/>
      <c r="DVC29" s="1221"/>
      <c r="DVD29" s="1221"/>
      <c r="DVE29" s="1221"/>
      <c r="DVF29" s="1221"/>
      <c r="DVG29" s="1221"/>
      <c r="DVH29" s="1221"/>
      <c r="DVI29" s="1221"/>
      <c r="DVJ29" s="1221"/>
      <c r="DVK29" s="1221"/>
      <c r="DVL29" s="1221"/>
      <c r="DVM29" s="1221"/>
      <c r="DVN29" s="1221"/>
      <c r="DVO29" s="1221"/>
      <c r="DVP29" s="1221"/>
      <c r="DVQ29" s="1221"/>
      <c r="DVR29" s="1221"/>
      <c r="DVS29" s="1221"/>
      <c r="DVT29" s="1221"/>
      <c r="DVU29" s="1221"/>
      <c r="DVV29" s="1221"/>
      <c r="DVW29" s="1221"/>
      <c r="DVX29" s="1221"/>
      <c r="DVY29" s="1221"/>
      <c r="DVZ29" s="1221"/>
      <c r="DWA29" s="1221"/>
      <c r="DWB29" s="1221"/>
      <c r="DWC29" s="1221"/>
      <c r="DWD29" s="1221"/>
      <c r="DWE29" s="1221"/>
      <c r="DWF29" s="1221"/>
      <c r="DWG29" s="1221"/>
      <c r="DWH29" s="1221"/>
      <c r="DWI29" s="1221"/>
      <c r="DWJ29" s="1221"/>
      <c r="DWK29" s="1221"/>
      <c r="DWL29" s="1221"/>
      <c r="DWM29" s="1221"/>
      <c r="DWN29" s="1221"/>
      <c r="DWO29" s="1221"/>
      <c r="DWP29" s="1221"/>
      <c r="DWQ29" s="1221"/>
      <c r="DWR29" s="1221"/>
      <c r="DWS29" s="1221"/>
      <c r="DWT29" s="1221"/>
      <c r="DWU29" s="1221"/>
      <c r="DWV29" s="1221"/>
      <c r="DWW29" s="1221"/>
      <c r="DWX29" s="1221"/>
      <c r="DWY29" s="1221"/>
      <c r="DWZ29" s="1221"/>
      <c r="DXA29" s="1221"/>
      <c r="DXB29" s="1221"/>
      <c r="DXC29" s="1221"/>
      <c r="DXD29" s="1221"/>
      <c r="DXE29" s="1221"/>
      <c r="DXF29" s="1221"/>
      <c r="DXG29" s="1221"/>
      <c r="DXH29" s="1221"/>
      <c r="DXI29" s="1221"/>
      <c r="DXJ29" s="1221"/>
      <c r="DXK29" s="1221"/>
      <c r="DXL29" s="1221"/>
      <c r="DXM29" s="1221"/>
      <c r="DXN29" s="1221"/>
      <c r="DXO29" s="1221"/>
      <c r="DXP29" s="1221"/>
      <c r="DXQ29" s="1221"/>
      <c r="DXR29" s="1221"/>
      <c r="DXS29" s="1221"/>
      <c r="DXT29" s="1221"/>
      <c r="DXU29" s="1221"/>
      <c r="DXV29" s="1221"/>
      <c r="DXW29" s="1221"/>
      <c r="DXX29" s="1221"/>
      <c r="DXY29" s="1221"/>
      <c r="DXZ29" s="1221"/>
      <c r="DYA29" s="1221"/>
      <c r="DYB29" s="1221"/>
      <c r="DYC29" s="1221"/>
      <c r="DYD29" s="1221"/>
      <c r="DYE29" s="1221"/>
      <c r="DYF29" s="1221"/>
      <c r="DYG29" s="1221"/>
      <c r="DYH29" s="1221"/>
      <c r="DYI29" s="1221"/>
      <c r="DYJ29" s="1221"/>
      <c r="DYK29" s="1221"/>
      <c r="DYL29" s="1221"/>
      <c r="DYM29" s="1221"/>
      <c r="DYN29" s="1221"/>
      <c r="DYO29" s="1221"/>
      <c r="DYP29" s="1221"/>
      <c r="DYQ29" s="1221"/>
      <c r="DYR29" s="1221"/>
      <c r="DYS29" s="1221"/>
      <c r="DYT29" s="1221"/>
      <c r="DYU29" s="1221"/>
      <c r="DYV29" s="1221"/>
      <c r="DYW29" s="1221"/>
      <c r="DYX29" s="1221"/>
      <c r="DYY29" s="1221"/>
      <c r="DYZ29" s="1221"/>
      <c r="DZA29" s="1221"/>
      <c r="DZB29" s="1221"/>
      <c r="DZC29" s="1221"/>
      <c r="DZD29" s="1221"/>
      <c r="DZE29" s="1221"/>
      <c r="DZF29" s="1221"/>
      <c r="DZG29" s="1221"/>
      <c r="DZH29" s="1221"/>
      <c r="DZI29" s="1221"/>
      <c r="DZJ29" s="1221"/>
      <c r="DZK29" s="1221"/>
      <c r="DZL29" s="1221"/>
      <c r="DZM29" s="1221"/>
      <c r="DZN29" s="1221"/>
      <c r="DZO29" s="1221"/>
      <c r="DZP29" s="1221"/>
      <c r="DZQ29" s="1221"/>
      <c r="DZR29" s="1221"/>
      <c r="DZS29" s="1221"/>
      <c r="DZT29" s="1221"/>
      <c r="DZU29" s="1221"/>
      <c r="DZV29" s="1221"/>
      <c r="DZW29" s="1221"/>
      <c r="DZX29" s="1221"/>
      <c r="DZY29" s="1221"/>
      <c r="DZZ29" s="1221"/>
      <c r="EAA29" s="1221"/>
      <c r="EAB29" s="1221"/>
      <c r="EAC29" s="1221"/>
      <c r="EAD29" s="1221"/>
      <c r="EAE29" s="1221"/>
      <c r="EAF29" s="1221"/>
      <c r="EAG29" s="1221"/>
      <c r="EAH29" s="1221"/>
      <c r="EAI29" s="1221"/>
      <c r="EAJ29" s="1221"/>
      <c r="EAK29" s="1221"/>
      <c r="EAL29" s="1221"/>
      <c r="EAM29" s="1221"/>
      <c r="EAN29" s="1221"/>
      <c r="EAO29" s="1221"/>
      <c r="EAP29" s="1221"/>
      <c r="EAQ29" s="1221"/>
      <c r="EAR29" s="1221"/>
      <c r="EAS29" s="1221"/>
      <c r="EAT29" s="1221"/>
      <c r="EAU29" s="1221"/>
      <c r="EAV29" s="1221"/>
      <c r="EAW29" s="1221"/>
      <c r="EAX29" s="1221"/>
      <c r="EAY29" s="1221"/>
      <c r="EAZ29" s="1221"/>
      <c r="EBA29" s="1221"/>
      <c r="EBB29" s="1221"/>
      <c r="EBC29" s="1221"/>
      <c r="EBD29" s="1221"/>
      <c r="EBE29" s="1221"/>
      <c r="EBF29" s="1221"/>
      <c r="EBG29" s="1221"/>
      <c r="EBH29" s="1221"/>
      <c r="EBI29" s="1221"/>
      <c r="EBJ29" s="1221"/>
      <c r="EBK29" s="1221"/>
      <c r="EBL29" s="1221"/>
      <c r="EBM29" s="1221"/>
      <c r="EBN29" s="1221"/>
      <c r="EBO29" s="1221"/>
      <c r="EBP29" s="1221"/>
      <c r="EBQ29" s="1221"/>
      <c r="EBR29" s="1221"/>
      <c r="EBS29" s="1221"/>
      <c r="EBT29" s="1221"/>
      <c r="EBU29" s="1221"/>
      <c r="EBV29" s="1221"/>
      <c r="EBW29" s="1221"/>
      <c r="EBX29" s="1221"/>
      <c r="EBY29" s="1221"/>
      <c r="EBZ29" s="1221"/>
      <c r="ECA29" s="1221"/>
      <c r="ECB29" s="1221"/>
      <c r="ECC29" s="1221"/>
      <c r="ECD29" s="1221"/>
      <c r="ECE29" s="1221"/>
      <c r="ECF29" s="1221"/>
      <c r="ECG29" s="1221"/>
      <c r="ECH29" s="1221"/>
      <c r="ECI29" s="1221"/>
      <c r="ECJ29" s="1221"/>
      <c r="ECK29" s="1221"/>
      <c r="ECL29" s="1221"/>
      <c r="ECM29" s="1221"/>
      <c r="ECN29" s="1221"/>
      <c r="ECO29" s="1221"/>
    </row>
    <row r="30" spans="2:3473" s="1248" customFormat="1" ht="13" outlineLevel="1">
      <c r="B30" s="1249" t="s">
        <v>503</v>
      </c>
      <c r="C30" s="1250">
        <v>4</v>
      </c>
      <c r="D30" s="1251" t="s">
        <v>92</v>
      </c>
      <c r="E30" s="1252">
        <f t="shared" si="47"/>
        <v>4.1822931254836213</v>
      </c>
      <c r="F30" s="1252">
        <f t="shared" si="47"/>
        <v>3.7011443860942852</v>
      </c>
      <c r="G30" s="1252">
        <f t="shared" si="47"/>
        <v>0.48114873938933661</v>
      </c>
      <c r="H30" s="1252">
        <f t="shared" si="47"/>
        <v>33.353445769960821</v>
      </c>
      <c r="I30" s="1252">
        <f t="shared" si="47"/>
        <v>29.516323616440008</v>
      </c>
      <c r="J30" s="1252">
        <f t="shared" si="47"/>
        <v>3.8371221535208173</v>
      </c>
      <c r="K30" s="1252">
        <f t="shared" si="47"/>
        <v>2.8122803528494726</v>
      </c>
      <c r="L30" s="1252">
        <f t="shared" si="47"/>
        <v>2.4887435684275858</v>
      </c>
      <c r="M30" s="1252">
        <f t="shared" si="47"/>
        <v>0.32353678442188688</v>
      </c>
      <c r="N30" s="1252" t="str">
        <f t="shared" si="47"/>
        <v/>
      </c>
      <c r="O30" s="1252" t="str">
        <f t="shared" si="47"/>
        <v/>
      </c>
      <c r="P30" s="1252" t="str">
        <f t="shared" si="47"/>
        <v/>
      </c>
      <c r="Q30" s="1252">
        <f t="shared" si="47"/>
        <v>25.60229612883143</v>
      </c>
      <c r="R30" s="1252">
        <f t="shared" si="47"/>
        <v>22.656899151288108</v>
      </c>
      <c r="S30" s="1252">
        <f t="shared" si="8"/>
        <v>2.9453969775433215</v>
      </c>
      <c r="T30" s="1252">
        <f t="shared" si="5"/>
        <v>0</v>
      </c>
      <c r="U30" s="1252">
        <f t="shared" si="5"/>
        <v>0</v>
      </c>
      <c r="V30" s="1252">
        <f t="shared" si="9"/>
        <v>0</v>
      </c>
      <c r="W30" s="1252" t="str">
        <f t="shared" si="10"/>
        <v/>
      </c>
      <c r="X30" s="1252" t="str">
        <f t="shared" si="10"/>
        <v/>
      </c>
      <c r="Y30" s="1252" t="str">
        <f t="shared" si="10"/>
        <v/>
      </c>
      <c r="Z30" s="1252">
        <f t="shared" si="11"/>
        <v>22.449746046679095</v>
      </c>
      <c r="AA30" s="1252">
        <f t="shared" si="11"/>
        <v>19.86703184059947</v>
      </c>
      <c r="AB30" s="1252">
        <f t="shared" si="11"/>
        <v>2.5827142060796264</v>
      </c>
      <c r="AC30" s="1252">
        <f t="shared" si="15"/>
        <v>29.825793500791463</v>
      </c>
      <c r="AD30" s="1260">
        <f t="shared" si="15"/>
        <v>26.394507444284535</v>
      </c>
      <c r="AE30" s="1260">
        <f t="shared" si="15"/>
        <v>3.4312860565069281</v>
      </c>
      <c r="AF30" s="1254">
        <f t="shared" si="40"/>
        <v>10.274154375373058</v>
      </c>
      <c r="AG30" s="1256">
        <f>VLOOKUP($D30,车位!$D$17:$U$199,14,0)*车位!$K$3</f>
        <v>9.0921720805690445</v>
      </c>
      <c r="AH30" s="1256">
        <f>VLOOKUP($D30,车位!$D$17:$U$199,16,0)*车位!$K$3</f>
        <v>1.1819822948040142</v>
      </c>
      <c r="AI30" s="1256">
        <f t="shared" si="41"/>
        <v>144</v>
      </c>
      <c r="AJ30" s="1256">
        <f>VLOOKUP($D30,高层!$D$11:$U$202,14,0)</f>
        <v>127.433628</v>
      </c>
      <c r="AK30" s="1256">
        <f>VLOOKUP($D30,高层!$D$11:$U$202,16,0)</f>
        <v>16.566372000000008</v>
      </c>
      <c r="AL30" s="1256">
        <f t="shared" si="20"/>
        <v>2.6462039488922997</v>
      </c>
      <c r="AM30" s="1256">
        <f>VLOOKUP($D30,人防车位!D:U,14,0)*人防车位!K3</f>
        <v>2.3417733057376631</v>
      </c>
      <c r="AN30" s="1256">
        <f>VLOOKUP($D30,人防车位!D:U,16,0)*人防车位!K3</f>
        <v>0.30443064315463675</v>
      </c>
      <c r="AO30" s="1256">
        <f t="shared" si="21"/>
        <v>0</v>
      </c>
      <c r="AP30" s="1256">
        <f>VLOOKUP($D30,人才公寓销售!$D$11:$U$202,14,0)</f>
        <v>0</v>
      </c>
      <c r="AQ30" s="1256">
        <f>VLOOKUP($D30,人才公寓销售!$D$11:$U$202,16,0)</f>
        <v>0</v>
      </c>
      <c r="AR30" s="1256">
        <f>AS30+AT30</f>
        <v>151.5</v>
      </c>
      <c r="AS30" s="1256">
        <f>VLOOKUP($D30,小高层!$D$11:$U$202,14,0)</f>
        <v>134.070796</v>
      </c>
      <c r="AT30" s="1256">
        <f>VLOOKUP($D30,小高层!$D$11:$U$202,16,0)</f>
        <v>17.429203999999999</v>
      </c>
      <c r="AU30" s="1256">
        <f>AV30+AW30</f>
        <v>0</v>
      </c>
      <c r="AV30" s="1256">
        <f>VLOOKUP($D30,临街商业!$D$11:$U$202,14,0)</f>
        <v>0</v>
      </c>
      <c r="AW30" s="1256">
        <f>VLOOKUP($D30,临街商业!$D$11:$U$202,16,0)</f>
        <v>0</v>
      </c>
      <c r="AX30" s="1256"/>
      <c r="AY30" s="1256"/>
      <c r="AZ30" s="1256"/>
      <c r="BA30" s="1257">
        <f>BB30+BC30</f>
        <v>308.42035832426535</v>
      </c>
      <c r="BB30" s="1257">
        <f t="shared" si="49"/>
        <v>272.9383693863067</v>
      </c>
      <c r="BC30" s="1257">
        <f t="shared" si="49"/>
        <v>35.481988937958661</v>
      </c>
      <c r="BD30" s="1256">
        <f t="shared" si="50"/>
        <v>0</v>
      </c>
      <c r="BE30" s="1256">
        <v>0</v>
      </c>
      <c r="BF30" s="1256">
        <v>0</v>
      </c>
      <c r="BG30" s="1256">
        <f t="shared" si="52"/>
        <v>0</v>
      </c>
      <c r="BH30" s="1257">
        <f t="shared" si="53"/>
        <v>0</v>
      </c>
      <c r="BI30" s="1257">
        <f t="shared" si="53"/>
        <v>0</v>
      </c>
      <c r="BJ30" s="1256">
        <f t="shared" si="51"/>
        <v>308.42035832426535</v>
      </c>
      <c r="BK30" s="1257">
        <f t="shared" si="51"/>
        <v>272.9383693863067</v>
      </c>
      <c r="BL30" s="1257">
        <f t="shared" si="51"/>
        <v>35.481988937958661</v>
      </c>
      <c r="BM30" s="1262" t="s">
        <v>489</v>
      </c>
      <c r="BN30" s="1225">
        <f t="shared" si="12"/>
        <v>0</v>
      </c>
      <c r="BO30" s="1225">
        <f t="shared" si="13"/>
        <v>0</v>
      </c>
      <c r="BP30" s="1225">
        <f t="shared" si="14"/>
        <v>0</v>
      </c>
      <c r="BQ30" s="1225"/>
      <c r="BR30" s="1221"/>
      <c r="BS30" s="1221"/>
      <c r="BT30" s="1221"/>
      <c r="BU30" s="1221"/>
      <c r="BV30" s="1221"/>
      <c r="BW30" s="1221"/>
      <c r="BX30" s="1221"/>
      <c r="BY30" s="1221"/>
      <c r="BZ30" s="1221"/>
      <c r="CA30" s="1221"/>
      <c r="CB30" s="1221"/>
      <c r="CC30" s="1221"/>
      <c r="CD30" s="1221"/>
      <c r="CE30" s="1221"/>
      <c r="CF30" s="1221"/>
      <c r="CG30" s="1221"/>
      <c r="CH30" s="1221"/>
      <c r="CI30" s="1221"/>
      <c r="CJ30" s="1221"/>
      <c r="CK30" s="1221"/>
      <c r="CL30" s="1221"/>
      <c r="CM30" s="1221"/>
      <c r="CN30" s="1221"/>
      <c r="CO30" s="1221"/>
      <c r="CP30" s="1221"/>
      <c r="CQ30" s="1221"/>
      <c r="CR30" s="1221"/>
      <c r="CS30" s="1221"/>
      <c r="CT30" s="1221"/>
      <c r="CU30" s="1221"/>
      <c r="CV30" s="1221"/>
      <c r="CW30" s="1221"/>
      <c r="CX30" s="1221"/>
      <c r="CY30" s="1221"/>
      <c r="CZ30" s="1221"/>
      <c r="DA30" s="1221"/>
      <c r="DB30" s="1221"/>
      <c r="DC30" s="1221"/>
      <c r="DD30" s="1221"/>
      <c r="DE30" s="1221"/>
      <c r="DF30" s="1221"/>
      <c r="DG30" s="1221"/>
      <c r="DH30" s="1221"/>
      <c r="DI30" s="1221"/>
      <c r="DJ30" s="1221"/>
      <c r="DK30" s="1221"/>
      <c r="DL30" s="1221"/>
      <c r="DM30" s="1221"/>
      <c r="DN30" s="1221"/>
      <c r="DO30" s="1221"/>
      <c r="DP30" s="1221"/>
      <c r="DQ30" s="1221"/>
      <c r="DR30" s="1221"/>
      <c r="DS30" s="1221"/>
      <c r="DT30" s="1221"/>
      <c r="DU30" s="1221"/>
      <c r="DV30" s="1221"/>
      <c r="DW30" s="1221"/>
      <c r="DX30" s="1221"/>
      <c r="DY30" s="1221"/>
      <c r="DZ30" s="1221"/>
      <c r="EA30" s="1221"/>
      <c r="EB30" s="1221"/>
      <c r="EC30" s="1221"/>
      <c r="ED30" s="1221"/>
      <c r="EE30" s="1221"/>
      <c r="EF30" s="1221"/>
      <c r="EG30" s="1221"/>
      <c r="EH30" s="1221"/>
      <c r="EI30" s="1221"/>
      <c r="EJ30" s="1221"/>
      <c r="EK30" s="1221"/>
      <c r="EL30" s="1221"/>
      <c r="EM30" s="1221"/>
      <c r="EN30" s="1221"/>
      <c r="EO30" s="1221"/>
      <c r="EP30" s="1221"/>
      <c r="EQ30" s="1221"/>
      <c r="ER30" s="1221"/>
      <c r="ES30" s="1221"/>
      <c r="ET30" s="1221"/>
      <c r="EU30" s="1221"/>
      <c r="EV30" s="1221"/>
      <c r="EW30" s="1221"/>
      <c r="EX30" s="1221"/>
      <c r="EY30" s="1221"/>
      <c r="EZ30" s="1221"/>
      <c r="FA30" s="1221"/>
      <c r="FB30" s="1221"/>
      <c r="FC30" s="1221"/>
      <c r="FD30" s="1221"/>
      <c r="FE30" s="1221"/>
      <c r="FF30" s="1221"/>
      <c r="FG30" s="1221"/>
      <c r="FH30" s="1221"/>
      <c r="FI30" s="1221"/>
      <c r="FJ30" s="1221"/>
      <c r="FK30" s="1221"/>
      <c r="FL30" s="1221"/>
      <c r="FM30" s="1221"/>
      <c r="FN30" s="1221"/>
      <c r="FO30" s="1221"/>
      <c r="FP30" s="1221"/>
      <c r="FQ30" s="1221"/>
      <c r="FR30" s="1221"/>
      <c r="FS30" s="1221"/>
      <c r="FT30" s="1221"/>
      <c r="FU30" s="1221"/>
      <c r="FV30" s="1221"/>
      <c r="FW30" s="1221"/>
      <c r="FX30" s="1221"/>
      <c r="FY30" s="1221"/>
      <c r="FZ30" s="1221"/>
      <c r="GA30" s="1221"/>
      <c r="GB30" s="1221"/>
      <c r="GC30" s="1221"/>
      <c r="GD30" s="1221"/>
      <c r="GE30" s="1221"/>
      <c r="GF30" s="1221"/>
      <c r="GG30" s="1221"/>
      <c r="GH30" s="1221"/>
      <c r="GI30" s="1221"/>
      <c r="GJ30" s="1221"/>
      <c r="GK30" s="1221"/>
      <c r="GL30" s="1221"/>
      <c r="GM30" s="1221"/>
      <c r="GN30" s="1221"/>
      <c r="GO30" s="1221"/>
      <c r="GP30" s="1221"/>
      <c r="GQ30" s="1221"/>
      <c r="GR30" s="1221"/>
      <c r="GS30" s="1221"/>
      <c r="GT30" s="1221"/>
      <c r="GU30" s="1221"/>
      <c r="GV30" s="1221"/>
      <c r="GW30" s="1221"/>
      <c r="GX30" s="1221"/>
      <c r="GY30" s="1221"/>
      <c r="GZ30" s="1221"/>
      <c r="HA30" s="1221"/>
      <c r="HB30" s="1221"/>
      <c r="HC30" s="1221"/>
      <c r="HD30" s="1221"/>
      <c r="HE30" s="1221"/>
      <c r="HF30" s="1221"/>
      <c r="HG30" s="1221"/>
      <c r="HH30" s="1221"/>
      <c r="HI30" s="1221"/>
      <c r="HJ30" s="1221"/>
      <c r="HK30" s="1221"/>
      <c r="HL30" s="1221"/>
      <c r="HM30" s="1221"/>
      <c r="HN30" s="1221"/>
      <c r="HO30" s="1221"/>
      <c r="HP30" s="1221"/>
      <c r="HQ30" s="1221"/>
      <c r="HR30" s="1221"/>
      <c r="HS30" s="1221"/>
      <c r="HT30" s="1221"/>
      <c r="HU30" s="1221"/>
      <c r="HV30" s="1221"/>
      <c r="HW30" s="1221"/>
      <c r="HX30" s="1221"/>
      <c r="HY30" s="1221"/>
      <c r="HZ30" s="1221"/>
      <c r="IA30" s="1221"/>
      <c r="IB30" s="1221"/>
      <c r="IC30" s="1221"/>
      <c r="ID30" s="1221"/>
      <c r="IE30" s="1221"/>
      <c r="IF30" s="1221"/>
      <c r="IG30" s="1221"/>
      <c r="IH30" s="1221"/>
      <c r="II30" s="1221"/>
      <c r="IJ30" s="1221"/>
      <c r="IK30" s="1221"/>
      <c r="IL30" s="1221"/>
      <c r="IM30" s="1221"/>
      <c r="IN30" s="1221"/>
      <c r="IO30" s="1221"/>
      <c r="IP30" s="1221"/>
      <c r="IQ30" s="1221"/>
      <c r="IR30" s="1221"/>
      <c r="IS30" s="1221"/>
      <c r="IT30" s="1221"/>
      <c r="IU30" s="1221"/>
      <c r="IV30" s="1221"/>
      <c r="IW30" s="1221"/>
      <c r="IX30" s="1221"/>
      <c r="IY30" s="1221"/>
      <c r="IZ30" s="1221"/>
      <c r="JA30" s="1221"/>
      <c r="JB30" s="1221"/>
      <c r="JC30" s="1221"/>
      <c r="JD30" s="1221"/>
      <c r="JE30" s="1221"/>
      <c r="JF30" s="1221"/>
      <c r="JG30" s="1221"/>
      <c r="JH30" s="1221"/>
      <c r="JI30" s="1221"/>
      <c r="JJ30" s="1221"/>
      <c r="JK30" s="1221"/>
      <c r="JL30" s="1221"/>
      <c r="JM30" s="1221"/>
      <c r="JN30" s="1221"/>
      <c r="JO30" s="1221"/>
      <c r="JP30" s="1221"/>
      <c r="JQ30" s="1221"/>
      <c r="JR30" s="1221"/>
      <c r="JS30" s="1221"/>
      <c r="JT30" s="1221"/>
      <c r="JU30" s="1221"/>
      <c r="JV30" s="1221"/>
      <c r="JW30" s="1221"/>
      <c r="JX30" s="1221"/>
      <c r="JY30" s="1221"/>
      <c r="JZ30" s="1221"/>
      <c r="KA30" s="1221"/>
      <c r="KB30" s="1221"/>
      <c r="KC30" s="1221"/>
      <c r="KD30" s="1221"/>
      <c r="KE30" s="1221"/>
      <c r="KF30" s="1221"/>
      <c r="KG30" s="1221"/>
      <c r="KH30" s="1221"/>
      <c r="KI30" s="1221"/>
      <c r="KJ30" s="1221"/>
      <c r="KK30" s="1221"/>
      <c r="KL30" s="1221"/>
      <c r="KM30" s="1221"/>
      <c r="KN30" s="1221"/>
      <c r="KO30" s="1221"/>
      <c r="KP30" s="1221"/>
      <c r="KQ30" s="1221"/>
      <c r="KR30" s="1221"/>
      <c r="KS30" s="1221"/>
      <c r="KT30" s="1221"/>
      <c r="KU30" s="1221"/>
      <c r="KV30" s="1221"/>
      <c r="KW30" s="1221"/>
      <c r="KX30" s="1221"/>
      <c r="KY30" s="1221"/>
      <c r="KZ30" s="1221"/>
      <c r="LA30" s="1221"/>
      <c r="LB30" s="1221"/>
      <c r="LC30" s="1221"/>
      <c r="LD30" s="1221"/>
      <c r="LE30" s="1221"/>
      <c r="LF30" s="1221"/>
      <c r="LG30" s="1221"/>
      <c r="LH30" s="1221"/>
      <c r="LI30" s="1221"/>
      <c r="LJ30" s="1221"/>
      <c r="LK30" s="1221"/>
      <c r="LL30" s="1221"/>
      <c r="LM30" s="1221"/>
      <c r="LN30" s="1221"/>
      <c r="LO30" s="1221"/>
      <c r="LP30" s="1221"/>
      <c r="LQ30" s="1221"/>
      <c r="LR30" s="1221"/>
      <c r="LS30" s="1221"/>
      <c r="LT30" s="1221"/>
      <c r="LU30" s="1221"/>
      <c r="LV30" s="1221"/>
      <c r="LW30" s="1221"/>
      <c r="LX30" s="1221"/>
      <c r="LY30" s="1221"/>
      <c r="LZ30" s="1221"/>
      <c r="MA30" s="1221"/>
      <c r="MB30" s="1221"/>
      <c r="MC30" s="1221"/>
      <c r="MD30" s="1221"/>
      <c r="ME30" s="1221"/>
      <c r="MF30" s="1221"/>
      <c r="MG30" s="1221"/>
      <c r="MH30" s="1221"/>
      <c r="MI30" s="1221"/>
      <c r="MJ30" s="1221"/>
      <c r="MK30" s="1221"/>
      <c r="ML30" s="1221"/>
      <c r="MM30" s="1221"/>
      <c r="MN30" s="1221"/>
      <c r="MO30" s="1221"/>
      <c r="MP30" s="1221"/>
      <c r="MQ30" s="1221"/>
      <c r="MR30" s="1221"/>
      <c r="MS30" s="1221"/>
      <c r="MT30" s="1221"/>
      <c r="MU30" s="1221"/>
      <c r="MV30" s="1221"/>
      <c r="MW30" s="1221"/>
      <c r="MX30" s="1221"/>
      <c r="MY30" s="1221"/>
      <c r="MZ30" s="1221"/>
      <c r="NA30" s="1221"/>
      <c r="NB30" s="1221"/>
      <c r="NC30" s="1221"/>
      <c r="ND30" s="1221"/>
      <c r="NE30" s="1221"/>
      <c r="NF30" s="1221"/>
      <c r="NG30" s="1221"/>
      <c r="NH30" s="1221"/>
      <c r="NI30" s="1221"/>
      <c r="NJ30" s="1221"/>
      <c r="NK30" s="1221"/>
      <c r="NL30" s="1221"/>
      <c r="NM30" s="1221"/>
      <c r="NN30" s="1221"/>
      <c r="NO30" s="1221"/>
      <c r="NP30" s="1221"/>
      <c r="NQ30" s="1221"/>
      <c r="NR30" s="1221"/>
      <c r="NS30" s="1221"/>
      <c r="NT30" s="1221"/>
      <c r="NU30" s="1221"/>
      <c r="NV30" s="1221"/>
      <c r="NW30" s="1221"/>
      <c r="NX30" s="1221"/>
      <c r="NY30" s="1221"/>
      <c r="NZ30" s="1221"/>
      <c r="OA30" s="1221"/>
      <c r="OB30" s="1221"/>
      <c r="OC30" s="1221"/>
      <c r="OD30" s="1221"/>
      <c r="OE30" s="1221"/>
      <c r="OF30" s="1221"/>
      <c r="OG30" s="1221"/>
      <c r="OH30" s="1221"/>
      <c r="OI30" s="1221"/>
      <c r="OJ30" s="1221"/>
      <c r="OK30" s="1221"/>
      <c r="OL30" s="1221"/>
      <c r="OM30" s="1221"/>
      <c r="ON30" s="1221"/>
      <c r="OO30" s="1221"/>
      <c r="OP30" s="1221"/>
      <c r="OQ30" s="1221"/>
      <c r="OR30" s="1221"/>
      <c r="OS30" s="1221"/>
      <c r="OT30" s="1221"/>
      <c r="OU30" s="1221"/>
      <c r="OV30" s="1221"/>
      <c r="OW30" s="1221"/>
      <c r="OX30" s="1221"/>
      <c r="OY30" s="1221"/>
      <c r="OZ30" s="1221"/>
      <c r="PA30" s="1221"/>
      <c r="PB30" s="1221"/>
      <c r="PC30" s="1221"/>
      <c r="PD30" s="1221"/>
      <c r="PE30" s="1221"/>
      <c r="PF30" s="1221"/>
      <c r="PG30" s="1221"/>
      <c r="PH30" s="1221"/>
      <c r="PI30" s="1221"/>
      <c r="PJ30" s="1221"/>
      <c r="PK30" s="1221"/>
      <c r="PL30" s="1221"/>
      <c r="PM30" s="1221"/>
      <c r="PN30" s="1221"/>
      <c r="PO30" s="1221"/>
      <c r="PP30" s="1221"/>
      <c r="PQ30" s="1221"/>
      <c r="PR30" s="1221"/>
      <c r="PS30" s="1221"/>
      <c r="PT30" s="1221"/>
      <c r="PU30" s="1221"/>
      <c r="PV30" s="1221"/>
      <c r="PW30" s="1221"/>
      <c r="PX30" s="1221"/>
      <c r="PY30" s="1221"/>
      <c r="PZ30" s="1221"/>
      <c r="QA30" s="1221"/>
      <c r="QB30" s="1221"/>
      <c r="QC30" s="1221"/>
      <c r="QD30" s="1221"/>
      <c r="QE30" s="1221"/>
      <c r="QF30" s="1221"/>
      <c r="QG30" s="1221"/>
      <c r="QH30" s="1221"/>
      <c r="QI30" s="1221"/>
      <c r="QJ30" s="1221"/>
      <c r="QK30" s="1221"/>
      <c r="QL30" s="1221"/>
      <c r="QM30" s="1221"/>
      <c r="QN30" s="1221"/>
      <c r="QO30" s="1221"/>
      <c r="QP30" s="1221"/>
      <c r="QQ30" s="1221"/>
      <c r="QR30" s="1221"/>
      <c r="QS30" s="1221"/>
      <c r="QT30" s="1221"/>
      <c r="QU30" s="1221"/>
      <c r="QV30" s="1221"/>
      <c r="QW30" s="1221"/>
      <c r="QX30" s="1221"/>
      <c r="QY30" s="1221"/>
      <c r="QZ30" s="1221"/>
      <c r="RA30" s="1221"/>
      <c r="RB30" s="1221"/>
      <c r="RC30" s="1221"/>
      <c r="RD30" s="1221"/>
      <c r="RE30" s="1221"/>
      <c r="RF30" s="1221"/>
      <c r="RG30" s="1221"/>
      <c r="RH30" s="1221"/>
      <c r="RI30" s="1221"/>
      <c r="RJ30" s="1221"/>
      <c r="RK30" s="1221"/>
      <c r="RL30" s="1221"/>
      <c r="RM30" s="1221"/>
      <c r="RN30" s="1221"/>
      <c r="RO30" s="1221"/>
      <c r="RP30" s="1221"/>
      <c r="RQ30" s="1221"/>
      <c r="RR30" s="1221"/>
      <c r="RS30" s="1221"/>
      <c r="RT30" s="1221"/>
      <c r="RU30" s="1221"/>
      <c r="RV30" s="1221"/>
      <c r="RW30" s="1221"/>
      <c r="RX30" s="1221"/>
      <c r="RY30" s="1221"/>
      <c r="RZ30" s="1221"/>
      <c r="SA30" s="1221"/>
      <c r="SB30" s="1221"/>
      <c r="SC30" s="1221"/>
      <c r="SD30" s="1221"/>
      <c r="SE30" s="1221"/>
      <c r="SF30" s="1221"/>
      <c r="SG30" s="1221"/>
      <c r="SH30" s="1221"/>
      <c r="SI30" s="1221"/>
      <c r="SJ30" s="1221"/>
      <c r="SK30" s="1221"/>
      <c r="SL30" s="1221"/>
      <c r="SM30" s="1221"/>
      <c r="SN30" s="1221"/>
      <c r="SO30" s="1221"/>
      <c r="SP30" s="1221"/>
      <c r="SQ30" s="1221"/>
      <c r="SR30" s="1221"/>
      <c r="SS30" s="1221"/>
      <c r="ST30" s="1221"/>
      <c r="SU30" s="1221"/>
      <c r="SV30" s="1221"/>
      <c r="SW30" s="1221"/>
      <c r="SX30" s="1221"/>
      <c r="SY30" s="1221"/>
      <c r="SZ30" s="1221"/>
      <c r="TA30" s="1221"/>
      <c r="TB30" s="1221"/>
      <c r="TC30" s="1221"/>
      <c r="TD30" s="1221"/>
      <c r="TE30" s="1221"/>
      <c r="TF30" s="1221"/>
      <c r="TG30" s="1221"/>
      <c r="TH30" s="1221"/>
      <c r="TI30" s="1221"/>
      <c r="TJ30" s="1221"/>
      <c r="TK30" s="1221"/>
      <c r="TL30" s="1221"/>
      <c r="TM30" s="1221"/>
      <c r="TN30" s="1221"/>
      <c r="TO30" s="1221"/>
      <c r="TP30" s="1221"/>
      <c r="TQ30" s="1221"/>
      <c r="TR30" s="1221"/>
      <c r="TS30" s="1221"/>
      <c r="TT30" s="1221"/>
      <c r="TU30" s="1221"/>
      <c r="TV30" s="1221"/>
      <c r="TW30" s="1221"/>
      <c r="TX30" s="1221"/>
      <c r="TY30" s="1221"/>
      <c r="TZ30" s="1221"/>
      <c r="UA30" s="1221"/>
      <c r="UB30" s="1221"/>
      <c r="UC30" s="1221"/>
      <c r="UD30" s="1221"/>
      <c r="UE30" s="1221"/>
      <c r="UF30" s="1221"/>
      <c r="UG30" s="1221"/>
      <c r="UH30" s="1221"/>
      <c r="UI30" s="1221"/>
      <c r="UJ30" s="1221"/>
      <c r="UK30" s="1221"/>
      <c r="UL30" s="1221"/>
      <c r="UM30" s="1221"/>
      <c r="UN30" s="1221"/>
      <c r="UO30" s="1221"/>
      <c r="UP30" s="1221"/>
      <c r="UQ30" s="1221"/>
      <c r="UR30" s="1221"/>
      <c r="US30" s="1221"/>
      <c r="UT30" s="1221"/>
      <c r="UU30" s="1221"/>
      <c r="UV30" s="1221"/>
      <c r="UW30" s="1221"/>
      <c r="UX30" s="1221"/>
      <c r="UY30" s="1221"/>
      <c r="UZ30" s="1221"/>
      <c r="VA30" s="1221"/>
      <c r="VB30" s="1221"/>
      <c r="VC30" s="1221"/>
      <c r="VD30" s="1221"/>
      <c r="VE30" s="1221"/>
      <c r="VF30" s="1221"/>
      <c r="VG30" s="1221"/>
      <c r="VH30" s="1221"/>
      <c r="VI30" s="1221"/>
      <c r="VJ30" s="1221"/>
      <c r="VK30" s="1221"/>
      <c r="VL30" s="1221"/>
      <c r="VM30" s="1221"/>
      <c r="VN30" s="1221"/>
      <c r="VO30" s="1221"/>
      <c r="VP30" s="1221"/>
      <c r="VQ30" s="1221"/>
      <c r="VR30" s="1221"/>
      <c r="VS30" s="1221"/>
      <c r="VT30" s="1221"/>
      <c r="VU30" s="1221"/>
      <c r="VV30" s="1221"/>
      <c r="VW30" s="1221"/>
      <c r="VX30" s="1221"/>
      <c r="VY30" s="1221"/>
      <c r="VZ30" s="1221"/>
      <c r="WA30" s="1221"/>
      <c r="WB30" s="1221"/>
      <c r="WC30" s="1221"/>
      <c r="WD30" s="1221"/>
      <c r="WE30" s="1221"/>
      <c r="WF30" s="1221"/>
      <c r="WG30" s="1221"/>
      <c r="WH30" s="1221"/>
      <c r="WI30" s="1221"/>
      <c r="WJ30" s="1221"/>
      <c r="WK30" s="1221"/>
      <c r="WL30" s="1221"/>
      <c r="WM30" s="1221"/>
      <c r="WN30" s="1221"/>
      <c r="WO30" s="1221"/>
      <c r="WP30" s="1221"/>
      <c r="WQ30" s="1221"/>
      <c r="WR30" s="1221"/>
      <c r="WS30" s="1221"/>
      <c r="WT30" s="1221"/>
      <c r="WU30" s="1221"/>
      <c r="WV30" s="1221"/>
      <c r="WW30" s="1221"/>
      <c r="WX30" s="1221"/>
      <c r="WY30" s="1221"/>
      <c r="WZ30" s="1221"/>
      <c r="XA30" s="1221"/>
      <c r="XB30" s="1221"/>
      <c r="XC30" s="1221"/>
      <c r="XD30" s="1221"/>
      <c r="XE30" s="1221"/>
      <c r="XF30" s="1221"/>
      <c r="XG30" s="1221"/>
      <c r="XH30" s="1221"/>
      <c r="XI30" s="1221"/>
      <c r="XJ30" s="1221"/>
      <c r="XK30" s="1221"/>
      <c r="XL30" s="1221"/>
      <c r="XM30" s="1221"/>
      <c r="XN30" s="1221"/>
      <c r="XO30" s="1221"/>
      <c r="XP30" s="1221"/>
      <c r="XQ30" s="1221"/>
      <c r="XR30" s="1221"/>
      <c r="XS30" s="1221"/>
      <c r="XT30" s="1221"/>
      <c r="XU30" s="1221"/>
      <c r="XV30" s="1221"/>
      <c r="XW30" s="1221"/>
      <c r="XX30" s="1221"/>
      <c r="XY30" s="1221"/>
      <c r="XZ30" s="1221"/>
      <c r="YA30" s="1221"/>
      <c r="YB30" s="1221"/>
      <c r="YC30" s="1221"/>
      <c r="YD30" s="1221"/>
      <c r="YE30" s="1221"/>
      <c r="YF30" s="1221"/>
      <c r="YG30" s="1221"/>
      <c r="YH30" s="1221"/>
      <c r="YI30" s="1221"/>
      <c r="YJ30" s="1221"/>
      <c r="YK30" s="1221"/>
      <c r="YL30" s="1221"/>
      <c r="YM30" s="1221"/>
      <c r="YN30" s="1221"/>
      <c r="YO30" s="1221"/>
      <c r="YP30" s="1221"/>
      <c r="YQ30" s="1221"/>
      <c r="YR30" s="1221"/>
      <c r="YS30" s="1221"/>
      <c r="YT30" s="1221"/>
      <c r="YU30" s="1221"/>
      <c r="YV30" s="1221"/>
      <c r="YW30" s="1221"/>
      <c r="YX30" s="1221"/>
      <c r="YY30" s="1221"/>
      <c r="YZ30" s="1221"/>
      <c r="ZA30" s="1221"/>
      <c r="ZB30" s="1221"/>
      <c r="ZC30" s="1221"/>
      <c r="ZD30" s="1221"/>
      <c r="ZE30" s="1221"/>
      <c r="ZF30" s="1221"/>
      <c r="ZG30" s="1221"/>
      <c r="ZH30" s="1221"/>
      <c r="ZI30" s="1221"/>
      <c r="ZJ30" s="1221"/>
      <c r="ZK30" s="1221"/>
      <c r="ZL30" s="1221"/>
      <c r="ZM30" s="1221"/>
      <c r="ZN30" s="1221"/>
      <c r="ZO30" s="1221"/>
      <c r="ZP30" s="1221"/>
      <c r="ZQ30" s="1221"/>
      <c r="ZR30" s="1221"/>
      <c r="ZS30" s="1221"/>
      <c r="ZT30" s="1221"/>
      <c r="ZU30" s="1221"/>
      <c r="ZV30" s="1221"/>
      <c r="ZW30" s="1221"/>
      <c r="ZX30" s="1221"/>
      <c r="ZY30" s="1221"/>
      <c r="ZZ30" s="1221"/>
      <c r="AAA30" s="1221"/>
      <c r="AAB30" s="1221"/>
      <c r="AAC30" s="1221"/>
      <c r="AAD30" s="1221"/>
      <c r="AAE30" s="1221"/>
      <c r="AAF30" s="1221"/>
      <c r="AAG30" s="1221"/>
      <c r="AAH30" s="1221"/>
      <c r="AAI30" s="1221"/>
      <c r="AAJ30" s="1221"/>
      <c r="AAK30" s="1221"/>
      <c r="AAL30" s="1221"/>
      <c r="AAM30" s="1221"/>
      <c r="AAN30" s="1221"/>
      <c r="AAO30" s="1221"/>
      <c r="AAP30" s="1221"/>
      <c r="AAQ30" s="1221"/>
      <c r="AAR30" s="1221"/>
      <c r="AAS30" s="1221"/>
      <c r="AAT30" s="1221"/>
      <c r="AAU30" s="1221"/>
      <c r="AAV30" s="1221"/>
      <c r="AAW30" s="1221"/>
      <c r="AAX30" s="1221"/>
      <c r="AAY30" s="1221"/>
      <c r="AAZ30" s="1221"/>
      <c r="ABA30" s="1221"/>
      <c r="ABB30" s="1221"/>
      <c r="ABC30" s="1221"/>
      <c r="ABD30" s="1221"/>
      <c r="ABE30" s="1221"/>
      <c r="ABF30" s="1221"/>
      <c r="ABG30" s="1221"/>
      <c r="ABH30" s="1221"/>
      <c r="ABI30" s="1221"/>
      <c r="ABJ30" s="1221"/>
      <c r="ABK30" s="1221"/>
      <c r="ABL30" s="1221"/>
      <c r="ABM30" s="1221"/>
      <c r="ABN30" s="1221"/>
      <c r="ABO30" s="1221"/>
      <c r="ABP30" s="1221"/>
      <c r="ABQ30" s="1221"/>
      <c r="ABR30" s="1221"/>
      <c r="ABS30" s="1221"/>
      <c r="ABT30" s="1221"/>
      <c r="ABU30" s="1221"/>
      <c r="ABV30" s="1221"/>
      <c r="ABW30" s="1221"/>
      <c r="ABX30" s="1221"/>
      <c r="ABY30" s="1221"/>
      <c r="ABZ30" s="1221"/>
      <c r="ACA30" s="1221"/>
      <c r="ACB30" s="1221"/>
      <c r="ACC30" s="1221"/>
      <c r="ACD30" s="1221"/>
      <c r="ACE30" s="1221"/>
      <c r="ACF30" s="1221"/>
      <c r="ACG30" s="1221"/>
      <c r="ACH30" s="1221"/>
      <c r="ACI30" s="1221"/>
      <c r="ACJ30" s="1221"/>
      <c r="ACK30" s="1221"/>
      <c r="ACL30" s="1221"/>
      <c r="ACM30" s="1221"/>
      <c r="ACN30" s="1221"/>
      <c r="ACO30" s="1221"/>
      <c r="ACP30" s="1221"/>
      <c r="ACQ30" s="1221"/>
      <c r="ACR30" s="1221"/>
      <c r="ACS30" s="1221"/>
      <c r="ACT30" s="1221"/>
      <c r="ACU30" s="1221"/>
      <c r="ACV30" s="1221"/>
      <c r="ACW30" s="1221"/>
      <c r="ACX30" s="1221"/>
      <c r="ACY30" s="1221"/>
      <c r="ACZ30" s="1221"/>
      <c r="ADA30" s="1221"/>
      <c r="ADB30" s="1221"/>
      <c r="ADC30" s="1221"/>
      <c r="ADD30" s="1221"/>
      <c r="ADE30" s="1221"/>
      <c r="ADF30" s="1221"/>
      <c r="ADG30" s="1221"/>
      <c r="ADH30" s="1221"/>
      <c r="ADI30" s="1221"/>
      <c r="ADJ30" s="1221"/>
      <c r="ADK30" s="1221"/>
      <c r="ADL30" s="1221"/>
      <c r="ADM30" s="1221"/>
      <c r="ADN30" s="1221"/>
      <c r="ADO30" s="1221"/>
      <c r="ADP30" s="1221"/>
      <c r="ADQ30" s="1221"/>
      <c r="ADR30" s="1221"/>
      <c r="ADS30" s="1221"/>
      <c r="ADT30" s="1221"/>
      <c r="ADU30" s="1221"/>
      <c r="ADV30" s="1221"/>
      <c r="ADW30" s="1221"/>
      <c r="ADX30" s="1221"/>
      <c r="ADY30" s="1221"/>
      <c r="ADZ30" s="1221"/>
      <c r="AEA30" s="1221"/>
      <c r="AEB30" s="1221"/>
      <c r="AEC30" s="1221"/>
      <c r="AED30" s="1221"/>
      <c r="AEE30" s="1221"/>
      <c r="AEF30" s="1221"/>
      <c r="AEG30" s="1221"/>
      <c r="AEH30" s="1221"/>
      <c r="AEI30" s="1221"/>
      <c r="AEJ30" s="1221"/>
      <c r="AEK30" s="1221"/>
      <c r="AEL30" s="1221"/>
      <c r="AEM30" s="1221"/>
      <c r="AEN30" s="1221"/>
      <c r="AEO30" s="1221"/>
      <c r="AEP30" s="1221"/>
      <c r="AEQ30" s="1221"/>
      <c r="AER30" s="1221"/>
      <c r="AES30" s="1221"/>
      <c r="AET30" s="1221"/>
      <c r="AEU30" s="1221"/>
      <c r="AEV30" s="1221"/>
      <c r="AEW30" s="1221"/>
      <c r="AEX30" s="1221"/>
      <c r="AEY30" s="1221"/>
      <c r="AEZ30" s="1221"/>
      <c r="AFA30" s="1221"/>
      <c r="AFB30" s="1221"/>
      <c r="AFC30" s="1221"/>
      <c r="AFD30" s="1221"/>
      <c r="AFE30" s="1221"/>
      <c r="AFF30" s="1221"/>
      <c r="AFG30" s="1221"/>
      <c r="AFH30" s="1221"/>
      <c r="AFI30" s="1221"/>
      <c r="AFJ30" s="1221"/>
      <c r="AFK30" s="1221"/>
      <c r="AFL30" s="1221"/>
      <c r="AFM30" s="1221"/>
      <c r="AFN30" s="1221"/>
      <c r="AFO30" s="1221"/>
      <c r="AFP30" s="1221"/>
      <c r="AFQ30" s="1221"/>
      <c r="AFR30" s="1221"/>
      <c r="AFS30" s="1221"/>
      <c r="AFT30" s="1221"/>
      <c r="AFU30" s="1221"/>
      <c r="AFV30" s="1221"/>
      <c r="AFW30" s="1221"/>
      <c r="AFX30" s="1221"/>
      <c r="AFY30" s="1221"/>
      <c r="AFZ30" s="1221"/>
      <c r="AGA30" s="1221"/>
      <c r="AGB30" s="1221"/>
      <c r="AGC30" s="1221"/>
      <c r="AGD30" s="1221"/>
      <c r="AGE30" s="1221"/>
      <c r="AGF30" s="1221"/>
      <c r="AGG30" s="1221"/>
      <c r="AGH30" s="1221"/>
      <c r="AGI30" s="1221"/>
      <c r="AGJ30" s="1221"/>
      <c r="AGK30" s="1221"/>
      <c r="AGL30" s="1221"/>
      <c r="AGM30" s="1221"/>
      <c r="AGN30" s="1221"/>
      <c r="AGO30" s="1221"/>
      <c r="AGP30" s="1221"/>
      <c r="AGQ30" s="1221"/>
      <c r="AGR30" s="1221"/>
      <c r="AGS30" s="1221"/>
      <c r="AGT30" s="1221"/>
      <c r="AGU30" s="1221"/>
      <c r="AGV30" s="1221"/>
      <c r="AGW30" s="1221"/>
      <c r="AGX30" s="1221"/>
      <c r="AGY30" s="1221"/>
      <c r="AGZ30" s="1221"/>
      <c r="AHA30" s="1221"/>
      <c r="AHB30" s="1221"/>
      <c r="AHC30" s="1221"/>
      <c r="AHD30" s="1221"/>
      <c r="AHE30" s="1221"/>
      <c r="AHF30" s="1221"/>
      <c r="AHG30" s="1221"/>
      <c r="AHH30" s="1221"/>
      <c r="AHI30" s="1221"/>
      <c r="AHJ30" s="1221"/>
      <c r="AHK30" s="1221"/>
      <c r="AHL30" s="1221"/>
      <c r="AHM30" s="1221"/>
      <c r="AHN30" s="1221"/>
      <c r="AHO30" s="1221"/>
      <c r="AHP30" s="1221"/>
      <c r="AHQ30" s="1221"/>
      <c r="AHR30" s="1221"/>
      <c r="AHS30" s="1221"/>
      <c r="AHT30" s="1221"/>
      <c r="AHU30" s="1221"/>
      <c r="AHV30" s="1221"/>
      <c r="AHW30" s="1221"/>
      <c r="AHX30" s="1221"/>
      <c r="AHY30" s="1221"/>
      <c r="AHZ30" s="1221"/>
      <c r="AIA30" s="1221"/>
      <c r="AIB30" s="1221"/>
      <c r="AIC30" s="1221"/>
      <c r="AID30" s="1221"/>
      <c r="AIE30" s="1221"/>
      <c r="AIF30" s="1221"/>
      <c r="AIG30" s="1221"/>
      <c r="AIH30" s="1221"/>
      <c r="AII30" s="1221"/>
      <c r="AIJ30" s="1221"/>
      <c r="AIK30" s="1221"/>
      <c r="AIL30" s="1221"/>
      <c r="AIM30" s="1221"/>
      <c r="AIN30" s="1221"/>
      <c r="AIO30" s="1221"/>
      <c r="AIP30" s="1221"/>
      <c r="AIQ30" s="1221"/>
      <c r="AIR30" s="1221"/>
      <c r="AIS30" s="1221"/>
      <c r="AIT30" s="1221"/>
      <c r="AIU30" s="1221"/>
      <c r="AIV30" s="1221"/>
      <c r="AIW30" s="1221"/>
      <c r="AIX30" s="1221"/>
      <c r="AIY30" s="1221"/>
      <c r="AIZ30" s="1221"/>
      <c r="AJA30" s="1221"/>
      <c r="AJB30" s="1221"/>
      <c r="AJC30" s="1221"/>
      <c r="AJD30" s="1221"/>
      <c r="AJE30" s="1221"/>
      <c r="AJF30" s="1221"/>
      <c r="AJG30" s="1221"/>
      <c r="AJH30" s="1221"/>
      <c r="AJI30" s="1221"/>
      <c r="AJJ30" s="1221"/>
      <c r="AJK30" s="1221"/>
      <c r="AJL30" s="1221"/>
      <c r="AJM30" s="1221"/>
      <c r="AJN30" s="1221"/>
      <c r="AJO30" s="1221"/>
      <c r="AJP30" s="1221"/>
      <c r="AJQ30" s="1221"/>
      <c r="AJR30" s="1221"/>
      <c r="AJS30" s="1221"/>
      <c r="AJT30" s="1221"/>
      <c r="AJU30" s="1221"/>
      <c r="AJV30" s="1221"/>
      <c r="AJW30" s="1221"/>
      <c r="AJX30" s="1221"/>
      <c r="AJY30" s="1221"/>
      <c r="AJZ30" s="1221"/>
      <c r="AKA30" s="1221"/>
      <c r="AKB30" s="1221"/>
      <c r="AKC30" s="1221"/>
      <c r="AKD30" s="1221"/>
      <c r="AKE30" s="1221"/>
      <c r="AKF30" s="1221"/>
      <c r="AKG30" s="1221"/>
      <c r="AKH30" s="1221"/>
      <c r="AKI30" s="1221"/>
      <c r="AKJ30" s="1221"/>
      <c r="AKK30" s="1221"/>
      <c r="AKL30" s="1221"/>
      <c r="AKM30" s="1221"/>
      <c r="AKN30" s="1221"/>
      <c r="AKO30" s="1221"/>
      <c r="AKP30" s="1221"/>
      <c r="AKQ30" s="1221"/>
      <c r="AKR30" s="1221"/>
      <c r="AKS30" s="1221"/>
      <c r="AKT30" s="1221"/>
      <c r="AKU30" s="1221"/>
      <c r="AKV30" s="1221"/>
      <c r="AKW30" s="1221"/>
      <c r="AKX30" s="1221"/>
      <c r="AKY30" s="1221"/>
      <c r="AKZ30" s="1221"/>
      <c r="ALA30" s="1221"/>
      <c r="ALB30" s="1221"/>
      <c r="ALC30" s="1221"/>
      <c r="ALD30" s="1221"/>
      <c r="ALE30" s="1221"/>
      <c r="ALF30" s="1221"/>
      <c r="ALG30" s="1221"/>
      <c r="ALH30" s="1221"/>
      <c r="ALI30" s="1221"/>
      <c r="ALJ30" s="1221"/>
      <c r="ALK30" s="1221"/>
      <c r="ALL30" s="1221"/>
      <c r="ALM30" s="1221"/>
      <c r="ALN30" s="1221"/>
      <c r="ALO30" s="1221"/>
      <c r="ALP30" s="1221"/>
      <c r="ALQ30" s="1221"/>
      <c r="ALR30" s="1221"/>
      <c r="ALS30" s="1221"/>
      <c r="ALT30" s="1221"/>
      <c r="ALU30" s="1221"/>
      <c r="ALV30" s="1221"/>
      <c r="ALW30" s="1221"/>
      <c r="ALX30" s="1221"/>
      <c r="ALY30" s="1221"/>
      <c r="ALZ30" s="1221"/>
      <c r="AMA30" s="1221"/>
      <c r="AMB30" s="1221"/>
      <c r="AMC30" s="1221"/>
      <c r="AMD30" s="1221"/>
      <c r="AME30" s="1221"/>
      <c r="AMF30" s="1221"/>
      <c r="AMG30" s="1221"/>
      <c r="AMH30" s="1221"/>
      <c r="AMI30" s="1221"/>
      <c r="AMJ30" s="1221"/>
      <c r="AMK30" s="1221"/>
      <c r="AML30" s="1221"/>
      <c r="AMM30" s="1221"/>
      <c r="AMN30" s="1221"/>
      <c r="AMO30" s="1221"/>
      <c r="AMP30" s="1221"/>
      <c r="AMQ30" s="1221"/>
      <c r="AMR30" s="1221"/>
      <c r="AMS30" s="1221"/>
      <c r="AMT30" s="1221"/>
      <c r="AMU30" s="1221"/>
      <c r="AMV30" s="1221"/>
      <c r="AMW30" s="1221"/>
      <c r="AMX30" s="1221"/>
      <c r="AMY30" s="1221"/>
      <c r="AMZ30" s="1221"/>
      <c r="ANA30" s="1221"/>
      <c r="ANB30" s="1221"/>
      <c r="ANC30" s="1221"/>
      <c r="AND30" s="1221"/>
      <c r="ANE30" s="1221"/>
      <c r="ANF30" s="1221"/>
      <c r="ANG30" s="1221"/>
      <c r="ANH30" s="1221"/>
      <c r="ANI30" s="1221"/>
      <c r="ANJ30" s="1221"/>
      <c r="ANK30" s="1221"/>
      <c r="ANL30" s="1221"/>
      <c r="ANM30" s="1221"/>
      <c r="ANN30" s="1221"/>
      <c r="ANO30" s="1221"/>
      <c r="ANP30" s="1221"/>
      <c r="ANQ30" s="1221"/>
      <c r="ANR30" s="1221"/>
      <c r="ANS30" s="1221"/>
      <c r="ANT30" s="1221"/>
      <c r="ANU30" s="1221"/>
      <c r="ANV30" s="1221"/>
      <c r="ANW30" s="1221"/>
      <c r="ANX30" s="1221"/>
      <c r="ANY30" s="1221"/>
      <c r="ANZ30" s="1221"/>
      <c r="AOA30" s="1221"/>
      <c r="AOB30" s="1221"/>
      <c r="AOC30" s="1221"/>
      <c r="AOD30" s="1221"/>
      <c r="AOE30" s="1221"/>
      <c r="AOF30" s="1221"/>
      <c r="AOG30" s="1221"/>
      <c r="AOH30" s="1221"/>
      <c r="AOI30" s="1221"/>
      <c r="AOJ30" s="1221"/>
      <c r="AOK30" s="1221"/>
      <c r="AOL30" s="1221"/>
      <c r="AOM30" s="1221"/>
      <c r="AON30" s="1221"/>
      <c r="AOO30" s="1221"/>
      <c r="AOP30" s="1221"/>
      <c r="AOQ30" s="1221"/>
      <c r="AOR30" s="1221"/>
      <c r="AOS30" s="1221"/>
      <c r="AOT30" s="1221"/>
      <c r="AOU30" s="1221"/>
      <c r="AOV30" s="1221"/>
      <c r="AOW30" s="1221"/>
      <c r="AOX30" s="1221"/>
      <c r="AOY30" s="1221"/>
      <c r="AOZ30" s="1221"/>
      <c r="APA30" s="1221"/>
      <c r="APB30" s="1221"/>
      <c r="APC30" s="1221"/>
      <c r="APD30" s="1221"/>
      <c r="APE30" s="1221"/>
      <c r="APF30" s="1221"/>
      <c r="APG30" s="1221"/>
      <c r="APH30" s="1221"/>
      <c r="API30" s="1221"/>
      <c r="APJ30" s="1221"/>
      <c r="APK30" s="1221"/>
      <c r="APL30" s="1221"/>
      <c r="APM30" s="1221"/>
      <c r="APN30" s="1221"/>
      <c r="APO30" s="1221"/>
      <c r="APP30" s="1221"/>
      <c r="APQ30" s="1221"/>
      <c r="APR30" s="1221"/>
      <c r="APS30" s="1221"/>
      <c r="APT30" s="1221"/>
      <c r="APU30" s="1221"/>
      <c r="APV30" s="1221"/>
      <c r="APW30" s="1221"/>
      <c r="APX30" s="1221"/>
      <c r="APY30" s="1221"/>
      <c r="APZ30" s="1221"/>
      <c r="AQA30" s="1221"/>
      <c r="AQB30" s="1221"/>
      <c r="AQC30" s="1221"/>
      <c r="AQD30" s="1221"/>
      <c r="AQE30" s="1221"/>
      <c r="AQF30" s="1221"/>
      <c r="AQG30" s="1221"/>
      <c r="AQH30" s="1221"/>
      <c r="AQI30" s="1221"/>
      <c r="AQJ30" s="1221"/>
      <c r="AQK30" s="1221"/>
      <c r="AQL30" s="1221"/>
      <c r="AQM30" s="1221"/>
      <c r="AQN30" s="1221"/>
      <c r="AQO30" s="1221"/>
      <c r="AQP30" s="1221"/>
      <c r="AQQ30" s="1221"/>
      <c r="AQR30" s="1221"/>
      <c r="AQS30" s="1221"/>
      <c r="AQT30" s="1221"/>
      <c r="AQU30" s="1221"/>
      <c r="AQV30" s="1221"/>
      <c r="AQW30" s="1221"/>
      <c r="AQX30" s="1221"/>
      <c r="AQY30" s="1221"/>
      <c r="AQZ30" s="1221"/>
      <c r="ARA30" s="1221"/>
      <c r="ARB30" s="1221"/>
      <c r="ARC30" s="1221"/>
      <c r="ARD30" s="1221"/>
      <c r="ARE30" s="1221"/>
      <c r="ARF30" s="1221"/>
      <c r="ARG30" s="1221"/>
      <c r="ARH30" s="1221"/>
      <c r="ARI30" s="1221"/>
      <c r="ARJ30" s="1221"/>
      <c r="ARK30" s="1221"/>
      <c r="ARL30" s="1221"/>
      <c r="ARM30" s="1221"/>
      <c r="ARN30" s="1221"/>
      <c r="ARO30" s="1221"/>
      <c r="ARP30" s="1221"/>
      <c r="ARQ30" s="1221"/>
      <c r="ARR30" s="1221"/>
      <c r="ARS30" s="1221"/>
      <c r="ART30" s="1221"/>
      <c r="ARU30" s="1221"/>
      <c r="ARV30" s="1221"/>
      <c r="ARW30" s="1221"/>
      <c r="ARX30" s="1221"/>
      <c r="ARY30" s="1221"/>
      <c r="ARZ30" s="1221"/>
      <c r="ASA30" s="1221"/>
      <c r="ASB30" s="1221"/>
      <c r="ASC30" s="1221"/>
      <c r="ASD30" s="1221"/>
      <c r="ASE30" s="1221"/>
      <c r="ASF30" s="1221"/>
      <c r="ASG30" s="1221"/>
      <c r="ASH30" s="1221"/>
      <c r="ASI30" s="1221"/>
      <c r="ASJ30" s="1221"/>
      <c r="ASK30" s="1221"/>
      <c r="ASL30" s="1221"/>
      <c r="ASM30" s="1221"/>
      <c r="ASN30" s="1221"/>
      <c r="ASO30" s="1221"/>
      <c r="ASP30" s="1221"/>
      <c r="ASQ30" s="1221"/>
      <c r="ASR30" s="1221"/>
      <c r="ASS30" s="1221"/>
      <c r="AST30" s="1221"/>
      <c r="ASU30" s="1221"/>
      <c r="ASV30" s="1221"/>
      <c r="ASW30" s="1221"/>
      <c r="ASX30" s="1221"/>
      <c r="ASY30" s="1221"/>
      <c r="ASZ30" s="1221"/>
      <c r="ATA30" s="1221"/>
      <c r="ATB30" s="1221"/>
      <c r="ATC30" s="1221"/>
      <c r="ATD30" s="1221"/>
      <c r="ATE30" s="1221"/>
      <c r="ATF30" s="1221"/>
      <c r="ATG30" s="1221"/>
      <c r="ATH30" s="1221"/>
      <c r="ATI30" s="1221"/>
      <c r="ATJ30" s="1221"/>
      <c r="ATK30" s="1221"/>
      <c r="ATL30" s="1221"/>
      <c r="ATM30" s="1221"/>
      <c r="ATN30" s="1221"/>
      <c r="ATO30" s="1221"/>
      <c r="ATP30" s="1221"/>
      <c r="ATQ30" s="1221"/>
      <c r="ATR30" s="1221"/>
      <c r="ATS30" s="1221"/>
      <c r="ATT30" s="1221"/>
      <c r="ATU30" s="1221"/>
      <c r="ATV30" s="1221"/>
      <c r="ATW30" s="1221"/>
      <c r="ATX30" s="1221"/>
      <c r="ATY30" s="1221"/>
      <c r="ATZ30" s="1221"/>
      <c r="AUA30" s="1221"/>
      <c r="AUB30" s="1221"/>
      <c r="AUC30" s="1221"/>
      <c r="AUD30" s="1221"/>
      <c r="AUE30" s="1221"/>
      <c r="AUF30" s="1221"/>
      <c r="AUG30" s="1221"/>
      <c r="AUH30" s="1221"/>
      <c r="AUI30" s="1221"/>
      <c r="AUJ30" s="1221"/>
      <c r="AUK30" s="1221"/>
      <c r="AUL30" s="1221"/>
      <c r="AUM30" s="1221"/>
      <c r="AUN30" s="1221"/>
      <c r="AUO30" s="1221"/>
      <c r="AUP30" s="1221"/>
      <c r="AUQ30" s="1221"/>
      <c r="AUR30" s="1221"/>
      <c r="AUS30" s="1221"/>
      <c r="AUT30" s="1221"/>
      <c r="AUU30" s="1221"/>
      <c r="AUV30" s="1221"/>
      <c r="AUW30" s="1221"/>
      <c r="AUX30" s="1221"/>
      <c r="AUY30" s="1221"/>
      <c r="AUZ30" s="1221"/>
      <c r="AVA30" s="1221"/>
      <c r="AVB30" s="1221"/>
      <c r="AVC30" s="1221"/>
      <c r="AVD30" s="1221"/>
      <c r="AVE30" s="1221"/>
      <c r="AVF30" s="1221"/>
      <c r="AVG30" s="1221"/>
      <c r="AVH30" s="1221"/>
      <c r="AVI30" s="1221"/>
      <c r="AVJ30" s="1221"/>
      <c r="AVK30" s="1221"/>
      <c r="AVL30" s="1221"/>
      <c r="AVM30" s="1221"/>
      <c r="AVN30" s="1221"/>
      <c r="AVO30" s="1221"/>
      <c r="AVP30" s="1221"/>
      <c r="AVQ30" s="1221"/>
      <c r="AVR30" s="1221"/>
      <c r="AVS30" s="1221"/>
      <c r="AVT30" s="1221"/>
      <c r="AVU30" s="1221"/>
      <c r="AVV30" s="1221"/>
      <c r="AVW30" s="1221"/>
      <c r="AVX30" s="1221"/>
      <c r="AVY30" s="1221"/>
      <c r="AVZ30" s="1221"/>
      <c r="AWA30" s="1221"/>
      <c r="AWB30" s="1221"/>
      <c r="AWC30" s="1221"/>
      <c r="AWD30" s="1221"/>
      <c r="AWE30" s="1221"/>
      <c r="AWF30" s="1221"/>
      <c r="AWG30" s="1221"/>
      <c r="AWH30" s="1221"/>
      <c r="AWI30" s="1221"/>
      <c r="AWJ30" s="1221"/>
      <c r="AWK30" s="1221"/>
      <c r="AWL30" s="1221"/>
      <c r="AWM30" s="1221"/>
      <c r="AWN30" s="1221"/>
      <c r="AWO30" s="1221"/>
      <c r="AWP30" s="1221"/>
      <c r="AWQ30" s="1221"/>
      <c r="AWR30" s="1221"/>
      <c r="AWS30" s="1221"/>
      <c r="AWT30" s="1221"/>
      <c r="AWU30" s="1221"/>
      <c r="AWV30" s="1221"/>
      <c r="AWW30" s="1221"/>
      <c r="AWX30" s="1221"/>
      <c r="AWY30" s="1221"/>
      <c r="AWZ30" s="1221"/>
      <c r="AXA30" s="1221"/>
      <c r="AXB30" s="1221"/>
      <c r="AXC30" s="1221"/>
      <c r="AXD30" s="1221"/>
      <c r="AXE30" s="1221"/>
      <c r="AXF30" s="1221"/>
      <c r="AXG30" s="1221"/>
      <c r="AXH30" s="1221"/>
      <c r="AXI30" s="1221"/>
      <c r="AXJ30" s="1221"/>
      <c r="AXK30" s="1221"/>
      <c r="AXL30" s="1221"/>
      <c r="AXM30" s="1221"/>
      <c r="AXN30" s="1221"/>
      <c r="AXO30" s="1221"/>
      <c r="AXP30" s="1221"/>
      <c r="AXQ30" s="1221"/>
      <c r="AXR30" s="1221"/>
      <c r="AXS30" s="1221"/>
      <c r="AXT30" s="1221"/>
      <c r="AXU30" s="1221"/>
      <c r="AXV30" s="1221"/>
      <c r="AXW30" s="1221"/>
      <c r="AXX30" s="1221"/>
      <c r="AXY30" s="1221"/>
      <c r="AXZ30" s="1221"/>
      <c r="AYA30" s="1221"/>
      <c r="AYB30" s="1221"/>
      <c r="AYC30" s="1221"/>
      <c r="AYD30" s="1221"/>
      <c r="AYE30" s="1221"/>
      <c r="AYF30" s="1221"/>
      <c r="AYG30" s="1221"/>
      <c r="AYH30" s="1221"/>
      <c r="AYI30" s="1221"/>
      <c r="AYJ30" s="1221"/>
      <c r="AYK30" s="1221"/>
      <c r="AYL30" s="1221"/>
      <c r="AYM30" s="1221"/>
      <c r="AYN30" s="1221"/>
      <c r="AYO30" s="1221"/>
      <c r="AYP30" s="1221"/>
      <c r="AYQ30" s="1221"/>
      <c r="AYR30" s="1221"/>
      <c r="AYS30" s="1221"/>
      <c r="AYT30" s="1221"/>
      <c r="AYU30" s="1221"/>
      <c r="AYV30" s="1221"/>
      <c r="AYW30" s="1221"/>
      <c r="AYX30" s="1221"/>
      <c r="AYY30" s="1221"/>
      <c r="AYZ30" s="1221"/>
      <c r="AZA30" s="1221"/>
      <c r="AZB30" s="1221"/>
      <c r="AZC30" s="1221"/>
      <c r="AZD30" s="1221"/>
      <c r="AZE30" s="1221"/>
      <c r="AZF30" s="1221"/>
      <c r="AZG30" s="1221"/>
      <c r="AZH30" s="1221"/>
      <c r="AZI30" s="1221"/>
      <c r="AZJ30" s="1221"/>
      <c r="AZK30" s="1221"/>
      <c r="AZL30" s="1221"/>
      <c r="AZM30" s="1221"/>
      <c r="AZN30" s="1221"/>
      <c r="AZO30" s="1221"/>
      <c r="AZP30" s="1221"/>
      <c r="AZQ30" s="1221"/>
      <c r="AZR30" s="1221"/>
      <c r="AZS30" s="1221"/>
      <c r="AZT30" s="1221"/>
      <c r="AZU30" s="1221"/>
      <c r="AZV30" s="1221"/>
      <c r="AZW30" s="1221"/>
      <c r="AZX30" s="1221"/>
      <c r="AZY30" s="1221"/>
      <c r="AZZ30" s="1221"/>
      <c r="BAA30" s="1221"/>
      <c r="BAB30" s="1221"/>
      <c r="BAC30" s="1221"/>
      <c r="BAD30" s="1221"/>
      <c r="BAE30" s="1221"/>
      <c r="BAF30" s="1221"/>
      <c r="BAG30" s="1221"/>
      <c r="BAH30" s="1221"/>
      <c r="BAI30" s="1221"/>
      <c r="BAJ30" s="1221"/>
      <c r="BAK30" s="1221"/>
      <c r="BAL30" s="1221"/>
      <c r="BAM30" s="1221"/>
      <c r="BAN30" s="1221"/>
      <c r="BAO30" s="1221"/>
      <c r="BAP30" s="1221"/>
      <c r="BAQ30" s="1221"/>
      <c r="BAR30" s="1221"/>
      <c r="BAS30" s="1221"/>
      <c r="BAT30" s="1221"/>
      <c r="BAU30" s="1221"/>
      <c r="BAV30" s="1221"/>
      <c r="BAW30" s="1221"/>
      <c r="BAX30" s="1221"/>
      <c r="BAY30" s="1221"/>
      <c r="BAZ30" s="1221"/>
      <c r="BBA30" s="1221"/>
      <c r="BBB30" s="1221"/>
      <c r="BBC30" s="1221"/>
      <c r="BBD30" s="1221"/>
      <c r="BBE30" s="1221"/>
      <c r="BBF30" s="1221"/>
      <c r="BBG30" s="1221"/>
      <c r="BBH30" s="1221"/>
      <c r="BBI30" s="1221"/>
      <c r="BBJ30" s="1221"/>
      <c r="BBK30" s="1221"/>
      <c r="BBL30" s="1221"/>
      <c r="BBM30" s="1221"/>
      <c r="BBN30" s="1221"/>
      <c r="BBO30" s="1221"/>
      <c r="BBP30" s="1221"/>
      <c r="BBQ30" s="1221"/>
      <c r="BBR30" s="1221"/>
      <c r="BBS30" s="1221"/>
      <c r="BBT30" s="1221"/>
      <c r="BBU30" s="1221"/>
      <c r="BBV30" s="1221"/>
      <c r="BBW30" s="1221"/>
      <c r="BBX30" s="1221"/>
      <c r="BBY30" s="1221"/>
      <c r="BBZ30" s="1221"/>
      <c r="BCA30" s="1221"/>
      <c r="BCB30" s="1221"/>
      <c r="BCC30" s="1221"/>
      <c r="BCD30" s="1221"/>
      <c r="BCE30" s="1221"/>
      <c r="BCF30" s="1221"/>
      <c r="BCG30" s="1221"/>
      <c r="BCH30" s="1221"/>
      <c r="BCI30" s="1221"/>
      <c r="BCJ30" s="1221"/>
      <c r="BCK30" s="1221"/>
      <c r="BCL30" s="1221"/>
      <c r="BCM30" s="1221"/>
      <c r="BCN30" s="1221"/>
      <c r="BCO30" s="1221"/>
      <c r="BCP30" s="1221"/>
      <c r="BCQ30" s="1221"/>
      <c r="BCR30" s="1221"/>
      <c r="BCS30" s="1221"/>
      <c r="BCT30" s="1221"/>
      <c r="BCU30" s="1221"/>
      <c r="BCV30" s="1221"/>
      <c r="BCW30" s="1221"/>
      <c r="BCX30" s="1221"/>
      <c r="BCY30" s="1221"/>
      <c r="BCZ30" s="1221"/>
      <c r="BDA30" s="1221"/>
      <c r="BDB30" s="1221"/>
      <c r="BDC30" s="1221"/>
      <c r="BDD30" s="1221"/>
      <c r="BDE30" s="1221"/>
      <c r="BDF30" s="1221"/>
      <c r="BDG30" s="1221"/>
      <c r="BDH30" s="1221"/>
      <c r="BDI30" s="1221"/>
      <c r="BDJ30" s="1221"/>
      <c r="BDK30" s="1221"/>
      <c r="BDL30" s="1221"/>
      <c r="BDM30" s="1221"/>
      <c r="BDN30" s="1221"/>
      <c r="BDO30" s="1221"/>
      <c r="BDP30" s="1221"/>
      <c r="BDQ30" s="1221"/>
      <c r="BDR30" s="1221"/>
      <c r="BDS30" s="1221"/>
      <c r="BDT30" s="1221"/>
      <c r="BDU30" s="1221"/>
      <c r="BDV30" s="1221"/>
      <c r="BDW30" s="1221"/>
      <c r="BDX30" s="1221"/>
      <c r="BDY30" s="1221"/>
      <c r="BDZ30" s="1221"/>
      <c r="BEA30" s="1221"/>
      <c r="BEB30" s="1221"/>
      <c r="BEC30" s="1221"/>
      <c r="BED30" s="1221"/>
      <c r="BEE30" s="1221"/>
      <c r="BEF30" s="1221"/>
      <c r="BEG30" s="1221"/>
      <c r="BEH30" s="1221"/>
      <c r="BEI30" s="1221"/>
      <c r="BEJ30" s="1221"/>
      <c r="BEK30" s="1221"/>
      <c r="BEL30" s="1221"/>
      <c r="BEM30" s="1221"/>
      <c r="BEN30" s="1221"/>
      <c r="BEO30" s="1221"/>
      <c r="BEP30" s="1221"/>
      <c r="BEQ30" s="1221"/>
      <c r="BER30" s="1221"/>
      <c r="BES30" s="1221"/>
      <c r="BET30" s="1221"/>
      <c r="BEU30" s="1221"/>
      <c r="BEV30" s="1221"/>
      <c r="BEW30" s="1221"/>
      <c r="BEX30" s="1221"/>
      <c r="BEY30" s="1221"/>
      <c r="BEZ30" s="1221"/>
      <c r="BFA30" s="1221"/>
      <c r="BFB30" s="1221"/>
      <c r="BFC30" s="1221"/>
      <c r="BFD30" s="1221"/>
      <c r="BFE30" s="1221"/>
      <c r="BFF30" s="1221"/>
      <c r="BFG30" s="1221"/>
      <c r="BFH30" s="1221"/>
      <c r="BFI30" s="1221"/>
      <c r="BFJ30" s="1221"/>
      <c r="BFK30" s="1221"/>
      <c r="BFL30" s="1221"/>
      <c r="BFM30" s="1221"/>
      <c r="BFN30" s="1221"/>
      <c r="BFO30" s="1221"/>
      <c r="BFP30" s="1221"/>
      <c r="BFQ30" s="1221"/>
      <c r="BFR30" s="1221"/>
      <c r="BFS30" s="1221"/>
      <c r="BFT30" s="1221"/>
      <c r="BFU30" s="1221"/>
      <c r="BFV30" s="1221"/>
      <c r="BFW30" s="1221"/>
      <c r="BFX30" s="1221"/>
      <c r="BFY30" s="1221"/>
      <c r="BFZ30" s="1221"/>
      <c r="BGA30" s="1221"/>
      <c r="BGB30" s="1221"/>
      <c r="BGC30" s="1221"/>
      <c r="BGD30" s="1221"/>
      <c r="BGE30" s="1221"/>
      <c r="BGF30" s="1221"/>
      <c r="BGG30" s="1221"/>
      <c r="BGH30" s="1221"/>
      <c r="BGI30" s="1221"/>
      <c r="BGJ30" s="1221"/>
      <c r="BGK30" s="1221"/>
      <c r="BGL30" s="1221"/>
      <c r="BGM30" s="1221"/>
      <c r="BGN30" s="1221"/>
      <c r="BGO30" s="1221"/>
      <c r="BGP30" s="1221"/>
      <c r="BGQ30" s="1221"/>
      <c r="BGR30" s="1221"/>
      <c r="BGS30" s="1221"/>
      <c r="BGT30" s="1221"/>
      <c r="BGU30" s="1221"/>
      <c r="BGV30" s="1221"/>
      <c r="BGW30" s="1221"/>
      <c r="BGX30" s="1221"/>
      <c r="BGY30" s="1221"/>
      <c r="BGZ30" s="1221"/>
      <c r="BHA30" s="1221"/>
      <c r="BHB30" s="1221"/>
      <c r="BHC30" s="1221"/>
      <c r="BHD30" s="1221"/>
      <c r="BHE30" s="1221"/>
      <c r="BHF30" s="1221"/>
      <c r="BHG30" s="1221"/>
      <c r="BHH30" s="1221"/>
      <c r="BHI30" s="1221"/>
      <c r="BHJ30" s="1221"/>
      <c r="BHK30" s="1221"/>
      <c r="BHL30" s="1221"/>
      <c r="BHM30" s="1221"/>
      <c r="BHN30" s="1221"/>
      <c r="BHO30" s="1221"/>
      <c r="BHP30" s="1221"/>
      <c r="BHQ30" s="1221"/>
      <c r="BHR30" s="1221"/>
      <c r="BHS30" s="1221"/>
      <c r="BHT30" s="1221"/>
      <c r="BHU30" s="1221"/>
      <c r="BHV30" s="1221"/>
      <c r="BHW30" s="1221"/>
      <c r="BHX30" s="1221"/>
      <c r="BHY30" s="1221"/>
      <c r="BHZ30" s="1221"/>
      <c r="BIA30" s="1221"/>
      <c r="BIB30" s="1221"/>
      <c r="BIC30" s="1221"/>
      <c r="BID30" s="1221"/>
      <c r="BIE30" s="1221"/>
      <c r="BIF30" s="1221"/>
      <c r="BIG30" s="1221"/>
      <c r="BIH30" s="1221"/>
      <c r="BII30" s="1221"/>
      <c r="BIJ30" s="1221"/>
      <c r="BIK30" s="1221"/>
      <c r="BIL30" s="1221"/>
      <c r="BIM30" s="1221"/>
      <c r="BIN30" s="1221"/>
      <c r="BIO30" s="1221"/>
      <c r="BIP30" s="1221"/>
      <c r="BIQ30" s="1221"/>
      <c r="BIR30" s="1221"/>
      <c r="BIS30" s="1221"/>
      <c r="BIT30" s="1221"/>
      <c r="BIU30" s="1221"/>
      <c r="BIV30" s="1221"/>
      <c r="BIW30" s="1221"/>
      <c r="BIX30" s="1221"/>
      <c r="BIY30" s="1221"/>
      <c r="BIZ30" s="1221"/>
      <c r="BJA30" s="1221"/>
      <c r="BJB30" s="1221"/>
      <c r="BJC30" s="1221"/>
      <c r="BJD30" s="1221"/>
      <c r="BJE30" s="1221"/>
      <c r="BJF30" s="1221"/>
      <c r="BJG30" s="1221"/>
      <c r="BJH30" s="1221"/>
      <c r="BJI30" s="1221"/>
      <c r="BJJ30" s="1221"/>
      <c r="BJK30" s="1221"/>
      <c r="BJL30" s="1221"/>
      <c r="BJM30" s="1221"/>
      <c r="BJN30" s="1221"/>
      <c r="BJO30" s="1221"/>
      <c r="BJP30" s="1221"/>
      <c r="BJQ30" s="1221"/>
      <c r="BJR30" s="1221"/>
      <c r="BJS30" s="1221"/>
      <c r="BJT30" s="1221"/>
      <c r="BJU30" s="1221"/>
      <c r="BJV30" s="1221"/>
      <c r="BJW30" s="1221"/>
      <c r="BJX30" s="1221"/>
      <c r="BJY30" s="1221"/>
      <c r="BJZ30" s="1221"/>
      <c r="BKA30" s="1221"/>
      <c r="BKB30" s="1221"/>
      <c r="BKC30" s="1221"/>
      <c r="BKD30" s="1221"/>
      <c r="BKE30" s="1221"/>
      <c r="BKF30" s="1221"/>
      <c r="BKG30" s="1221"/>
      <c r="BKH30" s="1221"/>
      <c r="BKI30" s="1221"/>
      <c r="BKJ30" s="1221"/>
      <c r="BKK30" s="1221"/>
      <c r="BKL30" s="1221"/>
      <c r="BKM30" s="1221"/>
      <c r="BKN30" s="1221"/>
      <c r="BKO30" s="1221"/>
      <c r="BKP30" s="1221"/>
      <c r="BKQ30" s="1221"/>
      <c r="BKR30" s="1221"/>
      <c r="BKS30" s="1221"/>
      <c r="BKT30" s="1221"/>
      <c r="BKU30" s="1221"/>
      <c r="BKV30" s="1221"/>
      <c r="BKW30" s="1221"/>
      <c r="BKX30" s="1221"/>
      <c r="BKY30" s="1221"/>
      <c r="BKZ30" s="1221"/>
      <c r="BLA30" s="1221"/>
      <c r="BLB30" s="1221"/>
      <c r="BLC30" s="1221"/>
      <c r="BLD30" s="1221"/>
      <c r="BLE30" s="1221"/>
      <c r="BLF30" s="1221"/>
      <c r="BLG30" s="1221"/>
      <c r="BLH30" s="1221"/>
      <c r="BLI30" s="1221"/>
      <c r="BLJ30" s="1221"/>
      <c r="BLK30" s="1221"/>
      <c r="BLL30" s="1221"/>
      <c r="BLM30" s="1221"/>
      <c r="BLN30" s="1221"/>
      <c r="BLO30" s="1221"/>
      <c r="BLP30" s="1221"/>
      <c r="BLQ30" s="1221"/>
      <c r="BLR30" s="1221"/>
      <c r="BLS30" s="1221"/>
      <c r="BLT30" s="1221"/>
      <c r="BLU30" s="1221"/>
      <c r="BLV30" s="1221"/>
      <c r="BLW30" s="1221"/>
      <c r="BLX30" s="1221"/>
      <c r="BLY30" s="1221"/>
      <c r="BLZ30" s="1221"/>
      <c r="BMA30" s="1221"/>
      <c r="BMB30" s="1221"/>
      <c r="BMC30" s="1221"/>
      <c r="BMD30" s="1221"/>
      <c r="BME30" s="1221"/>
      <c r="BMF30" s="1221"/>
      <c r="BMG30" s="1221"/>
      <c r="BMH30" s="1221"/>
      <c r="BMI30" s="1221"/>
      <c r="BMJ30" s="1221"/>
      <c r="BMK30" s="1221"/>
      <c r="BML30" s="1221"/>
      <c r="BMM30" s="1221"/>
      <c r="BMN30" s="1221"/>
      <c r="BMO30" s="1221"/>
      <c r="BMP30" s="1221"/>
      <c r="BMQ30" s="1221"/>
      <c r="BMR30" s="1221"/>
      <c r="BMS30" s="1221"/>
      <c r="BMT30" s="1221"/>
      <c r="BMU30" s="1221"/>
      <c r="BMV30" s="1221"/>
      <c r="BMW30" s="1221"/>
      <c r="BMX30" s="1221"/>
      <c r="BMY30" s="1221"/>
      <c r="BMZ30" s="1221"/>
      <c r="BNA30" s="1221"/>
      <c r="BNB30" s="1221"/>
      <c r="BNC30" s="1221"/>
      <c r="BND30" s="1221"/>
      <c r="BNE30" s="1221"/>
      <c r="BNF30" s="1221"/>
      <c r="BNG30" s="1221"/>
      <c r="BNH30" s="1221"/>
      <c r="BNI30" s="1221"/>
      <c r="BNJ30" s="1221"/>
      <c r="BNK30" s="1221"/>
      <c r="BNL30" s="1221"/>
      <c r="BNM30" s="1221"/>
      <c r="BNN30" s="1221"/>
      <c r="BNO30" s="1221"/>
      <c r="BNP30" s="1221"/>
      <c r="BNQ30" s="1221"/>
      <c r="BNR30" s="1221"/>
      <c r="BNS30" s="1221"/>
      <c r="BNT30" s="1221"/>
      <c r="BNU30" s="1221"/>
      <c r="BNV30" s="1221"/>
      <c r="BNW30" s="1221"/>
      <c r="BNX30" s="1221"/>
      <c r="BNY30" s="1221"/>
      <c r="BNZ30" s="1221"/>
      <c r="BOA30" s="1221"/>
      <c r="BOB30" s="1221"/>
      <c r="BOC30" s="1221"/>
      <c r="BOD30" s="1221"/>
      <c r="BOE30" s="1221"/>
      <c r="BOF30" s="1221"/>
      <c r="BOG30" s="1221"/>
      <c r="BOH30" s="1221"/>
      <c r="BOI30" s="1221"/>
      <c r="BOJ30" s="1221"/>
      <c r="BOK30" s="1221"/>
      <c r="BOL30" s="1221"/>
      <c r="BOM30" s="1221"/>
      <c r="BON30" s="1221"/>
      <c r="BOO30" s="1221"/>
      <c r="BOP30" s="1221"/>
      <c r="BOQ30" s="1221"/>
      <c r="BOR30" s="1221"/>
      <c r="BOS30" s="1221"/>
      <c r="BOT30" s="1221"/>
      <c r="BOU30" s="1221"/>
      <c r="BOV30" s="1221"/>
      <c r="BOW30" s="1221"/>
      <c r="BOX30" s="1221"/>
      <c r="BOY30" s="1221"/>
      <c r="BOZ30" s="1221"/>
      <c r="BPA30" s="1221"/>
      <c r="BPB30" s="1221"/>
      <c r="BPC30" s="1221"/>
      <c r="BPD30" s="1221"/>
      <c r="BPE30" s="1221"/>
      <c r="BPF30" s="1221"/>
      <c r="BPG30" s="1221"/>
      <c r="BPH30" s="1221"/>
      <c r="BPI30" s="1221"/>
      <c r="BPJ30" s="1221"/>
      <c r="BPK30" s="1221"/>
      <c r="BPL30" s="1221"/>
      <c r="BPM30" s="1221"/>
      <c r="BPN30" s="1221"/>
      <c r="BPO30" s="1221"/>
      <c r="BPP30" s="1221"/>
      <c r="BPQ30" s="1221"/>
      <c r="BPR30" s="1221"/>
      <c r="BPS30" s="1221"/>
      <c r="BPT30" s="1221"/>
      <c r="BPU30" s="1221"/>
      <c r="BPV30" s="1221"/>
      <c r="BPW30" s="1221"/>
      <c r="BPX30" s="1221"/>
      <c r="BPY30" s="1221"/>
      <c r="BPZ30" s="1221"/>
      <c r="BQA30" s="1221"/>
      <c r="BQB30" s="1221"/>
      <c r="BQC30" s="1221"/>
      <c r="BQD30" s="1221"/>
      <c r="BQE30" s="1221"/>
      <c r="BQF30" s="1221"/>
      <c r="BQG30" s="1221"/>
      <c r="BQH30" s="1221"/>
      <c r="BQI30" s="1221"/>
      <c r="BQJ30" s="1221"/>
      <c r="BQK30" s="1221"/>
      <c r="BQL30" s="1221"/>
      <c r="BQM30" s="1221"/>
      <c r="BQN30" s="1221"/>
      <c r="BQO30" s="1221"/>
      <c r="BQP30" s="1221"/>
      <c r="BQQ30" s="1221"/>
      <c r="BQR30" s="1221"/>
      <c r="BQS30" s="1221"/>
      <c r="BQT30" s="1221"/>
      <c r="BQU30" s="1221"/>
      <c r="BQV30" s="1221"/>
      <c r="BQW30" s="1221"/>
      <c r="BQX30" s="1221"/>
      <c r="BQY30" s="1221"/>
      <c r="BQZ30" s="1221"/>
      <c r="BRA30" s="1221"/>
      <c r="BRB30" s="1221"/>
      <c r="BRC30" s="1221"/>
      <c r="BRD30" s="1221"/>
      <c r="BRE30" s="1221"/>
      <c r="BRF30" s="1221"/>
      <c r="BRG30" s="1221"/>
      <c r="BRH30" s="1221"/>
      <c r="BRI30" s="1221"/>
      <c r="BRJ30" s="1221"/>
      <c r="BRK30" s="1221"/>
      <c r="BRL30" s="1221"/>
      <c r="BRM30" s="1221"/>
      <c r="BRN30" s="1221"/>
      <c r="BRO30" s="1221"/>
      <c r="BRP30" s="1221"/>
      <c r="BRQ30" s="1221"/>
      <c r="BRR30" s="1221"/>
      <c r="BRS30" s="1221"/>
      <c r="BRT30" s="1221"/>
      <c r="BRU30" s="1221"/>
      <c r="BRV30" s="1221"/>
      <c r="BRW30" s="1221"/>
      <c r="BRX30" s="1221"/>
      <c r="BRY30" s="1221"/>
      <c r="BRZ30" s="1221"/>
      <c r="BSA30" s="1221"/>
      <c r="BSB30" s="1221"/>
      <c r="BSC30" s="1221"/>
      <c r="BSD30" s="1221"/>
      <c r="BSE30" s="1221"/>
      <c r="BSF30" s="1221"/>
      <c r="BSG30" s="1221"/>
      <c r="BSH30" s="1221"/>
      <c r="BSI30" s="1221"/>
      <c r="BSJ30" s="1221"/>
      <c r="BSK30" s="1221"/>
      <c r="BSL30" s="1221"/>
      <c r="BSM30" s="1221"/>
      <c r="BSN30" s="1221"/>
      <c r="BSO30" s="1221"/>
      <c r="BSP30" s="1221"/>
      <c r="BSQ30" s="1221"/>
      <c r="BSR30" s="1221"/>
      <c r="BSS30" s="1221"/>
      <c r="BST30" s="1221"/>
      <c r="BSU30" s="1221"/>
      <c r="BSV30" s="1221"/>
      <c r="BSW30" s="1221"/>
      <c r="BSX30" s="1221"/>
      <c r="BSY30" s="1221"/>
      <c r="BSZ30" s="1221"/>
      <c r="BTA30" s="1221"/>
      <c r="BTB30" s="1221"/>
      <c r="BTC30" s="1221"/>
      <c r="BTD30" s="1221"/>
      <c r="BTE30" s="1221"/>
      <c r="BTF30" s="1221"/>
      <c r="BTG30" s="1221"/>
      <c r="BTH30" s="1221"/>
      <c r="BTI30" s="1221"/>
      <c r="BTJ30" s="1221"/>
      <c r="BTK30" s="1221"/>
      <c r="BTL30" s="1221"/>
      <c r="BTM30" s="1221"/>
      <c r="BTN30" s="1221"/>
      <c r="BTO30" s="1221"/>
      <c r="BTP30" s="1221"/>
      <c r="BTQ30" s="1221"/>
      <c r="BTR30" s="1221"/>
      <c r="BTS30" s="1221"/>
      <c r="BTT30" s="1221"/>
      <c r="BTU30" s="1221"/>
      <c r="BTV30" s="1221"/>
      <c r="BTW30" s="1221"/>
      <c r="BTX30" s="1221"/>
      <c r="BTY30" s="1221"/>
      <c r="BTZ30" s="1221"/>
      <c r="BUA30" s="1221"/>
      <c r="BUB30" s="1221"/>
      <c r="BUC30" s="1221"/>
      <c r="BUD30" s="1221"/>
      <c r="BUE30" s="1221"/>
      <c r="BUF30" s="1221"/>
      <c r="BUG30" s="1221"/>
      <c r="BUH30" s="1221"/>
      <c r="BUI30" s="1221"/>
      <c r="BUJ30" s="1221"/>
      <c r="BUK30" s="1221"/>
      <c r="BUL30" s="1221"/>
      <c r="BUM30" s="1221"/>
      <c r="BUN30" s="1221"/>
      <c r="BUO30" s="1221"/>
      <c r="BUP30" s="1221"/>
      <c r="BUQ30" s="1221"/>
      <c r="BUR30" s="1221"/>
      <c r="BUS30" s="1221"/>
      <c r="BUT30" s="1221"/>
      <c r="BUU30" s="1221"/>
      <c r="BUV30" s="1221"/>
      <c r="BUW30" s="1221"/>
      <c r="BUX30" s="1221"/>
      <c r="BUY30" s="1221"/>
      <c r="BUZ30" s="1221"/>
      <c r="BVA30" s="1221"/>
      <c r="BVB30" s="1221"/>
      <c r="BVC30" s="1221"/>
      <c r="BVD30" s="1221"/>
      <c r="BVE30" s="1221"/>
      <c r="BVF30" s="1221"/>
      <c r="BVG30" s="1221"/>
      <c r="BVH30" s="1221"/>
      <c r="BVI30" s="1221"/>
      <c r="BVJ30" s="1221"/>
      <c r="BVK30" s="1221"/>
      <c r="BVL30" s="1221"/>
      <c r="BVM30" s="1221"/>
      <c r="BVN30" s="1221"/>
      <c r="BVO30" s="1221"/>
      <c r="BVP30" s="1221"/>
      <c r="BVQ30" s="1221"/>
      <c r="BVR30" s="1221"/>
      <c r="BVS30" s="1221"/>
      <c r="BVT30" s="1221"/>
      <c r="BVU30" s="1221"/>
      <c r="BVV30" s="1221"/>
      <c r="BVW30" s="1221"/>
      <c r="BVX30" s="1221"/>
      <c r="BVY30" s="1221"/>
      <c r="BVZ30" s="1221"/>
      <c r="BWA30" s="1221"/>
      <c r="BWB30" s="1221"/>
      <c r="BWC30" s="1221"/>
      <c r="BWD30" s="1221"/>
      <c r="BWE30" s="1221"/>
      <c r="BWF30" s="1221"/>
      <c r="BWG30" s="1221"/>
      <c r="BWH30" s="1221"/>
      <c r="BWI30" s="1221"/>
      <c r="BWJ30" s="1221"/>
      <c r="BWK30" s="1221"/>
      <c r="BWL30" s="1221"/>
      <c r="BWM30" s="1221"/>
      <c r="BWN30" s="1221"/>
      <c r="BWO30" s="1221"/>
      <c r="BWP30" s="1221"/>
      <c r="BWQ30" s="1221"/>
      <c r="BWR30" s="1221"/>
      <c r="BWS30" s="1221"/>
      <c r="BWT30" s="1221"/>
      <c r="BWU30" s="1221"/>
      <c r="BWV30" s="1221"/>
      <c r="BWW30" s="1221"/>
      <c r="BWX30" s="1221"/>
      <c r="BWY30" s="1221"/>
      <c r="BWZ30" s="1221"/>
      <c r="BXA30" s="1221"/>
      <c r="BXB30" s="1221"/>
      <c r="BXC30" s="1221"/>
      <c r="BXD30" s="1221"/>
      <c r="BXE30" s="1221"/>
      <c r="BXF30" s="1221"/>
      <c r="BXG30" s="1221"/>
      <c r="BXH30" s="1221"/>
      <c r="BXI30" s="1221"/>
      <c r="BXJ30" s="1221"/>
      <c r="BXK30" s="1221"/>
      <c r="BXL30" s="1221"/>
      <c r="BXM30" s="1221"/>
      <c r="BXN30" s="1221"/>
      <c r="BXO30" s="1221"/>
      <c r="BXP30" s="1221"/>
      <c r="BXQ30" s="1221"/>
      <c r="BXR30" s="1221"/>
      <c r="BXS30" s="1221"/>
      <c r="BXT30" s="1221"/>
      <c r="BXU30" s="1221"/>
      <c r="BXV30" s="1221"/>
      <c r="BXW30" s="1221"/>
      <c r="BXX30" s="1221"/>
      <c r="BXY30" s="1221"/>
      <c r="BXZ30" s="1221"/>
      <c r="BYA30" s="1221"/>
      <c r="BYB30" s="1221"/>
      <c r="BYC30" s="1221"/>
      <c r="BYD30" s="1221"/>
      <c r="BYE30" s="1221"/>
      <c r="BYF30" s="1221"/>
      <c r="BYG30" s="1221"/>
      <c r="BYH30" s="1221"/>
      <c r="BYI30" s="1221"/>
      <c r="BYJ30" s="1221"/>
      <c r="BYK30" s="1221"/>
      <c r="BYL30" s="1221"/>
      <c r="BYM30" s="1221"/>
      <c r="BYN30" s="1221"/>
      <c r="BYO30" s="1221"/>
      <c r="BYP30" s="1221"/>
      <c r="BYQ30" s="1221"/>
      <c r="BYR30" s="1221"/>
      <c r="BYS30" s="1221"/>
      <c r="BYT30" s="1221"/>
      <c r="BYU30" s="1221"/>
      <c r="BYV30" s="1221"/>
      <c r="BYW30" s="1221"/>
      <c r="BYX30" s="1221"/>
      <c r="BYY30" s="1221"/>
      <c r="BYZ30" s="1221"/>
      <c r="BZA30" s="1221"/>
      <c r="BZB30" s="1221"/>
      <c r="BZC30" s="1221"/>
      <c r="BZD30" s="1221"/>
      <c r="BZE30" s="1221"/>
      <c r="BZF30" s="1221"/>
      <c r="BZG30" s="1221"/>
      <c r="BZH30" s="1221"/>
      <c r="BZI30" s="1221"/>
      <c r="BZJ30" s="1221"/>
      <c r="BZK30" s="1221"/>
      <c r="BZL30" s="1221"/>
      <c r="BZM30" s="1221"/>
      <c r="BZN30" s="1221"/>
      <c r="BZO30" s="1221"/>
      <c r="BZP30" s="1221"/>
      <c r="BZQ30" s="1221"/>
      <c r="BZR30" s="1221"/>
      <c r="BZS30" s="1221"/>
      <c r="BZT30" s="1221"/>
      <c r="BZU30" s="1221"/>
      <c r="BZV30" s="1221"/>
      <c r="BZW30" s="1221"/>
      <c r="BZX30" s="1221"/>
      <c r="BZY30" s="1221"/>
      <c r="BZZ30" s="1221"/>
      <c r="CAA30" s="1221"/>
      <c r="CAB30" s="1221"/>
      <c r="CAC30" s="1221"/>
      <c r="CAD30" s="1221"/>
      <c r="CAE30" s="1221"/>
      <c r="CAF30" s="1221"/>
      <c r="CAG30" s="1221"/>
      <c r="CAH30" s="1221"/>
      <c r="CAI30" s="1221"/>
      <c r="CAJ30" s="1221"/>
      <c r="CAK30" s="1221"/>
      <c r="CAL30" s="1221"/>
      <c r="CAM30" s="1221"/>
      <c r="CAN30" s="1221"/>
      <c r="CAO30" s="1221"/>
      <c r="CAP30" s="1221"/>
      <c r="CAQ30" s="1221"/>
      <c r="CAR30" s="1221"/>
      <c r="CAS30" s="1221"/>
      <c r="CAT30" s="1221"/>
      <c r="CAU30" s="1221"/>
      <c r="CAV30" s="1221"/>
      <c r="CAW30" s="1221"/>
      <c r="CAX30" s="1221"/>
      <c r="CAY30" s="1221"/>
      <c r="CAZ30" s="1221"/>
      <c r="CBA30" s="1221"/>
      <c r="CBB30" s="1221"/>
      <c r="CBC30" s="1221"/>
      <c r="CBD30" s="1221"/>
      <c r="CBE30" s="1221"/>
      <c r="CBF30" s="1221"/>
      <c r="CBG30" s="1221"/>
      <c r="CBH30" s="1221"/>
      <c r="CBI30" s="1221"/>
      <c r="CBJ30" s="1221"/>
      <c r="CBK30" s="1221"/>
      <c r="CBL30" s="1221"/>
      <c r="CBM30" s="1221"/>
      <c r="CBN30" s="1221"/>
      <c r="CBO30" s="1221"/>
      <c r="CBP30" s="1221"/>
      <c r="CBQ30" s="1221"/>
      <c r="CBR30" s="1221"/>
      <c r="CBS30" s="1221"/>
      <c r="CBT30" s="1221"/>
      <c r="CBU30" s="1221"/>
      <c r="CBV30" s="1221"/>
      <c r="CBW30" s="1221"/>
      <c r="CBX30" s="1221"/>
      <c r="CBY30" s="1221"/>
      <c r="CBZ30" s="1221"/>
      <c r="CCA30" s="1221"/>
      <c r="CCB30" s="1221"/>
      <c r="CCC30" s="1221"/>
      <c r="CCD30" s="1221"/>
      <c r="CCE30" s="1221"/>
      <c r="CCF30" s="1221"/>
      <c r="CCG30" s="1221"/>
      <c r="CCH30" s="1221"/>
      <c r="CCI30" s="1221"/>
      <c r="CCJ30" s="1221"/>
      <c r="CCK30" s="1221"/>
      <c r="CCL30" s="1221"/>
      <c r="CCM30" s="1221"/>
      <c r="CCN30" s="1221"/>
      <c r="CCO30" s="1221"/>
      <c r="CCP30" s="1221"/>
      <c r="CCQ30" s="1221"/>
      <c r="CCR30" s="1221"/>
      <c r="CCS30" s="1221"/>
      <c r="CCT30" s="1221"/>
      <c r="CCU30" s="1221"/>
      <c r="CCV30" s="1221"/>
      <c r="CCW30" s="1221"/>
      <c r="CCX30" s="1221"/>
      <c r="CCY30" s="1221"/>
      <c r="CCZ30" s="1221"/>
      <c r="CDA30" s="1221"/>
      <c r="CDB30" s="1221"/>
      <c r="CDC30" s="1221"/>
      <c r="CDD30" s="1221"/>
      <c r="CDE30" s="1221"/>
      <c r="CDF30" s="1221"/>
      <c r="CDG30" s="1221"/>
      <c r="CDH30" s="1221"/>
      <c r="CDI30" s="1221"/>
      <c r="CDJ30" s="1221"/>
      <c r="CDK30" s="1221"/>
      <c r="CDL30" s="1221"/>
      <c r="CDM30" s="1221"/>
      <c r="CDN30" s="1221"/>
      <c r="CDO30" s="1221"/>
      <c r="CDP30" s="1221"/>
      <c r="CDQ30" s="1221"/>
      <c r="CDR30" s="1221"/>
      <c r="CDS30" s="1221"/>
      <c r="CDT30" s="1221"/>
      <c r="CDU30" s="1221"/>
      <c r="CDV30" s="1221"/>
      <c r="CDW30" s="1221"/>
      <c r="CDX30" s="1221"/>
      <c r="CDY30" s="1221"/>
      <c r="CDZ30" s="1221"/>
      <c r="CEA30" s="1221"/>
      <c r="CEB30" s="1221"/>
      <c r="CEC30" s="1221"/>
      <c r="CED30" s="1221"/>
      <c r="CEE30" s="1221"/>
      <c r="CEF30" s="1221"/>
      <c r="CEG30" s="1221"/>
      <c r="CEH30" s="1221"/>
      <c r="CEI30" s="1221"/>
      <c r="CEJ30" s="1221"/>
      <c r="CEK30" s="1221"/>
      <c r="CEL30" s="1221"/>
      <c r="CEM30" s="1221"/>
      <c r="CEN30" s="1221"/>
      <c r="CEO30" s="1221"/>
      <c r="CEP30" s="1221"/>
      <c r="CEQ30" s="1221"/>
      <c r="CER30" s="1221"/>
      <c r="CES30" s="1221"/>
      <c r="CET30" s="1221"/>
      <c r="CEU30" s="1221"/>
      <c r="CEV30" s="1221"/>
      <c r="CEW30" s="1221"/>
      <c r="CEX30" s="1221"/>
      <c r="CEY30" s="1221"/>
      <c r="CEZ30" s="1221"/>
      <c r="CFA30" s="1221"/>
      <c r="CFB30" s="1221"/>
      <c r="CFC30" s="1221"/>
      <c r="CFD30" s="1221"/>
      <c r="CFE30" s="1221"/>
      <c r="CFF30" s="1221"/>
      <c r="CFG30" s="1221"/>
      <c r="CFH30" s="1221"/>
      <c r="CFI30" s="1221"/>
      <c r="CFJ30" s="1221"/>
      <c r="CFK30" s="1221"/>
      <c r="CFL30" s="1221"/>
      <c r="CFM30" s="1221"/>
      <c r="CFN30" s="1221"/>
      <c r="CFO30" s="1221"/>
      <c r="CFP30" s="1221"/>
      <c r="CFQ30" s="1221"/>
      <c r="CFR30" s="1221"/>
      <c r="CFS30" s="1221"/>
      <c r="CFT30" s="1221"/>
      <c r="CFU30" s="1221"/>
      <c r="CFV30" s="1221"/>
      <c r="CFW30" s="1221"/>
      <c r="CFX30" s="1221"/>
      <c r="CFY30" s="1221"/>
      <c r="CFZ30" s="1221"/>
      <c r="CGA30" s="1221"/>
      <c r="CGB30" s="1221"/>
      <c r="CGC30" s="1221"/>
      <c r="CGD30" s="1221"/>
      <c r="CGE30" s="1221"/>
      <c r="CGF30" s="1221"/>
      <c r="CGG30" s="1221"/>
      <c r="CGH30" s="1221"/>
      <c r="CGI30" s="1221"/>
      <c r="CGJ30" s="1221"/>
      <c r="CGK30" s="1221"/>
      <c r="CGL30" s="1221"/>
      <c r="CGM30" s="1221"/>
      <c r="CGN30" s="1221"/>
      <c r="CGO30" s="1221"/>
      <c r="CGP30" s="1221"/>
      <c r="CGQ30" s="1221"/>
      <c r="CGR30" s="1221"/>
      <c r="CGS30" s="1221"/>
      <c r="CGT30" s="1221"/>
      <c r="CGU30" s="1221"/>
      <c r="CGV30" s="1221"/>
      <c r="CGW30" s="1221"/>
      <c r="CGX30" s="1221"/>
      <c r="CGY30" s="1221"/>
      <c r="CGZ30" s="1221"/>
      <c r="CHA30" s="1221"/>
      <c r="CHB30" s="1221"/>
      <c r="CHC30" s="1221"/>
      <c r="CHD30" s="1221"/>
      <c r="CHE30" s="1221"/>
      <c r="CHF30" s="1221"/>
      <c r="CHG30" s="1221"/>
      <c r="CHH30" s="1221"/>
      <c r="CHI30" s="1221"/>
      <c r="CHJ30" s="1221"/>
      <c r="CHK30" s="1221"/>
      <c r="CHL30" s="1221"/>
      <c r="CHM30" s="1221"/>
      <c r="CHN30" s="1221"/>
      <c r="CHO30" s="1221"/>
      <c r="CHP30" s="1221"/>
      <c r="CHQ30" s="1221"/>
      <c r="CHR30" s="1221"/>
      <c r="CHS30" s="1221"/>
      <c r="CHT30" s="1221"/>
      <c r="CHU30" s="1221"/>
      <c r="CHV30" s="1221"/>
      <c r="CHW30" s="1221"/>
      <c r="CHX30" s="1221"/>
      <c r="CHY30" s="1221"/>
      <c r="CHZ30" s="1221"/>
      <c r="CIA30" s="1221"/>
      <c r="CIB30" s="1221"/>
      <c r="CIC30" s="1221"/>
      <c r="CID30" s="1221"/>
      <c r="CIE30" s="1221"/>
      <c r="CIF30" s="1221"/>
      <c r="CIG30" s="1221"/>
      <c r="CIH30" s="1221"/>
      <c r="CII30" s="1221"/>
      <c r="CIJ30" s="1221"/>
      <c r="CIK30" s="1221"/>
      <c r="CIL30" s="1221"/>
      <c r="CIM30" s="1221"/>
      <c r="CIN30" s="1221"/>
      <c r="CIO30" s="1221"/>
      <c r="CIP30" s="1221"/>
      <c r="CIQ30" s="1221"/>
      <c r="CIR30" s="1221"/>
      <c r="CIS30" s="1221"/>
      <c r="CIT30" s="1221"/>
      <c r="CIU30" s="1221"/>
      <c r="CIV30" s="1221"/>
      <c r="CIW30" s="1221"/>
      <c r="CIX30" s="1221"/>
      <c r="CIY30" s="1221"/>
      <c r="CIZ30" s="1221"/>
      <c r="CJA30" s="1221"/>
      <c r="CJB30" s="1221"/>
      <c r="CJC30" s="1221"/>
      <c r="CJD30" s="1221"/>
      <c r="CJE30" s="1221"/>
      <c r="CJF30" s="1221"/>
      <c r="CJG30" s="1221"/>
      <c r="CJH30" s="1221"/>
      <c r="CJI30" s="1221"/>
      <c r="CJJ30" s="1221"/>
      <c r="CJK30" s="1221"/>
      <c r="CJL30" s="1221"/>
      <c r="CJM30" s="1221"/>
      <c r="CJN30" s="1221"/>
      <c r="CJO30" s="1221"/>
      <c r="CJP30" s="1221"/>
      <c r="CJQ30" s="1221"/>
      <c r="CJR30" s="1221"/>
      <c r="CJS30" s="1221"/>
      <c r="CJT30" s="1221"/>
      <c r="CJU30" s="1221"/>
      <c r="CJV30" s="1221"/>
      <c r="CJW30" s="1221"/>
      <c r="CJX30" s="1221"/>
      <c r="CJY30" s="1221"/>
      <c r="CJZ30" s="1221"/>
      <c r="CKA30" s="1221"/>
      <c r="CKB30" s="1221"/>
      <c r="CKC30" s="1221"/>
      <c r="CKD30" s="1221"/>
      <c r="CKE30" s="1221"/>
      <c r="CKF30" s="1221"/>
      <c r="CKG30" s="1221"/>
      <c r="CKH30" s="1221"/>
      <c r="CKI30" s="1221"/>
      <c r="CKJ30" s="1221"/>
      <c r="CKK30" s="1221"/>
      <c r="CKL30" s="1221"/>
      <c r="CKM30" s="1221"/>
      <c r="CKN30" s="1221"/>
      <c r="CKO30" s="1221"/>
      <c r="CKP30" s="1221"/>
      <c r="CKQ30" s="1221"/>
      <c r="CKR30" s="1221"/>
      <c r="CKS30" s="1221"/>
      <c r="CKT30" s="1221"/>
      <c r="CKU30" s="1221"/>
      <c r="CKV30" s="1221"/>
      <c r="CKW30" s="1221"/>
      <c r="CKX30" s="1221"/>
      <c r="CKY30" s="1221"/>
      <c r="CKZ30" s="1221"/>
      <c r="CLA30" s="1221"/>
      <c r="CLB30" s="1221"/>
      <c r="CLC30" s="1221"/>
      <c r="CLD30" s="1221"/>
      <c r="CLE30" s="1221"/>
      <c r="CLF30" s="1221"/>
      <c r="CLG30" s="1221"/>
      <c r="CLH30" s="1221"/>
      <c r="CLI30" s="1221"/>
      <c r="CLJ30" s="1221"/>
      <c r="CLK30" s="1221"/>
      <c r="CLL30" s="1221"/>
      <c r="CLM30" s="1221"/>
      <c r="CLN30" s="1221"/>
      <c r="CLO30" s="1221"/>
      <c r="CLP30" s="1221"/>
      <c r="CLQ30" s="1221"/>
      <c r="CLR30" s="1221"/>
      <c r="CLS30" s="1221"/>
      <c r="CLT30" s="1221"/>
      <c r="CLU30" s="1221"/>
      <c r="CLV30" s="1221"/>
      <c r="CLW30" s="1221"/>
      <c r="CLX30" s="1221"/>
      <c r="CLY30" s="1221"/>
      <c r="CLZ30" s="1221"/>
      <c r="CMA30" s="1221"/>
      <c r="CMB30" s="1221"/>
      <c r="CMC30" s="1221"/>
      <c r="CMD30" s="1221"/>
      <c r="CME30" s="1221"/>
      <c r="CMF30" s="1221"/>
      <c r="CMG30" s="1221"/>
      <c r="CMH30" s="1221"/>
      <c r="CMI30" s="1221"/>
      <c r="CMJ30" s="1221"/>
      <c r="CMK30" s="1221"/>
      <c r="CML30" s="1221"/>
      <c r="CMM30" s="1221"/>
      <c r="CMN30" s="1221"/>
      <c r="CMO30" s="1221"/>
      <c r="CMP30" s="1221"/>
      <c r="CMQ30" s="1221"/>
      <c r="CMR30" s="1221"/>
      <c r="CMS30" s="1221"/>
      <c r="CMT30" s="1221"/>
      <c r="CMU30" s="1221"/>
      <c r="CMV30" s="1221"/>
      <c r="CMW30" s="1221"/>
      <c r="CMX30" s="1221"/>
      <c r="CMY30" s="1221"/>
      <c r="CMZ30" s="1221"/>
      <c r="CNA30" s="1221"/>
      <c r="CNB30" s="1221"/>
      <c r="CNC30" s="1221"/>
      <c r="CND30" s="1221"/>
      <c r="CNE30" s="1221"/>
      <c r="CNF30" s="1221"/>
      <c r="CNG30" s="1221"/>
      <c r="CNH30" s="1221"/>
      <c r="CNI30" s="1221"/>
      <c r="CNJ30" s="1221"/>
      <c r="CNK30" s="1221"/>
      <c r="CNL30" s="1221"/>
      <c r="CNM30" s="1221"/>
      <c r="CNN30" s="1221"/>
      <c r="CNO30" s="1221"/>
      <c r="CNP30" s="1221"/>
      <c r="CNQ30" s="1221"/>
      <c r="CNR30" s="1221"/>
      <c r="CNS30" s="1221"/>
      <c r="CNT30" s="1221"/>
      <c r="CNU30" s="1221"/>
      <c r="CNV30" s="1221"/>
      <c r="CNW30" s="1221"/>
      <c r="CNX30" s="1221"/>
      <c r="CNY30" s="1221"/>
      <c r="CNZ30" s="1221"/>
      <c r="COA30" s="1221"/>
      <c r="COB30" s="1221"/>
      <c r="COC30" s="1221"/>
      <c r="COD30" s="1221"/>
      <c r="COE30" s="1221"/>
      <c r="COF30" s="1221"/>
      <c r="COG30" s="1221"/>
      <c r="COH30" s="1221"/>
      <c r="COI30" s="1221"/>
      <c r="COJ30" s="1221"/>
      <c r="COK30" s="1221"/>
      <c r="COL30" s="1221"/>
      <c r="COM30" s="1221"/>
      <c r="CON30" s="1221"/>
      <c r="COO30" s="1221"/>
      <c r="COP30" s="1221"/>
      <c r="COQ30" s="1221"/>
      <c r="COR30" s="1221"/>
      <c r="COS30" s="1221"/>
      <c r="COT30" s="1221"/>
      <c r="COU30" s="1221"/>
      <c r="COV30" s="1221"/>
      <c r="COW30" s="1221"/>
      <c r="COX30" s="1221"/>
      <c r="COY30" s="1221"/>
      <c r="COZ30" s="1221"/>
      <c r="CPA30" s="1221"/>
      <c r="CPB30" s="1221"/>
      <c r="CPC30" s="1221"/>
      <c r="CPD30" s="1221"/>
      <c r="CPE30" s="1221"/>
      <c r="CPF30" s="1221"/>
      <c r="CPG30" s="1221"/>
      <c r="CPH30" s="1221"/>
      <c r="CPI30" s="1221"/>
      <c r="CPJ30" s="1221"/>
      <c r="CPK30" s="1221"/>
      <c r="CPL30" s="1221"/>
      <c r="CPM30" s="1221"/>
      <c r="CPN30" s="1221"/>
      <c r="CPO30" s="1221"/>
      <c r="CPP30" s="1221"/>
      <c r="CPQ30" s="1221"/>
      <c r="CPR30" s="1221"/>
      <c r="CPS30" s="1221"/>
      <c r="CPT30" s="1221"/>
      <c r="CPU30" s="1221"/>
      <c r="CPV30" s="1221"/>
      <c r="CPW30" s="1221"/>
      <c r="CPX30" s="1221"/>
      <c r="CPY30" s="1221"/>
      <c r="CPZ30" s="1221"/>
      <c r="CQA30" s="1221"/>
      <c r="CQB30" s="1221"/>
      <c r="CQC30" s="1221"/>
      <c r="CQD30" s="1221"/>
      <c r="CQE30" s="1221"/>
      <c r="CQF30" s="1221"/>
      <c r="CQG30" s="1221"/>
      <c r="CQH30" s="1221"/>
      <c r="CQI30" s="1221"/>
      <c r="CQJ30" s="1221"/>
      <c r="CQK30" s="1221"/>
      <c r="CQL30" s="1221"/>
      <c r="CQM30" s="1221"/>
      <c r="CQN30" s="1221"/>
      <c r="CQO30" s="1221"/>
      <c r="CQP30" s="1221"/>
      <c r="CQQ30" s="1221"/>
      <c r="CQR30" s="1221"/>
      <c r="CQS30" s="1221"/>
      <c r="CQT30" s="1221"/>
      <c r="CQU30" s="1221"/>
      <c r="CQV30" s="1221"/>
      <c r="CQW30" s="1221"/>
      <c r="CQX30" s="1221"/>
      <c r="CQY30" s="1221"/>
      <c r="CQZ30" s="1221"/>
      <c r="CRA30" s="1221"/>
      <c r="CRB30" s="1221"/>
      <c r="CRC30" s="1221"/>
      <c r="CRD30" s="1221"/>
      <c r="CRE30" s="1221"/>
      <c r="CRF30" s="1221"/>
      <c r="CRG30" s="1221"/>
      <c r="CRH30" s="1221"/>
      <c r="CRI30" s="1221"/>
      <c r="CRJ30" s="1221"/>
      <c r="CRK30" s="1221"/>
      <c r="CRL30" s="1221"/>
      <c r="CRM30" s="1221"/>
      <c r="CRN30" s="1221"/>
      <c r="CRO30" s="1221"/>
      <c r="CRP30" s="1221"/>
      <c r="CRQ30" s="1221"/>
      <c r="CRR30" s="1221"/>
      <c r="CRS30" s="1221"/>
      <c r="CRT30" s="1221"/>
      <c r="CRU30" s="1221"/>
      <c r="CRV30" s="1221"/>
      <c r="CRW30" s="1221"/>
      <c r="CRX30" s="1221"/>
      <c r="CRY30" s="1221"/>
      <c r="CRZ30" s="1221"/>
      <c r="CSA30" s="1221"/>
      <c r="CSB30" s="1221"/>
      <c r="CSC30" s="1221"/>
      <c r="CSD30" s="1221"/>
      <c r="CSE30" s="1221"/>
      <c r="CSF30" s="1221"/>
      <c r="CSG30" s="1221"/>
      <c r="CSH30" s="1221"/>
      <c r="CSI30" s="1221"/>
      <c r="CSJ30" s="1221"/>
      <c r="CSK30" s="1221"/>
      <c r="CSL30" s="1221"/>
      <c r="CSM30" s="1221"/>
      <c r="CSN30" s="1221"/>
      <c r="CSO30" s="1221"/>
      <c r="CSP30" s="1221"/>
      <c r="CSQ30" s="1221"/>
      <c r="CSR30" s="1221"/>
      <c r="CSS30" s="1221"/>
      <c r="CST30" s="1221"/>
      <c r="CSU30" s="1221"/>
      <c r="CSV30" s="1221"/>
      <c r="CSW30" s="1221"/>
      <c r="CSX30" s="1221"/>
      <c r="CSY30" s="1221"/>
      <c r="CSZ30" s="1221"/>
      <c r="CTA30" s="1221"/>
      <c r="CTB30" s="1221"/>
      <c r="CTC30" s="1221"/>
      <c r="CTD30" s="1221"/>
      <c r="CTE30" s="1221"/>
      <c r="CTF30" s="1221"/>
      <c r="CTG30" s="1221"/>
      <c r="CTH30" s="1221"/>
      <c r="CTI30" s="1221"/>
      <c r="CTJ30" s="1221"/>
      <c r="CTK30" s="1221"/>
      <c r="CTL30" s="1221"/>
      <c r="CTM30" s="1221"/>
      <c r="CTN30" s="1221"/>
      <c r="CTO30" s="1221"/>
      <c r="CTP30" s="1221"/>
      <c r="CTQ30" s="1221"/>
      <c r="CTR30" s="1221"/>
      <c r="CTS30" s="1221"/>
      <c r="CTT30" s="1221"/>
      <c r="CTU30" s="1221"/>
      <c r="CTV30" s="1221"/>
      <c r="CTW30" s="1221"/>
      <c r="CTX30" s="1221"/>
      <c r="CTY30" s="1221"/>
      <c r="CTZ30" s="1221"/>
      <c r="CUA30" s="1221"/>
      <c r="CUB30" s="1221"/>
      <c r="CUC30" s="1221"/>
      <c r="CUD30" s="1221"/>
      <c r="CUE30" s="1221"/>
      <c r="CUF30" s="1221"/>
      <c r="CUG30" s="1221"/>
      <c r="CUH30" s="1221"/>
      <c r="CUI30" s="1221"/>
      <c r="CUJ30" s="1221"/>
      <c r="CUK30" s="1221"/>
      <c r="CUL30" s="1221"/>
      <c r="CUM30" s="1221"/>
      <c r="CUN30" s="1221"/>
      <c r="CUO30" s="1221"/>
      <c r="CUP30" s="1221"/>
      <c r="CUQ30" s="1221"/>
      <c r="CUR30" s="1221"/>
      <c r="CUS30" s="1221"/>
      <c r="CUT30" s="1221"/>
      <c r="CUU30" s="1221"/>
      <c r="CUV30" s="1221"/>
      <c r="CUW30" s="1221"/>
      <c r="CUX30" s="1221"/>
      <c r="CUY30" s="1221"/>
      <c r="CUZ30" s="1221"/>
      <c r="CVA30" s="1221"/>
      <c r="CVB30" s="1221"/>
      <c r="CVC30" s="1221"/>
      <c r="CVD30" s="1221"/>
      <c r="CVE30" s="1221"/>
      <c r="CVF30" s="1221"/>
      <c r="CVG30" s="1221"/>
      <c r="CVH30" s="1221"/>
      <c r="CVI30" s="1221"/>
      <c r="CVJ30" s="1221"/>
      <c r="CVK30" s="1221"/>
      <c r="CVL30" s="1221"/>
      <c r="CVM30" s="1221"/>
      <c r="CVN30" s="1221"/>
      <c r="CVO30" s="1221"/>
      <c r="CVP30" s="1221"/>
      <c r="CVQ30" s="1221"/>
      <c r="CVR30" s="1221"/>
      <c r="CVS30" s="1221"/>
      <c r="CVT30" s="1221"/>
      <c r="CVU30" s="1221"/>
      <c r="CVV30" s="1221"/>
      <c r="CVW30" s="1221"/>
      <c r="CVX30" s="1221"/>
      <c r="CVY30" s="1221"/>
      <c r="CVZ30" s="1221"/>
      <c r="CWA30" s="1221"/>
      <c r="CWB30" s="1221"/>
      <c r="CWC30" s="1221"/>
      <c r="CWD30" s="1221"/>
      <c r="CWE30" s="1221"/>
      <c r="CWF30" s="1221"/>
      <c r="CWG30" s="1221"/>
      <c r="CWH30" s="1221"/>
      <c r="CWI30" s="1221"/>
      <c r="CWJ30" s="1221"/>
      <c r="CWK30" s="1221"/>
      <c r="CWL30" s="1221"/>
      <c r="CWM30" s="1221"/>
      <c r="CWN30" s="1221"/>
      <c r="CWO30" s="1221"/>
      <c r="CWP30" s="1221"/>
      <c r="CWQ30" s="1221"/>
      <c r="CWR30" s="1221"/>
      <c r="CWS30" s="1221"/>
      <c r="CWT30" s="1221"/>
      <c r="CWU30" s="1221"/>
      <c r="CWV30" s="1221"/>
      <c r="CWW30" s="1221"/>
      <c r="CWX30" s="1221"/>
      <c r="CWY30" s="1221"/>
      <c r="CWZ30" s="1221"/>
      <c r="CXA30" s="1221"/>
      <c r="CXB30" s="1221"/>
      <c r="CXC30" s="1221"/>
      <c r="CXD30" s="1221"/>
      <c r="CXE30" s="1221"/>
      <c r="CXF30" s="1221"/>
      <c r="CXG30" s="1221"/>
      <c r="CXH30" s="1221"/>
      <c r="CXI30" s="1221"/>
      <c r="CXJ30" s="1221"/>
      <c r="CXK30" s="1221"/>
      <c r="CXL30" s="1221"/>
      <c r="CXM30" s="1221"/>
      <c r="CXN30" s="1221"/>
      <c r="CXO30" s="1221"/>
      <c r="CXP30" s="1221"/>
      <c r="CXQ30" s="1221"/>
      <c r="CXR30" s="1221"/>
      <c r="CXS30" s="1221"/>
      <c r="CXT30" s="1221"/>
      <c r="CXU30" s="1221"/>
      <c r="CXV30" s="1221"/>
      <c r="CXW30" s="1221"/>
      <c r="CXX30" s="1221"/>
      <c r="CXY30" s="1221"/>
      <c r="CXZ30" s="1221"/>
      <c r="CYA30" s="1221"/>
      <c r="CYB30" s="1221"/>
      <c r="CYC30" s="1221"/>
      <c r="CYD30" s="1221"/>
      <c r="CYE30" s="1221"/>
      <c r="CYF30" s="1221"/>
      <c r="CYG30" s="1221"/>
      <c r="CYH30" s="1221"/>
      <c r="CYI30" s="1221"/>
      <c r="CYJ30" s="1221"/>
      <c r="CYK30" s="1221"/>
      <c r="CYL30" s="1221"/>
      <c r="CYM30" s="1221"/>
      <c r="CYN30" s="1221"/>
      <c r="CYO30" s="1221"/>
      <c r="CYP30" s="1221"/>
      <c r="CYQ30" s="1221"/>
      <c r="CYR30" s="1221"/>
      <c r="CYS30" s="1221"/>
      <c r="CYT30" s="1221"/>
      <c r="CYU30" s="1221"/>
      <c r="CYV30" s="1221"/>
      <c r="CYW30" s="1221"/>
      <c r="CYX30" s="1221"/>
      <c r="CYY30" s="1221"/>
      <c r="CYZ30" s="1221"/>
      <c r="CZA30" s="1221"/>
      <c r="CZB30" s="1221"/>
      <c r="CZC30" s="1221"/>
      <c r="CZD30" s="1221"/>
      <c r="CZE30" s="1221"/>
      <c r="CZF30" s="1221"/>
      <c r="CZG30" s="1221"/>
      <c r="CZH30" s="1221"/>
      <c r="CZI30" s="1221"/>
      <c r="CZJ30" s="1221"/>
      <c r="CZK30" s="1221"/>
      <c r="CZL30" s="1221"/>
      <c r="CZM30" s="1221"/>
      <c r="CZN30" s="1221"/>
      <c r="CZO30" s="1221"/>
      <c r="CZP30" s="1221"/>
      <c r="CZQ30" s="1221"/>
      <c r="CZR30" s="1221"/>
      <c r="CZS30" s="1221"/>
      <c r="CZT30" s="1221"/>
      <c r="CZU30" s="1221"/>
      <c r="CZV30" s="1221"/>
      <c r="CZW30" s="1221"/>
      <c r="CZX30" s="1221"/>
      <c r="CZY30" s="1221"/>
      <c r="CZZ30" s="1221"/>
      <c r="DAA30" s="1221"/>
      <c r="DAB30" s="1221"/>
      <c r="DAC30" s="1221"/>
      <c r="DAD30" s="1221"/>
      <c r="DAE30" s="1221"/>
      <c r="DAF30" s="1221"/>
      <c r="DAG30" s="1221"/>
      <c r="DAH30" s="1221"/>
      <c r="DAI30" s="1221"/>
      <c r="DAJ30" s="1221"/>
      <c r="DAK30" s="1221"/>
      <c r="DAL30" s="1221"/>
      <c r="DAM30" s="1221"/>
      <c r="DAN30" s="1221"/>
      <c r="DAO30" s="1221"/>
      <c r="DAP30" s="1221"/>
      <c r="DAQ30" s="1221"/>
      <c r="DAR30" s="1221"/>
      <c r="DAS30" s="1221"/>
      <c r="DAT30" s="1221"/>
      <c r="DAU30" s="1221"/>
      <c r="DAV30" s="1221"/>
      <c r="DAW30" s="1221"/>
      <c r="DAX30" s="1221"/>
      <c r="DAY30" s="1221"/>
      <c r="DAZ30" s="1221"/>
      <c r="DBA30" s="1221"/>
      <c r="DBB30" s="1221"/>
      <c r="DBC30" s="1221"/>
      <c r="DBD30" s="1221"/>
      <c r="DBE30" s="1221"/>
      <c r="DBF30" s="1221"/>
      <c r="DBG30" s="1221"/>
      <c r="DBH30" s="1221"/>
      <c r="DBI30" s="1221"/>
      <c r="DBJ30" s="1221"/>
      <c r="DBK30" s="1221"/>
      <c r="DBL30" s="1221"/>
      <c r="DBM30" s="1221"/>
      <c r="DBN30" s="1221"/>
      <c r="DBO30" s="1221"/>
      <c r="DBP30" s="1221"/>
      <c r="DBQ30" s="1221"/>
      <c r="DBR30" s="1221"/>
      <c r="DBS30" s="1221"/>
      <c r="DBT30" s="1221"/>
      <c r="DBU30" s="1221"/>
      <c r="DBV30" s="1221"/>
      <c r="DBW30" s="1221"/>
      <c r="DBX30" s="1221"/>
      <c r="DBY30" s="1221"/>
      <c r="DBZ30" s="1221"/>
      <c r="DCA30" s="1221"/>
      <c r="DCB30" s="1221"/>
      <c r="DCC30" s="1221"/>
      <c r="DCD30" s="1221"/>
      <c r="DCE30" s="1221"/>
      <c r="DCF30" s="1221"/>
      <c r="DCG30" s="1221"/>
      <c r="DCH30" s="1221"/>
      <c r="DCI30" s="1221"/>
      <c r="DCJ30" s="1221"/>
      <c r="DCK30" s="1221"/>
      <c r="DCL30" s="1221"/>
      <c r="DCM30" s="1221"/>
      <c r="DCN30" s="1221"/>
      <c r="DCO30" s="1221"/>
      <c r="DCP30" s="1221"/>
      <c r="DCQ30" s="1221"/>
      <c r="DCR30" s="1221"/>
      <c r="DCS30" s="1221"/>
      <c r="DCT30" s="1221"/>
      <c r="DCU30" s="1221"/>
      <c r="DCV30" s="1221"/>
      <c r="DCW30" s="1221"/>
      <c r="DCX30" s="1221"/>
      <c r="DCY30" s="1221"/>
      <c r="DCZ30" s="1221"/>
      <c r="DDA30" s="1221"/>
      <c r="DDB30" s="1221"/>
      <c r="DDC30" s="1221"/>
      <c r="DDD30" s="1221"/>
      <c r="DDE30" s="1221"/>
      <c r="DDF30" s="1221"/>
      <c r="DDG30" s="1221"/>
      <c r="DDH30" s="1221"/>
      <c r="DDI30" s="1221"/>
      <c r="DDJ30" s="1221"/>
      <c r="DDK30" s="1221"/>
      <c r="DDL30" s="1221"/>
      <c r="DDM30" s="1221"/>
      <c r="DDN30" s="1221"/>
      <c r="DDO30" s="1221"/>
      <c r="DDP30" s="1221"/>
      <c r="DDQ30" s="1221"/>
      <c r="DDR30" s="1221"/>
      <c r="DDS30" s="1221"/>
      <c r="DDT30" s="1221"/>
      <c r="DDU30" s="1221"/>
      <c r="DDV30" s="1221"/>
      <c r="DDW30" s="1221"/>
      <c r="DDX30" s="1221"/>
      <c r="DDY30" s="1221"/>
      <c r="DDZ30" s="1221"/>
      <c r="DEA30" s="1221"/>
      <c r="DEB30" s="1221"/>
      <c r="DEC30" s="1221"/>
      <c r="DED30" s="1221"/>
      <c r="DEE30" s="1221"/>
      <c r="DEF30" s="1221"/>
      <c r="DEG30" s="1221"/>
      <c r="DEH30" s="1221"/>
      <c r="DEI30" s="1221"/>
      <c r="DEJ30" s="1221"/>
      <c r="DEK30" s="1221"/>
      <c r="DEL30" s="1221"/>
      <c r="DEM30" s="1221"/>
      <c r="DEN30" s="1221"/>
      <c r="DEO30" s="1221"/>
      <c r="DEP30" s="1221"/>
      <c r="DEQ30" s="1221"/>
      <c r="DER30" s="1221"/>
      <c r="DES30" s="1221"/>
      <c r="DET30" s="1221"/>
      <c r="DEU30" s="1221"/>
      <c r="DEV30" s="1221"/>
      <c r="DEW30" s="1221"/>
      <c r="DEX30" s="1221"/>
      <c r="DEY30" s="1221"/>
      <c r="DEZ30" s="1221"/>
      <c r="DFA30" s="1221"/>
      <c r="DFB30" s="1221"/>
      <c r="DFC30" s="1221"/>
      <c r="DFD30" s="1221"/>
      <c r="DFE30" s="1221"/>
      <c r="DFF30" s="1221"/>
      <c r="DFG30" s="1221"/>
      <c r="DFH30" s="1221"/>
      <c r="DFI30" s="1221"/>
      <c r="DFJ30" s="1221"/>
      <c r="DFK30" s="1221"/>
      <c r="DFL30" s="1221"/>
      <c r="DFM30" s="1221"/>
      <c r="DFN30" s="1221"/>
      <c r="DFO30" s="1221"/>
      <c r="DFP30" s="1221"/>
      <c r="DFQ30" s="1221"/>
      <c r="DFR30" s="1221"/>
      <c r="DFS30" s="1221"/>
      <c r="DFT30" s="1221"/>
      <c r="DFU30" s="1221"/>
      <c r="DFV30" s="1221"/>
      <c r="DFW30" s="1221"/>
      <c r="DFX30" s="1221"/>
      <c r="DFY30" s="1221"/>
      <c r="DFZ30" s="1221"/>
      <c r="DGA30" s="1221"/>
      <c r="DGB30" s="1221"/>
      <c r="DGC30" s="1221"/>
      <c r="DGD30" s="1221"/>
      <c r="DGE30" s="1221"/>
      <c r="DGF30" s="1221"/>
      <c r="DGG30" s="1221"/>
      <c r="DGH30" s="1221"/>
      <c r="DGI30" s="1221"/>
      <c r="DGJ30" s="1221"/>
      <c r="DGK30" s="1221"/>
      <c r="DGL30" s="1221"/>
      <c r="DGM30" s="1221"/>
      <c r="DGN30" s="1221"/>
      <c r="DGO30" s="1221"/>
      <c r="DGP30" s="1221"/>
      <c r="DGQ30" s="1221"/>
      <c r="DGR30" s="1221"/>
      <c r="DGS30" s="1221"/>
      <c r="DGT30" s="1221"/>
      <c r="DGU30" s="1221"/>
      <c r="DGV30" s="1221"/>
      <c r="DGW30" s="1221"/>
      <c r="DGX30" s="1221"/>
      <c r="DGY30" s="1221"/>
      <c r="DGZ30" s="1221"/>
      <c r="DHA30" s="1221"/>
      <c r="DHB30" s="1221"/>
      <c r="DHC30" s="1221"/>
      <c r="DHD30" s="1221"/>
      <c r="DHE30" s="1221"/>
      <c r="DHF30" s="1221"/>
      <c r="DHG30" s="1221"/>
      <c r="DHH30" s="1221"/>
      <c r="DHI30" s="1221"/>
      <c r="DHJ30" s="1221"/>
      <c r="DHK30" s="1221"/>
      <c r="DHL30" s="1221"/>
      <c r="DHM30" s="1221"/>
      <c r="DHN30" s="1221"/>
      <c r="DHO30" s="1221"/>
      <c r="DHP30" s="1221"/>
      <c r="DHQ30" s="1221"/>
      <c r="DHR30" s="1221"/>
      <c r="DHS30" s="1221"/>
      <c r="DHT30" s="1221"/>
      <c r="DHU30" s="1221"/>
      <c r="DHV30" s="1221"/>
      <c r="DHW30" s="1221"/>
      <c r="DHX30" s="1221"/>
      <c r="DHY30" s="1221"/>
      <c r="DHZ30" s="1221"/>
      <c r="DIA30" s="1221"/>
      <c r="DIB30" s="1221"/>
      <c r="DIC30" s="1221"/>
      <c r="DID30" s="1221"/>
      <c r="DIE30" s="1221"/>
      <c r="DIF30" s="1221"/>
      <c r="DIG30" s="1221"/>
      <c r="DIH30" s="1221"/>
      <c r="DII30" s="1221"/>
      <c r="DIJ30" s="1221"/>
      <c r="DIK30" s="1221"/>
      <c r="DIL30" s="1221"/>
      <c r="DIM30" s="1221"/>
      <c r="DIN30" s="1221"/>
      <c r="DIO30" s="1221"/>
      <c r="DIP30" s="1221"/>
      <c r="DIQ30" s="1221"/>
      <c r="DIR30" s="1221"/>
      <c r="DIS30" s="1221"/>
      <c r="DIT30" s="1221"/>
      <c r="DIU30" s="1221"/>
      <c r="DIV30" s="1221"/>
      <c r="DIW30" s="1221"/>
      <c r="DIX30" s="1221"/>
      <c r="DIY30" s="1221"/>
      <c r="DIZ30" s="1221"/>
      <c r="DJA30" s="1221"/>
      <c r="DJB30" s="1221"/>
      <c r="DJC30" s="1221"/>
      <c r="DJD30" s="1221"/>
      <c r="DJE30" s="1221"/>
      <c r="DJF30" s="1221"/>
      <c r="DJG30" s="1221"/>
      <c r="DJH30" s="1221"/>
      <c r="DJI30" s="1221"/>
      <c r="DJJ30" s="1221"/>
      <c r="DJK30" s="1221"/>
      <c r="DJL30" s="1221"/>
      <c r="DJM30" s="1221"/>
      <c r="DJN30" s="1221"/>
      <c r="DJO30" s="1221"/>
      <c r="DJP30" s="1221"/>
      <c r="DJQ30" s="1221"/>
      <c r="DJR30" s="1221"/>
      <c r="DJS30" s="1221"/>
      <c r="DJT30" s="1221"/>
      <c r="DJU30" s="1221"/>
      <c r="DJV30" s="1221"/>
      <c r="DJW30" s="1221"/>
      <c r="DJX30" s="1221"/>
      <c r="DJY30" s="1221"/>
      <c r="DJZ30" s="1221"/>
      <c r="DKA30" s="1221"/>
      <c r="DKB30" s="1221"/>
      <c r="DKC30" s="1221"/>
      <c r="DKD30" s="1221"/>
      <c r="DKE30" s="1221"/>
      <c r="DKF30" s="1221"/>
      <c r="DKG30" s="1221"/>
      <c r="DKH30" s="1221"/>
      <c r="DKI30" s="1221"/>
      <c r="DKJ30" s="1221"/>
      <c r="DKK30" s="1221"/>
      <c r="DKL30" s="1221"/>
      <c r="DKM30" s="1221"/>
      <c r="DKN30" s="1221"/>
      <c r="DKO30" s="1221"/>
      <c r="DKP30" s="1221"/>
      <c r="DKQ30" s="1221"/>
      <c r="DKR30" s="1221"/>
      <c r="DKS30" s="1221"/>
      <c r="DKT30" s="1221"/>
      <c r="DKU30" s="1221"/>
      <c r="DKV30" s="1221"/>
      <c r="DKW30" s="1221"/>
      <c r="DKX30" s="1221"/>
      <c r="DKY30" s="1221"/>
      <c r="DKZ30" s="1221"/>
      <c r="DLA30" s="1221"/>
      <c r="DLB30" s="1221"/>
      <c r="DLC30" s="1221"/>
      <c r="DLD30" s="1221"/>
      <c r="DLE30" s="1221"/>
      <c r="DLF30" s="1221"/>
      <c r="DLG30" s="1221"/>
      <c r="DLH30" s="1221"/>
      <c r="DLI30" s="1221"/>
      <c r="DLJ30" s="1221"/>
      <c r="DLK30" s="1221"/>
      <c r="DLL30" s="1221"/>
      <c r="DLM30" s="1221"/>
      <c r="DLN30" s="1221"/>
      <c r="DLO30" s="1221"/>
      <c r="DLP30" s="1221"/>
      <c r="DLQ30" s="1221"/>
      <c r="DLR30" s="1221"/>
      <c r="DLS30" s="1221"/>
      <c r="DLT30" s="1221"/>
      <c r="DLU30" s="1221"/>
      <c r="DLV30" s="1221"/>
      <c r="DLW30" s="1221"/>
      <c r="DLX30" s="1221"/>
      <c r="DLY30" s="1221"/>
      <c r="DLZ30" s="1221"/>
      <c r="DMA30" s="1221"/>
      <c r="DMB30" s="1221"/>
      <c r="DMC30" s="1221"/>
      <c r="DMD30" s="1221"/>
      <c r="DME30" s="1221"/>
      <c r="DMF30" s="1221"/>
      <c r="DMG30" s="1221"/>
      <c r="DMH30" s="1221"/>
      <c r="DMI30" s="1221"/>
      <c r="DMJ30" s="1221"/>
      <c r="DMK30" s="1221"/>
      <c r="DML30" s="1221"/>
      <c r="DMM30" s="1221"/>
      <c r="DMN30" s="1221"/>
      <c r="DMO30" s="1221"/>
      <c r="DMP30" s="1221"/>
      <c r="DMQ30" s="1221"/>
      <c r="DMR30" s="1221"/>
      <c r="DMS30" s="1221"/>
      <c r="DMT30" s="1221"/>
      <c r="DMU30" s="1221"/>
      <c r="DMV30" s="1221"/>
      <c r="DMW30" s="1221"/>
      <c r="DMX30" s="1221"/>
      <c r="DMY30" s="1221"/>
      <c r="DMZ30" s="1221"/>
      <c r="DNA30" s="1221"/>
      <c r="DNB30" s="1221"/>
      <c r="DNC30" s="1221"/>
      <c r="DND30" s="1221"/>
      <c r="DNE30" s="1221"/>
      <c r="DNF30" s="1221"/>
      <c r="DNG30" s="1221"/>
      <c r="DNH30" s="1221"/>
      <c r="DNI30" s="1221"/>
      <c r="DNJ30" s="1221"/>
      <c r="DNK30" s="1221"/>
      <c r="DNL30" s="1221"/>
      <c r="DNM30" s="1221"/>
      <c r="DNN30" s="1221"/>
      <c r="DNO30" s="1221"/>
      <c r="DNP30" s="1221"/>
      <c r="DNQ30" s="1221"/>
      <c r="DNR30" s="1221"/>
      <c r="DNS30" s="1221"/>
      <c r="DNT30" s="1221"/>
      <c r="DNU30" s="1221"/>
      <c r="DNV30" s="1221"/>
      <c r="DNW30" s="1221"/>
      <c r="DNX30" s="1221"/>
      <c r="DNY30" s="1221"/>
      <c r="DNZ30" s="1221"/>
      <c r="DOA30" s="1221"/>
      <c r="DOB30" s="1221"/>
      <c r="DOC30" s="1221"/>
      <c r="DOD30" s="1221"/>
      <c r="DOE30" s="1221"/>
      <c r="DOF30" s="1221"/>
      <c r="DOG30" s="1221"/>
      <c r="DOH30" s="1221"/>
      <c r="DOI30" s="1221"/>
      <c r="DOJ30" s="1221"/>
      <c r="DOK30" s="1221"/>
      <c r="DOL30" s="1221"/>
      <c r="DOM30" s="1221"/>
      <c r="DON30" s="1221"/>
      <c r="DOO30" s="1221"/>
      <c r="DOP30" s="1221"/>
      <c r="DOQ30" s="1221"/>
      <c r="DOR30" s="1221"/>
      <c r="DOS30" s="1221"/>
      <c r="DOT30" s="1221"/>
      <c r="DOU30" s="1221"/>
      <c r="DOV30" s="1221"/>
      <c r="DOW30" s="1221"/>
      <c r="DOX30" s="1221"/>
      <c r="DOY30" s="1221"/>
      <c r="DOZ30" s="1221"/>
      <c r="DPA30" s="1221"/>
      <c r="DPB30" s="1221"/>
      <c r="DPC30" s="1221"/>
      <c r="DPD30" s="1221"/>
      <c r="DPE30" s="1221"/>
      <c r="DPF30" s="1221"/>
      <c r="DPG30" s="1221"/>
      <c r="DPH30" s="1221"/>
      <c r="DPI30" s="1221"/>
      <c r="DPJ30" s="1221"/>
      <c r="DPK30" s="1221"/>
      <c r="DPL30" s="1221"/>
      <c r="DPM30" s="1221"/>
      <c r="DPN30" s="1221"/>
      <c r="DPO30" s="1221"/>
      <c r="DPP30" s="1221"/>
      <c r="DPQ30" s="1221"/>
      <c r="DPR30" s="1221"/>
      <c r="DPS30" s="1221"/>
      <c r="DPT30" s="1221"/>
      <c r="DPU30" s="1221"/>
      <c r="DPV30" s="1221"/>
      <c r="DPW30" s="1221"/>
      <c r="DPX30" s="1221"/>
      <c r="DPY30" s="1221"/>
      <c r="DPZ30" s="1221"/>
      <c r="DQA30" s="1221"/>
      <c r="DQB30" s="1221"/>
      <c r="DQC30" s="1221"/>
      <c r="DQD30" s="1221"/>
      <c r="DQE30" s="1221"/>
      <c r="DQF30" s="1221"/>
      <c r="DQG30" s="1221"/>
      <c r="DQH30" s="1221"/>
      <c r="DQI30" s="1221"/>
      <c r="DQJ30" s="1221"/>
      <c r="DQK30" s="1221"/>
      <c r="DQL30" s="1221"/>
      <c r="DQM30" s="1221"/>
      <c r="DQN30" s="1221"/>
      <c r="DQO30" s="1221"/>
      <c r="DQP30" s="1221"/>
      <c r="DQQ30" s="1221"/>
      <c r="DQR30" s="1221"/>
      <c r="DQS30" s="1221"/>
      <c r="DQT30" s="1221"/>
      <c r="DQU30" s="1221"/>
      <c r="DQV30" s="1221"/>
      <c r="DQW30" s="1221"/>
      <c r="DQX30" s="1221"/>
      <c r="DQY30" s="1221"/>
      <c r="DQZ30" s="1221"/>
      <c r="DRA30" s="1221"/>
      <c r="DRB30" s="1221"/>
      <c r="DRC30" s="1221"/>
      <c r="DRD30" s="1221"/>
      <c r="DRE30" s="1221"/>
      <c r="DRF30" s="1221"/>
      <c r="DRG30" s="1221"/>
      <c r="DRH30" s="1221"/>
      <c r="DRI30" s="1221"/>
      <c r="DRJ30" s="1221"/>
      <c r="DRK30" s="1221"/>
      <c r="DRL30" s="1221"/>
      <c r="DRM30" s="1221"/>
      <c r="DRN30" s="1221"/>
      <c r="DRO30" s="1221"/>
      <c r="DRP30" s="1221"/>
      <c r="DRQ30" s="1221"/>
      <c r="DRR30" s="1221"/>
      <c r="DRS30" s="1221"/>
      <c r="DRT30" s="1221"/>
      <c r="DRU30" s="1221"/>
      <c r="DRV30" s="1221"/>
      <c r="DRW30" s="1221"/>
      <c r="DRX30" s="1221"/>
      <c r="DRY30" s="1221"/>
      <c r="DRZ30" s="1221"/>
      <c r="DSA30" s="1221"/>
      <c r="DSB30" s="1221"/>
      <c r="DSC30" s="1221"/>
      <c r="DSD30" s="1221"/>
      <c r="DSE30" s="1221"/>
      <c r="DSF30" s="1221"/>
      <c r="DSG30" s="1221"/>
      <c r="DSH30" s="1221"/>
      <c r="DSI30" s="1221"/>
      <c r="DSJ30" s="1221"/>
      <c r="DSK30" s="1221"/>
      <c r="DSL30" s="1221"/>
      <c r="DSM30" s="1221"/>
      <c r="DSN30" s="1221"/>
      <c r="DSO30" s="1221"/>
      <c r="DSP30" s="1221"/>
      <c r="DSQ30" s="1221"/>
      <c r="DSR30" s="1221"/>
      <c r="DSS30" s="1221"/>
      <c r="DST30" s="1221"/>
      <c r="DSU30" s="1221"/>
      <c r="DSV30" s="1221"/>
      <c r="DSW30" s="1221"/>
      <c r="DSX30" s="1221"/>
      <c r="DSY30" s="1221"/>
      <c r="DSZ30" s="1221"/>
      <c r="DTA30" s="1221"/>
      <c r="DTB30" s="1221"/>
      <c r="DTC30" s="1221"/>
      <c r="DTD30" s="1221"/>
      <c r="DTE30" s="1221"/>
      <c r="DTF30" s="1221"/>
      <c r="DTG30" s="1221"/>
      <c r="DTH30" s="1221"/>
      <c r="DTI30" s="1221"/>
      <c r="DTJ30" s="1221"/>
      <c r="DTK30" s="1221"/>
      <c r="DTL30" s="1221"/>
      <c r="DTM30" s="1221"/>
      <c r="DTN30" s="1221"/>
      <c r="DTO30" s="1221"/>
      <c r="DTP30" s="1221"/>
      <c r="DTQ30" s="1221"/>
      <c r="DTR30" s="1221"/>
      <c r="DTS30" s="1221"/>
      <c r="DTT30" s="1221"/>
      <c r="DTU30" s="1221"/>
      <c r="DTV30" s="1221"/>
      <c r="DTW30" s="1221"/>
      <c r="DTX30" s="1221"/>
      <c r="DTY30" s="1221"/>
      <c r="DTZ30" s="1221"/>
      <c r="DUA30" s="1221"/>
      <c r="DUB30" s="1221"/>
      <c r="DUC30" s="1221"/>
      <c r="DUD30" s="1221"/>
      <c r="DUE30" s="1221"/>
      <c r="DUF30" s="1221"/>
      <c r="DUG30" s="1221"/>
      <c r="DUH30" s="1221"/>
      <c r="DUI30" s="1221"/>
      <c r="DUJ30" s="1221"/>
      <c r="DUK30" s="1221"/>
      <c r="DUL30" s="1221"/>
      <c r="DUM30" s="1221"/>
      <c r="DUN30" s="1221"/>
      <c r="DUO30" s="1221"/>
      <c r="DUP30" s="1221"/>
      <c r="DUQ30" s="1221"/>
      <c r="DUR30" s="1221"/>
      <c r="DUS30" s="1221"/>
      <c r="DUT30" s="1221"/>
      <c r="DUU30" s="1221"/>
      <c r="DUV30" s="1221"/>
      <c r="DUW30" s="1221"/>
      <c r="DUX30" s="1221"/>
      <c r="DUY30" s="1221"/>
      <c r="DUZ30" s="1221"/>
      <c r="DVA30" s="1221"/>
      <c r="DVB30" s="1221"/>
      <c r="DVC30" s="1221"/>
      <c r="DVD30" s="1221"/>
      <c r="DVE30" s="1221"/>
      <c r="DVF30" s="1221"/>
      <c r="DVG30" s="1221"/>
      <c r="DVH30" s="1221"/>
      <c r="DVI30" s="1221"/>
      <c r="DVJ30" s="1221"/>
      <c r="DVK30" s="1221"/>
      <c r="DVL30" s="1221"/>
      <c r="DVM30" s="1221"/>
      <c r="DVN30" s="1221"/>
      <c r="DVO30" s="1221"/>
      <c r="DVP30" s="1221"/>
      <c r="DVQ30" s="1221"/>
      <c r="DVR30" s="1221"/>
      <c r="DVS30" s="1221"/>
      <c r="DVT30" s="1221"/>
      <c r="DVU30" s="1221"/>
      <c r="DVV30" s="1221"/>
      <c r="DVW30" s="1221"/>
      <c r="DVX30" s="1221"/>
      <c r="DVY30" s="1221"/>
      <c r="DVZ30" s="1221"/>
      <c r="DWA30" s="1221"/>
      <c r="DWB30" s="1221"/>
      <c r="DWC30" s="1221"/>
      <c r="DWD30" s="1221"/>
      <c r="DWE30" s="1221"/>
      <c r="DWF30" s="1221"/>
      <c r="DWG30" s="1221"/>
      <c r="DWH30" s="1221"/>
      <c r="DWI30" s="1221"/>
      <c r="DWJ30" s="1221"/>
      <c r="DWK30" s="1221"/>
      <c r="DWL30" s="1221"/>
      <c r="DWM30" s="1221"/>
      <c r="DWN30" s="1221"/>
      <c r="DWO30" s="1221"/>
      <c r="DWP30" s="1221"/>
      <c r="DWQ30" s="1221"/>
      <c r="DWR30" s="1221"/>
      <c r="DWS30" s="1221"/>
      <c r="DWT30" s="1221"/>
      <c r="DWU30" s="1221"/>
      <c r="DWV30" s="1221"/>
      <c r="DWW30" s="1221"/>
      <c r="DWX30" s="1221"/>
      <c r="DWY30" s="1221"/>
      <c r="DWZ30" s="1221"/>
      <c r="DXA30" s="1221"/>
      <c r="DXB30" s="1221"/>
      <c r="DXC30" s="1221"/>
      <c r="DXD30" s="1221"/>
      <c r="DXE30" s="1221"/>
      <c r="DXF30" s="1221"/>
      <c r="DXG30" s="1221"/>
      <c r="DXH30" s="1221"/>
      <c r="DXI30" s="1221"/>
      <c r="DXJ30" s="1221"/>
      <c r="DXK30" s="1221"/>
      <c r="DXL30" s="1221"/>
      <c r="DXM30" s="1221"/>
      <c r="DXN30" s="1221"/>
      <c r="DXO30" s="1221"/>
      <c r="DXP30" s="1221"/>
      <c r="DXQ30" s="1221"/>
      <c r="DXR30" s="1221"/>
      <c r="DXS30" s="1221"/>
      <c r="DXT30" s="1221"/>
      <c r="DXU30" s="1221"/>
      <c r="DXV30" s="1221"/>
      <c r="DXW30" s="1221"/>
      <c r="DXX30" s="1221"/>
      <c r="DXY30" s="1221"/>
      <c r="DXZ30" s="1221"/>
      <c r="DYA30" s="1221"/>
      <c r="DYB30" s="1221"/>
      <c r="DYC30" s="1221"/>
      <c r="DYD30" s="1221"/>
      <c r="DYE30" s="1221"/>
      <c r="DYF30" s="1221"/>
      <c r="DYG30" s="1221"/>
      <c r="DYH30" s="1221"/>
      <c r="DYI30" s="1221"/>
      <c r="DYJ30" s="1221"/>
      <c r="DYK30" s="1221"/>
      <c r="DYL30" s="1221"/>
      <c r="DYM30" s="1221"/>
      <c r="DYN30" s="1221"/>
      <c r="DYO30" s="1221"/>
      <c r="DYP30" s="1221"/>
      <c r="DYQ30" s="1221"/>
      <c r="DYR30" s="1221"/>
      <c r="DYS30" s="1221"/>
      <c r="DYT30" s="1221"/>
      <c r="DYU30" s="1221"/>
      <c r="DYV30" s="1221"/>
      <c r="DYW30" s="1221"/>
      <c r="DYX30" s="1221"/>
      <c r="DYY30" s="1221"/>
      <c r="DYZ30" s="1221"/>
      <c r="DZA30" s="1221"/>
      <c r="DZB30" s="1221"/>
      <c r="DZC30" s="1221"/>
      <c r="DZD30" s="1221"/>
      <c r="DZE30" s="1221"/>
      <c r="DZF30" s="1221"/>
      <c r="DZG30" s="1221"/>
      <c r="DZH30" s="1221"/>
      <c r="DZI30" s="1221"/>
      <c r="DZJ30" s="1221"/>
      <c r="DZK30" s="1221"/>
      <c r="DZL30" s="1221"/>
      <c r="DZM30" s="1221"/>
      <c r="DZN30" s="1221"/>
      <c r="DZO30" s="1221"/>
      <c r="DZP30" s="1221"/>
      <c r="DZQ30" s="1221"/>
      <c r="DZR30" s="1221"/>
      <c r="DZS30" s="1221"/>
      <c r="DZT30" s="1221"/>
      <c r="DZU30" s="1221"/>
      <c r="DZV30" s="1221"/>
      <c r="DZW30" s="1221"/>
      <c r="DZX30" s="1221"/>
      <c r="DZY30" s="1221"/>
      <c r="DZZ30" s="1221"/>
      <c r="EAA30" s="1221"/>
      <c r="EAB30" s="1221"/>
      <c r="EAC30" s="1221"/>
      <c r="EAD30" s="1221"/>
      <c r="EAE30" s="1221"/>
      <c r="EAF30" s="1221"/>
      <c r="EAG30" s="1221"/>
      <c r="EAH30" s="1221"/>
      <c r="EAI30" s="1221"/>
      <c r="EAJ30" s="1221"/>
      <c r="EAK30" s="1221"/>
      <c r="EAL30" s="1221"/>
      <c r="EAM30" s="1221"/>
      <c r="EAN30" s="1221"/>
      <c r="EAO30" s="1221"/>
      <c r="EAP30" s="1221"/>
      <c r="EAQ30" s="1221"/>
      <c r="EAR30" s="1221"/>
      <c r="EAS30" s="1221"/>
      <c r="EAT30" s="1221"/>
      <c r="EAU30" s="1221"/>
      <c r="EAV30" s="1221"/>
      <c r="EAW30" s="1221"/>
      <c r="EAX30" s="1221"/>
      <c r="EAY30" s="1221"/>
      <c r="EAZ30" s="1221"/>
      <c r="EBA30" s="1221"/>
      <c r="EBB30" s="1221"/>
      <c r="EBC30" s="1221"/>
      <c r="EBD30" s="1221"/>
      <c r="EBE30" s="1221"/>
      <c r="EBF30" s="1221"/>
      <c r="EBG30" s="1221"/>
      <c r="EBH30" s="1221"/>
      <c r="EBI30" s="1221"/>
      <c r="EBJ30" s="1221"/>
      <c r="EBK30" s="1221"/>
      <c r="EBL30" s="1221"/>
      <c r="EBM30" s="1221"/>
      <c r="EBN30" s="1221"/>
      <c r="EBO30" s="1221"/>
      <c r="EBP30" s="1221"/>
      <c r="EBQ30" s="1221"/>
      <c r="EBR30" s="1221"/>
      <c r="EBS30" s="1221"/>
      <c r="EBT30" s="1221"/>
      <c r="EBU30" s="1221"/>
      <c r="EBV30" s="1221"/>
      <c r="EBW30" s="1221"/>
      <c r="EBX30" s="1221"/>
      <c r="EBY30" s="1221"/>
      <c r="EBZ30" s="1221"/>
      <c r="ECA30" s="1221"/>
      <c r="ECB30" s="1221"/>
      <c r="ECC30" s="1221"/>
      <c r="ECD30" s="1221"/>
      <c r="ECE30" s="1221"/>
      <c r="ECF30" s="1221"/>
      <c r="ECG30" s="1221"/>
      <c r="ECH30" s="1221"/>
      <c r="ECI30" s="1221"/>
      <c r="ECJ30" s="1221"/>
      <c r="ECK30" s="1221"/>
      <c r="ECL30" s="1221"/>
      <c r="ECM30" s="1221"/>
      <c r="ECN30" s="1221"/>
      <c r="ECO30" s="1221"/>
    </row>
    <row r="31" spans="2:3473" s="1237" customFormat="1" ht="13">
      <c r="B31" s="1238">
        <v>5001.0600000000004</v>
      </c>
      <c r="C31" s="1239" t="s">
        <v>81</v>
      </c>
      <c r="D31" s="1240" t="s">
        <v>139</v>
      </c>
      <c r="E31" s="1241">
        <f t="shared" si="47"/>
        <v>0</v>
      </c>
      <c r="F31" s="1241">
        <f t="shared" si="47"/>
        <v>0</v>
      </c>
      <c r="G31" s="1241">
        <f t="shared" si="47"/>
        <v>0</v>
      </c>
      <c r="H31" s="1241">
        <f t="shared" si="47"/>
        <v>183.17478954503983</v>
      </c>
      <c r="I31" s="1241">
        <f t="shared" si="47"/>
        <v>167.89220878034027</v>
      </c>
      <c r="J31" s="1241">
        <f t="shared" si="47"/>
        <v>15.282580764699601</v>
      </c>
      <c r="K31" s="1241">
        <f t="shared" si="47"/>
        <v>0</v>
      </c>
      <c r="L31" s="1241">
        <f t="shared" si="47"/>
        <v>0</v>
      </c>
      <c r="M31" s="1241">
        <f t="shared" si="47"/>
        <v>0</v>
      </c>
      <c r="N31" s="1241" t="str">
        <f t="shared" si="47"/>
        <v/>
      </c>
      <c r="O31" s="1241" t="str">
        <f t="shared" si="47"/>
        <v/>
      </c>
      <c r="P31" s="1241" t="str">
        <f t="shared" si="47"/>
        <v/>
      </c>
      <c r="Q31" s="1241">
        <f t="shared" si="47"/>
        <v>293.45535677542472</v>
      </c>
      <c r="R31" s="1241">
        <f t="shared" si="47"/>
        <v>268.97188281105895</v>
      </c>
      <c r="S31" s="1241">
        <f t="shared" si="8"/>
        <v>24.483473964365782</v>
      </c>
      <c r="T31" s="1241">
        <f t="shared" si="5"/>
        <v>565.17888817709286</v>
      </c>
      <c r="U31" s="1241">
        <f t="shared" si="5"/>
        <v>518.02506298901619</v>
      </c>
      <c r="V31" s="1241">
        <f t="shared" si="9"/>
        <v>47.153825188076688</v>
      </c>
      <c r="W31" s="1241" t="str">
        <f t="shared" si="10"/>
        <v/>
      </c>
      <c r="X31" s="1241" t="str">
        <f t="shared" si="10"/>
        <v/>
      </c>
      <c r="Y31" s="1241" t="str">
        <f t="shared" si="10"/>
        <v/>
      </c>
      <c r="Z31" s="1242">
        <f t="shared" si="11"/>
        <v>188.32013961597454</v>
      </c>
      <c r="AA31" s="1242">
        <f t="shared" si="11"/>
        <v>172.60827364113757</v>
      </c>
      <c r="AB31" s="1242">
        <f t="shared" si="11"/>
        <v>15.711865974836982</v>
      </c>
      <c r="AC31" s="1242">
        <f t="shared" si="15"/>
        <v>250.19425986144489</v>
      </c>
      <c r="AD31" s="1243">
        <f t="shared" si="15"/>
        <v>229.32013197139156</v>
      </c>
      <c r="AE31" s="1243">
        <f t="shared" si="15"/>
        <v>20.874127890053366</v>
      </c>
      <c r="AF31" s="1244">
        <f t="shared" ref="AF31:BL31" si="54">SUM(AF32:AF34)</f>
        <v>0</v>
      </c>
      <c r="AG31" s="1245">
        <f t="shared" si="54"/>
        <v>0</v>
      </c>
      <c r="AH31" s="1245">
        <f t="shared" si="54"/>
        <v>0</v>
      </c>
      <c r="AI31" s="1245">
        <f t="shared" si="54"/>
        <v>790.83792050780721</v>
      </c>
      <c r="AJ31" s="1245">
        <f t="shared" si="54"/>
        <v>724.85698272719708</v>
      </c>
      <c r="AK31" s="1245">
        <f t="shared" si="54"/>
        <v>65.980937780610233</v>
      </c>
      <c r="AL31" s="1245">
        <f t="shared" si="54"/>
        <v>0</v>
      </c>
      <c r="AM31" s="1245">
        <f t="shared" si="54"/>
        <v>0</v>
      </c>
      <c r="AN31" s="1245">
        <f t="shared" si="54"/>
        <v>0</v>
      </c>
      <c r="AO31" s="1245">
        <f t="shared" si="54"/>
        <v>0</v>
      </c>
      <c r="AP31" s="1245">
        <f t="shared" si="54"/>
        <v>0</v>
      </c>
      <c r="AQ31" s="1245">
        <f t="shared" si="54"/>
        <v>0</v>
      </c>
      <c r="AR31" s="1245">
        <f t="shared" si="54"/>
        <v>1736.5038794864558</v>
      </c>
      <c r="AS31" s="1245">
        <f t="shared" si="54"/>
        <v>1591.624440277707</v>
      </c>
      <c r="AT31" s="1245">
        <f t="shared" si="54"/>
        <v>144.87943920874872</v>
      </c>
      <c r="AU31" s="1245">
        <f t="shared" si="54"/>
        <v>59.848488005736897</v>
      </c>
      <c r="AV31" s="1245">
        <f t="shared" si="54"/>
        <v>54.855227995095895</v>
      </c>
      <c r="AW31" s="1245">
        <f t="shared" si="54"/>
        <v>4.9932600106410048</v>
      </c>
      <c r="AX31" s="1245"/>
      <c r="AY31" s="1245"/>
      <c r="AZ31" s="1245"/>
      <c r="BA31" s="1245">
        <f t="shared" si="54"/>
        <v>2587.1902879999998</v>
      </c>
      <c r="BB31" s="1245">
        <f t="shared" si="54"/>
        <v>2371.3366510000001</v>
      </c>
      <c r="BC31" s="1245">
        <f t="shared" si="54"/>
        <v>215.85363699999999</v>
      </c>
      <c r="BD31" s="1245">
        <f t="shared" si="54"/>
        <v>0</v>
      </c>
      <c r="BE31" s="1245">
        <f t="shared" si="54"/>
        <v>0</v>
      </c>
      <c r="BF31" s="1245">
        <f t="shared" si="54"/>
        <v>0</v>
      </c>
      <c r="BG31" s="1245">
        <f t="shared" si="54"/>
        <v>0</v>
      </c>
      <c r="BH31" s="1245">
        <f t="shared" si="54"/>
        <v>0</v>
      </c>
      <c r="BI31" s="1245">
        <f t="shared" si="54"/>
        <v>0</v>
      </c>
      <c r="BJ31" s="1245">
        <f t="shared" si="54"/>
        <v>2587.1902879999998</v>
      </c>
      <c r="BK31" s="1245">
        <f t="shared" si="54"/>
        <v>2371.3366510000001</v>
      </c>
      <c r="BL31" s="1245">
        <f t="shared" si="54"/>
        <v>215.85363699999999</v>
      </c>
      <c r="BM31" s="1246"/>
      <c r="BN31" s="1225">
        <f t="shared" si="12"/>
        <v>0</v>
      </c>
      <c r="BO31" s="1225">
        <f t="shared" si="13"/>
        <v>0</v>
      </c>
      <c r="BP31" s="1225">
        <f t="shared" si="14"/>
        <v>0</v>
      </c>
      <c r="BQ31" s="1247"/>
      <c r="BR31" s="1247"/>
      <c r="BS31" s="1247"/>
      <c r="BT31" s="1247"/>
      <c r="BU31" s="1247"/>
      <c r="BV31" s="1247"/>
      <c r="BW31" s="1247"/>
      <c r="BX31" s="1247"/>
      <c r="BY31" s="1247"/>
      <c r="BZ31" s="1247"/>
      <c r="CA31" s="1247"/>
      <c r="CB31" s="1247"/>
      <c r="CC31" s="1247"/>
      <c r="CD31" s="1247"/>
      <c r="CE31" s="1247"/>
      <c r="CF31" s="1247"/>
      <c r="CG31" s="1247"/>
      <c r="CH31" s="1247"/>
      <c r="CI31" s="1247"/>
      <c r="CJ31" s="1247"/>
      <c r="CK31" s="1247"/>
      <c r="CL31" s="1247"/>
      <c r="CM31" s="1247"/>
      <c r="CN31" s="1247"/>
      <c r="CO31" s="1247"/>
      <c r="CP31" s="1247"/>
      <c r="CQ31" s="1247"/>
      <c r="CR31" s="1247"/>
      <c r="CS31" s="1247"/>
      <c r="CT31" s="1247"/>
      <c r="CU31" s="1247"/>
      <c r="CV31" s="1247"/>
      <c r="CW31" s="1247"/>
      <c r="CX31" s="1247"/>
      <c r="CY31" s="1247"/>
      <c r="CZ31" s="1247"/>
      <c r="DA31" s="1247"/>
      <c r="DB31" s="1247"/>
      <c r="DC31" s="1247"/>
      <c r="DD31" s="1247"/>
      <c r="DE31" s="1247"/>
      <c r="DF31" s="1247"/>
      <c r="DG31" s="1247"/>
      <c r="DH31" s="1247"/>
      <c r="DI31" s="1247"/>
      <c r="DJ31" s="1247"/>
      <c r="DK31" s="1247"/>
      <c r="DL31" s="1247"/>
      <c r="DM31" s="1247"/>
      <c r="DN31" s="1247"/>
      <c r="DO31" s="1247"/>
      <c r="DP31" s="1247"/>
      <c r="DQ31" s="1247"/>
      <c r="DR31" s="1247"/>
      <c r="DS31" s="1247"/>
      <c r="DT31" s="1247"/>
      <c r="DU31" s="1247"/>
      <c r="DV31" s="1247"/>
      <c r="DW31" s="1247"/>
      <c r="DX31" s="1247"/>
      <c r="DY31" s="1247"/>
      <c r="DZ31" s="1247"/>
      <c r="EA31" s="1247"/>
      <c r="EB31" s="1247"/>
      <c r="EC31" s="1247"/>
      <c r="ED31" s="1247"/>
      <c r="EE31" s="1247"/>
      <c r="EF31" s="1247"/>
      <c r="EG31" s="1247"/>
      <c r="EH31" s="1247"/>
      <c r="EI31" s="1247"/>
      <c r="EJ31" s="1247"/>
      <c r="EK31" s="1247"/>
      <c r="EL31" s="1247"/>
      <c r="EM31" s="1247"/>
      <c r="EN31" s="1247"/>
      <c r="EO31" s="1247"/>
      <c r="EP31" s="1247"/>
      <c r="EQ31" s="1247"/>
      <c r="ER31" s="1247"/>
      <c r="ES31" s="1247"/>
      <c r="ET31" s="1247"/>
      <c r="EU31" s="1247"/>
      <c r="EV31" s="1247"/>
      <c r="EW31" s="1247"/>
      <c r="EX31" s="1247"/>
      <c r="EY31" s="1247"/>
      <c r="EZ31" s="1247"/>
      <c r="FA31" s="1247"/>
      <c r="FB31" s="1247"/>
      <c r="FC31" s="1247"/>
      <c r="FD31" s="1247"/>
      <c r="FE31" s="1247"/>
      <c r="FF31" s="1247"/>
      <c r="FG31" s="1247"/>
      <c r="FH31" s="1247"/>
      <c r="FI31" s="1247"/>
      <c r="FJ31" s="1247"/>
      <c r="FK31" s="1247"/>
      <c r="FL31" s="1247"/>
      <c r="FM31" s="1247"/>
      <c r="FN31" s="1247"/>
      <c r="FO31" s="1247"/>
      <c r="FP31" s="1247"/>
      <c r="FQ31" s="1247"/>
      <c r="FR31" s="1247"/>
      <c r="FS31" s="1247"/>
      <c r="FT31" s="1247"/>
      <c r="FU31" s="1247"/>
      <c r="FV31" s="1247"/>
      <c r="FW31" s="1247"/>
      <c r="FX31" s="1247"/>
      <c r="FY31" s="1247"/>
      <c r="FZ31" s="1247"/>
      <c r="GA31" s="1247"/>
      <c r="GB31" s="1247"/>
      <c r="GC31" s="1247"/>
      <c r="GD31" s="1247"/>
      <c r="GE31" s="1247"/>
      <c r="GF31" s="1247"/>
      <c r="GG31" s="1247"/>
      <c r="GH31" s="1247"/>
      <c r="GI31" s="1247"/>
      <c r="GJ31" s="1247"/>
      <c r="GK31" s="1247"/>
      <c r="GL31" s="1247"/>
      <c r="GM31" s="1247"/>
      <c r="GN31" s="1247"/>
      <c r="GO31" s="1247"/>
      <c r="GP31" s="1247"/>
      <c r="GQ31" s="1247"/>
      <c r="GR31" s="1247"/>
      <c r="GS31" s="1247"/>
      <c r="GT31" s="1247"/>
      <c r="GU31" s="1247"/>
      <c r="GV31" s="1247"/>
      <c r="GW31" s="1247"/>
      <c r="GX31" s="1247"/>
      <c r="GY31" s="1247"/>
      <c r="GZ31" s="1247"/>
      <c r="HA31" s="1247"/>
      <c r="HB31" s="1247"/>
      <c r="HC31" s="1247"/>
      <c r="HD31" s="1247"/>
      <c r="HE31" s="1247"/>
      <c r="HF31" s="1247"/>
      <c r="HG31" s="1247"/>
      <c r="HH31" s="1247"/>
      <c r="HI31" s="1247"/>
      <c r="HJ31" s="1247"/>
      <c r="HK31" s="1247"/>
      <c r="HL31" s="1247"/>
      <c r="HM31" s="1247"/>
      <c r="HN31" s="1247"/>
      <c r="HO31" s="1247"/>
      <c r="HP31" s="1247"/>
      <c r="HQ31" s="1247"/>
      <c r="HR31" s="1247"/>
      <c r="HS31" s="1247"/>
      <c r="HT31" s="1247"/>
      <c r="HU31" s="1247"/>
      <c r="HV31" s="1247"/>
      <c r="HW31" s="1247"/>
      <c r="HX31" s="1247"/>
      <c r="HY31" s="1247"/>
      <c r="HZ31" s="1247"/>
      <c r="IA31" s="1247"/>
      <c r="IB31" s="1247"/>
      <c r="IC31" s="1247"/>
      <c r="ID31" s="1247"/>
      <c r="IE31" s="1247"/>
      <c r="IF31" s="1247"/>
      <c r="IG31" s="1247"/>
      <c r="IH31" s="1247"/>
      <c r="II31" s="1247"/>
      <c r="IJ31" s="1247"/>
      <c r="IK31" s="1247"/>
      <c r="IL31" s="1247"/>
      <c r="IM31" s="1247"/>
      <c r="IN31" s="1247"/>
      <c r="IO31" s="1247"/>
      <c r="IP31" s="1247"/>
      <c r="IQ31" s="1247"/>
      <c r="IR31" s="1247"/>
      <c r="IS31" s="1247"/>
      <c r="IT31" s="1247"/>
      <c r="IU31" s="1247"/>
      <c r="IV31" s="1247"/>
      <c r="IW31" s="1247"/>
      <c r="IX31" s="1247"/>
      <c r="IY31" s="1247"/>
      <c r="IZ31" s="1247"/>
      <c r="JA31" s="1247"/>
      <c r="JB31" s="1247"/>
      <c r="JC31" s="1247"/>
      <c r="JD31" s="1247"/>
      <c r="JE31" s="1247"/>
      <c r="JF31" s="1247"/>
      <c r="JG31" s="1247"/>
      <c r="JH31" s="1247"/>
      <c r="JI31" s="1247"/>
      <c r="JJ31" s="1247"/>
      <c r="JK31" s="1247"/>
      <c r="JL31" s="1247"/>
      <c r="JM31" s="1247"/>
      <c r="JN31" s="1247"/>
      <c r="JO31" s="1247"/>
      <c r="JP31" s="1247"/>
      <c r="JQ31" s="1247"/>
      <c r="JR31" s="1247"/>
      <c r="JS31" s="1247"/>
      <c r="JT31" s="1247"/>
      <c r="JU31" s="1247"/>
      <c r="JV31" s="1247"/>
      <c r="JW31" s="1247"/>
      <c r="JX31" s="1247"/>
      <c r="JY31" s="1247"/>
      <c r="JZ31" s="1247"/>
      <c r="KA31" s="1247"/>
      <c r="KB31" s="1247"/>
      <c r="KC31" s="1247"/>
      <c r="KD31" s="1247"/>
      <c r="KE31" s="1247"/>
      <c r="KF31" s="1247"/>
      <c r="KG31" s="1247"/>
      <c r="KH31" s="1247"/>
      <c r="KI31" s="1247"/>
      <c r="KJ31" s="1247"/>
      <c r="KK31" s="1247"/>
      <c r="KL31" s="1247"/>
      <c r="KM31" s="1247"/>
      <c r="KN31" s="1247"/>
      <c r="KO31" s="1247"/>
      <c r="KP31" s="1247"/>
      <c r="KQ31" s="1247"/>
      <c r="KR31" s="1247"/>
      <c r="KS31" s="1247"/>
      <c r="KT31" s="1247"/>
      <c r="KU31" s="1247"/>
      <c r="KV31" s="1247"/>
      <c r="KW31" s="1247"/>
      <c r="KX31" s="1247"/>
      <c r="KY31" s="1247"/>
      <c r="KZ31" s="1247"/>
      <c r="LA31" s="1247"/>
      <c r="LB31" s="1247"/>
      <c r="LC31" s="1247"/>
      <c r="LD31" s="1247"/>
      <c r="LE31" s="1247"/>
      <c r="LF31" s="1247"/>
      <c r="LG31" s="1247"/>
      <c r="LH31" s="1247"/>
      <c r="LI31" s="1247"/>
      <c r="LJ31" s="1247"/>
      <c r="LK31" s="1247"/>
      <c r="LL31" s="1247"/>
      <c r="LM31" s="1247"/>
      <c r="LN31" s="1247"/>
      <c r="LO31" s="1247"/>
      <c r="LP31" s="1247"/>
      <c r="LQ31" s="1247"/>
      <c r="LR31" s="1247"/>
      <c r="LS31" s="1247"/>
      <c r="LT31" s="1247"/>
      <c r="LU31" s="1247"/>
      <c r="LV31" s="1247"/>
      <c r="LW31" s="1247"/>
      <c r="LX31" s="1247"/>
      <c r="LY31" s="1247"/>
      <c r="LZ31" s="1247"/>
      <c r="MA31" s="1247"/>
      <c r="MB31" s="1247"/>
      <c r="MC31" s="1247"/>
      <c r="MD31" s="1247"/>
      <c r="ME31" s="1247"/>
      <c r="MF31" s="1247"/>
      <c r="MG31" s="1247"/>
      <c r="MH31" s="1247"/>
      <c r="MI31" s="1247"/>
      <c r="MJ31" s="1247"/>
      <c r="MK31" s="1247"/>
      <c r="ML31" s="1247"/>
      <c r="MM31" s="1247"/>
      <c r="MN31" s="1247"/>
      <c r="MO31" s="1247"/>
      <c r="MP31" s="1247"/>
      <c r="MQ31" s="1247"/>
      <c r="MR31" s="1247"/>
      <c r="MS31" s="1247"/>
      <c r="MT31" s="1247"/>
      <c r="MU31" s="1247"/>
      <c r="MV31" s="1247"/>
      <c r="MW31" s="1247"/>
      <c r="MX31" s="1247"/>
      <c r="MY31" s="1247"/>
      <c r="MZ31" s="1247"/>
      <c r="NA31" s="1247"/>
      <c r="NB31" s="1247"/>
      <c r="NC31" s="1247"/>
      <c r="ND31" s="1247"/>
      <c r="NE31" s="1247"/>
      <c r="NF31" s="1247"/>
      <c r="NG31" s="1247"/>
      <c r="NH31" s="1247"/>
      <c r="NI31" s="1247"/>
      <c r="NJ31" s="1247"/>
      <c r="NK31" s="1247"/>
      <c r="NL31" s="1247"/>
      <c r="NM31" s="1247"/>
      <c r="NN31" s="1247"/>
      <c r="NO31" s="1247"/>
      <c r="NP31" s="1247"/>
      <c r="NQ31" s="1247"/>
      <c r="NR31" s="1247"/>
      <c r="NS31" s="1247"/>
      <c r="NT31" s="1247"/>
      <c r="NU31" s="1247"/>
      <c r="NV31" s="1247"/>
      <c r="NW31" s="1247"/>
      <c r="NX31" s="1247"/>
      <c r="NY31" s="1247"/>
      <c r="NZ31" s="1247"/>
      <c r="OA31" s="1247"/>
      <c r="OB31" s="1247"/>
      <c r="OC31" s="1247"/>
      <c r="OD31" s="1247"/>
      <c r="OE31" s="1247"/>
      <c r="OF31" s="1247"/>
      <c r="OG31" s="1247"/>
      <c r="OH31" s="1247"/>
      <c r="OI31" s="1247"/>
      <c r="OJ31" s="1247"/>
      <c r="OK31" s="1247"/>
      <c r="OL31" s="1247"/>
      <c r="OM31" s="1247"/>
      <c r="ON31" s="1247"/>
      <c r="OO31" s="1247"/>
      <c r="OP31" s="1247"/>
      <c r="OQ31" s="1247"/>
      <c r="OR31" s="1247"/>
      <c r="OS31" s="1247"/>
      <c r="OT31" s="1247"/>
      <c r="OU31" s="1247"/>
      <c r="OV31" s="1247"/>
      <c r="OW31" s="1247"/>
      <c r="OX31" s="1247"/>
      <c r="OY31" s="1247"/>
      <c r="OZ31" s="1247"/>
      <c r="PA31" s="1247"/>
      <c r="PB31" s="1247"/>
      <c r="PC31" s="1247"/>
      <c r="PD31" s="1247"/>
      <c r="PE31" s="1247"/>
      <c r="PF31" s="1247"/>
      <c r="PG31" s="1247"/>
      <c r="PH31" s="1247"/>
      <c r="PI31" s="1247"/>
      <c r="PJ31" s="1247"/>
      <c r="PK31" s="1247"/>
      <c r="PL31" s="1247"/>
      <c r="PM31" s="1247"/>
      <c r="PN31" s="1247"/>
      <c r="PO31" s="1247"/>
      <c r="PP31" s="1247"/>
      <c r="PQ31" s="1247"/>
      <c r="PR31" s="1247"/>
      <c r="PS31" s="1247"/>
      <c r="PT31" s="1247"/>
      <c r="PU31" s="1247"/>
      <c r="PV31" s="1247"/>
      <c r="PW31" s="1247"/>
      <c r="PX31" s="1247"/>
      <c r="PY31" s="1247"/>
      <c r="PZ31" s="1247"/>
      <c r="QA31" s="1247"/>
      <c r="QB31" s="1247"/>
      <c r="QC31" s="1247"/>
      <c r="QD31" s="1247"/>
      <c r="QE31" s="1247"/>
      <c r="QF31" s="1247"/>
      <c r="QG31" s="1247"/>
      <c r="QH31" s="1247"/>
      <c r="QI31" s="1247"/>
      <c r="QJ31" s="1247"/>
      <c r="QK31" s="1247"/>
      <c r="QL31" s="1247"/>
      <c r="QM31" s="1247"/>
      <c r="QN31" s="1247"/>
      <c r="QO31" s="1247"/>
      <c r="QP31" s="1247"/>
      <c r="QQ31" s="1247"/>
      <c r="QR31" s="1247"/>
      <c r="QS31" s="1247"/>
      <c r="QT31" s="1247"/>
      <c r="QU31" s="1247"/>
      <c r="QV31" s="1247"/>
      <c r="QW31" s="1247"/>
      <c r="QX31" s="1247"/>
      <c r="QY31" s="1247"/>
      <c r="QZ31" s="1247"/>
      <c r="RA31" s="1247"/>
      <c r="RB31" s="1247"/>
      <c r="RC31" s="1247"/>
      <c r="RD31" s="1247"/>
      <c r="RE31" s="1247"/>
      <c r="RF31" s="1247"/>
      <c r="RG31" s="1247"/>
      <c r="RH31" s="1247"/>
      <c r="RI31" s="1247"/>
      <c r="RJ31" s="1247"/>
      <c r="RK31" s="1247"/>
      <c r="RL31" s="1247"/>
      <c r="RM31" s="1247"/>
      <c r="RN31" s="1247"/>
      <c r="RO31" s="1247"/>
      <c r="RP31" s="1247"/>
      <c r="RQ31" s="1247"/>
      <c r="RR31" s="1247"/>
      <c r="RS31" s="1247"/>
      <c r="RT31" s="1247"/>
      <c r="RU31" s="1247"/>
      <c r="RV31" s="1247"/>
      <c r="RW31" s="1247"/>
      <c r="RX31" s="1247"/>
      <c r="RY31" s="1247"/>
      <c r="RZ31" s="1247"/>
      <c r="SA31" s="1247"/>
      <c r="SB31" s="1247"/>
      <c r="SC31" s="1247"/>
      <c r="SD31" s="1247"/>
      <c r="SE31" s="1247"/>
      <c r="SF31" s="1247"/>
      <c r="SG31" s="1247"/>
      <c r="SH31" s="1247"/>
      <c r="SI31" s="1247"/>
      <c r="SJ31" s="1247"/>
      <c r="SK31" s="1247"/>
      <c r="SL31" s="1247"/>
      <c r="SM31" s="1247"/>
      <c r="SN31" s="1247"/>
      <c r="SO31" s="1247"/>
      <c r="SP31" s="1247"/>
      <c r="SQ31" s="1247"/>
      <c r="SR31" s="1247"/>
      <c r="SS31" s="1247"/>
      <c r="ST31" s="1247"/>
      <c r="SU31" s="1247"/>
      <c r="SV31" s="1247"/>
      <c r="SW31" s="1247"/>
      <c r="SX31" s="1247"/>
      <c r="SY31" s="1247"/>
      <c r="SZ31" s="1247"/>
      <c r="TA31" s="1247"/>
      <c r="TB31" s="1247"/>
      <c r="TC31" s="1247"/>
      <c r="TD31" s="1247"/>
      <c r="TE31" s="1247"/>
      <c r="TF31" s="1247"/>
      <c r="TG31" s="1247"/>
      <c r="TH31" s="1247"/>
      <c r="TI31" s="1247"/>
      <c r="TJ31" s="1247"/>
      <c r="TK31" s="1247"/>
      <c r="TL31" s="1247"/>
      <c r="TM31" s="1247"/>
      <c r="TN31" s="1247"/>
      <c r="TO31" s="1247"/>
      <c r="TP31" s="1247"/>
      <c r="TQ31" s="1247"/>
      <c r="TR31" s="1247"/>
      <c r="TS31" s="1247"/>
      <c r="TT31" s="1247"/>
      <c r="TU31" s="1247"/>
      <c r="TV31" s="1247"/>
      <c r="TW31" s="1247"/>
      <c r="TX31" s="1247"/>
      <c r="TY31" s="1247"/>
      <c r="TZ31" s="1247"/>
      <c r="UA31" s="1247"/>
      <c r="UB31" s="1247"/>
      <c r="UC31" s="1247"/>
      <c r="UD31" s="1247"/>
      <c r="UE31" s="1247"/>
      <c r="UF31" s="1247"/>
      <c r="UG31" s="1247"/>
      <c r="UH31" s="1247"/>
      <c r="UI31" s="1247"/>
      <c r="UJ31" s="1247"/>
      <c r="UK31" s="1247"/>
      <c r="UL31" s="1247"/>
      <c r="UM31" s="1247"/>
      <c r="UN31" s="1247"/>
      <c r="UO31" s="1247"/>
      <c r="UP31" s="1247"/>
      <c r="UQ31" s="1247"/>
      <c r="UR31" s="1247"/>
      <c r="US31" s="1247"/>
      <c r="UT31" s="1247"/>
      <c r="UU31" s="1247"/>
      <c r="UV31" s="1247"/>
      <c r="UW31" s="1247"/>
      <c r="UX31" s="1247"/>
      <c r="UY31" s="1247"/>
      <c r="UZ31" s="1247"/>
      <c r="VA31" s="1247"/>
      <c r="VB31" s="1247"/>
      <c r="VC31" s="1247"/>
      <c r="VD31" s="1247"/>
      <c r="VE31" s="1247"/>
      <c r="VF31" s="1247"/>
      <c r="VG31" s="1247"/>
      <c r="VH31" s="1247"/>
      <c r="VI31" s="1247"/>
      <c r="VJ31" s="1247"/>
      <c r="VK31" s="1247"/>
      <c r="VL31" s="1247"/>
      <c r="VM31" s="1247"/>
      <c r="VN31" s="1247"/>
      <c r="VO31" s="1247"/>
      <c r="VP31" s="1247"/>
      <c r="VQ31" s="1247"/>
      <c r="VR31" s="1247"/>
      <c r="VS31" s="1247"/>
      <c r="VT31" s="1247"/>
      <c r="VU31" s="1247"/>
      <c r="VV31" s="1247"/>
      <c r="VW31" s="1247"/>
      <c r="VX31" s="1247"/>
      <c r="VY31" s="1247"/>
      <c r="VZ31" s="1247"/>
      <c r="WA31" s="1247"/>
      <c r="WB31" s="1247"/>
      <c r="WC31" s="1247"/>
      <c r="WD31" s="1247"/>
      <c r="WE31" s="1247"/>
      <c r="WF31" s="1247"/>
      <c r="WG31" s="1247"/>
      <c r="WH31" s="1247"/>
      <c r="WI31" s="1247"/>
      <c r="WJ31" s="1247"/>
      <c r="WK31" s="1247"/>
      <c r="WL31" s="1247"/>
      <c r="WM31" s="1247"/>
      <c r="WN31" s="1247"/>
      <c r="WO31" s="1247"/>
      <c r="WP31" s="1247"/>
      <c r="WQ31" s="1247"/>
      <c r="WR31" s="1247"/>
      <c r="WS31" s="1247"/>
      <c r="WT31" s="1247"/>
      <c r="WU31" s="1247"/>
      <c r="WV31" s="1247"/>
      <c r="WW31" s="1247"/>
      <c r="WX31" s="1247"/>
      <c r="WY31" s="1247"/>
      <c r="WZ31" s="1247"/>
      <c r="XA31" s="1247"/>
      <c r="XB31" s="1247"/>
      <c r="XC31" s="1247"/>
      <c r="XD31" s="1247"/>
      <c r="XE31" s="1247"/>
      <c r="XF31" s="1247"/>
      <c r="XG31" s="1247"/>
      <c r="XH31" s="1247"/>
      <c r="XI31" s="1247"/>
      <c r="XJ31" s="1247"/>
      <c r="XK31" s="1247"/>
      <c r="XL31" s="1247"/>
      <c r="XM31" s="1247"/>
      <c r="XN31" s="1247"/>
      <c r="XO31" s="1247"/>
      <c r="XP31" s="1247"/>
      <c r="XQ31" s="1247"/>
      <c r="XR31" s="1247"/>
      <c r="XS31" s="1247"/>
      <c r="XT31" s="1247"/>
      <c r="XU31" s="1247"/>
      <c r="XV31" s="1247"/>
      <c r="XW31" s="1247"/>
      <c r="XX31" s="1247"/>
      <c r="XY31" s="1247"/>
      <c r="XZ31" s="1247"/>
      <c r="YA31" s="1247"/>
      <c r="YB31" s="1247"/>
      <c r="YC31" s="1247"/>
      <c r="YD31" s="1247"/>
      <c r="YE31" s="1247"/>
      <c r="YF31" s="1247"/>
      <c r="YG31" s="1247"/>
      <c r="YH31" s="1247"/>
      <c r="YI31" s="1247"/>
      <c r="YJ31" s="1247"/>
      <c r="YK31" s="1247"/>
      <c r="YL31" s="1247"/>
      <c r="YM31" s="1247"/>
      <c r="YN31" s="1247"/>
      <c r="YO31" s="1247"/>
      <c r="YP31" s="1247"/>
      <c r="YQ31" s="1247"/>
      <c r="YR31" s="1247"/>
      <c r="YS31" s="1247"/>
      <c r="YT31" s="1247"/>
      <c r="YU31" s="1247"/>
      <c r="YV31" s="1247"/>
      <c r="YW31" s="1247"/>
      <c r="YX31" s="1247"/>
      <c r="YY31" s="1247"/>
      <c r="YZ31" s="1247"/>
      <c r="ZA31" s="1247"/>
      <c r="ZB31" s="1247"/>
      <c r="ZC31" s="1247"/>
      <c r="ZD31" s="1247"/>
      <c r="ZE31" s="1247"/>
      <c r="ZF31" s="1247"/>
      <c r="ZG31" s="1247"/>
      <c r="ZH31" s="1247"/>
      <c r="ZI31" s="1247"/>
      <c r="ZJ31" s="1247"/>
      <c r="ZK31" s="1247"/>
      <c r="ZL31" s="1247"/>
      <c r="ZM31" s="1247"/>
      <c r="ZN31" s="1247"/>
      <c r="ZO31" s="1247"/>
      <c r="ZP31" s="1247"/>
      <c r="ZQ31" s="1247"/>
      <c r="ZR31" s="1247"/>
      <c r="ZS31" s="1247"/>
      <c r="ZT31" s="1247"/>
      <c r="ZU31" s="1247"/>
      <c r="ZV31" s="1247"/>
      <c r="ZW31" s="1247"/>
      <c r="ZX31" s="1247"/>
      <c r="ZY31" s="1247"/>
      <c r="ZZ31" s="1247"/>
      <c r="AAA31" s="1247"/>
      <c r="AAB31" s="1247"/>
      <c r="AAC31" s="1247"/>
      <c r="AAD31" s="1247"/>
      <c r="AAE31" s="1247"/>
      <c r="AAF31" s="1247"/>
      <c r="AAG31" s="1247"/>
      <c r="AAH31" s="1247"/>
      <c r="AAI31" s="1247"/>
      <c r="AAJ31" s="1247"/>
      <c r="AAK31" s="1247"/>
      <c r="AAL31" s="1247"/>
      <c r="AAM31" s="1247"/>
      <c r="AAN31" s="1247"/>
      <c r="AAO31" s="1247"/>
      <c r="AAP31" s="1247"/>
      <c r="AAQ31" s="1247"/>
      <c r="AAR31" s="1247"/>
      <c r="AAS31" s="1247"/>
      <c r="AAT31" s="1247"/>
      <c r="AAU31" s="1247"/>
      <c r="AAV31" s="1247"/>
      <c r="AAW31" s="1247"/>
      <c r="AAX31" s="1247"/>
      <c r="AAY31" s="1247"/>
      <c r="AAZ31" s="1247"/>
      <c r="ABA31" s="1247"/>
      <c r="ABB31" s="1247"/>
      <c r="ABC31" s="1247"/>
      <c r="ABD31" s="1247"/>
      <c r="ABE31" s="1247"/>
      <c r="ABF31" s="1247"/>
      <c r="ABG31" s="1247"/>
      <c r="ABH31" s="1247"/>
      <c r="ABI31" s="1247"/>
      <c r="ABJ31" s="1247"/>
      <c r="ABK31" s="1247"/>
      <c r="ABL31" s="1247"/>
      <c r="ABM31" s="1247"/>
      <c r="ABN31" s="1247"/>
      <c r="ABO31" s="1247"/>
      <c r="ABP31" s="1247"/>
      <c r="ABQ31" s="1247"/>
      <c r="ABR31" s="1247"/>
      <c r="ABS31" s="1247"/>
      <c r="ABT31" s="1247"/>
      <c r="ABU31" s="1247"/>
      <c r="ABV31" s="1247"/>
      <c r="ABW31" s="1247"/>
      <c r="ABX31" s="1247"/>
      <c r="ABY31" s="1247"/>
      <c r="ABZ31" s="1247"/>
      <c r="ACA31" s="1247"/>
      <c r="ACB31" s="1247"/>
      <c r="ACC31" s="1247"/>
      <c r="ACD31" s="1247"/>
      <c r="ACE31" s="1247"/>
      <c r="ACF31" s="1247"/>
      <c r="ACG31" s="1247"/>
      <c r="ACH31" s="1247"/>
      <c r="ACI31" s="1247"/>
      <c r="ACJ31" s="1247"/>
      <c r="ACK31" s="1247"/>
      <c r="ACL31" s="1247"/>
      <c r="ACM31" s="1247"/>
      <c r="ACN31" s="1247"/>
      <c r="ACO31" s="1247"/>
      <c r="ACP31" s="1247"/>
      <c r="ACQ31" s="1247"/>
      <c r="ACR31" s="1247"/>
      <c r="ACS31" s="1247"/>
      <c r="ACT31" s="1247"/>
      <c r="ACU31" s="1247"/>
      <c r="ACV31" s="1247"/>
      <c r="ACW31" s="1247"/>
      <c r="ACX31" s="1247"/>
      <c r="ACY31" s="1247"/>
      <c r="ACZ31" s="1247"/>
      <c r="ADA31" s="1247"/>
      <c r="ADB31" s="1247"/>
      <c r="ADC31" s="1247"/>
      <c r="ADD31" s="1247"/>
      <c r="ADE31" s="1247"/>
      <c r="ADF31" s="1247"/>
      <c r="ADG31" s="1247"/>
      <c r="ADH31" s="1247"/>
      <c r="ADI31" s="1247"/>
      <c r="ADJ31" s="1247"/>
      <c r="ADK31" s="1247"/>
      <c r="ADL31" s="1247"/>
      <c r="ADM31" s="1247"/>
      <c r="ADN31" s="1247"/>
      <c r="ADO31" s="1247"/>
      <c r="ADP31" s="1247"/>
      <c r="ADQ31" s="1247"/>
      <c r="ADR31" s="1247"/>
      <c r="ADS31" s="1247"/>
      <c r="ADT31" s="1247"/>
      <c r="ADU31" s="1247"/>
      <c r="ADV31" s="1247"/>
      <c r="ADW31" s="1247"/>
      <c r="ADX31" s="1247"/>
      <c r="ADY31" s="1247"/>
      <c r="ADZ31" s="1247"/>
      <c r="AEA31" s="1247"/>
      <c r="AEB31" s="1247"/>
      <c r="AEC31" s="1247"/>
      <c r="AED31" s="1247"/>
      <c r="AEE31" s="1247"/>
      <c r="AEF31" s="1247"/>
      <c r="AEG31" s="1247"/>
      <c r="AEH31" s="1247"/>
      <c r="AEI31" s="1247"/>
      <c r="AEJ31" s="1247"/>
      <c r="AEK31" s="1247"/>
      <c r="AEL31" s="1247"/>
      <c r="AEM31" s="1247"/>
      <c r="AEN31" s="1247"/>
      <c r="AEO31" s="1247"/>
      <c r="AEP31" s="1247"/>
      <c r="AEQ31" s="1247"/>
      <c r="AER31" s="1247"/>
      <c r="AES31" s="1247"/>
      <c r="AET31" s="1247"/>
      <c r="AEU31" s="1247"/>
      <c r="AEV31" s="1247"/>
      <c r="AEW31" s="1247"/>
      <c r="AEX31" s="1247"/>
      <c r="AEY31" s="1247"/>
      <c r="AEZ31" s="1247"/>
      <c r="AFA31" s="1247"/>
      <c r="AFB31" s="1247"/>
      <c r="AFC31" s="1247"/>
      <c r="AFD31" s="1247"/>
      <c r="AFE31" s="1247"/>
      <c r="AFF31" s="1247"/>
      <c r="AFG31" s="1247"/>
      <c r="AFH31" s="1247"/>
      <c r="AFI31" s="1247"/>
      <c r="AFJ31" s="1247"/>
      <c r="AFK31" s="1247"/>
      <c r="AFL31" s="1247"/>
      <c r="AFM31" s="1247"/>
      <c r="AFN31" s="1247"/>
      <c r="AFO31" s="1247"/>
      <c r="AFP31" s="1247"/>
      <c r="AFQ31" s="1247"/>
      <c r="AFR31" s="1247"/>
      <c r="AFS31" s="1247"/>
      <c r="AFT31" s="1247"/>
      <c r="AFU31" s="1247"/>
      <c r="AFV31" s="1247"/>
      <c r="AFW31" s="1247"/>
      <c r="AFX31" s="1247"/>
      <c r="AFY31" s="1247"/>
      <c r="AFZ31" s="1247"/>
      <c r="AGA31" s="1247"/>
      <c r="AGB31" s="1247"/>
      <c r="AGC31" s="1247"/>
      <c r="AGD31" s="1247"/>
      <c r="AGE31" s="1247"/>
      <c r="AGF31" s="1247"/>
      <c r="AGG31" s="1247"/>
      <c r="AGH31" s="1247"/>
      <c r="AGI31" s="1247"/>
      <c r="AGJ31" s="1247"/>
      <c r="AGK31" s="1247"/>
      <c r="AGL31" s="1247"/>
      <c r="AGM31" s="1247"/>
      <c r="AGN31" s="1247"/>
      <c r="AGO31" s="1247"/>
      <c r="AGP31" s="1247"/>
      <c r="AGQ31" s="1247"/>
      <c r="AGR31" s="1247"/>
      <c r="AGS31" s="1247"/>
      <c r="AGT31" s="1247"/>
      <c r="AGU31" s="1247"/>
      <c r="AGV31" s="1247"/>
      <c r="AGW31" s="1247"/>
      <c r="AGX31" s="1247"/>
      <c r="AGY31" s="1247"/>
      <c r="AGZ31" s="1247"/>
      <c r="AHA31" s="1247"/>
      <c r="AHB31" s="1247"/>
      <c r="AHC31" s="1247"/>
      <c r="AHD31" s="1247"/>
      <c r="AHE31" s="1247"/>
      <c r="AHF31" s="1247"/>
      <c r="AHG31" s="1247"/>
      <c r="AHH31" s="1247"/>
      <c r="AHI31" s="1247"/>
      <c r="AHJ31" s="1247"/>
      <c r="AHK31" s="1247"/>
      <c r="AHL31" s="1247"/>
      <c r="AHM31" s="1247"/>
      <c r="AHN31" s="1247"/>
      <c r="AHO31" s="1247"/>
      <c r="AHP31" s="1247"/>
      <c r="AHQ31" s="1247"/>
      <c r="AHR31" s="1247"/>
      <c r="AHS31" s="1247"/>
      <c r="AHT31" s="1247"/>
      <c r="AHU31" s="1247"/>
      <c r="AHV31" s="1247"/>
      <c r="AHW31" s="1247"/>
      <c r="AHX31" s="1247"/>
      <c r="AHY31" s="1247"/>
      <c r="AHZ31" s="1247"/>
      <c r="AIA31" s="1247"/>
      <c r="AIB31" s="1247"/>
      <c r="AIC31" s="1247"/>
      <c r="AID31" s="1247"/>
      <c r="AIE31" s="1247"/>
      <c r="AIF31" s="1247"/>
      <c r="AIG31" s="1247"/>
      <c r="AIH31" s="1247"/>
      <c r="AII31" s="1247"/>
      <c r="AIJ31" s="1247"/>
      <c r="AIK31" s="1247"/>
      <c r="AIL31" s="1247"/>
      <c r="AIM31" s="1247"/>
      <c r="AIN31" s="1247"/>
      <c r="AIO31" s="1247"/>
      <c r="AIP31" s="1247"/>
      <c r="AIQ31" s="1247"/>
      <c r="AIR31" s="1247"/>
      <c r="AIS31" s="1247"/>
      <c r="AIT31" s="1247"/>
      <c r="AIU31" s="1247"/>
      <c r="AIV31" s="1247"/>
      <c r="AIW31" s="1247"/>
      <c r="AIX31" s="1247"/>
      <c r="AIY31" s="1247"/>
      <c r="AIZ31" s="1247"/>
      <c r="AJA31" s="1247"/>
      <c r="AJB31" s="1247"/>
      <c r="AJC31" s="1247"/>
      <c r="AJD31" s="1247"/>
      <c r="AJE31" s="1247"/>
      <c r="AJF31" s="1247"/>
      <c r="AJG31" s="1247"/>
      <c r="AJH31" s="1247"/>
      <c r="AJI31" s="1247"/>
      <c r="AJJ31" s="1247"/>
      <c r="AJK31" s="1247"/>
      <c r="AJL31" s="1247"/>
      <c r="AJM31" s="1247"/>
      <c r="AJN31" s="1247"/>
      <c r="AJO31" s="1247"/>
      <c r="AJP31" s="1247"/>
      <c r="AJQ31" s="1247"/>
      <c r="AJR31" s="1247"/>
      <c r="AJS31" s="1247"/>
      <c r="AJT31" s="1247"/>
      <c r="AJU31" s="1247"/>
      <c r="AJV31" s="1247"/>
      <c r="AJW31" s="1247"/>
      <c r="AJX31" s="1247"/>
      <c r="AJY31" s="1247"/>
      <c r="AJZ31" s="1247"/>
      <c r="AKA31" s="1247"/>
      <c r="AKB31" s="1247"/>
      <c r="AKC31" s="1247"/>
      <c r="AKD31" s="1247"/>
      <c r="AKE31" s="1247"/>
      <c r="AKF31" s="1247"/>
      <c r="AKG31" s="1247"/>
      <c r="AKH31" s="1247"/>
      <c r="AKI31" s="1247"/>
      <c r="AKJ31" s="1247"/>
      <c r="AKK31" s="1247"/>
      <c r="AKL31" s="1247"/>
      <c r="AKM31" s="1247"/>
      <c r="AKN31" s="1247"/>
      <c r="AKO31" s="1247"/>
      <c r="AKP31" s="1247"/>
      <c r="AKQ31" s="1247"/>
      <c r="AKR31" s="1247"/>
      <c r="AKS31" s="1247"/>
      <c r="AKT31" s="1247"/>
      <c r="AKU31" s="1247"/>
      <c r="AKV31" s="1247"/>
      <c r="AKW31" s="1247"/>
      <c r="AKX31" s="1247"/>
      <c r="AKY31" s="1247"/>
      <c r="AKZ31" s="1247"/>
      <c r="ALA31" s="1247"/>
      <c r="ALB31" s="1247"/>
      <c r="ALC31" s="1247"/>
      <c r="ALD31" s="1247"/>
      <c r="ALE31" s="1247"/>
      <c r="ALF31" s="1247"/>
      <c r="ALG31" s="1247"/>
      <c r="ALH31" s="1247"/>
      <c r="ALI31" s="1247"/>
      <c r="ALJ31" s="1247"/>
      <c r="ALK31" s="1247"/>
      <c r="ALL31" s="1247"/>
      <c r="ALM31" s="1247"/>
      <c r="ALN31" s="1247"/>
      <c r="ALO31" s="1247"/>
      <c r="ALP31" s="1247"/>
      <c r="ALQ31" s="1247"/>
      <c r="ALR31" s="1247"/>
      <c r="ALS31" s="1247"/>
      <c r="ALT31" s="1247"/>
      <c r="ALU31" s="1247"/>
      <c r="ALV31" s="1247"/>
      <c r="ALW31" s="1247"/>
      <c r="ALX31" s="1247"/>
      <c r="ALY31" s="1247"/>
      <c r="ALZ31" s="1247"/>
      <c r="AMA31" s="1247"/>
      <c r="AMB31" s="1247"/>
      <c r="AMC31" s="1247"/>
      <c r="AMD31" s="1247"/>
      <c r="AME31" s="1247"/>
      <c r="AMF31" s="1247"/>
      <c r="AMG31" s="1247"/>
      <c r="AMH31" s="1247"/>
      <c r="AMI31" s="1247"/>
      <c r="AMJ31" s="1247"/>
      <c r="AMK31" s="1247"/>
      <c r="AML31" s="1247"/>
      <c r="AMM31" s="1247"/>
      <c r="AMN31" s="1247"/>
      <c r="AMO31" s="1247"/>
      <c r="AMP31" s="1247"/>
      <c r="AMQ31" s="1247"/>
      <c r="AMR31" s="1247"/>
      <c r="AMS31" s="1247"/>
      <c r="AMT31" s="1247"/>
      <c r="AMU31" s="1247"/>
      <c r="AMV31" s="1247"/>
      <c r="AMW31" s="1247"/>
      <c r="AMX31" s="1247"/>
      <c r="AMY31" s="1247"/>
      <c r="AMZ31" s="1247"/>
      <c r="ANA31" s="1247"/>
      <c r="ANB31" s="1247"/>
      <c r="ANC31" s="1247"/>
      <c r="AND31" s="1247"/>
      <c r="ANE31" s="1247"/>
      <c r="ANF31" s="1247"/>
      <c r="ANG31" s="1247"/>
      <c r="ANH31" s="1247"/>
      <c r="ANI31" s="1247"/>
      <c r="ANJ31" s="1247"/>
      <c r="ANK31" s="1247"/>
      <c r="ANL31" s="1247"/>
      <c r="ANM31" s="1247"/>
      <c r="ANN31" s="1247"/>
      <c r="ANO31" s="1247"/>
      <c r="ANP31" s="1247"/>
      <c r="ANQ31" s="1247"/>
      <c r="ANR31" s="1247"/>
      <c r="ANS31" s="1247"/>
      <c r="ANT31" s="1247"/>
      <c r="ANU31" s="1247"/>
      <c r="ANV31" s="1247"/>
      <c r="ANW31" s="1247"/>
      <c r="ANX31" s="1247"/>
      <c r="ANY31" s="1247"/>
      <c r="ANZ31" s="1247"/>
      <c r="AOA31" s="1247"/>
      <c r="AOB31" s="1247"/>
      <c r="AOC31" s="1247"/>
      <c r="AOD31" s="1247"/>
      <c r="AOE31" s="1247"/>
      <c r="AOF31" s="1247"/>
      <c r="AOG31" s="1247"/>
      <c r="AOH31" s="1247"/>
      <c r="AOI31" s="1247"/>
      <c r="AOJ31" s="1247"/>
      <c r="AOK31" s="1247"/>
      <c r="AOL31" s="1247"/>
      <c r="AOM31" s="1247"/>
      <c r="AON31" s="1247"/>
      <c r="AOO31" s="1247"/>
      <c r="AOP31" s="1247"/>
      <c r="AOQ31" s="1247"/>
      <c r="AOR31" s="1247"/>
      <c r="AOS31" s="1247"/>
      <c r="AOT31" s="1247"/>
      <c r="AOU31" s="1247"/>
      <c r="AOV31" s="1247"/>
      <c r="AOW31" s="1247"/>
      <c r="AOX31" s="1247"/>
      <c r="AOY31" s="1247"/>
      <c r="AOZ31" s="1247"/>
      <c r="APA31" s="1247"/>
      <c r="APB31" s="1247"/>
      <c r="APC31" s="1247"/>
      <c r="APD31" s="1247"/>
      <c r="APE31" s="1247"/>
      <c r="APF31" s="1247"/>
      <c r="APG31" s="1247"/>
      <c r="APH31" s="1247"/>
      <c r="API31" s="1247"/>
      <c r="APJ31" s="1247"/>
      <c r="APK31" s="1247"/>
      <c r="APL31" s="1247"/>
      <c r="APM31" s="1247"/>
      <c r="APN31" s="1247"/>
      <c r="APO31" s="1247"/>
      <c r="APP31" s="1247"/>
      <c r="APQ31" s="1247"/>
      <c r="APR31" s="1247"/>
      <c r="APS31" s="1247"/>
      <c r="APT31" s="1247"/>
      <c r="APU31" s="1247"/>
      <c r="APV31" s="1247"/>
      <c r="APW31" s="1247"/>
      <c r="APX31" s="1247"/>
      <c r="APY31" s="1247"/>
      <c r="APZ31" s="1247"/>
      <c r="AQA31" s="1247"/>
      <c r="AQB31" s="1247"/>
      <c r="AQC31" s="1247"/>
      <c r="AQD31" s="1247"/>
      <c r="AQE31" s="1247"/>
      <c r="AQF31" s="1247"/>
      <c r="AQG31" s="1247"/>
      <c r="AQH31" s="1247"/>
      <c r="AQI31" s="1247"/>
      <c r="AQJ31" s="1247"/>
      <c r="AQK31" s="1247"/>
      <c r="AQL31" s="1247"/>
      <c r="AQM31" s="1247"/>
      <c r="AQN31" s="1247"/>
      <c r="AQO31" s="1247"/>
      <c r="AQP31" s="1247"/>
      <c r="AQQ31" s="1247"/>
      <c r="AQR31" s="1247"/>
      <c r="AQS31" s="1247"/>
      <c r="AQT31" s="1247"/>
      <c r="AQU31" s="1247"/>
      <c r="AQV31" s="1247"/>
      <c r="AQW31" s="1247"/>
      <c r="AQX31" s="1247"/>
      <c r="AQY31" s="1247"/>
      <c r="AQZ31" s="1247"/>
      <c r="ARA31" s="1247"/>
      <c r="ARB31" s="1247"/>
      <c r="ARC31" s="1247"/>
      <c r="ARD31" s="1247"/>
      <c r="ARE31" s="1247"/>
      <c r="ARF31" s="1247"/>
      <c r="ARG31" s="1247"/>
      <c r="ARH31" s="1247"/>
      <c r="ARI31" s="1247"/>
      <c r="ARJ31" s="1247"/>
      <c r="ARK31" s="1247"/>
      <c r="ARL31" s="1247"/>
      <c r="ARM31" s="1247"/>
      <c r="ARN31" s="1247"/>
      <c r="ARO31" s="1247"/>
      <c r="ARP31" s="1247"/>
      <c r="ARQ31" s="1247"/>
      <c r="ARR31" s="1247"/>
      <c r="ARS31" s="1247"/>
      <c r="ART31" s="1247"/>
      <c r="ARU31" s="1247"/>
      <c r="ARV31" s="1247"/>
      <c r="ARW31" s="1247"/>
      <c r="ARX31" s="1247"/>
      <c r="ARY31" s="1247"/>
      <c r="ARZ31" s="1247"/>
      <c r="ASA31" s="1247"/>
      <c r="ASB31" s="1247"/>
      <c r="ASC31" s="1247"/>
      <c r="ASD31" s="1247"/>
      <c r="ASE31" s="1247"/>
      <c r="ASF31" s="1247"/>
      <c r="ASG31" s="1247"/>
      <c r="ASH31" s="1247"/>
      <c r="ASI31" s="1247"/>
      <c r="ASJ31" s="1247"/>
      <c r="ASK31" s="1247"/>
      <c r="ASL31" s="1247"/>
      <c r="ASM31" s="1247"/>
      <c r="ASN31" s="1247"/>
      <c r="ASO31" s="1247"/>
      <c r="ASP31" s="1247"/>
      <c r="ASQ31" s="1247"/>
      <c r="ASR31" s="1247"/>
      <c r="ASS31" s="1247"/>
      <c r="AST31" s="1247"/>
      <c r="ASU31" s="1247"/>
      <c r="ASV31" s="1247"/>
      <c r="ASW31" s="1247"/>
      <c r="ASX31" s="1247"/>
      <c r="ASY31" s="1247"/>
      <c r="ASZ31" s="1247"/>
      <c r="ATA31" s="1247"/>
      <c r="ATB31" s="1247"/>
      <c r="ATC31" s="1247"/>
      <c r="ATD31" s="1247"/>
      <c r="ATE31" s="1247"/>
      <c r="ATF31" s="1247"/>
      <c r="ATG31" s="1247"/>
      <c r="ATH31" s="1247"/>
      <c r="ATI31" s="1247"/>
      <c r="ATJ31" s="1247"/>
      <c r="ATK31" s="1247"/>
      <c r="ATL31" s="1247"/>
      <c r="ATM31" s="1247"/>
      <c r="ATN31" s="1247"/>
      <c r="ATO31" s="1247"/>
      <c r="ATP31" s="1247"/>
      <c r="ATQ31" s="1247"/>
      <c r="ATR31" s="1247"/>
      <c r="ATS31" s="1247"/>
      <c r="ATT31" s="1247"/>
      <c r="ATU31" s="1247"/>
      <c r="ATV31" s="1247"/>
      <c r="ATW31" s="1247"/>
      <c r="ATX31" s="1247"/>
      <c r="ATY31" s="1247"/>
      <c r="ATZ31" s="1247"/>
      <c r="AUA31" s="1247"/>
      <c r="AUB31" s="1247"/>
      <c r="AUC31" s="1247"/>
      <c r="AUD31" s="1247"/>
      <c r="AUE31" s="1247"/>
      <c r="AUF31" s="1247"/>
      <c r="AUG31" s="1247"/>
      <c r="AUH31" s="1247"/>
      <c r="AUI31" s="1247"/>
      <c r="AUJ31" s="1247"/>
      <c r="AUK31" s="1247"/>
      <c r="AUL31" s="1247"/>
      <c r="AUM31" s="1247"/>
      <c r="AUN31" s="1247"/>
      <c r="AUO31" s="1247"/>
      <c r="AUP31" s="1247"/>
      <c r="AUQ31" s="1247"/>
      <c r="AUR31" s="1247"/>
      <c r="AUS31" s="1247"/>
      <c r="AUT31" s="1247"/>
      <c r="AUU31" s="1247"/>
      <c r="AUV31" s="1247"/>
      <c r="AUW31" s="1247"/>
      <c r="AUX31" s="1247"/>
      <c r="AUY31" s="1247"/>
      <c r="AUZ31" s="1247"/>
      <c r="AVA31" s="1247"/>
      <c r="AVB31" s="1247"/>
      <c r="AVC31" s="1247"/>
      <c r="AVD31" s="1247"/>
      <c r="AVE31" s="1247"/>
      <c r="AVF31" s="1247"/>
      <c r="AVG31" s="1247"/>
      <c r="AVH31" s="1247"/>
      <c r="AVI31" s="1247"/>
      <c r="AVJ31" s="1247"/>
      <c r="AVK31" s="1247"/>
      <c r="AVL31" s="1247"/>
      <c r="AVM31" s="1247"/>
      <c r="AVN31" s="1247"/>
      <c r="AVO31" s="1247"/>
      <c r="AVP31" s="1247"/>
      <c r="AVQ31" s="1247"/>
      <c r="AVR31" s="1247"/>
      <c r="AVS31" s="1247"/>
      <c r="AVT31" s="1247"/>
      <c r="AVU31" s="1247"/>
      <c r="AVV31" s="1247"/>
      <c r="AVW31" s="1247"/>
      <c r="AVX31" s="1247"/>
      <c r="AVY31" s="1247"/>
      <c r="AVZ31" s="1247"/>
      <c r="AWA31" s="1247"/>
      <c r="AWB31" s="1247"/>
      <c r="AWC31" s="1247"/>
      <c r="AWD31" s="1247"/>
      <c r="AWE31" s="1247"/>
      <c r="AWF31" s="1247"/>
      <c r="AWG31" s="1247"/>
      <c r="AWH31" s="1247"/>
      <c r="AWI31" s="1247"/>
      <c r="AWJ31" s="1247"/>
      <c r="AWK31" s="1247"/>
      <c r="AWL31" s="1247"/>
      <c r="AWM31" s="1247"/>
      <c r="AWN31" s="1247"/>
      <c r="AWO31" s="1247"/>
      <c r="AWP31" s="1247"/>
      <c r="AWQ31" s="1247"/>
      <c r="AWR31" s="1247"/>
      <c r="AWS31" s="1247"/>
      <c r="AWT31" s="1247"/>
      <c r="AWU31" s="1247"/>
      <c r="AWV31" s="1247"/>
      <c r="AWW31" s="1247"/>
      <c r="AWX31" s="1247"/>
      <c r="AWY31" s="1247"/>
      <c r="AWZ31" s="1247"/>
      <c r="AXA31" s="1247"/>
      <c r="AXB31" s="1247"/>
      <c r="AXC31" s="1247"/>
      <c r="AXD31" s="1247"/>
      <c r="AXE31" s="1247"/>
      <c r="AXF31" s="1247"/>
      <c r="AXG31" s="1247"/>
      <c r="AXH31" s="1247"/>
      <c r="AXI31" s="1247"/>
      <c r="AXJ31" s="1247"/>
      <c r="AXK31" s="1247"/>
      <c r="AXL31" s="1247"/>
      <c r="AXM31" s="1247"/>
      <c r="AXN31" s="1247"/>
      <c r="AXO31" s="1247"/>
      <c r="AXP31" s="1247"/>
      <c r="AXQ31" s="1247"/>
      <c r="AXR31" s="1247"/>
      <c r="AXS31" s="1247"/>
      <c r="AXT31" s="1247"/>
      <c r="AXU31" s="1247"/>
      <c r="AXV31" s="1247"/>
      <c r="AXW31" s="1247"/>
      <c r="AXX31" s="1247"/>
      <c r="AXY31" s="1247"/>
      <c r="AXZ31" s="1247"/>
      <c r="AYA31" s="1247"/>
      <c r="AYB31" s="1247"/>
      <c r="AYC31" s="1247"/>
      <c r="AYD31" s="1247"/>
      <c r="AYE31" s="1247"/>
      <c r="AYF31" s="1247"/>
      <c r="AYG31" s="1247"/>
      <c r="AYH31" s="1247"/>
      <c r="AYI31" s="1247"/>
      <c r="AYJ31" s="1247"/>
      <c r="AYK31" s="1247"/>
      <c r="AYL31" s="1247"/>
      <c r="AYM31" s="1247"/>
      <c r="AYN31" s="1247"/>
      <c r="AYO31" s="1247"/>
      <c r="AYP31" s="1247"/>
      <c r="AYQ31" s="1247"/>
      <c r="AYR31" s="1247"/>
      <c r="AYS31" s="1247"/>
      <c r="AYT31" s="1247"/>
      <c r="AYU31" s="1247"/>
      <c r="AYV31" s="1247"/>
      <c r="AYW31" s="1247"/>
      <c r="AYX31" s="1247"/>
      <c r="AYY31" s="1247"/>
      <c r="AYZ31" s="1247"/>
      <c r="AZA31" s="1247"/>
      <c r="AZB31" s="1247"/>
      <c r="AZC31" s="1247"/>
      <c r="AZD31" s="1247"/>
      <c r="AZE31" s="1247"/>
      <c r="AZF31" s="1247"/>
      <c r="AZG31" s="1247"/>
      <c r="AZH31" s="1247"/>
      <c r="AZI31" s="1247"/>
      <c r="AZJ31" s="1247"/>
      <c r="AZK31" s="1247"/>
      <c r="AZL31" s="1247"/>
      <c r="AZM31" s="1247"/>
      <c r="AZN31" s="1247"/>
      <c r="AZO31" s="1247"/>
      <c r="AZP31" s="1247"/>
      <c r="AZQ31" s="1247"/>
      <c r="AZR31" s="1247"/>
      <c r="AZS31" s="1247"/>
      <c r="AZT31" s="1247"/>
      <c r="AZU31" s="1247"/>
      <c r="AZV31" s="1247"/>
      <c r="AZW31" s="1247"/>
      <c r="AZX31" s="1247"/>
      <c r="AZY31" s="1247"/>
      <c r="AZZ31" s="1247"/>
      <c r="BAA31" s="1247"/>
      <c r="BAB31" s="1247"/>
      <c r="BAC31" s="1247"/>
      <c r="BAD31" s="1247"/>
      <c r="BAE31" s="1247"/>
      <c r="BAF31" s="1247"/>
      <c r="BAG31" s="1247"/>
      <c r="BAH31" s="1247"/>
      <c r="BAI31" s="1247"/>
      <c r="BAJ31" s="1247"/>
      <c r="BAK31" s="1247"/>
      <c r="BAL31" s="1247"/>
      <c r="BAM31" s="1247"/>
      <c r="BAN31" s="1247"/>
      <c r="BAO31" s="1247"/>
      <c r="BAP31" s="1247"/>
      <c r="BAQ31" s="1247"/>
      <c r="BAR31" s="1247"/>
      <c r="BAS31" s="1247"/>
      <c r="BAT31" s="1247"/>
      <c r="BAU31" s="1247"/>
      <c r="BAV31" s="1247"/>
      <c r="BAW31" s="1247"/>
      <c r="BAX31" s="1247"/>
      <c r="BAY31" s="1247"/>
      <c r="BAZ31" s="1247"/>
      <c r="BBA31" s="1247"/>
      <c r="BBB31" s="1247"/>
      <c r="BBC31" s="1247"/>
      <c r="BBD31" s="1247"/>
      <c r="BBE31" s="1247"/>
      <c r="BBF31" s="1247"/>
      <c r="BBG31" s="1247"/>
      <c r="BBH31" s="1247"/>
      <c r="BBI31" s="1247"/>
      <c r="BBJ31" s="1247"/>
      <c r="BBK31" s="1247"/>
      <c r="BBL31" s="1247"/>
      <c r="BBM31" s="1247"/>
      <c r="BBN31" s="1247"/>
      <c r="BBO31" s="1247"/>
      <c r="BBP31" s="1247"/>
      <c r="BBQ31" s="1247"/>
      <c r="BBR31" s="1247"/>
      <c r="BBS31" s="1247"/>
      <c r="BBT31" s="1247"/>
      <c r="BBU31" s="1247"/>
      <c r="BBV31" s="1247"/>
      <c r="BBW31" s="1247"/>
      <c r="BBX31" s="1247"/>
      <c r="BBY31" s="1247"/>
      <c r="BBZ31" s="1247"/>
      <c r="BCA31" s="1247"/>
      <c r="BCB31" s="1247"/>
      <c r="BCC31" s="1247"/>
      <c r="BCD31" s="1247"/>
      <c r="BCE31" s="1247"/>
      <c r="BCF31" s="1247"/>
      <c r="BCG31" s="1247"/>
      <c r="BCH31" s="1247"/>
      <c r="BCI31" s="1247"/>
      <c r="BCJ31" s="1247"/>
      <c r="BCK31" s="1247"/>
      <c r="BCL31" s="1247"/>
      <c r="BCM31" s="1247"/>
      <c r="BCN31" s="1247"/>
      <c r="BCO31" s="1247"/>
      <c r="BCP31" s="1247"/>
      <c r="BCQ31" s="1247"/>
      <c r="BCR31" s="1247"/>
      <c r="BCS31" s="1247"/>
      <c r="BCT31" s="1247"/>
      <c r="BCU31" s="1247"/>
      <c r="BCV31" s="1247"/>
      <c r="BCW31" s="1247"/>
      <c r="BCX31" s="1247"/>
      <c r="BCY31" s="1247"/>
      <c r="BCZ31" s="1247"/>
      <c r="BDA31" s="1247"/>
      <c r="BDB31" s="1247"/>
      <c r="BDC31" s="1247"/>
      <c r="BDD31" s="1247"/>
      <c r="BDE31" s="1247"/>
      <c r="BDF31" s="1247"/>
      <c r="BDG31" s="1247"/>
      <c r="BDH31" s="1247"/>
      <c r="BDI31" s="1247"/>
      <c r="BDJ31" s="1247"/>
      <c r="BDK31" s="1247"/>
      <c r="BDL31" s="1247"/>
      <c r="BDM31" s="1247"/>
      <c r="BDN31" s="1247"/>
      <c r="BDO31" s="1247"/>
      <c r="BDP31" s="1247"/>
      <c r="BDQ31" s="1247"/>
      <c r="BDR31" s="1247"/>
      <c r="BDS31" s="1247"/>
      <c r="BDT31" s="1247"/>
      <c r="BDU31" s="1247"/>
      <c r="BDV31" s="1247"/>
      <c r="BDW31" s="1247"/>
      <c r="BDX31" s="1247"/>
      <c r="BDY31" s="1247"/>
      <c r="BDZ31" s="1247"/>
      <c r="BEA31" s="1247"/>
      <c r="BEB31" s="1247"/>
      <c r="BEC31" s="1247"/>
      <c r="BED31" s="1247"/>
      <c r="BEE31" s="1247"/>
      <c r="BEF31" s="1247"/>
      <c r="BEG31" s="1247"/>
      <c r="BEH31" s="1247"/>
      <c r="BEI31" s="1247"/>
      <c r="BEJ31" s="1247"/>
      <c r="BEK31" s="1247"/>
      <c r="BEL31" s="1247"/>
      <c r="BEM31" s="1247"/>
      <c r="BEN31" s="1247"/>
      <c r="BEO31" s="1247"/>
      <c r="BEP31" s="1247"/>
      <c r="BEQ31" s="1247"/>
      <c r="BER31" s="1247"/>
      <c r="BES31" s="1247"/>
      <c r="BET31" s="1247"/>
      <c r="BEU31" s="1247"/>
      <c r="BEV31" s="1247"/>
      <c r="BEW31" s="1247"/>
      <c r="BEX31" s="1247"/>
      <c r="BEY31" s="1247"/>
      <c r="BEZ31" s="1247"/>
      <c r="BFA31" s="1247"/>
      <c r="BFB31" s="1247"/>
      <c r="BFC31" s="1247"/>
      <c r="BFD31" s="1247"/>
      <c r="BFE31" s="1247"/>
      <c r="BFF31" s="1247"/>
      <c r="BFG31" s="1247"/>
      <c r="BFH31" s="1247"/>
      <c r="BFI31" s="1247"/>
      <c r="BFJ31" s="1247"/>
      <c r="BFK31" s="1247"/>
      <c r="BFL31" s="1247"/>
      <c r="BFM31" s="1247"/>
      <c r="BFN31" s="1247"/>
      <c r="BFO31" s="1247"/>
      <c r="BFP31" s="1247"/>
      <c r="BFQ31" s="1247"/>
      <c r="BFR31" s="1247"/>
      <c r="BFS31" s="1247"/>
      <c r="BFT31" s="1247"/>
      <c r="BFU31" s="1247"/>
      <c r="BFV31" s="1247"/>
      <c r="BFW31" s="1247"/>
      <c r="BFX31" s="1247"/>
      <c r="BFY31" s="1247"/>
      <c r="BFZ31" s="1247"/>
      <c r="BGA31" s="1247"/>
      <c r="BGB31" s="1247"/>
      <c r="BGC31" s="1247"/>
      <c r="BGD31" s="1247"/>
      <c r="BGE31" s="1247"/>
      <c r="BGF31" s="1247"/>
      <c r="BGG31" s="1247"/>
      <c r="BGH31" s="1247"/>
      <c r="BGI31" s="1247"/>
      <c r="BGJ31" s="1247"/>
      <c r="BGK31" s="1247"/>
      <c r="BGL31" s="1247"/>
      <c r="BGM31" s="1247"/>
      <c r="BGN31" s="1247"/>
      <c r="BGO31" s="1247"/>
      <c r="BGP31" s="1247"/>
      <c r="BGQ31" s="1247"/>
      <c r="BGR31" s="1247"/>
      <c r="BGS31" s="1247"/>
      <c r="BGT31" s="1247"/>
      <c r="BGU31" s="1247"/>
      <c r="BGV31" s="1247"/>
      <c r="BGW31" s="1247"/>
      <c r="BGX31" s="1247"/>
      <c r="BGY31" s="1247"/>
      <c r="BGZ31" s="1247"/>
      <c r="BHA31" s="1247"/>
      <c r="BHB31" s="1247"/>
      <c r="BHC31" s="1247"/>
      <c r="BHD31" s="1247"/>
      <c r="BHE31" s="1247"/>
      <c r="BHF31" s="1247"/>
      <c r="BHG31" s="1247"/>
      <c r="BHH31" s="1247"/>
      <c r="BHI31" s="1247"/>
      <c r="BHJ31" s="1247"/>
      <c r="BHK31" s="1247"/>
      <c r="BHL31" s="1247"/>
      <c r="BHM31" s="1247"/>
      <c r="BHN31" s="1247"/>
      <c r="BHO31" s="1247"/>
      <c r="BHP31" s="1247"/>
      <c r="BHQ31" s="1247"/>
      <c r="BHR31" s="1247"/>
      <c r="BHS31" s="1247"/>
      <c r="BHT31" s="1247"/>
      <c r="BHU31" s="1247"/>
      <c r="BHV31" s="1247"/>
      <c r="BHW31" s="1247"/>
      <c r="BHX31" s="1247"/>
      <c r="BHY31" s="1247"/>
      <c r="BHZ31" s="1247"/>
      <c r="BIA31" s="1247"/>
      <c r="BIB31" s="1247"/>
      <c r="BIC31" s="1247"/>
      <c r="BID31" s="1247"/>
      <c r="BIE31" s="1247"/>
      <c r="BIF31" s="1247"/>
      <c r="BIG31" s="1247"/>
      <c r="BIH31" s="1247"/>
      <c r="BII31" s="1247"/>
      <c r="BIJ31" s="1247"/>
      <c r="BIK31" s="1247"/>
      <c r="BIL31" s="1247"/>
      <c r="BIM31" s="1247"/>
      <c r="BIN31" s="1247"/>
      <c r="BIO31" s="1247"/>
      <c r="BIP31" s="1247"/>
      <c r="BIQ31" s="1247"/>
      <c r="BIR31" s="1247"/>
      <c r="BIS31" s="1247"/>
      <c r="BIT31" s="1247"/>
      <c r="BIU31" s="1247"/>
      <c r="BIV31" s="1247"/>
      <c r="BIW31" s="1247"/>
      <c r="BIX31" s="1247"/>
      <c r="BIY31" s="1247"/>
      <c r="BIZ31" s="1247"/>
      <c r="BJA31" s="1247"/>
      <c r="BJB31" s="1247"/>
      <c r="BJC31" s="1247"/>
      <c r="BJD31" s="1247"/>
      <c r="BJE31" s="1247"/>
      <c r="BJF31" s="1247"/>
      <c r="BJG31" s="1247"/>
      <c r="BJH31" s="1247"/>
      <c r="BJI31" s="1247"/>
      <c r="BJJ31" s="1247"/>
      <c r="BJK31" s="1247"/>
      <c r="BJL31" s="1247"/>
      <c r="BJM31" s="1247"/>
      <c r="BJN31" s="1247"/>
      <c r="BJO31" s="1247"/>
      <c r="BJP31" s="1247"/>
      <c r="BJQ31" s="1247"/>
      <c r="BJR31" s="1247"/>
      <c r="BJS31" s="1247"/>
      <c r="BJT31" s="1247"/>
      <c r="BJU31" s="1247"/>
      <c r="BJV31" s="1247"/>
      <c r="BJW31" s="1247"/>
      <c r="BJX31" s="1247"/>
      <c r="BJY31" s="1247"/>
      <c r="BJZ31" s="1247"/>
      <c r="BKA31" s="1247"/>
      <c r="BKB31" s="1247"/>
      <c r="BKC31" s="1247"/>
      <c r="BKD31" s="1247"/>
      <c r="BKE31" s="1247"/>
      <c r="BKF31" s="1247"/>
      <c r="BKG31" s="1247"/>
      <c r="BKH31" s="1247"/>
      <c r="BKI31" s="1247"/>
      <c r="BKJ31" s="1247"/>
      <c r="BKK31" s="1247"/>
      <c r="BKL31" s="1247"/>
      <c r="BKM31" s="1247"/>
      <c r="BKN31" s="1247"/>
      <c r="BKO31" s="1247"/>
      <c r="BKP31" s="1247"/>
      <c r="BKQ31" s="1247"/>
      <c r="BKR31" s="1247"/>
      <c r="BKS31" s="1247"/>
      <c r="BKT31" s="1247"/>
      <c r="BKU31" s="1247"/>
      <c r="BKV31" s="1247"/>
      <c r="BKW31" s="1247"/>
      <c r="BKX31" s="1247"/>
      <c r="BKY31" s="1247"/>
      <c r="BKZ31" s="1247"/>
      <c r="BLA31" s="1247"/>
      <c r="BLB31" s="1247"/>
      <c r="BLC31" s="1247"/>
      <c r="BLD31" s="1247"/>
      <c r="BLE31" s="1247"/>
      <c r="BLF31" s="1247"/>
      <c r="BLG31" s="1247"/>
      <c r="BLH31" s="1247"/>
      <c r="BLI31" s="1247"/>
      <c r="BLJ31" s="1247"/>
      <c r="BLK31" s="1247"/>
      <c r="BLL31" s="1247"/>
      <c r="BLM31" s="1247"/>
      <c r="BLN31" s="1247"/>
      <c r="BLO31" s="1247"/>
      <c r="BLP31" s="1247"/>
      <c r="BLQ31" s="1247"/>
      <c r="BLR31" s="1247"/>
      <c r="BLS31" s="1247"/>
      <c r="BLT31" s="1247"/>
      <c r="BLU31" s="1247"/>
      <c r="BLV31" s="1247"/>
      <c r="BLW31" s="1247"/>
      <c r="BLX31" s="1247"/>
      <c r="BLY31" s="1247"/>
      <c r="BLZ31" s="1247"/>
      <c r="BMA31" s="1247"/>
      <c r="BMB31" s="1247"/>
      <c r="BMC31" s="1247"/>
      <c r="BMD31" s="1247"/>
      <c r="BME31" s="1247"/>
      <c r="BMF31" s="1247"/>
      <c r="BMG31" s="1247"/>
      <c r="BMH31" s="1247"/>
      <c r="BMI31" s="1247"/>
      <c r="BMJ31" s="1247"/>
      <c r="BMK31" s="1247"/>
      <c r="BML31" s="1247"/>
      <c r="BMM31" s="1247"/>
      <c r="BMN31" s="1247"/>
      <c r="BMO31" s="1247"/>
      <c r="BMP31" s="1247"/>
      <c r="BMQ31" s="1247"/>
      <c r="BMR31" s="1247"/>
      <c r="BMS31" s="1247"/>
      <c r="BMT31" s="1247"/>
      <c r="BMU31" s="1247"/>
      <c r="BMV31" s="1247"/>
      <c r="BMW31" s="1247"/>
      <c r="BMX31" s="1247"/>
      <c r="BMY31" s="1247"/>
      <c r="BMZ31" s="1247"/>
      <c r="BNA31" s="1247"/>
      <c r="BNB31" s="1247"/>
      <c r="BNC31" s="1247"/>
      <c r="BND31" s="1247"/>
      <c r="BNE31" s="1247"/>
      <c r="BNF31" s="1247"/>
      <c r="BNG31" s="1247"/>
      <c r="BNH31" s="1247"/>
      <c r="BNI31" s="1247"/>
      <c r="BNJ31" s="1247"/>
      <c r="BNK31" s="1247"/>
      <c r="BNL31" s="1247"/>
      <c r="BNM31" s="1247"/>
      <c r="BNN31" s="1247"/>
      <c r="BNO31" s="1247"/>
      <c r="BNP31" s="1247"/>
      <c r="BNQ31" s="1247"/>
      <c r="BNR31" s="1247"/>
      <c r="BNS31" s="1247"/>
      <c r="BNT31" s="1247"/>
      <c r="BNU31" s="1247"/>
      <c r="BNV31" s="1247"/>
      <c r="BNW31" s="1247"/>
      <c r="BNX31" s="1247"/>
      <c r="BNY31" s="1247"/>
      <c r="BNZ31" s="1247"/>
      <c r="BOA31" s="1247"/>
      <c r="BOB31" s="1247"/>
      <c r="BOC31" s="1247"/>
      <c r="BOD31" s="1247"/>
      <c r="BOE31" s="1247"/>
      <c r="BOF31" s="1247"/>
      <c r="BOG31" s="1247"/>
      <c r="BOH31" s="1247"/>
      <c r="BOI31" s="1247"/>
      <c r="BOJ31" s="1247"/>
      <c r="BOK31" s="1247"/>
      <c r="BOL31" s="1247"/>
      <c r="BOM31" s="1247"/>
      <c r="BON31" s="1247"/>
      <c r="BOO31" s="1247"/>
      <c r="BOP31" s="1247"/>
      <c r="BOQ31" s="1247"/>
      <c r="BOR31" s="1247"/>
      <c r="BOS31" s="1247"/>
      <c r="BOT31" s="1247"/>
      <c r="BOU31" s="1247"/>
      <c r="BOV31" s="1247"/>
      <c r="BOW31" s="1247"/>
      <c r="BOX31" s="1247"/>
      <c r="BOY31" s="1247"/>
      <c r="BOZ31" s="1247"/>
      <c r="BPA31" s="1247"/>
      <c r="BPB31" s="1247"/>
      <c r="BPC31" s="1247"/>
      <c r="BPD31" s="1247"/>
      <c r="BPE31" s="1247"/>
      <c r="BPF31" s="1247"/>
      <c r="BPG31" s="1247"/>
      <c r="BPH31" s="1247"/>
      <c r="BPI31" s="1247"/>
      <c r="BPJ31" s="1247"/>
      <c r="BPK31" s="1247"/>
      <c r="BPL31" s="1247"/>
      <c r="BPM31" s="1247"/>
      <c r="BPN31" s="1247"/>
      <c r="BPO31" s="1247"/>
      <c r="BPP31" s="1247"/>
      <c r="BPQ31" s="1247"/>
      <c r="BPR31" s="1247"/>
      <c r="BPS31" s="1247"/>
      <c r="BPT31" s="1247"/>
      <c r="BPU31" s="1247"/>
      <c r="BPV31" s="1247"/>
      <c r="BPW31" s="1247"/>
      <c r="BPX31" s="1247"/>
      <c r="BPY31" s="1247"/>
      <c r="BPZ31" s="1247"/>
      <c r="BQA31" s="1247"/>
      <c r="BQB31" s="1247"/>
      <c r="BQC31" s="1247"/>
      <c r="BQD31" s="1247"/>
      <c r="BQE31" s="1247"/>
      <c r="BQF31" s="1247"/>
      <c r="BQG31" s="1247"/>
      <c r="BQH31" s="1247"/>
      <c r="BQI31" s="1247"/>
      <c r="BQJ31" s="1247"/>
      <c r="BQK31" s="1247"/>
      <c r="BQL31" s="1247"/>
      <c r="BQM31" s="1247"/>
      <c r="BQN31" s="1247"/>
      <c r="BQO31" s="1247"/>
      <c r="BQP31" s="1247"/>
      <c r="BQQ31" s="1247"/>
      <c r="BQR31" s="1247"/>
      <c r="BQS31" s="1247"/>
      <c r="BQT31" s="1247"/>
      <c r="BQU31" s="1247"/>
      <c r="BQV31" s="1247"/>
      <c r="BQW31" s="1247"/>
      <c r="BQX31" s="1247"/>
      <c r="BQY31" s="1247"/>
      <c r="BQZ31" s="1247"/>
      <c r="BRA31" s="1247"/>
      <c r="BRB31" s="1247"/>
      <c r="BRC31" s="1247"/>
      <c r="BRD31" s="1247"/>
      <c r="BRE31" s="1247"/>
      <c r="BRF31" s="1247"/>
      <c r="BRG31" s="1247"/>
      <c r="BRH31" s="1247"/>
      <c r="BRI31" s="1247"/>
      <c r="BRJ31" s="1247"/>
      <c r="BRK31" s="1247"/>
      <c r="BRL31" s="1247"/>
      <c r="BRM31" s="1247"/>
      <c r="BRN31" s="1247"/>
      <c r="BRO31" s="1247"/>
      <c r="BRP31" s="1247"/>
      <c r="BRQ31" s="1247"/>
      <c r="BRR31" s="1247"/>
      <c r="BRS31" s="1247"/>
      <c r="BRT31" s="1247"/>
      <c r="BRU31" s="1247"/>
      <c r="BRV31" s="1247"/>
      <c r="BRW31" s="1247"/>
      <c r="BRX31" s="1247"/>
      <c r="BRY31" s="1247"/>
      <c r="BRZ31" s="1247"/>
      <c r="BSA31" s="1247"/>
      <c r="BSB31" s="1247"/>
      <c r="BSC31" s="1247"/>
      <c r="BSD31" s="1247"/>
      <c r="BSE31" s="1247"/>
      <c r="BSF31" s="1247"/>
      <c r="BSG31" s="1247"/>
      <c r="BSH31" s="1247"/>
      <c r="BSI31" s="1247"/>
      <c r="BSJ31" s="1247"/>
      <c r="BSK31" s="1247"/>
      <c r="BSL31" s="1247"/>
      <c r="BSM31" s="1247"/>
      <c r="BSN31" s="1247"/>
      <c r="BSO31" s="1247"/>
      <c r="BSP31" s="1247"/>
      <c r="BSQ31" s="1247"/>
      <c r="BSR31" s="1247"/>
      <c r="BSS31" s="1247"/>
      <c r="BST31" s="1247"/>
      <c r="BSU31" s="1247"/>
      <c r="BSV31" s="1247"/>
      <c r="BSW31" s="1247"/>
      <c r="BSX31" s="1247"/>
      <c r="BSY31" s="1247"/>
      <c r="BSZ31" s="1247"/>
      <c r="BTA31" s="1247"/>
      <c r="BTB31" s="1247"/>
      <c r="BTC31" s="1247"/>
      <c r="BTD31" s="1247"/>
      <c r="BTE31" s="1247"/>
      <c r="BTF31" s="1247"/>
      <c r="BTG31" s="1247"/>
      <c r="BTH31" s="1247"/>
      <c r="BTI31" s="1247"/>
      <c r="BTJ31" s="1247"/>
      <c r="BTK31" s="1247"/>
      <c r="BTL31" s="1247"/>
      <c r="BTM31" s="1247"/>
      <c r="BTN31" s="1247"/>
      <c r="BTO31" s="1247"/>
      <c r="BTP31" s="1247"/>
      <c r="BTQ31" s="1247"/>
      <c r="BTR31" s="1247"/>
      <c r="BTS31" s="1247"/>
      <c r="BTT31" s="1247"/>
      <c r="BTU31" s="1247"/>
      <c r="BTV31" s="1247"/>
      <c r="BTW31" s="1247"/>
      <c r="BTX31" s="1247"/>
      <c r="BTY31" s="1247"/>
      <c r="BTZ31" s="1247"/>
      <c r="BUA31" s="1247"/>
      <c r="BUB31" s="1247"/>
      <c r="BUC31" s="1247"/>
      <c r="BUD31" s="1247"/>
      <c r="BUE31" s="1247"/>
      <c r="BUF31" s="1247"/>
      <c r="BUG31" s="1247"/>
      <c r="BUH31" s="1247"/>
      <c r="BUI31" s="1247"/>
      <c r="BUJ31" s="1247"/>
      <c r="BUK31" s="1247"/>
      <c r="BUL31" s="1247"/>
      <c r="BUM31" s="1247"/>
      <c r="BUN31" s="1247"/>
      <c r="BUO31" s="1247"/>
      <c r="BUP31" s="1247"/>
      <c r="BUQ31" s="1247"/>
      <c r="BUR31" s="1247"/>
      <c r="BUS31" s="1247"/>
      <c r="BUT31" s="1247"/>
      <c r="BUU31" s="1247"/>
      <c r="BUV31" s="1247"/>
      <c r="BUW31" s="1247"/>
      <c r="BUX31" s="1247"/>
      <c r="BUY31" s="1247"/>
      <c r="BUZ31" s="1247"/>
      <c r="BVA31" s="1247"/>
      <c r="BVB31" s="1247"/>
      <c r="BVC31" s="1247"/>
      <c r="BVD31" s="1247"/>
      <c r="BVE31" s="1247"/>
      <c r="BVF31" s="1247"/>
      <c r="BVG31" s="1247"/>
      <c r="BVH31" s="1247"/>
      <c r="BVI31" s="1247"/>
      <c r="BVJ31" s="1247"/>
      <c r="BVK31" s="1247"/>
      <c r="BVL31" s="1247"/>
      <c r="BVM31" s="1247"/>
      <c r="BVN31" s="1247"/>
      <c r="BVO31" s="1247"/>
      <c r="BVP31" s="1247"/>
      <c r="BVQ31" s="1247"/>
      <c r="BVR31" s="1247"/>
      <c r="BVS31" s="1247"/>
      <c r="BVT31" s="1247"/>
      <c r="BVU31" s="1247"/>
      <c r="BVV31" s="1247"/>
      <c r="BVW31" s="1247"/>
      <c r="BVX31" s="1247"/>
      <c r="BVY31" s="1247"/>
      <c r="BVZ31" s="1247"/>
      <c r="BWA31" s="1247"/>
      <c r="BWB31" s="1247"/>
      <c r="BWC31" s="1247"/>
      <c r="BWD31" s="1247"/>
      <c r="BWE31" s="1247"/>
      <c r="BWF31" s="1247"/>
      <c r="BWG31" s="1247"/>
      <c r="BWH31" s="1247"/>
      <c r="BWI31" s="1247"/>
      <c r="BWJ31" s="1247"/>
      <c r="BWK31" s="1247"/>
      <c r="BWL31" s="1247"/>
      <c r="BWM31" s="1247"/>
      <c r="BWN31" s="1247"/>
      <c r="BWO31" s="1247"/>
      <c r="BWP31" s="1247"/>
      <c r="BWQ31" s="1247"/>
      <c r="BWR31" s="1247"/>
      <c r="BWS31" s="1247"/>
      <c r="BWT31" s="1247"/>
      <c r="BWU31" s="1247"/>
      <c r="BWV31" s="1247"/>
      <c r="BWW31" s="1247"/>
      <c r="BWX31" s="1247"/>
      <c r="BWY31" s="1247"/>
      <c r="BWZ31" s="1247"/>
      <c r="BXA31" s="1247"/>
      <c r="BXB31" s="1247"/>
      <c r="BXC31" s="1247"/>
      <c r="BXD31" s="1247"/>
      <c r="BXE31" s="1247"/>
      <c r="BXF31" s="1247"/>
      <c r="BXG31" s="1247"/>
      <c r="BXH31" s="1247"/>
      <c r="BXI31" s="1247"/>
      <c r="BXJ31" s="1247"/>
      <c r="BXK31" s="1247"/>
      <c r="BXL31" s="1247"/>
      <c r="BXM31" s="1247"/>
      <c r="BXN31" s="1247"/>
      <c r="BXO31" s="1247"/>
      <c r="BXP31" s="1247"/>
      <c r="BXQ31" s="1247"/>
      <c r="BXR31" s="1247"/>
      <c r="BXS31" s="1247"/>
      <c r="BXT31" s="1247"/>
      <c r="BXU31" s="1247"/>
      <c r="BXV31" s="1247"/>
      <c r="BXW31" s="1247"/>
      <c r="BXX31" s="1247"/>
      <c r="BXY31" s="1247"/>
      <c r="BXZ31" s="1247"/>
      <c r="BYA31" s="1247"/>
      <c r="BYB31" s="1247"/>
      <c r="BYC31" s="1247"/>
      <c r="BYD31" s="1247"/>
      <c r="BYE31" s="1247"/>
      <c r="BYF31" s="1247"/>
      <c r="BYG31" s="1247"/>
      <c r="BYH31" s="1247"/>
      <c r="BYI31" s="1247"/>
      <c r="BYJ31" s="1247"/>
      <c r="BYK31" s="1247"/>
      <c r="BYL31" s="1247"/>
      <c r="BYM31" s="1247"/>
      <c r="BYN31" s="1247"/>
      <c r="BYO31" s="1247"/>
      <c r="BYP31" s="1247"/>
      <c r="BYQ31" s="1247"/>
      <c r="BYR31" s="1247"/>
      <c r="BYS31" s="1247"/>
      <c r="BYT31" s="1247"/>
      <c r="BYU31" s="1247"/>
      <c r="BYV31" s="1247"/>
      <c r="BYW31" s="1247"/>
      <c r="BYX31" s="1247"/>
      <c r="BYY31" s="1247"/>
      <c r="BYZ31" s="1247"/>
      <c r="BZA31" s="1247"/>
      <c r="BZB31" s="1247"/>
      <c r="BZC31" s="1247"/>
      <c r="BZD31" s="1247"/>
      <c r="BZE31" s="1247"/>
      <c r="BZF31" s="1247"/>
      <c r="BZG31" s="1247"/>
      <c r="BZH31" s="1247"/>
      <c r="BZI31" s="1247"/>
      <c r="BZJ31" s="1247"/>
      <c r="BZK31" s="1247"/>
      <c r="BZL31" s="1247"/>
      <c r="BZM31" s="1247"/>
      <c r="BZN31" s="1247"/>
      <c r="BZO31" s="1247"/>
      <c r="BZP31" s="1247"/>
      <c r="BZQ31" s="1247"/>
      <c r="BZR31" s="1247"/>
      <c r="BZS31" s="1247"/>
      <c r="BZT31" s="1247"/>
      <c r="BZU31" s="1247"/>
      <c r="BZV31" s="1247"/>
      <c r="BZW31" s="1247"/>
      <c r="BZX31" s="1247"/>
      <c r="BZY31" s="1247"/>
      <c r="BZZ31" s="1247"/>
      <c r="CAA31" s="1247"/>
      <c r="CAB31" s="1247"/>
      <c r="CAC31" s="1247"/>
      <c r="CAD31" s="1247"/>
      <c r="CAE31" s="1247"/>
      <c r="CAF31" s="1247"/>
      <c r="CAG31" s="1247"/>
      <c r="CAH31" s="1247"/>
      <c r="CAI31" s="1247"/>
      <c r="CAJ31" s="1247"/>
      <c r="CAK31" s="1247"/>
      <c r="CAL31" s="1247"/>
      <c r="CAM31" s="1247"/>
      <c r="CAN31" s="1247"/>
      <c r="CAO31" s="1247"/>
      <c r="CAP31" s="1247"/>
      <c r="CAQ31" s="1247"/>
      <c r="CAR31" s="1247"/>
      <c r="CAS31" s="1247"/>
      <c r="CAT31" s="1247"/>
      <c r="CAU31" s="1247"/>
      <c r="CAV31" s="1247"/>
      <c r="CAW31" s="1247"/>
      <c r="CAX31" s="1247"/>
      <c r="CAY31" s="1247"/>
      <c r="CAZ31" s="1247"/>
      <c r="CBA31" s="1247"/>
      <c r="CBB31" s="1247"/>
      <c r="CBC31" s="1247"/>
      <c r="CBD31" s="1247"/>
      <c r="CBE31" s="1247"/>
      <c r="CBF31" s="1247"/>
      <c r="CBG31" s="1247"/>
      <c r="CBH31" s="1247"/>
      <c r="CBI31" s="1247"/>
      <c r="CBJ31" s="1247"/>
      <c r="CBK31" s="1247"/>
      <c r="CBL31" s="1247"/>
      <c r="CBM31" s="1247"/>
      <c r="CBN31" s="1247"/>
      <c r="CBO31" s="1247"/>
      <c r="CBP31" s="1247"/>
      <c r="CBQ31" s="1247"/>
      <c r="CBR31" s="1247"/>
      <c r="CBS31" s="1247"/>
      <c r="CBT31" s="1247"/>
      <c r="CBU31" s="1247"/>
      <c r="CBV31" s="1247"/>
      <c r="CBW31" s="1247"/>
      <c r="CBX31" s="1247"/>
      <c r="CBY31" s="1247"/>
      <c r="CBZ31" s="1247"/>
      <c r="CCA31" s="1247"/>
      <c r="CCB31" s="1247"/>
      <c r="CCC31" s="1247"/>
      <c r="CCD31" s="1247"/>
      <c r="CCE31" s="1247"/>
      <c r="CCF31" s="1247"/>
      <c r="CCG31" s="1247"/>
      <c r="CCH31" s="1247"/>
      <c r="CCI31" s="1247"/>
      <c r="CCJ31" s="1247"/>
      <c r="CCK31" s="1247"/>
      <c r="CCL31" s="1247"/>
      <c r="CCM31" s="1247"/>
      <c r="CCN31" s="1247"/>
      <c r="CCO31" s="1247"/>
      <c r="CCP31" s="1247"/>
      <c r="CCQ31" s="1247"/>
      <c r="CCR31" s="1247"/>
      <c r="CCS31" s="1247"/>
      <c r="CCT31" s="1247"/>
      <c r="CCU31" s="1247"/>
      <c r="CCV31" s="1247"/>
      <c r="CCW31" s="1247"/>
      <c r="CCX31" s="1247"/>
      <c r="CCY31" s="1247"/>
      <c r="CCZ31" s="1247"/>
      <c r="CDA31" s="1247"/>
      <c r="CDB31" s="1247"/>
      <c r="CDC31" s="1247"/>
      <c r="CDD31" s="1247"/>
      <c r="CDE31" s="1247"/>
      <c r="CDF31" s="1247"/>
      <c r="CDG31" s="1247"/>
      <c r="CDH31" s="1247"/>
      <c r="CDI31" s="1247"/>
      <c r="CDJ31" s="1247"/>
      <c r="CDK31" s="1247"/>
      <c r="CDL31" s="1247"/>
      <c r="CDM31" s="1247"/>
      <c r="CDN31" s="1247"/>
      <c r="CDO31" s="1247"/>
      <c r="CDP31" s="1247"/>
      <c r="CDQ31" s="1247"/>
      <c r="CDR31" s="1247"/>
      <c r="CDS31" s="1247"/>
      <c r="CDT31" s="1247"/>
      <c r="CDU31" s="1247"/>
      <c r="CDV31" s="1247"/>
      <c r="CDW31" s="1247"/>
      <c r="CDX31" s="1247"/>
      <c r="CDY31" s="1247"/>
      <c r="CDZ31" s="1247"/>
      <c r="CEA31" s="1247"/>
      <c r="CEB31" s="1247"/>
      <c r="CEC31" s="1247"/>
      <c r="CED31" s="1247"/>
      <c r="CEE31" s="1247"/>
      <c r="CEF31" s="1247"/>
      <c r="CEG31" s="1247"/>
      <c r="CEH31" s="1247"/>
      <c r="CEI31" s="1247"/>
      <c r="CEJ31" s="1247"/>
      <c r="CEK31" s="1247"/>
      <c r="CEL31" s="1247"/>
      <c r="CEM31" s="1247"/>
      <c r="CEN31" s="1247"/>
      <c r="CEO31" s="1247"/>
      <c r="CEP31" s="1247"/>
      <c r="CEQ31" s="1247"/>
      <c r="CER31" s="1247"/>
      <c r="CES31" s="1247"/>
      <c r="CET31" s="1247"/>
      <c r="CEU31" s="1247"/>
      <c r="CEV31" s="1247"/>
      <c r="CEW31" s="1247"/>
      <c r="CEX31" s="1247"/>
      <c r="CEY31" s="1247"/>
      <c r="CEZ31" s="1247"/>
      <c r="CFA31" s="1247"/>
      <c r="CFB31" s="1247"/>
      <c r="CFC31" s="1247"/>
      <c r="CFD31" s="1247"/>
      <c r="CFE31" s="1247"/>
      <c r="CFF31" s="1247"/>
      <c r="CFG31" s="1247"/>
      <c r="CFH31" s="1247"/>
      <c r="CFI31" s="1247"/>
      <c r="CFJ31" s="1247"/>
      <c r="CFK31" s="1247"/>
      <c r="CFL31" s="1247"/>
      <c r="CFM31" s="1247"/>
      <c r="CFN31" s="1247"/>
      <c r="CFO31" s="1247"/>
      <c r="CFP31" s="1247"/>
      <c r="CFQ31" s="1247"/>
      <c r="CFR31" s="1247"/>
      <c r="CFS31" s="1247"/>
      <c r="CFT31" s="1247"/>
      <c r="CFU31" s="1247"/>
      <c r="CFV31" s="1247"/>
      <c r="CFW31" s="1247"/>
      <c r="CFX31" s="1247"/>
      <c r="CFY31" s="1247"/>
      <c r="CFZ31" s="1247"/>
      <c r="CGA31" s="1247"/>
      <c r="CGB31" s="1247"/>
      <c r="CGC31" s="1247"/>
      <c r="CGD31" s="1247"/>
      <c r="CGE31" s="1247"/>
      <c r="CGF31" s="1247"/>
      <c r="CGG31" s="1247"/>
      <c r="CGH31" s="1247"/>
      <c r="CGI31" s="1247"/>
      <c r="CGJ31" s="1247"/>
      <c r="CGK31" s="1247"/>
      <c r="CGL31" s="1247"/>
      <c r="CGM31" s="1247"/>
      <c r="CGN31" s="1247"/>
      <c r="CGO31" s="1247"/>
      <c r="CGP31" s="1247"/>
      <c r="CGQ31" s="1247"/>
      <c r="CGR31" s="1247"/>
      <c r="CGS31" s="1247"/>
      <c r="CGT31" s="1247"/>
      <c r="CGU31" s="1247"/>
      <c r="CGV31" s="1247"/>
      <c r="CGW31" s="1247"/>
      <c r="CGX31" s="1247"/>
      <c r="CGY31" s="1247"/>
      <c r="CGZ31" s="1247"/>
      <c r="CHA31" s="1247"/>
      <c r="CHB31" s="1247"/>
      <c r="CHC31" s="1247"/>
      <c r="CHD31" s="1247"/>
      <c r="CHE31" s="1247"/>
      <c r="CHF31" s="1247"/>
      <c r="CHG31" s="1247"/>
      <c r="CHH31" s="1247"/>
      <c r="CHI31" s="1247"/>
      <c r="CHJ31" s="1247"/>
      <c r="CHK31" s="1247"/>
      <c r="CHL31" s="1247"/>
      <c r="CHM31" s="1247"/>
      <c r="CHN31" s="1247"/>
      <c r="CHO31" s="1247"/>
      <c r="CHP31" s="1247"/>
      <c r="CHQ31" s="1247"/>
      <c r="CHR31" s="1247"/>
      <c r="CHS31" s="1247"/>
      <c r="CHT31" s="1247"/>
      <c r="CHU31" s="1247"/>
      <c r="CHV31" s="1247"/>
      <c r="CHW31" s="1247"/>
      <c r="CHX31" s="1247"/>
      <c r="CHY31" s="1247"/>
      <c r="CHZ31" s="1247"/>
      <c r="CIA31" s="1247"/>
      <c r="CIB31" s="1247"/>
      <c r="CIC31" s="1247"/>
      <c r="CID31" s="1247"/>
      <c r="CIE31" s="1247"/>
      <c r="CIF31" s="1247"/>
      <c r="CIG31" s="1247"/>
      <c r="CIH31" s="1247"/>
      <c r="CII31" s="1247"/>
      <c r="CIJ31" s="1247"/>
      <c r="CIK31" s="1247"/>
      <c r="CIL31" s="1247"/>
      <c r="CIM31" s="1247"/>
      <c r="CIN31" s="1247"/>
      <c r="CIO31" s="1247"/>
      <c r="CIP31" s="1247"/>
      <c r="CIQ31" s="1247"/>
      <c r="CIR31" s="1247"/>
      <c r="CIS31" s="1247"/>
      <c r="CIT31" s="1247"/>
      <c r="CIU31" s="1247"/>
      <c r="CIV31" s="1247"/>
      <c r="CIW31" s="1247"/>
      <c r="CIX31" s="1247"/>
      <c r="CIY31" s="1247"/>
      <c r="CIZ31" s="1247"/>
      <c r="CJA31" s="1247"/>
      <c r="CJB31" s="1247"/>
      <c r="CJC31" s="1247"/>
      <c r="CJD31" s="1247"/>
      <c r="CJE31" s="1247"/>
      <c r="CJF31" s="1247"/>
      <c r="CJG31" s="1247"/>
      <c r="CJH31" s="1247"/>
      <c r="CJI31" s="1247"/>
      <c r="CJJ31" s="1247"/>
      <c r="CJK31" s="1247"/>
      <c r="CJL31" s="1247"/>
      <c r="CJM31" s="1247"/>
      <c r="CJN31" s="1247"/>
      <c r="CJO31" s="1247"/>
      <c r="CJP31" s="1247"/>
      <c r="CJQ31" s="1247"/>
      <c r="CJR31" s="1247"/>
      <c r="CJS31" s="1247"/>
      <c r="CJT31" s="1247"/>
      <c r="CJU31" s="1247"/>
      <c r="CJV31" s="1247"/>
      <c r="CJW31" s="1247"/>
      <c r="CJX31" s="1247"/>
      <c r="CJY31" s="1247"/>
      <c r="CJZ31" s="1247"/>
      <c r="CKA31" s="1247"/>
      <c r="CKB31" s="1247"/>
      <c r="CKC31" s="1247"/>
      <c r="CKD31" s="1247"/>
      <c r="CKE31" s="1247"/>
      <c r="CKF31" s="1247"/>
      <c r="CKG31" s="1247"/>
      <c r="CKH31" s="1247"/>
      <c r="CKI31" s="1247"/>
      <c r="CKJ31" s="1247"/>
      <c r="CKK31" s="1247"/>
      <c r="CKL31" s="1247"/>
      <c r="CKM31" s="1247"/>
      <c r="CKN31" s="1247"/>
      <c r="CKO31" s="1247"/>
      <c r="CKP31" s="1247"/>
      <c r="CKQ31" s="1247"/>
      <c r="CKR31" s="1247"/>
      <c r="CKS31" s="1247"/>
      <c r="CKT31" s="1247"/>
      <c r="CKU31" s="1247"/>
      <c r="CKV31" s="1247"/>
      <c r="CKW31" s="1247"/>
      <c r="CKX31" s="1247"/>
      <c r="CKY31" s="1247"/>
      <c r="CKZ31" s="1247"/>
      <c r="CLA31" s="1247"/>
      <c r="CLB31" s="1247"/>
      <c r="CLC31" s="1247"/>
      <c r="CLD31" s="1247"/>
      <c r="CLE31" s="1247"/>
      <c r="CLF31" s="1247"/>
      <c r="CLG31" s="1247"/>
      <c r="CLH31" s="1247"/>
      <c r="CLI31" s="1247"/>
      <c r="CLJ31" s="1247"/>
      <c r="CLK31" s="1247"/>
      <c r="CLL31" s="1247"/>
      <c r="CLM31" s="1247"/>
      <c r="CLN31" s="1247"/>
      <c r="CLO31" s="1247"/>
      <c r="CLP31" s="1247"/>
      <c r="CLQ31" s="1247"/>
      <c r="CLR31" s="1247"/>
      <c r="CLS31" s="1247"/>
      <c r="CLT31" s="1247"/>
      <c r="CLU31" s="1247"/>
      <c r="CLV31" s="1247"/>
      <c r="CLW31" s="1247"/>
      <c r="CLX31" s="1247"/>
      <c r="CLY31" s="1247"/>
      <c r="CLZ31" s="1247"/>
      <c r="CMA31" s="1247"/>
      <c r="CMB31" s="1247"/>
      <c r="CMC31" s="1247"/>
      <c r="CMD31" s="1247"/>
      <c r="CME31" s="1247"/>
      <c r="CMF31" s="1247"/>
      <c r="CMG31" s="1247"/>
      <c r="CMH31" s="1247"/>
      <c r="CMI31" s="1247"/>
      <c r="CMJ31" s="1247"/>
      <c r="CMK31" s="1247"/>
      <c r="CML31" s="1247"/>
      <c r="CMM31" s="1247"/>
      <c r="CMN31" s="1247"/>
      <c r="CMO31" s="1247"/>
      <c r="CMP31" s="1247"/>
      <c r="CMQ31" s="1247"/>
      <c r="CMR31" s="1247"/>
      <c r="CMS31" s="1247"/>
      <c r="CMT31" s="1247"/>
      <c r="CMU31" s="1247"/>
      <c r="CMV31" s="1247"/>
      <c r="CMW31" s="1247"/>
      <c r="CMX31" s="1247"/>
      <c r="CMY31" s="1247"/>
      <c r="CMZ31" s="1247"/>
      <c r="CNA31" s="1247"/>
      <c r="CNB31" s="1247"/>
      <c r="CNC31" s="1247"/>
      <c r="CND31" s="1247"/>
      <c r="CNE31" s="1247"/>
      <c r="CNF31" s="1247"/>
      <c r="CNG31" s="1247"/>
      <c r="CNH31" s="1247"/>
      <c r="CNI31" s="1247"/>
      <c r="CNJ31" s="1247"/>
      <c r="CNK31" s="1247"/>
      <c r="CNL31" s="1247"/>
      <c r="CNM31" s="1247"/>
      <c r="CNN31" s="1247"/>
      <c r="CNO31" s="1247"/>
      <c r="CNP31" s="1247"/>
      <c r="CNQ31" s="1247"/>
      <c r="CNR31" s="1247"/>
      <c r="CNS31" s="1247"/>
      <c r="CNT31" s="1247"/>
      <c r="CNU31" s="1247"/>
      <c r="CNV31" s="1247"/>
      <c r="CNW31" s="1247"/>
      <c r="CNX31" s="1247"/>
      <c r="CNY31" s="1247"/>
      <c r="CNZ31" s="1247"/>
      <c r="COA31" s="1247"/>
      <c r="COB31" s="1247"/>
      <c r="COC31" s="1247"/>
      <c r="COD31" s="1247"/>
      <c r="COE31" s="1247"/>
      <c r="COF31" s="1247"/>
      <c r="COG31" s="1247"/>
      <c r="COH31" s="1247"/>
      <c r="COI31" s="1247"/>
      <c r="COJ31" s="1247"/>
      <c r="COK31" s="1247"/>
      <c r="COL31" s="1247"/>
      <c r="COM31" s="1247"/>
      <c r="CON31" s="1247"/>
      <c r="COO31" s="1247"/>
      <c r="COP31" s="1247"/>
      <c r="COQ31" s="1247"/>
      <c r="COR31" s="1247"/>
      <c r="COS31" s="1247"/>
      <c r="COT31" s="1247"/>
      <c r="COU31" s="1247"/>
      <c r="COV31" s="1247"/>
      <c r="COW31" s="1247"/>
      <c r="COX31" s="1247"/>
      <c r="COY31" s="1247"/>
      <c r="COZ31" s="1247"/>
      <c r="CPA31" s="1247"/>
      <c r="CPB31" s="1247"/>
      <c r="CPC31" s="1247"/>
      <c r="CPD31" s="1247"/>
      <c r="CPE31" s="1247"/>
      <c r="CPF31" s="1247"/>
      <c r="CPG31" s="1247"/>
      <c r="CPH31" s="1247"/>
      <c r="CPI31" s="1247"/>
      <c r="CPJ31" s="1247"/>
      <c r="CPK31" s="1247"/>
      <c r="CPL31" s="1247"/>
      <c r="CPM31" s="1247"/>
      <c r="CPN31" s="1247"/>
      <c r="CPO31" s="1247"/>
      <c r="CPP31" s="1247"/>
      <c r="CPQ31" s="1247"/>
      <c r="CPR31" s="1247"/>
      <c r="CPS31" s="1247"/>
      <c r="CPT31" s="1247"/>
      <c r="CPU31" s="1247"/>
      <c r="CPV31" s="1247"/>
      <c r="CPW31" s="1247"/>
      <c r="CPX31" s="1247"/>
      <c r="CPY31" s="1247"/>
      <c r="CPZ31" s="1247"/>
      <c r="CQA31" s="1247"/>
      <c r="CQB31" s="1247"/>
      <c r="CQC31" s="1247"/>
      <c r="CQD31" s="1247"/>
      <c r="CQE31" s="1247"/>
      <c r="CQF31" s="1247"/>
      <c r="CQG31" s="1247"/>
      <c r="CQH31" s="1247"/>
      <c r="CQI31" s="1247"/>
      <c r="CQJ31" s="1247"/>
      <c r="CQK31" s="1247"/>
      <c r="CQL31" s="1247"/>
      <c r="CQM31" s="1247"/>
      <c r="CQN31" s="1247"/>
      <c r="CQO31" s="1247"/>
      <c r="CQP31" s="1247"/>
      <c r="CQQ31" s="1247"/>
      <c r="CQR31" s="1247"/>
      <c r="CQS31" s="1247"/>
      <c r="CQT31" s="1247"/>
      <c r="CQU31" s="1247"/>
      <c r="CQV31" s="1247"/>
      <c r="CQW31" s="1247"/>
      <c r="CQX31" s="1247"/>
      <c r="CQY31" s="1247"/>
      <c r="CQZ31" s="1247"/>
      <c r="CRA31" s="1247"/>
      <c r="CRB31" s="1247"/>
      <c r="CRC31" s="1247"/>
      <c r="CRD31" s="1247"/>
      <c r="CRE31" s="1247"/>
      <c r="CRF31" s="1247"/>
      <c r="CRG31" s="1247"/>
      <c r="CRH31" s="1247"/>
      <c r="CRI31" s="1247"/>
      <c r="CRJ31" s="1247"/>
      <c r="CRK31" s="1247"/>
      <c r="CRL31" s="1247"/>
      <c r="CRM31" s="1247"/>
      <c r="CRN31" s="1247"/>
      <c r="CRO31" s="1247"/>
      <c r="CRP31" s="1247"/>
      <c r="CRQ31" s="1247"/>
      <c r="CRR31" s="1247"/>
      <c r="CRS31" s="1247"/>
      <c r="CRT31" s="1247"/>
      <c r="CRU31" s="1247"/>
      <c r="CRV31" s="1247"/>
      <c r="CRW31" s="1247"/>
      <c r="CRX31" s="1247"/>
      <c r="CRY31" s="1247"/>
      <c r="CRZ31" s="1247"/>
      <c r="CSA31" s="1247"/>
      <c r="CSB31" s="1247"/>
      <c r="CSC31" s="1247"/>
      <c r="CSD31" s="1247"/>
      <c r="CSE31" s="1247"/>
      <c r="CSF31" s="1247"/>
      <c r="CSG31" s="1247"/>
      <c r="CSH31" s="1247"/>
      <c r="CSI31" s="1247"/>
      <c r="CSJ31" s="1247"/>
      <c r="CSK31" s="1247"/>
      <c r="CSL31" s="1247"/>
      <c r="CSM31" s="1247"/>
      <c r="CSN31" s="1247"/>
      <c r="CSO31" s="1247"/>
      <c r="CSP31" s="1247"/>
      <c r="CSQ31" s="1247"/>
      <c r="CSR31" s="1247"/>
      <c r="CSS31" s="1247"/>
      <c r="CST31" s="1247"/>
      <c r="CSU31" s="1247"/>
      <c r="CSV31" s="1247"/>
      <c r="CSW31" s="1247"/>
      <c r="CSX31" s="1247"/>
      <c r="CSY31" s="1247"/>
      <c r="CSZ31" s="1247"/>
      <c r="CTA31" s="1247"/>
      <c r="CTB31" s="1247"/>
      <c r="CTC31" s="1247"/>
      <c r="CTD31" s="1247"/>
      <c r="CTE31" s="1247"/>
      <c r="CTF31" s="1247"/>
      <c r="CTG31" s="1247"/>
      <c r="CTH31" s="1247"/>
      <c r="CTI31" s="1247"/>
      <c r="CTJ31" s="1247"/>
      <c r="CTK31" s="1247"/>
      <c r="CTL31" s="1247"/>
      <c r="CTM31" s="1247"/>
      <c r="CTN31" s="1247"/>
      <c r="CTO31" s="1247"/>
      <c r="CTP31" s="1247"/>
      <c r="CTQ31" s="1247"/>
      <c r="CTR31" s="1247"/>
      <c r="CTS31" s="1247"/>
      <c r="CTT31" s="1247"/>
      <c r="CTU31" s="1247"/>
      <c r="CTV31" s="1247"/>
      <c r="CTW31" s="1247"/>
      <c r="CTX31" s="1247"/>
      <c r="CTY31" s="1247"/>
      <c r="CTZ31" s="1247"/>
      <c r="CUA31" s="1247"/>
      <c r="CUB31" s="1247"/>
      <c r="CUC31" s="1247"/>
      <c r="CUD31" s="1247"/>
      <c r="CUE31" s="1247"/>
      <c r="CUF31" s="1247"/>
      <c r="CUG31" s="1247"/>
      <c r="CUH31" s="1247"/>
      <c r="CUI31" s="1247"/>
      <c r="CUJ31" s="1247"/>
      <c r="CUK31" s="1247"/>
      <c r="CUL31" s="1247"/>
      <c r="CUM31" s="1247"/>
      <c r="CUN31" s="1247"/>
      <c r="CUO31" s="1247"/>
      <c r="CUP31" s="1247"/>
      <c r="CUQ31" s="1247"/>
      <c r="CUR31" s="1247"/>
      <c r="CUS31" s="1247"/>
      <c r="CUT31" s="1247"/>
      <c r="CUU31" s="1247"/>
      <c r="CUV31" s="1247"/>
      <c r="CUW31" s="1247"/>
      <c r="CUX31" s="1247"/>
      <c r="CUY31" s="1247"/>
      <c r="CUZ31" s="1247"/>
      <c r="CVA31" s="1247"/>
      <c r="CVB31" s="1247"/>
      <c r="CVC31" s="1247"/>
      <c r="CVD31" s="1247"/>
      <c r="CVE31" s="1247"/>
      <c r="CVF31" s="1247"/>
      <c r="CVG31" s="1247"/>
      <c r="CVH31" s="1247"/>
      <c r="CVI31" s="1247"/>
      <c r="CVJ31" s="1247"/>
      <c r="CVK31" s="1247"/>
      <c r="CVL31" s="1247"/>
      <c r="CVM31" s="1247"/>
      <c r="CVN31" s="1247"/>
      <c r="CVO31" s="1247"/>
      <c r="CVP31" s="1247"/>
      <c r="CVQ31" s="1247"/>
      <c r="CVR31" s="1247"/>
      <c r="CVS31" s="1247"/>
      <c r="CVT31" s="1247"/>
      <c r="CVU31" s="1247"/>
      <c r="CVV31" s="1247"/>
      <c r="CVW31" s="1247"/>
      <c r="CVX31" s="1247"/>
      <c r="CVY31" s="1247"/>
      <c r="CVZ31" s="1247"/>
      <c r="CWA31" s="1247"/>
      <c r="CWB31" s="1247"/>
      <c r="CWC31" s="1247"/>
      <c r="CWD31" s="1247"/>
      <c r="CWE31" s="1247"/>
      <c r="CWF31" s="1247"/>
      <c r="CWG31" s="1247"/>
      <c r="CWH31" s="1247"/>
      <c r="CWI31" s="1247"/>
      <c r="CWJ31" s="1247"/>
      <c r="CWK31" s="1247"/>
      <c r="CWL31" s="1247"/>
      <c r="CWM31" s="1247"/>
      <c r="CWN31" s="1247"/>
      <c r="CWO31" s="1247"/>
      <c r="CWP31" s="1247"/>
      <c r="CWQ31" s="1247"/>
      <c r="CWR31" s="1247"/>
      <c r="CWS31" s="1247"/>
      <c r="CWT31" s="1247"/>
      <c r="CWU31" s="1247"/>
      <c r="CWV31" s="1247"/>
      <c r="CWW31" s="1247"/>
      <c r="CWX31" s="1247"/>
      <c r="CWY31" s="1247"/>
      <c r="CWZ31" s="1247"/>
      <c r="CXA31" s="1247"/>
      <c r="CXB31" s="1247"/>
      <c r="CXC31" s="1247"/>
      <c r="CXD31" s="1247"/>
      <c r="CXE31" s="1247"/>
      <c r="CXF31" s="1247"/>
      <c r="CXG31" s="1247"/>
      <c r="CXH31" s="1247"/>
      <c r="CXI31" s="1247"/>
      <c r="CXJ31" s="1247"/>
      <c r="CXK31" s="1247"/>
      <c r="CXL31" s="1247"/>
      <c r="CXM31" s="1247"/>
      <c r="CXN31" s="1247"/>
      <c r="CXO31" s="1247"/>
      <c r="CXP31" s="1247"/>
      <c r="CXQ31" s="1247"/>
      <c r="CXR31" s="1247"/>
      <c r="CXS31" s="1247"/>
      <c r="CXT31" s="1247"/>
      <c r="CXU31" s="1247"/>
      <c r="CXV31" s="1247"/>
      <c r="CXW31" s="1247"/>
      <c r="CXX31" s="1247"/>
      <c r="CXY31" s="1247"/>
      <c r="CXZ31" s="1247"/>
      <c r="CYA31" s="1247"/>
      <c r="CYB31" s="1247"/>
      <c r="CYC31" s="1247"/>
      <c r="CYD31" s="1247"/>
      <c r="CYE31" s="1247"/>
      <c r="CYF31" s="1247"/>
      <c r="CYG31" s="1247"/>
      <c r="CYH31" s="1247"/>
      <c r="CYI31" s="1247"/>
      <c r="CYJ31" s="1247"/>
      <c r="CYK31" s="1247"/>
      <c r="CYL31" s="1247"/>
      <c r="CYM31" s="1247"/>
      <c r="CYN31" s="1247"/>
      <c r="CYO31" s="1247"/>
      <c r="CYP31" s="1247"/>
      <c r="CYQ31" s="1247"/>
      <c r="CYR31" s="1247"/>
      <c r="CYS31" s="1247"/>
      <c r="CYT31" s="1247"/>
      <c r="CYU31" s="1247"/>
      <c r="CYV31" s="1247"/>
      <c r="CYW31" s="1247"/>
      <c r="CYX31" s="1247"/>
      <c r="CYY31" s="1247"/>
      <c r="CYZ31" s="1247"/>
      <c r="CZA31" s="1247"/>
      <c r="CZB31" s="1247"/>
      <c r="CZC31" s="1247"/>
      <c r="CZD31" s="1247"/>
      <c r="CZE31" s="1247"/>
      <c r="CZF31" s="1247"/>
      <c r="CZG31" s="1247"/>
      <c r="CZH31" s="1247"/>
      <c r="CZI31" s="1247"/>
      <c r="CZJ31" s="1247"/>
      <c r="CZK31" s="1247"/>
      <c r="CZL31" s="1247"/>
      <c r="CZM31" s="1247"/>
      <c r="CZN31" s="1247"/>
      <c r="CZO31" s="1247"/>
      <c r="CZP31" s="1247"/>
      <c r="CZQ31" s="1247"/>
      <c r="CZR31" s="1247"/>
      <c r="CZS31" s="1247"/>
      <c r="CZT31" s="1247"/>
      <c r="CZU31" s="1247"/>
      <c r="CZV31" s="1247"/>
      <c r="CZW31" s="1247"/>
      <c r="CZX31" s="1247"/>
      <c r="CZY31" s="1247"/>
      <c r="CZZ31" s="1247"/>
      <c r="DAA31" s="1247"/>
      <c r="DAB31" s="1247"/>
      <c r="DAC31" s="1247"/>
      <c r="DAD31" s="1247"/>
      <c r="DAE31" s="1247"/>
      <c r="DAF31" s="1247"/>
      <c r="DAG31" s="1247"/>
      <c r="DAH31" s="1247"/>
      <c r="DAI31" s="1247"/>
      <c r="DAJ31" s="1247"/>
      <c r="DAK31" s="1247"/>
      <c r="DAL31" s="1247"/>
      <c r="DAM31" s="1247"/>
      <c r="DAN31" s="1247"/>
      <c r="DAO31" s="1247"/>
      <c r="DAP31" s="1247"/>
      <c r="DAQ31" s="1247"/>
      <c r="DAR31" s="1247"/>
      <c r="DAS31" s="1247"/>
      <c r="DAT31" s="1247"/>
      <c r="DAU31" s="1247"/>
      <c r="DAV31" s="1247"/>
      <c r="DAW31" s="1247"/>
      <c r="DAX31" s="1247"/>
      <c r="DAY31" s="1247"/>
      <c r="DAZ31" s="1247"/>
      <c r="DBA31" s="1247"/>
      <c r="DBB31" s="1247"/>
      <c r="DBC31" s="1247"/>
      <c r="DBD31" s="1247"/>
      <c r="DBE31" s="1247"/>
      <c r="DBF31" s="1247"/>
      <c r="DBG31" s="1247"/>
      <c r="DBH31" s="1247"/>
      <c r="DBI31" s="1247"/>
      <c r="DBJ31" s="1247"/>
      <c r="DBK31" s="1247"/>
      <c r="DBL31" s="1247"/>
      <c r="DBM31" s="1247"/>
      <c r="DBN31" s="1247"/>
      <c r="DBO31" s="1247"/>
      <c r="DBP31" s="1247"/>
      <c r="DBQ31" s="1247"/>
      <c r="DBR31" s="1247"/>
      <c r="DBS31" s="1247"/>
      <c r="DBT31" s="1247"/>
      <c r="DBU31" s="1247"/>
      <c r="DBV31" s="1247"/>
      <c r="DBW31" s="1247"/>
      <c r="DBX31" s="1247"/>
      <c r="DBY31" s="1247"/>
      <c r="DBZ31" s="1247"/>
      <c r="DCA31" s="1247"/>
      <c r="DCB31" s="1247"/>
      <c r="DCC31" s="1247"/>
      <c r="DCD31" s="1247"/>
      <c r="DCE31" s="1247"/>
      <c r="DCF31" s="1247"/>
      <c r="DCG31" s="1247"/>
      <c r="DCH31" s="1247"/>
      <c r="DCI31" s="1247"/>
      <c r="DCJ31" s="1247"/>
      <c r="DCK31" s="1247"/>
      <c r="DCL31" s="1247"/>
      <c r="DCM31" s="1247"/>
      <c r="DCN31" s="1247"/>
      <c r="DCO31" s="1247"/>
      <c r="DCP31" s="1247"/>
      <c r="DCQ31" s="1247"/>
      <c r="DCR31" s="1247"/>
      <c r="DCS31" s="1247"/>
      <c r="DCT31" s="1247"/>
      <c r="DCU31" s="1247"/>
      <c r="DCV31" s="1247"/>
      <c r="DCW31" s="1247"/>
      <c r="DCX31" s="1247"/>
      <c r="DCY31" s="1247"/>
      <c r="DCZ31" s="1247"/>
      <c r="DDA31" s="1247"/>
      <c r="DDB31" s="1247"/>
      <c r="DDC31" s="1247"/>
      <c r="DDD31" s="1247"/>
      <c r="DDE31" s="1247"/>
      <c r="DDF31" s="1247"/>
      <c r="DDG31" s="1247"/>
      <c r="DDH31" s="1247"/>
      <c r="DDI31" s="1247"/>
      <c r="DDJ31" s="1247"/>
      <c r="DDK31" s="1247"/>
      <c r="DDL31" s="1247"/>
      <c r="DDM31" s="1247"/>
      <c r="DDN31" s="1247"/>
      <c r="DDO31" s="1247"/>
      <c r="DDP31" s="1247"/>
      <c r="DDQ31" s="1247"/>
      <c r="DDR31" s="1247"/>
      <c r="DDS31" s="1247"/>
      <c r="DDT31" s="1247"/>
      <c r="DDU31" s="1247"/>
      <c r="DDV31" s="1247"/>
      <c r="DDW31" s="1247"/>
      <c r="DDX31" s="1247"/>
      <c r="DDY31" s="1247"/>
      <c r="DDZ31" s="1247"/>
      <c r="DEA31" s="1247"/>
      <c r="DEB31" s="1247"/>
      <c r="DEC31" s="1247"/>
      <c r="DED31" s="1247"/>
      <c r="DEE31" s="1247"/>
      <c r="DEF31" s="1247"/>
      <c r="DEG31" s="1247"/>
      <c r="DEH31" s="1247"/>
      <c r="DEI31" s="1247"/>
      <c r="DEJ31" s="1247"/>
      <c r="DEK31" s="1247"/>
      <c r="DEL31" s="1247"/>
      <c r="DEM31" s="1247"/>
      <c r="DEN31" s="1247"/>
      <c r="DEO31" s="1247"/>
      <c r="DEP31" s="1247"/>
      <c r="DEQ31" s="1247"/>
      <c r="DER31" s="1247"/>
      <c r="DES31" s="1247"/>
      <c r="DET31" s="1247"/>
      <c r="DEU31" s="1247"/>
      <c r="DEV31" s="1247"/>
      <c r="DEW31" s="1247"/>
      <c r="DEX31" s="1247"/>
      <c r="DEY31" s="1247"/>
      <c r="DEZ31" s="1247"/>
      <c r="DFA31" s="1247"/>
      <c r="DFB31" s="1247"/>
      <c r="DFC31" s="1247"/>
      <c r="DFD31" s="1247"/>
      <c r="DFE31" s="1247"/>
      <c r="DFF31" s="1247"/>
      <c r="DFG31" s="1247"/>
      <c r="DFH31" s="1247"/>
      <c r="DFI31" s="1247"/>
      <c r="DFJ31" s="1247"/>
      <c r="DFK31" s="1247"/>
      <c r="DFL31" s="1247"/>
      <c r="DFM31" s="1247"/>
      <c r="DFN31" s="1247"/>
      <c r="DFO31" s="1247"/>
      <c r="DFP31" s="1247"/>
      <c r="DFQ31" s="1247"/>
      <c r="DFR31" s="1247"/>
      <c r="DFS31" s="1247"/>
      <c r="DFT31" s="1247"/>
      <c r="DFU31" s="1247"/>
      <c r="DFV31" s="1247"/>
      <c r="DFW31" s="1247"/>
      <c r="DFX31" s="1247"/>
      <c r="DFY31" s="1247"/>
      <c r="DFZ31" s="1247"/>
      <c r="DGA31" s="1247"/>
      <c r="DGB31" s="1247"/>
      <c r="DGC31" s="1247"/>
      <c r="DGD31" s="1247"/>
      <c r="DGE31" s="1247"/>
      <c r="DGF31" s="1247"/>
      <c r="DGG31" s="1247"/>
      <c r="DGH31" s="1247"/>
      <c r="DGI31" s="1247"/>
      <c r="DGJ31" s="1247"/>
      <c r="DGK31" s="1247"/>
      <c r="DGL31" s="1247"/>
      <c r="DGM31" s="1247"/>
      <c r="DGN31" s="1247"/>
      <c r="DGO31" s="1247"/>
      <c r="DGP31" s="1247"/>
      <c r="DGQ31" s="1247"/>
      <c r="DGR31" s="1247"/>
      <c r="DGS31" s="1247"/>
      <c r="DGT31" s="1247"/>
      <c r="DGU31" s="1247"/>
      <c r="DGV31" s="1247"/>
      <c r="DGW31" s="1247"/>
      <c r="DGX31" s="1247"/>
      <c r="DGY31" s="1247"/>
      <c r="DGZ31" s="1247"/>
      <c r="DHA31" s="1247"/>
      <c r="DHB31" s="1247"/>
      <c r="DHC31" s="1247"/>
      <c r="DHD31" s="1247"/>
      <c r="DHE31" s="1247"/>
      <c r="DHF31" s="1247"/>
      <c r="DHG31" s="1247"/>
      <c r="DHH31" s="1247"/>
      <c r="DHI31" s="1247"/>
      <c r="DHJ31" s="1247"/>
      <c r="DHK31" s="1247"/>
      <c r="DHL31" s="1247"/>
      <c r="DHM31" s="1247"/>
      <c r="DHN31" s="1247"/>
      <c r="DHO31" s="1247"/>
      <c r="DHP31" s="1247"/>
      <c r="DHQ31" s="1247"/>
      <c r="DHR31" s="1247"/>
      <c r="DHS31" s="1247"/>
      <c r="DHT31" s="1247"/>
      <c r="DHU31" s="1247"/>
      <c r="DHV31" s="1247"/>
      <c r="DHW31" s="1247"/>
      <c r="DHX31" s="1247"/>
      <c r="DHY31" s="1247"/>
      <c r="DHZ31" s="1247"/>
      <c r="DIA31" s="1247"/>
      <c r="DIB31" s="1247"/>
      <c r="DIC31" s="1247"/>
      <c r="DID31" s="1247"/>
      <c r="DIE31" s="1247"/>
      <c r="DIF31" s="1247"/>
      <c r="DIG31" s="1247"/>
      <c r="DIH31" s="1247"/>
      <c r="DII31" s="1247"/>
      <c r="DIJ31" s="1247"/>
      <c r="DIK31" s="1247"/>
      <c r="DIL31" s="1247"/>
      <c r="DIM31" s="1247"/>
      <c r="DIN31" s="1247"/>
      <c r="DIO31" s="1247"/>
      <c r="DIP31" s="1247"/>
      <c r="DIQ31" s="1247"/>
      <c r="DIR31" s="1247"/>
      <c r="DIS31" s="1247"/>
      <c r="DIT31" s="1247"/>
      <c r="DIU31" s="1247"/>
      <c r="DIV31" s="1247"/>
      <c r="DIW31" s="1247"/>
      <c r="DIX31" s="1247"/>
      <c r="DIY31" s="1247"/>
      <c r="DIZ31" s="1247"/>
      <c r="DJA31" s="1247"/>
      <c r="DJB31" s="1247"/>
      <c r="DJC31" s="1247"/>
      <c r="DJD31" s="1247"/>
      <c r="DJE31" s="1247"/>
      <c r="DJF31" s="1247"/>
      <c r="DJG31" s="1247"/>
      <c r="DJH31" s="1247"/>
      <c r="DJI31" s="1247"/>
      <c r="DJJ31" s="1247"/>
      <c r="DJK31" s="1247"/>
      <c r="DJL31" s="1247"/>
      <c r="DJM31" s="1247"/>
      <c r="DJN31" s="1247"/>
      <c r="DJO31" s="1247"/>
      <c r="DJP31" s="1247"/>
      <c r="DJQ31" s="1247"/>
      <c r="DJR31" s="1247"/>
      <c r="DJS31" s="1247"/>
      <c r="DJT31" s="1247"/>
      <c r="DJU31" s="1247"/>
      <c r="DJV31" s="1247"/>
      <c r="DJW31" s="1247"/>
      <c r="DJX31" s="1247"/>
      <c r="DJY31" s="1247"/>
      <c r="DJZ31" s="1247"/>
      <c r="DKA31" s="1247"/>
      <c r="DKB31" s="1247"/>
      <c r="DKC31" s="1247"/>
      <c r="DKD31" s="1247"/>
      <c r="DKE31" s="1247"/>
      <c r="DKF31" s="1247"/>
      <c r="DKG31" s="1247"/>
      <c r="DKH31" s="1247"/>
      <c r="DKI31" s="1247"/>
      <c r="DKJ31" s="1247"/>
      <c r="DKK31" s="1247"/>
      <c r="DKL31" s="1247"/>
      <c r="DKM31" s="1247"/>
      <c r="DKN31" s="1247"/>
      <c r="DKO31" s="1247"/>
      <c r="DKP31" s="1247"/>
      <c r="DKQ31" s="1247"/>
      <c r="DKR31" s="1247"/>
      <c r="DKS31" s="1247"/>
      <c r="DKT31" s="1247"/>
      <c r="DKU31" s="1247"/>
      <c r="DKV31" s="1247"/>
      <c r="DKW31" s="1247"/>
      <c r="DKX31" s="1247"/>
      <c r="DKY31" s="1247"/>
      <c r="DKZ31" s="1247"/>
      <c r="DLA31" s="1247"/>
      <c r="DLB31" s="1247"/>
      <c r="DLC31" s="1247"/>
      <c r="DLD31" s="1247"/>
      <c r="DLE31" s="1247"/>
      <c r="DLF31" s="1247"/>
      <c r="DLG31" s="1247"/>
      <c r="DLH31" s="1247"/>
      <c r="DLI31" s="1247"/>
      <c r="DLJ31" s="1247"/>
      <c r="DLK31" s="1247"/>
      <c r="DLL31" s="1247"/>
      <c r="DLM31" s="1247"/>
      <c r="DLN31" s="1247"/>
      <c r="DLO31" s="1247"/>
      <c r="DLP31" s="1247"/>
      <c r="DLQ31" s="1247"/>
      <c r="DLR31" s="1247"/>
      <c r="DLS31" s="1247"/>
      <c r="DLT31" s="1247"/>
      <c r="DLU31" s="1247"/>
      <c r="DLV31" s="1247"/>
      <c r="DLW31" s="1247"/>
      <c r="DLX31" s="1247"/>
      <c r="DLY31" s="1247"/>
      <c r="DLZ31" s="1247"/>
      <c r="DMA31" s="1247"/>
      <c r="DMB31" s="1247"/>
      <c r="DMC31" s="1247"/>
      <c r="DMD31" s="1247"/>
      <c r="DME31" s="1247"/>
      <c r="DMF31" s="1247"/>
      <c r="DMG31" s="1247"/>
      <c r="DMH31" s="1247"/>
      <c r="DMI31" s="1247"/>
      <c r="DMJ31" s="1247"/>
      <c r="DMK31" s="1247"/>
      <c r="DML31" s="1247"/>
      <c r="DMM31" s="1247"/>
      <c r="DMN31" s="1247"/>
      <c r="DMO31" s="1247"/>
      <c r="DMP31" s="1247"/>
      <c r="DMQ31" s="1247"/>
      <c r="DMR31" s="1247"/>
      <c r="DMS31" s="1247"/>
      <c r="DMT31" s="1247"/>
      <c r="DMU31" s="1247"/>
      <c r="DMV31" s="1247"/>
      <c r="DMW31" s="1247"/>
      <c r="DMX31" s="1247"/>
      <c r="DMY31" s="1247"/>
      <c r="DMZ31" s="1247"/>
      <c r="DNA31" s="1247"/>
      <c r="DNB31" s="1247"/>
      <c r="DNC31" s="1247"/>
      <c r="DND31" s="1247"/>
      <c r="DNE31" s="1247"/>
      <c r="DNF31" s="1247"/>
      <c r="DNG31" s="1247"/>
      <c r="DNH31" s="1247"/>
      <c r="DNI31" s="1247"/>
      <c r="DNJ31" s="1247"/>
      <c r="DNK31" s="1247"/>
      <c r="DNL31" s="1247"/>
      <c r="DNM31" s="1247"/>
      <c r="DNN31" s="1247"/>
      <c r="DNO31" s="1247"/>
      <c r="DNP31" s="1247"/>
      <c r="DNQ31" s="1247"/>
      <c r="DNR31" s="1247"/>
      <c r="DNS31" s="1247"/>
      <c r="DNT31" s="1247"/>
      <c r="DNU31" s="1247"/>
      <c r="DNV31" s="1247"/>
      <c r="DNW31" s="1247"/>
      <c r="DNX31" s="1247"/>
      <c r="DNY31" s="1247"/>
      <c r="DNZ31" s="1247"/>
      <c r="DOA31" s="1247"/>
      <c r="DOB31" s="1247"/>
      <c r="DOC31" s="1247"/>
      <c r="DOD31" s="1247"/>
      <c r="DOE31" s="1247"/>
      <c r="DOF31" s="1247"/>
      <c r="DOG31" s="1247"/>
      <c r="DOH31" s="1247"/>
      <c r="DOI31" s="1247"/>
      <c r="DOJ31" s="1247"/>
      <c r="DOK31" s="1247"/>
      <c r="DOL31" s="1247"/>
      <c r="DOM31" s="1247"/>
      <c r="DON31" s="1247"/>
      <c r="DOO31" s="1247"/>
      <c r="DOP31" s="1247"/>
      <c r="DOQ31" s="1247"/>
      <c r="DOR31" s="1247"/>
      <c r="DOS31" s="1247"/>
      <c r="DOT31" s="1247"/>
      <c r="DOU31" s="1247"/>
      <c r="DOV31" s="1247"/>
      <c r="DOW31" s="1247"/>
      <c r="DOX31" s="1247"/>
      <c r="DOY31" s="1247"/>
      <c r="DOZ31" s="1247"/>
      <c r="DPA31" s="1247"/>
      <c r="DPB31" s="1247"/>
      <c r="DPC31" s="1247"/>
      <c r="DPD31" s="1247"/>
      <c r="DPE31" s="1247"/>
      <c r="DPF31" s="1247"/>
      <c r="DPG31" s="1247"/>
      <c r="DPH31" s="1247"/>
      <c r="DPI31" s="1247"/>
      <c r="DPJ31" s="1247"/>
      <c r="DPK31" s="1247"/>
      <c r="DPL31" s="1247"/>
      <c r="DPM31" s="1247"/>
      <c r="DPN31" s="1247"/>
      <c r="DPO31" s="1247"/>
      <c r="DPP31" s="1247"/>
      <c r="DPQ31" s="1247"/>
      <c r="DPR31" s="1247"/>
      <c r="DPS31" s="1247"/>
      <c r="DPT31" s="1247"/>
      <c r="DPU31" s="1247"/>
      <c r="DPV31" s="1247"/>
      <c r="DPW31" s="1247"/>
      <c r="DPX31" s="1247"/>
      <c r="DPY31" s="1247"/>
      <c r="DPZ31" s="1247"/>
      <c r="DQA31" s="1247"/>
      <c r="DQB31" s="1247"/>
      <c r="DQC31" s="1247"/>
      <c r="DQD31" s="1247"/>
      <c r="DQE31" s="1247"/>
      <c r="DQF31" s="1247"/>
      <c r="DQG31" s="1247"/>
      <c r="DQH31" s="1247"/>
      <c r="DQI31" s="1247"/>
      <c r="DQJ31" s="1247"/>
      <c r="DQK31" s="1247"/>
      <c r="DQL31" s="1247"/>
      <c r="DQM31" s="1247"/>
      <c r="DQN31" s="1247"/>
      <c r="DQO31" s="1247"/>
      <c r="DQP31" s="1247"/>
      <c r="DQQ31" s="1247"/>
      <c r="DQR31" s="1247"/>
      <c r="DQS31" s="1247"/>
      <c r="DQT31" s="1247"/>
      <c r="DQU31" s="1247"/>
      <c r="DQV31" s="1247"/>
      <c r="DQW31" s="1247"/>
      <c r="DQX31" s="1247"/>
      <c r="DQY31" s="1247"/>
      <c r="DQZ31" s="1247"/>
      <c r="DRA31" s="1247"/>
      <c r="DRB31" s="1247"/>
      <c r="DRC31" s="1247"/>
      <c r="DRD31" s="1247"/>
      <c r="DRE31" s="1247"/>
      <c r="DRF31" s="1247"/>
      <c r="DRG31" s="1247"/>
      <c r="DRH31" s="1247"/>
      <c r="DRI31" s="1247"/>
      <c r="DRJ31" s="1247"/>
      <c r="DRK31" s="1247"/>
      <c r="DRL31" s="1247"/>
      <c r="DRM31" s="1247"/>
      <c r="DRN31" s="1247"/>
      <c r="DRO31" s="1247"/>
      <c r="DRP31" s="1247"/>
      <c r="DRQ31" s="1247"/>
      <c r="DRR31" s="1247"/>
      <c r="DRS31" s="1247"/>
      <c r="DRT31" s="1247"/>
      <c r="DRU31" s="1247"/>
      <c r="DRV31" s="1247"/>
      <c r="DRW31" s="1247"/>
      <c r="DRX31" s="1247"/>
      <c r="DRY31" s="1247"/>
      <c r="DRZ31" s="1247"/>
      <c r="DSA31" s="1247"/>
      <c r="DSB31" s="1247"/>
      <c r="DSC31" s="1247"/>
      <c r="DSD31" s="1247"/>
      <c r="DSE31" s="1247"/>
      <c r="DSF31" s="1247"/>
      <c r="DSG31" s="1247"/>
      <c r="DSH31" s="1247"/>
      <c r="DSI31" s="1247"/>
      <c r="DSJ31" s="1247"/>
      <c r="DSK31" s="1247"/>
      <c r="DSL31" s="1247"/>
      <c r="DSM31" s="1247"/>
      <c r="DSN31" s="1247"/>
      <c r="DSO31" s="1247"/>
      <c r="DSP31" s="1247"/>
      <c r="DSQ31" s="1247"/>
      <c r="DSR31" s="1247"/>
      <c r="DSS31" s="1247"/>
      <c r="DST31" s="1247"/>
      <c r="DSU31" s="1247"/>
      <c r="DSV31" s="1247"/>
      <c r="DSW31" s="1247"/>
      <c r="DSX31" s="1247"/>
      <c r="DSY31" s="1247"/>
      <c r="DSZ31" s="1247"/>
      <c r="DTA31" s="1247"/>
      <c r="DTB31" s="1247"/>
      <c r="DTC31" s="1247"/>
      <c r="DTD31" s="1247"/>
      <c r="DTE31" s="1247"/>
      <c r="DTF31" s="1247"/>
      <c r="DTG31" s="1247"/>
      <c r="DTH31" s="1247"/>
      <c r="DTI31" s="1247"/>
      <c r="DTJ31" s="1247"/>
      <c r="DTK31" s="1247"/>
      <c r="DTL31" s="1247"/>
      <c r="DTM31" s="1247"/>
      <c r="DTN31" s="1247"/>
      <c r="DTO31" s="1247"/>
      <c r="DTP31" s="1247"/>
      <c r="DTQ31" s="1247"/>
      <c r="DTR31" s="1247"/>
      <c r="DTS31" s="1247"/>
      <c r="DTT31" s="1247"/>
      <c r="DTU31" s="1247"/>
      <c r="DTV31" s="1247"/>
      <c r="DTW31" s="1247"/>
      <c r="DTX31" s="1247"/>
      <c r="DTY31" s="1247"/>
      <c r="DTZ31" s="1247"/>
      <c r="DUA31" s="1247"/>
      <c r="DUB31" s="1247"/>
      <c r="DUC31" s="1247"/>
      <c r="DUD31" s="1247"/>
      <c r="DUE31" s="1247"/>
      <c r="DUF31" s="1247"/>
      <c r="DUG31" s="1247"/>
      <c r="DUH31" s="1247"/>
      <c r="DUI31" s="1247"/>
      <c r="DUJ31" s="1247"/>
      <c r="DUK31" s="1247"/>
      <c r="DUL31" s="1247"/>
      <c r="DUM31" s="1247"/>
      <c r="DUN31" s="1247"/>
      <c r="DUO31" s="1247"/>
      <c r="DUP31" s="1247"/>
      <c r="DUQ31" s="1247"/>
      <c r="DUR31" s="1247"/>
      <c r="DUS31" s="1247"/>
      <c r="DUT31" s="1247"/>
      <c r="DUU31" s="1247"/>
      <c r="DUV31" s="1247"/>
      <c r="DUW31" s="1247"/>
      <c r="DUX31" s="1247"/>
      <c r="DUY31" s="1247"/>
      <c r="DUZ31" s="1247"/>
      <c r="DVA31" s="1247"/>
      <c r="DVB31" s="1247"/>
      <c r="DVC31" s="1247"/>
      <c r="DVD31" s="1247"/>
      <c r="DVE31" s="1247"/>
      <c r="DVF31" s="1247"/>
      <c r="DVG31" s="1247"/>
      <c r="DVH31" s="1247"/>
      <c r="DVI31" s="1247"/>
      <c r="DVJ31" s="1247"/>
      <c r="DVK31" s="1247"/>
      <c r="DVL31" s="1247"/>
      <c r="DVM31" s="1247"/>
      <c r="DVN31" s="1247"/>
      <c r="DVO31" s="1247"/>
      <c r="DVP31" s="1247"/>
      <c r="DVQ31" s="1247"/>
      <c r="DVR31" s="1247"/>
      <c r="DVS31" s="1247"/>
      <c r="DVT31" s="1247"/>
      <c r="DVU31" s="1247"/>
      <c r="DVV31" s="1247"/>
      <c r="DVW31" s="1247"/>
      <c r="DVX31" s="1247"/>
      <c r="DVY31" s="1247"/>
      <c r="DVZ31" s="1247"/>
      <c r="DWA31" s="1247"/>
      <c r="DWB31" s="1247"/>
      <c r="DWC31" s="1247"/>
      <c r="DWD31" s="1247"/>
      <c r="DWE31" s="1247"/>
      <c r="DWF31" s="1247"/>
      <c r="DWG31" s="1247"/>
      <c r="DWH31" s="1247"/>
      <c r="DWI31" s="1247"/>
      <c r="DWJ31" s="1247"/>
      <c r="DWK31" s="1247"/>
      <c r="DWL31" s="1247"/>
      <c r="DWM31" s="1247"/>
      <c r="DWN31" s="1247"/>
      <c r="DWO31" s="1247"/>
      <c r="DWP31" s="1247"/>
      <c r="DWQ31" s="1247"/>
      <c r="DWR31" s="1247"/>
      <c r="DWS31" s="1247"/>
      <c r="DWT31" s="1247"/>
      <c r="DWU31" s="1247"/>
      <c r="DWV31" s="1247"/>
      <c r="DWW31" s="1247"/>
      <c r="DWX31" s="1247"/>
      <c r="DWY31" s="1247"/>
      <c r="DWZ31" s="1247"/>
      <c r="DXA31" s="1247"/>
      <c r="DXB31" s="1247"/>
      <c r="DXC31" s="1247"/>
      <c r="DXD31" s="1247"/>
      <c r="DXE31" s="1247"/>
      <c r="DXF31" s="1247"/>
      <c r="DXG31" s="1247"/>
      <c r="DXH31" s="1247"/>
      <c r="DXI31" s="1247"/>
      <c r="DXJ31" s="1247"/>
      <c r="DXK31" s="1247"/>
      <c r="DXL31" s="1247"/>
      <c r="DXM31" s="1247"/>
      <c r="DXN31" s="1247"/>
      <c r="DXO31" s="1247"/>
      <c r="DXP31" s="1247"/>
      <c r="DXQ31" s="1247"/>
      <c r="DXR31" s="1247"/>
      <c r="DXS31" s="1247"/>
      <c r="DXT31" s="1247"/>
      <c r="DXU31" s="1247"/>
      <c r="DXV31" s="1247"/>
      <c r="DXW31" s="1247"/>
      <c r="DXX31" s="1247"/>
      <c r="DXY31" s="1247"/>
      <c r="DXZ31" s="1247"/>
      <c r="DYA31" s="1247"/>
      <c r="DYB31" s="1247"/>
      <c r="DYC31" s="1247"/>
      <c r="DYD31" s="1247"/>
      <c r="DYE31" s="1247"/>
      <c r="DYF31" s="1247"/>
      <c r="DYG31" s="1247"/>
      <c r="DYH31" s="1247"/>
      <c r="DYI31" s="1247"/>
      <c r="DYJ31" s="1247"/>
      <c r="DYK31" s="1247"/>
      <c r="DYL31" s="1247"/>
      <c r="DYM31" s="1247"/>
      <c r="DYN31" s="1247"/>
      <c r="DYO31" s="1247"/>
      <c r="DYP31" s="1247"/>
      <c r="DYQ31" s="1247"/>
      <c r="DYR31" s="1247"/>
      <c r="DYS31" s="1247"/>
      <c r="DYT31" s="1247"/>
      <c r="DYU31" s="1247"/>
      <c r="DYV31" s="1247"/>
      <c r="DYW31" s="1247"/>
      <c r="DYX31" s="1247"/>
      <c r="DYY31" s="1247"/>
      <c r="DYZ31" s="1247"/>
      <c r="DZA31" s="1247"/>
      <c r="DZB31" s="1247"/>
      <c r="DZC31" s="1247"/>
      <c r="DZD31" s="1247"/>
      <c r="DZE31" s="1247"/>
      <c r="DZF31" s="1247"/>
      <c r="DZG31" s="1247"/>
      <c r="DZH31" s="1247"/>
      <c r="DZI31" s="1247"/>
      <c r="DZJ31" s="1247"/>
      <c r="DZK31" s="1247"/>
      <c r="DZL31" s="1247"/>
      <c r="DZM31" s="1247"/>
      <c r="DZN31" s="1247"/>
      <c r="DZO31" s="1247"/>
      <c r="DZP31" s="1247"/>
      <c r="DZQ31" s="1247"/>
      <c r="DZR31" s="1247"/>
      <c r="DZS31" s="1247"/>
      <c r="DZT31" s="1247"/>
      <c r="DZU31" s="1247"/>
      <c r="DZV31" s="1247"/>
      <c r="DZW31" s="1247"/>
      <c r="DZX31" s="1247"/>
      <c r="DZY31" s="1247"/>
      <c r="DZZ31" s="1247"/>
      <c r="EAA31" s="1247"/>
      <c r="EAB31" s="1247"/>
      <c r="EAC31" s="1247"/>
      <c r="EAD31" s="1247"/>
      <c r="EAE31" s="1247"/>
      <c r="EAF31" s="1247"/>
      <c r="EAG31" s="1247"/>
      <c r="EAH31" s="1247"/>
      <c r="EAI31" s="1247"/>
      <c r="EAJ31" s="1247"/>
      <c r="EAK31" s="1247"/>
      <c r="EAL31" s="1247"/>
      <c r="EAM31" s="1247"/>
      <c r="EAN31" s="1247"/>
      <c r="EAO31" s="1247"/>
      <c r="EAP31" s="1247"/>
      <c r="EAQ31" s="1247"/>
      <c r="EAR31" s="1247"/>
      <c r="EAS31" s="1247"/>
      <c r="EAT31" s="1247"/>
      <c r="EAU31" s="1247"/>
      <c r="EAV31" s="1247"/>
      <c r="EAW31" s="1247"/>
      <c r="EAX31" s="1247"/>
      <c r="EAY31" s="1247"/>
      <c r="EAZ31" s="1247"/>
      <c r="EBA31" s="1247"/>
      <c r="EBB31" s="1247"/>
      <c r="EBC31" s="1247"/>
      <c r="EBD31" s="1247"/>
      <c r="EBE31" s="1247"/>
      <c r="EBF31" s="1247"/>
      <c r="EBG31" s="1247"/>
      <c r="EBH31" s="1247"/>
      <c r="EBI31" s="1247"/>
      <c r="EBJ31" s="1247"/>
      <c r="EBK31" s="1247"/>
      <c r="EBL31" s="1247"/>
      <c r="EBM31" s="1247"/>
      <c r="EBN31" s="1247"/>
      <c r="EBO31" s="1247"/>
      <c r="EBP31" s="1247"/>
      <c r="EBQ31" s="1247"/>
      <c r="EBR31" s="1247"/>
      <c r="EBS31" s="1247"/>
      <c r="EBT31" s="1247"/>
      <c r="EBU31" s="1247"/>
      <c r="EBV31" s="1247"/>
      <c r="EBW31" s="1247"/>
      <c r="EBX31" s="1247"/>
      <c r="EBY31" s="1247"/>
      <c r="EBZ31" s="1247"/>
      <c r="ECA31" s="1247"/>
      <c r="ECB31" s="1247"/>
      <c r="ECC31" s="1247"/>
      <c r="ECD31" s="1247"/>
      <c r="ECE31" s="1247"/>
      <c r="ECF31" s="1247"/>
      <c r="ECG31" s="1247"/>
      <c r="ECH31" s="1247"/>
      <c r="ECI31" s="1247"/>
      <c r="ECJ31" s="1247"/>
      <c r="ECK31" s="1247"/>
      <c r="ECL31" s="1247"/>
      <c r="ECM31" s="1247"/>
      <c r="ECN31" s="1247"/>
      <c r="ECO31" s="1247"/>
    </row>
    <row r="32" spans="2:3473" s="1248" customFormat="1" ht="12.75" customHeight="1" outlineLevel="1">
      <c r="B32" s="1249" t="s">
        <v>504</v>
      </c>
      <c r="C32" s="1250">
        <v>1</v>
      </c>
      <c r="D32" s="1251" t="s">
        <v>140</v>
      </c>
      <c r="E32" s="1252">
        <f t="shared" si="47"/>
        <v>0</v>
      </c>
      <c r="F32" s="1252">
        <f t="shared" si="47"/>
        <v>0</v>
      </c>
      <c r="G32" s="1252">
        <f t="shared" si="47"/>
        <v>0</v>
      </c>
      <c r="H32" s="1252">
        <f t="shared" si="47"/>
        <v>0</v>
      </c>
      <c r="I32" s="1252">
        <f t="shared" si="47"/>
        <v>0</v>
      </c>
      <c r="J32" s="1252">
        <f t="shared" si="47"/>
        <v>0</v>
      </c>
      <c r="K32" s="1252">
        <f t="shared" si="47"/>
        <v>0</v>
      </c>
      <c r="L32" s="1252">
        <f t="shared" si="47"/>
        <v>0</v>
      </c>
      <c r="M32" s="1252">
        <f t="shared" si="47"/>
        <v>0</v>
      </c>
      <c r="N32" s="1252" t="str">
        <f t="shared" si="47"/>
        <v/>
      </c>
      <c r="O32" s="1252" t="str">
        <f t="shared" si="47"/>
        <v/>
      </c>
      <c r="P32" s="1252" t="str">
        <f t="shared" si="47"/>
        <v/>
      </c>
      <c r="Q32" s="1252">
        <f t="shared" si="47"/>
        <v>0</v>
      </c>
      <c r="R32" s="1252">
        <f t="shared" si="47"/>
        <v>0</v>
      </c>
      <c r="S32" s="1252">
        <f t="shared" si="8"/>
        <v>0</v>
      </c>
      <c r="T32" s="1252">
        <f t="shared" si="5"/>
        <v>0</v>
      </c>
      <c r="U32" s="1252">
        <f t="shared" si="5"/>
        <v>0</v>
      </c>
      <c r="V32" s="1252">
        <f t="shared" si="9"/>
        <v>0</v>
      </c>
      <c r="W32" s="1252" t="str">
        <f t="shared" si="10"/>
        <v/>
      </c>
      <c r="X32" s="1252" t="str">
        <f t="shared" si="10"/>
        <v/>
      </c>
      <c r="Y32" s="1252" t="str">
        <f t="shared" si="10"/>
        <v/>
      </c>
      <c r="Z32" s="1252">
        <f t="shared" si="11"/>
        <v>0</v>
      </c>
      <c r="AA32" s="1252">
        <f t="shared" si="11"/>
        <v>0</v>
      </c>
      <c r="AB32" s="1252">
        <f t="shared" si="11"/>
        <v>0</v>
      </c>
      <c r="AC32" s="1252">
        <f t="shared" si="15"/>
        <v>0</v>
      </c>
      <c r="AD32" s="1260">
        <f t="shared" si="15"/>
        <v>0</v>
      </c>
      <c r="AE32" s="1260">
        <f t="shared" si="15"/>
        <v>0</v>
      </c>
      <c r="AF32" s="1254"/>
      <c r="AG32" s="1255"/>
      <c r="AH32" s="1255"/>
      <c r="AI32" s="1256">
        <f t="shared" si="41"/>
        <v>0</v>
      </c>
      <c r="AJ32" s="1256">
        <f>IF($BB32=0,0,$BB32*AJ$6/($BB$6-$AG$6))</f>
        <v>0</v>
      </c>
      <c r="AK32" s="1256">
        <f>IF($BC32=0,0,$BC32*AK$6/($BC$6-$AH$6))</f>
        <v>0</v>
      </c>
      <c r="AL32" s="1256">
        <f t="shared" si="20"/>
        <v>0</v>
      </c>
      <c r="AM32" s="1256">
        <f>IF($BB32=0,0,$BB32*AM$6/($BB$6-$AG$6))</f>
        <v>0</v>
      </c>
      <c r="AN32" s="1256">
        <f>IF($BC32=0,0,$BC32*AN$6/($BC$6-$AH$6))</f>
        <v>0</v>
      </c>
      <c r="AO32" s="1256">
        <f t="shared" si="21"/>
        <v>0</v>
      </c>
      <c r="AP32" s="1256">
        <f>IF($BB32=0,0,$BB32*AP$6/($BB$6-$AG$6))</f>
        <v>0</v>
      </c>
      <c r="AQ32" s="1256">
        <f>IF($BC32=0,0,$BC32*AQ$6/($BC$6-$AH$6))</f>
        <v>0</v>
      </c>
      <c r="AR32" s="1256">
        <f>AS32+AT32</f>
        <v>0</v>
      </c>
      <c r="AS32" s="1256">
        <f>IF($BB32=0,0,$BB32*AS$6/($BB$6-$AG$6))</f>
        <v>0</v>
      </c>
      <c r="AT32" s="1256">
        <f>IF($BC32=0,0,$BC32*AT$6/($BC$6-$AH$6))</f>
        <v>0</v>
      </c>
      <c r="AU32" s="1256">
        <f>AV32+AW32</f>
        <v>0</v>
      </c>
      <c r="AV32" s="1256">
        <f>IF($BB32=0,0,$BB32*AV$6/($BB$6-$AG$6))</f>
        <v>0</v>
      </c>
      <c r="AW32" s="1256">
        <f>IF($BC32=0,0,$BC32*AW$6/($BC$6-$AH$6))</f>
        <v>0</v>
      </c>
      <c r="AX32" s="1256"/>
      <c r="AY32" s="1256"/>
      <c r="AZ32" s="1256"/>
      <c r="BA32" s="1257">
        <f>BB32+BC32</f>
        <v>0</v>
      </c>
      <c r="BB32" s="1257">
        <f t="shared" ref="BB32:BC34" si="55">BK32-BH32</f>
        <v>0</v>
      </c>
      <c r="BC32" s="1257">
        <f t="shared" si="55"/>
        <v>0</v>
      </c>
      <c r="BD32" s="1261">
        <f t="shared" ref="BD32:BD34" si="56">+BE32+BF32</f>
        <v>0</v>
      </c>
      <c r="BE32" s="1261">
        <v>0</v>
      </c>
      <c r="BF32" s="1261">
        <v>0</v>
      </c>
      <c r="BG32" s="1256">
        <f>+BH32+BI32</f>
        <v>0</v>
      </c>
      <c r="BH32" s="1257">
        <f>+BE32</f>
        <v>0</v>
      </c>
      <c r="BI32" s="1257">
        <f>+BF32</f>
        <v>0</v>
      </c>
      <c r="BJ32" s="1256">
        <f>BK32+BL32</f>
        <v>0</v>
      </c>
      <c r="BK32" s="1256">
        <f>VLOOKUP($D32,'当期公摊测算表（全期）'!$D$9:$W$192,20,0)</f>
        <v>0</v>
      </c>
      <c r="BL32" s="1256">
        <f>VLOOKUP($D32,'当期公摊测算表（全期）'!$D$9:$W$192,19,0)</f>
        <v>0</v>
      </c>
      <c r="BM32" s="1262" t="s">
        <v>20</v>
      </c>
      <c r="BN32" s="1225">
        <f t="shared" si="12"/>
        <v>0</v>
      </c>
      <c r="BO32" s="1225">
        <f t="shared" si="13"/>
        <v>0</v>
      </c>
      <c r="BP32" s="1225">
        <f t="shared" si="14"/>
        <v>0</v>
      </c>
      <c r="BQ32" s="1225"/>
      <c r="BR32" s="1221"/>
      <c r="BS32" s="1221"/>
      <c r="BT32" s="1221"/>
      <c r="BU32" s="1221"/>
      <c r="BV32" s="1221"/>
      <c r="BW32" s="1221"/>
      <c r="BX32" s="1221"/>
      <c r="BY32" s="1221"/>
      <c r="BZ32" s="1221"/>
      <c r="CA32" s="1221"/>
      <c r="CB32" s="1221"/>
      <c r="CC32" s="1221"/>
      <c r="CD32" s="1221"/>
      <c r="CE32" s="1221"/>
      <c r="CF32" s="1221"/>
      <c r="CG32" s="1221"/>
      <c r="CH32" s="1221"/>
      <c r="CI32" s="1221"/>
      <c r="CJ32" s="1221"/>
      <c r="CK32" s="1221"/>
      <c r="CL32" s="1221"/>
      <c r="CM32" s="1221"/>
      <c r="CN32" s="1221"/>
      <c r="CO32" s="1221"/>
      <c r="CP32" s="1221"/>
      <c r="CQ32" s="1221"/>
      <c r="CR32" s="1221"/>
      <c r="CS32" s="1221"/>
      <c r="CT32" s="1221"/>
      <c r="CU32" s="1221"/>
      <c r="CV32" s="1221"/>
      <c r="CW32" s="1221"/>
      <c r="CX32" s="1221"/>
      <c r="CY32" s="1221"/>
      <c r="CZ32" s="1221"/>
      <c r="DA32" s="1221"/>
      <c r="DB32" s="1221"/>
      <c r="DC32" s="1221"/>
      <c r="DD32" s="1221"/>
      <c r="DE32" s="1221"/>
      <c r="DF32" s="1221"/>
      <c r="DG32" s="1221"/>
      <c r="DH32" s="1221"/>
      <c r="DI32" s="1221"/>
      <c r="DJ32" s="1221"/>
      <c r="DK32" s="1221"/>
      <c r="DL32" s="1221"/>
      <c r="DM32" s="1221"/>
      <c r="DN32" s="1221"/>
      <c r="DO32" s="1221"/>
      <c r="DP32" s="1221"/>
      <c r="DQ32" s="1221"/>
      <c r="DR32" s="1221"/>
      <c r="DS32" s="1221"/>
      <c r="DT32" s="1221"/>
      <c r="DU32" s="1221"/>
      <c r="DV32" s="1221"/>
      <c r="DW32" s="1221"/>
      <c r="DX32" s="1221"/>
      <c r="DY32" s="1221"/>
      <c r="DZ32" s="1221"/>
      <c r="EA32" s="1221"/>
      <c r="EB32" s="1221"/>
      <c r="EC32" s="1221"/>
      <c r="ED32" s="1221"/>
      <c r="EE32" s="1221"/>
      <c r="EF32" s="1221"/>
      <c r="EG32" s="1221"/>
      <c r="EH32" s="1221"/>
      <c r="EI32" s="1221"/>
      <c r="EJ32" s="1221"/>
      <c r="EK32" s="1221"/>
      <c r="EL32" s="1221"/>
      <c r="EM32" s="1221"/>
      <c r="EN32" s="1221"/>
      <c r="EO32" s="1221"/>
      <c r="EP32" s="1221"/>
      <c r="EQ32" s="1221"/>
      <c r="ER32" s="1221"/>
      <c r="ES32" s="1221"/>
      <c r="ET32" s="1221"/>
      <c r="EU32" s="1221"/>
      <c r="EV32" s="1221"/>
      <c r="EW32" s="1221"/>
      <c r="EX32" s="1221"/>
      <c r="EY32" s="1221"/>
      <c r="EZ32" s="1221"/>
      <c r="FA32" s="1221"/>
      <c r="FB32" s="1221"/>
      <c r="FC32" s="1221"/>
      <c r="FD32" s="1221"/>
      <c r="FE32" s="1221"/>
      <c r="FF32" s="1221"/>
      <c r="FG32" s="1221"/>
      <c r="FH32" s="1221"/>
      <c r="FI32" s="1221"/>
      <c r="FJ32" s="1221"/>
      <c r="FK32" s="1221"/>
      <c r="FL32" s="1221"/>
      <c r="FM32" s="1221"/>
      <c r="FN32" s="1221"/>
      <c r="FO32" s="1221"/>
      <c r="FP32" s="1221"/>
      <c r="FQ32" s="1221"/>
      <c r="FR32" s="1221"/>
      <c r="FS32" s="1221"/>
      <c r="FT32" s="1221"/>
      <c r="FU32" s="1221"/>
      <c r="FV32" s="1221"/>
      <c r="FW32" s="1221"/>
      <c r="FX32" s="1221"/>
      <c r="FY32" s="1221"/>
      <c r="FZ32" s="1221"/>
      <c r="GA32" s="1221"/>
      <c r="GB32" s="1221"/>
      <c r="GC32" s="1221"/>
      <c r="GD32" s="1221"/>
      <c r="GE32" s="1221"/>
      <c r="GF32" s="1221"/>
      <c r="GG32" s="1221"/>
      <c r="GH32" s="1221"/>
      <c r="GI32" s="1221"/>
      <c r="GJ32" s="1221"/>
      <c r="GK32" s="1221"/>
      <c r="GL32" s="1221"/>
      <c r="GM32" s="1221"/>
      <c r="GN32" s="1221"/>
      <c r="GO32" s="1221"/>
      <c r="GP32" s="1221"/>
      <c r="GQ32" s="1221"/>
      <c r="GR32" s="1221"/>
      <c r="GS32" s="1221"/>
      <c r="GT32" s="1221"/>
      <c r="GU32" s="1221"/>
      <c r="GV32" s="1221"/>
      <c r="GW32" s="1221"/>
      <c r="GX32" s="1221"/>
      <c r="GY32" s="1221"/>
      <c r="GZ32" s="1221"/>
      <c r="HA32" s="1221"/>
      <c r="HB32" s="1221"/>
      <c r="HC32" s="1221"/>
      <c r="HD32" s="1221"/>
      <c r="HE32" s="1221"/>
      <c r="HF32" s="1221"/>
      <c r="HG32" s="1221"/>
      <c r="HH32" s="1221"/>
      <c r="HI32" s="1221"/>
      <c r="HJ32" s="1221"/>
      <c r="HK32" s="1221"/>
      <c r="HL32" s="1221"/>
      <c r="HM32" s="1221"/>
      <c r="HN32" s="1221"/>
      <c r="HO32" s="1221"/>
      <c r="HP32" s="1221"/>
      <c r="HQ32" s="1221"/>
      <c r="HR32" s="1221"/>
      <c r="HS32" s="1221"/>
      <c r="HT32" s="1221"/>
      <c r="HU32" s="1221"/>
      <c r="HV32" s="1221"/>
      <c r="HW32" s="1221"/>
      <c r="HX32" s="1221"/>
      <c r="HY32" s="1221"/>
      <c r="HZ32" s="1221"/>
      <c r="IA32" s="1221"/>
      <c r="IB32" s="1221"/>
      <c r="IC32" s="1221"/>
      <c r="ID32" s="1221"/>
      <c r="IE32" s="1221"/>
      <c r="IF32" s="1221"/>
      <c r="IG32" s="1221"/>
      <c r="IH32" s="1221"/>
      <c r="II32" s="1221"/>
      <c r="IJ32" s="1221"/>
      <c r="IK32" s="1221"/>
      <c r="IL32" s="1221"/>
      <c r="IM32" s="1221"/>
      <c r="IN32" s="1221"/>
      <c r="IO32" s="1221"/>
      <c r="IP32" s="1221"/>
      <c r="IQ32" s="1221"/>
      <c r="IR32" s="1221"/>
      <c r="IS32" s="1221"/>
      <c r="IT32" s="1221"/>
      <c r="IU32" s="1221"/>
      <c r="IV32" s="1221"/>
      <c r="IW32" s="1221"/>
      <c r="IX32" s="1221"/>
      <c r="IY32" s="1221"/>
      <c r="IZ32" s="1221"/>
      <c r="JA32" s="1221"/>
      <c r="JB32" s="1221"/>
      <c r="JC32" s="1221"/>
      <c r="JD32" s="1221"/>
      <c r="JE32" s="1221"/>
      <c r="JF32" s="1221"/>
      <c r="JG32" s="1221"/>
      <c r="JH32" s="1221"/>
      <c r="JI32" s="1221"/>
      <c r="JJ32" s="1221"/>
      <c r="JK32" s="1221"/>
      <c r="JL32" s="1221"/>
      <c r="JM32" s="1221"/>
      <c r="JN32" s="1221"/>
      <c r="JO32" s="1221"/>
      <c r="JP32" s="1221"/>
      <c r="JQ32" s="1221"/>
      <c r="JR32" s="1221"/>
      <c r="JS32" s="1221"/>
      <c r="JT32" s="1221"/>
      <c r="JU32" s="1221"/>
      <c r="JV32" s="1221"/>
      <c r="JW32" s="1221"/>
      <c r="JX32" s="1221"/>
      <c r="JY32" s="1221"/>
      <c r="JZ32" s="1221"/>
      <c r="KA32" s="1221"/>
      <c r="KB32" s="1221"/>
      <c r="KC32" s="1221"/>
      <c r="KD32" s="1221"/>
      <c r="KE32" s="1221"/>
      <c r="KF32" s="1221"/>
      <c r="KG32" s="1221"/>
      <c r="KH32" s="1221"/>
      <c r="KI32" s="1221"/>
      <c r="KJ32" s="1221"/>
      <c r="KK32" s="1221"/>
      <c r="KL32" s="1221"/>
      <c r="KM32" s="1221"/>
      <c r="KN32" s="1221"/>
      <c r="KO32" s="1221"/>
      <c r="KP32" s="1221"/>
      <c r="KQ32" s="1221"/>
      <c r="KR32" s="1221"/>
      <c r="KS32" s="1221"/>
      <c r="KT32" s="1221"/>
      <c r="KU32" s="1221"/>
      <c r="KV32" s="1221"/>
      <c r="KW32" s="1221"/>
      <c r="KX32" s="1221"/>
      <c r="KY32" s="1221"/>
      <c r="KZ32" s="1221"/>
      <c r="LA32" s="1221"/>
      <c r="LB32" s="1221"/>
      <c r="LC32" s="1221"/>
      <c r="LD32" s="1221"/>
      <c r="LE32" s="1221"/>
      <c r="LF32" s="1221"/>
      <c r="LG32" s="1221"/>
      <c r="LH32" s="1221"/>
      <c r="LI32" s="1221"/>
      <c r="LJ32" s="1221"/>
      <c r="LK32" s="1221"/>
      <c r="LL32" s="1221"/>
      <c r="LM32" s="1221"/>
      <c r="LN32" s="1221"/>
      <c r="LO32" s="1221"/>
      <c r="LP32" s="1221"/>
      <c r="LQ32" s="1221"/>
      <c r="LR32" s="1221"/>
      <c r="LS32" s="1221"/>
      <c r="LT32" s="1221"/>
      <c r="LU32" s="1221"/>
      <c r="LV32" s="1221"/>
      <c r="LW32" s="1221"/>
      <c r="LX32" s="1221"/>
      <c r="LY32" s="1221"/>
      <c r="LZ32" s="1221"/>
      <c r="MA32" s="1221"/>
      <c r="MB32" s="1221"/>
      <c r="MC32" s="1221"/>
      <c r="MD32" s="1221"/>
      <c r="ME32" s="1221"/>
      <c r="MF32" s="1221"/>
      <c r="MG32" s="1221"/>
      <c r="MH32" s="1221"/>
      <c r="MI32" s="1221"/>
      <c r="MJ32" s="1221"/>
      <c r="MK32" s="1221"/>
      <c r="ML32" s="1221"/>
      <c r="MM32" s="1221"/>
      <c r="MN32" s="1221"/>
      <c r="MO32" s="1221"/>
      <c r="MP32" s="1221"/>
      <c r="MQ32" s="1221"/>
      <c r="MR32" s="1221"/>
      <c r="MS32" s="1221"/>
      <c r="MT32" s="1221"/>
      <c r="MU32" s="1221"/>
      <c r="MV32" s="1221"/>
      <c r="MW32" s="1221"/>
      <c r="MX32" s="1221"/>
      <c r="MY32" s="1221"/>
      <c r="MZ32" s="1221"/>
      <c r="NA32" s="1221"/>
      <c r="NB32" s="1221"/>
      <c r="NC32" s="1221"/>
      <c r="ND32" s="1221"/>
      <c r="NE32" s="1221"/>
      <c r="NF32" s="1221"/>
      <c r="NG32" s="1221"/>
      <c r="NH32" s="1221"/>
      <c r="NI32" s="1221"/>
      <c r="NJ32" s="1221"/>
      <c r="NK32" s="1221"/>
      <c r="NL32" s="1221"/>
      <c r="NM32" s="1221"/>
      <c r="NN32" s="1221"/>
      <c r="NO32" s="1221"/>
      <c r="NP32" s="1221"/>
      <c r="NQ32" s="1221"/>
      <c r="NR32" s="1221"/>
      <c r="NS32" s="1221"/>
      <c r="NT32" s="1221"/>
      <c r="NU32" s="1221"/>
      <c r="NV32" s="1221"/>
      <c r="NW32" s="1221"/>
      <c r="NX32" s="1221"/>
      <c r="NY32" s="1221"/>
      <c r="NZ32" s="1221"/>
      <c r="OA32" s="1221"/>
      <c r="OB32" s="1221"/>
      <c r="OC32" s="1221"/>
      <c r="OD32" s="1221"/>
      <c r="OE32" s="1221"/>
      <c r="OF32" s="1221"/>
      <c r="OG32" s="1221"/>
      <c r="OH32" s="1221"/>
      <c r="OI32" s="1221"/>
      <c r="OJ32" s="1221"/>
      <c r="OK32" s="1221"/>
      <c r="OL32" s="1221"/>
      <c r="OM32" s="1221"/>
      <c r="ON32" s="1221"/>
      <c r="OO32" s="1221"/>
      <c r="OP32" s="1221"/>
      <c r="OQ32" s="1221"/>
      <c r="OR32" s="1221"/>
      <c r="OS32" s="1221"/>
      <c r="OT32" s="1221"/>
      <c r="OU32" s="1221"/>
      <c r="OV32" s="1221"/>
      <c r="OW32" s="1221"/>
      <c r="OX32" s="1221"/>
      <c r="OY32" s="1221"/>
      <c r="OZ32" s="1221"/>
      <c r="PA32" s="1221"/>
      <c r="PB32" s="1221"/>
      <c r="PC32" s="1221"/>
      <c r="PD32" s="1221"/>
      <c r="PE32" s="1221"/>
      <c r="PF32" s="1221"/>
      <c r="PG32" s="1221"/>
      <c r="PH32" s="1221"/>
      <c r="PI32" s="1221"/>
      <c r="PJ32" s="1221"/>
      <c r="PK32" s="1221"/>
      <c r="PL32" s="1221"/>
      <c r="PM32" s="1221"/>
      <c r="PN32" s="1221"/>
      <c r="PO32" s="1221"/>
      <c r="PP32" s="1221"/>
      <c r="PQ32" s="1221"/>
      <c r="PR32" s="1221"/>
      <c r="PS32" s="1221"/>
      <c r="PT32" s="1221"/>
      <c r="PU32" s="1221"/>
      <c r="PV32" s="1221"/>
      <c r="PW32" s="1221"/>
      <c r="PX32" s="1221"/>
      <c r="PY32" s="1221"/>
      <c r="PZ32" s="1221"/>
      <c r="QA32" s="1221"/>
      <c r="QB32" s="1221"/>
      <c r="QC32" s="1221"/>
      <c r="QD32" s="1221"/>
      <c r="QE32" s="1221"/>
      <c r="QF32" s="1221"/>
      <c r="QG32" s="1221"/>
      <c r="QH32" s="1221"/>
      <c r="QI32" s="1221"/>
      <c r="QJ32" s="1221"/>
      <c r="QK32" s="1221"/>
      <c r="QL32" s="1221"/>
      <c r="QM32" s="1221"/>
      <c r="QN32" s="1221"/>
      <c r="QO32" s="1221"/>
      <c r="QP32" s="1221"/>
      <c r="QQ32" s="1221"/>
      <c r="QR32" s="1221"/>
      <c r="QS32" s="1221"/>
      <c r="QT32" s="1221"/>
      <c r="QU32" s="1221"/>
      <c r="QV32" s="1221"/>
      <c r="QW32" s="1221"/>
      <c r="QX32" s="1221"/>
      <c r="QY32" s="1221"/>
      <c r="QZ32" s="1221"/>
      <c r="RA32" s="1221"/>
      <c r="RB32" s="1221"/>
      <c r="RC32" s="1221"/>
      <c r="RD32" s="1221"/>
      <c r="RE32" s="1221"/>
      <c r="RF32" s="1221"/>
      <c r="RG32" s="1221"/>
      <c r="RH32" s="1221"/>
      <c r="RI32" s="1221"/>
      <c r="RJ32" s="1221"/>
      <c r="RK32" s="1221"/>
      <c r="RL32" s="1221"/>
      <c r="RM32" s="1221"/>
      <c r="RN32" s="1221"/>
      <c r="RO32" s="1221"/>
      <c r="RP32" s="1221"/>
      <c r="RQ32" s="1221"/>
      <c r="RR32" s="1221"/>
      <c r="RS32" s="1221"/>
      <c r="RT32" s="1221"/>
      <c r="RU32" s="1221"/>
      <c r="RV32" s="1221"/>
      <c r="RW32" s="1221"/>
      <c r="RX32" s="1221"/>
      <c r="RY32" s="1221"/>
      <c r="RZ32" s="1221"/>
      <c r="SA32" s="1221"/>
      <c r="SB32" s="1221"/>
      <c r="SC32" s="1221"/>
      <c r="SD32" s="1221"/>
      <c r="SE32" s="1221"/>
      <c r="SF32" s="1221"/>
      <c r="SG32" s="1221"/>
      <c r="SH32" s="1221"/>
      <c r="SI32" s="1221"/>
      <c r="SJ32" s="1221"/>
      <c r="SK32" s="1221"/>
      <c r="SL32" s="1221"/>
      <c r="SM32" s="1221"/>
      <c r="SN32" s="1221"/>
      <c r="SO32" s="1221"/>
      <c r="SP32" s="1221"/>
      <c r="SQ32" s="1221"/>
      <c r="SR32" s="1221"/>
      <c r="SS32" s="1221"/>
      <c r="ST32" s="1221"/>
      <c r="SU32" s="1221"/>
      <c r="SV32" s="1221"/>
      <c r="SW32" s="1221"/>
      <c r="SX32" s="1221"/>
      <c r="SY32" s="1221"/>
      <c r="SZ32" s="1221"/>
      <c r="TA32" s="1221"/>
      <c r="TB32" s="1221"/>
      <c r="TC32" s="1221"/>
      <c r="TD32" s="1221"/>
      <c r="TE32" s="1221"/>
      <c r="TF32" s="1221"/>
      <c r="TG32" s="1221"/>
      <c r="TH32" s="1221"/>
      <c r="TI32" s="1221"/>
      <c r="TJ32" s="1221"/>
      <c r="TK32" s="1221"/>
      <c r="TL32" s="1221"/>
      <c r="TM32" s="1221"/>
      <c r="TN32" s="1221"/>
      <c r="TO32" s="1221"/>
      <c r="TP32" s="1221"/>
      <c r="TQ32" s="1221"/>
      <c r="TR32" s="1221"/>
      <c r="TS32" s="1221"/>
      <c r="TT32" s="1221"/>
      <c r="TU32" s="1221"/>
      <c r="TV32" s="1221"/>
      <c r="TW32" s="1221"/>
      <c r="TX32" s="1221"/>
      <c r="TY32" s="1221"/>
      <c r="TZ32" s="1221"/>
      <c r="UA32" s="1221"/>
      <c r="UB32" s="1221"/>
      <c r="UC32" s="1221"/>
      <c r="UD32" s="1221"/>
      <c r="UE32" s="1221"/>
      <c r="UF32" s="1221"/>
      <c r="UG32" s="1221"/>
      <c r="UH32" s="1221"/>
      <c r="UI32" s="1221"/>
      <c r="UJ32" s="1221"/>
      <c r="UK32" s="1221"/>
      <c r="UL32" s="1221"/>
      <c r="UM32" s="1221"/>
      <c r="UN32" s="1221"/>
      <c r="UO32" s="1221"/>
      <c r="UP32" s="1221"/>
      <c r="UQ32" s="1221"/>
      <c r="UR32" s="1221"/>
      <c r="US32" s="1221"/>
      <c r="UT32" s="1221"/>
      <c r="UU32" s="1221"/>
      <c r="UV32" s="1221"/>
      <c r="UW32" s="1221"/>
      <c r="UX32" s="1221"/>
      <c r="UY32" s="1221"/>
      <c r="UZ32" s="1221"/>
      <c r="VA32" s="1221"/>
      <c r="VB32" s="1221"/>
      <c r="VC32" s="1221"/>
      <c r="VD32" s="1221"/>
      <c r="VE32" s="1221"/>
      <c r="VF32" s="1221"/>
      <c r="VG32" s="1221"/>
      <c r="VH32" s="1221"/>
      <c r="VI32" s="1221"/>
      <c r="VJ32" s="1221"/>
      <c r="VK32" s="1221"/>
      <c r="VL32" s="1221"/>
      <c r="VM32" s="1221"/>
      <c r="VN32" s="1221"/>
      <c r="VO32" s="1221"/>
      <c r="VP32" s="1221"/>
      <c r="VQ32" s="1221"/>
      <c r="VR32" s="1221"/>
      <c r="VS32" s="1221"/>
      <c r="VT32" s="1221"/>
      <c r="VU32" s="1221"/>
      <c r="VV32" s="1221"/>
      <c r="VW32" s="1221"/>
      <c r="VX32" s="1221"/>
      <c r="VY32" s="1221"/>
      <c r="VZ32" s="1221"/>
      <c r="WA32" s="1221"/>
      <c r="WB32" s="1221"/>
      <c r="WC32" s="1221"/>
      <c r="WD32" s="1221"/>
      <c r="WE32" s="1221"/>
      <c r="WF32" s="1221"/>
      <c r="WG32" s="1221"/>
      <c r="WH32" s="1221"/>
      <c r="WI32" s="1221"/>
      <c r="WJ32" s="1221"/>
      <c r="WK32" s="1221"/>
      <c r="WL32" s="1221"/>
      <c r="WM32" s="1221"/>
      <c r="WN32" s="1221"/>
      <c r="WO32" s="1221"/>
      <c r="WP32" s="1221"/>
      <c r="WQ32" s="1221"/>
      <c r="WR32" s="1221"/>
      <c r="WS32" s="1221"/>
      <c r="WT32" s="1221"/>
      <c r="WU32" s="1221"/>
      <c r="WV32" s="1221"/>
      <c r="WW32" s="1221"/>
      <c r="WX32" s="1221"/>
      <c r="WY32" s="1221"/>
      <c r="WZ32" s="1221"/>
      <c r="XA32" s="1221"/>
      <c r="XB32" s="1221"/>
      <c r="XC32" s="1221"/>
      <c r="XD32" s="1221"/>
      <c r="XE32" s="1221"/>
      <c r="XF32" s="1221"/>
      <c r="XG32" s="1221"/>
      <c r="XH32" s="1221"/>
      <c r="XI32" s="1221"/>
      <c r="XJ32" s="1221"/>
      <c r="XK32" s="1221"/>
      <c r="XL32" s="1221"/>
      <c r="XM32" s="1221"/>
      <c r="XN32" s="1221"/>
      <c r="XO32" s="1221"/>
      <c r="XP32" s="1221"/>
      <c r="XQ32" s="1221"/>
      <c r="XR32" s="1221"/>
      <c r="XS32" s="1221"/>
      <c r="XT32" s="1221"/>
      <c r="XU32" s="1221"/>
      <c r="XV32" s="1221"/>
      <c r="XW32" s="1221"/>
      <c r="XX32" s="1221"/>
      <c r="XY32" s="1221"/>
      <c r="XZ32" s="1221"/>
      <c r="YA32" s="1221"/>
      <c r="YB32" s="1221"/>
      <c r="YC32" s="1221"/>
      <c r="YD32" s="1221"/>
      <c r="YE32" s="1221"/>
      <c r="YF32" s="1221"/>
      <c r="YG32" s="1221"/>
      <c r="YH32" s="1221"/>
      <c r="YI32" s="1221"/>
      <c r="YJ32" s="1221"/>
      <c r="YK32" s="1221"/>
      <c r="YL32" s="1221"/>
      <c r="YM32" s="1221"/>
      <c r="YN32" s="1221"/>
      <c r="YO32" s="1221"/>
      <c r="YP32" s="1221"/>
      <c r="YQ32" s="1221"/>
      <c r="YR32" s="1221"/>
      <c r="YS32" s="1221"/>
      <c r="YT32" s="1221"/>
      <c r="YU32" s="1221"/>
      <c r="YV32" s="1221"/>
      <c r="YW32" s="1221"/>
      <c r="YX32" s="1221"/>
      <c r="YY32" s="1221"/>
      <c r="YZ32" s="1221"/>
      <c r="ZA32" s="1221"/>
      <c r="ZB32" s="1221"/>
      <c r="ZC32" s="1221"/>
      <c r="ZD32" s="1221"/>
      <c r="ZE32" s="1221"/>
      <c r="ZF32" s="1221"/>
      <c r="ZG32" s="1221"/>
      <c r="ZH32" s="1221"/>
      <c r="ZI32" s="1221"/>
      <c r="ZJ32" s="1221"/>
      <c r="ZK32" s="1221"/>
      <c r="ZL32" s="1221"/>
      <c r="ZM32" s="1221"/>
      <c r="ZN32" s="1221"/>
      <c r="ZO32" s="1221"/>
      <c r="ZP32" s="1221"/>
      <c r="ZQ32" s="1221"/>
      <c r="ZR32" s="1221"/>
      <c r="ZS32" s="1221"/>
      <c r="ZT32" s="1221"/>
      <c r="ZU32" s="1221"/>
      <c r="ZV32" s="1221"/>
      <c r="ZW32" s="1221"/>
      <c r="ZX32" s="1221"/>
      <c r="ZY32" s="1221"/>
      <c r="ZZ32" s="1221"/>
      <c r="AAA32" s="1221"/>
      <c r="AAB32" s="1221"/>
      <c r="AAC32" s="1221"/>
      <c r="AAD32" s="1221"/>
      <c r="AAE32" s="1221"/>
      <c r="AAF32" s="1221"/>
      <c r="AAG32" s="1221"/>
      <c r="AAH32" s="1221"/>
      <c r="AAI32" s="1221"/>
      <c r="AAJ32" s="1221"/>
      <c r="AAK32" s="1221"/>
      <c r="AAL32" s="1221"/>
      <c r="AAM32" s="1221"/>
      <c r="AAN32" s="1221"/>
      <c r="AAO32" s="1221"/>
      <c r="AAP32" s="1221"/>
      <c r="AAQ32" s="1221"/>
      <c r="AAR32" s="1221"/>
      <c r="AAS32" s="1221"/>
      <c r="AAT32" s="1221"/>
      <c r="AAU32" s="1221"/>
      <c r="AAV32" s="1221"/>
      <c r="AAW32" s="1221"/>
      <c r="AAX32" s="1221"/>
      <c r="AAY32" s="1221"/>
      <c r="AAZ32" s="1221"/>
      <c r="ABA32" s="1221"/>
      <c r="ABB32" s="1221"/>
      <c r="ABC32" s="1221"/>
      <c r="ABD32" s="1221"/>
      <c r="ABE32" s="1221"/>
      <c r="ABF32" s="1221"/>
      <c r="ABG32" s="1221"/>
      <c r="ABH32" s="1221"/>
      <c r="ABI32" s="1221"/>
      <c r="ABJ32" s="1221"/>
      <c r="ABK32" s="1221"/>
      <c r="ABL32" s="1221"/>
      <c r="ABM32" s="1221"/>
      <c r="ABN32" s="1221"/>
      <c r="ABO32" s="1221"/>
      <c r="ABP32" s="1221"/>
      <c r="ABQ32" s="1221"/>
      <c r="ABR32" s="1221"/>
      <c r="ABS32" s="1221"/>
      <c r="ABT32" s="1221"/>
      <c r="ABU32" s="1221"/>
      <c r="ABV32" s="1221"/>
      <c r="ABW32" s="1221"/>
      <c r="ABX32" s="1221"/>
      <c r="ABY32" s="1221"/>
      <c r="ABZ32" s="1221"/>
      <c r="ACA32" s="1221"/>
      <c r="ACB32" s="1221"/>
      <c r="ACC32" s="1221"/>
      <c r="ACD32" s="1221"/>
      <c r="ACE32" s="1221"/>
      <c r="ACF32" s="1221"/>
      <c r="ACG32" s="1221"/>
      <c r="ACH32" s="1221"/>
      <c r="ACI32" s="1221"/>
      <c r="ACJ32" s="1221"/>
      <c r="ACK32" s="1221"/>
      <c r="ACL32" s="1221"/>
      <c r="ACM32" s="1221"/>
      <c r="ACN32" s="1221"/>
      <c r="ACO32" s="1221"/>
      <c r="ACP32" s="1221"/>
      <c r="ACQ32" s="1221"/>
      <c r="ACR32" s="1221"/>
      <c r="ACS32" s="1221"/>
      <c r="ACT32" s="1221"/>
      <c r="ACU32" s="1221"/>
      <c r="ACV32" s="1221"/>
      <c r="ACW32" s="1221"/>
      <c r="ACX32" s="1221"/>
      <c r="ACY32" s="1221"/>
      <c r="ACZ32" s="1221"/>
      <c r="ADA32" s="1221"/>
      <c r="ADB32" s="1221"/>
      <c r="ADC32" s="1221"/>
      <c r="ADD32" s="1221"/>
      <c r="ADE32" s="1221"/>
      <c r="ADF32" s="1221"/>
      <c r="ADG32" s="1221"/>
      <c r="ADH32" s="1221"/>
      <c r="ADI32" s="1221"/>
      <c r="ADJ32" s="1221"/>
      <c r="ADK32" s="1221"/>
      <c r="ADL32" s="1221"/>
      <c r="ADM32" s="1221"/>
      <c r="ADN32" s="1221"/>
      <c r="ADO32" s="1221"/>
      <c r="ADP32" s="1221"/>
      <c r="ADQ32" s="1221"/>
      <c r="ADR32" s="1221"/>
      <c r="ADS32" s="1221"/>
      <c r="ADT32" s="1221"/>
      <c r="ADU32" s="1221"/>
      <c r="ADV32" s="1221"/>
      <c r="ADW32" s="1221"/>
      <c r="ADX32" s="1221"/>
      <c r="ADY32" s="1221"/>
      <c r="ADZ32" s="1221"/>
      <c r="AEA32" s="1221"/>
      <c r="AEB32" s="1221"/>
      <c r="AEC32" s="1221"/>
      <c r="AED32" s="1221"/>
      <c r="AEE32" s="1221"/>
      <c r="AEF32" s="1221"/>
      <c r="AEG32" s="1221"/>
      <c r="AEH32" s="1221"/>
      <c r="AEI32" s="1221"/>
      <c r="AEJ32" s="1221"/>
      <c r="AEK32" s="1221"/>
      <c r="AEL32" s="1221"/>
      <c r="AEM32" s="1221"/>
      <c r="AEN32" s="1221"/>
      <c r="AEO32" s="1221"/>
      <c r="AEP32" s="1221"/>
      <c r="AEQ32" s="1221"/>
      <c r="AER32" s="1221"/>
      <c r="AES32" s="1221"/>
      <c r="AET32" s="1221"/>
      <c r="AEU32" s="1221"/>
      <c r="AEV32" s="1221"/>
      <c r="AEW32" s="1221"/>
      <c r="AEX32" s="1221"/>
      <c r="AEY32" s="1221"/>
      <c r="AEZ32" s="1221"/>
      <c r="AFA32" s="1221"/>
      <c r="AFB32" s="1221"/>
      <c r="AFC32" s="1221"/>
      <c r="AFD32" s="1221"/>
      <c r="AFE32" s="1221"/>
      <c r="AFF32" s="1221"/>
      <c r="AFG32" s="1221"/>
      <c r="AFH32" s="1221"/>
      <c r="AFI32" s="1221"/>
      <c r="AFJ32" s="1221"/>
      <c r="AFK32" s="1221"/>
      <c r="AFL32" s="1221"/>
      <c r="AFM32" s="1221"/>
      <c r="AFN32" s="1221"/>
      <c r="AFO32" s="1221"/>
      <c r="AFP32" s="1221"/>
      <c r="AFQ32" s="1221"/>
      <c r="AFR32" s="1221"/>
      <c r="AFS32" s="1221"/>
      <c r="AFT32" s="1221"/>
      <c r="AFU32" s="1221"/>
      <c r="AFV32" s="1221"/>
      <c r="AFW32" s="1221"/>
      <c r="AFX32" s="1221"/>
      <c r="AFY32" s="1221"/>
      <c r="AFZ32" s="1221"/>
      <c r="AGA32" s="1221"/>
      <c r="AGB32" s="1221"/>
      <c r="AGC32" s="1221"/>
      <c r="AGD32" s="1221"/>
      <c r="AGE32" s="1221"/>
      <c r="AGF32" s="1221"/>
      <c r="AGG32" s="1221"/>
      <c r="AGH32" s="1221"/>
      <c r="AGI32" s="1221"/>
      <c r="AGJ32" s="1221"/>
      <c r="AGK32" s="1221"/>
      <c r="AGL32" s="1221"/>
      <c r="AGM32" s="1221"/>
      <c r="AGN32" s="1221"/>
      <c r="AGO32" s="1221"/>
      <c r="AGP32" s="1221"/>
      <c r="AGQ32" s="1221"/>
      <c r="AGR32" s="1221"/>
      <c r="AGS32" s="1221"/>
      <c r="AGT32" s="1221"/>
      <c r="AGU32" s="1221"/>
      <c r="AGV32" s="1221"/>
      <c r="AGW32" s="1221"/>
      <c r="AGX32" s="1221"/>
      <c r="AGY32" s="1221"/>
      <c r="AGZ32" s="1221"/>
      <c r="AHA32" s="1221"/>
      <c r="AHB32" s="1221"/>
      <c r="AHC32" s="1221"/>
      <c r="AHD32" s="1221"/>
      <c r="AHE32" s="1221"/>
      <c r="AHF32" s="1221"/>
      <c r="AHG32" s="1221"/>
      <c r="AHH32" s="1221"/>
      <c r="AHI32" s="1221"/>
      <c r="AHJ32" s="1221"/>
      <c r="AHK32" s="1221"/>
      <c r="AHL32" s="1221"/>
      <c r="AHM32" s="1221"/>
      <c r="AHN32" s="1221"/>
      <c r="AHO32" s="1221"/>
      <c r="AHP32" s="1221"/>
      <c r="AHQ32" s="1221"/>
      <c r="AHR32" s="1221"/>
      <c r="AHS32" s="1221"/>
      <c r="AHT32" s="1221"/>
      <c r="AHU32" s="1221"/>
      <c r="AHV32" s="1221"/>
      <c r="AHW32" s="1221"/>
      <c r="AHX32" s="1221"/>
      <c r="AHY32" s="1221"/>
      <c r="AHZ32" s="1221"/>
      <c r="AIA32" s="1221"/>
      <c r="AIB32" s="1221"/>
      <c r="AIC32" s="1221"/>
      <c r="AID32" s="1221"/>
      <c r="AIE32" s="1221"/>
      <c r="AIF32" s="1221"/>
      <c r="AIG32" s="1221"/>
      <c r="AIH32" s="1221"/>
      <c r="AII32" s="1221"/>
      <c r="AIJ32" s="1221"/>
      <c r="AIK32" s="1221"/>
      <c r="AIL32" s="1221"/>
      <c r="AIM32" s="1221"/>
      <c r="AIN32" s="1221"/>
      <c r="AIO32" s="1221"/>
      <c r="AIP32" s="1221"/>
      <c r="AIQ32" s="1221"/>
      <c r="AIR32" s="1221"/>
      <c r="AIS32" s="1221"/>
      <c r="AIT32" s="1221"/>
      <c r="AIU32" s="1221"/>
      <c r="AIV32" s="1221"/>
      <c r="AIW32" s="1221"/>
      <c r="AIX32" s="1221"/>
      <c r="AIY32" s="1221"/>
      <c r="AIZ32" s="1221"/>
      <c r="AJA32" s="1221"/>
      <c r="AJB32" s="1221"/>
      <c r="AJC32" s="1221"/>
      <c r="AJD32" s="1221"/>
      <c r="AJE32" s="1221"/>
      <c r="AJF32" s="1221"/>
      <c r="AJG32" s="1221"/>
      <c r="AJH32" s="1221"/>
      <c r="AJI32" s="1221"/>
      <c r="AJJ32" s="1221"/>
      <c r="AJK32" s="1221"/>
      <c r="AJL32" s="1221"/>
      <c r="AJM32" s="1221"/>
      <c r="AJN32" s="1221"/>
      <c r="AJO32" s="1221"/>
      <c r="AJP32" s="1221"/>
      <c r="AJQ32" s="1221"/>
      <c r="AJR32" s="1221"/>
      <c r="AJS32" s="1221"/>
      <c r="AJT32" s="1221"/>
      <c r="AJU32" s="1221"/>
      <c r="AJV32" s="1221"/>
      <c r="AJW32" s="1221"/>
      <c r="AJX32" s="1221"/>
      <c r="AJY32" s="1221"/>
      <c r="AJZ32" s="1221"/>
      <c r="AKA32" s="1221"/>
      <c r="AKB32" s="1221"/>
      <c r="AKC32" s="1221"/>
      <c r="AKD32" s="1221"/>
      <c r="AKE32" s="1221"/>
      <c r="AKF32" s="1221"/>
      <c r="AKG32" s="1221"/>
      <c r="AKH32" s="1221"/>
      <c r="AKI32" s="1221"/>
      <c r="AKJ32" s="1221"/>
      <c r="AKK32" s="1221"/>
      <c r="AKL32" s="1221"/>
      <c r="AKM32" s="1221"/>
      <c r="AKN32" s="1221"/>
      <c r="AKO32" s="1221"/>
      <c r="AKP32" s="1221"/>
      <c r="AKQ32" s="1221"/>
      <c r="AKR32" s="1221"/>
      <c r="AKS32" s="1221"/>
      <c r="AKT32" s="1221"/>
      <c r="AKU32" s="1221"/>
      <c r="AKV32" s="1221"/>
      <c r="AKW32" s="1221"/>
      <c r="AKX32" s="1221"/>
      <c r="AKY32" s="1221"/>
      <c r="AKZ32" s="1221"/>
      <c r="ALA32" s="1221"/>
      <c r="ALB32" s="1221"/>
      <c r="ALC32" s="1221"/>
      <c r="ALD32" s="1221"/>
      <c r="ALE32" s="1221"/>
      <c r="ALF32" s="1221"/>
      <c r="ALG32" s="1221"/>
      <c r="ALH32" s="1221"/>
      <c r="ALI32" s="1221"/>
      <c r="ALJ32" s="1221"/>
      <c r="ALK32" s="1221"/>
      <c r="ALL32" s="1221"/>
      <c r="ALM32" s="1221"/>
      <c r="ALN32" s="1221"/>
      <c r="ALO32" s="1221"/>
      <c r="ALP32" s="1221"/>
      <c r="ALQ32" s="1221"/>
      <c r="ALR32" s="1221"/>
      <c r="ALS32" s="1221"/>
      <c r="ALT32" s="1221"/>
      <c r="ALU32" s="1221"/>
      <c r="ALV32" s="1221"/>
      <c r="ALW32" s="1221"/>
      <c r="ALX32" s="1221"/>
      <c r="ALY32" s="1221"/>
      <c r="ALZ32" s="1221"/>
      <c r="AMA32" s="1221"/>
      <c r="AMB32" s="1221"/>
      <c r="AMC32" s="1221"/>
      <c r="AMD32" s="1221"/>
      <c r="AME32" s="1221"/>
      <c r="AMF32" s="1221"/>
      <c r="AMG32" s="1221"/>
      <c r="AMH32" s="1221"/>
      <c r="AMI32" s="1221"/>
      <c r="AMJ32" s="1221"/>
      <c r="AMK32" s="1221"/>
      <c r="AML32" s="1221"/>
      <c r="AMM32" s="1221"/>
      <c r="AMN32" s="1221"/>
      <c r="AMO32" s="1221"/>
      <c r="AMP32" s="1221"/>
      <c r="AMQ32" s="1221"/>
      <c r="AMR32" s="1221"/>
      <c r="AMS32" s="1221"/>
      <c r="AMT32" s="1221"/>
      <c r="AMU32" s="1221"/>
      <c r="AMV32" s="1221"/>
      <c r="AMW32" s="1221"/>
      <c r="AMX32" s="1221"/>
      <c r="AMY32" s="1221"/>
      <c r="AMZ32" s="1221"/>
      <c r="ANA32" s="1221"/>
      <c r="ANB32" s="1221"/>
      <c r="ANC32" s="1221"/>
      <c r="AND32" s="1221"/>
      <c r="ANE32" s="1221"/>
      <c r="ANF32" s="1221"/>
      <c r="ANG32" s="1221"/>
      <c r="ANH32" s="1221"/>
      <c r="ANI32" s="1221"/>
      <c r="ANJ32" s="1221"/>
      <c r="ANK32" s="1221"/>
      <c r="ANL32" s="1221"/>
      <c r="ANM32" s="1221"/>
      <c r="ANN32" s="1221"/>
      <c r="ANO32" s="1221"/>
      <c r="ANP32" s="1221"/>
      <c r="ANQ32" s="1221"/>
      <c r="ANR32" s="1221"/>
      <c r="ANS32" s="1221"/>
      <c r="ANT32" s="1221"/>
      <c r="ANU32" s="1221"/>
      <c r="ANV32" s="1221"/>
      <c r="ANW32" s="1221"/>
      <c r="ANX32" s="1221"/>
      <c r="ANY32" s="1221"/>
      <c r="ANZ32" s="1221"/>
      <c r="AOA32" s="1221"/>
      <c r="AOB32" s="1221"/>
      <c r="AOC32" s="1221"/>
      <c r="AOD32" s="1221"/>
      <c r="AOE32" s="1221"/>
      <c r="AOF32" s="1221"/>
      <c r="AOG32" s="1221"/>
      <c r="AOH32" s="1221"/>
      <c r="AOI32" s="1221"/>
      <c r="AOJ32" s="1221"/>
      <c r="AOK32" s="1221"/>
      <c r="AOL32" s="1221"/>
      <c r="AOM32" s="1221"/>
      <c r="AON32" s="1221"/>
      <c r="AOO32" s="1221"/>
      <c r="AOP32" s="1221"/>
      <c r="AOQ32" s="1221"/>
      <c r="AOR32" s="1221"/>
      <c r="AOS32" s="1221"/>
      <c r="AOT32" s="1221"/>
      <c r="AOU32" s="1221"/>
      <c r="AOV32" s="1221"/>
      <c r="AOW32" s="1221"/>
      <c r="AOX32" s="1221"/>
      <c r="AOY32" s="1221"/>
      <c r="AOZ32" s="1221"/>
      <c r="APA32" s="1221"/>
      <c r="APB32" s="1221"/>
      <c r="APC32" s="1221"/>
      <c r="APD32" s="1221"/>
      <c r="APE32" s="1221"/>
      <c r="APF32" s="1221"/>
      <c r="APG32" s="1221"/>
      <c r="APH32" s="1221"/>
      <c r="API32" s="1221"/>
      <c r="APJ32" s="1221"/>
      <c r="APK32" s="1221"/>
      <c r="APL32" s="1221"/>
      <c r="APM32" s="1221"/>
      <c r="APN32" s="1221"/>
      <c r="APO32" s="1221"/>
      <c r="APP32" s="1221"/>
      <c r="APQ32" s="1221"/>
      <c r="APR32" s="1221"/>
      <c r="APS32" s="1221"/>
      <c r="APT32" s="1221"/>
      <c r="APU32" s="1221"/>
      <c r="APV32" s="1221"/>
      <c r="APW32" s="1221"/>
      <c r="APX32" s="1221"/>
      <c r="APY32" s="1221"/>
      <c r="APZ32" s="1221"/>
      <c r="AQA32" s="1221"/>
      <c r="AQB32" s="1221"/>
      <c r="AQC32" s="1221"/>
      <c r="AQD32" s="1221"/>
      <c r="AQE32" s="1221"/>
      <c r="AQF32" s="1221"/>
      <c r="AQG32" s="1221"/>
      <c r="AQH32" s="1221"/>
      <c r="AQI32" s="1221"/>
      <c r="AQJ32" s="1221"/>
      <c r="AQK32" s="1221"/>
      <c r="AQL32" s="1221"/>
      <c r="AQM32" s="1221"/>
      <c r="AQN32" s="1221"/>
      <c r="AQO32" s="1221"/>
      <c r="AQP32" s="1221"/>
      <c r="AQQ32" s="1221"/>
      <c r="AQR32" s="1221"/>
      <c r="AQS32" s="1221"/>
      <c r="AQT32" s="1221"/>
      <c r="AQU32" s="1221"/>
      <c r="AQV32" s="1221"/>
      <c r="AQW32" s="1221"/>
      <c r="AQX32" s="1221"/>
      <c r="AQY32" s="1221"/>
      <c r="AQZ32" s="1221"/>
      <c r="ARA32" s="1221"/>
      <c r="ARB32" s="1221"/>
      <c r="ARC32" s="1221"/>
      <c r="ARD32" s="1221"/>
      <c r="ARE32" s="1221"/>
      <c r="ARF32" s="1221"/>
      <c r="ARG32" s="1221"/>
      <c r="ARH32" s="1221"/>
      <c r="ARI32" s="1221"/>
      <c r="ARJ32" s="1221"/>
      <c r="ARK32" s="1221"/>
      <c r="ARL32" s="1221"/>
      <c r="ARM32" s="1221"/>
      <c r="ARN32" s="1221"/>
      <c r="ARO32" s="1221"/>
      <c r="ARP32" s="1221"/>
      <c r="ARQ32" s="1221"/>
      <c r="ARR32" s="1221"/>
      <c r="ARS32" s="1221"/>
      <c r="ART32" s="1221"/>
      <c r="ARU32" s="1221"/>
      <c r="ARV32" s="1221"/>
      <c r="ARW32" s="1221"/>
      <c r="ARX32" s="1221"/>
      <c r="ARY32" s="1221"/>
      <c r="ARZ32" s="1221"/>
      <c r="ASA32" s="1221"/>
      <c r="ASB32" s="1221"/>
      <c r="ASC32" s="1221"/>
      <c r="ASD32" s="1221"/>
      <c r="ASE32" s="1221"/>
      <c r="ASF32" s="1221"/>
      <c r="ASG32" s="1221"/>
      <c r="ASH32" s="1221"/>
      <c r="ASI32" s="1221"/>
      <c r="ASJ32" s="1221"/>
      <c r="ASK32" s="1221"/>
      <c r="ASL32" s="1221"/>
      <c r="ASM32" s="1221"/>
      <c r="ASN32" s="1221"/>
      <c r="ASO32" s="1221"/>
      <c r="ASP32" s="1221"/>
      <c r="ASQ32" s="1221"/>
      <c r="ASR32" s="1221"/>
      <c r="ASS32" s="1221"/>
      <c r="AST32" s="1221"/>
      <c r="ASU32" s="1221"/>
      <c r="ASV32" s="1221"/>
      <c r="ASW32" s="1221"/>
      <c r="ASX32" s="1221"/>
      <c r="ASY32" s="1221"/>
      <c r="ASZ32" s="1221"/>
      <c r="ATA32" s="1221"/>
      <c r="ATB32" s="1221"/>
      <c r="ATC32" s="1221"/>
      <c r="ATD32" s="1221"/>
      <c r="ATE32" s="1221"/>
      <c r="ATF32" s="1221"/>
      <c r="ATG32" s="1221"/>
      <c r="ATH32" s="1221"/>
      <c r="ATI32" s="1221"/>
      <c r="ATJ32" s="1221"/>
      <c r="ATK32" s="1221"/>
      <c r="ATL32" s="1221"/>
      <c r="ATM32" s="1221"/>
      <c r="ATN32" s="1221"/>
      <c r="ATO32" s="1221"/>
      <c r="ATP32" s="1221"/>
      <c r="ATQ32" s="1221"/>
      <c r="ATR32" s="1221"/>
      <c r="ATS32" s="1221"/>
      <c r="ATT32" s="1221"/>
      <c r="ATU32" s="1221"/>
      <c r="ATV32" s="1221"/>
      <c r="ATW32" s="1221"/>
      <c r="ATX32" s="1221"/>
      <c r="ATY32" s="1221"/>
      <c r="ATZ32" s="1221"/>
      <c r="AUA32" s="1221"/>
      <c r="AUB32" s="1221"/>
      <c r="AUC32" s="1221"/>
      <c r="AUD32" s="1221"/>
      <c r="AUE32" s="1221"/>
      <c r="AUF32" s="1221"/>
      <c r="AUG32" s="1221"/>
      <c r="AUH32" s="1221"/>
      <c r="AUI32" s="1221"/>
      <c r="AUJ32" s="1221"/>
      <c r="AUK32" s="1221"/>
      <c r="AUL32" s="1221"/>
      <c r="AUM32" s="1221"/>
      <c r="AUN32" s="1221"/>
      <c r="AUO32" s="1221"/>
      <c r="AUP32" s="1221"/>
      <c r="AUQ32" s="1221"/>
      <c r="AUR32" s="1221"/>
      <c r="AUS32" s="1221"/>
      <c r="AUT32" s="1221"/>
      <c r="AUU32" s="1221"/>
      <c r="AUV32" s="1221"/>
      <c r="AUW32" s="1221"/>
      <c r="AUX32" s="1221"/>
      <c r="AUY32" s="1221"/>
      <c r="AUZ32" s="1221"/>
      <c r="AVA32" s="1221"/>
      <c r="AVB32" s="1221"/>
      <c r="AVC32" s="1221"/>
      <c r="AVD32" s="1221"/>
      <c r="AVE32" s="1221"/>
      <c r="AVF32" s="1221"/>
      <c r="AVG32" s="1221"/>
      <c r="AVH32" s="1221"/>
      <c r="AVI32" s="1221"/>
      <c r="AVJ32" s="1221"/>
      <c r="AVK32" s="1221"/>
      <c r="AVL32" s="1221"/>
      <c r="AVM32" s="1221"/>
      <c r="AVN32" s="1221"/>
      <c r="AVO32" s="1221"/>
      <c r="AVP32" s="1221"/>
      <c r="AVQ32" s="1221"/>
      <c r="AVR32" s="1221"/>
      <c r="AVS32" s="1221"/>
      <c r="AVT32" s="1221"/>
      <c r="AVU32" s="1221"/>
      <c r="AVV32" s="1221"/>
      <c r="AVW32" s="1221"/>
      <c r="AVX32" s="1221"/>
      <c r="AVY32" s="1221"/>
      <c r="AVZ32" s="1221"/>
      <c r="AWA32" s="1221"/>
      <c r="AWB32" s="1221"/>
      <c r="AWC32" s="1221"/>
      <c r="AWD32" s="1221"/>
      <c r="AWE32" s="1221"/>
      <c r="AWF32" s="1221"/>
      <c r="AWG32" s="1221"/>
      <c r="AWH32" s="1221"/>
      <c r="AWI32" s="1221"/>
      <c r="AWJ32" s="1221"/>
      <c r="AWK32" s="1221"/>
      <c r="AWL32" s="1221"/>
      <c r="AWM32" s="1221"/>
      <c r="AWN32" s="1221"/>
      <c r="AWO32" s="1221"/>
      <c r="AWP32" s="1221"/>
      <c r="AWQ32" s="1221"/>
      <c r="AWR32" s="1221"/>
      <c r="AWS32" s="1221"/>
      <c r="AWT32" s="1221"/>
      <c r="AWU32" s="1221"/>
      <c r="AWV32" s="1221"/>
      <c r="AWW32" s="1221"/>
      <c r="AWX32" s="1221"/>
      <c r="AWY32" s="1221"/>
      <c r="AWZ32" s="1221"/>
      <c r="AXA32" s="1221"/>
      <c r="AXB32" s="1221"/>
      <c r="AXC32" s="1221"/>
      <c r="AXD32" s="1221"/>
      <c r="AXE32" s="1221"/>
      <c r="AXF32" s="1221"/>
      <c r="AXG32" s="1221"/>
      <c r="AXH32" s="1221"/>
      <c r="AXI32" s="1221"/>
      <c r="AXJ32" s="1221"/>
      <c r="AXK32" s="1221"/>
      <c r="AXL32" s="1221"/>
      <c r="AXM32" s="1221"/>
      <c r="AXN32" s="1221"/>
      <c r="AXO32" s="1221"/>
      <c r="AXP32" s="1221"/>
      <c r="AXQ32" s="1221"/>
      <c r="AXR32" s="1221"/>
      <c r="AXS32" s="1221"/>
      <c r="AXT32" s="1221"/>
      <c r="AXU32" s="1221"/>
      <c r="AXV32" s="1221"/>
      <c r="AXW32" s="1221"/>
      <c r="AXX32" s="1221"/>
      <c r="AXY32" s="1221"/>
      <c r="AXZ32" s="1221"/>
      <c r="AYA32" s="1221"/>
      <c r="AYB32" s="1221"/>
      <c r="AYC32" s="1221"/>
      <c r="AYD32" s="1221"/>
      <c r="AYE32" s="1221"/>
      <c r="AYF32" s="1221"/>
      <c r="AYG32" s="1221"/>
      <c r="AYH32" s="1221"/>
      <c r="AYI32" s="1221"/>
      <c r="AYJ32" s="1221"/>
      <c r="AYK32" s="1221"/>
      <c r="AYL32" s="1221"/>
      <c r="AYM32" s="1221"/>
      <c r="AYN32" s="1221"/>
      <c r="AYO32" s="1221"/>
      <c r="AYP32" s="1221"/>
      <c r="AYQ32" s="1221"/>
      <c r="AYR32" s="1221"/>
      <c r="AYS32" s="1221"/>
      <c r="AYT32" s="1221"/>
      <c r="AYU32" s="1221"/>
      <c r="AYV32" s="1221"/>
      <c r="AYW32" s="1221"/>
      <c r="AYX32" s="1221"/>
      <c r="AYY32" s="1221"/>
      <c r="AYZ32" s="1221"/>
      <c r="AZA32" s="1221"/>
      <c r="AZB32" s="1221"/>
      <c r="AZC32" s="1221"/>
      <c r="AZD32" s="1221"/>
      <c r="AZE32" s="1221"/>
      <c r="AZF32" s="1221"/>
      <c r="AZG32" s="1221"/>
      <c r="AZH32" s="1221"/>
      <c r="AZI32" s="1221"/>
      <c r="AZJ32" s="1221"/>
      <c r="AZK32" s="1221"/>
      <c r="AZL32" s="1221"/>
      <c r="AZM32" s="1221"/>
      <c r="AZN32" s="1221"/>
      <c r="AZO32" s="1221"/>
      <c r="AZP32" s="1221"/>
      <c r="AZQ32" s="1221"/>
      <c r="AZR32" s="1221"/>
      <c r="AZS32" s="1221"/>
      <c r="AZT32" s="1221"/>
      <c r="AZU32" s="1221"/>
      <c r="AZV32" s="1221"/>
      <c r="AZW32" s="1221"/>
      <c r="AZX32" s="1221"/>
      <c r="AZY32" s="1221"/>
      <c r="AZZ32" s="1221"/>
      <c r="BAA32" s="1221"/>
      <c r="BAB32" s="1221"/>
      <c r="BAC32" s="1221"/>
      <c r="BAD32" s="1221"/>
      <c r="BAE32" s="1221"/>
      <c r="BAF32" s="1221"/>
      <c r="BAG32" s="1221"/>
      <c r="BAH32" s="1221"/>
      <c r="BAI32" s="1221"/>
      <c r="BAJ32" s="1221"/>
      <c r="BAK32" s="1221"/>
      <c r="BAL32" s="1221"/>
      <c r="BAM32" s="1221"/>
      <c r="BAN32" s="1221"/>
      <c r="BAO32" s="1221"/>
      <c r="BAP32" s="1221"/>
      <c r="BAQ32" s="1221"/>
      <c r="BAR32" s="1221"/>
      <c r="BAS32" s="1221"/>
      <c r="BAT32" s="1221"/>
      <c r="BAU32" s="1221"/>
      <c r="BAV32" s="1221"/>
      <c r="BAW32" s="1221"/>
      <c r="BAX32" s="1221"/>
      <c r="BAY32" s="1221"/>
      <c r="BAZ32" s="1221"/>
      <c r="BBA32" s="1221"/>
      <c r="BBB32" s="1221"/>
      <c r="BBC32" s="1221"/>
      <c r="BBD32" s="1221"/>
      <c r="BBE32" s="1221"/>
      <c r="BBF32" s="1221"/>
      <c r="BBG32" s="1221"/>
      <c r="BBH32" s="1221"/>
      <c r="BBI32" s="1221"/>
      <c r="BBJ32" s="1221"/>
      <c r="BBK32" s="1221"/>
      <c r="BBL32" s="1221"/>
      <c r="BBM32" s="1221"/>
      <c r="BBN32" s="1221"/>
      <c r="BBO32" s="1221"/>
      <c r="BBP32" s="1221"/>
      <c r="BBQ32" s="1221"/>
      <c r="BBR32" s="1221"/>
      <c r="BBS32" s="1221"/>
      <c r="BBT32" s="1221"/>
      <c r="BBU32" s="1221"/>
      <c r="BBV32" s="1221"/>
      <c r="BBW32" s="1221"/>
      <c r="BBX32" s="1221"/>
      <c r="BBY32" s="1221"/>
      <c r="BBZ32" s="1221"/>
      <c r="BCA32" s="1221"/>
      <c r="BCB32" s="1221"/>
      <c r="BCC32" s="1221"/>
      <c r="BCD32" s="1221"/>
      <c r="BCE32" s="1221"/>
      <c r="BCF32" s="1221"/>
      <c r="BCG32" s="1221"/>
      <c r="BCH32" s="1221"/>
      <c r="BCI32" s="1221"/>
      <c r="BCJ32" s="1221"/>
      <c r="BCK32" s="1221"/>
      <c r="BCL32" s="1221"/>
      <c r="BCM32" s="1221"/>
      <c r="BCN32" s="1221"/>
      <c r="BCO32" s="1221"/>
      <c r="BCP32" s="1221"/>
      <c r="BCQ32" s="1221"/>
      <c r="BCR32" s="1221"/>
      <c r="BCS32" s="1221"/>
      <c r="BCT32" s="1221"/>
      <c r="BCU32" s="1221"/>
      <c r="BCV32" s="1221"/>
      <c r="BCW32" s="1221"/>
      <c r="BCX32" s="1221"/>
      <c r="BCY32" s="1221"/>
      <c r="BCZ32" s="1221"/>
      <c r="BDA32" s="1221"/>
      <c r="BDB32" s="1221"/>
      <c r="BDC32" s="1221"/>
      <c r="BDD32" s="1221"/>
      <c r="BDE32" s="1221"/>
      <c r="BDF32" s="1221"/>
      <c r="BDG32" s="1221"/>
      <c r="BDH32" s="1221"/>
      <c r="BDI32" s="1221"/>
      <c r="BDJ32" s="1221"/>
      <c r="BDK32" s="1221"/>
      <c r="BDL32" s="1221"/>
      <c r="BDM32" s="1221"/>
      <c r="BDN32" s="1221"/>
      <c r="BDO32" s="1221"/>
      <c r="BDP32" s="1221"/>
      <c r="BDQ32" s="1221"/>
      <c r="BDR32" s="1221"/>
      <c r="BDS32" s="1221"/>
      <c r="BDT32" s="1221"/>
      <c r="BDU32" s="1221"/>
      <c r="BDV32" s="1221"/>
      <c r="BDW32" s="1221"/>
      <c r="BDX32" s="1221"/>
      <c r="BDY32" s="1221"/>
      <c r="BDZ32" s="1221"/>
      <c r="BEA32" s="1221"/>
      <c r="BEB32" s="1221"/>
      <c r="BEC32" s="1221"/>
      <c r="BED32" s="1221"/>
      <c r="BEE32" s="1221"/>
      <c r="BEF32" s="1221"/>
      <c r="BEG32" s="1221"/>
      <c r="BEH32" s="1221"/>
      <c r="BEI32" s="1221"/>
      <c r="BEJ32" s="1221"/>
      <c r="BEK32" s="1221"/>
      <c r="BEL32" s="1221"/>
      <c r="BEM32" s="1221"/>
      <c r="BEN32" s="1221"/>
      <c r="BEO32" s="1221"/>
      <c r="BEP32" s="1221"/>
      <c r="BEQ32" s="1221"/>
      <c r="BER32" s="1221"/>
      <c r="BES32" s="1221"/>
      <c r="BET32" s="1221"/>
      <c r="BEU32" s="1221"/>
      <c r="BEV32" s="1221"/>
      <c r="BEW32" s="1221"/>
      <c r="BEX32" s="1221"/>
      <c r="BEY32" s="1221"/>
      <c r="BEZ32" s="1221"/>
      <c r="BFA32" s="1221"/>
      <c r="BFB32" s="1221"/>
      <c r="BFC32" s="1221"/>
      <c r="BFD32" s="1221"/>
      <c r="BFE32" s="1221"/>
      <c r="BFF32" s="1221"/>
      <c r="BFG32" s="1221"/>
      <c r="BFH32" s="1221"/>
      <c r="BFI32" s="1221"/>
      <c r="BFJ32" s="1221"/>
      <c r="BFK32" s="1221"/>
      <c r="BFL32" s="1221"/>
      <c r="BFM32" s="1221"/>
      <c r="BFN32" s="1221"/>
      <c r="BFO32" s="1221"/>
      <c r="BFP32" s="1221"/>
      <c r="BFQ32" s="1221"/>
      <c r="BFR32" s="1221"/>
      <c r="BFS32" s="1221"/>
      <c r="BFT32" s="1221"/>
      <c r="BFU32" s="1221"/>
      <c r="BFV32" s="1221"/>
      <c r="BFW32" s="1221"/>
      <c r="BFX32" s="1221"/>
      <c r="BFY32" s="1221"/>
      <c r="BFZ32" s="1221"/>
      <c r="BGA32" s="1221"/>
      <c r="BGB32" s="1221"/>
      <c r="BGC32" s="1221"/>
      <c r="BGD32" s="1221"/>
      <c r="BGE32" s="1221"/>
      <c r="BGF32" s="1221"/>
      <c r="BGG32" s="1221"/>
      <c r="BGH32" s="1221"/>
      <c r="BGI32" s="1221"/>
      <c r="BGJ32" s="1221"/>
      <c r="BGK32" s="1221"/>
      <c r="BGL32" s="1221"/>
      <c r="BGM32" s="1221"/>
      <c r="BGN32" s="1221"/>
      <c r="BGO32" s="1221"/>
      <c r="BGP32" s="1221"/>
      <c r="BGQ32" s="1221"/>
      <c r="BGR32" s="1221"/>
      <c r="BGS32" s="1221"/>
      <c r="BGT32" s="1221"/>
      <c r="BGU32" s="1221"/>
      <c r="BGV32" s="1221"/>
      <c r="BGW32" s="1221"/>
      <c r="BGX32" s="1221"/>
      <c r="BGY32" s="1221"/>
      <c r="BGZ32" s="1221"/>
      <c r="BHA32" s="1221"/>
      <c r="BHB32" s="1221"/>
      <c r="BHC32" s="1221"/>
      <c r="BHD32" s="1221"/>
      <c r="BHE32" s="1221"/>
      <c r="BHF32" s="1221"/>
      <c r="BHG32" s="1221"/>
      <c r="BHH32" s="1221"/>
      <c r="BHI32" s="1221"/>
      <c r="BHJ32" s="1221"/>
      <c r="BHK32" s="1221"/>
      <c r="BHL32" s="1221"/>
      <c r="BHM32" s="1221"/>
      <c r="BHN32" s="1221"/>
      <c r="BHO32" s="1221"/>
      <c r="BHP32" s="1221"/>
      <c r="BHQ32" s="1221"/>
      <c r="BHR32" s="1221"/>
      <c r="BHS32" s="1221"/>
      <c r="BHT32" s="1221"/>
      <c r="BHU32" s="1221"/>
      <c r="BHV32" s="1221"/>
      <c r="BHW32" s="1221"/>
      <c r="BHX32" s="1221"/>
      <c r="BHY32" s="1221"/>
      <c r="BHZ32" s="1221"/>
      <c r="BIA32" s="1221"/>
      <c r="BIB32" s="1221"/>
      <c r="BIC32" s="1221"/>
      <c r="BID32" s="1221"/>
      <c r="BIE32" s="1221"/>
      <c r="BIF32" s="1221"/>
      <c r="BIG32" s="1221"/>
      <c r="BIH32" s="1221"/>
      <c r="BII32" s="1221"/>
      <c r="BIJ32" s="1221"/>
      <c r="BIK32" s="1221"/>
      <c r="BIL32" s="1221"/>
      <c r="BIM32" s="1221"/>
      <c r="BIN32" s="1221"/>
      <c r="BIO32" s="1221"/>
      <c r="BIP32" s="1221"/>
      <c r="BIQ32" s="1221"/>
      <c r="BIR32" s="1221"/>
      <c r="BIS32" s="1221"/>
      <c r="BIT32" s="1221"/>
      <c r="BIU32" s="1221"/>
      <c r="BIV32" s="1221"/>
      <c r="BIW32" s="1221"/>
      <c r="BIX32" s="1221"/>
      <c r="BIY32" s="1221"/>
      <c r="BIZ32" s="1221"/>
      <c r="BJA32" s="1221"/>
      <c r="BJB32" s="1221"/>
      <c r="BJC32" s="1221"/>
      <c r="BJD32" s="1221"/>
      <c r="BJE32" s="1221"/>
      <c r="BJF32" s="1221"/>
      <c r="BJG32" s="1221"/>
      <c r="BJH32" s="1221"/>
      <c r="BJI32" s="1221"/>
      <c r="BJJ32" s="1221"/>
      <c r="BJK32" s="1221"/>
      <c r="BJL32" s="1221"/>
      <c r="BJM32" s="1221"/>
      <c r="BJN32" s="1221"/>
      <c r="BJO32" s="1221"/>
      <c r="BJP32" s="1221"/>
      <c r="BJQ32" s="1221"/>
      <c r="BJR32" s="1221"/>
      <c r="BJS32" s="1221"/>
      <c r="BJT32" s="1221"/>
      <c r="BJU32" s="1221"/>
      <c r="BJV32" s="1221"/>
      <c r="BJW32" s="1221"/>
      <c r="BJX32" s="1221"/>
      <c r="BJY32" s="1221"/>
      <c r="BJZ32" s="1221"/>
      <c r="BKA32" s="1221"/>
      <c r="BKB32" s="1221"/>
      <c r="BKC32" s="1221"/>
      <c r="BKD32" s="1221"/>
      <c r="BKE32" s="1221"/>
      <c r="BKF32" s="1221"/>
      <c r="BKG32" s="1221"/>
      <c r="BKH32" s="1221"/>
      <c r="BKI32" s="1221"/>
      <c r="BKJ32" s="1221"/>
      <c r="BKK32" s="1221"/>
      <c r="BKL32" s="1221"/>
      <c r="BKM32" s="1221"/>
      <c r="BKN32" s="1221"/>
      <c r="BKO32" s="1221"/>
      <c r="BKP32" s="1221"/>
      <c r="BKQ32" s="1221"/>
      <c r="BKR32" s="1221"/>
      <c r="BKS32" s="1221"/>
      <c r="BKT32" s="1221"/>
      <c r="BKU32" s="1221"/>
      <c r="BKV32" s="1221"/>
      <c r="BKW32" s="1221"/>
      <c r="BKX32" s="1221"/>
      <c r="BKY32" s="1221"/>
      <c r="BKZ32" s="1221"/>
      <c r="BLA32" s="1221"/>
      <c r="BLB32" s="1221"/>
      <c r="BLC32" s="1221"/>
      <c r="BLD32" s="1221"/>
      <c r="BLE32" s="1221"/>
      <c r="BLF32" s="1221"/>
      <c r="BLG32" s="1221"/>
      <c r="BLH32" s="1221"/>
      <c r="BLI32" s="1221"/>
      <c r="BLJ32" s="1221"/>
      <c r="BLK32" s="1221"/>
      <c r="BLL32" s="1221"/>
      <c r="BLM32" s="1221"/>
      <c r="BLN32" s="1221"/>
      <c r="BLO32" s="1221"/>
      <c r="BLP32" s="1221"/>
      <c r="BLQ32" s="1221"/>
      <c r="BLR32" s="1221"/>
      <c r="BLS32" s="1221"/>
      <c r="BLT32" s="1221"/>
      <c r="BLU32" s="1221"/>
      <c r="BLV32" s="1221"/>
      <c r="BLW32" s="1221"/>
      <c r="BLX32" s="1221"/>
      <c r="BLY32" s="1221"/>
      <c r="BLZ32" s="1221"/>
      <c r="BMA32" s="1221"/>
      <c r="BMB32" s="1221"/>
      <c r="BMC32" s="1221"/>
      <c r="BMD32" s="1221"/>
      <c r="BME32" s="1221"/>
      <c r="BMF32" s="1221"/>
      <c r="BMG32" s="1221"/>
      <c r="BMH32" s="1221"/>
      <c r="BMI32" s="1221"/>
      <c r="BMJ32" s="1221"/>
      <c r="BMK32" s="1221"/>
      <c r="BML32" s="1221"/>
      <c r="BMM32" s="1221"/>
      <c r="BMN32" s="1221"/>
      <c r="BMO32" s="1221"/>
      <c r="BMP32" s="1221"/>
      <c r="BMQ32" s="1221"/>
      <c r="BMR32" s="1221"/>
      <c r="BMS32" s="1221"/>
      <c r="BMT32" s="1221"/>
      <c r="BMU32" s="1221"/>
      <c r="BMV32" s="1221"/>
      <c r="BMW32" s="1221"/>
      <c r="BMX32" s="1221"/>
      <c r="BMY32" s="1221"/>
      <c r="BMZ32" s="1221"/>
      <c r="BNA32" s="1221"/>
      <c r="BNB32" s="1221"/>
      <c r="BNC32" s="1221"/>
      <c r="BND32" s="1221"/>
      <c r="BNE32" s="1221"/>
      <c r="BNF32" s="1221"/>
      <c r="BNG32" s="1221"/>
      <c r="BNH32" s="1221"/>
      <c r="BNI32" s="1221"/>
      <c r="BNJ32" s="1221"/>
      <c r="BNK32" s="1221"/>
      <c r="BNL32" s="1221"/>
      <c r="BNM32" s="1221"/>
      <c r="BNN32" s="1221"/>
      <c r="BNO32" s="1221"/>
      <c r="BNP32" s="1221"/>
      <c r="BNQ32" s="1221"/>
      <c r="BNR32" s="1221"/>
      <c r="BNS32" s="1221"/>
      <c r="BNT32" s="1221"/>
      <c r="BNU32" s="1221"/>
      <c r="BNV32" s="1221"/>
      <c r="BNW32" s="1221"/>
      <c r="BNX32" s="1221"/>
      <c r="BNY32" s="1221"/>
      <c r="BNZ32" s="1221"/>
      <c r="BOA32" s="1221"/>
      <c r="BOB32" s="1221"/>
      <c r="BOC32" s="1221"/>
      <c r="BOD32" s="1221"/>
      <c r="BOE32" s="1221"/>
      <c r="BOF32" s="1221"/>
      <c r="BOG32" s="1221"/>
      <c r="BOH32" s="1221"/>
      <c r="BOI32" s="1221"/>
      <c r="BOJ32" s="1221"/>
      <c r="BOK32" s="1221"/>
      <c r="BOL32" s="1221"/>
      <c r="BOM32" s="1221"/>
      <c r="BON32" s="1221"/>
      <c r="BOO32" s="1221"/>
      <c r="BOP32" s="1221"/>
      <c r="BOQ32" s="1221"/>
      <c r="BOR32" s="1221"/>
      <c r="BOS32" s="1221"/>
      <c r="BOT32" s="1221"/>
      <c r="BOU32" s="1221"/>
      <c r="BOV32" s="1221"/>
      <c r="BOW32" s="1221"/>
      <c r="BOX32" s="1221"/>
      <c r="BOY32" s="1221"/>
      <c r="BOZ32" s="1221"/>
      <c r="BPA32" s="1221"/>
      <c r="BPB32" s="1221"/>
      <c r="BPC32" s="1221"/>
      <c r="BPD32" s="1221"/>
      <c r="BPE32" s="1221"/>
      <c r="BPF32" s="1221"/>
      <c r="BPG32" s="1221"/>
      <c r="BPH32" s="1221"/>
      <c r="BPI32" s="1221"/>
      <c r="BPJ32" s="1221"/>
      <c r="BPK32" s="1221"/>
      <c r="BPL32" s="1221"/>
      <c r="BPM32" s="1221"/>
      <c r="BPN32" s="1221"/>
      <c r="BPO32" s="1221"/>
      <c r="BPP32" s="1221"/>
      <c r="BPQ32" s="1221"/>
      <c r="BPR32" s="1221"/>
      <c r="BPS32" s="1221"/>
      <c r="BPT32" s="1221"/>
      <c r="BPU32" s="1221"/>
      <c r="BPV32" s="1221"/>
      <c r="BPW32" s="1221"/>
      <c r="BPX32" s="1221"/>
      <c r="BPY32" s="1221"/>
      <c r="BPZ32" s="1221"/>
      <c r="BQA32" s="1221"/>
      <c r="BQB32" s="1221"/>
      <c r="BQC32" s="1221"/>
      <c r="BQD32" s="1221"/>
      <c r="BQE32" s="1221"/>
      <c r="BQF32" s="1221"/>
      <c r="BQG32" s="1221"/>
      <c r="BQH32" s="1221"/>
      <c r="BQI32" s="1221"/>
      <c r="BQJ32" s="1221"/>
      <c r="BQK32" s="1221"/>
      <c r="BQL32" s="1221"/>
      <c r="BQM32" s="1221"/>
      <c r="BQN32" s="1221"/>
      <c r="BQO32" s="1221"/>
      <c r="BQP32" s="1221"/>
      <c r="BQQ32" s="1221"/>
      <c r="BQR32" s="1221"/>
      <c r="BQS32" s="1221"/>
      <c r="BQT32" s="1221"/>
      <c r="BQU32" s="1221"/>
      <c r="BQV32" s="1221"/>
      <c r="BQW32" s="1221"/>
      <c r="BQX32" s="1221"/>
      <c r="BQY32" s="1221"/>
      <c r="BQZ32" s="1221"/>
      <c r="BRA32" s="1221"/>
      <c r="BRB32" s="1221"/>
      <c r="BRC32" s="1221"/>
      <c r="BRD32" s="1221"/>
      <c r="BRE32" s="1221"/>
      <c r="BRF32" s="1221"/>
      <c r="BRG32" s="1221"/>
      <c r="BRH32" s="1221"/>
      <c r="BRI32" s="1221"/>
      <c r="BRJ32" s="1221"/>
      <c r="BRK32" s="1221"/>
      <c r="BRL32" s="1221"/>
      <c r="BRM32" s="1221"/>
      <c r="BRN32" s="1221"/>
      <c r="BRO32" s="1221"/>
      <c r="BRP32" s="1221"/>
      <c r="BRQ32" s="1221"/>
      <c r="BRR32" s="1221"/>
      <c r="BRS32" s="1221"/>
      <c r="BRT32" s="1221"/>
      <c r="BRU32" s="1221"/>
      <c r="BRV32" s="1221"/>
      <c r="BRW32" s="1221"/>
      <c r="BRX32" s="1221"/>
      <c r="BRY32" s="1221"/>
      <c r="BRZ32" s="1221"/>
      <c r="BSA32" s="1221"/>
      <c r="BSB32" s="1221"/>
      <c r="BSC32" s="1221"/>
      <c r="BSD32" s="1221"/>
      <c r="BSE32" s="1221"/>
      <c r="BSF32" s="1221"/>
      <c r="BSG32" s="1221"/>
      <c r="BSH32" s="1221"/>
      <c r="BSI32" s="1221"/>
      <c r="BSJ32" s="1221"/>
      <c r="BSK32" s="1221"/>
      <c r="BSL32" s="1221"/>
      <c r="BSM32" s="1221"/>
      <c r="BSN32" s="1221"/>
      <c r="BSO32" s="1221"/>
      <c r="BSP32" s="1221"/>
      <c r="BSQ32" s="1221"/>
      <c r="BSR32" s="1221"/>
      <c r="BSS32" s="1221"/>
      <c r="BST32" s="1221"/>
      <c r="BSU32" s="1221"/>
      <c r="BSV32" s="1221"/>
      <c r="BSW32" s="1221"/>
      <c r="BSX32" s="1221"/>
      <c r="BSY32" s="1221"/>
      <c r="BSZ32" s="1221"/>
      <c r="BTA32" s="1221"/>
      <c r="BTB32" s="1221"/>
      <c r="BTC32" s="1221"/>
      <c r="BTD32" s="1221"/>
      <c r="BTE32" s="1221"/>
      <c r="BTF32" s="1221"/>
      <c r="BTG32" s="1221"/>
      <c r="BTH32" s="1221"/>
      <c r="BTI32" s="1221"/>
      <c r="BTJ32" s="1221"/>
      <c r="BTK32" s="1221"/>
      <c r="BTL32" s="1221"/>
      <c r="BTM32" s="1221"/>
      <c r="BTN32" s="1221"/>
      <c r="BTO32" s="1221"/>
      <c r="BTP32" s="1221"/>
      <c r="BTQ32" s="1221"/>
      <c r="BTR32" s="1221"/>
      <c r="BTS32" s="1221"/>
      <c r="BTT32" s="1221"/>
      <c r="BTU32" s="1221"/>
      <c r="BTV32" s="1221"/>
      <c r="BTW32" s="1221"/>
      <c r="BTX32" s="1221"/>
      <c r="BTY32" s="1221"/>
      <c r="BTZ32" s="1221"/>
      <c r="BUA32" s="1221"/>
      <c r="BUB32" s="1221"/>
      <c r="BUC32" s="1221"/>
      <c r="BUD32" s="1221"/>
      <c r="BUE32" s="1221"/>
      <c r="BUF32" s="1221"/>
      <c r="BUG32" s="1221"/>
      <c r="BUH32" s="1221"/>
      <c r="BUI32" s="1221"/>
      <c r="BUJ32" s="1221"/>
      <c r="BUK32" s="1221"/>
      <c r="BUL32" s="1221"/>
      <c r="BUM32" s="1221"/>
      <c r="BUN32" s="1221"/>
      <c r="BUO32" s="1221"/>
      <c r="BUP32" s="1221"/>
      <c r="BUQ32" s="1221"/>
      <c r="BUR32" s="1221"/>
      <c r="BUS32" s="1221"/>
      <c r="BUT32" s="1221"/>
      <c r="BUU32" s="1221"/>
      <c r="BUV32" s="1221"/>
      <c r="BUW32" s="1221"/>
      <c r="BUX32" s="1221"/>
      <c r="BUY32" s="1221"/>
      <c r="BUZ32" s="1221"/>
      <c r="BVA32" s="1221"/>
      <c r="BVB32" s="1221"/>
      <c r="BVC32" s="1221"/>
      <c r="BVD32" s="1221"/>
      <c r="BVE32" s="1221"/>
      <c r="BVF32" s="1221"/>
      <c r="BVG32" s="1221"/>
      <c r="BVH32" s="1221"/>
      <c r="BVI32" s="1221"/>
      <c r="BVJ32" s="1221"/>
      <c r="BVK32" s="1221"/>
      <c r="BVL32" s="1221"/>
      <c r="BVM32" s="1221"/>
      <c r="BVN32" s="1221"/>
      <c r="BVO32" s="1221"/>
      <c r="BVP32" s="1221"/>
      <c r="BVQ32" s="1221"/>
      <c r="BVR32" s="1221"/>
      <c r="BVS32" s="1221"/>
      <c r="BVT32" s="1221"/>
      <c r="BVU32" s="1221"/>
      <c r="BVV32" s="1221"/>
      <c r="BVW32" s="1221"/>
      <c r="BVX32" s="1221"/>
      <c r="BVY32" s="1221"/>
      <c r="BVZ32" s="1221"/>
      <c r="BWA32" s="1221"/>
      <c r="BWB32" s="1221"/>
      <c r="BWC32" s="1221"/>
      <c r="BWD32" s="1221"/>
      <c r="BWE32" s="1221"/>
      <c r="BWF32" s="1221"/>
      <c r="BWG32" s="1221"/>
      <c r="BWH32" s="1221"/>
      <c r="BWI32" s="1221"/>
      <c r="BWJ32" s="1221"/>
      <c r="BWK32" s="1221"/>
      <c r="BWL32" s="1221"/>
      <c r="BWM32" s="1221"/>
      <c r="BWN32" s="1221"/>
      <c r="BWO32" s="1221"/>
      <c r="BWP32" s="1221"/>
      <c r="BWQ32" s="1221"/>
      <c r="BWR32" s="1221"/>
      <c r="BWS32" s="1221"/>
      <c r="BWT32" s="1221"/>
      <c r="BWU32" s="1221"/>
      <c r="BWV32" s="1221"/>
      <c r="BWW32" s="1221"/>
      <c r="BWX32" s="1221"/>
      <c r="BWY32" s="1221"/>
      <c r="BWZ32" s="1221"/>
      <c r="BXA32" s="1221"/>
      <c r="BXB32" s="1221"/>
      <c r="BXC32" s="1221"/>
      <c r="BXD32" s="1221"/>
      <c r="BXE32" s="1221"/>
      <c r="BXF32" s="1221"/>
      <c r="BXG32" s="1221"/>
      <c r="BXH32" s="1221"/>
      <c r="BXI32" s="1221"/>
      <c r="BXJ32" s="1221"/>
      <c r="BXK32" s="1221"/>
      <c r="BXL32" s="1221"/>
      <c r="BXM32" s="1221"/>
      <c r="BXN32" s="1221"/>
      <c r="BXO32" s="1221"/>
      <c r="BXP32" s="1221"/>
      <c r="BXQ32" s="1221"/>
      <c r="BXR32" s="1221"/>
      <c r="BXS32" s="1221"/>
      <c r="BXT32" s="1221"/>
      <c r="BXU32" s="1221"/>
      <c r="BXV32" s="1221"/>
      <c r="BXW32" s="1221"/>
      <c r="BXX32" s="1221"/>
      <c r="BXY32" s="1221"/>
      <c r="BXZ32" s="1221"/>
      <c r="BYA32" s="1221"/>
      <c r="BYB32" s="1221"/>
      <c r="BYC32" s="1221"/>
      <c r="BYD32" s="1221"/>
      <c r="BYE32" s="1221"/>
      <c r="BYF32" s="1221"/>
      <c r="BYG32" s="1221"/>
      <c r="BYH32" s="1221"/>
      <c r="BYI32" s="1221"/>
      <c r="BYJ32" s="1221"/>
      <c r="BYK32" s="1221"/>
      <c r="BYL32" s="1221"/>
      <c r="BYM32" s="1221"/>
      <c r="BYN32" s="1221"/>
      <c r="BYO32" s="1221"/>
      <c r="BYP32" s="1221"/>
      <c r="BYQ32" s="1221"/>
      <c r="BYR32" s="1221"/>
      <c r="BYS32" s="1221"/>
      <c r="BYT32" s="1221"/>
      <c r="BYU32" s="1221"/>
      <c r="BYV32" s="1221"/>
      <c r="BYW32" s="1221"/>
      <c r="BYX32" s="1221"/>
      <c r="BYY32" s="1221"/>
      <c r="BYZ32" s="1221"/>
      <c r="BZA32" s="1221"/>
      <c r="BZB32" s="1221"/>
      <c r="BZC32" s="1221"/>
      <c r="BZD32" s="1221"/>
      <c r="BZE32" s="1221"/>
      <c r="BZF32" s="1221"/>
      <c r="BZG32" s="1221"/>
      <c r="BZH32" s="1221"/>
      <c r="BZI32" s="1221"/>
      <c r="BZJ32" s="1221"/>
      <c r="BZK32" s="1221"/>
      <c r="BZL32" s="1221"/>
      <c r="BZM32" s="1221"/>
      <c r="BZN32" s="1221"/>
      <c r="BZO32" s="1221"/>
      <c r="BZP32" s="1221"/>
      <c r="BZQ32" s="1221"/>
      <c r="BZR32" s="1221"/>
      <c r="BZS32" s="1221"/>
      <c r="BZT32" s="1221"/>
      <c r="BZU32" s="1221"/>
      <c r="BZV32" s="1221"/>
      <c r="BZW32" s="1221"/>
      <c r="BZX32" s="1221"/>
      <c r="BZY32" s="1221"/>
      <c r="BZZ32" s="1221"/>
      <c r="CAA32" s="1221"/>
      <c r="CAB32" s="1221"/>
      <c r="CAC32" s="1221"/>
      <c r="CAD32" s="1221"/>
      <c r="CAE32" s="1221"/>
      <c r="CAF32" s="1221"/>
      <c r="CAG32" s="1221"/>
      <c r="CAH32" s="1221"/>
      <c r="CAI32" s="1221"/>
      <c r="CAJ32" s="1221"/>
      <c r="CAK32" s="1221"/>
      <c r="CAL32" s="1221"/>
      <c r="CAM32" s="1221"/>
      <c r="CAN32" s="1221"/>
      <c r="CAO32" s="1221"/>
      <c r="CAP32" s="1221"/>
      <c r="CAQ32" s="1221"/>
      <c r="CAR32" s="1221"/>
      <c r="CAS32" s="1221"/>
      <c r="CAT32" s="1221"/>
      <c r="CAU32" s="1221"/>
      <c r="CAV32" s="1221"/>
      <c r="CAW32" s="1221"/>
      <c r="CAX32" s="1221"/>
      <c r="CAY32" s="1221"/>
      <c r="CAZ32" s="1221"/>
      <c r="CBA32" s="1221"/>
      <c r="CBB32" s="1221"/>
      <c r="CBC32" s="1221"/>
      <c r="CBD32" s="1221"/>
      <c r="CBE32" s="1221"/>
      <c r="CBF32" s="1221"/>
      <c r="CBG32" s="1221"/>
      <c r="CBH32" s="1221"/>
      <c r="CBI32" s="1221"/>
      <c r="CBJ32" s="1221"/>
      <c r="CBK32" s="1221"/>
      <c r="CBL32" s="1221"/>
      <c r="CBM32" s="1221"/>
      <c r="CBN32" s="1221"/>
      <c r="CBO32" s="1221"/>
      <c r="CBP32" s="1221"/>
      <c r="CBQ32" s="1221"/>
      <c r="CBR32" s="1221"/>
      <c r="CBS32" s="1221"/>
      <c r="CBT32" s="1221"/>
      <c r="CBU32" s="1221"/>
      <c r="CBV32" s="1221"/>
      <c r="CBW32" s="1221"/>
      <c r="CBX32" s="1221"/>
      <c r="CBY32" s="1221"/>
      <c r="CBZ32" s="1221"/>
      <c r="CCA32" s="1221"/>
      <c r="CCB32" s="1221"/>
      <c r="CCC32" s="1221"/>
      <c r="CCD32" s="1221"/>
      <c r="CCE32" s="1221"/>
      <c r="CCF32" s="1221"/>
      <c r="CCG32" s="1221"/>
      <c r="CCH32" s="1221"/>
      <c r="CCI32" s="1221"/>
      <c r="CCJ32" s="1221"/>
      <c r="CCK32" s="1221"/>
      <c r="CCL32" s="1221"/>
      <c r="CCM32" s="1221"/>
      <c r="CCN32" s="1221"/>
      <c r="CCO32" s="1221"/>
      <c r="CCP32" s="1221"/>
      <c r="CCQ32" s="1221"/>
      <c r="CCR32" s="1221"/>
      <c r="CCS32" s="1221"/>
      <c r="CCT32" s="1221"/>
      <c r="CCU32" s="1221"/>
      <c r="CCV32" s="1221"/>
      <c r="CCW32" s="1221"/>
      <c r="CCX32" s="1221"/>
      <c r="CCY32" s="1221"/>
      <c r="CCZ32" s="1221"/>
      <c r="CDA32" s="1221"/>
      <c r="CDB32" s="1221"/>
      <c r="CDC32" s="1221"/>
      <c r="CDD32" s="1221"/>
      <c r="CDE32" s="1221"/>
      <c r="CDF32" s="1221"/>
      <c r="CDG32" s="1221"/>
      <c r="CDH32" s="1221"/>
      <c r="CDI32" s="1221"/>
      <c r="CDJ32" s="1221"/>
      <c r="CDK32" s="1221"/>
      <c r="CDL32" s="1221"/>
      <c r="CDM32" s="1221"/>
      <c r="CDN32" s="1221"/>
      <c r="CDO32" s="1221"/>
      <c r="CDP32" s="1221"/>
      <c r="CDQ32" s="1221"/>
      <c r="CDR32" s="1221"/>
      <c r="CDS32" s="1221"/>
      <c r="CDT32" s="1221"/>
      <c r="CDU32" s="1221"/>
      <c r="CDV32" s="1221"/>
      <c r="CDW32" s="1221"/>
      <c r="CDX32" s="1221"/>
      <c r="CDY32" s="1221"/>
      <c r="CDZ32" s="1221"/>
      <c r="CEA32" s="1221"/>
      <c r="CEB32" s="1221"/>
      <c r="CEC32" s="1221"/>
      <c r="CED32" s="1221"/>
      <c r="CEE32" s="1221"/>
      <c r="CEF32" s="1221"/>
      <c r="CEG32" s="1221"/>
      <c r="CEH32" s="1221"/>
      <c r="CEI32" s="1221"/>
      <c r="CEJ32" s="1221"/>
      <c r="CEK32" s="1221"/>
      <c r="CEL32" s="1221"/>
      <c r="CEM32" s="1221"/>
      <c r="CEN32" s="1221"/>
      <c r="CEO32" s="1221"/>
      <c r="CEP32" s="1221"/>
      <c r="CEQ32" s="1221"/>
      <c r="CER32" s="1221"/>
      <c r="CES32" s="1221"/>
      <c r="CET32" s="1221"/>
      <c r="CEU32" s="1221"/>
      <c r="CEV32" s="1221"/>
      <c r="CEW32" s="1221"/>
      <c r="CEX32" s="1221"/>
      <c r="CEY32" s="1221"/>
      <c r="CEZ32" s="1221"/>
      <c r="CFA32" s="1221"/>
      <c r="CFB32" s="1221"/>
      <c r="CFC32" s="1221"/>
      <c r="CFD32" s="1221"/>
      <c r="CFE32" s="1221"/>
      <c r="CFF32" s="1221"/>
      <c r="CFG32" s="1221"/>
      <c r="CFH32" s="1221"/>
      <c r="CFI32" s="1221"/>
      <c r="CFJ32" s="1221"/>
      <c r="CFK32" s="1221"/>
      <c r="CFL32" s="1221"/>
      <c r="CFM32" s="1221"/>
      <c r="CFN32" s="1221"/>
      <c r="CFO32" s="1221"/>
      <c r="CFP32" s="1221"/>
      <c r="CFQ32" s="1221"/>
      <c r="CFR32" s="1221"/>
      <c r="CFS32" s="1221"/>
      <c r="CFT32" s="1221"/>
      <c r="CFU32" s="1221"/>
      <c r="CFV32" s="1221"/>
      <c r="CFW32" s="1221"/>
      <c r="CFX32" s="1221"/>
      <c r="CFY32" s="1221"/>
      <c r="CFZ32" s="1221"/>
      <c r="CGA32" s="1221"/>
      <c r="CGB32" s="1221"/>
      <c r="CGC32" s="1221"/>
      <c r="CGD32" s="1221"/>
      <c r="CGE32" s="1221"/>
      <c r="CGF32" s="1221"/>
      <c r="CGG32" s="1221"/>
      <c r="CGH32" s="1221"/>
      <c r="CGI32" s="1221"/>
      <c r="CGJ32" s="1221"/>
      <c r="CGK32" s="1221"/>
      <c r="CGL32" s="1221"/>
      <c r="CGM32" s="1221"/>
      <c r="CGN32" s="1221"/>
      <c r="CGO32" s="1221"/>
      <c r="CGP32" s="1221"/>
      <c r="CGQ32" s="1221"/>
      <c r="CGR32" s="1221"/>
      <c r="CGS32" s="1221"/>
      <c r="CGT32" s="1221"/>
      <c r="CGU32" s="1221"/>
      <c r="CGV32" s="1221"/>
      <c r="CGW32" s="1221"/>
      <c r="CGX32" s="1221"/>
      <c r="CGY32" s="1221"/>
      <c r="CGZ32" s="1221"/>
      <c r="CHA32" s="1221"/>
      <c r="CHB32" s="1221"/>
      <c r="CHC32" s="1221"/>
      <c r="CHD32" s="1221"/>
      <c r="CHE32" s="1221"/>
      <c r="CHF32" s="1221"/>
      <c r="CHG32" s="1221"/>
      <c r="CHH32" s="1221"/>
      <c r="CHI32" s="1221"/>
      <c r="CHJ32" s="1221"/>
      <c r="CHK32" s="1221"/>
      <c r="CHL32" s="1221"/>
      <c r="CHM32" s="1221"/>
      <c r="CHN32" s="1221"/>
      <c r="CHO32" s="1221"/>
      <c r="CHP32" s="1221"/>
      <c r="CHQ32" s="1221"/>
      <c r="CHR32" s="1221"/>
      <c r="CHS32" s="1221"/>
      <c r="CHT32" s="1221"/>
      <c r="CHU32" s="1221"/>
      <c r="CHV32" s="1221"/>
      <c r="CHW32" s="1221"/>
      <c r="CHX32" s="1221"/>
      <c r="CHY32" s="1221"/>
      <c r="CHZ32" s="1221"/>
      <c r="CIA32" s="1221"/>
      <c r="CIB32" s="1221"/>
      <c r="CIC32" s="1221"/>
      <c r="CID32" s="1221"/>
      <c r="CIE32" s="1221"/>
      <c r="CIF32" s="1221"/>
      <c r="CIG32" s="1221"/>
      <c r="CIH32" s="1221"/>
      <c r="CII32" s="1221"/>
      <c r="CIJ32" s="1221"/>
      <c r="CIK32" s="1221"/>
      <c r="CIL32" s="1221"/>
      <c r="CIM32" s="1221"/>
      <c r="CIN32" s="1221"/>
      <c r="CIO32" s="1221"/>
      <c r="CIP32" s="1221"/>
      <c r="CIQ32" s="1221"/>
      <c r="CIR32" s="1221"/>
      <c r="CIS32" s="1221"/>
      <c r="CIT32" s="1221"/>
      <c r="CIU32" s="1221"/>
      <c r="CIV32" s="1221"/>
      <c r="CIW32" s="1221"/>
      <c r="CIX32" s="1221"/>
      <c r="CIY32" s="1221"/>
      <c r="CIZ32" s="1221"/>
      <c r="CJA32" s="1221"/>
      <c r="CJB32" s="1221"/>
      <c r="CJC32" s="1221"/>
      <c r="CJD32" s="1221"/>
      <c r="CJE32" s="1221"/>
      <c r="CJF32" s="1221"/>
      <c r="CJG32" s="1221"/>
      <c r="CJH32" s="1221"/>
      <c r="CJI32" s="1221"/>
      <c r="CJJ32" s="1221"/>
      <c r="CJK32" s="1221"/>
      <c r="CJL32" s="1221"/>
      <c r="CJM32" s="1221"/>
      <c r="CJN32" s="1221"/>
      <c r="CJO32" s="1221"/>
      <c r="CJP32" s="1221"/>
      <c r="CJQ32" s="1221"/>
      <c r="CJR32" s="1221"/>
      <c r="CJS32" s="1221"/>
      <c r="CJT32" s="1221"/>
      <c r="CJU32" s="1221"/>
      <c r="CJV32" s="1221"/>
      <c r="CJW32" s="1221"/>
      <c r="CJX32" s="1221"/>
      <c r="CJY32" s="1221"/>
      <c r="CJZ32" s="1221"/>
      <c r="CKA32" s="1221"/>
      <c r="CKB32" s="1221"/>
      <c r="CKC32" s="1221"/>
      <c r="CKD32" s="1221"/>
      <c r="CKE32" s="1221"/>
      <c r="CKF32" s="1221"/>
      <c r="CKG32" s="1221"/>
      <c r="CKH32" s="1221"/>
      <c r="CKI32" s="1221"/>
      <c r="CKJ32" s="1221"/>
      <c r="CKK32" s="1221"/>
      <c r="CKL32" s="1221"/>
      <c r="CKM32" s="1221"/>
      <c r="CKN32" s="1221"/>
      <c r="CKO32" s="1221"/>
      <c r="CKP32" s="1221"/>
      <c r="CKQ32" s="1221"/>
      <c r="CKR32" s="1221"/>
      <c r="CKS32" s="1221"/>
      <c r="CKT32" s="1221"/>
      <c r="CKU32" s="1221"/>
      <c r="CKV32" s="1221"/>
      <c r="CKW32" s="1221"/>
      <c r="CKX32" s="1221"/>
      <c r="CKY32" s="1221"/>
      <c r="CKZ32" s="1221"/>
      <c r="CLA32" s="1221"/>
      <c r="CLB32" s="1221"/>
      <c r="CLC32" s="1221"/>
      <c r="CLD32" s="1221"/>
      <c r="CLE32" s="1221"/>
      <c r="CLF32" s="1221"/>
      <c r="CLG32" s="1221"/>
      <c r="CLH32" s="1221"/>
      <c r="CLI32" s="1221"/>
      <c r="CLJ32" s="1221"/>
      <c r="CLK32" s="1221"/>
      <c r="CLL32" s="1221"/>
      <c r="CLM32" s="1221"/>
      <c r="CLN32" s="1221"/>
      <c r="CLO32" s="1221"/>
      <c r="CLP32" s="1221"/>
      <c r="CLQ32" s="1221"/>
      <c r="CLR32" s="1221"/>
      <c r="CLS32" s="1221"/>
      <c r="CLT32" s="1221"/>
      <c r="CLU32" s="1221"/>
      <c r="CLV32" s="1221"/>
      <c r="CLW32" s="1221"/>
      <c r="CLX32" s="1221"/>
      <c r="CLY32" s="1221"/>
      <c r="CLZ32" s="1221"/>
      <c r="CMA32" s="1221"/>
      <c r="CMB32" s="1221"/>
      <c r="CMC32" s="1221"/>
      <c r="CMD32" s="1221"/>
      <c r="CME32" s="1221"/>
      <c r="CMF32" s="1221"/>
      <c r="CMG32" s="1221"/>
      <c r="CMH32" s="1221"/>
      <c r="CMI32" s="1221"/>
      <c r="CMJ32" s="1221"/>
      <c r="CMK32" s="1221"/>
      <c r="CML32" s="1221"/>
      <c r="CMM32" s="1221"/>
      <c r="CMN32" s="1221"/>
      <c r="CMO32" s="1221"/>
      <c r="CMP32" s="1221"/>
      <c r="CMQ32" s="1221"/>
      <c r="CMR32" s="1221"/>
      <c r="CMS32" s="1221"/>
      <c r="CMT32" s="1221"/>
      <c r="CMU32" s="1221"/>
      <c r="CMV32" s="1221"/>
      <c r="CMW32" s="1221"/>
      <c r="CMX32" s="1221"/>
      <c r="CMY32" s="1221"/>
      <c r="CMZ32" s="1221"/>
      <c r="CNA32" s="1221"/>
      <c r="CNB32" s="1221"/>
      <c r="CNC32" s="1221"/>
      <c r="CND32" s="1221"/>
      <c r="CNE32" s="1221"/>
      <c r="CNF32" s="1221"/>
      <c r="CNG32" s="1221"/>
      <c r="CNH32" s="1221"/>
      <c r="CNI32" s="1221"/>
      <c r="CNJ32" s="1221"/>
      <c r="CNK32" s="1221"/>
      <c r="CNL32" s="1221"/>
      <c r="CNM32" s="1221"/>
      <c r="CNN32" s="1221"/>
      <c r="CNO32" s="1221"/>
      <c r="CNP32" s="1221"/>
      <c r="CNQ32" s="1221"/>
      <c r="CNR32" s="1221"/>
      <c r="CNS32" s="1221"/>
      <c r="CNT32" s="1221"/>
      <c r="CNU32" s="1221"/>
      <c r="CNV32" s="1221"/>
      <c r="CNW32" s="1221"/>
      <c r="CNX32" s="1221"/>
      <c r="CNY32" s="1221"/>
      <c r="CNZ32" s="1221"/>
      <c r="COA32" s="1221"/>
      <c r="COB32" s="1221"/>
      <c r="COC32" s="1221"/>
      <c r="COD32" s="1221"/>
      <c r="COE32" s="1221"/>
      <c r="COF32" s="1221"/>
      <c r="COG32" s="1221"/>
      <c r="COH32" s="1221"/>
      <c r="COI32" s="1221"/>
      <c r="COJ32" s="1221"/>
      <c r="COK32" s="1221"/>
      <c r="COL32" s="1221"/>
      <c r="COM32" s="1221"/>
      <c r="CON32" s="1221"/>
      <c r="COO32" s="1221"/>
      <c r="COP32" s="1221"/>
      <c r="COQ32" s="1221"/>
      <c r="COR32" s="1221"/>
      <c r="COS32" s="1221"/>
      <c r="COT32" s="1221"/>
      <c r="COU32" s="1221"/>
      <c r="COV32" s="1221"/>
      <c r="COW32" s="1221"/>
      <c r="COX32" s="1221"/>
      <c r="COY32" s="1221"/>
      <c r="COZ32" s="1221"/>
      <c r="CPA32" s="1221"/>
      <c r="CPB32" s="1221"/>
      <c r="CPC32" s="1221"/>
      <c r="CPD32" s="1221"/>
      <c r="CPE32" s="1221"/>
      <c r="CPF32" s="1221"/>
      <c r="CPG32" s="1221"/>
      <c r="CPH32" s="1221"/>
      <c r="CPI32" s="1221"/>
      <c r="CPJ32" s="1221"/>
      <c r="CPK32" s="1221"/>
      <c r="CPL32" s="1221"/>
      <c r="CPM32" s="1221"/>
      <c r="CPN32" s="1221"/>
      <c r="CPO32" s="1221"/>
      <c r="CPP32" s="1221"/>
      <c r="CPQ32" s="1221"/>
      <c r="CPR32" s="1221"/>
      <c r="CPS32" s="1221"/>
      <c r="CPT32" s="1221"/>
      <c r="CPU32" s="1221"/>
      <c r="CPV32" s="1221"/>
      <c r="CPW32" s="1221"/>
      <c r="CPX32" s="1221"/>
      <c r="CPY32" s="1221"/>
      <c r="CPZ32" s="1221"/>
      <c r="CQA32" s="1221"/>
      <c r="CQB32" s="1221"/>
      <c r="CQC32" s="1221"/>
      <c r="CQD32" s="1221"/>
      <c r="CQE32" s="1221"/>
      <c r="CQF32" s="1221"/>
      <c r="CQG32" s="1221"/>
      <c r="CQH32" s="1221"/>
      <c r="CQI32" s="1221"/>
      <c r="CQJ32" s="1221"/>
      <c r="CQK32" s="1221"/>
      <c r="CQL32" s="1221"/>
      <c r="CQM32" s="1221"/>
      <c r="CQN32" s="1221"/>
      <c r="CQO32" s="1221"/>
      <c r="CQP32" s="1221"/>
      <c r="CQQ32" s="1221"/>
      <c r="CQR32" s="1221"/>
      <c r="CQS32" s="1221"/>
      <c r="CQT32" s="1221"/>
      <c r="CQU32" s="1221"/>
      <c r="CQV32" s="1221"/>
      <c r="CQW32" s="1221"/>
      <c r="CQX32" s="1221"/>
      <c r="CQY32" s="1221"/>
      <c r="CQZ32" s="1221"/>
      <c r="CRA32" s="1221"/>
      <c r="CRB32" s="1221"/>
      <c r="CRC32" s="1221"/>
      <c r="CRD32" s="1221"/>
      <c r="CRE32" s="1221"/>
      <c r="CRF32" s="1221"/>
      <c r="CRG32" s="1221"/>
      <c r="CRH32" s="1221"/>
      <c r="CRI32" s="1221"/>
      <c r="CRJ32" s="1221"/>
      <c r="CRK32" s="1221"/>
      <c r="CRL32" s="1221"/>
      <c r="CRM32" s="1221"/>
      <c r="CRN32" s="1221"/>
      <c r="CRO32" s="1221"/>
      <c r="CRP32" s="1221"/>
      <c r="CRQ32" s="1221"/>
      <c r="CRR32" s="1221"/>
      <c r="CRS32" s="1221"/>
      <c r="CRT32" s="1221"/>
      <c r="CRU32" s="1221"/>
      <c r="CRV32" s="1221"/>
      <c r="CRW32" s="1221"/>
      <c r="CRX32" s="1221"/>
      <c r="CRY32" s="1221"/>
      <c r="CRZ32" s="1221"/>
      <c r="CSA32" s="1221"/>
      <c r="CSB32" s="1221"/>
      <c r="CSC32" s="1221"/>
      <c r="CSD32" s="1221"/>
      <c r="CSE32" s="1221"/>
      <c r="CSF32" s="1221"/>
      <c r="CSG32" s="1221"/>
      <c r="CSH32" s="1221"/>
      <c r="CSI32" s="1221"/>
      <c r="CSJ32" s="1221"/>
      <c r="CSK32" s="1221"/>
      <c r="CSL32" s="1221"/>
      <c r="CSM32" s="1221"/>
      <c r="CSN32" s="1221"/>
      <c r="CSO32" s="1221"/>
      <c r="CSP32" s="1221"/>
      <c r="CSQ32" s="1221"/>
      <c r="CSR32" s="1221"/>
      <c r="CSS32" s="1221"/>
      <c r="CST32" s="1221"/>
      <c r="CSU32" s="1221"/>
      <c r="CSV32" s="1221"/>
      <c r="CSW32" s="1221"/>
      <c r="CSX32" s="1221"/>
      <c r="CSY32" s="1221"/>
      <c r="CSZ32" s="1221"/>
      <c r="CTA32" s="1221"/>
      <c r="CTB32" s="1221"/>
      <c r="CTC32" s="1221"/>
      <c r="CTD32" s="1221"/>
      <c r="CTE32" s="1221"/>
      <c r="CTF32" s="1221"/>
      <c r="CTG32" s="1221"/>
      <c r="CTH32" s="1221"/>
      <c r="CTI32" s="1221"/>
      <c r="CTJ32" s="1221"/>
      <c r="CTK32" s="1221"/>
      <c r="CTL32" s="1221"/>
      <c r="CTM32" s="1221"/>
      <c r="CTN32" s="1221"/>
      <c r="CTO32" s="1221"/>
      <c r="CTP32" s="1221"/>
      <c r="CTQ32" s="1221"/>
      <c r="CTR32" s="1221"/>
      <c r="CTS32" s="1221"/>
      <c r="CTT32" s="1221"/>
      <c r="CTU32" s="1221"/>
      <c r="CTV32" s="1221"/>
      <c r="CTW32" s="1221"/>
      <c r="CTX32" s="1221"/>
      <c r="CTY32" s="1221"/>
      <c r="CTZ32" s="1221"/>
      <c r="CUA32" s="1221"/>
      <c r="CUB32" s="1221"/>
      <c r="CUC32" s="1221"/>
      <c r="CUD32" s="1221"/>
      <c r="CUE32" s="1221"/>
      <c r="CUF32" s="1221"/>
      <c r="CUG32" s="1221"/>
      <c r="CUH32" s="1221"/>
      <c r="CUI32" s="1221"/>
      <c r="CUJ32" s="1221"/>
      <c r="CUK32" s="1221"/>
      <c r="CUL32" s="1221"/>
      <c r="CUM32" s="1221"/>
      <c r="CUN32" s="1221"/>
      <c r="CUO32" s="1221"/>
      <c r="CUP32" s="1221"/>
      <c r="CUQ32" s="1221"/>
      <c r="CUR32" s="1221"/>
      <c r="CUS32" s="1221"/>
      <c r="CUT32" s="1221"/>
      <c r="CUU32" s="1221"/>
      <c r="CUV32" s="1221"/>
      <c r="CUW32" s="1221"/>
      <c r="CUX32" s="1221"/>
      <c r="CUY32" s="1221"/>
      <c r="CUZ32" s="1221"/>
      <c r="CVA32" s="1221"/>
      <c r="CVB32" s="1221"/>
      <c r="CVC32" s="1221"/>
      <c r="CVD32" s="1221"/>
      <c r="CVE32" s="1221"/>
      <c r="CVF32" s="1221"/>
      <c r="CVG32" s="1221"/>
      <c r="CVH32" s="1221"/>
      <c r="CVI32" s="1221"/>
      <c r="CVJ32" s="1221"/>
      <c r="CVK32" s="1221"/>
      <c r="CVL32" s="1221"/>
      <c r="CVM32" s="1221"/>
      <c r="CVN32" s="1221"/>
      <c r="CVO32" s="1221"/>
      <c r="CVP32" s="1221"/>
      <c r="CVQ32" s="1221"/>
      <c r="CVR32" s="1221"/>
      <c r="CVS32" s="1221"/>
      <c r="CVT32" s="1221"/>
      <c r="CVU32" s="1221"/>
      <c r="CVV32" s="1221"/>
      <c r="CVW32" s="1221"/>
      <c r="CVX32" s="1221"/>
      <c r="CVY32" s="1221"/>
      <c r="CVZ32" s="1221"/>
      <c r="CWA32" s="1221"/>
      <c r="CWB32" s="1221"/>
      <c r="CWC32" s="1221"/>
      <c r="CWD32" s="1221"/>
      <c r="CWE32" s="1221"/>
      <c r="CWF32" s="1221"/>
      <c r="CWG32" s="1221"/>
      <c r="CWH32" s="1221"/>
      <c r="CWI32" s="1221"/>
      <c r="CWJ32" s="1221"/>
      <c r="CWK32" s="1221"/>
      <c r="CWL32" s="1221"/>
      <c r="CWM32" s="1221"/>
      <c r="CWN32" s="1221"/>
      <c r="CWO32" s="1221"/>
      <c r="CWP32" s="1221"/>
      <c r="CWQ32" s="1221"/>
      <c r="CWR32" s="1221"/>
      <c r="CWS32" s="1221"/>
      <c r="CWT32" s="1221"/>
      <c r="CWU32" s="1221"/>
      <c r="CWV32" s="1221"/>
      <c r="CWW32" s="1221"/>
      <c r="CWX32" s="1221"/>
      <c r="CWY32" s="1221"/>
      <c r="CWZ32" s="1221"/>
      <c r="CXA32" s="1221"/>
      <c r="CXB32" s="1221"/>
      <c r="CXC32" s="1221"/>
      <c r="CXD32" s="1221"/>
      <c r="CXE32" s="1221"/>
      <c r="CXF32" s="1221"/>
      <c r="CXG32" s="1221"/>
      <c r="CXH32" s="1221"/>
      <c r="CXI32" s="1221"/>
      <c r="CXJ32" s="1221"/>
      <c r="CXK32" s="1221"/>
      <c r="CXL32" s="1221"/>
      <c r="CXM32" s="1221"/>
      <c r="CXN32" s="1221"/>
      <c r="CXO32" s="1221"/>
      <c r="CXP32" s="1221"/>
      <c r="CXQ32" s="1221"/>
      <c r="CXR32" s="1221"/>
      <c r="CXS32" s="1221"/>
      <c r="CXT32" s="1221"/>
      <c r="CXU32" s="1221"/>
      <c r="CXV32" s="1221"/>
      <c r="CXW32" s="1221"/>
      <c r="CXX32" s="1221"/>
      <c r="CXY32" s="1221"/>
      <c r="CXZ32" s="1221"/>
      <c r="CYA32" s="1221"/>
      <c r="CYB32" s="1221"/>
      <c r="CYC32" s="1221"/>
      <c r="CYD32" s="1221"/>
      <c r="CYE32" s="1221"/>
      <c r="CYF32" s="1221"/>
      <c r="CYG32" s="1221"/>
      <c r="CYH32" s="1221"/>
      <c r="CYI32" s="1221"/>
      <c r="CYJ32" s="1221"/>
      <c r="CYK32" s="1221"/>
      <c r="CYL32" s="1221"/>
      <c r="CYM32" s="1221"/>
      <c r="CYN32" s="1221"/>
      <c r="CYO32" s="1221"/>
      <c r="CYP32" s="1221"/>
      <c r="CYQ32" s="1221"/>
      <c r="CYR32" s="1221"/>
      <c r="CYS32" s="1221"/>
      <c r="CYT32" s="1221"/>
      <c r="CYU32" s="1221"/>
      <c r="CYV32" s="1221"/>
      <c r="CYW32" s="1221"/>
      <c r="CYX32" s="1221"/>
      <c r="CYY32" s="1221"/>
      <c r="CYZ32" s="1221"/>
      <c r="CZA32" s="1221"/>
      <c r="CZB32" s="1221"/>
      <c r="CZC32" s="1221"/>
      <c r="CZD32" s="1221"/>
      <c r="CZE32" s="1221"/>
      <c r="CZF32" s="1221"/>
      <c r="CZG32" s="1221"/>
      <c r="CZH32" s="1221"/>
      <c r="CZI32" s="1221"/>
      <c r="CZJ32" s="1221"/>
      <c r="CZK32" s="1221"/>
      <c r="CZL32" s="1221"/>
      <c r="CZM32" s="1221"/>
      <c r="CZN32" s="1221"/>
      <c r="CZO32" s="1221"/>
      <c r="CZP32" s="1221"/>
      <c r="CZQ32" s="1221"/>
      <c r="CZR32" s="1221"/>
      <c r="CZS32" s="1221"/>
      <c r="CZT32" s="1221"/>
      <c r="CZU32" s="1221"/>
      <c r="CZV32" s="1221"/>
      <c r="CZW32" s="1221"/>
      <c r="CZX32" s="1221"/>
      <c r="CZY32" s="1221"/>
      <c r="CZZ32" s="1221"/>
      <c r="DAA32" s="1221"/>
      <c r="DAB32" s="1221"/>
      <c r="DAC32" s="1221"/>
      <c r="DAD32" s="1221"/>
      <c r="DAE32" s="1221"/>
      <c r="DAF32" s="1221"/>
      <c r="DAG32" s="1221"/>
      <c r="DAH32" s="1221"/>
      <c r="DAI32" s="1221"/>
      <c r="DAJ32" s="1221"/>
      <c r="DAK32" s="1221"/>
      <c r="DAL32" s="1221"/>
      <c r="DAM32" s="1221"/>
      <c r="DAN32" s="1221"/>
      <c r="DAO32" s="1221"/>
      <c r="DAP32" s="1221"/>
      <c r="DAQ32" s="1221"/>
      <c r="DAR32" s="1221"/>
      <c r="DAS32" s="1221"/>
      <c r="DAT32" s="1221"/>
      <c r="DAU32" s="1221"/>
      <c r="DAV32" s="1221"/>
      <c r="DAW32" s="1221"/>
      <c r="DAX32" s="1221"/>
      <c r="DAY32" s="1221"/>
      <c r="DAZ32" s="1221"/>
      <c r="DBA32" s="1221"/>
      <c r="DBB32" s="1221"/>
      <c r="DBC32" s="1221"/>
      <c r="DBD32" s="1221"/>
      <c r="DBE32" s="1221"/>
      <c r="DBF32" s="1221"/>
      <c r="DBG32" s="1221"/>
      <c r="DBH32" s="1221"/>
      <c r="DBI32" s="1221"/>
      <c r="DBJ32" s="1221"/>
      <c r="DBK32" s="1221"/>
      <c r="DBL32" s="1221"/>
      <c r="DBM32" s="1221"/>
      <c r="DBN32" s="1221"/>
      <c r="DBO32" s="1221"/>
      <c r="DBP32" s="1221"/>
      <c r="DBQ32" s="1221"/>
      <c r="DBR32" s="1221"/>
      <c r="DBS32" s="1221"/>
      <c r="DBT32" s="1221"/>
      <c r="DBU32" s="1221"/>
      <c r="DBV32" s="1221"/>
      <c r="DBW32" s="1221"/>
      <c r="DBX32" s="1221"/>
      <c r="DBY32" s="1221"/>
      <c r="DBZ32" s="1221"/>
      <c r="DCA32" s="1221"/>
      <c r="DCB32" s="1221"/>
      <c r="DCC32" s="1221"/>
      <c r="DCD32" s="1221"/>
      <c r="DCE32" s="1221"/>
      <c r="DCF32" s="1221"/>
      <c r="DCG32" s="1221"/>
      <c r="DCH32" s="1221"/>
      <c r="DCI32" s="1221"/>
      <c r="DCJ32" s="1221"/>
      <c r="DCK32" s="1221"/>
      <c r="DCL32" s="1221"/>
      <c r="DCM32" s="1221"/>
      <c r="DCN32" s="1221"/>
      <c r="DCO32" s="1221"/>
      <c r="DCP32" s="1221"/>
      <c r="DCQ32" s="1221"/>
      <c r="DCR32" s="1221"/>
      <c r="DCS32" s="1221"/>
      <c r="DCT32" s="1221"/>
      <c r="DCU32" s="1221"/>
      <c r="DCV32" s="1221"/>
      <c r="DCW32" s="1221"/>
      <c r="DCX32" s="1221"/>
      <c r="DCY32" s="1221"/>
      <c r="DCZ32" s="1221"/>
      <c r="DDA32" s="1221"/>
      <c r="DDB32" s="1221"/>
      <c r="DDC32" s="1221"/>
      <c r="DDD32" s="1221"/>
      <c r="DDE32" s="1221"/>
      <c r="DDF32" s="1221"/>
      <c r="DDG32" s="1221"/>
      <c r="DDH32" s="1221"/>
      <c r="DDI32" s="1221"/>
      <c r="DDJ32" s="1221"/>
      <c r="DDK32" s="1221"/>
      <c r="DDL32" s="1221"/>
      <c r="DDM32" s="1221"/>
      <c r="DDN32" s="1221"/>
      <c r="DDO32" s="1221"/>
      <c r="DDP32" s="1221"/>
      <c r="DDQ32" s="1221"/>
      <c r="DDR32" s="1221"/>
      <c r="DDS32" s="1221"/>
      <c r="DDT32" s="1221"/>
      <c r="DDU32" s="1221"/>
      <c r="DDV32" s="1221"/>
      <c r="DDW32" s="1221"/>
      <c r="DDX32" s="1221"/>
      <c r="DDY32" s="1221"/>
      <c r="DDZ32" s="1221"/>
      <c r="DEA32" s="1221"/>
      <c r="DEB32" s="1221"/>
      <c r="DEC32" s="1221"/>
      <c r="DED32" s="1221"/>
      <c r="DEE32" s="1221"/>
      <c r="DEF32" s="1221"/>
      <c r="DEG32" s="1221"/>
      <c r="DEH32" s="1221"/>
      <c r="DEI32" s="1221"/>
      <c r="DEJ32" s="1221"/>
      <c r="DEK32" s="1221"/>
      <c r="DEL32" s="1221"/>
      <c r="DEM32" s="1221"/>
      <c r="DEN32" s="1221"/>
      <c r="DEO32" s="1221"/>
      <c r="DEP32" s="1221"/>
      <c r="DEQ32" s="1221"/>
      <c r="DER32" s="1221"/>
      <c r="DES32" s="1221"/>
      <c r="DET32" s="1221"/>
      <c r="DEU32" s="1221"/>
      <c r="DEV32" s="1221"/>
      <c r="DEW32" s="1221"/>
      <c r="DEX32" s="1221"/>
      <c r="DEY32" s="1221"/>
      <c r="DEZ32" s="1221"/>
      <c r="DFA32" s="1221"/>
      <c r="DFB32" s="1221"/>
      <c r="DFC32" s="1221"/>
      <c r="DFD32" s="1221"/>
      <c r="DFE32" s="1221"/>
      <c r="DFF32" s="1221"/>
      <c r="DFG32" s="1221"/>
      <c r="DFH32" s="1221"/>
      <c r="DFI32" s="1221"/>
      <c r="DFJ32" s="1221"/>
      <c r="DFK32" s="1221"/>
      <c r="DFL32" s="1221"/>
      <c r="DFM32" s="1221"/>
      <c r="DFN32" s="1221"/>
      <c r="DFO32" s="1221"/>
      <c r="DFP32" s="1221"/>
      <c r="DFQ32" s="1221"/>
      <c r="DFR32" s="1221"/>
      <c r="DFS32" s="1221"/>
      <c r="DFT32" s="1221"/>
      <c r="DFU32" s="1221"/>
      <c r="DFV32" s="1221"/>
      <c r="DFW32" s="1221"/>
      <c r="DFX32" s="1221"/>
      <c r="DFY32" s="1221"/>
      <c r="DFZ32" s="1221"/>
      <c r="DGA32" s="1221"/>
      <c r="DGB32" s="1221"/>
      <c r="DGC32" s="1221"/>
      <c r="DGD32" s="1221"/>
      <c r="DGE32" s="1221"/>
      <c r="DGF32" s="1221"/>
      <c r="DGG32" s="1221"/>
      <c r="DGH32" s="1221"/>
      <c r="DGI32" s="1221"/>
      <c r="DGJ32" s="1221"/>
      <c r="DGK32" s="1221"/>
      <c r="DGL32" s="1221"/>
      <c r="DGM32" s="1221"/>
      <c r="DGN32" s="1221"/>
      <c r="DGO32" s="1221"/>
      <c r="DGP32" s="1221"/>
      <c r="DGQ32" s="1221"/>
      <c r="DGR32" s="1221"/>
      <c r="DGS32" s="1221"/>
      <c r="DGT32" s="1221"/>
      <c r="DGU32" s="1221"/>
      <c r="DGV32" s="1221"/>
      <c r="DGW32" s="1221"/>
      <c r="DGX32" s="1221"/>
      <c r="DGY32" s="1221"/>
      <c r="DGZ32" s="1221"/>
      <c r="DHA32" s="1221"/>
      <c r="DHB32" s="1221"/>
      <c r="DHC32" s="1221"/>
      <c r="DHD32" s="1221"/>
      <c r="DHE32" s="1221"/>
      <c r="DHF32" s="1221"/>
      <c r="DHG32" s="1221"/>
      <c r="DHH32" s="1221"/>
      <c r="DHI32" s="1221"/>
      <c r="DHJ32" s="1221"/>
      <c r="DHK32" s="1221"/>
      <c r="DHL32" s="1221"/>
      <c r="DHM32" s="1221"/>
      <c r="DHN32" s="1221"/>
      <c r="DHO32" s="1221"/>
      <c r="DHP32" s="1221"/>
      <c r="DHQ32" s="1221"/>
      <c r="DHR32" s="1221"/>
      <c r="DHS32" s="1221"/>
      <c r="DHT32" s="1221"/>
      <c r="DHU32" s="1221"/>
      <c r="DHV32" s="1221"/>
      <c r="DHW32" s="1221"/>
      <c r="DHX32" s="1221"/>
      <c r="DHY32" s="1221"/>
      <c r="DHZ32" s="1221"/>
      <c r="DIA32" s="1221"/>
      <c r="DIB32" s="1221"/>
      <c r="DIC32" s="1221"/>
      <c r="DID32" s="1221"/>
      <c r="DIE32" s="1221"/>
      <c r="DIF32" s="1221"/>
      <c r="DIG32" s="1221"/>
      <c r="DIH32" s="1221"/>
      <c r="DII32" s="1221"/>
      <c r="DIJ32" s="1221"/>
      <c r="DIK32" s="1221"/>
      <c r="DIL32" s="1221"/>
      <c r="DIM32" s="1221"/>
      <c r="DIN32" s="1221"/>
      <c r="DIO32" s="1221"/>
      <c r="DIP32" s="1221"/>
      <c r="DIQ32" s="1221"/>
      <c r="DIR32" s="1221"/>
      <c r="DIS32" s="1221"/>
      <c r="DIT32" s="1221"/>
      <c r="DIU32" s="1221"/>
      <c r="DIV32" s="1221"/>
      <c r="DIW32" s="1221"/>
      <c r="DIX32" s="1221"/>
      <c r="DIY32" s="1221"/>
      <c r="DIZ32" s="1221"/>
      <c r="DJA32" s="1221"/>
      <c r="DJB32" s="1221"/>
      <c r="DJC32" s="1221"/>
      <c r="DJD32" s="1221"/>
      <c r="DJE32" s="1221"/>
      <c r="DJF32" s="1221"/>
      <c r="DJG32" s="1221"/>
      <c r="DJH32" s="1221"/>
      <c r="DJI32" s="1221"/>
      <c r="DJJ32" s="1221"/>
      <c r="DJK32" s="1221"/>
      <c r="DJL32" s="1221"/>
      <c r="DJM32" s="1221"/>
      <c r="DJN32" s="1221"/>
      <c r="DJO32" s="1221"/>
      <c r="DJP32" s="1221"/>
      <c r="DJQ32" s="1221"/>
      <c r="DJR32" s="1221"/>
      <c r="DJS32" s="1221"/>
      <c r="DJT32" s="1221"/>
      <c r="DJU32" s="1221"/>
      <c r="DJV32" s="1221"/>
      <c r="DJW32" s="1221"/>
      <c r="DJX32" s="1221"/>
      <c r="DJY32" s="1221"/>
      <c r="DJZ32" s="1221"/>
      <c r="DKA32" s="1221"/>
      <c r="DKB32" s="1221"/>
      <c r="DKC32" s="1221"/>
      <c r="DKD32" s="1221"/>
      <c r="DKE32" s="1221"/>
      <c r="DKF32" s="1221"/>
      <c r="DKG32" s="1221"/>
      <c r="DKH32" s="1221"/>
      <c r="DKI32" s="1221"/>
      <c r="DKJ32" s="1221"/>
      <c r="DKK32" s="1221"/>
      <c r="DKL32" s="1221"/>
      <c r="DKM32" s="1221"/>
      <c r="DKN32" s="1221"/>
      <c r="DKO32" s="1221"/>
      <c r="DKP32" s="1221"/>
      <c r="DKQ32" s="1221"/>
      <c r="DKR32" s="1221"/>
      <c r="DKS32" s="1221"/>
      <c r="DKT32" s="1221"/>
      <c r="DKU32" s="1221"/>
      <c r="DKV32" s="1221"/>
      <c r="DKW32" s="1221"/>
      <c r="DKX32" s="1221"/>
      <c r="DKY32" s="1221"/>
      <c r="DKZ32" s="1221"/>
      <c r="DLA32" s="1221"/>
      <c r="DLB32" s="1221"/>
      <c r="DLC32" s="1221"/>
      <c r="DLD32" s="1221"/>
      <c r="DLE32" s="1221"/>
      <c r="DLF32" s="1221"/>
      <c r="DLG32" s="1221"/>
      <c r="DLH32" s="1221"/>
      <c r="DLI32" s="1221"/>
      <c r="DLJ32" s="1221"/>
      <c r="DLK32" s="1221"/>
      <c r="DLL32" s="1221"/>
      <c r="DLM32" s="1221"/>
      <c r="DLN32" s="1221"/>
      <c r="DLO32" s="1221"/>
      <c r="DLP32" s="1221"/>
      <c r="DLQ32" s="1221"/>
      <c r="DLR32" s="1221"/>
      <c r="DLS32" s="1221"/>
      <c r="DLT32" s="1221"/>
      <c r="DLU32" s="1221"/>
      <c r="DLV32" s="1221"/>
      <c r="DLW32" s="1221"/>
      <c r="DLX32" s="1221"/>
      <c r="DLY32" s="1221"/>
      <c r="DLZ32" s="1221"/>
      <c r="DMA32" s="1221"/>
      <c r="DMB32" s="1221"/>
      <c r="DMC32" s="1221"/>
      <c r="DMD32" s="1221"/>
      <c r="DME32" s="1221"/>
      <c r="DMF32" s="1221"/>
      <c r="DMG32" s="1221"/>
      <c r="DMH32" s="1221"/>
      <c r="DMI32" s="1221"/>
      <c r="DMJ32" s="1221"/>
      <c r="DMK32" s="1221"/>
      <c r="DML32" s="1221"/>
      <c r="DMM32" s="1221"/>
      <c r="DMN32" s="1221"/>
      <c r="DMO32" s="1221"/>
      <c r="DMP32" s="1221"/>
      <c r="DMQ32" s="1221"/>
      <c r="DMR32" s="1221"/>
      <c r="DMS32" s="1221"/>
      <c r="DMT32" s="1221"/>
      <c r="DMU32" s="1221"/>
      <c r="DMV32" s="1221"/>
      <c r="DMW32" s="1221"/>
      <c r="DMX32" s="1221"/>
      <c r="DMY32" s="1221"/>
      <c r="DMZ32" s="1221"/>
      <c r="DNA32" s="1221"/>
      <c r="DNB32" s="1221"/>
      <c r="DNC32" s="1221"/>
      <c r="DND32" s="1221"/>
      <c r="DNE32" s="1221"/>
      <c r="DNF32" s="1221"/>
      <c r="DNG32" s="1221"/>
      <c r="DNH32" s="1221"/>
      <c r="DNI32" s="1221"/>
      <c r="DNJ32" s="1221"/>
      <c r="DNK32" s="1221"/>
      <c r="DNL32" s="1221"/>
      <c r="DNM32" s="1221"/>
      <c r="DNN32" s="1221"/>
      <c r="DNO32" s="1221"/>
      <c r="DNP32" s="1221"/>
      <c r="DNQ32" s="1221"/>
      <c r="DNR32" s="1221"/>
      <c r="DNS32" s="1221"/>
      <c r="DNT32" s="1221"/>
      <c r="DNU32" s="1221"/>
      <c r="DNV32" s="1221"/>
      <c r="DNW32" s="1221"/>
      <c r="DNX32" s="1221"/>
      <c r="DNY32" s="1221"/>
      <c r="DNZ32" s="1221"/>
      <c r="DOA32" s="1221"/>
      <c r="DOB32" s="1221"/>
      <c r="DOC32" s="1221"/>
      <c r="DOD32" s="1221"/>
      <c r="DOE32" s="1221"/>
      <c r="DOF32" s="1221"/>
      <c r="DOG32" s="1221"/>
      <c r="DOH32" s="1221"/>
      <c r="DOI32" s="1221"/>
      <c r="DOJ32" s="1221"/>
      <c r="DOK32" s="1221"/>
      <c r="DOL32" s="1221"/>
      <c r="DOM32" s="1221"/>
      <c r="DON32" s="1221"/>
      <c r="DOO32" s="1221"/>
      <c r="DOP32" s="1221"/>
      <c r="DOQ32" s="1221"/>
      <c r="DOR32" s="1221"/>
      <c r="DOS32" s="1221"/>
      <c r="DOT32" s="1221"/>
      <c r="DOU32" s="1221"/>
      <c r="DOV32" s="1221"/>
      <c r="DOW32" s="1221"/>
      <c r="DOX32" s="1221"/>
      <c r="DOY32" s="1221"/>
      <c r="DOZ32" s="1221"/>
      <c r="DPA32" s="1221"/>
      <c r="DPB32" s="1221"/>
      <c r="DPC32" s="1221"/>
      <c r="DPD32" s="1221"/>
      <c r="DPE32" s="1221"/>
      <c r="DPF32" s="1221"/>
      <c r="DPG32" s="1221"/>
      <c r="DPH32" s="1221"/>
      <c r="DPI32" s="1221"/>
      <c r="DPJ32" s="1221"/>
      <c r="DPK32" s="1221"/>
      <c r="DPL32" s="1221"/>
      <c r="DPM32" s="1221"/>
      <c r="DPN32" s="1221"/>
      <c r="DPO32" s="1221"/>
      <c r="DPP32" s="1221"/>
      <c r="DPQ32" s="1221"/>
      <c r="DPR32" s="1221"/>
      <c r="DPS32" s="1221"/>
      <c r="DPT32" s="1221"/>
      <c r="DPU32" s="1221"/>
      <c r="DPV32" s="1221"/>
      <c r="DPW32" s="1221"/>
      <c r="DPX32" s="1221"/>
      <c r="DPY32" s="1221"/>
      <c r="DPZ32" s="1221"/>
      <c r="DQA32" s="1221"/>
      <c r="DQB32" s="1221"/>
      <c r="DQC32" s="1221"/>
      <c r="DQD32" s="1221"/>
      <c r="DQE32" s="1221"/>
      <c r="DQF32" s="1221"/>
      <c r="DQG32" s="1221"/>
      <c r="DQH32" s="1221"/>
      <c r="DQI32" s="1221"/>
      <c r="DQJ32" s="1221"/>
      <c r="DQK32" s="1221"/>
      <c r="DQL32" s="1221"/>
      <c r="DQM32" s="1221"/>
      <c r="DQN32" s="1221"/>
      <c r="DQO32" s="1221"/>
      <c r="DQP32" s="1221"/>
      <c r="DQQ32" s="1221"/>
      <c r="DQR32" s="1221"/>
      <c r="DQS32" s="1221"/>
      <c r="DQT32" s="1221"/>
      <c r="DQU32" s="1221"/>
      <c r="DQV32" s="1221"/>
      <c r="DQW32" s="1221"/>
      <c r="DQX32" s="1221"/>
      <c r="DQY32" s="1221"/>
      <c r="DQZ32" s="1221"/>
      <c r="DRA32" s="1221"/>
      <c r="DRB32" s="1221"/>
      <c r="DRC32" s="1221"/>
      <c r="DRD32" s="1221"/>
      <c r="DRE32" s="1221"/>
      <c r="DRF32" s="1221"/>
      <c r="DRG32" s="1221"/>
      <c r="DRH32" s="1221"/>
      <c r="DRI32" s="1221"/>
      <c r="DRJ32" s="1221"/>
      <c r="DRK32" s="1221"/>
      <c r="DRL32" s="1221"/>
      <c r="DRM32" s="1221"/>
      <c r="DRN32" s="1221"/>
      <c r="DRO32" s="1221"/>
      <c r="DRP32" s="1221"/>
      <c r="DRQ32" s="1221"/>
      <c r="DRR32" s="1221"/>
      <c r="DRS32" s="1221"/>
      <c r="DRT32" s="1221"/>
      <c r="DRU32" s="1221"/>
      <c r="DRV32" s="1221"/>
      <c r="DRW32" s="1221"/>
      <c r="DRX32" s="1221"/>
      <c r="DRY32" s="1221"/>
      <c r="DRZ32" s="1221"/>
      <c r="DSA32" s="1221"/>
      <c r="DSB32" s="1221"/>
      <c r="DSC32" s="1221"/>
      <c r="DSD32" s="1221"/>
      <c r="DSE32" s="1221"/>
      <c r="DSF32" s="1221"/>
      <c r="DSG32" s="1221"/>
      <c r="DSH32" s="1221"/>
      <c r="DSI32" s="1221"/>
      <c r="DSJ32" s="1221"/>
      <c r="DSK32" s="1221"/>
      <c r="DSL32" s="1221"/>
      <c r="DSM32" s="1221"/>
      <c r="DSN32" s="1221"/>
      <c r="DSO32" s="1221"/>
      <c r="DSP32" s="1221"/>
      <c r="DSQ32" s="1221"/>
      <c r="DSR32" s="1221"/>
      <c r="DSS32" s="1221"/>
      <c r="DST32" s="1221"/>
      <c r="DSU32" s="1221"/>
      <c r="DSV32" s="1221"/>
      <c r="DSW32" s="1221"/>
      <c r="DSX32" s="1221"/>
      <c r="DSY32" s="1221"/>
      <c r="DSZ32" s="1221"/>
      <c r="DTA32" s="1221"/>
      <c r="DTB32" s="1221"/>
      <c r="DTC32" s="1221"/>
      <c r="DTD32" s="1221"/>
      <c r="DTE32" s="1221"/>
      <c r="DTF32" s="1221"/>
      <c r="DTG32" s="1221"/>
      <c r="DTH32" s="1221"/>
      <c r="DTI32" s="1221"/>
      <c r="DTJ32" s="1221"/>
      <c r="DTK32" s="1221"/>
      <c r="DTL32" s="1221"/>
      <c r="DTM32" s="1221"/>
      <c r="DTN32" s="1221"/>
      <c r="DTO32" s="1221"/>
      <c r="DTP32" s="1221"/>
      <c r="DTQ32" s="1221"/>
      <c r="DTR32" s="1221"/>
      <c r="DTS32" s="1221"/>
      <c r="DTT32" s="1221"/>
      <c r="DTU32" s="1221"/>
      <c r="DTV32" s="1221"/>
      <c r="DTW32" s="1221"/>
      <c r="DTX32" s="1221"/>
      <c r="DTY32" s="1221"/>
      <c r="DTZ32" s="1221"/>
      <c r="DUA32" s="1221"/>
      <c r="DUB32" s="1221"/>
      <c r="DUC32" s="1221"/>
      <c r="DUD32" s="1221"/>
      <c r="DUE32" s="1221"/>
      <c r="DUF32" s="1221"/>
      <c r="DUG32" s="1221"/>
      <c r="DUH32" s="1221"/>
      <c r="DUI32" s="1221"/>
      <c r="DUJ32" s="1221"/>
      <c r="DUK32" s="1221"/>
      <c r="DUL32" s="1221"/>
      <c r="DUM32" s="1221"/>
      <c r="DUN32" s="1221"/>
      <c r="DUO32" s="1221"/>
      <c r="DUP32" s="1221"/>
      <c r="DUQ32" s="1221"/>
      <c r="DUR32" s="1221"/>
      <c r="DUS32" s="1221"/>
      <c r="DUT32" s="1221"/>
      <c r="DUU32" s="1221"/>
      <c r="DUV32" s="1221"/>
      <c r="DUW32" s="1221"/>
      <c r="DUX32" s="1221"/>
      <c r="DUY32" s="1221"/>
      <c r="DUZ32" s="1221"/>
      <c r="DVA32" s="1221"/>
      <c r="DVB32" s="1221"/>
      <c r="DVC32" s="1221"/>
      <c r="DVD32" s="1221"/>
      <c r="DVE32" s="1221"/>
      <c r="DVF32" s="1221"/>
      <c r="DVG32" s="1221"/>
      <c r="DVH32" s="1221"/>
      <c r="DVI32" s="1221"/>
      <c r="DVJ32" s="1221"/>
      <c r="DVK32" s="1221"/>
      <c r="DVL32" s="1221"/>
      <c r="DVM32" s="1221"/>
      <c r="DVN32" s="1221"/>
      <c r="DVO32" s="1221"/>
      <c r="DVP32" s="1221"/>
      <c r="DVQ32" s="1221"/>
      <c r="DVR32" s="1221"/>
      <c r="DVS32" s="1221"/>
      <c r="DVT32" s="1221"/>
      <c r="DVU32" s="1221"/>
      <c r="DVV32" s="1221"/>
      <c r="DVW32" s="1221"/>
      <c r="DVX32" s="1221"/>
      <c r="DVY32" s="1221"/>
      <c r="DVZ32" s="1221"/>
      <c r="DWA32" s="1221"/>
      <c r="DWB32" s="1221"/>
      <c r="DWC32" s="1221"/>
      <c r="DWD32" s="1221"/>
      <c r="DWE32" s="1221"/>
      <c r="DWF32" s="1221"/>
      <c r="DWG32" s="1221"/>
      <c r="DWH32" s="1221"/>
      <c r="DWI32" s="1221"/>
      <c r="DWJ32" s="1221"/>
      <c r="DWK32" s="1221"/>
      <c r="DWL32" s="1221"/>
      <c r="DWM32" s="1221"/>
      <c r="DWN32" s="1221"/>
      <c r="DWO32" s="1221"/>
      <c r="DWP32" s="1221"/>
      <c r="DWQ32" s="1221"/>
      <c r="DWR32" s="1221"/>
      <c r="DWS32" s="1221"/>
      <c r="DWT32" s="1221"/>
      <c r="DWU32" s="1221"/>
      <c r="DWV32" s="1221"/>
      <c r="DWW32" s="1221"/>
      <c r="DWX32" s="1221"/>
      <c r="DWY32" s="1221"/>
      <c r="DWZ32" s="1221"/>
      <c r="DXA32" s="1221"/>
      <c r="DXB32" s="1221"/>
      <c r="DXC32" s="1221"/>
      <c r="DXD32" s="1221"/>
      <c r="DXE32" s="1221"/>
      <c r="DXF32" s="1221"/>
      <c r="DXG32" s="1221"/>
      <c r="DXH32" s="1221"/>
      <c r="DXI32" s="1221"/>
      <c r="DXJ32" s="1221"/>
      <c r="DXK32" s="1221"/>
      <c r="DXL32" s="1221"/>
      <c r="DXM32" s="1221"/>
      <c r="DXN32" s="1221"/>
      <c r="DXO32" s="1221"/>
      <c r="DXP32" s="1221"/>
      <c r="DXQ32" s="1221"/>
      <c r="DXR32" s="1221"/>
      <c r="DXS32" s="1221"/>
      <c r="DXT32" s="1221"/>
      <c r="DXU32" s="1221"/>
      <c r="DXV32" s="1221"/>
      <c r="DXW32" s="1221"/>
      <c r="DXX32" s="1221"/>
      <c r="DXY32" s="1221"/>
      <c r="DXZ32" s="1221"/>
      <c r="DYA32" s="1221"/>
      <c r="DYB32" s="1221"/>
      <c r="DYC32" s="1221"/>
      <c r="DYD32" s="1221"/>
      <c r="DYE32" s="1221"/>
      <c r="DYF32" s="1221"/>
      <c r="DYG32" s="1221"/>
      <c r="DYH32" s="1221"/>
      <c r="DYI32" s="1221"/>
      <c r="DYJ32" s="1221"/>
      <c r="DYK32" s="1221"/>
      <c r="DYL32" s="1221"/>
      <c r="DYM32" s="1221"/>
      <c r="DYN32" s="1221"/>
      <c r="DYO32" s="1221"/>
      <c r="DYP32" s="1221"/>
      <c r="DYQ32" s="1221"/>
      <c r="DYR32" s="1221"/>
      <c r="DYS32" s="1221"/>
      <c r="DYT32" s="1221"/>
      <c r="DYU32" s="1221"/>
      <c r="DYV32" s="1221"/>
      <c r="DYW32" s="1221"/>
      <c r="DYX32" s="1221"/>
      <c r="DYY32" s="1221"/>
      <c r="DYZ32" s="1221"/>
      <c r="DZA32" s="1221"/>
      <c r="DZB32" s="1221"/>
      <c r="DZC32" s="1221"/>
      <c r="DZD32" s="1221"/>
      <c r="DZE32" s="1221"/>
      <c r="DZF32" s="1221"/>
      <c r="DZG32" s="1221"/>
      <c r="DZH32" s="1221"/>
      <c r="DZI32" s="1221"/>
      <c r="DZJ32" s="1221"/>
      <c r="DZK32" s="1221"/>
      <c r="DZL32" s="1221"/>
      <c r="DZM32" s="1221"/>
      <c r="DZN32" s="1221"/>
      <c r="DZO32" s="1221"/>
      <c r="DZP32" s="1221"/>
      <c r="DZQ32" s="1221"/>
      <c r="DZR32" s="1221"/>
      <c r="DZS32" s="1221"/>
      <c r="DZT32" s="1221"/>
      <c r="DZU32" s="1221"/>
      <c r="DZV32" s="1221"/>
      <c r="DZW32" s="1221"/>
      <c r="DZX32" s="1221"/>
      <c r="DZY32" s="1221"/>
      <c r="DZZ32" s="1221"/>
      <c r="EAA32" s="1221"/>
      <c r="EAB32" s="1221"/>
      <c r="EAC32" s="1221"/>
      <c r="EAD32" s="1221"/>
      <c r="EAE32" s="1221"/>
      <c r="EAF32" s="1221"/>
      <c r="EAG32" s="1221"/>
      <c r="EAH32" s="1221"/>
      <c r="EAI32" s="1221"/>
      <c r="EAJ32" s="1221"/>
      <c r="EAK32" s="1221"/>
      <c r="EAL32" s="1221"/>
      <c r="EAM32" s="1221"/>
      <c r="EAN32" s="1221"/>
      <c r="EAO32" s="1221"/>
      <c r="EAP32" s="1221"/>
      <c r="EAQ32" s="1221"/>
      <c r="EAR32" s="1221"/>
      <c r="EAS32" s="1221"/>
      <c r="EAT32" s="1221"/>
      <c r="EAU32" s="1221"/>
      <c r="EAV32" s="1221"/>
      <c r="EAW32" s="1221"/>
      <c r="EAX32" s="1221"/>
      <c r="EAY32" s="1221"/>
      <c r="EAZ32" s="1221"/>
      <c r="EBA32" s="1221"/>
      <c r="EBB32" s="1221"/>
      <c r="EBC32" s="1221"/>
      <c r="EBD32" s="1221"/>
      <c r="EBE32" s="1221"/>
      <c r="EBF32" s="1221"/>
      <c r="EBG32" s="1221"/>
      <c r="EBH32" s="1221"/>
      <c r="EBI32" s="1221"/>
      <c r="EBJ32" s="1221"/>
      <c r="EBK32" s="1221"/>
      <c r="EBL32" s="1221"/>
      <c r="EBM32" s="1221"/>
      <c r="EBN32" s="1221"/>
      <c r="EBO32" s="1221"/>
      <c r="EBP32" s="1221"/>
      <c r="EBQ32" s="1221"/>
      <c r="EBR32" s="1221"/>
      <c r="EBS32" s="1221"/>
      <c r="EBT32" s="1221"/>
      <c r="EBU32" s="1221"/>
      <c r="EBV32" s="1221"/>
      <c r="EBW32" s="1221"/>
      <c r="EBX32" s="1221"/>
      <c r="EBY32" s="1221"/>
      <c r="EBZ32" s="1221"/>
      <c r="ECA32" s="1221"/>
      <c r="ECB32" s="1221"/>
      <c r="ECC32" s="1221"/>
      <c r="ECD32" s="1221"/>
      <c r="ECE32" s="1221"/>
      <c r="ECF32" s="1221"/>
      <c r="ECG32" s="1221"/>
      <c r="ECH32" s="1221"/>
      <c r="ECI32" s="1221"/>
      <c r="ECJ32" s="1221"/>
      <c r="ECK32" s="1221"/>
      <c r="ECL32" s="1221"/>
      <c r="ECM32" s="1221"/>
      <c r="ECN32" s="1221"/>
      <c r="ECO32" s="1221"/>
    </row>
    <row r="33" spans="2:3473" s="1248" customFormat="1" ht="13" outlineLevel="1">
      <c r="B33" s="1249" t="s">
        <v>505</v>
      </c>
      <c r="C33" s="1250">
        <v>2</v>
      </c>
      <c r="D33" s="1251" t="s">
        <v>506</v>
      </c>
      <c r="E33" s="1252">
        <f t="shared" si="47"/>
        <v>0</v>
      </c>
      <c r="F33" s="1252">
        <f t="shared" si="47"/>
        <v>0</v>
      </c>
      <c r="G33" s="1252">
        <f t="shared" si="47"/>
        <v>0</v>
      </c>
      <c r="H33" s="1252">
        <f t="shared" si="47"/>
        <v>29.422896614145419</v>
      </c>
      <c r="I33" s="1252">
        <f t="shared" si="47"/>
        <v>26.993483279041207</v>
      </c>
      <c r="J33" s="1252">
        <f t="shared" si="47"/>
        <v>2.4294133351042095</v>
      </c>
      <c r="K33" s="1252">
        <f t="shared" si="47"/>
        <v>0</v>
      </c>
      <c r="L33" s="1252">
        <f t="shared" si="47"/>
        <v>0</v>
      </c>
      <c r="M33" s="1252">
        <f t="shared" si="47"/>
        <v>0</v>
      </c>
      <c r="N33" s="1252" t="str">
        <f t="shared" si="47"/>
        <v/>
      </c>
      <c r="O33" s="1252" t="str">
        <f t="shared" si="47"/>
        <v/>
      </c>
      <c r="P33" s="1252" t="str">
        <f t="shared" si="47"/>
        <v/>
      </c>
      <c r="Q33" s="1252">
        <f t="shared" si="47"/>
        <v>47.136981266450078</v>
      </c>
      <c r="R33" s="1252">
        <f t="shared" si="47"/>
        <v>43.244937176874728</v>
      </c>
      <c r="S33" s="1252">
        <f t="shared" si="8"/>
        <v>3.8920440895753465</v>
      </c>
      <c r="T33" s="1252">
        <f t="shared" si="5"/>
        <v>90.783235163719894</v>
      </c>
      <c r="U33" s="1252">
        <f t="shared" si="5"/>
        <v>83.287372162773536</v>
      </c>
      <c r="V33" s="1252">
        <f t="shared" si="9"/>
        <v>7.4958630009463576</v>
      </c>
      <c r="W33" s="1253" t="str">
        <f t="shared" si="10"/>
        <v/>
      </c>
      <c r="X33" s="1252" t="str">
        <f t="shared" si="10"/>
        <v/>
      </c>
      <c r="Y33" s="1252" t="str">
        <f t="shared" si="10"/>
        <v/>
      </c>
      <c r="Z33" s="1252">
        <f t="shared" si="11"/>
        <v>30.249380998577983</v>
      </c>
      <c r="AA33" s="1252">
        <f t="shared" si="11"/>
        <v>27.751725837690017</v>
      </c>
      <c r="AB33" s="1252">
        <f t="shared" si="11"/>
        <v>2.497655160887962</v>
      </c>
      <c r="AC33" s="1252">
        <f t="shared" si="15"/>
        <v>40.188062230833687</v>
      </c>
      <c r="AD33" s="1260">
        <f t="shared" si="15"/>
        <v>36.869782063657802</v>
      </c>
      <c r="AE33" s="1260">
        <f t="shared" si="15"/>
        <v>3.3182801671758835</v>
      </c>
      <c r="AF33" s="1254"/>
      <c r="AG33" s="1255"/>
      <c r="AH33" s="1255"/>
      <c r="AI33" s="1256">
        <f t="shared" si="41"/>
        <v>127.03026672742834</v>
      </c>
      <c r="AJ33" s="1261">
        <f>IF($BB33=0,0,$BB33*AJ$7/($BB$7-$AG$7))</f>
        <v>116.5415297415161</v>
      </c>
      <c r="AK33" s="1261">
        <f>IF($BC33=0,0,$BC33*AK$7/($BC$7-$AH$7))</f>
        <v>10.488736985912238</v>
      </c>
      <c r="AL33" s="1256">
        <f t="shared" si="20"/>
        <v>0</v>
      </c>
      <c r="AM33" s="1261">
        <f>IF($BB33=0,0,$BB33*AM$7/($BB$7-$AG$7))</f>
        <v>0</v>
      </c>
      <c r="AN33" s="1261">
        <f>IF($BC33=0,0,$BC33*AN$7/($BC$7-$AH$7))</f>
        <v>0</v>
      </c>
      <c r="AO33" s="1256">
        <f t="shared" si="21"/>
        <v>0</v>
      </c>
      <c r="AP33" s="1261">
        <f>IF($BB33=0,0,$BB33*AP$7/($BB$7-$AG$7))</f>
        <v>0</v>
      </c>
      <c r="AQ33" s="1261">
        <f>IF($BC33=0,0,$BC33*AQ$7/($BC$7-$AH$7))</f>
        <v>0</v>
      </c>
      <c r="AR33" s="1256">
        <f>AS33+AT33</f>
        <v>278.93016415137981</v>
      </c>
      <c r="AS33" s="1261">
        <f>IF($BB33=0,0,$BB33*AS$7/($BB$7-$AG$7))</f>
        <v>255.89923455805123</v>
      </c>
      <c r="AT33" s="1261">
        <f>IF($BC33=0,0,$BC33*AT$7/($BC$7-$AH$7))</f>
        <v>23.030929593328558</v>
      </c>
      <c r="AU33" s="1256">
        <f>AV33+AW33</f>
        <v>9.6133091211917918</v>
      </c>
      <c r="AV33" s="1261">
        <f>IF($BB33=0,0,$BB33*AV$7/($BB$7-$AG$7))</f>
        <v>8.8195497004325798</v>
      </c>
      <c r="AW33" s="1261">
        <f>IF($BC33=0,0,$BC33*AW$7/($BC$7-$AH$7))</f>
        <v>0.79375942075921269</v>
      </c>
      <c r="AX33" s="1256"/>
      <c r="AY33" s="1256"/>
      <c r="AZ33" s="1261"/>
      <c r="BA33" s="1257">
        <f>BB33+BC33</f>
        <v>415.57373999999993</v>
      </c>
      <c r="BB33" s="1257">
        <f t="shared" si="55"/>
        <v>381.26031399999994</v>
      </c>
      <c r="BC33" s="1257">
        <f t="shared" si="55"/>
        <v>34.313426000000007</v>
      </c>
      <c r="BD33" s="1261">
        <f t="shared" si="56"/>
        <v>0</v>
      </c>
      <c r="BE33" s="1261">
        <v>0</v>
      </c>
      <c r="BF33" s="1261">
        <v>0</v>
      </c>
      <c r="BG33" s="1256">
        <f t="shared" ref="BG33:BG34" si="57">+BH33+BI33</f>
        <v>0</v>
      </c>
      <c r="BH33" s="1257">
        <f t="shared" ref="BH33:BI34" si="58">+BE33</f>
        <v>0</v>
      </c>
      <c r="BI33" s="1257">
        <f t="shared" si="58"/>
        <v>0</v>
      </c>
      <c r="BJ33" s="1256">
        <f>BK33+BL33</f>
        <v>415.57373999999993</v>
      </c>
      <c r="BK33" s="1256">
        <f>VLOOKUP($D33,'当期公摊测算表（全期）'!$D$9:$W$192,20,0)</f>
        <v>381.26031399999994</v>
      </c>
      <c r="BL33" s="1256">
        <f>VLOOKUP($D33,'当期公摊测算表（全期）'!$D$9:$W$192,19,0)</f>
        <v>34.313426000000007</v>
      </c>
      <c r="BM33" s="1262" t="s">
        <v>431</v>
      </c>
      <c r="BN33" s="1225">
        <f t="shared" si="12"/>
        <v>0</v>
      </c>
      <c r="BO33" s="1225">
        <f t="shared" si="13"/>
        <v>0</v>
      </c>
      <c r="BP33" s="1225">
        <f t="shared" si="14"/>
        <v>0</v>
      </c>
      <c r="BQ33" s="1225"/>
      <c r="BR33" s="1221"/>
      <c r="BS33" s="1221"/>
      <c r="BT33" s="1221"/>
      <c r="BU33" s="1221"/>
      <c r="BV33" s="1221"/>
      <c r="BW33" s="1221"/>
      <c r="BX33" s="1221"/>
      <c r="BY33" s="1221"/>
      <c r="BZ33" s="1221"/>
      <c r="CA33" s="1221"/>
      <c r="CB33" s="1221"/>
      <c r="CC33" s="1221"/>
      <c r="CD33" s="1221"/>
      <c r="CE33" s="1221"/>
      <c r="CF33" s="1221"/>
      <c r="CG33" s="1221"/>
      <c r="CH33" s="1221"/>
      <c r="CI33" s="1221"/>
      <c r="CJ33" s="1221"/>
      <c r="CK33" s="1221"/>
      <c r="CL33" s="1221"/>
      <c r="CM33" s="1221"/>
      <c r="CN33" s="1221"/>
      <c r="CO33" s="1221"/>
      <c r="CP33" s="1221"/>
      <c r="CQ33" s="1221"/>
      <c r="CR33" s="1221"/>
      <c r="CS33" s="1221"/>
      <c r="CT33" s="1221"/>
      <c r="CU33" s="1221"/>
      <c r="CV33" s="1221"/>
      <c r="CW33" s="1221"/>
      <c r="CX33" s="1221"/>
      <c r="CY33" s="1221"/>
      <c r="CZ33" s="1221"/>
      <c r="DA33" s="1221"/>
      <c r="DB33" s="1221"/>
      <c r="DC33" s="1221"/>
      <c r="DD33" s="1221"/>
      <c r="DE33" s="1221"/>
      <c r="DF33" s="1221"/>
      <c r="DG33" s="1221"/>
      <c r="DH33" s="1221"/>
      <c r="DI33" s="1221"/>
      <c r="DJ33" s="1221"/>
      <c r="DK33" s="1221"/>
      <c r="DL33" s="1221"/>
      <c r="DM33" s="1221"/>
      <c r="DN33" s="1221"/>
      <c r="DO33" s="1221"/>
      <c r="DP33" s="1221"/>
      <c r="DQ33" s="1221"/>
      <c r="DR33" s="1221"/>
      <c r="DS33" s="1221"/>
      <c r="DT33" s="1221"/>
      <c r="DU33" s="1221"/>
      <c r="DV33" s="1221"/>
      <c r="DW33" s="1221"/>
      <c r="DX33" s="1221"/>
      <c r="DY33" s="1221"/>
      <c r="DZ33" s="1221"/>
      <c r="EA33" s="1221"/>
      <c r="EB33" s="1221"/>
      <c r="EC33" s="1221"/>
      <c r="ED33" s="1221"/>
      <c r="EE33" s="1221"/>
      <c r="EF33" s="1221"/>
      <c r="EG33" s="1221"/>
      <c r="EH33" s="1221"/>
      <c r="EI33" s="1221"/>
      <c r="EJ33" s="1221"/>
      <c r="EK33" s="1221"/>
      <c r="EL33" s="1221"/>
      <c r="EM33" s="1221"/>
      <c r="EN33" s="1221"/>
      <c r="EO33" s="1221"/>
      <c r="EP33" s="1221"/>
      <c r="EQ33" s="1221"/>
      <c r="ER33" s="1221"/>
      <c r="ES33" s="1221"/>
      <c r="ET33" s="1221"/>
      <c r="EU33" s="1221"/>
      <c r="EV33" s="1221"/>
      <c r="EW33" s="1221"/>
      <c r="EX33" s="1221"/>
      <c r="EY33" s="1221"/>
      <c r="EZ33" s="1221"/>
      <c r="FA33" s="1221"/>
      <c r="FB33" s="1221"/>
      <c r="FC33" s="1221"/>
      <c r="FD33" s="1221"/>
      <c r="FE33" s="1221"/>
      <c r="FF33" s="1221"/>
      <c r="FG33" s="1221"/>
      <c r="FH33" s="1221"/>
      <c r="FI33" s="1221"/>
      <c r="FJ33" s="1221"/>
      <c r="FK33" s="1221"/>
      <c r="FL33" s="1221"/>
      <c r="FM33" s="1221"/>
      <c r="FN33" s="1221"/>
      <c r="FO33" s="1221"/>
      <c r="FP33" s="1221"/>
      <c r="FQ33" s="1221"/>
      <c r="FR33" s="1221"/>
      <c r="FS33" s="1221"/>
      <c r="FT33" s="1221"/>
      <c r="FU33" s="1221"/>
      <c r="FV33" s="1221"/>
      <c r="FW33" s="1221"/>
      <c r="FX33" s="1221"/>
      <c r="FY33" s="1221"/>
      <c r="FZ33" s="1221"/>
      <c r="GA33" s="1221"/>
      <c r="GB33" s="1221"/>
      <c r="GC33" s="1221"/>
      <c r="GD33" s="1221"/>
      <c r="GE33" s="1221"/>
      <c r="GF33" s="1221"/>
      <c r="GG33" s="1221"/>
      <c r="GH33" s="1221"/>
      <c r="GI33" s="1221"/>
      <c r="GJ33" s="1221"/>
      <c r="GK33" s="1221"/>
      <c r="GL33" s="1221"/>
      <c r="GM33" s="1221"/>
      <c r="GN33" s="1221"/>
      <c r="GO33" s="1221"/>
      <c r="GP33" s="1221"/>
      <c r="GQ33" s="1221"/>
      <c r="GR33" s="1221"/>
      <c r="GS33" s="1221"/>
      <c r="GT33" s="1221"/>
      <c r="GU33" s="1221"/>
      <c r="GV33" s="1221"/>
      <c r="GW33" s="1221"/>
      <c r="GX33" s="1221"/>
      <c r="GY33" s="1221"/>
      <c r="GZ33" s="1221"/>
      <c r="HA33" s="1221"/>
      <c r="HB33" s="1221"/>
      <c r="HC33" s="1221"/>
      <c r="HD33" s="1221"/>
      <c r="HE33" s="1221"/>
      <c r="HF33" s="1221"/>
      <c r="HG33" s="1221"/>
      <c r="HH33" s="1221"/>
      <c r="HI33" s="1221"/>
      <c r="HJ33" s="1221"/>
      <c r="HK33" s="1221"/>
      <c r="HL33" s="1221"/>
      <c r="HM33" s="1221"/>
      <c r="HN33" s="1221"/>
      <c r="HO33" s="1221"/>
      <c r="HP33" s="1221"/>
      <c r="HQ33" s="1221"/>
      <c r="HR33" s="1221"/>
      <c r="HS33" s="1221"/>
      <c r="HT33" s="1221"/>
      <c r="HU33" s="1221"/>
      <c r="HV33" s="1221"/>
      <c r="HW33" s="1221"/>
      <c r="HX33" s="1221"/>
      <c r="HY33" s="1221"/>
      <c r="HZ33" s="1221"/>
      <c r="IA33" s="1221"/>
      <c r="IB33" s="1221"/>
      <c r="IC33" s="1221"/>
      <c r="ID33" s="1221"/>
      <c r="IE33" s="1221"/>
      <c r="IF33" s="1221"/>
      <c r="IG33" s="1221"/>
      <c r="IH33" s="1221"/>
      <c r="II33" s="1221"/>
      <c r="IJ33" s="1221"/>
      <c r="IK33" s="1221"/>
      <c r="IL33" s="1221"/>
      <c r="IM33" s="1221"/>
      <c r="IN33" s="1221"/>
      <c r="IO33" s="1221"/>
      <c r="IP33" s="1221"/>
      <c r="IQ33" s="1221"/>
      <c r="IR33" s="1221"/>
      <c r="IS33" s="1221"/>
      <c r="IT33" s="1221"/>
      <c r="IU33" s="1221"/>
      <c r="IV33" s="1221"/>
      <c r="IW33" s="1221"/>
      <c r="IX33" s="1221"/>
      <c r="IY33" s="1221"/>
      <c r="IZ33" s="1221"/>
      <c r="JA33" s="1221"/>
      <c r="JB33" s="1221"/>
      <c r="JC33" s="1221"/>
      <c r="JD33" s="1221"/>
      <c r="JE33" s="1221"/>
      <c r="JF33" s="1221"/>
      <c r="JG33" s="1221"/>
      <c r="JH33" s="1221"/>
      <c r="JI33" s="1221"/>
      <c r="JJ33" s="1221"/>
      <c r="JK33" s="1221"/>
      <c r="JL33" s="1221"/>
      <c r="JM33" s="1221"/>
      <c r="JN33" s="1221"/>
      <c r="JO33" s="1221"/>
      <c r="JP33" s="1221"/>
      <c r="JQ33" s="1221"/>
      <c r="JR33" s="1221"/>
      <c r="JS33" s="1221"/>
      <c r="JT33" s="1221"/>
      <c r="JU33" s="1221"/>
      <c r="JV33" s="1221"/>
      <c r="JW33" s="1221"/>
      <c r="JX33" s="1221"/>
      <c r="JY33" s="1221"/>
      <c r="JZ33" s="1221"/>
      <c r="KA33" s="1221"/>
      <c r="KB33" s="1221"/>
      <c r="KC33" s="1221"/>
      <c r="KD33" s="1221"/>
      <c r="KE33" s="1221"/>
      <c r="KF33" s="1221"/>
      <c r="KG33" s="1221"/>
      <c r="KH33" s="1221"/>
      <c r="KI33" s="1221"/>
      <c r="KJ33" s="1221"/>
      <c r="KK33" s="1221"/>
      <c r="KL33" s="1221"/>
      <c r="KM33" s="1221"/>
      <c r="KN33" s="1221"/>
      <c r="KO33" s="1221"/>
      <c r="KP33" s="1221"/>
      <c r="KQ33" s="1221"/>
      <c r="KR33" s="1221"/>
      <c r="KS33" s="1221"/>
      <c r="KT33" s="1221"/>
      <c r="KU33" s="1221"/>
      <c r="KV33" s="1221"/>
      <c r="KW33" s="1221"/>
      <c r="KX33" s="1221"/>
      <c r="KY33" s="1221"/>
      <c r="KZ33" s="1221"/>
      <c r="LA33" s="1221"/>
      <c r="LB33" s="1221"/>
      <c r="LC33" s="1221"/>
      <c r="LD33" s="1221"/>
      <c r="LE33" s="1221"/>
      <c r="LF33" s="1221"/>
      <c r="LG33" s="1221"/>
      <c r="LH33" s="1221"/>
      <c r="LI33" s="1221"/>
      <c r="LJ33" s="1221"/>
      <c r="LK33" s="1221"/>
      <c r="LL33" s="1221"/>
      <c r="LM33" s="1221"/>
      <c r="LN33" s="1221"/>
      <c r="LO33" s="1221"/>
      <c r="LP33" s="1221"/>
      <c r="LQ33" s="1221"/>
      <c r="LR33" s="1221"/>
      <c r="LS33" s="1221"/>
      <c r="LT33" s="1221"/>
      <c r="LU33" s="1221"/>
      <c r="LV33" s="1221"/>
      <c r="LW33" s="1221"/>
      <c r="LX33" s="1221"/>
      <c r="LY33" s="1221"/>
      <c r="LZ33" s="1221"/>
      <c r="MA33" s="1221"/>
      <c r="MB33" s="1221"/>
      <c r="MC33" s="1221"/>
      <c r="MD33" s="1221"/>
      <c r="ME33" s="1221"/>
      <c r="MF33" s="1221"/>
      <c r="MG33" s="1221"/>
      <c r="MH33" s="1221"/>
      <c r="MI33" s="1221"/>
      <c r="MJ33" s="1221"/>
      <c r="MK33" s="1221"/>
      <c r="ML33" s="1221"/>
      <c r="MM33" s="1221"/>
      <c r="MN33" s="1221"/>
      <c r="MO33" s="1221"/>
      <c r="MP33" s="1221"/>
      <c r="MQ33" s="1221"/>
      <c r="MR33" s="1221"/>
      <c r="MS33" s="1221"/>
      <c r="MT33" s="1221"/>
      <c r="MU33" s="1221"/>
      <c r="MV33" s="1221"/>
      <c r="MW33" s="1221"/>
      <c r="MX33" s="1221"/>
      <c r="MY33" s="1221"/>
      <c r="MZ33" s="1221"/>
      <c r="NA33" s="1221"/>
      <c r="NB33" s="1221"/>
      <c r="NC33" s="1221"/>
      <c r="ND33" s="1221"/>
      <c r="NE33" s="1221"/>
      <c r="NF33" s="1221"/>
      <c r="NG33" s="1221"/>
      <c r="NH33" s="1221"/>
      <c r="NI33" s="1221"/>
      <c r="NJ33" s="1221"/>
      <c r="NK33" s="1221"/>
      <c r="NL33" s="1221"/>
      <c r="NM33" s="1221"/>
      <c r="NN33" s="1221"/>
      <c r="NO33" s="1221"/>
      <c r="NP33" s="1221"/>
      <c r="NQ33" s="1221"/>
      <c r="NR33" s="1221"/>
      <c r="NS33" s="1221"/>
      <c r="NT33" s="1221"/>
      <c r="NU33" s="1221"/>
      <c r="NV33" s="1221"/>
      <c r="NW33" s="1221"/>
      <c r="NX33" s="1221"/>
      <c r="NY33" s="1221"/>
      <c r="NZ33" s="1221"/>
      <c r="OA33" s="1221"/>
      <c r="OB33" s="1221"/>
      <c r="OC33" s="1221"/>
      <c r="OD33" s="1221"/>
      <c r="OE33" s="1221"/>
      <c r="OF33" s="1221"/>
      <c r="OG33" s="1221"/>
      <c r="OH33" s="1221"/>
      <c r="OI33" s="1221"/>
      <c r="OJ33" s="1221"/>
      <c r="OK33" s="1221"/>
      <c r="OL33" s="1221"/>
      <c r="OM33" s="1221"/>
      <c r="ON33" s="1221"/>
      <c r="OO33" s="1221"/>
      <c r="OP33" s="1221"/>
      <c r="OQ33" s="1221"/>
      <c r="OR33" s="1221"/>
      <c r="OS33" s="1221"/>
      <c r="OT33" s="1221"/>
      <c r="OU33" s="1221"/>
      <c r="OV33" s="1221"/>
      <c r="OW33" s="1221"/>
      <c r="OX33" s="1221"/>
      <c r="OY33" s="1221"/>
      <c r="OZ33" s="1221"/>
      <c r="PA33" s="1221"/>
      <c r="PB33" s="1221"/>
      <c r="PC33" s="1221"/>
      <c r="PD33" s="1221"/>
      <c r="PE33" s="1221"/>
      <c r="PF33" s="1221"/>
      <c r="PG33" s="1221"/>
      <c r="PH33" s="1221"/>
      <c r="PI33" s="1221"/>
      <c r="PJ33" s="1221"/>
      <c r="PK33" s="1221"/>
      <c r="PL33" s="1221"/>
      <c r="PM33" s="1221"/>
      <c r="PN33" s="1221"/>
      <c r="PO33" s="1221"/>
      <c r="PP33" s="1221"/>
      <c r="PQ33" s="1221"/>
      <c r="PR33" s="1221"/>
      <c r="PS33" s="1221"/>
      <c r="PT33" s="1221"/>
      <c r="PU33" s="1221"/>
      <c r="PV33" s="1221"/>
      <c r="PW33" s="1221"/>
      <c r="PX33" s="1221"/>
      <c r="PY33" s="1221"/>
      <c r="PZ33" s="1221"/>
      <c r="QA33" s="1221"/>
      <c r="QB33" s="1221"/>
      <c r="QC33" s="1221"/>
      <c r="QD33" s="1221"/>
      <c r="QE33" s="1221"/>
      <c r="QF33" s="1221"/>
      <c r="QG33" s="1221"/>
      <c r="QH33" s="1221"/>
      <c r="QI33" s="1221"/>
      <c r="QJ33" s="1221"/>
      <c r="QK33" s="1221"/>
      <c r="QL33" s="1221"/>
      <c r="QM33" s="1221"/>
      <c r="QN33" s="1221"/>
      <c r="QO33" s="1221"/>
      <c r="QP33" s="1221"/>
      <c r="QQ33" s="1221"/>
      <c r="QR33" s="1221"/>
      <c r="QS33" s="1221"/>
      <c r="QT33" s="1221"/>
      <c r="QU33" s="1221"/>
      <c r="QV33" s="1221"/>
      <c r="QW33" s="1221"/>
      <c r="QX33" s="1221"/>
      <c r="QY33" s="1221"/>
      <c r="QZ33" s="1221"/>
      <c r="RA33" s="1221"/>
      <c r="RB33" s="1221"/>
      <c r="RC33" s="1221"/>
      <c r="RD33" s="1221"/>
      <c r="RE33" s="1221"/>
      <c r="RF33" s="1221"/>
      <c r="RG33" s="1221"/>
      <c r="RH33" s="1221"/>
      <c r="RI33" s="1221"/>
      <c r="RJ33" s="1221"/>
      <c r="RK33" s="1221"/>
      <c r="RL33" s="1221"/>
      <c r="RM33" s="1221"/>
      <c r="RN33" s="1221"/>
      <c r="RO33" s="1221"/>
      <c r="RP33" s="1221"/>
      <c r="RQ33" s="1221"/>
      <c r="RR33" s="1221"/>
      <c r="RS33" s="1221"/>
      <c r="RT33" s="1221"/>
      <c r="RU33" s="1221"/>
      <c r="RV33" s="1221"/>
      <c r="RW33" s="1221"/>
      <c r="RX33" s="1221"/>
      <c r="RY33" s="1221"/>
      <c r="RZ33" s="1221"/>
      <c r="SA33" s="1221"/>
      <c r="SB33" s="1221"/>
      <c r="SC33" s="1221"/>
      <c r="SD33" s="1221"/>
      <c r="SE33" s="1221"/>
      <c r="SF33" s="1221"/>
      <c r="SG33" s="1221"/>
      <c r="SH33" s="1221"/>
      <c r="SI33" s="1221"/>
      <c r="SJ33" s="1221"/>
      <c r="SK33" s="1221"/>
      <c r="SL33" s="1221"/>
      <c r="SM33" s="1221"/>
      <c r="SN33" s="1221"/>
      <c r="SO33" s="1221"/>
      <c r="SP33" s="1221"/>
      <c r="SQ33" s="1221"/>
      <c r="SR33" s="1221"/>
      <c r="SS33" s="1221"/>
      <c r="ST33" s="1221"/>
      <c r="SU33" s="1221"/>
      <c r="SV33" s="1221"/>
      <c r="SW33" s="1221"/>
      <c r="SX33" s="1221"/>
      <c r="SY33" s="1221"/>
      <c r="SZ33" s="1221"/>
      <c r="TA33" s="1221"/>
      <c r="TB33" s="1221"/>
      <c r="TC33" s="1221"/>
      <c r="TD33" s="1221"/>
      <c r="TE33" s="1221"/>
      <c r="TF33" s="1221"/>
      <c r="TG33" s="1221"/>
      <c r="TH33" s="1221"/>
      <c r="TI33" s="1221"/>
      <c r="TJ33" s="1221"/>
      <c r="TK33" s="1221"/>
      <c r="TL33" s="1221"/>
      <c r="TM33" s="1221"/>
      <c r="TN33" s="1221"/>
      <c r="TO33" s="1221"/>
      <c r="TP33" s="1221"/>
      <c r="TQ33" s="1221"/>
      <c r="TR33" s="1221"/>
      <c r="TS33" s="1221"/>
      <c r="TT33" s="1221"/>
      <c r="TU33" s="1221"/>
      <c r="TV33" s="1221"/>
      <c r="TW33" s="1221"/>
      <c r="TX33" s="1221"/>
      <c r="TY33" s="1221"/>
      <c r="TZ33" s="1221"/>
      <c r="UA33" s="1221"/>
      <c r="UB33" s="1221"/>
      <c r="UC33" s="1221"/>
      <c r="UD33" s="1221"/>
      <c r="UE33" s="1221"/>
      <c r="UF33" s="1221"/>
      <c r="UG33" s="1221"/>
      <c r="UH33" s="1221"/>
      <c r="UI33" s="1221"/>
      <c r="UJ33" s="1221"/>
      <c r="UK33" s="1221"/>
      <c r="UL33" s="1221"/>
      <c r="UM33" s="1221"/>
      <c r="UN33" s="1221"/>
      <c r="UO33" s="1221"/>
      <c r="UP33" s="1221"/>
      <c r="UQ33" s="1221"/>
      <c r="UR33" s="1221"/>
      <c r="US33" s="1221"/>
      <c r="UT33" s="1221"/>
      <c r="UU33" s="1221"/>
      <c r="UV33" s="1221"/>
      <c r="UW33" s="1221"/>
      <c r="UX33" s="1221"/>
      <c r="UY33" s="1221"/>
      <c r="UZ33" s="1221"/>
      <c r="VA33" s="1221"/>
      <c r="VB33" s="1221"/>
      <c r="VC33" s="1221"/>
      <c r="VD33" s="1221"/>
      <c r="VE33" s="1221"/>
      <c r="VF33" s="1221"/>
      <c r="VG33" s="1221"/>
      <c r="VH33" s="1221"/>
      <c r="VI33" s="1221"/>
      <c r="VJ33" s="1221"/>
      <c r="VK33" s="1221"/>
      <c r="VL33" s="1221"/>
      <c r="VM33" s="1221"/>
      <c r="VN33" s="1221"/>
      <c r="VO33" s="1221"/>
      <c r="VP33" s="1221"/>
      <c r="VQ33" s="1221"/>
      <c r="VR33" s="1221"/>
      <c r="VS33" s="1221"/>
      <c r="VT33" s="1221"/>
      <c r="VU33" s="1221"/>
      <c r="VV33" s="1221"/>
      <c r="VW33" s="1221"/>
      <c r="VX33" s="1221"/>
      <c r="VY33" s="1221"/>
      <c r="VZ33" s="1221"/>
      <c r="WA33" s="1221"/>
      <c r="WB33" s="1221"/>
      <c r="WC33" s="1221"/>
      <c r="WD33" s="1221"/>
      <c r="WE33" s="1221"/>
      <c r="WF33" s="1221"/>
      <c r="WG33" s="1221"/>
      <c r="WH33" s="1221"/>
      <c r="WI33" s="1221"/>
      <c r="WJ33" s="1221"/>
      <c r="WK33" s="1221"/>
      <c r="WL33" s="1221"/>
      <c r="WM33" s="1221"/>
      <c r="WN33" s="1221"/>
      <c r="WO33" s="1221"/>
      <c r="WP33" s="1221"/>
      <c r="WQ33" s="1221"/>
      <c r="WR33" s="1221"/>
      <c r="WS33" s="1221"/>
      <c r="WT33" s="1221"/>
      <c r="WU33" s="1221"/>
      <c r="WV33" s="1221"/>
      <c r="WW33" s="1221"/>
      <c r="WX33" s="1221"/>
      <c r="WY33" s="1221"/>
      <c r="WZ33" s="1221"/>
      <c r="XA33" s="1221"/>
      <c r="XB33" s="1221"/>
      <c r="XC33" s="1221"/>
      <c r="XD33" s="1221"/>
      <c r="XE33" s="1221"/>
      <c r="XF33" s="1221"/>
      <c r="XG33" s="1221"/>
      <c r="XH33" s="1221"/>
      <c r="XI33" s="1221"/>
      <c r="XJ33" s="1221"/>
      <c r="XK33" s="1221"/>
      <c r="XL33" s="1221"/>
      <c r="XM33" s="1221"/>
      <c r="XN33" s="1221"/>
      <c r="XO33" s="1221"/>
      <c r="XP33" s="1221"/>
      <c r="XQ33" s="1221"/>
      <c r="XR33" s="1221"/>
      <c r="XS33" s="1221"/>
      <c r="XT33" s="1221"/>
      <c r="XU33" s="1221"/>
      <c r="XV33" s="1221"/>
      <c r="XW33" s="1221"/>
      <c r="XX33" s="1221"/>
      <c r="XY33" s="1221"/>
      <c r="XZ33" s="1221"/>
      <c r="YA33" s="1221"/>
      <c r="YB33" s="1221"/>
      <c r="YC33" s="1221"/>
      <c r="YD33" s="1221"/>
      <c r="YE33" s="1221"/>
      <c r="YF33" s="1221"/>
      <c r="YG33" s="1221"/>
      <c r="YH33" s="1221"/>
      <c r="YI33" s="1221"/>
      <c r="YJ33" s="1221"/>
      <c r="YK33" s="1221"/>
      <c r="YL33" s="1221"/>
      <c r="YM33" s="1221"/>
      <c r="YN33" s="1221"/>
      <c r="YO33" s="1221"/>
      <c r="YP33" s="1221"/>
      <c r="YQ33" s="1221"/>
      <c r="YR33" s="1221"/>
      <c r="YS33" s="1221"/>
      <c r="YT33" s="1221"/>
      <c r="YU33" s="1221"/>
      <c r="YV33" s="1221"/>
      <c r="YW33" s="1221"/>
      <c r="YX33" s="1221"/>
      <c r="YY33" s="1221"/>
      <c r="YZ33" s="1221"/>
      <c r="ZA33" s="1221"/>
      <c r="ZB33" s="1221"/>
      <c r="ZC33" s="1221"/>
      <c r="ZD33" s="1221"/>
      <c r="ZE33" s="1221"/>
      <c r="ZF33" s="1221"/>
      <c r="ZG33" s="1221"/>
      <c r="ZH33" s="1221"/>
      <c r="ZI33" s="1221"/>
      <c r="ZJ33" s="1221"/>
      <c r="ZK33" s="1221"/>
      <c r="ZL33" s="1221"/>
      <c r="ZM33" s="1221"/>
      <c r="ZN33" s="1221"/>
      <c r="ZO33" s="1221"/>
      <c r="ZP33" s="1221"/>
      <c r="ZQ33" s="1221"/>
      <c r="ZR33" s="1221"/>
      <c r="ZS33" s="1221"/>
      <c r="ZT33" s="1221"/>
      <c r="ZU33" s="1221"/>
      <c r="ZV33" s="1221"/>
      <c r="ZW33" s="1221"/>
      <c r="ZX33" s="1221"/>
      <c r="ZY33" s="1221"/>
      <c r="ZZ33" s="1221"/>
      <c r="AAA33" s="1221"/>
      <c r="AAB33" s="1221"/>
      <c r="AAC33" s="1221"/>
      <c r="AAD33" s="1221"/>
      <c r="AAE33" s="1221"/>
      <c r="AAF33" s="1221"/>
      <c r="AAG33" s="1221"/>
      <c r="AAH33" s="1221"/>
      <c r="AAI33" s="1221"/>
      <c r="AAJ33" s="1221"/>
      <c r="AAK33" s="1221"/>
      <c r="AAL33" s="1221"/>
      <c r="AAM33" s="1221"/>
      <c r="AAN33" s="1221"/>
      <c r="AAO33" s="1221"/>
      <c r="AAP33" s="1221"/>
      <c r="AAQ33" s="1221"/>
      <c r="AAR33" s="1221"/>
      <c r="AAS33" s="1221"/>
      <c r="AAT33" s="1221"/>
      <c r="AAU33" s="1221"/>
      <c r="AAV33" s="1221"/>
      <c r="AAW33" s="1221"/>
      <c r="AAX33" s="1221"/>
      <c r="AAY33" s="1221"/>
      <c r="AAZ33" s="1221"/>
      <c r="ABA33" s="1221"/>
      <c r="ABB33" s="1221"/>
      <c r="ABC33" s="1221"/>
      <c r="ABD33" s="1221"/>
      <c r="ABE33" s="1221"/>
      <c r="ABF33" s="1221"/>
      <c r="ABG33" s="1221"/>
      <c r="ABH33" s="1221"/>
      <c r="ABI33" s="1221"/>
      <c r="ABJ33" s="1221"/>
      <c r="ABK33" s="1221"/>
      <c r="ABL33" s="1221"/>
      <c r="ABM33" s="1221"/>
      <c r="ABN33" s="1221"/>
      <c r="ABO33" s="1221"/>
      <c r="ABP33" s="1221"/>
      <c r="ABQ33" s="1221"/>
      <c r="ABR33" s="1221"/>
      <c r="ABS33" s="1221"/>
      <c r="ABT33" s="1221"/>
      <c r="ABU33" s="1221"/>
      <c r="ABV33" s="1221"/>
      <c r="ABW33" s="1221"/>
      <c r="ABX33" s="1221"/>
      <c r="ABY33" s="1221"/>
      <c r="ABZ33" s="1221"/>
      <c r="ACA33" s="1221"/>
      <c r="ACB33" s="1221"/>
      <c r="ACC33" s="1221"/>
      <c r="ACD33" s="1221"/>
      <c r="ACE33" s="1221"/>
      <c r="ACF33" s="1221"/>
      <c r="ACG33" s="1221"/>
      <c r="ACH33" s="1221"/>
      <c r="ACI33" s="1221"/>
      <c r="ACJ33" s="1221"/>
      <c r="ACK33" s="1221"/>
      <c r="ACL33" s="1221"/>
      <c r="ACM33" s="1221"/>
      <c r="ACN33" s="1221"/>
      <c r="ACO33" s="1221"/>
      <c r="ACP33" s="1221"/>
      <c r="ACQ33" s="1221"/>
      <c r="ACR33" s="1221"/>
      <c r="ACS33" s="1221"/>
      <c r="ACT33" s="1221"/>
      <c r="ACU33" s="1221"/>
      <c r="ACV33" s="1221"/>
      <c r="ACW33" s="1221"/>
      <c r="ACX33" s="1221"/>
      <c r="ACY33" s="1221"/>
      <c r="ACZ33" s="1221"/>
      <c r="ADA33" s="1221"/>
      <c r="ADB33" s="1221"/>
      <c r="ADC33" s="1221"/>
      <c r="ADD33" s="1221"/>
      <c r="ADE33" s="1221"/>
      <c r="ADF33" s="1221"/>
      <c r="ADG33" s="1221"/>
      <c r="ADH33" s="1221"/>
      <c r="ADI33" s="1221"/>
      <c r="ADJ33" s="1221"/>
      <c r="ADK33" s="1221"/>
      <c r="ADL33" s="1221"/>
      <c r="ADM33" s="1221"/>
      <c r="ADN33" s="1221"/>
      <c r="ADO33" s="1221"/>
      <c r="ADP33" s="1221"/>
      <c r="ADQ33" s="1221"/>
      <c r="ADR33" s="1221"/>
      <c r="ADS33" s="1221"/>
      <c r="ADT33" s="1221"/>
      <c r="ADU33" s="1221"/>
      <c r="ADV33" s="1221"/>
      <c r="ADW33" s="1221"/>
      <c r="ADX33" s="1221"/>
      <c r="ADY33" s="1221"/>
      <c r="ADZ33" s="1221"/>
      <c r="AEA33" s="1221"/>
      <c r="AEB33" s="1221"/>
      <c r="AEC33" s="1221"/>
      <c r="AED33" s="1221"/>
      <c r="AEE33" s="1221"/>
      <c r="AEF33" s="1221"/>
      <c r="AEG33" s="1221"/>
      <c r="AEH33" s="1221"/>
      <c r="AEI33" s="1221"/>
      <c r="AEJ33" s="1221"/>
      <c r="AEK33" s="1221"/>
      <c r="AEL33" s="1221"/>
      <c r="AEM33" s="1221"/>
      <c r="AEN33" s="1221"/>
      <c r="AEO33" s="1221"/>
      <c r="AEP33" s="1221"/>
      <c r="AEQ33" s="1221"/>
      <c r="AER33" s="1221"/>
      <c r="AES33" s="1221"/>
      <c r="AET33" s="1221"/>
      <c r="AEU33" s="1221"/>
      <c r="AEV33" s="1221"/>
      <c r="AEW33" s="1221"/>
      <c r="AEX33" s="1221"/>
      <c r="AEY33" s="1221"/>
      <c r="AEZ33" s="1221"/>
      <c r="AFA33" s="1221"/>
      <c r="AFB33" s="1221"/>
      <c r="AFC33" s="1221"/>
      <c r="AFD33" s="1221"/>
      <c r="AFE33" s="1221"/>
      <c r="AFF33" s="1221"/>
      <c r="AFG33" s="1221"/>
      <c r="AFH33" s="1221"/>
      <c r="AFI33" s="1221"/>
      <c r="AFJ33" s="1221"/>
      <c r="AFK33" s="1221"/>
      <c r="AFL33" s="1221"/>
      <c r="AFM33" s="1221"/>
      <c r="AFN33" s="1221"/>
      <c r="AFO33" s="1221"/>
      <c r="AFP33" s="1221"/>
      <c r="AFQ33" s="1221"/>
      <c r="AFR33" s="1221"/>
      <c r="AFS33" s="1221"/>
      <c r="AFT33" s="1221"/>
      <c r="AFU33" s="1221"/>
      <c r="AFV33" s="1221"/>
      <c r="AFW33" s="1221"/>
      <c r="AFX33" s="1221"/>
      <c r="AFY33" s="1221"/>
      <c r="AFZ33" s="1221"/>
      <c r="AGA33" s="1221"/>
      <c r="AGB33" s="1221"/>
      <c r="AGC33" s="1221"/>
      <c r="AGD33" s="1221"/>
      <c r="AGE33" s="1221"/>
      <c r="AGF33" s="1221"/>
      <c r="AGG33" s="1221"/>
      <c r="AGH33" s="1221"/>
      <c r="AGI33" s="1221"/>
      <c r="AGJ33" s="1221"/>
      <c r="AGK33" s="1221"/>
      <c r="AGL33" s="1221"/>
      <c r="AGM33" s="1221"/>
      <c r="AGN33" s="1221"/>
      <c r="AGO33" s="1221"/>
      <c r="AGP33" s="1221"/>
      <c r="AGQ33" s="1221"/>
      <c r="AGR33" s="1221"/>
      <c r="AGS33" s="1221"/>
      <c r="AGT33" s="1221"/>
      <c r="AGU33" s="1221"/>
      <c r="AGV33" s="1221"/>
      <c r="AGW33" s="1221"/>
      <c r="AGX33" s="1221"/>
      <c r="AGY33" s="1221"/>
      <c r="AGZ33" s="1221"/>
      <c r="AHA33" s="1221"/>
      <c r="AHB33" s="1221"/>
      <c r="AHC33" s="1221"/>
      <c r="AHD33" s="1221"/>
      <c r="AHE33" s="1221"/>
      <c r="AHF33" s="1221"/>
      <c r="AHG33" s="1221"/>
      <c r="AHH33" s="1221"/>
      <c r="AHI33" s="1221"/>
      <c r="AHJ33" s="1221"/>
      <c r="AHK33" s="1221"/>
      <c r="AHL33" s="1221"/>
      <c r="AHM33" s="1221"/>
      <c r="AHN33" s="1221"/>
      <c r="AHO33" s="1221"/>
      <c r="AHP33" s="1221"/>
      <c r="AHQ33" s="1221"/>
      <c r="AHR33" s="1221"/>
      <c r="AHS33" s="1221"/>
      <c r="AHT33" s="1221"/>
      <c r="AHU33" s="1221"/>
      <c r="AHV33" s="1221"/>
      <c r="AHW33" s="1221"/>
      <c r="AHX33" s="1221"/>
      <c r="AHY33" s="1221"/>
      <c r="AHZ33" s="1221"/>
      <c r="AIA33" s="1221"/>
      <c r="AIB33" s="1221"/>
      <c r="AIC33" s="1221"/>
      <c r="AID33" s="1221"/>
      <c r="AIE33" s="1221"/>
      <c r="AIF33" s="1221"/>
      <c r="AIG33" s="1221"/>
      <c r="AIH33" s="1221"/>
      <c r="AII33" s="1221"/>
      <c r="AIJ33" s="1221"/>
      <c r="AIK33" s="1221"/>
      <c r="AIL33" s="1221"/>
      <c r="AIM33" s="1221"/>
      <c r="AIN33" s="1221"/>
      <c r="AIO33" s="1221"/>
      <c r="AIP33" s="1221"/>
      <c r="AIQ33" s="1221"/>
      <c r="AIR33" s="1221"/>
      <c r="AIS33" s="1221"/>
      <c r="AIT33" s="1221"/>
      <c r="AIU33" s="1221"/>
      <c r="AIV33" s="1221"/>
      <c r="AIW33" s="1221"/>
      <c r="AIX33" s="1221"/>
      <c r="AIY33" s="1221"/>
      <c r="AIZ33" s="1221"/>
      <c r="AJA33" s="1221"/>
      <c r="AJB33" s="1221"/>
      <c r="AJC33" s="1221"/>
      <c r="AJD33" s="1221"/>
      <c r="AJE33" s="1221"/>
      <c r="AJF33" s="1221"/>
      <c r="AJG33" s="1221"/>
      <c r="AJH33" s="1221"/>
      <c r="AJI33" s="1221"/>
      <c r="AJJ33" s="1221"/>
      <c r="AJK33" s="1221"/>
      <c r="AJL33" s="1221"/>
      <c r="AJM33" s="1221"/>
      <c r="AJN33" s="1221"/>
      <c r="AJO33" s="1221"/>
      <c r="AJP33" s="1221"/>
      <c r="AJQ33" s="1221"/>
      <c r="AJR33" s="1221"/>
      <c r="AJS33" s="1221"/>
      <c r="AJT33" s="1221"/>
      <c r="AJU33" s="1221"/>
      <c r="AJV33" s="1221"/>
      <c r="AJW33" s="1221"/>
      <c r="AJX33" s="1221"/>
      <c r="AJY33" s="1221"/>
      <c r="AJZ33" s="1221"/>
      <c r="AKA33" s="1221"/>
      <c r="AKB33" s="1221"/>
      <c r="AKC33" s="1221"/>
      <c r="AKD33" s="1221"/>
      <c r="AKE33" s="1221"/>
      <c r="AKF33" s="1221"/>
      <c r="AKG33" s="1221"/>
      <c r="AKH33" s="1221"/>
      <c r="AKI33" s="1221"/>
      <c r="AKJ33" s="1221"/>
      <c r="AKK33" s="1221"/>
      <c r="AKL33" s="1221"/>
      <c r="AKM33" s="1221"/>
      <c r="AKN33" s="1221"/>
      <c r="AKO33" s="1221"/>
      <c r="AKP33" s="1221"/>
      <c r="AKQ33" s="1221"/>
      <c r="AKR33" s="1221"/>
      <c r="AKS33" s="1221"/>
      <c r="AKT33" s="1221"/>
      <c r="AKU33" s="1221"/>
      <c r="AKV33" s="1221"/>
      <c r="AKW33" s="1221"/>
      <c r="AKX33" s="1221"/>
      <c r="AKY33" s="1221"/>
      <c r="AKZ33" s="1221"/>
      <c r="ALA33" s="1221"/>
      <c r="ALB33" s="1221"/>
      <c r="ALC33" s="1221"/>
      <c r="ALD33" s="1221"/>
      <c r="ALE33" s="1221"/>
      <c r="ALF33" s="1221"/>
      <c r="ALG33" s="1221"/>
      <c r="ALH33" s="1221"/>
      <c r="ALI33" s="1221"/>
      <c r="ALJ33" s="1221"/>
      <c r="ALK33" s="1221"/>
      <c r="ALL33" s="1221"/>
      <c r="ALM33" s="1221"/>
      <c r="ALN33" s="1221"/>
      <c r="ALO33" s="1221"/>
      <c r="ALP33" s="1221"/>
      <c r="ALQ33" s="1221"/>
      <c r="ALR33" s="1221"/>
      <c r="ALS33" s="1221"/>
      <c r="ALT33" s="1221"/>
      <c r="ALU33" s="1221"/>
      <c r="ALV33" s="1221"/>
      <c r="ALW33" s="1221"/>
      <c r="ALX33" s="1221"/>
      <c r="ALY33" s="1221"/>
      <c r="ALZ33" s="1221"/>
      <c r="AMA33" s="1221"/>
      <c r="AMB33" s="1221"/>
      <c r="AMC33" s="1221"/>
      <c r="AMD33" s="1221"/>
      <c r="AME33" s="1221"/>
      <c r="AMF33" s="1221"/>
      <c r="AMG33" s="1221"/>
      <c r="AMH33" s="1221"/>
      <c r="AMI33" s="1221"/>
      <c r="AMJ33" s="1221"/>
      <c r="AMK33" s="1221"/>
      <c r="AML33" s="1221"/>
      <c r="AMM33" s="1221"/>
      <c r="AMN33" s="1221"/>
      <c r="AMO33" s="1221"/>
      <c r="AMP33" s="1221"/>
      <c r="AMQ33" s="1221"/>
      <c r="AMR33" s="1221"/>
      <c r="AMS33" s="1221"/>
      <c r="AMT33" s="1221"/>
      <c r="AMU33" s="1221"/>
      <c r="AMV33" s="1221"/>
      <c r="AMW33" s="1221"/>
      <c r="AMX33" s="1221"/>
      <c r="AMY33" s="1221"/>
      <c r="AMZ33" s="1221"/>
      <c r="ANA33" s="1221"/>
      <c r="ANB33" s="1221"/>
      <c r="ANC33" s="1221"/>
      <c r="AND33" s="1221"/>
      <c r="ANE33" s="1221"/>
      <c r="ANF33" s="1221"/>
      <c r="ANG33" s="1221"/>
      <c r="ANH33" s="1221"/>
      <c r="ANI33" s="1221"/>
      <c r="ANJ33" s="1221"/>
      <c r="ANK33" s="1221"/>
      <c r="ANL33" s="1221"/>
      <c r="ANM33" s="1221"/>
      <c r="ANN33" s="1221"/>
      <c r="ANO33" s="1221"/>
      <c r="ANP33" s="1221"/>
      <c r="ANQ33" s="1221"/>
      <c r="ANR33" s="1221"/>
      <c r="ANS33" s="1221"/>
      <c r="ANT33" s="1221"/>
      <c r="ANU33" s="1221"/>
      <c r="ANV33" s="1221"/>
      <c r="ANW33" s="1221"/>
      <c r="ANX33" s="1221"/>
      <c r="ANY33" s="1221"/>
      <c r="ANZ33" s="1221"/>
      <c r="AOA33" s="1221"/>
      <c r="AOB33" s="1221"/>
      <c r="AOC33" s="1221"/>
      <c r="AOD33" s="1221"/>
      <c r="AOE33" s="1221"/>
      <c r="AOF33" s="1221"/>
      <c r="AOG33" s="1221"/>
      <c r="AOH33" s="1221"/>
      <c r="AOI33" s="1221"/>
      <c r="AOJ33" s="1221"/>
      <c r="AOK33" s="1221"/>
      <c r="AOL33" s="1221"/>
      <c r="AOM33" s="1221"/>
      <c r="AON33" s="1221"/>
      <c r="AOO33" s="1221"/>
      <c r="AOP33" s="1221"/>
      <c r="AOQ33" s="1221"/>
      <c r="AOR33" s="1221"/>
      <c r="AOS33" s="1221"/>
      <c r="AOT33" s="1221"/>
      <c r="AOU33" s="1221"/>
      <c r="AOV33" s="1221"/>
      <c r="AOW33" s="1221"/>
      <c r="AOX33" s="1221"/>
      <c r="AOY33" s="1221"/>
      <c r="AOZ33" s="1221"/>
      <c r="APA33" s="1221"/>
      <c r="APB33" s="1221"/>
      <c r="APC33" s="1221"/>
      <c r="APD33" s="1221"/>
      <c r="APE33" s="1221"/>
      <c r="APF33" s="1221"/>
      <c r="APG33" s="1221"/>
      <c r="APH33" s="1221"/>
      <c r="API33" s="1221"/>
      <c r="APJ33" s="1221"/>
      <c r="APK33" s="1221"/>
      <c r="APL33" s="1221"/>
      <c r="APM33" s="1221"/>
      <c r="APN33" s="1221"/>
      <c r="APO33" s="1221"/>
      <c r="APP33" s="1221"/>
      <c r="APQ33" s="1221"/>
      <c r="APR33" s="1221"/>
      <c r="APS33" s="1221"/>
      <c r="APT33" s="1221"/>
      <c r="APU33" s="1221"/>
      <c r="APV33" s="1221"/>
      <c r="APW33" s="1221"/>
      <c r="APX33" s="1221"/>
      <c r="APY33" s="1221"/>
      <c r="APZ33" s="1221"/>
      <c r="AQA33" s="1221"/>
      <c r="AQB33" s="1221"/>
      <c r="AQC33" s="1221"/>
      <c r="AQD33" s="1221"/>
      <c r="AQE33" s="1221"/>
      <c r="AQF33" s="1221"/>
      <c r="AQG33" s="1221"/>
      <c r="AQH33" s="1221"/>
      <c r="AQI33" s="1221"/>
      <c r="AQJ33" s="1221"/>
      <c r="AQK33" s="1221"/>
      <c r="AQL33" s="1221"/>
      <c r="AQM33" s="1221"/>
      <c r="AQN33" s="1221"/>
      <c r="AQO33" s="1221"/>
      <c r="AQP33" s="1221"/>
      <c r="AQQ33" s="1221"/>
      <c r="AQR33" s="1221"/>
      <c r="AQS33" s="1221"/>
      <c r="AQT33" s="1221"/>
      <c r="AQU33" s="1221"/>
      <c r="AQV33" s="1221"/>
      <c r="AQW33" s="1221"/>
      <c r="AQX33" s="1221"/>
      <c r="AQY33" s="1221"/>
      <c r="AQZ33" s="1221"/>
      <c r="ARA33" s="1221"/>
      <c r="ARB33" s="1221"/>
      <c r="ARC33" s="1221"/>
      <c r="ARD33" s="1221"/>
      <c r="ARE33" s="1221"/>
      <c r="ARF33" s="1221"/>
      <c r="ARG33" s="1221"/>
      <c r="ARH33" s="1221"/>
      <c r="ARI33" s="1221"/>
      <c r="ARJ33" s="1221"/>
      <c r="ARK33" s="1221"/>
      <c r="ARL33" s="1221"/>
      <c r="ARM33" s="1221"/>
      <c r="ARN33" s="1221"/>
      <c r="ARO33" s="1221"/>
      <c r="ARP33" s="1221"/>
      <c r="ARQ33" s="1221"/>
      <c r="ARR33" s="1221"/>
      <c r="ARS33" s="1221"/>
      <c r="ART33" s="1221"/>
      <c r="ARU33" s="1221"/>
      <c r="ARV33" s="1221"/>
      <c r="ARW33" s="1221"/>
      <c r="ARX33" s="1221"/>
      <c r="ARY33" s="1221"/>
      <c r="ARZ33" s="1221"/>
      <c r="ASA33" s="1221"/>
      <c r="ASB33" s="1221"/>
      <c r="ASC33" s="1221"/>
      <c r="ASD33" s="1221"/>
      <c r="ASE33" s="1221"/>
      <c r="ASF33" s="1221"/>
      <c r="ASG33" s="1221"/>
      <c r="ASH33" s="1221"/>
      <c r="ASI33" s="1221"/>
      <c r="ASJ33" s="1221"/>
      <c r="ASK33" s="1221"/>
      <c r="ASL33" s="1221"/>
      <c r="ASM33" s="1221"/>
      <c r="ASN33" s="1221"/>
      <c r="ASO33" s="1221"/>
      <c r="ASP33" s="1221"/>
      <c r="ASQ33" s="1221"/>
      <c r="ASR33" s="1221"/>
      <c r="ASS33" s="1221"/>
      <c r="AST33" s="1221"/>
      <c r="ASU33" s="1221"/>
      <c r="ASV33" s="1221"/>
      <c r="ASW33" s="1221"/>
      <c r="ASX33" s="1221"/>
      <c r="ASY33" s="1221"/>
      <c r="ASZ33" s="1221"/>
      <c r="ATA33" s="1221"/>
      <c r="ATB33" s="1221"/>
      <c r="ATC33" s="1221"/>
      <c r="ATD33" s="1221"/>
      <c r="ATE33" s="1221"/>
      <c r="ATF33" s="1221"/>
      <c r="ATG33" s="1221"/>
      <c r="ATH33" s="1221"/>
      <c r="ATI33" s="1221"/>
      <c r="ATJ33" s="1221"/>
      <c r="ATK33" s="1221"/>
      <c r="ATL33" s="1221"/>
      <c r="ATM33" s="1221"/>
      <c r="ATN33" s="1221"/>
      <c r="ATO33" s="1221"/>
      <c r="ATP33" s="1221"/>
      <c r="ATQ33" s="1221"/>
      <c r="ATR33" s="1221"/>
      <c r="ATS33" s="1221"/>
      <c r="ATT33" s="1221"/>
      <c r="ATU33" s="1221"/>
      <c r="ATV33" s="1221"/>
      <c r="ATW33" s="1221"/>
      <c r="ATX33" s="1221"/>
      <c r="ATY33" s="1221"/>
      <c r="ATZ33" s="1221"/>
      <c r="AUA33" s="1221"/>
      <c r="AUB33" s="1221"/>
      <c r="AUC33" s="1221"/>
      <c r="AUD33" s="1221"/>
      <c r="AUE33" s="1221"/>
      <c r="AUF33" s="1221"/>
      <c r="AUG33" s="1221"/>
      <c r="AUH33" s="1221"/>
      <c r="AUI33" s="1221"/>
      <c r="AUJ33" s="1221"/>
      <c r="AUK33" s="1221"/>
      <c r="AUL33" s="1221"/>
      <c r="AUM33" s="1221"/>
      <c r="AUN33" s="1221"/>
      <c r="AUO33" s="1221"/>
      <c r="AUP33" s="1221"/>
      <c r="AUQ33" s="1221"/>
      <c r="AUR33" s="1221"/>
      <c r="AUS33" s="1221"/>
      <c r="AUT33" s="1221"/>
      <c r="AUU33" s="1221"/>
      <c r="AUV33" s="1221"/>
      <c r="AUW33" s="1221"/>
      <c r="AUX33" s="1221"/>
      <c r="AUY33" s="1221"/>
      <c r="AUZ33" s="1221"/>
      <c r="AVA33" s="1221"/>
      <c r="AVB33" s="1221"/>
      <c r="AVC33" s="1221"/>
      <c r="AVD33" s="1221"/>
      <c r="AVE33" s="1221"/>
      <c r="AVF33" s="1221"/>
      <c r="AVG33" s="1221"/>
      <c r="AVH33" s="1221"/>
      <c r="AVI33" s="1221"/>
      <c r="AVJ33" s="1221"/>
      <c r="AVK33" s="1221"/>
      <c r="AVL33" s="1221"/>
      <c r="AVM33" s="1221"/>
      <c r="AVN33" s="1221"/>
      <c r="AVO33" s="1221"/>
      <c r="AVP33" s="1221"/>
      <c r="AVQ33" s="1221"/>
      <c r="AVR33" s="1221"/>
      <c r="AVS33" s="1221"/>
      <c r="AVT33" s="1221"/>
      <c r="AVU33" s="1221"/>
      <c r="AVV33" s="1221"/>
      <c r="AVW33" s="1221"/>
      <c r="AVX33" s="1221"/>
      <c r="AVY33" s="1221"/>
      <c r="AVZ33" s="1221"/>
      <c r="AWA33" s="1221"/>
      <c r="AWB33" s="1221"/>
      <c r="AWC33" s="1221"/>
      <c r="AWD33" s="1221"/>
      <c r="AWE33" s="1221"/>
      <c r="AWF33" s="1221"/>
      <c r="AWG33" s="1221"/>
      <c r="AWH33" s="1221"/>
      <c r="AWI33" s="1221"/>
      <c r="AWJ33" s="1221"/>
      <c r="AWK33" s="1221"/>
      <c r="AWL33" s="1221"/>
      <c r="AWM33" s="1221"/>
      <c r="AWN33" s="1221"/>
      <c r="AWO33" s="1221"/>
      <c r="AWP33" s="1221"/>
      <c r="AWQ33" s="1221"/>
      <c r="AWR33" s="1221"/>
      <c r="AWS33" s="1221"/>
      <c r="AWT33" s="1221"/>
      <c r="AWU33" s="1221"/>
      <c r="AWV33" s="1221"/>
      <c r="AWW33" s="1221"/>
      <c r="AWX33" s="1221"/>
      <c r="AWY33" s="1221"/>
      <c r="AWZ33" s="1221"/>
      <c r="AXA33" s="1221"/>
      <c r="AXB33" s="1221"/>
      <c r="AXC33" s="1221"/>
      <c r="AXD33" s="1221"/>
      <c r="AXE33" s="1221"/>
      <c r="AXF33" s="1221"/>
      <c r="AXG33" s="1221"/>
      <c r="AXH33" s="1221"/>
      <c r="AXI33" s="1221"/>
      <c r="AXJ33" s="1221"/>
      <c r="AXK33" s="1221"/>
      <c r="AXL33" s="1221"/>
      <c r="AXM33" s="1221"/>
      <c r="AXN33" s="1221"/>
      <c r="AXO33" s="1221"/>
      <c r="AXP33" s="1221"/>
      <c r="AXQ33" s="1221"/>
      <c r="AXR33" s="1221"/>
      <c r="AXS33" s="1221"/>
      <c r="AXT33" s="1221"/>
      <c r="AXU33" s="1221"/>
      <c r="AXV33" s="1221"/>
      <c r="AXW33" s="1221"/>
      <c r="AXX33" s="1221"/>
      <c r="AXY33" s="1221"/>
      <c r="AXZ33" s="1221"/>
      <c r="AYA33" s="1221"/>
      <c r="AYB33" s="1221"/>
      <c r="AYC33" s="1221"/>
      <c r="AYD33" s="1221"/>
      <c r="AYE33" s="1221"/>
      <c r="AYF33" s="1221"/>
      <c r="AYG33" s="1221"/>
      <c r="AYH33" s="1221"/>
      <c r="AYI33" s="1221"/>
      <c r="AYJ33" s="1221"/>
      <c r="AYK33" s="1221"/>
      <c r="AYL33" s="1221"/>
      <c r="AYM33" s="1221"/>
      <c r="AYN33" s="1221"/>
      <c r="AYO33" s="1221"/>
      <c r="AYP33" s="1221"/>
      <c r="AYQ33" s="1221"/>
      <c r="AYR33" s="1221"/>
      <c r="AYS33" s="1221"/>
      <c r="AYT33" s="1221"/>
      <c r="AYU33" s="1221"/>
      <c r="AYV33" s="1221"/>
      <c r="AYW33" s="1221"/>
      <c r="AYX33" s="1221"/>
      <c r="AYY33" s="1221"/>
      <c r="AYZ33" s="1221"/>
      <c r="AZA33" s="1221"/>
      <c r="AZB33" s="1221"/>
      <c r="AZC33" s="1221"/>
      <c r="AZD33" s="1221"/>
      <c r="AZE33" s="1221"/>
      <c r="AZF33" s="1221"/>
      <c r="AZG33" s="1221"/>
      <c r="AZH33" s="1221"/>
      <c r="AZI33" s="1221"/>
      <c r="AZJ33" s="1221"/>
      <c r="AZK33" s="1221"/>
      <c r="AZL33" s="1221"/>
      <c r="AZM33" s="1221"/>
      <c r="AZN33" s="1221"/>
      <c r="AZO33" s="1221"/>
      <c r="AZP33" s="1221"/>
      <c r="AZQ33" s="1221"/>
      <c r="AZR33" s="1221"/>
      <c r="AZS33" s="1221"/>
      <c r="AZT33" s="1221"/>
      <c r="AZU33" s="1221"/>
      <c r="AZV33" s="1221"/>
      <c r="AZW33" s="1221"/>
      <c r="AZX33" s="1221"/>
      <c r="AZY33" s="1221"/>
      <c r="AZZ33" s="1221"/>
      <c r="BAA33" s="1221"/>
      <c r="BAB33" s="1221"/>
      <c r="BAC33" s="1221"/>
      <c r="BAD33" s="1221"/>
      <c r="BAE33" s="1221"/>
      <c r="BAF33" s="1221"/>
      <c r="BAG33" s="1221"/>
      <c r="BAH33" s="1221"/>
      <c r="BAI33" s="1221"/>
      <c r="BAJ33" s="1221"/>
      <c r="BAK33" s="1221"/>
      <c r="BAL33" s="1221"/>
      <c r="BAM33" s="1221"/>
      <c r="BAN33" s="1221"/>
      <c r="BAO33" s="1221"/>
      <c r="BAP33" s="1221"/>
      <c r="BAQ33" s="1221"/>
      <c r="BAR33" s="1221"/>
      <c r="BAS33" s="1221"/>
      <c r="BAT33" s="1221"/>
      <c r="BAU33" s="1221"/>
      <c r="BAV33" s="1221"/>
      <c r="BAW33" s="1221"/>
      <c r="BAX33" s="1221"/>
      <c r="BAY33" s="1221"/>
      <c r="BAZ33" s="1221"/>
      <c r="BBA33" s="1221"/>
      <c r="BBB33" s="1221"/>
      <c r="BBC33" s="1221"/>
      <c r="BBD33" s="1221"/>
      <c r="BBE33" s="1221"/>
      <c r="BBF33" s="1221"/>
      <c r="BBG33" s="1221"/>
      <c r="BBH33" s="1221"/>
      <c r="BBI33" s="1221"/>
      <c r="BBJ33" s="1221"/>
      <c r="BBK33" s="1221"/>
      <c r="BBL33" s="1221"/>
      <c r="BBM33" s="1221"/>
      <c r="BBN33" s="1221"/>
      <c r="BBO33" s="1221"/>
      <c r="BBP33" s="1221"/>
      <c r="BBQ33" s="1221"/>
      <c r="BBR33" s="1221"/>
      <c r="BBS33" s="1221"/>
      <c r="BBT33" s="1221"/>
      <c r="BBU33" s="1221"/>
      <c r="BBV33" s="1221"/>
      <c r="BBW33" s="1221"/>
      <c r="BBX33" s="1221"/>
      <c r="BBY33" s="1221"/>
      <c r="BBZ33" s="1221"/>
      <c r="BCA33" s="1221"/>
      <c r="BCB33" s="1221"/>
      <c r="BCC33" s="1221"/>
      <c r="BCD33" s="1221"/>
      <c r="BCE33" s="1221"/>
      <c r="BCF33" s="1221"/>
      <c r="BCG33" s="1221"/>
      <c r="BCH33" s="1221"/>
      <c r="BCI33" s="1221"/>
      <c r="BCJ33" s="1221"/>
      <c r="BCK33" s="1221"/>
      <c r="BCL33" s="1221"/>
      <c r="BCM33" s="1221"/>
      <c r="BCN33" s="1221"/>
      <c r="BCO33" s="1221"/>
      <c r="BCP33" s="1221"/>
      <c r="BCQ33" s="1221"/>
      <c r="BCR33" s="1221"/>
      <c r="BCS33" s="1221"/>
      <c r="BCT33" s="1221"/>
      <c r="BCU33" s="1221"/>
      <c r="BCV33" s="1221"/>
      <c r="BCW33" s="1221"/>
      <c r="BCX33" s="1221"/>
      <c r="BCY33" s="1221"/>
      <c r="BCZ33" s="1221"/>
      <c r="BDA33" s="1221"/>
      <c r="BDB33" s="1221"/>
      <c r="BDC33" s="1221"/>
      <c r="BDD33" s="1221"/>
      <c r="BDE33" s="1221"/>
      <c r="BDF33" s="1221"/>
      <c r="BDG33" s="1221"/>
      <c r="BDH33" s="1221"/>
      <c r="BDI33" s="1221"/>
      <c r="BDJ33" s="1221"/>
      <c r="BDK33" s="1221"/>
      <c r="BDL33" s="1221"/>
      <c r="BDM33" s="1221"/>
      <c r="BDN33" s="1221"/>
      <c r="BDO33" s="1221"/>
      <c r="BDP33" s="1221"/>
      <c r="BDQ33" s="1221"/>
      <c r="BDR33" s="1221"/>
      <c r="BDS33" s="1221"/>
      <c r="BDT33" s="1221"/>
      <c r="BDU33" s="1221"/>
      <c r="BDV33" s="1221"/>
      <c r="BDW33" s="1221"/>
      <c r="BDX33" s="1221"/>
      <c r="BDY33" s="1221"/>
      <c r="BDZ33" s="1221"/>
      <c r="BEA33" s="1221"/>
      <c r="BEB33" s="1221"/>
      <c r="BEC33" s="1221"/>
      <c r="BED33" s="1221"/>
      <c r="BEE33" s="1221"/>
      <c r="BEF33" s="1221"/>
      <c r="BEG33" s="1221"/>
      <c r="BEH33" s="1221"/>
      <c r="BEI33" s="1221"/>
      <c r="BEJ33" s="1221"/>
      <c r="BEK33" s="1221"/>
      <c r="BEL33" s="1221"/>
      <c r="BEM33" s="1221"/>
      <c r="BEN33" s="1221"/>
      <c r="BEO33" s="1221"/>
      <c r="BEP33" s="1221"/>
      <c r="BEQ33" s="1221"/>
      <c r="BER33" s="1221"/>
      <c r="BES33" s="1221"/>
      <c r="BET33" s="1221"/>
      <c r="BEU33" s="1221"/>
      <c r="BEV33" s="1221"/>
      <c r="BEW33" s="1221"/>
      <c r="BEX33" s="1221"/>
      <c r="BEY33" s="1221"/>
      <c r="BEZ33" s="1221"/>
      <c r="BFA33" s="1221"/>
      <c r="BFB33" s="1221"/>
      <c r="BFC33" s="1221"/>
      <c r="BFD33" s="1221"/>
      <c r="BFE33" s="1221"/>
      <c r="BFF33" s="1221"/>
      <c r="BFG33" s="1221"/>
      <c r="BFH33" s="1221"/>
      <c r="BFI33" s="1221"/>
      <c r="BFJ33" s="1221"/>
      <c r="BFK33" s="1221"/>
      <c r="BFL33" s="1221"/>
      <c r="BFM33" s="1221"/>
      <c r="BFN33" s="1221"/>
      <c r="BFO33" s="1221"/>
      <c r="BFP33" s="1221"/>
      <c r="BFQ33" s="1221"/>
      <c r="BFR33" s="1221"/>
      <c r="BFS33" s="1221"/>
      <c r="BFT33" s="1221"/>
      <c r="BFU33" s="1221"/>
      <c r="BFV33" s="1221"/>
      <c r="BFW33" s="1221"/>
      <c r="BFX33" s="1221"/>
      <c r="BFY33" s="1221"/>
      <c r="BFZ33" s="1221"/>
      <c r="BGA33" s="1221"/>
      <c r="BGB33" s="1221"/>
      <c r="BGC33" s="1221"/>
      <c r="BGD33" s="1221"/>
      <c r="BGE33" s="1221"/>
      <c r="BGF33" s="1221"/>
      <c r="BGG33" s="1221"/>
      <c r="BGH33" s="1221"/>
      <c r="BGI33" s="1221"/>
      <c r="BGJ33" s="1221"/>
      <c r="BGK33" s="1221"/>
      <c r="BGL33" s="1221"/>
      <c r="BGM33" s="1221"/>
      <c r="BGN33" s="1221"/>
      <c r="BGO33" s="1221"/>
      <c r="BGP33" s="1221"/>
      <c r="BGQ33" s="1221"/>
      <c r="BGR33" s="1221"/>
      <c r="BGS33" s="1221"/>
      <c r="BGT33" s="1221"/>
      <c r="BGU33" s="1221"/>
      <c r="BGV33" s="1221"/>
      <c r="BGW33" s="1221"/>
      <c r="BGX33" s="1221"/>
      <c r="BGY33" s="1221"/>
      <c r="BGZ33" s="1221"/>
      <c r="BHA33" s="1221"/>
      <c r="BHB33" s="1221"/>
      <c r="BHC33" s="1221"/>
      <c r="BHD33" s="1221"/>
      <c r="BHE33" s="1221"/>
      <c r="BHF33" s="1221"/>
      <c r="BHG33" s="1221"/>
      <c r="BHH33" s="1221"/>
      <c r="BHI33" s="1221"/>
      <c r="BHJ33" s="1221"/>
      <c r="BHK33" s="1221"/>
      <c r="BHL33" s="1221"/>
      <c r="BHM33" s="1221"/>
      <c r="BHN33" s="1221"/>
      <c r="BHO33" s="1221"/>
      <c r="BHP33" s="1221"/>
      <c r="BHQ33" s="1221"/>
      <c r="BHR33" s="1221"/>
      <c r="BHS33" s="1221"/>
      <c r="BHT33" s="1221"/>
      <c r="BHU33" s="1221"/>
      <c r="BHV33" s="1221"/>
      <c r="BHW33" s="1221"/>
      <c r="BHX33" s="1221"/>
      <c r="BHY33" s="1221"/>
      <c r="BHZ33" s="1221"/>
      <c r="BIA33" s="1221"/>
      <c r="BIB33" s="1221"/>
      <c r="BIC33" s="1221"/>
      <c r="BID33" s="1221"/>
      <c r="BIE33" s="1221"/>
      <c r="BIF33" s="1221"/>
      <c r="BIG33" s="1221"/>
      <c r="BIH33" s="1221"/>
      <c r="BII33" s="1221"/>
      <c r="BIJ33" s="1221"/>
      <c r="BIK33" s="1221"/>
      <c r="BIL33" s="1221"/>
      <c r="BIM33" s="1221"/>
      <c r="BIN33" s="1221"/>
      <c r="BIO33" s="1221"/>
      <c r="BIP33" s="1221"/>
      <c r="BIQ33" s="1221"/>
      <c r="BIR33" s="1221"/>
      <c r="BIS33" s="1221"/>
      <c r="BIT33" s="1221"/>
      <c r="BIU33" s="1221"/>
      <c r="BIV33" s="1221"/>
      <c r="BIW33" s="1221"/>
      <c r="BIX33" s="1221"/>
      <c r="BIY33" s="1221"/>
      <c r="BIZ33" s="1221"/>
      <c r="BJA33" s="1221"/>
      <c r="BJB33" s="1221"/>
      <c r="BJC33" s="1221"/>
      <c r="BJD33" s="1221"/>
      <c r="BJE33" s="1221"/>
      <c r="BJF33" s="1221"/>
      <c r="BJG33" s="1221"/>
      <c r="BJH33" s="1221"/>
      <c r="BJI33" s="1221"/>
      <c r="BJJ33" s="1221"/>
      <c r="BJK33" s="1221"/>
      <c r="BJL33" s="1221"/>
      <c r="BJM33" s="1221"/>
      <c r="BJN33" s="1221"/>
      <c r="BJO33" s="1221"/>
      <c r="BJP33" s="1221"/>
      <c r="BJQ33" s="1221"/>
      <c r="BJR33" s="1221"/>
      <c r="BJS33" s="1221"/>
      <c r="BJT33" s="1221"/>
      <c r="BJU33" s="1221"/>
      <c r="BJV33" s="1221"/>
      <c r="BJW33" s="1221"/>
      <c r="BJX33" s="1221"/>
      <c r="BJY33" s="1221"/>
      <c r="BJZ33" s="1221"/>
      <c r="BKA33" s="1221"/>
      <c r="BKB33" s="1221"/>
      <c r="BKC33" s="1221"/>
      <c r="BKD33" s="1221"/>
      <c r="BKE33" s="1221"/>
      <c r="BKF33" s="1221"/>
      <c r="BKG33" s="1221"/>
      <c r="BKH33" s="1221"/>
      <c r="BKI33" s="1221"/>
      <c r="BKJ33" s="1221"/>
      <c r="BKK33" s="1221"/>
      <c r="BKL33" s="1221"/>
      <c r="BKM33" s="1221"/>
      <c r="BKN33" s="1221"/>
      <c r="BKO33" s="1221"/>
      <c r="BKP33" s="1221"/>
      <c r="BKQ33" s="1221"/>
      <c r="BKR33" s="1221"/>
      <c r="BKS33" s="1221"/>
      <c r="BKT33" s="1221"/>
      <c r="BKU33" s="1221"/>
      <c r="BKV33" s="1221"/>
      <c r="BKW33" s="1221"/>
      <c r="BKX33" s="1221"/>
      <c r="BKY33" s="1221"/>
      <c r="BKZ33" s="1221"/>
      <c r="BLA33" s="1221"/>
      <c r="BLB33" s="1221"/>
      <c r="BLC33" s="1221"/>
      <c r="BLD33" s="1221"/>
      <c r="BLE33" s="1221"/>
      <c r="BLF33" s="1221"/>
      <c r="BLG33" s="1221"/>
      <c r="BLH33" s="1221"/>
      <c r="BLI33" s="1221"/>
      <c r="BLJ33" s="1221"/>
      <c r="BLK33" s="1221"/>
      <c r="BLL33" s="1221"/>
      <c r="BLM33" s="1221"/>
      <c r="BLN33" s="1221"/>
      <c r="BLO33" s="1221"/>
      <c r="BLP33" s="1221"/>
      <c r="BLQ33" s="1221"/>
      <c r="BLR33" s="1221"/>
      <c r="BLS33" s="1221"/>
      <c r="BLT33" s="1221"/>
      <c r="BLU33" s="1221"/>
      <c r="BLV33" s="1221"/>
      <c r="BLW33" s="1221"/>
      <c r="BLX33" s="1221"/>
      <c r="BLY33" s="1221"/>
      <c r="BLZ33" s="1221"/>
      <c r="BMA33" s="1221"/>
      <c r="BMB33" s="1221"/>
      <c r="BMC33" s="1221"/>
      <c r="BMD33" s="1221"/>
      <c r="BME33" s="1221"/>
      <c r="BMF33" s="1221"/>
      <c r="BMG33" s="1221"/>
      <c r="BMH33" s="1221"/>
      <c r="BMI33" s="1221"/>
      <c r="BMJ33" s="1221"/>
      <c r="BMK33" s="1221"/>
      <c r="BML33" s="1221"/>
      <c r="BMM33" s="1221"/>
      <c r="BMN33" s="1221"/>
      <c r="BMO33" s="1221"/>
      <c r="BMP33" s="1221"/>
      <c r="BMQ33" s="1221"/>
      <c r="BMR33" s="1221"/>
      <c r="BMS33" s="1221"/>
      <c r="BMT33" s="1221"/>
      <c r="BMU33" s="1221"/>
      <c r="BMV33" s="1221"/>
      <c r="BMW33" s="1221"/>
      <c r="BMX33" s="1221"/>
      <c r="BMY33" s="1221"/>
      <c r="BMZ33" s="1221"/>
      <c r="BNA33" s="1221"/>
      <c r="BNB33" s="1221"/>
      <c r="BNC33" s="1221"/>
      <c r="BND33" s="1221"/>
      <c r="BNE33" s="1221"/>
      <c r="BNF33" s="1221"/>
      <c r="BNG33" s="1221"/>
      <c r="BNH33" s="1221"/>
      <c r="BNI33" s="1221"/>
      <c r="BNJ33" s="1221"/>
      <c r="BNK33" s="1221"/>
      <c r="BNL33" s="1221"/>
      <c r="BNM33" s="1221"/>
      <c r="BNN33" s="1221"/>
      <c r="BNO33" s="1221"/>
      <c r="BNP33" s="1221"/>
      <c r="BNQ33" s="1221"/>
      <c r="BNR33" s="1221"/>
      <c r="BNS33" s="1221"/>
      <c r="BNT33" s="1221"/>
      <c r="BNU33" s="1221"/>
      <c r="BNV33" s="1221"/>
      <c r="BNW33" s="1221"/>
      <c r="BNX33" s="1221"/>
      <c r="BNY33" s="1221"/>
      <c r="BNZ33" s="1221"/>
      <c r="BOA33" s="1221"/>
      <c r="BOB33" s="1221"/>
      <c r="BOC33" s="1221"/>
      <c r="BOD33" s="1221"/>
      <c r="BOE33" s="1221"/>
      <c r="BOF33" s="1221"/>
      <c r="BOG33" s="1221"/>
      <c r="BOH33" s="1221"/>
      <c r="BOI33" s="1221"/>
      <c r="BOJ33" s="1221"/>
      <c r="BOK33" s="1221"/>
      <c r="BOL33" s="1221"/>
      <c r="BOM33" s="1221"/>
      <c r="BON33" s="1221"/>
      <c r="BOO33" s="1221"/>
      <c r="BOP33" s="1221"/>
      <c r="BOQ33" s="1221"/>
      <c r="BOR33" s="1221"/>
      <c r="BOS33" s="1221"/>
      <c r="BOT33" s="1221"/>
      <c r="BOU33" s="1221"/>
      <c r="BOV33" s="1221"/>
      <c r="BOW33" s="1221"/>
      <c r="BOX33" s="1221"/>
      <c r="BOY33" s="1221"/>
      <c r="BOZ33" s="1221"/>
      <c r="BPA33" s="1221"/>
      <c r="BPB33" s="1221"/>
      <c r="BPC33" s="1221"/>
      <c r="BPD33" s="1221"/>
      <c r="BPE33" s="1221"/>
      <c r="BPF33" s="1221"/>
      <c r="BPG33" s="1221"/>
      <c r="BPH33" s="1221"/>
      <c r="BPI33" s="1221"/>
      <c r="BPJ33" s="1221"/>
      <c r="BPK33" s="1221"/>
      <c r="BPL33" s="1221"/>
      <c r="BPM33" s="1221"/>
      <c r="BPN33" s="1221"/>
      <c r="BPO33" s="1221"/>
      <c r="BPP33" s="1221"/>
      <c r="BPQ33" s="1221"/>
      <c r="BPR33" s="1221"/>
      <c r="BPS33" s="1221"/>
      <c r="BPT33" s="1221"/>
      <c r="BPU33" s="1221"/>
      <c r="BPV33" s="1221"/>
      <c r="BPW33" s="1221"/>
      <c r="BPX33" s="1221"/>
      <c r="BPY33" s="1221"/>
      <c r="BPZ33" s="1221"/>
      <c r="BQA33" s="1221"/>
      <c r="BQB33" s="1221"/>
      <c r="BQC33" s="1221"/>
      <c r="BQD33" s="1221"/>
      <c r="BQE33" s="1221"/>
      <c r="BQF33" s="1221"/>
      <c r="BQG33" s="1221"/>
      <c r="BQH33" s="1221"/>
      <c r="BQI33" s="1221"/>
      <c r="BQJ33" s="1221"/>
      <c r="BQK33" s="1221"/>
      <c r="BQL33" s="1221"/>
      <c r="BQM33" s="1221"/>
      <c r="BQN33" s="1221"/>
      <c r="BQO33" s="1221"/>
      <c r="BQP33" s="1221"/>
      <c r="BQQ33" s="1221"/>
      <c r="BQR33" s="1221"/>
      <c r="BQS33" s="1221"/>
      <c r="BQT33" s="1221"/>
      <c r="BQU33" s="1221"/>
      <c r="BQV33" s="1221"/>
      <c r="BQW33" s="1221"/>
      <c r="BQX33" s="1221"/>
      <c r="BQY33" s="1221"/>
      <c r="BQZ33" s="1221"/>
      <c r="BRA33" s="1221"/>
      <c r="BRB33" s="1221"/>
      <c r="BRC33" s="1221"/>
      <c r="BRD33" s="1221"/>
      <c r="BRE33" s="1221"/>
      <c r="BRF33" s="1221"/>
      <c r="BRG33" s="1221"/>
      <c r="BRH33" s="1221"/>
      <c r="BRI33" s="1221"/>
      <c r="BRJ33" s="1221"/>
      <c r="BRK33" s="1221"/>
      <c r="BRL33" s="1221"/>
      <c r="BRM33" s="1221"/>
      <c r="BRN33" s="1221"/>
      <c r="BRO33" s="1221"/>
      <c r="BRP33" s="1221"/>
      <c r="BRQ33" s="1221"/>
      <c r="BRR33" s="1221"/>
      <c r="BRS33" s="1221"/>
      <c r="BRT33" s="1221"/>
      <c r="BRU33" s="1221"/>
      <c r="BRV33" s="1221"/>
      <c r="BRW33" s="1221"/>
      <c r="BRX33" s="1221"/>
      <c r="BRY33" s="1221"/>
      <c r="BRZ33" s="1221"/>
      <c r="BSA33" s="1221"/>
      <c r="BSB33" s="1221"/>
      <c r="BSC33" s="1221"/>
      <c r="BSD33" s="1221"/>
      <c r="BSE33" s="1221"/>
      <c r="BSF33" s="1221"/>
      <c r="BSG33" s="1221"/>
      <c r="BSH33" s="1221"/>
      <c r="BSI33" s="1221"/>
      <c r="BSJ33" s="1221"/>
      <c r="BSK33" s="1221"/>
      <c r="BSL33" s="1221"/>
      <c r="BSM33" s="1221"/>
      <c r="BSN33" s="1221"/>
      <c r="BSO33" s="1221"/>
      <c r="BSP33" s="1221"/>
      <c r="BSQ33" s="1221"/>
      <c r="BSR33" s="1221"/>
      <c r="BSS33" s="1221"/>
      <c r="BST33" s="1221"/>
      <c r="BSU33" s="1221"/>
      <c r="BSV33" s="1221"/>
      <c r="BSW33" s="1221"/>
      <c r="BSX33" s="1221"/>
      <c r="BSY33" s="1221"/>
      <c r="BSZ33" s="1221"/>
      <c r="BTA33" s="1221"/>
      <c r="BTB33" s="1221"/>
      <c r="BTC33" s="1221"/>
      <c r="BTD33" s="1221"/>
      <c r="BTE33" s="1221"/>
      <c r="BTF33" s="1221"/>
      <c r="BTG33" s="1221"/>
      <c r="BTH33" s="1221"/>
      <c r="BTI33" s="1221"/>
      <c r="BTJ33" s="1221"/>
      <c r="BTK33" s="1221"/>
      <c r="BTL33" s="1221"/>
      <c r="BTM33" s="1221"/>
      <c r="BTN33" s="1221"/>
      <c r="BTO33" s="1221"/>
      <c r="BTP33" s="1221"/>
      <c r="BTQ33" s="1221"/>
      <c r="BTR33" s="1221"/>
      <c r="BTS33" s="1221"/>
      <c r="BTT33" s="1221"/>
      <c r="BTU33" s="1221"/>
      <c r="BTV33" s="1221"/>
      <c r="BTW33" s="1221"/>
      <c r="BTX33" s="1221"/>
      <c r="BTY33" s="1221"/>
      <c r="BTZ33" s="1221"/>
      <c r="BUA33" s="1221"/>
      <c r="BUB33" s="1221"/>
      <c r="BUC33" s="1221"/>
      <c r="BUD33" s="1221"/>
      <c r="BUE33" s="1221"/>
      <c r="BUF33" s="1221"/>
      <c r="BUG33" s="1221"/>
      <c r="BUH33" s="1221"/>
      <c r="BUI33" s="1221"/>
      <c r="BUJ33" s="1221"/>
      <c r="BUK33" s="1221"/>
      <c r="BUL33" s="1221"/>
      <c r="BUM33" s="1221"/>
      <c r="BUN33" s="1221"/>
      <c r="BUO33" s="1221"/>
      <c r="BUP33" s="1221"/>
      <c r="BUQ33" s="1221"/>
      <c r="BUR33" s="1221"/>
      <c r="BUS33" s="1221"/>
      <c r="BUT33" s="1221"/>
      <c r="BUU33" s="1221"/>
      <c r="BUV33" s="1221"/>
      <c r="BUW33" s="1221"/>
      <c r="BUX33" s="1221"/>
      <c r="BUY33" s="1221"/>
      <c r="BUZ33" s="1221"/>
      <c r="BVA33" s="1221"/>
      <c r="BVB33" s="1221"/>
      <c r="BVC33" s="1221"/>
      <c r="BVD33" s="1221"/>
      <c r="BVE33" s="1221"/>
      <c r="BVF33" s="1221"/>
      <c r="BVG33" s="1221"/>
      <c r="BVH33" s="1221"/>
      <c r="BVI33" s="1221"/>
      <c r="BVJ33" s="1221"/>
      <c r="BVK33" s="1221"/>
      <c r="BVL33" s="1221"/>
      <c r="BVM33" s="1221"/>
      <c r="BVN33" s="1221"/>
      <c r="BVO33" s="1221"/>
      <c r="BVP33" s="1221"/>
      <c r="BVQ33" s="1221"/>
      <c r="BVR33" s="1221"/>
      <c r="BVS33" s="1221"/>
      <c r="BVT33" s="1221"/>
      <c r="BVU33" s="1221"/>
      <c r="BVV33" s="1221"/>
      <c r="BVW33" s="1221"/>
      <c r="BVX33" s="1221"/>
      <c r="BVY33" s="1221"/>
      <c r="BVZ33" s="1221"/>
      <c r="BWA33" s="1221"/>
      <c r="BWB33" s="1221"/>
      <c r="BWC33" s="1221"/>
      <c r="BWD33" s="1221"/>
      <c r="BWE33" s="1221"/>
      <c r="BWF33" s="1221"/>
      <c r="BWG33" s="1221"/>
      <c r="BWH33" s="1221"/>
      <c r="BWI33" s="1221"/>
      <c r="BWJ33" s="1221"/>
      <c r="BWK33" s="1221"/>
      <c r="BWL33" s="1221"/>
      <c r="BWM33" s="1221"/>
      <c r="BWN33" s="1221"/>
      <c r="BWO33" s="1221"/>
      <c r="BWP33" s="1221"/>
      <c r="BWQ33" s="1221"/>
      <c r="BWR33" s="1221"/>
      <c r="BWS33" s="1221"/>
      <c r="BWT33" s="1221"/>
      <c r="BWU33" s="1221"/>
      <c r="BWV33" s="1221"/>
      <c r="BWW33" s="1221"/>
      <c r="BWX33" s="1221"/>
      <c r="BWY33" s="1221"/>
      <c r="BWZ33" s="1221"/>
      <c r="BXA33" s="1221"/>
      <c r="BXB33" s="1221"/>
      <c r="BXC33" s="1221"/>
      <c r="BXD33" s="1221"/>
      <c r="BXE33" s="1221"/>
      <c r="BXF33" s="1221"/>
      <c r="BXG33" s="1221"/>
      <c r="BXH33" s="1221"/>
      <c r="BXI33" s="1221"/>
      <c r="BXJ33" s="1221"/>
      <c r="BXK33" s="1221"/>
      <c r="BXL33" s="1221"/>
      <c r="BXM33" s="1221"/>
      <c r="BXN33" s="1221"/>
      <c r="BXO33" s="1221"/>
      <c r="BXP33" s="1221"/>
      <c r="BXQ33" s="1221"/>
      <c r="BXR33" s="1221"/>
      <c r="BXS33" s="1221"/>
      <c r="BXT33" s="1221"/>
      <c r="BXU33" s="1221"/>
      <c r="BXV33" s="1221"/>
      <c r="BXW33" s="1221"/>
      <c r="BXX33" s="1221"/>
      <c r="BXY33" s="1221"/>
      <c r="BXZ33" s="1221"/>
      <c r="BYA33" s="1221"/>
      <c r="BYB33" s="1221"/>
      <c r="BYC33" s="1221"/>
      <c r="BYD33" s="1221"/>
      <c r="BYE33" s="1221"/>
      <c r="BYF33" s="1221"/>
      <c r="BYG33" s="1221"/>
      <c r="BYH33" s="1221"/>
      <c r="BYI33" s="1221"/>
      <c r="BYJ33" s="1221"/>
      <c r="BYK33" s="1221"/>
      <c r="BYL33" s="1221"/>
      <c r="BYM33" s="1221"/>
      <c r="BYN33" s="1221"/>
      <c r="BYO33" s="1221"/>
      <c r="BYP33" s="1221"/>
      <c r="BYQ33" s="1221"/>
      <c r="BYR33" s="1221"/>
      <c r="BYS33" s="1221"/>
      <c r="BYT33" s="1221"/>
      <c r="BYU33" s="1221"/>
      <c r="BYV33" s="1221"/>
      <c r="BYW33" s="1221"/>
      <c r="BYX33" s="1221"/>
      <c r="BYY33" s="1221"/>
      <c r="BYZ33" s="1221"/>
      <c r="BZA33" s="1221"/>
      <c r="BZB33" s="1221"/>
      <c r="BZC33" s="1221"/>
      <c r="BZD33" s="1221"/>
      <c r="BZE33" s="1221"/>
      <c r="BZF33" s="1221"/>
      <c r="BZG33" s="1221"/>
      <c r="BZH33" s="1221"/>
      <c r="BZI33" s="1221"/>
      <c r="BZJ33" s="1221"/>
      <c r="BZK33" s="1221"/>
      <c r="BZL33" s="1221"/>
      <c r="BZM33" s="1221"/>
      <c r="BZN33" s="1221"/>
      <c r="BZO33" s="1221"/>
      <c r="BZP33" s="1221"/>
      <c r="BZQ33" s="1221"/>
      <c r="BZR33" s="1221"/>
      <c r="BZS33" s="1221"/>
      <c r="BZT33" s="1221"/>
      <c r="BZU33" s="1221"/>
      <c r="BZV33" s="1221"/>
      <c r="BZW33" s="1221"/>
      <c r="BZX33" s="1221"/>
      <c r="BZY33" s="1221"/>
      <c r="BZZ33" s="1221"/>
      <c r="CAA33" s="1221"/>
      <c r="CAB33" s="1221"/>
      <c r="CAC33" s="1221"/>
      <c r="CAD33" s="1221"/>
      <c r="CAE33" s="1221"/>
      <c r="CAF33" s="1221"/>
      <c r="CAG33" s="1221"/>
      <c r="CAH33" s="1221"/>
      <c r="CAI33" s="1221"/>
      <c r="CAJ33" s="1221"/>
      <c r="CAK33" s="1221"/>
      <c r="CAL33" s="1221"/>
      <c r="CAM33" s="1221"/>
      <c r="CAN33" s="1221"/>
      <c r="CAO33" s="1221"/>
      <c r="CAP33" s="1221"/>
      <c r="CAQ33" s="1221"/>
      <c r="CAR33" s="1221"/>
      <c r="CAS33" s="1221"/>
      <c r="CAT33" s="1221"/>
      <c r="CAU33" s="1221"/>
      <c r="CAV33" s="1221"/>
      <c r="CAW33" s="1221"/>
      <c r="CAX33" s="1221"/>
      <c r="CAY33" s="1221"/>
      <c r="CAZ33" s="1221"/>
      <c r="CBA33" s="1221"/>
      <c r="CBB33" s="1221"/>
      <c r="CBC33" s="1221"/>
      <c r="CBD33" s="1221"/>
      <c r="CBE33" s="1221"/>
      <c r="CBF33" s="1221"/>
      <c r="CBG33" s="1221"/>
      <c r="CBH33" s="1221"/>
      <c r="CBI33" s="1221"/>
      <c r="CBJ33" s="1221"/>
      <c r="CBK33" s="1221"/>
      <c r="CBL33" s="1221"/>
      <c r="CBM33" s="1221"/>
      <c r="CBN33" s="1221"/>
      <c r="CBO33" s="1221"/>
      <c r="CBP33" s="1221"/>
      <c r="CBQ33" s="1221"/>
      <c r="CBR33" s="1221"/>
      <c r="CBS33" s="1221"/>
      <c r="CBT33" s="1221"/>
      <c r="CBU33" s="1221"/>
      <c r="CBV33" s="1221"/>
      <c r="CBW33" s="1221"/>
      <c r="CBX33" s="1221"/>
      <c r="CBY33" s="1221"/>
      <c r="CBZ33" s="1221"/>
      <c r="CCA33" s="1221"/>
      <c r="CCB33" s="1221"/>
      <c r="CCC33" s="1221"/>
      <c r="CCD33" s="1221"/>
      <c r="CCE33" s="1221"/>
      <c r="CCF33" s="1221"/>
      <c r="CCG33" s="1221"/>
      <c r="CCH33" s="1221"/>
      <c r="CCI33" s="1221"/>
      <c r="CCJ33" s="1221"/>
      <c r="CCK33" s="1221"/>
      <c r="CCL33" s="1221"/>
      <c r="CCM33" s="1221"/>
      <c r="CCN33" s="1221"/>
      <c r="CCO33" s="1221"/>
      <c r="CCP33" s="1221"/>
      <c r="CCQ33" s="1221"/>
      <c r="CCR33" s="1221"/>
      <c r="CCS33" s="1221"/>
      <c r="CCT33" s="1221"/>
      <c r="CCU33" s="1221"/>
      <c r="CCV33" s="1221"/>
      <c r="CCW33" s="1221"/>
      <c r="CCX33" s="1221"/>
      <c r="CCY33" s="1221"/>
      <c r="CCZ33" s="1221"/>
      <c r="CDA33" s="1221"/>
      <c r="CDB33" s="1221"/>
      <c r="CDC33" s="1221"/>
      <c r="CDD33" s="1221"/>
      <c r="CDE33" s="1221"/>
      <c r="CDF33" s="1221"/>
      <c r="CDG33" s="1221"/>
      <c r="CDH33" s="1221"/>
      <c r="CDI33" s="1221"/>
      <c r="CDJ33" s="1221"/>
      <c r="CDK33" s="1221"/>
      <c r="CDL33" s="1221"/>
      <c r="CDM33" s="1221"/>
      <c r="CDN33" s="1221"/>
      <c r="CDO33" s="1221"/>
      <c r="CDP33" s="1221"/>
      <c r="CDQ33" s="1221"/>
      <c r="CDR33" s="1221"/>
      <c r="CDS33" s="1221"/>
      <c r="CDT33" s="1221"/>
      <c r="CDU33" s="1221"/>
      <c r="CDV33" s="1221"/>
      <c r="CDW33" s="1221"/>
      <c r="CDX33" s="1221"/>
      <c r="CDY33" s="1221"/>
      <c r="CDZ33" s="1221"/>
      <c r="CEA33" s="1221"/>
      <c r="CEB33" s="1221"/>
      <c r="CEC33" s="1221"/>
      <c r="CED33" s="1221"/>
      <c r="CEE33" s="1221"/>
      <c r="CEF33" s="1221"/>
      <c r="CEG33" s="1221"/>
      <c r="CEH33" s="1221"/>
      <c r="CEI33" s="1221"/>
      <c r="CEJ33" s="1221"/>
      <c r="CEK33" s="1221"/>
      <c r="CEL33" s="1221"/>
      <c r="CEM33" s="1221"/>
      <c r="CEN33" s="1221"/>
      <c r="CEO33" s="1221"/>
      <c r="CEP33" s="1221"/>
      <c r="CEQ33" s="1221"/>
      <c r="CER33" s="1221"/>
      <c r="CES33" s="1221"/>
      <c r="CET33" s="1221"/>
      <c r="CEU33" s="1221"/>
      <c r="CEV33" s="1221"/>
      <c r="CEW33" s="1221"/>
      <c r="CEX33" s="1221"/>
      <c r="CEY33" s="1221"/>
      <c r="CEZ33" s="1221"/>
      <c r="CFA33" s="1221"/>
      <c r="CFB33" s="1221"/>
      <c r="CFC33" s="1221"/>
      <c r="CFD33" s="1221"/>
      <c r="CFE33" s="1221"/>
      <c r="CFF33" s="1221"/>
      <c r="CFG33" s="1221"/>
      <c r="CFH33" s="1221"/>
      <c r="CFI33" s="1221"/>
      <c r="CFJ33" s="1221"/>
      <c r="CFK33" s="1221"/>
      <c r="CFL33" s="1221"/>
      <c r="CFM33" s="1221"/>
      <c r="CFN33" s="1221"/>
      <c r="CFO33" s="1221"/>
      <c r="CFP33" s="1221"/>
      <c r="CFQ33" s="1221"/>
      <c r="CFR33" s="1221"/>
      <c r="CFS33" s="1221"/>
      <c r="CFT33" s="1221"/>
      <c r="CFU33" s="1221"/>
      <c r="CFV33" s="1221"/>
      <c r="CFW33" s="1221"/>
      <c r="CFX33" s="1221"/>
      <c r="CFY33" s="1221"/>
      <c r="CFZ33" s="1221"/>
      <c r="CGA33" s="1221"/>
      <c r="CGB33" s="1221"/>
      <c r="CGC33" s="1221"/>
      <c r="CGD33" s="1221"/>
      <c r="CGE33" s="1221"/>
      <c r="CGF33" s="1221"/>
      <c r="CGG33" s="1221"/>
      <c r="CGH33" s="1221"/>
      <c r="CGI33" s="1221"/>
      <c r="CGJ33" s="1221"/>
      <c r="CGK33" s="1221"/>
      <c r="CGL33" s="1221"/>
      <c r="CGM33" s="1221"/>
      <c r="CGN33" s="1221"/>
      <c r="CGO33" s="1221"/>
      <c r="CGP33" s="1221"/>
      <c r="CGQ33" s="1221"/>
      <c r="CGR33" s="1221"/>
      <c r="CGS33" s="1221"/>
      <c r="CGT33" s="1221"/>
      <c r="CGU33" s="1221"/>
      <c r="CGV33" s="1221"/>
      <c r="CGW33" s="1221"/>
      <c r="CGX33" s="1221"/>
      <c r="CGY33" s="1221"/>
      <c r="CGZ33" s="1221"/>
      <c r="CHA33" s="1221"/>
      <c r="CHB33" s="1221"/>
      <c r="CHC33" s="1221"/>
      <c r="CHD33" s="1221"/>
      <c r="CHE33" s="1221"/>
      <c r="CHF33" s="1221"/>
      <c r="CHG33" s="1221"/>
      <c r="CHH33" s="1221"/>
      <c r="CHI33" s="1221"/>
      <c r="CHJ33" s="1221"/>
      <c r="CHK33" s="1221"/>
      <c r="CHL33" s="1221"/>
      <c r="CHM33" s="1221"/>
      <c r="CHN33" s="1221"/>
      <c r="CHO33" s="1221"/>
      <c r="CHP33" s="1221"/>
      <c r="CHQ33" s="1221"/>
      <c r="CHR33" s="1221"/>
      <c r="CHS33" s="1221"/>
      <c r="CHT33" s="1221"/>
      <c r="CHU33" s="1221"/>
      <c r="CHV33" s="1221"/>
      <c r="CHW33" s="1221"/>
      <c r="CHX33" s="1221"/>
      <c r="CHY33" s="1221"/>
      <c r="CHZ33" s="1221"/>
      <c r="CIA33" s="1221"/>
      <c r="CIB33" s="1221"/>
      <c r="CIC33" s="1221"/>
      <c r="CID33" s="1221"/>
      <c r="CIE33" s="1221"/>
      <c r="CIF33" s="1221"/>
      <c r="CIG33" s="1221"/>
      <c r="CIH33" s="1221"/>
      <c r="CII33" s="1221"/>
      <c r="CIJ33" s="1221"/>
      <c r="CIK33" s="1221"/>
      <c r="CIL33" s="1221"/>
      <c r="CIM33" s="1221"/>
      <c r="CIN33" s="1221"/>
      <c r="CIO33" s="1221"/>
      <c r="CIP33" s="1221"/>
      <c r="CIQ33" s="1221"/>
      <c r="CIR33" s="1221"/>
      <c r="CIS33" s="1221"/>
      <c r="CIT33" s="1221"/>
      <c r="CIU33" s="1221"/>
      <c r="CIV33" s="1221"/>
      <c r="CIW33" s="1221"/>
      <c r="CIX33" s="1221"/>
      <c r="CIY33" s="1221"/>
      <c r="CIZ33" s="1221"/>
      <c r="CJA33" s="1221"/>
      <c r="CJB33" s="1221"/>
      <c r="CJC33" s="1221"/>
      <c r="CJD33" s="1221"/>
      <c r="CJE33" s="1221"/>
      <c r="CJF33" s="1221"/>
      <c r="CJG33" s="1221"/>
      <c r="CJH33" s="1221"/>
      <c r="CJI33" s="1221"/>
      <c r="CJJ33" s="1221"/>
      <c r="CJK33" s="1221"/>
      <c r="CJL33" s="1221"/>
      <c r="CJM33" s="1221"/>
      <c r="CJN33" s="1221"/>
      <c r="CJO33" s="1221"/>
      <c r="CJP33" s="1221"/>
      <c r="CJQ33" s="1221"/>
      <c r="CJR33" s="1221"/>
      <c r="CJS33" s="1221"/>
      <c r="CJT33" s="1221"/>
      <c r="CJU33" s="1221"/>
      <c r="CJV33" s="1221"/>
      <c r="CJW33" s="1221"/>
      <c r="CJX33" s="1221"/>
      <c r="CJY33" s="1221"/>
      <c r="CJZ33" s="1221"/>
      <c r="CKA33" s="1221"/>
      <c r="CKB33" s="1221"/>
      <c r="CKC33" s="1221"/>
      <c r="CKD33" s="1221"/>
      <c r="CKE33" s="1221"/>
      <c r="CKF33" s="1221"/>
      <c r="CKG33" s="1221"/>
      <c r="CKH33" s="1221"/>
      <c r="CKI33" s="1221"/>
      <c r="CKJ33" s="1221"/>
      <c r="CKK33" s="1221"/>
      <c r="CKL33" s="1221"/>
      <c r="CKM33" s="1221"/>
      <c r="CKN33" s="1221"/>
      <c r="CKO33" s="1221"/>
      <c r="CKP33" s="1221"/>
      <c r="CKQ33" s="1221"/>
      <c r="CKR33" s="1221"/>
      <c r="CKS33" s="1221"/>
      <c r="CKT33" s="1221"/>
      <c r="CKU33" s="1221"/>
      <c r="CKV33" s="1221"/>
      <c r="CKW33" s="1221"/>
      <c r="CKX33" s="1221"/>
      <c r="CKY33" s="1221"/>
      <c r="CKZ33" s="1221"/>
      <c r="CLA33" s="1221"/>
      <c r="CLB33" s="1221"/>
      <c r="CLC33" s="1221"/>
      <c r="CLD33" s="1221"/>
      <c r="CLE33" s="1221"/>
      <c r="CLF33" s="1221"/>
      <c r="CLG33" s="1221"/>
      <c r="CLH33" s="1221"/>
      <c r="CLI33" s="1221"/>
      <c r="CLJ33" s="1221"/>
      <c r="CLK33" s="1221"/>
      <c r="CLL33" s="1221"/>
      <c r="CLM33" s="1221"/>
      <c r="CLN33" s="1221"/>
      <c r="CLO33" s="1221"/>
      <c r="CLP33" s="1221"/>
      <c r="CLQ33" s="1221"/>
      <c r="CLR33" s="1221"/>
      <c r="CLS33" s="1221"/>
      <c r="CLT33" s="1221"/>
      <c r="CLU33" s="1221"/>
      <c r="CLV33" s="1221"/>
      <c r="CLW33" s="1221"/>
      <c r="CLX33" s="1221"/>
      <c r="CLY33" s="1221"/>
      <c r="CLZ33" s="1221"/>
      <c r="CMA33" s="1221"/>
      <c r="CMB33" s="1221"/>
      <c r="CMC33" s="1221"/>
      <c r="CMD33" s="1221"/>
      <c r="CME33" s="1221"/>
      <c r="CMF33" s="1221"/>
      <c r="CMG33" s="1221"/>
      <c r="CMH33" s="1221"/>
      <c r="CMI33" s="1221"/>
      <c r="CMJ33" s="1221"/>
      <c r="CMK33" s="1221"/>
      <c r="CML33" s="1221"/>
      <c r="CMM33" s="1221"/>
      <c r="CMN33" s="1221"/>
      <c r="CMO33" s="1221"/>
      <c r="CMP33" s="1221"/>
      <c r="CMQ33" s="1221"/>
      <c r="CMR33" s="1221"/>
      <c r="CMS33" s="1221"/>
      <c r="CMT33" s="1221"/>
      <c r="CMU33" s="1221"/>
      <c r="CMV33" s="1221"/>
      <c r="CMW33" s="1221"/>
      <c r="CMX33" s="1221"/>
      <c r="CMY33" s="1221"/>
      <c r="CMZ33" s="1221"/>
      <c r="CNA33" s="1221"/>
      <c r="CNB33" s="1221"/>
      <c r="CNC33" s="1221"/>
      <c r="CND33" s="1221"/>
      <c r="CNE33" s="1221"/>
      <c r="CNF33" s="1221"/>
      <c r="CNG33" s="1221"/>
      <c r="CNH33" s="1221"/>
      <c r="CNI33" s="1221"/>
      <c r="CNJ33" s="1221"/>
      <c r="CNK33" s="1221"/>
      <c r="CNL33" s="1221"/>
      <c r="CNM33" s="1221"/>
      <c r="CNN33" s="1221"/>
      <c r="CNO33" s="1221"/>
      <c r="CNP33" s="1221"/>
      <c r="CNQ33" s="1221"/>
      <c r="CNR33" s="1221"/>
      <c r="CNS33" s="1221"/>
      <c r="CNT33" s="1221"/>
      <c r="CNU33" s="1221"/>
      <c r="CNV33" s="1221"/>
      <c r="CNW33" s="1221"/>
      <c r="CNX33" s="1221"/>
      <c r="CNY33" s="1221"/>
      <c r="CNZ33" s="1221"/>
      <c r="COA33" s="1221"/>
      <c r="COB33" s="1221"/>
      <c r="COC33" s="1221"/>
      <c r="COD33" s="1221"/>
      <c r="COE33" s="1221"/>
      <c r="COF33" s="1221"/>
      <c r="COG33" s="1221"/>
      <c r="COH33" s="1221"/>
      <c r="COI33" s="1221"/>
      <c r="COJ33" s="1221"/>
      <c r="COK33" s="1221"/>
      <c r="COL33" s="1221"/>
      <c r="COM33" s="1221"/>
      <c r="CON33" s="1221"/>
      <c r="COO33" s="1221"/>
      <c r="COP33" s="1221"/>
      <c r="COQ33" s="1221"/>
      <c r="COR33" s="1221"/>
      <c r="COS33" s="1221"/>
      <c r="COT33" s="1221"/>
      <c r="COU33" s="1221"/>
      <c r="COV33" s="1221"/>
      <c r="COW33" s="1221"/>
      <c r="COX33" s="1221"/>
      <c r="COY33" s="1221"/>
      <c r="COZ33" s="1221"/>
      <c r="CPA33" s="1221"/>
      <c r="CPB33" s="1221"/>
      <c r="CPC33" s="1221"/>
      <c r="CPD33" s="1221"/>
      <c r="CPE33" s="1221"/>
      <c r="CPF33" s="1221"/>
      <c r="CPG33" s="1221"/>
      <c r="CPH33" s="1221"/>
      <c r="CPI33" s="1221"/>
      <c r="CPJ33" s="1221"/>
      <c r="CPK33" s="1221"/>
      <c r="CPL33" s="1221"/>
      <c r="CPM33" s="1221"/>
      <c r="CPN33" s="1221"/>
      <c r="CPO33" s="1221"/>
      <c r="CPP33" s="1221"/>
      <c r="CPQ33" s="1221"/>
      <c r="CPR33" s="1221"/>
      <c r="CPS33" s="1221"/>
      <c r="CPT33" s="1221"/>
      <c r="CPU33" s="1221"/>
      <c r="CPV33" s="1221"/>
      <c r="CPW33" s="1221"/>
      <c r="CPX33" s="1221"/>
      <c r="CPY33" s="1221"/>
      <c r="CPZ33" s="1221"/>
      <c r="CQA33" s="1221"/>
      <c r="CQB33" s="1221"/>
      <c r="CQC33" s="1221"/>
      <c r="CQD33" s="1221"/>
      <c r="CQE33" s="1221"/>
      <c r="CQF33" s="1221"/>
      <c r="CQG33" s="1221"/>
      <c r="CQH33" s="1221"/>
      <c r="CQI33" s="1221"/>
      <c r="CQJ33" s="1221"/>
      <c r="CQK33" s="1221"/>
      <c r="CQL33" s="1221"/>
      <c r="CQM33" s="1221"/>
      <c r="CQN33" s="1221"/>
      <c r="CQO33" s="1221"/>
      <c r="CQP33" s="1221"/>
      <c r="CQQ33" s="1221"/>
      <c r="CQR33" s="1221"/>
      <c r="CQS33" s="1221"/>
      <c r="CQT33" s="1221"/>
      <c r="CQU33" s="1221"/>
      <c r="CQV33" s="1221"/>
      <c r="CQW33" s="1221"/>
      <c r="CQX33" s="1221"/>
      <c r="CQY33" s="1221"/>
      <c r="CQZ33" s="1221"/>
      <c r="CRA33" s="1221"/>
      <c r="CRB33" s="1221"/>
      <c r="CRC33" s="1221"/>
      <c r="CRD33" s="1221"/>
      <c r="CRE33" s="1221"/>
      <c r="CRF33" s="1221"/>
      <c r="CRG33" s="1221"/>
      <c r="CRH33" s="1221"/>
      <c r="CRI33" s="1221"/>
      <c r="CRJ33" s="1221"/>
      <c r="CRK33" s="1221"/>
      <c r="CRL33" s="1221"/>
      <c r="CRM33" s="1221"/>
      <c r="CRN33" s="1221"/>
      <c r="CRO33" s="1221"/>
      <c r="CRP33" s="1221"/>
      <c r="CRQ33" s="1221"/>
      <c r="CRR33" s="1221"/>
      <c r="CRS33" s="1221"/>
      <c r="CRT33" s="1221"/>
      <c r="CRU33" s="1221"/>
      <c r="CRV33" s="1221"/>
      <c r="CRW33" s="1221"/>
      <c r="CRX33" s="1221"/>
      <c r="CRY33" s="1221"/>
      <c r="CRZ33" s="1221"/>
      <c r="CSA33" s="1221"/>
      <c r="CSB33" s="1221"/>
      <c r="CSC33" s="1221"/>
      <c r="CSD33" s="1221"/>
      <c r="CSE33" s="1221"/>
      <c r="CSF33" s="1221"/>
      <c r="CSG33" s="1221"/>
      <c r="CSH33" s="1221"/>
      <c r="CSI33" s="1221"/>
      <c r="CSJ33" s="1221"/>
      <c r="CSK33" s="1221"/>
      <c r="CSL33" s="1221"/>
      <c r="CSM33" s="1221"/>
      <c r="CSN33" s="1221"/>
      <c r="CSO33" s="1221"/>
      <c r="CSP33" s="1221"/>
      <c r="CSQ33" s="1221"/>
      <c r="CSR33" s="1221"/>
      <c r="CSS33" s="1221"/>
      <c r="CST33" s="1221"/>
      <c r="CSU33" s="1221"/>
      <c r="CSV33" s="1221"/>
      <c r="CSW33" s="1221"/>
      <c r="CSX33" s="1221"/>
      <c r="CSY33" s="1221"/>
      <c r="CSZ33" s="1221"/>
      <c r="CTA33" s="1221"/>
      <c r="CTB33" s="1221"/>
      <c r="CTC33" s="1221"/>
      <c r="CTD33" s="1221"/>
      <c r="CTE33" s="1221"/>
      <c r="CTF33" s="1221"/>
      <c r="CTG33" s="1221"/>
      <c r="CTH33" s="1221"/>
      <c r="CTI33" s="1221"/>
      <c r="CTJ33" s="1221"/>
      <c r="CTK33" s="1221"/>
      <c r="CTL33" s="1221"/>
      <c r="CTM33" s="1221"/>
      <c r="CTN33" s="1221"/>
      <c r="CTO33" s="1221"/>
      <c r="CTP33" s="1221"/>
      <c r="CTQ33" s="1221"/>
      <c r="CTR33" s="1221"/>
      <c r="CTS33" s="1221"/>
      <c r="CTT33" s="1221"/>
      <c r="CTU33" s="1221"/>
      <c r="CTV33" s="1221"/>
      <c r="CTW33" s="1221"/>
      <c r="CTX33" s="1221"/>
      <c r="CTY33" s="1221"/>
      <c r="CTZ33" s="1221"/>
      <c r="CUA33" s="1221"/>
      <c r="CUB33" s="1221"/>
      <c r="CUC33" s="1221"/>
      <c r="CUD33" s="1221"/>
      <c r="CUE33" s="1221"/>
      <c r="CUF33" s="1221"/>
      <c r="CUG33" s="1221"/>
      <c r="CUH33" s="1221"/>
      <c r="CUI33" s="1221"/>
      <c r="CUJ33" s="1221"/>
      <c r="CUK33" s="1221"/>
      <c r="CUL33" s="1221"/>
      <c r="CUM33" s="1221"/>
      <c r="CUN33" s="1221"/>
      <c r="CUO33" s="1221"/>
      <c r="CUP33" s="1221"/>
      <c r="CUQ33" s="1221"/>
      <c r="CUR33" s="1221"/>
      <c r="CUS33" s="1221"/>
      <c r="CUT33" s="1221"/>
      <c r="CUU33" s="1221"/>
      <c r="CUV33" s="1221"/>
      <c r="CUW33" s="1221"/>
      <c r="CUX33" s="1221"/>
      <c r="CUY33" s="1221"/>
      <c r="CUZ33" s="1221"/>
      <c r="CVA33" s="1221"/>
      <c r="CVB33" s="1221"/>
      <c r="CVC33" s="1221"/>
      <c r="CVD33" s="1221"/>
      <c r="CVE33" s="1221"/>
      <c r="CVF33" s="1221"/>
      <c r="CVG33" s="1221"/>
      <c r="CVH33" s="1221"/>
      <c r="CVI33" s="1221"/>
      <c r="CVJ33" s="1221"/>
      <c r="CVK33" s="1221"/>
      <c r="CVL33" s="1221"/>
      <c r="CVM33" s="1221"/>
      <c r="CVN33" s="1221"/>
      <c r="CVO33" s="1221"/>
      <c r="CVP33" s="1221"/>
      <c r="CVQ33" s="1221"/>
      <c r="CVR33" s="1221"/>
      <c r="CVS33" s="1221"/>
      <c r="CVT33" s="1221"/>
      <c r="CVU33" s="1221"/>
      <c r="CVV33" s="1221"/>
      <c r="CVW33" s="1221"/>
      <c r="CVX33" s="1221"/>
      <c r="CVY33" s="1221"/>
      <c r="CVZ33" s="1221"/>
      <c r="CWA33" s="1221"/>
      <c r="CWB33" s="1221"/>
      <c r="CWC33" s="1221"/>
      <c r="CWD33" s="1221"/>
      <c r="CWE33" s="1221"/>
      <c r="CWF33" s="1221"/>
      <c r="CWG33" s="1221"/>
      <c r="CWH33" s="1221"/>
      <c r="CWI33" s="1221"/>
      <c r="CWJ33" s="1221"/>
      <c r="CWK33" s="1221"/>
      <c r="CWL33" s="1221"/>
      <c r="CWM33" s="1221"/>
      <c r="CWN33" s="1221"/>
      <c r="CWO33" s="1221"/>
      <c r="CWP33" s="1221"/>
      <c r="CWQ33" s="1221"/>
      <c r="CWR33" s="1221"/>
      <c r="CWS33" s="1221"/>
      <c r="CWT33" s="1221"/>
      <c r="CWU33" s="1221"/>
      <c r="CWV33" s="1221"/>
      <c r="CWW33" s="1221"/>
      <c r="CWX33" s="1221"/>
      <c r="CWY33" s="1221"/>
      <c r="CWZ33" s="1221"/>
      <c r="CXA33" s="1221"/>
      <c r="CXB33" s="1221"/>
      <c r="CXC33" s="1221"/>
      <c r="CXD33" s="1221"/>
      <c r="CXE33" s="1221"/>
      <c r="CXF33" s="1221"/>
      <c r="CXG33" s="1221"/>
      <c r="CXH33" s="1221"/>
      <c r="CXI33" s="1221"/>
      <c r="CXJ33" s="1221"/>
      <c r="CXK33" s="1221"/>
      <c r="CXL33" s="1221"/>
      <c r="CXM33" s="1221"/>
      <c r="CXN33" s="1221"/>
      <c r="CXO33" s="1221"/>
      <c r="CXP33" s="1221"/>
      <c r="CXQ33" s="1221"/>
      <c r="CXR33" s="1221"/>
      <c r="CXS33" s="1221"/>
      <c r="CXT33" s="1221"/>
      <c r="CXU33" s="1221"/>
      <c r="CXV33" s="1221"/>
      <c r="CXW33" s="1221"/>
      <c r="CXX33" s="1221"/>
      <c r="CXY33" s="1221"/>
      <c r="CXZ33" s="1221"/>
      <c r="CYA33" s="1221"/>
      <c r="CYB33" s="1221"/>
      <c r="CYC33" s="1221"/>
      <c r="CYD33" s="1221"/>
      <c r="CYE33" s="1221"/>
      <c r="CYF33" s="1221"/>
      <c r="CYG33" s="1221"/>
      <c r="CYH33" s="1221"/>
      <c r="CYI33" s="1221"/>
      <c r="CYJ33" s="1221"/>
      <c r="CYK33" s="1221"/>
      <c r="CYL33" s="1221"/>
      <c r="CYM33" s="1221"/>
      <c r="CYN33" s="1221"/>
      <c r="CYO33" s="1221"/>
      <c r="CYP33" s="1221"/>
      <c r="CYQ33" s="1221"/>
      <c r="CYR33" s="1221"/>
      <c r="CYS33" s="1221"/>
      <c r="CYT33" s="1221"/>
      <c r="CYU33" s="1221"/>
      <c r="CYV33" s="1221"/>
      <c r="CYW33" s="1221"/>
      <c r="CYX33" s="1221"/>
      <c r="CYY33" s="1221"/>
      <c r="CYZ33" s="1221"/>
      <c r="CZA33" s="1221"/>
      <c r="CZB33" s="1221"/>
      <c r="CZC33" s="1221"/>
      <c r="CZD33" s="1221"/>
      <c r="CZE33" s="1221"/>
      <c r="CZF33" s="1221"/>
      <c r="CZG33" s="1221"/>
      <c r="CZH33" s="1221"/>
      <c r="CZI33" s="1221"/>
      <c r="CZJ33" s="1221"/>
      <c r="CZK33" s="1221"/>
      <c r="CZL33" s="1221"/>
      <c r="CZM33" s="1221"/>
      <c r="CZN33" s="1221"/>
      <c r="CZO33" s="1221"/>
      <c r="CZP33" s="1221"/>
      <c r="CZQ33" s="1221"/>
      <c r="CZR33" s="1221"/>
      <c r="CZS33" s="1221"/>
      <c r="CZT33" s="1221"/>
      <c r="CZU33" s="1221"/>
      <c r="CZV33" s="1221"/>
      <c r="CZW33" s="1221"/>
      <c r="CZX33" s="1221"/>
      <c r="CZY33" s="1221"/>
      <c r="CZZ33" s="1221"/>
      <c r="DAA33" s="1221"/>
      <c r="DAB33" s="1221"/>
      <c r="DAC33" s="1221"/>
      <c r="DAD33" s="1221"/>
      <c r="DAE33" s="1221"/>
      <c r="DAF33" s="1221"/>
      <c r="DAG33" s="1221"/>
      <c r="DAH33" s="1221"/>
      <c r="DAI33" s="1221"/>
      <c r="DAJ33" s="1221"/>
      <c r="DAK33" s="1221"/>
      <c r="DAL33" s="1221"/>
      <c r="DAM33" s="1221"/>
      <c r="DAN33" s="1221"/>
      <c r="DAO33" s="1221"/>
      <c r="DAP33" s="1221"/>
      <c r="DAQ33" s="1221"/>
      <c r="DAR33" s="1221"/>
      <c r="DAS33" s="1221"/>
      <c r="DAT33" s="1221"/>
      <c r="DAU33" s="1221"/>
      <c r="DAV33" s="1221"/>
      <c r="DAW33" s="1221"/>
      <c r="DAX33" s="1221"/>
      <c r="DAY33" s="1221"/>
      <c r="DAZ33" s="1221"/>
      <c r="DBA33" s="1221"/>
      <c r="DBB33" s="1221"/>
      <c r="DBC33" s="1221"/>
      <c r="DBD33" s="1221"/>
      <c r="DBE33" s="1221"/>
      <c r="DBF33" s="1221"/>
      <c r="DBG33" s="1221"/>
      <c r="DBH33" s="1221"/>
      <c r="DBI33" s="1221"/>
      <c r="DBJ33" s="1221"/>
      <c r="DBK33" s="1221"/>
      <c r="DBL33" s="1221"/>
      <c r="DBM33" s="1221"/>
      <c r="DBN33" s="1221"/>
      <c r="DBO33" s="1221"/>
      <c r="DBP33" s="1221"/>
      <c r="DBQ33" s="1221"/>
      <c r="DBR33" s="1221"/>
      <c r="DBS33" s="1221"/>
      <c r="DBT33" s="1221"/>
      <c r="DBU33" s="1221"/>
      <c r="DBV33" s="1221"/>
      <c r="DBW33" s="1221"/>
      <c r="DBX33" s="1221"/>
      <c r="DBY33" s="1221"/>
      <c r="DBZ33" s="1221"/>
      <c r="DCA33" s="1221"/>
      <c r="DCB33" s="1221"/>
      <c r="DCC33" s="1221"/>
      <c r="DCD33" s="1221"/>
      <c r="DCE33" s="1221"/>
      <c r="DCF33" s="1221"/>
      <c r="DCG33" s="1221"/>
      <c r="DCH33" s="1221"/>
      <c r="DCI33" s="1221"/>
      <c r="DCJ33" s="1221"/>
      <c r="DCK33" s="1221"/>
      <c r="DCL33" s="1221"/>
      <c r="DCM33" s="1221"/>
      <c r="DCN33" s="1221"/>
      <c r="DCO33" s="1221"/>
      <c r="DCP33" s="1221"/>
      <c r="DCQ33" s="1221"/>
      <c r="DCR33" s="1221"/>
      <c r="DCS33" s="1221"/>
      <c r="DCT33" s="1221"/>
      <c r="DCU33" s="1221"/>
      <c r="DCV33" s="1221"/>
      <c r="DCW33" s="1221"/>
      <c r="DCX33" s="1221"/>
      <c r="DCY33" s="1221"/>
      <c r="DCZ33" s="1221"/>
      <c r="DDA33" s="1221"/>
      <c r="DDB33" s="1221"/>
      <c r="DDC33" s="1221"/>
      <c r="DDD33" s="1221"/>
      <c r="DDE33" s="1221"/>
      <c r="DDF33" s="1221"/>
      <c r="DDG33" s="1221"/>
      <c r="DDH33" s="1221"/>
      <c r="DDI33" s="1221"/>
      <c r="DDJ33" s="1221"/>
      <c r="DDK33" s="1221"/>
      <c r="DDL33" s="1221"/>
      <c r="DDM33" s="1221"/>
      <c r="DDN33" s="1221"/>
      <c r="DDO33" s="1221"/>
      <c r="DDP33" s="1221"/>
      <c r="DDQ33" s="1221"/>
      <c r="DDR33" s="1221"/>
      <c r="DDS33" s="1221"/>
      <c r="DDT33" s="1221"/>
      <c r="DDU33" s="1221"/>
      <c r="DDV33" s="1221"/>
      <c r="DDW33" s="1221"/>
      <c r="DDX33" s="1221"/>
      <c r="DDY33" s="1221"/>
      <c r="DDZ33" s="1221"/>
      <c r="DEA33" s="1221"/>
      <c r="DEB33" s="1221"/>
      <c r="DEC33" s="1221"/>
      <c r="DED33" s="1221"/>
      <c r="DEE33" s="1221"/>
      <c r="DEF33" s="1221"/>
      <c r="DEG33" s="1221"/>
      <c r="DEH33" s="1221"/>
      <c r="DEI33" s="1221"/>
      <c r="DEJ33" s="1221"/>
      <c r="DEK33" s="1221"/>
      <c r="DEL33" s="1221"/>
      <c r="DEM33" s="1221"/>
      <c r="DEN33" s="1221"/>
      <c r="DEO33" s="1221"/>
      <c r="DEP33" s="1221"/>
      <c r="DEQ33" s="1221"/>
      <c r="DER33" s="1221"/>
      <c r="DES33" s="1221"/>
      <c r="DET33" s="1221"/>
      <c r="DEU33" s="1221"/>
      <c r="DEV33" s="1221"/>
      <c r="DEW33" s="1221"/>
      <c r="DEX33" s="1221"/>
      <c r="DEY33" s="1221"/>
      <c r="DEZ33" s="1221"/>
      <c r="DFA33" s="1221"/>
      <c r="DFB33" s="1221"/>
      <c r="DFC33" s="1221"/>
      <c r="DFD33" s="1221"/>
      <c r="DFE33" s="1221"/>
      <c r="DFF33" s="1221"/>
      <c r="DFG33" s="1221"/>
      <c r="DFH33" s="1221"/>
      <c r="DFI33" s="1221"/>
      <c r="DFJ33" s="1221"/>
      <c r="DFK33" s="1221"/>
      <c r="DFL33" s="1221"/>
      <c r="DFM33" s="1221"/>
      <c r="DFN33" s="1221"/>
      <c r="DFO33" s="1221"/>
      <c r="DFP33" s="1221"/>
      <c r="DFQ33" s="1221"/>
      <c r="DFR33" s="1221"/>
      <c r="DFS33" s="1221"/>
      <c r="DFT33" s="1221"/>
      <c r="DFU33" s="1221"/>
      <c r="DFV33" s="1221"/>
      <c r="DFW33" s="1221"/>
      <c r="DFX33" s="1221"/>
      <c r="DFY33" s="1221"/>
      <c r="DFZ33" s="1221"/>
      <c r="DGA33" s="1221"/>
      <c r="DGB33" s="1221"/>
      <c r="DGC33" s="1221"/>
      <c r="DGD33" s="1221"/>
      <c r="DGE33" s="1221"/>
      <c r="DGF33" s="1221"/>
      <c r="DGG33" s="1221"/>
      <c r="DGH33" s="1221"/>
      <c r="DGI33" s="1221"/>
      <c r="DGJ33" s="1221"/>
      <c r="DGK33" s="1221"/>
      <c r="DGL33" s="1221"/>
      <c r="DGM33" s="1221"/>
      <c r="DGN33" s="1221"/>
      <c r="DGO33" s="1221"/>
      <c r="DGP33" s="1221"/>
      <c r="DGQ33" s="1221"/>
      <c r="DGR33" s="1221"/>
      <c r="DGS33" s="1221"/>
      <c r="DGT33" s="1221"/>
      <c r="DGU33" s="1221"/>
      <c r="DGV33" s="1221"/>
      <c r="DGW33" s="1221"/>
      <c r="DGX33" s="1221"/>
      <c r="DGY33" s="1221"/>
      <c r="DGZ33" s="1221"/>
      <c r="DHA33" s="1221"/>
      <c r="DHB33" s="1221"/>
      <c r="DHC33" s="1221"/>
      <c r="DHD33" s="1221"/>
      <c r="DHE33" s="1221"/>
      <c r="DHF33" s="1221"/>
      <c r="DHG33" s="1221"/>
      <c r="DHH33" s="1221"/>
      <c r="DHI33" s="1221"/>
      <c r="DHJ33" s="1221"/>
      <c r="DHK33" s="1221"/>
      <c r="DHL33" s="1221"/>
      <c r="DHM33" s="1221"/>
      <c r="DHN33" s="1221"/>
      <c r="DHO33" s="1221"/>
      <c r="DHP33" s="1221"/>
      <c r="DHQ33" s="1221"/>
      <c r="DHR33" s="1221"/>
      <c r="DHS33" s="1221"/>
      <c r="DHT33" s="1221"/>
      <c r="DHU33" s="1221"/>
      <c r="DHV33" s="1221"/>
      <c r="DHW33" s="1221"/>
      <c r="DHX33" s="1221"/>
      <c r="DHY33" s="1221"/>
      <c r="DHZ33" s="1221"/>
      <c r="DIA33" s="1221"/>
      <c r="DIB33" s="1221"/>
      <c r="DIC33" s="1221"/>
      <c r="DID33" s="1221"/>
      <c r="DIE33" s="1221"/>
      <c r="DIF33" s="1221"/>
      <c r="DIG33" s="1221"/>
      <c r="DIH33" s="1221"/>
      <c r="DII33" s="1221"/>
      <c r="DIJ33" s="1221"/>
      <c r="DIK33" s="1221"/>
      <c r="DIL33" s="1221"/>
      <c r="DIM33" s="1221"/>
      <c r="DIN33" s="1221"/>
      <c r="DIO33" s="1221"/>
      <c r="DIP33" s="1221"/>
      <c r="DIQ33" s="1221"/>
      <c r="DIR33" s="1221"/>
      <c r="DIS33" s="1221"/>
      <c r="DIT33" s="1221"/>
      <c r="DIU33" s="1221"/>
      <c r="DIV33" s="1221"/>
      <c r="DIW33" s="1221"/>
      <c r="DIX33" s="1221"/>
      <c r="DIY33" s="1221"/>
      <c r="DIZ33" s="1221"/>
      <c r="DJA33" s="1221"/>
      <c r="DJB33" s="1221"/>
      <c r="DJC33" s="1221"/>
      <c r="DJD33" s="1221"/>
      <c r="DJE33" s="1221"/>
      <c r="DJF33" s="1221"/>
      <c r="DJG33" s="1221"/>
      <c r="DJH33" s="1221"/>
      <c r="DJI33" s="1221"/>
      <c r="DJJ33" s="1221"/>
      <c r="DJK33" s="1221"/>
      <c r="DJL33" s="1221"/>
      <c r="DJM33" s="1221"/>
      <c r="DJN33" s="1221"/>
      <c r="DJO33" s="1221"/>
      <c r="DJP33" s="1221"/>
      <c r="DJQ33" s="1221"/>
      <c r="DJR33" s="1221"/>
      <c r="DJS33" s="1221"/>
      <c r="DJT33" s="1221"/>
      <c r="DJU33" s="1221"/>
      <c r="DJV33" s="1221"/>
      <c r="DJW33" s="1221"/>
      <c r="DJX33" s="1221"/>
      <c r="DJY33" s="1221"/>
      <c r="DJZ33" s="1221"/>
      <c r="DKA33" s="1221"/>
      <c r="DKB33" s="1221"/>
      <c r="DKC33" s="1221"/>
      <c r="DKD33" s="1221"/>
      <c r="DKE33" s="1221"/>
      <c r="DKF33" s="1221"/>
      <c r="DKG33" s="1221"/>
      <c r="DKH33" s="1221"/>
      <c r="DKI33" s="1221"/>
      <c r="DKJ33" s="1221"/>
      <c r="DKK33" s="1221"/>
      <c r="DKL33" s="1221"/>
      <c r="DKM33" s="1221"/>
      <c r="DKN33" s="1221"/>
      <c r="DKO33" s="1221"/>
      <c r="DKP33" s="1221"/>
      <c r="DKQ33" s="1221"/>
      <c r="DKR33" s="1221"/>
      <c r="DKS33" s="1221"/>
      <c r="DKT33" s="1221"/>
      <c r="DKU33" s="1221"/>
      <c r="DKV33" s="1221"/>
      <c r="DKW33" s="1221"/>
      <c r="DKX33" s="1221"/>
      <c r="DKY33" s="1221"/>
      <c r="DKZ33" s="1221"/>
      <c r="DLA33" s="1221"/>
      <c r="DLB33" s="1221"/>
      <c r="DLC33" s="1221"/>
      <c r="DLD33" s="1221"/>
      <c r="DLE33" s="1221"/>
      <c r="DLF33" s="1221"/>
      <c r="DLG33" s="1221"/>
      <c r="DLH33" s="1221"/>
      <c r="DLI33" s="1221"/>
      <c r="DLJ33" s="1221"/>
      <c r="DLK33" s="1221"/>
      <c r="DLL33" s="1221"/>
      <c r="DLM33" s="1221"/>
      <c r="DLN33" s="1221"/>
      <c r="DLO33" s="1221"/>
      <c r="DLP33" s="1221"/>
      <c r="DLQ33" s="1221"/>
      <c r="DLR33" s="1221"/>
      <c r="DLS33" s="1221"/>
      <c r="DLT33" s="1221"/>
      <c r="DLU33" s="1221"/>
      <c r="DLV33" s="1221"/>
      <c r="DLW33" s="1221"/>
      <c r="DLX33" s="1221"/>
      <c r="DLY33" s="1221"/>
      <c r="DLZ33" s="1221"/>
      <c r="DMA33" s="1221"/>
      <c r="DMB33" s="1221"/>
      <c r="DMC33" s="1221"/>
      <c r="DMD33" s="1221"/>
      <c r="DME33" s="1221"/>
      <c r="DMF33" s="1221"/>
      <c r="DMG33" s="1221"/>
      <c r="DMH33" s="1221"/>
      <c r="DMI33" s="1221"/>
      <c r="DMJ33" s="1221"/>
      <c r="DMK33" s="1221"/>
      <c r="DML33" s="1221"/>
      <c r="DMM33" s="1221"/>
      <c r="DMN33" s="1221"/>
      <c r="DMO33" s="1221"/>
      <c r="DMP33" s="1221"/>
      <c r="DMQ33" s="1221"/>
      <c r="DMR33" s="1221"/>
      <c r="DMS33" s="1221"/>
      <c r="DMT33" s="1221"/>
      <c r="DMU33" s="1221"/>
      <c r="DMV33" s="1221"/>
      <c r="DMW33" s="1221"/>
      <c r="DMX33" s="1221"/>
      <c r="DMY33" s="1221"/>
      <c r="DMZ33" s="1221"/>
      <c r="DNA33" s="1221"/>
      <c r="DNB33" s="1221"/>
      <c r="DNC33" s="1221"/>
      <c r="DND33" s="1221"/>
      <c r="DNE33" s="1221"/>
      <c r="DNF33" s="1221"/>
      <c r="DNG33" s="1221"/>
      <c r="DNH33" s="1221"/>
      <c r="DNI33" s="1221"/>
      <c r="DNJ33" s="1221"/>
      <c r="DNK33" s="1221"/>
      <c r="DNL33" s="1221"/>
      <c r="DNM33" s="1221"/>
      <c r="DNN33" s="1221"/>
      <c r="DNO33" s="1221"/>
      <c r="DNP33" s="1221"/>
      <c r="DNQ33" s="1221"/>
      <c r="DNR33" s="1221"/>
      <c r="DNS33" s="1221"/>
      <c r="DNT33" s="1221"/>
      <c r="DNU33" s="1221"/>
      <c r="DNV33" s="1221"/>
      <c r="DNW33" s="1221"/>
      <c r="DNX33" s="1221"/>
      <c r="DNY33" s="1221"/>
      <c r="DNZ33" s="1221"/>
      <c r="DOA33" s="1221"/>
      <c r="DOB33" s="1221"/>
      <c r="DOC33" s="1221"/>
      <c r="DOD33" s="1221"/>
      <c r="DOE33" s="1221"/>
      <c r="DOF33" s="1221"/>
      <c r="DOG33" s="1221"/>
      <c r="DOH33" s="1221"/>
      <c r="DOI33" s="1221"/>
      <c r="DOJ33" s="1221"/>
      <c r="DOK33" s="1221"/>
      <c r="DOL33" s="1221"/>
      <c r="DOM33" s="1221"/>
      <c r="DON33" s="1221"/>
      <c r="DOO33" s="1221"/>
      <c r="DOP33" s="1221"/>
      <c r="DOQ33" s="1221"/>
      <c r="DOR33" s="1221"/>
      <c r="DOS33" s="1221"/>
      <c r="DOT33" s="1221"/>
      <c r="DOU33" s="1221"/>
      <c r="DOV33" s="1221"/>
      <c r="DOW33" s="1221"/>
      <c r="DOX33" s="1221"/>
      <c r="DOY33" s="1221"/>
      <c r="DOZ33" s="1221"/>
      <c r="DPA33" s="1221"/>
      <c r="DPB33" s="1221"/>
      <c r="DPC33" s="1221"/>
      <c r="DPD33" s="1221"/>
      <c r="DPE33" s="1221"/>
      <c r="DPF33" s="1221"/>
      <c r="DPG33" s="1221"/>
      <c r="DPH33" s="1221"/>
      <c r="DPI33" s="1221"/>
      <c r="DPJ33" s="1221"/>
      <c r="DPK33" s="1221"/>
      <c r="DPL33" s="1221"/>
      <c r="DPM33" s="1221"/>
      <c r="DPN33" s="1221"/>
      <c r="DPO33" s="1221"/>
      <c r="DPP33" s="1221"/>
      <c r="DPQ33" s="1221"/>
      <c r="DPR33" s="1221"/>
      <c r="DPS33" s="1221"/>
      <c r="DPT33" s="1221"/>
      <c r="DPU33" s="1221"/>
      <c r="DPV33" s="1221"/>
      <c r="DPW33" s="1221"/>
      <c r="DPX33" s="1221"/>
      <c r="DPY33" s="1221"/>
      <c r="DPZ33" s="1221"/>
      <c r="DQA33" s="1221"/>
      <c r="DQB33" s="1221"/>
      <c r="DQC33" s="1221"/>
      <c r="DQD33" s="1221"/>
      <c r="DQE33" s="1221"/>
      <c r="DQF33" s="1221"/>
      <c r="DQG33" s="1221"/>
      <c r="DQH33" s="1221"/>
      <c r="DQI33" s="1221"/>
      <c r="DQJ33" s="1221"/>
      <c r="DQK33" s="1221"/>
      <c r="DQL33" s="1221"/>
      <c r="DQM33" s="1221"/>
      <c r="DQN33" s="1221"/>
      <c r="DQO33" s="1221"/>
      <c r="DQP33" s="1221"/>
      <c r="DQQ33" s="1221"/>
      <c r="DQR33" s="1221"/>
      <c r="DQS33" s="1221"/>
      <c r="DQT33" s="1221"/>
      <c r="DQU33" s="1221"/>
      <c r="DQV33" s="1221"/>
      <c r="DQW33" s="1221"/>
      <c r="DQX33" s="1221"/>
      <c r="DQY33" s="1221"/>
      <c r="DQZ33" s="1221"/>
      <c r="DRA33" s="1221"/>
      <c r="DRB33" s="1221"/>
      <c r="DRC33" s="1221"/>
      <c r="DRD33" s="1221"/>
      <c r="DRE33" s="1221"/>
      <c r="DRF33" s="1221"/>
      <c r="DRG33" s="1221"/>
      <c r="DRH33" s="1221"/>
      <c r="DRI33" s="1221"/>
      <c r="DRJ33" s="1221"/>
      <c r="DRK33" s="1221"/>
      <c r="DRL33" s="1221"/>
      <c r="DRM33" s="1221"/>
      <c r="DRN33" s="1221"/>
      <c r="DRO33" s="1221"/>
      <c r="DRP33" s="1221"/>
      <c r="DRQ33" s="1221"/>
      <c r="DRR33" s="1221"/>
      <c r="DRS33" s="1221"/>
      <c r="DRT33" s="1221"/>
      <c r="DRU33" s="1221"/>
      <c r="DRV33" s="1221"/>
      <c r="DRW33" s="1221"/>
      <c r="DRX33" s="1221"/>
      <c r="DRY33" s="1221"/>
      <c r="DRZ33" s="1221"/>
      <c r="DSA33" s="1221"/>
      <c r="DSB33" s="1221"/>
      <c r="DSC33" s="1221"/>
      <c r="DSD33" s="1221"/>
      <c r="DSE33" s="1221"/>
      <c r="DSF33" s="1221"/>
      <c r="DSG33" s="1221"/>
      <c r="DSH33" s="1221"/>
      <c r="DSI33" s="1221"/>
      <c r="DSJ33" s="1221"/>
      <c r="DSK33" s="1221"/>
      <c r="DSL33" s="1221"/>
      <c r="DSM33" s="1221"/>
      <c r="DSN33" s="1221"/>
      <c r="DSO33" s="1221"/>
      <c r="DSP33" s="1221"/>
      <c r="DSQ33" s="1221"/>
      <c r="DSR33" s="1221"/>
      <c r="DSS33" s="1221"/>
      <c r="DST33" s="1221"/>
      <c r="DSU33" s="1221"/>
      <c r="DSV33" s="1221"/>
      <c r="DSW33" s="1221"/>
      <c r="DSX33" s="1221"/>
      <c r="DSY33" s="1221"/>
      <c r="DSZ33" s="1221"/>
      <c r="DTA33" s="1221"/>
      <c r="DTB33" s="1221"/>
      <c r="DTC33" s="1221"/>
      <c r="DTD33" s="1221"/>
      <c r="DTE33" s="1221"/>
      <c r="DTF33" s="1221"/>
      <c r="DTG33" s="1221"/>
      <c r="DTH33" s="1221"/>
      <c r="DTI33" s="1221"/>
      <c r="DTJ33" s="1221"/>
      <c r="DTK33" s="1221"/>
      <c r="DTL33" s="1221"/>
      <c r="DTM33" s="1221"/>
      <c r="DTN33" s="1221"/>
      <c r="DTO33" s="1221"/>
      <c r="DTP33" s="1221"/>
      <c r="DTQ33" s="1221"/>
      <c r="DTR33" s="1221"/>
      <c r="DTS33" s="1221"/>
      <c r="DTT33" s="1221"/>
      <c r="DTU33" s="1221"/>
      <c r="DTV33" s="1221"/>
      <c r="DTW33" s="1221"/>
      <c r="DTX33" s="1221"/>
      <c r="DTY33" s="1221"/>
      <c r="DTZ33" s="1221"/>
      <c r="DUA33" s="1221"/>
      <c r="DUB33" s="1221"/>
      <c r="DUC33" s="1221"/>
      <c r="DUD33" s="1221"/>
      <c r="DUE33" s="1221"/>
      <c r="DUF33" s="1221"/>
      <c r="DUG33" s="1221"/>
      <c r="DUH33" s="1221"/>
      <c r="DUI33" s="1221"/>
      <c r="DUJ33" s="1221"/>
      <c r="DUK33" s="1221"/>
      <c r="DUL33" s="1221"/>
      <c r="DUM33" s="1221"/>
      <c r="DUN33" s="1221"/>
      <c r="DUO33" s="1221"/>
      <c r="DUP33" s="1221"/>
      <c r="DUQ33" s="1221"/>
      <c r="DUR33" s="1221"/>
      <c r="DUS33" s="1221"/>
      <c r="DUT33" s="1221"/>
      <c r="DUU33" s="1221"/>
      <c r="DUV33" s="1221"/>
      <c r="DUW33" s="1221"/>
      <c r="DUX33" s="1221"/>
      <c r="DUY33" s="1221"/>
      <c r="DUZ33" s="1221"/>
      <c r="DVA33" s="1221"/>
      <c r="DVB33" s="1221"/>
      <c r="DVC33" s="1221"/>
      <c r="DVD33" s="1221"/>
      <c r="DVE33" s="1221"/>
      <c r="DVF33" s="1221"/>
      <c r="DVG33" s="1221"/>
      <c r="DVH33" s="1221"/>
      <c r="DVI33" s="1221"/>
      <c r="DVJ33" s="1221"/>
      <c r="DVK33" s="1221"/>
      <c r="DVL33" s="1221"/>
      <c r="DVM33" s="1221"/>
      <c r="DVN33" s="1221"/>
      <c r="DVO33" s="1221"/>
      <c r="DVP33" s="1221"/>
      <c r="DVQ33" s="1221"/>
      <c r="DVR33" s="1221"/>
      <c r="DVS33" s="1221"/>
      <c r="DVT33" s="1221"/>
      <c r="DVU33" s="1221"/>
      <c r="DVV33" s="1221"/>
      <c r="DVW33" s="1221"/>
      <c r="DVX33" s="1221"/>
      <c r="DVY33" s="1221"/>
      <c r="DVZ33" s="1221"/>
      <c r="DWA33" s="1221"/>
      <c r="DWB33" s="1221"/>
      <c r="DWC33" s="1221"/>
      <c r="DWD33" s="1221"/>
      <c r="DWE33" s="1221"/>
      <c r="DWF33" s="1221"/>
      <c r="DWG33" s="1221"/>
      <c r="DWH33" s="1221"/>
      <c r="DWI33" s="1221"/>
      <c r="DWJ33" s="1221"/>
      <c r="DWK33" s="1221"/>
      <c r="DWL33" s="1221"/>
      <c r="DWM33" s="1221"/>
      <c r="DWN33" s="1221"/>
      <c r="DWO33" s="1221"/>
      <c r="DWP33" s="1221"/>
      <c r="DWQ33" s="1221"/>
      <c r="DWR33" s="1221"/>
      <c r="DWS33" s="1221"/>
      <c r="DWT33" s="1221"/>
      <c r="DWU33" s="1221"/>
      <c r="DWV33" s="1221"/>
      <c r="DWW33" s="1221"/>
      <c r="DWX33" s="1221"/>
      <c r="DWY33" s="1221"/>
      <c r="DWZ33" s="1221"/>
      <c r="DXA33" s="1221"/>
      <c r="DXB33" s="1221"/>
      <c r="DXC33" s="1221"/>
      <c r="DXD33" s="1221"/>
      <c r="DXE33" s="1221"/>
      <c r="DXF33" s="1221"/>
      <c r="DXG33" s="1221"/>
      <c r="DXH33" s="1221"/>
      <c r="DXI33" s="1221"/>
      <c r="DXJ33" s="1221"/>
      <c r="DXK33" s="1221"/>
      <c r="DXL33" s="1221"/>
      <c r="DXM33" s="1221"/>
      <c r="DXN33" s="1221"/>
      <c r="DXO33" s="1221"/>
      <c r="DXP33" s="1221"/>
      <c r="DXQ33" s="1221"/>
      <c r="DXR33" s="1221"/>
      <c r="DXS33" s="1221"/>
      <c r="DXT33" s="1221"/>
      <c r="DXU33" s="1221"/>
      <c r="DXV33" s="1221"/>
      <c r="DXW33" s="1221"/>
      <c r="DXX33" s="1221"/>
      <c r="DXY33" s="1221"/>
      <c r="DXZ33" s="1221"/>
      <c r="DYA33" s="1221"/>
      <c r="DYB33" s="1221"/>
      <c r="DYC33" s="1221"/>
      <c r="DYD33" s="1221"/>
      <c r="DYE33" s="1221"/>
      <c r="DYF33" s="1221"/>
      <c r="DYG33" s="1221"/>
      <c r="DYH33" s="1221"/>
      <c r="DYI33" s="1221"/>
      <c r="DYJ33" s="1221"/>
      <c r="DYK33" s="1221"/>
      <c r="DYL33" s="1221"/>
      <c r="DYM33" s="1221"/>
      <c r="DYN33" s="1221"/>
      <c r="DYO33" s="1221"/>
      <c r="DYP33" s="1221"/>
      <c r="DYQ33" s="1221"/>
      <c r="DYR33" s="1221"/>
      <c r="DYS33" s="1221"/>
      <c r="DYT33" s="1221"/>
      <c r="DYU33" s="1221"/>
      <c r="DYV33" s="1221"/>
      <c r="DYW33" s="1221"/>
      <c r="DYX33" s="1221"/>
      <c r="DYY33" s="1221"/>
      <c r="DYZ33" s="1221"/>
      <c r="DZA33" s="1221"/>
      <c r="DZB33" s="1221"/>
      <c r="DZC33" s="1221"/>
      <c r="DZD33" s="1221"/>
      <c r="DZE33" s="1221"/>
      <c r="DZF33" s="1221"/>
      <c r="DZG33" s="1221"/>
      <c r="DZH33" s="1221"/>
      <c r="DZI33" s="1221"/>
      <c r="DZJ33" s="1221"/>
      <c r="DZK33" s="1221"/>
      <c r="DZL33" s="1221"/>
      <c r="DZM33" s="1221"/>
      <c r="DZN33" s="1221"/>
      <c r="DZO33" s="1221"/>
      <c r="DZP33" s="1221"/>
      <c r="DZQ33" s="1221"/>
      <c r="DZR33" s="1221"/>
      <c r="DZS33" s="1221"/>
      <c r="DZT33" s="1221"/>
      <c r="DZU33" s="1221"/>
      <c r="DZV33" s="1221"/>
      <c r="DZW33" s="1221"/>
      <c r="DZX33" s="1221"/>
      <c r="DZY33" s="1221"/>
      <c r="DZZ33" s="1221"/>
      <c r="EAA33" s="1221"/>
      <c r="EAB33" s="1221"/>
      <c r="EAC33" s="1221"/>
      <c r="EAD33" s="1221"/>
      <c r="EAE33" s="1221"/>
      <c r="EAF33" s="1221"/>
      <c r="EAG33" s="1221"/>
      <c r="EAH33" s="1221"/>
      <c r="EAI33" s="1221"/>
      <c r="EAJ33" s="1221"/>
      <c r="EAK33" s="1221"/>
      <c r="EAL33" s="1221"/>
      <c r="EAM33" s="1221"/>
      <c r="EAN33" s="1221"/>
      <c r="EAO33" s="1221"/>
      <c r="EAP33" s="1221"/>
      <c r="EAQ33" s="1221"/>
      <c r="EAR33" s="1221"/>
      <c r="EAS33" s="1221"/>
      <c r="EAT33" s="1221"/>
      <c r="EAU33" s="1221"/>
      <c r="EAV33" s="1221"/>
      <c r="EAW33" s="1221"/>
      <c r="EAX33" s="1221"/>
      <c r="EAY33" s="1221"/>
      <c r="EAZ33" s="1221"/>
      <c r="EBA33" s="1221"/>
      <c r="EBB33" s="1221"/>
      <c r="EBC33" s="1221"/>
      <c r="EBD33" s="1221"/>
      <c r="EBE33" s="1221"/>
      <c r="EBF33" s="1221"/>
      <c r="EBG33" s="1221"/>
      <c r="EBH33" s="1221"/>
      <c r="EBI33" s="1221"/>
      <c r="EBJ33" s="1221"/>
      <c r="EBK33" s="1221"/>
      <c r="EBL33" s="1221"/>
      <c r="EBM33" s="1221"/>
      <c r="EBN33" s="1221"/>
      <c r="EBO33" s="1221"/>
      <c r="EBP33" s="1221"/>
      <c r="EBQ33" s="1221"/>
      <c r="EBR33" s="1221"/>
      <c r="EBS33" s="1221"/>
      <c r="EBT33" s="1221"/>
      <c r="EBU33" s="1221"/>
      <c r="EBV33" s="1221"/>
      <c r="EBW33" s="1221"/>
      <c r="EBX33" s="1221"/>
      <c r="EBY33" s="1221"/>
      <c r="EBZ33" s="1221"/>
      <c r="ECA33" s="1221"/>
      <c r="ECB33" s="1221"/>
      <c r="ECC33" s="1221"/>
      <c r="ECD33" s="1221"/>
      <c r="ECE33" s="1221"/>
      <c r="ECF33" s="1221"/>
      <c r="ECG33" s="1221"/>
      <c r="ECH33" s="1221"/>
      <c r="ECI33" s="1221"/>
      <c r="ECJ33" s="1221"/>
      <c r="ECK33" s="1221"/>
      <c r="ECL33" s="1221"/>
      <c r="ECM33" s="1221"/>
      <c r="ECN33" s="1221"/>
      <c r="ECO33" s="1221"/>
    </row>
    <row r="34" spans="2:3473" s="1248" customFormat="1" ht="13" outlineLevel="1">
      <c r="B34" s="1249" t="s">
        <v>507</v>
      </c>
      <c r="C34" s="1250">
        <v>3</v>
      </c>
      <c r="D34" s="1251" t="s">
        <v>508</v>
      </c>
      <c r="E34" s="1252">
        <f t="shared" si="47"/>
        <v>0</v>
      </c>
      <c r="F34" s="1252">
        <f t="shared" si="47"/>
        <v>0</v>
      </c>
      <c r="G34" s="1252">
        <f t="shared" si="47"/>
        <v>0</v>
      </c>
      <c r="H34" s="1252">
        <f t="shared" si="47"/>
        <v>153.75189293089443</v>
      </c>
      <c r="I34" s="1252">
        <f t="shared" si="47"/>
        <v>140.89872550129905</v>
      </c>
      <c r="J34" s="1252">
        <f t="shared" si="47"/>
        <v>12.853167429595393</v>
      </c>
      <c r="K34" s="1252">
        <f t="shared" si="47"/>
        <v>0</v>
      </c>
      <c r="L34" s="1252">
        <f t="shared" si="47"/>
        <v>0</v>
      </c>
      <c r="M34" s="1252">
        <f t="shared" si="47"/>
        <v>0</v>
      </c>
      <c r="N34" s="1252" t="str">
        <f t="shared" si="47"/>
        <v/>
      </c>
      <c r="O34" s="1252" t="str">
        <f t="shared" si="47"/>
        <v/>
      </c>
      <c r="P34" s="1252" t="str">
        <f t="shared" si="47"/>
        <v/>
      </c>
      <c r="Q34" s="1252">
        <f t="shared" si="47"/>
        <v>246.3183755089747</v>
      </c>
      <c r="R34" s="1252">
        <f t="shared" si="47"/>
        <v>225.72694563418423</v>
      </c>
      <c r="S34" s="1252">
        <f t="shared" si="8"/>
        <v>20.591429874790439</v>
      </c>
      <c r="T34" s="1252">
        <f t="shared" si="5"/>
        <v>474.39565301337296</v>
      </c>
      <c r="U34" s="1252">
        <f t="shared" si="5"/>
        <v>434.73769082624261</v>
      </c>
      <c r="V34" s="1252">
        <f t="shared" si="9"/>
        <v>39.657962187130323</v>
      </c>
      <c r="W34" s="1253" t="str">
        <f t="shared" si="10"/>
        <v/>
      </c>
      <c r="X34" s="1252" t="str">
        <f t="shared" si="10"/>
        <v/>
      </c>
      <c r="Y34" s="1252" t="str">
        <f t="shared" si="10"/>
        <v/>
      </c>
      <c r="Z34" s="1252">
        <f t="shared" si="11"/>
        <v>158.07075861739656</v>
      </c>
      <c r="AA34" s="1252">
        <f t="shared" si="11"/>
        <v>144.85654780344754</v>
      </c>
      <c r="AB34" s="1252">
        <f t="shared" si="11"/>
        <v>13.214210813949016</v>
      </c>
      <c r="AC34" s="1252">
        <f t="shared" si="15"/>
        <v>210.00619763061121</v>
      </c>
      <c r="AD34" s="1260">
        <f t="shared" si="15"/>
        <v>192.45034990773374</v>
      </c>
      <c r="AE34" s="1260">
        <f t="shared" si="15"/>
        <v>17.555847722877481</v>
      </c>
      <c r="AF34" s="1254"/>
      <c r="AG34" s="1255"/>
      <c r="AH34" s="1255"/>
      <c r="AI34" s="1256">
        <f t="shared" si="41"/>
        <v>663.80765378037893</v>
      </c>
      <c r="AJ34" s="1261">
        <f>IF($BB34=0,0,$BB34*AJ$7/($BB$7-$AG$7))</f>
        <v>608.31545298568096</v>
      </c>
      <c r="AK34" s="1261">
        <f>IF($BC34=0,0,$BC34*AK$7/($BC$7-$AH$7))</f>
        <v>55.492200794697993</v>
      </c>
      <c r="AL34" s="1256">
        <f t="shared" si="20"/>
        <v>0</v>
      </c>
      <c r="AM34" s="1261">
        <f>IF($BB34=0,0,$BB34*AM$7/($BB$7-$AG$7))</f>
        <v>0</v>
      </c>
      <c r="AN34" s="1261">
        <f>IF($BC34=0,0,$BC34*AN$7/($BC$7-$AH$7))</f>
        <v>0</v>
      </c>
      <c r="AO34" s="1256">
        <f t="shared" si="21"/>
        <v>0</v>
      </c>
      <c r="AP34" s="1261">
        <f>IF($BB34=0,0,$BB34*AP$7/($BB$7-$AG$7))</f>
        <v>0</v>
      </c>
      <c r="AQ34" s="1261">
        <f>IF($BC34=0,0,$BC34*AQ$7/($BC$7-$AH$7))</f>
        <v>0</v>
      </c>
      <c r="AR34" s="1256">
        <f>AS34+AT34</f>
        <v>1457.573715335076</v>
      </c>
      <c r="AS34" s="1261">
        <f>IF($BB34=0,0,$BB34*AS$7/($BB$7-$AG$7))</f>
        <v>1335.7252057196558</v>
      </c>
      <c r="AT34" s="1261">
        <f>IF($BC34=0,0,$BC34*AT$7/($BC$7-$AH$7))</f>
        <v>121.84850961542017</v>
      </c>
      <c r="AU34" s="1256">
        <f>AV34+AW34</f>
        <v>50.235178884545107</v>
      </c>
      <c r="AV34" s="1261">
        <f>IF($BB34=0,0,$BB34*AV$7/($BB$7-$AG$7))</f>
        <v>46.035678294663313</v>
      </c>
      <c r="AW34" s="1261">
        <f>IF($BC34=0,0,$BC34*AW$7/($BC$7-$AH$7))</f>
        <v>4.1995005898817919</v>
      </c>
      <c r="AX34" s="1256"/>
      <c r="AY34" s="1256"/>
      <c r="AZ34" s="1261"/>
      <c r="BA34" s="1257">
        <f>BB34+BC34</f>
        <v>2171.616548</v>
      </c>
      <c r="BB34" s="1257">
        <f>BK34-BH34</f>
        <v>1990.0763370000002</v>
      </c>
      <c r="BC34" s="1257">
        <f t="shared" si="55"/>
        <v>181.54021099999997</v>
      </c>
      <c r="BD34" s="1261">
        <f t="shared" si="56"/>
        <v>0</v>
      </c>
      <c r="BE34" s="1261">
        <v>0</v>
      </c>
      <c r="BF34" s="1261">
        <v>0</v>
      </c>
      <c r="BG34" s="1256">
        <f t="shared" si="57"/>
        <v>0</v>
      </c>
      <c r="BH34" s="1257">
        <f t="shared" si="58"/>
        <v>0</v>
      </c>
      <c r="BI34" s="1257">
        <f t="shared" si="58"/>
        <v>0</v>
      </c>
      <c r="BJ34" s="1256">
        <f>BK34+BL34</f>
        <v>2171.616548</v>
      </c>
      <c r="BK34" s="1256">
        <f>VLOOKUP($D34,'当期公摊测算表（全期）'!$D$9:$W$192,20,0)</f>
        <v>1990.0763370000002</v>
      </c>
      <c r="BL34" s="1256">
        <f>VLOOKUP($D34,'当期公摊测算表（全期）'!$D$9:$W$192,19,0)</f>
        <v>181.54021099999997</v>
      </c>
      <c r="BM34" s="1262" t="s">
        <v>431</v>
      </c>
      <c r="BN34" s="1225">
        <f t="shared" si="12"/>
        <v>0</v>
      </c>
      <c r="BO34" s="1225">
        <f t="shared" si="13"/>
        <v>0</v>
      </c>
      <c r="BP34" s="1225">
        <f t="shared" si="14"/>
        <v>0</v>
      </c>
      <c r="BQ34" s="1225"/>
      <c r="BR34" s="1221"/>
      <c r="BS34" s="1221"/>
      <c r="BT34" s="1221"/>
      <c r="BU34" s="1221"/>
      <c r="BV34" s="1221"/>
      <c r="BW34" s="1221"/>
      <c r="BX34" s="1221"/>
      <c r="BY34" s="1221"/>
      <c r="BZ34" s="1221"/>
      <c r="CA34" s="1221"/>
      <c r="CB34" s="1221"/>
      <c r="CC34" s="1221"/>
      <c r="CD34" s="1221"/>
      <c r="CE34" s="1221"/>
      <c r="CF34" s="1221"/>
      <c r="CG34" s="1221"/>
      <c r="CH34" s="1221"/>
      <c r="CI34" s="1221"/>
      <c r="CJ34" s="1221"/>
      <c r="CK34" s="1221"/>
      <c r="CL34" s="1221"/>
      <c r="CM34" s="1221"/>
      <c r="CN34" s="1221"/>
      <c r="CO34" s="1221"/>
      <c r="CP34" s="1221"/>
      <c r="CQ34" s="1221"/>
      <c r="CR34" s="1221"/>
      <c r="CS34" s="1221"/>
      <c r="CT34" s="1221"/>
      <c r="CU34" s="1221"/>
      <c r="CV34" s="1221"/>
      <c r="CW34" s="1221"/>
      <c r="CX34" s="1221"/>
      <c r="CY34" s="1221"/>
      <c r="CZ34" s="1221"/>
      <c r="DA34" s="1221"/>
      <c r="DB34" s="1221"/>
      <c r="DC34" s="1221"/>
      <c r="DD34" s="1221"/>
      <c r="DE34" s="1221"/>
      <c r="DF34" s="1221"/>
      <c r="DG34" s="1221"/>
      <c r="DH34" s="1221"/>
      <c r="DI34" s="1221"/>
      <c r="DJ34" s="1221"/>
      <c r="DK34" s="1221"/>
      <c r="DL34" s="1221"/>
      <c r="DM34" s="1221"/>
      <c r="DN34" s="1221"/>
      <c r="DO34" s="1221"/>
      <c r="DP34" s="1221"/>
      <c r="DQ34" s="1221"/>
      <c r="DR34" s="1221"/>
      <c r="DS34" s="1221"/>
      <c r="DT34" s="1221"/>
      <c r="DU34" s="1221"/>
      <c r="DV34" s="1221"/>
      <c r="DW34" s="1221"/>
      <c r="DX34" s="1221"/>
      <c r="DY34" s="1221"/>
      <c r="DZ34" s="1221"/>
      <c r="EA34" s="1221"/>
      <c r="EB34" s="1221"/>
      <c r="EC34" s="1221"/>
      <c r="ED34" s="1221"/>
      <c r="EE34" s="1221"/>
      <c r="EF34" s="1221"/>
      <c r="EG34" s="1221"/>
      <c r="EH34" s="1221"/>
      <c r="EI34" s="1221"/>
      <c r="EJ34" s="1221"/>
      <c r="EK34" s="1221"/>
      <c r="EL34" s="1221"/>
      <c r="EM34" s="1221"/>
      <c r="EN34" s="1221"/>
      <c r="EO34" s="1221"/>
      <c r="EP34" s="1221"/>
      <c r="EQ34" s="1221"/>
      <c r="ER34" s="1221"/>
      <c r="ES34" s="1221"/>
      <c r="ET34" s="1221"/>
      <c r="EU34" s="1221"/>
      <c r="EV34" s="1221"/>
      <c r="EW34" s="1221"/>
      <c r="EX34" s="1221"/>
      <c r="EY34" s="1221"/>
      <c r="EZ34" s="1221"/>
      <c r="FA34" s="1221"/>
      <c r="FB34" s="1221"/>
      <c r="FC34" s="1221"/>
      <c r="FD34" s="1221"/>
      <c r="FE34" s="1221"/>
      <c r="FF34" s="1221"/>
      <c r="FG34" s="1221"/>
      <c r="FH34" s="1221"/>
      <c r="FI34" s="1221"/>
      <c r="FJ34" s="1221"/>
      <c r="FK34" s="1221"/>
      <c r="FL34" s="1221"/>
      <c r="FM34" s="1221"/>
      <c r="FN34" s="1221"/>
      <c r="FO34" s="1221"/>
      <c r="FP34" s="1221"/>
      <c r="FQ34" s="1221"/>
      <c r="FR34" s="1221"/>
      <c r="FS34" s="1221"/>
      <c r="FT34" s="1221"/>
      <c r="FU34" s="1221"/>
      <c r="FV34" s="1221"/>
      <c r="FW34" s="1221"/>
      <c r="FX34" s="1221"/>
      <c r="FY34" s="1221"/>
      <c r="FZ34" s="1221"/>
      <c r="GA34" s="1221"/>
      <c r="GB34" s="1221"/>
      <c r="GC34" s="1221"/>
      <c r="GD34" s="1221"/>
      <c r="GE34" s="1221"/>
      <c r="GF34" s="1221"/>
      <c r="GG34" s="1221"/>
      <c r="GH34" s="1221"/>
      <c r="GI34" s="1221"/>
      <c r="GJ34" s="1221"/>
      <c r="GK34" s="1221"/>
      <c r="GL34" s="1221"/>
      <c r="GM34" s="1221"/>
      <c r="GN34" s="1221"/>
      <c r="GO34" s="1221"/>
      <c r="GP34" s="1221"/>
      <c r="GQ34" s="1221"/>
      <c r="GR34" s="1221"/>
      <c r="GS34" s="1221"/>
      <c r="GT34" s="1221"/>
      <c r="GU34" s="1221"/>
      <c r="GV34" s="1221"/>
      <c r="GW34" s="1221"/>
      <c r="GX34" s="1221"/>
      <c r="GY34" s="1221"/>
      <c r="GZ34" s="1221"/>
      <c r="HA34" s="1221"/>
      <c r="HB34" s="1221"/>
      <c r="HC34" s="1221"/>
      <c r="HD34" s="1221"/>
      <c r="HE34" s="1221"/>
      <c r="HF34" s="1221"/>
      <c r="HG34" s="1221"/>
      <c r="HH34" s="1221"/>
      <c r="HI34" s="1221"/>
      <c r="HJ34" s="1221"/>
      <c r="HK34" s="1221"/>
      <c r="HL34" s="1221"/>
      <c r="HM34" s="1221"/>
      <c r="HN34" s="1221"/>
      <c r="HO34" s="1221"/>
      <c r="HP34" s="1221"/>
      <c r="HQ34" s="1221"/>
      <c r="HR34" s="1221"/>
      <c r="HS34" s="1221"/>
      <c r="HT34" s="1221"/>
      <c r="HU34" s="1221"/>
      <c r="HV34" s="1221"/>
      <c r="HW34" s="1221"/>
      <c r="HX34" s="1221"/>
      <c r="HY34" s="1221"/>
      <c r="HZ34" s="1221"/>
      <c r="IA34" s="1221"/>
      <c r="IB34" s="1221"/>
      <c r="IC34" s="1221"/>
      <c r="ID34" s="1221"/>
      <c r="IE34" s="1221"/>
      <c r="IF34" s="1221"/>
      <c r="IG34" s="1221"/>
      <c r="IH34" s="1221"/>
      <c r="II34" s="1221"/>
      <c r="IJ34" s="1221"/>
      <c r="IK34" s="1221"/>
      <c r="IL34" s="1221"/>
      <c r="IM34" s="1221"/>
      <c r="IN34" s="1221"/>
      <c r="IO34" s="1221"/>
      <c r="IP34" s="1221"/>
      <c r="IQ34" s="1221"/>
      <c r="IR34" s="1221"/>
      <c r="IS34" s="1221"/>
      <c r="IT34" s="1221"/>
      <c r="IU34" s="1221"/>
      <c r="IV34" s="1221"/>
      <c r="IW34" s="1221"/>
      <c r="IX34" s="1221"/>
      <c r="IY34" s="1221"/>
      <c r="IZ34" s="1221"/>
      <c r="JA34" s="1221"/>
      <c r="JB34" s="1221"/>
      <c r="JC34" s="1221"/>
      <c r="JD34" s="1221"/>
      <c r="JE34" s="1221"/>
      <c r="JF34" s="1221"/>
      <c r="JG34" s="1221"/>
      <c r="JH34" s="1221"/>
      <c r="JI34" s="1221"/>
      <c r="JJ34" s="1221"/>
      <c r="JK34" s="1221"/>
      <c r="JL34" s="1221"/>
      <c r="JM34" s="1221"/>
      <c r="JN34" s="1221"/>
      <c r="JO34" s="1221"/>
      <c r="JP34" s="1221"/>
      <c r="JQ34" s="1221"/>
      <c r="JR34" s="1221"/>
      <c r="JS34" s="1221"/>
      <c r="JT34" s="1221"/>
      <c r="JU34" s="1221"/>
      <c r="JV34" s="1221"/>
      <c r="JW34" s="1221"/>
      <c r="JX34" s="1221"/>
      <c r="JY34" s="1221"/>
      <c r="JZ34" s="1221"/>
      <c r="KA34" s="1221"/>
      <c r="KB34" s="1221"/>
      <c r="KC34" s="1221"/>
      <c r="KD34" s="1221"/>
      <c r="KE34" s="1221"/>
      <c r="KF34" s="1221"/>
      <c r="KG34" s="1221"/>
      <c r="KH34" s="1221"/>
      <c r="KI34" s="1221"/>
      <c r="KJ34" s="1221"/>
      <c r="KK34" s="1221"/>
      <c r="KL34" s="1221"/>
      <c r="KM34" s="1221"/>
      <c r="KN34" s="1221"/>
      <c r="KO34" s="1221"/>
      <c r="KP34" s="1221"/>
      <c r="KQ34" s="1221"/>
      <c r="KR34" s="1221"/>
      <c r="KS34" s="1221"/>
      <c r="KT34" s="1221"/>
      <c r="KU34" s="1221"/>
      <c r="KV34" s="1221"/>
      <c r="KW34" s="1221"/>
      <c r="KX34" s="1221"/>
      <c r="KY34" s="1221"/>
      <c r="KZ34" s="1221"/>
      <c r="LA34" s="1221"/>
      <c r="LB34" s="1221"/>
      <c r="LC34" s="1221"/>
      <c r="LD34" s="1221"/>
      <c r="LE34" s="1221"/>
      <c r="LF34" s="1221"/>
      <c r="LG34" s="1221"/>
      <c r="LH34" s="1221"/>
      <c r="LI34" s="1221"/>
      <c r="LJ34" s="1221"/>
      <c r="LK34" s="1221"/>
      <c r="LL34" s="1221"/>
      <c r="LM34" s="1221"/>
      <c r="LN34" s="1221"/>
      <c r="LO34" s="1221"/>
      <c r="LP34" s="1221"/>
      <c r="LQ34" s="1221"/>
      <c r="LR34" s="1221"/>
      <c r="LS34" s="1221"/>
      <c r="LT34" s="1221"/>
      <c r="LU34" s="1221"/>
      <c r="LV34" s="1221"/>
      <c r="LW34" s="1221"/>
      <c r="LX34" s="1221"/>
      <c r="LY34" s="1221"/>
      <c r="LZ34" s="1221"/>
      <c r="MA34" s="1221"/>
      <c r="MB34" s="1221"/>
      <c r="MC34" s="1221"/>
      <c r="MD34" s="1221"/>
      <c r="ME34" s="1221"/>
      <c r="MF34" s="1221"/>
      <c r="MG34" s="1221"/>
      <c r="MH34" s="1221"/>
      <c r="MI34" s="1221"/>
      <c r="MJ34" s="1221"/>
      <c r="MK34" s="1221"/>
      <c r="ML34" s="1221"/>
      <c r="MM34" s="1221"/>
      <c r="MN34" s="1221"/>
      <c r="MO34" s="1221"/>
      <c r="MP34" s="1221"/>
      <c r="MQ34" s="1221"/>
      <c r="MR34" s="1221"/>
      <c r="MS34" s="1221"/>
      <c r="MT34" s="1221"/>
      <c r="MU34" s="1221"/>
      <c r="MV34" s="1221"/>
      <c r="MW34" s="1221"/>
      <c r="MX34" s="1221"/>
      <c r="MY34" s="1221"/>
      <c r="MZ34" s="1221"/>
      <c r="NA34" s="1221"/>
      <c r="NB34" s="1221"/>
      <c r="NC34" s="1221"/>
      <c r="ND34" s="1221"/>
      <c r="NE34" s="1221"/>
      <c r="NF34" s="1221"/>
      <c r="NG34" s="1221"/>
      <c r="NH34" s="1221"/>
      <c r="NI34" s="1221"/>
      <c r="NJ34" s="1221"/>
      <c r="NK34" s="1221"/>
      <c r="NL34" s="1221"/>
      <c r="NM34" s="1221"/>
      <c r="NN34" s="1221"/>
      <c r="NO34" s="1221"/>
      <c r="NP34" s="1221"/>
      <c r="NQ34" s="1221"/>
      <c r="NR34" s="1221"/>
      <c r="NS34" s="1221"/>
      <c r="NT34" s="1221"/>
      <c r="NU34" s="1221"/>
      <c r="NV34" s="1221"/>
      <c r="NW34" s="1221"/>
      <c r="NX34" s="1221"/>
      <c r="NY34" s="1221"/>
      <c r="NZ34" s="1221"/>
      <c r="OA34" s="1221"/>
      <c r="OB34" s="1221"/>
      <c r="OC34" s="1221"/>
      <c r="OD34" s="1221"/>
      <c r="OE34" s="1221"/>
      <c r="OF34" s="1221"/>
      <c r="OG34" s="1221"/>
      <c r="OH34" s="1221"/>
      <c r="OI34" s="1221"/>
      <c r="OJ34" s="1221"/>
      <c r="OK34" s="1221"/>
      <c r="OL34" s="1221"/>
      <c r="OM34" s="1221"/>
      <c r="ON34" s="1221"/>
      <c r="OO34" s="1221"/>
      <c r="OP34" s="1221"/>
      <c r="OQ34" s="1221"/>
      <c r="OR34" s="1221"/>
      <c r="OS34" s="1221"/>
      <c r="OT34" s="1221"/>
      <c r="OU34" s="1221"/>
      <c r="OV34" s="1221"/>
      <c r="OW34" s="1221"/>
      <c r="OX34" s="1221"/>
      <c r="OY34" s="1221"/>
      <c r="OZ34" s="1221"/>
      <c r="PA34" s="1221"/>
      <c r="PB34" s="1221"/>
      <c r="PC34" s="1221"/>
      <c r="PD34" s="1221"/>
      <c r="PE34" s="1221"/>
      <c r="PF34" s="1221"/>
      <c r="PG34" s="1221"/>
      <c r="PH34" s="1221"/>
      <c r="PI34" s="1221"/>
      <c r="PJ34" s="1221"/>
      <c r="PK34" s="1221"/>
      <c r="PL34" s="1221"/>
      <c r="PM34" s="1221"/>
      <c r="PN34" s="1221"/>
      <c r="PO34" s="1221"/>
      <c r="PP34" s="1221"/>
      <c r="PQ34" s="1221"/>
      <c r="PR34" s="1221"/>
      <c r="PS34" s="1221"/>
      <c r="PT34" s="1221"/>
      <c r="PU34" s="1221"/>
      <c r="PV34" s="1221"/>
      <c r="PW34" s="1221"/>
      <c r="PX34" s="1221"/>
      <c r="PY34" s="1221"/>
      <c r="PZ34" s="1221"/>
      <c r="QA34" s="1221"/>
      <c r="QB34" s="1221"/>
      <c r="QC34" s="1221"/>
      <c r="QD34" s="1221"/>
      <c r="QE34" s="1221"/>
      <c r="QF34" s="1221"/>
      <c r="QG34" s="1221"/>
      <c r="QH34" s="1221"/>
      <c r="QI34" s="1221"/>
      <c r="QJ34" s="1221"/>
      <c r="QK34" s="1221"/>
      <c r="QL34" s="1221"/>
      <c r="QM34" s="1221"/>
      <c r="QN34" s="1221"/>
      <c r="QO34" s="1221"/>
      <c r="QP34" s="1221"/>
      <c r="QQ34" s="1221"/>
      <c r="QR34" s="1221"/>
      <c r="QS34" s="1221"/>
      <c r="QT34" s="1221"/>
      <c r="QU34" s="1221"/>
      <c r="QV34" s="1221"/>
      <c r="QW34" s="1221"/>
      <c r="QX34" s="1221"/>
      <c r="QY34" s="1221"/>
      <c r="QZ34" s="1221"/>
      <c r="RA34" s="1221"/>
      <c r="RB34" s="1221"/>
      <c r="RC34" s="1221"/>
      <c r="RD34" s="1221"/>
      <c r="RE34" s="1221"/>
      <c r="RF34" s="1221"/>
      <c r="RG34" s="1221"/>
      <c r="RH34" s="1221"/>
      <c r="RI34" s="1221"/>
      <c r="RJ34" s="1221"/>
      <c r="RK34" s="1221"/>
      <c r="RL34" s="1221"/>
      <c r="RM34" s="1221"/>
      <c r="RN34" s="1221"/>
      <c r="RO34" s="1221"/>
      <c r="RP34" s="1221"/>
      <c r="RQ34" s="1221"/>
      <c r="RR34" s="1221"/>
      <c r="RS34" s="1221"/>
      <c r="RT34" s="1221"/>
      <c r="RU34" s="1221"/>
      <c r="RV34" s="1221"/>
      <c r="RW34" s="1221"/>
      <c r="RX34" s="1221"/>
      <c r="RY34" s="1221"/>
      <c r="RZ34" s="1221"/>
      <c r="SA34" s="1221"/>
      <c r="SB34" s="1221"/>
      <c r="SC34" s="1221"/>
      <c r="SD34" s="1221"/>
      <c r="SE34" s="1221"/>
      <c r="SF34" s="1221"/>
      <c r="SG34" s="1221"/>
      <c r="SH34" s="1221"/>
      <c r="SI34" s="1221"/>
      <c r="SJ34" s="1221"/>
      <c r="SK34" s="1221"/>
      <c r="SL34" s="1221"/>
      <c r="SM34" s="1221"/>
      <c r="SN34" s="1221"/>
      <c r="SO34" s="1221"/>
      <c r="SP34" s="1221"/>
      <c r="SQ34" s="1221"/>
      <c r="SR34" s="1221"/>
      <c r="SS34" s="1221"/>
      <c r="ST34" s="1221"/>
      <c r="SU34" s="1221"/>
      <c r="SV34" s="1221"/>
      <c r="SW34" s="1221"/>
      <c r="SX34" s="1221"/>
      <c r="SY34" s="1221"/>
      <c r="SZ34" s="1221"/>
      <c r="TA34" s="1221"/>
      <c r="TB34" s="1221"/>
      <c r="TC34" s="1221"/>
      <c r="TD34" s="1221"/>
      <c r="TE34" s="1221"/>
      <c r="TF34" s="1221"/>
      <c r="TG34" s="1221"/>
      <c r="TH34" s="1221"/>
      <c r="TI34" s="1221"/>
      <c r="TJ34" s="1221"/>
      <c r="TK34" s="1221"/>
      <c r="TL34" s="1221"/>
      <c r="TM34" s="1221"/>
      <c r="TN34" s="1221"/>
      <c r="TO34" s="1221"/>
      <c r="TP34" s="1221"/>
      <c r="TQ34" s="1221"/>
      <c r="TR34" s="1221"/>
      <c r="TS34" s="1221"/>
      <c r="TT34" s="1221"/>
      <c r="TU34" s="1221"/>
      <c r="TV34" s="1221"/>
      <c r="TW34" s="1221"/>
      <c r="TX34" s="1221"/>
      <c r="TY34" s="1221"/>
      <c r="TZ34" s="1221"/>
      <c r="UA34" s="1221"/>
      <c r="UB34" s="1221"/>
      <c r="UC34" s="1221"/>
      <c r="UD34" s="1221"/>
      <c r="UE34" s="1221"/>
      <c r="UF34" s="1221"/>
      <c r="UG34" s="1221"/>
      <c r="UH34" s="1221"/>
      <c r="UI34" s="1221"/>
      <c r="UJ34" s="1221"/>
      <c r="UK34" s="1221"/>
      <c r="UL34" s="1221"/>
      <c r="UM34" s="1221"/>
      <c r="UN34" s="1221"/>
      <c r="UO34" s="1221"/>
      <c r="UP34" s="1221"/>
      <c r="UQ34" s="1221"/>
      <c r="UR34" s="1221"/>
      <c r="US34" s="1221"/>
      <c r="UT34" s="1221"/>
      <c r="UU34" s="1221"/>
      <c r="UV34" s="1221"/>
      <c r="UW34" s="1221"/>
      <c r="UX34" s="1221"/>
      <c r="UY34" s="1221"/>
      <c r="UZ34" s="1221"/>
      <c r="VA34" s="1221"/>
      <c r="VB34" s="1221"/>
      <c r="VC34" s="1221"/>
      <c r="VD34" s="1221"/>
      <c r="VE34" s="1221"/>
      <c r="VF34" s="1221"/>
      <c r="VG34" s="1221"/>
      <c r="VH34" s="1221"/>
      <c r="VI34" s="1221"/>
      <c r="VJ34" s="1221"/>
      <c r="VK34" s="1221"/>
      <c r="VL34" s="1221"/>
      <c r="VM34" s="1221"/>
      <c r="VN34" s="1221"/>
      <c r="VO34" s="1221"/>
      <c r="VP34" s="1221"/>
      <c r="VQ34" s="1221"/>
      <c r="VR34" s="1221"/>
      <c r="VS34" s="1221"/>
      <c r="VT34" s="1221"/>
      <c r="VU34" s="1221"/>
      <c r="VV34" s="1221"/>
      <c r="VW34" s="1221"/>
      <c r="VX34" s="1221"/>
      <c r="VY34" s="1221"/>
      <c r="VZ34" s="1221"/>
      <c r="WA34" s="1221"/>
      <c r="WB34" s="1221"/>
      <c r="WC34" s="1221"/>
      <c r="WD34" s="1221"/>
      <c r="WE34" s="1221"/>
      <c r="WF34" s="1221"/>
      <c r="WG34" s="1221"/>
      <c r="WH34" s="1221"/>
      <c r="WI34" s="1221"/>
      <c r="WJ34" s="1221"/>
      <c r="WK34" s="1221"/>
      <c r="WL34" s="1221"/>
      <c r="WM34" s="1221"/>
      <c r="WN34" s="1221"/>
      <c r="WO34" s="1221"/>
      <c r="WP34" s="1221"/>
      <c r="WQ34" s="1221"/>
      <c r="WR34" s="1221"/>
      <c r="WS34" s="1221"/>
      <c r="WT34" s="1221"/>
      <c r="WU34" s="1221"/>
      <c r="WV34" s="1221"/>
      <c r="WW34" s="1221"/>
      <c r="WX34" s="1221"/>
      <c r="WY34" s="1221"/>
      <c r="WZ34" s="1221"/>
      <c r="XA34" s="1221"/>
      <c r="XB34" s="1221"/>
      <c r="XC34" s="1221"/>
      <c r="XD34" s="1221"/>
      <c r="XE34" s="1221"/>
      <c r="XF34" s="1221"/>
      <c r="XG34" s="1221"/>
      <c r="XH34" s="1221"/>
      <c r="XI34" s="1221"/>
      <c r="XJ34" s="1221"/>
      <c r="XK34" s="1221"/>
      <c r="XL34" s="1221"/>
      <c r="XM34" s="1221"/>
      <c r="XN34" s="1221"/>
      <c r="XO34" s="1221"/>
      <c r="XP34" s="1221"/>
      <c r="XQ34" s="1221"/>
      <c r="XR34" s="1221"/>
      <c r="XS34" s="1221"/>
      <c r="XT34" s="1221"/>
      <c r="XU34" s="1221"/>
      <c r="XV34" s="1221"/>
      <c r="XW34" s="1221"/>
      <c r="XX34" s="1221"/>
      <c r="XY34" s="1221"/>
      <c r="XZ34" s="1221"/>
      <c r="YA34" s="1221"/>
      <c r="YB34" s="1221"/>
      <c r="YC34" s="1221"/>
      <c r="YD34" s="1221"/>
      <c r="YE34" s="1221"/>
      <c r="YF34" s="1221"/>
      <c r="YG34" s="1221"/>
      <c r="YH34" s="1221"/>
      <c r="YI34" s="1221"/>
      <c r="YJ34" s="1221"/>
      <c r="YK34" s="1221"/>
      <c r="YL34" s="1221"/>
      <c r="YM34" s="1221"/>
      <c r="YN34" s="1221"/>
      <c r="YO34" s="1221"/>
      <c r="YP34" s="1221"/>
      <c r="YQ34" s="1221"/>
      <c r="YR34" s="1221"/>
      <c r="YS34" s="1221"/>
      <c r="YT34" s="1221"/>
      <c r="YU34" s="1221"/>
      <c r="YV34" s="1221"/>
      <c r="YW34" s="1221"/>
      <c r="YX34" s="1221"/>
      <c r="YY34" s="1221"/>
      <c r="YZ34" s="1221"/>
      <c r="ZA34" s="1221"/>
      <c r="ZB34" s="1221"/>
      <c r="ZC34" s="1221"/>
      <c r="ZD34" s="1221"/>
      <c r="ZE34" s="1221"/>
      <c r="ZF34" s="1221"/>
      <c r="ZG34" s="1221"/>
      <c r="ZH34" s="1221"/>
      <c r="ZI34" s="1221"/>
      <c r="ZJ34" s="1221"/>
      <c r="ZK34" s="1221"/>
      <c r="ZL34" s="1221"/>
      <c r="ZM34" s="1221"/>
      <c r="ZN34" s="1221"/>
      <c r="ZO34" s="1221"/>
      <c r="ZP34" s="1221"/>
      <c r="ZQ34" s="1221"/>
      <c r="ZR34" s="1221"/>
      <c r="ZS34" s="1221"/>
      <c r="ZT34" s="1221"/>
      <c r="ZU34" s="1221"/>
      <c r="ZV34" s="1221"/>
      <c r="ZW34" s="1221"/>
      <c r="ZX34" s="1221"/>
      <c r="ZY34" s="1221"/>
      <c r="ZZ34" s="1221"/>
      <c r="AAA34" s="1221"/>
      <c r="AAB34" s="1221"/>
      <c r="AAC34" s="1221"/>
      <c r="AAD34" s="1221"/>
      <c r="AAE34" s="1221"/>
      <c r="AAF34" s="1221"/>
      <c r="AAG34" s="1221"/>
      <c r="AAH34" s="1221"/>
      <c r="AAI34" s="1221"/>
      <c r="AAJ34" s="1221"/>
      <c r="AAK34" s="1221"/>
      <c r="AAL34" s="1221"/>
      <c r="AAM34" s="1221"/>
      <c r="AAN34" s="1221"/>
      <c r="AAO34" s="1221"/>
      <c r="AAP34" s="1221"/>
      <c r="AAQ34" s="1221"/>
      <c r="AAR34" s="1221"/>
      <c r="AAS34" s="1221"/>
      <c r="AAT34" s="1221"/>
      <c r="AAU34" s="1221"/>
      <c r="AAV34" s="1221"/>
      <c r="AAW34" s="1221"/>
      <c r="AAX34" s="1221"/>
      <c r="AAY34" s="1221"/>
      <c r="AAZ34" s="1221"/>
      <c r="ABA34" s="1221"/>
      <c r="ABB34" s="1221"/>
      <c r="ABC34" s="1221"/>
      <c r="ABD34" s="1221"/>
      <c r="ABE34" s="1221"/>
      <c r="ABF34" s="1221"/>
      <c r="ABG34" s="1221"/>
      <c r="ABH34" s="1221"/>
      <c r="ABI34" s="1221"/>
      <c r="ABJ34" s="1221"/>
      <c r="ABK34" s="1221"/>
      <c r="ABL34" s="1221"/>
      <c r="ABM34" s="1221"/>
      <c r="ABN34" s="1221"/>
      <c r="ABO34" s="1221"/>
      <c r="ABP34" s="1221"/>
      <c r="ABQ34" s="1221"/>
      <c r="ABR34" s="1221"/>
      <c r="ABS34" s="1221"/>
      <c r="ABT34" s="1221"/>
      <c r="ABU34" s="1221"/>
      <c r="ABV34" s="1221"/>
      <c r="ABW34" s="1221"/>
      <c r="ABX34" s="1221"/>
      <c r="ABY34" s="1221"/>
      <c r="ABZ34" s="1221"/>
      <c r="ACA34" s="1221"/>
      <c r="ACB34" s="1221"/>
      <c r="ACC34" s="1221"/>
      <c r="ACD34" s="1221"/>
      <c r="ACE34" s="1221"/>
      <c r="ACF34" s="1221"/>
      <c r="ACG34" s="1221"/>
      <c r="ACH34" s="1221"/>
      <c r="ACI34" s="1221"/>
      <c r="ACJ34" s="1221"/>
      <c r="ACK34" s="1221"/>
      <c r="ACL34" s="1221"/>
      <c r="ACM34" s="1221"/>
      <c r="ACN34" s="1221"/>
      <c r="ACO34" s="1221"/>
      <c r="ACP34" s="1221"/>
      <c r="ACQ34" s="1221"/>
      <c r="ACR34" s="1221"/>
      <c r="ACS34" s="1221"/>
      <c r="ACT34" s="1221"/>
      <c r="ACU34" s="1221"/>
      <c r="ACV34" s="1221"/>
      <c r="ACW34" s="1221"/>
      <c r="ACX34" s="1221"/>
      <c r="ACY34" s="1221"/>
      <c r="ACZ34" s="1221"/>
      <c r="ADA34" s="1221"/>
      <c r="ADB34" s="1221"/>
      <c r="ADC34" s="1221"/>
      <c r="ADD34" s="1221"/>
      <c r="ADE34" s="1221"/>
      <c r="ADF34" s="1221"/>
      <c r="ADG34" s="1221"/>
      <c r="ADH34" s="1221"/>
      <c r="ADI34" s="1221"/>
      <c r="ADJ34" s="1221"/>
      <c r="ADK34" s="1221"/>
      <c r="ADL34" s="1221"/>
      <c r="ADM34" s="1221"/>
      <c r="ADN34" s="1221"/>
      <c r="ADO34" s="1221"/>
      <c r="ADP34" s="1221"/>
      <c r="ADQ34" s="1221"/>
      <c r="ADR34" s="1221"/>
      <c r="ADS34" s="1221"/>
      <c r="ADT34" s="1221"/>
      <c r="ADU34" s="1221"/>
      <c r="ADV34" s="1221"/>
      <c r="ADW34" s="1221"/>
      <c r="ADX34" s="1221"/>
      <c r="ADY34" s="1221"/>
      <c r="ADZ34" s="1221"/>
      <c r="AEA34" s="1221"/>
      <c r="AEB34" s="1221"/>
      <c r="AEC34" s="1221"/>
      <c r="AED34" s="1221"/>
      <c r="AEE34" s="1221"/>
      <c r="AEF34" s="1221"/>
      <c r="AEG34" s="1221"/>
      <c r="AEH34" s="1221"/>
      <c r="AEI34" s="1221"/>
      <c r="AEJ34" s="1221"/>
      <c r="AEK34" s="1221"/>
      <c r="AEL34" s="1221"/>
      <c r="AEM34" s="1221"/>
      <c r="AEN34" s="1221"/>
      <c r="AEO34" s="1221"/>
      <c r="AEP34" s="1221"/>
      <c r="AEQ34" s="1221"/>
      <c r="AER34" s="1221"/>
      <c r="AES34" s="1221"/>
      <c r="AET34" s="1221"/>
      <c r="AEU34" s="1221"/>
      <c r="AEV34" s="1221"/>
      <c r="AEW34" s="1221"/>
      <c r="AEX34" s="1221"/>
      <c r="AEY34" s="1221"/>
      <c r="AEZ34" s="1221"/>
      <c r="AFA34" s="1221"/>
      <c r="AFB34" s="1221"/>
      <c r="AFC34" s="1221"/>
      <c r="AFD34" s="1221"/>
      <c r="AFE34" s="1221"/>
      <c r="AFF34" s="1221"/>
      <c r="AFG34" s="1221"/>
      <c r="AFH34" s="1221"/>
      <c r="AFI34" s="1221"/>
      <c r="AFJ34" s="1221"/>
      <c r="AFK34" s="1221"/>
      <c r="AFL34" s="1221"/>
      <c r="AFM34" s="1221"/>
      <c r="AFN34" s="1221"/>
      <c r="AFO34" s="1221"/>
      <c r="AFP34" s="1221"/>
      <c r="AFQ34" s="1221"/>
      <c r="AFR34" s="1221"/>
      <c r="AFS34" s="1221"/>
      <c r="AFT34" s="1221"/>
      <c r="AFU34" s="1221"/>
      <c r="AFV34" s="1221"/>
      <c r="AFW34" s="1221"/>
      <c r="AFX34" s="1221"/>
      <c r="AFY34" s="1221"/>
      <c r="AFZ34" s="1221"/>
      <c r="AGA34" s="1221"/>
      <c r="AGB34" s="1221"/>
      <c r="AGC34" s="1221"/>
      <c r="AGD34" s="1221"/>
      <c r="AGE34" s="1221"/>
      <c r="AGF34" s="1221"/>
      <c r="AGG34" s="1221"/>
      <c r="AGH34" s="1221"/>
      <c r="AGI34" s="1221"/>
      <c r="AGJ34" s="1221"/>
      <c r="AGK34" s="1221"/>
      <c r="AGL34" s="1221"/>
      <c r="AGM34" s="1221"/>
      <c r="AGN34" s="1221"/>
      <c r="AGO34" s="1221"/>
      <c r="AGP34" s="1221"/>
      <c r="AGQ34" s="1221"/>
      <c r="AGR34" s="1221"/>
      <c r="AGS34" s="1221"/>
      <c r="AGT34" s="1221"/>
      <c r="AGU34" s="1221"/>
      <c r="AGV34" s="1221"/>
      <c r="AGW34" s="1221"/>
      <c r="AGX34" s="1221"/>
      <c r="AGY34" s="1221"/>
      <c r="AGZ34" s="1221"/>
      <c r="AHA34" s="1221"/>
      <c r="AHB34" s="1221"/>
      <c r="AHC34" s="1221"/>
      <c r="AHD34" s="1221"/>
      <c r="AHE34" s="1221"/>
      <c r="AHF34" s="1221"/>
      <c r="AHG34" s="1221"/>
      <c r="AHH34" s="1221"/>
      <c r="AHI34" s="1221"/>
      <c r="AHJ34" s="1221"/>
      <c r="AHK34" s="1221"/>
      <c r="AHL34" s="1221"/>
      <c r="AHM34" s="1221"/>
      <c r="AHN34" s="1221"/>
      <c r="AHO34" s="1221"/>
      <c r="AHP34" s="1221"/>
      <c r="AHQ34" s="1221"/>
      <c r="AHR34" s="1221"/>
      <c r="AHS34" s="1221"/>
      <c r="AHT34" s="1221"/>
      <c r="AHU34" s="1221"/>
      <c r="AHV34" s="1221"/>
      <c r="AHW34" s="1221"/>
      <c r="AHX34" s="1221"/>
      <c r="AHY34" s="1221"/>
      <c r="AHZ34" s="1221"/>
      <c r="AIA34" s="1221"/>
      <c r="AIB34" s="1221"/>
      <c r="AIC34" s="1221"/>
      <c r="AID34" s="1221"/>
      <c r="AIE34" s="1221"/>
      <c r="AIF34" s="1221"/>
      <c r="AIG34" s="1221"/>
      <c r="AIH34" s="1221"/>
      <c r="AII34" s="1221"/>
      <c r="AIJ34" s="1221"/>
      <c r="AIK34" s="1221"/>
      <c r="AIL34" s="1221"/>
      <c r="AIM34" s="1221"/>
      <c r="AIN34" s="1221"/>
      <c r="AIO34" s="1221"/>
      <c r="AIP34" s="1221"/>
      <c r="AIQ34" s="1221"/>
      <c r="AIR34" s="1221"/>
      <c r="AIS34" s="1221"/>
      <c r="AIT34" s="1221"/>
      <c r="AIU34" s="1221"/>
      <c r="AIV34" s="1221"/>
      <c r="AIW34" s="1221"/>
      <c r="AIX34" s="1221"/>
      <c r="AIY34" s="1221"/>
      <c r="AIZ34" s="1221"/>
      <c r="AJA34" s="1221"/>
      <c r="AJB34" s="1221"/>
      <c r="AJC34" s="1221"/>
      <c r="AJD34" s="1221"/>
      <c r="AJE34" s="1221"/>
      <c r="AJF34" s="1221"/>
      <c r="AJG34" s="1221"/>
      <c r="AJH34" s="1221"/>
      <c r="AJI34" s="1221"/>
      <c r="AJJ34" s="1221"/>
      <c r="AJK34" s="1221"/>
      <c r="AJL34" s="1221"/>
      <c r="AJM34" s="1221"/>
      <c r="AJN34" s="1221"/>
      <c r="AJO34" s="1221"/>
      <c r="AJP34" s="1221"/>
      <c r="AJQ34" s="1221"/>
      <c r="AJR34" s="1221"/>
      <c r="AJS34" s="1221"/>
      <c r="AJT34" s="1221"/>
      <c r="AJU34" s="1221"/>
      <c r="AJV34" s="1221"/>
      <c r="AJW34" s="1221"/>
      <c r="AJX34" s="1221"/>
      <c r="AJY34" s="1221"/>
      <c r="AJZ34" s="1221"/>
      <c r="AKA34" s="1221"/>
      <c r="AKB34" s="1221"/>
      <c r="AKC34" s="1221"/>
      <c r="AKD34" s="1221"/>
      <c r="AKE34" s="1221"/>
      <c r="AKF34" s="1221"/>
      <c r="AKG34" s="1221"/>
      <c r="AKH34" s="1221"/>
      <c r="AKI34" s="1221"/>
      <c r="AKJ34" s="1221"/>
      <c r="AKK34" s="1221"/>
      <c r="AKL34" s="1221"/>
      <c r="AKM34" s="1221"/>
      <c r="AKN34" s="1221"/>
      <c r="AKO34" s="1221"/>
      <c r="AKP34" s="1221"/>
      <c r="AKQ34" s="1221"/>
      <c r="AKR34" s="1221"/>
      <c r="AKS34" s="1221"/>
      <c r="AKT34" s="1221"/>
      <c r="AKU34" s="1221"/>
      <c r="AKV34" s="1221"/>
      <c r="AKW34" s="1221"/>
      <c r="AKX34" s="1221"/>
      <c r="AKY34" s="1221"/>
      <c r="AKZ34" s="1221"/>
      <c r="ALA34" s="1221"/>
      <c r="ALB34" s="1221"/>
      <c r="ALC34" s="1221"/>
      <c r="ALD34" s="1221"/>
      <c r="ALE34" s="1221"/>
      <c r="ALF34" s="1221"/>
      <c r="ALG34" s="1221"/>
      <c r="ALH34" s="1221"/>
      <c r="ALI34" s="1221"/>
      <c r="ALJ34" s="1221"/>
      <c r="ALK34" s="1221"/>
      <c r="ALL34" s="1221"/>
      <c r="ALM34" s="1221"/>
      <c r="ALN34" s="1221"/>
      <c r="ALO34" s="1221"/>
      <c r="ALP34" s="1221"/>
      <c r="ALQ34" s="1221"/>
      <c r="ALR34" s="1221"/>
      <c r="ALS34" s="1221"/>
      <c r="ALT34" s="1221"/>
      <c r="ALU34" s="1221"/>
      <c r="ALV34" s="1221"/>
      <c r="ALW34" s="1221"/>
      <c r="ALX34" s="1221"/>
      <c r="ALY34" s="1221"/>
      <c r="ALZ34" s="1221"/>
      <c r="AMA34" s="1221"/>
      <c r="AMB34" s="1221"/>
      <c r="AMC34" s="1221"/>
      <c r="AMD34" s="1221"/>
      <c r="AME34" s="1221"/>
      <c r="AMF34" s="1221"/>
      <c r="AMG34" s="1221"/>
      <c r="AMH34" s="1221"/>
      <c r="AMI34" s="1221"/>
      <c r="AMJ34" s="1221"/>
      <c r="AMK34" s="1221"/>
      <c r="AML34" s="1221"/>
      <c r="AMM34" s="1221"/>
      <c r="AMN34" s="1221"/>
      <c r="AMO34" s="1221"/>
      <c r="AMP34" s="1221"/>
      <c r="AMQ34" s="1221"/>
      <c r="AMR34" s="1221"/>
      <c r="AMS34" s="1221"/>
      <c r="AMT34" s="1221"/>
      <c r="AMU34" s="1221"/>
      <c r="AMV34" s="1221"/>
      <c r="AMW34" s="1221"/>
      <c r="AMX34" s="1221"/>
      <c r="AMY34" s="1221"/>
      <c r="AMZ34" s="1221"/>
      <c r="ANA34" s="1221"/>
      <c r="ANB34" s="1221"/>
      <c r="ANC34" s="1221"/>
      <c r="AND34" s="1221"/>
      <c r="ANE34" s="1221"/>
      <c r="ANF34" s="1221"/>
      <c r="ANG34" s="1221"/>
      <c r="ANH34" s="1221"/>
      <c r="ANI34" s="1221"/>
      <c r="ANJ34" s="1221"/>
      <c r="ANK34" s="1221"/>
      <c r="ANL34" s="1221"/>
      <c r="ANM34" s="1221"/>
      <c r="ANN34" s="1221"/>
      <c r="ANO34" s="1221"/>
      <c r="ANP34" s="1221"/>
      <c r="ANQ34" s="1221"/>
      <c r="ANR34" s="1221"/>
      <c r="ANS34" s="1221"/>
      <c r="ANT34" s="1221"/>
      <c r="ANU34" s="1221"/>
      <c r="ANV34" s="1221"/>
      <c r="ANW34" s="1221"/>
      <c r="ANX34" s="1221"/>
      <c r="ANY34" s="1221"/>
      <c r="ANZ34" s="1221"/>
      <c r="AOA34" s="1221"/>
      <c r="AOB34" s="1221"/>
      <c r="AOC34" s="1221"/>
      <c r="AOD34" s="1221"/>
      <c r="AOE34" s="1221"/>
      <c r="AOF34" s="1221"/>
      <c r="AOG34" s="1221"/>
      <c r="AOH34" s="1221"/>
      <c r="AOI34" s="1221"/>
      <c r="AOJ34" s="1221"/>
      <c r="AOK34" s="1221"/>
      <c r="AOL34" s="1221"/>
      <c r="AOM34" s="1221"/>
      <c r="AON34" s="1221"/>
      <c r="AOO34" s="1221"/>
      <c r="AOP34" s="1221"/>
      <c r="AOQ34" s="1221"/>
      <c r="AOR34" s="1221"/>
      <c r="AOS34" s="1221"/>
      <c r="AOT34" s="1221"/>
      <c r="AOU34" s="1221"/>
      <c r="AOV34" s="1221"/>
      <c r="AOW34" s="1221"/>
      <c r="AOX34" s="1221"/>
      <c r="AOY34" s="1221"/>
      <c r="AOZ34" s="1221"/>
      <c r="APA34" s="1221"/>
      <c r="APB34" s="1221"/>
      <c r="APC34" s="1221"/>
      <c r="APD34" s="1221"/>
      <c r="APE34" s="1221"/>
      <c r="APF34" s="1221"/>
      <c r="APG34" s="1221"/>
      <c r="APH34" s="1221"/>
      <c r="API34" s="1221"/>
      <c r="APJ34" s="1221"/>
      <c r="APK34" s="1221"/>
      <c r="APL34" s="1221"/>
      <c r="APM34" s="1221"/>
      <c r="APN34" s="1221"/>
      <c r="APO34" s="1221"/>
      <c r="APP34" s="1221"/>
      <c r="APQ34" s="1221"/>
      <c r="APR34" s="1221"/>
      <c r="APS34" s="1221"/>
      <c r="APT34" s="1221"/>
      <c r="APU34" s="1221"/>
      <c r="APV34" s="1221"/>
      <c r="APW34" s="1221"/>
      <c r="APX34" s="1221"/>
      <c r="APY34" s="1221"/>
      <c r="APZ34" s="1221"/>
      <c r="AQA34" s="1221"/>
      <c r="AQB34" s="1221"/>
      <c r="AQC34" s="1221"/>
      <c r="AQD34" s="1221"/>
      <c r="AQE34" s="1221"/>
      <c r="AQF34" s="1221"/>
      <c r="AQG34" s="1221"/>
      <c r="AQH34" s="1221"/>
      <c r="AQI34" s="1221"/>
      <c r="AQJ34" s="1221"/>
      <c r="AQK34" s="1221"/>
      <c r="AQL34" s="1221"/>
      <c r="AQM34" s="1221"/>
      <c r="AQN34" s="1221"/>
      <c r="AQO34" s="1221"/>
      <c r="AQP34" s="1221"/>
      <c r="AQQ34" s="1221"/>
      <c r="AQR34" s="1221"/>
      <c r="AQS34" s="1221"/>
      <c r="AQT34" s="1221"/>
      <c r="AQU34" s="1221"/>
      <c r="AQV34" s="1221"/>
      <c r="AQW34" s="1221"/>
      <c r="AQX34" s="1221"/>
      <c r="AQY34" s="1221"/>
      <c r="AQZ34" s="1221"/>
      <c r="ARA34" s="1221"/>
      <c r="ARB34" s="1221"/>
      <c r="ARC34" s="1221"/>
      <c r="ARD34" s="1221"/>
      <c r="ARE34" s="1221"/>
      <c r="ARF34" s="1221"/>
      <c r="ARG34" s="1221"/>
      <c r="ARH34" s="1221"/>
      <c r="ARI34" s="1221"/>
      <c r="ARJ34" s="1221"/>
      <c r="ARK34" s="1221"/>
      <c r="ARL34" s="1221"/>
      <c r="ARM34" s="1221"/>
      <c r="ARN34" s="1221"/>
      <c r="ARO34" s="1221"/>
      <c r="ARP34" s="1221"/>
      <c r="ARQ34" s="1221"/>
      <c r="ARR34" s="1221"/>
      <c r="ARS34" s="1221"/>
      <c r="ART34" s="1221"/>
      <c r="ARU34" s="1221"/>
      <c r="ARV34" s="1221"/>
      <c r="ARW34" s="1221"/>
      <c r="ARX34" s="1221"/>
      <c r="ARY34" s="1221"/>
      <c r="ARZ34" s="1221"/>
      <c r="ASA34" s="1221"/>
      <c r="ASB34" s="1221"/>
      <c r="ASC34" s="1221"/>
      <c r="ASD34" s="1221"/>
      <c r="ASE34" s="1221"/>
      <c r="ASF34" s="1221"/>
      <c r="ASG34" s="1221"/>
      <c r="ASH34" s="1221"/>
      <c r="ASI34" s="1221"/>
      <c r="ASJ34" s="1221"/>
      <c r="ASK34" s="1221"/>
      <c r="ASL34" s="1221"/>
      <c r="ASM34" s="1221"/>
      <c r="ASN34" s="1221"/>
      <c r="ASO34" s="1221"/>
      <c r="ASP34" s="1221"/>
      <c r="ASQ34" s="1221"/>
      <c r="ASR34" s="1221"/>
      <c r="ASS34" s="1221"/>
      <c r="AST34" s="1221"/>
      <c r="ASU34" s="1221"/>
      <c r="ASV34" s="1221"/>
      <c r="ASW34" s="1221"/>
      <c r="ASX34" s="1221"/>
      <c r="ASY34" s="1221"/>
      <c r="ASZ34" s="1221"/>
      <c r="ATA34" s="1221"/>
      <c r="ATB34" s="1221"/>
      <c r="ATC34" s="1221"/>
      <c r="ATD34" s="1221"/>
      <c r="ATE34" s="1221"/>
      <c r="ATF34" s="1221"/>
      <c r="ATG34" s="1221"/>
      <c r="ATH34" s="1221"/>
      <c r="ATI34" s="1221"/>
      <c r="ATJ34" s="1221"/>
      <c r="ATK34" s="1221"/>
      <c r="ATL34" s="1221"/>
      <c r="ATM34" s="1221"/>
      <c r="ATN34" s="1221"/>
      <c r="ATO34" s="1221"/>
      <c r="ATP34" s="1221"/>
      <c r="ATQ34" s="1221"/>
      <c r="ATR34" s="1221"/>
      <c r="ATS34" s="1221"/>
      <c r="ATT34" s="1221"/>
      <c r="ATU34" s="1221"/>
      <c r="ATV34" s="1221"/>
      <c r="ATW34" s="1221"/>
      <c r="ATX34" s="1221"/>
      <c r="ATY34" s="1221"/>
      <c r="ATZ34" s="1221"/>
      <c r="AUA34" s="1221"/>
      <c r="AUB34" s="1221"/>
      <c r="AUC34" s="1221"/>
      <c r="AUD34" s="1221"/>
      <c r="AUE34" s="1221"/>
      <c r="AUF34" s="1221"/>
      <c r="AUG34" s="1221"/>
      <c r="AUH34" s="1221"/>
      <c r="AUI34" s="1221"/>
      <c r="AUJ34" s="1221"/>
      <c r="AUK34" s="1221"/>
      <c r="AUL34" s="1221"/>
      <c r="AUM34" s="1221"/>
      <c r="AUN34" s="1221"/>
      <c r="AUO34" s="1221"/>
      <c r="AUP34" s="1221"/>
      <c r="AUQ34" s="1221"/>
      <c r="AUR34" s="1221"/>
      <c r="AUS34" s="1221"/>
      <c r="AUT34" s="1221"/>
      <c r="AUU34" s="1221"/>
      <c r="AUV34" s="1221"/>
      <c r="AUW34" s="1221"/>
      <c r="AUX34" s="1221"/>
      <c r="AUY34" s="1221"/>
      <c r="AUZ34" s="1221"/>
      <c r="AVA34" s="1221"/>
      <c r="AVB34" s="1221"/>
      <c r="AVC34" s="1221"/>
      <c r="AVD34" s="1221"/>
      <c r="AVE34" s="1221"/>
      <c r="AVF34" s="1221"/>
      <c r="AVG34" s="1221"/>
      <c r="AVH34" s="1221"/>
      <c r="AVI34" s="1221"/>
      <c r="AVJ34" s="1221"/>
      <c r="AVK34" s="1221"/>
      <c r="AVL34" s="1221"/>
      <c r="AVM34" s="1221"/>
      <c r="AVN34" s="1221"/>
      <c r="AVO34" s="1221"/>
      <c r="AVP34" s="1221"/>
      <c r="AVQ34" s="1221"/>
      <c r="AVR34" s="1221"/>
      <c r="AVS34" s="1221"/>
      <c r="AVT34" s="1221"/>
      <c r="AVU34" s="1221"/>
      <c r="AVV34" s="1221"/>
      <c r="AVW34" s="1221"/>
      <c r="AVX34" s="1221"/>
      <c r="AVY34" s="1221"/>
      <c r="AVZ34" s="1221"/>
      <c r="AWA34" s="1221"/>
      <c r="AWB34" s="1221"/>
      <c r="AWC34" s="1221"/>
      <c r="AWD34" s="1221"/>
      <c r="AWE34" s="1221"/>
      <c r="AWF34" s="1221"/>
      <c r="AWG34" s="1221"/>
      <c r="AWH34" s="1221"/>
      <c r="AWI34" s="1221"/>
      <c r="AWJ34" s="1221"/>
      <c r="AWK34" s="1221"/>
      <c r="AWL34" s="1221"/>
      <c r="AWM34" s="1221"/>
      <c r="AWN34" s="1221"/>
      <c r="AWO34" s="1221"/>
      <c r="AWP34" s="1221"/>
      <c r="AWQ34" s="1221"/>
      <c r="AWR34" s="1221"/>
      <c r="AWS34" s="1221"/>
      <c r="AWT34" s="1221"/>
      <c r="AWU34" s="1221"/>
      <c r="AWV34" s="1221"/>
      <c r="AWW34" s="1221"/>
      <c r="AWX34" s="1221"/>
      <c r="AWY34" s="1221"/>
      <c r="AWZ34" s="1221"/>
      <c r="AXA34" s="1221"/>
      <c r="AXB34" s="1221"/>
      <c r="AXC34" s="1221"/>
      <c r="AXD34" s="1221"/>
      <c r="AXE34" s="1221"/>
      <c r="AXF34" s="1221"/>
      <c r="AXG34" s="1221"/>
      <c r="AXH34" s="1221"/>
      <c r="AXI34" s="1221"/>
      <c r="AXJ34" s="1221"/>
      <c r="AXK34" s="1221"/>
      <c r="AXL34" s="1221"/>
      <c r="AXM34" s="1221"/>
      <c r="AXN34" s="1221"/>
      <c r="AXO34" s="1221"/>
      <c r="AXP34" s="1221"/>
      <c r="AXQ34" s="1221"/>
      <c r="AXR34" s="1221"/>
      <c r="AXS34" s="1221"/>
      <c r="AXT34" s="1221"/>
      <c r="AXU34" s="1221"/>
      <c r="AXV34" s="1221"/>
      <c r="AXW34" s="1221"/>
      <c r="AXX34" s="1221"/>
      <c r="AXY34" s="1221"/>
      <c r="AXZ34" s="1221"/>
      <c r="AYA34" s="1221"/>
      <c r="AYB34" s="1221"/>
      <c r="AYC34" s="1221"/>
      <c r="AYD34" s="1221"/>
      <c r="AYE34" s="1221"/>
      <c r="AYF34" s="1221"/>
      <c r="AYG34" s="1221"/>
      <c r="AYH34" s="1221"/>
      <c r="AYI34" s="1221"/>
      <c r="AYJ34" s="1221"/>
      <c r="AYK34" s="1221"/>
      <c r="AYL34" s="1221"/>
      <c r="AYM34" s="1221"/>
      <c r="AYN34" s="1221"/>
      <c r="AYO34" s="1221"/>
      <c r="AYP34" s="1221"/>
      <c r="AYQ34" s="1221"/>
      <c r="AYR34" s="1221"/>
      <c r="AYS34" s="1221"/>
      <c r="AYT34" s="1221"/>
      <c r="AYU34" s="1221"/>
      <c r="AYV34" s="1221"/>
      <c r="AYW34" s="1221"/>
      <c r="AYX34" s="1221"/>
      <c r="AYY34" s="1221"/>
      <c r="AYZ34" s="1221"/>
      <c r="AZA34" s="1221"/>
      <c r="AZB34" s="1221"/>
      <c r="AZC34" s="1221"/>
      <c r="AZD34" s="1221"/>
      <c r="AZE34" s="1221"/>
      <c r="AZF34" s="1221"/>
      <c r="AZG34" s="1221"/>
      <c r="AZH34" s="1221"/>
      <c r="AZI34" s="1221"/>
      <c r="AZJ34" s="1221"/>
      <c r="AZK34" s="1221"/>
      <c r="AZL34" s="1221"/>
      <c r="AZM34" s="1221"/>
      <c r="AZN34" s="1221"/>
      <c r="AZO34" s="1221"/>
      <c r="AZP34" s="1221"/>
      <c r="AZQ34" s="1221"/>
      <c r="AZR34" s="1221"/>
      <c r="AZS34" s="1221"/>
      <c r="AZT34" s="1221"/>
      <c r="AZU34" s="1221"/>
      <c r="AZV34" s="1221"/>
      <c r="AZW34" s="1221"/>
      <c r="AZX34" s="1221"/>
      <c r="AZY34" s="1221"/>
      <c r="AZZ34" s="1221"/>
      <c r="BAA34" s="1221"/>
      <c r="BAB34" s="1221"/>
      <c r="BAC34" s="1221"/>
      <c r="BAD34" s="1221"/>
      <c r="BAE34" s="1221"/>
      <c r="BAF34" s="1221"/>
      <c r="BAG34" s="1221"/>
      <c r="BAH34" s="1221"/>
      <c r="BAI34" s="1221"/>
      <c r="BAJ34" s="1221"/>
      <c r="BAK34" s="1221"/>
      <c r="BAL34" s="1221"/>
      <c r="BAM34" s="1221"/>
      <c r="BAN34" s="1221"/>
      <c r="BAO34" s="1221"/>
      <c r="BAP34" s="1221"/>
      <c r="BAQ34" s="1221"/>
      <c r="BAR34" s="1221"/>
      <c r="BAS34" s="1221"/>
      <c r="BAT34" s="1221"/>
      <c r="BAU34" s="1221"/>
      <c r="BAV34" s="1221"/>
      <c r="BAW34" s="1221"/>
      <c r="BAX34" s="1221"/>
      <c r="BAY34" s="1221"/>
      <c r="BAZ34" s="1221"/>
      <c r="BBA34" s="1221"/>
      <c r="BBB34" s="1221"/>
      <c r="BBC34" s="1221"/>
      <c r="BBD34" s="1221"/>
      <c r="BBE34" s="1221"/>
      <c r="BBF34" s="1221"/>
      <c r="BBG34" s="1221"/>
      <c r="BBH34" s="1221"/>
      <c r="BBI34" s="1221"/>
      <c r="BBJ34" s="1221"/>
      <c r="BBK34" s="1221"/>
      <c r="BBL34" s="1221"/>
      <c r="BBM34" s="1221"/>
      <c r="BBN34" s="1221"/>
      <c r="BBO34" s="1221"/>
      <c r="BBP34" s="1221"/>
      <c r="BBQ34" s="1221"/>
      <c r="BBR34" s="1221"/>
      <c r="BBS34" s="1221"/>
      <c r="BBT34" s="1221"/>
      <c r="BBU34" s="1221"/>
      <c r="BBV34" s="1221"/>
      <c r="BBW34" s="1221"/>
      <c r="BBX34" s="1221"/>
      <c r="BBY34" s="1221"/>
      <c r="BBZ34" s="1221"/>
      <c r="BCA34" s="1221"/>
      <c r="BCB34" s="1221"/>
      <c r="BCC34" s="1221"/>
      <c r="BCD34" s="1221"/>
      <c r="BCE34" s="1221"/>
      <c r="BCF34" s="1221"/>
      <c r="BCG34" s="1221"/>
      <c r="BCH34" s="1221"/>
      <c r="BCI34" s="1221"/>
      <c r="BCJ34" s="1221"/>
      <c r="BCK34" s="1221"/>
      <c r="BCL34" s="1221"/>
      <c r="BCM34" s="1221"/>
      <c r="BCN34" s="1221"/>
      <c r="BCO34" s="1221"/>
      <c r="BCP34" s="1221"/>
      <c r="BCQ34" s="1221"/>
      <c r="BCR34" s="1221"/>
      <c r="BCS34" s="1221"/>
      <c r="BCT34" s="1221"/>
      <c r="BCU34" s="1221"/>
      <c r="BCV34" s="1221"/>
      <c r="BCW34" s="1221"/>
      <c r="BCX34" s="1221"/>
      <c r="BCY34" s="1221"/>
      <c r="BCZ34" s="1221"/>
      <c r="BDA34" s="1221"/>
      <c r="BDB34" s="1221"/>
      <c r="BDC34" s="1221"/>
      <c r="BDD34" s="1221"/>
      <c r="BDE34" s="1221"/>
      <c r="BDF34" s="1221"/>
      <c r="BDG34" s="1221"/>
      <c r="BDH34" s="1221"/>
      <c r="BDI34" s="1221"/>
      <c r="BDJ34" s="1221"/>
      <c r="BDK34" s="1221"/>
      <c r="BDL34" s="1221"/>
      <c r="BDM34" s="1221"/>
      <c r="BDN34" s="1221"/>
      <c r="BDO34" s="1221"/>
      <c r="BDP34" s="1221"/>
      <c r="BDQ34" s="1221"/>
      <c r="BDR34" s="1221"/>
      <c r="BDS34" s="1221"/>
      <c r="BDT34" s="1221"/>
      <c r="BDU34" s="1221"/>
      <c r="BDV34" s="1221"/>
      <c r="BDW34" s="1221"/>
      <c r="BDX34" s="1221"/>
      <c r="BDY34" s="1221"/>
      <c r="BDZ34" s="1221"/>
      <c r="BEA34" s="1221"/>
      <c r="BEB34" s="1221"/>
      <c r="BEC34" s="1221"/>
      <c r="BED34" s="1221"/>
      <c r="BEE34" s="1221"/>
      <c r="BEF34" s="1221"/>
      <c r="BEG34" s="1221"/>
      <c r="BEH34" s="1221"/>
      <c r="BEI34" s="1221"/>
      <c r="BEJ34" s="1221"/>
      <c r="BEK34" s="1221"/>
      <c r="BEL34" s="1221"/>
      <c r="BEM34" s="1221"/>
      <c r="BEN34" s="1221"/>
      <c r="BEO34" s="1221"/>
      <c r="BEP34" s="1221"/>
      <c r="BEQ34" s="1221"/>
      <c r="BER34" s="1221"/>
      <c r="BES34" s="1221"/>
      <c r="BET34" s="1221"/>
      <c r="BEU34" s="1221"/>
      <c r="BEV34" s="1221"/>
      <c r="BEW34" s="1221"/>
      <c r="BEX34" s="1221"/>
      <c r="BEY34" s="1221"/>
      <c r="BEZ34" s="1221"/>
      <c r="BFA34" s="1221"/>
      <c r="BFB34" s="1221"/>
      <c r="BFC34" s="1221"/>
      <c r="BFD34" s="1221"/>
      <c r="BFE34" s="1221"/>
      <c r="BFF34" s="1221"/>
      <c r="BFG34" s="1221"/>
      <c r="BFH34" s="1221"/>
      <c r="BFI34" s="1221"/>
      <c r="BFJ34" s="1221"/>
      <c r="BFK34" s="1221"/>
      <c r="BFL34" s="1221"/>
      <c r="BFM34" s="1221"/>
      <c r="BFN34" s="1221"/>
      <c r="BFO34" s="1221"/>
      <c r="BFP34" s="1221"/>
      <c r="BFQ34" s="1221"/>
      <c r="BFR34" s="1221"/>
      <c r="BFS34" s="1221"/>
      <c r="BFT34" s="1221"/>
      <c r="BFU34" s="1221"/>
      <c r="BFV34" s="1221"/>
      <c r="BFW34" s="1221"/>
      <c r="BFX34" s="1221"/>
      <c r="BFY34" s="1221"/>
      <c r="BFZ34" s="1221"/>
      <c r="BGA34" s="1221"/>
      <c r="BGB34" s="1221"/>
      <c r="BGC34" s="1221"/>
      <c r="BGD34" s="1221"/>
      <c r="BGE34" s="1221"/>
      <c r="BGF34" s="1221"/>
      <c r="BGG34" s="1221"/>
      <c r="BGH34" s="1221"/>
      <c r="BGI34" s="1221"/>
      <c r="BGJ34" s="1221"/>
      <c r="BGK34" s="1221"/>
      <c r="BGL34" s="1221"/>
      <c r="BGM34" s="1221"/>
      <c r="BGN34" s="1221"/>
      <c r="BGO34" s="1221"/>
      <c r="BGP34" s="1221"/>
      <c r="BGQ34" s="1221"/>
      <c r="BGR34" s="1221"/>
      <c r="BGS34" s="1221"/>
      <c r="BGT34" s="1221"/>
      <c r="BGU34" s="1221"/>
      <c r="BGV34" s="1221"/>
      <c r="BGW34" s="1221"/>
      <c r="BGX34" s="1221"/>
      <c r="BGY34" s="1221"/>
      <c r="BGZ34" s="1221"/>
      <c r="BHA34" s="1221"/>
      <c r="BHB34" s="1221"/>
      <c r="BHC34" s="1221"/>
      <c r="BHD34" s="1221"/>
      <c r="BHE34" s="1221"/>
      <c r="BHF34" s="1221"/>
      <c r="BHG34" s="1221"/>
      <c r="BHH34" s="1221"/>
      <c r="BHI34" s="1221"/>
      <c r="BHJ34" s="1221"/>
      <c r="BHK34" s="1221"/>
      <c r="BHL34" s="1221"/>
      <c r="BHM34" s="1221"/>
      <c r="BHN34" s="1221"/>
      <c r="BHO34" s="1221"/>
      <c r="BHP34" s="1221"/>
      <c r="BHQ34" s="1221"/>
      <c r="BHR34" s="1221"/>
      <c r="BHS34" s="1221"/>
      <c r="BHT34" s="1221"/>
      <c r="BHU34" s="1221"/>
      <c r="BHV34" s="1221"/>
      <c r="BHW34" s="1221"/>
      <c r="BHX34" s="1221"/>
      <c r="BHY34" s="1221"/>
      <c r="BHZ34" s="1221"/>
      <c r="BIA34" s="1221"/>
      <c r="BIB34" s="1221"/>
      <c r="BIC34" s="1221"/>
      <c r="BID34" s="1221"/>
      <c r="BIE34" s="1221"/>
      <c r="BIF34" s="1221"/>
      <c r="BIG34" s="1221"/>
      <c r="BIH34" s="1221"/>
      <c r="BII34" s="1221"/>
      <c r="BIJ34" s="1221"/>
      <c r="BIK34" s="1221"/>
      <c r="BIL34" s="1221"/>
      <c r="BIM34" s="1221"/>
      <c r="BIN34" s="1221"/>
      <c r="BIO34" s="1221"/>
      <c r="BIP34" s="1221"/>
      <c r="BIQ34" s="1221"/>
      <c r="BIR34" s="1221"/>
      <c r="BIS34" s="1221"/>
      <c r="BIT34" s="1221"/>
      <c r="BIU34" s="1221"/>
      <c r="BIV34" s="1221"/>
      <c r="BIW34" s="1221"/>
      <c r="BIX34" s="1221"/>
      <c r="BIY34" s="1221"/>
      <c r="BIZ34" s="1221"/>
      <c r="BJA34" s="1221"/>
      <c r="BJB34" s="1221"/>
      <c r="BJC34" s="1221"/>
      <c r="BJD34" s="1221"/>
      <c r="BJE34" s="1221"/>
      <c r="BJF34" s="1221"/>
      <c r="BJG34" s="1221"/>
      <c r="BJH34" s="1221"/>
      <c r="BJI34" s="1221"/>
      <c r="BJJ34" s="1221"/>
      <c r="BJK34" s="1221"/>
      <c r="BJL34" s="1221"/>
      <c r="BJM34" s="1221"/>
      <c r="BJN34" s="1221"/>
      <c r="BJO34" s="1221"/>
      <c r="BJP34" s="1221"/>
      <c r="BJQ34" s="1221"/>
      <c r="BJR34" s="1221"/>
      <c r="BJS34" s="1221"/>
      <c r="BJT34" s="1221"/>
      <c r="BJU34" s="1221"/>
      <c r="BJV34" s="1221"/>
      <c r="BJW34" s="1221"/>
      <c r="BJX34" s="1221"/>
      <c r="BJY34" s="1221"/>
      <c r="BJZ34" s="1221"/>
      <c r="BKA34" s="1221"/>
      <c r="BKB34" s="1221"/>
      <c r="BKC34" s="1221"/>
      <c r="BKD34" s="1221"/>
      <c r="BKE34" s="1221"/>
      <c r="BKF34" s="1221"/>
      <c r="BKG34" s="1221"/>
      <c r="BKH34" s="1221"/>
      <c r="BKI34" s="1221"/>
      <c r="BKJ34" s="1221"/>
      <c r="BKK34" s="1221"/>
      <c r="BKL34" s="1221"/>
      <c r="BKM34" s="1221"/>
      <c r="BKN34" s="1221"/>
      <c r="BKO34" s="1221"/>
      <c r="BKP34" s="1221"/>
      <c r="BKQ34" s="1221"/>
      <c r="BKR34" s="1221"/>
      <c r="BKS34" s="1221"/>
      <c r="BKT34" s="1221"/>
      <c r="BKU34" s="1221"/>
      <c r="BKV34" s="1221"/>
      <c r="BKW34" s="1221"/>
      <c r="BKX34" s="1221"/>
      <c r="BKY34" s="1221"/>
      <c r="BKZ34" s="1221"/>
      <c r="BLA34" s="1221"/>
      <c r="BLB34" s="1221"/>
      <c r="BLC34" s="1221"/>
      <c r="BLD34" s="1221"/>
      <c r="BLE34" s="1221"/>
      <c r="BLF34" s="1221"/>
      <c r="BLG34" s="1221"/>
      <c r="BLH34" s="1221"/>
      <c r="BLI34" s="1221"/>
      <c r="BLJ34" s="1221"/>
      <c r="BLK34" s="1221"/>
      <c r="BLL34" s="1221"/>
      <c r="BLM34" s="1221"/>
      <c r="BLN34" s="1221"/>
      <c r="BLO34" s="1221"/>
      <c r="BLP34" s="1221"/>
      <c r="BLQ34" s="1221"/>
      <c r="BLR34" s="1221"/>
      <c r="BLS34" s="1221"/>
      <c r="BLT34" s="1221"/>
      <c r="BLU34" s="1221"/>
      <c r="BLV34" s="1221"/>
      <c r="BLW34" s="1221"/>
      <c r="BLX34" s="1221"/>
      <c r="BLY34" s="1221"/>
      <c r="BLZ34" s="1221"/>
      <c r="BMA34" s="1221"/>
      <c r="BMB34" s="1221"/>
      <c r="BMC34" s="1221"/>
      <c r="BMD34" s="1221"/>
      <c r="BME34" s="1221"/>
      <c r="BMF34" s="1221"/>
      <c r="BMG34" s="1221"/>
      <c r="BMH34" s="1221"/>
      <c r="BMI34" s="1221"/>
      <c r="BMJ34" s="1221"/>
      <c r="BMK34" s="1221"/>
      <c r="BML34" s="1221"/>
      <c r="BMM34" s="1221"/>
      <c r="BMN34" s="1221"/>
      <c r="BMO34" s="1221"/>
      <c r="BMP34" s="1221"/>
      <c r="BMQ34" s="1221"/>
      <c r="BMR34" s="1221"/>
      <c r="BMS34" s="1221"/>
      <c r="BMT34" s="1221"/>
      <c r="BMU34" s="1221"/>
      <c r="BMV34" s="1221"/>
      <c r="BMW34" s="1221"/>
      <c r="BMX34" s="1221"/>
      <c r="BMY34" s="1221"/>
      <c r="BMZ34" s="1221"/>
      <c r="BNA34" s="1221"/>
      <c r="BNB34" s="1221"/>
      <c r="BNC34" s="1221"/>
      <c r="BND34" s="1221"/>
      <c r="BNE34" s="1221"/>
      <c r="BNF34" s="1221"/>
      <c r="BNG34" s="1221"/>
      <c r="BNH34" s="1221"/>
      <c r="BNI34" s="1221"/>
      <c r="BNJ34" s="1221"/>
      <c r="BNK34" s="1221"/>
      <c r="BNL34" s="1221"/>
      <c r="BNM34" s="1221"/>
      <c r="BNN34" s="1221"/>
      <c r="BNO34" s="1221"/>
      <c r="BNP34" s="1221"/>
      <c r="BNQ34" s="1221"/>
      <c r="BNR34" s="1221"/>
      <c r="BNS34" s="1221"/>
      <c r="BNT34" s="1221"/>
      <c r="BNU34" s="1221"/>
      <c r="BNV34" s="1221"/>
      <c r="BNW34" s="1221"/>
      <c r="BNX34" s="1221"/>
      <c r="BNY34" s="1221"/>
      <c r="BNZ34" s="1221"/>
      <c r="BOA34" s="1221"/>
      <c r="BOB34" s="1221"/>
      <c r="BOC34" s="1221"/>
      <c r="BOD34" s="1221"/>
      <c r="BOE34" s="1221"/>
      <c r="BOF34" s="1221"/>
      <c r="BOG34" s="1221"/>
      <c r="BOH34" s="1221"/>
      <c r="BOI34" s="1221"/>
      <c r="BOJ34" s="1221"/>
      <c r="BOK34" s="1221"/>
      <c r="BOL34" s="1221"/>
      <c r="BOM34" s="1221"/>
      <c r="BON34" s="1221"/>
      <c r="BOO34" s="1221"/>
      <c r="BOP34" s="1221"/>
      <c r="BOQ34" s="1221"/>
      <c r="BOR34" s="1221"/>
      <c r="BOS34" s="1221"/>
      <c r="BOT34" s="1221"/>
      <c r="BOU34" s="1221"/>
      <c r="BOV34" s="1221"/>
      <c r="BOW34" s="1221"/>
      <c r="BOX34" s="1221"/>
      <c r="BOY34" s="1221"/>
      <c r="BOZ34" s="1221"/>
      <c r="BPA34" s="1221"/>
      <c r="BPB34" s="1221"/>
      <c r="BPC34" s="1221"/>
      <c r="BPD34" s="1221"/>
      <c r="BPE34" s="1221"/>
      <c r="BPF34" s="1221"/>
      <c r="BPG34" s="1221"/>
      <c r="BPH34" s="1221"/>
      <c r="BPI34" s="1221"/>
      <c r="BPJ34" s="1221"/>
      <c r="BPK34" s="1221"/>
      <c r="BPL34" s="1221"/>
      <c r="BPM34" s="1221"/>
      <c r="BPN34" s="1221"/>
      <c r="BPO34" s="1221"/>
      <c r="BPP34" s="1221"/>
      <c r="BPQ34" s="1221"/>
      <c r="BPR34" s="1221"/>
      <c r="BPS34" s="1221"/>
      <c r="BPT34" s="1221"/>
      <c r="BPU34" s="1221"/>
      <c r="BPV34" s="1221"/>
      <c r="BPW34" s="1221"/>
      <c r="BPX34" s="1221"/>
      <c r="BPY34" s="1221"/>
      <c r="BPZ34" s="1221"/>
      <c r="BQA34" s="1221"/>
      <c r="BQB34" s="1221"/>
      <c r="BQC34" s="1221"/>
      <c r="BQD34" s="1221"/>
      <c r="BQE34" s="1221"/>
      <c r="BQF34" s="1221"/>
      <c r="BQG34" s="1221"/>
      <c r="BQH34" s="1221"/>
      <c r="BQI34" s="1221"/>
      <c r="BQJ34" s="1221"/>
      <c r="BQK34" s="1221"/>
      <c r="BQL34" s="1221"/>
      <c r="BQM34" s="1221"/>
      <c r="BQN34" s="1221"/>
      <c r="BQO34" s="1221"/>
      <c r="BQP34" s="1221"/>
      <c r="BQQ34" s="1221"/>
      <c r="BQR34" s="1221"/>
      <c r="BQS34" s="1221"/>
      <c r="BQT34" s="1221"/>
      <c r="BQU34" s="1221"/>
      <c r="BQV34" s="1221"/>
      <c r="BQW34" s="1221"/>
      <c r="BQX34" s="1221"/>
      <c r="BQY34" s="1221"/>
      <c r="BQZ34" s="1221"/>
      <c r="BRA34" s="1221"/>
      <c r="BRB34" s="1221"/>
      <c r="BRC34" s="1221"/>
      <c r="BRD34" s="1221"/>
      <c r="BRE34" s="1221"/>
      <c r="BRF34" s="1221"/>
      <c r="BRG34" s="1221"/>
      <c r="BRH34" s="1221"/>
      <c r="BRI34" s="1221"/>
      <c r="BRJ34" s="1221"/>
      <c r="BRK34" s="1221"/>
      <c r="BRL34" s="1221"/>
      <c r="BRM34" s="1221"/>
      <c r="BRN34" s="1221"/>
      <c r="BRO34" s="1221"/>
      <c r="BRP34" s="1221"/>
      <c r="BRQ34" s="1221"/>
      <c r="BRR34" s="1221"/>
      <c r="BRS34" s="1221"/>
      <c r="BRT34" s="1221"/>
      <c r="BRU34" s="1221"/>
      <c r="BRV34" s="1221"/>
      <c r="BRW34" s="1221"/>
      <c r="BRX34" s="1221"/>
      <c r="BRY34" s="1221"/>
      <c r="BRZ34" s="1221"/>
      <c r="BSA34" s="1221"/>
      <c r="BSB34" s="1221"/>
      <c r="BSC34" s="1221"/>
      <c r="BSD34" s="1221"/>
      <c r="BSE34" s="1221"/>
      <c r="BSF34" s="1221"/>
      <c r="BSG34" s="1221"/>
      <c r="BSH34" s="1221"/>
      <c r="BSI34" s="1221"/>
      <c r="BSJ34" s="1221"/>
      <c r="BSK34" s="1221"/>
      <c r="BSL34" s="1221"/>
      <c r="BSM34" s="1221"/>
      <c r="BSN34" s="1221"/>
      <c r="BSO34" s="1221"/>
      <c r="BSP34" s="1221"/>
      <c r="BSQ34" s="1221"/>
      <c r="BSR34" s="1221"/>
      <c r="BSS34" s="1221"/>
      <c r="BST34" s="1221"/>
      <c r="BSU34" s="1221"/>
      <c r="BSV34" s="1221"/>
      <c r="BSW34" s="1221"/>
      <c r="BSX34" s="1221"/>
      <c r="BSY34" s="1221"/>
      <c r="BSZ34" s="1221"/>
      <c r="BTA34" s="1221"/>
      <c r="BTB34" s="1221"/>
      <c r="BTC34" s="1221"/>
      <c r="BTD34" s="1221"/>
      <c r="BTE34" s="1221"/>
      <c r="BTF34" s="1221"/>
      <c r="BTG34" s="1221"/>
      <c r="BTH34" s="1221"/>
      <c r="BTI34" s="1221"/>
      <c r="BTJ34" s="1221"/>
      <c r="BTK34" s="1221"/>
      <c r="BTL34" s="1221"/>
      <c r="BTM34" s="1221"/>
      <c r="BTN34" s="1221"/>
      <c r="BTO34" s="1221"/>
      <c r="BTP34" s="1221"/>
      <c r="BTQ34" s="1221"/>
      <c r="BTR34" s="1221"/>
      <c r="BTS34" s="1221"/>
      <c r="BTT34" s="1221"/>
      <c r="BTU34" s="1221"/>
      <c r="BTV34" s="1221"/>
      <c r="BTW34" s="1221"/>
      <c r="BTX34" s="1221"/>
      <c r="BTY34" s="1221"/>
      <c r="BTZ34" s="1221"/>
      <c r="BUA34" s="1221"/>
      <c r="BUB34" s="1221"/>
      <c r="BUC34" s="1221"/>
      <c r="BUD34" s="1221"/>
      <c r="BUE34" s="1221"/>
      <c r="BUF34" s="1221"/>
      <c r="BUG34" s="1221"/>
      <c r="BUH34" s="1221"/>
      <c r="BUI34" s="1221"/>
      <c r="BUJ34" s="1221"/>
      <c r="BUK34" s="1221"/>
      <c r="BUL34" s="1221"/>
      <c r="BUM34" s="1221"/>
      <c r="BUN34" s="1221"/>
      <c r="BUO34" s="1221"/>
      <c r="BUP34" s="1221"/>
      <c r="BUQ34" s="1221"/>
      <c r="BUR34" s="1221"/>
      <c r="BUS34" s="1221"/>
      <c r="BUT34" s="1221"/>
      <c r="BUU34" s="1221"/>
      <c r="BUV34" s="1221"/>
      <c r="BUW34" s="1221"/>
      <c r="BUX34" s="1221"/>
      <c r="BUY34" s="1221"/>
      <c r="BUZ34" s="1221"/>
      <c r="BVA34" s="1221"/>
      <c r="BVB34" s="1221"/>
      <c r="BVC34" s="1221"/>
      <c r="BVD34" s="1221"/>
      <c r="BVE34" s="1221"/>
      <c r="BVF34" s="1221"/>
      <c r="BVG34" s="1221"/>
      <c r="BVH34" s="1221"/>
      <c r="BVI34" s="1221"/>
      <c r="BVJ34" s="1221"/>
      <c r="BVK34" s="1221"/>
      <c r="BVL34" s="1221"/>
      <c r="BVM34" s="1221"/>
      <c r="BVN34" s="1221"/>
      <c r="BVO34" s="1221"/>
      <c r="BVP34" s="1221"/>
      <c r="BVQ34" s="1221"/>
      <c r="BVR34" s="1221"/>
      <c r="BVS34" s="1221"/>
      <c r="BVT34" s="1221"/>
      <c r="BVU34" s="1221"/>
      <c r="BVV34" s="1221"/>
      <c r="BVW34" s="1221"/>
      <c r="BVX34" s="1221"/>
      <c r="BVY34" s="1221"/>
      <c r="BVZ34" s="1221"/>
      <c r="BWA34" s="1221"/>
      <c r="BWB34" s="1221"/>
      <c r="BWC34" s="1221"/>
      <c r="BWD34" s="1221"/>
      <c r="BWE34" s="1221"/>
      <c r="BWF34" s="1221"/>
      <c r="BWG34" s="1221"/>
      <c r="BWH34" s="1221"/>
      <c r="BWI34" s="1221"/>
      <c r="BWJ34" s="1221"/>
      <c r="BWK34" s="1221"/>
      <c r="BWL34" s="1221"/>
      <c r="BWM34" s="1221"/>
      <c r="BWN34" s="1221"/>
      <c r="BWO34" s="1221"/>
      <c r="BWP34" s="1221"/>
      <c r="BWQ34" s="1221"/>
      <c r="BWR34" s="1221"/>
      <c r="BWS34" s="1221"/>
      <c r="BWT34" s="1221"/>
      <c r="BWU34" s="1221"/>
      <c r="BWV34" s="1221"/>
      <c r="BWW34" s="1221"/>
      <c r="BWX34" s="1221"/>
      <c r="BWY34" s="1221"/>
      <c r="BWZ34" s="1221"/>
      <c r="BXA34" s="1221"/>
      <c r="BXB34" s="1221"/>
      <c r="BXC34" s="1221"/>
      <c r="BXD34" s="1221"/>
      <c r="BXE34" s="1221"/>
      <c r="BXF34" s="1221"/>
      <c r="BXG34" s="1221"/>
      <c r="BXH34" s="1221"/>
      <c r="BXI34" s="1221"/>
      <c r="BXJ34" s="1221"/>
      <c r="BXK34" s="1221"/>
      <c r="BXL34" s="1221"/>
      <c r="BXM34" s="1221"/>
      <c r="BXN34" s="1221"/>
      <c r="BXO34" s="1221"/>
      <c r="BXP34" s="1221"/>
      <c r="BXQ34" s="1221"/>
      <c r="BXR34" s="1221"/>
      <c r="BXS34" s="1221"/>
      <c r="BXT34" s="1221"/>
      <c r="BXU34" s="1221"/>
      <c r="BXV34" s="1221"/>
      <c r="BXW34" s="1221"/>
      <c r="BXX34" s="1221"/>
      <c r="BXY34" s="1221"/>
      <c r="BXZ34" s="1221"/>
      <c r="BYA34" s="1221"/>
      <c r="BYB34" s="1221"/>
      <c r="BYC34" s="1221"/>
      <c r="BYD34" s="1221"/>
      <c r="BYE34" s="1221"/>
      <c r="BYF34" s="1221"/>
      <c r="BYG34" s="1221"/>
      <c r="BYH34" s="1221"/>
      <c r="BYI34" s="1221"/>
      <c r="BYJ34" s="1221"/>
      <c r="BYK34" s="1221"/>
      <c r="BYL34" s="1221"/>
      <c r="BYM34" s="1221"/>
      <c r="BYN34" s="1221"/>
      <c r="BYO34" s="1221"/>
      <c r="BYP34" s="1221"/>
      <c r="BYQ34" s="1221"/>
      <c r="BYR34" s="1221"/>
      <c r="BYS34" s="1221"/>
      <c r="BYT34" s="1221"/>
      <c r="BYU34" s="1221"/>
      <c r="BYV34" s="1221"/>
      <c r="BYW34" s="1221"/>
      <c r="BYX34" s="1221"/>
      <c r="BYY34" s="1221"/>
      <c r="BYZ34" s="1221"/>
      <c r="BZA34" s="1221"/>
      <c r="BZB34" s="1221"/>
      <c r="BZC34" s="1221"/>
      <c r="BZD34" s="1221"/>
      <c r="BZE34" s="1221"/>
      <c r="BZF34" s="1221"/>
      <c r="BZG34" s="1221"/>
      <c r="BZH34" s="1221"/>
      <c r="BZI34" s="1221"/>
      <c r="BZJ34" s="1221"/>
      <c r="BZK34" s="1221"/>
      <c r="BZL34" s="1221"/>
      <c r="BZM34" s="1221"/>
      <c r="BZN34" s="1221"/>
      <c r="BZO34" s="1221"/>
      <c r="BZP34" s="1221"/>
      <c r="BZQ34" s="1221"/>
      <c r="BZR34" s="1221"/>
      <c r="BZS34" s="1221"/>
      <c r="BZT34" s="1221"/>
      <c r="BZU34" s="1221"/>
      <c r="BZV34" s="1221"/>
      <c r="BZW34" s="1221"/>
      <c r="BZX34" s="1221"/>
      <c r="BZY34" s="1221"/>
      <c r="BZZ34" s="1221"/>
      <c r="CAA34" s="1221"/>
      <c r="CAB34" s="1221"/>
      <c r="CAC34" s="1221"/>
      <c r="CAD34" s="1221"/>
      <c r="CAE34" s="1221"/>
      <c r="CAF34" s="1221"/>
      <c r="CAG34" s="1221"/>
      <c r="CAH34" s="1221"/>
      <c r="CAI34" s="1221"/>
      <c r="CAJ34" s="1221"/>
      <c r="CAK34" s="1221"/>
      <c r="CAL34" s="1221"/>
      <c r="CAM34" s="1221"/>
      <c r="CAN34" s="1221"/>
      <c r="CAO34" s="1221"/>
      <c r="CAP34" s="1221"/>
      <c r="CAQ34" s="1221"/>
      <c r="CAR34" s="1221"/>
      <c r="CAS34" s="1221"/>
      <c r="CAT34" s="1221"/>
      <c r="CAU34" s="1221"/>
      <c r="CAV34" s="1221"/>
      <c r="CAW34" s="1221"/>
      <c r="CAX34" s="1221"/>
      <c r="CAY34" s="1221"/>
      <c r="CAZ34" s="1221"/>
      <c r="CBA34" s="1221"/>
      <c r="CBB34" s="1221"/>
      <c r="CBC34" s="1221"/>
      <c r="CBD34" s="1221"/>
      <c r="CBE34" s="1221"/>
      <c r="CBF34" s="1221"/>
      <c r="CBG34" s="1221"/>
      <c r="CBH34" s="1221"/>
      <c r="CBI34" s="1221"/>
      <c r="CBJ34" s="1221"/>
      <c r="CBK34" s="1221"/>
      <c r="CBL34" s="1221"/>
      <c r="CBM34" s="1221"/>
      <c r="CBN34" s="1221"/>
      <c r="CBO34" s="1221"/>
      <c r="CBP34" s="1221"/>
      <c r="CBQ34" s="1221"/>
      <c r="CBR34" s="1221"/>
      <c r="CBS34" s="1221"/>
      <c r="CBT34" s="1221"/>
      <c r="CBU34" s="1221"/>
      <c r="CBV34" s="1221"/>
      <c r="CBW34" s="1221"/>
      <c r="CBX34" s="1221"/>
      <c r="CBY34" s="1221"/>
      <c r="CBZ34" s="1221"/>
      <c r="CCA34" s="1221"/>
      <c r="CCB34" s="1221"/>
      <c r="CCC34" s="1221"/>
      <c r="CCD34" s="1221"/>
      <c r="CCE34" s="1221"/>
      <c r="CCF34" s="1221"/>
      <c r="CCG34" s="1221"/>
      <c r="CCH34" s="1221"/>
      <c r="CCI34" s="1221"/>
      <c r="CCJ34" s="1221"/>
      <c r="CCK34" s="1221"/>
      <c r="CCL34" s="1221"/>
      <c r="CCM34" s="1221"/>
      <c r="CCN34" s="1221"/>
      <c r="CCO34" s="1221"/>
      <c r="CCP34" s="1221"/>
      <c r="CCQ34" s="1221"/>
      <c r="CCR34" s="1221"/>
      <c r="CCS34" s="1221"/>
      <c r="CCT34" s="1221"/>
      <c r="CCU34" s="1221"/>
      <c r="CCV34" s="1221"/>
      <c r="CCW34" s="1221"/>
      <c r="CCX34" s="1221"/>
      <c r="CCY34" s="1221"/>
      <c r="CCZ34" s="1221"/>
      <c r="CDA34" s="1221"/>
      <c r="CDB34" s="1221"/>
      <c r="CDC34" s="1221"/>
      <c r="CDD34" s="1221"/>
      <c r="CDE34" s="1221"/>
      <c r="CDF34" s="1221"/>
      <c r="CDG34" s="1221"/>
      <c r="CDH34" s="1221"/>
      <c r="CDI34" s="1221"/>
      <c r="CDJ34" s="1221"/>
      <c r="CDK34" s="1221"/>
      <c r="CDL34" s="1221"/>
      <c r="CDM34" s="1221"/>
      <c r="CDN34" s="1221"/>
      <c r="CDO34" s="1221"/>
      <c r="CDP34" s="1221"/>
      <c r="CDQ34" s="1221"/>
      <c r="CDR34" s="1221"/>
      <c r="CDS34" s="1221"/>
      <c r="CDT34" s="1221"/>
      <c r="CDU34" s="1221"/>
      <c r="CDV34" s="1221"/>
      <c r="CDW34" s="1221"/>
      <c r="CDX34" s="1221"/>
      <c r="CDY34" s="1221"/>
      <c r="CDZ34" s="1221"/>
      <c r="CEA34" s="1221"/>
      <c r="CEB34" s="1221"/>
      <c r="CEC34" s="1221"/>
      <c r="CED34" s="1221"/>
      <c r="CEE34" s="1221"/>
      <c r="CEF34" s="1221"/>
      <c r="CEG34" s="1221"/>
      <c r="CEH34" s="1221"/>
      <c r="CEI34" s="1221"/>
      <c r="CEJ34" s="1221"/>
      <c r="CEK34" s="1221"/>
      <c r="CEL34" s="1221"/>
      <c r="CEM34" s="1221"/>
      <c r="CEN34" s="1221"/>
      <c r="CEO34" s="1221"/>
      <c r="CEP34" s="1221"/>
      <c r="CEQ34" s="1221"/>
      <c r="CER34" s="1221"/>
      <c r="CES34" s="1221"/>
      <c r="CET34" s="1221"/>
      <c r="CEU34" s="1221"/>
      <c r="CEV34" s="1221"/>
      <c r="CEW34" s="1221"/>
      <c r="CEX34" s="1221"/>
      <c r="CEY34" s="1221"/>
      <c r="CEZ34" s="1221"/>
      <c r="CFA34" s="1221"/>
      <c r="CFB34" s="1221"/>
      <c r="CFC34" s="1221"/>
      <c r="CFD34" s="1221"/>
      <c r="CFE34" s="1221"/>
      <c r="CFF34" s="1221"/>
      <c r="CFG34" s="1221"/>
      <c r="CFH34" s="1221"/>
      <c r="CFI34" s="1221"/>
      <c r="CFJ34" s="1221"/>
      <c r="CFK34" s="1221"/>
      <c r="CFL34" s="1221"/>
      <c r="CFM34" s="1221"/>
      <c r="CFN34" s="1221"/>
      <c r="CFO34" s="1221"/>
      <c r="CFP34" s="1221"/>
      <c r="CFQ34" s="1221"/>
      <c r="CFR34" s="1221"/>
      <c r="CFS34" s="1221"/>
      <c r="CFT34" s="1221"/>
      <c r="CFU34" s="1221"/>
      <c r="CFV34" s="1221"/>
      <c r="CFW34" s="1221"/>
      <c r="CFX34" s="1221"/>
      <c r="CFY34" s="1221"/>
      <c r="CFZ34" s="1221"/>
      <c r="CGA34" s="1221"/>
      <c r="CGB34" s="1221"/>
      <c r="CGC34" s="1221"/>
      <c r="CGD34" s="1221"/>
      <c r="CGE34" s="1221"/>
      <c r="CGF34" s="1221"/>
      <c r="CGG34" s="1221"/>
      <c r="CGH34" s="1221"/>
      <c r="CGI34" s="1221"/>
      <c r="CGJ34" s="1221"/>
      <c r="CGK34" s="1221"/>
      <c r="CGL34" s="1221"/>
      <c r="CGM34" s="1221"/>
      <c r="CGN34" s="1221"/>
      <c r="CGO34" s="1221"/>
      <c r="CGP34" s="1221"/>
      <c r="CGQ34" s="1221"/>
      <c r="CGR34" s="1221"/>
      <c r="CGS34" s="1221"/>
      <c r="CGT34" s="1221"/>
      <c r="CGU34" s="1221"/>
      <c r="CGV34" s="1221"/>
      <c r="CGW34" s="1221"/>
      <c r="CGX34" s="1221"/>
      <c r="CGY34" s="1221"/>
      <c r="CGZ34" s="1221"/>
      <c r="CHA34" s="1221"/>
      <c r="CHB34" s="1221"/>
      <c r="CHC34" s="1221"/>
      <c r="CHD34" s="1221"/>
      <c r="CHE34" s="1221"/>
      <c r="CHF34" s="1221"/>
      <c r="CHG34" s="1221"/>
      <c r="CHH34" s="1221"/>
      <c r="CHI34" s="1221"/>
      <c r="CHJ34" s="1221"/>
      <c r="CHK34" s="1221"/>
      <c r="CHL34" s="1221"/>
      <c r="CHM34" s="1221"/>
      <c r="CHN34" s="1221"/>
      <c r="CHO34" s="1221"/>
      <c r="CHP34" s="1221"/>
      <c r="CHQ34" s="1221"/>
      <c r="CHR34" s="1221"/>
      <c r="CHS34" s="1221"/>
      <c r="CHT34" s="1221"/>
      <c r="CHU34" s="1221"/>
      <c r="CHV34" s="1221"/>
      <c r="CHW34" s="1221"/>
      <c r="CHX34" s="1221"/>
      <c r="CHY34" s="1221"/>
      <c r="CHZ34" s="1221"/>
      <c r="CIA34" s="1221"/>
      <c r="CIB34" s="1221"/>
      <c r="CIC34" s="1221"/>
      <c r="CID34" s="1221"/>
      <c r="CIE34" s="1221"/>
      <c r="CIF34" s="1221"/>
      <c r="CIG34" s="1221"/>
      <c r="CIH34" s="1221"/>
      <c r="CII34" s="1221"/>
      <c r="CIJ34" s="1221"/>
      <c r="CIK34" s="1221"/>
      <c r="CIL34" s="1221"/>
      <c r="CIM34" s="1221"/>
      <c r="CIN34" s="1221"/>
      <c r="CIO34" s="1221"/>
      <c r="CIP34" s="1221"/>
      <c r="CIQ34" s="1221"/>
      <c r="CIR34" s="1221"/>
      <c r="CIS34" s="1221"/>
      <c r="CIT34" s="1221"/>
      <c r="CIU34" s="1221"/>
      <c r="CIV34" s="1221"/>
      <c r="CIW34" s="1221"/>
      <c r="CIX34" s="1221"/>
      <c r="CIY34" s="1221"/>
      <c r="CIZ34" s="1221"/>
      <c r="CJA34" s="1221"/>
      <c r="CJB34" s="1221"/>
      <c r="CJC34" s="1221"/>
      <c r="CJD34" s="1221"/>
      <c r="CJE34" s="1221"/>
      <c r="CJF34" s="1221"/>
      <c r="CJG34" s="1221"/>
      <c r="CJH34" s="1221"/>
      <c r="CJI34" s="1221"/>
      <c r="CJJ34" s="1221"/>
      <c r="CJK34" s="1221"/>
      <c r="CJL34" s="1221"/>
      <c r="CJM34" s="1221"/>
      <c r="CJN34" s="1221"/>
      <c r="CJO34" s="1221"/>
      <c r="CJP34" s="1221"/>
      <c r="CJQ34" s="1221"/>
      <c r="CJR34" s="1221"/>
      <c r="CJS34" s="1221"/>
      <c r="CJT34" s="1221"/>
      <c r="CJU34" s="1221"/>
      <c r="CJV34" s="1221"/>
      <c r="CJW34" s="1221"/>
      <c r="CJX34" s="1221"/>
      <c r="CJY34" s="1221"/>
      <c r="CJZ34" s="1221"/>
      <c r="CKA34" s="1221"/>
      <c r="CKB34" s="1221"/>
      <c r="CKC34" s="1221"/>
      <c r="CKD34" s="1221"/>
      <c r="CKE34" s="1221"/>
      <c r="CKF34" s="1221"/>
      <c r="CKG34" s="1221"/>
      <c r="CKH34" s="1221"/>
      <c r="CKI34" s="1221"/>
      <c r="CKJ34" s="1221"/>
      <c r="CKK34" s="1221"/>
      <c r="CKL34" s="1221"/>
      <c r="CKM34" s="1221"/>
      <c r="CKN34" s="1221"/>
      <c r="CKO34" s="1221"/>
      <c r="CKP34" s="1221"/>
      <c r="CKQ34" s="1221"/>
      <c r="CKR34" s="1221"/>
      <c r="CKS34" s="1221"/>
      <c r="CKT34" s="1221"/>
      <c r="CKU34" s="1221"/>
      <c r="CKV34" s="1221"/>
      <c r="CKW34" s="1221"/>
      <c r="CKX34" s="1221"/>
      <c r="CKY34" s="1221"/>
      <c r="CKZ34" s="1221"/>
      <c r="CLA34" s="1221"/>
      <c r="CLB34" s="1221"/>
      <c r="CLC34" s="1221"/>
      <c r="CLD34" s="1221"/>
      <c r="CLE34" s="1221"/>
      <c r="CLF34" s="1221"/>
      <c r="CLG34" s="1221"/>
      <c r="CLH34" s="1221"/>
      <c r="CLI34" s="1221"/>
      <c r="CLJ34" s="1221"/>
      <c r="CLK34" s="1221"/>
      <c r="CLL34" s="1221"/>
      <c r="CLM34" s="1221"/>
      <c r="CLN34" s="1221"/>
      <c r="CLO34" s="1221"/>
      <c r="CLP34" s="1221"/>
      <c r="CLQ34" s="1221"/>
      <c r="CLR34" s="1221"/>
      <c r="CLS34" s="1221"/>
      <c r="CLT34" s="1221"/>
      <c r="CLU34" s="1221"/>
      <c r="CLV34" s="1221"/>
      <c r="CLW34" s="1221"/>
      <c r="CLX34" s="1221"/>
      <c r="CLY34" s="1221"/>
      <c r="CLZ34" s="1221"/>
      <c r="CMA34" s="1221"/>
      <c r="CMB34" s="1221"/>
      <c r="CMC34" s="1221"/>
      <c r="CMD34" s="1221"/>
      <c r="CME34" s="1221"/>
      <c r="CMF34" s="1221"/>
      <c r="CMG34" s="1221"/>
      <c r="CMH34" s="1221"/>
      <c r="CMI34" s="1221"/>
      <c r="CMJ34" s="1221"/>
      <c r="CMK34" s="1221"/>
      <c r="CML34" s="1221"/>
      <c r="CMM34" s="1221"/>
      <c r="CMN34" s="1221"/>
      <c r="CMO34" s="1221"/>
      <c r="CMP34" s="1221"/>
      <c r="CMQ34" s="1221"/>
      <c r="CMR34" s="1221"/>
      <c r="CMS34" s="1221"/>
      <c r="CMT34" s="1221"/>
      <c r="CMU34" s="1221"/>
      <c r="CMV34" s="1221"/>
      <c r="CMW34" s="1221"/>
      <c r="CMX34" s="1221"/>
      <c r="CMY34" s="1221"/>
      <c r="CMZ34" s="1221"/>
      <c r="CNA34" s="1221"/>
      <c r="CNB34" s="1221"/>
      <c r="CNC34" s="1221"/>
      <c r="CND34" s="1221"/>
      <c r="CNE34" s="1221"/>
      <c r="CNF34" s="1221"/>
      <c r="CNG34" s="1221"/>
      <c r="CNH34" s="1221"/>
      <c r="CNI34" s="1221"/>
      <c r="CNJ34" s="1221"/>
      <c r="CNK34" s="1221"/>
      <c r="CNL34" s="1221"/>
      <c r="CNM34" s="1221"/>
      <c r="CNN34" s="1221"/>
      <c r="CNO34" s="1221"/>
      <c r="CNP34" s="1221"/>
      <c r="CNQ34" s="1221"/>
      <c r="CNR34" s="1221"/>
      <c r="CNS34" s="1221"/>
      <c r="CNT34" s="1221"/>
      <c r="CNU34" s="1221"/>
      <c r="CNV34" s="1221"/>
      <c r="CNW34" s="1221"/>
      <c r="CNX34" s="1221"/>
      <c r="CNY34" s="1221"/>
      <c r="CNZ34" s="1221"/>
      <c r="COA34" s="1221"/>
      <c r="COB34" s="1221"/>
      <c r="COC34" s="1221"/>
      <c r="COD34" s="1221"/>
      <c r="COE34" s="1221"/>
      <c r="COF34" s="1221"/>
      <c r="COG34" s="1221"/>
      <c r="COH34" s="1221"/>
      <c r="COI34" s="1221"/>
      <c r="COJ34" s="1221"/>
      <c r="COK34" s="1221"/>
      <c r="COL34" s="1221"/>
      <c r="COM34" s="1221"/>
      <c r="CON34" s="1221"/>
      <c r="COO34" s="1221"/>
      <c r="COP34" s="1221"/>
      <c r="COQ34" s="1221"/>
      <c r="COR34" s="1221"/>
      <c r="COS34" s="1221"/>
      <c r="COT34" s="1221"/>
      <c r="COU34" s="1221"/>
      <c r="COV34" s="1221"/>
      <c r="COW34" s="1221"/>
      <c r="COX34" s="1221"/>
      <c r="COY34" s="1221"/>
      <c r="COZ34" s="1221"/>
      <c r="CPA34" s="1221"/>
      <c r="CPB34" s="1221"/>
      <c r="CPC34" s="1221"/>
      <c r="CPD34" s="1221"/>
      <c r="CPE34" s="1221"/>
      <c r="CPF34" s="1221"/>
      <c r="CPG34" s="1221"/>
      <c r="CPH34" s="1221"/>
      <c r="CPI34" s="1221"/>
      <c r="CPJ34" s="1221"/>
      <c r="CPK34" s="1221"/>
      <c r="CPL34" s="1221"/>
      <c r="CPM34" s="1221"/>
      <c r="CPN34" s="1221"/>
      <c r="CPO34" s="1221"/>
      <c r="CPP34" s="1221"/>
      <c r="CPQ34" s="1221"/>
      <c r="CPR34" s="1221"/>
      <c r="CPS34" s="1221"/>
      <c r="CPT34" s="1221"/>
      <c r="CPU34" s="1221"/>
      <c r="CPV34" s="1221"/>
      <c r="CPW34" s="1221"/>
      <c r="CPX34" s="1221"/>
      <c r="CPY34" s="1221"/>
      <c r="CPZ34" s="1221"/>
      <c r="CQA34" s="1221"/>
      <c r="CQB34" s="1221"/>
      <c r="CQC34" s="1221"/>
      <c r="CQD34" s="1221"/>
      <c r="CQE34" s="1221"/>
      <c r="CQF34" s="1221"/>
      <c r="CQG34" s="1221"/>
      <c r="CQH34" s="1221"/>
      <c r="CQI34" s="1221"/>
      <c r="CQJ34" s="1221"/>
      <c r="CQK34" s="1221"/>
      <c r="CQL34" s="1221"/>
      <c r="CQM34" s="1221"/>
      <c r="CQN34" s="1221"/>
      <c r="CQO34" s="1221"/>
      <c r="CQP34" s="1221"/>
      <c r="CQQ34" s="1221"/>
      <c r="CQR34" s="1221"/>
      <c r="CQS34" s="1221"/>
      <c r="CQT34" s="1221"/>
      <c r="CQU34" s="1221"/>
      <c r="CQV34" s="1221"/>
      <c r="CQW34" s="1221"/>
      <c r="CQX34" s="1221"/>
      <c r="CQY34" s="1221"/>
      <c r="CQZ34" s="1221"/>
      <c r="CRA34" s="1221"/>
      <c r="CRB34" s="1221"/>
      <c r="CRC34" s="1221"/>
      <c r="CRD34" s="1221"/>
      <c r="CRE34" s="1221"/>
      <c r="CRF34" s="1221"/>
      <c r="CRG34" s="1221"/>
      <c r="CRH34" s="1221"/>
      <c r="CRI34" s="1221"/>
      <c r="CRJ34" s="1221"/>
      <c r="CRK34" s="1221"/>
      <c r="CRL34" s="1221"/>
      <c r="CRM34" s="1221"/>
      <c r="CRN34" s="1221"/>
      <c r="CRO34" s="1221"/>
      <c r="CRP34" s="1221"/>
      <c r="CRQ34" s="1221"/>
      <c r="CRR34" s="1221"/>
      <c r="CRS34" s="1221"/>
      <c r="CRT34" s="1221"/>
      <c r="CRU34" s="1221"/>
      <c r="CRV34" s="1221"/>
      <c r="CRW34" s="1221"/>
      <c r="CRX34" s="1221"/>
      <c r="CRY34" s="1221"/>
      <c r="CRZ34" s="1221"/>
      <c r="CSA34" s="1221"/>
      <c r="CSB34" s="1221"/>
      <c r="CSC34" s="1221"/>
      <c r="CSD34" s="1221"/>
      <c r="CSE34" s="1221"/>
      <c r="CSF34" s="1221"/>
      <c r="CSG34" s="1221"/>
      <c r="CSH34" s="1221"/>
      <c r="CSI34" s="1221"/>
      <c r="CSJ34" s="1221"/>
      <c r="CSK34" s="1221"/>
      <c r="CSL34" s="1221"/>
      <c r="CSM34" s="1221"/>
      <c r="CSN34" s="1221"/>
      <c r="CSO34" s="1221"/>
      <c r="CSP34" s="1221"/>
      <c r="CSQ34" s="1221"/>
      <c r="CSR34" s="1221"/>
      <c r="CSS34" s="1221"/>
      <c r="CST34" s="1221"/>
      <c r="CSU34" s="1221"/>
      <c r="CSV34" s="1221"/>
      <c r="CSW34" s="1221"/>
      <c r="CSX34" s="1221"/>
      <c r="CSY34" s="1221"/>
      <c r="CSZ34" s="1221"/>
      <c r="CTA34" s="1221"/>
      <c r="CTB34" s="1221"/>
      <c r="CTC34" s="1221"/>
      <c r="CTD34" s="1221"/>
      <c r="CTE34" s="1221"/>
      <c r="CTF34" s="1221"/>
      <c r="CTG34" s="1221"/>
      <c r="CTH34" s="1221"/>
      <c r="CTI34" s="1221"/>
      <c r="CTJ34" s="1221"/>
      <c r="CTK34" s="1221"/>
      <c r="CTL34" s="1221"/>
      <c r="CTM34" s="1221"/>
      <c r="CTN34" s="1221"/>
      <c r="CTO34" s="1221"/>
      <c r="CTP34" s="1221"/>
      <c r="CTQ34" s="1221"/>
      <c r="CTR34" s="1221"/>
      <c r="CTS34" s="1221"/>
      <c r="CTT34" s="1221"/>
      <c r="CTU34" s="1221"/>
      <c r="CTV34" s="1221"/>
      <c r="CTW34" s="1221"/>
      <c r="CTX34" s="1221"/>
      <c r="CTY34" s="1221"/>
      <c r="CTZ34" s="1221"/>
      <c r="CUA34" s="1221"/>
      <c r="CUB34" s="1221"/>
      <c r="CUC34" s="1221"/>
      <c r="CUD34" s="1221"/>
      <c r="CUE34" s="1221"/>
      <c r="CUF34" s="1221"/>
      <c r="CUG34" s="1221"/>
      <c r="CUH34" s="1221"/>
      <c r="CUI34" s="1221"/>
      <c r="CUJ34" s="1221"/>
      <c r="CUK34" s="1221"/>
      <c r="CUL34" s="1221"/>
      <c r="CUM34" s="1221"/>
      <c r="CUN34" s="1221"/>
      <c r="CUO34" s="1221"/>
      <c r="CUP34" s="1221"/>
      <c r="CUQ34" s="1221"/>
      <c r="CUR34" s="1221"/>
      <c r="CUS34" s="1221"/>
      <c r="CUT34" s="1221"/>
      <c r="CUU34" s="1221"/>
      <c r="CUV34" s="1221"/>
      <c r="CUW34" s="1221"/>
      <c r="CUX34" s="1221"/>
      <c r="CUY34" s="1221"/>
      <c r="CUZ34" s="1221"/>
      <c r="CVA34" s="1221"/>
      <c r="CVB34" s="1221"/>
      <c r="CVC34" s="1221"/>
      <c r="CVD34" s="1221"/>
      <c r="CVE34" s="1221"/>
      <c r="CVF34" s="1221"/>
      <c r="CVG34" s="1221"/>
      <c r="CVH34" s="1221"/>
      <c r="CVI34" s="1221"/>
      <c r="CVJ34" s="1221"/>
      <c r="CVK34" s="1221"/>
      <c r="CVL34" s="1221"/>
      <c r="CVM34" s="1221"/>
      <c r="CVN34" s="1221"/>
      <c r="CVO34" s="1221"/>
      <c r="CVP34" s="1221"/>
      <c r="CVQ34" s="1221"/>
      <c r="CVR34" s="1221"/>
      <c r="CVS34" s="1221"/>
      <c r="CVT34" s="1221"/>
      <c r="CVU34" s="1221"/>
      <c r="CVV34" s="1221"/>
      <c r="CVW34" s="1221"/>
      <c r="CVX34" s="1221"/>
      <c r="CVY34" s="1221"/>
      <c r="CVZ34" s="1221"/>
      <c r="CWA34" s="1221"/>
      <c r="CWB34" s="1221"/>
      <c r="CWC34" s="1221"/>
      <c r="CWD34" s="1221"/>
      <c r="CWE34" s="1221"/>
      <c r="CWF34" s="1221"/>
      <c r="CWG34" s="1221"/>
      <c r="CWH34" s="1221"/>
      <c r="CWI34" s="1221"/>
      <c r="CWJ34" s="1221"/>
      <c r="CWK34" s="1221"/>
      <c r="CWL34" s="1221"/>
      <c r="CWM34" s="1221"/>
      <c r="CWN34" s="1221"/>
      <c r="CWO34" s="1221"/>
      <c r="CWP34" s="1221"/>
      <c r="CWQ34" s="1221"/>
      <c r="CWR34" s="1221"/>
      <c r="CWS34" s="1221"/>
      <c r="CWT34" s="1221"/>
      <c r="CWU34" s="1221"/>
      <c r="CWV34" s="1221"/>
      <c r="CWW34" s="1221"/>
      <c r="CWX34" s="1221"/>
      <c r="CWY34" s="1221"/>
      <c r="CWZ34" s="1221"/>
      <c r="CXA34" s="1221"/>
      <c r="CXB34" s="1221"/>
      <c r="CXC34" s="1221"/>
      <c r="CXD34" s="1221"/>
      <c r="CXE34" s="1221"/>
      <c r="CXF34" s="1221"/>
      <c r="CXG34" s="1221"/>
      <c r="CXH34" s="1221"/>
      <c r="CXI34" s="1221"/>
      <c r="CXJ34" s="1221"/>
      <c r="CXK34" s="1221"/>
      <c r="CXL34" s="1221"/>
      <c r="CXM34" s="1221"/>
      <c r="CXN34" s="1221"/>
      <c r="CXO34" s="1221"/>
      <c r="CXP34" s="1221"/>
      <c r="CXQ34" s="1221"/>
      <c r="CXR34" s="1221"/>
      <c r="CXS34" s="1221"/>
      <c r="CXT34" s="1221"/>
      <c r="CXU34" s="1221"/>
      <c r="CXV34" s="1221"/>
      <c r="CXW34" s="1221"/>
      <c r="CXX34" s="1221"/>
      <c r="CXY34" s="1221"/>
      <c r="CXZ34" s="1221"/>
      <c r="CYA34" s="1221"/>
      <c r="CYB34" s="1221"/>
      <c r="CYC34" s="1221"/>
      <c r="CYD34" s="1221"/>
      <c r="CYE34" s="1221"/>
      <c r="CYF34" s="1221"/>
      <c r="CYG34" s="1221"/>
      <c r="CYH34" s="1221"/>
      <c r="CYI34" s="1221"/>
      <c r="CYJ34" s="1221"/>
      <c r="CYK34" s="1221"/>
      <c r="CYL34" s="1221"/>
      <c r="CYM34" s="1221"/>
      <c r="CYN34" s="1221"/>
      <c r="CYO34" s="1221"/>
      <c r="CYP34" s="1221"/>
      <c r="CYQ34" s="1221"/>
      <c r="CYR34" s="1221"/>
      <c r="CYS34" s="1221"/>
      <c r="CYT34" s="1221"/>
      <c r="CYU34" s="1221"/>
      <c r="CYV34" s="1221"/>
      <c r="CYW34" s="1221"/>
      <c r="CYX34" s="1221"/>
      <c r="CYY34" s="1221"/>
      <c r="CYZ34" s="1221"/>
      <c r="CZA34" s="1221"/>
      <c r="CZB34" s="1221"/>
      <c r="CZC34" s="1221"/>
      <c r="CZD34" s="1221"/>
      <c r="CZE34" s="1221"/>
      <c r="CZF34" s="1221"/>
      <c r="CZG34" s="1221"/>
      <c r="CZH34" s="1221"/>
      <c r="CZI34" s="1221"/>
      <c r="CZJ34" s="1221"/>
      <c r="CZK34" s="1221"/>
      <c r="CZL34" s="1221"/>
      <c r="CZM34" s="1221"/>
      <c r="CZN34" s="1221"/>
      <c r="CZO34" s="1221"/>
      <c r="CZP34" s="1221"/>
      <c r="CZQ34" s="1221"/>
      <c r="CZR34" s="1221"/>
      <c r="CZS34" s="1221"/>
      <c r="CZT34" s="1221"/>
      <c r="CZU34" s="1221"/>
      <c r="CZV34" s="1221"/>
      <c r="CZW34" s="1221"/>
      <c r="CZX34" s="1221"/>
      <c r="CZY34" s="1221"/>
      <c r="CZZ34" s="1221"/>
      <c r="DAA34" s="1221"/>
      <c r="DAB34" s="1221"/>
      <c r="DAC34" s="1221"/>
      <c r="DAD34" s="1221"/>
      <c r="DAE34" s="1221"/>
      <c r="DAF34" s="1221"/>
      <c r="DAG34" s="1221"/>
      <c r="DAH34" s="1221"/>
      <c r="DAI34" s="1221"/>
      <c r="DAJ34" s="1221"/>
      <c r="DAK34" s="1221"/>
      <c r="DAL34" s="1221"/>
      <c r="DAM34" s="1221"/>
      <c r="DAN34" s="1221"/>
      <c r="DAO34" s="1221"/>
      <c r="DAP34" s="1221"/>
      <c r="DAQ34" s="1221"/>
      <c r="DAR34" s="1221"/>
      <c r="DAS34" s="1221"/>
      <c r="DAT34" s="1221"/>
      <c r="DAU34" s="1221"/>
      <c r="DAV34" s="1221"/>
      <c r="DAW34" s="1221"/>
      <c r="DAX34" s="1221"/>
      <c r="DAY34" s="1221"/>
      <c r="DAZ34" s="1221"/>
      <c r="DBA34" s="1221"/>
      <c r="DBB34" s="1221"/>
      <c r="DBC34" s="1221"/>
      <c r="DBD34" s="1221"/>
      <c r="DBE34" s="1221"/>
      <c r="DBF34" s="1221"/>
      <c r="DBG34" s="1221"/>
      <c r="DBH34" s="1221"/>
      <c r="DBI34" s="1221"/>
      <c r="DBJ34" s="1221"/>
      <c r="DBK34" s="1221"/>
      <c r="DBL34" s="1221"/>
      <c r="DBM34" s="1221"/>
      <c r="DBN34" s="1221"/>
      <c r="DBO34" s="1221"/>
      <c r="DBP34" s="1221"/>
      <c r="DBQ34" s="1221"/>
      <c r="DBR34" s="1221"/>
      <c r="DBS34" s="1221"/>
      <c r="DBT34" s="1221"/>
      <c r="DBU34" s="1221"/>
      <c r="DBV34" s="1221"/>
      <c r="DBW34" s="1221"/>
      <c r="DBX34" s="1221"/>
      <c r="DBY34" s="1221"/>
      <c r="DBZ34" s="1221"/>
      <c r="DCA34" s="1221"/>
      <c r="DCB34" s="1221"/>
      <c r="DCC34" s="1221"/>
      <c r="DCD34" s="1221"/>
      <c r="DCE34" s="1221"/>
      <c r="DCF34" s="1221"/>
      <c r="DCG34" s="1221"/>
      <c r="DCH34" s="1221"/>
      <c r="DCI34" s="1221"/>
      <c r="DCJ34" s="1221"/>
      <c r="DCK34" s="1221"/>
      <c r="DCL34" s="1221"/>
      <c r="DCM34" s="1221"/>
      <c r="DCN34" s="1221"/>
      <c r="DCO34" s="1221"/>
      <c r="DCP34" s="1221"/>
      <c r="DCQ34" s="1221"/>
      <c r="DCR34" s="1221"/>
      <c r="DCS34" s="1221"/>
      <c r="DCT34" s="1221"/>
      <c r="DCU34" s="1221"/>
      <c r="DCV34" s="1221"/>
      <c r="DCW34" s="1221"/>
      <c r="DCX34" s="1221"/>
      <c r="DCY34" s="1221"/>
      <c r="DCZ34" s="1221"/>
      <c r="DDA34" s="1221"/>
      <c r="DDB34" s="1221"/>
      <c r="DDC34" s="1221"/>
      <c r="DDD34" s="1221"/>
      <c r="DDE34" s="1221"/>
      <c r="DDF34" s="1221"/>
      <c r="DDG34" s="1221"/>
      <c r="DDH34" s="1221"/>
      <c r="DDI34" s="1221"/>
      <c r="DDJ34" s="1221"/>
      <c r="DDK34" s="1221"/>
      <c r="DDL34" s="1221"/>
      <c r="DDM34" s="1221"/>
      <c r="DDN34" s="1221"/>
      <c r="DDO34" s="1221"/>
      <c r="DDP34" s="1221"/>
      <c r="DDQ34" s="1221"/>
      <c r="DDR34" s="1221"/>
      <c r="DDS34" s="1221"/>
      <c r="DDT34" s="1221"/>
      <c r="DDU34" s="1221"/>
      <c r="DDV34" s="1221"/>
      <c r="DDW34" s="1221"/>
      <c r="DDX34" s="1221"/>
      <c r="DDY34" s="1221"/>
      <c r="DDZ34" s="1221"/>
      <c r="DEA34" s="1221"/>
      <c r="DEB34" s="1221"/>
      <c r="DEC34" s="1221"/>
      <c r="DED34" s="1221"/>
      <c r="DEE34" s="1221"/>
      <c r="DEF34" s="1221"/>
      <c r="DEG34" s="1221"/>
      <c r="DEH34" s="1221"/>
      <c r="DEI34" s="1221"/>
      <c r="DEJ34" s="1221"/>
      <c r="DEK34" s="1221"/>
      <c r="DEL34" s="1221"/>
      <c r="DEM34" s="1221"/>
      <c r="DEN34" s="1221"/>
      <c r="DEO34" s="1221"/>
      <c r="DEP34" s="1221"/>
      <c r="DEQ34" s="1221"/>
      <c r="DER34" s="1221"/>
      <c r="DES34" s="1221"/>
      <c r="DET34" s="1221"/>
      <c r="DEU34" s="1221"/>
      <c r="DEV34" s="1221"/>
      <c r="DEW34" s="1221"/>
      <c r="DEX34" s="1221"/>
      <c r="DEY34" s="1221"/>
      <c r="DEZ34" s="1221"/>
      <c r="DFA34" s="1221"/>
      <c r="DFB34" s="1221"/>
      <c r="DFC34" s="1221"/>
      <c r="DFD34" s="1221"/>
      <c r="DFE34" s="1221"/>
      <c r="DFF34" s="1221"/>
      <c r="DFG34" s="1221"/>
      <c r="DFH34" s="1221"/>
      <c r="DFI34" s="1221"/>
      <c r="DFJ34" s="1221"/>
      <c r="DFK34" s="1221"/>
      <c r="DFL34" s="1221"/>
      <c r="DFM34" s="1221"/>
      <c r="DFN34" s="1221"/>
      <c r="DFO34" s="1221"/>
      <c r="DFP34" s="1221"/>
      <c r="DFQ34" s="1221"/>
      <c r="DFR34" s="1221"/>
      <c r="DFS34" s="1221"/>
      <c r="DFT34" s="1221"/>
      <c r="DFU34" s="1221"/>
      <c r="DFV34" s="1221"/>
      <c r="DFW34" s="1221"/>
      <c r="DFX34" s="1221"/>
      <c r="DFY34" s="1221"/>
      <c r="DFZ34" s="1221"/>
      <c r="DGA34" s="1221"/>
      <c r="DGB34" s="1221"/>
      <c r="DGC34" s="1221"/>
      <c r="DGD34" s="1221"/>
      <c r="DGE34" s="1221"/>
      <c r="DGF34" s="1221"/>
      <c r="DGG34" s="1221"/>
      <c r="DGH34" s="1221"/>
      <c r="DGI34" s="1221"/>
      <c r="DGJ34" s="1221"/>
      <c r="DGK34" s="1221"/>
      <c r="DGL34" s="1221"/>
      <c r="DGM34" s="1221"/>
      <c r="DGN34" s="1221"/>
      <c r="DGO34" s="1221"/>
      <c r="DGP34" s="1221"/>
      <c r="DGQ34" s="1221"/>
      <c r="DGR34" s="1221"/>
      <c r="DGS34" s="1221"/>
      <c r="DGT34" s="1221"/>
      <c r="DGU34" s="1221"/>
      <c r="DGV34" s="1221"/>
      <c r="DGW34" s="1221"/>
      <c r="DGX34" s="1221"/>
      <c r="DGY34" s="1221"/>
      <c r="DGZ34" s="1221"/>
      <c r="DHA34" s="1221"/>
      <c r="DHB34" s="1221"/>
      <c r="DHC34" s="1221"/>
      <c r="DHD34" s="1221"/>
      <c r="DHE34" s="1221"/>
      <c r="DHF34" s="1221"/>
      <c r="DHG34" s="1221"/>
      <c r="DHH34" s="1221"/>
      <c r="DHI34" s="1221"/>
      <c r="DHJ34" s="1221"/>
      <c r="DHK34" s="1221"/>
      <c r="DHL34" s="1221"/>
      <c r="DHM34" s="1221"/>
      <c r="DHN34" s="1221"/>
      <c r="DHO34" s="1221"/>
      <c r="DHP34" s="1221"/>
      <c r="DHQ34" s="1221"/>
      <c r="DHR34" s="1221"/>
      <c r="DHS34" s="1221"/>
      <c r="DHT34" s="1221"/>
      <c r="DHU34" s="1221"/>
      <c r="DHV34" s="1221"/>
      <c r="DHW34" s="1221"/>
      <c r="DHX34" s="1221"/>
      <c r="DHY34" s="1221"/>
      <c r="DHZ34" s="1221"/>
      <c r="DIA34" s="1221"/>
      <c r="DIB34" s="1221"/>
      <c r="DIC34" s="1221"/>
      <c r="DID34" s="1221"/>
      <c r="DIE34" s="1221"/>
      <c r="DIF34" s="1221"/>
      <c r="DIG34" s="1221"/>
      <c r="DIH34" s="1221"/>
      <c r="DII34" s="1221"/>
      <c r="DIJ34" s="1221"/>
      <c r="DIK34" s="1221"/>
      <c r="DIL34" s="1221"/>
      <c r="DIM34" s="1221"/>
      <c r="DIN34" s="1221"/>
      <c r="DIO34" s="1221"/>
      <c r="DIP34" s="1221"/>
      <c r="DIQ34" s="1221"/>
      <c r="DIR34" s="1221"/>
      <c r="DIS34" s="1221"/>
      <c r="DIT34" s="1221"/>
      <c r="DIU34" s="1221"/>
      <c r="DIV34" s="1221"/>
      <c r="DIW34" s="1221"/>
      <c r="DIX34" s="1221"/>
      <c r="DIY34" s="1221"/>
      <c r="DIZ34" s="1221"/>
      <c r="DJA34" s="1221"/>
      <c r="DJB34" s="1221"/>
      <c r="DJC34" s="1221"/>
      <c r="DJD34" s="1221"/>
      <c r="DJE34" s="1221"/>
      <c r="DJF34" s="1221"/>
      <c r="DJG34" s="1221"/>
      <c r="DJH34" s="1221"/>
      <c r="DJI34" s="1221"/>
      <c r="DJJ34" s="1221"/>
      <c r="DJK34" s="1221"/>
      <c r="DJL34" s="1221"/>
      <c r="DJM34" s="1221"/>
      <c r="DJN34" s="1221"/>
      <c r="DJO34" s="1221"/>
      <c r="DJP34" s="1221"/>
      <c r="DJQ34" s="1221"/>
      <c r="DJR34" s="1221"/>
      <c r="DJS34" s="1221"/>
      <c r="DJT34" s="1221"/>
      <c r="DJU34" s="1221"/>
      <c r="DJV34" s="1221"/>
      <c r="DJW34" s="1221"/>
      <c r="DJX34" s="1221"/>
      <c r="DJY34" s="1221"/>
      <c r="DJZ34" s="1221"/>
      <c r="DKA34" s="1221"/>
      <c r="DKB34" s="1221"/>
      <c r="DKC34" s="1221"/>
      <c r="DKD34" s="1221"/>
      <c r="DKE34" s="1221"/>
      <c r="DKF34" s="1221"/>
      <c r="DKG34" s="1221"/>
      <c r="DKH34" s="1221"/>
      <c r="DKI34" s="1221"/>
      <c r="DKJ34" s="1221"/>
      <c r="DKK34" s="1221"/>
      <c r="DKL34" s="1221"/>
      <c r="DKM34" s="1221"/>
      <c r="DKN34" s="1221"/>
      <c r="DKO34" s="1221"/>
      <c r="DKP34" s="1221"/>
      <c r="DKQ34" s="1221"/>
      <c r="DKR34" s="1221"/>
      <c r="DKS34" s="1221"/>
      <c r="DKT34" s="1221"/>
      <c r="DKU34" s="1221"/>
      <c r="DKV34" s="1221"/>
      <c r="DKW34" s="1221"/>
      <c r="DKX34" s="1221"/>
      <c r="DKY34" s="1221"/>
      <c r="DKZ34" s="1221"/>
      <c r="DLA34" s="1221"/>
      <c r="DLB34" s="1221"/>
      <c r="DLC34" s="1221"/>
      <c r="DLD34" s="1221"/>
      <c r="DLE34" s="1221"/>
      <c r="DLF34" s="1221"/>
      <c r="DLG34" s="1221"/>
      <c r="DLH34" s="1221"/>
      <c r="DLI34" s="1221"/>
      <c r="DLJ34" s="1221"/>
      <c r="DLK34" s="1221"/>
      <c r="DLL34" s="1221"/>
      <c r="DLM34" s="1221"/>
      <c r="DLN34" s="1221"/>
      <c r="DLO34" s="1221"/>
      <c r="DLP34" s="1221"/>
      <c r="DLQ34" s="1221"/>
      <c r="DLR34" s="1221"/>
      <c r="DLS34" s="1221"/>
      <c r="DLT34" s="1221"/>
      <c r="DLU34" s="1221"/>
      <c r="DLV34" s="1221"/>
      <c r="DLW34" s="1221"/>
      <c r="DLX34" s="1221"/>
      <c r="DLY34" s="1221"/>
      <c r="DLZ34" s="1221"/>
      <c r="DMA34" s="1221"/>
      <c r="DMB34" s="1221"/>
      <c r="DMC34" s="1221"/>
      <c r="DMD34" s="1221"/>
      <c r="DME34" s="1221"/>
      <c r="DMF34" s="1221"/>
      <c r="DMG34" s="1221"/>
      <c r="DMH34" s="1221"/>
      <c r="DMI34" s="1221"/>
      <c r="DMJ34" s="1221"/>
      <c r="DMK34" s="1221"/>
      <c r="DML34" s="1221"/>
      <c r="DMM34" s="1221"/>
      <c r="DMN34" s="1221"/>
      <c r="DMO34" s="1221"/>
      <c r="DMP34" s="1221"/>
      <c r="DMQ34" s="1221"/>
      <c r="DMR34" s="1221"/>
      <c r="DMS34" s="1221"/>
      <c r="DMT34" s="1221"/>
      <c r="DMU34" s="1221"/>
      <c r="DMV34" s="1221"/>
      <c r="DMW34" s="1221"/>
      <c r="DMX34" s="1221"/>
      <c r="DMY34" s="1221"/>
      <c r="DMZ34" s="1221"/>
      <c r="DNA34" s="1221"/>
      <c r="DNB34" s="1221"/>
      <c r="DNC34" s="1221"/>
      <c r="DND34" s="1221"/>
      <c r="DNE34" s="1221"/>
      <c r="DNF34" s="1221"/>
      <c r="DNG34" s="1221"/>
      <c r="DNH34" s="1221"/>
      <c r="DNI34" s="1221"/>
      <c r="DNJ34" s="1221"/>
      <c r="DNK34" s="1221"/>
      <c r="DNL34" s="1221"/>
      <c r="DNM34" s="1221"/>
      <c r="DNN34" s="1221"/>
      <c r="DNO34" s="1221"/>
      <c r="DNP34" s="1221"/>
      <c r="DNQ34" s="1221"/>
      <c r="DNR34" s="1221"/>
      <c r="DNS34" s="1221"/>
      <c r="DNT34" s="1221"/>
      <c r="DNU34" s="1221"/>
      <c r="DNV34" s="1221"/>
      <c r="DNW34" s="1221"/>
      <c r="DNX34" s="1221"/>
      <c r="DNY34" s="1221"/>
      <c r="DNZ34" s="1221"/>
      <c r="DOA34" s="1221"/>
      <c r="DOB34" s="1221"/>
      <c r="DOC34" s="1221"/>
      <c r="DOD34" s="1221"/>
      <c r="DOE34" s="1221"/>
      <c r="DOF34" s="1221"/>
      <c r="DOG34" s="1221"/>
      <c r="DOH34" s="1221"/>
      <c r="DOI34" s="1221"/>
      <c r="DOJ34" s="1221"/>
      <c r="DOK34" s="1221"/>
      <c r="DOL34" s="1221"/>
      <c r="DOM34" s="1221"/>
      <c r="DON34" s="1221"/>
      <c r="DOO34" s="1221"/>
      <c r="DOP34" s="1221"/>
      <c r="DOQ34" s="1221"/>
      <c r="DOR34" s="1221"/>
      <c r="DOS34" s="1221"/>
      <c r="DOT34" s="1221"/>
      <c r="DOU34" s="1221"/>
      <c r="DOV34" s="1221"/>
      <c r="DOW34" s="1221"/>
      <c r="DOX34" s="1221"/>
      <c r="DOY34" s="1221"/>
      <c r="DOZ34" s="1221"/>
      <c r="DPA34" s="1221"/>
      <c r="DPB34" s="1221"/>
      <c r="DPC34" s="1221"/>
      <c r="DPD34" s="1221"/>
      <c r="DPE34" s="1221"/>
      <c r="DPF34" s="1221"/>
      <c r="DPG34" s="1221"/>
      <c r="DPH34" s="1221"/>
      <c r="DPI34" s="1221"/>
      <c r="DPJ34" s="1221"/>
      <c r="DPK34" s="1221"/>
      <c r="DPL34" s="1221"/>
      <c r="DPM34" s="1221"/>
      <c r="DPN34" s="1221"/>
      <c r="DPO34" s="1221"/>
      <c r="DPP34" s="1221"/>
      <c r="DPQ34" s="1221"/>
      <c r="DPR34" s="1221"/>
      <c r="DPS34" s="1221"/>
      <c r="DPT34" s="1221"/>
      <c r="DPU34" s="1221"/>
      <c r="DPV34" s="1221"/>
      <c r="DPW34" s="1221"/>
      <c r="DPX34" s="1221"/>
      <c r="DPY34" s="1221"/>
      <c r="DPZ34" s="1221"/>
      <c r="DQA34" s="1221"/>
      <c r="DQB34" s="1221"/>
      <c r="DQC34" s="1221"/>
      <c r="DQD34" s="1221"/>
      <c r="DQE34" s="1221"/>
      <c r="DQF34" s="1221"/>
      <c r="DQG34" s="1221"/>
      <c r="DQH34" s="1221"/>
      <c r="DQI34" s="1221"/>
      <c r="DQJ34" s="1221"/>
      <c r="DQK34" s="1221"/>
      <c r="DQL34" s="1221"/>
      <c r="DQM34" s="1221"/>
      <c r="DQN34" s="1221"/>
      <c r="DQO34" s="1221"/>
      <c r="DQP34" s="1221"/>
      <c r="DQQ34" s="1221"/>
      <c r="DQR34" s="1221"/>
      <c r="DQS34" s="1221"/>
      <c r="DQT34" s="1221"/>
      <c r="DQU34" s="1221"/>
      <c r="DQV34" s="1221"/>
      <c r="DQW34" s="1221"/>
      <c r="DQX34" s="1221"/>
      <c r="DQY34" s="1221"/>
      <c r="DQZ34" s="1221"/>
      <c r="DRA34" s="1221"/>
      <c r="DRB34" s="1221"/>
      <c r="DRC34" s="1221"/>
      <c r="DRD34" s="1221"/>
      <c r="DRE34" s="1221"/>
      <c r="DRF34" s="1221"/>
      <c r="DRG34" s="1221"/>
      <c r="DRH34" s="1221"/>
      <c r="DRI34" s="1221"/>
      <c r="DRJ34" s="1221"/>
      <c r="DRK34" s="1221"/>
      <c r="DRL34" s="1221"/>
      <c r="DRM34" s="1221"/>
      <c r="DRN34" s="1221"/>
      <c r="DRO34" s="1221"/>
      <c r="DRP34" s="1221"/>
      <c r="DRQ34" s="1221"/>
      <c r="DRR34" s="1221"/>
      <c r="DRS34" s="1221"/>
      <c r="DRT34" s="1221"/>
      <c r="DRU34" s="1221"/>
      <c r="DRV34" s="1221"/>
      <c r="DRW34" s="1221"/>
      <c r="DRX34" s="1221"/>
      <c r="DRY34" s="1221"/>
      <c r="DRZ34" s="1221"/>
      <c r="DSA34" s="1221"/>
      <c r="DSB34" s="1221"/>
      <c r="DSC34" s="1221"/>
      <c r="DSD34" s="1221"/>
      <c r="DSE34" s="1221"/>
      <c r="DSF34" s="1221"/>
      <c r="DSG34" s="1221"/>
      <c r="DSH34" s="1221"/>
      <c r="DSI34" s="1221"/>
      <c r="DSJ34" s="1221"/>
      <c r="DSK34" s="1221"/>
      <c r="DSL34" s="1221"/>
      <c r="DSM34" s="1221"/>
      <c r="DSN34" s="1221"/>
      <c r="DSO34" s="1221"/>
      <c r="DSP34" s="1221"/>
      <c r="DSQ34" s="1221"/>
      <c r="DSR34" s="1221"/>
      <c r="DSS34" s="1221"/>
      <c r="DST34" s="1221"/>
      <c r="DSU34" s="1221"/>
      <c r="DSV34" s="1221"/>
      <c r="DSW34" s="1221"/>
      <c r="DSX34" s="1221"/>
      <c r="DSY34" s="1221"/>
      <c r="DSZ34" s="1221"/>
      <c r="DTA34" s="1221"/>
      <c r="DTB34" s="1221"/>
      <c r="DTC34" s="1221"/>
      <c r="DTD34" s="1221"/>
      <c r="DTE34" s="1221"/>
      <c r="DTF34" s="1221"/>
      <c r="DTG34" s="1221"/>
      <c r="DTH34" s="1221"/>
      <c r="DTI34" s="1221"/>
      <c r="DTJ34" s="1221"/>
      <c r="DTK34" s="1221"/>
      <c r="DTL34" s="1221"/>
      <c r="DTM34" s="1221"/>
      <c r="DTN34" s="1221"/>
      <c r="DTO34" s="1221"/>
      <c r="DTP34" s="1221"/>
      <c r="DTQ34" s="1221"/>
      <c r="DTR34" s="1221"/>
      <c r="DTS34" s="1221"/>
      <c r="DTT34" s="1221"/>
      <c r="DTU34" s="1221"/>
      <c r="DTV34" s="1221"/>
      <c r="DTW34" s="1221"/>
      <c r="DTX34" s="1221"/>
      <c r="DTY34" s="1221"/>
      <c r="DTZ34" s="1221"/>
      <c r="DUA34" s="1221"/>
      <c r="DUB34" s="1221"/>
      <c r="DUC34" s="1221"/>
      <c r="DUD34" s="1221"/>
      <c r="DUE34" s="1221"/>
      <c r="DUF34" s="1221"/>
      <c r="DUG34" s="1221"/>
      <c r="DUH34" s="1221"/>
      <c r="DUI34" s="1221"/>
      <c r="DUJ34" s="1221"/>
      <c r="DUK34" s="1221"/>
      <c r="DUL34" s="1221"/>
      <c r="DUM34" s="1221"/>
      <c r="DUN34" s="1221"/>
      <c r="DUO34" s="1221"/>
      <c r="DUP34" s="1221"/>
      <c r="DUQ34" s="1221"/>
      <c r="DUR34" s="1221"/>
      <c r="DUS34" s="1221"/>
      <c r="DUT34" s="1221"/>
      <c r="DUU34" s="1221"/>
      <c r="DUV34" s="1221"/>
      <c r="DUW34" s="1221"/>
      <c r="DUX34" s="1221"/>
      <c r="DUY34" s="1221"/>
      <c r="DUZ34" s="1221"/>
      <c r="DVA34" s="1221"/>
      <c r="DVB34" s="1221"/>
      <c r="DVC34" s="1221"/>
      <c r="DVD34" s="1221"/>
      <c r="DVE34" s="1221"/>
      <c r="DVF34" s="1221"/>
      <c r="DVG34" s="1221"/>
      <c r="DVH34" s="1221"/>
      <c r="DVI34" s="1221"/>
      <c r="DVJ34" s="1221"/>
      <c r="DVK34" s="1221"/>
      <c r="DVL34" s="1221"/>
      <c r="DVM34" s="1221"/>
      <c r="DVN34" s="1221"/>
      <c r="DVO34" s="1221"/>
      <c r="DVP34" s="1221"/>
      <c r="DVQ34" s="1221"/>
      <c r="DVR34" s="1221"/>
      <c r="DVS34" s="1221"/>
      <c r="DVT34" s="1221"/>
      <c r="DVU34" s="1221"/>
      <c r="DVV34" s="1221"/>
      <c r="DVW34" s="1221"/>
      <c r="DVX34" s="1221"/>
      <c r="DVY34" s="1221"/>
      <c r="DVZ34" s="1221"/>
      <c r="DWA34" s="1221"/>
      <c r="DWB34" s="1221"/>
      <c r="DWC34" s="1221"/>
      <c r="DWD34" s="1221"/>
      <c r="DWE34" s="1221"/>
      <c r="DWF34" s="1221"/>
      <c r="DWG34" s="1221"/>
      <c r="DWH34" s="1221"/>
      <c r="DWI34" s="1221"/>
      <c r="DWJ34" s="1221"/>
      <c r="DWK34" s="1221"/>
      <c r="DWL34" s="1221"/>
      <c r="DWM34" s="1221"/>
      <c r="DWN34" s="1221"/>
      <c r="DWO34" s="1221"/>
      <c r="DWP34" s="1221"/>
      <c r="DWQ34" s="1221"/>
      <c r="DWR34" s="1221"/>
      <c r="DWS34" s="1221"/>
      <c r="DWT34" s="1221"/>
      <c r="DWU34" s="1221"/>
      <c r="DWV34" s="1221"/>
      <c r="DWW34" s="1221"/>
      <c r="DWX34" s="1221"/>
      <c r="DWY34" s="1221"/>
      <c r="DWZ34" s="1221"/>
      <c r="DXA34" s="1221"/>
      <c r="DXB34" s="1221"/>
      <c r="DXC34" s="1221"/>
      <c r="DXD34" s="1221"/>
      <c r="DXE34" s="1221"/>
      <c r="DXF34" s="1221"/>
      <c r="DXG34" s="1221"/>
      <c r="DXH34" s="1221"/>
      <c r="DXI34" s="1221"/>
      <c r="DXJ34" s="1221"/>
      <c r="DXK34" s="1221"/>
      <c r="DXL34" s="1221"/>
      <c r="DXM34" s="1221"/>
      <c r="DXN34" s="1221"/>
      <c r="DXO34" s="1221"/>
      <c r="DXP34" s="1221"/>
      <c r="DXQ34" s="1221"/>
      <c r="DXR34" s="1221"/>
      <c r="DXS34" s="1221"/>
      <c r="DXT34" s="1221"/>
      <c r="DXU34" s="1221"/>
      <c r="DXV34" s="1221"/>
      <c r="DXW34" s="1221"/>
      <c r="DXX34" s="1221"/>
      <c r="DXY34" s="1221"/>
      <c r="DXZ34" s="1221"/>
      <c r="DYA34" s="1221"/>
      <c r="DYB34" s="1221"/>
      <c r="DYC34" s="1221"/>
      <c r="DYD34" s="1221"/>
      <c r="DYE34" s="1221"/>
      <c r="DYF34" s="1221"/>
      <c r="DYG34" s="1221"/>
      <c r="DYH34" s="1221"/>
      <c r="DYI34" s="1221"/>
      <c r="DYJ34" s="1221"/>
      <c r="DYK34" s="1221"/>
      <c r="DYL34" s="1221"/>
      <c r="DYM34" s="1221"/>
      <c r="DYN34" s="1221"/>
      <c r="DYO34" s="1221"/>
      <c r="DYP34" s="1221"/>
      <c r="DYQ34" s="1221"/>
      <c r="DYR34" s="1221"/>
      <c r="DYS34" s="1221"/>
      <c r="DYT34" s="1221"/>
      <c r="DYU34" s="1221"/>
      <c r="DYV34" s="1221"/>
      <c r="DYW34" s="1221"/>
      <c r="DYX34" s="1221"/>
      <c r="DYY34" s="1221"/>
      <c r="DYZ34" s="1221"/>
      <c r="DZA34" s="1221"/>
      <c r="DZB34" s="1221"/>
      <c r="DZC34" s="1221"/>
      <c r="DZD34" s="1221"/>
      <c r="DZE34" s="1221"/>
      <c r="DZF34" s="1221"/>
      <c r="DZG34" s="1221"/>
      <c r="DZH34" s="1221"/>
      <c r="DZI34" s="1221"/>
      <c r="DZJ34" s="1221"/>
      <c r="DZK34" s="1221"/>
      <c r="DZL34" s="1221"/>
      <c r="DZM34" s="1221"/>
      <c r="DZN34" s="1221"/>
      <c r="DZO34" s="1221"/>
      <c r="DZP34" s="1221"/>
      <c r="DZQ34" s="1221"/>
      <c r="DZR34" s="1221"/>
      <c r="DZS34" s="1221"/>
      <c r="DZT34" s="1221"/>
      <c r="DZU34" s="1221"/>
      <c r="DZV34" s="1221"/>
      <c r="DZW34" s="1221"/>
      <c r="DZX34" s="1221"/>
      <c r="DZY34" s="1221"/>
      <c r="DZZ34" s="1221"/>
      <c r="EAA34" s="1221"/>
      <c r="EAB34" s="1221"/>
      <c r="EAC34" s="1221"/>
      <c r="EAD34" s="1221"/>
      <c r="EAE34" s="1221"/>
      <c r="EAF34" s="1221"/>
      <c r="EAG34" s="1221"/>
      <c r="EAH34" s="1221"/>
      <c r="EAI34" s="1221"/>
      <c r="EAJ34" s="1221"/>
      <c r="EAK34" s="1221"/>
      <c r="EAL34" s="1221"/>
      <c r="EAM34" s="1221"/>
      <c r="EAN34" s="1221"/>
      <c r="EAO34" s="1221"/>
      <c r="EAP34" s="1221"/>
      <c r="EAQ34" s="1221"/>
      <c r="EAR34" s="1221"/>
      <c r="EAS34" s="1221"/>
      <c r="EAT34" s="1221"/>
      <c r="EAU34" s="1221"/>
      <c r="EAV34" s="1221"/>
      <c r="EAW34" s="1221"/>
      <c r="EAX34" s="1221"/>
      <c r="EAY34" s="1221"/>
      <c r="EAZ34" s="1221"/>
      <c r="EBA34" s="1221"/>
      <c r="EBB34" s="1221"/>
      <c r="EBC34" s="1221"/>
      <c r="EBD34" s="1221"/>
      <c r="EBE34" s="1221"/>
      <c r="EBF34" s="1221"/>
      <c r="EBG34" s="1221"/>
      <c r="EBH34" s="1221"/>
      <c r="EBI34" s="1221"/>
      <c r="EBJ34" s="1221"/>
      <c r="EBK34" s="1221"/>
      <c r="EBL34" s="1221"/>
      <c r="EBM34" s="1221"/>
      <c r="EBN34" s="1221"/>
      <c r="EBO34" s="1221"/>
      <c r="EBP34" s="1221"/>
      <c r="EBQ34" s="1221"/>
      <c r="EBR34" s="1221"/>
      <c r="EBS34" s="1221"/>
      <c r="EBT34" s="1221"/>
      <c r="EBU34" s="1221"/>
      <c r="EBV34" s="1221"/>
      <c r="EBW34" s="1221"/>
      <c r="EBX34" s="1221"/>
      <c r="EBY34" s="1221"/>
      <c r="EBZ34" s="1221"/>
      <c r="ECA34" s="1221"/>
      <c r="ECB34" s="1221"/>
      <c r="ECC34" s="1221"/>
      <c r="ECD34" s="1221"/>
      <c r="ECE34" s="1221"/>
      <c r="ECF34" s="1221"/>
      <c r="ECG34" s="1221"/>
      <c r="ECH34" s="1221"/>
      <c r="ECI34" s="1221"/>
      <c r="ECJ34" s="1221"/>
      <c r="ECK34" s="1221"/>
      <c r="ECL34" s="1221"/>
      <c r="ECM34" s="1221"/>
      <c r="ECN34" s="1221"/>
      <c r="ECO34" s="1221"/>
    </row>
    <row r="35" spans="2:3473" s="1237" customFormat="1" ht="13">
      <c r="B35" s="1238">
        <v>5001.07</v>
      </c>
      <c r="C35" s="1239" t="s">
        <v>380</v>
      </c>
      <c r="D35" s="1240" t="s">
        <v>82</v>
      </c>
      <c r="E35" s="1241">
        <f t="shared" si="47"/>
        <v>0</v>
      </c>
      <c r="F35" s="1241">
        <f t="shared" si="47"/>
        <v>0</v>
      </c>
      <c r="G35" s="1241">
        <f t="shared" si="47"/>
        <v>0</v>
      </c>
      <c r="H35" s="1241">
        <f t="shared" si="47"/>
        <v>457.68709324664434</v>
      </c>
      <c r="I35" s="1241">
        <f t="shared" si="47"/>
        <v>432.3396299254037</v>
      </c>
      <c r="J35" s="1241">
        <f t="shared" si="47"/>
        <v>25.347463321240696</v>
      </c>
      <c r="K35" s="1241">
        <f t="shared" si="47"/>
        <v>0</v>
      </c>
      <c r="L35" s="1241">
        <f t="shared" si="47"/>
        <v>0</v>
      </c>
      <c r="M35" s="1241">
        <f t="shared" si="47"/>
        <v>0</v>
      </c>
      <c r="N35" s="1241" t="str">
        <f t="shared" si="47"/>
        <v/>
      </c>
      <c r="O35" s="1241" t="str">
        <f t="shared" si="47"/>
        <v/>
      </c>
      <c r="P35" s="1241" t="str">
        <f t="shared" si="47"/>
        <v/>
      </c>
      <c r="Q35" s="1241">
        <f t="shared" si="47"/>
        <v>457.68709324664445</v>
      </c>
      <c r="R35" s="1241">
        <f t="shared" si="47"/>
        <v>432.33962992540364</v>
      </c>
      <c r="S35" s="1241">
        <f t="shared" si="8"/>
        <v>25.347463321240696</v>
      </c>
      <c r="T35" s="1241">
        <f t="shared" si="5"/>
        <v>457.68709324664445</v>
      </c>
      <c r="U35" s="1241">
        <f t="shared" si="5"/>
        <v>432.33962992540376</v>
      </c>
      <c r="V35" s="1241">
        <f t="shared" si="9"/>
        <v>25.347463321240696</v>
      </c>
      <c r="W35" s="1241" t="str">
        <f t="shared" si="10"/>
        <v/>
      </c>
      <c r="X35" s="1241" t="str">
        <f t="shared" si="10"/>
        <v/>
      </c>
      <c r="Y35" s="1241" t="str">
        <f t="shared" si="10"/>
        <v/>
      </c>
      <c r="Z35" s="1242">
        <f t="shared" si="11"/>
        <v>344.49909981296025</v>
      </c>
      <c r="AA35" s="1242">
        <f t="shared" si="11"/>
        <v>325.4201735649707</v>
      </c>
      <c r="AB35" s="1242">
        <f t="shared" si="11"/>
        <v>19.07892624798956</v>
      </c>
      <c r="AC35" s="1242">
        <f t="shared" si="15"/>
        <v>457.68709324664434</v>
      </c>
      <c r="AD35" s="1243">
        <f t="shared" si="15"/>
        <v>432.3396299254037</v>
      </c>
      <c r="AE35" s="1243">
        <f t="shared" si="15"/>
        <v>25.347463321240696</v>
      </c>
      <c r="AF35" s="1244">
        <f t="shared" ref="AF35:BL35" si="59">SUM(AF36:AF43)</f>
        <v>0</v>
      </c>
      <c r="AG35" s="1245">
        <f t="shared" si="59"/>
        <v>0</v>
      </c>
      <c r="AH35" s="1245">
        <f t="shared" si="59"/>
        <v>0</v>
      </c>
      <c r="AI35" s="1245">
        <f t="shared" si="59"/>
        <v>1976.015967947596</v>
      </c>
      <c r="AJ35" s="1245">
        <f t="shared" si="59"/>
        <v>1866.5809565417881</v>
      </c>
      <c r="AK35" s="1245">
        <f t="shared" si="59"/>
        <v>109.43501140580797</v>
      </c>
      <c r="AL35" s="1245">
        <f t="shared" si="59"/>
        <v>0</v>
      </c>
      <c r="AM35" s="1245">
        <f t="shared" si="59"/>
        <v>0</v>
      </c>
      <c r="AN35" s="1245">
        <f t="shared" si="59"/>
        <v>0</v>
      </c>
      <c r="AO35" s="1245">
        <f t="shared" si="59"/>
        <v>0</v>
      </c>
      <c r="AP35" s="1245">
        <f t="shared" si="59"/>
        <v>0</v>
      </c>
      <c r="AQ35" s="1245">
        <f t="shared" si="59"/>
        <v>0</v>
      </c>
      <c r="AR35" s="1245">
        <f t="shared" si="59"/>
        <v>2708.3349976872369</v>
      </c>
      <c r="AS35" s="1245">
        <f t="shared" si="59"/>
        <v>2558.3429550265205</v>
      </c>
      <c r="AT35" s="1245">
        <f t="shared" si="59"/>
        <v>149.9920426607159</v>
      </c>
      <c r="AU35" s="1245">
        <f t="shared" si="59"/>
        <v>48.465859365166921</v>
      </c>
      <c r="AV35" s="1245">
        <f t="shared" si="59"/>
        <v>45.781740431690778</v>
      </c>
      <c r="AW35" s="1245">
        <f t="shared" si="59"/>
        <v>2.6841189334761415</v>
      </c>
      <c r="AX35" s="1245"/>
      <c r="AY35" s="1245"/>
      <c r="AZ35" s="1245"/>
      <c r="BA35" s="1245">
        <f t="shared" si="59"/>
        <v>4732.8168249999999</v>
      </c>
      <c r="BB35" s="1245">
        <f t="shared" si="59"/>
        <v>4470.7056519999987</v>
      </c>
      <c r="BC35" s="1245">
        <f t="shared" si="59"/>
        <v>262.11117300000001</v>
      </c>
      <c r="BD35" s="1245">
        <f t="shared" si="59"/>
        <v>0</v>
      </c>
      <c r="BE35" s="1245">
        <f t="shared" si="59"/>
        <v>0</v>
      </c>
      <c r="BF35" s="1245">
        <f t="shared" si="59"/>
        <v>0</v>
      </c>
      <c r="BG35" s="1245">
        <f t="shared" si="59"/>
        <v>0</v>
      </c>
      <c r="BH35" s="1245">
        <f t="shared" si="59"/>
        <v>0</v>
      </c>
      <c r="BI35" s="1245">
        <f t="shared" si="59"/>
        <v>0</v>
      </c>
      <c r="BJ35" s="1245">
        <f t="shared" si="59"/>
        <v>4732.8168249999999</v>
      </c>
      <c r="BK35" s="1245">
        <f t="shared" si="59"/>
        <v>4470.7056520000006</v>
      </c>
      <c r="BL35" s="1245">
        <f t="shared" si="59"/>
        <v>262.11117300000006</v>
      </c>
      <c r="BM35" s="1246"/>
      <c r="BN35" s="1225">
        <f t="shared" si="12"/>
        <v>0</v>
      </c>
      <c r="BO35" s="1225">
        <f t="shared" si="13"/>
        <v>-9.0949470177292824E-13</v>
      </c>
      <c r="BP35" s="1225">
        <f t="shared" si="14"/>
        <v>0</v>
      </c>
      <c r="BQ35" s="1247"/>
      <c r="BR35" s="1247"/>
      <c r="BS35" s="1247"/>
      <c r="BT35" s="1247"/>
      <c r="BU35" s="1247"/>
      <c r="BV35" s="1247"/>
      <c r="BW35" s="1247"/>
      <c r="BX35" s="1247"/>
      <c r="BY35" s="1247"/>
      <c r="BZ35" s="1247"/>
      <c r="CA35" s="1247"/>
      <c r="CB35" s="1247"/>
      <c r="CC35" s="1247"/>
      <c r="CD35" s="1247"/>
      <c r="CE35" s="1247"/>
      <c r="CF35" s="1247"/>
      <c r="CG35" s="1247"/>
      <c r="CH35" s="1247"/>
      <c r="CI35" s="1247"/>
      <c r="CJ35" s="1247"/>
      <c r="CK35" s="1247"/>
      <c r="CL35" s="1247"/>
      <c r="CM35" s="1247"/>
      <c r="CN35" s="1247"/>
      <c r="CO35" s="1247"/>
      <c r="CP35" s="1247"/>
      <c r="CQ35" s="1247"/>
      <c r="CR35" s="1247"/>
      <c r="CS35" s="1247"/>
      <c r="CT35" s="1247"/>
      <c r="CU35" s="1247"/>
      <c r="CV35" s="1247"/>
      <c r="CW35" s="1247"/>
      <c r="CX35" s="1247"/>
      <c r="CY35" s="1247"/>
      <c r="CZ35" s="1247"/>
      <c r="DA35" s="1247"/>
      <c r="DB35" s="1247"/>
      <c r="DC35" s="1247"/>
      <c r="DD35" s="1247"/>
      <c r="DE35" s="1247"/>
      <c r="DF35" s="1247"/>
      <c r="DG35" s="1247"/>
      <c r="DH35" s="1247"/>
      <c r="DI35" s="1247"/>
      <c r="DJ35" s="1247"/>
      <c r="DK35" s="1247"/>
      <c r="DL35" s="1247"/>
      <c r="DM35" s="1247"/>
      <c r="DN35" s="1247"/>
      <c r="DO35" s="1247"/>
      <c r="DP35" s="1247"/>
      <c r="DQ35" s="1247"/>
      <c r="DR35" s="1247"/>
      <c r="DS35" s="1247"/>
      <c r="DT35" s="1247"/>
      <c r="DU35" s="1247"/>
      <c r="DV35" s="1247"/>
      <c r="DW35" s="1247"/>
      <c r="DX35" s="1247"/>
      <c r="DY35" s="1247"/>
      <c r="DZ35" s="1247"/>
      <c r="EA35" s="1247"/>
      <c r="EB35" s="1247"/>
      <c r="EC35" s="1247"/>
      <c r="ED35" s="1247"/>
      <c r="EE35" s="1247"/>
      <c r="EF35" s="1247"/>
      <c r="EG35" s="1247"/>
      <c r="EH35" s="1247"/>
      <c r="EI35" s="1247"/>
      <c r="EJ35" s="1247"/>
      <c r="EK35" s="1247"/>
      <c r="EL35" s="1247"/>
      <c r="EM35" s="1247"/>
      <c r="EN35" s="1247"/>
      <c r="EO35" s="1247"/>
      <c r="EP35" s="1247"/>
      <c r="EQ35" s="1247"/>
      <c r="ER35" s="1247"/>
      <c r="ES35" s="1247"/>
      <c r="ET35" s="1247"/>
      <c r="EU35" s="1247"/>
      <c r="EV35" s="1247"/>
      <c r="EW35" s="1247"/>
      <c r="EX35" s="1247"/>
      <c r="EY35" s="1247"/>
      <c r="EZ35" s="1247"/>
      <c r="FA35" s="1247"/>
      <c r="FB35" s="1247"/>
      <c r="FC35" s="1247"/>
      <c r="FD35" s="1247"/>
      <c r="FE35" s="1247"/>
      <c r="FF35" s="1247"/>
      <c r="FG35" s="1247"/>
      <c r="FH35" s="1247"/>
      <c r="FI35" s="1247"/>
      <c r="FJ35" s="1247"/>
      <c r="FK35" s="1247"/>
      <c r="FL35" s="1247"/>
      <c r="FM35" s="1247"/>
      <c r="FN35" s="1247"/>
      <c r="FO35" s="1247"/>
      <c r="FP35" s="1247"/>
      <c r="FQ35" s="1247"/>
      <c r="FR35" s="1247"/>
      <c r="FS35" s="1247"/>
      <c r="FT35" s="1247"/>
      <c r="FU35" s="1247"/>
      <c r="FV35" s="1247"/>
      <c r="FW35" s="1247"/>
      <c r="FX35" s="1247"/>
      <c r="FY35" s="1247"/>
      <c r="FZ35" s="1247"/>
      <c r="GA35" s="1247"/>
      <c r="GB35" s="1247"/>
      <c r="GC35" s="1247"/>
      <c r="GD35" s="1247"/>
      <c r="GE35" s="1247"/>
      <c r="GF35" s="1247"/>
      <c r="GG35" s="1247"/>
      <c r="GH35" s="1247"/>
      <c r="GI35" s="1247"/>
      <c r="GJ35" s="1247"/>
      <c r="GK35" s="1247"/>
      <c r="GL35" s="1247"/>
      <c r="GM35" s="1247"/>
      <c r="GN35" s="1247"/>
      <c r="GO35" s="1247"/>
      <c r="GP35" s="1247"/>
      <c r="GQ35" s="1247"/>
      <c r="GR35" s="1247"/>
      <c r="GS35" s="1247"/>
      <c r="GT35" s="1247"/>
      <c r="GU35" s="1247"/>
      <c r="GV35" s="1247"/>
      <c r="GW35" s="1247"/>
      <c r="GX35" s="1247"/>
      <c r="GY35" s="1247"/>
      <c r="GZ35" s="1247"/>
      <c r="HA35" s="1247"/>
      <c r="HB35" s="1247"/>
      <c r="HC35" s="1247"/>
      <c r="HD35" s="1247"/>
      <c r="HE35" s="1247"/>
      <c r="HF35" s="1247"/>
      <c r="HG35" s="1247"/>
      <c r="HH35" s="1247"/>
      <c r="HI35" s="1247"/>
      <c r="HJ35" s="1247"/>
      <c r="HK35" s="1247"/>
      <c r="HL35" s="1247"/>
      <c r="HM35" s="1247"/>
      <c r="HN35" s="1247"/>
      <c r="HO35" s="1247"/>
      <c r="HP35" s="1247"/>
      <c r="HQ35" s="1247"/>
      <c r="HR35" s="1247"/>
      <c r="HS35" s="1247"/>
      <c r="HT35" s="1247"/>
      <c r="HU35" s="1247"/>
      <c r="HV35" s="1247"/>
      <c r="HW35" s="1247"/>
      <c r="HX35" s="1247"/>
      <c r="HY35" s="1247"/>
      <c r="HZ35" s="1247"/>
      <c r="IA35" s="1247"/>
      <c r="IB35" s="1247"/>
      <c r="IC35" s="1247"/>
      <c r="ID35" s="1247"/>
      <c r="IE35" s="1247"/>
      <c r="IF35" s="1247"/>
      <c r="IG35" s="1247"/>
      <c r="IH35" s="1247"/>
      <c r="II35" s="1247"/>
      <c r="IJ35" s="1247"/>
      <c r="IK35" s="1247"/>
      <c r="IL35" s="1247"/>
      <c r="IM35" s="1247"/>
      <c r="IN35" s="1247"/>
      <c r="IO35" s="1247"/>
      <c r="IP35" s="1247"/>
      <c r="IQ35" s="1247"/>
      <c r="IR35" s="1247"/>
      <c r="IS35" s="1247"/>
      <c r="IT35" s="1247"/>
      <c r="IU35" s="1247"/>
      <c r="IV35" s="1247"/>
      <c r="IW35" s="1247"/>
      <c r="IX35" s="1247"/>
      <c r="IY35" s="1247"/>
      <c r="IZ35" s="1247"/>
      <c r="JA35" s="1247"/>
      <c r="JB35" s="1247"/>
      <c r="JC35" s="1247"/>
      <c r="JD35" s="1247"/>
      <c r="JE35" s="1247"/>
      <c r="JF35" s="1247"/>
      <c r="JG35" s="1247"/>
      <c r="JH35" s="1247"/>
      <c r="JI35" s="1247"/>
      <c r="JJ35" s="1247"/>
      <c r="JK35" s="1247"/>
      <c r="JL35" s="1247"/>
      <c r="JM35" s="1247"/>
      <c r="JN35" s="1247"/>
      <c r="JO35" s="1247"/>
      <c r="JP35" s="1247"/>
      <c r="JQ35" s="1247"/>
      <c r="JR35" s="1247"/>
      <c r="JS35" s="1247"/>
      <c r="JT35" s="1247"/>
      <c r="JU35" s="1247"/>
      <c r="JV35" s="1247"/>
      <c r="JW35" s="1247"/>
      <c r="JX35" s="1247"/>
      <c r="JY35" s="1247"/>
      <c r="JZ35" s="1247"/>
      <c r="KA35" s="1247"/>
      <c r="KB35" s="1247"/>
      <c r="KC35" s="1247"/>
      <c r="KD35" s="1247"/>
      <c r="KE35" s="1247"/>
      <c r="KF35" s="1247"/>
      <c r="KG35" s="1247"/>
      <c r="KH35" s="1247"/>
      <c r="KI35" s="1247"/>
      <c r="KJ35" s="1247"/>
      <c r="KK35" s="1247"/>
      <c r="KL35" s="1247"/>
      <c r="KM35" s="1247"/>
      <c r="KN35" s="1247"/>
      <c r="KO35" s="1247"/>
      <c r="KP35" s="1247"/>
      <c r="KQ35" s="1247"/>
      <c r="KR35" s="1247"/>
      <c r="KS35" s="1247"/>
      <c r="KT35" s="1247"/>
      <c r="KU35" s="1247"/>
      <c r="KV35" s="1247"/>
      <c r="KW35" s="1247"/>
      <c r="KX35" s="1247"/>
      <c r="KY35" s="1247"/>
      <c r="KZ35" s="1247"/>
      <c r="LA35" s="1247"/>
      <c r="LB35" s="1247"/>
      <c r="LC35" s="1247"/>
      <c r="LD35" s="1247"/>
      <c r="LE35" s="1247"/>
      <c r="LF35" s="1247"/>
      <c r="LG35" s="1247"/>
      <c r="LH35" s="1247"/>
      <c r="LI35" s="1247"/>
      <c r="LJ35" s="1247"/>
      <c r="LK35" s="1247"/>
      <c r="LL35" s="1247"/>
      <c r="LM35" s="1247"/>
      <c r="LN35" s="1247"/>
      <c r="LO35" s="1247"/>
      <c r="LP35" s="1247"/>
      <c r="LQ35" s="1247"/>
      <c r="LR35" s="1247"/>
      <c r="LS35" s="1247"/>
      <c r="LT35" s="1247"/>
      <c r="LU35" s="1247"/>
      <c r="LV35" s="1247"/>
      <c r="LW35" s="1247"/>
      <c r="LX35" s="1247"/>
      <c r="LY35" s="1247"/>
      <c r="LZ35" s="1247"/>
      <c r="MA35" s="1247"/>
      <c r="MB35" s="1247"/>
      <c r="MC35" s="1247"/>
      <c r="MD35" s="1247"/>
      <c r="ME35" s="1247"/>
      <c r="MF35" s="1247"/>
      <c r="MG35" s="1247"/>
      <c r="MH35" s="1247"/>
      <c r="MI35" s="1247"/>
      <c r="MJ35" s="1247"/>
      <c r="MK35" s="1247"/>
      <c r="ML35" s="1247"/>
      <c r="MM35" s="1247"/>
      <c r="MN35" s="1247"/>
      <c r="MO35" s="1247"/>
      <c r="MP35" s="1247"/>
      <c r="MQ35" s="1247"/>
      <c r="MR35" s="1247"/>
      <c r="MS35" s="1247"/>
      <c r="MT35" s="1247"/>
      <c r="MU35" s="1247"/>
      <c r="MV35" s="1247"/>
      <c r="MW35" s="1247"/>
      <c r="MX35" s="1247"/>
      <c r="MY35" s="1247"/>
      <c r="MZ35" s="1247"/>
      <c r="NA35" s="1247"/>
      <c r="NB35" s="1247"/>
      <c r="NC35" s="1247"/>
      <c r="ND35" s="1247"/>
      <c r="NE35" s="1247"/>
      <c r="NF35" s="1247"/>
      <c r="NG35" s="1247"/>
      <c r="NH35" s="1247"/>
      <c r="NI35" s="1247"/>
      <c r="NJ35" s="1247"/>
      <c r="NK35" s="1247"/>
      <c r="NL35" s="1247"/>
      <c r="NM35" s="1247"/>
      <c r="NN35" s="1247"/>
      <c r="NO35" s="1247"/>
      <c r="NP35" s="1247"/>
      <c r="NQ35" s="1247"/>
      <c r="NR35" s="1247"/>
      <c r="NS35" s="1247"/>
      <c r="NT35" s="1247"/>
      <c r="NU35" s="1247"/>
      <c r="NV35" s="1247"/>
      <c r="NW35" s="1247"/>
      <c r="NX35" s="1247"/>
      <c r="NY35" s="1247"/>
      <c r="NZ35" s="1247"/>
      <c r="OA35" s="1247"/>
      <c r="OB35" s="1247"/>
      <c r="OC35" s="1247"/>
      <c r="OD35" s="1247"/>
      <c r="OE35" s="1247"/>
      <c r="OF35" s="1247"/>
      <c r="OG35" s="1247"/>
      <c r="OH35" s="1247"/>
      <c r="OI35" s="1247"/>
      <c r="OJ35" s="1247"/>
      <c r="OK35" s="1247"/>
      <c r="OL35" s="1247"/>
      <c r="OM35" s="1247"/>
      <c r="ON35" s="1247"/>
      <c r="OO35" s="1247"/>
      <c r="OP35" s="1247"/>
      <c r="OQ35" s="1247"/>
      <c r="OR35" s="1247"/>
      <c r="OS35" s="1247"/>
      <c r="OT35" s="1247"/>
      <c r="OU35" s="1247"/>
      <c r="OV35" s="1247"/>
      <c r="OW35" s="1247"/>
      <c r="OX35" s="1247"/>
      <c r="OY35" s="1247"/>
      <c r="OZ35" s="1247"/>
      <c r="PA35" s="1247"/>
      <c r="PB35" s="1247"/>
      <c r="PC35" s="1247"/>
      <c r="PD35" s="1247"/>
      <c r="PE35" s="1247"/>
      <c r="PF35" s="1247"/>
      <c r="PG35" s="1247"/>
      <c r="PH35" s="1247"/>
      <c r="PI35" s="1247"/>
      <c r="PJ35" s="1247"/>
      <c r="PK35" s="1247"/>
      <c r="PL35" s="1247"/>
      <c r="PM35" s="1247"/>
      <c r="PN35" s="1247"/>
      <c r="PO35" s="1247"/>
      <c r="PP35" s="1247"/>
      <c r="PQ35" s="1247"/>
      <c r="PR35" s="1247"/>
      <c r="PS35" s="1247"/>
      <c r="PT35" s="1247"/>
      <c r="PU35" s="1247"/>
      <c r="PV35" s="1247"/>
      <c r="PW35" s="1247"/>
      <c r="PX35" s="1247"/>
      <c r="PY35" s="1247"/>
      <c r="PZ35" s="1247"/>
      <c r="QA35" s="1247"/>
      <c r="QB35" s="1247"/>
      <c r="QC35" s="1247"/>
      <c r="QD35" s="1247"/>
      <c r="QE35" s="1247"/>
      <c r="QF35" s="1247"/>
      <c r="QG35" s="1247"/>
      <c r="QH35" s="1247"/>
      <c r="QI35" s="1247"/>
      <c r="QJ35" s="1247"/>
      <c r="QK35" s="1247"/>
      <c r="QL35" s="1247"/>
      <c r="QM35" s="1247"/>
      <c r="QN35" s="1247"/>
      <c r="QO35" s="1247"/>
      <c r="QP35" s="1247"/>
      <c r="QQ35" s="1247"/>
      <c r="QR35" s="1247"/>
      <c r="QS35" s="1247"/>
      <c r="QT35" s="1247"/>
      <c r="QU35" s="1247"/>
      <c r="QV35" s="1247"/>
      <c r="QW35" s="1247"/>
      <c r="QX35" s="1247"/>
      <c r="QY35" s="1247"/>
      <c r="QZ35" s="1247"/>
      <c r="RA35" s="1247"/>
      <c r="RB35" s="1247"/>
      <c r="RC35" s="1247"/>
      <c r="RD35" s="1247"/>
      <c r="RE35" s="1247"/>
      <c r="RF35" s="1247"/>
      <c r="RG35" s="1247"/>
      <c r="RH35" s="1247"/>
      <c r="RI35" s="1247"/>
      <c r="RJ35" s="1247"/>
      <c r="RK35" s="1247"/>
      <c r="RL35" s="1247"/>
      <c r="RM35" s="1247"/>
      <c r="RN35" s="1247"/>
      <c r="RO35" s="1247"/>
      <c r="RP35" s="1247"/>
      <c r="RQ35" s="1247"/>
      <c r="RR35" s="1247"/>
      <c r="RS35" s="1247"/>
      <c r="RT35" s="1247"/>
      <c r="RU35" s="1247"/>
      <c r="RV35" s="1247"/>
      <c r="RW35" s="1247"/>
      <c r="RX35" s="1247"/>
      <c r="RY35" s="1247"/>
      <c r="RZ35" s="1247"/>
      <c r="SA35" s="1247"/>
      <c r="SB35" s="1247"/>
      <c r="SC35" s="1247"/>
      <c r="SD35" s="1247"/>
      <c r="SE35" s="1247"/>
      <c r="SF35" s="1247"/>
      <c r="SG35" s="1247"/>
      <c r="SH35" s="1247"/>
      <c r="SI35" s="1247"/>
      <c r="SJ35" s="1247"/>
      <c r="SK35" s="1247"/>
      <c r="SL35" s="1247"/>
      <c r="SM35" s="1247"/>
      <c r="SN35" s="1247"/>
      <c r="SO35" s="1247"/>
      <c r="SP35" s="1247"/>
      <c r="SQ35" s="1247"/>
      <c r="SR35" s="1247"/>
      <c r="SS35" s="1247"/>
      <c r="ST35" s="1247"/>
      <c r="SU35" s="1247"/>
      <c r="SV35" s="1247"/>
      <c r="SW35" s="1247"/>
      <c r="SX35" s="1247"/>
      <c r="SY35" s="1247"/>
      <c r="SZ35" s="1247"/>
      <c r="TA35" s="1247"/>
      <c r="TB35" s="1247"/>
      <c r="TC35" s="1247"/>
      <c r="TD35" s="1247"/>
      <c r="TE35" s="1247"/>
      <c r="TF35" s="1247"/>
      <c r="TG35" s="1247"/>
      <c r="TH35" s="1247"/>
      <c r="TI35" s="1247"/>
      <c r="TJ35" s="1247"/>
      <c r="TK35" s="1247"/>
      <c r="TL35" s="1247"/>
      <c r="TM35" s="1247"/>
      <c r="TN35" s="1247"/>
      <c r="TO35" s="1247"/>
      <c r="TP35" s="1247"/>
      <c r="TQ35" s="1247"/>
      <c r="TR35" s="1247"/>
      <c r="TS35" s="1247"/>
      <c r="TT35" s="1247"/>
      <c r="TU35" s="1247"/>
      <c r="TV35" s="1247"/>
      <c r="TW35" s="1247"/>
      <c r="TX35" s="1247"/>
      <c r="TY35" s="1247"/>
      <c r="TZ35" s="1247"/>
      <c r="UA35" s="1247"/>
      <c r="UB35" s="1247"/>
      <c r="UC35" s="1247"/>
      <c r="UD35" s="1247"/>
      <c r="UE35" s="1247"/>
      <c r="UF35" s="1247"/>
      <c r="UG35" s="1247"/>
      <c r="UH35" s="1247"/>
      <c r="UI35" s="1247"/>
      <c r="UJ35" s="1247"/>
      <c r="UK35" s="1247"/>
      <c r="UL35" s="1247"/>
      <c r="UM35" s="1247"/>
      <c r="UN35" s="1247"/>
      <c r="UO35" s="1247"/>
      <c r="UP35" s="1247"/>
      <c r="UQ35" s="1247"/>
      <c r="UR35" s="1247"/>
      <c r="US35" s="1247"/>
      <c r="UT35" s="1247"/>
      <c r="UU35" s="1247"/>
      <c r="UV35" s="1247"/>
      <c r="UW35" s="1247"/>
      <c r="UX35" s="1247"/>
      <c r="UY35" s="1247"/>
      <c r="UZ35" s="1247"/>
      <c r="VA35" s="1247"/>
      <c r="VB35" s="1247"/>
      <c r="VC35" s="1247"/>
      <c r="VD35" s="1247"/>
      <c r="VE35" s="1247"/>
      <c r="VF35" s="1247"/>
      <c r="VG35" s="1247"/>
      <c r="VH35" s="1247"/>
      <c r="VI35" s="1247"/>
      <c r="VJ35" s="1247"/>
      <c r="VK35" s="1247"/>
      <c r="VL35" s="1247"/>
      <c r="VM35" s="1247"/>
      <c r="VN35" s="1247"/>
      <c r="VO35" s="1247"/>
      <c r="VP35" s="1247"/>
      <c r="VQ35" s="1247"/>
      <c r="VR35" s="1247"/>
      <c r="VS35" s="1247"/>
      <c r="VT35" s="1247"/>
      <c r="VU35" s="1247"/>
      <c r="VV35" s="1247"/>
      <c r="VW35" s="1247"/>
      <c r="VX35" s="1247"/>
      <c r="VY35" s="1247"/>
      <c r="VZ35" s="1247"/>
      <c r="WA35" s="1247"/>
      <c r="WB35" s="1247"/>
      <c r="WC35" s="1247"/>
      <c r="WD35" s="1247"/>
      <c r="WE35" s="1247"/>
      <c r="WF35" s="1247"/>
      <c r="WG35" s="1247"/>
      <c r="WH35" s="1247"/>
      <c r="WI35" s="1247"/>
      <c r="WJ35" s="1247"/>
      <c r="WK35" s="1247"/>
      <c r="WL35" s="1247"/>
      <c r="WM35" s="1247"/>
      <c r="WN35" s="1247"/>
      <c r="WO35" s="1247"/>
      <c r="WP35" s="1247"/>
      <c r="WQ35" s="1247"/>
      <c r="WR35" s="1247"/>
      <c r="WS35" s="1247"/>
      <c r="WT35" s="1247"/>
      <c r="WU35" s="1247"/>
      <c r="WV35" s="1247"/>
      <c r="WW35" s="1247"/>
      <c r="WX35" s="1247"/>
      <c r="WY35" s="1247"/>
      <c r="WZ35" s="1247"/>
      <c r="XA35" s="1247"/>
      <c r="XB35" s="1247"/>
      <c r="XC35" s="1247"/>
      <c r="XD35" s="1247"/>
      <c r="XE35" s="1247"/>
      <c r="XF35" s="1247"/>
      <c r="XG35" s="1247"/>
      <c r="XH35" s="1247"/>
      <c r="XI35" s="1247"/>
      <c r="XJ35" s="1247"/>
      <c r="XK35" s="1247"/>
      <c r="XL35" s="1247"/>
      <c r="XM35" s="1247"/>
      <c r="XN35" s="1247"/>
      <c r="XO35" s="1247"/>
      <c r="XP35" s="1247"/>
      <c r="XQ35" s="1247"/>
      <c r="XR35" s="1247"/>
      <c r="XS35" s="1247"/>
      <c r="XT35" s="1247"/>
      <c r="XU35" s="1247"/>
      <c r="XV35" s="1247"/>
      <c r="XW35" s="1247"/>
      <c r="XX35" s="1247"/>
      <c r="XY35" s="1247"/>
      <c r="XZ35" s="1247"/>
      <c r="YA35" s="1247"/>
      <c r="YB35" s="1247"/>
      <c r="YC35" s="1247"/>
      <c r="YD35" s="1247"/>
      <c r="YE35" s="1247"/>
      <c r="YF35" s="1247"/>
      <c r="YG35" s="1247"/>
      <c r="YH35" s="1247"/>
      <c r="YI35" s="1247"/>
      <c r="YJ35" s="1247"/>
      <c r="YK35" s="1247"/>
      <c r="YL35" s="1247"/>
      <c r="YM35" s="1247"/>
      <c r="YN35" s="1247"/>
      <c r="YO35" s="1247"/>
      <c r="YP35" s="1247"/>
      <c r="YQ35" s="1247"/>
      <c r="YR35" s="1247"/>
      <c r="YS35" s="1247"/>
      <c r="YT35" s="1247"/>
      <c r="YU35" s="1247"/>
      <c r="YV35" s="1247"/>
      <c r="YW35" s="1247"/>
      <c r="YX35" s="1247"/>
      <c r="YY35" s="1247"/>
      <c r="YZ35" s="1247"/>
      <c r="ZA35" s="1247"/>
      <c r="ZB35" s="1247"/>
      <c r="ZC35" s="1247"/>
      <c r="ZD35" s="1247"/>
      <c r="ZE35" s="1247"/>
      <c r="ZF35" s="1247"/>
      <c r="ZG35" s="1247"/>
      <c r="ZH35" s="1247"/>
      <c r="ZI35" s="1247"/>
      <c r="ZJ35" s="1247"/>
      <c r="ZK35" s="1247"/>
      <c r="ZL35" s="1247"/>
      <c r="ZM35" s="1247"/>
      <c r="ZN35" s="1247"/>
      <c r="ZO35" s="1247"/>
      <c r="ZP35" s="1247"/>
      <c r="ZQ35" s="1247"/>
      <c r="ZR35" s="1247"/>
      <c r="ZS35" s="1247"/>
      <c r="ZT35" s="1247"/>
      <c r="ZU35" s="1247"/>
      <c r="ZV35" s="1247"/>
      <c r="ZW35" s="1247"/>
      <c r="ZX35" s="1247"/>
      <c r="ZY35" s="1247"/>
      <c r="ZZ35" s="1247"/>
      <c r="AAA35" s="1247"/>
      <c r="AAB35" s="1247"/>
      <c r="AAC35" s="1247"/>
      <c r="AAD35" s="1247"/>
      <c r="AAE35" s="1247"/>
      <c r="AAF35" s="1247"/>
      <c r="AAG35" s="1247"/>
      <c r="AAH35" s="1247"/>
      <c r="AAI35" s="1247"/>
      <c r="AAJ35" s="1247"/>
      <c r="AAK35" s="1247"/>
      <c r="AAL35" s="1247"/>
      <c r="AAM35" s="1247"/>
      <c r="AAN35" s="1247"/>
      <c r="AAO35" s="1247"/>
      <c r="AAP35" s="1247"/>
      <c r="AAQ35" s="1247"/>
      <c r="AAR35" s="1247"/>
      <c r="AAS35" s="1247"/>
      <c r="AAT35" s="1247"/>
      <c r="AAU35" s="1247"/>
      <c r="AAV35" s="1247"/>
      <c r="AAW35" s="1247"/>
      <c r="AAX35" s="1247"/>
      <c r="AAY35" s="1247"/>
      <c r="AAZ35" s="1247"/>
      <c r="ABA35" s="1247"/>
      <c r="ABB35" s="1247"/>
      <c r="ABC35" s="1247"/>
      <c r="ABD35" s="1247"/>
      <c r="ABE35" s="1247"/>
      <c r="ABF35" s="1247"/>
      <c r="ABG35" s="1247"/>
      <c r="ABH35" s="1247"/>
      <c r="ABI35" s="1247"/>
      <c r="ABJ35" s="1247"/>
      <c r="ABK35" s="1247"/>
      <c r="ABL35" s="1247"/>
      <c r="ABM35" s="1247"/>
      <c r="ABN35" s="1247"/>
      <c r="ABO35" s="1247"/>
      <c r="ABP35" s="1247"/>
      <c r="ABQ35" s="1247"/>
      <c r="ABR35" s="1247"/>
      <c r="ABS35" s="1247"/>
      <c r="ABT35" s="1247"/>
      <c r="ABU35" s="1247"/>
      <c r="ABV35" s="1247"/>
      <c r="ABW35" s="1247"/>
      <c r="ABX35" s="1247"/>
      <c r="ABY35" s="1247"/>
      <c r="ABZ35" s="1247"/>
      <c r="ACA35" s="1247"/>
      <c r="ACB35" s="1247"/>
      <c r="ACC35" s="1247"/>
      <c r="ACD35" s="1247"/>
      <c r="ACE35" s="1247"/>
      <c r="ACF35" s="1247"/>
      <c r="ACG35" s="1247"/>
      <c r="ACH35" s="1247"/>
      <c r="ACI35" s="1247"/>
      <c r="ACJ35" s="1247"/>
      <c r="ACK35" s="1247"/>
      <c r="ACL35" s="1247"/>
      <c r="ACM35" s="1247"/>
      <c r="ACN35" s="1247"/>
      <c r="ACO35" s="1247"/>
      <c r="ACP35" s="1247"/>
      <c r="ACQ35" s="1247"/>
      <c r="ACR35" s="1247"/>
      <c r="ACS35" s="1247"/>
      <c r="ACT35" s="1247"/>
      <c r="ACU35" s="1247"/>
      <c r="ACV35" s="1247"/>
      <c r="ACW35" s="1247"/>
      <c r="ACX35" s="1247"/>
      <c r="ACY35" s="1247"/>
      <c r="ACZ35" s="1247"/>
      <c r="ADA35" s="1247"/>
      <c r="ADB35" s="1247"/>
      <c r="ADC35" s="1247"/>
      <c r="ADD35" s="1247"/>
      <c r="ADE35" s="1247"/>
      <c r="ADF35" s="1247"/>
      <c r="ADG35" s="1247"/>
      <c r="ADH35" s="1247"/>
      <c r="ADI35" s="1247"/>
      <c r="ADJ35" s="1247"/>
      <c r="ADK35" s="1247"/>
      <c r="ADL35" s="1247"/>
      <c r="ADM35" s="1247"/>
      <c r="ADN35" s="1247"/>
      <c r="ADO35" s="1247"/>
      <c r="ADP35" s="1247"/>
      <c r="ADQ35" s="1247"/>
      <c r="ADR35" s="1247"/>
      <c r="ADS35" s="1247"/>
      <c r="ADT35" s="1247"/>
      <c r="ADU35" s="1247"/>
      <c r="ADV35" s="1247"/>
      <c r="ADW35" s="1247"/>
      <c r="ADX35" s="1247"/>
      <c r="ADY35" s="1247"/>
      <c r="ADZ35" s="1247"/>
      <c r="AEA35" s="1247"/>
      <c r="AEB35" s="1247"/>
      <c r="AEC35" s="1247"/>
      <c r="AED35" s="1247"/>
      <c r="AEE35" s="1247"/>
      <c r="AEF35" s="1247"/>
      <c r="AEG35" s="1247"/>
      <c r="AEH35" s="1247"/>
      <c r="AEI35" s="1247"/>
      <c r="AEJ35" s="1247"/>
      <c r="AEK35" s="1247"/>
      <c r="AEL35" s="1247"/>
      <c r="AEM35" s="1247"/>
      <c r="AEN35" s="1247"/>
      <c r="AEO35" s="1247"/>
      <c r="AEP35" s="1247"/>
      <c r="AEQ35" s="1247"/>
      <c r="AER35" s="1247"/>
      <c r="AES35" s="1247"/>
      <c r="AET35" s="1247"/>
      <c r="AEU35" s="1247"/>
      <c r="AEV35" s="1247"/>
      <c r="AEW35" s="1247"/>
      <c r="AEX35" s="1247"/>
      <c r="AEY35" s="1247"/>
      <c r="AEZ35" s="1247"/>
      <c r="AFA35" s="1247"/>
      <c r="AFB35" s="1247"/>
      <c r="AFC35" s="1247"/>
      <c r="AFD35" s="1247"/>
      <c r="AFE35" s="1247"/>
      <c r="AFF35" s="1247"/>
      <c r="AFG35" s="1247"/>
      <c r="AFH35" s="1247"/>
      <c r="AFI35" s="1247"/>
      <c r="AFJ35" s="1247"/>
      <c r="AFK35" s="1247"/>
      <c r="AFL35" s="1247"/>
      <c r="AFM35" s="1247"/>
      <c r="AFN35" s="1247"/>
      <c r="AFO35" s="1247"/>
      <c r="AFP35" s="1247"/>
      <c r="AFQ35" s="1247"/>
      <c r="AFR35" s="1247"/>
      <c r="AFS35" s="1247"/>
      <c r="AFT35" s="1247"/>
      <c r="AFU35" s="1247"/>
      <c r="AFV35" s="1247"/>
      <c r="AFW35" s="1247"/>
      <c r="AFX35" s="1247"/>
      <c r="AFY35" s="1247"/>
      <c r="AFZ35" s="1247"/>
      <c r="AGA35" s="1247"/>
      <c r="AGB35" s="1247"/>
      <c r="AGC35" s="1247"/>
      <c r="AGD35" s="1247"/>
      <c r="AGE35" s="1247"/>
      <c r="AGF35" s="1247"/>
      <c r="AGG35" s="1247"/>
      <c r="AGH35" s="1247"/>
      <c r="AGI35" s="1247"/>
      <c r="AGJ35" s="1247"/>
      <c r="AGK35" s="1247"/>
      <c r="AGL35" s="1247"/>
      <c r="AGM35" s="1247"/>
      <c r="AGN35" s="1247"/>
      <c r="AGO35" s="1247"/>
      <c r="AGP35" s="1247"/>
      <c r="AGQ35" s="1247"/>
      <c r="AGR35" s="1247"/>
      <c r="AGS35" s="1247"/>
      <c r="AGT35" s="1247"/>
      <c r="AGU35" s="1247"/>
      <c r="AGV35" s="1247"/>
      <c r="AGW35" s="1247"/>
      <c r="AGX35" s="1247"/>
      <c r="AGY35" s="1247"/>
      <c r="AGZ35" s="1247"/>
      <c r="AHA35" s="1247"/>
      <c r="AHB35" s="1247"/>
      <c r="AHC35" s="1247"/>
      <c r="AHD35" s="1247"/>
      <c r="AHE35" s="1247"/>
      <c r="AHF35" s="1247"/>
      <c r="AHG35" s="1247"/>
      <c r="AHH35" s="1247"/>
      <c r="AHI35" s="1247"/>
      <c r="AHJ35" s="1247"/>
      <c r="AHK35" s="1247"/>
      <c r="AHL35" s="1247"/>
      <c r="AHM35" s="1247"/>
      <c r="AHN35" s="1247"/>
      <c r="AHO35" s="1247"/>
      <c r="AHP35" s="1247"/>
      <c r="AHQ35" s="1247"/>
      <c r="AHR35" s="1247"/>
      <c r="AHS35" s="1247"/>
      <c r="AHT35" s="1247"/>
      <c r="AHU35" s="1247"/>
      <c r="AHV35" s="1247"/>
      <c r="AHW35" s="1247"/>
      <c r="AHX35" s="1247"/>
      <c r="AHY35" s="1247"/>
      <c r="AHZ35" s="1247"/>
      <c r="AIA35" s="1247"/>
      <c r="AIB35" s="1247"/>
      <c r="AIC35" s="1247"/>
      <c r="AID35" s="1247"/>
      <c r="AIE35" s="1247"/>
      <c r="AIF35" s="1247"/>
      <c r="AIG35" s="1247"/>
      <c r="AIH35" s="1247"/>
      <c r="AII35" s="1247"/>
      <c r="AIJ35" s="1247"/>
      <c r="AIK35" s="1247"/>
      <c r="AIL35" s="1247"/>
      <c r="AIM35" s="1247"/>
      <c r="AIN35" s="1247"/>
      <c r="AIO35" s="1247"/>
      <c r="AIP35" s="1247"/>
      <c r="AIQ35" s="1247"/>
      <c r="AIR35" s="1247"/>
      <c r="AIS35" s="1247"/>
      <c r="AIT35" s="1247"/>
      <c r="AIU35" s="1247"/>
      <c r="AIV35" s="1247"/>
      <c r="AIW35" s="1247"/>
      <c r="AIX35" s="1247"/>
      <c r="AIY35" s="1247"/>
      <c r="AIZ35" s="1247"/>
      <c r="AJA35" s="1247"/>
      <c r="AJB35" s="1247"/>
      <c r="AJC35" s="1247"/>
      <c r="AJD35" s="1247"/>
      <c r="AJE35" s="1247"/>
      <c r="AJF35" s="1247"/>
      <c r="AJG35" s="1247"/>
      <c r="AJH35" s="1247"/>
      <c r="AJI35" s="1247"/>
      <c r="AJJ35" s="1247"/>
      <c r="AJK35" s="1247"/>
      <c r="AJL35" s="1247"/>
      <c r="AJM35" s="1247"/>
      <c r="AJN35" s="1247"/>
      <c r="AJO35" s="1247"/>
      <c r="AJP35" s="1247"/>
      <c r="AJQ35" s="1247"/>
      <c r="AJR35" s="1247"/>
      <c r="AJS35" s="1247"/>
      <c r="AJT35" s="1247"/>
      <c r="AJU35" s="1247"/>
      <c r="AJV35" s="1247"/>
      <c r="AJW35" s="1247"/>
      <c r="AJX35" s="1247"/>
      <c r="AJY35" s="1247"/>
      <c r="AJZ35" s="1247"/>
      <c r="AKA35" s="1247"/>
      <c r="AKB35" s="1247"/>
      <c r="AKC35" s="1247"/>
      <c r="AKD35" s="1247"/>
      <c r="AKE35" s="1247"/>
      <c r="AKF35" s="1247"/>
      <c r="AKG35" s="1247"/>
      <c r="AKH35" s="1247"/>
      <c r="AKI35" s="1247"/>
      <c r="AKJ35" s="1247"/>
      <c r="AKK35" s="1247"/>
      <c r="AKL35" s="1247"/>
      <c r="AKM35" s="1247"/>
      <c r="AKN35" s="1247"/>
      <c r="AKO35" s="1247"/>
      <c r="AKP35" s="1247"/>
      <c r="AKQ35" s="1247"/>
      <c r="AKR35" s="1247"/>
      <c r="AKS35" s="1247"/>
      <c r="AKT35" s="1247"/>
      <c r="AKU35" s="1247"/>
      <c r="AKV35" s="1247"/>
      <c r="AKW35" s="1247"/>
      <c r="AKX35" s="1247"/>
      <c r="AKY35" s="1247"/>
      <c r="AKZ35" s="1247"/>
      <c r="ALA35" s="1247"/>
      <c r="ALB35" s="1247"/>
      <c r="ALC35" s="1247"/>
      <c r="ALD35" s="1247"/>
      <c r="ALE35" s="1247"/>
      <c r="ALF35" s="1247"/>
      <c r="ALG35" s="1247"/>
      <c r="ALH35" s="1247"/>
      <c r="ALI35" s="1247"/>
      <c r="ALJ35" s="1247"/>
      <c r="ALK35" s="1247"/>
      <c r="ALL35" s="1247"/>
      <c r="ALM35" s="1247"/>
      <c r="ALN35" s="1247"/>
      <c r="ALO35" s="1247"/>
      <c r="ALP35" s="1247"/>
      <c r="ALQ35" s="1247"/>
      <c r="ALR35" s="1247"/>
      <c r="ALS35" s="1247"/>
      <c r="ALT35" s="1247"/>
      <c r="ALU35" s="1247"/>
      <c r="ALV35" s="1247"/>
      <c r="ALW35" s="1247"/>
      <c r="ALX35" s="1247"/>
      <c r="ALY35" s="1247"/>
      <c r="ALZ35" s="1247"/>
      <c r="AMA35" s="1247"/>
      <c r="AMB35" s="1247"/>
      <c r="AMC35" s="1247"/>
      <c r="AMD35" s="1247"/>
      <c r="AME35" s="1247"/>
      <c r="AMF35" s="1247"/>
      <c r="AMG35" s="1247"/>
      <c r="AMH35" s="1247"/>
      <c r="AMI35" s="1247"/>
      <c r="AMJ35" s="1247"/>
      <c r="AMK35" s="1247"/>
      <c r="AML35" s="1247"/>
      <c r="AMM35" s="1247"/>
      <c r="AMN35" s="1247"/>
      <c r="AMO35" s="1247"/>
      <c r="AMP35" s="1247"/>
      <c r="AMQ35" s="1247"/>
      <c r="AMR35" s="1247"/>
      <c r="AMS35" s="1247"/>
      <c r="AMT35" s="1247"/>
      <c r="AMU35" s="1247"/>
      <c r="AMV35" s="1247"/>
      <c r="AMW35" s="1247"/>
      <c r="AMX35" s="1247"/>
      <c r="AMY35" s="1247"/>
      <c r="AMZ35" s="1247"/>
      <c r="ANA35" s="1247"/>
      <c r="ANB35" s="1247"/>
      <c r="ANC35" s="1247"/>
      <c r="AND35" s="1247"/>
      <c r="ANE35" s="1247"/>
      <c r="ANF35" s="1247"/>
      <c r="ANG35" s="1247"/>
      <c r="ANH35" s="1247"/>
      <c r="ANI35" s="1247"/>
      <c r="ANJ35" s="1247"/>
      <c r="ANK35" s="1247"/>
      <c r="ANL35" s="1247"/>
      <c r="ANM35" s="1247"/>
      <c r="ANN35" s="1247"/>
      <c r="ANO35" s="1247"/>
      <c r="ANP35" s="1247"/>
      <c r="ANQ35" s="1247"/>
      <c r="ANR35" s="1247"/>
      <c r="ANS35" s="1247"/>
      <c r="ANT35" s="1247"/>
      <c r="ANU35" s="1247"/>
      <c r="ANV35" s="1247"/>
      <c r="ANW35" s="1247"/>
      <c r="ANX35" s="1247"/>
      <c r="ANY35" s="1247"/>
      <c r="ANZ35" s="1247"/>
      <c r="AOA35" s="1247"/>
      <c r="AOB35" s="1247"/>
      <c r="AOC35" s="1247"/>
      <c r="AOD35" s="1247"/>
      <c r="AOE35" s="1247"/>
      <c r="AOF35" s="1247"/>
      <c r="AOG35" s="1247"/>
      <c r="AOH35" s="1247"/>
      <c r="AOI35" s="1247"/>
      <c r="AOJ35" s="1247"/>
      <c r="AOK35" s="1247"/>
      <c r="AOL35" s="1247"/>
      <c r="AOM35" s="1247"/>
      <c r="AON35" s="1247"/>
      <c r="AOO35" s="1247"/>
      <c r="AOP35" s="1247"/>
      <c r="AOQ35" s="1247"/>
      <c r="AOR35" s="1247"/>
      <c r="AOS35" s="1247"/>
      <c r="AOT35" s="1247"/>
      <c r="AOU35" s="1247"/>
      <c r="AOV35" s="1247"/>
      <c r="AOW35" s="1247"/>
      <c r="AOX35" s="1247"/>
      <c r="AOY35" s="1247"/>
      <c r="AOZ35" s="1247"/>
      <c r="APA35" s="1247"/>
      <c r="APB35" s="1247"/>
      <c r="APC35" s="1247"/>
      <c r="APD35" s="1247"/>
      <c r="APE35" s="1247"/>
      <c r="APF35" s="1247"/>
      <c r="APG35" s="1247"/>
      <c r="APH35" s="1247"/>
      <c r="API35" s="1247"/>
      <c r="APJ35" s="1247"/>
      <c r="APK35" s="1247"/>
      <c r="APL35" s="1247"/>
      <c r="APM35" s="1247"/>
      <c r="APN35" s="1247"/>
      <c r="APO35" s="1247"/>
      <c r="APP35" s="1247"/>
      <c r="APQ35" s="1247"/>
      <c r="APR35" s="1247"/>
      <c r="APS35" s="1247"/>
      <c r="APT35" s="1247"/>
      <c r="APU35" s="1247"/>
      <c r="APV35" s="1247"/>
      <c r="APW35" s="1247"/>
      <c r="APX35" s="1247"/>
      <c r="APY35" s="1247"/>
      <c r="APZ35" s="1247"/>
      <c r="AQA35" s="1247"/>
      <c r="AQB35" s="1247"/>
      <c r="AQC35" s="1247"/>
      <c r="AQD35" s="1247"/>
      <c r="AQE35" s="1247"/>
      <c r="AQF35" s="1247"/>
      <c r="AQG35" s="1247"/>
      <c r="AQH35" s="1247"/>
      <c r="AQI35" s="1247"/>
      <c r="AQJ35" s="1247"/>
      <c r="AQK35" s="1247"/>
      <c r="AQL35" s="1247"/>
      <c r="AQM35" s="1247"/>
      <c r="AQN35" s="1247"/>
      <c r="AQO35" s="1247"/>
      <c r="AQP35" s="1247"/>
      <c r="AQQ35" s="1247"/>
      <c r="AQR35" s="1247"/>
      <c r="AQS35" s="1247"/>
      <c r="AQT35" s="1247"/>
      <c r="AQU35" s="1247"/>
      <c r="AQV35" s="1247"/>
      <c r="AQW35" s="1247"/>
      <c r="AQX35" s="1247"/>
      <c r="AQY35" s="1247"/>
      <c r="AQZ35" s="1247"/>
      <c r="ARA35" s="1247"/>
      <c r="ARB35" s="1247"/>
      <c r="ARC35" s="1247"/>
      <c r="ARD35" s="1247"/>
      <c r="ARE35" s="1247"/>
      <c r="ARF35" s="1247"/>
      <c r="ARG35" s="1247"/>
      <c r="ARH35" s="1247"/>
      <c r="ARI35" s="1247"/>
      <c r="ARJ35" s="1247"/>
      <c r="ARK35" s="1247"/>
      <c r="ARL35" s="1247"/>
      <c r="ARM35" s="1247"/>
      <c r="ARN35" s="1247"/>
      <c r="ARO35" s="1247"/>
      <c r="ARP35" s="1247"/>
      <c r="ARQ35" s="1247"/>
      <c r="ARR35" s="1247"/>
      <c r="ARS35" s="1247"/>
      <c r="ART35" s="1247"/>
      <c r="ARU35" s="1247"/>
      <c r="ARV35" s="1247"/>
      <c r="ARW35" s="1247"/>
      <c r="ARX35" s="1247"/>
      <c r="ARY35" s="1247"/>
      <c r="ARZ35" s="1247"/>
      <c r="ASA35" s="1247"/>
      <c r="ASB35" s="1247"/>
      <c r="ASC35" s="1247"/>
      <c r="ASD35" s="1247"/>
      <c r="ASE35" s="1247"/>
      <c r="ASF35" s="1247"/>
      <c r="ASG35" s="1247"/>
      <c r="ASH35" s="1247"/>
      <c r="ASI35" s="1247"/>
      <c r="ASJ35" s="1247"/>
      <c r="ASK35" s="1247"/>
      <c r="ASL35" s="1247"/>
      <c r="ASM35" s="1247"/>
      <c r="ASN35" s="1247"/>
      <c r="ASO35" s="1247"/>
      <c r="ASP35" s="1247"/>
      <c r="ASQ35" s="1247"/>
      <c r="ASR35" s="1247"/>
      <c r="ASS35" s="1247"/>
      <c r="AST35" s="1247"/>
      <c r="ASU35" s="1247"/>
      <c r="ASV35" s="1247"/>
      <c r="ASW35" s="1247"/>
      <c r="ASX35" s="1247"/>
      <c r="ASY35" s="1247"/>
      <c r="ASZ35" s="1247"/>
      <c r="ATA35" s="1247"/>
      <c r="ATB35" s="1247"/>
      <c r="ATC35" s="1247"/>
      <c r="ATD35" s="1247"/>
      <c r="ATE35" s="1247"/>
      <c r="ATF35" s="1247"/>
      <c r="ATG35" s="1247"/>
      <c r="ATH35" s="1247"/>
      <c r="ATI35" s="1247"/>
      <c r="ATJ35" s="1247"/>
      <c r="ATK35" s="1247"/>
      <c r="ATL35" s="1247"/>
      <c r="ATM35" s="1247"/>
      <c r="ATN35" s="1247"/>
      <c r="ATO35" s="1247"/>
      <c r="ATP35" s="1247"/>
      <c r="ATQ35" s="1247"/>
      <c r="ATR35" s="1247"/>
      <c r="ATS35" s="1247"/>
      <c r="ATT35" s="1247"/>
      <c r="ATU35" s="1247"/>
      <c r="ATV35" s="1247"/>
      <c r="ATW35" s="1247"/>
      <c r="ATX35" s="1247"/>
      <c r="ATY35" s="1247"/>
      <c r="ATZ35" s="1247"/>
      <c r="AUA35" s="1247"/>
      <c r="AUB35" s="1247"/>
      <c r="AUC35" s="1247"/>
      <c r="AUD35" s="1247"/>
      <c r="AUE35" s="1247"/>
      <c r="AUF35" s="1247"/>
      <c r="AUG35" s="1247"/>
      <c r="AUH35" s="1247"/>
      <c r="AUI35" s="1247"/>
      <c r="AUJ35" s="1247"/>
      <c r="AUK35" s="1247"/>
      <c r="AUL35" s="1247"/>
      <c r="AUM35" s="1247"/>
      <c r="AUN35" s="1247"/>
      <c r="AUO35" s="1247"/>
      <c r="AUP35" s="1247"/>
      <c r="AUQ35" s="1247"/>
      <c r="AUR35" s="1247"/>
      <c r="AUS35" s="1247"/>
      <c r="AUT35" s="1247"/>
      <c r="AUU35" s="1247"/>
      <c r="AUV35" s="1247"/>
      <c r="AUW35" s="1247"/>
      <c r="AUX35" s="1247"/>
      <c r="AUY35" s="1247"/>
      <c r="AUZ35" s="1247"/>
      <c r="AVA35" s="1247"/>
      <c r="AVB35" s="1247"/>
      <c r="AVC35" s="1247"/>
      <c r="AVD35" s="1247"/>
      <c r="AVE35" s="1247"/>
      <c r="AVF35" s="1247"/>
      <c r="AVG35" s="1247"/>
      <c r="AVH35" s="1247"/>
      <c r="AVI35" s="1247"/>
      <c r="AVJ35" s="1247"/>
      <c r="AVK35" s="1247"/>
      <c r="AVL35" s="1247"/>
      <c r="AVM35" s="1247"/>
      <c r="AVN35" s="1247"/>
      <c r="AVO35" s="1247"/>
      <c r="AVP35" s="1247"/>
      <c r="AVQ35" s="1247"/>
      <c r="AVR35" s="1247"/>
      <c r="AVS35" s="1247"/>
      <c r="AVT35" s="1247"/>
      <c r="AVU35" s="1247"/>
      <c r="AVV35" s="1247"/>
      <c r="AVW35" s="1247"/>
      <c r="AVX35" s="1247"/>
      <c r="AVY35" s="1247"/>
      <c r="AVZ35" s="1247"/>
      <c r="AWA35" s="1247"/>
      <c r="AWB35" s="1247"/>
      <c r="AWC35" s="1247"/>
      <c r="AWD35" s="1247"/>
      <c r="AWE35" s="1247"/>
      <c r="AWF35" s="1247"/>
      <c r="AWG35" s="1247"/>
      <c r="AWH35" s="1247"/>
      <c r="AWI35" s="1247"/>
      <c r="AWJ35" s="1247"/>
      <c r="AWK35" s="1247"/>
      <c r="AWL35" s="1247"/>
      <c r="AWM35" s="1247"/>
      <c r="AWN35" s="1247"/>
      <c r="AWO35" s="1247"/>
      <c r="AWP35" s="1247"/>
      <c r="AWQ35" s="1247"/>
      <c r="AWR35" s="1247"/>
      <c r="AWS35" s="1247"/>
      <c r="AWT35" s="1247"/>
      <c r="AWU35" s="1247"/>
      <c r="AWV35" s="1247"/>
      <c r="AWW35" s="1247"/>
      <c r="AWX35" s="1247"/>
      <c r="AWY35" s="1247"/>
      <c r="AWZ35" s="1247"/>
      <c r="AXA35" s="1247"/>
      <c r="AXB35" s="1247"/>
      <c r="AXC35" s="1247"/>
      <c r="AXD35" s="1247"/>
      <c r="AXE35" s="1247"/>
      <c r="AXF35" s="1247"/>
      <c r="AXG35" s="1247"/>
      <c r="AXH35" s="1247"/>
      <c r="AXI35" s="1247"/>
      <c r="AXJ35" s="1247"/>
      <c r="AXK35" s="1247"/>
      <c r="AXL35" s="1247"/>
      <c r="AXM35" s="1247"/>
      <c r="AXN35" s="1247"/>
      <c r="AXO35" s="1247"/>
      <c r="AXP35" s="1247"/>
      <c r="AXQ35" s="1247"/>
      <c r="AXR35" s="1247"/>
      <c r="AXS35" s="1247"/>
      <c r="AXT35" s="1247"/>
      <c r="AXU35" s="1247"/>
      <c r="AXV35" s="1247"/>
      <c r="AXW35" s="1247"/>
      <c r="AXX35" s="1247"/>
      <c r="AXY35" s="1247"/>
      <c r="AXZ35" s="1247"/>
      <c r="AYA35" s="1247"/>
      <c r="AYB35" s="1247"/>
      <c r="AYC35" s="1247"/>
      <c r="AYD35" s="1247"/>
      <c r="AYE35" s="1247"/>
      <c r="AYF35" s="1247"/>
      <c r="AYG35" s="1247"/>
      <c r="AYH35" s="1247"/>
      <c r="AYI35" s="1247"/>
      <c r="AYJ35" s="1247"/>
      <c r="AYK35" s="1247"/>
      <c r="AYL35" s="1247"/>
      <c r="AYM35" s="1247"/>
      <c r="AYN35" s="1247"/>
      <c r="AYO35" s="1247"/>
      <c r="AYP35" s="1247"/>
      <c r="AYQ35" s="1247"/>
      <c r="AYR35" s="1247"/>
      <c r="AYS35" s="1247"/>
      <c r="AYT35" s="1247"/>
      <c r="AYU35" s="1247"/>
      <c r="AYV35" s="1247"/>
      <c r="AYW35" s="1247"/>
      <c r="AYX35" s="1247"/>
      <c r="AYY35" s="1247"/>
      <c r="AYZ35" s="1247"/>
      <c r="AZA35" s="1247"/>
      <c r="AZB35" s="1247"/>
      <c r="AZC35" s="1247"/>
      <c r="AZD35" s="1247"/>
      <c r="AZE35" s="1247"/>
      <c r="AZF35" s="1247"/>
      <c r="AZG35" s="1247"/>
      <c r="AZH35" s="1247"/>
      <c r="AZI35" s="1247"/>
      <c r="AZJ35" s="1247"/>
      <c r="AZK35" s="1247"/>
      <c r="AZL35" s="1247"/>
      <c r="AZM35" s="1247"/>
      <c r="AZN35" s="1247"/>
      <c r="AZO35" s="1247"/>
      <c r="AZP35" s="1247"/>
      <c r="AZQ35" s="1247"/>
      <c r="AZR35" s="1247"/>
      <c r="AZS35" s="1247"/>
      <c r="AZT35" s="1247"/>
      <c r="AZU35" s="1247"/>
      <c r="AZV35" s="1247"/>
      <c r="AZW35" s="1247"/>
      <c r="AZX35" s="1247"/>
      <c r="AZY35" s="1247"/>
      <c r="AZZ35" s="1247"/>
      <c r="BAA35" s="1247"/>
      <c r="BAB35" s="1247"/>
      <c r="BAC35" s="1247"/>
      <c r="BAD35" s="1247"/>
      <c r="BAE35" s="1247"/>
      <c r="BAF35" s="1247"/>
      <c r="BAG35" s="1247"/>
      <c r="BAH35" s="1247"/>
      <c r="BAI35" s="1247"/>
      <c r="BAJ35" s="1247"/>
      <c r="BAK35" s="1247"/>
      <c r="BAL35" s="1247"/>
      <c r="BAM35" s="1247"/>
      <c r="BAN35" s="1247"/>
      <c r="BAO35" s="1247"/>
      <c r="BAP35" s="1247"/>
      <c r="BAQ35" s="1247"/>
      <c r="BAR35" s="1247"/>
      <c r="BAS35" s="1247"/>
      <c r="BAT35" s="1247"/>
      <c r="BAU35" s="1247"/>
      <c r="BAV35" s="1247"/>
      <c r="BAW35" s="1247"/>
      <c r="BAX35" s="1247"/>
      <c r="BAY35" s="1247"/>
      <c r="BAZ35" s="1247"/>
      <c r="BBA35" s="1247"/>
      <c r="BBB35" s="1247"/>
      <c r="BBC35" s="1247"/>
      <c r="BBD35" s="1247"/>
      <c r="BBE35" s="1247"/>
      <c r="BBF35" s="1247"/>
      <c r="BBG35" s="1247"/>
      <c r="BBH35" s="1247"/>
      <c r="BBI35" s="1247"/>
      <c r="BBJ35" s="1247"/>
      <c r="BBK35" s="1247"/>
      <c r="BBL35" s="1247"/>
      <c r="BBM35" s="1247"/>
      <c r="BBN35" s="1247"/>
      <c r="BBO35" s="1247"/>
      <c r="BBP35" s="1247"/>
      <c r="BBQ35" s="1247"/>
      <c r="BBR35" s="1247"/>
      <c r="BBS35" s="1247"/>
      <c r="BBT35" s="1247"/>
      <c r="BBU35" s="1247"/>
      <c r="BBV35" s="1247"/>
      <c r="BBW35" s="1247"/>
      <c r="BBX35" s="1247"/>
      <c r="BBY35" s="1247"/>
      <c r="BBZ35" s="1247"/>
      <c r="BCA35" s="1247"/>
      <c r="BCB35" s="1247"/>
      <c r="BCC35" s="1247"/>
      <c r="BCD35" s="1247"/>
      <c r="BCE35" s="1247"/>
      <c r="BCF35" s="1247"/>
      <c r="BCG35" s="1247"/>
      <c r="BCH35" s="1247"/>
      <c r="BCI35" s="1247"/>
      <c r="BCJ35" s="1247"/>
      <c r="BCK35" s="1247"/>
      <c r="BCL35" s="1247"/>
      <c r="BCM35" s="1247"/>
      <c r="BCN35" s="1247"/>
      <c r="BCO35" s="1247"/>
      <c r="BCP35" s="1247"/>
      <c r="BCQ35" s="1247"/>
      <c r="BCR35" s="1247"/>
      <c r="BCS35" s="1247"/>
      <c r="BCT35" s="1247"/>
      <c r="BCU35" s="1247"/>
      <c r="BCV35" s="1247"/>
      <c r="BCW35" s="1247"/>
      <c r="BCX35" s="1247"/>
      <c r="BCY35" s="1247"/>
      <c r="BCZ35" s="1247"/>
      <c r="BDA35" s="1247"/>
      <c r="BDB35" s="1247"/>
      <c r="BDC35" s="1247"/>
      <c r="BDD35" s="1247"/>
      <c r="BDE35" s="1247"/>
      <c r="BDF35" s="1247"/>
      <c r="BDG35" s="1247"/>
      <c r="BDH35" s="1247"/>
      <c r="BDI35" s="1247"/>
      <c r="BDJ35" s="1247"/>
      <c r="BDK35" s="1247"/>
      <c r="BDL35" s="1247"/>
      <c r="BDM35" s="1247"/>
      <c r="BDN35" s="1247"/>
      <c r="BDO35" s="1247"/>
      <c r="BDP35" s="1247"/>
      <c r="BDQ35" s="1247"/>
      <c r="BDR35" s="1247"/>
      <c r="BDS35" s="1247"/>
      <c r="BDT35" s="1247"/>
      <c r="BDU35" s="1247"/>
      <c r="BDV35" s="1247"/>
      <c r="BDW35" s="1247"/>
      <c r="BDX35" s="1247"/>
      <c r="BDY35" s="1247"/>
      <c r="BDZ35" s="1247"/>
      <c r="BEA35" s="1247"/>
      <c r="BEB35" s="1247"/>
      <c r="BEC35" s="1247"/>
      <c r="BED35" s="1247"/>
      <c r="BEE35" s="1247"/>
      <c r="BEF35" s="1247"/>
      <c r="BEG35" s="1247"/>
      <c r="BEH35" s="1247"/>
      <c r="BEI35" s="1247"/>
      <c r="BEJ35" s="1247"/>
      <c r="BEK35" s="1247"/>
      <c r="BEL35" s="1247"/>
      <c r="BEM35" s="1247"/>
      <c r="BEN35" s="1247"/>
      <c r="BEO35" s="1247"/>
      <c r="BEP35" s="1247"/>
      <c r="BEQ35" s="1247"/>
      <c r="BER35" s="1247"/>
      <c r="BES35" s="1247"/>
      <c r="BET35" s="1247"/>
      <c r="BEU35" s="1247"/>
      <c r="BEV35" s="1247"/>
      <c r="BEW35" s="1247"/>
      <c r="BEX35" s="1247"/>
      <c r="BEY35" s="1247"/>
      <c r="BEZ35" s="1247"/>
      <c r="BFA35" s="1247"/>
      <c r="BFB35" s="1247"/>
      <c r="BFC35" s="1247"/>
      <c r="BFD35" s="1247"/>
      <c r="BFE35" s="1247"/>
      <c r="BFF35" s="1247"/>
      <c r="BFG35" s="1247"/>
      <c r="BFH35" s="1247"/>
      <c r="BFI35" s="1247"/>
      <c r="BFJ35" s="1247"/>
      <c r="BFK35" s="1247"/>
      <c r="BFL35" s="1247"/>
      <c r="BFM35" s="1247"/>
      <c r="BFN35" s="1247"/>
      <c r="BFO35" s="1247"/>
      <c r="BFP35" s="1247"/>
      <c r="BFQ35" s="1247"/>
      <c r="BFR35" s="1247"/>
      <c r="BFS35" s="1247"/>
      <c r="BFT35" s="1247"/>
      <c r="BFU35" s="1247"/>
      <c r="BFV35" s="1247"/>
      <c r="BFW35" s="1247"/>
      <c r="BFX35" s="1247"/>
      <c r="BFY35" s="1247"/>
      <c r="BFZ35" s="1247"/>
      <c r="BGA35" s="1247"/>
      <c r="BGB35" s="1247"/>
      <c r="BGC35" s="1247"/>
      <c r="BGD35" s="1247"/>
      <c r="BGE35" s="1247"/>
      <c r="BGF35" s="1247"/>
      <c r="BGG35" s="1247"/>
      <c r="BGH35" s="1247"/>
      <c r="BGI35" s="1247"/>
      <c r="BGJ35" s="1247"/>
      <c r="BGK35" s="1247"/>
      <c r="BGL35" s="1247"/>
      <c r="BGM35" s="1247"/>
      <c r="BGN35" s="1247"/>
      <c r="BGO35" s="1247"/>
      <c r="BGP35" s="1247"/>
      <c r="BGQ35" s="1247"/>
      <c r="BGR35" s="1247"/>
      <c r="BGS35" s="1247"/>
      <c r="BGT35" s="1247"/>
      <c r="BGU35" s="1247"/>
      <c r="BGV35" s="1247"/>
      <c r="BGW35" s="1247"/>
      <c r="BGX35" s="1247"/>
      <c r="BGY35" s="1247"/>
      <c r="BGZ35" s="1247"/>
      <c r="BHA35" s="1247"/>
      <c r="BHB35" s="1247"/>
      <c r="BHC35" s="1247"/>
      <c r="BHD35" s="1247"/>
      <c r="BHE35" s="1247"/>
      <c r="BHF35" s="1247"/>
      <c r="BHG35" s="1247"/>
      <c r="BHH35" s="1247"/>
      <c r="BHI35" s="1247"/>
      <c r="BHJ35" s="1247"/>
      <c r="BHK35" s="1247"/>
      <c r="BHL35" s="1247"/>
      <c r="BHM35" s="1247"/>
      <c r="BHN35" s="1247"/>
      <c r="BHO35" s="1247"/>
      <c r="BHP35" s="1247"/>
      <c r="BHQ35" s="1247"/>
      <c r="BHR35" s="1247"/>
      <c r="BHS35" s="1247"/>
      <c r="BHT35" s="1247"/>
      <c r="BHU35" s="1247"/>
      <c r="BHV35" s="1247"/>
      <c r="BHW35" s="1247"/>
      <c r="BHX35" s="1247"/>
      <c r="BHY35" s="1247"/>
      <c r="BHZ35" s="1247"/>
      <c r="BIA35" s="1247"/>
      <c r="BIB35" s="1247"/>
      <c r="BIC35" s="1247"/>
      <c r="BID35" s="1247"/>
      <c r="BIE35" s="1247"/>
      <c r="BIF35" s="1247"/>
      <c r="BIG35" s="1247"/>
      <c r="BIH35" s="1247"/>
      <c r="BII35" s="1247"/>
      <c r="BIJ35" s="1247"/>
      <c r="BIK35" s="1247"/>
      <c r="BIL35" s="1247"/>
      <c r="BIM35" s="1247"/>
      <c r="BIN35" s="1247"/>
      <c r="BIO35" s="1247"/>
      <c r="BIP35" s="1247"/>
      <c r="BIQ35" s="1247"/>
      <c r="BIR35" s="1247"/>
      <c r="BIS35" s="1247"/>
      <c r="BIT35" s="1247"/>
      <c r="BIU35" s="1247"/>
      <c r="BIV35" s="1247"/>
      <c r="BIW35" s="1247"/>
      <c r="BIX35" s="1247"/>
      <c r="BIY35" s="1247"/>
      <c r="BIZ35" s="1247"/>
      <c r="BJA35" s="1247"/>
      <c r="BJB35" s="1247"/>
      <c r="BJC35" s="1247"/>
      <c r="BJD35" s="1247"/>
      <c r="BJE35" s="1247"/>
      <c r="BJF35" s="1247"/>
      <c r="BJG35" s="1247"/>
      <c r="BJH35" s="1247"/>
      <c r="BJI35" s="1247"/>
      <c r="BJJ35" s="1247"/>
      <c r="BJK35" s="1247"/>
      <c r="BJL35" s="1247"/>
      <c r="BJM35" s="1247"/>
      <c r="BJN35" s="1247"/>
      <c r="BJO35" s="1247"/>
      <c r="BJP35" s="1247"/>
      <c r="BJQ35" s="1247"/>
      <c r="BJR35" s="1247"/>
      <c r="BJS35" s="1247"/>
      <c r="BJT35" s="1247"/>
      <c r="BJU35" s="1247"/>
      <c r="BJV35" s="1247"/>
      <c r="BJW35" s="1247"/>
      <c r="BJX35" s="1247"/>
      <c r="BJY35" s="1247"/>
      <c r="BJZ35" s="1247"/>
      <c r="BKA35" s="1247"/>
      <c r="BKB35" s="1247"/>
      <c r="BKC35" s="1247"/>
      <c r="BKD35" s="1247"/>
      <c r="BKE35" s="1247"/>
      <c r="BKF35" s="1247"/>
      <c r="BKG35" s="1247"/>
      <c r="BKH35" s="1247"/>
      <c r="BKI35" s="1247"/>
      <c r="BKJ35" s="1247"/>
      <c r="BKK35" s="1247"/>
      <c r="BKL35" s="1247"/>
      <c r="BKM35" s="1247"/>
      <c r="BKN35" s="1247"/>
      <c r="BKO35" s="1247"/>
      <c r="BKP35" s="1247"/>
      <c r="BKQ35" s="1247"/>
      <c r="BKR35" s="1247"/>
      <c r="BKS35" s="1247"/>
      <c r="BKT35" s="1247"/>
      <c r="BKU35" s="1247"/>
      <c r="BKV35" s="1247"/>
      <c r="BKW35" s="1247"/>
      <c r="BKX35" s="1247"/>
      <c r="BKY35" s="1247"/>
      <c r="BKZ35" s="1247"/>
      <c r="BLA35" s="1247"/>
      <c r="BLB35" s="1247"/>
      <c r="BLC35" s="1247"/>
      <c r="BLD35" s="1247"/>
      <c r="BLE35" s="1247"/>
      <c r="BLF35" s="1247"/>
      <c r="BLG35" s="1247"/>
      <c r="BLH35" s="1247"/>
      <c r="BLI35" s="1247"/>
      <c r="BLJ35" s="1247"/>
      <c r="BLK35" s="1247"/>
      <c r="BLL35" s="1247"/>
      <c r="BLM35" s="1247"/>
      <c r="BLN35" s="1247"/>
      <c r="BLO35" s="1247"/>
      <c r="BLP35" s="1247"/>
      <c r="BLQ35" s="1247"/>
      <c r="BLR35" s="1247"/>
      <c r="BLS35" s="1247"/>
      <c r="BLT35" s="1247"/>
      <c r="BLU35" s="1247"/>
      <c r="BLV35" s="1247"/>
      <c r="BLW35" s="1247"/>
      <c r="BLX35" s="1247"/>
      <c r="BLY35" s="1247"/>
      <c r="BLZ35" s="1247"/>
      <c r="BMA35" s="1247"/>
      <c r="BMB35" s="1247"/>
      <c r="BMC35" s="1247"/>
      <c r="BMD35" s="1247"/>
      <c r="BME35" s="1247"/>
      <c r="BMF35" s="1247"/>
      <c r="BMG35" s="1247"/>
      <c r="BMH35" s="1247"/>
      <c r="BMI35" s="1247"/>
      <c r="BMJ35" s="1247"/>
      <c r="BMK35" s="1247"/>
      <c r="BML35" s="1247"/>
      <c r="BMM35" s="1247"/>
      <c r="BMN35" s="1247"/>
      <c r="BMO35" s="1247"/>
      <c r="BMP35" s="1247"/>
      <c r="BMQ35" s="1247"/>
      <c r="BMR35" s="1247"/>
      <c r="BMS35" s="1247"/>
      <c r="BMT35" s="1247"/>
      <c r="BMU35" s="1247"/>
      <c r="BMV35" s="1247"/>
      <c r="BMW35" s="1247"/>
      <c r="BMX35" s="1247"/>
      <c r="BMY35" s="1247"/>
      <c r="BMZ35" s="1247"/>
      <c r="BNA35" s="1247"/>
      <c r="BNB35" s="1247"/>
      <c r="BNC35" s="1247"/>
      <c r="BND35" s="1247"/>
      <c r="BNE35" s="1247"/>
      <c r="BNF35" s="1247"/>
      <c r="BNG35" s="1247"/>
      <c r="BNH35" s="1247"/>
      <c r="BNI35" s="1247"/>
      <c r="BNJ35" s="1247"/>
      <c r="BNK35" s="1247"/>
      <c r="BNL35" s="1247"/>
      <c r="BNM35" s="1247"/>
      <c r="BNN35" s="1247"/>
      <c r="BNO35" s="1247"/>
      <c r="BNP35" s="1247"/>
      <c r="BNQ35" s="1247"/>
      <c r="BNR35" s="1247"/>
      <c r="BNS35" s="1247"/>
      <c r="BNT35" s="1247"/>
      <c r="BNU35" s="1247"/>
      <c r="BNV35" s="1247"/>
      <c r="BNW35" s="1247"/>
      <c r="BNX35" s="1247"/>
      <c r="BNY35" s="1247"/>
      <c r="BNZ35" s="1247"/>
      <c r="BOA35" s="1247"/>
      <c r="BOB35" s="1247"/>
      <c r="BOC35" s="1247"/>
      <c r="BOD35" s="1247"/>
      <c r="BOE35" s="1247"/>
      <c r="BOF35" s="1247"/>
      <c r="BOG35" s="1247"/>
      <c r="BOH35" s="1247"/>
      <c r="BOI35" s="1247"/>
      <c r="BOJ35" s="1247"/>
      <c r="BOK35" s="1247"/>
      <c r="BOL35" s="1247"/>
      <c r="BOM35" s="1247"/>
      <c r="BON35" s="1247"/>
      <c r="BOO35" s="1247"/>
      <c r="BOP35" s="1247"/>
      <c r="BOQ35" s="1247"/>
      <c r="BOR35" s="1247"/>
      <c r="BOS35" s="1247"/>
      <c r="BOT35" s="1247"/>
      <c r="BOU35" s="1247"/>
      <c r="BOV35" s="1247"/>
      <c r="BOW35" s="1247"/>
      <c r="BOX35" s="1247"/>
      <c r="BOY35" s="1247"/>
      <c r="BOZ35" s="1247"/>
      <c r="BPA35" s="1247"/>
      <c r="BPB35" s="1247"/>
      <c r="BPC35" s="1247"/>
      <c r="BPD35" s="1247"/>
      <c r="BPE35" s="1247"/>
      <c r="BPF35" s="1247"/>
      <c r="BPG35" s="1247"/>
      <c r="BPH35" s="1247"/>
      <c r="BPI35" s="1247"/>
      <c r="BPJ35" s="1247"/>
      <c r="BPK35" s="1247"/>
      <c r="BPL35" s="1247"/>
      <c r="BPM35" s="1247"/>
      <c r="BPN35" s="1247"/>
      <c r="BPO35" s="1247"/>
      <c r="BPP35" s="1247"/>
      <c r="BPQ35" s="1247"/>
      <c r="BPR35" s="1247"/>
      <c r="BPS35" s="1247"/>
      <c r="BPT35" s="1247"/>
      <c r="BPU35" s="1247"/>
      <c r="BPV35" s="1247"/>
      <c r="BPW35" s="1247"/>
      <c r="BPX35" s="1247"/>
      <c r="BPY35" s="1247"/>
      <c r="BPZ35" s="1247"/>
      <c r="BQA35" s="1247"/>
      <c r="BQB35" s="1247"/>
      <c r="BQC35" s="1247"/>
      <c r="BQD35" s="1247"/>
      <c r="BQE35" s="1247"/>
      <c r="BQF35" s="1247"/>
      <c r="BQG35" s="1247"/>
      <c r="BQH35" s="1247"/>
      <c r="BQI35" s="1247"/>
      <c r="BQJ35" s="1247"/>
      <c r="BQK35" s="1247"/>
      <c r="BQL35" s="1247"/>
      <c r="BQM35" s="1247"/>
      <c r="BQN35" s="1247"/>
      <c r="BQO35" s="1247"/>
      <c r="BQP35" s="1247"/>
      <c r="BQQ35" s="1247"/>
      <c r="BQR35" s="1247"/>
      <c r="BQS35" s="1247"/>
      <c r="BQT35" s="1247"/>
      <c r="BQU35" s="1247"/>
      <c r="BQV35" s="1247"/>
      <c r="BQW35" s="1247"/>
      <c r="BQX35" s="1247"/>
      <c r="BQY35" s="1247"/>
      <c r="BQZ35" s="1247"/>
      <c r="BRA35" s="1247"/>
      <c r="BRB35" s="1247"/>
      <c r="BRC35" s="1247"/>
      <c r="BRD35" s="1247"/>
      <c r="BRE35" s="1247"/>
      <c r="BRF35" s="1247"/>
      <c r="BRG35" s="1247"/>
      <c r="BRH35" s="1247"/>
      <c r="BRI35" s="1247"/>
      <c r="BRJ35" s="1247"/>
      <c r="BRK35" s="1247"/>
      <c r="BRL35" s="1247"/>
      <c r="BRM35" s="1247"/>
      <c r="BRN35" s="1247"/>
      <c r="BRO35" s="1247"/>
      <c r="BRP35" s="1247"/>
      <c r="BRQ35" s="1247"/>
      <c r="BRR35" s="1247"/>
      <c r="BRS35" s="1247"/>
      <c r="BRT35" s="1247"/>
      <c r="BRU35" s="1247"/>
      <c r="BRV35" s="1247"/>
      <c r="BRW35" s="1247"/>
      <c r="BRX35" s="1247"/>
      <c r="BRY35" s="1247"/>
      <c r="BRZ35" s="1247"/>
      <c r="BSA35" s="1247"/>
      <c r="BSB35" s="1247"/>
      <c r="BSC35" s="1247"/>
      <c r="BSD35" s="1247"/>
      <c r="BSE35" s="1247"/>
      <c r="BSF35" s="1247"/>
      <c r="BSG35" s="1247"/>
      <c r="BSH35" s="1247"/>
      <c r="BSI35" s="1247"/>
      <c r="BSJ35" s="1247"/>
      <c r="BSK35" s="1247"/>
      <c r="BSL35" s="1247"/>
      <c r="BSM35" s="1247"/>
      <c r="BSN35" s="1247"/>
      <c r="BSO35" s="1247"/>
      <c r="BSP35" s="1247"/>
      <c r="BSQ35" s="1247"/>
      <c r="BSR35" s="1247"/>
      <c r="BSS35" s="1247"/>
      <c r="BST35" s="1247"/>
      <c r="BSU35" s="1247"/>
      <c r="BSV35" s="1247"/>
      <c r="BSW35" s="1247"/>
      <c r="BSX35" s="1247"/>
      <c r="BSY35" s="1247"/>
      <c r="BSZ35" s="1247"/>
      <c r="BTA35" s="1247"/>
      <c r="BTB35" s="1247"/>
      <c r="BTC35" s="1247"/>
      <c r="BTD35" s="1247"/>
      <c r="BTE35" s="1247"/>
      <c r="BTF35" s="1247"/>
      <c r="BTG35" s="1247"/>
      <c r="BTH35" s="1247"/>
      <c r="BTI35" s="1247"/>
      <c r="BTJ35" s="1247"/>
      <c r="BTK35" s="1247"/>
      <c r="BTL35" s="1247"/>
      <c r="BTM35" s="1247"/>
      <c r="BTN35" s="1247"/>
      <c r="BTO35" s="1247"/>
      <c r="BTP35" s="1247"/>
      <c r="BTQ35" s="1247"/>
      <c r="BTR35" s="1247"/>
      <c r="BTS35" s="1247"/>
      <c r="BTT35" s="1247"/>
      <c r="BTU35" s="1247"/>
      <c r="BTV35" s="1247"/>
      <c r="BTW35" s="1247"/>
      <c r="BTX35" s="1247"/>
      <c r="BTY35" s="1247"/>
      <c r="BTZ35" s="1247"/>
      <c r="BUA35" s="1247"/>
      <c r="BUB35" s="1247"/>
      <c r="BUC35" s="1247"/>
      <c r="BUD35" s="1247"/>
      <c r="BUE35" s="1247"/>
      <c r="BUF35" s="1247"/>
      <c r="BUG35" s="1247"/>
      <c r="BUH35" s="1247"/>
      <c r="BUI35" s="1247"/>
      <c r="BUJ35" s="1247"/>
      <c r="BUK35" s="1247"/>
      <c r="BUL35" s="1247"/>
      <c r="BUM35" s="1247"/>
      <c r="BUN35" s="1247"/>
      <c r="BUO35" s="1247"/>
      <c r="BUP35" s="1247"/>
      <c r="BUQ35" s="1247"/>
      <c r="BUR35" s="1247"/>
      <c r="BUS35" s="1247"/>
      <c r="BUT35" s="1247"/>
      <c r="BUU35" s="1247"/>
      <c r="BUV35" s="1247"/>
      <c r="BUW35" s="1247"/>
      <c r="BUX35" s="1247"/>
      <c r="BUY35" s="1247"/>
      <c r="BUZ35" s="1247"/>
      <c r="BVA35" s="1247"/>
      <c r="BVB35" s="1247"/>
      <c r="BVC35" s="1247"/>
      <c r="BVD35" s="1247"/>
      <c r="BVE35" s="1247"/>
      <c r="BVF35" s="1247"/>
      <c r="BVG35" s="1247"/>
      <c r="BVH35" s="1247"/>
      <c r="BVI35" s="1247"/>
      <c r="BVJ35" s="1247"/>
      <c r="BVK35" s="1247"/>
      <c r="BVL35" s="1247"/>
      <c r="BVM35" s="1247"/>
      <c r="BVN35" s="1247"/>
      <c r="BVO35" s="1247"/>
      <c r="BVP35" s="1247"/>
      <c r="BVQ35" s="1247"/>
      <c r="BVR35" s="1247"/>
      <c r="BVS35" s="1247"/>
      <c r="BVT35" s="1247"/>
      <c r="BVU35" s="1247"/>
      <c r="BVV35" s="1247"/>
      <c r="BVW35" s="1247"/>
      <c r="BVX35" s="1247"/>
      <c r="BVY35" s="1247"/>
      <c r="BVZ35" s="1247"/>
      <c r="BWA35" s="1247"/>
      <c r="BWB35" s="1247"/>
      <c r="BWC35" s="1247"/>
      <c r="BWD35" s="1247"/>
      <c r="BWE35" s="1247"/>
      <c r="BWF35" s="1247"/>
      <c r="BWG35" s="1247"/>
      <c r="BWH35" s="1247"/>
      <c r="BWI35" s="1247"/>
      <c r="BWJ35" s="1247"/>
      <c r="BWK35" s="1247"/>
      <c r="BWL35" s="1247"/>
      <c r="BWM35" s="1247"/>
      <c r="BWN35" s="1247"/>
      <c r="BWO35" s="1247"/>
      <c r="BWP35" s="1247"/>
      <c r="BWQ35" s="1247"/>
      <c r="BWR35" s="1247"/>
      <c r="BWS35" s="1247"/>
      <c r="BWT35" s="1247"/>
      <c r="BWU35" s="1247"/>
      <c r="BWV35" s="1247"/>
      <c r="BWW35" s="1247"/>
      <c r="BWX35" s="1247"/>
      <c r="BWY35" s="1247"/>
      <c r="BWZ35" s="1247"/>
      <c r="BXA35" s="1247"/>
      <c r="BXB35" s="1247"/>
      <c r="BXC35" s="1247"/>
      <c r="BXD35" s="1247"/>
      <c r="BXE35" s="1247"/>
      <c r="BXF35" s="1247"/>
      <c r="BXG35" s="1247"/>
      <c r="BXH35" s="1247"/>
      <c r="BXI35" s="1247"/>
      <c r="BXJ35" s="1247"/>
      <c r="BXK35" s="1247"/>
      <c r="BXL35" s="1247"/>
      <c r="BXM35" s="1247"/>
      <c r="BXN35" s="1247"/>
      <c r="BXO35" s="1247"/>
      <c r="BXP35" s="1247"/>
      <c r="BXQ35" s="1247"/>
      <c r="BXR35" s="1247"/>
      <c r="BXS35" s="1247"/>
      <c r="BXT35" s="1247"/>
      <c r="BXU35" s="1247"/>
      <c r="BXV35" s="1247"/>
      <c r="BXW35" s="1247"/>
      <c r="BXX35" s="1247"/>
      <c r="BXY35" s="1247"/>
      <c r="BXZ35" s="1247"/>
      <c r="BYA35" s="1247"/>
      <c r="BYB35" s="1247"/>
      <c r="BYC35" s="1247"/>
      <c r="BYD35" s="1247"/>
      <c r="BYE35" s="1247"/>
      <c r="BYF35" s="1247"/>
      <c r="BYG35" s="1247"/>
      <c r="BYH35" s="1247"/>
      <c r="BYI35" s="1247"/>
      <c r="BYJ35" s="1247"/>
      <c r="BYK35" s="1247"/>
      <c r="BYL35" s="1247"/>
      <c r="BYM35" s="1247"/>
      <c r="BYN35" s="1247"/>
      <c r="BYO35" s="1247"/>
      <c r="BYP35" s="1247"/>
      <c r="BYQ35" s="1247"/>
      <c r="BYR35" s="1247"/>
      <c r="BYS35" s="1247"/>
      <c r="BYT35" s="1247"/>
      <c r="BYU35" s="1247"/>
      <c r="BYV35" s="1247"/>
      <c r="BYW35" s="1247"/>
      <c r="BYX35" s="1247"/>
      <c r="BYY35" s="1247"/>
      <c r="BYZ35" s="1247"/>
      <c r="BZA35" s="1247"/>
      <c r="BZB35" s="1247"/>
      <c r="BZC35" s="1247"/>
      <c r="BZD35" s="1247"/>
      <c r="BZE35" s="1247"/>
      <c r="BZF35" s="1247"/>
      <c r="BZG35" s="1247"/>
      <c r="BZH35" s="1247"/>
      <c r="BZI35" s="1247"/>
      <c r="BZJ35" s="1247"/>
      <c r="BZK35" s="1247"/>
      <c r="BZL35" s="1247"/>
      <c r="BZM35" s="1247"/>
      <c r="BZN35" s="1247"/>
      <c r="BZO35" s="1247"/>
      <c r="BZP35" s="1247"/>
      <c r="BZQ35" s="1247"/>
      <c r="BZR35" s="1247"/>
      <c r="BZS35" s="1247"/>
      <c r="BZT35" s="1247"/>
      <c r="BZU35" s="1247"/>
      <c r="BZV35" s="1247"/>
      <c r="BZW35" s="1247"/>
      <c r="BZX35" s="1247"/>
      <c r="BZY35" s="1247"/>
      <c r="BZZ35" s="1247"/>
      <c r="CAA35" s="1247"/>
      <c r="CAB35" s="1247"/>
      <c r="CAC35" s="1247"/>
      <c r="CAD35" s="1247"/>
      <c r="CAE35" s="1247"/>
      <c r="CAF35" s="1247"/>
      <c r="CAG35" s="1247"/>
      <c r="CAH35" s="1247"/>
      <c r="CAI35" s="1247"/>
      <c r="CAJ35" s="1247"/>
      <c r="CAK35" s="1247"/>
      <c r="CAL35" s="1247"/>
      <c r="CAM35" s="1247"/>
      <c r="CAN35" s="1247"/>
      <c r="CAO35" s="1247"/>
      <c r="CAP35" s="1247"/>
      <c r="CAQ35" s="1247"/>
      <c r="CAR35" s="1247"/>
      <c r="CAS35" s="1247"/>
      <c r="CAT35" s="1247"/>
      <c r="CAU35" s="1247"/>
      <c r="CAV35" s="1247"/>
      <c r="CAW35" s="1247"/>
      <c r="CAX35" s="1247"/>
      <c r="CAY35" s="1247"/>
      <c r="CAZ35" s="1247"/>
      <c r="CBA35" s="1247"/>
      <c r="CBB35" s="1247"/>
      <c r="CBC35" s="1247"/>
      <c r="CBD35" s="1247"/>
      <c r="CBE35" s="1247"/>
      <c r="CBF35" s="1247"/>
      <c r="CBG35" s="1247"/>
      <c r="CBH35" s="1247"/>
      <c r="CBI35" s="1247"/>
      <c r="CBJ35" s="1247"/>
      <c r="CBK35" s="1247"/>
      <c r="CBL35" s="1247"/>
      <c r="CBM35" s="1247"/>
      <c r="CBN35" s="1247"/>
      <c r="CBO35" s="1247"/>
      <c r="CBP35" s="1247"/>
      <c r="CBQ35" s="1247"/>
      <c r="CBR35" s="1247"/>
      <c r="CBS35" s="1247"/>
      <c r="CBT35" s="1247"/>
      <c r="CBU35" s="1247"/>
      <c r="CBV35" s="1247"/>
      <c r="CBW35" s="1247"/>
      <c r="CBX35" s="1247"/>
      <c r="CBY35" s="1247"/>
      <c r="CBZ35" s="1247"/>
      <c r="CCA35" s="1247"/>
      <c r="CCB35" s="1247"/>
      <c r="CCC35" s="1247"/>
      <c r="CCD35" s="1247"/>
      <c r="CCE35" s="1247"/>
      <c r="CCF35" s="1247"/>
      <c r="CCG35" s="1247"/>
      <c r="CCH35" s="1247"/>
      <c r="CCI35" s="1247"/>
      <c r="CCJ35" s="1247"/>
      <c r="CCK35" s="1247"/>
      <c r="CCL35" s="1247"/>
      <c r="CCM35" s="1247"/>
      <c r="CCN35" s="1247"/>
      <c r="CCO35" s="1247"/>
      <c r="CCP35" s="1247"/>
      <c r="CCQ35" s="1247"/>
      <c r="CCR35" s="1247"/>
      <c r="CCS35" s="1247"/>
      <c r="CCT35" s="1247"/>
      <c r="CCU35" s="1247"/>
      <c r="CCV35" s="1247"/>
      <c r="CCW35" s="1247"/>
      <c r="CCX35" s="1247"/>
      <c r="CCY35" s="1247"/>
      <c r="CCZ35" s="1247"/>
      <c r="CDA35" s="1247"/>
      <c r="CDB35" s="1247"/>
      <c r="CDC35" s="1247"/>
      <c r="CDD35" s="1247"/>
      <c r="CDE35" s="1247"/>
      <c r="CDF35" s="1247"/>
      <c r="CDG35" s="1247"/>
      <c r="CDH35" s="1247"/>
      <c r="CDI35" s="1247"/>
      <c r="CDJ35" s="1247"/>
      <c r="CDK35" s="1247"/>
      <c r="CDL35" s="1247"/>
      <c r="CDM35" s="1247"/>
      <c r="CDN35" s="1247"/>
      <c r="CDO35" s="1247"/>
      <c r="CDP35" s="1247"/>
      <c r="CDQ35" s="1247"/>
      <c r="CDR35" s="1247"/>
      <c r="CDS35" s="1247"/>
      <c r="CDT35" s="1247"/>
      <c r="CDU35" s="1247"/>
      <c r="CDV35" s="1247"/>
      <c r="CDW35" s="1247"/>
      <c r="CDX35" s="1247"/>
      <c r="CDY35" s="1247"/>
      <c r="CDZ35" s="1247"/>
      <c r="CEA35" s="1247"/>
      <c r="CEB35" s="1247"/>
      <c r="CEC35" s="1247"/>
      <c r="CED35" s="1247"/>
      <c r="CEE35" s="1247"/>
      <c r="CEF35" s="1247"/>
      <c r="CEG35" s="1247"/>
      <c r="CEH35" s="1247"/>
      <c r="CEI35" s="1247"/>
      <c r="CEJ35" s="1247"/>
      <c r="CEK35" s="1247"/>
      <c r="CEL35" s="1247"/>
      <c r="CEM35" s="1247"/>
      <c r="CEN35" s="1247"/>
      <c r="CEO35" s="1247"/>
      <c r="CEP35" s="1247"/>
      <c r="CEQ35" s="1247"/>
      <c r="CER35" s="1247"/>
      <c r="CES35" s="1247"/>
      <c r="CET35" s="1247"/>
      <c r="CEU35" s="1247"/>
      <c r="CEV35" s="1247"/>
      <c r="CEW35" s="1247"/>
      <c r="CEX35" s="1247"/>
      <c r="CEY35" s="1247"/>
      <c r="CEZ35" s="1247"/>
      <c r="CFA35" s="1247"/>
      <c r="CFB35" s="1247"/>
      <c r="CFC35" s="1247"/>
      <c r="CFD35" s="1247"/>
      <c r="CFE35" s="1247"/>
      <c r="CFF35" s="1247"/>
      <c r="CFG35" s="1247"/>
      <c r="CFH35" s="1247"/>
      <c r="CFI35" s="1247"/>
      <c r="CFJ35" s="1247"/>
      <c r="CFK35" s="1247"/>
      <c r="CFL35" s="1247"/>
      <c r="CFM35" s="1247"/>
      <c r="CFN35" s="1247"/>
      <c r="CFO35" s="1247"/>
      <c r="CFP35" s="1247"/>
      <c r="CFQ35" s="1247"/>
      <c r="CFR35" s="1247"/>
      <c r="CFS35" s="1247"/>
      <c r="CFT35" s="1247"/>
      <c r="CFU35" s="1247"/>
      <c r="CFV35" s="1247"/>
      <c r="CFW35" s="1247"/>
      <c r="CFX35" s="1247"/>
      <c r="CFY35" s="1247"/>
      <c r="CFZ35" s="1247"/>
      <c r="CGA35" s="1247"/>
      <c r="CGB35" s="1247"/>
      <c r="CGC35" s="1247"/>
      <c r="CGD35" s="1247"/>
      <c r="CGE35" s="1247"/>
      <c r="CGF35" s="1247"/>
      <c r="CGG35" s="1247"/>
      <c r="CGH35" s="1247"/>
      <c r="CGI35" s="1247"/>
      <c r="CGJ35" s="1247"/>
      <c r="CGK35" s="1247"/>
      <c r="CGL35" s="1247"/>
      <c r="CGM35" s="1247"/>
      <c r="CGN35" s="1247"/>
      <c r="CGO35" s="1247"/>
      <c r="CGP35" s="1247"/>
      <c r="CGQ35" s="1247"/>
      <c r="CGR35" s="1247"/>
      <c r="CGS35" s="1247"/>
      <c r="CGT35" s="1247"/>
      <c r="CGU35" s="1247"/>
      <c r="CGV35" s="1247"/>
      <c r="CGW35" s="1247"/>
      <c r="CGX35" s="1247"/>
      <c r="CGY35" s="1247"/>
      <c r="CGZ35" s="1247"/>
      <c r="CHA35" s="1247"/>
      <c r="CHB35" s="1247"/>
      <c r="CHC35" s="1247"/>
      <c r="CHD35" s="1247"/>
      <c r="CHE35" s="1247"/>
      <c r="CHF35" s="1247"/>
      <c r="CHG35" s="1247"/>
      <c r="CHH35" s="1247"/>
      <c r="CHI35" s="1247"/>
      <c r="CHJ35" s="1247"/>
      <c r="CHK35" s="1247"/>
      <c r="CHL35" s="1247"/>
      <c r="CHM35" s="1247"/>
      <c r="CHN35" s="1247"/>
      <c r="CHO35" s="1247"/>
      <c r="CHP35" s="1247"/>
      <c r="CHQ35" s="1247"/>
      <c r="CHR35" s="1247"/>
      <c r="CHS35" s="1247"/>
      <c r="CHT35" s="1247"/>
      <c r="CHU35" s="1247"/>
      <c r="CHV35" s="1247"/>
      <c r="CHW35" s="1247"/>
      <c r="CHX35" s="1247"/>
      <c r="CHY35" s="1247"/>
      <c r="CHZ35" s="1247"/>
      <c r="CIA35" s="1247"/>
      <c r="CIB35" s="1247"/>
      <c r="CIC35" s="1247"/>
      <c r="CID35" s="1247"/>
      <c r="CIE35" s="1247"/>
      <c r="CIF35" s="1247"/>
      <c r="CIG35" s="1247"/>
      <c r="CIH35" s="1247"/>
      <c r="CII35" s="1247"/>
      <c r="CIJ35" s="1247"/>
      <c r="CIK35" s="1247"/>
      <c r="CIL35" s="1247"/>
      <c r="CIM35" s="1247"/>
      <c r="CIN35" s="1247"/>
      <c r="CIO35" s="1247"/>
      <c r="CIP35" s="1247"/>
      <c r="CIQ35" s="1247"/>
      <c r="CIR35" s="1247"/>
      <c r="CIS35" s="1247"/>
      <c r="CIT35" s="1247"/>
      <c r="CIU35" s="1247"/>
      <c r="CIV35" s="1247"/>
      <c r="CIW35" s="1247"/>
      <c r="CIX35" s="1247"/>
      <c r="CIY35" s="1247"/>
      <c r="CIZ35" s="1247"/>
      <c r="CJA35" s="1247"/>
      <c r="CJB35" s="1247"/>
      <c r="CJC35" s="1247"/>
      <c r="CJD35" s="1247"/>
      <c r="CJE35" s="1247"/>
      <c r="CJF35" s="1247"/>
      <c r="CJG35" s="1247"/>
      <c r="CJH35" s="1247"/>
      <c r="CJI35" s="1247"/>
      <c r="CJJ35" s="1247"/>
      <c r="CJK35" s="1247"/>
      <c r="CJL35" s="1247"/>
      <c r="CJM35" s="1247"/>
      <c r="CJN35" s="1247"/>
      <c r="CJO35" s="1247"/>
      <c r="CJP35" s="1247"/>
      <c r="CJQ35" s="1247"/>
      <c r="CJR35" s="1247"/>
      <c r="CJS35" s="1247"/>
      <c r="CJT35" s="1247"/>
      <c r="CJU35" s="1247"/>
      <c r="CJV35" s="1247"/>
      <c r="CJW35" s="1247"/>
      <c r="CJX35" s="1247"/>
      <c r="CJY35" s="1247"/>
      <c r="CJZ35" s="1247"/>
      <c r="CKA35" s="1247"/>
      <c r="CKB35" s="1247"/>
      <c r="CKC35" s="1247"/>
      <c r="CKD35" s="1247"/>
      <c r="CKE35" s="1247"/>
      <c r="CKF35" s="1247"/>
      <c r="CKG35" s="1247"/>
      <c r="CKH35" s="1247"/>
      <c r="CKI35" s="1247"/>
      <c r="CKJ35" s="1247"/>
      <c r="CKK35" s="1247"/>
      <c r="CKL35" s="1247"/>
      <c r="CKM35" s="1247"/>
      <c r="CKN35" s="1247"/>
      <c r="CKO35" s="1247"/>
      <c r="CKP35" s="1247"/>
      <c r="CKQ35" s="1247"/>
      <c r="CKR35" s="1247"/>
      <c r="CKS35" s="1247"/>
      <c r="CKT35" s="1247"/>
      <c r="CKU35" s="1247"/>
      <c r="CKV35" s="1247"/>
      <c r="CKW35" s="1247"/>
      <c r="CKX35" s="1247"/>
      <c r="CKY35" s="1247"/>
      <c r="CKZ35" s="1247"/>
      <c r="CLA35" s="1247"/>
      <c r="CLB35" s="1247"/>
      <c r="CLC35" s="1247"/>
      <c r="CLD35" s="1247"/>
      <c r="CLE35" s="1247"/>
      <c r="CLF35" s="1247"/>
      <c r="CLG35" s="1247"/>
      <c r="CLH35" s="1247"/>
      <c r="CLI35" s="1247"/>
      <c r="CLJ35" s="1247"/>
      <c r="CLK35" s="1247"/>
      <c r="CLL35" s="1247"/>
      <c r="CLM35" s="1247"/>
      <c r="CLN35" s="1247"/>
      <c r="CLO35" s="1247"/>
      <c r="CLP35" s="1247"/>
      <c r="CLQ35" s="1247"/>
      <c r="CLR35" s="1247"/>
      <c r="CLS35" s="1247"/>
      <c r="CLT35" s="1247"/>
      <c r="CLU35" s="1247"/>
      <c r="CLV35" s="1247"/>
      <c r="CLW35" s="1247"/>
      <c r="CLX35" s="1247"/>
      <c r="CLY35" s="1247"/>
      <c r="CLZ35" s="1247"/>
      <c r="CMA35" s="1247"/>
      <c r="CMB35" s="1247"/>
      <c r="CMC35" s="1247"/>
      <c r="CMD35" s="1247"/>
      <c r="CME35" s="1247"/>
      <c r="CMF35" s="1247"/>
      <c r="CMG35" s="1247"/>
      <c r="CMH35" s="1247"/>
      <c r="CMI35" s="1247"/>
      <c r="CMJ35" s="1247"/>
      <c r="CMK35" s="1247"/>
      <c r="CML35" s="1247"/>
      <c r="CMM35" s="1247"/>
      <c r="CMN35" s="1247"/>
      <c r="CMO35" s="1247"/>
      <c r="CMP35" s="1247"/>
      <c r="CMQ35" s="1247"/>
      <c r="CMR35" s="1247"/>
      <c r="CMS35" s="1247"/>
      <c r="CMT35" s="1247"/>
      <c r="CMU35" s="1247"/>
      <c r="CMV35" s="1247"/>
      <c r="CMW35" s="1247"/>
      <c r="CMX35" s="1247"/>
      <c r="CMY35" s="1247"/>
      <c r="CMZ35" s="1247"/>
      <c r="CNA35" s="1247"/>
      <c r="CNB35" s="1247"/>
      <c r="CNC35" s="1247"/>
      <c r="CND35" s="1247"/>
      <c r="CNE35" s="1247"/>
      <c r="CNF35" s="1247"/>
      <c r="CNG35" s="1247"/>
      <c r="CNH35" s="1247"/>
      <c r="CNI35" s="1247"/>
      <c r="CNJ35" s="1247"/>
      <c r="CNK35" s="1247"/>
      <c r="CNL35" s="1247"/>
      <c r="CNM35" s="1247"/>
      <c r="CNN35" s="1247"/>
      <c r="CNO35" s="1247"/>
      <c r="CNP35" s="1247"/>
      <c r="CNQ35" s="1247"/>
      <c r="CNR35" s="1247"/>
      <c r="CNS35" s="1247"/>
      <c r="CNT35" s="1247"/>
      <c r="CNU35" s="1247"/>
      <c r="CNV35" s="1247"/>
      <c r="CNW35" s="1247"/>
      <c r="CNX35" s="1247"/>
      <c r="CNY35" s="1247"/>
      <c r="CNZ35" s="1247"/>
      <c r="COA35" s="1247"/>
      <c r="COB35" s="1247"/>
      <c r="COC35" s="1247"/>
      <c r="COD35" s="1247"/>
      <c r="COE35" s="1247"/>
      <c r="COF35" s="1247"/>
      <c r="COG35" s="1247"/>
      <c r="COH35" s="1247"/>
      <c r="COI35" s="1247"/>
      <c r="COJ35" s="1247"/>
      <c r="COK35" s="1247"/>
      <c r="COL35" s="1247"/>
      <c r="COM35" s="1247"/>
      <c r="CON35" s="1247"/>
      <c r="COO35" s="1247"/>
      <c r="COP35" s="1247"/>
      <c r="COQ35" s="1247"/>
      <c r="COR35" s="1247"/>
      <c r="COS35" s="1247"/>
      <c r="COT35" s="1247"/>
      <c r="COU35" s="1247"/>
      <c r="COV35" s="1247"/>
      <c r="COW35" s="1247"/>
      <c r="COX35" s="1247"/>
      <c r="COY35" s="1247"/>
      <c r="COZ35" s="1247"/>
      <c r="CPA35" s="1247"/>
      <c r="CPB35" s="1247"/>
      <c r="CPC35" s="1247"/>
      <c r="CPD35" s="1247"/>
      <c r="CPE35" s="1247"/>
      <c r="CPF35" s="1247"/>
      <c r="CPG35" s="1247"/>
      <c r="CPH35" s="1247"/>
      <c r="CPI35" s="1247"/>
      <c r="CPJ35" s="1247"/>
      <c r="CPK35" s="1247"/>
      <c r="CPL35" s="1247"/>
      <c r="CPM35" s="1247"/>
      <c r="CPN35" s="1247"/>
      <c r="CPO35" s="1247"/>
      <c r="CPP35" s="1247"/>
      <c r="CPQ35" s="1247"/>
      <c r="CPR35" s="1247"/>
      <c r="CPS35" s="1247"/>
      <c r="CPT35" s="1247"/>
      <c r="CPU35" s="1247"/>
      <c r="CPV35" s="1247"/>
      <c r="CPW35" s="1247"/>
      <c r="CPX35" s="1247"/>
      <c r="CPY35" s="1247"/>
      <c r="CPZ35" s="1247"/>
      <c r="CQA35" s="1247"/>
      <c r="CQB35" s="1247"/>
      <c r="CQC35" s="1247"/>
      <c r="CQD35" s="1247"/>
      <c r="CQE35" s="1247"/>
      <c r="CQF35" s="1247"/>
      <c r="CQG35" s="1247"/>
      <c r="CQH35" s="1247"/>
      <c r="CQI35" s="1247"/>
      <c r="CQJ35" s="1247"/>
      <c r="CQK35" s="1247"/>
      <c r="CQL35" s="1247"/>
      <c r="CQM35" s="1247"/>
      <c r="CQN35" s="1247"/>
      <c r="CQO35" s="1247"/>
      <c r="CQP35" s="1247"/>
      <c r="CQQ35" s="1247"/>
      <c r="CQR35" s="1247"/>
      <c r="CQS35" s="1247"/>
      <c r="CQT35" s="1247"/>
      <c r="CQU35" s="1247"/>
      <c r="CQV35" s="1247"/>
      <c r="CQW35" s="1247"/>
      <c r="CQX35" s="1247"/>
      <c r="CQY35" s="1247"/>
      <c r="CQZ35" s="1247"/>
      <c r="CRA35" s="1247"/>
      <c r="CRB35" s="1247"/>
      <c r="CRC35" s="1247"/>
      <c r="CRD35" s="1247"/>
      <c r="CRE35" s="1247"/>
      <c r="CRF35" s="1247"/>
      <c r="CRG35" s="1247"/>
      <c r="CRH35" s="1247"/>
      <c r="CRI35" s="1247"/>
      <c r="CRJ35" s="1247"/>
      <c r="CRK35" s="1247"/>
      <c r="CRL35" s="1247"/>
      <c r="CRM35" s="1247"/>
      <c r="CRN35" s="1247"/>
      <c r="CRO35" s="1247"/>
      <c r="CRP35" s="1247"/>
      <c r="CRQ35" s="1247"/>
      <c r="CRR35" s="1247"/>
      <c r="CRS35" s="1247"/>
      <c r="CRT35" s="1247"/>
      <c r="CRU35" s="1247"/>
      <c r="CRV35" s="1247"/>
      <c r="CRW35" s="1247"/>
      <c r="CRX35" s="1247"/>
      <c r="CRY35" s="1247"/>
      <c r="CRZ35" s="1247"/>
      <c r="CSA35" s="1247"/>
      <c r="CSB35" s="1247"/>
      <c r="CSC35" s="1247"/>
      <c r="CSD35" s="1247"/>
      <c r="CSE35" s="1247"/>
      <c r="CSF35" s="1247"/>
      <c r="CSG35" s="1247"/>
      <c r="CSH35" s="1247"/>
      <c r="CSI35" s="1247"/>
      <c r="CSJ35" s="1247"/>
      <c r="CSK35" s="1247"/>
      <c r="CSL35" s="1247"/>
      <c r="CSM35" s="1247"/>
      <c r="CSN35" s="1247"/>
      <c r="CSO35" s="1247"/>
      <c r="CSP35" s="1247"/>
      <c r="CSQ35" s="1247"/>
      <c r="CSR35" s="1247"/>
      <c r="CSS35" s="1247"/>
      <c r="CST35" s="1247"/>
      <c r="CSU35" s="1247"/>
      <c r="CSV35" s="1247"/>
      <c r="CSW35" s="1247"/>
      <c r="CSX35" s="1247"/>
      <c r="CSY35" s="1247"/>
      <c r="CSZ35" s="1247"/>
      <c r="CTA35" s="1247"/>
      <c r="CTB35" s="1247"/>
      <c r="CTC35" s="1247"/>
      <c r="CTD35" s="1247"/>
      <c r="CTE35" s="1247"/>
      <c r="CTF35" s="1247"/>
      <c r="CTG35" s="1247"/>
      <c r="CTH35" s="1247"/>
      <c r="CTI35" s="1247"/>
      <c r="CTJ35" s="1247"/>
      <c r="CTK35" s="1247"/>
      <c r="CTL35" s="1247"/>
      <c r="CTM35" s="1247"/>
      <c r="CTN35" s="1247"/>
      <c r="CTO35" s="1247"/>
      <c r="CTP35" s="1247"/>
      <c r="CTQ35" s="1247"/>
      <c r="CTR35" s="1247"/>
      <c r="CTS35" s="1247"/>
      <c r="CTT35" s="1247"/>
      <c r="CTU35" s="1247"/>
      <c r="CTV35" s="1247"/>
      <c r="CTW35" s="1247"/>
      <c r="CTX35" s="1247"/>
      <c r="CTY35" s="1247"/>
      <c r="CTZ35" s="1247"/>
      <c r="CUA35" s="1247"/>
      <c r="CUB35" s="1247"/>
      <c r="CUC35" s="1247"/>
      <c r="CUD35" s="1247"/>
      <c r="CUE35" s="1247"/>
      <c r="CUF35" s="1247"/>
      <c r="CUG35" s="1247"/>
      <c r="CUH35" s="1247"/>
      <c r="CUI35" s="1247"/>
      <c r="CUJ35" s="1247"/>
      <c r="CUK35" s="1247"/>
      <c r="CUL35" s="1247"/>
      <c r="CUM35" s="1247"/>
      <c r="CUN35" s="1247"/>
      <c r="CUO35" s="1247"/>
      <c r="CUP35" s="1247"/>
      <c r="CUQ35" s="1247"/>
      <c r="CUR35" s="1247"/>
      <c r="CUS35" s="1247"/>
      <c r="CUT35" s="1247"/>
      <c r="CUU35" s="1247"/>
      <c r="CUV35" s="1247"/>
      <c r="CUW35" s="1247"/>
      <c r="CUX35" s="1247"/>
      <c r="CUY35" s="1247"/>
      <c r="CUZ35" s="1247"/>
      <c r="CVA35" s="1247"/>
      <c r="CVB35" s="1247"/>
      <c r="CVC35" s="1247"/>
      <c r="CVD35" s="1247"/>
      <c r="CVE35" s="1247"/>
      <c r="CVF35" s="1247"/>
      <c r="CVG35" s="1247"/>
      <c r="CVH35" s="1247"/>
      <c r="CVI35" s="1247"/>
      <c r="CVJ35" s="1247"/>
      <c r="CVK35" s="1247"/>
      <c r="CVL35" s="1247"/>
      <c r="CVM35" s="1247"/>
      <c r="CVN35" s="1247"/>
      <c r="CVO35" s="1247"/>
      <c r="CVP35" s="1247"/>
      <c r="CVQ35" s="1247"/>
      <c r="CVR35" s="1247"/>
      <c r="CVS35" s="1247"/>
      <c r="CVT35" s="1247"/>
      <c r="CVU35" s="1247"/>
      <c r="CVV35" s="1247"/>
      <c r="CVW35" s="1247"/>
      <c r="CVX35" s="1247"/>
      <c r="CVY35" s="1247"/>
      <c r="CVZ35" s="1247"/>
      <c r="CWA35" s="1247"/>
      <c r="CWB35" s="1247"/>
      <c r="CWC35" s="1247"/>
      <c r="CWD35" s="1247"/>
      <c r="CWE35" s="1247"/>
      <c r="CWF35" s="1247"/>
      <c r="CWG35" s="1247"/>
      <c r="CWH35" s="1247"/>
      <c r="CWI35" s="1247"/>
      <c r="CWJ35" s="1247"/>
      <c r="CWK35" s="1247"/>
      <c r="CWL35" s="1247"/>
      <c r="CWM35" s="1247"/>
      <c r="CWN35" s="1247"/>
      <c r="CWO35" s="1247"/>
      <c r="CWP35" s="1247"/>
      <c r="CWQ35" s="1247"/>
      <c r="CWR35" s="1247"/>
      <c r="CWS35" s="1247"/>
      <c r="CWT35" s="1247"/>
      <c r="CWU35" s="1247"/>
      <c r="CWV35" s="1247"/>
      <c r="CWW35" s="1247"/>
      <c r="CWX35" s="1247"/>
      <c r="CWY35" s="1247"/>
      <c r="CWZ35" s="1247"/>
      <c r="CXA35" s="1247"/>
      <c r="CXB35" s="1247"/>
      <c r="CXC35" s="1247"/>
      <c r="CXD35" s="1247"/>
      <c r="CXE35" s="1247"/>
      <c r="CXF35" s="1247"/>
      <c r="CXG35" s="1247"/>
      <c r="CXH35" s="1247"/>
      <c r="CXI35" s="1247"/>
      <c r="CXJ35" s="1247"/>
      <c r="CXK35" s="1247"/>
      <c r="CXL35" s="1247"/>
      <c r="CXM35" s="1247"/>
      <c r="CXN35" s="1247"/>
      <c r="CXO35" s="1247"/>
      <c r="CXP35" s="1247"/>
      <c r="CXQ35" s="1247"/>
      <c r="CXR35" s="1247"/>
      <c r="CXS35" s="1247"/>
      <c r="CXT35" s="1247"/>
      <c r="CXU35" s="1247"/>
      <c r="CXV35" s="1247"/>
      <c r="CXW35" s="1247"/>
      <c r="CXX35" s="1247"/>
      <c r="CXY35" s="1247"/>
      <c r="CXZ35" s="1247"/>
      <c r="CYA35" s="1247"/>
      <c r="CYB35" s="1247"/>
      <c r="CYC35" s="1247"/>
      <c r="CYD35" s="1247"/>
      <c r="CYE35" s="1247"/>
      <c r="CYF35" s="1247"/>
      <c r="CYG35" s="1247"/>
      <c r="CYH35" s="1247"/>
      <c r="CYI35" s="1247"/>
      <c r="CYJ35" s="1247"/>
      <c r="CYK35" s="1247"/>
      <c r="CYL35" s="1247"/>
      <c r="CYM35" s="1247"/>
      <c r="CYN35" s="1247"/>
      <c r="CYO35" s="1247"/>
      <c r="CYP35" s="1247"/>
      <c r="CYQ35" s="1247"/>
      <c r="CYR35" s="1247"/>
      <c r="CYS35" s="1247"/>
      <c r="CYT35" s="1247"/>
      <c r="CYU35" s="1247"/>
      <c r="CYV35" s="1247"/>
      <c r="CYW35" s="1247"/>
      <c r="CYX35" s="1247"/>
      <c r="CYY35" s="1247"/>
      <c r="CYZ35" s="1247"/>
      <c r="CZA35" s="1247"/>
      <c r="CZB35" s="1247"/>
      <c r="CZC35" s="1247"/>
      <c r="CZD35" s="1247"/>
      <c r="CZE35" s="1247"/>
      <c r="CZF35" s="1247"/>
      <c r="CZG35" s="1247"/>
      <c r="CZH35" s="1247"/>
      <c r="CZI35" s="1247"/>
      <c r="CZJ35" s="1247"/>
      <c r="CZK35" s="1247"/>
      <c r="CZL35" s="1247"/>
      <c r="CZM35" s="1247"/>
      <c r="CZN35" s="1247"/>
      <c r="CZO35" s="1247"/>
      <c r="CZP35" s="1247"/>
      <c r="CZQ35" s="1247"/>
      <c r="CZR35" s="1247"/>
      <c r="CZS35" s="1247"/>
      <c r="CZT35" s="1247"/>
      <c r="CZU35" s="1247"/>
      <c r="CZV35" s="1247"/>
      <c r="CZW35" s="1247"/>
      <c r="CZX35" s="1247"/>
      <c r="CZY35" s="1247"/>
      <c r="CZZ35" s="1247"/>
      <c r="DAA35" s="1247"/>
      <c r="DAB35" s="1247"/>
      <c r="DAC35" s="1247"/>
      <c r="DAD35" s="1247"/>
      <c r="DAE35" s="1247"/>
      <c r="DAF35" s="1247"/>
      <c r="DAG35" s="1247"/>
      <c r="DAH35" s="1247"/>
      <c r="DAI35" s="1247"/>
      <c r="DAJ35" s="1247"/>
      <c r="DAK35" s="1247"/>
      <c r="DAL35" s="1247"/>
      <c r="DAM35" s="1247"/>
      <c r="DAN35" s="1247"/>
      <c r="DAO35" s="1247"/>
      <c r="DAP35" s="1247"/>
      <c r="DAQ35" s="1247"/>
      <c r="DAR35" s="1247"/>
      <c r="DAS35" s="1247"/>
      <c r="DAT35" s="1247"/>
      <c r="DAU35" s="1247"/>
      <c r="DAV35" s="1247"/>
      <c r="DAW35" s="1247"/>
      <c r="DAX35" s="1247"/>
      <c r="DAY35" s="1247"/>
      <c r="DAZ35" s="1247"/>
      <c r="DBA35" s="1247"/>
      <c r="DBB35" s="1247"/>
      <c r="DBC35" s="1247"/>
      <c r="DBD35" s="1247"/>
      <c r="DBE35" s="1247"/>
      <c r="DBF35" s="1247"/>
      <c r="DBG35" s="1247"/>
      <c r="DBH35" s="1247"/>
      <c r="DBI35" s="1247"/>
      <c r="DBJ35" s="1247"/>
      <c r="DBK35" s="1247"/>
      <c r="DBL35" s="1247"/>
      <c r="DBM35" s="1247"/>
      <c r="DBN35" s="1247"/>
      <c r="DBO35" s="1247"/>
      <c r="DBP35" s="1247"/>
      <c r="DBQ35" s="1247"/>
      <c r="DBR35" s="1247"/>
      <c r="DBS35" s="1247"/>
      <c r="DBT35" s="1247"/>
      <c r="DBU35" s="1247"/>
      <c r="DBV35" s="1247"/>
      <c r="DBW35" s="1247"/>
      <c r="DBX35" s="1247"/>
      <c r="DBY35" s="1247"/>
      <c r="DBZ35" s="1247"/>
      <c r="DCA35" s="1247"/>
      <c r="DCB35" s="1247"/>
      <c r="DCC35" s="1247"/>
      <c r="DCD35" s="1247"/>
      <c r="DCE35" s="1247"/>
      <c r="DCF35" s="1247"/>
      <c r="DCG35" s="1247"/>
      <c r="DCH35" s="1247"/>
      <c r="DCI35" s="1247"/>
      <c r="DCJ35" s="1247"/>
      <c r="DCK35" s="1247"/>
      <c r="DCL35" s="1247"/>
      <c r="DCM35" s="1247"/>
      <c r="DCN35" s="1247"/>
      <c r="DCO35" s="1247"/>
      <c r="DCP35" s="1247"/>
      <c r="DCQ35" s="1247"/>
      <c r="DCR35" s="1247"/>
      <c r="DCS35" s="1247"/>
      <c r="DCT35" s="1247"/>
      <c r="DCU35" s="1247"/>
      <c r="DCV35" s="1247"/>
      <c r="DCW35" s="1247"/>
      <c r="DCX35" s="1247"/>
      <c r="DCY35" s="1247"/>
      <c r="DCZ35" s="1247"/>
      <c r="DDA35" s="1247"/>
      <c r="DDB35" s="1247"/>
      <c r="DDC35" s="1247"/>
      <c r="DDD35" s="1247"/>
      <c r="DDE35" s="1247"/>
      <c r="DDF35" s="1247"/>
      <c r="DDG35" s="1247"/>
      <c r="DDH35" s="1247"/>
      <c r="DDI35" s="1247"/>
      <c r="DDJ35" s="1247"/>
      <c r="DDK35" s="1247"/>
      <c r="DDL35" s="1247"/>
      <c r="DDM35" s="1247"/>
      <c r="DDN35" s="1247"/>
      <c r="DDO35" s="1247"/>
      <c r="DDP35" s="1247"/>
      <c r="DDQ35" s="1247"/>
      <c r="DDR35" s="1247"/>
      <c r="DDS35" s="1247"/>
      <c r="DDT35" s="1247"/>
      <c r="DDU35" s="1247"/>
      <c r="DDV35" s="1247"/>
      <c r="DDW35" s="1247"/>
      <c r="DDX35" s="1247"/>
      <c r="DDY35" s="1247"/>
      <c r="DDZ35" s="1247"/>
      <c r="DEA35" s="1247"/>
      <c r="DEB35" s="1247"/>
      <c r="DEC35" s="1247"/>
      <c r="DED35" s="1247"/>
      <c r="DEE35" s="1247"/>
      <c r="DEF35" s="1247"/>
      <c r="DEG35" s="1247"/>
      <c r="DEH35" s="1247"/>
      <c r="DEI35" s="1247"/>
      <c r="DEJ35" s="1247"/>
      <c r="DEK35" s="1247"/>
      <c r="DEL35" s="1247"/>
      <c r="DEM35" s="1247"/>
      <c r="DEN35" s="1247"/>
      <c r="DEO35" s="1247"/>
      <c r="DEP35" s="1247"/>
      <c r="DEQ35" s="1247"/>
      <c r="DER35" s="1247"/>
      <c r="DES35" s="1247"/>
      <c r="DET35" s="1247"/>
      <c r="DEU35" s="1247"/>
      <c r="DEV35" s="1247"/>
      <c r="DEW35" s="1247"/>
      <c r="DEX35" s="1247"/>
      <c r="DEY35" s="1247"/>
      <c r="DEZ35" s="1247"/>
      <c r="DFA35" s="1247"/>
      <c r="DFB35" s="1247"/>
      <c r="DFC35" s="1247"/>
      <c r="DFD35" s="1247"/>
      <c r="DFE35" s="1247"/>
      <c r="DFF35" s="1247"/>
      <c r="DFG35" s="1247"/>
      <c r="DFH35" s="1247"/>
      <c r="DFI35" s="1247"/>
      <c r="DFJ35" s="1247"/>
      <c r="DFK35" s="1247"/>
      <c r="DFL35" s="1247"/>
      <c r="DFM35" s="1247"/>
      <c r="DFN35" s="1247"/>
      <c r="DFO35" s="1247"/>
      <c r="DFP35" s="1247"/>
      <c r="DFQ35" s="1247"/>
      <c r="DFR35" s="1247"/>
      <c r="DFS35" s="1247"/>
      <c r="DFT35" s="1247"/>
      <c r="DFU35" s="1247"/>
      <c r="DFV35" s="1247"/>
      <c r="DFW35" s="1247"/>
      <c r="DFX35" s="1247"/>
      <c r="DFY35" s="1247"/>
      <c r="DFZ35" s="1247"/>
      <c r="DGA35" s="1247"/>
      <c r="DGB35" s="1247"/>
      <c r="DGC35" s="1247"/>
      <c r="DGD35" s="1247"/>
      <c r="DGE35" s="1247"/>
      <c r="DGF35" s="1247"/>
      <c r="DGG35" s="1247"/>
      <c r="DGH35" s="1247"/>
      <c r="DGI35" s="1247"/>
      <c r="DGJ35" s="1247"/>
      <c r="DGK35" s="1247"/>
      <c r="DGL35" s="1247"/>
      <c r="DGM35" s="1247"/>
      <c r="DGN35" s="1247"/>
      <c r="DGO35" s="1247"/>
      <c r="DGP35" s="1247"/>
      <c r="DGQ35" s="1247"/>
      <c r="DGR35" s="1247"/>
      <c r="DGS35" s="1247"/>
      <c r="DGT35" s="1247"/>
      <c r="DGU35" s="1247"/>
      <c r="DGV35" s="1247"/>
      <c r="DGW35" s="1247"/>
      <c r="DGX35" s="1247"/>
      <c r="DGY35" s="1247"/>
      <c r="DGZ35" s="1247"/>
      <c r="DHA35" s="1247"/>
      <c r="DHB35" s="1247"/>
      <c r="DHC35" s="1247"/>
      <c r="DHD35" s="1247"/>
      <c r="DHE35" s="1247"/>
      <c r="DHF35" s="1247"/>
      <c r="DHG35" s="1247"/>
      <c r="DHH35" s="1247"/>
      <c r="DHI35" s="1247"/>
      <c r="DHJ35" s="1247"/>
      <c r="DHK35" s="1247"/>
      <c r="DHL35" s="1247"/>
      <c r="DHM35" s="1247"/>
      <c r="DHN35" s="1247"/>
      <c r="DHO35" s="1247"/>
      <c r="DHP35" s="1247"/>
      <c r="DHQ35" s="1247"/>
      <c r="DHR35" s="1247"/>
      <c r="DHS35" s="1247"/>
      <c r="DHT35" s="1247"/>
      <c r="DHU35" s="1247"/>
      <c r="DHV35" s="1247"/>
      <c r="DHW35" s="1247"/>
      <c r="DHX35" s="1247"/>
      <c r="DHY35" s="1247"/>
      <c r="DHZ35" s="1247"/>
      <c r="DIA35" s="1247"/>
      <c r="DIB35" s="1247"/>
      <c r="DIC35" s="1247"/>
      <c r="DID35" s="1247"/>
      <c r="DIE35" s="1247"/>
      <c r="DIF35" s="1247"/>
      <c r="DIG35" s="1247"/>
      <c r="DIH35" s="1247"/>
      <c r="DII35" s="1247"/>
      <c r="DIJ35" s="1247"/>
      <c r="DIK35" s="1247"/>
      <c r="DIL35" s="1247"/>
      <c r="DIM35" s="1247"/>
      <c r="DIN35" s="1247"/>
      <c r="DIO35" s="1247"/>
      <c r="DIP35" s="1247"/>
      <c r="DIQ35" s="1247"/>
      <c r="DIR35" s="1247"/>
      <c r="DIS35" s="1247"/>
      <c r="DIT35" s="1247"/>
      <c r="DIU35" s="1247"/>
      <c r="DIV35" s="1247"/>
      <c r="DIW35" s="1247"/>
      <c r="DIX35" s="1247"/>
      <c r="DIY35" s="1247"/>
      <c r="DIZ35" s="1247"/>
      <c r="DJA35" s="1247"/>
      <c r="DJB35" s="1247"/>
      <c r="DJC35" s="1247"/>
      <c r="DJD35" s="1247"/>
      <c r="DJE35" s="1247"/>
      <c r="DJF35" s="1247"/>
      <c r="DJG35" s="1247"/>
      <c r="DJH35" s="1247"/>
      <c r="DJI35" s="1247"/>
      <c r="DJJ35" s="1247"/>
      <c r="DJK35" s="1247"/>
      <c r="DJL35" s="1247"/>
      <c r="DJM35" s="1247"/>
      <c r="DJN35" s="1247"/>
      <c r="DJO35" s="1247"/>
      <c r="DJP35" s="1247"/>
      <c r="DJQ35" s="1247"/>
      <c r="DJR35" s="1247"/>
      <c r="DJS35" s="1247"/>
      <c r="DJT35" s="1247"/>
      <c r="DJU35" s="1247"/>
      <c r="DJV35" s="1247"/>
      <c r="DJW35" s="1247"/>
      <c r="DJX35" s="1247"/>
      <c r="DJY35" s="1247"/>
      <c r="DJZ35" s="1247"/>
      <c r="DKA35" s="1247"/>
      <c r="DKB35" s="1247"/>
      <c r="DKC35" s="1247"/>
      <c r="DKD35" s="1247"/>
      <c r="DKE35" s="1247"/>
      <c r="DKF35" s="1247"/>
      <c r="DKG35" s="1247"/>
      <c r="DKH35" s="1247"/>
      <c r="DKI35" s="1247"/>
      <c r="DKJ35" s="1247"/>
      <c r="DKK35" s="1247"/>
      <c r="DKL35" s="1247"/>
      <c r="DKM35" s="1247"/>
      <c r="DKN35" s="1247"/>
      <c r="DKO35" s="1247"/>
      <c r="DKP35" s="1247"/>
      <c r="DKQ35" s="1247"/>
      <c r="DKR35" s="1247"/>
      <c r="DKS35" s="1247"/>
      <c r="DKT35" s="1247"/>
      <c r="DKU35" s="1247"/>
      <c r="DKV35" s="1247"/>
      <c r="DKW35" s="1247"/>
      <c r="DKX35" s="1247"/>
      <c r="DKY35" s="1247"/>
      <c r="DKZ35" s="1247"/>
      <c r="DLA35" s="1247"/>
      <c r="DLB35" s="1247"/>
      <c r="DLC35" s="1247"/>
      <c r="DLD35" s="1247"/>
      <c r="DLE35" s="1247"/>
      <c r="DLF35" s="1247"/>
      <c r="DLG35" s="1247"/>
      <c r="DLH35" s="1247"/>
      <c r="DLI35" s="1247"/>
      <c r="DLJ35" s="1247"/>
      <c r="DLK35" s="1247"/>
      <c r="DLL35" s="1247"/>
      <c r="DLM35" s="1247"/>
      <c r="DLN35" s="1247"/>
      <c r="DLO35" s="1247"/>
      <c r="DLP35" s="1247"/>
      <c r="DLQ35" s="1247"/>
      <c r="DLR35" s="1247"/>
      <c r="DLS35" s="1247"/>
      <c r="DLT35" s="1247"/>
      <c r="DLU35" s="1247"/>
      <c r="DLV35" s="1247"/>
      <c r="DLW35" s="1247"/>
      <c r="DLX35" s="1247"/>
      <c r="DLY35" s="1247"/>
      <c r="DLZ35" s="1247"/>
      <c r="DMA35" s="1247"/>
      <c r="DMB35" s="1247"/>
      <c r="DMC35" s="1247"/>
      <c r="DMD35" s="1247"/>
      <c r="DME35" s="1247"/>
      <c r="DMF35" s="1247"/>
      <c r="DMG35" s="1247"/>
      <c r="DMH35" s="1247"/>
      <c r="DMI35" s="1247"/>
      <c r="DMJ35" s="1247"/>
      <c r="DMK35" s="1247"/>
      <c r="DML35" s="1247"/>
      <c r="DMM35" s="1247"/>
      <c r="DMN35" s="1247"/>
      <c r="DMO35" s="1247"/>
      <c r="DMP35" s="1247"/>
      <c r="DMQ35" s="1247"/>
      <c r="DMR35" s="1247"/>
      <c r="DMS35" s="1247"/>
      <c r="DMT35" s="1247"/>
      <c r="DMU35" s="1247"/>
      <c r="DMV35" s="1247"/>
      <c r="DMW35" s="1247"/>
      <c r="DMX35" s="1247"/>
      <c r="DMY35" s="1247"/>
      <c r="DMZ35" s="1247"/>
      <c r="DNA35" s="1247"/>
      <c r="DNB35" s="1247"/>
      <c r="DNC35" s="1247"/>
      <c r="DND35" s="1247"/>
      <c r="DNE35" s="1247"/>
      <c r="DNF35" s="1247"/>
      <c r="DNG35" s="1247"/>
      <c r="DNH35" s="1247"/>
      <c r="DNI35" s="1247"/>
      <c r="DNJ35" s="1247"/>
      <c r="DNK35" s="1247"/>
      <c r="DNL35" s="1247"/>
      <c r="DNM35" s="1247"/>
      <c r="DNN35" s="1247"/>
      <c r="DNO35" s="1247"/>
      <c r="DNP35" s="1247"/>
      <c r="DNQ35" s="1247"/>
      <c r="DNR35" s="1247"/>
      <c r="DNS35" s="1247"/>
      <c r="DNT35" s="1247"/>
      <c r="DNU35" s="1247"/>
      <c r="DNV35" s="1247"/>
      <c r="DNW35" s="1247"/>
      <c r="DNX35" s="1247"/>
      <c r="DNY35" s="1247"/>
      <c r="DNZ35" s="1247"/>
      <c r="DOA35" s="1247"/>
      <c r="DOB35" s="1247"/>
      <c r="DOC35" s="1247"/>
      <c r="DOD35" s="1247"/>
      <c r="DOE35" s="1247"/>
      <c r="DOF35" s="1247"/>
      <c r="DOG35" s="1247"/>
      <c r="DOH35" s="1247"/>
      <c r="DOI35" s="1247"/>
      <c r="DOJ35" s="1247"/>
      <c r="DOK35" s="1247"/>
      <c r="DOL35" s="1247"/>
      <c r="DOM35" s="1247"/>
      <c r="DON35" s="1247"/>
      <c r="DOO35" s="1247"/>
      <c r="DOP35" s="1247"/>
      <c r="DOQ35" s="1247"/>
      <c r="DOR35" s="1247"/>
      <c r="DOS35" s="1247"/>
      <c r="DOT35" s="1247"/>
      <c r="DOU35" s="1247"/>
      <c r="DOV35" s="1247"/>
      <c r="DOW35" s="1247"/>
      <c r="DOX35" s="1247"/>
      <c r="DOY35" s="1247"/>
      <c r="DOZ35" s="1247"/>
      <c r="DPA35" s="1247"/>
      <c r="DPB35" s="1247"/>
      <c r="DPC35" s="1247"/>
      <c r="DPD35" s="1247"/>
      <c r="DPE35" s="1247"/>
      <c r="DPF35" s="1247"/>
      <c r="DPG35" s="1247"/>
      <c r="DPH35" s="1247"/>
      <c r="DPI35" s="1247"/>
      <c r="DPJ35" s="1247"/>
      <c r="DPK35" s="1247"/>
      <c r="DPL35" s="1247"/>
      <c r="DPM35" s="1247"/>
      <c r="DPN35" s="1247"/>
      <c r="DPO35" s="1247"/>
      <c r="DPP35" s="1247"/>
      <c r="DPQ35" s="1247"/>
      <c r="DPR35" s="1247"/>
      <c r="DPS35" s="1247"/>
      <c r="DPT35" s="1247"/>
      <c r="DPU35" s="1247"/>
      <c r="DPV35" s="1247"/>
      <c r="DPW35" s="1247"/>
      <c r="DPX35" s="1247"/>
      <c r="DPY35" s="1247"/>
      <c r="DPZ35" s="1247"/>
      <c r="DQA35" s="1247"/>
      <c r="DQB35" s="1247"/>
      <c r="DQC35" s="1247"/>
      <c r="DQD35" s="1247"/>
      <c r="DQE35" s="1247"/>
      <c r="DQF35" s="1247"/>
      <c r="DQG35" s="1247"/>
      <c r="DQH35" s="1247"/>
      <c r="DQI35" s="1247"/>
      <c r="DQJ35" s="1247"/>
      <c r="DQK35" s="1247"/>
      <c r="DQL35" s="1247"/>
      <c r="DQM35" s="1247"/>
      <c r="DQN35" s="1247"/>
      <c r="DQO35" s="1247"/>
      <c r="DQP35" s="1247"/>
      <c r="DQQ35" s="1247"/>
      <c r="DQR35" s="1247"/>
      <c r="DQS35" s="1247"/>
      <c r="DQT35" s="1247"/>
      <c r="DQU35" s="1247"/>
      <c r="DQV35" s="1247"/>
      <c r="DQW35" s="1247"/>
      <c r="DQX35" s="1247"/>
      <c r="DQY35" s="1247"/>
      <c r="DQZ35" s="1247"/>
      <c r="DRA35" s="1247"/>
      <c r="DRB35" s="1247"/>
      <c r="DRC35" s="1247"/>
      <c r="DRD35" s="1247"/>
      <c r="DRE35" s="1247"/>
      <c r="DRF35" s="1247"/>
      <c r="DRG35" s="1247"/>
      <c r="DRH35" s="1247"/>
      <c r="DRI35" s="1247"/>
      <c r="DRJ35" s="1247"/>
      <c r="DRK35" s="1247"/>
      <c r="DRL35" s="1247"/>
      <c r="DRM35" s="1247"/>
      <c r="DRN35" s="1247"/>
      <c r="DRO35" s="1247"/>
      <c r="DRP35" s="1247"/>
      <c r="DRQ35" s="1247"/>
      <c r="DRR35" s="1247"/>
      <c r="DRS35" s="1247"/>
      <c r="DRT35" s="1247"/>
      <c r="DRU35" s="1247"/>
      <c r="DRV35" s="1247"/>
      <c r="DRW35" s="1247"/>
      <c r="DRX35" s="1247"/>
      <c r="DRY35" s="1247"/>
      <c r="DRZ35" s="1247"/>
      <c r="DSA35" s="1247"/>
      <c r="DSB35" s="1247"/>
      <c r="DSC35" s="1247"/>
      <c r="DSD35" s="1247"/>
      <c r="DSE35" s="1247"/>
      <c r="DSF35" s="1247"/>
      <c r="DSG35" s="1247"/>
      <c r="DSH35" s="1247"/>
      <c r="DSI35" s="1247"/>
      <c r="DSJ35" s="1247"/>
      <c r="DSK35" s="1247"/>
      <c r="DSL35" s="1247"/>
      <c r="DSM35" s="1247"/>
      <c r="DSN35" s="1247"/>
      <c r="DSO35" s="1247"/>
      <c r="DSP35" s="1247"/>
      <c r="DSQ35" s="1247"/>
      <c r="DSR35" s="1247"/>
      <c r="DSS35" s="1247"/>
      <c r="DST35" s="1247"/>
      <c r="DSU35" s="1247"/>
      <c r="DSV35" s="1247"/>
      <c r="DSW35" s="1247"/>
      <c r="DSX35" s="1247"/>
      <c r="DSY35" s="1247"/>
      <c r="DSZ35" s="1247"/>
      <c r="DTA35" s="1247"/>
      <c r="DTB35" s="1247"/>
      <c r="DTC35" s="1247"/>
      <c r="DTD35" s="1247"/>
      <c r="DTE35" s="1247"/>
      <c r="DTF35" s="1247"/>
      <c r="DTG35" s="1247"/>
      <c r="DTH35" s="1247"/>
      <c r="DTI35" s="1247"/>
      <c r="DTJ35" s="1247"/>
      <c r="DTK35" s="1247"/>
      <c r="DTL35" s="1247"/>
      <c r="DTM35" s="1247"/>
      <c r="DTN35" s="1247"/>
      <c r="DTO35" s="1247"/>
      <c r="DTP35" s="1247"/>
      <c r="DTQ35" s="1247"/>
      <c r="DTR35" s="1247"/>
      <c r="DTS35" s="1247"/>
      <c r="DTT35" s="1247"/>
      <c r="DTU35" s="1247"/>
      <c r="DTV35" s="1247"/>
      <c r="DTW35" s="1247"/>
      <c r="DTX35" s="1247"/>
      <c r="DTY35" s="1247"/>
      <c r="DTZ35" s="1247"/>
      <c r="DUA35" s="1247"/>
      <c r="DUB35" s="1247"/>
      <c r="DUC35" s="1247"/>
      <c r="DUD35" s="1247"/>
      <c r="DUE35" s="1247"/>
      <c r="DUF35" s="1247"/>
      <c r="DUG35" s="1247"/>
      <c r="DUH35" s="1247"/>
      <c r="DUI35" s="1247"/>
      <c r="DUJ35" s="1247"/>
      <c r="DUK35" s="1247"/>
      <c r="DUL35" s="1247"/>
      <c r="DUM35" s="1247"/>
      <c r="DUN35" s="1247"/>
      <c r="DUO35" s="1247"/>
      <c r="DUP35" s="1247"/>
      <c r="DUQ35" s="1247"/>
      <c r="DUR35" s="1247"/>
      <c r="DUS35" s="1247"/>
      <c r="DUT35" s="1247"/>
      <c r="DUU35" s="1247"/>
      <c r="DUV35" s="1247"/>
      <c r="DUW35" s="1247"/>
      <c r="DUX35" s="1247"/>
      <c r="DUY35" s="1247"/>
      <c r="DUZ35" s="1247"/>
      <c r="DVA35" s="1247"/>
      <c r="DVB35" s="1247"/>
      <c r="DVC35" s="1247"/>
      <c r="DVD35" s="1247"/>
      <c r="DVE35" s="1247"/>
      <c r="DVF35" s="1247"/>
      <c r="DVG35" s="1247"/>
      <c r="DVH35" s="1247"/>
      <c r="DVI35" s="1247"/>
      <c r="DVJ35" s="1247"/>
      <c r="DVK35" s="1247"/>
      <c r="DVL35" s="1247"/>
      <c r="DVM35" s="1247"/>
      <c r="DVN35" s="1247"/>
      <c r="DVO35" s="1247"/>
      <c r="DVP35" s="1247"/>
      <c r="DVQ35" s="1247"/>
      <c r="DVR35" s="1247"/>
      <c r="DVS35" s="1247"/>
      <c r="DVT35" s="1247"/>
      <c r="DVU35" s="1247"/>
      <c r="DVV35" s="1247"/>
      <c r="DVW35" s="1247"/>
      <c r="DVX35" s="1247"/>
      <c r="DVY35" s="1247"/>
      <c r="DVZ35" s="1247"/>
      <c r="DWA35" s="1247"/>
      <c r="DWB35" s="1247"/>
      <c r="DWC35" s="1247"/>
      <c r="DWD35" s="1247"/>
      <c r="DWE35" s="1247"/>
      <c r="DWF35" s="1247"/>
      <c r="DWG35" s="1247"/>
      <c r="DWH35" s="1247"/>
      <c r="DWI35" s="1247"/>
      <c r="DWJ35" s="1247"/>
      <c r="DWK35" s="1247"/>
      <c r="DWL35" s="1247"/>
      <c r="DWM35" s="1247"/>
      <c r="DWN35" s="1247"/>
      <c r="DWO35" s="1247"/>
      <c r="DWP35" s="1247"/>
      <c r="DWQ35" s="1247"/>
      <c r="DWR35" s="1247"/>
      <c r="DWS35" s="1247"/>
      <c r="DWT35" s="1247"/>
      <c r="DWU35" s="1247"/>
      <c r="DWV35" s="1247"/>
      <c r="DWW35" s="1247"/>
      <c r="DWX35" s="1247"/>
      <c r="DWY35" s="1247"/>
      <c r="DWZ35" s="1247"/>
      <c r="DXA35" s="1247"/>
      <c r="DXB35" s="1247"/>
      <c r="DXC35" s="1247"/>
      <c r="DXD35" s="1247"/>
      <c r="DXE35" s="1247"/>
      <c r="DXF35" s="1247"/>
      <c r="DXG35" s="1247"/>
      <c r="DXH35" s="1247"/>
      <c r="DXI35" s="1247"/>
      <c r="DXJ35" s="1247"/>
      <c r="DXK35" s="1247"/>
      <c r="DXL35" s="1247"/>
      <c r="DXM35" s="1247"/>
      <c r="DXN35" s="1247"/>
      <c r="DXO35" s="1247"/>
      <c r="DXP35" s="1247"/>
      <c r="DXQ35" s="1247"/>
      <c r="DXR35" s="1247"/>
      <c r="DXS35" s="1247"/>
      <c r="DXT35" s="1247"/>
      <c r="DXU35" s="1247"/>
      <c r="DXV35" s="1247"/>
      <c r="DXW35" s="1247"/>
      <c r="DXX35" s="1247"/>
      <c r="DXY35" s="1247"/>
      <c r="DXZ35" s="1247"/>
      <c r="DYA35" s="1247"/>
      <c r="DYB35" s="1247"/>
      <c r="DYC35" s="1247"/>
      <c r="DYD35" s="1247"/>
      <c r="DYE35" s="1247"/>
      <c r="DYF35" s="1247"/>
      <c r="DYG35" s="1247"/>
      <c r="DYH35" s="1247"/>
      <c r="DYI35" s="1247"/>
      <c r="DYJ35" s="1247"/>
      <c r="DYK35" s="1247"/>
      <c r="DYL35" s="1247"/>
      <c r="DYM35" s="1247"/>
      <c r="DYN35" s="1247"/>
      <c r="DYO35" s="1247"/>
      <c r="DYP35" s="1247"/>
      <c r="DYQ35" s="1247"/>
      <c r="DYR35" s="1247"/>
      <c r="DYS35" s="1247"/>
      <c r="DYT35" s="1247"/>
      <c r="DYU35" s="1247"/>
      <c r="DYV35" s="1247"/>
      <c r="DYW35" s="1247"/>
      <c r="DYX35" s="1247"/>
      <c r="DYY35" s="1247"/>
      <c r="DYZ35" s="1247"/>
      <c r="DZA35" s="1247"/>
      <c r="DZB35" s="1247"/>
      <c r="DZC35" s="1247"/>
      <c r="DZD35" s="1247"/>
      <c r="DZE35" s="1247"/>
      <c r="DZF35" s="1247"/>
      <c r="DZG35" s="1247"/>
      <c r="DZH35" s="1247"/>
      <c r="DZI35" s="1247"/>
      <c r="DZJ35" s="1247"/>
      <c r="DZK35" s="1247"/>
      <c r="DZL35" s="1247"/>
      <c r="DZM35" s="1247"/>
      <c r="DZN35" s="1247"/>
      <c r="DZO35" s="1247"/>
      <c r="DZP35" s="1247"/>
      <c r="DZQ35" s="1247"/>
      <c r="DZR35" s="1247"/>
      <c r="DZS35" s="1247"/>
      <c r="DZT35" s="1247"/>
      <c r="DZU35" s="1247"/>
      <c r="DZV35" s="1247"/>
      <c r="DZW35" s="1247"/>
      <c r="DZX35" s="1247"/>
      <c r="DZY35" s="1247"/>
      <c r="DZZ35" s="1247"/>
      <c r="EAA35" s="1247"/>
      <c r="EAB35" s="1247"/>
      <c r="EAC35" s="1247"/>
      <c r="EAD35" s="1247"/>
      <c r="EAE35" s="1247"/>
      <c r="EAF35" s="1247"/>
      <c r="EAG35" s="1247"/>
      <c r="EAH35" s="1247"/>
      <c r="EAI35" s="1247"/>
      <c r="EAJ35" s="1247"/>
      <c r="EAK35" s="1247"/>
      <c r="EAL35" s="1247"/>
      <c r="EAM35" s="1247"/>
      <c r="EAN35" s="1247"/>
      <c r="EAO35" s="1247"/>
      <c r="EAP35" s="1247"/>
      <c r="EAQ35" s="1247"/>
      <c r="EAR35" s="1247"/>
      <c r="EAS35" s="1247"/>
      <c r="EAT35" s="1247"/>
      <c r="EAU35" s="1247"/>
      <c r="EAV35" s="1247"/>
      <c r="EAW35" s="1247"/>
      <c r="EAX35" s="1247"/>
      <c r="EAY35" s="1247"/>
      <c r="EAZ35" s="1247"/>
      <c r="EBA35" s="1247"/>
      <c r="EBB35" s="1247"/>
      <c r="EBC35" s="1247"/>
      <c r="EBD35" s="1247"/>
      <c r="EBE35" s="1247"/>
      <c r="EBF35" s="1247"/>
      <c r="EBG35" s="1247"/>
      <c r="EBH35" s="1247"/>
      <c r="EBI35" s="1247"/>
      <c r="EBJ35" s="1247"/>
      <c r="EBK35" s="1247"/>
      <c r="EBL35" s="1247"/>
      <c r="EBM35" s="1247"/>
      <c r="EBN35" s="1247"/>
      <c r="EBO35" s="1247"/>
      <c r="EBP35" s="1247"/>
      <c r="EBQ35" s="1247"/>
      <c r="EBR35" s="1247"/>
      <c r="EBS35" s="1247"/>
      <c r="EBT35" s="1247"/>
      <c r="EBU35" s="1247"/>
      <c r="EBV35" s="1247"/>
      <c r="EBW35" s="1247"/>
      <c r="EBX35" s="1247"/>
      <c r="EBY35" s="1247"/>
      <c r="EBZ35" s="1247"/>
      <c r="ECA35" s="1247"/>
      <c r="ECB35" s="1247"/>
      <c r="ECC35" s="1247"/>
      <c r="ECD35" s="1247"/>
      <c r="ECE35" s="1247"/>
      <c r="ECF35" s="1247"/>
      <c r="ECG35" s="1247"/>
      <c r="ECH35" s="1247"/>
      <c r="ECI35" s="1247"/>
      <c r="ECJ35" s="1247"/>
      <c r="ECK35" s="1247"/>
      <c r="ECL35" s="1247"/>
      <c r="ECM35" s="1247"/>
      <c r="ECN35" s="1247"/>
      <c r="ECO35" s="1247"/>
    </row>
    <row r="36" spans="2:3473" s="1248" customFormat="1" ht="13" outlineLevel="1">
      <c r="B36" s="1249" t="s">
        <v>509</v>
      </c>
      <c r="C36" s="1250">
        <v>1</v>
      </c>
      <c r="D36" s="1251" t="s">
        <v>65</v>
      </c>
      <c r="E36" s="1252">
        <f t="shared" si="47"/>
        <v>0</v>
      </c>
      <c r="F36" s="1252">
        <f t="shared" si="47"/>
        <v>0</v>
      </c>
      <c r="G36" s="1252">
        <f t="shared" si="47"/>
        <v>0</v>
      </c>
      <c r="H36" s="1252">
        <f t="shared" si="47"/>
        <v>98.898171076189428</v>
      </c>
      <c r="I36" s="1252">
        <f t="shared" si="47"/>
        <v>93.300161420000862</v>
      </c>
      <c r="J36" s="1252">
        <f t="shared" si="47"/>
        <v>5.5980096561885508</v>
      </c>
      <c r="K36" s="1252">
        <f t="shared" si="47"/>
        <v>0</v>
      </c>
      <c r="L36" s="1252">
        <f t="shared" si="47"/>
        <v>0</v>
      </c>
      <c r="M36" s="1252">
        <f t="shared" si="47"/>
        <v>0</v>
      </c>
      <c r="N36" s="1252" t="str">
        <f t="shared" si="47"/>
        <v/>
      </c>
      <c r="O36" s="1252" t="str">
        <f t="shared" si="47"/>
        <v/>
      </c>
      <c r="P36" s="1252" t="str">
        <f t="shared" si="47"/>
        <v/>
      </c>
      <c r="Q36" s="1252">
        <f t="shared" si="47"/>
        <v>98.898171076189428</v>
      </c>
      <c r="R36" s="1252">
        <f t="shared" si="47"/>
        <v>93.300161420000876</v>
      </c>
      <c r="S36" s="1252">
        <f t="shared" si="8"/>
        <v>5.5980096561885508</v>
      </c>
      <c r="T36" s="1252">
        <f t="shared" si="5"/>
        <v>98.898171076189442</v>
      </c>
      <c r="U36" s="1252">
        <f t="shared" si="5"/>
        <v>93.300161420000876</v>
      </c>
      <c r="V36" s="1252">
        <f t="shared" si="9"/>
        <v>5.59800965618855</v>
      </c>
      <c r="W36" s="1252" t="str">
        <f t="shared" si="10"/>
        <v/>
      </c>
      <c r="X36" s="1252" t="str">
        <f t="shared" si="10"/>
        <v/>
      </c>
      <c r="Y36" s="1252" t="str">
        <f t="shared" si="10"/>
        <v/>
      </c>
      <c r="Z36" s="1252">
        <f t="shared" si="11"/>
        <v>74.440226546950356</v>
      </c>
      <c r="AA36" s="1252">
        <f t="shared" si="11"/>
        <v>70.22662883847849</v>
      </c>
      <c r="AB36" s="1252">
        <f t="shared" si="11"/>
        <v>4.2135977084718768</v>
      </c>
      <c r="AC36" s="1252">
        <f t="shared" si="15"/>
        <v>98.898171076189428</v>
      </c>
      <c r="AD36" s="1260">
        <f t="shared" si="15"/>
        <v>93.300161420000876</v>
      </c>
      <c r="AE36" s="1260">
        <f t="shared" si="15"/>
        <v>5.59800965618855</v>
      </c>
      <c r="AF36" s="1254"/>
      <c r="AG36" s="1255"/>
      <c r="AH36" s="1255"/>
      <c r="AI36" s="1256">
        <f t="shared" si="41"/>
        <v>426.98246931348478</v>
      </c>
      <c r="AJ36" s="1256">
        <f>IF($BK36=0,0,$BK36*AJ$6/($BK$6-$AG$6-$AM$6))</f>
        <v>402.81365041390461</v>
      </c>
      <c r="AK36" s="1256">
        <f>IF($BL36=0,0,$BL36*AK$6/($BL$6-$AH$6-$AN$6))</f>
        <v>24.168818899580167</v>
      </c>
      <c r="AL36" s="1256"/>
      <c r="AM36" s="1256"/>
      <c r="AN36" s="1256"/>
      <c r="AO36" s="1256">
        <f t="shared" si="21"/>
        <v>0</v>
      </c>
      <c r="AP36" s="1256">
        <f>IF($BK36=0,0,$BK36*AP$6/($BK$6-$AG$6-$AM$6))</f>
        <v>0</v>
      </c>
      <c r="AQ36" s="1256">
        <f>IF($BL36=0,0,$BL36*AQ$6/($BL$6-$AH$6-$AN$6))</f>
        <v>0</v>
      </c>
      <c r="AR36" s="1256">
        <f t="shared" ref="AR36:AR43" si="60">AS36+AT36</f>
        <v>585.22379565674419</v>
      </c>
      <c r="AS36" s="1256">
        <f>IF($BK36=0,0,$BK36*AS$6/($BK$6-$AG$6-$AM$6))</f>
        <v>552.09792059284712</v>
      </c>
      <c r="AT36" s="1256">
        <f>IF($BL36=0,0,$BL36*AT$6/($BL$6-$AH$6-$AN$6))</f>
        <v>33.125875063897062</v>
      </c>
      <c r="AU36" s="1256">
        <f t="shared" ref="AU36:AU43" si="61">AV36+AW36</f>
        <v>10.472624029770929</v>
      </c>
      <c r="AV36" s="1256">
        <f>IF($BK36=0,0,$BK36*AV$6/($BK$6-$AG$6-$AM$6))</f>
        <v>9.8798339932481536</v>
      </c>
      <c r="AW36" s="1256">
        <f>IF($BL36=0,0,$BL36*AW$6/($BL$6-$AH$6-$AN$6))</f>
        <v>0.59279003652277418</v>
      </c>
      <c r="AX36" s="1256"/>
      <c r="AY36" s="1256"/>
      <c r="AZ36" s="1256"/>
      <c r="BA36" s="1257">
        <f t="shared" ref="BA36:BA43" si="62">BB36+BC36</f>
        <v>1022.6788889999998</v>
      </c>
      <c r="BB36" s="1257">
        <f t="shared" ref="BB36:BC41" si="63">AG36+AJ36+AM36+AP36+AS36+AV36+AY36</f>
        <v>964.79140499999983</v>
      </c>
      <c r="BC36" s="1257">
        <f t="shared" si="63"/>
        <v>57.887484000000001</v>
      </c>
      <c r="BD36" s="1256">
        <f>BE36+BF36</f>
        <v>0</v>
      </c>
      <c r="BE36" s="1256">
        <f>IF($BK36=0,0,$BK36*BE$6/($BK$6-$AG$6-$AM$6))</f>
        <v>0</v>
      </c>
      <c r="BF36" s="1256">
        <f>IF($BL36=0,0,$BL36*BF$6/($BL$6-$AH$6-$AN$6))</f>
        <v>0</v>
      </c>
      <c r="BG36" s="1256">
        <f>+BH36+BI36</f>
        <v>0</v>
      </c>
      <c r="BH36" s="1257">
        <f>+BE36</f>
        <v>0</v>
      </c>
      <c r="BI36" s="1257">
        <f>+BF36</f>
        <v>0</v>
      </c>
      <c r="BJ36" s="1257">
        <f>BK36+BL36</f>
        <v>1022.678889</v>
      </c>
      <c r="BK36" s="1256">
        <f>VLOOKUP($D36,'当期公摊测算表（全期）'!$D$9:$W$192,20,0)</f>
        <v>964.79140500000005</v>
      </c>
      <c r="BL36" s="1256">
        <f>VLOOKUP($D36,'当期公摊测算表（全期）'!$D$9:$W$192,19,0)</f>
        <v>57.887484000000008</v>
      </c>
      <c r="BM36" s="1262" t="s">
        <v>20</v>
      </c>
      <c r="BN36" s="1225">
        <f t="shared" si="12"/>
        <v>0</v>
      </c>
      <c r="BO36" s="1225">
        <f t="shared" si="13"/>
        <v>1.1368683772161603E-13</v>
      </c>
      <c r="BP36" s="1225">
        <f t="shared" si="14"/>
        <v>0</v>
      </c>
      <c r="BQ36" s="1225"/>
      <c r="BR36" s="1221"/>
      <c r="BS36" s="1221"/>
      <c r="BT36" s="1221"/>
      <c r="BU36" s="1221"/>
      <c r="BV36" s="1221"/>
      <c r="BW36" s="1221"/>
      <c r="BX36" s="1221"/>
      <c r="BY36" s="1221"/>
      <c r="BZ36" s="1221"/>
      <c r="CA36" s="1221"/>
      <c r="CB36" s="1221"/>
      <c r="CC36" s="1221"/>
      <c r="CD36" s="1221"/>
      <c r="CE36" s="1221"/>
      <c r="CF36" s="1221"/>
      <c r="CG36" s="1221"/>
      <c r="CH36" s="1221"/>
      <c r="CI36" s="1221"/>
      <c r="CJ36" s="1221"/>
      <c r="CK36" s="1221"/>
      <c r="CL36" s="1221"/>
      <c r="CM36" s="1221"/>
      <c r="CN36" s="1221"/>
      <c r="CO36" s="1221"/>
      <c r="CP36" s="1221"/>
      <c r="CQ36" s="1221"/>
      <c r="CR36" s="1221"/>
      <c r="CS36" s="1221"/>
      <c r="CT36" s="1221"/>
      <c r="CU36" s="1221"/>
      <c r="CV36" s="1221"/>
      <c r="CW36" s="1221"/>
      <c r="CX36" s="1221"/>
      <c r="CY36" s="1221"/>
      <c r="CZ36" s="1221"/>
      <c r="DA36" s="1221"/>
      <c r="DB36" s="1221"/>
      <c r="DC36" s="1221"/>
      <c r="DD36" s="1221"/>
      <c r="DE36" s="1221"/>
      <c r="DF36" s="1221"/>
      <c r="DG36" s="1221"/>
      <c r="DH36" s="1221"/>
      <c r="DI36" s="1221"/>
      <c r="DJ36" s="1221"/>
      <c r="DK36" s="1221"/>
      <c r="DL36" s="1221"/>
      <c r="DM36" s="1221"/>
      <c r="DN36" s="1221"/>
      <c r="DO36" s="1221"/>
      <c r="DP36" s="1221"/>
      <c r="DQ36" s="1221"/>
      <c r="DR36" s="1221"/>
      <c r="DS36" s="1221"/>
      <c r="DT36" s="1221"/>
      <c r="DU36" s="1221"/>
      <c r="DV36" s="1221"/>
      <c r="DW36" s="1221"/>
      <c r="DX36" s="1221"/>
      <c r="DY36" s="1221"/>
      <c r="DZ36" s="1221"/>
      <c r="EA36" s="1221"/>
      <c r="EB36" s="1221"/>
      <c r="EC36" s="1221"/>
      <c r="ED36" s="1221"/>
      <c r="EE36" s="1221"/>
      <c r="EF36" s="1221"/>
      <c r="EG36" s="1221"/>
      <c r="EH36" s="1221"/>
      <c r="EI36" s="1221"/>
      <c r="EJ36" s="1221"/>
      <c r="EK36" s="1221"/>
      <c r="EL36" s="1221"/>
      <c r="EM36" s="1221"/>
      <c r="EN36" s="1221"/>
      <c r="EO36" s="1221"/>
      <c r="EP36" s="1221"/>
      <c r="EQ36" s="1221"/>
      <c r="ER36" s="1221"/>
      <c r="ES36" s="1221"/>
      <c r="ET36" s="1221"/>
      <c r="EU36" s="1221"/>
      <c r="EV36" s="1221"/>
      <c r="EW36" s="1221"/>
      <c r="EX36" s="1221"/>
      <c r="EY36" s="1221"/>
      <c r="EZ36" s="1221"/>
      <c r="FA36" s="1221"/>
      <c r="FB36" s="1221"/>
      <c r="FC36" s="1221"/>
      <c r="FD36" s="1221"/>
      <c r="FE36" s="1221"/>
      <c r="FF36" s="1221"/>
      <c r="FG36" s="1221"/>
      <c r="FH36" s="1221"/>
      <c r="FI36" s="1221"/>
      <c r="FJ36" s="1221"/>
      <c r="FK36" s="1221"/>
      <c r="FL36" s="1221"/>
      <c r="FM36" s="1221"/>
      <c r="FN36" s="1221"/>
      <c r="FO36" s="1221"/>
      <c r="FP36" s="1221"/>
      <c r="FQ36" s="1221"/>
      <c r="FR36" s="1221"/>
      <c r="FS36" s="1221"/>
      <c r="FT36" s="1221"/>
      <c r="FU36" s="1221"/>
      <c r="FV36" s="1221"/>
      <c r="FW36" s="1221"/>
      <c r="FX36" s="1221"/>
      <c r="FY36" s="1221"/>
      <c r="FZ36" s="1221"/>
      <c r="GA36" s="1221"/>
      <c r="GB36" s="1221"/>
      <c r="GC36" s="1221"/>
      <c r="GD36" s="1221"/>
      <c r="GE36" s="1221"/>
      <c r="GF36" s="1221"/>
      <c r="GG36" s="1221"/>
      <c r="GH36" s="1221"/>
      <c r="GI36" s="1221"/>
      <c r="GJ36" s="1221"/>
      <c r="GK36" s="1221"/>
      <c r="GL36" s="1221"/>
      <c r="GM36" s="1221"/>
      <c r="GN36" s="1221"/>
      <c r="GO36" s="1221"/>
      <c r="GP36" s="1221"/>
      <c r="GQ36" s="1221"/>
      <c r="GR36" s="1221"/>
      <c r="GS36" s="1221"/>
      <c r="GT36" s="1221"/>
      <c r="GU36" s="1221"/>
      <c r="GV36" s="1221"/>
      <c r="GW36" s="1221"/>
      <c r="GX36" s="1221"/>
      <c r="GY36" s="1221"/>
      <c r="GZ36" s="1221"/>
      <c r="HA36" s="1221"/>
      <c r="HB36" s="1221"/>
      <c r="HC36" s="1221"/>
      <c r="HD36" s="1221"/>
      <c r="HE36" s="1221"/>
      <c r="HF36" s="1221"/>
      <c r="HG36" s="1221"/>
      <c r="HH36" s="1221"/>
      <c r="HI36" s="1221"/>
      <c r="HJ36" s="1221"/>
      <c r="HK36" s="1221"/>
      <c r="HL36" s="1221"/>
      <c r="HM36" s="1221"/>
      <c r="HN36" s="1221"/>
      <c r="HO36" s="1221"/>
      <c r="HP36" s="1221"/>
      <c r="HQ36" s="1221"/>
      <c r="HR36" s="1221"/>
      <c r="HS36" s="1221"/>
      <c r="HT36" s="1221"/>
      <c r="HU36" s="1221"/>
      <c r="HV36" s="1221"/>
      <c r="HW36" s="1221"/>
      <c r="HX36" s="1221"/>
      <c r="HY36" s="1221"/>
      <c r="HZ36" s="1221"/>
      <c r="IA36" s="1221"/>
      <c r="IB36" s="1221"/>
      <c r="IC36" s="1221"/>
      <c r="ID36" s="1221"/>
      <c r="IE36" s="1221"/>
      <c r="IF36" s="1221"/>
      <c r="IG36" s="1221"/>
      <c r="IH36" s="1221"/>
      <c r="II36" s="1221"/>
      <c r="IJ36" s="1221"/>
      <c r="IK36" s="1221"/>
      <c r="IL36" s="1221"/>
      <c r="IM36" s="1221"/>
      <c r="IN36" s="1221"/>
      <c r="IO36" s="1221"/>
      <c r="IP36" s="1221"/>
      <c r="IQ36" s="1221"/>
      <c r="IR36" s="1221"/>
      <c r="IS36" s="1221"/>
      <c r="IT36" s="1221"/>
      <c r="IU36" s="1221"/>
      <c r="IV36" s="1221"/>
      <c r="IW36" s="1221"/>
      <c r="IX36" s="1221"/>
      <c r="IY36" s="1221"/>
      <c r="IZ36" s="1221"/>
      <c r="JA36" s="1221"/>
      <c r="JB36" s="1221"/>
      <c r="JC36" s="1221"/>
      <c r="JD36" s="1221"/>
      <c r="JE36" s="1221"/>
      <c r="JF36" s="1221"/>
      <c r="JG36" s="1221"/>
      <c r="JH36" s="1221"/>
      <c r="JI36" s="1221"/>
      <c r="JJ36" s="1221"/>
      <c r="JK36" s="1221"/>
      <c r="JL36" s="1221"/>
      <c r="JM36" s="1221"/>
      <c r="JN36" s="1221"/>
      <c r="JO36" s="1221"/>
      <c r="JP36" s="1221"/>
      <c r="JQ36" s="1221"/>
      <c r="JR36" s="1221"/>
      <c r="JS36" s="1221"/>
      <c r="JT36" s="1221"/>
      <c r="JU36" s="1221"/>
      <c r="JV36" s="1221"/>
      <c r="JW36" s="1221"/>
      <c r="JX36" s="1221"/>
      <c r="JY36" s="1221"/>
      <c r="JZ36" s="1221"/>
      <c r="KA36" s="1221"/>
      <c r="KB36" s="1221"/>
      <c r="KC36" s="1221"/>
      <c r="KD36" s="1221"/>
      <c r="KE36" s="1221"/>
      <c r="KF36" s="1221"/>
      <c r="KG36" s="1221"/>
      <c r="KH36" s="1221"/>
      <c r="KI36" s="1221"/>
      <c r="KJ36" s="1221"/>
      <c r="KK36" s="1221"/>
      <c r="KL36" s="1221"/>
      <c r="KM36" s="1221"/>
      <c r="KN36" s="1221"/>
      <c r="KO36" s="1221"/>
      <c r="KP36" s="1221"/>
      <c r="KQ36" s="1221"/>
      <c r="KR36" s="1221"/>
      <c r="KS36" s="1221"/>
      <c r="KT36" s="1221"/>
      <c r="KU36" s="1221"/>
      <c r="KV36" s="1221"/>
      <c r="KW36" s="1221"/>
      <c r="KX36" s="1221"/>
      <c r="KY36" s="1221"/>
      <c r="KZ36" s="1221"/>
      <c r="LA36" s="1221"/>
      <c r="LB36" s="1221"/>
      <c r="LC36" s="1221"/>
      <c r="LD36" s="1221"/>
      <c r="LE36" s="1221"/>
      <c r="LF36" s="1221"/>
      <c r="LG36" s="1221"/>
      <c r="LH36" s="1221"/>
      <c r="LI36" s="1221"/>
      <c r="LJ36" s="1221"/>
      <c r="LK36" s="1221"/>
      <c r="LL36" s="1221"/>
      <c r="LM36" s="1221"/>
      <c r="LN36" s="1221"/>
      <c r="LO36" s="1221"/>
      <c r="LP36" s="1221"/>
      <c r="LQ36" s="1221"/>
      <c r="LR36" s="1221"/>
      <c r="LS36" s="1221"/>
      <c r="LT36" s="1221"/>
      <c r="LU36" s="1221"/>
      <c r="LV36" s="1221"/>
      <c r="LW36" s="1221"/>
      <c r="LX36" s="1221"/>
      <c r="LY36" s="1221"/>
      <c r="LZ36" s="1221"/>
      <c r="MA36" s="1221"/>
      <c r="MB36" s="1221"/>
      <c r="MC36" s="1221"/>
      <c r="MD36" s="1221"/>
      <c r="ME36" s="1221"/>
      <c r="MF36" s="1221"/>
      <c r="MG36" s="1221"/>
      <c r="MH36" s="1221"/>
      <c r="MI36" s="1221"/>
      <c r="MJ36" s="1221"/>
      <c r="MK36" s="1221"/>
      <c r="ML36" s="1221"/>
      <c r="MM36" s="1221"/>
      <c r="MN36" s="1221"/>
      <c r="MO36" s="1221"/>
      <c r="MP36" s="1221"/>
      <c r="MQ36" s="1221"/>
      <c r="MR36" s="1221"/>
      <c r="MS36" s="1221"/>
      <c r="MT36" s="1221"/>
      <c r="MU36" s="1221"/>
      <c r="MV36" s="1221"/>
      <c r="MW36" s="1221"/>
      <c r="MX36" s="1221"/>
      <c r="MY36" s="1221"/>
      <c r="MZ36" s="1221"/>
      <c r="NA36" s="1221"/>
      <c r="NB36" s="1221"/>
      <c r="NC36" s="1221"/>
      <c r="ND36" s="1221"/>
      <c r="NE36" s="1221"/>
      <c r="NF36" s="1221"/>
      <c r="NG36" s="1221"/>
      <c r="NH36" s="1221"/>
      <c r="NI36" s="1221"/>
      <c r="NJ36" s="1221"/>
      <c r="NK36" s="1221"/>
      <c r="NL36" s="1221"/>
      <c r="NM36" s="1221"/>
      <c r="NN36" s="1221"/>
      <c r="NO36" s="1221"/>
      <c r="NP36" s="1221"/>
      <c r="NQ36" s="1221"/>
      <c r="NR36" s="1221"/>
      <c r="NS36" s="1221"/>
      <c r="NT36" s="1221"/>
      <c r="NU36" s="1221"/>
      <c r="NV36" s="1221"/>
      <c r="NW36" s="1221"/>
      <c r="NX36" s="1221"/>
      <c r="NY36" s="1221"/>
      <c r="NZ36" s="1221"/>
      <c r="OA36" s="1221"/>
      <c r="OB36" s="1221"/>
      <c r="OC36" s="1221"/>
      <c r="OD36" s="1221"/>
      <c r="OE36" s="1221"/>
      <c r="OF36" s="1221"/>
      <c r="OG36" s="1221"/>
      <c r="OH36" s="1221"/>
      <c r="OI36" s="1221"/>
      <c r="OJ36" s="1221"/>
      <c r="OK36" s="1221"/>
      <c r="OL36" s="1221"/>
      <c r="OM36" s="1221"/>
      <c r="ON36" s="1221"/>
      <c r="OO36" s="1221"/>
      <c r="OP36" s="1221"/>
      <c r="OQ36" s="1221"/>
      <c r="OR36" s="1221"/>
      <c r="OS36" s="1221"/>
      <c r="OT36" s="1221"/>
      <c r="OU36" s="1221"/>
      <c r="OV36" s="1221"/>
      <c r="OW36" s="1221"/>
      <c r="OX36" s="1221"/>
      <c r="OY36" s="1221"/>
      <c r="OZ36" s="1221"/>
      <c r="PA36" s="1221"/>
      <c r="PB36" s="1221"/>
      <c r="PC36" s="1221"/>
      <c r="PD36" s="1221"/>
      <c r="PE36" s="1221"/>
      <c r="PF36" s="1221"/>
      <c r="PG36" s="1221"/>
      <c r="PH36" s="1221"/>
      <c r="PI36" s="1221"/>
      <c r="PJ36" s="1221"/>
      <c r="PK36" s="1221"/>
      <c r="PL36" s="1221"/>
      <c r="PM36" s="1221"/>
      <c r="PN36" s="1221"/>
      <c r="PO36" s="1221"/>
      <c r="PP36" s="1221"/>
      <c r="PQ36" s="1221"/>
      <c r="PR36" s="1221"/>
      <c r="PS36" s="1221"/>
      <c r="PT36" s="1221"/>
      <c r="PU36" s="1221"/>
      <c r="PV36" s="1221"/>
      <c r="PW36" s="1221"/>
      <c r="PX36" s="1221"/>
      <c r="PY36" s="1221"/>
      <c r="PZ36" s="1221"/>
      <c r="QA36" s="1221"/>
      <c r="QB36" s="1221"/>
      <c r="QC36" s="1221"/>
      <c r="QD36" s="1221"/>
      <c r="QE36" s="1221"/>
      <c r="QF36" s="1221"/>
      <c r="QG36" s="1221"/>
      <c r="QH36" s="1221"/>
      <c r="QI36" s="1221"/>
      <c r="QJ36" s="1221"/>
      <c r="QK36" s="1221"/>
      <c r="QL36" s="1221"/>
      <c r="QM36" s="1221"/>
      <c r="QN36" s="1221"/>
      <c r="QO36" s="1221"/>
      <c r="QP36" s="1221"/>
      <c r="QQ36" s="1221"/>
      <c r="QR36" s="1221"/>
      <c r="QS36" s="1221"/>
      <c r="QT36" s="1221"/>
      <c r="QU36" s="1221"/>
      <c r="QV36" s="1221"/>
      <c r="QW36" s="1221"/>
      <c r="QX36" s="1221"/>
      <c r="QY36" s="1221"/>
      <c r="QZ36" s="1221"/>
      <c r="RA36" s="1221"/>
      <c r="RB36" s="1221"/>
      <c r="RC36" s="1221"/>
      <c r="RD36" s="1221"/>
      <c r="RE36" s="1221"/>
      <c r="RF36" s="1221"/>
      <c r="RG36" s="1221"/>
      <c r="RH36" s="1221"/>
      <c r="RI36" s="1221"/>
      <c r="RJ36" s="1221"/>
      <c r="RK36" s="1221"/>
      <c r="RL36" s="1221"/>
      <c r="RM36" s="1221"/>
      <c r="RN36" s="1221"/>
      <c r="RO36" s="1221"/>
      <c r="RP36" s="1221"/>
      <c r="RQ36" s="1221"/>
      <c r="RR36" s="1221"/>
      <c r="RS36" s="1221"/>
      <c r="RT36" s="1221"/>
      <c r="RU36" s="1221"/>
      <c r="RV36" s="1221"/>
      <c r="RW36" s="1221"/>
      <c r="RX36" s="1221"/>
      <c r="RY36" s="1221"/>
      <c r="RZ36" s="1221"/>
      <c r="SA36" s="1221"/>
      <c r="SB36" s="1221"/>
      <c r="SC36" s="1221"/>
      <c r="SD36" s="1221"/>
      <c r="SE36" s="1221"/>
      <c r="SF36" s="1221"/>
      <c r="SG36" s="1221"/>
      <c r="SH36" s="1221"/>
      <c r="SI36" s="1221"/>
      <c r="SJ36" s="1221"/>
      <c r="SK36" s="1221"/>
      <c r="SL36" s="1221"/>
      <c r="SM36" s="1221"/>
      <c r="SN36" s="1221"/>
      <c r="SO36" s="1221"/>
      <c r="SP36" s="1221"/>
      <c r="SQ36" s="1221"/>
      <c r="SR36" s="1221"/>
      <c r="SS36" s="1221"/>
      <c r="ST36" s="1221"/>
      <c r="SU36" s="1221"/>
      <c r="SV36" s="1221"/>
      <c r="SW36" s="1221"/>
      <c r="SX36" s="1221"/>
      <c r="SY36" s="1221"/>
      <c r="SZ36" s="1221"/>
      <c r="TA36" s="1221"/>
      <c r="TB36" s="1221"/>
      <c r="TC36" s="1221"/>
      <c r="TD36" s="1221"/>
      <c r="TE36" s="1221"/>
      <c r="TF36" s="1221"/>
      <c r="TG36" s="1221"/>
      <c r="TH36" s="1221"/>
      <c r="TI36" s="1221"/>
      <c r="TJ36" s="1221"/>
      <c r="TK36" s="1221"/>
      <c r="TL36" s="1221"/>
      <c r="TM36" s="1221"/>
      <c r="TN36" s="1221"/>
      <c r="TO36" s="1221"/>
      <c r="TP36" s="1221"/>
      <c r="TQ36" s="1221"/>
      <c r="TR36" s="1221"/>
      <c r="TS36" s="1221"/>
      <c r="TT36" s="1221"/>
      <c r="TU36" s="1221"/>
      <c r="TV36" s="1221"/>
      <c r="TW36" s="1221"/>
      <c r="TX36" s="1221"/>
      <c r="TY36" s="1221"/>
      <c r="TZ36" s="1221"/>
      <c r="UA36" s="1221"/>
      <c r="UB36" s="1221"/>
      <c r="UC36" s="1221"/>
      <c r="UD36" s="1221"/>
      <c r="UE36" s="1221"/>
      <c r="UF36" s="1221"/>
      <c r="UG36" s="1221"/>
      <c r="UH36" s="1221"/>
      <c r="UI36" s="1221"/>
      <c r="UJ36" s="1221"/>
      <c r="UK36" s="1221"/>
      <c r="UL36" s="1221"/>
      <c r="UM36" s="1221"/>
      <c r="UN36" s="1221"/>
      <c r="UO36" s="1221"/>
      <c r="UP36" s="1221"/>
      <c r="UQ36" s="1221"/>
      <c r="UR36" s="1221"/>
      <c r="US36" s="1221"/>
      <c r="UT36" s="1221"/>
      <c r="UU36" s="1221"/>
      <c r="UV36" s="1221"/>
      <c r="UW36" s="1221"/>
      <c r="UX36" s="1221"/>
      <c r="UY36" s="1221"/>
      <c r="UZ36" s="1221"/>
      <c r="VA36" s="1221"/>
      <c r="VB36" s="1221"/>
      <c r="VC36" s="1221"/>
      <c r="VD36" s="1221"/>
      <c r="VE36" s="1221"/>
      <c r="VF36" s="1221"/>
      <c r="VG36" s="1221"/>
      <c r="VH36" s="1221"/>
      <c r="VI36" s="1221"/>
      <c r="VJ36" s="1221"/>
      <c r="VK36" s="1221"/>
      <c r="VL36" s="1221"/>
      <c r="VM36" s="1221"/>
      <c r="VN36" s="1221"/>
      <c r="VO36" s="1221"/>
      <c r="VP36" s="1221"/>
      <c r="VQ36" s="1221"/>
      <c r="VR36" s="1221"/>
      <c r="VS36" s="1221"/>
      <c r="VT36" s="1221"/>
      <c r="VU36" s="1221"/>
      <c r="VV36" s="1221"/>
      <c r="VW36" s="1221"/>
      <c r="VX36" s="1221"/>
      <c r="VY36" s="1221"/>
      <c r="VZ36" s="1221"/>
      <c r="WA36" s="1221"/>
      <c r="WB36" s="1221"/>
      <c r="WC36" s="1221"/>
      <c r="WD36" s="1221"/>
      <c r="WE36" s="1221"/>
      <c r="WF36" s="1221"/>
      <c r="WG36" s="1221"/>
      <c r="WH36" s="1221"/>
      <c r="WI36" s="1221"/>
      <c r="WJ36" s="1221"/>
      <c r="WK36" s="1221"/>
      <c r="WL36" s="1221"/>
      <c r="WM36" s="1221"/>
      <c r="WN36" s="1221"/>
      <c r="WO36" s="1221"/>
      <c r="WP36" s="1221"/>
      <c r="WQ36" s="1221"/>
      <c r="WR36" s="1221"/>
      <c r="WS36" s="1221"/>
      <c r="WT36" s="1221"/>
      <c r="WU36" s="1221"/>
      <c r="WV36" s="1221"/>
      <c r="WW36" s="1221"/>
      <c r="WX36" s="1221"/>
      <c r="WY36" s="1221"/>
      <c r="WZ36" s="1221"/>
      <c r="XA36" s="1221"/>
      <c r="XB36" s="1221"/>
      <c r="XC36" s="1221"/>
      <c r="XD36" s="1221"/>
      <c r="XE36" s="1221"/>
      <c r="XF36" s="1221"/>
      <c r="XG36" s="1221"/>
      <c r="XH36" s="1221"/>
      <c r="XI36" s="1221"/>
      <c r="XJ36" s="1221"/>
      <c r="XK36" s="1221"/>
      <c r="XL36" s="1221"/>
      <c r="XM36" s="1221"/>
      <c r="XN36" s="1221"/>
      <c r="XO36" s="1221"/>
      <c r="XP36" s="1221"/>
      <c r="XQ36" s="1221"/>
      <c r="XR36" s="1221"/>
      <c r="XS36" s="1221"/>
      <c r="XT36" s="1221"/>
      <c r="XU36" s="1221"/>
      <c r="XV36" s="1221"/>
      <c r="XW36" s="1221"/>
      <c r="XX36" s="1221"/>
      <c r="XY36" s="1221"/>
      <c r="XZ36" s="1221"/>
      <c r="YA36" s="1221"/>
      <c r="YB36" s="1221"/>
      <c r="YC36" s="1221"/>
      <c r="YD36" s="1221"/>
      <c r="YE36" s="1221"/>
      <c r="YF36" s="1221"/>
      <c r="YG36" s="1221"/>
      <c r="YH36" s="1221"/>
      <c r="YI36" s="1221"/>
      <c r="YJ36" s="1221"/>
      <c r="YK36" s="1221"/>
      <c r="YL36" s="1221"/>
      <c r="YM36" s="1221"/>
      <c r="YN36" s="1221"/>
      <c r="YO36" s="1221"/>
      <c r="YP36" s="1221"/>
      <c r="YQ36" s="1221"/>
      <c r="YR36" s="1221"/>
      <c r="YS36" s="1221"/>
      <c r="YT36" s="1221"/>
      <c r="YU36" s="1221"/>
      <c r="YV36" s="1221"/>
      <c r="YW36" s="1221"/>
      <c r="YX36" s="1221"/>
      <c r="YY36" s="1221"/>
      <c r="YZ36" s="1221"/>
      <c r="ZA36" s="1221"/>
      <c r="ZB36" s="1221"/>
      <c r="ZC36" s="1221"/>
      <c r="ZD36" s="1221"/>
      <c r="ZE36" s="1221"/>
      <c r="ZF36" s="1221"/>
      <c r="ZG36" s="1221"/>
      <c r="ZH36" s="1221"/>
      <c r="ZI36" s="1221"/>
      <c r="ZJ36" s="1221"/>
      <c r="ZK36" s="1221"/>
      <c r="ZL36" s="1221"/>
      <c r="ZM36" s="1221"/>
      <c r="ZN36" s="1221"/>
      <c r="ZO36" s="1221"/>
      <c r="ZP36" s="1221"/>
      <c r="ZQ36" s="1221"/>
      <c r="ZR36" s="1221"/>
      <c r="ZS36" s="1221"/>
      <c r="ZT36" s="1221"/>
      <c r="ZU36" s="1221"/>
      <c r="ZV36" s="1221"/>
      <c r="ZW36" s="1221"/>
      <c r="ZX36" s="1221"/>
      <c r="ZY36" s="1221"/>
      <c r="ZZ36" s="1221"/>
      <c r="AAA36" s="1221"/>
      <c r="AAB36" s="1221"/>
      <c r="AAC36" s="1221"/>
      <c r="AAD36" s="1221"/>
      <c r="AAE36" s="1221"/>
      <c r="AAF36" s="1221"/>
      <c r="AAG36" s="1221"/>
      <c r="AAH36" s="1221"/>
      <c r="AAI36" s="1221"/>
      <c r="AAJ36" s="1221"/>
      <c r="AAK36" s="1221"/>
      <c r="AAL36" s="1221"/>
      <c r="AAM36" s="1221"/>
      <c r="AAN36" s="1221"/>
      <c r="AAO36" s="1221"/>
      <c r="AAP36" s="1221"/>
      <c r="AAQ36" s="1221"/>
      <c r="AAR36" s="1221"/>
      <c r="AAS36" s="1221"/>
      <c r="AAT36" s="1221"/>
      <c r="AAU36" s="1221"/>
      <c r="AAV36" s="1221"/>
      <c r="AAW36" s="1221"/>
      <c r="AAX36" s="1221"/>
      <c r="AAY36" s="1221"/>
      <c r="AAZ36" s="1221"/>
      <c r="ABA36" s="1221"/>
      <c r="ABB36" s="1221"/>
      <c r="ABC36" s="1221"/>
      <c r="ABD36" s="1221"/>
      <c r="ABE36" s="1221"/>
      <c r="ABF36" s="1221"/>
      <c r="ABG36" s="1221"/>
      <c r="ABH36" s="1221"/>
      <c r="ABI36" s="1221"/>
      <c r="ABJ36" s="1221"/>
      <c r="ABK36" s="1221"/>
      <c r="ABL36" s="1221"/>
      <c r="ABM36" s="1221"/>
      <c r="ABN36" s="1221"/>
      <c r="ABO36" s="1221"/>
      <c r="ABP36" s="1221"/>
      <c r="ABQ36" s="1221"/>
      <c r="ABR36" s="1221"/>
      <c r="ABS36" s="1221"/>
      <c r="ABT36" s="1221"/>
      <c r="ABU36" s="1221"/>
      <c r="ABV36" s="1221"/>
      <c r="ABW36" s="1221"/>
      <c r="ABX36" s="1221"/>
      <c r="ABY36" s="1221"/>
      <c r="ABZ36" s="1221"/>
      <c r="ACA36" s="1221"/>
      <c r="ACB36" s="1221"/>
      <c r="ACC36" s="1221"/>
      <c r="ACD36" s="1221"/>
      <c r="ACE36" s="1221"/>
      <c r="ACF36" s="1221"/>
      <c r="ACG36" s="1221"/>
      <c r="ACH36" s="1221"/>
      <c r="ACI36" s="1221"/>
      <c r="ACJ36" s="1221"/>
      <c r="ACK36" s="1221"/>
      <c r="ACL36" s="1221"/>
      <c r="ACM36" s="1221"/>
      <c r="ACN36" s="1221"/>
      <c r="ACO36" s="1221"/>
      <c r="ACP36" s="1221"/>
      <c r="ACQ36" s="1221"/>
      <c r="ACR36" s="1221"/>
      <c r="ACS36" s="1221"/>
      <c r="ACT36" s="1221"/>
      <c r="ACU36" s="1221"/>
      <c r="ACV36" s="1221"/>
      <c r="ACW36" s="1221"/>
      <c r="ACX36" s="1221"/>
      <c r="ACY36" s="1221"/>
      <c r="ACZ36" s="1221"/>
      <c r="ADA36" s="1221"/>
      <c r="ADB36" s="1221"/>
      <c r="ADC36" s="1221"/>
      <c r="ADD36" s="1221"/>
      <c r="ADE36" s="1221"/>
      <c r="ADF36" s="1221"/>
      <c r="ADG36" s="1221"/>
      <c r="ADH36" s="1221"/>
      <c r="ADI36" s="1221"/>
      <c r="ADJ36" s="1221"/>
      <c r="ADK36" s="1221"/>
      <c r="ADL36" s="1221"/>
      <c r="ADM36" s="1221"/>
      <c r="ADN36" s="1221"/>
      <c r="ADO36" s="1221"/>
      <c r="ADP36" s="1221"/>
      <c r="ADQ36" s="1221"/>
      <c r="ADR36" s="1221"/>
      <c r="ADS36" s="1221"/>
      <c r="ADT36" s="1221"/>
      <c r="ADU36" s="1221"/>
      <c r="ADV36" s="1221"/>
      <c r="ADW36" s="1221"/>
      <c r="ADX36" s="1221"/>
      <c r="ADY36" s="1221"/>
      <c r="ADZ36" s="1221"/>
      <c r="AEA36" s="1221"/>
      <c r="AEB36" s="1221"/>
      <c r="AEC36" s="1221"/>
      <c r="AED36" s="1221"/>
      <c r="AEE36" s="1221"/>
      <c r="AEF36" s="1221"/>
      <c r="AEG36" s="1221"/>
      <c r="AEH36" s="1221"/>
      <c r="AEI36" s="1221"/>
      <c r="AEJ36" s="1221"/>
      <c r="AEK36" s="1221"/>
      <c r="AEL36" s="1221"/>
      <c r="AEM36" s="1221"/>
      <c r="AEN36" s="1221"/>
      <c r="AEO36" s="1221"/>
      <c r="AEP36" s="1221"/>
      <c r="AEQ36" s="1221"/>
      <c r="AER36" s="1221"/>
      <c r="AES36" s="1221"/>
      <c r="AET36" s="1221"/>
      <c r="AEU36" s="1221"/>
      <c r="AEV36" s="1221"/>
      <c r="AEW36" s="1221"/>
      <c r="AEX36" s="1221"/>
      <c r="AEY36" s="1221"/>
      <c r="AEZ36" s="1221"/>
      <c r="AFA36" s="1221"/>
      <c r="AFB36" s="1221"/>
      <c r="AFC36" s="1221"/>
      <c r="AFD36" s="1221"/>
      <c r="AFE36" s="1221"/>
      <c r="AFF36" s="1221"/>
      <c r="AFG36" s="1221"/>
      <c r="AFH36" s="1221"/>
      <c r="AFI36" s="1221"/>
      <c r="AFJ36" s="1221"/>
      <c r="AFK36" s="1221"/>
      <c r="AFL36" s="1221"/>
      <c r="AFM36" s="1221"/>
      <c r="AFN36" s="1221"/>
      <c r="AFO36" s="1221"/>
      <c r="AFP36" s="1221"/>
      <c r="AFQ36" s="1221"/>
      <c r="AFR36" s="1221"/>
      <c r="AFS36" s="1221"/>
      <c r="AFT36" s="1221"/>
      <c r="AFU36" s="1221"/>
      <c r="AFV36" s="1221"/>
      <c r="AFW36" s="1221"/>
      <c r="AFX36" s="1221"/>
      <c r="AFY36" s="1221"/>
      <c r="AFZ36" s="1221"/>
      <c r="AGA36" s="1221"/>
      <c r="AGB36" s="1221"/>
      <c r="AGC36" s="1221"/>
      <c r="AGD36" s="1221"/>
      <c r="AGE36" s="1221"/>
      <c r="AGF36" s="1221"/>
      <c r="AGG36" s="1221"/>
      <c r="AGH36" s="1221"/>
      <c r="AGI36" s="1221"/>
      <c r="AGJ36" s="1221"/>
      <c r="AGK36" s="1221"/>
      <c r="AGL36" s="1221"/>
      <c r="AGM36" s="1221"/>
      <c r="AGN36" s="1221"/>
      <c r="AGO36" s="1221"/>
      <c r="AGP36" s="1221"/>
      <c r="AGQ36" s="1221"/>
      <c r="AGR36" s="1221"/>
      <c r="AGS36" s="1221"/>
      <c r="AGT36" s="1221"/>
      <c r="AGU36" s="1221"/>
      <c r="AGV36" s="1221"/>
      <c r="AGW36" s="1221"/>
      <c r="AGX36" s="1221"/>
      <c r="AGY36" s="1221"/>
      <c r="AGZ36" s="1221"/>
      <c r="AHA36" s="1221"/>
      <c r="AHB36" s="1221"/>
      <c r="AHC36" s="1221"/>
      <c r="AHD36" s="1221"/>
      <c r="AHE36" s="1221"/>
      <c r="AHF36" s="1221"/>
      <c r="AHG36" s="1221"/>
      <c r="AHH36" s="1221"/>
      <c r="AHI36" s="1221"/>
      <c r="AHJ36" s="1221"/>
      <c r="AHK36" s="1221"/>
      <c r="AHL36" s="1221"/>
      <c r="AHM36" s="1221"/>
      <c r="AHN36" s="1221"/>
      <c r="AHO36" s="1221"/>
      <c r="AHP36" s="1221"/>
      <c r="AHQ36" s="1221"/>
      <c r="AHR36" s="1221"/>
      <c r="AHS36" s="1221"/>
      <c r="AHT36" s="1221"/>
      <c r="AHU36" s="1221"/>
      <c r="AHV36" s="1221"/>
      <c r="AHW36" s="1221"/>
      <c r="AHX36" s="1221"/>
      <c r="AHY36" s="1221"/>
      <c r="AHZ36" s="1221"/>
      <c r="AIA36" s="1221"/>
      <c r="AIB36" s="1221"/>
      <c r="AIC36" s="1221"/>
      <c r="AID36" s="1221"/>
      <c r="AIE36" s="1221"/>
      <c r="AIF36" s="1221"/>
      <c r="AIG36" s="1221"/>
      <c r="AIH36" s="1221"/>
      <c r="AII36" s="1221"/>
      <c r="AIJ36" s="1221"/>
      <c r="AIK36" s="1221"/>
      <c r="AIL36" s="1221"/>
      <c r="AIM36" s="1221"/>
      <c r="AIN36" s="1221"/>
      <c r="AIO36" s="1221"/>
      <c r="AIP36" s="1221"/>
      <c r="AIQ36" s="1221"/>
      <c r="AIR36" s="1221"/>
      <c r="AIS36" s="1221"/>
      <c r="AIT36" s="1221"/>
      <c r="AIU36" s="1221"/>
      <c r="AIV36" s="1221"/>
      <c r="AIW36" s="1221"/>
      <c r="AIX36" s="1221"/>
      <c r="AIY36" s="1221"/>
      <c r="AIZ36" s="1221"/>
      <c r="AJA36" s="1221"/>
      <c r="AJB36" s="1221"/>
      <c r="AJC36" s="1221"/>
      <c r="AJD36" s="1221"/>
      <c r="AJE36" s="1221"/>
      <c r="AJF36" s="1221"/>
      <c r="AJG36" s="1221"/>
      <c r="AJH36" s="1221"/>
      <c r="AJI36" s="1221"/>
      <c r="AJJ36" s="1221"/>
      <c r="AJK36" s="1221"/>
      <c r="AJL36" s="1221"/>
      <c r="AJM36" s="1221"/>
      <c r="AJN36" s="1221"/>
      <c r="AJO36" s="1221"/>
      <c r="AJP36" s="1221"/>
      <c r="AJQ36" s="1221"/>
      <c r="AJR36" s="1221"/>
      <c r="AJS36" s="1221"/>
      <c r="AJT36" s="1221"/>
      <c r="AJU36" s="1221"/>
      <c r="AJV36" s="1221"/>
      <c r="AJW36" s="1221"/>
      <c r="AJX36" s="1221"/>
      <c r="AJY36" s="1221"/>
      <c r="AJZ36" s="1221"/>
      <c r="AKA36" s="1221"/>
      <c r="AKB36" s="1221"/>
      <c r="AKC36" s="1221"/>
      <c r="AKD36" s="1221"/>
      <c r="AKE36" s="1221"/>
      <c r="AKF36" s="1221"/>
      <c r="AKG36" s="1221"/>
      <c r="AKH36" s="1221"/>
      <c r="AKI36" s="1221"/>
      <c r="AKJ36" s="1221"/>
      <c r="AKK36" s="1221"/>
      <c r="AKL36" s="1221"/>
      <c r="AKM36" s="1221"/>
      <c r="AKN36" s="1221"/>
      <c r="AKO36" s="1221"/>
      <c r="AKP36" s="1221"/>
      <c r="AKQ36" s="1221"/>
      <c r="AKR36" s="1221"/>
      <c r="AKS36" s="1221"/>
      <c r="AKT36" s="1221"/>
      <c r="AKU36" s="1221"/>
      <c r="AKV36" s="1221"/>
      <c r="AKW36" s="1221"/>
      <c r="AKX36" s="1221"/>
      <c r="AKY36" s="1221"/>
      <c r="AKZ36" s="1221"/>
      <c r="ALA36" s="1221"/>
      <c r="ALB36" s="1221"/>
      <c r="ALC36" s="1221"/>
      <c r="ALD36" s="1221"/>
      <c r="ALE36" s="1221"/>
      <c r="ALF36" s="1221"/>
      <c r="ALG36" s="1221"/>
      <c r="ALH36" s="1221"/>
      <c r="ALI36" s="1221"/>
      <c r="ALJ36" s="1221"/>
      <c r="ALK36" s="1221"/>
      <c r="ALL36" s="1221"/>
      <c r="ALM36" s="1221"/>
      <c r="ALN36" s="1221"/>
      <c r="ALO36" s="1221"/>
      <c r="ALP36" s="1221"/>
      <c r="ALQ36" s="1221"/>
      <c r="ALR36" s="1221"/>
      <c r="ALS36" s="1221"/>
      <c r="ALT36" s="1221"/>
      <c r="ALU36" s="1221"/>
      <c r="ALV36" s="1221"/>
      <c r="ALW36" s="1221"/>
      <c r="ALX36" s="1221"/>
      <c r="ALY36" s="1221"/>
      <c r="ALZ36" s="1221"/>
      <c r="AMA36" s="1221"/>
      <c r="AMB36" s="1221"/>
      <c r="AMC36" s="1221"/>
      <c r="AMD36" s="1221"/>
      <c r="AME36" s="1221"/>
      <c r="AMF36" s="1221"/>
      <c r="AMG36" s="1221"/>
      <c r="AMH36" s="1221"/>
      <c r="AMI36" s="1221"/>
      <c r="AMJ36" s="1221"/>
      <c r="AMK36" s="1221"/>
      <c r="AML36" s="1221"/>
      <c r="AMM36" s="1221"/>
      <c r="AMN36" s="1221"/>
      <c r="AMO36" s="1221"/>
      <c r="AMP36" s="1221"/>
      <c r="AMQ36" s="1221"/>
      <c r="AMR36" s="1221"/>
      <c r="AMS36" s="1221"/>
      <c r="AMT36" s="1221"/>
      <c r="AMU36" s="1221"/>
      <c r="AMV36" s="1221"/>
      <c r="AMW36" s="1221"/>
      <c r="AMX36" s="1221"/>
      <c r="AMY36" s="1221"/>
      <c r="AMZ36" s="1221"/>
      <c r="ANA36" s="1221"/>
      <c r="ANB36" s="1221"/>
      <c r="ANC36" s="1221"/>
      <c r="AND36" s="1221"/>
      <c r="ANE36" s="1221"/>
      <c r="ANF36" s="1221"/>
      <c r="ANG36" s="1221"/>
      <c r="ANH36" s="1221"/>
      <c r="ANI36" s="1221"/>
      <c r="ANJ36" s="1221"/>
      <c r="ANK36" s="1221"/>
      <c r="ANL36" s="1221"/>
      <c r="ANM36" s="1221"/>
      <c r="ANN36" s="1221"/>
      <c r="ANO36" s="1221"/>
      <c r="ANP36" s="1221"/>
      <c r="ANQ36" s="1221"/>
      <c r="ANR36" s="1221"/>
      <c r="ANS36" s="1221"/>
      <c r="ANT36" s="1221"/>
      <c r="ANU36" s="1221"/>
      <c r="ANV36" s="1221"/>
      <c r="ANW36" s="1221"/>
      <c r="ANX36" s="1221"/>
      <c r="ANY36" s="1221"/>
      <c r="ANZ36" s="1221"/>
      <c r="AOA36" s="1221"/>
      <c r="AOB36" s="1221"/>
      <c r="AOC36" s="1221"/>
      <c r="AOD36" s="1221"/>
      <c r="AOE36" s="1221"/>
      <c r="AOF36" s="1221"/>
      <c r="AOG36" s="1221"/>
      <c r="AOH36" s="1221"/>
      <c r="AOI36" s="1221"/>
      <c r="AOJ36" s="1221"/>
      <c r="AOK36" s="1221"/>
      <c r="AOL36" s="1221"/>
      <c r="AOM36" s="1221"/>
      <c r="AON36" s="1221"/>
      <c r="AOO36" s="1221"/>
      <c r="AOP36" s="1221"/>
      <c r="AOQ36" s="1221"/>
      <c r="AOR36" s="1221"/>
      <c r="AOS36" s="1221"/>
      <c r="AOT36" s="1221"/>
      <c r="AOU36" s="1221"/>
      <c r="AOV36" s="1221"/>
      <c r="AOW36" s="1221"/>
      <c r="AOX36" s="1221"/>
      <c r="AOY36" s="1221"/>
      <c r="AOZ36" s="1221"/>
      <c r="APA36" s="1221"/>
      <c r="APB36" s="1221"/>
      <c r="APC36" s="1221"/>
      <c r="APD36" s="1221"/>
      <c r="APE36" s="1221"/>
      <c r="APF36" s="1221"/>
      <c r="APG36" s="1221"/>
      <c r="APH36" s="1221"/>
      <c r="API36" s="1221"/>
      <c r="APJ36" s="1221"/>
      <c r="APK36" s="1221"/>
      <c r="APL36" s="1221"/>
      <c r="APM36" s="1221"/>
      <c r="APN36" s="1221"/>
      <c r="APO36" s="1221"/>
      <c r="APP36" s="1221"/>
      <c r="APQ36" s="1221"/>
      <c r="APR36" s="1221"/>
      <c r="APS36" s="1221"/>
      <c r="APT36" s="1221"/>
      <c r="APU36" s="1221"/>
      <c r="APV36" s="1221"/>
      <c r="APW36" s="1221"/>
      <c r="APX36" s="1221"/>
      <c r="APY36" s="1221"/>
      <c r="APZ36" s="1221"/>
      <c r="AQA36" s="1221"/>
      <c r="AQB36" s="1221"/>
      <c r="AQC36" s="1221"/>
      <c r="AQD36" s="1221"/>
      <c r="AQE36" s="1221"/>
      <c r="AQF36" s="1221"/>
      <c r="AQG36" s="1221"/>
      <c r="AQH36" s="1221"/>
      <c r="AQI36" s="1221"/>
      <c r="AQJ36" s="1221"/>
      <c r="AQK36" s="1221"/>
      <c r="AQL36" s="1221"/>
      <c r="AQM36" s="1221"/>
      <c r="AQN36" s="1221"/>
      <c r="AQO36" s="1221"/>
      <c r="AQP36" s="1221"/>
      <c r="AQQ36" s="1221"/>
      <c r="AQR36" s="1221"/>
      <c r="AQS36" s="1221"/>
      <c r="AQT36" s="1221"/>
      <c r="AQU36" s="1221"/>
      <c r="AQV36" s="1221"/>
      <c r="AQW36" s="1221"/>
      <c r="AQX36" s="1221"/>
      <c r="AQY36" s="1221"/>
      <c r="AQZ36" s="1221"/>
      <c r="ARA36" s="1221"/>
      <c r="ARB36" s="1221"/>
      <c r="ARC36" s="1221"/>
      <c r="ARD36" s="1221"/>
      <c r="ARE36" s="1221"/>
      <c r="ARF36" s="1221"/>
      <c r="ARG36" s="1221"/>
      <c r="ARH36" s="1221"/>
      <c r="ARI36" s="1221"/>
      <c r="ARJ36" s="1221"/>
      <c r="ARK36" s="1221"/>
      <c r="ARL36" s="1221"/>
      <c r="ARM36" s="1221"/>
      <c r="ARN36" s="1221"/>
      <c r="ARO36" s="1221"/>
      <c r="ARP36" s="1221"/>
      <c r="ARQ36" s="1221"/>
      <c r="ARR36" s="1221"/>
      <c r="ARS36" s="1221"/>
      <c r="ART36" s="1221"/>
      <c r="ARU36" s="1221"/>
      <c r="ARV36" s="1221"/>
      <c r="ARW36" s="1221"/>
      <c r="ARX36" s="1221"/>
      <c r="ARY36" s="1221"/>
      <c r="ARZ36" s="1221"/>
      <c r="ASA36" s="1221"/>
      <c r="ASB36" s="1221"/>
      <c r="ASC36" s="1221"/>
      <c r="ASD36" s="1221"/>
      <c r="ASE36" s="1221"/>
      <c r="ASF36" s="1221"/>
      <c r="ASG36" s="1221"/>
      <c r="ASH36" s="1221"/>
      <c r="ASI36" s="1221"/>
      <c r="ASJ36" s="1221"/>
      <c r="ASK36" s="1221"/>
      <c r="ASL36" s="1221"/>
      <c r="ASM36" s="1221"/>
      <c r="ASN36" s="1221"/>
      <c r="ASO36" s="1221"/>
      <c r="ASP36" s="1221"/>
      <c r="ASQ36" s="1221"/>
      <c r="ASR36" s="1221"/>
      <c r="ASS36" s="1221"/>
      <c r="AST36" s="1221"/>
      <c r="ASU36" s="1221"/>
      <c r="ASV36" s="1221"/>
      <c r="ASW36" s="1221"/>
      <c r="ASX36" s="1221"/>
      <c r="ASY36" s="1221"/>
      <c r="ASZ36" s="1221"/>
      <c r="ATA36" s="1221"/>
      <c r="ATB36" s="1221"/>
      <c r="ATC36" s="1221"/>
      <c r="ATD36" s="1221"/>
      <c r="ATE36" s="1221"/>
      <c r="ATF36" s="1221"/>
      <c r="ATG36" s="1221"/>
      <c r="ATH36" s="1221"/>
      <c r="ATI36" s="1221"/>
      <c r="ATJ36" s="1221"/>
      <c r="ATK36" s="1221"/>
      <c r="ATL36" s="1221"/>
      <c r="ATM36" s="1221"/>
      <c r="ATN36" s="1221"/>
      <c r="ATO36" s="1221"/>
      <c r="ATP36" s="1221"/>
      <c r="ATQ36" s="1221"/>
      <c r="ATR36" s="1221"/>
      <c r="ATS36" s="1221"/>
      <c r="ATT36" s="1221"/>
      <c r="ATU36" s="1221"/>
      <c r="ATV36" s="1221"/>
      <c r="ATW36" s="1221"/>
      <c r="ATX36" s="1221"/>
      <c r="ATY36" s="1221"/>
      <c r="ATZ36" s="1221"/>
      <c r="AUA36" s="1221"/>
      <c r="AUB36" s="1221"/>
      <c r="AUC36" s="1221"/>
      <c r="AUD36" s="1221"/>
      <c r="AUE36" s="1221"/>
      <c r="AUF36" s="1221"/>
      <c r="AUG36" s="1221"/>
      <c r="AUH36" s="1221"/>
      <c r="AUI36" s="1221"/>
      <c r="AUJ36" s="1221"/>
      <c r="AUK36" s="1221"/>
      <c r="AUL36" s="1221"/>
      <c r="AUM36" s="1221"/>
      <c r="AUN36" s="1221"/>
      <c r="AUO36" s="1221"/>
      <c r="AUP36" s="1221"/>
      <c r="AUQ36" s="1221"/>
      <c r="AUR36" s="1221"/>
      <c r="AUS36" s="1221"/>
      <c r="AUT36" s="1221"/>
      <c r="AUU36" s="1221"/>
      <c r="AUV36" s="1221"/>
      <c r="AUW36" s="1221"/>
      <c r="AUX36" s="1221"/>
      <c r="AUY36" s="1221"/>
      <c r="AUZ36" s="1221"/>
      <c r="AVA36" s="1221"/>
      <c r="AVB36" s="1221"/>
      <c r="AVC36" s="1221"/>
      <c r="AVD36" s="1221"/>
      <c r="AVE36" s="1221"/>
      <c r="AVF36" s="1221"/>
      <c r="AVG36" s="1221"/>
      <c r="AVH36" s="1221"/>
      <c r="AVI36" s="1221"/>
      <c r="AVJ36" s="1221"/>
      <c r="AVK36" s="1221"/>
      <c r="AVL36" s="1221"/>
      <c r="AVM36" s="1221"/>
      <c r="AVN36" s="1221"/>
      <c r="AVO36" s="1221"/>
      <c r="AVP36" s="1221"/>
      <c r="AVQ36" s="1221"/>
      <c r="AVR36" s="1221"/>
      <c r="AVS36" s="1221"/>
      <c r="AVT36" s="1221"/>
      <c r="AVU36" s="1221"/>
      <c r="AVV36" s="1221"/>
      <c r="AVW36" s="1221"/>
      <c r="AVX36" s="1221"/>
      <c r="AVY36" s="1221"/>
      <c r="AVZ36" s="1221"/>
      <c r="AWA36" s="1221"/>
      <c r="AWB36" s="1221"/>
      <c r="AWC36" s="1221"/>
      <c r="AWD36" s="1221"/>
      <c r="AWE36" s="1221"/>
      <c r="AWF36" s="1221"/>
      <c r="AWG36" s="1221"/>
      <c r="AWH36" s="1221"/>
      <c r="AWI36" s="1221"/>
      <c r="AWJ36" s="1221"/>
      <c r="AWK36" s="1221"/>
      <c r="AWL36" s="1221"/>
      <c r="AWM36" s="1221"/>
      <c r="AWN36" s="1221"/>
      <c r="AWO36" s="1221"/>
      <c r="AWP36" s="1221"/>
      <c r="AWQ36" s="1221"/>
      <c r="AWR36" s="1221"/>
      <c r="AWS36" s="1221"/>
      <c r="AWT36" s="1221"/>
      <c r="AWU36" s="1221"/>
      <c r="AWV36" s="1221"/>
      <c r="AWW36" s="1221"/>
      <c r="AWX36" s="1221"/>
      <c r="AWY36" s="1221"/>
      <c r="AWZ36" s="1221"/>
      <c r="AXA36" s="1221"/>
      <c r="AXB36" s="1221"/>
      <c r="AXC36" s="1221"/>
      <c r="AXD36" s="1221"/>
      <c r="AXE36" s="1221"/>
      <c r="AXF36" s="1221"/>
      <c r="AXG36" s="1221"/>
      <c r="AXH36" s="1221"/>
      <c r="AXI36" s="1221"/>
      <c r="AXJ36" s="1221"/>
      <c r="AXK36" s="1221"/>
      <c r="AXL36" s="1221"/>
      <c r="AXM36" s="1221"/>
      <c r="AXN36" s="1221"/>
      <c r="AXO36" s="1221"/>
      <c r="AXP36" s="1221"/>
      <c r="AXQ36" s="1221"/>
      <c r="AXR36" s="1221"/>
      <c r="AXS36" s="1221"/>
      <c r="AXT36" s="1221"/>
      <c r="AXU36" s="1221"/>
      <c r="AXV36" s="1221"/>
      <c r="AXW36" s="1221"/>
      <c r="AXX36" s="1221"/>
      <c r="AXY36" s="1221"/>
      <c r="AXZ36" s="1221"/>
      <c r="AYA36" s="1221"/>
      <c r="AYB36" s="1221"/>
      <c r="AYC36" s="1221"/>
      <c r="AYD36" s="1221"/>
      <c r="AYE36" s="1221"/>
      <c r="AYF36" s="1221"/>
      <c r="AYG36" s="1221"/>
      <c r="AYH36" s="1221"/>
      <c r="AYI36" s="1221"/>
      <c r="AYJ36" s="1221"/>
      <c r="AYK36" s="1221"/>
      <c r="AYL36" s="1221"/>
      <c r="AYM36" s="1221"/>
      <c r="AYN36" s="1221"/>
      <c r="AYO36" s="1221"/>
      <c r="AYP36" s="1221"/>
      <c r="AYQ36" s="1221"/>
      <c r="AYR36" s="1221"/>
      <c r="AYS36" s="1221"/>
      <c r="AYT36" s="1221"/>
      <c r="AYU36" s="1221"/>
      <c r="AYV36" s="1221"/>
      <c r="AYW36" s="1221"/>
      <c r="AYX36" s="1221"/>
      <c r="AYY36" s="1221"/>
      <c r="AYZ36" s="1221"/>
      <c r="AZA36" s="1221"/>
      <c r="AZB36" s="1221"/>
      <c r="AZC36" s="1221"/>
      <c r="AZD36" s="1221"/>
      <c r="AZE36" s="1221"/>
      <c r="AZF36" s="1221"/>
      <c r="AZG36" s="1221"/>
      <c r="AZH36" s="1221"/>
      <c r="AZI36" s="1221"/>
      <c r="AZJ36" s="1221"/>
      <c r="AZK36" s="1221"/>
      <c r="AZL36" s="1221"/>
      <c r="AZM36" s="1221"/>
      <c r="AZN36" s="1221"/>
      <c r="AZO36" s="1221"/>
      <c r="AZP36" s="1221"/>
      <c r="AZQ36" s="1221"/>
      <c r="AZR36" s="1221"/>
      <c r="AZS36" s="1221"/>
      <c r="AZT36" s="1221"/>
      <c r="AZU36" s="1221"/>
      <c r="AZV36" s="1221"/>
      <c r="AZW36" s="1221"/>
      <c r="AZX36" s="1221"/>
      <c r="AZY36" s="1221"/>
      <c r="AZZ36" s="1221"/>
      <c r="BAA36" s="1221"/>
      <c r="BAB36" s="1221"/>
      <c r="BAC36" s="1221"/>
      <c r="BAD36" s="1221"/>
      <c r="BAE36" s="1221"/>
      <c r="BAF36" s="1221"/>
      <c r="BAG36" s="1221"/>
      <c r="BAH36" s="1221"/>
      <c r="BAI36" s="1221"/>
      <c r="BAJ36" s="1221"/>
      <c r="BAK36" s="1221"/>
      <c r="BAL36" s="1221"/>
      <c r="BAM36" s="1221"/>
      <c r="BAN36" s="1221"/>
      <c r="BAO36" s="1221"/>
      <c r="BAP36" s="1221"/>
      <c r="BAQ36" s="1221"/>
      <c r="BAR36" s="1221"/>
      <c r="BAS36" s="1221"/>
      <c r="BAT36" s="1221"/>
      <c r="BAU36" s="1221"/>
      <c r="BAV36" s="1221"/>
      <c r="BAW36" s="1221"/>
      <c r="BAX36" s="1221"/>
      <c r="BAY36" s="1221"/>
      <c r="BAZ36" s="1221"/>
      <c r="BBA36" s="1221"/>
      <c r="BBB36" s="1221"/>
      <c r="BBC36" s="1221"/>
      <c r="BBD36" s="1221"/>
      <c r="BBE36" s="1221"/>
      <c r="BBF36" s="1221"/>
      <c r="BBG36" s="1221"/>
      <c r="BBH36" s="1221"/>
      <c r="BBI36" s="1221"/>
      <c r="BBJ36" s="1221"/>
      <c r="BBK36" s="1221"/>
      <c r="BBL36" s="1221"/>
      <c r="BBM36" s="1221"/>
      <c r="BBN36" s="1221"/>
      <c r="BBO36" s="1221"/>
      <c r="BBP36" s="1221"/>
      <c r="BBQ36" s="1221"/>
      <c r="BBR36" s="1221"/>
      <c r="BBS36" s="1221"/>
      <c r="BBT36" s="1221"/>
      <c r="BBU36" s="1221"/>
      <c r="BBV36" s="1221"/>
      <c r="BBW36" s="1221"/>
      <c r="BBX36" s="1221"/>
      <c r="BBY36" s="1221"/>
      <c r="BBZ36" s="1221"/>
      <c r="BCA36" s="1221"/>
      <c r="BCB36" s="1221"/>
      <c r="BCC36" s="1221"/>
      <c r="BCD36" s="1221"/>
      <c r="BCE36" s="1221"/>
      <c r="BCF36" s="1221"/>
      <c r="BCG36" s="1221"/>
      <c r="BCH36" s="1221"/>
      <c r="BCI36" s="1221"/>
      <c r="BCJ36" s="1221"/>
      <c r="BCK36" s="1221"/>
      <c r="BCL36" s="1221"/>
      <c r="BCM36" s="1221"/>
      <c r="BCN36" s="1221"/>
      <c r="BCO36" s="1221"/>
      <c r="BCP36" s="1221"/>
      <c r="BCQ36" s="1221"/>
      <c r="BCR36" s="1221"/>
      <c r="BCS36" s="1221"/>
      <c r="BCT36" s="1221"/>
      <c r="BCU36" s="1221"/>
      <c r="BCV36" s="1221"/>
      <c r="BCW36" s="1221"/>
      <c r="BCX36" s="1221"/>
      <c r="BCY36" s="1221"/>
      <c r="BCZ36" s="1221"/>
      <c r="BDA36" s="1221"/>
      <c r="BDB36" s="1221"/>
      <c r="BDC36" s="1221"/>
      <c r="BDD36" s="1221"/>
      <c r="BDE36" s="1221"/>
      <c r="BDF36" s="1221"/>
      <c r="BDG36" s="1221"/>
      <c r="BDH36" s="1221"/>
      <c r="BDI36" s="1221"/>
      <c r="BDJ36" s="1221"/>
      <c r="BDK36" s="1221"/>
      <c r="BDL36" s="1221"/>
      <c r="BDM36" s="1221"/>
      <c r="BDN36" s="1221"/>
      <c r="BDO36" s="1221"/>
      <c r="BDP36" s="1221"/>
      <c r="BDQ36" s="1221"/>
      <c r="BDR36" s="1221"/>
      <c r="BDS36" s="1221"/>
      <c r="BDT36" s="1221"/>
      <c r="BDU36" s="1221"/>
      <c r="BDV36" s="1221"/>
      <c r="BDW36" s="1221"/>
      <c r="BDX36" s="1221"/>
      <c r="BDY36" s="1221"/>
      <c r="BDZ36" s="1221"/>
      <c r="BEA36" s="1221"/>
      <c r="BEB36" s="1221"/>
      <c r="BEC36" s="1221"/>
      <c r="BED36" s="1221"/>
      <c r="BEE36" s="1221"/>
      <c r="BEF36" s="1221"/>
      <c r="BEG36" s="1221"/>
      <c r="BEH36" s="1221"/>
      <c r="BEI36" s="1221"/>
      <c r="BEJ36" s="1221"/>
      <c r="BEK36" s="1221"/>
      <c r="BEL36" s="1221"/>
      <c r="BEM36" s="1221"/>
      <c r="BEN36" s="1221"/>
      <c r="BEO36" s="1221"/>
      <c r="BEP36" s="1221"/>
      <c r="BEQ36" s="1221"/>
      <c r="BER36" s="1221"/>
      <c r="BES36" s="1221"/>
      <c r="BET36" s="1221"/>
      <c r="BEU36" s="1221"/>
      <c r="BEV36" s="1221"/>
      <c r="BEW36" s="1221"/>
      <c r="BEX36" s="1221"/>
      <c r="BEY36" s="1221"/>
      <c r="BEZ36" s="1221"/>
      <c r="BFA36" s="1221"/>
      <c r="BFB36" s="1221"/>
      <c r="BFC36" s="1221"/>
      <c r="BFD36" s="1221"/>
      <c r="BFE36" s="1221"/>
      <c r="BFF36" s="1221"/>
      <c r="BFG36" s="1221"/>
      <c r="BFH36" s="1221"/>
      <c r="BFI36" s="1221"/>
      <c r="BFJ36" s="1221"/>
      <c r="BFK36" s="1221"/>
      <c r="BFL36" s="1221"/>
      <c r="BFM36" s="1221"/>
      <c r="BFN36" s="1221"/>
      <c r="BFO36" s="1221"/>
      <c r="BFP36" s="1221"/>
      <c r="BFQ36" s="1221"/>
      <c r="BFR36" s="1221"/>
      <c r="BFS36" s="1221"/>
      <c r="BFT36" s="1221"/>
      <c r="BFU36" s="1221"/>
      <c r="BFV36" s="1221"/>
      <c r="BFW36" s="1221"/>
      <c r="BFX36" s="1221"/>
      <c r="BFY36" s="1221"/>
      <c r="BFZ36" s="1221"/>
      <c r="BGA36" s="1221"/>
      <c r="BGB36" s="1221"/>
      <c r="BGC36" s="1221"/>
      <c r="BGD36" s="1221"/>
      <c r="BGE36" s="1221"/>
      <c r="BGF36" s="1221"/>
      <c r="BGG36" s="1221"/>
      <c r="BGH36" s="1221"/>
      <c r="BGI36" s="1221"/>
      <c r="BGJ36" s="1221"/>
      <c r="BGK36" s="1221"/>
      <c r="BGL36" s="1221"/>
      <c r="BGM36" s="1221"/>
      <c r="BGN36" s="1221"/>
      <c r="BGO36" s="1221"/>
      <c r="BGP36" s="1221"/>
      <c r="BGQ36" s="1221"/>
      <c r="BGR36" s="1221"/>
      <c r="BGS36" s="1221"/>
      <c r="BGT36" s="1221"/>
      <c r="BGU36" s="1221"/>
      <c r="BGV36" s="1221"/>
      <c r="BGW36" s="1221"/>
      <c r="BGX36" s="1221"/>
      <c r="BGY36" s="1221"/>
      <c r="BGZ36" s="1221"/>
      <c r="BHA36" s="1221"/>
      <c r="BHB36" s="1221"/>
      <c r="BHC36" s="1221"/>
      <c r="BHD36" s="1221"/>
      <c r="BHE36" s="1221"/>
      <c r="BHF36" s="1221"/>
      <c r="BHG36" s="1221"/>
      <c r="BHH36" s="1221"/>
      <c r="BHI36" s="1221"/>
      <c r="BHJ36" s="1221"/>
      <c r="BHK36" s="1221"/>
      <c r="BHL36" s="1221"/>
      <c r="BHM36" s="1221"/>
      <c r="BHN36" s="1221"/>
      <c r="BHO36" s="1221"/>
      <c r="BHP36" s="1221"/>
      <c r="BHQ36" s="1221"/>
      <c r="BHR36" s="1221"/>
      <c r="BHS36" s="1221"/>
      <c r="BHT36" s="1221"/>
      <c r="BHU36" s="1221"/>
      <c r="BHV36" s="1221"/>
      <c r="BHW36" s="1221"/>
      <c r="BHX36" s="1221"/>
      <c r="BHY36" s="1221"/>
      <c r="BHZ36" s="1221"/>
      <c r="BIA36" s="1221"/>
      <c r="BIB36" s="1221"/>
      <c r="BIC36" s="1221"/>
      <c r="BID36" s="1221"/>
      <c r="BIE36" s="1221"/>
      <c r="BIF36" s="1221"/>
      <c r="BIG36" s="1221"/>
      <c r="BIH36" s="1221"/>
      <c r="BII36" s="1221"/>
      <c r="BIJ36" s="1221"/>
      <c r="BIK36" s="1221"/>
      <c r="BIL36" s="1221"/>
      <c r="BIM36" s="1221"/>
      <c r="BIN36" s="1221"/>
      <c r="BIO36" s="1221"/>
      <c r="BIP36" s="1221"/>
      <c r="BIQ36" s="1221"/>
      <c r="BIR36" s="1221"/>
      <c r="BIS36" s="1221"/>
      <c r="BIT36" s="1221"/>
      <c r="BIU36" s="1221"/>
      <c r="BIV36" s="1221"/>
      <c r="BIW36" s="1221"/>
      <c r="BIX36" s="1221"/>
      <c r="BIY36" s="1221"/>
      <c r="BIZ36" s="1221"/>
      <c r="BJA36" s="1221"/>
      <c r="BJB36" s="1221"/>
      <c r="BJC36" s="1221"/>
      <c r="BJD36" s="1221"/>
      <c r="BJE36" s="1221"/>
      <c r="BJF36" s="1221"/>
      <c r="BJG36" s="1221"/>
      <c r="BJH36" s="1221"/>
      <c r="BJI36" s="1221"/>
      <c r="BJJ36" s="1221"/>
      <c r="BJK36" s="1221"/>
      <c r="BJL36" s="1221"/>
      <c r="BJM36" s="1221"/>
      <c r="BJN36" s="1221"/>
      <c r="BJO36" s="1221"/>
      <c r="BJP36" s="1221"/>
      <c r="BJQ36" s="1221"/>
      <c r="BJR36" s="1221"/>
      <c r="BJS36" s="1221"/>
      <c r="BJT36" s="1221"/>
      <c r="BJU36" s="1221"/>
      <c r="BJV36" s="1221"/>
      <c r="BJW36" s="1221"/>
      <c r="BJX36" s="1221"/>
      <c r="BJY36" s="1221"/>
      <c r="BJZ36" s="1221"/>
      <c r="BKA36" s="1221"/>
      <c r="BKB36" s="1221"/>
      <c r="BKC36" s="1221"/>
      <c r="BKD36" s="1221"/>
      <c r="BKE36" s="1221"/>
      <c r="BKF36" s="1221"/>
      <c r="BKG36" s="1221"/>
      <c r="BKH36" s="1221"/>
      <c r="BKI36" s="1221"/>
      <c r="BKJ36" s="1221"/>
      <c r="BKK36" s="1221"/>
      <c r="BKL36" s="1221"/>
      <c r="BKM36" s="1221"/>
      <c r="BKN36" s="1221"/>
      <c r="BKO36" s="1221"/>
      <c r="BKP36" s="1221"/>
      <c r="BKQ36" s="1221"/>
      <c r="BKR36" s="1221"/>
      <c r="BKS36" s="1221"/>
      <c r="BKT36" s="1221"/>
      <c r="BKU36" s="1221"/>
      <c r="BKV36" s="1221"/>
      <c r="BKW36" s="1221"/>
      <c r="BKX36" s="1221"/>
      <c r="BKY36" s="1221"/>
      <c r="BKZ36" s="1221"/>
      <c r="BLA36" s="1221"/>
      <c r="BLB36" s="1221"/>
      <c r="BLC36" s="1221"/>
      <c r="BLD36" s="1221"/>
      <c r="BLE36" s="1221"/>
      <c r="BLF36" s="1221"/>
      <c r="BLG36" s="1221"/>
      <c r="BLH36" s="1221"/>
      <c r="BLI36" s="1221"/>
      <c r="BLJ36" s="1221"/>
      <c r="BLK36" s="1221"/>
      <c r="BLL36" s="1221"/>
      <c r="BLM36" s="1221"/>
      <c r="BLN36" s="1221"/>
      <c r="BLO36" s="1221"/>
      <c r="BLP36" s="1221"/>
      <c r="BLQ36" s="1221"/>
      <c r="BLR36" s="1221"/>
      <c r="BLS36" s="1221"/>
      <c r="BLT36" s="1221"/>
      <c r="BLU36" s="1221"/>
      <c r="BLV36" s="1221"/>
      <c r="BLW36" s="1221"/>
      <c r="BLX36" s="1221"/>
      <c r="BLY36" s="1221"/>
      <c r="BLZ36" s="1221"/>
      <c r="BMA36" s="1221"/>
      <c r="BMB36" s="1221"/>
      <c r="BMC36" s="1221"/>
      <c r="BMD36" s="1221"/>
      <c r="BME36" s="1221"/>
      <c r="BMF36" s="1221"/>
      <c r="BMG36" s="1221"/>
      <c r="BMH36" s="1221"/>
      <c r="BMI36" s="1221"/>
      <c r="BMJ36" s="1221"/>
      <c r="BMK36" s="1221"/>
      <c r="BML36" s="1221"/>
      <c r="BMM36" s="1221"/>
      <c r="BMN36" s="1221"/>
      <c r="BMO36" s="1221"/>
      <c r="BMP36" s="1221"/>
      <c r="BMQ36" s="1221"/>
      <c r="BMR36" s="1221"/>
      <c r="BMS36" s="1221"/>
      <c r="BMT36" s="1221"/>
      <c r="BMU36" s="1221"/>
      <c r="BMV36" s="1221"/>
      <c r="BMW36" s="1221"/>
      <c r="BMX36" s="1221"/>
      <c r="BMY36" s="1221"/>
      <c r="BMZ36" s="1221"/>
      <c r="BNA36" s="1221"/>
      <c r="BNB36" s="1221"/>
      <c r="BNC36" s="1221"/>
      <c r="BND36" s="1221"/>
      <c r="BNE36" s="1221"/>
      <c r="BNF36" s="1221"/>
      <c r="BNG36" s="1221"/>
      <c r="BNH36" s="1221"/>
      <c r="BNI36" s="1221"/>
      <c r="BNJ36" s="1221"/>
      <c r="BNK36" s="1221"/>
      <c r="BNL36" s="1221"/>
      <c r="BNM36" s="1221"/>
      <c r="BNN36" s="1221"/>
      <c r="BNO36" s="1221"/>
      <c r="BNP36" s="1221"/>
      <c r="BNQ36" s="1221"/>
      <c r="BNR36" s="1221"/>
      <c r="BNS36" s="1221"/>
      <c r="BNT36" s="1221"/>
      <c r="BNU36" s="1221"/>
      <c r="BNV36" s="1221"/>
      <c r="BNW36" s="1221"/>
      <c r="BNX36" s="1221"/>
      <c r="BNY36" s="1221"/>
      <c r="BNZ36" s="1221"/>
      <c r="BOA36" s="1221"/>
      <c r="BOB36" s="1221"/>
      <c r="BOC36" s="1221"/>
      <c r="BOD36" s="1221"/>
      <c r="BOE36" s="1221"/>
      <c r="BOF36" s="1221"/>
      <c r="BOG36" s="1221"/>
      <c r="BOH36" s="1221"/>
      <c r="BOI36" s="1221"/>
      <c r="BOJ36" s="1221"/>
      <c r="BOK36" s="1221"/>
      <c r="BOL36" s="1221"/>
      <c r="BOM36" s="1221"/>
      <c r="BON36" s="1221"/>
      <c r="BOO36" s="1221"/>
      <c r="BOP36" s="1221"/>
      <c r="BOQ36" s="1221"/>
      <c r="BOR36" s="1221"/>
      <c r="BOS36" s="1221"/>
      <c r="BOT36" s="1221"/>
      <c r="BOU36" s="1221"/>
      <c r="BOV36" s="1221"/>
      <c r="BOW36" s="1221"/>
      <c r="BOX36" s="1221"/>
      <c r="BOY36" s="1221"/>
      <c r="BOZ36" s="1221"/>
      <c r="BPA36" s="1221"/>
      <c r="BPB36" s="1221"/>
      <c r="BPC36" s="1221"/>
      <c r="BPD36" s="1221"/>
      <c r="BPE36" s="1221"/>
      <c r="BPF36" s="1221"/>
      <c r="BPG36" s="1221"/>
      <c r="BPH36" s="1221"/>
      <c r="BPI36" s="1221"/>
      <c r="BPJ36" s="1221"/>
      <c r="BPK36" s="1221"/>
      <c r="BPL36" s="1221"/>
      <c r="BPM36" s="1221"/>
      <c r="BPN36" s="1221"/>
      <c r="BPO36" s="1221"/>
      <c r="BPP36" s="1221"/>
      <c r="BPQ36" s="1221"/>
      <c r="BPR36" s="1221"/>
      <c r="BPS36" s="1221"/>
      <c r="BPT36" s="1221"/>
      <c r="BPU36" s="1221"/>
      <c r="BPV36" s="1221"/>
      <c r="BPW36" s="1221"/>
      <c r="BPX36" s="1221"/>
      <c r="BPY36" s="1221"/>
      <c r="BPZ36" s="1221"/>
      <c r="BQA36" s="1221"/>
      <c r="BQB36" s="1221"/>
      <c r="BQC36" s="1221"/>
      <c r="BQD36" s="1221"/>
      <c r="BQE36" s="1221"/>
      <c r="BQF36" s="1221"/>
      <c r="BQG36" s="1221"/>
      <c r="BQH36" s="1221"/>
      <c r="BQI36" s="1221"/>
      <c r="BQJ36" s="1221"/>
      <c r="BQK36" s="1221"/>
      <c r="BQL36" s="1221"/>
      <c r="BQM36" s="1221"/>
      <c r="BQN36" s="1221"/>
      <c r="BQO36" s="1221"/>
      <c r="BQP36" s="1221"/>
      <c r="BQQ36" s="1221"/>
      <c r="BQR36" s="1221"/>
      <c r="BQS36" s="1221"/>
      <c r="BQT36" s="1221"/>
      <c r="BQU36" s="1221"/>
      <c r="BQV36" s="1221"/>
      <c r="BQW36" s="1221"/>
      <c r="BQX36" s="1221"/>
      <c r="BQY36" s="1221"/>
      <c r="BQZ36" s="1221"/>
      <c r="BRA36" s="1221"/>
      <c r="BRB36" s="1221"/>
      <c r="BRC36" s="1221"/>
      <c r="BRD36" s="1221"/>
      <c r="BRE36" s="1221"/>
      <c r="BRF36" s="1221"/>
      <c r="BRG36" s="1221"/>
      <c r="BRH36" s="1221"/>
      <c r="BRI36" s="1221"/>
      <c r="BRJ36" s="1221"/>
      <c r="BRK36" s="1221"/>
      <c r="BRL36" s="1221"/>
      <c r="BRM36" s="1221"/>
      <c r="BRN36" s="1221"/>
      <c r="BRO36" s="1221"/>
      <c r="BRP36" s="1221"/>
      <c r="BRQ36" s="1221"/>
      <c r="BRR36" s="1221"/>
      <c r="BRS36" s="1221"/>
      <c r="BRT36" s="1221"/>
      <c r="BRU36" s="1221"/>
      <c r="BRV36" s="1221"/>
      <c r="BRW36" s="1221"/>
      <c r="BRX36" s="1221"/>
      <c r="BRY36" s="1221"/>
      <c r="BRZ36" s="1221"/>
      <c r="BSA36" s="1221"/>
      <c r="BSB36" s="1221"/>
      <c r="BSC36" s="1221"/>
      <c r="BSD36" s="1221"/>
      <c r="BSE36" s="1221"/>
      <c r="BSF36" s="1221"/>
      <c r="BSG36" s="1221"/>
      <c r="BSH36" s="1221"/>
      <c r="BSI36" s="1221"/>
      <c r="BSJ36" s="1221"/>
      <c r="BSK36" s="1221"/>
      <c r="BSL36" s="1221"/>
      <c r="BSM36" s="1221"/>
      <c r="BSN36" s="1221"/>
      <c r="BSO36" s="1221"/>
      <c r="BSP36" s="1221"/>
      <c r="BSQ36" s="1221"/>
      <c r="BSR36" s="1221"/>
      <c r="BSS36" s="1221"/>
      <c r="BST36" s="1221"/>
      <c r="BSU36" s="1221"/>
      <c r="BSV36" s="1221"/>
      <c r="BSW36" s="1221"/>
      <c r="BSX36" s="1221"/>
      <c r="BSY36" s="1221"/>
      <c r="BSZ36" s="1221"/>
      <c r="BTA36" s="1221"/>
      <c r="BTB36" s="1221"/>
      <c r="BTC36" s="1221"/>
      <c r="BTD36" s="1221"/>
      <c r="BTE36" s="1221"/>
      <c r="BTF36" s="1221"/>
      <c r="BTG36" s="1221"/>
      <c r="BTH36" s="1221"/>
      <c r="BTI36" s="1221"/>
      <c r="BTJ36" s="1221"/>
      <c r="BTK36" s="1221"/>
      <c r="BTL36" s="1221"/>
      <c r="BTM36" s="1221"/>
      <c r="BTN36" s="1221"/>
      <c r="BTO36" s="1221"/>
      <c r="BTP36" s="1221"/>
      <c r="BTQ36" s="1221"/>
      <c r="BTR36" s="1221"/>
      <c r="BTS36" s="1221"/>
      <c r="BTT36" s="1221"/>
      <c r="BTU36" s="1221"/>
      <c r="BTV36" s="1221"/>
      <c r="BTW36" s="1221"/>
      <c r="BTX36" s="1221"/>
      <c r="BTY36" s="1221"/>
      <c r="BTZ36" s="1221"/>
      <c r="BUA36" s="1221"/>
      <c r="BUB36" s="1221"/>
      <c r="BUC36" s="1221"/>
      <c r="BUD36" s="1221"/>
      <c r="BUE36" s="1221"/>
      <c r="BUF36" s="1221"/>
      <c r="BUG36" s="1221"/>
      <c r="BUH36" s="1221"/>
      <c r="BUI36" s="1221"/>
      <c r="BUJ36" s="1221"/>
      <c r="BUK36" s="1221"/>
      <c r="BUL36" s="1221"/>
      <c r="BUM36" s="1221"/>
      <c r="BUN36" s="1221"/>
      <c r="BUO36" s="1221"/>
      <c r="BUP36" s="1221"/>
      <c r="BUQ36" s="1221"/>
      <c r="BUR36" s="1221"/>
      <c r="BUS36" s="1221"/>
      <c r="BUT36" s="1221"/>
      <c r="BUU36" s="1221"/>
      <c r="BUV36" s="1221"/>
      <c r="BUW36" s="1221"/>
      <c r="BUX36" s="1221"/>
      <c r="BUY36" s="1221"/>
      <c r="BUZ36" s="1221"/>
      <c r="BVA36" s="1221"/>
      <c r="BVB36" s="1221"/>
      <c r="BVC36" s="1221"/>
      <c r="BVD36" s="1221"/>
      <c r="BVE36" s="1221"/>
      <c r="BVF36" s="1221"/>
      <c r="BVG36" s="1221"/>
      <c r="BVH36" s="1221"/>
      <c r="BVI36" s="1221"/>
      <c r="BVJ36" s="1221"/>
      <c r="BVK36" s="1221"/>
      <c r="BVL36" s="1221"/>
      <c r="BVM36" s="1221"/>
      <c r="BVN36" s="1221"/>
      <c r="BVO36" s="1221"/>
      <c r="BVP36" s="1221"/>
      <c r="BVQ36" s="1221"/>
      <c r="BVR36" s="1221"/>
      <c r="BVS36" s="1221"/>
      <c r="BVT36" s="1221"/>
      <c r="BVU36" s="1221"/>
      <c r="BVV36" s="1221"/>
      <c r="BVW36" s="1221"/>
      <c r="BVX36" s="1221"/>
      <c r="BVY36" s="1221"/>
      <c r="BVZ36" s="1221"/>
      <c r="BWA36" s="1221"/>
      <c r="BWB36" s="1221"/>
      <c r="BWC36" s="1221"/>
      <c r="BWD36" s="1221"/>
      <c r="BWE36" s="1221"/>
      <c r="BWF36" s="1221"/>
      <c r="BWG36" s="1221"/>
      <c r="BWH36" s="1221"/>
      <c r="BWI36" s="1221"/>
      <c r="BWJ36" s="1221"/>
      <c r="BWK36" s="1221"/>
      <c r="BWL36" s="1221"/>
      <c r="BWM36" s="1221"/>
      <c r="BWN36" s="1221"/>
      <c r="BWO36" s="1221"/>
      <c r="BWP36" s="1221"/>
      <c r="BWQ36" s="1221"/>
      <c r="BWR36" s="1221"/>
      <c r="BWS36" s="1221"/>
      <c r="BWT36" s="1221"/>
      <c r="BWU36" s="1221"/>
      <c r="BWV36" s="1221"/>
      <c r="BWW36" s="1221"/>
      <c r="BWX36" s="1221"/>
      <c r="BWY36" s="1221"/>
      <c r="BWZ36" s="1221"/>
      <c r="BXA36" s="1221"/>
      <c r="BXB36" s="1221"/>
      <c r="BXC36" s="1221"/>
      <c r="BXD36" s="1221"/>
      <c r="BXE36" s="1221"/>
      <c r="BXF36" s="1221"/>
      <c r="BXG36" s="1221"/>
      <c r="BXH36" s="1221"/>
      <c r="BXI36" s="1221"/>
      <c r="BXJ36" s="1221"/>
      <c r="BXK36" s="1221"/>
      <c r="BXL36" s="1221"/>
      <c r="BXM36" s="1221"/>
      <c r="BXN36" s="1221"/>
      <c r="BXO36" s="1221"/>
      <c r="BXP36" s="1221"/>
      <c r="BXQ36" s="1221"/>
      <c r="BXR36" s="1221"/>
      <c r="BXS36" s="1221"/>
      <c r="BXT36" s="1221"/>
      <c r="BXU36" s="1221"/>
      <c r="BXV36" s="1221"/>
      <c r="BXW36" s="1221"/>
      <c r="BXX36" s="1221"/>
      <c r="BXY36" s="1221"/>
      <c r="BXZ36" s="1221"/>
      <c r="BYA36" s="1221"/>
      <c r="BYB36" s="1221"/>
      <c r="BYC36" s="1221"/>
      <c r="BYD36" s="1221"/>
      <c r="BYE36" s="1221"/>
      <c r="BYF36" s="1221"/>
      <c r="BYG36" s="1221"/>
      <c r="BYH36" s="1221"/>
      <c r="BYI36" s="1221"/>
      <c r="BYJ36" s="1221"/>
      <c r="BYK36" s="1221"/>
      <c r="BYL36" s="1221"/>
      <c r="BYM36" s="1221"/>
      <c r="BYN36" s="1221"/>
      <c r="BYO36" s="1221"/>
      <c r="BYP36" s="1221"/>
      <c r="BYQ36" s="1221"/>
      <c r="BYR36" s="1221"/>
      <c r="BYS36" s="1221"/>
      <c r="BYT36" s="1221"/>
      <c r="BYU36" s="1221"/>
      <c r="BYV36" s="1221"/>
      <c r="BYW36" s="1221"/>
      <c r="BYX36" s="1221"/>
      <c r="BYY36" s="1221"/>
      <c r="BYZ36" s="1221"/>
      <c r="BZA36" s="1221"/>
      <c r="BZB36" s="1221"/>
      <c r="BZC36" s="1221"/>
      <c r="BZD36" s="1221"/>
      <c r="BZE36" s="1221"/>
      <c r="BZF36" s="1221"/>
      <c r="BZG36" s="1221"/>
      <c r="BZH36" s="1221"/>
      <c r="BZI36" s="1221"/>
      <c r="BZJ36" s="1221"/>
      <c r="BZK36" s="1221"/>
      <c r="BZL36" s="1221"/>
      <c r="BZM36" s="1221"/>
      <c r="BZN36" s="1221"/>
      <c r="BZO36" s="1221"/>
      <c r="BZP36" s="1221"/>
      <c r="BZQ36" s="1221"/>
      <c r="BZR36" s="1221"/>
      <c r="BZS36" s="1221"/>
      <c r="BZT36" s="1221"/>
      <c r="BZU36" s="1221"/>
      <c r="BZV36" s="1221"/>
      <c r="BZW36" s="1221"/>
      <c r="BZX36" s="1221"/>
      <c r="BZY36" s="1221"/>
      <c r="BZZ36" s="1221"/>
      <c r="CAA36" s="1221"/>
      <c r="CAB36" s="1221"/>
      <c r="CAC36" s="1221"/>
      <c r="CAD36" s="1221"/>
      <c r="CAE36" s="1221"/>
      <c r="CAF36" s="1221"/>
      <c r="CAG36" s="1221"/>
      <c r="CAH36" s="1221"/>
      <c r="CAI36" s="1221"/>
      <c r="CAJ36" s="1221"/>
      <c r="CAK36" s="1221"/>
      <c r="CAL36" s="1221"/>
      <c r="CAM36" s="1221"/>
      <c r="CAN36" s="1221"/>
      <c r="CAO36" s="1221"/>
      <c r="CAP36" s="1221"/>
      <c r="CAQ36" s="1221"/>
      <c r="CAR36" s="1221"/>
      <c r="CAS36" s="1221"/>
      <c r="CAT36" s="1221"/>
      <c r="CAU36" s="1221"/>
      <c r="CAV36" s="1221"/>
      <c r="CAW36" s="1221"/>
      <c r="CAX36" s="1221"/>
      <c r="CAY36" s="1221"/>
      <c r="CAZ36" s="1221"/>
      <c r="CBA36" s="1221"/>
      <c r="CBB36" s="1221"/>
      <c r="CBC36" s="1221"/>
      <c r="CBD36" s="1221"/>
      <c r="CBE36" s="1221"/>
      <c r="CBF36" s="1221"/>
      <c r="CBG36" s="1221"/>
      <c r="CBH36" s="1221"/>
      <c r="CBI36" s="1221"/>
      <c r="CBJ36" s="1221"/>
      <c r="CBK36" s="1221"/>
      <c r="CBL36" s="1221"/>
      <c r="CBM36" s="1221"/>
      <c r="CBN36" s="1221"/>
      <c r="CBO36" s="1221"/>
      <c r="CBP36" s="1221"/>
      <c r="CBQ36" s="1221"/>
      <c r="CBR36" s="1221"/>
      <c r="CBS36" s="1221"/>
      <c r="CBT36" s="1221"/>
      <c r="CBU36" s="1221"/>
      <c r="CBV36" s="1221"/>
      <c r="CBW36" s="1221"/>
      <c r="CBX36" s="1221"/>
      <c r="CBY36" s="1221"/>
      <c r="CBZ36" s="1221"/>
      <c r="CCA36" s="1221"/>
      <c r="CCB36" s="1221"/>
      <c r="CCC36" s="1221"/>
      <c r="CCD36" s="1221"/>
      <c r="CCE36" s="1221"/>
      <c r="CCF36" s="1221"/>
      <c r="CCG36" s="1221"/>
      <c r="CCH36" s="1221"/>
      <c r="CCI36" s="1221"/>
      <c r="CCJ36" s="1221"/>
      <c r="CCK36" s="1221"/>
      <c r="CCL36" s="1221"/>
      <c r="CCM36" s="1221"/>
      <c r="CCN36" s="1221"/>
      <c r="CCO36" s="1221"/>
      <c r="CCP36" s="1221"/>
      <c r="CCQ36" s="1221"/>
      <c r="CCR36" s="1221"/>
      <c r="CCS36" s="1221"/>
      <c r="CCT36" s="1221"/>
      <c r="CCU36" s="1221"/>
      <c r="CCV36" s="1221"/>
      <c r="CCW36" s="1221"/>
      <c r="CCX36" s="1221"/>
      <c r="CCY36" s="1221"/>
      <c r="CCZ36" s="1221"/>
      <c r="CDA36" s="1221"/>
      <c r="CDB36" s="1221"/>
      <c r="CDC36" s="1221"/>
      <c r="CDD36" s="1221"/>
      <c r="CDE36" s="1221"/>
      <c r="CDF36" s="1221"/>
      <c r="CDG36" s="1221"/>
      <c r="CDH36" s="1221"/>
      <c r="CDI36" s="1221"/>
      <c r="CDJ36" s="1221"/>
      <c r="CDK36" s="1221"/>
      <c r="CDL36" s="1221"/>
      <c r="CDM36" s="1221"/>
      <c r="CDN36" s="1221"/>
      <c r="CDO36" s="1221"/>
      <c r="CDP36" s="1221"/>
      <c r="CDQ36" s="1221"/>
      <c r="CDR36" s="1221"/>
      <c r="CDS36" s="1221"/>
      <c r="CDT36" s="1221"/>
      <c r="CDU36" s="1221"/>
      <c r="CDV36" s="1221"/>
      <c r="CDW36" s="1221"/>
      <c r="CDX36" s="1221"/>
      <c r="CDY36" s="1221"/>
      <c r="CDZ36" s="1221"/>
      <c r="CEA36" s="1221"/>
      <c r="CEB36" s="1221"/>
      <c r="CEC36" s="1221"/>
      <c r="CED36" s="1221"/>
      <c r="CEE36" s="1221"/>
      <c r="CEF36" s="1221"/>
      <c r="CEG36" s="1221"/>
      <c r="CEH36" s="1221"/>
      <c r="CEI36" s="1221"/>
      <c r="CEJ36" s="1221"/>
      <c r="CEK36" s="1221"/>
      <c r="CEL36" s="1221"/>
      <c r="CEM36" s="1221"/>
      <c r="CEN36" s="1221"/>
      <c r="CEO36" s="1221"/>
      <c r="CEP36" s="1221"/>
      <c r="CEQ36" s="1221"/>
      <c r="CER36" s="1221"/>
      <c r="CES36" s="1221"/>
      <c r="CET36" s="1221"/>
      <c r="CEU36" s="1221"/>
      <c r="CEV36" s="1221"/>
      <c r="CEW36" s="1221"/>
      <c r="CEX36" s="1221"/>
      <c r="CEY36" s="1221"/>
      <c r="CEZ36" s="1221"/>
      <c r="CFA36" s="1221"/>
      <c r="CFB36" s="1221"/>
      <c r="CFC36" s="1221"/>
      <c r="CFD36" s="1221"/>
      <c r="CFE36" s="1221"/>
      <c r="CFF36" s="1221"/>
      <c r="CFG36" s="1221"/>
      <c r="CFH36" s="1221"/>
      <c r="CFI36" s="1221"/>
      <c r="CFJ36" s="1221"/>
      <c r="CFK36" s="1221"/>
      <c r="CFL36" s="1221"/>
      <c r="CFM36" s="1221"/>
      <c r="CFN36" s="1221"/>
      <c r="CFO36" s="1221"/>
      <c r="CFP36" s="1221"/>
      <c r="CFQ36" s="1221"/>
      <c r="CFR36" s="1221"/>
      <c r="CFS36" s="1221"/>
      <c r="CFT36" s="1221"/>
      <c r="CFU36" s="1221"/>
      <c r="CFV36" s="1221"/>
      <c r="CFW36" s="1221"/>
      <c r="CFX36" s="1221"/>
      <c r="CFY36" s="1221"/>
      <c r="CFZ36" s="1221"/>
      <c r="CGA36" s="1221"/>
      <c r="CGB36" s="1221"/>
      <c r="CGC36" s="1221"/>
      <c r="CGD36" s="1221"/>
      <c r="CGE36" s="1221"/>
      <c r="CGF36" s="1221"/>
      <c r="CGG36" s="1221"/>
      <c r="CGH36" s="1221"/>
      <c r="CGI36" s="1221"/>
      <c r="CGJ36" s="1221"/>
      <c r="CGK36" s="1221"/>
      <c r="CGL36" s="1221"/>
      <c r="CGM36" s="1221"/>
      <c r="CGN36" s="1221"/>
      <c r="CGO36" s="1221"/>
      <c r="CGP36" s="1221"/>
      <c r="CGQ36" s="1221"/>
      <c r="CGR36" s="1221"/>
      <c r="CGS36" s="1221"/>
      <c r="CGT36" s="1221"/>
      <c r="CGU36" s="1221"/>
      <c r="CGV36" s="1221"/>
      <c r="CGW36" s="1221"/>
      <c r="CGX36" s="1221"/>
      <c r="CGY36" s="1221"/>
      <c r="CGZ36" s="1221"/>
      <c r="CHA36" s="1221"/>
      <c r="CHB36" s="1221"/>
      <c r="CHC36" s="1221"/>
      <c r="CHD36" s="1221"/>
      <c r="CHE36" s="1221"/>
      <c r="CHF36" s="1221"/>
      <c r="CHG36" s="1221"/>
      <c r="CHH36" s="1221"/>
      <c r="CHI36" s="1221"/>
      <c r="CHJ36" s="1221"/>
      <c r="CHK36" s="1221"/>
      <c r="CHL36" s="1221"/>
      <c r="CHM36" s="1221"/>
      <c r="CHN36" s="1221"/>
      <c r="CHO36" s="1221"/>
      <c r="CHP36" s="1221"/>
      <c r="CHQ36" s="1221"/>
      <c r="CHR36" s="1221"/>
      <c r="CHS36" s="1221"/>
      <c r="CHT36" s="1221"/>
      <c r="CHU36" s="1221"/>
      <c r="CHV36" s="1221"/>
      <c r="CHW36" s="1221"/>
      <c r="CHX36" s="1221"/>
      <c r="CHY36" s="1221"/>
      <c r="CHZ36" s="1221"/>
      <c r="CIA36" s="1221"/>
      <c r="CIB36" s="1221"/>
      <c r="CIC36" s="1221"/>
      <c r="CID36" s="1221"/>
      <c r="CIE36" s="1221"/>
      <c r="CIF36" s="1221"/>
      <c r="CIG36" s="1221"/>
      <c r="CIH36" s="1221"/>
      <c r="CII36" s="1221"/>
      <c r="CIJ36" s="1221"/>
      <c r="CIK36" s="1221"/>
      <c r="CIL36" s="1221"/>
      <c r="CIM36" s="1221"/>
      <c r="CIN36" s="1221"/>
      <c r="CIO36" s="1221"/>
      <c r="CIP36" s="1221"/>
      <c r="CIQ36" s="1221"/>
      <c r="CIR36" s="1221"/>
      <c r="CIS36" s="1221"/>
      <c r="CIT36" s="1221"/>
      <c r="CIU36" s="1221"/>
      <c r="CIV36" s="1221"/>
      <c r="CIW36" s="1221"/>
      <c r="CIX36" s="1221"/>
      <c r="CIY36" s="1221"/>
      <c r="CIZ36" s="1221"/>
      <c r="CJA36" s="1221"/>
      <c r="CJB36" s="1221"/>
      <c r="CJC36" s="1221"/>
      <c r="CJD36" s="1221"/>
      <c r="CJE36" s="1221"/>
      <c r="CJF36" s="1221"/>
      <c r="CJG36" s="1221"/>
      <c r="CJH36" s="1221"/>
      <c r="CJI36" s="1221"/>
      <c r="CJJ36" s="1221"/>
      <c r="CJK36" s="1221"/>
      <c r="CJL36" s="1221"/>
      <c r="CJM36" s="1221"/>
      <c r="CJN36" s="1221"/>
      <c r="CJO36" s="1221"/>
      <c r="CJP36" s="1221"/>
      <c r="CJQ36" s="1221"/>
      <c r="CJR36" s="1221"/>
      <c r="CJS36" s="1221"/>
      <c r="CJT36" s="1221"/>
      <c r="CJU36" s="1221"/>
      <c r="CJV36" s="1221"/>
      <c r="CJW36" s="1221"/>
      <c r="CJX36" s="1221"/>
      <c r="CJY36" s="1221"/>
      <c r="CJZ36" s="1221"/>
      <c r="CKA36" s="1221"/>
      <c r="CKB36" s="1221"/>
      <c r="CKC36" s="1221"/>
      <c r="CKD36" s="1221"/>
      <c r="CKE36" s="1221"/>
      <c r="CKF36" s="1221"/>
      <c r="CKG36" s="1221"/>
      <c r="CKH36" s="1221"/>
      <c r="CKI36" s="1221"/>
      <c r="CKJ36" s="1221"/>
      <c r="CKK36" s="1221"/>
      <c r="CKL36" s="1221"/>
      <c r="CKM36" s="1221"/>
      <c r="CKN36" s="1221"/>
      <c r="CKO36" s="1221"/>
      <c r="CKP36" s="1221"/>
      <c r="CKQ36" s="1221"/>
      <c r="CKR36" s="1221"/>
      <c r="CKS36" s="1221"/>
      <c r="CKT36" s="1221"/>
      <c r="CKU36" s="1221"/>
      <c r="CKV36" s="1221"/>
      <c r="CKW36" s="1221"/>
      <c r="CKX36" s="1221"/>
      <c r="CKY36" s="1221"/>
      <c r="CKZ36" s="1221"/>
      <c r="CLA36" s="1221"/>
      <c r="CLB36" s="1221"/>
      <c r="CLC36" s="1221"/>
      <c r="CLD36" s="1221"/>
      <c r="CLE36" s="1221"/>
      <c r="CLF36" s="1221"/>
      <c r="CLG36" s="1221"/>
      <c r="CLH36" s="1221"/>
      <c r="CLI36" s="1221"/>
      <c r="CLJ36" s="1221"/>
      <c r="CLK36" s="1221"/>
      <c r="CLL36" s="1221"/>
      <c r="CLM36" s="1221"/>
      <c r="CLN36" s="1221"/>
      <c r="CLO36" s="1221"/>
      <c r="CLP36" s="1221"/>
      <c r="CLQ36" s="1221"/>
      <c r="CLR36" s="1221"/>
      <c r="CLS36" s="1221"/>
      <c r="CLT36" s="1221"/>
      <c r="CLU36" s="1221"/>
      <c r="CLV36" s="1221"/>
      <c r="CLW36" s="1221"/>
      <c r="CLX36" s="1221"/>
      <c r="CLY36" s="1221"/>
      <c r="CLZ36" s="1221"/>
      <c r="CMA36" s="1221"/>
      <c r="CMB36" s="1221"/>
      <c r="CMC36" s="1221"/>
      <c r="CMD36" s="1221"/>
      <c r="CME36" s="1221"/>
      <c r="CMF36" s="1221"/>
      <c r="CMG36" s="1221"/>
      <c r="CMH36" s="1221"/>
      <c r="CMI36" s="1221"/>
      <c r="CMJ36" s="1221"/>
      <c r="CMK36" s="1221"/>
      <c r="CML36" s="1221"/>
      <c r="CMM36" s="1221"/>
      <c r="CMN36" s="1221"/>
      <c r="CMO36" s="1221"/>
      <c r="CMP36" s="1221"/>
      <c r="CMQ36" s="1221"/>
      <c r="CMR36" s="1221"/>
      <c r="CMS36" s="1221"/>
      <c r="CMT36" s="1221"/>
      <c r="CMU36" s="1221"/>
      <c r="CMV36" s="1221"/>
      <c r="CMW36" s="1221"/>
      <c r="CMX36" s="1221"/>
      <c r="CMY36" s="1221"/>
      <c r="CMZ36" s="1221"/>
      <c r="CNA36" s="1221"/>
      <c r="CNB36" s="1221"/>
      <c r="CNC36" s="1221"/>
      <c r="CND36" s="1221"/>
      <c r="CNE36" s="1221"/>
      <c r="CNF36" s="1221"/>
      <c r="CNG36" s="1221"/>
      <c r="CNH36" s="1221"/>
      <c r="CNI36" s="1221"/>
      <c r="CNJ36" s="1221"/>
      <c r="CNK36" s="1221"/>
      <c r="CNL36" s="1221"/>
      <c r="CNM36" s="1221"/>
      <c r="CNN36" s="1221"/>
      <c r="CNO36" s="1221"/>
      <c r="CNP36" s="1221"/>
      <c r="CNQ36" s="1221"/>
      <c r="CNR36" s="1221"/>
      <c r="CNS36" s="1221"/>
      <c r="CNT36" s="1221"/>
      <c r="CNU36" s="1221"/>
      <c r="CNV36" s="1221"/>
      <c r="CNW36" s="1221"/>
      <c r="CNX36" s="1221"/>
      <c r="CNY36" s="1221"/>
      <c r="CNZ36" s="1221"/>
      <c r="COA36" s="1221"/>
      <c r="COB36" s="1221"/>
      <c r="COC36" s="1221"/>
      <c r="COD36" s="1221"/>
      <c r="COE36" s="1221"/>
      <c r="COF36" s="1221"/>
      <c r="COG36" s="1221"/>
      <c r="COH36" s="1221"/>
      <c r="COI36" s="1221"/>
      <c r="COJ36" s="1221"/>
      <c r="COK36" s="1221"/>
      <c r="COL36" s="1221"/>
      <c r="COM36" s="1221"/>
      <c r="CON36" s="1221"/>
      <c r="COO36" s="1221"/>
      <c r="COP36" s="1221"/>
      <c r="COQ36" s="1221"/>
      <c r="COR36" s="1221"/>
      <c r="COS36" s="1221"/>
      <c r="COT36" s="1221"/>
      <c r="COU36" s="1221"/>
      <c r="COV36" s="1221"/>
      <c r="COW36" s="1221"/>
      <c r="COX36" s="1221"/>
      <c r="COY36" s="1221"/>
      <c r="COZ36" s="1221"/>
      <c r="CPA36" s="1221"/>
      <c r="CPB36" s="1221"/>
      <c r="CPC36" s="1221"/>
      <c r="CPD36" s="1221"/>
      <c r="CPE36" s="1221"/>
      <c r="CPF36" s="1221"/>
      <c r="CPG36" s="1221"/>
      <c r="CPH36" s="1221"/>
      <c r="CPI36" s="1221"/>
      <c r="CPJ36" s="1221"/>
      <c r="CPK36" s="1221"/>
      <c r="CPL36" s="1221"/>
      <c r="CPM36" s="1221"/>
      <c r="CPN36" s="1221"/>
      <c r="CPO36" s="1221"/>
      <c r="CPP36" s="1221"/>
      <c r="CPQ36" s="1221"/>
      <c r="CPR36" s="1221"/>
      <c r="CPS36" s="1221"/>
      <c r="CPT36" s="1221"/>
      <c r="CPU36" s="1221"/>
      <c r="CPV36" s="1221"/>
      <c r="CPW36" s="1221"/>
      <c r="CPX36" s="1221"/>
      <c r="CPY36" s="1221"/>
      <c r="CPZ36" s="1221"/>
      <c r="CQA36" s="1221"/>
      <c r="CQB36" s="1221"/>
      <c r="CQC36" s="1221"/>
      <c r="CQD36" s="1221"/>
      <c r="CQE36" s="1221"/>
      <c r="CQF36" s="1221"/>
      <c r="CQG36" s="1221"/>
      <c r="CQH36" s="1221"/>
      <c r="CQI36" s="1221"/>
      <c r="CQJ36" s="1221"/>
      <c r="CQK36" s="1221"/>
      <c r="CQL36" s="1221"/>
      <c r="CQM36" s="1221"/>
      <c r="CQN36" s="1221"/>
      <c r="CQO36" s="1221"/>
      <c r="CQP36" s="1221"/>
      <c r="CQQ36" s="1221"/>
      <c r="CQR36" s="1221"/>
      <c r="CQS36" s="1221"/>
      <c r="CQT36" s="1221"/>
      <c r="CQU36" s="1221"/>
      <c r="CQV36" s="1221"/>
      <c r="CQW36" s="1221"/>
      <c r="CQX36" s="1221"/>
      <c r="CQY36" s="1221"/>
      <c r="CQZ36" s="1221"/>
      <c r="CRA36" s="1221"/>
      <c r="CRB36" s="1221"/>
      <c r="CRC36" s="1221"/>
      <c r="CRD36" s="1221"/>
      <c r="CRE36" s="1221"/>
      <c r="CRF36" s="1221"/>
      <c r="CRG36" s="1221"/>
      <c r="CRH36" s="1221"/>
      <c r="CRI36" s="1221"/>
      <c r="CRJ36" s="1221"/>
      <c r="CRK36" s="1221"/>
      <c r="CRL36" s="1221"/>
      <c r="CRM36" s="1221"/>
      <c r="CRN36" s="1221"/>
      <c r="CRO36" s="1221"/>
      <c r="CRP36" s="1221"/>
      <c r="CRQ36" s="1221"/>
      <c r="CRR36" s="1221"/>
      <c r="CRS36" s="1221"/>
      <c r="CRT36" s="1221"/>
      <c r="CRU36" s="1221"/>
      <c r="CRV36" s="1221"/>
      <c r="CRW36" s="1221"/>
      <c r="CRX36" s="1221"/>
      <c r="CRY36" s="1221"/>
      <c r="CRZ36" s="1221"/>
      <c r="CSA36" s="1221"/>
      <c r="CSB36" s="1221"/>
      <c r="CSC36" s="1221"/>
      <c r="CSD36" s="1221"/>
      <c r="CSE36" s="1221"/>
      <c r="CSF36" s="1221"/>
      <c r="CSG36" s="1221"/>
      <c r="CSH36" s="1221"/>
      <c r="CSI36" s="1221"/>
      <c r="CSJ36" s="1221"/>
      <c r="CSK36" s="1221"/>
      <c r="CSL36" s="1221"/>
      <c r="CSM36" s="1221"/>
      <c r="CSN36" s="1221"/>
      <c r="CSO36" s="1221"/>
      <c r="CSP36" s="1221"/>
      <c r="CSQ36" s="1221"/>
      <c r="CSR36" s="1221"/>
      <c r="CSS36" s="1221"/>
      <c r="CST36" s="1221"/>
      <c r="CSU36" s="1221"/>
      <c r="CSV36" s="1221"/>
      <c r="CSW36" s="1221"/>
      <c r="CSX36" s="1221"/>
      <c r="CSY36" s="1221"/>
      <c r="CSZ36" s="1221"/>
      <c r="CTA36" s="1221"/>
      <c r="CTB36" s="1221"/>
      <c r="CTC36" s="1221"/>
      <c r="CTD36" s="1221"/>
      <c r="CTE36" s="1221"/>
      <c r="CTF36" s="1221"/>
      <c r="CTG36" s="1221"/>
      <c r="CTH36" s="1221"/>
      <c r="CTI36" s="1221"/>
      <c r="CTJ36" s="1221"/>
      <c r="CTK36" s="1221"/>
      <c r="CTL36" s="1221"/>
      <c r="CTM36" s="1221"/>
      <c r="CTN36" s="1221"/>
      <c r="CTO36" s="1221"/>
      <c r="CTP36" s="1221"/>
      <c r="CTQ36" s="1221"/>
      <c r="CTR36" s="1221"/>
      <c r="CTS36" s="1221"/>
      <c r="CTT36" s="1221"/>
      <c r="CTU36" s="1221"/>
      <c r="CTV36" s="1221"/>
      <c r="CTW36" s="1221"/>
      <c r="CTX36" s="1221"/>
      <c r="CTY36" s="1221"/>
      <c r="CTZ36" s="1221"/>
      <c r="CUA36" s="1221"/>
      <c r="CUB36" s="1221"/>
      <c r="CUC36" s="1221"/>
      <c r="CUD36" s="1221"/>
      <c r="CUE36" s="1221"/>
      <c r="CUF36" s="1221"/>
      <c r="CUG36" s="1221"/>
      <c r="CUH36" s="1221"/>
      <c r="CUI36" s="1221"/>
      <c r="CUJ36" s="1221"/>
      <c r="CUK36" s="1221"/>
      <c r="CUL36" s="1221"/>
      <c r="CUM36" s="1221"/>
      <c r="CUN36" s="1221"/>
      <c r="CUO36" s="1221"/>
      <c r="CUP36" s="1221"/>
      <c r="CUQ36" s="1221"/>
      <c r="CUR36" s="1221"/>
      <c r="CUS36" s="1221"/>
      <c r="CUT36" s="1221"/>
      <c r="CUU36" s="1221"/>
      <c r="CUV36" s="1221"/>
      <c r="CUW36" s="1221"/>
      <c r="CUX36" s="1221"/>
      <c r="CUY36" s="1221"/>
      <c r="CUZ36" s="1221"/>
      <c r="CVA36" s="1221"/>
      <c r="CVB36" s="1221"/>
      <c r="CVC36" s="1221"/>
      <c r="CVD36" s="1221"/>
      <c r="CVE36" s="1221"/>
      <c r="CVF36" s="1221"/>
      <c r="CVG36" s="1221"/>
      <c r="CVH36" s="1221"/>
      <c r="CVI36" s="1221"/>
      <c r="CVJ36" s="1221"/>
      <c r="CVK36" s="1221"/>
      <c r="CVL36" s="1221"/>
      <c r="CVM36" s="1221"/>
      <c r="CVN36" s="1221"/>
      <c r="CVO36" s="1221"/>
      <c r="CVP36" s="1221"/>
      <c r="CVQ36" s="1221"/>
      <c r="CVR36" s="1221"/>
      <c r="CVS36" s="1221"/>
      <c r="CVT36" s="1221"/>
      <c r="CVU36" s="1221"/>
      <c r="CVV36" s="1221"/>
      <c r="CVW36" s="1221"/>
      <c r="CVX36" s="1221"/>
      <c r="CVY36" s="1221"/>
      <c r="CVZ36" s="1221"/>
      <c r="CWA36" s="1221"/>
      <c r="CWB36" s="1221"/>
      <c r="CWC36" s="1221"/>
      <c r="CWD36" s="1221"/>
      <c r="CWE36" s="1221"/>
      <c r="CWF36" s="1221"/>
      <c r="CWG36" s="1221"/>
      <c r="CWH36" s="1221"/>
      <c r="CWI36" s="1221"/>
      <c r="CWJ36" s="1221"/>
      <c r="CWK36" s="1221"/>
      <c r="CWL36" s="1221"/>
      <c r="CWM36" s="1221"/>
      <c r="CWN36" s="1221"/>
      <c r="CWO36" s="1221"/>
      <c r="CWP36" s="1221"/>
      <c r="CWQ36" s="1221"/>
      <c r="CWR36" s="1221"/>
      <c r="CWS36" s="1221"/>
      <c r="CWT36" s="1221"/>
      <c r="CWU36" s="1221"/>
      <c r="CWV36" s="1221"/>
      <c r="CWW36" s="1221"/>
      <c r="CWX36" s="1221"/>
      <c r="CWY36" s="1221"/>
      <c r="CWZ36" s="1221"/>
      <c r="CXA36" s="1221"/>
      <c r="CXB36" s="1221"/>
      <c r="CXC36" s="1221"/>
      <c r="CXD36" s="1221"/>
      <c r="CXE36" s="1221"/>
      <c r="CXF36" s="1221"/>
      <c r="CXG36" s="1221"/>
      <c r="CXH36" s="1221"/>
      <c r="CXI36" s="1221"/>
      <c r="CXJ36" s="1221"/>
      <c r="CXK36" s="1221"/>
      <c r="CXL36" s="1221"/>
      <c r="CXM36" s="1221"/>
      <c r="CXN36" s="1221"/>
      <c r="CXO36" s="1221"/>
      <c r="CXP36" s="1221"/>
      <c r="CXQ36" s="1221"/>
      <c r="CXR36" s="1221"/>
      <c r="CXS36" s="1221"/>
      <c r="CXT36" s="1221"/>
      <c r="CXU36" s="1221"/>
      <c r="CXV36" s="1221"/>
      <c r="CXW36" s="1221"/>
      <c r="CXX36" s="1221"/>
      <c r="CXY36" s="1221"/>
      <c r="CXZ36" s="1221"/>
      <c r="CYA36" s="1221"/>
      <c r="CYB36" s="1221"/>
      <c r="CYC36" s="1221"/>
      <c r="CYD36" s="1221"/>
      <c r="CYE36" s="1221"/>
      <c r="CYF36" s="1221"/>
      <c r="CYG36" s="1221"/>
      <c r="CYH36" s="1221"/>
      <c r="CYI36" s="1221"/>
      <c r="CYJ36" s="1221"/>
      <c r="CYK36" s="1221"/>
      <c r="CYL36" s="1221"/>
      <c r="CYM36" s="1221"/>
      <c r="CYN36" s="1221"/>
      <c r="CYO36" s="1221"/>
      <c r="CYP36" s="1221"/>
      <c r="CYQ36" s="1221"/>
      <c r="CYR36" s="1221"/>
      <c r="CYS36" s="1221"/>
      <c r="CYT36" s="1221"/>
      <c r="CYU36" s="1221"/>
      <c r="CYV36" s="1221"/>
      <c r="CYW36" s="1221"/>
      <c r="CYX36" s="1221"/>
      <c r="CYY36" s="1221"/>
      <c r="CYZ36" s="1221"/>
      <c r="CZA36" s="1221"/>
      <c r="CZB36" s="1221"/>
      <c r="CZC36" s="1221"/>
      <c r="CZD36" s="1221"/>
      <c r="CZE36" s="1221"/>
      <c r="CZF36" s="1221"/>
      <c r="CZG36" s="1221"/>
      <c r="CZH36" s="1221"/>
      <c r="CZI36" s="1221"/>
      <c r="CZJ36" s="1221"/>
      <c r="CZK36" s="1221"/>
      <c r="CZL36" s="1221"/>
      <c r="CZM36" s="1221"/>
      <c r="CZN36" s="1221"/>
      <c r="CZO36" s="1221"/>
      <c r="CZP36" s="1221"/>
      <c r="CZQ36" s="1221"/>
      <c r="CZR36" s="1221"/>
      <c r="CZS36" s="1221"/>
      <c r="CZT36" s="1221"/>
      <c r="CZU36" s="1221"/>
      <c r="CZV36" s="1221"/>
      <c r="CZW36" s="1221"/>
      <c r="CZX36" s="1221"/>
      <c r="CZY36" s="1221"/>
      <c r="CZZ36" s="1221"/>
      <c r="DAA36" s="1221"/>
      <c r="DAB36" s="1221"/>
      <c r="DAC36" s="1221"/>
      <c r="DAD36" s="1221"/>
      <c r="DAE36" s="1221"/>
      <c r="DAF36" s="1221"/>
      <c r="DAG36" s="1221"/>
      <c r="DAH36" s="1221"/>
      <c r="DAI36" s="1221"/>
      <c r="DAJ36" s="1221"/>
      <c r="DAK36" s="1221"/>
      <c r="DAL36" s="1221"/>
      <c r="DAM36" s="1221"/>
      <c r="DAN36" s="1221"/>
      <c r="DAO36" s="1221"/>
      <c r="DAP36" s="1221"/>
      <c r="DAQ36" s="1221"/>
      <c r="DAR36" s="1221"/>
      <c r="DAS36" s="1221"/>
      <c r="DAT36" s="1221"/>
      <c r="DAU36" s="1221"/>
      <c r="DAV36" s="1221"/>
      <c r="DAW36" s="1221"/>
      <c r="DAX36" s="1221"/>
      <c r="DAY36" s="1221"/>
      <c r="DAZ36" s="1221"/>
      <c r="DBA36" s="1221"/>
      <c r="DBB36" s="1221"/>
      <c r="DBC36" s="1221"/>
      <c r="DBD36" s="1221"/>
      <c r="DBE36" s="1221"/>
      <c r="DBF36" s="1221"/>
      <c r="DBG36" s="1221"/>
      <c r="DBH36" s="1221"/>
      <c r="DBI36" s="1221"/>
      <c r="DBJ36" s="1221"/>
      <c r="DBK36" s="1221"/>
      <c r="DBL36" s="1221"/>
      <c r="DBM36" s="1221"/>
      <c r="DBN36" s="1221"/>
      <c r="DBO36" s="1221"/>
      <c r="DBP36" s="1221"/>
      <c r="DBQ36" s="1221"/>
      <c r="DBR36" s="1221"/>
      <c r="DBS36" s="1221"/>
      <c r="DBT36" s="1221"/>
      <c r="DBU36" s="1221"/>
      <c r="DBV36" s="1221"/>
      <c r="DBW36" s="1221"/>
      <c r="DBX36" s="1221"/>
      <c r="DBY36" s="1221"/>
      <c r="DBZ36" s="1221"/>
      <c r="DCA36" s="1221"/>
      <c r="DCB36" s="1221"/>
      <c r="DCC36" s="1221"/>
      <c r="DCD36" s="1221"/>
      <c r="DCE36" s="1221"/>
      <c r="DCF36" s="1221"/>
      <c r="DCG36" s="1221"/>
      <c r="DCH36" s="1221"/>
      <c r="DCI36" s="1221"/>
      <c r="DCJ36" s="1221"/>
      <c r="DCK36" s="1221"/>
      <c r="DCL36" s="1221"/>
      <c r="DCM36" s="1221"/>
      <c r="DCN36" s="1221"/>
      <c r="DCO36" s="1221"/>
      <c r="DCP36" s="1221"/>
      <c r="DCQ36" s="1221"/>
      <c r="DCR36" s="1221"/>
      <c r="DCS36" s="1221"/>
      <c r="DCT36" s="1221"/>
      <c r="DCU36" s="1221"/>
      <c r="DCV36" s="1221"/>
      <c r="DCW36" s="1221"/>
      <c r="DCX36" s="1221"/>
      <c r="DCY36" s="1221"/>
      <c r="DCZ36" s="1221"/>
      <c r="DDA36" s="1221"/>
      <c r="DDB36" s="1221"/>
      <c r="DDC36" s="1221"/>
      <c r="DDD36" s="1221"/>
      <c r="DDE36" s="1221"/>
      <c r="DDF36" s="1221"/>
      <c r="DDG36" s="1221"/>
      <c r="DDH36" s="1221"/>
      <c r="DDI36" s="1221"/>
      <c r="DDJ36" s="1221"/>
      <c r="DDK36" s="1221"/>
      <c r="DDL36" s="1221"/>
      <c r="DDM36" s="1221"/>
      <c r="DDN36" s="1221"/>
      <c r="DDO36" s="1221"/>
      <c r="DDP36" s="1221"/>
      <c r="DDQ36" s="1221"/>
      <c r="DDR36" s="1221"/>
      <c r="DDS36" s="1221"/>
      <c r="DDT36" s="1221"/>
      <c r="DDU36" s="1221"/>
      <c r="DDV36" s="1221"/>
      <c r="DDW36" s="1221"/>
      <c r="DDX36" s="1221"/>
      <c r="DDY36" s="1221"/>
      <c r="DDZ36" s="1221"/>
      <c r="DEA36" s="1221"/>
      <c r="DEB36" s="1221"/>
      <c r="DEC36" s="1221"/>
      <c r="DED36" s="1221"/>
      <c r="DEE36" s="1221"/>
      <c r="DEF36" s="1221"/>
      <c r="DEG36" s="1221"/>
      <c r="DEH36" s="1221"/>
      <c r="DEI36" s="1221"/>
      <c r="DEJ36" s="1221"/>
      <c r="DEK36" s="1221"/>
      <c r="DEL36" s="1221"/>
      <c r="DEM36" s="1221"/>
      <c r="DEN36" s="1221"/>
      <c r="DEO36" s="1221"/>
      <c r="DEP36" s="1221"/>
      <c r="DEQ36" s="1221"/>
      <c r="DER36" s="1221"/>
      <c r="DES36" s="1221"/>
      <c r="DET36" s="1221"/>
      <c r="DEU36" s="1221"/>
      <c r="DEV36" s="1221"/>
      <c r="DEW36" s="1221"/>
      <c r="DEX36" s="1221"/>
      <c r="DEY36" s="1221"/>
      <c r="DEZ36" s="1221"/>
      <c r="DFA36" s="1221"/>
      <c r="DFB36" s="1221"/>
      <c r="DFC36" s="1221"/>
      <c r="DFD36" s="1221"/>
      <c r="DFE36" s="1221"/>
      <c r="DFF36" s="1221"/>
      <c r="DFG36" s="1221"/>
      <c r="DFH36" s="1221"/>
      <c r="DFI36" s="1221"/>
      <c r="DFJ36" s="1221"/>
      <c r="DFK36" s="1221"/>
      <c r="DFL36" s="1221"/>
      <c r="DFM36" s="1221"/>
      <c r="DFN36" s="1221"/>
      <c r="DFO36" s="1221"/>
      <c r="DFP36" s="1221"/>
      <c r="DFQ36" s="1221"/>
      <c r="DFR36" s="1221"/>
      <c r="DFS36" s="1221"/>
      <c r="DFT36" s="1221"/>
      <c r="DFU36" s="1221"/>
      <c r="DFV36" s="1221"/>
      <c r="DFW36" s="1221"/>
      <c r="DFX36" s="1221"/>
      <c r="DFY36" s="1221"/>
      <c r="DFZ36" s="1221"/>
      <c r="DGA36" s="1221"/>
      <c r="DGB36" s="1221"/>
      <c r="DGC36" s="1221"/>
      <c r="DGD36" s="1221"/>
      <c r="DGE36" s="1221"/>
      <c r="DGF36" s="1221"/>
      <c r="DGG36" s="1221"/>
      <c r="DGH36" s="1221"/>
      <c r="DGI36" s="1221"/>
      <c r="DGJ36" s="1221"/>
      <c r="DGK36" s="1221"/>
      <c r="DGL36" s="1221"/>
      <c r="DGM36" s="1221"/>
      <c r="DGN36" s="1221"/>
      <c r="DGO36" s="1221"/>
      <c r="DGP36" s="1221"/>
      <c r="DGQ36" s="1221"/>
      <c r="DGR36" s="1221"/>
      <c r="DGS36" s="1221"/>
      <c r="DGT36" s="1221"/>
      <c r="DGU36" s="1221"/>
      <c r="DGV36" s="1221"/>
      <c r="DGW36" s="1221"/>
      <c r="DGX36" s="1221"/>
      <c r="DGY36" s="1221"/>
      <c r="DGZ36" s="1221"/>
      <c r="DHA36" s="1221"/>
      <c r="DHB36" s="1221"/>
      <c r="DHC36" s="1221"/>
      <c r="DHD36" s="1221"/>
      <c r="DHE36" s="1221"/>
      <c r="DHF36" s="1221"/>
      <c r="DHG36" s="1221"/>
      <c r="DHH36" s="1221"/>
      <c r="DHI36" s="1221"/>
      <c r="DHJ36" s="1221"/>
      <c r="DHK36" s="1221"/>
      <c r="DHL36" s="1221"/>
      <c r="DHM36" s="1221"/>
      <c r="DHN36" s="1221"/>
      <c r="DHO36" s="1221"/>
      <c r="DHP36" s="1221"/>
      <c r="DHQ36" s="1221"/>
      <c r="DHR36" s="1221"/>
      <c r="DHS36" s="1221"/>
      <c r="DHT36" s="1221"/>
      <c r="DHU36" s="1221"/>
      <c r="DHV36" s="1221"/>
      <c r="DHW36" s="1221"/>
      <c r="DHX36" s="1221"/>
      <c r="DHY36" s="1221"/>
      <c r="DHZ36" s="1221"/>
      <c r="DIA36" s="1221"/>
      <c r="DIB36" s="1221"/>
      <c r="DIC36" s="1221"/>
      <c r="DID36" s="1221"/>
      <c r="DIE36" s="1221"/>
      <c r="DIF36" s="1221"/>
      <c r="DIG36" s="1221"/>
      <c r="DIH36" s="1221"/>
      <c r="DII36" s="1221"/>
      <c r="DIJ36" s="1221"/>
      <c r="DIK36" s="1221"/>
      <c r="DIL36" s="1221"/>
      <c r="DIM36" s="1221"/>
      <c r="DIN36" s="1221"/>
      <c r="DIO36" s="1221"/>
      <c r="DIP36" s="1221"/>
      <c r="DIQ36" s="1221"/>
      <c r="DIR36" s="1221"/>
      <c r="DIS36" s="1221"/>
      <c r="DIT36" s="1221"/>
      <c r="DIU36" s="1221"/>
      <c r="DIV36" s="1221"/>
      <c r="DIW36" s="1221"/>
      <c r="DIX36" s="1221"/>
      <c r="DIY36" s="1221"/>
      <c r="DIZ36" s="1221"/>
      <c r="DJA36" s="1221"/>
      <c r="DJB36" s="1221"/>
      <c r="DJC36" s="1221"/>
      <c r="DJD36" s="1221"/>
      <c r="DJE36" s="1221"/>
      <c r="DJF36" s="1221"/>
      <c r="DJG36" s="1221"/>
      <c r="DJH36" s="1221"/>
      <c r="DJI36" s="1221"/>
      <c r="DJJ36" s="1221"/>
      <c r="DJK36" s="1221"/>
      <c r="DJL36" s="1221"/>
      <c r="DJM36" s="1221"/>
      <c r="DJN36" s="1221"/>
      <c r="DJO36" s="1221"/>
      <c r="DJP36" s="1221"/>
      <c r="DJQ36" s="1221"/>
      <c r="DJR36" s="1221"/>
      <c r="DJS36" s="1221"/>
      <c r="DJT36" s="1221"/>
      <c r="DJU36" s="1221"/>
      <c r="DJV36" s="1221"/>
      <c r="DJW36" s="1221"/>
      <c r="DJX36" s="1221"/>
      <c r="DJY36" s="1221"/>
      <c r="DJZ36" s="1221"/>
      <c r="DKA36" s="1221"/>
      <c r="DKB36" s="1221"/>
      <c r="DKC36" s="1221"/>
      <c r="DKD36" s="1221"/>
      <c r="DKE36" s="1221"/>
      <c r="DKF36" s="1221"/>
      <c r="DKG36" s="1221"/>
      <c r="DKH36" s="1221"/>
      <c r="DKI36" s="1221"/>
      <c r="DKJ36" s="1221"/>
      <c r="DKK36" s="1221"/>
      <c r="DKL36" s="1221"/>
      <c r="DKM36" s="1221"/>
      <c r="DKN36" s="1221"/>
      <c r="DKO36" s="1221"/>
      <c r="DKP36" s="1221"/>
      <c r="DKQ36" s="1221"/>
      <c r="DKR36" s="1221"/>
      <c r="DKS36" s="1221"/>
      <c r="DKT36" s="1221"/>
      <c r="DKU36" s="1221"/>
      <c r="DKV36" s="1221"/>
      <c r="DKW36" s="1221"/>
      <c r="DKX36" s="1221"/>
      <c r="DKY36" s="1221"/>
      <c r="DKZ36" s="1221"/>
      <c r="DLA36" s="1221"/>
      <c r="DLB36" s="1221"/>
      <c r="DLC36" s="1221"/>
      <c r="DLD36" s="1221"/>
      <c r="DLE36" s="1221"/>
      <c r="DLF36" s="1221"/>
      <c r="DLG36" s="1221"/>
      <c r="DLH36" s="1221"/>
      <c r="DLI36" s="1221"/>
      <c r="DLJ36" s="1221"/>
      <c r="DLK36" s="1221"/>
      <c r="DLL36" s="1221"/>
      <c r="DLM36" s="1221"/>
      <c r="DLN36" s="1221"/>
      <c r="DLO36" s="1221"/>
      <c r="DLP36" s="1221"/>
      <c r="DLQ36" s="1221"/>
      <c r="DLR36" s="1221"/>
      <c r="DLS36" s="1221"/>
      <c r="DLT36" s="1221"/>
      <c r="DLU36" s="1221"/>
      <c r="DLV36" s="1221"/>
      <c r="DLW36" s="1221"/>
      <c r="DLX36" s="1221"/>
      <c r="DLY36" s="1221"/>
      <c r="DLZ36" s="1221"/>
      <c r="DMA36" s="1221"/>
      <c r="DMB36" s="1221"/>
      <c r="DMC36" s="1221"/>
      <c r="DMD36" s="1221"/>
      <c r="DME36" s="1221"/>
      <c r="DMF36" s="1221"/>
      <c r="DMG36" s="1221"/>
      <c r="DMH36" s="1221"/>
      <c r="DMI36" s="1221"/>
      <c r="DMJ36" s="1221"/>
      <c r="DMK36" s="1221"/>
      <c r="DML36" s="1221"/>
      <c r="DMM36" s="1221"/>
      <c r="DMN36" s="1221"/>
      <c r="DMO36" s="1221"/>
      <c r="DMP36" s="1221"/>
      <c r="DMQ36" s="1221"/>
      <c r="DMR36" s="1221"/>
      <c r="DMS36" s="1221"/>
      <c r="DMT36" s="1221"/>
      <c r="DMU36" s="1221"/>
      <c r="DMV36" s="1221"/>
      <c r="DMW36" s="1221"/>
      <c r="DMX36" s="1221"/>
      <c r="DMY36" s="1221"/>
      <c r="DMZ36" s="1221"/>
      <c r="DNA36" s="1221"/>
      <c r="DNB36" s="1221"/>
      <c r="DNC36" s="1221"/>
      <c r="DND36" s="1221"/>
      <c r="DNE36" s="1221"/>
      <c r="DNF36" s="1221"/>
      <c r="DNG36" s="1221"/>
      <c r="DNH36" s="1221"/>
      <c r="DNI36" s="1221"/>
      <c r="DNJ36" s="1221"/>
      <c r="DNK36" s="1221"/>
      <c r="DNL36" s="1221"/>
      <c r="DNM36" s="1221"/>
      <c r="DNN36" s="1221"/>
      <c r="DNO36" s="1221"/>
      <c r="DNP36" s="1221"/>
      <c r="DNQ36" s="1221"/>
      <c r="DNR36" s="1221"/>
      <c r="DNS36" s="1221"/>
      <c r="DNT36" s="1221"/>
      <c r="DNU36" s="1221"/>
      <c r="DNV36" s="1221"/>
      <c r="DNW36" s="1221"/>
      <c r="DNX36" s="1221"/>
      <c r="DNY36" s="1221"/>
      <c r="DNZ36" s="1221"/>
      <c r="DOA36" s="1221"/>
      <c r="DOB36" s="1221"/>
      <c r="DOC36" s="1221"/>
      <c r="DOD36" s="1221"/>
      <c r="DOE36" s="1221"/>
      <c r="DOF36" s="1221"/>
      <c r="DOG36" s="1221"/>
      <c r="DOH36" s="1221"/>
      <c r="DOI36" s="1221"/>
      <c r="DOJ36" s="1221"/>
      <c r="DOK36" s="1221"/>
      <c r="DOL36" s="1221"/>
      <c r="DOM36" s="1221"/>
      <c r="DON36" s="1221"/>
      <c r="DOO36" s="1221"/>
      <c r="DOP36" s="1221"/>
      <c r="DOQ36" s="1221"/>
      <c r="DOR36" s="1221"/>
      <c r="DOS36" s="1221"/>
      <c r="DOT36" s="1221"/>
      <c r="DOU36" s="1221"/>
      <c r="DOV36" s="1221"/>
      <c r="DOW36" s="1221"/>
      <c r="DOX36" s="1221"/>
      <c r="DOY36" s="1221"/>
      <c r="DOZ36" s="1221"/>
      <c r="DPA36" s="1221"/>
      <c r="DPB36" s="1221"/>
      <c r="DPC36" s="1221"/>
      <c r="DPD36" s="1221"/>
      <c r="DPE36" s="1221"/>
      <c r="DPF36" s="1221"/>
      <c r="DPG36" s="1221"/>
      <c r="DPH36" s="1221"/>
      <c r="DPI36" s="1221"/>
      <c r="DPJ36" s="1221"/>
      <c r="DPK36" s="1221"/>
      <c r="DPL36" s="1221"/>
      <c r="DPM36" s="1221"/>
      <c r="DPN36" s="1221"/>
      <c r="DPO36" s="1221"/>
      <c r="DPP36" s="1221"/>
      <c r="DPQ36" s="1221"/>
      <c r="DPR36" s="1221"/>
      <c r="DPS36" s="1221"/>
      <c r="DPT36" s="1221"/>
      <c r="DPU36" s="1221"/>
      <c r="DPV36" s="1221"/>
      <c r="DPW36" s="1221"/>
      <c r="DPX36" s="1221"/>
      <c r="DPY36" s="1221"/>
      <c r="DPZ36" s="1221"/>
      <c r="DQA36" s="1221"/>
      <c r="DQB36" s="1221"/>
      <c r="DQC36" s="1221"/>
      <c r="DQD36" s="1221"/>
      <c r="DQE36" s="1221"/>
      <c r="DQF36" s="1221"/>
      <c r="DQG36" s="1221"/>
      <c r="DQH36" s="1221"/>
      <c r="DQI36" s="1221"/>
      <c r="DQJ36" s="1221"/>
      <c r="DQK36" s="1221"/>
      <c r="DQL36" s="1221"/>
      <c r="DQM36" s="1221"/>
      <c r="DQN36" s="1221"/>
      <c r="DQO36" s="1221"/>
      <c r="DQP36" s="1221"/>
      <c r="DQQ36" s="1221"/>
      <c r="DQR36" s="1221"/>
      <c r="DQS36" s="1221"/>
      <c r="DQT36" s="1221"/>
      <c r="DQU36" s="1221"/>
      <c r="DQV36" s="1221"/>
      <c r="DQW36" s="1221"/>
      <c r="DQX36" s="1221"/>
      <c r="DQY36" s="1221"/>
      <c r="DQZ36" s="1221"/>
      <c r="DRA36" s="1221"/>
      <c r="DRB36" s="1221"/>
      <c r="DRC36" s="1221"/>
      <c r="DRD36" s="1221"/>
      <c r="DRE36" s="1221"/>
      <c r="DRF36" s="1221"/>
      <c r="DRG36" s="1221"/>
      <c r="DRH36" s="1221"/>
      <c r="DRI36" s="1221"/>
      <c r="DRJ36" s="1221"/>
      <c r="DRK36" s="1221"/>
      <c r="DRL36" s="1221"/>
      <c r="DRM36" s="1221"/>
      <c r="DRN36" s="1221"/>
      <c r="DRO36" s="1221"/>
      <c r="DRP36" s="1221"/>
      <c r="DRQ36" s="1221"/>
      <c r="DRR36" s="1221"/>
      <c r="DRS36" s="1221"/>
      <c r="DRT36" s="1221"/>
      <c r="DRU36" s="1221"/>
      <c r="DRV36" s="1221"/>
      <c r="DRW36" s="1221"/>
      <c r="DRX36" s="1221"/>
      <c r="DRY36" s="1221"/>
      <c r="DRZ36" s="1221"/>
      <c r="DSA36" s="1221"/>
      <c r="DSB36" s="1221"/>
      <c r="DSC36" s="1221"/>
      <c r="DSD36" s="1221"/>
      <c r="DSE36" s="1221"/>
      <c r="DSF36" s="1221"/>
      <c r="DSG36" s="1221"/>
      <c r="DSH36" s="1221"/>
      <c r="DSI36" s="1221"/>
      <c r="DSJ36" s="1221"/>
      <c r="DSK36" s="1221"/>
      <c r="DSL36" s="1221"/>
      <c r="DSM36" s="1221"/>
      <c r="DSN36" s="1221"/>
      <c r="DSO36" s="1221"/>
      <c r="DSP36" s="1221"/>
      <c r="DSQ36" s="1221"/>
      <c r="DSR36" s="1221"/>
      <c r="DSS36" s="1221"/>
      <c r="DST36" s="1221"/>
      <c r="DSU36" s="1221"/>
      <c r="DSV36" s="1221"/>
      <c r="DSW36" s="1221"/>
      <c r="DSX36" s="1221"/>
      <c r="DSY36" s="1221"/>
      <c r="DSZ36" s="1221"/>
      <c r="DTA36" s="1221"/>
      <c r="DTB36" s="1221"/>
      <c r="DTC36" s="1221"/>
      <c r="DTD36" s="1221"/>
      <c r="DTE36" s="1221"/>
      <c r="DTF36" s="1221"/>
      <c r="DTG36" s="1221"/>
      <c r="DTH36" s="1221"/>
      <c r="DTI36" s="1221"/>
      <c r="DTJ36" s="1221"/>
      <c r="DTK36" s="1221"/>
      <c r="DTL36" s="1221"/>
      <c r="DTM36" s="1221"/>
      <c r="DTN36" s="1221"/>
      <c r="DTO36" s="1221"/>
      <c r="DTP36" s="1221"/>
      <c r="DTQ36" s="1221"/>
      <c r="DTR36" s="1221"/>
      <c r="DTS36" s="1221"/>
      <c r="DTT36" s="1221"/>
      <c r="DTU36" s="1221"/>
      <c r="DTV36" s="1221"/>
      <c r="DTW36" s="1221"/>
      <c r="DTX36" s="1221"/>
      <c r="DTY36" s="1221"/>
      <c r="DTZ36" s="1221"/>
      <c r="DUA36" s="1221"/>
      <c r="DUB36" s="1221"/>
      <c r="DUC36" s="1221"/>
      <c r="DUD36" s="1221"/>
      <c r="DUE36" s="1221"/>
      <c r="DUF36" s="1221"/>
      <c r="DUG36" s="1221"/>
      <c r="DUH36" s="1221"/>
      <c r="DUI36" s="1221"/>
      <c r="DUJ36" s="1221"/>
      <c r="DUK36" s="1221"/>
      <c r="DUL36" s="1221"/>
      <c r="DUM36" s="1221"/>
      <c r="DUN36" s="1221"/>
      <c r="DUO36" s="1221"/>
      <c r="DUP36" s="1221"/>
      <c r="DUQ36" s="1221"/>
      <c r="DUR36" s="1221"/>
      <c r="DUS36" s="1221"/>
      <c r="DUT36" s="1221"/>
      <c r="DUU36" s="1221"/>
      <c r="DUV36" s="1221"/>
      <c r="DUW36" s="1221"/>
      <c r="DUX36" s="1221"/>
      <c r="DUY36" s="1221"/>
      <c r="DUZ36" s="1221"/>
      <c r="DVA36" s="1221"/>
      <c r="DVB36" s="1221"/>
      <c r="DVC36" s="1221"/>
      <c r="DVD36" s="1221"/>
      <c r="DVE36" s="1221"/>
      <c r="DVF36" s="1221"/>
      <c r="DVG36" s="1221"/>
      <c r="DVH36" s="1221"/>
      <c r="DVI36" s="1221"/>
      <c r="DVJ36" s="1221"/>
      <c r="DVK36" s="1221"/>
      <c r="DVL36" s="1221"/>
      <c r="DVM36" s="1221"/>
      <c r="DVN36" s="1221"/>
      <c r="DVO36" s="1221"/>
      <c r="DVP36" s="1221"/>
      <c r="DVQ36" s="1221"/>
      <c r="DVR36" s="1221"/>
      <c r="DVS36" s="1221"/>
      <c r="DVT36" s="1221"/>
      <c r="DVU36" s="1221"/>
      <c r="DVV36" s="1221"/>
      <c r="DVW36" s="1221"/>
      <c r="DVX36" s="1221"/>
      <c r="DVY36" s="1221"/>
      <c r="DVZ36" s="1221"/>
      <c r="DWA36" s="1221"/>
      <c r="DWB36" s="1221"/>
      <c r="DWC36" s="1221"/>
      <c r="DWD36" s="1221"/>
      <c r="DWE36" s="1221"/>
      <c r="DWF36" s="1221"/>
      <c r="DWG36" s="1221"/>
      <c r="DWH36" s="1221"/>
      <c r="DWI36" s="1221"/>
      <c r="DWJ36" s="1221"/>
      <c r="DWK36" s="1221"/>
      <c r="DWL36" s="1221"/>
      <c r="DWM36" s="1221"/>
      <c r="DWN36" s="1221"/>
      <c r="DWO36" s="1221"/>
      <c r="DWP36" s="1221"/>
      <c r="DWQ36" s="1221"/>
      <c r="DWR36" s="1221"/>
      <c r="DWS36" s="1221"/>
      <c r="DWT36" s="1221"/>
      <c r="DWU36" s="1221"/>
      <c r="DWV36" s="1221"/>
      <c r="DWW36" s="1221"/>
      <c r="DWX36" s="1221"/>
      <c r="DWY36" s="1221"/>
      <c r="DWZ36" s="1221"/>
      <c r="DXA36" s="1221"/>
      <c r="DXB36" s="1221"/>
      <c r="DXC36" s="1221"/>
      <c r="DXD36" s="1221"/>
      <c r="DXE36" s="1221"/>
      <c r="DXF36" s="1221"/>
      <c r="DXG36" s="1221"/>
      <c r="DXH36" s="1221"/>
      <c r="DXI36" s="1221"/>
      <c r="DXJ36" s="1221"/>
      <c r="DXK36" s="1221"/>
      <c r="DXL36" s="1221"/>
      <c r="DXM36" s="1221"/>
      <c r="DXN36" s="1221"/>
      <c r="DXO36" s="1221"/>
      <c r="DXP36" s="1221"/>
      <c r="DXQ36" s="1221"/>
      <c r="DXR36" s="1221"/>
      <c r="DXS36" s="1221"/>
      <c r="DXT36" s="1221"/>
      <c r="DXU36" s="1221"/>
      <c r="DXV36" s="1221"/>
      <c r="DXW36" s="1221"/>
      <c r="DXX36" s="1221"/>
      <c r="DXY36" s="1221"/>
      <c r="DXZ36" s="1221"/>
      <c r="DYA36" s="1221"/>
      <c r="DYB36" s="1221"/>
      <c r="DYC36" s="1221"/>
      <c r="DYD36" s="1221"/>
      <c r="DYE36" s="1221"/>
      <c r="DYF36" s="1221"/>
      <c r="DYG36" s="1221"/>
      <c r="DYH36" s="1221"/>
      <c r="DYI36" s="1221"/>
      <c r="DYJ36" s="1221"/>
      <c r="DYK36" s="1221"/>
      <c r="DYL36" s="1221"/>
      <c r="DYM36" s="1221"/>
      <c r="DYN36" s="1221"/>
      <c r="DYO36" s="1221"/>
      <c r="DYP36" s="1221"/>
      <c r="DYQ36" s="1221"/>
      <c r="DYR36" s="1221"/>
      <c r="DYS36" s="1221"/>
      <c r="DYT36" s="1221"/>
      <c r="DYU36" s="1221"/>
      <c r="DYV36" s="1221"/>
      <c r="DYW36" s="1221"/>
      <c r="DYX36" s="1221"/>
      <c r="DYY36" s="1221"/>
      <c r="DYZ36" s="1221"/>
      <c r="DZA36" s="1221"/>
      <c r="DZB36" s="1221"/>
      <c r="DZC36" s="1221"/>
      <c r="DZD36" s="1221"/>
      <c r="DZE36" s="1221"/>
      <c r="DZF36" s="1221"/>
      <c r="DZG36" s="1221"/>
      <c r="DZH36" s="1221"/>
      <c r="DZI36" s="1221"/>
      <c r="DZJ36" s="1221"/>
      <c r="DZK36" s="1221"/>
      <c r="DZL36" s="1221"/>
      <c r="DZM36" s="1221"/>
      <c r="DZN36" s="1221"/>
      <c r="DZO36" s="1221"/>
      <c r="DZP36" s="1221"/>
      <c r="DZQ36" s="1221"/>
      <c r="DZR36" s="1221"/>
      <c r="DZS36" s="1221"/>
      <c r="DZT36" s="1221"/>
      <c r="DZU36" s="1221"/>
      <c r="DZV36" s="1221"/>
      <c r="DZW36" s="1221"/>
      <c r="DZX36" s="1221"/>
      <c r="DZY36" s="1221"/>
      <c r="DZZ36" s="1221"/>
      <c r="EAA36" s="1221"/>
      <c r="EAB36" s="1221"/>
      <c r="EAC36" s="1221"/>
      <c r="EAD36" s="1221"/>
      <c r="EAE36" s="1221"/>
      <c r="EAF36" s="1221"/>
      <c r="EAG36" s="1221"/>
      <c r="EAH36" s="1221"/>
      <c r="EAI36" s="1221"/>
      <c r="EAJ36" s="1221"/>
      <c r="EAK36" s="1221"/>
      <c r="EAL36" s="1221"/>
      <c r="EAM36" s="1221"/>
      <c r="EAN36" s="1221"/>
      <c r="EAO36" s="1221"/>
      <c r="EAP36" s="1221"/>
      <c r="EAQ36" s="1221"/>
      <c r="EAR36" s="1221"/>
      <c r="EAS36" s="1221"/>
      <c r="EAT36" s="1221"/>
      <c r="EAU36" s="1221"/>
      <c r="EAV36" s="1221"/>
      <c r="EAW36" s="1221"/>
      <c r="EAX36" s="1221"/>
      <c r="EAY36" s="1221"/>
      <c r="EAZ36" s="1221"/>
      <c r="EBA36" s="1221"/>
      <c r="EBB36" s="1221"/>
      <c r="EBC36" s="1221"/>
      <c r="EBD36" s="1221"/>
      <c r="EBE36" s="1221"/>
      <c r="EBF36" s="1221"/>
      <c r="EBG36" s="1221"/>
      <c r="EBH36" s="1221"/>
      <c r="EBI36" s="1221"/>
      <c r="EBJ36" s="1221"/>
      <c r="EBK36" s="1221"/>
      <c r="EBL36" s="1221"/>
      <c r="EBM36" s="1221"/>
      <c r="EBN36" s="1221"/>
      <c r="EBO36" s="1221"/>
      <c r="EBP36" s="1221"/>
      <c r="EBQ36" s="1221"/>
      <c r="EBR36" s="1221"/>
      <c r="EBS36" s="1221"/>
      <c r="EBT36" s="1221"/>
      <c r="EBU36" s="1221"/>
      <c r="EBV36" s="1221"/>
      <c r="EBW36" s="1221"/>
      <c r="EBX36" s="1221"/>
      <c r="EBY36" s="1221"/>
      <c r="EBZ36" s="1221"/>
      <c r="ECA36" s="1221"/>
      <c r="ECB36" s="1221"/>
      <c r="ECC36" s="1221"/>
      <c r="ECD36" s="1221"/>
      <c r="ECE36" s="1221"/>
      <c r="ECF36" s="1221"/>
      <c r="ECG36" s="1221"/>
      <c r="ECH36" s="1221"/>
      <c r="ECI36" s="1221"/>
      <c r="ECJ36" s="1221"/>
      <c r="ECK36" s="1221"/>
      <c r="ECL36" s="1221"/>
      <c r="ECM36" s="1221"/>
      <c r="ECN36" s="1221"/>
      <c r="ECO36" s="1221"/>
    </row>
    <row r="37" spans="2:3473" s="1248" customFormat="1" ht="13" outlineLevel="1">
      <c r="B37" s="1249" t="s">
        <v>510</v>
      </c>
      <c r="C37" s="1250">
        <v>2</v>
      </c>
      <c r="D37" s="1251" t="s">
        <v>124</v>
      </c>
      <c r="E37" s="1252">
        <f t="shared" si="47"/>
        <v>0</v>
      </c>
      <c r="F37" s="1252">
        <f t="shared" si="47"/>
        <v>0</v>
      </c>
      <c r="G37" s="1252">
        <f t="shared" si="47"/>
        <v>0</v>
      </c>
      <c r="H37" s="1252">
        <f t="shared" si="47"/>
        <v>55.995366669612935</v>
      </c>
      <c r="I37" s="1252">
        <f t="shared" si="47"/>
        <v>55.995366669612935</v>
      </c>
      <c r="J37" s="1252">
        <f t="shared" si="47"/>
        <v>0</v>
      </c>
      <c r="K37" s="1252">
        <f t="shared" si="47"/>
        <v>0</v>
      </c>
      <c r="L37" s="1252">
        <f t="shared" si="47"/>
        <v>0</v>
      </c>
      <c r="M37" s="1252">
        <f t="shared" si="47"/>
        <v>0</v>
      </c>
      <c r="N37" s="1252" t="str">
        <f t="shared" si="47"/>
        <v/>
      </c>
      <c r="O37" s="1252" t="str">
        <f t="shared" si="47"/>
        <v/>
      </c>
      <c r="P37" s="1252" t="str">
        <f t="shared" si="47"/>
        <v/>
      </c>
      <c r="Q37" s="1252">
        <f t="shared" si="47"/>
        <v>55.995366669612942</v>
      </c>
      <c r="R37" s="1252">
        <f t="shared" si="47"/>
        <v>55.995366669612942</v>
      </c>
      <c r="S37" s="1252">
        <f t="shared" si="8"/>
        <v>0</v>
      </c>
      <c r="T37" s="1252">
        <f t="shared" si="5"/>
        <v>55.995366669612935</v>
      </c>
      <c r="U37" s="1252">
        <f t="shared" si="5"/>
        <v>55.995366669612935</v>
      </c>
      <c r="V37" s="1252">
        <f t="shared" si="9"/>
        <v>0</v>
      </c>
      <c r="W37" s="1252" t="str">
        <f t="shared" si="10"/>
        <v/>
      </c>
      <c r="X37" s="1252" t="str">
        <f t="shared" si="10"/>
        <v/>
      </c>
      <c r="Y37" s="1252" t="str">
        <f t="shared" si="10"/>
        <v/>
      </c>
      <c r="Z37" s="1252">
        <f t="shared" si="11"/>
        <v>42.147470828902883</v>
      </c>
      <c r="AA37" s="1252">
        <f t="shared" si="11"/>
        <v>42.147470828902883</v>
      </c>
      <c r="AB37" s="1252">
        <f t="shared" si="11"/>
        <v>0</v>
      </c>
      <c r="AC37" s="1252">
        <f t="shared" si="15"/>
        <v>55.995366669612935</v>
      </c>
      <c r="AD37" s="1260">
        <f t="shared" si="15"/>
        <v>55.995366669612935</v>
      </c>
      <c r="AE37" s="1260">
        <f t="shared" si="15"/>
        <v>0</v>
      </c>
      <c r="AF37" s="1254"/>
      <c r="AG37" s="1255"/>
      <c r="AH37" s="1255"/>
      <c r="AI37" s="1256">
        <f t="shared" si="41"/>
        <v>241.75411608255354</v>
      </c>
      <c r="AJ37" s="1256">
        <f t="shared" ref="AJ37:AJ41" si="64">IF($BK37=0,0,$BK37*AJ$6/($BK$6-$AG$6-$AM$6))</f>
        <v>241.75411608255354</v>
      </c>
      <c r="AK37" s="1256">
        <f t="shared" ref="AK37:AK41" si="65">IF($BL37=0,0,$BL37*AK$6/($BL$6-$AH$6-$AN$6))</f>
        <v>0</v>
      </c>
      <c r="AL37" s="1256"/>
      <c r="AM37" s="1256"/>
      <c r="AN37" s="1256"/>
      <c r="AO37" s="1256">
        <f t="shared" si="21"/>
        <v>0</v>
      </c>
      <c r="AP37" s="1256">
        <f t="shared" ref="AP37:AP41" si="66">IF($BK37=0,0,$BK37*AP$6/($BK$6-$AG$6-$AM$6))</f>
        <v>0</v>
      </c>
      <c r="AQ37" s="1256">
        <f t="shared" ref="AQ37:AQ41" si="67">IF($BL37=0,0,$BL37*AQ$6/($BL$6-$AH$6-$AN$6))</f>
        <v>0</v>
      </c>
      <c r="AR37" s="1256">
        <f t="shared" si="60"/>
        <v>331.34911055470104</v>
      </c>
      <c r="AS37" s="1256">
        <f t="shared" ref="AS37:AS41" si="68">IF($BK37=0,0,$BK37*AS$6/($BK$6-$AG$6-$AM$6))</f>
        <v>331.34911055470104</v>
      </c>
      <c r="AT37" s="1256">
        <f t="shared" ref="AT37:AT41" si="69">IF($BL37=0,0,$BL37*AT$6/($BL$6-$AH$6-$AN$6))</f>
        <v>0</v>
      </c>
      <c r="AU37" s="1256">
        <f t="shared" si="61"/>
        <v>5.9295173627453233</v>
      </c>
      <c r="AV37" s="1256">
        <f t="shared" ref="AV37:AV41" si="70">IF($BK37=0,0,$BK37*AV$6/($BK$6-$AG$6-$AM$6))</f>
        <v>5.9295173627453233</v>
      </c>
      <c r="AW37" s="1256">
        <f t="shared" ref="AW37:AW41" si="71">IF($BL37=0,0,$BL37*AW$6/($BL$6-$AH$6-$AN$6))</f>
        <v>0</v>
      </c>
      <c r="AX37" s="1256"/>
      <c r="AY37" s="1256"/>
      <c r="AZ37" s="1256"/>
      <c r="BA37" s="1257">
        <f t="shared" si="62"/>
        <v>579.03274399999987</v>
      </c>
      <c r="BB37" s="1257">
        <f t="shared" si="63"/>
        <v>579.03274399999987</v>
      </c>
      <c r="BC37" s="1257">
        <f t="shared" si="63"/>
        <v>0</v>
      </c>
      <c r="BD37" s="1256">
        <f t="shared" ref="BD37:BD43" si="72">BE37+BF37</f>
        <v>0</v>
      </c>
      <c r="BE37" s="1256">
        <f t="shared" ref="BE37:BE41" si="73">IF($BK37=0,0,$BK37*BE$6/($BK$6-$AG$6-$AM$6))</f>
        <v>0</v>
      </c>
      <c r="BF37" s="1256">
        <f t="shared" ref="BF37:BF41" si="74">IF($BL37=0,0,$BL37*BF$6/($BL$6-$AH$6-$AN$6))</f>
        <v>0</v>
      </c>
      <c r="BG37" s="1256">
        <f t="shared" ref="BG37:BG43" si="75">+BH37+BI37</f>
        <v>0</v>
      </c>
      <c r="BH37" s="1257">
        <f t="shared" ref="BH37:BI43" si="76">+BE37</f>
        <v>0</v>
      </c>
      <c r="BI37" s="1257">
        <f t="shared" si="76"/>
        <v>0</v>
      </c>
      <c r="BJ37" s="1257">
        <f t="shared" ref="BJ37:BJ43" si="77">BK37+BL37</f>
        <v>579.03274399999998</v>
      </c>
      <c r="BK37" s="1256">
        <f>VLOOKUP($D37,'当期公摊测算表（全期）'!$D$9:$W$192,20,0)</f>
        <v>579.03274399999998</v>
      </c>
      <c r="BL37" s="1256">
        <f>VLOOKUP($D37,'当期公摊测算表（全期）'!$D$9:$W$192,19,0)</f>
        <v>0</v>
      </c>
      <c r="BM37" s="1262" t="s">
        <v>20</v>
      </c>
      <c r="BN37" s="1225">
        <f t="shared" si="12"/>
        <v>0</v>
      </c>
      <c r="BO37" s="1225">
        <f t="shared" si="13"/>
        <v>0</v>
      </c>
      <c r="BP37" s="1225">
        <f t="shared" si="14"/>
        <v>0</v>
      </c>
      <c r="BQ37" s="1225"/>
      <c r="BR37" s="1221"/>
      <c r="BS37" s="1221"/>
      <c r="BT37" s="1221"/>
      <c r="BU37" s="1221"/>
      <c r="BV37" s="1221"/>
      <c r="BW37" s="1221"/>
      <c r="BX37" s="1221"/>
      <c r="BY37" s="1221"/>
      <c r="BZ37" s="1221"/>
      <c r="CA37" s="1221"/>
      <c r="CB37" s="1221"/>
      <c r="CC37" s="1221"/>
      <c r="CD37" s="1221"/>
      <c r="CE37" s="1221"/>
      <c r="CF37" s="1221"/>
      <c r="CG37" s="1221"/>
      <c r="CH37" s="1221"/>
      <c r="CI37" s="1221"/>
      <c r="CJ37" s="1221"/>
      <c r="CK37" s="1221"/>
      <c r="CL37" s="1221"/>
      <c r="CM37" s="1221"/>
      <c r="CN37" s="1221"/>
      <c r="CO37" s="1221"/>
      <c r="CP37" s="1221"/>
      <c r="CQ37" s="1221"/>
      <c r="CR37" s="1221"/>
      <c r="CS37" s="1221"/>
      <c r="CT37" s="1221"/>
      <c r="CU37" s="1221"/>
      <c r="CV37" s="1221"/>
      <c r="CW37" s="1221"/>
      <c r="CX37" s="1221"/>
      <c r="CY37" s="1221"/>
      <c r="CZ37" s="1221"/>
      <c r="DA37" s="1221"/>
      <c r="DB37" s="1221"/>
      <c r="DC37" s="1221"/>
      <c r="DD37" s="1221"/>
      <c r="DE37" s="1221"/>
      <c r="DF37" s="1221"/>
      <c r="DG37" s="1221"/>
      <c r="DH37" s="1221"/>
      <c r="DI37" s="1221"/>
      <c r="DJ37" s="1221"/>
      <c r="DK37" s="1221"/>
      <c r="DL37" s="1221"/>
      <c r="DM37" s="1221"/>
      <c r="DN37" s="1221"/>
      <c r="DO37" s="1221"/>
      <c r="DP37" s="1221"/>
      <c r="DQ37" s="1221"/>
      <c r="DR37" s="1221"/>
      <c r="DS37" s="1221"/>
      <c r="DT37" s="1221"/>
      <c r="DU37" s="1221"/>
      <c r="DV37" s="1221"/>
      <c r="DW37" s="1221"/>
      <c r="DX37" s="1221"/>
      <c r="DY37" s="1221"/>
      <c r="DZ37" s="1221"/>
      <c r="EA37" s="1221"/>
      <c r="EB37" s="1221"/>
      <c r="EC37" s="1221"/>
      <c r="ED37" s="1221"/>
      <c r="EE37" s="1221"/>
      <c r="EF37" s="1221"/>
      <c r="EG37" s="1221"/>
      <c r="EH37" s="1221"/>
      <c r="EI37" s="1221"/>
      <c r="EJ37" s="1221"/>
      <c r="EK37" s="1221"/>
      <c r="EL37" s="1221"/>
      <c r="EM37" s="1221"/>
      <c r="EN37" s="1221"/>
      <c r="EO37" s="1221"/>
      <c r="EP37" s="1221"/>
      <c r="EQ37" s="1221"/>
      <c r="ER37" s="1221"/>
      <c r="ES37" s="1221"/>
      <c r="ET37" s="1221"/>
      <c r="EU37" s="1221"/>
      <c r="EV37" s="1221"/>
      <c r="EW37" s="1221"/>
      <c r="EX37" s="1221"/>
      <c r="EY37" s="1221"/>
      <c r="EZ37" s="1221"/>
      <c r="FA37" s="1221"/>
      <c r="FB37" s="1221"/>
      <c r="FC37" s="1221"/>
      <c r="FD37" s="1221"/>
      <c r="FE37" s="1221"/>
      <c r="FF37" s="1221"/>
      <c r="FG37" s="1221"/>
      <c r="FH37" s="1221"/>
      <c r="FI37" s="1221"/>
      <c r="FJ37" s="1221"/>
      <c r="FK37" s="1221"/>
      <c r="FL37" s="1221"/>
      <c r="FM37" s="1221"/>
      <c r="FN37" s="1221"/>
      <c r="FO37" s="1221"/>
      <c r="FP37" s="1221"/>
      <c r="FQ37" s="1221"/>
      <c r="FR37" s="1221"/>
      <c r="FS37" s="1221"/>
      <c r="FT37" s="1221"/>
      <c r="FU37" s="1221"/>
      <c r="FV37" s="1221"/>
      <c r="FW37" s="1221"/>
      <c r="FX37" s="1221"/>
      <c r="FY37" s="1221"/>
      <c r="FZ37" s="1221"/>
      <c r="GA37" s="1221"/>
      <c r="GB37" s="1221"/>
      <c r="GC37" s="1221"/>
      <c r="GD37" s="1221"/>
      <c r="GE37" s="1221"/>
      <c r="GF37" s="1221"/>
      <c r="GG37" s="1221"/>
      <c r="GH37" s="1221"/>
      <c r="GI37" s="1221"/>
      <c r="GJ37" s="1221"/>
      <c r="GK37" s="1221"/>
      <c r="GL37" s="1221"/>
      <c r="GM37" s="1221"/>
      <c r="GN37" s="1221"/>
      <c r="GO37" s="1221"/>
      <c r="GP37" s="1221"/>
      <c r="GQ37" s="1221"/>
      <c r="GR37" s="1221"/>
      <c r="GS37" s="1221"/>
      <c r="GT37" s="1221"/>
      <c r="GU37" s="1221"/>
      <c r="GV37" s="1221"/>
      <c r="GW37" s="1221"/>
      <c r="GX37" s="1221"/>
      <c r="GY37" s="1221"/>
      <c r="GZ37" s="1221"/>
      <c r="HA37" s="1221"/>
      <c r="HB37" s="1221"/>
      <c r="HC37" s="1221"/>
      <c r="HD37" s="1221"/>
      <c r="HE37" s="1221"/>
      <c r="HF37" s="1221"/>
      <c r="HG37" s="1221"/>
      <c r="HH37" s="1221"/>
      <c r="HI37" s="1221"/>
      <c r="HJ37" s="1221"/>
      <c r="HK37" s="1221"/>
      <c r="HL37" s="1221"/>
      <c r="HM37" s="1221"/>
      <c r="HN37" s="1221"/>
      <c r="HO37" s="1221"/>
      <c r="HP37" s="1221"/>
      <c r="HQ37" s="1221"/>
      <c r="HR37" s="1221"/>
      <c r="HS37" s="1221"/>
      <c r="HT37" s="1221"/>
      <c r="HU37" s="1221"/>
      <c r="HV37" s="1221"/>
      <c r="HW37" s="1221"/>
      <c r="HX37" s="1221"/>
      <c r="HY37" s="1221"/>
      <c r="HZ37" s="1221"/>
      <c r="IA37" s="1221"/>
      <c r="IB37" s="1221"/>
      <c r="IC37" s="1221"/>
      <c r="ID37" s="1221"/>
      <c r="IE37" s="1221"/>
      <c r="IF37" s="1221"/>
      <c r="IG37" s="1221"/>
      <c r="IH37" s="1221"/>
      <c r="II37" s="1221"/>
      <c r="IJ37" s="1221"/>
      <c r="IK37" s="1221"/>
      <c r="IL37" s="1221"/>
      <c r="IM37" s="1221"/>
      <c r="IN37" s="1221"/>
      <c r="IO37" s="1221"/>
      <c r="IP37" s="1221"/>
      <c r="IQ37" s="1221"/>
      <c r="IR37" s="1221"/>
      <c r="IS37" s="1221"/>
      <c r="IT37" s="1221"/>
      <c r="IU37" s="1221"/>
      <c r="IV37" s="1221"/>
      <c r="IW37" s="1221"/>
      <c r="IX37" s="1221"/>
      <c r="IY37" s="1221"/>
      <c r="IZ37" s="1221"/>
      <c r="JA37" s="1221"/>
      <c r="JB37" s="1221"/>
      <c r="JC37" s="1221"/>
      <c r="JD37" s="1221"/>
      <c r="JE37" s="1221"/>
      <c r="JF37" s="1221"/>
      <c r="JG37" s="1221"/>
      <c r="JH37" s="1221"/>
      <c r="JI37" s="1221"/>
      <c r="JJ37" s="1221"/>
      <c r="JK37" s="1221"/>
      <c r="JL37" s="1221"/>
      <c r="JM37" s="1221"/>
      <c r="JN37" s="1221"/>
      <c r="JO37" s="1221"/>
      <c r="JP37" s="1221"/>
      <c r="JQ37" s="1221"/>
      <c r="JR37" s="1221"/>
      <c r="JS37" s="1221"/>
      <c r="JT37" s="1221"/>
      <c r="JU37" s="1221"/>
      <c r="JV37" s="1221"/>
      <c r="JW37" s="1221"/>
      <c r="JX37" s="1221"/>
      <c r="JY37" s="1221"/>
      <c r="JZ37" s="1221"/>
      <c r="KA37" s="1221"/>
      <c r="KB37" s="1221"/>
      <c r="KC37" s="1221"/>
      <c r="KD37" s="1221"/>
      <c r="KE37" s="1221"/>
      <c r="KF37" s="1221"/>
      <c r="KG37" s="1221"/>
      <c r="KH37" s="1221"/>
      <c r="KI37" s="1221"/>
      <c r="KJ37" s="1221"/>
      <c r="KK37" s="1221"/>
      <c r="KL37" s="1221"/>
      <c r="KM37" s="1221"/>
      <c r="KN37" s="1221"/>
      <c r="KO37" s="1221"/>
      <c r="KP37" s="1221"/>
      <c r="KQ37" s="1221"/>
      <c r="KR37" s="1221"/>
      <c r="KS37" s="1221"/>
      <c r="KT37" s="1221"/>
      <c r="KU37" s="1221"/>
      <c r="KV37" s="1221"/>
      <c r="KW37" s="1221"/>
      <c r="KX37" s="1221"/>
      <c r="KY37" s="1221"/>
      <c r="KZ37" s="1221"/>
      <c r="LA37" s="1221"/>
      <c r="LB37" s="1221"/>
      <c r="LC37" s="1221"/>
      <c r="LD37" s="1221"/>
      <c r="LE37" s="1221"/>
      <c r="LF37" s="1221"/>
      <c r="LG37" s="1221"/>
      <c r="LH37" s="1221"/>
      <c r="LI37" s="1221"/>
      <c r="LJ37" s="1221"/>
      <c r="LK37" s="1221"/>
      <c r="LL37" s="1221"/>
      <c r="LM37" s="1221"/>
      <c r="LN37" s="1221"/>
      <c r="LO37" s="1221"/>
      <c r="LP37" s="1221"/>
      <c r="LQ37" s="1221"/>
      <c r="LR37" s="1221"/>
      <c r="LS37" s="1221"/>
      <c r="LT37" s="1221"/>
      <c r="LU37" s="1221"/>
      <c r="LV37" s="1221"/>
      <c r="LW37" s="1221"/>
      <c r="LX37" s="1221"/>
      <c r="LY37" s="1221"/>
      <c r="LZ37" s="1221"/>
      <c r="MA37" s="1221"/>
      <c r="MB37" s="1221"/>
      <c r="MC37" s="1221"/>
      <c r="MD37" s="1221"/>
      <c r="ME37" s="1221"/>
      <c r="MF37" s="1221"/>
      <c r="MG37" s="1221"/>
      <c r="MH37" s="1221"/>
      <c r="MI37" s="1221"/>
      <c r="MJ37" s="1221"/>
      <c r="MK37" s="1221"/>
      <c r="ML37" s="1221"/>
      <c r="MM37" s="1221"/>
      <c r="MN37" s="1221"/>
      <c r="MO37" s="1221"/>
      <c r="MP37" s="1221"/>
      <c r="MQ37" s="1221"/>
      <c r="MR37" s="1221"/>
      <c r="MS37" s="1221"/>
      <c r="MT37" s="1221"/>
      <c r="MU37" s="1221"/>
      <c r="MV37" s="1221"/>
      <c r="MW37" s="1221"/>
      <c r="MX37" s="1221"/>
      <c r="MY37" s="1221"/>
      <c r="MZ37" s="1221"/>
      <c r="NA37" s="1221"/>
      <c r="NB37" s="1221"/>
      <c r="NC37" s="1221"/>
      <c r="ND37" s="1221"/>
      <c r="NE37" s="1221"/>
      <c r="NF37" s="1221"/>
      <c r="NG37" s="1221"/>
      <c r="NH37" s="1221"/>
      <c r="NI37" s="1221"/>
      <c r="NJ37" s="1221"/>
      <c r="NK37" s="1221"/>
      <c r="NL37" s="1221"/>
      <c r="NM37" s="1221"/>
      <c r="NN37" s="1221"/>
      <c r="NO37" s="1221"/>
      <c r="NP37" s="1221"/>
      <c r="NQ37" s="1221"/>
      <c r="NR37" s="1221"/>
      <c r="NS37" s="1221"/>
      <c r="NT37" s="1221"/>
      <c r="NU37" s="1221"/>
      <c r="NV37" s="1221"/>
      <c r="NW37" s="1221"/>
      <c r="NX37" s="1221"/>
      <c r="NY37" s="1221"/>
      <c r="NZ37" s="1221"/>
      <c r="OA37" s="1221"/>
      <c r="OB37" s="1221"/>
      <c r="OC37" s="1221"/>
      <c r="OD37" s="1221"/>
      <c r="OE37" s="1221"/>
      <c r="OF37" s="1221"/>
      <c r="OG37" s="1221"/>
      <c r="OH37" s="1221"/>
      <c r="OI37" s="1221"/>
      <c r="OJ37" s="1221"/>
      <c r="OK37" s="1221"/>
      <c r="OL37" s="1221"/>
      <c r="OM37" s="1221"/>
      <c r="ON37" s="1221"/>
      <c r="OO37" s="1221"/>
      <c r="OP37" s="1221"/>
      <c r="OQ37" s="1221"/>
      <c r="OR37" s="1221"/>
      <c r="OS37" s="1221"/>
      <c r="OT37" s="1221"/>
      <c r="OU37" s="1221"/>
      <c r="OV37" s="1221"/>
      <c r="OW37" s="1221"/>
      <c r="OX37" s="1221"/>
      <c r="OY37" s="1221"/>
      <c r="OZ37" s="1221"/>
      <c r="PA37" s="1221"/>
      <c r="PB37" s="1221"/>
      <c r="PC37" s="1221"/>
      <c r="PD37" s="1221"/>
      <c r="PE37" s="1221"/>
      <c r="PF37" s="1221"/>
      <c r="PG37" s="1221"/>
      <c r="PH37" s="1221"/>
      <c r="PI37" s="1221"/>
      <c r="PJ37" s="1221"/>
      <c r="PK37" s="1221"/>
      <c r="PL37" s="1221"/>
      <c r="PM37" s="1221"/>
      <c r="PN37" s="1221"/>
      <c r="PO37" s="1221"/>
      <c r="PP37" s="1221"/>
      <c r="PQ37" s="1221"/>
      <c r="PR37" s="1221"/>
      <c r="PS37" s="1221"/>
      <c r="PT37" s="1221"/>
      <c r="PU37" s="1221"/>
      <c r="PV37" s="1221"/>
      <c r="PW37" s="1221"/>
      <c r="PX37" s="1221"/>
      <c r="PY37" s="1221"/>
      <c r="PZ37" s="1221"/>
      <c r="QA37" s="1221"/>
      <c r="QB37" s="1221"/>
      <c r="QC37" s="1221"/>
      <c r="QD37" s="1221"/>
      <c r="QE37" s="1221"/>
      <c r="QF37" s="1221"/>
      <c r="QG37" s="1221"/>
      <c r="QH37" s="1221"/>
      <c r="QI37" s="1221"/>
      <c r="QJ37" s="1221"/>
      <c r="QK37" s="1221"/>
      <c r="QL37" s="1221"/>
      <c r="QM37" s="1221"/>
      <c r="QN37" s="1221"/>
      <c r="QO37" s="1221"/>
      <c r="QP37" s="1221"/>
      <c r="QQ37" s="1221"/>
      <c r="QR37" s="1221"/>
      <c r="QS37" s="1221"/>
      <c r="QT37" s="1221"/>
      <c r="QU37" s="1221"/>
      <c r="QV37" s="1221"/>
      <c r="QW37" s="1221"/>
      <c r="QX37" s="1221"/>
      <c r="QY37" s="1221"/>
      <c r="QZ37" s="1221"/>
      <c r="RA37" s="1221"/>
      <c r="RB37" s="1221"/>
      <c r="RC37" s="1221"/>
      <c r="RD37" s="1221"/>
      <c r="RE37" s="1221"/>
      <c r="RF37" s="1221"/>
      <c r="RG37" s="1221"/>
      <c r="RH37" s="1221"/>
      <c r="RI37" s="1221"/>
      <c r="RJ37" s="1221"/>
      <c r="RK37" s="1221"/>
      <c r="RL37" s="1221"/>
      <c r="RM37" s="1221"/>
      <c r="RN37" s="1221"/>
      <c r="RO37" s="1221"/>
      <c r="RP37" s="1221"/>
      <c r="RQ37" s="1221"/>
      <c r="RR37" s="1221"/>
      <c r="RS37" s="1221"/>
      <c r="RT37" s="1221"/>
      <c r="RU37" s="1221"/>
      <c r="RV37" s="1221"/>
      <c r="RW37" s="1221"/>
      <c r="RX37" s="1221"/>
      <c r="RY37" s="1221"/>
      <c r="RZ37" s="1221"/>
      <c r="SA37" s="1221"/>
      <c r="SB37" s="1221"/>
      <c r="SC37" s="1221"/>
      <c r="SD37" s="1221"/>
      <c r="SE37" s="1221"/>
      <c r="SF37" s="1221"/>
      <c r="SG37" s="1221"/>
      <c r="SH37" s="1221"/>
      <c r="SI37" s="1221"/>
      <c r="SJ37" s="1221"/>
      <c r="SK37" s="1221"/>
      <c r="SL37" s="1221"/>
      <c r="SM37" s="1221"/>
      <c r="SN37" s="1221"/>
      <c r="SO37" s="1221"/>
      <c r="SP37" s="1221"/>
      <c r="SQ37" s="1221"/>
      <c r="SR37" s="1221"/>
      <c r="SS37" s="1221"/>
      <c r="ST37" s="1221"/>
      <c r="SU37" s="1221"/>
      <c r="SV37" s="1221"/>
      <c r="SW37" s="1221"/>
      <c r="SX37" s="1221"/>
      <c r="SY37" s="1221"/>
      <c r="SZ37" s="1221"/>
      <c r="TA37" s="1221"/>
      <c r="TB37" s="1221"/>
      <c r="TC37" s="1221"/>
      <c r="TD37" s="1221"/>
      <c r="TE37" s="1221"/>
      <c r="TF37" s="1221"/>
      <c r="TG37" s="1221"/>
      <c r="TH37" s="1221"/>
      <c r="TI37" s="1221"/>
      <c r="TJ37" s="1221"/>
      <c r="TK37" s="1221"/>
      <c r="TL37" s="1221"/>
      <c r="TM37" s="1221"/>
      <c r="TN37" s="1221"/>
      <c r="TO37" s="1221"/>
      <c r="TP37" s="1221"/>
      <c r="TQ37" s="1221"/>
      <c r="TR37" s="1221"/>
      <c r="TS37" s="1221"/>
      <c r="TT37" s="1221"/>
      <c r="TU37" s="1221"/>
      <c r="TV37" s="1221"/>
      <c r="TW37" s="1221"/>
      <c r="TX37" s="1221"/>
      <c r="TY37" s="1221"/>
      <c r="TZ37" s="1221"/>
      <c r="UA37" s="1221"/>
      <c r="UB37" s="1221"/>
      <c r="UC37" s="1221"/>
      <c r="UD37" s="1221"/>
      <c r="UE37" s="1221"/>
      <c r="UF37" s="1221"/>
      <c r="UG37" s="1221"/>
      <c r="UH37" s="1221"/>
      <c r="UI37" s="1221"/>
      <c r="UJ37" s="1221"/>
      <c r="UK37" s="1221"/>
      <c r="UL37" s="1221"/>
      <c r="UM37" s="1221"/>
      <c r="UN37" s="1221"/>
      <c r="UO37" s="1221"/>
      <c r="UP37" s="1221"/>
      <c r="UQ37" s="1221"/>
      <c r="UR37" s="1221"/>
      <c r="US37" s="1221"/>
      <c r="UT37" s="1221"/>
      <c r="UU37" s="1221"/>
      <c r="UV37" s="1221"/>
      <c r="UW37" s="1221"/>
      <c r="UX37" s="1221"/>
      <c r="UY37" s="1221"/>
      <c r="UZ37" s="1221"/>
      <c r="VA37" s="1221"/>
      <c r="VB37" s="1221"/>
      <c r="VC37" s="1221"/>
      <c r="VD37" s="1221"/>
      <c r="VE37" s="1221"/>
      <c r="VF37" s="1221"/>
      <c r="VG37" s="1221"/>
      <c r="VH37" s="1221"/>
      <c r="VI37" s="1221"/>
      <c r="VJ37" s="1221"/>
      <c r="VK37" s="1221"/>
      <c r="VL37" s="1221"/>
      <c r="VM37" s="1221"/>
      <c r="VN37" s="1221"/>
      <c r="VO37" s="1221"/>
      <c r="VP37" s="1221"/>
      <c r="VQ37" s="1221"/>
      <c r="VR37" s="1221"/>
      <c r="VS37" s="1221"/>
      <c r="VT37" s="1221"/>
      <c r="VU37" s="1221"/>
      <c r="VV37" s="1221"/>
      <c r="VW37" s="1221"/>
      <c r="VX37" s="1221"/>
      <c r="VY37" s="1221"/>
      <c r="VZ37" s="1221"/>
      <c r="WA37" s="1221"/>
      <c r="WB37" s="1221"/>
      <c r="WC37" s="1221"/>
      <c r="WD37" s="1221"/>
      <c r="WE37" s="1221"/>
      <c r="WF37" s="1221"/>
      <c r="WG37" s="1221"/>
      <c r="WH37" s="1221"/>
      <c r="WI37" s="1221"/>
      <c r="WJ37" s="1221"/>
      <c r="WK37" s="1221"/>
      <c r="WL37" s="1221"/>
      <c r="WM37" s="1221"/>
      <c r="WN37" s="1221"/>
      <c r="WO37" s="1221"/>
      <c r="WP37" s="1221"/>
      <c r="WQ37" s="1221"/>
      <c r="WR37" s="1221"/>
      <c r="WS37" s="1221"/>
      <c r="WT37" s="1221"/>
      <c r="WU37" s="1221"/>
      <c r="WV37" s="1221"/>
      <c r="WW37" s="1221"/>
      <c r="WX37" s="1221"/>
      <c r="WY37" s="1221"/>
      <c r="WZ37" s="1221"/>
      <c r="XA37" s="1221"/>
      <c r="XB37" s="1221"/>
      <c r="XC37" s="1221"/>
      <c r="XD37" s="1221"/>
      <c r="XE37" s="1221"/>
      <c r="XF37" s="1221"/>
      <c r="XG37" s="1221"/>
      <c r="XH37" s="1221"/>
      <c r="XI37" s="1221"/>
      <c r="XJ37" s="1221"/>
      <c r="XK37" s="1221"/>
      <c r="XL37" s="1221"/>
      <c r="XM37" s="1221"/>
      <c r="XN37" s="1221"/>
      <c r="XO37" s="1221"/>
      <c r="XP37" s="1221"/>
      <c r="XQ37" s="1221"/>
      <c r="XR37" s="1221"/>
      <c r="XS37" s="1221"/>
      <c r="XT37" s="1221"/>
      <c r="XU37" s="1221"/>
      <c r="XV37" s="1221"/>
      <c r="XW37" s="1221"/>
      <c r="XX37" s="1221"/>
      <c r="XY37" s="1221"/>
      <c r="XZ37" s="1221"/>
      <c r="YA37" s="1221"/>
      <c r="YB37" s="1221"/>
      <c r="YC37" s="1221"/>
      <c r="YD37" s="1221"/>
      <c r="YE37" s="1221"/>
      <c r="YF37" s="1221"/>
      <c r="YG37" s="1221"/>
      <c r="YH37" s="1221"/>
      <c r="YI37" s="1221"/>
      <c r="YJ37" s="1221"/>
      <c r="YK37" s="1221"/>
      <c r="YL37" s="1221"/>
      <c r="YM37" s="1221"/>
      <c r="YN37" s="1221"/>
      <c r="YO37" s="1221"/>
      <c r="YP37" s="1221"/>
      <c r="YQ37" s="1221"/>
      <c r="YR37" s="1221"/>
      <c r="YS37" s="1221"/>
      <c r="YT37" s="1221"/>
      <c r="YU37" s="1221"/>
      <c r="YV37" s="1221"/>
      <c r="YW37" s="1221"/>
      <c r="YX37" s="1221"/>
      <c r="YY37" s="1221"/>
      <c r="YZ37" s="1221"/>
      <c r="ZA37" s="1221"/>
      <c r="ZB37" s="1221"/>
      <c r="ZC37" s="1221"/>
      <c r="ZD37" s="1221"/>
      <c r="ZE37" s="1221"/>
      <c r="ZF37" s="1221"/>
      <c r="ZG37" s="1221"/>
      <c r="ZH37" s="1221"/>
      <c r="ZI37" s="1221"/>
      <c r="ZJ37" s="1221"/>
      <c r="ZK37" s="1221"/>
      <c r="ZL37" s="1221"/>
      <c r="ZM37" s="1221"/>
      <c r="ZN37" s="1221"/>
      <c r="ZO37" s="1221"/>
      <c r="ZP37" s="1221"/>
      <c r="ZQ37" s="1221"/>
      <c r="ZR37" s="1221"/>
      <c r="ZS37" s="1221"/>
      <c r="ZT37" s="1221"/>
      <c r="ZU37" s="1221"/>
      <c r="ZV37" s="1221"/>
      <c r="ZW37" s="1221"/>
      <c r="ZX37" s="1221"/>
      <c r="ZY37" s="1221"/>
      <c r="ZZ37" s="1221"/>
      <c r="AAA37" s="1221"/>
      <c r="AAB37" s="1221"/>
      <c r="AAC37" s="1221"/>
      <c r="AAD37" s="1221"/>
      <c r="AAE37" s="1221"/>
      <c r="AAF37" s="1221"/>
      <c r="AAG37" s="1221"/>
      <c r="AAH37" s="1221"/>
      <c r="AAI37" s="1221"/>
      <c r="AAJ37" s="1221"/>
      <c r="AAK37" s="1221"/>
      <c r="AAL37" s="1221"/>
      <c r="AAM37" s="1221"/>
      <c r="AAN37" s="1221"/>
      <c r="AAO37" s="1221"/>
      <c r="AAP37" s="1221"/>
      <c r="AAQ37" s="1221"/>
      <c r="AAR37" s="1221"/>
      <c r="AAS37" s="1221"/>
      <c r="AAT37" s="1221"/>
      <c r="AAU37" s="1221"/>
      <c r="AAV37" s="1221"/>
      <c r="AAW37" s="1221"/>
      <c r="AAX37" s="1221"/>
      <c r="AAY37" s="1221"/>
      <c r="AAZ37" s="1221"/>
      <c r="ABA37" s="1221"/>
      <c r="ABB37" s="1221"/>
      <c r="ABC37" s="1221"/>
      <c r="ABD37" s="1221"/>
      <c r="ABE37" s="1221"/>
      <c r="ABF37" s="1221"/>
      <c r="ABG37" s="1221"/>
      <c r="ABH37" s="1221"/>
      <c r="ABI37" s="1221"/>
      <c r="ABJ37" s="1221"/>
      <c r="ABK37" s="1221"/>
      <c r="ABL37" s="1221"/>
      <c r="ABM37" s="1221"/>
      <c r="ABN37" s="1221"/>
      <c r="ABO37" s="1221"/>
      <c r="ABP37" s="1221"/>
      <c r="ABQ37" s="1221"/>
      <c r="ABR37" s="1221"/>
      <c r="ABS37" s="1221"/>
      <c r="ABT37" s="1221"/>
      <c r="ABU37" s="1221"/>
      <c r="ABV37" s="1221"/>
      <c r="ABW37" s="1221"/>
      <c r="ABX37" s="1221"/>
      <c r="ABY37" s="1221"/>
      <c r="ABZ37" s="1221"/>
      <c r="ACA37" s="1221"/>
      <c r="ACB37" s="1221"/>
      <c r="ACC37" s="1221"/>
      <c r="ACD37" s="1221"/>
      <c r="ACE37" s="1221"/>
      <c r="ACF37" s="1221"/>
      <c r="ACG37" s="1221"/>
      <c r="ACH37" s="1221"/>
      <c r="ACI37" s="1221"/>
      <c r="ACJ37" s="1221"/>
      <c r="ACK37" s="1221"/>
      <c r="ACL37" s="1221"/>
      <c r="ACM37" s="1221"/>
      <c r="ACN37" s="1221"/>
      <c r="ACO37" s="1221"/>
      <c r="ACP37" s="1221"/>
      <c r="ACQ37" s="1221"/>
      <c r="ACR37" s="1221"/>
      <c r="ACS37" s="1221"/>
      <c r="ACT37" s="1221"/>
      <c r="ACU37" s="1221"/>
      <c r="ACV37" s="1221"/>
      <c r="ACW37" s="1221"/>
      <c r="ACX37" s="1221"/>
      <c r="ACY37" s="1221"/>
      <c r="ACZ37" s="1221"/>
      <c r="ADA37" s="1221"/>
      <c r="ADB37" s="1221"/>
      <c r="ADC37" s="1221"/>
      <c r="ADD37" s="1221"/>
      <c r="ADE37" s="1221"/>
      <c r="ADF37" s="1221"/>
      <c r="ADG37" s="1221"/>
      <c r="ADH37" s="1221"/>
      <c r="ADI37" s="1221"/>
      <c r="ADJ37" s="1221"/>
      <c r="ADK37" s="1221"/>
      <c r="ADL37" s="1221"/>
      <c r="ADM37" s="1221"/>
      <c r="ADN37" s="1221"/>
      <c r="ADO37" s="1221"/>
      <c r="ADP37" s="1221"/>
      <c r="ADQ37" s="1221"/>
      <c r="ADR37" s="1221"/>
      <c r="ADS37" s="1221"/>
      <c r="ADT37" s="1221"/>
      <c r="ADU37" s="1221"/>
      <c r="ADV37" s="1221"/>
      <c r="ADW37" s="1221"/>
      <c r="ADX37" s="1221"/>
      <c r="ADY37" s="1221"/>
      <c r="ADZ37" s="1221"/>
      <c r="AEA37" s="1221"/>
      <c r="AEB37" s="1221"/>
      <c r="AEC37" s="1221"/>
      <c r="AED37" s="1221"/>
      <c r="AEE37" s="1221"/>
      <c r="AEF37" s="1221"/>
      <c r="AEG37" s="1221"/>
      <c r="AEH37" s="1221"/>
      <c r="AEI37" s="1221"/>
      <c r="AEJ37" s="1221"/>
      <c r="AEK37" s="1221"/>
      <c r="AEL37" s="1221"/>
      <c r="AEM37" s="1221"/>
      <c r="AEN37" s="1221"/>
      <c r="AEO37" s="1221"/>
      <c r="AEP37" s="1221"/>
      <c r="AEQ37" s="1221"/>
      <c r="AER37" s="1221"/>
      <c r="AES37" s="1221"/>
      <c r="AET37" s="1221"/>
      <c r="AEU37" s="1221"/>
      <c r="AEV37" s="1221"/>
      <c r="AEW37" s="1221"/>
      <c r="AEX37" s="1221"/>
      <c r="AEY37" s="1221"/>
      <c r="AEZ37" s="1221"/>
      <c r="AFA37" s="1221"/>
      <c r="AFB37" s="1221"/>
      <c r="AFC37" s="1221"/>
      <c r="AFD37" s="1221"/>
      <c r="AFE37" s="1221"/>
      <c r="AFF37" s="1221"/>
      <c r="AFG37" s="1221"/>
      <c r="AFH37" s="1221"/>
      <c r="AFI37" s="1221"/>
      <c r="AFJ37" s="1221"/>
      <c r="AFK37" s="1221"/>
      <c r="AFL37" s="1221"/>
      <c r="AFM37" s="1221"/>
      <c r="AFN37" s="1221"/>
      <c r="AFO37" s="1221"/>
      <c r="AFP37" s="1221"/>
      <c r="AFQ37" s="1221"/>
      <c r="AFR37" s="1221"/>
      <c r="AFS37" s="1221"/>
      <c r="AFT37" s="1221"/>
      <c r="AFU37" s="1221"/>
      <c r="AFV37" s="1221"/>
      <c r="AFW37" s="1221"/>
      <c r="AFX37" s="1221"/>
      <c r="AFY37" s="1221"/>
      <c r="AFZ37" s="1221"/>
      <c r="AGA37" s="1221"/>
      <c r="AGB37" s="1221"/>
      <c r="AGC37" s="1221"/>
      <c r="AGD37" s="1221"/>
      <c r="AGE37" s="1221"/>
      <c r="AGF37" s="1221"/>
      <c r="AGG37" s="1221"/>
      <c r="AGH37" s="1221"/>
      <c r="AGI37" s="1221"/>
      <c r="AGJ37" s="1221"/>
      <c r="AGK37" s="1221"/>
      <c r="AGL37" s="1221"/>
      <c r="AGM37" s="1221"/>
      <c r="AGN37" s="1221"/>
      <c r="AGO37" s="1221"/>
      <c r="AGP37" s="1221"/>
      <c r="AGQ37" s="1221"/>
      <c r="AGR37" s="1221"/>
      <c r="AGS37" s="1221"/>
      <c r="AGT37" s="1221"/>
      <c r="AGU37" s="1221"/>
      <c r="AGV37" s="1221"/>
      <c r="AGW37" s="1221"/>
      <c r="AGX37" s="1221"/>
      <c r="AGY37" s="1221"/>
      <c r="AGZ37" s="1221"/>
      <c r="AHA37" s="1221"/>
      <c r="AHB37" s="1221"/>
      <c r="AHC37" s="1221"/>
      <c r="AHD37" s="1221"/>
      <c r="AHE37" s="1221"/>
      <c r="AHF37" s="1221"/>
      <c r="AHG37" s="1221"/>
      <c r="AHH37" s="1221"/>
      <c r="AHI37" s="1221"/>
      <c r="AHJ37" s="1221"/>
      <c r="AHK37" s="1221"/>
      <c r="AHL37" s="1221"/>
      <c r="AHM37" s="1221"/>
      <c r="AHN37" s="1221"/>
      <c r="AHO37" s="1221"/>
      <c r="AHP37" s="1221"/>
      <c r="AHQ37" s="1221"/>
      <c r="AHR37" s="1221"/>
      <c r="AHS37" s="1221"/>
      <c r="AHT37" s="1221"/>
      <c r="AHU37" s="1221"/>
      <c r="AHV37" s="1221"/>
      <c r="AHW37" s="1221"/>
      <c r="AHX37" s="1221"/>
      <c r="AHY37" s="1221"/>
      <c r="AHZ37" s="1221"/>
      <c r="AIA37" s="1221"/>
      <c r="AIB37" s="1221"/>
      <c r="AIC37" s="1221"/>
      <c r="AID37" s="1221"/>
      <c r="AIE37" s="1221"/>
      <c r="AIF37" s="1221"/>
      <c r="AIG37" s="1221"/>
      <c r="AIH37" s="1221"/>
      <c r="AII37" s="1221"/>
      <c r="AIJ37" s="1221"/>
      <c r="AIK37" s="1221"/>
      <c r="AIL37" s="1221"/>
      <c r="AIM37" s="1221"/>
      <c r="AIN37" s="1221"/>
      <c r="AIO37" s="1221"/>
      <c r="AIP37" s="1221"/>
      <c r="AIQ37" s="1221"/>
      <c r="AIR37" s="1221"/>
      <c r="AIS37" s="1221"/>
      <c r="AIT37" s="1221"/>
      <c r="AIU37" s="1221"/>
      <c r="AIV37" s="1221"/>
      <c r="AIW37" s="1221"/>
      <c r="AIX37" s="1221"/>
      <c r="AIY37" s="1221"/>
      <c r="AIZ37" s="1221"/>
      <c r="AJA37" s="1221"/>
      <c r="AJB37" s="1221"/>
      <c r="AJC37" s="1221"/>
      <c r="AJD37" s="1221"/>
      <c r="AJE37" s="1221"/>
      <c r="AJF37" s="1221"/>
      <c r="AJG37" s="1221"/>
      <c r="AJH37" s="1221"/>
      <c r="AJI37" s="1221"/>
      <c r="AJJ37" s="1221"/>
      <c r="AJK37" s="1221"/>
      <c r="AJL37" s="1221"/>
      <c r="AJM37" s="1221"/>
      <c r="AJN37" s="1221"/>
      <c r="AJO37" s="1221"/>
      <c r="AJP37" s="1221"/>
      <c r="AJQ37" s="1221"/>
      <c r="AJR37" s="1221"/>
      <c r="AJS37" s="1221"/>
      <c r="AJT37" s="1221"/>
      <c r="AJU37" s="1221"/>
      <c r="AJV37" s="1221"/>
      <c r="AJW37" s="1221"/>
      <c r="AJX37" s="1221"/>
      <c r="AJY37" s="1221"/>
      <c r="AJZ37" s="1221"/>
      <c r="AKA37" s="1221"/>
      <c r="AKB37" s="1221"/>
      <c r="AKC37" s="1221"/>
      <c r="AKD37" s="1221"/>
      <c r="AKE37" s="1221"/>
      <c r="AKF37" s="1221"/>
      <c r="AKG37" s="1221"/>
      <c r="AKH37" s="1221"/>
      <c r="AKI37" s="1221"/>
      <c r="AKJ37" s="1221"/>
      <c r="AKK37" s="1221"/>
      <c r="AKL37" s="1221"/>
      <c r="AKM37" s="1221"/>
      <c r="AKN37" s="1221"/>
      <c r="AKO37" s="1221"/>
      <c r="AKP37" s="1221"/>
      <c r="AKQ37" s="1221"/>
      <c r="AKR37" s="1221"/>
      <c r="AKS37" s="1221"/>
      <c r="AKT37" s="1221"/>
      <c r="AKU37" s="1221"/>
      <c r="AKV37" s="1221"/>
      <c r="AKW37" s="1221"/>
      <c r="AKX37" s="1221"/>
      <c r="AKY37" s="1221"/>
      <c r="AKZ37" s="1221"/>
      <c r="ALA37" s="1221"/>
      <c r="ALB37" s="1221"/>
      <c r="ALC37" s="1221"/>
      <c r="ALD37" s="1221"/>
      <c r="ALE37" s="1221"/>
      <c r="ALF37" s="1221"/>
      <c r="ALG37" s="1221"/>
      <c r="ALH37" s="1221"/>
      <c r="ALI37" s="1221"/>
      <c r="ALJ37" s="1221"/>
      <c r="ALK37" s="1221"/>
      <c r="ALL37" s="1221"/>
      <c r="ALM37" s="1221"/>
      <c r="ALN37" s="1221"/>
      <c r="ALO37" s="1221"/>
      <c r="ALP37" s="1221"/>
      <c r="ALQ37" s="1221"/>
      <c r="ALR37" s="1221"/>
      <c r="ALS37" s="1221"/>
      <c r="ALT37" s="1221"/>
      <c r="ALU37" s="1221"/>
      <c r="ALV37" s="1221"/>
      <c r="ALW37" s="1221"/>
      <c r="ALX37" s="1221"/>
      <c r="ALY37" s="1221"/>
      <c r="ALZ37" s="1221"/>
      <c r="AMA37" s="1221"/>
      <c r="AMB37" s="1221"/>
      <c r="AMC37" s="1221"/>
      <c r="AMD37" s="1221"/>
      <c r="AME37" s="1221"/>
      <c r="AMF37" s="1221"/>
      <c r="AMG37" s="1221"/>
      <c r="AMH37" s="1221"/>
      <c r="AMI37" s="1221"/>
      <c r="AMJ37" s="1221"/>
      <c r="AMK37" s="1221"/>
      <c r="AML37" s="1221"/>
      <c r="AMM37" s="1221"/>
      <c r="AMN37" s="1221"/>
      <c r="AMO37" s="1221"/>
      <c r="AMP37" s="1221"/>
      <c r="AMQ37" s="1221"/>
      <c r="AMR37" s="1221"/>
      <c r="AMS37" s="1221"/>
      <c r="AMT37" s="1221"/>
      <c r="AMU37" s="1221"/>
      <c r="AMV37" s="1221"/>
      <c r="AMW37" s="1221"/>
      <c r="AMX37" s="1221"/>
      <c r="AMY37" s="1221"/>
      <c r="AMZ37" s="1221"/>
      <c r="ANA37" s="1221"/>
      <c r="ANB37" s="1221"/>
      <c r="ANC37" s="1221"/>
      <c r="AND37" s="1221"/>
      <c r="ANE37" s="1221"/>
      <c r="ANF37" s="1221"/>
      <c r="ANG37" s="1221"/>
      <c r="ANH37" s="1221"/>
      <c r="ANI37" s="1221"/>
      <c r="ANJ37" s="1221"/>
      <c r="ANK37" s="1221"/>
      <c r="ANL37" s="1221"/>
      <c r="ANM37" s="1221"/>
      <c r="ANN37" s="1221"/>
      <c r="ANO37" s="1221"/>
      <c r="ANP37" s="1221"/>
      <c r="ANQ37" s="1221"/>
      <c r="ANR37" s="1221"/>
      <c r="ANS37" s="1221"/>
      <c r="ANT37" s="1221"/>
      <c r="ANU37" s="1221"/>
      <c r="ANV37" s="1221"/>
      <c r="ANW37" s="1221"/>
      <c r="ANX37" s="1221"/>
      <c r="ANY37" s="1221"/>
      <c r="ANZ37" s="1221"/>
      <c r="AOA37" s="1221"/>
      <c r="AOB37" s="1221"/>
      <c r="AOC37" s="1221"/>
      <c r="AOD37" s="1221"/>
      <c r="AOE37" s="1221"/>
      <c r="AOF37" s="1221"/>
      <c r="AOG37" s="1221"/>
      <c r="AOH37" s="1221"/>
      <c r="AOI37" s="1221"/>
      <c r="AOJ37" s="1221"/>
      <c r="AOK37" s="1221"/>
      <c r="AOL37" s="1221"/>
      <c r="AOM37" s="1221"/>
      <c r="AON37" s="1221"/>
      <c r="AOO37" s="1221"/>
      <c r="AOP37" s="1221"/>
      <c r="AOQ37" s="1221"/>
      <c r="AOR37" s="1221"/>
      <c r="AOS37" s="1221"/>
      <c r="AOT37" s="1221"/>
      <c r="AOU37" s="1221"/>
      <c r="AOV37" s="1221"/>
      <c r="AOW37" s="1221"/>
      <c r="AOX37" s="1221"/>
      <c r="AOY37" s="1221"/>
      <c r="AOZ37" s="1221"/>
      <c r="APA37" s="1221"/>
      <c r="APB37" s="1221"/>
      <c r="APC37" s="1221"/>
      <c r="APD37" s="1221"/>
      <c r="APE37" s="1221"/>
      <c r="APF37" s="1221"/>
      <c r="APG37" s="1221"/>
      <c r="APH37" s="1221"/>
      <c r="API37" s="1221"/>
      <c r="APJ37" s="1221"/>
      <c r="APK37" s="1221"/>
      <c r="APL37" s="1221"/>
      <c r="APM37" s="1221"/>
      <c r="APN37" s="1221"/>
      <c r="APO37" s="1221"/>
      <c r="APP37" s="1221"/>
      <c r="APQ37" s="1221"/>
      <c r="APR37" s="1221"/>
      <c r="APS37" s="1221"/>
      <c r="APT37" s="1221"/>
      <c r="APU37" s="1221"/>
      <c r="APV37" s="1221"/>
      <c r="APW37" s="1221"/>
      <c r="APX37" s="1221"/>
      <c r="APY37" s="1221"/>
      <c r="APZ37" s="1221"/>
      <c r="AQA37" s="1221"/>
      <c r="AQB37" s="1221"/>
      <c r="AQC37" s="1221"/>
      <c r="AQD37" s="1221"/>
      <c r="AQE37" s="1221"/>
      <c r="AQF37" s="1221"/>
      <c r="AQG37" s="1221"/>
      <c r="AQH37" s="1221"/>
      <c r="AQI37" s="1221"/>
      <c r="AQJ37" s="1221"/>
      <c r="AQK37" s="1221"/>
      <c r="AQL37" s="1221"/>
      <c r="AQM37" s="1221"/>
      <c r="AQN37" s="1221"/>
      <c r="AQO37" s="1221"/>
      <c r="AQP37" s="1221"/>
      <c r="AQQ37" s="1221"/>
      <c r="AQR37" s="1221"/>
      <c r="AQS37" s="1221"/>
      <c r="AQT37" s="1221"/>
      <c r="AQU37" s="1221"/>
      <c r="AQV37" s="1221"/>
      <c r="AQW37" s="1221"/>
      <c r="AQX37" s="1221"/>
      <c r="AQY37" s="1221"/>
      <c r="AQZ37" s="1221"/>
      <c r="ARA37" s="1221"/>
      <c r="ARB37" s="1221"/>
      <c r="ARC37" s="1221"/>
      <c r="ARD37" s="1221"/>
      <c r="ARE37" s="1221"/>
      <c r="ARF37" s="1221"/>
      <c r="ARG37" s="1221"/>
      <c r="ARH37" s="1221"/>
      <c r="ARI37" s="1221"/>
      <c r="ARJ37" s="1221"/>
      <c r="ARK37" s="1221"/>
      <c r="ARL37" s="1221"/>
      <c r="ARM37" s="1221"/>
      <c r="ARN37" s="1221"/>
      <c r="ARO37" s="1221"/>
      <c r="ARP37" s="1221"/>
      <c r="ARQ37" s="1221"/>
      <c r="ARR37" s="1221"/>
      <c r="ARS37" s="1221"/>
      <c r="ART37" s="1221"/>
      <c r="ARU37" s="1221"/>
      <c r="ARV37" s="1221"/>
      <c r="ARW37" s="1221"/>
      <c r="ARX37" s="1221"/>
      <c r="ARY37" s="1221"/>
      <c r="ARZ37" s="1221"/>
      <c r="ASA37" s="1221"/>
      <c r="ASB37" s="1221"/>
      <c r="ASC37" s="1221"/>
      <c r="ASD37" s="1221"/>
      <c r="ASE37" s="1221"/>
      <c r="ASF37" s="1221"/>
      <c r="ASG37" s="1221"/>
      <c r="ASH37" s="1221"/>
      <c r="ASI37" s="1221"/>
      <c r="ASJ37" s="1221"/>
      <c r="ASK37" s="1221"/>
      <c r="ASL37" s="1221"/>
      <c r="ASM37" s="1221"/>
      <c r="ASN37" s="1221"/>
      <c r="ASO37" s="1221"/>
      <c r="ASP37" s="1221"/>
      <c r="ASQ37" s="1221"/>
      <c r="ASR37" s="1221"/>
      <c r="ASS37" s="1221"/>
      <c r="AST37" s="1221"/>
      <c r="ASU37" s="1221"/>
      <c r="ASV37" s="1221"/>
      <c r="ASW37" s="1221"/>
      <c r="ASX37" s="1221"/>
      <c r="ASY37" s="1221"/>
      <c r="ASZ37" s="1221"/>
      <c r="ATA37" s="1221"/>
      <c r="ATB37" s="1221"/>
      <c r="ATC37" s="1221"/>
      <c r="ATD37" s="1221"/>
      <c r="ATE37" s="1221"/>
      <c r="ATF37" s="1221"/>
      <c r="ATG37" s="1221"/>
      <c r="ATH37" s="1221"/>
      <c r="ATI37" s="1221"/>
      <c r="ATJ37" s="1221"/>
      <c r="ATK37" s="1221"/>
      <c r="ATL37" s="1221"/>
      <c r="ATM37" s="1221"/>
      <c r="ATN37" s="1221"/>
      <c r="ATO37" s="1221"/>
      <c r="ATP37" s="1221"/>
      <c r="ATQ37" s="1221"/>
      <c r="ATR37" s="1221"/>
      <c r="ATS37" s="1221"/>
      <c r="ATT37" s="1221"/>
      <c r="ATU37" s="1221"/>
      <c r="ATV37" s="1221"/>
      <c r="ATW37" s="1221"/>
      <c r="ATX37" s="1221"/>
      <c r="ATY37" s="1221"/>
      <c r="ATZ37" s="1221"/>
      <c r="AUA37" s="1221"/>
      <c r="AUB37" s="1221"/>
      <c r="AUC37" s="1221"/>
      <c r="AUD37" s="1221"/>
      <c r="AUE37" s="1221"/>
      <c r="AUF37" s="1221"/>
      <c r="AUG37" s="1221"/>
      <c r="AUH37" s="1221"/>
      <c r="AUI37" s="1221"/>
      <c r="AUJ37" s="1221"/>
      <c r="AUK37" s="1221"/>
      <c r="AUL37" s="1221"/>
      <c r="AUM37" s="1221"/>
      <c r="AUN37" s="1221"/>
      <c r="AUO37" s="1221"/>
      <c r="AUP37" s="1221"/>
      <c r="AUQ37" s="1221"/>
      <c r="AUR37" s="1221"/>
      <c r="AUS37" s="1221"/>
      <c r="AUT37" s="1221"/>
      <c r="AUU37" s="1221"/>
      <c r="AUV37" s="1221"/>
      <c r="AUW37" s="1221"/>
      <c r="AUX37" s="1221"/>
      <c r="AUY37" s="1221"/>
      <c r="AUZ37" s="1221"/>
      <c r="AVA37" s="1221"/>
      <c r="AVB37" s="1221"/>
      <c r="AVC37" s="1221"/>
      <c r="AVD37" s="1221"/>
      <c r="AVE37" s="1221"/>
      <c r="AVF37" s="1221"/>
      <c r="AVG37" s="1221"/>
      <c r="AVH37" s="1221"/>
      <c r="AVI37" s="1221"/>
      <c r="AVJ37" s="1221"/>
      <c r="AVK37" s="1221"/>
      <c r="AVL37" s="1221"/>
      <c r="AVM37" s="1221"/>
      <c r="AVN37" s="1221"/>
      <c r="AVO37" s="1221"/>
      <c r="AVP37" s="1221"/>
      <c r="AVQ37" s="1221"/>
      <c r="AVR37" s="1221"/>
      <c r="AVS37" s="1221"/>
      <c r="AVT37" s="1221"/>
      <c r="AVU37" s="1221"/>
      <c r="AVV37" s="1221"/>
      <c r="AVW37" s="1221"/>
      <c r="AVX37" s="1221"/>
      <c r="AVY37" s="1221"/>
      <c r="AVZ37" s="1221"/>
      <c r="AWA37" s="1221"/>
      <c r="AWB37" s="1221"/>
      <c r="AWC37" s="1221"/>
      <c r="AWD37" s="1221"/>
      <c r="AWE37" s="1221"/>
      <c r="AWF37" s="1221"/>
      <c r="AWG37" s="1221"/>
      <c r="AWH37" s="1221"/>
      <c r="AWI37" s="1221"/>
      <c r="AWJ37" s="1221"/>
      <c r="AWK37" s="1221"/>
      <c r="AWL37" s="1221"/>
      <c r="AWM37" s="1221"/>
      <c r="AWN37" s="1221"/>
      <c r="AWO37" s="1221"/>
      <c r="AWP37" s="1221"/>
      <c r="AWQ37" s="1221"/>
      <c r="AWR37" s="1221"/>
      <c r="AWS37" s="1221"/>
      <c r="AWT37" s="1221"/>
      <c r="AWU37" s="1221"/>
      <c r="AWV37" s="1221"/>
      <c r="AWW37" s="1221"/>
      <c r="AWX37" s="1221"/>
      <c r="AWY37" s="1221"/>
      <c r="AWZ37" s="1221"/>
      <c r="AXA37" s="1221"/>
      <c r="AXB37" s="1221"/>
      <c r="AXC37" s="1221"/>
      <c r="AXD37" s="1221"/>
      <c r="AXE37" s="1221"/>
      <c r="AXF37" s="1221"/>
      <c r="AXG37" s="1221"/>
      <c r="AXH37" s="1221"/>
      <c r="AXI37" s="1221"/>
      <c r="AXJ37" s="1221"/>
      <c r="AXK37" s="1221"/>
      <c r="AXL37" s="1221"/>
      <c r="AXM37" s="1221"/>
      <c r="AXN37" s="1221"/>
      <c r="AXO37" s="1221"/>
      <c r="AXP37" s="1221"/>
      <c r="AXQ37" s="1221"/>
      <c r="AXR37" s="1221"/>
      <c r="AXS37" s="1221"/>
      <c r="AXT37" s="1221"/>
      <c r="AXU37" s="1221"/>
      <c r="AXV37" s="1221"/>
      <c r="AXW37" s="1221"/>
      <c r="AXX37" s="1221"/>
      <c r="AXY37" s="1221"/>
      <c r="AXZ37" s="1221"/>
      <c r="AYA37" s="1221"/>
      <c r="AYB37" s="1221"/>
      <c r="AYC37" s="1221"/>
      <c r="AYD37" s="1221"/>
      <c r="AYE37" s="1221"/>
      <c r="AYF37" s="1221"/>
      <c r="AYG37" s="1221"/>
      <c r="AYH37" s="1221"/>
      <c r="AYI37" s="1221"/>
      <c r="AYJ37" s="1221"/>
      <c r="AYK37" s="1221"/>
      <c r="AYL37" s="1221"/>
      <c r="AYM37" s="1221"/>
      <c r="AYN37" s="1221"/>
      <c r="AYO37" s="1221"/>
      <c r="AYP37" s="1221"/>
      <c r="AYQ37" s="1221"/>
      <c r="AYR37" s="1221"/>
      <c r="AYS37" s="1221"/>
      <c r="AYT37" s="1221"/>
      <c r="AYU37" s="1221"/>
      <c r="AYV37" s="1221"/>
      <c r="AYW37" s="1221"/>
      <c r="AYX37" s="1221"/>
      <c r="AYY37" s="1221"/>
      <c r="AYZ37" s="1221"/>
      <c r="AZA37" s="1221"/>
      <c r="AZB37" s="1221"/>
      <c r="AZC37" s="1221"/>
      <c r="AZD37" s="1221"/>
      <c r="AZE37" s="1221"/>
      <c r="AZF37" s="1221"/>
      <c r="AZG37" s="1221"/>
      <c r="AZH37" s="1221"/>
      <c r="AZI37" s="1221"/>
      <c r="AZJ37" s="1221"/>
      <c r="AZK37" s="1221"/>
      <c r="AZL37" s="1221"/>
      <c r="AZM37" s="1221"/>
      <c r="AZN37" s="1221"/>
      <c r="AZO37" s="1221"/>
      <c r="AZP37" s="1221"/>
      <c r="AZQ37" s="1221"/>
      <c r="AZR37" s="1221"/>
      <c r="AZS37" s="1221"/>
      <c r="AZT37" s="1221"/>
      <c r="AZU37" s="1221"/>
      <c r="AZV37" s="1221"/>
      <c r="AZW37" s="1221"/>
      <c r="AZX37" s="1221"/>
      <c r="AZY37" s="1221"/>
      <c r="AZZ37" s="1221"/>
      <c r="BAA37" s="1221"/>
      <c r="BAB37" s="1221"/>
      <c r="BAC37" s="1221"/>
      <c r="BAD37" s="1221"/>
      <c r="BAE37" s="1221"/>
      <c r="BAF37" s="1221"/>
      <c r="BAG37" s="1221"/>
      <c r="BAH37" s="1221"/>
      <c r="BAI37" s="1221"/>
      <c r="BAJ37" s="1221"/>
      <c r="BAK37" s="1221"/>
      <c r="BAL37" s="1221"/>
      <c r="BAM37" s="1221"/>
      <c r="BAN37" s="1221"/>
      <c r="BAO37" s="1221"/>
      <c r="BAP37" s="1221"/>
      <c r="BAQ37" s="1221"/>
      <c r="BAR37" s="1221"/>
      <c r="BAS37" s="1221"/>
      <c r="BAT37" s="1221"/>
      <c r="BAU37" s="1221"/>
      <c r="BAV37" s="1221"/>
      <c r="BAW37" s="1221"/>
      <c r="BAX37" s="1221"/>
      <c r="BAY37" s="1221"/>
      <c r="BAZ37" s="1221"/>
      <c r="BBA37" s="1221"/>
      <c r="BBB37" s="1221"/>
      <c r="BBC37" s="1221"/>
      <c r="BBD37" s="1221"/>
      <c r="BBE37" s="1221"/>
      <c r="BBF37" s="1221"/>
      <c r="BBG37" s="1221"/>
      <c r="BBH37" s="1221"/>
      <c r="BBI37" s="1221"/>
      <c r="BBJ37" s="1221"/>
      <c r="BBK37" s="1221"/>
      <c r="BBL37" s="1221"/>
      <c r="BBM37" s="1221"/>
      <c r="BBN37" s="1221"/>
      <c r="BBO37" s="1221"/>
      <c r="BBP37" s="1221"/>
      <c r="BBQ37" s="1221"/>
      <c r="BBR37" s="1221"/>
      <c r="BBS37" s="1221"/>
      <c r="BBT37" s="1221"/>
      <c r="BBU37" s="1221"/>
      <c r="BBV37" s="1221"/>
      <c r="BBW37" s="1221"/>
      <c r="BBX37" s="1221"/>
      <c r="BBY37" s="1221"/>
      <c r="BBZ37" s="1221"/>
      <c r="BCA37" s="1221"/>
      <c r="BCB37" s="1221"/>
      <c r="BCC37" s="1221"/>
      <c r="BCD37" s="1221"/>
      <c r="BCE37" s="1221"/>
      <c r="BCF37" s="1221"/>
      <c r="BCG37" s="1221"/>
      <c r="BCH37" s="1221"/>
      <c r="BCI37" s="1221"/>
      <c r="BCJ37" s="1221"/>
      <c r="BCK37" s="1221"/>
      <c r="BCL37" s="1221"/>
      <c r="BCM37" s="1221"/>
      <c r="BCN37" s="1221"/>
      <c r="BCO37" s="1221"/>
      <c r="BCP37" s="1221"/>
      <c r="BCQ37" s="1221"/>
      <c r="BCR37" s="1221"/>
      <c r="BCS37" s="1221"/>
      <c r="BCT37" s="1221"/>
      <c r="BCU37" s="1221"/>
      <c r="BCV37" s="1221"/>
      <c r="BCW37" s="1221"/>
      <c r="BCX37" s="1221"/>
      <c r="BCY37" s="1221"/>
      <c r="BCZ37" s="1221"/>
      <c r="BDA37" s="1221"/>
      <c r="BDB37" s="1221"/>
      <c r="BDC37" s="1221"/>
      <c r="BDD37" s="1221"/>
      <c r="BDE37" s="1221"/>
      <c r="BDF37" s="1221"/>
      <c r="BDG37" s="1221"/>
      <c r="BDH37" s="1221"/>
      <c r="BDI37" s="1221"/>
      <c r="BDJ37" s="1221"/>
      <c r="BDK37" s="1221"/>
      <c r="BDL37" s="1221"/>
      <c r="BDM37" s="1221"/>
      <c r="BDN37" s="1221"/>
      <c r="BDO37" s="1221"/>
      <c r="BDP37" s="1221"/>
      <c r="BDQ37" s="1221"/>
      <c r="BDR37" s="1221"/>
      <c r="BDS37" s="1221"/>
      <c r="BDT37" s="1221"/>
      <c r="BDU37" s="1221"/>
      <c r="BDV37" s="1221"/>
      <c r="BDW37" s="1221"/>
      <c r="BDX37" s="1221"/>
      <c r="BDY37" s="1221"/>
      <c r="BDZ37" s="1221"/>
      <c r="BEA37" s="1221"/>
      <c r="BEB37" s="1221"/>
      <c r="BEC37" s="1221"/>
      <c r="BED37" s="1221"/>
      <c r="BEE37" s="1221"/>
      <c r="BEF37" s="1221"/>
      <c r="BEG37" s="1221"/>
      <c r="BEH37" s="1221"/>
      <c r="BEI37" s="1221"/>
      <c r="BEJ37" s="1221"/>
      <c r="BEK37" s="1221"/>
      <c r="BEL37" s="1221"/>
      <c r="BEM37" s="1221"/>
      <c r="BEN37" s="1221"/>
      <c r="BEO37" s="1221"/>
      <c r="BEP37" s="1221"/>
      <c r="BEQ37" s="1221"/>
      <c r="BER37" s="1221"/>
      <c r="BES37" s="1221"/>
      <c r="BET37" s="1221"/>
      <c r="BEU37" s="1221"/>
      <c r="BEV37" s="1221"/>
      <c r="BEW37" s="1221"/>
      <c r="BEX37" s="1221"/>
      <c r="BEY37" s="1221"/>
      <c r="BEZ37" s="1221"/>
      <c r="BFA37" s="1221"/>
      <c r="BFB37" s="1221"/>
      <c r="BFC37" s="1221"/>
      <c r="BFD37" s="1221"/>
      <c r="BFE37" s="1221"/>
      <c r="BFF37" s="1221"/>
      <c r="BFG37" s="1221"/>
      <c r="BFH37" s="1221"/>
      <c r="BFI37" s="1221"/>
      <c r="BFJ37" s="1221"/>
      <c r="BFK37" s="1221"/>
      <c r="BFL37" s="1221"/>
      <c r="BFM37" s="1221"/>
      <c r="BFN37" s="1221"/>
      <c r="BFO37" s="1221"/>
      <c r="BFP37" s="1221"/>
      <c r="BFQ37" s="1221"/>
      <c r="BFR37" s="1221"/>
      <c r="BFS37" s="1221"/>
      <c r="BFT37" s="1221"/>
      <c r="BFU37" s="1221"/>
      <c r="BFV37" s="1221"/>
      <c r="BFW37" s="1221"/>
      <c r="BFX37" s="1221"/>
      <c r="BFY37" s="1221"/>
      <c r="BFZ37" s="1221"/>
      <c r="BGA37" s="1221"/>
      <c r="BGB37" s="1221"/>
      <c r="BGC37" s="1221"/>
      <c r="BGD37" s="1221"/>
      <c r="BGE37" s="1221"/>
      <c r="BGF37" s="1221"/>
      <c r="BGG37" s="1221"/>
      <c r="BGH37" s="1221"/>
      <c r="BGI37" s="1221"/>
      <c r="BGJ37" s="1221"/>
      <c r="BGK37" s="1221"/>
      <c r="BGL37" s="1221"/>
      <c r="BGM37" s="1221"/>
      <c r="BGN37" s="1221"/>
      <c r="BGO37" s="1221"/>
      <c r="BGP37" s="1221"/>
      <c r="BGQ37" s="1221"/>
      <c r="BGR37" s="1221"/>
      <c r="BGS37" s="1221"/>
      <c r="BGT37" s="1221"/>
      <c r="BGU37" s="1221"/>
      <c r="BGV37" s="1221"/>
      <c r="BGW37" s="1221"/>
      <c r="BGX37" s="1221"/>
      <c r="BGY37" s="1221"/>
      <c r="BGZ37" s="1221"/>
      <c r="BHA37" s="1221"/>
      <c r="BHB37" s="1221"/>
      <c r="BHC37" s="1221"/>
      <c r="BHD37" s="1221"/>
      <c r="BHE37" s="1221"/>
      <c r="BHF37" s="1221"/>
      <c r="BHG37" s="1221"/>
      <c r="BHH37" s="1221"/>
      <c r="BHI37" s="1221"/>
      <c r="BHJ37" s="1221"/>
      <c r="BHK37" s="1221"/>
      <c r="BHL37" s="1221"/>
      <c r="BHM37" s="1221"/>
      <c r="BHN37" s="1221"/>
      <c r="BHO37" s="1221"/>
      <c r="BHP37" s="1221"/>
      <c r="BHQ37" s="1221"/>
      <c r="BHR37" s="1221"/>
      <c r="BHS37" s="1221"/>
      <c r="BHT37" s="1221"/>
      <c r="BHU37" s="1221"/>
      <c r="BHV37" s="1221"/>
      <c r="BHW37" s="1221"/>
      <c r="BHX37" s="1221"/>
      <c r="BHY37" s="1221"/>
      <c r="BHZ37" s="1221"/>
      <c r="BIA37" s="1221"/>
      <c r="BIB37" s="1221"/>
      <c r="BIC37" s="1221"/>
      <c r="BID37" s="1221"/>
      <c r="BIE37" s="1221"/>
      <c r="BIF37" s="1221"/>
      <c r="BIG37" s="1221"/>
      <c r="BIH37" s="1221"/>
      <c r="BII37" s="1221"/>
      <c r="BIJ37" s="1221"/>
      <c r="BIK37" s="1221"/>
      <c r="BIL37" s="1221"/>
      <c r="BIM37" s="1221"/>
      <c r="BIN37" s="1221"/>
      <c r="BIO37" s="1221"/>
      <c r="BIP37" s="1221"/>
      <c r="BIQ37" s="1221"/>
      <c r="BIR37" s="1221"/>
      <c r="BIS37" s="1221"/>
      <c r="BIT37" s="1221"/>
      <c r="BIU37" s="1221"/>
      <c r="BIV37" s="1221"/>
      <c r="BIW37" s="1221"/>
      <c r="BIX37" s="1221"/>
      <c r="BIY37" s="1221"/>
      <c r="BIZ37" s="1221"/>
      <c r="BJA37" s="1221"/>
      <c r="BJB37" s="1221"/>
      <c r="BJC37" s="1221"/>
      <c r="BJD37" s="1221"/>
      <c r="BJE37" s="1221"/>
      <c r="BJF37" s="1221"/>
      <c r="BJG37" s="1221"/>
      <c r="BJH37" s="1221"/>
      <c r="BJI37" s="1221"/>
      <c r="BJJ37" s="1221"/>
      <c r="BJK37" s="1221"/>
      <c r="BJL37" s="1221"/>
      <c r="BJM37" s="1221"/>
      <c r="BJN37" s="1221"/>
      <c r="BJO37" s="1221"/>
      <c r="BJP37" s="1221"/>
      <c r="BJQ37" s="1221"/>
      <c r="BJR37" s="1221"/>
      <c r="BJS37" s="1221"/>
      <c r="BJT37" s="1221"/>
      <c r="BJU37" s="1221"/>
      <c r="BJV37" s="1221"/>
      <c r="BJW37" s="1221"/>
      <c r="BJX37" s="1221"/>
      <c r="BJY37" s="1221"/>
      <c r="BJZ37" s="1221"/>
      <c r="BKA37" s="1221"/>
      <c r="BKB37" s="1221"/>
      <c r="BKC37" s="1221"/>
      <c r="BKD37" s="1221"/>
      <c r="BKE37" s="1221"/>
      <c r="BKF37" s="1221"/>
      <c r="BKG37" s="1221"/>
      <c r="BKH37" s="1221"/>
      <c r="BKI37" s="1221"/>
      <c r="BKJ37" s="1221"/>
      <c r="BKK37" s="1221"/>
      <c r="BKL37" s="1221"/>
      <c r="BKM37" s="1221"/>
      <c r="BKN37" s="1221"/>
      <c r="BKO37" s="1221"/>
      <c r="BKP37" s="1221"/>
      <c r="BKQ37" s="1221"/>
      <c r="BKR37" s="1221"/>
      <c r="BKS37" s="1221"/>
      <c r="BKT37" s="1221"/>
      <c r="BKU37" s="1221"/>
      <c r="BKV37" s="1221"/>
      <c r="BKW37" s="1221"/>
      <c r="BKX37" s="1221"/>
      <c r="BKY37" s="1221"/>
      <c r="BKZ37" s="1221"/>
      <c r="BLA37" s="1221"/>
      <c r="BLB37" s="1221"/>
      <c r="BLC37" s="1221"/>
      <c r="BLD37" s="1221"/>
      <c r="BLE37" s="1221"/>
      <c r="BLF37" s="1221"/>
      <c r="BLG37" s="1221"/>
      <c r="BLH37" s="1221"/>
      <c r="BLI37" s="1221"/>
      <c r="BLJ37" s="1221"/>
      <c r="BLK37" s="1221"/>
      <c r="BLL37" s="1221"/>
      <c r="BLM37" s="1221"/>
      <c r="BLN37" s="1221"/>
      <c r="BLO37" s="1221"/>
      <c r="BLP37" s="1221"/>
      <c r="BLQ37" s="1221"/>
      <c r="BLR37" s="1221"/>
      <c r="BLS37" s="1221"/>
      <c r="BLT37" s="1221"/>
      <c r="BLU37" s="1221"/>
      <c r="BLV37" s="1221"/>
      <c r="BLW37" s="1221"/>
      <c r="BLX37" s="1221"/>
      <c r="BLY37" s="1221"/>
      <c r="BLZ37" s="1221"/>
      <c r="BMA37" s="1221"/>
      <c r="BMB37" s="1221"/>
      <c r="BMC37" s="1221"/>
      <c r="BMD37" s="1221"/>
      <c r="BME37" s="1221"/>
      <c r="BMF37" s="1221"/>
      <c r="BMG37" s="1221"/>
      <c r="BMH37" s="1221"/>
      <c r="BMI37" s="1221"/>
      <c r="BMJ37" s="1221"/>
      <c r="BMK37" s="1221"/>
      <c r="BML37" s="1221"/>
      <c r="BMM37" s="1221"/>
      <c r="BMN37" s="1221"/>
      <c r="BMO37" s="1221"/>
      <c r="BMP37" s="1221"/>
      <c r="BMQ37" s="1221"/>
      <c r="BMR37" s="1221"/>
      <c r="BMS37" s="1221"/>
      <c r="BMT37" s="1221"/>
      <c r="BMU37" s="1221"/>
      <c r="BMV37" s="1221"/>
      <c r="BMW37" s="1221"/>
      <c r="BMX37" s="1221"/>
      <c r="BMY37" s="1221"/>
      <c r="BMZ37" s="1221"/>
      <c r="BNA37" s="1221"/>
      <c r="BNB37" s="1221"/>
      <c r="BNC37" s="1221"/>
      <c r="BND37" s="1221"/>
      <c r="BNE37" s="1221"/>
      <c r="BNF37" s="1221"/>
      <c r="BNG37" s="1221"/>
      <c r="BNH37" s="1221"/>
      <c r="BNI37" s="1221"/>
      <c r="BNJ37" s="1221"/>
      <c r="BNK37" s="1221"/>
      <c r="BNL37" s="1221"/>
      <c r="BNM37" s="1221"/>
      <c r="BNN37" s="1221"/>
      <c r="BNO37" s="1221"/>
      <c r="BNP37" s="1221"/>
      <c r="BNQ37" s="1221"/>
      <c r="BNR37" s="1221"/>
      <c r="BNS37" s="1221"/>
      <c r="BNT37" s="1221"/>
      <c r="BNU37" s="1221"/>
      <c r="BNV37" s="1221"/>
      <c r="BNW37" s="1221"/>
      <c r="BNX37" s="1221"/>
      <c r="BNY37" s="1221"/>
      <c r="BNZ37" s="1221"/>
      <c r="BOA37" s="1221"/>
      <c r="BOB37" s="1221"/>
      <c r="BOC37" s="1221"/>
      <c r="BOD37" s="1221"/>
      <c r="BOE37" s="1221"/>
      <c r="BOF37" s="1221"/>
      <c r="BOG37" s="1221"/>
      <c r="BOH37" s="1221"/>
      <c r="BOI37" s="1221"/>
      <c r="BOJ37" s="1221"/>
      <c r="BOK37" s="1221"/>
      <c r="BOL37" s="1221"/>
      <c r="BOM37" s="1221"/>
      <c r="BON37" s="1221"/>
      <c r="BOO37" s="1221"/>
      <c r="BOP37" s="1221"/>
      <c r="BOQ37" s="1221"/>
      <c r="BOR37" s="1221"/>
      <c r="BOS37" s="1221"/>
      <c r="BOT37" s="1221"/>
      <c r="BOU37" s="1221"/>
      <c r="BOV37" s="1221"/>
      <c r="BOW37" s="1221"/>
      <c r="BOX37" s="1221"/>
      <c r="BOY37" s="1221"/>
      <c r="BOZ37" s="1221"/>
      <c r="BPA37" s="1221"/>
      <c r="BPB37" s="1221"/>
      <c r="BPC37" s="1221"/>
      <c r="BPD37" s="1221"/>
      <c r="BPE37" s="1221"/>
      <c r="BPF37" s="1221"/>
      <c r="BPG37" s="1221"/>
      <c r="BPH37" s="1221"/>
      <c r="BPI37" s="1221"/>
      <c r="BPJ37" s="1221"/>
      <c r="BPK37" s="1221"/>
      <c r="BPL37" s="1221"/>
      <c r="BPM37" s="1221"/>
      <c r="BPN37" s="1221"/>
      <c r="BPO37" s="1221"/>
      <c r="BPP37" s="1221"/>
      <c r="BPQ37" s="1221"/>
      <c r="BPR37" s="1221"/>
      <c r="BPS37" s="1221"/>
      <c r="BPT37" s="1221"/>
      <c r="BPU37" s="1221"/>
      <c r="BPV37" s="1221"/>
      <c r="BPW37" s="1221"/>
      <c r="BPX37" s="1221"/>
      <c r="BPY37" s="1221"/>
      <c r="BPZ37" s="1221"/>
      <c r="BQA37" s="1221"/>
      <c r="BQB37" s="1221"/>
      <c r="BQC37" s="1221"/>
      <c r="BQD37" s="1221"/>
      <c r="BQE37" s="1221"/>
      <c r="BQF37" s="1221"/>
      <c r="BQG37" s="1221"/>
      <c r="BQH37" s="1221"/>
      <c r="BQI37" s="1221"/>
      <c r="BQJ37" s="1221"/>
      <c r="BQK37" s="1221"/>
      <c r="BQL37" s="1221"/>
      <c r="BQM37" s="1221"/>
      <c r="BQN37" s="1221"/>
      <c r="BQO37" s="1221"/>
      <c r="BQP37" s="1221"/>
      <c r="BQQ37" s="1221"/>
      <c r="BQR37" s="1221"/>
      <c r="BQS37" s="1221"/>
      <c r="BQT37" s="1221"/>
      <c r="BQU37" s="1221"/>
      <c r="BQV37" s="1221"/>
      <c r="BQW37" s="1221"/>
      <c r="BQX37" s="1221"/>
      <c r="BQY37" s="1221"/>
      <c r="BQZ37" s="1221"/>
      <c r="BRA37" s="1221"/>
      <c r="BRB37" s="1221"/>
      <c r="BRC37" s="1221"/>
      <c r="BRD37" s="1221"/>
      <c r="BRE37" s="1221"/>
      <c r="BRF37" s="1221"/>
      <c r="BRG37" s="1221"/>
      <c r="BRH37" s="1221"/>
      <c r="BRI37" s="1221"/>
      <c r="BRJ37" s="1221"/>
      <c r="BRK37" s="1221"/>
      <c r="BRL37" s="1221"/>
      <c r="BRM37" s="1221"/>
      <c r="BRN37" s="1221"/>
      <c r="BRO37" s="1221"/>
      <c r="BRP37" s="1221"/>
      <c r="BRQ37" s="1221"/>
      <c r="BRR37" s="1221"/>
      <c r="BRS37" s="1221"/>
      <c r="BRT37" s="1221"/>
      <c r="BRU37" s="1221"/>
      <c r="BRV37" s="1221"/>
      <c r="BRW37" s="1221"/>
      <c r="BRX37" s="1221"/>
      <c r="BRY37" s="1221"/>
      <c r="BRZ37" s="1221"/>
      <c r="BSA37" s="1221"/>
      <c r="BSB37" s="1221"/>
      <c r="BSC37" s="1221"/>
      <c r="BSD37" s="1221"/>
      <c r="BSE37" s="1221"/>
      <c r="BSF37" s="1221"/>
      <c r="BSG37" s="1221"/>
      <c r="BSH37" s="1221"/>
      <c r="BSI37" s="1221"/>
      <c r="BSJ37" s="1221"/>
      <c r="BSK37" s="1221"/>
      <c r="BSL37" s="1221"/>
      <c r="BSM37" s="1221"/>
      <c r="BSN37" s="1221"/>
      <c r="BSO37" s="1221"/>
      <c r="BSP37" s="1221"/>
      <c r="BSQ37" s="1221"/>
      <c r="BSR37" s="1221"/>
      <c r="BSS37" s="1221"/>
      <c r="BST37" s="1221"/>
      <c r="BSU37" s="1221"/>
      <c r="BSV37" s="1221"/>
      <c r="BSW37" s="1221"/>
      <c r="BSX37" s="1221"/>
      <c r="BSY37" s="1221"/>
      <c r="BSZ37" s="1221"/>
      <c r="BTA37" s="1221"/>
      <c r="BTB37" s="1221"/>
      <c r="BTC37" s="1221"/>
      <c r="BTD37" s="1221"/>
      <c r="BTE37" s="1221"/>
      <c r="BTF37" s="1221"/>
      <c r="BTG37" s="1221"/>
      <c r="BTH37" s="1221"/>
      <c r="BTI37" s="1221"/>
      <c r="BTJ37" s="1221"/>
      <c r="BTK37" s="1221"/>
      <c r="BTL37" s="1221"/>
      <c r="BTM37" s="1221"/>
      <c r="BTN37" s="1221"/>
      <c r="BTO37" s="1221"/>
      <c r="BTP37" s="1221"/>
      <c r="BTQ37" s="1221"/>
      <c r="BTR37" s="1221"/>
      <c r="BTS37" s="1221"/>
      <c r="BTT37" s="1221"/>
      <c r="BTU37" s="1221"/>
      <c r="BTV37" s="1221"/>
      <c r="BTW37" s="1221"/>
      <c r="BTX37" s="1221"/>
      <c r="BTY37" s="1221"/>
      <c r="BTZ37" s="1221"/>
      <c r="BUA37" s="1221"/>
      <c r="BUB37" s="1221"/>
      <c r="BUC37" s="1221"/>
      <c r="BUD37" s="1221"/>
      <c r="BUE37" s="1221"/>
      <c r="BUF37" s="1221"/>
      <c r="BUG37" s="1221"/>
      <c r="BUH37" s="1221"/>
      <c r="BUI37" s="1221"/>
      <c r="BUJ37" s="1221"/>
      <c r="BUK37" s="1221"/>
      <c r="BUL37" s="1221"/>
      <c r="BUM37" s="1221"/>
      <c r="BUN37" s="1221"/>
      <c r="BUO37" s="1221"/>
      <c r="BUP37" s="1221"/>
      <c r="BUQ37" s="1221"/>
      <c r="BUR37" s="1221"/>
      <c r="BUS37" s="1221"/>
      <c r="BUT37" s="1221"/>
      <c r="BUU37" s="1221"/>
      <c r="BUV37" s="1221"/>
      <c r="BUW37" s="1221"/>
      <c r="BUX37" s="1221"/>
      <c r="BUY37" s="1221"/>
      <c r="BUZ37" s="1221"/>
      <c r="BVA37" s="1221"/>
      <c r="BVB37" s="1221"/>
      <c r="BVC37" s="1221"/>
      <c r="BVD37" s="1221"/>
      <c r="BVE37" s="1221"/>
      <c r="BVF37" s="1221"/>
      <c r="BVG37" s="1221"/>
      <c r="BVH37" s="1221"/>
      <c r="BVI37" s="1221"/>
      <c r="BVJ37" s="1221"/>
      <c r="BVK37" s="1221"/>
      <c r="BVL37" s="1221"/>
      <c r="BVM37" s="1221"/>
      <c r="BVN37" s="1221"/>
      <c r="BVO37" s="1221"/>
      <c r="BVP37" s="1221"/>
      <c r="BVQ37" s="1221"/>
      <c r="BVR37" s="1221"/>
      <c r="BVS37" s="1221"/>
      <c r="BVT37" s="1221"/>
      <c r="BVU37" s="1221"/>
      <c r="BVV37" s="1221"/>
      <c r="BVW37" s="1221"/>
      <c r="BVX37" s="1221"/>
      <c r="BVY37" s="1221"/>
      <c r="BVZ37" s="1221"/>
      <c r="BWA37" s="1221"/>
      <c r="BWB37" s="1221"/>
      <c r="BWC37" s="1221"/>
      <c r="BWD37" s="1221"/>
      <c r="BWE37" s="1221"/>
      <c r="BWF37" s="1221"/>
      <c r="BWG37" s="1221"/>
      <c r="BWH37" s="1221"/>
      <c r="BWI37" s="1221"/>
      <c r="BWJ37" s="1221"/>
      <c r="BWK37" s="1221"/>
      <c r="BWL37" s="1221"/>
      <c r="BWM37" s="1221"/>
      <c r="BWN37" s="1221"/>
      <c r="BWO37" s="1221"/>
      <c r="BWP37" s="1221"/>
      <c r="BWQ37" s="1221"/>
      <c r="BWR37" s="1221"/>
      <c r="BWS37" s="1221"/>
      <c r="BWT37" s="1221"/>
      <c r="BWU37" s="1221"/>
      <c r="BWV37" s="1221"/>
      <c r="BWW37" s="1221"/>
      <c r="BWX37" s="1221"/>
      <c r="BWY37" s="1221"/>
      <c r="BWZ37" s="1221"/>
      <c r="BXA37" s="1221"/>
      <c r="BXB37" s="1221"/>
      <c r="BXC37" s="1221"/>
      <c r="BXD37" s="1221"/>
      <c r="BXE37" s="1221"/>
      <c r="BXF37" s="1221"/>
      <c r="BXG37" s="1221"/>
      <c r="BXH37" s="1221"/>
      <c r="BXI37" s="1221"/>
      <c r="BXJ37" s="1221"/>
      <c r="BXK37" s="1221"/>
      <c r="BXL37" s="1221"/>
      <c r="BXM37" s="1221"/>
      <c r="BXN37" s="1221"/>
      <c r="BXO37" s="1221"/>
      <c r="BXP37" s="1221"/>
      <c r="BXQ37" s="1221"/>
      <c r="BXR37" s="1221"/>
      <c r="BXS37" s="1221"/>
      <c r="BXT37" s="1221"/>
      <c r="BXU37" s="1221"/>
      <c r="BXV37" s="1221"/>
      <c r="BXW37" s="1221"/>
      <c r="BXX37" s="1221"/>
      <c r="BXY37" s="1221"/>
      <c r="BXZ37" s="1221"/>
      <c r="BYA37" s="1221"/>
      <c r="BYB37" s="1221"/>
      <c r="BYC37" s="1221"/>
      <c r="BYD37" s="1221"/>
      <c r="BYE37" s="1221"/>
      <c r="BYF37" s="1221"/>
      <c r="BYG37" s="1221"/>
      <c r="BYH37" s="1221"/>
      <c r="BYI37" s="1221"/>
      <c r="BYJ37" s="1221"/>
      <c r="BYK37" s="1221"/>
      <c r="BYL37" s="1221"/>
      <c r="BYM37" s="1221"/>
      <c r="BYN37" s="1221"/>
      <c r="BYO37" s="1221"/>
      <c r="BYP37" s="1221"/>
      <c r="BYQ37" s="1221"/>
      <c r="BYR37" s="1221"/>
      <c r="BYS37" s="1221"/>
      <c r="BYT37" s="1221"/>
      <c r="BYU37" s="1221"/>
      <c r="BYV37" s="1221"/>
      <c r="BYW37" s="1221"/>
      <c r="BYX37" s="1221"/>
      <c r="BYY37" s="1221"/>
      <c r="BYZ37" s="1221"/>
      <c r="BZA37" s="1221"/>
      <c r="BZB37" s="1221"/>
      <c r="BZC37" s="1221"/>
      <c r="BZD37" s="1221"/>
      <c r="BZE37" s="1221"/>
      <c r="BZF37" s="1221"/>
      <c r="BZG37" s="1221"/>
      <c r="BZH37" s="1221"/>
      <c r="BZI37" s="1221"/>
      <c r="BZJ37" s="1221"/>
      <c r="BZK37" s="1221"/>
      <c r="BZL37" s="1221"/>
      <c r="BZM37" s="1221"/>
      <c r="BZN37" s="1221"/>
      <c r="BZO37" s="1221"/>
      <c r="BZP37" s="1221"/>
      <c r="BZQ37" s="1221"/>
      <c r="BZR37" s="1221"/>
      <c r="BZS37" s="1221"/>
      <c r="BZT37" s="1221"/>
      <c r="BZU37" s="1221"/>
      <c r="BZV37" s="1221"/>
      <c r="BZW37" s="1221"/>
      <c r="BZX37" s="1221"/>
      <c r="BZY37" s="1221"/>
      <c r="BZZ37" s="1221"/>
      <c r="CAA37" s="1221"/>
      <c r="CAB37" s="1221"/>
      <c r="CAC37" s="1221"/>
      <c r="CAD37" s="1221"/>
      <c r="CAE37" s="1221"/>
      <c r="CAF37" s="1221"/>
      <c r="CAG37" s="1221"/>
      <c r="CAH37" s="1221"/>
      <c r="CAI37" s="1221"/>
      <c r="CAJ37" s="1221"/>
      <c r="CAK37" s="1221"/>
      <c r="CAL37" s="1221"/>
      <c r="CAM37" s="1221"/>
      <c r="CAN37" s="1221"/>
      <c r="CAO37" s="1221"/>
      <c r="CAP37" s="1221"/>
      <c r="CAQ37" s="1221"/>
      <c r="CAR37" s="1221"/>
      <c r="CAS37" s="1221"/>
      <c r="CAT37" s="1221"/>
      <c r="CAU37" s="1221"/>
      <c r="CAV37" s="1221"/>
      <c r="CAW37" s="1221"/>
      <c r="CAX37" s="1221"/>
      <c r="CAY37" s="1221"/>
      <c r="CAZ37" s="1221"/>
      <c r="CBA37" s="1221"/>
      <c r="CBB37" s="1221"/>
      <c r="CBC37" s="1221"/>
      <c r="CBD37" s="1221"/>
      <c r="CBE37" s="1221"/>
      <c r="CBF37" s="1221"/>
      <c r="CBG37" s="1221"/>
      <c r="CBH37" s="1221"/>
      <c r="CBI37" s="1221"/>
      <c r="CBJ37" s="1221"/>
      <c r="CBK37" s="1221"/>
      <c r="CBL37" s="1221"/>
      <c r="CBM37" s="1221"/>
      <c r="CBN37" s="1221"/>
      <c r="CBO37" s="1221"/>
      <c r="CBP37" s="1221"/>
      <c r="CBQ37" s="1221"/>
      <c r="CBR37" s="1221"/>
      <c r="CBS37" s="1221"/>
      <c r="CBT37" s="1221"/>
      <c r="CBU37" s="1221"/>
      <c r="CBV37" s="1221"/>
      <c r="CBW37" s="1221"/>
      <c r="CBX37" s="1221"/>
      <c r="CBY37" s="1221"/>
      <c r="CBZ37" s="1221"/>
      <c r="CCA37" s="1221"/>
      <c r="CCB37" s="1221"/>
      <c r="CCC37" s="1221"/>
      <c r="CCD37" s="1221"/>
      <c r="CCE37" s="1221"/>
      <c r="CCF37" s="1221"/>
      <c r="CCG37" s="1221"/>
      <c r="CCH37" s="1221"/>
      <c r="CCI37" s="1221"/>
      <c r="CCJ37" s="1221"/>
      <c r="CCK37" s="1221"/>
      <c r="CCL37" s="1221"/>
      <c r="CCM37" s="1221"/>
      <c r="CCN37" s="1221"/>
      <c r="CCO37" s="1221"/>
      <c r="CCP37" s="1221"/>
      <c r="CCQ37" s="1221"/>
      <c r="CCR37" s="1221"/>
      <c r="CCS37" s="1221"/>
      <c r="CCT37" s="1221"/>
      <c r="CCU37" s="1221"/>
      <c r="CCV37" s="1221"/>
      <c r="CCW37" s="1221"/>
      <c r="CCX37" s="1221"/>
      <c r="CCY37" s="1221"/>
      <c r="CCZ37" s="1221"/>
      <c r="CDA37" s="1221"/>
      <c r="CDB37" s="1221"/>
      <c r="CDC37" s="1221"/>
      <c r="CDD37" s="1221"/>
      <c r="CDE37" s="1221"/>
      <c r="CDF37" s="1221"/>
      <c r="CDG37" s="1221"/>
      <c r="CDH37" s="1221"/>
      <c r="CDI37" s="1221"/>
      <c r="CDJ37" s="1221"/>
      <c r="CDK37" s="1221"/>
      <c r="CDL37" s="1221"/>
      <c r="CDM37" s="1221"/>
      <c r="CDN37" s="1221"/>
      <c r="CDO37" s="1221"/>
      <c r="CDP37" s="1221"/>
      <c r="CDQ37" s="1221"/>
      <c r="CDR37" s="1221"/>
      <c r="CDS37" s="1221"/>
      <c r="CDT37" s="1221"/>
      <c r="CDU37" s="1221"/>
      <c r="CDV37" s="1221"/>
      <c r="CDW37" s="1221"/>
      <c r="CDX37" s="1221"/>
      <c r="CDY37" s="1221"/>
      <c r="CDZ37" s="1221"/>
      <c r="CEA37" s="1221"/>
      <c r="CEB37" s="1221"/>
      <c r="CEC37" s="1221"/>
      <c r="CED37" s="1221"/>
      <c r="CEE37" s="1221"/>
      <c r="CEF37" s="1221"/>
      <c r="CEG37" s="1221"/>
      <c r="CEH37" s="1221"/>
      <c r="CEI37" s="1221"/>
      <c r="CEJ37" s="1221"/>
      <c r="CEK37" s="1221"/>
      <c r="CEL37" s="1221"/>
      <c r="CEM37" s="1221"/>
      <c r="CEN37" s="1221"/>
      <c r="CEO37" s="1221"/>
      <c r="CEP37" s="1221"/>
      <c r="CEQ37" s="1221"/>
      <c r="CER37" s="1221"/>
      <c r="CES37" s="1221"/>
      <c r="CET37" s="1221"/>
      <c r="CEU37" s="1221"/>
      <c r="CEV37" s="1221"/>
      <c r="CEW37" s="1221"/>
      <c r="CEX37" s="1221"/>
      <c r="CEY37" s="1221"/>
      <c r="CEZ37" s="1221"/>
      <c r="CFA37" s="1221"/>
      <c r="CFB37" s="1221"/>
      <c r="CFC37" s="1221"/>
      <c r="CFD37" s="1221"/>
      <c r="CFE37" s="1221"/>
      <c r="CFF37" s="1221"/>
      <c r="CFG37" s="1221"/>
      <c r="CFH37" s="1221"/>
      <c r="CFI37" s="1221"/>
      <c r="CFJ37" s="1221"/>
      <c r="CFK37" s="1221"/>
      <c r="CFL37" s="1221"/>
      <c r="CFM37" s="1221"/>
      <c r="CFN37" s="1221"/>
      <c r="CFO37" s="1221"/>
      <c r="CFP37" s="1221"/>
      <c r="CFQ37" s="1221"/>
      <c r="CFR37" s="1221"/>
      <c r="CFS37" s="1221"/>
      <c r="CFT37" s="1221"/>
      <c r="CFU37" s="1221"/>
      <c r="CFV37" s="1221"/>
      <c r="CFW37" s="1221"/>
      <c r="CFX37" s="1221"/>
      <c r="CFY37" s="1221"/>
      <c r="CFZ37" s="1221"/>
      <c r="CGA37" s="1221"/>
      <c r="CGB37" s="1221"/>
      <c r="CGC37" s="1221"/>
      <c r="CGD37" s="1221"/>
      <c r="CGE37" s="1221"/>
      <c r="CGF37" s="1221"/>
      <c r="CGG37" s="1221"/>
      <c r="CGH37" s="1221"/>
      <c r="CGI37" s="1221"/>
      <c r="CGJ37" s="1221"/>
      <c r="CGK37" s="1221"/>
      <c r="CGL37" s="1221"/>
      <c r="CGM37" s="1221"/>
      <c r="CGN37" s="1221"/>
      <c r="CGO37" s="1221"/>
      <c r="CGP37" s="1221"/>
      <c r="CGQ37" s="1221"/>
      <c r="CGR37" s="1221"/>
      <c r="CGS37" s="1221"/>
      <c r="CGT37" s="1221"/>
      <c r="CGU37" s="1221"/>
      <c r="CGV37" s="1221"/>
      <c r="CGW37" s="1221"/>
      <c r="CGX37" s="1221"/>
      <c r="CGY37" s="1221"/>
      <c r="CGZ37" s="1221"/>
      <c r="CHA37" s="1221"/>
      <c r="CHB37" s="1221"/>
      <c r="CHC37" s="1221"/>
      <c r="CHD37" s="1221"/>
      <c r="CHE37" s="1221"/>
      <c r="CHF37" s="1221"/>
      <c r="CHG37" s="1221"/>
      <c r="CHH37" s="1221"/>
      <c r="CHI37" s="1221"/>
      <c r="CHJ37" s="1221"/>
      <c r="CHK37" s="1221"/>
      <c r="CHL37" s="1221"/>
      <c r="CHM37" s="1221"/>
      <c r="CHN37" s="1221"/>
      <c r="CHO37" s="1221"/>
      <c r="CHP37" s="1221"/>
      <c r="CHQ37" s="1221"/>
      <c r="CHR37" s="1221"/>
      <c r="CHS37" s="1221"/>
      <c r="CHT37" s="1221"/>
      <c r="CHU37" s="1221"/>
      <c r="CHV37" s="1221"/>
      <c r="CHW37" s="1221"/>
      <c r="CHX37" s="1221"/>
      <c r="CHY37" s="1221"/>
      <c r="CHZ37" s="1221"/>
      <c r="CIA37" s="1221"/>
      <c r="CIB37" s="1221"/>
      <c r="CIC37" s="1221"/>
      <c r="CID37" s="1221"/>
      <c r="CIE37" s="1221"/>
      <c r="CIF37" s="1221"/>
      <c r="CIG37" s="1221"/>
      <c r="CIH37" s="1221"/>
      <c r="CII37" s="1221"/>
      <c r="CIJ37" s="1221"/>
      <c r="CIK37" s="1221"/>
      <c r="CIL37" s="1221"/>
      <c r="CIM37" s="1221"/>
      <c r="CIN37" s="1221"/>
      <c r="CIO37" s="1221"/>
      <c r="CIP37" s="1221"/>
      <c r="CIQ37" s="1221"/>
      <c r="CIR37" s="1221"/>
      <c r="CIS37" s="1221"/>
      <c r="CIT37" s="1221"/>
      <c r="CIU37" s="1221"/>
      <c r="CIV37" s="1221"/>
      <c r="CIW37" s="1221"/>
      <c r="CIX37" s="1221"/>
      <c r="CIY37" s="1221"/>
      <c r="CIZ37" s="1221"/>
      <c r="CJA37" s="1221"/>
      <c r="CJB37" s="1221"/>
      <c r="CJC37" s="1221"/>
      <c r="CJD37" s="1221"/>
      <c r="CJE37" s="1221"/>
      <c r="CJF37" s="1221"/>
      <c r="CJG37" s="1221"/>
      <c r="CJH37" s="1221"/>
      <c r="CJI37" s="1221"/>
      <c r="CJJ37" s="1221"/>
      <c r="CJK37" s="1221"/>
      <c r="CJL37" s="1221"/>
      <c r="CJM37" s="1221"/>
      <c r="CJN37" s="1221"/>
      <c r="CJO37" s="1221"/>
      <c r="CJP37" s="1221"/>
      <c r="CJQ37" s="1221"/>
      <c r="CJR37" s="1221"/>
      <c r="CJS37" s="1221"/>
      <c r="CJT37" s="1221"/>
      <c r="CJU37" s="1221"/>
      <c r="CJV37" s="1221"/>
      <c r="CJW37" s="1221"/>
      <c r="CJX37" s="1221"/>
      <c r="CJY37" s="1221"/>
      <c r="CJZ37" s="1221"/>
      <c r="CKA37" s="1221"/>
      <c r="CKB37" s="1221"/>
      <c r="CKC37" s="1221"/>
      <c r="CKD37" s="1221"/>
      <c r="CKE37" s="1221"/>
      <c r="CKF37" s="1221"/>
      <c r="CKG37" s="1221"/>
      <c r="CKH37" s="1221"/>
      <c r="CKI37" s="1221"/>
      <c r="CKJ37" s="1221"/>
      <c r="CKK37" s="1221"/>
      <c r="CKL37" s="1221"/>
      <c r="CKM37" s="1221"/>
      <c r="CKN37" s="1221"/>
      <c r="CKO37" s="1221"/>
      <c r="CKP37" s="1221"/>
      <c r="CKQ37" s="1221"/>
      <c r="CKR37" s="1221"/>
      <c r="CKS37" s="1221"/>
      <c r="CKT37" s="1221"/>
      <c r="CKU37" s="1221"/>
      <c r="CKV37" s="1221"/>
      <c r="CKW37" s="1221"/>
      <c r="CKX37" s="1221"/>
      <c r="CKY37" s="1221"/>
      <c r="CKZ37" s="1221"/>
      <c r="CLA37" s="1221"/>
      <c r="CLB37" s="1221"/>
      <c r="CLC37" s="1221"/>
      <c r="CLD37" s="1221"/>
      <c r="CLE37" s="1221"/>
      <c r="CLF37" s="1221"/>
      <c r="CLG37" s="1221"/>
      <c r="CLH37" s="1221"/>
      <c r="CLI37" s="1221"/>
      <c r="CLJ37" s="1221"/>
      <c r="CLK37" s="1221"/>
      <c r="CLL37" s="1221"/>
      <c r="CLM37" s="1221"/>
      <c r="CLN37" s="1221"/>
      <c r="CLO37" s="1221"/>
      <c r="CLP37" s="1221"/>
      <c r="CLQ37" s="1221"/>
      <c r="CLR37" s="1221"/>
      <c r="CLS37" s="1221"/>
      <c r="CLT37" s="1221"/>
      <c r="CLU37" s="1221"/>
      <c r="CLV37" s="1221"/>
      <c r="CLW37" s="1221"/>
      <c r="CLX37" s="1221"/>
      <c r="CLY37" s="1221"/>
      <c r="CLZ37" s="1221"/>
      <c r="CMA37" s="1221"/>
      <c r="CMB37" s="1221"/>
      <c r="CMC37" s="1221"/>
      <c r="CMD37" s="1221"/>
      <c r="CME37" s="1221"/>
      <c r="CMF37" s="1221"/>
      <c r="CMG37" s="1221"/>
      <c r="CMH37" s="1221"/>
      <c r="CMI37" s="1221"/>
      <c r="CMJ37" s="1221"/>
      <c r="CMK37" s="1221"/>
      <c r="CML37" s="1221"/>
      <c r="CMM37" s="1221"/>
      <c r="CMN37" s="1221"/>
      <c r="CMO37" s="1221"/>
      <c r="CMP37" s="1221"/>
      <c r="CMQ37" s="1221"/>
      <c r="CMR37" s="1221"/>
      <c r="CMS37" s="1221"/>
      <c r="CMT37" s="1221"/>
      <c r="CMU37" s="1221"/>
      <c r="CMV37" s="1221"/>
      <c r="CMW37" s="1221"/>
      <c r="CMX37" s="1221"/>
      <c r="CMY37" s="1221"/>
      <c r="CMZ37" s="1221"/>
      <c r="CNA37" s="1221"/>
      <c r="CNB37" s="1221"/>
      <c r="CNC37" s="1221"/>
      <c r="CND37" s="1221"/>
      <c r="CNE37" s="1221"/>
      <c r="CNF37" s="1221"/>
      <c r="CNG37" s="1221"/>
      <c r="CNH37" s="1221"/>
      <c r="CNI37" s="1221"/>
      <c r="CNJ37" s="1221"/>
      <c r="CNK37" s="1221"/>
      <c r="CNL37" s="1221"/>
      <c r="CNM37" s="1221"/>
      <c r="CNN37" s="1221"/>
      <c r="CNO37" s="1221"/>
      <c r="CNP37" s="1221"/>
      <c r="CNQ37" s="1221"/>
      <c r="CNR37" s="1221"/>
      <c r="CNS37" s="1221"/>
      <c r="CNT37" s="1221"/>
      <c r="CNU37" s="1221"/>
      <c r="CNV37" s="1221"/>
      <c r="CNW37" s="1221"/>
      <c r="CNX37" s="1221"/>
      <c r="CNY37" s="1221"/>
      <c r="CNZ37" s="1221"/>
      <c r="COA37" s="1221"/>
      <c r="COB37" s="1221"/>
      <c r="COC37" s="1221"/>
      <c r="COD37" s="1221"/>
      <c r="COE37" s="1221"/>
      <c r="COF37" s="1221"/>
      <c r="COG37" s="1221"/>
      <c r="COH37" s="1221"/>
      <c r="COI37" s="1221"/>
      <c r="COJ37" s="1221"/>
      <c r="COK37" s="1221"/>
      <c r="COL37" s="1221"/>
      <c r="COM37" s="1221"/>
      <c r="CON37" s="1221"/>
      <c r="COO37" s="1221"/>
      <c r="COP37" s="1221"/>
      <c r="COQ37" s="1221"/>
      <c r="COR37" s="1221"/>
      <c r="COS37" s="1221"/>
      <c r="COT37" s="1221"/>
      <c r="COU37" s="1221"/>
      <c r="COV37" s="1221"/>
      <c r="COW37" s="1221"/>
      <c r="COX37" s="1221"/>
      <c r="COY37" s="1221"/>
      <c r="COZ37" s="1221"/>
      <c r="CPA37" s="1221"/>
      <c r="CPB37" s="1221"/>
      <c r="CPC37" s="1221"/>
      <c r="CPD37" s="1221"/>
      <c r="CPE37" s="1221"/>
      <c r="CPF37" s="1221"/>
      <c r="CPG37" s="1221"/>
      <c r="CPH37" s="1221"/>
      <c r="CPI37" s="1221"/>
      <c r="CPJ37" s="1221"/>
      <c r="CPK37" s="1221"/>
      <c r="CPL37" s="1221"/>
      <c r="CPM37" s="1221"/>
      <c r="CPN37" s="1221"/>
      <c r="CPO37" s="1221"/>
      <c r="CPP37" s="1221"/>
      <c r="CPQ37" s="1221"/>
      <c r="CPR37" s="1221"/>
      <c r="CPS37" s="1221"/>
      <c r="CPT37" s="1221"/>
      <c r="CPU37" s="1221"/>
      <c r="CPV37" s="1221"/>
      <c r="CPW37" s="1221"/>
      <c r="CPX37" s="1221"/>
      <c r="CPY37" s="1221"/>
      <c r="CPZ37" s="1221"/>
      <c r="CQA37" s="1221"/>
      <c r="CQB37" s="1221"/>
      <c r="CQC37" s="1221"/>
      <c r="CQD37" s="1221"/>
      <c r="CQE37" s="1221"/>
      <c r="CQF37" s="1221"/>
      <c r="CQG37" s="1221"/>
      <c r="CQH37" s="1221"/>
      <c r="CQI37" s="1221"/>
      <c r="CQJ37" s="1221"/>
      <c r="CQK37" s="1221"/>
      <c r="CQL37" s="1221"/>
      <c r="CQM37" s="1221"/>
      <c r="CQN37" s="1221"/>
      <c r="CQO37" s="1221"/>
      <c r="CQP37" s="1221"/>
      <c r="CQQ37" s="1221"/>
      <c r="CQR37" s="1221"/>
      <c r="CQS37" s="1221"/>
      <c r="CQT37" s="1221"/>
      <c r="CQU37" s="1221"/>
      <c r="CQV37" s="1221"/>
      <c r="CQW37" s="1221"/>
      <c r="CQX37" s="1221"/>
      <c r="CQY37" s="1221"/>
      <c r="CQZ37" s="1221"/>
      <c r="CRA37" s="1221"/>
      <c r="CRB37" s="1221"/>
      <c r="CRC37" s="1221"/>
      <c r="CRD37" s="1221"/>
      <c r="CRE37" s="1221"/>
      <c r="CRF37" s="1221"/>
      <c r="CRG37" s="1221"/>
      <c r="CRH37" s="1221"/>
      <c r="CRI37" s="1221"/>
      <c r="CRJ37" s="1221"/>
      <c r="CRK37" s="1221"/>
      <c r="CRL37" s="1221"/>
      <c r="CRM37" s="1221"/>
      <c r="CRN37" s="1221"/>
      <c r="CRO37" s="1221"/>
      <c r="CRP37" s="1221"/>
      <c r="CRQ37" s="1221"/>
      <c r="CRR37" s="1221"/>
      <c r="CRS37" s="1221"/>
      <c r="CRT37" s="1221"/>
      <c r="CRU37" s="1221"/>
      <c r="CRV37" s="1221"/>
      <c r="CRW37" s="1221"/>
      <c r="CRX37" s="1221"/>
      <c r="CRY37" s="1221"/>
      <c r="CRZ37" s="1221"/>
      <c r="CSA37" s="1221"/>
      <c r="CSB37" s="1221"/>
      <c r="CSC37" s="1221"/>
      <c r="CSD37" s="1221"/>
      <c r="CSE37" s="1221"/>
      <c r="CSF37" s="1221"/>
      <c r="CSG37" s="1221"/>
      <c r="CSH37" s="1221"/>
      <c r="CSI37" s="1221"/>
      <c r="CSJ37" s="1221"/>
      <c r="CSK37" s="1221"/>
      <c r="CSL37" s="1221"/>
      <c r="CSM37" s="1221"/>
      <c r="CSN37" s="1221"/>
      <c r="CSO37" s="1221"/>
      <c r="CSP37" s="1221"/>
      <c r="CSQ37" s="1221"/>
      <c r="CSR37" s="1221"/>
      <c r="CSS37" s="1221"/>
      <c r="CST37" s="1221"/>
      <c r="CSU37" s="1221"/>
      <c r="CSV37" s="1221"/>
      <c r="CSW37" s="1221"/>
      <c r="CSX37" s="1221"/>
      <c r="CSY37" s="1221"/>
      <c r="CSZ37" s="1221"/>
      <c r="CTA37" s="1221"/>
      <c r="CTB37" s="1221"/>
      <c r="CTC37" s="1221"/>
      <c r="CTD37" s="1221"/>
      <c r="CTE37" s="1221"/>
      <c r="CTF37" s="1221"/>
      <c r="CTG37" s="1221"/>
      <c r="CTH37" s="1221"/>
      <c r="CTI37" s="1221"/>
      <c r="CTJ37" s="1221"/>
      <c r="CTK37" s="1221"/>
      <c r="CTL37" s="1221"/>
      <c r="CTM37" s="1221"/>
      <c r="CTN37" s="1221"/>
      <c r="CTO37" s="1221"/>
      <c r="CTP37" s="1221"/>
      <c r="CTQ37" s="1221"/>
      <c r="CTR37" s="1221"/>
      <c r="CTS37" s="1221"/>
      <c r="CTT37" s="1221"/>
      <c r="CTU37" s="1221"/>
      <c r="CTV37" s="1221"/>
      <c r="CTW37" s="1221"/>
      <c r="CTX37" s="1221"/>
      <c r="CTY37" s="1221"/>
      <c r="CTZ37" s="1221"/>
      <c r="CUA37" s="1221"/>
      <c r="CUB37" s="1221"/>
      <c r="CUC37" s="1221"/>
      <c r="CUD37" s="1221"/>
      <c r="CUE37" s="1221"/>
      <c r="CUF37" s="1221"/>
      <c r="CUG37" s="1221"/>
      <c r="CUH37" s="1221"/>
      <c r="CUI37" s="1221"/>
      <c r="CUJ37" s="1221"/>
      <c r="CUK37" s="1221"/>
      <c r="CUL37" s="1221"/>
      <c r="CUM37" s="1221"/>
      <c r="CUN37" s="1221"/>
      <c r="CUO37" s="1221"/>
      <c r="CUP37" s="1221"/>
      <c r="CUQ37" s="1221"/>
      <c r="CUR37" s="1221"/>
      <c r="CUS37" s="1221"/>
      <c r="CUT37" s="1221"/>
      <c r="CUU37" s="1221"/>
      <c r="CUV37" s="1221"/>
      <c r="CUW37" s="1221"/>
      <c r="CUX37" s="1221"/>
      <c r="CUY37" s="1221"/>
      <c r="CUZ37" s="1221"/>
      <c r="CVA37" s="1221"/>
      <c r="CVB37" s="1221"/>
      <c r="CVC37" s="1221"/>
      <c r="CVD37" s="1221"/>
      <c r="CVE37" s="1221"/>
      <c r="CVF37" s="1221"/>
      <c r="CVG37" s="1221"/>
      <c r="CVH37" s="1221"/>
      <c r="CVI37" s="1221"/>
      <c r="CVJ37" s="1221"/>
      <c r="CVK37" s="1221"/>
      <c r="CVL37" s="1221"/>
      <c r="CVM37" s="1221"/>
      <c r="CVN37" s="1221"/>
      <c r="CVO37" s="1221"/>
      <c r="CVP37" s="1221"/>
      <c r="CVQ37" s="1221"/>
      <c r="CVR37" s="1221"/>
      <c r="CVS37" s="1221"/>
      <c r="CVT37" s="1221"/>
      <c r="CVU37" s="1221"/>
      <c r="CVV37" s="1221"/>
      <c r="CVW37" s="1221"/>
      <c r="CVX37" s="1221"/>
      <c r="CVY37" s="1221"/>
      <c r="CVZ37" s="1221"/>
      <c r="CWA37" s="1221"/>
      <c r="CWB37" s="1221"/>
      <c r="CWC37" s="1221"/>
      <c r="CWD37" s="1221"/>
      <c r="CWE37" s="1221"/>
      <c r="CWF37" s="1221"/>
      <c r="CWG37" s="1221"/>
      <c r="CWH37" s="1221"/>
      <c r="CWI37" s="1221"/>
      <c r="CWJ37" s="1221"/>
      <c r="CWK37" s="1221"/>
      <c r="CWL37" s="1221"/>
      <c r="CWM37" s="1221"/>
      <c r="CWN37" s="1221"/>
      <c r="CWO37" s="1221"/>
      <c r="CWP37" s="1221"/>
      <c r="CWQ37" s="1221"/>
      <c r="CWR37" s="1221"/>
      <c r="CWS37" s="1221"/>
      <c r="CWT37" s="1221"/>
      <c r="CWU37" s="1221"/>
      <c r="CWV37" s="1221"/>
      <c r="CWW37" s="1221"/>
      <c r="CWX37" s="1221"/>
      <c r="CWY37" s="1221"/>
      <c r="CWZ37" s="1221"/>
      <c r="CXA37" s="1221"/>
      <c r="CXB37" s="1221"/>
      <c r="CXC37" s="1221"/>
      <c r="CXD37" s="1221"/>
      <c r="CXE37" s="1221"/>
      <c r="CXF37" s="1221"/>
      <c r="CXG37" s="1221"/>
      <c r="CXH37" s="1221"/>
      <c r="CXI37" s="1221"/>
      <c r="CXJ37" s="1221"/>
      <c r="CXK37" s="1221"/>
      <c r="CXL37" s="1221"/>
      <c r="CXM37" s="1221"/>
      <c r="CXN37" s="1221"/>
      <c r="CXO37" s="1221"/>
      <c r="CXP37" s="1221"/>
      <c r="CXQ37" s="1221"/>
      <c r="CXR37" s="1221"/>
      <c r="CXS37" s="1221"/>
      <c r="CXT37" s="1221"/>
      <c r="CXU37" s="1221"/>
      <c r="CXV37" s="1221"/>
      <c r="CXW37" s="1221"/>
      <c r="CXX37" s="1221"/>
      <c r="CXY37" s="1221"/>
      <c r="CXZ37" s="1221"/>
      <c r="CYA37" s="1221"/>
      <c r="CYB37" s="1221"/>
      <c r="CYC37" s="1221"/>
      <c r="CYD37" s="1221"/>
      <c r="CYE37" s="1221"/>
      <c r="CYF37" s="1221"/>
      <c r="CYG37" s="1221"/>
      <c r="CYH37" s="1221"/>
      <c r="CYI37" s="1221"/>
      <c r="CYJ37" s="1221"/>
      <c r="CYK37" s="1221"/>
      <c r="CYL37" s="1221"/>
      <c r="CYM37" s="1221"/>
      <c r="CYN37" s="1221"/>
      <c r="CYO37" s="1221"/>
      <c r="CYP37" s="1221"/>
      <c r="CYQ37" s="1221"/>
      <c r="CYR37" s="1221"/>
      <c r="CYS37" s="1221"/>
      <c r="CYT37" s="1221"/>
      <c r="CYU37" s="1221"/>
      <c r="CYV37" s="1221"/>
      <c r="CYW37" s="1221"/>
      <c r="CYX37" s="1221"/>
      <c r="CYY37" s="1221"/>
      <c r="CYZ37" s="1221"/>
      <c r="CZA37" s="1221"/>
      <c r="CZB37" s="1221"/>
      <c r="CZC37" s="1221"/>
      <c r="CZD37" s="1221"/>
      <c r="CZE37" s="1221"/>
      <c r="CZF37" s="1221"/>
      <c r="CZG37" s="1221"/>
      <c r="CZH37" s="1221"/>
      <c r="CZI37" s="1221"/>
      <c r="CZJ37" s="1221"/>
      <c r="CZK37" s="1221"/>
      <c r="CZL37" s="1221"/>
      <c r="CZM37" s="1221"/>
      <c r="CZN37" s="1221"/>
      <c r="CZO37" s="1221"/>
      <c r="CZP37" s="1221"/>
      <c r="CZQ37" s="1221"/>
      <c r="CZR37" s="1221"/>
      <c r="CZS37" s="1221"/>
      <c r="CZT37" s="1221"/>
      <c r="CZU37" s="1221"/>
      <c r="CZV37" s="1221"/>
      <c r="CZW37" s="1221"/>
      <c r="CZX37" s="1221"/>
      <c r="CZY37" s="1221"/>
      <c r="CZZ37" s="1221"/>
      <c r="DAA37" s="1221"/>
      <c r="DAB37" s="1221"/>
      <c r="DAC37" s="1221"/>
      <c r="DAD37" s="1221"/>
      <c r="DAE37" s="1221"/>
      <c r="DAF37" s="1221"/>
      <c r="DAG37" s="1221"/>
      <c r="DAH37" s="1221"/>
      <c r="DAI37" s="1221"/>
      <c r="DAJ37" s="1221"/>
      <c r="DAK37" s="1221"/>
      <c r="DAL37" s="1221"/>
      <c r="DAM37" s="1221"/>
      <c r="DAN37" s="1221"/>
      <c r="DAO37" s="1221"/>
      <c r="DAP37" s="1221"/>
      <c r="DAQ37" s="1221"/>
      <c r="DAR37" s="1221"/>
      <c r="DAS37" s="1221"/>
      <c r="DAT37" s="1221"/>
      <c r="DAU37" s="1221"/>
      <c r="DAV37" s="1221"/>
      <c r="DAW37" s="1221"/>
      <c r="DAX37" s="1221"/>
      <c r="DAY37" s="1221"/>
      <c r="DAZ37" s="1221"/>
      <c r="DBA37" s="1221"/>
      <c r="DBB37" s="1221"/>
      <c r="DBC37" s="1221"/>
      <c r="DBD37" s="1221"/>
      <c r="DBE37" s="1221"/>
      <c r="DBF37" s="1221"/>
      <c r="DBG37" s="1221"/>
      <c r="DBH37" s="1221"/>
      <c r="DBI37" s="1221"/>
      <c r="DBJ37" s="1221"/>
      <c r="DBK37" s="1221"/>
      <c r="DBL37" s="1221"/>
      <c r="DBM37" s="1221"/>
      <c r="DBN37" s="1221"/>
      <c r="DBO37" s="1221"/>
      <c r="DBP37" s="1221"/>
      <c r="DBQ37" s="1221"/>
      <c r="DBR37" s="1221"/>
      <c r="DBS37" s="1221"/>
      <c r="DBT37" s="1221"/>
      <c r="DBU37" s="1221"/>
      <c r="DBV37" s="1221"/>
      <c r="DBW37" s="1221"/>
      <c r="DBX37" s="1221"/>
      <c r="DBY37" s="1221"/>
      <c r="DBZ37" s="1221"/>
      <c r="DCA37" s="1221"/>
      <c r="DCB37" s="1221"/>
      <c r="DCC37" s="1221"/>
      <c r="DCD37" s="1221"/>
      <c r="DCE37" s="1221"/>
      <c r="DCF37" s="1221"/>
      <c r="DCG37" s="1221"/>
      <c r="DCH37" s="1221"/>
      <c r="DCI37" s="1221"/>
      <c r="DCJ37" s="1221"/>
      <c r="DCK37" s="1221"/>
      <c r="DCL37" s="1221"/>
      <c r="DCM37" s="1221"/>
      <c r="DCN37" s="1221"/>
      <c r="DCO37" s="1221"/>
      <c r="DCP37" s="1221"/>
      <c r="DCQ37" s="1221"/>
      <c r="DCR37" s="1221"/>
      <c r="DCS37" s="1221"/>
      <c r="DCT37" s="1221"/>
      <c r="DCU37" s="1221"/>
      <c r="DCV37" s="1221"/>
      <c r="DCW37" s="1221"/>
      <c r="DCX37" s="1221"/>
      <c r="DCY37" s="1221"/>
      <c r="DCZ37" s="1221"/>
      <c r="DDA37" s="1221"/>
      <c r="DDB37" s="1221"/>
      <c r="DDC37" s="1221"/>
      <c r="DDD37" s="1221"/>
      <c r="DDE37" s="1221"/>
      <c r="DDF37" s="1221"/>
      <c r="DDG37" s="1221"/>
      <c r="DDH37" s="1221"/>
      <c r="DDI37" s="1221"/>
      <c r="DDJ37" s="1221"/>
      <c r="DDK37" s="1221"/>
      <c r="DDL37" s="1221"/>
      <c r="DDM37" s="1221"/>
      <c r="DDN37" s="1221"/>
      <c r="DDO37" s="1221"/>
      <c r="DDP37" s="1221"/>
      <c r="DDQ37" s="1221"/>
      <c r="DDR37" s="1221"/>
      <c r="DDS37" s="1221"/>
      <c r="DDT37" s="1221"/>
      <c r="DDU37" s="1221"/>
      <c r="DDV37" s="1221"/>
      <c r="DDW37" s="1221"/>
      <c r="DDX37" s="1221"/>
      <c r="DDY37" s="1221"/>
      <c r="DDZ37" s="1221"/>
      <c r="DEA37" s="1221"/>
      <c r="DEB37" s="1221"/>
      <c r="DEC37" s="1221"/>
      <c r="DED37" s="1221"/>
      <c r="DEE37" s="1221"/>
      <c r="DEF37" s="1221"/>
      <c r="DEG37" s="1221"/>
      <c r="DEH37" s="1221"/>
      <c r="DEI37" s="1221"/>
      <c r="DEJ37" s="1221"/>
      <c r="DEK37" s="1221"/>
      <c r="DEL37" s="1221"/>
      <c r="DEM37" s="1221"/>
      <c r="DEN37" s="1221"/>
      <c r="DEO37" s="1221"/>
      <c r="DEP37" s="1221"/>
      <c r="DEQ37" s="1221"/>
      <c r="DER37" s="1221"/>
      <c r="DES37" s="1221"/>
      <c r="DET37" s="1221"/>
      <c r="DEU37" s="1221"/>
      <c r="DEV37" s="1221"/>
      <c r="DEW37" s="1221"/>
      <c r="DEX37" s="1221"/>
      <c r="DEY37" s="1221"/>
      <c r="DEZ37" s="1221"/>
      <c r="DFA37" s="1221"/>
      <c r="DFB37" s="1221"/>
      <c r="DFC37" s="1221"/>
      <c r="DFD37" s="1221"/>
      <c r="DFE37" s="1221"/>
      <c r="DFF37" s="1221"/>
      <c r="DFG37" s="1221"/>
      <c r="DFH37" s="1221"/>
      <c r="DFI37" s="1221"/>
      <c r="DFJ37" s="1221"/>
      <c r="DFK37" s="1221"/>
      <c r="DFL37" s="1221"/>
      <c r="DFM37" s="1221"/>
      <c r="DFN37" s="1221"/>
      <c r="DFO37" s="1221"/>
      <c r="DFP37" s="1221"/>
      <c r="DFQ37" s="1221"/>
      <c r="DFR37" s="1221"/>
      <c r="DFS37" s="1221"/>
      <c r="DFT37" s="1221"/>
      <c r="DFU37" s="1221"/>
      <c r="DFV37" s="1221"/>
      <c r="DFW37" s="1221"/>
      <c r="DFX37" s="1221"/>
      <c r="DFY37" s="1221"/>
      <c r="DFZ37" s="1221"/>
      <c r="DGA37" s="1221"/>
      <c r="DGB37" s="1221"/>
      <c r="DGC37" s="1221"/>
      <c r="DGD37" s="1221"/>
      <c r="DGE37" s="1221"/>
      <c r="DGF37" s="1221"/>
      <c r="DGG37" s="1221"/>
      <c r="DGH37" s="1221"/>
      <c r="DGI37" s="1221"/>
      <c r="DGJ37" s="1221"/>
      <c r="DGK37" s="1221"/>
      <c r="DGL37" s="1221"/>
      <c r="DGM37" s="1221"/>
      <c r="DGN37" s="1221"/>
      <c r="DGO37" s="1221"/>
      <c r="DGP37" s="1221"/>
      <c r="DGQ37" s="1221"/>
      <c r="DGR37" s="1221"/>
      <c r="DGS37" s="1221"/>
      <c r="DGT37" s="1221"/>
      <c r="DGU37" s="1221"/>
      <c r="DGV37" s="1221"/>
      <c r="DGW37" s="1221"/>
      <c r="DGX37" s="1221"/>
      <c r="DGY37" s="1221"/>
      <c r="DGZ37" s="1221"/>
      <c r="DHA37" s="1221"/>
      <c r="DHB37" s="1221"/>
      <c r="DHC37" s="1221"/>
      <c r="DHD37" s="1221"/>
      <c r="DHE37" s="1221"/>
      <c r="DHF37" s="1221"/>
      <c r="DHG37" s="1221"/>
      <c r="DHH37" s="1221"/>
      <c r="DHI37" s="1221"/>
      <c r="DHJ37" s="1221"/>
      <c r="DHK37" s="1221"/>
      <c r="DHL37" s="1221"/>
      <c r="DHM37" s="1221"/>
      <c r="DHN37" s="1221"/>
      <c r="DHO37" s="1221"/>
      <c r="DHP37" s="1221"/>
      <c r="DHQ37" s="1221"/>
      <c r="DHR37" s="1221"/>
      <c r="DHS37" s="1221"/>
      <c r="DHT37" s="1221"/>
      <c r="DHU37" s="1221"/>
      <c r="DHV37" s="1221"/>
      <c r="DHW37" s="1221"/>
      <c r="DHX37" s="1221"/>
      <c r="DHY37" s="1221"/>
      <c r="DHZ37" s="1221"/>
      <c r="DIA37" s="1221"/>
      <c r="DIB37" s="1221"/>
      <c r="DIC37" s="1221"/>
      <c r="DID37" s="1221"/>
      <c r="DIE37" s="1221"/>
      <c r="DIF37" s="1221"/>
      <c r="DIG37" s="1221"/>
      <c r="DIH37" s="1221"/>
      <c r="DII37" s="1221"/>
      <c r="DIJ37" s="1221"/>
      <c r="DIK37" s="1221"/>
      <c r="DIL37" s="1221"/>
      <c r="DIM37" s="1221"/>
      <c r="DIN37" s="1221"/>
      <c r="DIO37" s="1221"/>
      <c r="DIP37" s="1221"/>
      <c r="DIQ37" s="1221"/>
      <c r="DIR37" s="1221"/>
      <c r="DIS37" s="1221"/>
      <c r="DIT37" s="1221"/>
      <c r="DIU37" s="1221"/>
      <c r="DIV37" s="1221"/>
      <c r="DIW37" s="1221"/>
      <c r="DIX37" s="1221"/>
      <c r="DIY37" s="1221"/>
      <c r="DIZ37" s="1221"/>
      <c r="DJA37" s="1221"/>
      <c r="DJB37" s="1221"/>
      <c r="DJC37" s="1221"/>
      <c r="DJD37" s="1221"/>
      <c r="DJE37" s="1221"/>
      <c r="DJF37" s="1221"/>
      <c r="DJG37" s="1221"/>
      <c r="DJH37" s="1221"/>
      <c r="DJI37" s="1221"/>
      <c r="DJJ37" s="1221"/>
      <c r="DJK37" s="1221"/>
      <c r="DJL37" s="1221"/>
      <c r="DJM37" s="1221"/>
      <c r="DJN37" s="1221"/>
      <c r="DJO37" s="1221"/>
      <c r="DJP37" s="1221"/>
      <c r="DJQ37" s="1221"/>
      <c r="DJR37" s="1221"/>
      <c r="DJS37" s="1221"/>
      <c r="DJT37" s="1221"/>
      <c r="DJU37" s="1221"/>
      <c r="DJV37" s="1221"/>
      <c r="DJW37" s="1221"/>
      <c r="DJX37" s="1221"/>
      <c r="DJY37" s="1221"/>
      <c r="DJZ37" s="1221"/>
      <c r="DKA37" s="1221"/>
      <c r="DKB37" s="1221"/>
      <c r="DKC37" s="1221"/>
      <c r="DKD37" s="1221"/>
      <c r="DKE37" s="1221"/>
      <c r="DKF37" s="1221"/>
      <c r="DKG37" s="1221"/>
      <c r="DKH37" s="1221"/>
      <c r="DKI37" s="1221"/>
      <c r="DKJ37" s="1221"/>
      <c r="DKK37" s="1221"/>
      <c r="DKL37" s="1221"/>
      <c r="DKM37" s="1221"/>
      <c r="DKN37" s="1221"/>
      <c r="DKO37" s="1221"/>
      <c r="DKP37" s="1221"/>
      <c r="DKQ37" s="1221"/>
      <c r="DKR37" s="1221"/>
      <c r="DKS37" s="1221"/>
      <c r="DKT37" s="1221"/>
      <c r="DKU37" s="1221"/>
      <c r="DKV37" s="1221"/>
      <c r="DKW37" s="1221"/>
      <c r="DKX37" s="1221"/>
      <c r="DKY37" s="1221"/>
      <c r="DKZ37" s="1221"/>
      <c r="DLA37" s="1221"/>
      <c r="DLB37" s="1221"/>
      <c r="DLC37" s="1221"/>
      <c r="DLD37" s="1221"/>
      <c r="DLE37" s="1221"/>
      <c r="DLF37" s="1221"/>
      <c r="DLG37" s="1221"/>
      <c r="DLH37" s="1221"/>
      <c r="DLI37" s="1221"/>
      <c r="DLJ37" s="1221"/>
      <c r="DLK37" s="1221"/>
      <c r="DLL37" s="1221"/>
      <c r="DLM37" s="1221"/>
      <c r="DLN37" s="1221"/>
      <c r="DLO37" s="1221"/>
      <c r="DLP37" s="1221"/>
      <c r="DLQ37" s="1221"/>
      <c r="DLR37" s="1221"/>
      <c r="DLS37" s="1221"/>
      <c r="DLT37" s="1221"/>
      <c r="DLU37" s="1221"/>
      <c r="DLV37" s="1221"/>
      <c r="DLW37" s="1221"/>
      <c r="DLX37" s="1221"/>
      <c r="DLY37" s="1221"/>
      <c r="DLZ37" s="1221"/>
      <c r="DMA37" s="1221"/>
      <c r="DMB37" s="1221"/>
      <c r="DMC37" s="1221"/>
      <c r="DMD37" s="1221"/>
      <c r="DME37" s="1221"/>
      <c r="DMF37" s="1221"/>
      <c r="DMG37" s="1221"/>
      <c r="DMH37" s="1221"/>
      <c r="DMI37" s="1221"/>
      <c r="DMJ37" s="1221"/>
      <c r="DMK37" s="1221"/>
      <c r="DML37" s="1221"/>
      <c r="DMM37" s="1221"/>
      <c r="DMN37" s="1221"/>
      <c r="DMO37" s="1221"/>
      <c r="DMP37" s="1221"/>
      <c r="DMQ37" s="1221"/>
      <c r="DMR37" s="1221"/>
      <c r="DMS37" s="1221"/>
      <c r="DMT37" s="1221"/>
      <c r="DMU37" s="1221"/>
      <c r="DMV37" s="1221"/>
      <c r="DMW37" s="1221"/>
      <c r="DMX37" s="1221"/>
      <c r="DMY37" s="1221"/>
      <c r="DMZ37" s="1221"/>
      <c r="DNA37" s="1221"/>
      <c r="DNB37" s="1221"/>
      <c r="DNC37" s="1221"/>
      <c r="DND37" s="1221"/>
      <c r="DNE37" s="1221"/>
      <c r="DNF37" s="1221"/>
      <c r="DNG37" s="1221"/>
      <c r="DNH37" s="1221"/>
      <c r="DNI37" s="1221"/>
      <c r="DNJ37" s="1221"/>
      <c r="DNK37" s="1221"/>
      <c r="DNL37" s="1221"/>
      <c r="DNM37" s="1221"/>
      <c r="DNN37" s="1221"/>
      <c r="DNO37" s="1221"/>
      <c r="DNP37" s="1221"/>
      <c r="DNQ37" s="1221"/>
      <c r="DNR37" s="1221"/>
      <c r="DNS37" s="1221"/>
      <c r="DNT37" s="1221"/>
      <c r="DNU37" s="1221"/>
      <c r="DNV37" s="1221"/>
      <c r="DNW37" s="1221"/>
      <c r="DNX37" s="1221"/>
      <c r="DNY37" s="1221"/>
      <c r="DNZ37" s="1221"/>
      <c r="DOA37" s="1221"/>
      <c r="DOB37" s="1221"/>
      <c r="DOC37" s="1221"/>
      <c r="DOD37" s="1221"/>
      <c r="DOE37" s="1221"/>
      <c r="DOF37" s="1221"/>
      <c r="DOG37" s="1221"/>
      <c r="DOH37" s="1221"/>
      <c r="DOI37" s="1221"/>
      <c r="DOJ37" s="1221"/>
      <c r="DOK37" s="1221"/>
      <c r="DOL37" s="1221"/>
      <c r="DOM37" s="1221"/>
      <c r="DON37" s="1221"/>
      <c r="DOO37" s="1221"/>
      <c r="DOP37" s="1221"/>
      <c r="DOQ37" s="1221"/>
      <c r="DOR37" s="1221"/>
      <c r="DOS37" s="1221"/>
      <c r="DOT37" s="1221"/>
      <c r="DOU37" s="1221"/>
      <c r="DOV37" s="1221"/>
      <c r="DOW37" s="1221"/>
      <c r="DOX37" s="1221"/>
      <c r="DOY37" s="1221"/>
      <c r="DOZ37" s="1221"/>
      <c r="DPA37" s="1221"/>
      <c r="DPB37" s="1221"/>
      <c r="DPC37" s="1221"/>
      <c r="DPD37" s="1221"/>
      <c r="DPE37" s="1221"/>
      <c r="DPF37" s="1221"/>
      <c r="DPG37" s="1221"/>
      <c r="DPH37" s="1221"/>
      <c r="DPI37" s="1221"/>
      <c r="DPJ37" s="1221"/>
      <c r="DPK37" s="1221"/>
      <c r="DPL37" s="1221"/>
      <c r="DPM37" s="1221"/>
      <c r="DPN37" s="1221"/>
      <c r="DPO37" s="1221"/>
      <c r="DPP37" s="1221"/>
      <c r="DPQ37" s="1221"/>
      <c r="DPR37" s="1221"/>
      <c r="DPS37" s="1221"/>
      <c r="DPT37" s="1221"/>
      <c r="DPU37" s="1221"/>
      <c r="DPV37" s="1221"/>
      <c r="DPW37" s="1221"/>
      <c r="DPX37" s="1221"/>
      <c r="DPY37" s="1221"/>
      <c r="DPZ37" s="1221"/>
      <c r="DQA37" s="1221"/>
      <c r="DQB37" s="1221"/>
      <c r="DQC37" s="1221"/>
      <c r="DQD37" s="1221"/>
      <c r="DQE37" s="1221"/>
      <c r="DQF37" s="1221"/>
      <c r="DQG37" s="1221"/>
      <c r="DQH37" s="1221"/>
      <c r="DQI37" s="1221"/>
      <c r="DQJ37" s="1221"/>
      <c r="DQK37" s="1221"/>
      <c r="DQL37" s="1221"/>
      <c r="DQM37" s="1221"/>
      <c r="DQN37" s="1221"/>
      <c r="DQO37" s="1221"/>
      <c r="DQP37" s="1221"/>
      <c r="DQQ37" s="1221"/>
      <c r="DQR37" s="1221"/>
      <c r="DQS37" s="1221"/>
      <c r="DQT37" s="1221"/>
      <c r="DQU37" s="1221"/>
      <c r="DQV37" s="1221"/>
      <c r="DQW37" s="1221"/>
      <c r="DQX37" s="1221"/>
      <c r="DQY37" s="1221"/>
      <c r="DQZ37" s="1221"/>
      <c r="DRA37" s="1221"/>
      <c r="DRB37" s="1221"/>
      <c r="DRC37" s="1221"/>
      <c r="DRD37" s="1221"/>
      <c r="DRE37" s="1221"/>
      <c r="DRF37" s="1221"/>
      <c r="DRG37" s="1221"/>
      <c r="DRH37" s="1221"/>
      <c r="DRI37" s="1221"/>
      <c r="DRJ37" s="1221"/>
      <c r="DRK37" s="1221"/>
      <c r="DRL37" s="1221"/>
      <c r="DRM37" s="1221"/>
      <c r="DRN37" s="1221"/>
      <c r="DRO37" s="1221"/>
      <c r="DRP37" s="1221"/>
      <c r="DRQ37" s="1221"/>
      <c r="DRR37" s="1221"/>
      <c r="DRS37" s="1221"/>
      <c r="DRT37" s="1221"/>
      <c r="DRU37" s="1221"/>
      <c r="DRV37" s="1221"/>
      <c r="DRW37" s="1221"/>
      <c r="DRX37" s="1221"/>
      <c r="DRY37" s="1221"/>
      <c r="DRZ37" s="1221"/>
      <c r="DSA37" s="1221"/>
      <c r="DSB37" s="1221"/>
      <c r="DSC37" s="1221"/>
      <c r="DSD37" s="1221"/>
      <c r="DSE37" s="1221"/>
      <c r="DSF37" s="1221"/>
      <c r="DSG37" s="1221"/>
      <c r="DSH37" s="1221"/>
      <c r="DSI37" s="1221"/>
      <c r="DSJ37" s="1221"/>
      <c r="DSK37" s="1221"/>
      <c r="DSL37" s="1221"/>
      <c r="DSM37" s="1221"/>
      <c r="DSN37" s="1221"/>
      <c r="DSO37" s="1221"/>
      <c r="DSP37" s="1221"/>
      <c r="DSQ37" s="1221"/>
      <c r="DSR37" s="1221"/>
      <c r="DSS37" s="1221"/>
      <c r="DST37" s="1221"/>
      <c r="DSU37" s="1221"/>
      <c r="DSV37" s="1221"/>
      <c r="DSW37" s="1221"/>
      <c r="DSX37" s="1221"/>
      <c r="DSY37" s="1221"/>
      <c r="DSZ37" s="1221"/>
      <c r="DTA37" s="1221"/>
      <c r="DTB37" s="1221"/>
      <c r="DTC37" s="1221"/>
      <c r="DTD37" s="1221"/>
      <c r="DTE37" s="1221"/>
      <c r="DTF37" s="1221"/>
      <c r="DTG37" s="1221"/>
      <c r="DTH37" s="1221"/>
      <c r="DTI37" s="1221"/>
      <c r="DTJ37" s="1221"/>
      <c r="DTK37" s="1221"/>
      <c r="DTL37" s="1221"/>
      <c r="DTM37" s="1221"/>
      <c r="DTN37" s="1221"/>
      <c r="DTO37" s="1221"/>
      <c r="DTP37" s="1221"/>
      <c r="DTQ37" s="1221"/>
      <c r="DTR37" s="1221"/>
      <c r="DTS37" s="1221"/>
      <c r="DTT37" s="1221"/>
      <c r="DTU37" s="1221"/>
      <c r="DTV37" s="1221"/>
      <c r="DTW37" s="1221"/>
      <c r="DTX37" s="1221"/>
      <c r="DTY37" s="1221"/>
      <c r="DTZ37" s="1221"/>
      <c r="DUA37" s="1221"/>
      <c r="DUB37" s="1221"/>
      <c r="DUC37" s="1221"/>
      <c r="DUD37" s="1221"/>
      <c r="DUE37" s="1221"/>
      <c r="DUF37" s="1221"/>
      <c r="DUG37" s="1221"/>
      <c r="DUH37" s="1221"/>
      <c r="DUI37" s="1221"/>
      <c r="DUJ37" s="1221"/>
      <c r="DUK37" s="1221"/>
      <c r="DUL37" s="1221"/>
      <c r="DUM37" s="1221"/>
      <c r="DUN37" s="1221"/>
      <c r="DUO37" s="1221"/>
      <c r="DUP37" s="1221"/>
      <c r="DUQ37" s="1221"/>
      <c r="DUR37" s="1221"/>
      <c r="DUS37" s="1221"/>
      <c r="DUT37" s="1221"/>
      <c r="DUU37" s="1221"/>
      <c r="DUV37" s="1221"/>
      <c r="DUW37" s="1221"/>
      <c r="DUX37" s="1221"/>
      <c r="DUY37" s="1221"/>
      <c r="DUZ37" s="1221"/>
      <c r="DVA37" s="1221"/>
      <c r="DVB37" s="1221"/>
      <c r="DVC37" s="1221"/>
      <c r="DVD37" s="1221"/>
      <c r="DVE37" s="1221"/>
      <c r="DVF37" s="1221"/>
      <c r="DVG37" s="1221"/>
      <c r="DVH37" s="1221"/>
      <c r="DVI37" s="1221"/>
      <c r="DVJ37" s="1221"/>
      <c r="DVK37" s="1221"/>
      <c r="DVL37" s="1221"/>
      <c r="DVM37" s="1221"/>
      <c r="DVN37" s="1221"/>
      <c r="DVO37" s="1221"/>
      <c r="DVP37" s="1221"/>
      <c r="DVQ37" s="1221"/>
      <c r="DVR37" s="1221"/>
      <c r="DVS37" s="1221"/>
      <c r="DVT37" s="1221"/>
      <c r="DVU37" s="1221"/>
      <c r="DVV37" s="1221"/>
      <c r="DVW37" s="1221"/>
      <c r="DVX37" s="1221"/>
      <c r="DVY37" s="1221"/>
      <c r="DVZ37" s="1221"/>
      <c r="DWA37" s="1221"/>
      <c r="DWB37" s="1221"/>
      <c r="DWC37" s="1221"/>
      <c r="DWD37" s="1221"/>
      <c r="DWE37" s="1221"/>
      <c r="DWF37" s="1221"/>
      <c r="DWG37" s="1221"/>
      <c r="DWH37" s="1221"/>
      <c r="DWI37" s="1221"/>
      <c r="DWJ37" s="1221"/>
      <c r="DWK37" s="1221"/>
      <c r="DWL37" s="1221"/>
      <c r="DWM37" s="1221"/>
      <c r="DWN37" s="1221"/>
      <c r="DWO37" s="1221"/>
      <c r="DWP37" s="1221"/>
      <c r="DWQ37" s="1221"/>
      <c r="DWR37" s="1221"/>
      <c r="DWS37" s="1221"/>
      <c r="DWT37" s="1221"/>
      <c r="DWU37" s="1221"/>
      <c r="DWV37" s="1221"/>
      <c r="DWW37" s="1221"/>
      <c r="DWX37" s="1221"/>
      <c r="DWY37" s="1221"/>
      <c r="DWZ37" s="1221"/>
      <c r="DXA37" s="1221"/>
      <c r="DXB37" s="1221"/>
      <c r="DXC37" s="1221"/>
      <c r="DXD37" s="1221"/>
      <c r="DXE37" s="1221"/>
      <c r="DXF37" s="1221"/>
      <c r="DXG37" s="1221"/>
      <c r="DXH37" s="1221"/>
      <c r="DXI37" s="1221"/>
      <c r="DXJ37" s="1221"/>
      <c r="DXK37" s="1221"/>
      <c r="DXL37" s="1221"/>
      <c r="DXM37" s="1221"/>
      <c r="DXN37" s="1221"/>
      <c r="DXO37" s="1221"/>
      <c r="DXP37" s="1221"/>
      <c r="DXQ37" s="1221"/>
      <c r="DXR37" s="1221"/>
      <c r="DXS37" s="1221"/>
      <c r="DXT37" s="1221"/>
      <c r="DXU37" s="1221"/>
      <c r="DXV37" s="1221"/>
      <c r="DXW37" s="1221"/>
      <c r="DXX37" s="1221"/>
      <c r="DXY37" s="1221"/>
      <c r="DXZ37" s="1221"/>
      <c r="DYA37" s="1221"/>
      <c r="DYB37" s="1221"/>
      <c r="DYC37" s="1221"/>
      <c r="DYD37" s="1221"/>
      <c r="DYE37" s="1221"/>
      <c r="DYF37" s="1221"/>
      <c r="DYG37" s="1221"/>
      <c r="DYH37" s="1221"/>
      <c r="DYI37" s="1221"/>
      <c r="DYJ37" s="1221"/>
      <c r="DYK37" s="1221"/>
      <c r="DYL37" s="1221"/>
      <c r="DYM37" s="1221"/>
      <c r="DYN37" s="1221"/>
      <c r="DYO37" s="1221"/>
      <c r="DYP37" s="1221"/>
      <c r="DYQ37" s="1221"/>
      <c r="DYR37" s="1221"/>
      <c r="DYS37" s="1221"/>
      <c r="DYT37" s="1221"/>
      <c r="DYU37" s="1221"/>
      <c r="DYV37" s="1221"/>
      <c r="DYW37" s="1221"/>
      <c r="DYX37" s="1221"/>
      <c r="DYY37" s="1221"/>
      <c r="DYZ37" s="1221"/>
      <c r="DZA37" s="1221"/>
      <c r="DZB37" s="1221"/>
      <c r="DZC37" s="1221"/>
      <c r="DZD37" s="1221"/>
      <c r="DZE37" s="1221"/>
      <c r="DZF37" s="1221"/>
      <c r="DZG37" s="1221"/>
      <c r="DZH37" s="1221"/>
      <c r="DZI37" s="1221"/>
      <c r="DZJ37" s="1221"/>
      <c r="DZK37" s="1221"/>
      <c r="DZL37" s="1221"/>
      <c r="DZM37" s="1221"/>
      <c r="DZN37" s="1221"/>
      <c r="DZO37" s="1221"/>
      <c r="DZP37" s="1221"/>
      <c r="DZQ37" s="1221"/>
      <c r="DZR37" s="1221"/>
      <c r="DZS37" s="1221"/>
      <c r="DZT37" s="1221"/>
      <c r="DZU37" s="1221"/>
      <c r="DZV37" s="1221"/>
      <c r="DZW37" s="1221"/>
      <c r="DZX37" s="1221"/>
      <c r="DZY37" s="1221"/>
      <c r="DZZ37" s="1221"/>
      <c r="EAA37" s="1221"/>
      <c r="EAB37" s="1221"/>
      <c r="EAC37" s="1221"/>
      <c r="EAD37" s="1221"/>
      <c r="EAE37" s="1221"/>
      <c r="EAF37" s="1221"/>
      <c r="EAG37" s="1221"/>
      <c r="EAH37" s="1221"/>
      <c r="EAI37" s="1221"/>
      <c r="EAJ37" s="1221"/>
      <c r="EAK37" s="1221"/>
      <c r="EAL37" s="1221"/>
      <c r="EAM37" s="1221"/>
      <c r="EAN37" s="1221"/>
      <c r="EAO37" s="1221"/>
      <c r="EAP37" s="1221"/>
      <c r="EAQ37" s="1221"/>
      <c r="EAR37" s="1221"/>
      <c r="EAS37" s="1221"/>
      <c r="EAT37" s="1221"/>
      <c r="EAU37" s="1221"/>
      <c r="EAV37" s="1221"/>
      <c r="EAW37" s="1221"/>
      <c r="EAX37" s="1221"/>
      <c r="EAY37" s="1221"/>
      <c r="EAZ37" s="1221"/>
      <c r="EBA37" s="1221"/>
      <c r="EBB37" s="1221"/>
      <c r="EBC37" s="1221"/>
      <c r="EBD37" s="1221"/>
      <c r="EBE37" s="1221"/>
      <c r="EBF37" s="1221"/>
      <c r="EBG37" s="1221"/>
      <c r="EBH37" s="1221"/>
      <c r="EBI37" s="1221"/>
      <c r="EBJ37" s="1221"/>
      <c r="EBK37" s="1221"/>
      <c r="EBL37" s="1221"/>
      <c r="EBM37" s="1221"/>
      <c r="EBN37" s="1221"/>
      <c r="EBO37" s="1221"/>
      <c r="EBP37" s="1221"/>
      <c r="EBQ37" s="1221"/>
      <c r="EBR37" s="1221"/>
      <c r="EBS37" s="1221"/>
      <c r="EBT37" s="1221"/>
      <c r="EBU37" s="1221"/>
      <c r="EBV37" s="1221"/>
      <c r="EBW37" s="1221"/>
      <c r="EBX37" s="1221"/>
      <c r="EBY37" s="1221"/>
      <c r="EBZ37" s="1221"/>
      <c r="ECA37" s="1221"/>
      <c r="ECB37" s="1221"/>
      <c r="ECC37" s="1221"/>
      <c r="ECD37" s="1221"/>
      <c r="ECE37" s="1221"/>
      <c r="ECF37" s="1221"/>
      <c r="ECG37" s="1221"/>
      <c r="ECH37" s="1221"/>
      <c r="ECI37" s="1221"/>
      <c r="ECJ37" s="1221"/>
      <c r="ECK37" s="1221"/>
      <c r="ECL37" s="1221"/>
      <c r="ECM37" s="1221"/>
      <c r="ECN37" s="1221"/>
      <c r="ECO37" s="1221"/>
    </row>
    <row r="38" spans="2:3473" s="1248" customFormat="1" ht="13" outlineLevel="1">
      <c r="B38" s="1249" t="s">
        <v>511</v>
      </c>
      <c r="C38" s="1250">
        <v>3</v>
      </c>
      <c r="D38" s="1251" t="s">
        <v>66</v>
      </c>
      <c r="E38" s="1252">
        <f t="shared" si="47"/>
        <v>0</v>
      </c>
      <c r="F38" s="1252">
        <f t="shared" si="47"/>
        <v>0</v>
      </c>
      <c r="G38" s="1252">
        <f t="shared" si="47"/>
        <v>0</v>
      </c>
      <c r="H38" s="1252">
        <f t="shared" si="47"/>
        <v>181.75728899498932</v>
      </c>
      <c r="I38" s="1252">
        <f t="shared" si="47"/>
        <v>170.70913405886589</v>
      </c>
      <c r="J38" s="1252">
        <f t="shared" si="47"/>
        <v>11.048154936123444</v>
      </c>
      <c r="K38" s="1252">
        <f t="shared" si="47"/>
        <v>0</v>
      </c>
      <c r="L38" s="1252">
        <f t="shared" si="47"/>
        <v>0</v>
      </c>
      <c r="M38" s="1252">
        <f t="shared" si="47"/>
        <v>0</v>
      </c>
      <c r="N38" s="1252" t="str">
        <f t="shared" si="47"/>
        <v/>
      </c>
      <c r="O38" s="1252" t="str">
        <f t="shared" si="47"/>
        <v/>
      </c>
      <c r="P38" s="1252" t="str">
        <f t="shared" si="47"/>
        <v/>
      </c>
      <c r="Q38" s="1252">
        <f t="shared" si="47"/>
        <v>181.75728899498932</v>
      </c>
      <c r="R38" s="1252">
        <f t="shared" si="47"/>
        <v>170.70913405886589</v>
      </c>
      <c r="S38" s="1252">
        <f t="shared" si="8"/>
        <v>11.048154936123442</v>
      </c>
      <c r="T38" s="1252">
        <f t="shared" si="5"/>
        <v>181.75728899498935</v>
      </c>
      <c r="U38" s="1252">
        <f t="shared" si="5"/>
        <v>170.70913405886589</v>
      </c>
      <c r="V38" s="1252">
        <f t="shared" si="9"/>
        <v>11.048154936123446</v>
      </c>
      <c r="W38" s="1252" t="str">
        <f t="shared" si="10"/>
        <v/>
      </c>
      <c r="X38" s="1252" t="str">
        <f t="shared" si="10"/>
        <v/>
      </c>
      <c r="Y38" s="1252" t="str">
        <f t="shared" si="10"/>
        <v/>
      </c>
      <c r="Z38" s="1252">
        <f t="shared" si="11"/>
        <v>136.80792700325284</v>
      </c>
      <c r="AA38" s="1252">
        <f t="shared" si="11"/>
        <v>128.49202846416605</v>
      </c>
      <c r="AB38" s="1252">
        <f t="shared" si="11"/>
        <v>8.3158985390867688</v>
      </c>
      <c r="AC38" s="1252">
        <f t="shared" si="15"/>
        <v>181.75728899498932</v>
      </c>
      <c r="AD38" s="1260">
        <f t="shared" si="15"/>
        <v>170.70913405886589</v>
      </c>
      <c r="AE38" s="1260">
        <f t="shared" si="15"/>
        <v>11.048154936123444</v>
      </c>
      <c r="AF38" s="1254"/>
      <c r="AG38" s="1255"/>
      <c r="AH38" s="1255"/>
      <c r="AI38" s="1256">
        <f t="shared" si="41"/>
        <v>784.71801072052187</v>
      </c>
      <c r="AJ38" s="1256">
        <f t="shared" si="64"/>
        <v>737.01876184007722</v>
      </c>
      <c r="AK38" s="1256">
        <f t="shared" si="65"/>
        <v>47.699248880444671</v>
      </c>
      <c r="AL38" s="1256"/>
      <c r="AM38" s="1256"/>
      <c r="AN38" s="1256"/>
      <c r="AO38" s="1256">
        <f t="shared" si="21"/>
        <v>0</v>
      </c>
      <c r="AP38" s="1256">
        <f t="shared" si="66"/>
        <v>0</v>
      </c>
      <c r="AQ38" s="1256">
        <f t="shared" si="67"/>
        <v>0</v>
      </c>
      <c r="AR38" s="1256">
        <f t="shared" si="60"/>
        <v>1075.5374886759316</v>
      </c>
      <c r="AS38" s="1256">
        <f t="shared" si="68"/>
        <v>1010.1607168270272</v>
      </c>
      <c r="AT38" s="1256">
        <f t="shared" si="69"/>
        <v>65.376771848904426</v>
      </c>
      <c r="AU38" s="1256">
        <f t="shared" si="61"/>
        <v>19.246824603546408</v>
      </c>
      <c r="AV38" s="1256">
        <f t="shared" si="70"/>
        <v>18.076902332895486</v>
      </c>
      <c r="AW38" s="1256">
        <f t="shared" si="71"/>
        <v>1.16992227065092</v>
      </c>
      <c r="AX38" s="1256"/>
      <c r="AY38" s="1256"/>
      <c r="AZ38" s="1256"/>
      <c r="BA38" s="1257">
        <f t="shared" si="62"/>
        <v>1879.502324</v>
      </c>
      <c r="BB38" s="1257">
        <f t="shared" si="63"/>
        <v>1765.2563809999999</v>
      </c>
      <c r="BC38" s="1257">
        <f t="shared" si="63"/>
        <v>114.24594300000001</v>
      </c>
      <c r="BD38" s="1256">
        <f t="shared" si="72"/>
        <v>0</v>
      </c>
      <c r="BE38" s="1256">
        <f t="shared" si="73"/>
        <v>0</v>
      </c>
      <c r="BF38" s="1256">
        <f t="shared" si="74"/>
        <v>0</v>
      </c>
      <c r="BG38" s="1256">
        <f t="shared" si="75"/>
        <v>0</v>
      </c>
      <c r="BH38" s="1257">
        <f t="shared" si="76"/>
        <v>0</v>
      </c>
      <c r="BI38" s="1257">
        <f t="shared" si="76"/>
        <v>0</v>
      </c>
      <c r="BJ38" s="1257">
        <f t="shared" si="77"/>
        <v>1879.5023240000003</v>
      </c>
      <c r="BK38" s="1256">
        <f>VLOOKUP($D38,'当期公摊测算表（全期）'!$D$9:$W$192,20,0)</f>
        <v>1765.2563810000001</v>
      </c>
      <c r="BL38" s="1256">
        <f>VLOOKUP($D38,'当期公摊测算表（全期）'!$D$9:$W$192,19,0)</f>
        <v>114.24594300000004</v>
      </c>
      <c r="BM38" s="1262" t="s">
        <v>20</v>
      </c>
      <c r="BN38" s="1225">
        <f t="shared" si="12"/>
        <v>0</v>
      </c>
      <c r="BO38" s="1225">
        <f t="shared" si="13"/>
        <v>0</v>
      </c>
      <c r="BP38" s="1225">
        <f t="shared" si="14"/>
        <v>0</v>
      </c>
      <c r="BQ38" s="1225"/>
      <c r="BR38" s="1221"/>
      <c r="BS38" s="1221"/>
      <c r="BT38" s="1221"/>
      <c r="BU38" s="1221"/>
      <c r="BV38" s="1221"/>
      <c r="BW38" s="1221"/>
      <c r="BX38" s="1221"/>
      <c r="BY38" s="1221"/>
      <c r="BZ38" s="1221"/>
      <c r="CA38" s="1221"/>
      <c r="CB38" s="1221"/>
      <c r="CC38" s="1221"/>
      <c r="CD38" s="1221"/>
      <c r="CE38" s="1221"/>
      <c r="CF38" s="1221"/>
      <c r="CG38" s="1221"/>
      <c r="CH38" s="1221"/>
      <c r="CI38" s="1221"/>
      <c r="CJ38" s="1221"/>
      <c r="CK38" s="1221"/>
      <c r="CL38" s="1221"/>
      <c r="CM38" s="1221"/>
      <c r="CN38" s="1221"/>
      <c r="CO38" s="1221"/>
      <c r="CP38" s="1221"/>
      <c r="CQ38" s="1221"/>
      <c r="CR38" s="1221"/>
      <c r="CS38" s="1221"/>
      <c r="CT38" s="1221"/>
      <c r="CU38" s="1221"/>
      <c r="CV38" s="1221"/>
      <c r="CW38" s="1221"/>
      <c r="CX38" s="1221"/>
      <c r="CY38" s="1221"/>
      <c r="CZ38" s="1221"/>
      <c r="DA38" s="1221"/>
      <c r="DB38" s="1221"/>
      <c r="DC38" s="1221"/>
      <c r="DD38" s="1221"/>
      <c r="DE38" s="1221"/>
      <c r="DF38" s="1221"/>
      <c r="DG38" s="1221"/>
      <c r="DH38" s="1221"/>
      <c r="DI38" s="1221"/>
      <c r="DJ38" s="1221"/>
      <c r="DK38" s="1221"/>
      <c r="DL38" s="1221"/>
      <c r="DM38" s="1221"/>
      <c r="DN38" s="1221"/>
      <c r="DO38" s="1221"/>
      <c r="DP38" s="1221"/>
      <c r="DQ38" s="1221"/>
      <c r="DR38" s="1221"/>
      <c r="DS38" s="1221"/>
      <c r="DT38" s="1221"/>
      <c r="DU38" s="1221"/>
      <c r="DV38" s="1221"/>
      <c r="DW38" s="1221"/>
      <c r="DX38" s="1221"/>
      <c r="DY38" s="1221"/>
      <c r="DZ38" s="1221"/>
      <c r="EA38" s="1221"/>
      <c r="EB38" s="1221"/>
      <c r="EC38" s="1221"/>
      <c r="ED38" s="1221"/>
      <c r="EE38" s="1221"/>
      <c r="EF38" s="1221"/>
      <c r="EG38" s="1221"/>
      <c r="EH38" s="1221"/>
      <c r="EI38" s="1221"/>
      <c r="EJ38" s="1221"/>
      <c r="EK38" s="1221"/>
      <c r="EL38" s="1221"/>
      <c r="EM38" s="1221"/>
      <c r="EN38" s="1221"/>
      <c r="EO38" s="1221"/>
      <c r="EP38" s="1221"/>
      <c r="EQ38" s="1221"/>
      <c r="ER38" s="1221"/>
      <c r="ES38" s="1221"/>
      <c r="ET38" s="1221"/>
      <c r="EU38" s="1221"/>
      <c r="EV38" s="1221"/>
      <c r="EW38" s="1221"/>
      <c r="EX38" s="1221"/>
      <c r="EY38" s="1221"/>
      <c r="EZ38" s="1221"/>
      <c r="FA38" s="1221"/>
      <c r="FB38" s="1221"/>
      <c r="FC38" s="1221"/>
      <c r="FD38" s="1221"/>
      <c r="FE38" s="1221"/>
      <c r="FF38" s="1221"/>
      <c r="FG38" s="1221"/>
      <c r="FH38" s="1221"/>
      <c r="FI38" s="1221"/>
      <c r="FJ38" s="1221"/>
      <c r="FK38" s="1221"/>
      <c r="FL38" s="1221"/>
      <c r="FM38" s="1221"/>
      <c r="FN38" s="1221"/>
      <c r="FO38" s="1221"/>
      <c r="FP38" s="1221"/>
      <c r="FQ38" s="1221"/>
      <c r="FR38" s="1221"/>
      <c r="FS38" s="1221"/>
      <c r="FT38" s="1221"/>
      <c r="FU38" s="1221"/>
      <c r="FV38" s="1221"/>
      <c r="FW38" s="1221"/>
      <c r="FX38" s="1221"/>
      <c r="FY38" s="1221"/>
      <c r="FZ38" s="1221"/>
      <c r="GA38" s="1221"/>
      <c r="GB38" s="1221"/>
      <c r="GC38" s="1221"/>
      <c r="GD38" s="1221"/>
      <c r="GE38" s="1221"/>
      <c r="GF38" s="1221"/>
      <c r="GG38" s="1221"/>
      <c r="GH38" s="1221"/>
      <c r="GI38" s="1221"/>
      <c r="GJ38" s="1221"/>
      <c r="GK38" s="1221"/>
      <c r="GL38" s="1221"/>
      <c r="GM38" s="1221"/>
      <c r="GN38" s="1221"/>
      <c r="GO38" s="1221"/>
      <c r="GP38" s="1221"/>
      <c r="GQ38" s="1221"/>
      <c r="GR38" s="1221"/>
      <c r="GS38" s="1221"/>
      <c r="GT38" s="1221"/>
      <c r="GU38" s="1221"/>
      <c r="GV38" s="1221"/>
      <c r="GW38" s="1221"/>
      <c r="GX38" s="1221"/>
      <c r="GY38" s="1221"/>
      <c r="GZ38" s="1221"/>
      <c r="HA38" s="1221"/>
      <c r="HB38" s="1221"/>
      <c r="HC38" s="1221"/>
      <c r="HD38" s="1221"/>
      <c r="HE38" s="1221"/>
      <c r="HF38" s="1221"/>
      <c r="HG38" s="1221"/>
      <c r="HH38" s="1221"/>
      <c r="HI38" s="1221"/>
      <c r="HJ38" s="1221"/>
      <c r="HK38" s="1221"/>
      <c r="HL38" s="1221"/>
      <c r="HM38" s="1221"/>
      <c r="HN38" s="1221"/>
      <c r="HO38" s="1221"/>
      <c r="HP38" s="1221"/>
      <c r="HQ38" s="1221"/>
      <c r="HR38" s="1221"/>
      <c r="HS38" s="1221"/>
      <c r="HT38" s="1221"/>
      <c r="HU38" s="1221"/>
      <c r="HV38" s="1221"/>
      <c r="HW38" s="1221"/>
      <c r="HX38" s="1221"/>
      <c r="HY38" s="1221"/>
      <c r="HZ38" s="1221"/>
      <c r="IA38" s="1221"/>
      <c r="IB38" s="1221"/>
      <c r="IC38" s="1221"/>
      <c r="ID38" s="1221"/>
      <c r="IE38" s="1221"/>
      <c r="IF38" s="1221"/>
      <c r="IG38" s="1221"/>
      <c r="IH38" s="1221"/>
      <c r="II38" s="1221"/>
      <c r="IJ38" s="1221"/>
      <c r="IK38" s="1221"/>
      <c r="IL38" s="1221"/>
      <c r="IM38" s="1221"/>
      <c r="IN38" s="1221"/>
      <c r="IO38" s="1221"/>
      <c r="IP38" s="1221"/>
      <c r="IQ38" s="1221"/>
      <c r="IR38" s="1221"/>
      <c r="IS38" s="1221"/>
      <c r="IT38" s="1221"/>
      <c r="IU38" s="1221"/>
      <c r="IV38" s="1221"/>
      <c r="IW38" s="1221"/>
      <c r="IX38" s="1221"/>
      <c r="IY38" s="1221"/>
      <c r="IZ38" s="1221"/>
      <c r="JA38" s="1221"/>
      <c r="JB38" s="1221"/>
      <c r="JC38" s="1221"/>
      <c r="JD38" s="1221"/>
      <c r="JE38" s="1221"/>
      <c r="JF38" s="1221"/>
      <c r="JG38" s="1221"/>
      <c r="JH38" s="1221"/>
      <c r="JI38" s="1221"/>
      <c r="JJ38" s="1221"/>
      <c r="JK38" s="1221"/>
      <c r="JL38" s="1221"/>
      <c r="JM38" s="1221"/>
      <c r="JN38" s="1221"/>
      <c r="JO38" s="1221"/>
      <c r="JP38" s="1221"/>
      <c r="JQ38" s="1221"/>
      <c r="JR38" s="1221"/>
      <c r="JS38" s="1221"/>
      <c r="JT38" s="1221"/>
      <c r="JU38" s="1221"/>
      <c r="JV38" s="1221"/>
      <c r="JW38" s="1221"/>
      <c r="JX38" s="1221"/>
      <c r="JY38" s="1221"/>
      <c r="JZ38" s="1221"/>
      <c r="KA38" s="1221"/>
      <c r="KB38" s="1221"/>
      <c r="KC38" s="1221"/>
      <c r="KD38" s="1221"/>
      <c r="KE38" s="1221"/>
      <c r="KF38" s="1221"/>
      <c r="KG38" s="1221"/>
      <c r="KH38" s="1221"/>
      <c r="KI38" s="1221"/>
      <c r="KJ38" s="1221"/>
      <c r="KK38" s="1221"/>
      <c r="KL38" s="1221"/>
      <c r="KM38" s="1221"/>
      <c r="KN38" s="1221"/>
      <c r="KO38" s="1221"/>
      <c r="KP38" s="1221"/>
      <c r="KQ38" s="1221"/>
      <c r="KR38" s="1221"/>
      <c r="KS38" s="1221"/>
      <c r="KT38" s="1221"/>
      <c r="KU38" s="1221"/>
      <c r="KV38" s="1221"/>
      <c r="KW38" s="1221"/>
      <c r="KX38" s="1221"/>
      <c r="KY38" s="1221"/>
      <c r="KZ38" s="1221"/>
      <c r="LA38" s="1221"/>
      <c r="LB38" s="1221"/>
      <c r="LC38" s="1221"/>
      <c r="LD38" s="1221"/>
      <c r="LE38" s="1221"/>
      <c r="LF38" s="1221"/>
      <c r="LG38" s="1221"/>
      <c r="LH38" s="1221"/>
      <c r="LI38" s="1221"/>
      <c r="LJ38" s="1221"/>
      <c r="LK38" s="1221"/>
      <c r="LL38" s="1221"/>
      <c r="LM38" s="1221"/>
      <c r="LN38" s="1221"/>
      <c r="LO38" s="1221"/>
      <c r="LP38" s="1221"/>
      <c r="LQ38" s="1221"/>
      <c r="LR38" s="1221"/>
      <c r="LS38" s="1221"/>
      <c r="LT38" s="1221"/>
      <c r="LU38" s="1221"/>
      <c r="LV38" s="1221"/>
      <c r="LW38" s="1221"/>
      <c r="LX38" s="1221"/>
      <c r="LY38" s="1221"/>
      <c r="LZ38" s="1221"/>
      <c r="MA38" s="1221"/>
      <c r="MB38" s="1221"/>
      <c r="MC38" s="1221"/>
      <c r="MD38" s="1221"/>
      <c r="ME38" s="1221"/>
      <c r="MF38" s="1221"/>
      <c r="MG38" s="1221"/>
      <c r="MH38" s="1221"/>
      <c r="MI38" s="1221"/>
      <c r="MJ38" s="1221"/>
      <c r="MK38" s="1221"/>
      <c r="ML38" s="1221"/>
      <c r="MM38" s="1221"/>
      <c r="MN38" s="1221"/>
      <c r="MO38" s="1221"/>
      <c r="MP38" s="1221"/>
      <c r="MQ38" s="1221"/>
      <c r="MR38" s="1221"/>
      <c r="MS38" s="1221"/>
      <c r="MT38" s="1221"/>
      <c r="MU38" s="1221"/>
      <c r="MV38" s="1221"/>
      <c r="MW38" s="1221"/>
      <c r="MX38" s="1221"/>
      <c r="MY38" s="1221"/>
      <c r="MZ38" s="1221"/>
      <c r="NA38" s="1221"/>
      <c r="NB38" s="1221"/>
      <c r="NC38" s="1221"/>
      <c r="ND38" s="1221"/>
      <c r="NE38" s="1221"/>
      <c r="NF38" s="1221"/>
      <c r="NG38" s="1221"/>
      <c r="NH38" s="1221"/>
      <c r="NI38" s="1221"/>
      <c r="NJ38" s="1221"/>
      <c r="NK38" s="1221"/>
      <c r="NL38" s="1221"/>
      <c r="NM38" s="1221"/>
      <c r="NN38" s="1221"/>
      <c r="NO38" s="1221"/>
      <c r="NP38" s="1221"/>
      <c r="NQ38" s="1221"/>
      <c r="NR38" s="1221"/>
      <c r="NS38" s="1221"/>
      <c r="NT38" s="1221"/>
      <c r="NU38" s="1221"/>
      <c r="NV38" s="1221"/>
      <c r="NW38" s="1221"/>
      <c r="NX38" s="1221"/>
      <c r="NY38" s="1221"/>
      <c r="NZ38" s="1221"/>
      <c r="OA38" s="1221"/>
      <c r="OB38" s="1221"/>
      <c r="OC38" s="1221"/>
      <c r="OD38" s="1221"/>
      <c r="OE38" s="1221"/>
      <c r="OF38" s="1221"/>
      <c r="OG38" s="1221"/>
      <c r="OH38" s="1221"/>
      <c r="OI38" s="1221"/>
      <c r="OJ38" s="1221"/>
      <c r="OK38" s="1221"/>
      <c r="OL38" s="1221"/>
      <c r="OM38" s="1221"/>
      <c r="ON38" s="1221"/>
      <c r="OO38" s="1221"/>
      <c r="OP38" s="1221"/>
      <c r="OQ38" s="1221"/>
      <c r="OR38" s="1221"/>
      <c r="OS38" s="1221"/>
      <c r="OT38" s="1221"/>
      <c r="OU38" s="1221"/>
      <c r="OV38" s="1221"/>
      <c r="OW38" s="1221"/>
      <c r="OX38" s="1221"/>
      <c r="OY38" s="1221"/>
      <c r="OZ38" s="1221"/>
      <c r="PA38" s="1221"/>
      <c r="PB38" s="1221"/>
      <c r="PC38" s="1221"/>
      <c r="PD38" s="1221"/>
      <c r="PE38" s="1221"/>
      <c r="PF38" s="1221"/>
      <c r="PG38" s="1221"/>
      <c r="PH38" s="1221"/>
      <c r="PI38" s="1221"/>
      <c r="PJ38" s="1221"/>
      <c r="PK38" s="1221"/>
      <c r="PL38" s="1221"/>
      <c r="PM38" s="1221"/>
      <c r="PN38" s="1221"/>
      <c r="PO38" s="1221"/>
      <c r="PP38" s="1221"/>
      <c r="PQ38" s="1221"/>
      <c r="PR38" s="1221"/>
      <c r="PS38" s="1221"/>
      <c r="PT38" s="1221"/>
      <c r="PU38" s="1221"/>
      <c r="PV38" s="1221"/>
      <c r="PW38" s="1221"/>
      <c r="PX38" s="1221"/>
      <c r="PY38" s="1221"/>
      <c r="PZ38" s="1221"/>
      <c r="QA38" s="1221"/>
      <c r="QB38" s="1221"/>
      <c r="QC38" s="1221"/>
      <c r="QD38" s="1221"/>
      <c r="QE38" s="1221"/>
      <c r="QF38" s="1221"/>
      <c r="QG38" s="1221"/>
      <c r="QH38" s="1221"/>
      <c r="QI38" s="1221"/>
      <c r="QJ38" s="1221"/>
      <c r="QK38" s="1221"/>
      <c r="QL38" s="1221"/>
      <c r="QM38" s="1221"/>
      <c r="QN38" s="1221"/>
      <c r="QO38" s="1221"/>
      <c r="QP38" s="1221"/>
      <c r="QQ38" s="1221"/>
      <c r="QR38" s="1221"/>
      <c r="QS38" s="1221"/>
      <c r="QT38" s="1221"/>
      <c r="QU38" s="1221"/>
      <c r="QV38" s="1221"/>
      <c r="QW38" s="1221"/>
      <c r="QX38" s="1221"/>
      <c r="QY38" s="1221"/>
      <c r="QZ38" s="1221"/>
      <c r="RA38" s="1221"/>
      <c r="RB38" s="1221"/>
      <c r="RC38" s="1221"/>
      <c r="RD38" s="1221"/>
      <c r="RE38" s="1221"/>
      <c r="RF38" s="1221"/>
      <c r="RG38" s="1221"/>
      <c r="RH38" s="1221"/>
      <c r="RI38" s="1221"/>
      <c r="RJ38" s="1221"/>
      <c r="RK38" s="1221"/>
      <c r="RL38" s="1221"/>
      <c r="RM38" s="1221"/>
      <c r="RN38" s="1221"/>
      <c r="RO38" s="1221"/>
      <c r="RP38" s="1221"/>
      <c r="RQ38" s="1221"/>
      <c r="RR38" s="1221"/>
      <c r="RS38" s="1221"/>
      <c r="RT38" s="1221"/>
      <c r="RU38" s="1221"/>
      <c r="RV38" s="1221"/>
      <c r="RW38" s="1221"/>
      <c r="RX38" s="1221"/>
      <c r="RY38" s="1221"/>
      <c r="RZ38" s="1221"/>
      <c r="SA38" s="1221"/>
      <c r="SB38" s="1221"/>
      <c r="SC38" s="1221"/>
      <c r="SD38" s="1221"/>
      <c r="SE38" s="1221"/>
      <c r="SF38" s="1221"/>
      <c r="SG38" s="1221"/>
      <c r="SH38" s="1221"/>
      <c r="SI38" s="1221"/>
      <c r="SJ38" s="1221"/>
      <c r="SK38" s="1221"/>
      <c r="SL38" s="1221"/>
      <c r="SM38" s="1221"/>
      <c r="SN38" s="1221"/>
      <c r="SO38" s="1221"/>
      <c r="SP38" s="1221"/>
      <c r="SQ38" s="1221"/>
      <c r="SR38" s="1221"/>
      <c r="SS38" s="1221"/>
      <c r="ST38" s="1221"/>
      <c r="SU38" s="1221"/>
      <c r="SV38" s="1221"/>
      <c r="SW38" s="1221"/>
      <c r="SX38" s="1221"/>
      <c r="SY38" s="1221"/>
      <c r="SZ38" s="1221"/>
      <c r="TA38" s="1221"/>
      <c r="TB38" s="1221"/>
      <c r="TC38" s="1221"/>
      <c r="TD38" s="1221"/>
      <c r="TE38" s="1221"/>
      <c r="TF38" s="1221"/>
      <c r="TG38" s="1221"/>
      <c r="TH38" s="1221"/>
      <c r="TI38" s="1221"/>
      <c r="TJ38" s="1221"/>
      <c r="TK38" s="1221"/>
      <c r="TL38" s="1221"/>
      <c r="TM38" s="1221"/>
      <c r="TN38" s="1221"/>
      <c r="TO38" s="1221"/>
      <c r="TP38" s="1221"/>
      <c r="TQ38" s="1221"/>
      <c r="TR38" s="1221"/>
      <c r="TS38" s="1221"/>
      <c r="TT38" s="1221"/>
      <c r="TU38" s="1221"/>
      <c r="TV38" s="1221"/>
      <c r="TW38" s="1221"/>
      <c r="TX38" s="1221"/>
      <c r="TY38" s="1221"/>
      <c r="TZ38" s="1221"/>
      <c r="UA38" s="1221"/>
      <c r="UB38" s="1221"/>
      <c r="UC38" s="1221"/>
      <c r="UD38" s="1221"/>
      <c r="UE38" s="1221"/>
      <c r="UF38" s="1221"/>
      <c r="UG38" s="1221"/>
      <c r="UH38" s="1221"/>
      <c r="UI38" s="1221"/>
      <c r="UJ38" s="1221"/>
      <c r="UK38" s="1221"/>
      <c r="UL38" s="1221"/>
      <c r="UM38" s="1221"/>
      <c r="UN38" s="1221"/>
      <c r="UO38" s="1221"/>
      <c r="UP38" s="1221"/>
      <c r="UQ38" s="1221"/>
      <c r="UR38" s="1221"/>
      <c r="US38" s="1221"/>
      <c r="UT38" s="1221"/>
      <c r="UU38" s="1221"/>
      <c r="UV38" s="1221"/>
      <c r="UW38" s="1221"/>
      <c r="UX38" s="1221"/>
      <c r="UY38" s="1221"/>
      <c r="UZ38" s="1221"/>
      <c r="VA38" s="1221"/>
      <c r="VB38" s="1221"/>
      <c r="VC38" s="1221"/>
      <c r="VD38" s="1221"/>
      <c r="VE38" s="1221"/>
      <c r="VF38" s="1221"/>
      <c r="VG38" s="1221"/>
      <c r="VH38" s="1221"/>
      <c r="VI38" s="1221"/>
      <c r="VJ38" s="1221"/>
      <c r="VK38" s="1221"/>
      <c r="VL38" s="1221"/>
      <c r="VM38" s="1221"/>
      <c r="VN38" s="1221"/>
      <c r="VO38" s="1221"/>
      <c r="VP38" s="1221"/>
      <c r="VQ38" s="1221"/>
      <c r="VR38" s="1221"/>
      <c r="VS38" s="1221"/>
      <c r="VT38" s="1221"/>
      <c r="VU38" s="1221"/>
      <c r="VV38" s="1221"/>
      <c r="VW38" s="1221"/>
      <c r="VX38" s="1221"/>
      <c r="VY38" s="1221"/>
      <c r="VZ38" s="1221"/>
      <c r="WA38" s="1221"/>
      <c r="WB38" s="1221"/>
      <c r="WC38" s="1221"/>
      <c r="WD38" s="1221"/>
      <c r="WE38" s="1221"/>
      <c r="WF38" s="1221"/>
      <c r="WG38" s="1221"/>
      <c r="WH38" s="1221"/>
      <c r="WI38" s="1221"/>
      <c r="WJ38" s="1221"/>
      <c r="WK38" s="1221"/>
      <c r="WL38" s="1221"/>
      <c r="WM38" s="1221"/>
      <c r="WN38" s="1221"/>
      <c r="WO38" s="1221"/>
      <c r="WP38" s="1221"/>
      <c r="WQ38" s="1221"/>
      <c r="WR38" s="1221"/>
      <c r="WS38" s="1221"/>
      <c r="WT38" s="1221"/>
      <c r="WU38" s="1221"/>
      <c r="WV38" s="1221"/>
      <c r="WW38" s="1221"/>
      <c r="WX38" s="1221"/>
      <c r="WY38" s="1221"/>
      <c r="WZ38" s="1221"/>
      <c r="XA38" s="1221"/>
      <c r="XB38" s="1221"/>
      <c r="XC38" s="1221"/>
      <c r="XD38" s="1221"/>
      <c r="XE38" s="1221"/>
      <c r="XF38" s="1221"/>
      <c r="XG38" s="1221"/>
      <c r="XH38" s="1221"/>
      <c r="XI38" s="1221"/>
      <c r="XJ38" s="1221"/>
      <c r="XK38" s="1221"/>
      <c r="XL38" s="1221"/>
      <c r="XM38" s="1221"/>
      <c r="XN38" s="1221"/>
      <c r="XO38" s="1221"/>
      <c r="XP38" s="1221"/>
      <c r="XQ38" s="1221"/>
      <c r="XR38" s="1221"/>
      <c r="XS38" s="1221"/>
      <c r="XT38" s="1221"/>
      <c r="XU38" s="1221"/>
      <c r="XV38" s="1221"/>
      <c r="XW38" s="1221"/>
      <c r="XX38" s="1221"/>
      <c r="XY38" s="1221"/>
      <c r="XZ38" s="1221"/>
      <c r="YA38" s="1221"/>
      <c r="YB38" s="1221"/>
      <c r="YC38" s="1221"/>
      <c r="YD38" s="1221"/>
      <c r="YE38" s="1221"/>
      <c r="YF38" s="1221"/>
      <c r="YG38" s="1221"/>
      <c r="YH38" s="1221"/>
      <c r="YI38" s="1221"/>
      <c r="YJ38" s="1221"/>
      <c r="YK38" s="1221"/>
      <c r="YL38" s="1221"/>
      <c r="YM38" s="1221"/>
      <c r="YN38" s="1221"/>
      <c r="YO38" s="1221"/>
      <c r="YP38" s="1221"/>
      <c r="YQ38" s="1221"/>
      <c r="YR38" s="1221"/>
      <c r="YS38" s="1221"/>
      <c r="YT38" s="1221"/>
      <c r="YU38" s="1221"/>
      <c r="YV38" s="1221"/>
      <c r="YW38" s="1221"/>
      <c r="YX38" s="1221"/>
      <c r="YY38" s="1221"/>
      <c r="YZ38" s="1221"/>
      <c r="ZA38" s="1221"/>
      <c r="ZB38" s="1221"/>
      <c r="ZC38" s="1221"/>
      <c r="ZD38" s="1221"/>
      <c r="ZE38" s="1221"/>
      <c r="ZF38" s="1221"/>
      <c r="ZG38" s="1221"/>
      <c r="ZH38" s="1221"/>
      <c r="ZI38" s="1221"/>
      <c r="ZJ38" s="1221"/>
      <c r="ZK38" s="1221"/>
      <c r="ZL38" s="1221"/>
      <c r="ZM38" s="1221"/>
      <c r="ZN38" s="1221"/>
      <c r="ZO38" s="1221"/>
      <c r="ZP38" s="1221"/>
      <c r="ZQ38" s="1221"/>
      <c r="ZR38" s="1221"/>
      <c r="ZS38" s="1221"/>
      <c r="ZT38" s="1221"/>
      <c r="ZU38" s="1221"/>
      <c r="ZV38" s="1221"/>
      <c r="ZW38" s="1221"/>
      <c r="ZX38" s="1221"/>
      <c r="ZY38" s="1221"/>
      <c r="ZZ38" s="1221"/>
      <c r="AAA38" s="1221"/>
      <c r="AAB38" s="1221"/>
      <c r="AAC38" s="1221"/>
      <c r="AAD38" s="1221"/>
      <c r="AAE38" s="1221"/>
      <c r="AAF38" s="1221"/>
      <c r="AAG38" s="1221"/>
      <c r="AAH38" s="1221"/>
      <c r="AAI38" s="1221"/>
      <c r="AAJ38" s="1221"/>
      <c r="AAK38" s="1221"/>
      <c r="AAL38" s="1221"/>
      <c r="AAM38" s="1221"/>
      <c r="AAN38" s="1221"/>
      <c r="AAO38" s="1221"/>
      <c r="AAP38" s="1221"/>
      <c r="AAQ38" s="1221"/>
      <c r="AAR38" s="1221"/>
      <c r="AAS38" s="1221"/>
      <c r="AAT38" s="1221"/>
      <c r="AAU38" s="1221"/>
      <c r="AAV38" s="1221"/>
      <c r="AAW38" s="1221"/>
      <c r="AAX38" s="1221"/>
      <c r="AAY38" s="1221"/>
      <c r="AAZ38" s="1221"/>
      <c r="ABA38" s="1221"/>
      <c r="ABB38" s="1221"/>
      <c r="ABC38" s="1221"/>
      <c r="ABD38" s="1221"/>
      <c r="ABE38" s="1221"/>
      <c r="ABF38" s="1221"/>
      <c r="ABG38" s="1221"/>
      <c r="ABH38" s="1221"/>
      <c r="ABI38" s="1221"/>
      <c r="ABJ38" s="1221"/>
      <c r="ABK38" s="1221"/>
      <c r="ABL38" s="1221"/>
      <c r="ABM38" s="1221"/>
      <c r="ABN38" s="1221"/>
      <c r="ABO38" s="1221"/>
      <c r="ABP38" s="1221"/>
      <c r="ABQ38" s="1221"/>
      <c r="ABR38" s="1221"/>
      <c r="ABS38" s="1221"/>
      <c r="ABT38" s="1221"/>
      <c r="ABU38" s="1221"/>
      <c r="ABV38" s="1221"/>
      <c r="ABW38" s="1221"/>
      <c r="ABX38" s="1221"/>
      <c r="ABY38" s="1221"/>
      <c r="ABZ38" s="1221"/>
      <c r="ACA38" s="1221"/>
      <c r="ACB38" s="1221"/>
      <c r="ACC38" s="1221"/>
      <c r="ACD38" s="1221"/>
      <c r="ACE38" s="1221"/>
      <c r="ACF38" s="1221"/>
      <c r="ACG38" s="1221"/>
      <c r="ACH38" s="1221"/>
      <c r="ACI38" s="1221"/>
      <c r="ACJ38" s="1221"/>
      <c r="ACK38" s="1221"/>
      <c r="ACL38" s="1221"/>
      <c r="ACM38" s="1221"/>
      <c r="ACN38" s="1221"/>
      <c r="ACO38" s="1221"/>
      <c r="ACP38" s="1221"/>
      <c r="ACQ38" s="1221"/>
      <c r="ACR38" s="1221"/>
      <c r="ACS38" s="1221"/>
      <c r="ACT38" s="1221"/>
      <c r="ACU38" s="1221"/>
      <c r="ACV38" s="1221"/>
      <c r="ACW38" s="1221"/>
      <c r="ACX38" s="1221"/>
      <c r="ACY38" s="1221"/>
      <c r="ACZ38" s="1221"/>
      <c r="ADA38" s="1221"/>
      <c r="ADB38" s="1221"/>
      <c r="ADC38" s="1221"/>
      <c r="ADD38" s="1221"/>
      <c r="ADE38" s="1221"/>
      <c r="ADF38" s="1221"/>
      <c r="ADG38" s="1221"/>
      <c r="ADH38" s="1221"/>
      <c r="ADI38" s="1221"/>
      <c r="ADJ38" s="1221"/>
      <c r="ADK38" s="1221"/>
      <c r="ADL38" s="1221"/>
      <c r="ADM38" s="1221"/>
      <c r="ADN38" s="1221"/>
      <c r="ADO38" s="1221"/>
      <c r="ADP38" s="1221"/>
      <c r="ADQ38" s="1221"/>
      <c r="ADR38" s="1221"/>
      <c r="ADS38" s="1221"/>
      <c r="ADT38" s="1221"/>
      <c r="ADU38" s="1221"/>
      <c r="ADV38" s="1221"/>
      <c r="ADW38" s="1221"/>
      <c r="ADX38" s="1221"/>
      <c r="ADY38" s="1221"/>
      <c r="ADZ38" s="1221"/>
      <c r="AEA38" s="1221"/>
      <c r="AEB38" s="1221"/>
      <c r="AEC38" s="1221"/>
      <c r="AED38" s="1221"/>
      <c r="AEE38" s="1221"/>
      <c r="AEF38" s="1221"/>
      <c r="AEG38" s="1221"/>
      <c r="AEH38" s="1221"/>
      <c r="AEI38" s="1221"/>
      <c r="AEJ38" s="1221"/>
      <c r="AEK38" s="1221"/>
      <c r="AEL38" s="1221"/>
      <c r="AEM38" s="1221"/>
      <c r="AEN38" s="1221"/>
      <c r="AEO38" s="1221"/>
      <c r="AEP38" s="1221"/>
      <c r="AEQ38" s="1221"/>
      <c r="AER38" s="1221"/>
      <c r="AES38" s="1221"/>
      <c r="AET38" s="1221"/>
      <c r="AEU38" s="1221"/>
      <c r="AEV38" s="1221"/>
      <c r="AEW38" s="1221"/>
      <c r="AEX38" s="1221"/>
      <c r="AEY38" s="1221"/>
      <c r="AEZ38" s="1221"/>
      <c r="AFA38" s="1221"/>
      <c r="AFB38" s="1221"/>
      <c r="AFC38" s="1221"/>
      <c r="AFD38" s="1221"/>
      <c r="AFE38" s="1221"/>
      <c r="AFF38" s="1221"/>
      <c r="AFG38" s="1221"/>
      <c r="AFH38" s="1221"/>
      <c r="AFI38" s="1221"/>
      <c r="AFJ38" s="1221"/>
      <c r="AFK38" s="1221"/>
      <c r="AFL38" s="1221"/>
      <c r="AFM38" s="1221"/>
      <c r="AFN38" s="1221"/>
      <c r="AFO38" s="1221"/>
      <c r="AFP38" s="1221"/>
      <c r="AFQ38" s="1221"/>
      <c r="AFR38" s="1221"/>
      <c r="AFS38" s="1221"/>
      <c r="AFT38" s="1221"/>
      <c r="AFU38" s="1221"/>
      <c r="AFV38" s="1221"/>
      <c r="AFW38" s="1221"/>
      <c r="AFX38" s="1221"/>
      <c r="AFY38" s="1221"/>
      <c r="AFZ38" s="1221"/>
      <c r="AGA38" s="1221"/>
      <c r="AGB38" s="1221"/>
      <c r="AGC38" s="1221"/>
      <c r="AGD38" s="1221"/>
      <c r="AGE38" s="1221"/>
      <c r="AGF38" s="1221"/>
      <c r="AGG38" s="1221"/>
      <c r="AGH38" s="1221"/>
      <c r="AGI38" s="1221"/>
      <c r="AGJ38" s="1221"/>
      <c r="AGK38" s="1221"/>
      <c r="AGL38" s="1221"/>
      <c r="AGM38" s="1221"/>
      <c r="AGN38" s="1221"/>
      <c r="AGO38" s="1221"/>
      <c r="AGP38" s="1221"/>
      <c r="AGQ38" s="1221"/>
      <c r="AGR38" s="1221"/>
      <c r="AGS38" s="1221"/>
      <c r="AGT38" s="1221"/>
      <c r="AGU38" s="1221"/>
      <c r="AGV38" s="1221"/>
      <c r="AGW38" s="1221"/>
      <c r="AGX38" s="1221"/>
      <c r="AGY38" s="1221"/>
      <c r="AGZ38" s="1221"/>
      <c r="AHA38" s="1221"/>
      <c r="AHB38" s="1221"/>
      <c r="AHC38" s="1221"/>
      <c r="AHD38" s="1221"/>
      <c r="AHE38" s="1221"/>
      <c r="AHF38" s="1221"/>
      <c r="AHG38" s="1221"/>
      <c r="AHH38" s="1221"/>
      <c r="AHI38" s="1221"/>
      <c r="AHJ38" s="1221"/>
      <c r="AHK38" s="1221"/>
      <c r="AHL38" s="1221"/>
      <c r="AHM38" s="1221"/>
      <c r="AHN38" s="1221"/>
      <c r="AHO38" s="1221"/>
      <c r="AHP38" s="1221"/>
      <c r="AHQ38" s="1221"/>
      <c r="AHR38" s="1221"/>
      <c r="AHS38" s="1221"/>
      <c r="AHT38" s="1221"/>
      <c r="AHU38" s="1221"/>
      <c r="AHV38" s="1221"/>
      <c r="AHW38" s="1221"/>
      <c r="AHX38" s="1221"/>
      <c r="AHY38" s="1221"/>
      <c r="AHZ38" s="1221"/>
      <c r="AIA38" s="1221"/>
      <c r="AIB38" s="1221"/>
      <c r="AIC38" s="1221"/>
      <c r="AID38" s="1221"/>
      <c r="AIE38" s="1221"/>
      <c r="AIF38" s="1221"/>
      <c r="AIG38" s="1221"/>
      <c r="AIH38" s="1221"/>
      <c r="AII38" s="1221"/>
      <c r="AIJ38" s="1221"/>
      <c r="AIK38" s="1221"/>
      <c r="AIL38" s="1221"/>
      <c r="AIM38" s="1221"/>
      <c r="AIN38" s="1221"/>
      <c r="AIO38" s="1221"/>
      <c r="AIP38" s="1221"/>
      <c r="AIQ38" s="1221"/>
      <c r="AIR38" s="1221"/>
      <c r="AIS38" s="1221"/>
      <c r="AIT38" s="1221"/>
      <c r="AIU38" s="1221"/>
      <c r="AIV38" s="1221"/>
      <c r="AIW38" s="1221"/>
      <c r="AIX38" s="1221"/>
      <c r="AIY38" s="1221"/>
      <c r="AIZ38" s="1221"/>
      <c r="AJA38" s="1221"/>
      <c r="AJB38" s="1221"/>
      <c r="AJC38" s="1221"/>
      <c r="AJD38" s="1221"/>
      <c r="AJE38" s="1221"/>
      <c r="AJF38" s="1221"/>
      <c r="AJG38" s="1221"/>
      <c r="AJH38" s="1221"/>
      <c r="AJI38" s="1221"/>
      <c r="AJJ38" s="1221"/>
      <c r="AJK38" s="1221"/>
      <c r="AJL38" s="1221"/>
      <c r="AJM38" s="1221"/>
      <c r="AJN38" s="1221"/>
      <c r="AJO38" s="1221"/>
      <c r="AJP38" s="1221"/>
      <c r="AJQ38" s="1221"/>
      <c r="AJR38" s="1221"/>
      <c r="AJS38" s="1221"/>
      <c r="AJT38" s="1221"/>
      <c r="AJU38" s="1221"/>
      <c r="AJV38" s="1221"/>
      <c r="AJW38" s="1221"/>
      <c r="AJX38" s="1221"/>
      <c r="AJY38" s="1221"/>
      <c r="AJZ38" s="1221"/>
      <c r="AKA38" s="1221"/>
      <c r="AKB38" s="1221"/>
      <c r="AKC38" s="1221"/>
      <c r="AKD38" s="1221"/>
      <c r="AKE38" s="1221"/>
      <c r="AKF38" s="1221"/>
      <c r="AKG38" s="1221"/>
      <c r="AKH38" s="1221"/>
      <c r="AKI38" s="1221"/>
      <c r="AKJ38" s="1221"/>
      <c r="AKK38" s="1221"/>
      <c r="AKL38" s="1221"/>
      <c r="AKM38" s="1221"/>
      <c r="AKN38" s="1221"/>
      <c r="AKO38" s="1221"/>
      <c r="AKP38" s="1221"/>
      <c r="AKQ38" s="1221"/>
      <c r="AKR38" s="1221"/>
      <c r="AKS38" s="1221"/>
      <c r="AKT38" s="1221"/>
      <c r="AKU38" s="1221"/>
      <c r="AKV38" s="1221"/>
      <c r="AKW38" s="1221"/>
      <c r="AKX38" s="1221"/>
      <c r="AKY38" s="1221"/>
      <c r="AKZ38" s="1221"/>
      <c r="ALA38" s="1221"/>
      <c r="ALB38" s="1221"/>
      <c r="ALC38" s="1221"/>
      <c r="ALD38" s="1221"/>
      <c r="ALE38" s="1221"/>
      <c r="ALF38" s="1221"/>
      <c r="ALG38" s="1221"/>
      <c r="ALH38" s="1221"/>
      <c r="ALI38" s="1221"/>
      <c r="ALJ38" s="1221"/>
      <c r="ALK38" s="1221"/>
      <c r="ALL38" s="1221"/>
      <c r="ALM38" s="1221"/>
      <c r="ALN38" s="1221"/>
      <c r="ALO38" s="1221"/>
      <c r="ALP38" s="1221"/>
      <c r="ALQ38" s="1221"/>
      <c r="ALR38" s="1221"/>
      <c r="ALS38" s="1221"/>
      <c r="ALT38" s="1221"/>
      <c r="ALU38" s="1221"/>
      <c r="ALV38" s="1221"/>
      <c r="ALW38" s="1221"/>
      <c r="ALX38" s="1221"/>
      <c r="ALY38" s="1221"/>
      <c r="ALZ38" s="1221"/>
      <c r="AMA38" s="1221"/>
      <c r="AMB38" s="1221"/>
      <c r="AMC38" s="1221"/>
      <c r="AMD38" s="1221"/>
      <c r="AME38" s="1221"/>
      <c r="AMF38" s="1221"/>
      <c r="AMG38" s="1221"/>
      <c r="AMH38" s="1221"/>
      <c r="AMI38" s="1221"/>
      <c r="AMJ38" s="1221"/>
      <c r="AMK38" s="1221"/>
      <c r="AML38" s="1221"/>
      <c r="AMM38" s="1221"/>
      <c r="AMN38" s="1221"/>
      <c r="AMO38" s="1221"/>
      <c r="AMP38" s="1221"/>
      <c r="AMQ38" s="1221"/>
      <c r="AMR38" s="1221"/>
      <c r="AMS38" s="1221"/>
      <c r="AMT38" s="1221"/>
      <c r="AMU38" s="1221"/>
      <c r="AMV38" s="1221"/>
      <c r="AMW38" s="1221"/>
      <c r="AMX38" s="1221"/>
      <c r="AMY38" s="1221"/>
      <c r="AMZ38" s="1221"/>
      <c r="ANA38" s="1221"/>
      <c r="ANB38" s="1221"/>
      <c r="ANC38" s="1221"/>
      <c r="AND38" s="1221"/>
      <c r="ANE38" s="1221"/>
      <c r="ANF38" s="1221"/>
      <c r="ANG38" s="1221"/>
      <c r="ANH38" s="1221"/>
      <c r="ANI38" s="1221"/>
      <c r="ANJ38" s="1221"/>
      <c r="ANK38" s="1221"/>
      <c r="ANL38" s="1221"/>
      <c r="ANM38" s="1221"/>
      <c r="ANN38" s="1221"/>
      <c r="ANO38" s="1221"/>
      <c r="ANP38" s="1221"/>
      <c r="ANQ38" s="1221"/>
      <c r="ANR38" s="1221"/>
      <c r="ANS38" s="1221"/>
      <c r="ANT38" s="1221"/>
      <c r="ANU38" s="1221"/>
      <c r="ANV38" s="1221"/>
      <c r="ANW38" s="1221"/>
      <c r="ANX38" s="1221"/>
      <c r="ANY38" s="1221"/>
      <c r="ANZ38" s="1221"/>
      <c r="AOA38" s="1221"/>
      <c r="AOB38" s="1221"/>
      <c r="AOC38" s="1221"/>
      <c r="AOD38" s="1221"/>
      <c r="AOE38" s="1221"/>
      <c r="AOF38" s="1221"/>
      <c r="AOG38" s="1221"/>
      <c r="AOH38" s="1221"/>
      <c r="AOI38" s="1221"/>
      <c r="AOJ38" s="1221"/>
      <c r="AOK38" s="1221"/>
      <c r="AOL38" s="1221"/>
      <c r="AOM38" s="1221"/>
      <c r="AON38" s="1221"/>
      <c r="AOO38" s="1221"/>
      <c r="AOP38" s="1221"/>
      <c r="AOQ38" s="1221"/>
      <c r="AOR38" s="1221"/>
      <c r="AOS38" s="1221"/>
      <c r="AOT38" s="1221"/>
      <c r="AOU38" s="1221"/>
      <c r="AOV38" s="1221"/>
      <c r="AOW38" s="1221"/>
      <c r="AOX38" s="1221"/>
      <c r="AOY38" s="1221"/>
      <c r="AOZ38" s="1221"/>
      <c r="APA38" s="1221"/>
      <c r="APB38" s="1221"/>
      <c r="APC38" s="1221"/>
      <c r="APD38" s="1221"/>
      <c r="APE38" s="1221"/>
      <c r="APF38" s="1221"/>
      <c r="APG38" s="1221"/>
      <c r="APH38" s="1221"/>
      <c r="API38" s="1221"/>
      <c r="APJ38" s="1221"/>
      <c r="APK38" s="1221"/>
      <c r="APL38" s="1221"/>
      <c r="APM38" s="1221"/>
      <c r="APN38" s="1221"/>
      <c r="APO38" s="1221"/>
      <c r="APP38" s="1221"/>
      <c r="APQ38" s="1221"/>
      <c r="APR38" s="1221"/>
      <c r="APS38" s="1221"/>
      <c r="APT38" s="1221"/>
      <c r="APU38" s="1221"/>
      <c r="APV38" s="1221"/>
      <c r="APW38" s="1221"/>
      <c r="APX38" s="1221"/>
      <c r="APY38" s="1221"/>
      <c r="APZ38" s="1221"/>
      <c r="AQA38" s="1221"/>
      <c r="AQB38" s="1221"/>
      <c r="AQC38" s="1221"/>
      <c r="AQD38" s="1221"/>
      <c r="AQE38" s="1221"/>
      <c r="AQF38" s="1221"/>
      <c r="AQG38" s="1221"/>
      <c r="AQH38" s="1221"/>
      <c r="AQI38" s="1221"/>
      <c r="AQJ38" s="1221"/>
      <c r="AQK38" s="1221"/>
      <c r="AQL38" s="1221"/>
      <c r="AQM38" s="1221"/>
      <c r="AQN38" s="1221"/>
      <c r="AQO38" s="1221"/>
      <c r="AQP38" s="1221"/>
      <c r="AQQ38" s="1221"/>
      <c r="AQR38" s="1221"/>
      <c r="AQS38" s="1221"/>
      <c r="AQT38" s="1221"/>
      <c r="AQU38" s="1221"/>
      <c r="AQV38" s="1221"/>
      <c r="AQW38" s="1221"/>
      <c r="AQX38" s="1221"/>
      <c r="AQY38" s="1221"/>
      <c r="AQZ38" s="1221"/>
      <c r="ARA38" s="1221"/>
      <c r="ARB38" s="1221"/>
      <c r="ARC38" s="1221"/>
      <c r="ARD38" s="1221"/>
      <c r="ARE38" s="1221"/>
      <c r="ARF38" s="1221"/>
      <c r="ARG38" s="1221"/>
      <c r="ARH38" s="1221"/>
      <c r="ARI38" s="1221"/>
      <c r="ARJ38" s="1221"/>
      <c r="ARK38" s="1221"/>
      <c r="ARL38" s="1221"/>
      <c r="ARM38" s="1221"/>
      <c r="ARN38" s="1221"/>
      <c r="ARO38" s="1221"/>
      <c r="ARP38" s="1221"/>
      <c r="ARQ38" s="1221"/>
      <c r="ARR38" s="1221"/>
      <c r="ARS38" s="1221"/>
      <c r="ART38" s="1221"/>
      <c r="ARU38" s="1221"/>
      <c r="ARV38" s="1221"/>
      <c r="ARW38" s="1221"/>
      <c r="ARX38" s="1221"/>
      <c r="ARY38" s="1221"/>
      <c r="ARZ38" s="1221"/>
      <c r="ASA38" s="1221"/>
      <c r="ASB38" s="1221"/>
      <c r="ASC38" s="1221"/>
      <c r="ASD38" s="1221"/>
      <c r="ASE38" s="1221"/>
      <c r="ASF38" s="1221"/>
      <c r="ASG38" s="1221"/>
      <c r="ASH38" s="1221"/>
      <c r="ASI38" s="1221"/>
      <c r="ASJ38" s="1221"/>
      <c r="ASK38" s="1221"/>
      <c r="ASL38" s="1221"/>
      <c r="ASM38" s="1221"/>
      <c r="ASN38" s="1221"/>
      <c r="ASO38" s="1221"/>
      <c r="ASP38" s="1221"/>
      <c r="ASQ38" s="1221"/>
      <c r="ASR38" s="1221"/>
      <c r="ASS38" s="1221"/>
      <c r="AST38" s="1221"/>
      <c r="ASU38" s="1221"/>
      <c r="ASV38" s="1221"/>
      <c r="ASW38" s="1221"/>
      <c r="ASX38" s="1221"/>
      <c r="ASY38" s="1221"/>
      <c r="ASZ38" s="1221"/>
      <c r="ATA38" s="1221"/>
      <c r="ATB38" s="1221"/>
      <c r="ATC38" s="1221"/>
      <c r="ATD38" s="1221"/>
      <c r="ATE38" s="1221"/>
      <c r="ATF38" s="1221"/>
      <c r="ATG38" s="1221"/>
      <c r="ATH38" s="1221"/>
      <c r="ATI38" s="1221"/>
      <c r="ATJ38" s="1221"/>
      <c r="ATK38" s="1221"/>
      <c r="ATL38" s="1221"/>
      <c r="ATM38" s="1221"/>
      <c r="ATN38" s="1221"/>
      <c r="ATO38" s="1221"/>
      <c r="ATP38" s="1221"/>
      <c r="ATQ38" s="1221"/>
      <c r="ATR38" s="1221"/>
      <c r="ATS38" s="1221"/>
      <c r="ATT38" s="1221"/>
      <c r="ATU38" s="1221"/>
      <c r="ATV38" s="1221"/>
      <c r="ATW38" s="1221"/>
      <c r="ATX38" s="1221"/>
      <c r="ATY38" s="1221"/>
      <c r="ATZ38" s="1221"/>
      <c r="AUA38" s="1221"/>
      <c r="AUB38" s="1221"/>
      <c r="AUC38" s="1221"/>
      <c r="AUD38" s="1221"/>
      <c r="AUE38" s="1221"/>
      <c r="AUF38" s="1221"/>
      <c r="AUG38" s="1221"/>
      <c r="AUH38" s="1221"/>
      <c r="AUI38" s="1221"/>
      <c r="AUJ38" s="1221"/>
      <c r="AUK38" s="1221"/>
      <c r="AUL38" s="1221"/>
      <c r="AUM38" s="1221"/>
      <c r="AUN38" s="1221"/>
      <c r="AUO38" s="1221"/>
      <c r="AUP38" s="1221"/>
      <c r="AUQ38" s="1221"/>
      <c r="AUR38" s="1221"/>
      <c r="AUS38" s="1221"/>
      <c r="AUT38" s="1221"/>
      <c r="AUU38" s="1221"/>
      <c r="AUV38" s="1221"/>
      <c r="AUW38" s="1221"/>
      <c r="AUX38" s="1221"/>
      <c r="AUY38" s="1221"/>
      <c r="AUZ38" s="1221"/>
      <c r="AVA38" s="1221"/>
      <c r="AVB38" s="1221"/>
      <c r="AVC38" s="1221"/>
      <c r="AVD38" s="1221"/>
      <c r="AVE38" s="1221"/>
      <c r="AVF38" s="1221"/>
      <c r="AVG38" s="1221"/>
      <c r="AVH38" s="1221"/>
      <c r="AVI38" s="1221"/>
      <c r="AVJ38" s="1221"/>
      <c r="AVK38" s="1221"/>
      <c r="AVL38" s="1221"/>
      <c r="AVM38" s="1221"/>
      <c r="AVN38" s="1221"/>
      <c r="AVO38" s="1221"/>
      <c r="AVP38" s="1221"/>
      <c r="AVQ38" s="1221"/>
      <c r="AVR38" s="1221"/>
      <c r="AVS38" s="1221"/>
      <c r="AVT38" s="1221"/>
      <c r="AVU38" s="1221"/>
      <c r="AVV38" s="1221"/>
      <c r="AVW38" s="1221"/>
      <c r="AVX38" s="1221"/>
      <c r="AVY38" s="1221"/>
      <c r="AVZ38" s="1221"/>
      <c r="AWA38" s="1221"/>
      <c r="AWB38" s="1221"/>
      <c r="AWC38" s="1221"/>
      <c r="AWD38" s="1221"/>
      <c r="AWE38" s="1221"/>
      <c r="AWF38" s="1221"/>
      <c r="AWG38" s="1221"/>
      <c r="AWH38" s="1221"/>
      <c r="AWI38" s="1221"/>
      <c r="AWJ38" s="1221"/>
      <c r="AWK38" s="1221"/>
      <c r="AWL38" s="1221"/>
      <c r="AWM38" s="1221"/>
      <c r="AWN38" s="1221"/>
      <c r="AWO38" s="1221"/>
      <c r="AWP38" s="1221"/>
      <c r="AWQ38" s="1221"/>
      <c r="AWR38" s="1221"/>
      <c r="AWS38" s="1221"/>
      <c r="AWT38" s="1221"/>
      <c r="AWU38" s="1221"/>
      <c r="AWV38" s="1221"/>
      <c r="AWW38" s="1221"/>
      <c r="AWX38" s="1221"/>
      <c r="AWY38" s="1221"/>
      <c r="AWZ38" s="1221"/>
      <c r="AXA38" s="1221"/>
      <c r="AXB38" s="1221"/>
      <c r="AXC38" s="1221"/>
      <c r="AXD38" s="1221"/>
      <c r="AXE38" s="1221"/>
      <c r="AXF38" s="1221"/>
      <c r="AXG38" s="1221"/>
      <c r="AXH38" s="1221"/>
      <c r="AXI38" s="1221"/>
      <c r="AXJ38" s="1221"/>
      <c r="AXK38" s="1221"/>
      <c r="AXL38" s="1221"/>
      <c r="AXM38" s="1221"/>
      <c r="AXN38" s="1221"/>
      <c r="AXO38" s="1221"/>
      <c r="AXP38" s="1221"/>
      <c r="AXQ38" s="1221"/>
      <c r="AXR38" s="1221"/>
      <c r="AXS38" s="1221"/>
      <c r="AXT38" s="1221"/>
      <c r="AXU38" s="1221"/>
      <c r="AXV38" s="1221"/>
      <c r="AXW38" s="1221"/>
      <c r="AXX38" s="1221"/>
      <c r="AXY38" s="1221"/>
      <c r="AXZ38" s="1221"/>
      <c r="AYA38" s="1221"/>
      <c r="AYB38" s="1221"/>
      <c r="AYC38" s="1221"/>
      <c r="AYD38" s="1221"/>
      <c r="AYE38" s="1221"/>
      <c r="AYF38" s="1221"/>
      <c r="AYG38" s="1221"/>
      <c r="AYH38" s="1221"/>
      <c r="AYI38" s="1221"/>
      <c r="AYJ38" s="1221"/>
      <c r="AYK38" s="1221"/>
      <c r="AYL38" s="1221"/>
      <c r="AYM38" s="1221"/>
      <c r="AYN38" s="1221"/>
      <c r="AYO38" s="1221"/>
      <c r="AYP38" s="1221"/>
      <c r="AYQ38" s="1221"/>
      <c r="AYR38" s="1221"/>
      <c r="AYS38" s="1221"/>
      <c r="AYT38" s="1221"/>
      <c r="AYU38" s="1221"/>
      <c r="AYV38" s="1221"/>
      <c r="AYW38" s="1221"/>
      <c r="AYX38" s="1221"/>
      <c r="AYY38" s="1221"/>
      <c r="AYZ38" s="1221"/>
      <c r="AZA38" s="1221"/>
      <c r="AZB38" s="1221"/>
      <c r="AZC38" s="1221"/>
      <c r="AZD38" s="1221"/>
      <c r="AZE38" s="1221"/>
      <c r="AZF38" s="1221"/>
      <c r="AZG38" s="1221"/>
      <c r="AZH38" s="1221"/>
      <c r="AZI38" s="1221"/>
      <c r="AZJ38" s="1221"/>
      <c r="AZK38" s="1221"/>
      <c r="AZL38" s="1221"/>
      <c r="AZM38" s="1221"/>
      <c r="AZN38" s="1221"/>
      <c r="AZO38" s="1221"/>
      <c r="AZP38" s="1221"/>
      <c r="AZQ38" s="1221"/>
      <c r="AZR38" s="1221"/>
      <c r="AZS38" s="1221"/>
      <c r="AZT38" s="1221"/>
      <c r="AZU38" s="1221"/>
      <c r="AZV38" s="1221"/>
      <c r="AZW38" s="1221"/>
      <c r="AZX38" s="1221"/>
      <c r="AZY38" s="1221"/>
      <c r="AZZ38" s="1221"/>
      <c r="BAA38" s="1221"/>
      <c r="BAB38" s="1221"/>
      <c r="BAC38" s="1221"/>
      <c r="BAD38" s="1221"/>
      <c r="BAE38" s="1221"/>
      <c r="BAF38" s="1221"/>
      <c r="BAG38" s="1221"/>
      <c r="BAH38" s="1221"/>
      <c r="BAI38" s="1221"/>
      <c r="BAJ38" s="1221"/>
      <c r="BAK38" s="1221"/>
      <c r="BAL38" s="1221"/>
      <c r="BAM38" s="1221"/>
      <c r="BAN38" s="1221"/>
      <c r="BAO38" s="1221"/>
      <c r="BAP38" s="1221"/>
      <c r="BAQ38" s="1221"/>
      <c r="BAR38" s="1221"/>
      <c r="BAS38" s="1221"/>
      <c r="BAT38" s="1221"/>
      <c r="BAU38" s="1221"/>
      <c r="BAV38" s="1221"/>
      <c r="BAW38" s="1221"/>
      <c r="BAX38" s="1221"/>
      <c r="BAY38" s="1221"/>
      <c r="BAZ38" s="1221"/>
      <c r="BBA38" s="1221"/>
      <c r="BBB38" s="1221"/>
      <c r="BBC38" s="1221"/>
      <c r="BBD38" s="1221"/>
      <c r="BBE38" s="1221"/>
      <c r="BBF38" s="1221"/>
      <c r="BBG38" s="1221"/>
      <c r="BBH38" s="1221"/>
      <c r="BBI38" s="1221"/>
      <c r="BBJ38" s="1221"/>
      <c r="BBK38" s="1221"/>
      <c r="BBL38" s="1221"/>
      <c r="BBM38" s="1221"/>
      <c r="BBN38" s="1221"/>
      <c r="BBO38" s="1221"/>
      <c r="BBP38" s="1221"/>
      <c r="BBQ38" s="1221"/>
      <c r="BBR38" s="1221"/>
      <c r="BBS38" s="1221"/>
      <c r="BBT38" s="1221"/>
      <c r="BBU38" s="1221"/>
      <c r="BBV38" s="1221"/>
      <c r="BBW38" s="1221"/>
      <c r="BBX38" s="1221"/>
      <c r="BBY38" s="1221"/>
      <c r="BBZ38" s="1221"/>
      <c r="BCA38" s="1221"/>
      <c r="BCB38" s="1221"/>
      <c r="BCC38" s="1221"/>
      <c r="BCD38" s="1221"/>
      <c r="BCE38" s="1221"/>
      <c r="BCF38" s="1221"/>
      <c r="BCG38" s="1221"/>
      <c r="BCH38" s="1221"/>
      <c r="BCI38" s="1221"/>
      <c r="BCJ38" s="1221"/>
      <c r="BCK38" s="1221"/>
      <c r="BCL38" s="1221"/>
      <c r="BCM38" s="1221"/>
      <c r="BCN38" s="1221"/>
      <c r="BCO38" s="1221"/>
      <c r="BCP38" s="1221"/>
      <c r="BCQ38" s="1221"/>
      <c r="BCR38" s="1221"/>
      <c r="BCS38" s="1221"/>
      <c r="BCT38" s="1221"/>
      <c r="BCU38" s="1221"/>
      <c r="BCV38" s="1221"/>
      <c r="BCW38" s="1221"/>
      <c r="BCX38" s="1221"/>
      <c r="BCY38" s="1221"/>
      <c r="BCZ38" s="1221"/>
      <c r="BDA38" s="1221"/>
      <c r="BDB38" s="1221"/>
      <c r="BDC38" s="1221"/>
      <c r="BDD38" s="1221"/>
      <c r="BDE38" s="1221"/>
      <c r="BDF38" s="1221"/>
      <c r="BDG38" s="1221"/>
      <c r="BDH38" s="1221"/>
      <c r="BDI38" s="1221"/>
      <c r="BDJ38" s="1221"/>
      <c r="BDK38" s="1221"/>
      <c r="BDL38" s="1221"/>
      <c r="BDM38" s="1221"/>
      <c r="BDN38" s="1221"/>
      <c r="BDO38" s="1221"/>
      <c r="BDP38" s="1221"/>
      <c r="BDQ38" s="1221"/>
      <c r="BDR38" s="1221"/>
      <c r="BDS38" s="1221"/>
      <c r="BDT38" s="1221"/>
      <c r="BDU38" s="1221"/>
      <c r="BDV38" s="1221"/>
      <c r="BDW38" s="1221"/>
      <c r="BDX38" s="1221"/>
      <c r="BDY38" s="1221"/>
      <c r="BDZ38" s="1221"/>
      <c r="BEA38" s="1221"/>
      <c r="BEB38" s="1221"/>
      <c r="BEC38" s="1221"/>
      <c r="BED38" s="1221"/>
      <c r="BEE38" s="1221"/>
      <c r="BEF38" s="1221"/>
      <c r="BEG38" s="1221"/>
      <c r="BEH38" s="1221"/>
      <c r="BEI38" s="1221"/>
      <c r="BEJ38" s="1221"/>
      <c r="BEK38" s="1221"/>
      <c r="BEL38" s="1221"/>
      <c r="BEM38" s="1221"/>
      <c r="BEN38" s="1221"/>
      <c r="BEO38" s="1221"/>
      <c r="BEP38" s="1221"/>
      <c r="BEQ38" s="1221"/>
      <c r="BER38" s="1221"/>
      <c r="BES38" s="1221"/>
      <c r="BET38" s="1221"/>
      <c r="BEU38" s="1221"/>
      <c r="BEV38" s="1221"/>
      <c r="BEW38" s="1221"/>
      <c r="BEX38" s="1221"/>
      <c r="BEY38" s="1221"/>
      <c r="BEZ38" s="1221"/>
      <c r="BFA38" s="1221"/>
      <c r="BFB38" s="1221"/>
      <c r="BFC38" s="1221"/>
      <c r="BFD38" s="1221"/>
      <c r="BFE38" s="1221"/>
      <c r="BFF38" s="1221"/>
      <c r="BFG38" s="1221"/>
      <c r="BFH38" s="1221"/>
      <c r="BFI38" s="1221"/>
      <c r="BFJ38" s="1221"/>
      <c r="BFK38" s="1221"/>
      <c r="BFL38" s="1221"/>
      <c r="BFM38" s="1221"/>
      <c r="BFN38" s="1221"/>
      <c r="BFO38" s="1221"/>
      <c r="BFP38" s="1221"/>
      <c r="BFQ38" s="1221"/>
      <c r="BFR38" s="1221"/>
      <c r="BFS38" s="1221"/>
      <c r="BFT38" s="1221"/>
      <c r="BFU38" s="1221"/>
      <c r="BFV38" s="1221"/>
      <c r="BFW38" s="1221"/>
      <c r="BFX38" s="1221"/>
      <c r="BFY38" s="1221"/>
      <c r="BFZ38" s="1221"/>
      <c r="BGA38" s="1221"/>
      <c r="BGB38" s="1221"/>
      <c r="BGC38" s="1221"/>
      <c r="BGD38" s="1221"/>
      <c r="BGE38" s="1221"/>
      <c r="BGF38" s="1221"/>
      <c r="BGG38" s="1221"/>
      <c r="BGH38" s="1221"/>
      <c r="BGI38" s="1221"/>
      <c r="BGJ38" s="1221"/>
      <c r="BGK38" s="1221"/>
      <c r="BGL38" s="1221"/>
      <c r="BGM38" s="1221"/>
      <c r="BGN38" s="1221"/>
      <c r="BGO38" s="1221"/>
      <c r="BGP38" s="1221"/>
      <c r="BGQ38" s="1221"/>
      <c r="BGR38" s="1221"/>
      <c r="BGS38" s="1221"/>
      <c r="BGT38" s="1221"/>
      <c r="BGU38" s="1221"/>
      <c r="BGV38" s="1221"/>
      <c r="BGW38" s="1221"/>
      <c r="BGX38" s="1221"/>
      <c r="BGY38" s="1221"/>
      <c r="BGZ38" s="1221"/>
      <c r="BHA38" s="1221"/>
      <c r="BHB38" s="1221"/>
      <c r="BHC38" s="1221"/>
      <c r="BHD38" s="1221"/>
      <c r="BHE38" s="1221"/>
      <c r="BHF38" s="1221"/>
      <c r="BHG38" s="1221"/>
      <c r="BHH38" s="1221"/>
      <c r="BHI38" s="1221"/>
      <c r="BHJ38" s="1221"/>
      <c r="BHK38" s="1221"/>
      <c r="BHL38" s="1221"/>
      <c r="BHM38" s="1221"/>
      <c r="BHN38" s="1221"/>
      <c r="BHO38" s="1221"/>
      <c r="BHP38" s="1221"/>
      <c r="BHQ38" s="1221"/>
      <c r="BHR38" s="1221"/>
      <c r="BHS38" s="1221"/>
      <c r="BHT38" s="1221"/>
      <c r="BHU38" s="1221"/>
      <c r="BHV38" s="1221"/>
      <c r="BHW38" s="1221"/>
      <c r="BHX38" s="1221"/>
      <c r="BHY38" s="1221"/>
      <c r="BHZ38" s="1221"/>
      <c r="BIA38" s="1221"/>
      <c r="BIB38" s="1221"/>
      <c r="BIC38" s="1221"/>
      <c r="BID38" s="1221"/>
      <c r="BIE38" s="1221"/>
      <c r="BIF38" s="1221"/>
      <c r="BIG38" s="1221"/>
      <c r="BIH38" s="1221"/>
      <c r="BII38" s="1221"/>
      <c r="BIJ38" s="1221"/>
      <c r="BIK38" s="1221"/>
      <c r="BIL38" s="1221"/>
      <c r="BIM38" s="1221"/>
      <c r="BIN38" s="1221"/>
      <c r="BIO38" s="1221"/>
      <c r="BIP38" s="1221"/>
      <c r="BIQ38" s="1221"/>
      <c r="BIR38" s="1221"/>
      <c r="BIS38" s="1221"/>
      <c r="BIT38" s="1221"/>
      <c r="BIU38" s="1221"/>
      <c r="BIV38" s="1221"/>
      <c r="BIW38" s="1221"/>
      <c r="BIX38" s="1221"/>
      <c r="BIY38" s="1221"/>
      <c r="BIZ38" s="1221"/>
      <c r="BJA38" s="1221"/>
      <c r="BJB38" s="1221"/>
      <c r="BJC38" s="1221"/>
      <c r="BJD38" s="1221"/>
      <c r="BJE38" s="1221"/>
      <c r="BJF38" s="1221"/>
      <c r="BJG38" s="1221"/>
      <c r="BJH38" s="1221"/>
      <c r="BJI38" s="1221"/>
      <c r="BJJ38" s="1221"/>
      <c r="BJK38" s="1221"/>
      <c r="BJL38" s="1221"/>
      <c r="BJM38" s="1221"/>
      <c r="BJN38" s="1221"/>
      <c r="BJO38" s="1221"/>
      <c r="BJP38" s="1221"/>
      <c r="BJQ38" s="1221"/>
      <c r="BJR38" s="1221"/>
      <c r="BJS38" s="1221"/>
      <c r="BJT38" s="1221"/>
      <c r="BJU38" s="1221"/>
      <c r="BJV38" s="1221"/>
      <c r="BJW38" s="1221"/>
      <c r="BJX38" s="1221"/>
      <c r="BJY38" s="1221"/>
      <c r="BJZ38" s="1221"/>
      <c r="BKA38" s="1221"/>
      <c r="BKB38" s="1221"/>
      <c r="BKC38" s="1221"/>
      <c r="BKD38" s="1221"/>
      <c r="BKE38" s="1221"/>
      <c r="BKF38" s="1221"/>
      <c r="BKG38" s="1221"/>
      <c r="BKH38" s="1221"/>
      <c r="BKI38" s="1221"/>
      <c r="BKJ38" s="1221"/>
      <c r="BKK38" s="1221"/>
      <c r="BKL38" s="1221"/>
      <c r="BKM38" s="1221"/>
      <c r="BKN38" s="1221"/>
      <c r="BKO38" s="1221"/>
      <c r="BKP38" s="1221"/>
      <c r="BKQ38" s="1221"/>
      <c r="BKR38" s="1221"/>
      <c r="BKS38" s="1221"/>
      <c r="BKT38" s="1221"/>
      <c r="BKU38" s="1221"/>
      <c r="BKV38" s="1221"/>
      <c r="BKW38" s="1221"/>
      <c r="BKX38" s="1221"/>
      <c r="BKY38" s="1221"/>
      <c r="BKZ38" s="1221"/>
      <c r="BLA38" s="1221"/>
      <c r="BLB38" s="1221"/>
      <c r="BLC38" s="1221"/>
      <c r="BLD38" s="1221"/>
      <c r="BLE38" s="1221"/>
      <c r="BLF38" s="1221"/>
      <c r="BLG38" s="1221"/>
      <c r="BLH38" s="1221"/>
      <c r="BLI38" s="1221"/>
      <c r="BLJ38" s="1221"/>
      <c r="BLK38" s="1221"/>
      <c r="BLL38" s="1221"/>
      <c r="BLM38" s="1221"/>
      <c r="BLN38" s="1221"/>
      <c r="BLO38" s="1221"/>
      <c r="BLP38" s="1221"/>
      <c r="BLQ38" s="1221"/>
      <c r="BLR38" s="1221"/>
      <c r="BLS38" s="1221"/>
      <c r="BLT38" s="1221"/>
      <c r="BLU38" s="1221"/>
      <c r="BLV38" s="1221"/>
      <c r="BLW38" s="1221"/>
      <c r="BLX38" s="1221"/>
      <c r="BLY38" s="1221"/>
      <c r="BLZ38" s="1221"/>
      <c r="BMA38" s="1221"/>
      <c r="BMB38" s="1221"/>
      <c r="BMC38" s="1221"/>
      <c r="BMD38" s="1221"/>
      <c r="BME38" s="1221"/>
      <c r="BMF38" s="1221"/>
      <c r="BMG38" s="1221"/>
      <c r="BMH38" s="1221"/>
      <c r="BMI38" s="1221"/>
      <c r="BMJ38" s="1221"/>
      <c r="BMK38" s="1221"/>
      <c r="BML38" s="1221"/>
      <c r="BMM38" s="1221"/>
      <c r="BMN38" s="1221"/>
      <c r="BMO38" s="1221"/>
      <c r="BMP38" s="1221"/>
      <c r="BMQ38" s="1221"/>
      <c r="BMR38" s="1221"/>
      <c r="BMS38" s="1221"/>
      <c r="BMT38" s="1221"/>
      <c r="BMU38" s="1221"/>
      <c r="BMV38" s="1221"/>
      <c r="BMW38" s="1221"/>
      <c r="BMX38" s="1221"/>
      <c r="BMY38" s="1221"/>
      <c r="BMZ38" s="1221"/>
      <c r="BNA38" s="1221"/>
      <c r="BNB38" s="1221"/>
      <c r="BNC38" s="1221"/>
      <c r="BND38" s="1221"/>
      <c r="BNE38" s="1221"/>
      <c r="BNF38" s="1221"/>
      <c r="BNG38" s="1221"/>
      <c r="BNH38" s="1221"/>
      <c r="BNI38" s="1221"/>
      <c r="BNJ38" s="1221"/>
      <c r="BNK38" s="1221"/>
      <c r="BNL38" s="1221"/>
      <c r="BNM38" s="1221"/>
      <c r="BNN38" s="1221"/>
      <c r="BNO38" s="1221"/>
      <c r="BNP38" s="1221"/>
      <c r="BNQ38" s="1221"/>
      <c r="BNR38" s="1221"/>
      <c r="BNS38" s="1221"/>
      <c r="BNT38" s="1221"/>
      <c r="BNU38" s="1221"/>
      <c r="BNV38" s="1221"/>
      <c r="BNW38" s="1221"/>
      <c r="BNX38" s="1221"/>
      <c r="BNY38" s="1221"/>
      <c r="BNZ38" s="1221"/>
      <c r="BOA38" s="1221"/>
      <c r="BOB38" s="1221"/>
      <c r="BOC38" s="1221"/>
      <c r="BOD38" s="1221"/>
      <c r="BOE38" s="1221"/>
      <c r="BOF38" s="1221"/>
      <c r="BOG38" s="1221"/>
      <c r="BOH38" s="1221"/>
      <c r="BOI38" s="1221"/>
      <c r="BOJ38" s="1221"/>
      <c r="BOK38" s="1221"/>
      <c r="BOL38" s="1221"/>
      <c r="BOM38" s="1221"/>
      <c r="BON38" s="1221"/>
      <c r="BOO38" s="1221"/>
      <c r="BOP38" s="1221"/>
      <c r="BOQ38" s="1221"/>
      <c r="BOR38" s="1221"/>
      <c r="BOS38" s="1221"/>
      <c r="BOT38" s="1221"/>
      <c r="BOU38" s="1221"/>
      <c r="BOV38" s="1221"/>
      <c r="BOW38" s="1221"/>
      <c r="BOX38" s="1221"/>
      <c r="BOY38" s="1221"/>
      <c r="BOZ38" s="1221"/>
      <c r="BPA38" s="1221"/>
      <c r="BPB38" s="1221"/>
      <c r="BPC38" s="1221"/>
      <c r="BPD38" s="1221"/>
      <c r="BPE38" s="1221"/>
      <c r="BPF38" s="1221"/>
      <c r="BPG38" s="1221"/>
      <c r="BPH38" s="1221"/>
      <c r="BPI38" s="1221"/>
      <c r="BPJ38" s="1221"/>
      <c r="BPK38" s="1221"/>
      <c r="BPL38" s="1221"/>
      <c r="BPM38" s="1221"/>
      <c r="BPN38" s="1221"/>
      <c r="BPO38" s="1221"/>
      <c r="BPP38" s="1221"/>
      <c r="BPQ38" s="1221"/>
      <c r="BPR38" s="1221"/>
      <c r="BPS38" s="1221"/>
      <c r="BPT38" s="1221"/>
      <c r="BPU38" s="1221"/>
      <c r="BPV38" s="1221"/>
      <c r="BPW38" s="1221"/>
      <c r="BPX38" s="1221"/>
      <c r="BPY38" s="1221"/>
      <c r="BPZ38" s="1221"/>
      <c r="BQA38" s="1221"/>
      <c r="BQB38" s="1221"/>
      <c r="BQC38" s="1221"/>
      <c r="BQD38" s="1221"/>
      <c r="BQE38" s="1221"/>
      <c r="BQF38" s="1221"/>
      <c r="BQG38" s="1221"/>
      <c r="BQH38" s="1221"/>
      <c r="BQI38" s="1221"/>
      <c r="BQJ38" s="1221"/>
      <c r="BQK38" s="1221"/>
      <c r="BQL38" s="1221"/>
      <c r="BQM38" s="1221"/>
      <c r="BQN38" s="1221"/>
      <c r="BQO38" s="1221"/>
      <c r="BQP38" s="1221"/>
      <c r="BQQ38" s="1221"/>
      <c r="BQR38" s="1221"/>
      <c r="BQS38" s="1221"/>
      <c r="BQT38" s="1221"/>
      <c r="BQU38" s="1221"/>
      <c r="BQV38" s="1221"/>
      <c r="BQW38" s="1221"/>
      <c r="BQX38" s="1221"/>
      <c r="BQY38" s="1221"/>
      <c r="BQZ38" s="1221"/>
      <c r="BRA38" s="1221"/>
      <c r="BRB38" s="1221"/>
      <c r="BRC38" s="1221"/>
      <c r="BRD38" s="1221"/>
      <c r="BRE38" s="1221"/>
      <c r="BRF38" s="1221"/>
      <c r="BRG38" s="1221"/>
      <c r="BRH38" s="1221"/>
      <c r="BRI38" s="1221"/>
      <c r="BRJ38" s="1221"/>
      <c r="BRK38" s="1221"/>
      <c r="BRL38" s="1221"/>
      <c r="BRM38" s="1221"/>
      <c r="BRN38" s="1221"/>
      <c r="BRO38" s="1221"/>
      <c r="BRP38" s="1221"/>
      <c r="BRQ38" s="1221"/>
      <c r="BRR38" s="1221"/>
      <c r="BRS38" s="1221"/>
      <c r="BRT38" s="1221"/>
      <c r="BRU38" s="1221"/>
      <c r="BRV38" s="1221"/>
      <c r="BRW38" s="1221"/>
      <c r="BRX38" s="1221"/>
      <c r="BRY38" s="1221"/>
      <c r="BRZ38" s="1221"/>
      <c r="BSA38" s="1221"/>
      <c r="BSB38" s="1221"/>
      <c r="BSC38" s="1221"/>
      <c r="BSD38" s="1221"/>
      <c r="BSE38" s="1221"/>
      <c r="BSF38" s="1221"/>
      <c r="BSG38" s="1221"/>
      <c r="BSH38" s="1221"/>
      <c r="BSI38" s="1221"/>
      <c r="BSJ38" s="1221"/>
      <c r="BSK38" s="1221"/>
      <c r="BSL38" s="1221"/>
      <c r="BSM38" s="1221"/>
      <c r="BSN38" s="1221"/>
      <c r="BSO38" s="1221"/>
      <c r="BSP38" s="1221"/>
      <c r="BSQ38" s="1221"/>
      <c r="BSR38" s="1221"/>
      <c r="BSS38" s="1221"/>
      <c r="BST38" s="1221"/>
      <c r="BSU38" s="1221"/>
      <c r="BSV38" s="1221"/>
      <c r="BSW38" s="1221"/>
      <c r="BSX38" s="1221"/>
      <c r="BSY38" s="1221"/>
      <c r="BSZ38" s="1221"/>
      <c r="BTA38" s="1221"/>
      <c r="BTB38" s="1221"/>
      <c r="BTC38" s="1221"/>
      <c r="BTD38" s="1221"/>
      <c r="BTE38" s="1221"/>
      <c r="BTF38" s="1221"/>
      <c r="BTG38" s="1221"/>
      <c r="BTH38" s="1221"/>
      <c r="BTI38" s="1221"/>
      <c r="BTJ38" s="1221"/>
      <c r="BTK38" s="1221"/>
      <c r="BTL38" s="1221"/>
      <c r="BTM38" s="1221"/>
      <c r="BTN38" s="1221"/>
      <c r="BTO38" s="1221"/>
      <c r="BTP38" s="1221"/>
      <c r="BTQ38" s="1221"/>
      <c r="BTR38" s="1221"/>
      <c r="BTS38" s="1221"/>
      <c r="BTT38" s="1221"/>
      <c r="BTU38" s="1221"/>
      <c r="BTV38" s="1221"/>
      <c r="BTW38" s="1221"/>
      <c r="BTX38" s="1221"/>
      <c r="BTY38" s="1221"/>
      <c r="BTZ38" s="1221"/>
      <c r="BUA38" s="1221"/>
      <c r="BUB38" s="1221"/>
      <c r="BUC38" s="1221"/>
      <c r="BUD38" s="1221"/>
      <c r="BUE38" s="1221"/>
      <c r="BUF38" s="1221"/>
      <c r="BUG38" s="1221"/>
      <c r="BUH38" s="1221"/>
      <c r="BUI38" s="1221"/>
      <c r="BUJ38" s="1221"/>
      <c r="BUK38" s="1221"/>
      <c r="BUL38" s="1221"/>
      <c r="BUM38" s="1221"/>
      <c r="BUN38" s="1221"/>
      <c r="BUO38" s="1221"/>
      <c r="BUP38" s="1221"/>
      <c r="BUQ38" s="1221"/>
      <c r="BUR38" s="1221"/>
      <c r="BUS38" s="1221"/>
      <c r="BUT38" s="1221"/>
      <c r="BUU38" s="1221"/>
      <c r="BUV38" s="1221"/>
      <c r="BUW38" s="1221"/>
      <c r="BUX38" s="1221"/>
      <c r="BUY38" s="1221"/>
      <c r="BUZ38" s="1221"/>
      <c r="BVA38" s="1221"/>
      <c r="BVB38" s="1221"/>
      <c r="BVC38" s="1221"/>
      <c r="BVD38" s="1221"/>
      <c r="BVE38" s="1221"/>
      <c r="BVF38" s="1221"/>
      <c r="BVG38" s="1221"/>
      <c r="BVH38" s="1221"/>
      <c r="BVI38" s="1221"/>
      <c r="BVJ38" s="1221"/>
      <c r="BVK38" s="1221"/>
      <c r="BVL38" s="1221"/>
      <c r="BVM38" s="1221"/>
      <c r="BVN38" s="1221"/>
      <c r="BVO38" s="1221"/>
      <c r="BVP38" s="1221"/>
      <c r="BVQ38" s="1221"/>
      <c r="BVR38" s="1221"/>
      <c r="BVS38" s="1221"/>
      <c r="BVT38" s="1221"/>
      <c r="BVU38" s="1221"/>
      <c r="BVV38" s="1221"/>
      <c r="BVW38" s="1221"/>
      <c r="BVX38" s="1221"/>
      <c r="BVY38" s="1221"/>
      <c r="BVZ38" s="1221"/>
      <c r="BWA38" s="1221"/>
      <c r="BWB38" s="1221"/>
      <c r="BWC38" s="1221"/>
      <c r="BWD38" s="1221"/>
      <c r="BWE38" s="1221"/>
      <c r="BWF38" s="1221"/>
      <c r="BWG38" s="1221"/>
      <c r="BWH38" s="1221"/>
      <c r="BWI38" s="1221"/>
      <c r="BWJ38" s="1221"/>
      <c r="BWK38" s="1221"/>
      <c r="BWL38" s="1221"/>
      <c r="BWM38" s="1221"/>
      <c r="BWN38" s="1221"/>
      <c r="BWO38" s="1221"/>
      <c r="BWP38" s="1221"/>
      <c r="BWQ38" s="1221"/>
      <c r="BWR38" s="1221"/>
      <c r="BWS38" s="1221"/>
      <c r="BWT38" s="1221"/>
      <c r="BWU38" s="1221"/>
      <c r="BWV38" s="1221"/>
      <c r="BWW38" s="1221"/>
      <c r="BWX38" s="1221"/>
      <c r="BWY38" s="1221"/>
      <c r="BWZ38" s="1221"/>
      <c r="BXA38" s="1221"/>
      <c r="BXB38" s="1221"/>
      <c r="BXC38" s="1221"/>
      <c r="BXD38" s="1221"/>
      <c r="BXE38" s="1221"/>
      <c r="BXF38" s="1221"/>
      <c r="BXG38" s="1221"/>
      <c r="BXH38" s="1221"/>
      <c r="BXI38" s="1221"/>
      <c r="BXJ38" s="1221"/>
      <c r="BXK38" s="1221"/>
      <c r="BXL38" s="1221"/>
      <c r="BXM38" s="1221"/>
      <c r="BXN38" s="1221"/>
      <c r="BXO38" s="1221"/>
      <c r="BXP38" s="1221"/>
      <c r="BXQ38" s="1221"/>
      <c r="BXR38" s="1221"/>
      <c r="BXS38" s="1221"/>
      <c r="BXT38" s="1221"/>
      <c r="BXU38" s="1221"/>
      <c r="BXV38" s="1221"/>
      <c r="BXW38" s="1221"/>
      <c r="BXX38" s="1221"/>
      <c r="BXY38" s="1221"/>
      <c r="BXZ38" s="1221"/>
      <c r="BYA38" s="1221"/>
      <c r="BYB38" s="1221"/>
      <c r="BYC38" s="1221"/>
      <c r="BYD38" s="1221"/>
      <c r="BYE38" s="1221"/>
      <c r="BYF38" s="1221"/>
      <c r="BYG38" s="1221"/>
      <c r="BYH38" s="1221"/>
      <c r="BYI38" s="1221"/>
      <c r="BYJ38" s="1221"/>
      <c r="BYK38" s="1221"/>
      <c r="BYL38" s="1221"/>
      <c r="BYM38" s="1221"/>
      <c r="BYN38" s="1221"/>
      <c r="BYO38" s="1221"/>
      <c r="BYP38" s="1221"/>
      <c r="BYQ38" s="1221"/>
      <c r="BYR38" s="1221"/>
      <c r="BYS38" s="1221"/>
      <c r="BYT38" s="1221"/>
      <c r="BYU38" s="1221"/>
      <c r="BYV38" s="1221"/>
      <c r="BYW38" s="1221"/>
      <c r="BYX38" s="1221"/>
      <c r="BYY38" s="1221"/>
      <c r="BYZ38" s="1221"/>
      <c r="BZA38" s="1221"/>
      <c r="BZB38" s="1221"/>
      <c r="BZC38" s="1221"/>
      <c r="BZD38" s="1221"/>
      <c r="BZE38" s="1221"/>
      <c r="BZF38" s="1221"/>
      <c r="BZG38" s="1221"/>
      <c r="BZH38" s="1221"/>
      <c r="BZI38" s="1221"/>
      <c r="BZJ38" s="1221"/>
      <c r="BZK38" s="1221"/>
      <c r="BZL38" s="1221"/>
      <c r="BZM38" s="1221"/>
      <c r="BZN38" s="1221"/>
      <c r="BZO38" s="1221"/>
      <c r="BZP38" s="1221"/>
      <c r="BZQ38" s="1221"/>
      <c r="BZR38" s="1221"/>
      <c r="BZS38" s="1221"/>
      <c r="BZT38" s="1221"/>
      <c r="BZU38" s="1221"/>
      <c r="BZV38" s="1221"/>
      <c r="BZW38" s="1221"/>
      <c r="BZX38" s="1221"/>
      <c r="BZY38" s="1221"/>
      <c r="BZZ38" s="1221"/>
      <c r="CAA38" s="1221"/>
      <c r="CAB38" s="1221"/>
      <c r="CAC38" s="1221"/>
      <c r="CAD38" s="1221"/>
      <c r="CAE38" s="1221"/>
      <c r="CAF38" s="1221"/>
      <c r="CAG38" s="1221"/>
      <c r="CAH38" s="1221"/>
      <c r="CAI38" s="1221"/>
      <c r="CAJ38" s="1221"/>
      <c r="CAK38" s="1221"/>
      <c r="CAL38" s="1221"/>
      <c r="CAM38" s="1221"/>
      <c r="CAN38" s="1221"/>
      <c r="CAO38" s="1221"/>
      <c r="CAP38" s="1221"/>
      <c r="CAQ38" s="1221"/>
      <c r="CAR38" s="1221"/>
      <c r="CAS38" s="1221"/>
      <c r="CAT38" s="1221"/>
      <c r="CAU38" s="1221"/>
      <c r="CAV38" s="1221"/>
      <c r="CAW38" s="1221"/>
      <c r="CAX38" s="1221"/>
      <c r="CAY38" s="1221"/>
      <c r="CAZ38" s="1221"/>
      <c r="CBA38" s="1221"/>
      <c r="CBB38" s="1221"/>
      <c r="CBC38" s="1221"/>
      <c r="CBD38" s="1221"/>
      <c r="CBE38" s="1221"/>
      <c r="CBF38" s="1221"/>
      <c r="CBG38" s="1221"/>
      <c r="CBH38" s="1221"/>
      <c r="CBI38" s="1221"/>
      <c r="CBJ38" s="1221"/>
      <c r="CBK38" s="1221"/>
      <c r="CBL38" s="1221"/>
      <c r="CBM38" s="1221"/>
      <c r="CBN38" s="1221"/>
      <c r="CBO38" s="1221"/>
      <c r="CBP38" s="1221"/>
      <c r="CBQ38" s="1221"/>
      <c r="CBR38" s="1221"/>
      <c r="CBS38" s="1221"/>
      <c r="CBT38" s="1221"/>
      <c r="CBU38" s="1221"/>
      <c r="CBV38" s="1221"/>
      <c r="CBW38" s="1221"/>
      <c r="CBX38" s="1221"/>
      <c r="CBY38" s="1221"/>
      <c r="CBZ38" s="1221"/>
      <c r="CCA38" s="1221"/>
      <c r="CCB38" s="1221"/>
      <c r="CCC38" s="1221"/>
      <c r="CCD38" s="1221"/>
      <c r="CCE38" s="1221"/>
      <c r="CCF38" s="1221"/>
      <c r="CCG38" s="1221"/>
      <c r="CCH38" s="1221"/>
      <c r="CCI38" s="1221"/>
      <c r="CCJ38" s="1221"/>
      <c r="CCK38" s="1221"/>
      <c r="CCL38" s="1221"/>
      <c r="CCM38" s="1221"/>
      <c r="CCN38" s="1221"/>
      <c r="CCO38" s="1221"/>
      <c r="CCP38" s="1221"/>
      <c r="CCQ38" s="1221"/>
      <c r="CCR38" s="1221"/>
      <c r="CCS38" s="1221"/>
      <c r="CCT38" s="1221"/>
      <c r="CCU38" s="1221"/>
      <c r="CCV38" s="1221"/>
      <c r="CCW38" s="1221"/>
      <c r="CCX38" s="1221"/>
      <c r="CCY38" s="1221"/>
      <c r="CCZ38" s="1221"/>
      <c r="CDA38" s="1221"/>
      <c r="CDB38" s="1221"/>
      <c r="CDC38" s="1221"/>
      <c r="CDD38" s="1221"/>
      <c r="CDE38" s="1221"/>
      <c r="CDF38" s="1221"/>
      <c r="CDG38" s="1221"/>
      <c r="CDH38" s="1221"/>
      <c r="CDI38" s="1221"/>
      <c r="CDJ38" s="1221"/>
      <c r="CDK38" s="1221"/>
      <c r="CDL38" s="1221"/>
      <c r="CDM38" s="1221"/>
      <c r="CDN38" s="1221"/>
      <c r="CDO38" s="1221"/>
      <c r="CDP38" s="1221"/>
      <c r="CDQ38" s="1221"/>
      <c r="CDR38" s="1221"/>
      <c r="CDS38" s="1221"/>
      <c r="CDT38" s="1221"/>
      <c r="CDU38" s="1221"/>
      <c r="CDV38" s="1221"/>
      <c r="CDW38" s="1221"/>
      <c r="CDX38" s="1221"/>
      <c r="CDY38" s="1221"/>
      <c r="CDZ38" s="1221"/>
      <c r="CEA38" s="1221"/>
      <c r="CEB38" s="1221"/>
      <c r="CEC38" s="1221"/>
      <c r="CED38" s="1221"/>
      <c r="CEE38" s="1221"/>
      <c r="CEF38" s="1221"/>
      <c r="CEG38" s="1221"/>
      <c r="CEH38" s="1221"/>
      <c r="CEI38" s="1221"/>
      <c r="CEJ38" s="1221"/>
      <c r="CEK38" s="1221"/>
      <c r="CEL38" s="1221"/>
      <c r="CEM38" s="1221"/>
      <c r="CEN38" s="1221"/>
      <c r="CEO38" s="1221"/>
      <c r="CEP38" s="1221"/>
      <c r="CEQ38" s="1221"/>
      <c r="CER38" s="1221"/>
      <c r="CES38" s="1221"/>
      <c r="CET38" s="1221"/>
      <c r="CEU38" s="1221"/>
      <c r="CEV38" s="1221"/>
      <c r="CEW38" s="1221"/>
      <c r="CEX38" s="1221"/>
      <c r="CEY38" s="1221"/>
      <c r="CEZ38" s="1221"/>
      <c r="CFA38" s="1221"/>
      <c r="CFB38" s="1221"/>
      <c r="CFC38" s="1221"/>
      <c r="CFD38" s="1221"/>
      <c r="CFE38" s="1221"/>
      <c r="CFF38" s="1221"/>
      <c r="CFG38" s="1221"/>
      <c r="CFH38" s="1221"/>
      <c r="CFI38" s="1221"/>
      <c r="CFJ38" s="1221"/>
      <c r="CFK38" s="1221"/>
      <c r="CFL38" s="1221"/>
      <c r="CFM38" s="1221"/>
      <c r="CFN38" s="1221"/>
      <c r="CFO38" s="1221"/>
      <c r="CFP38" s="1221"/>
      <c r="CFQ38" s="1221"/>
      <c r="CFR38" s="1221"/>
      <c r="CFS38" s="1221"/>
      <c r="CFT38" s="1221"/>
      <c r="CFU38" s="1221"/>
      <c r="CFV38" s="1221"/>
      <c r="CFW38" s="1221"/>
      <c r="CFX38" s="1221"/>
      <c r="CFY38" s="1221"/>
      <c r="CFZ38" s="1221"/>
      <c r="CGA38" s="1221"/>
      <c r="CGB38" s="1221"/>
      <c r="CGC38" s="1221"/>
      <c r="CGD38" s="1221"/>
      <c r="CGE38" s="1221"/>
      <c r="CGF38" s="1221"/>
      <c r="CGG38" s="1221"/>
      <c r="CGH38" s="1221"/>
      <c r="CGI38" s="1221"/>
      <c r="CGJ38" s="1221"/>
      <c r="CGK38" s="1221"/>
      <c r="CGL38" s="1221"/>
      <c r="CGM38" s="1221"/>
      <c r="CGN38" s="1221"/>
      <c r="CGO38" s="1221"/>
      <c r="CGP38" s="1221"/>
      <c r="CGQ38" s="1221"/>
      <c r="CGR38" s="1221"/>
      <c r="CGS38" s="1221"/>
      <c r="CGT38" s="1221"/>
      <c r="CGU38" s="1221"/>
      <c r="CGV38" s="1221"/>
      <c r="CGW38" s="1221"/>
      <c r="CGX38" s="1221"/>
      <c r="CGY38" s="1221"/>
      <c r="CGZ38" s="1221"/>
      <c r="CHA38" s="1221"/>
      <c r="CHB38" s="1221"/>
      <c r="CHC38" s="1221"/>
      <c r="CHD38" s="1221"/>
      <c r="CHE38" s="1221"/>
      <c r="CHF38" s="1221"/>
      <c r="CHG38" s="1221"/>
      <c r="CHH38" s="1221"/>
      <c r="CHI38" s="1221"/>
      <c r="CHJ38" s="1221"/>
      <c r="CHK38" s="1221"/>
      <c r="CHL38" s="1221"/>
      <c r="CHM38" s="1221"/>
      <c r="CHN38" s="1221"/>
      <c r="CHO38" s="1221"/>
      <c r="CHP38" s="1221"/>
      <c r="CHQ38" s="1221"/>
      <c r="CHR38" s="1221"/>
      <c r="CHS38" s="1221"/>
      <c r="CHT38" s="1221"/>
      <c r="CHU38" s="1221"/>
      <c r="CHV38" s="1221"/>
      <c r="CHW38" s="1221"/>
      <c r="CHX38" s="1221"/>
      <c r="CHY38" s="1221"/>
      <c r="CHZ38" s="1221"/>
      <c r="CIA38" s="1221"/>
      <c r="CIB38" s="1221"/>
      <c r="CIC38" s="1221"/>
      <c r="CID38" s="1221"/>
      <c r="CIE38" s="1221"/>
      <c r="CIF38" s="1221"/>
      <c r="CIG38" s="1221"/>
      <c r="CIH38" s="1221"/>
      <c r="CII38" s="1221"/>
      <c r="CIJ38" s="1221"/>
      <c r="CIK38" s="1221"/>
      <c r="CIL38" s="1221"/>
      <c r="CIM38" s="1221"/>
      <c r="CIN38" s="1221"/>
      <c r="CIO38" s="1221"/>
      <c r="CIP38" s="1221"/>
      <c r="CIQ38" s="1221"/>
      <c r="CIR38" s="1221"/>
      <c r="CIS38" s="1221"/>
      <c r="CIT38" s="1221"/>
      <c r="CIU38" s="1221"/>
      <c r="CIV38" s="1221"/>
      <c r="CIW38" s="1221"/>
      <c r="CIX38" s="1221"/>
      <c r="CIY38" s="1221"/>
      <c r="CIZ38" s="1221"/>
      <c r="CJA38" s="1221"/>
      <c r="CJB38" s="1221"/>
      <c r="CJC38" s="1221"/>
      <c r="CJD38" s="1221"/>
      <c r="CJE38" s="1221"/>
      <c r="CJF38" s="1221"/>
      <c r="CJG38" s="1221"/>
      <c r="CJH38" s="1221"/>
      <c r="CJI38" s="1221"/>
      <c r="CJJ38" s="1221"/>
      <c r="CJK38" s="1221"/>
      <c r="CJL38" s="1221"/>
      <c r="CJM38" s="1221"/>
      <c r="CJN38" s="1221"/>
      <c r="CJO38" s="1221"/>
      <c r="CJP38" s="1221"/>
      <c r="CJQ38" s="1221"/>
      <c r="CJR38" s="1221"/>
      <c r="CJS38" s="1221"/>
      <c r="CJT38" s="1221"/>
      <c r="CJU38" s="1221"/>
      <c r="CJV38" s="1221"/>
      <c r="CJW38" s="1221"/>
      <c r="CJX38" s="1221"/>
      <c r="CJY38" s="1221"/>
      <c r="CJZ38" s="1221"/>
      <c r="CKA38" s="1221"/>
      <c r="CKB38" s="1221"/>
      <c r="CKC38" s="1221"/>
      <c r="CKD38" s="1221"/>
      <c r="CKE38" s="1221"/>
      <c r="CKF38" s="1221"/>
      <c r="CKG38" s="1221"/>
      <c r="CKH38" s="1221"/>
      <c r="CKI38" s="1221"/>
      <c r="CKJ38" s="1221"/>
      <c r="CKK38" s="1221"/>
      <c r="CKL38" s="1221"/>
      <c r="CKM38" s="1221"/>
      <c r="CKN38" s="1221"/>
      <c r="CKO38" s="1221"/>
      <c r="CKP38" s="1221"/>
      <c r="CKQ38" s="1221"/>
      <c r="CKR38" s="1221"/>
      <c r="CKS38" s="1221"/>
      <c r="CKT38" s="1221"/>
      <c r="CKU38" s="1221"/>
      <c r="CKV38" s="1221"/>
      <c r="CKW38" s="1221"/>
      <c r="CKX38" s="1221"/>
      <c r="CKY38" s="1221"/>
      <c r="CKZ38" s="1221"/>
      <c r="CLA38" s="1221"/>
      <c r="CLB38" s="1221"/>
      <c r="CLC38" s="1221"/>
      <c r="CLD38" s="1221"/>
      <c r="CLE38" s="1221"/>
      <c r="CLF38" s="1221"/>
      <c r="CLG38" s="1221"/>
      <c r="CLH38" s="1221"/>
      <c r="CLI38" s="1221"/>
      <c r="CLJ38" s="1221"/>
      <c r="CLK38" s="1221"/>
      <c r="CLL38" s="1221"/>
      <c r="CLM38" s="1221"/>
      <c r="CLN38" s="1221"/>
      <c r="CLO38" s="1221"/>
      <c r="CLP38" s="1221"/>
      <c r="CLQ38" s="1221"/>
      <c r="CLR38" s="1221"/>
      <c r="CLS38" s="1221"/>
      <c r="CLT38" s="1221"/>
      <c r="CLU38" s="1221"/>
      <c r="CLV38" s="1221"/>
      <c r="CLW38" s="1221"/>
      <c r="CLX38" s="1221"/>
      <c r="CLY38" s="1221"/>
      <c r="CLZ38" s="1221"/>
      <c r="CMA38" s="1221"/>
      <c r="CMB38" s="1221"/>
      <c r="CMC38" s="1221"/>
      <c r="CMD38" s="1221"/>
      <c r="CME38" s="1221"/>
      <c r="CMF38" s="1221"/>
      <c r="CMG38" s="1221"/>
      <c r="CMH38" s="1221"/>
      <c r="CMI38" s="1221"/>
      <c r="CMJ38" s="1221"/>
      <c r="CMK38" s="1221"/>
      <c r="CML38" s="1221"/>
      <c r="CMM38" s="1221"/>
      <c r="CMN38" s="1221"/>
      <c r="CMO38" s="1221"/>
      <c r="CMP38" s="1221"/>
      <c r="CMQ38" s="1221"/>
      <c r="CMR38" s="1221"/>
      <c r="CMS38" s="1221"/>
      <c r="CMT38" s="1221"/>
      <c r="CMU38" s="1221"/>
      <c r="CMV38" s="1221"/>
      <c r="CMW38" s="1221"/>
      <c r="CMX38" s="1221"/>
      <c r="CMY38" s="1221"/>
      <c r="CMZ38" s="1221"/>
      <c r="CNA38" s="1221"/>
      <c r="CNB38" s="1221"/>
      <c r="CNC38" s="1221"/>
      <c r="CND38" s="1221"/>
      <c r="CNE38" s="1221"/>
      <c r="CNF38" s="1221"/>
      <c r="CNG38" s="1221"/>
      <c r="CNH38" s="1221"/>
      <c r="CNI38" s="1221"/>
      <c r="CNJ38" s="1221"/>
      <c r="CNK38" s="1221"/>
      <c r="CNL38" s="1221"/>
      <c r="CNM38" s="1221"/>
      <c r="CNN38" s="1221"/>
      <c r="CNO38" s="1221"/>
      <c r="CNP38" s="1221"/>
      <c r="CNQ38" s="1221"/>
      <c r="CNR38" s="1221"/>
      <c r="CNS38" s="1221"/>
      <c r="CNT38" s="1221"/>
      <c r="CNU38" s="1221"/>
      <c r="CNV38" s="1221"/>
      <c r="CNW38" s="1221"/>
      <c r="CNX38" s="1221"/>
      <c r="CNY38" s="1221"/>
      <c r="CNZ38" s="1221"/>
      <c r="COA38" s="1221"/>
      <c r="COB38" s="1221"/>
      <c r="COC38" s="1221"/>
      <c r="COD38" s="1221"/>
      <c r="COE38" s="1221"/>
      <c r="COF38" s="1221"/>
      <c r="COG38" s="1221"/>
      <c r="COH38" s="1221"/>
      <c r="COI38" s="1221"/>
      <c r="COJ38" s="1221"/>
      <c r="COK38" s="1221"/>
      <c r="COL38" s="1221"/>
      <c r="COM38" s="1221"/>
      <c r="CON38" s="1221"/>
      <c r="COO38" s="1221"/>
      <c r="COP38" s="1221"/>
      <c r="COQ38" s="1221"/>
      <c r="COR38" s="1221"/>
      <c r="COS38" s="1221"/>
      <c r="COT38" s="1221"/>
      <c r="COU38" s="1221"/>
      <c r="COV38" s="1221"/>
      <c r="COW38" s="1221"/>
      <c r="COX38" s="1221"/>
      <c r="COY38" s="1221"/>
      <c r="COZ38" s="1221"/>
      <c r="CPA38" s="1221"/>
      <c r="CPB38" s="1221"/>
      <c r="CPC38" s="1221"/>
      <c r="CPD38" s="1221"/>
      <c r="CPE38" s="1221"/>
      <c r="CPF38" s="1221"/>
      <c r="CPG38" s="1221"/>
      <c r="CPH38" s="1221"/>
      <c r="CPI38" s="1221"/>
      <c r="CPJ38" s="1221"/>
      <c r="CPK38" s="1221"/>
      <c r="CPL38" s="1221"/>
      <c r="CPM38" s="1221"/>
      <c r="CPN38" s="1221"/>
      <c r="CPO38" s="1221"/>
      <c r="CPP38" s="1221"/>
      <c r="CPQ38" s="1221"/>
      <c r="CPR38" s="1221"/>
      <c r="CPS38" s="1221"/>
      <c r="CPT38" s="1221"/>
      <c r="CPU38" s="1221"/>
      <c r="CPV38" s="1221"/>
      <c r="CPW38" s="1221"/>
      <c r="CPX38" s="1221"/>
      <c r="CPY38" s="1221"/>
      <c r="CPZ38" s="1221"/>
      <c r="CQA38" s="1221"/>
      <c r="CQB38" s="1221"/>
      <c r="CQC38" s="1221"/>
      <c r="CQD38" s="1221"/>
      <c r="CQE38" s="1221"/>
      <c r="CQF38" s="1221"/>
      <c r="CQG38" s="1221"/>
      <c r="CQH38" s="1221"/>
      <c r="CQI38" s="1221"/>
      <c r="CQJ38" s="1221"/>
      <c r="CQK38" s="1221"/>
      <c r="CQL38" s="1221"/>
      <c r="CQM38" s="1221"/>
      <c r="CQN38" s="1221"/>
      <c r="CQO38" s="1221"/>
      <c r="CQP38" s="1221"/>
      <c r="CQQ38" s="1221"/>
      <c r="CQR38" s="1221"/>
      <c r="CQS38" s="1221"/>
      <c r="CQT38" s="1221"/>
      <c r="CQU38" s="1221"/>
      <c r="CQV38" s="1221"/>
      <c r="CQW38" s="1221"/>
      <c r="CQX38" s="1221"/>
      <c r="CQY38" s="1221"/>
      <c r="CQZ38" s="1221"/>
      <c r="CRA38" s="1221"/>
      <c r="CRB38" s="1221"/>
      <c r="CRC38" s="1221"/>
      <c r="CRD38" s="1221"/>
      <c r="CRE38" s="1221"/>
      <c r="CRF38" s="1221"/>
      <c r="CRG38" s="1221"/>
      <c r="CRH38" s="1221"/>
      <c r="CRI38" s="1221"/>
      <c r="CRJ38" s="1221"/>
      <c r="CRK38" s="1221"/>
      <c r="CRL38" s="1221"/>
      <c r="CRM38" s="1221"/>
      <c r="CRN38" s="1221"/>
      <c r="CRO38" s="1221"/>
      <c r="CRP38" s="1221"/>
      <c r="CRQ38" s="1221"/>
      <c r="CRR38" s="1221"/>
      <c r="CRS38" s="1221"/>
      <c r="CRT38" s="1221"/>
      <c r="CRU38" s="1221"/>
      <c r="CRV38" s="1221"/>
      <c r="CRW38" s="1221"/>
      <c r="CRX38" s="1221"/>
      <c r="CRY38" s="1221"/>
      <c r="CRZ38" s="1221"/>
      <c r="CSA38" s="1221"/>
      <c r="CSB38" s="1221"/>
      <c r="CSC38" s="1221"/>
      <c r="CSD38" s="1221"/>
      <c r="CSE38" s="1221"/>
      <c r="CSF38" s="1221"/>
      <c r="CSG38" s="1221"/>
      <c r="CSH38" s="1221"/>
      <c r="CSI38" s="1221"/>
      <c r="CSJ38" s="1221"/>
      <c r="CSK38" s="1221"/>
      <c r="CSL38" s="1221"/>
      <c r="CSM38" s="1221"/>
      <c r="CSN38" s="1221"/>
      <c r="CSO38" s="1221"/>
      <c r="CSP38" s="1221"/>
      <c r="CSQ38" s="1221"/>
      <c r="CSR38" s="1221"/>
      <c r="CSS38" s="1221"/>
      <c r="CST38" s="1221"/>
      <c r="CSU38" s="1221"/>
      <c r="CSV38" s="1221"/>
      <c r="CSW38" s="1221"/>
      <c r="CSX38" s="1221"/>
      <c r="CSY38" s="1221"/>
      <c r="CSZ38" s="1221"/>
      <c r="CTA38" s="1221"/>
      <c r="CTB38" s="1221"/>
      <c r="CTC38" s="1221"/>
      <c r="CTD38" s="1221"/>
      <c r="CTE38" s="1221"/>
      <c r="CTF38" s="1221"/>
      <c r="CTG38" s="1221"/>
      <c r="CTH38" s="1221"/>
      <c r="CTI38" s="1221"/>
      <c r="CTJ38" s="1221"/>
      <c r="CTK38" s="1221"/>
      <c r="CTL38" s="1221"/>
      <c r="CTM38" s="1221"/>
      <c r="CTN38" s="1221"/>
      <c r="CTO38" s="1221"/>
      <c r="CTP38" s="1221"/>
      <c r="CTQ38" s="1221"/>
      <c r="CTR38" s="1221"/>
      <c r="CTS38" s="1221"/>
      <c r="CTT38" s="1221"/>
      <c r="CTU38" s="1221"/>
      <c r="CTV38" s="1221"/>
      <c r="CTW38" s="1221"/>
      <c r="CTX38" s="1221"/>
      <c r="CTY38" s="1221"/>
      <c r="CTZ38" s="1221"/>
      <c r="CUA38" s="1221"/>
      <c r="CUB38" s="1221"/>
      <c r="CUC38" s="1221"/>
      <c r="CUD38" s="1221"/>
      <c r="CUE38" s="1221"/>
      <c r="CUF38" s="1221"/>
      <c r="CUG38" s="1221"/>
      <c r="CUH38" s="1221"/>
      <c r="CUI38" s="1221"/>
      <c r="CUJ38" s="1221"/>
      <c r="CUK38" s="1221"/>
      <c r="CUL38" s="1221"/>
      <c r="CUM38" s="1221"/>
      <c r="CUN38" s="1221"/>
      <c r="CUO38" s="1221"/>
      <c r="CUP38" s="1221"/>
      <c r="CUQ38" s="1221"/>
      <c r="CUR38" s="1221"/>
      <c r="CUS38" s="1221"/>
      <c r="CUT38" s="1221"/>
      <c r="CUU38" s="1221"/>
      <c r="CUV38" s="1221"/>
      <c r="CUW38" s="1221"/>
      <c r="CUX38" s="1221"/>
      <c r="CUY38" s="1221"/>
      <c r="CUZ38" s="1221"/>
      <c r="CVA38" s="1221"/>
      <c r="CVB38" s="1221"/>
      <c r="CVC38" s="1221"/>
      <c r="CVD38" s="1221"/>
      <c r="CVE38" s="1221"/>
      <c r="CVF38" s="1221"/>
      <c r="CVG38" s="1221"/>
      <c r="CVH38" s="1221"/>
      <c r="CVI38" s="1221"/>
      <c r="CVJ38" s="1221"/>
      <c r="CVK38" s="1221"/>
      <c r="CVL38" s="1221"/>
      <c r="CVM38" s="1221"/>
      <c r="CVN38" s="1221"/>
      <c r="CVO38" s="1221"/>
      <c r="CVP38" s="1221"/>
      <c r="CVQ38" s="1221"/>
      <c r="CVR38" s="1221"/>
      <c r="CVS38" s="1221"/>
      <c r="CVT38" s="1221"/>
      <c r="CVU38" s="1221"/>
      <c r="CVV38" s="1221"/>
      <c r="CVW38" s="1221"/>
      <c r="CVX38" s="1221"/>
      <c r="CVY38" s="1221"/>
      <c r="CVZ38" s="1221"/>
      <c r="CWA38" s="1221"/>
      <c r="CWB38" s="1221"/>
      <c r="CWC38" s="1221"/>
      <c r="CWD38" s="1221"/>
      <c r="CWE38" s="1221"/>
      <c r="CWF38" s="1221"/>
      <c r="CWG38" s="1221"/>
      <c r="CWH38" s="1221"/>
      <c r="CWI38" s="1221"/>
      <c r="CWJ38" s="1221"/>
      <c r="CWK38" s="1221"/>
      <c r="CWL38" s="1221"/>
      <c r="CWM38" s="1221"/>
      <c r="CWN38" s="1221"/>
      <c r="CWO38" s="1221"/>
      <c r="CWP38" s="1221"/>
      <c r="CWQ38" s="1221"/>
      <c r="CWR38" s="1221"/>
      <c r="CWS38" s="1221"/>
      <c r="CWT38" s="1221"/>
      <c r="CWU38" s="1221"/>
      <c r="CWV38" s="1221"/>
      <c r="CWW38" s="1221"/>
      <c r="CWX38" s="1221"/>
      <c r="CWY38" s="1221"/>
      <c r="CWZ38" s="1221"/>
      <c r="CXA38" s="1221"/>
      <c r="CXB38" s="1221"/>
      <c r="CXC38" s="1221"/>
      <c r="CXD38" s="1221"/>
      <c r="CXE38" s="1221"/>
      <c r="CXF38" s="1221"/>
      <c r="CXG38" s="1221"/>
      <c r="CXH38" s="1221"/>
      <c r="CXI38" s="1221"/>
      <c r="CXJ38" s="1221"/>
      <c r="CXK38" s="1221"/>
      <c r="CXL38" s="1221"/>
      <c r="CXM38" s="1221"/>
      <c r="CXN38" s="1221"/>
      <c r="CXO38" s="1221"/>
      <c r="CXP38" s="1221"/>
      <c r="CXQ38" s="1221"/>
      <c r="CXR38" s="1221"/>
      <c r="CXS38" s="1221"/>
      <c r="CXT38" s="1221"/>
      <c r="CXU38" s="1221"/>
      <c r="CXV38" s="1221"/>
      <c r="CXW38" s="1221"/>
      <c r="CXX38" s="1221"/>
      <c r="CXY38" s="1221"/>
      <c r="CXZ38" s="1221"/>
      <c r="CYA38" s="1221"/>
      <c r="CYB38" s="1221"/>
      <c r="CYC38" s="1221"/>
      <c r="CYD38" s="1221"/>
      <c r="CYE38" s="1221"/>
      <c r="CYF38" s="1221"/>
      <c r="CYG38" s="1221"/>
      <c r="CYH38" s="1221"/>
      <c r="CYI38" s="1221"/>
      <c r="CYJ38" s="1221"/>
      <c r="CYK38" s="1221"/>
      <c r="CYL38" s="1221"/>
      <c r="CYM38" s="1221"/>
      <c r="CYN38" s="1221"/>
      <c r="CYO38" s="1221"/>
      <c r="CYP38" s="1221"/>
      <c r="CYQ38" s="1221"/>
      <c r="CYR38" s="1221"/>
      <c r="CYS38" s="1221"/>
      <c r="CYT38" s="1221"/>
      <c r="CYU38" s="1221"/>
      <c r="CYV38" s="1221"/>
      <c r="CYW38" s="1221"/>
      <c r="CYX38" s="1221"/>
      <c r="CYY38" s="1221"/>
      <c r="CYZ38" s="1221"/>
      <c r="CZA38" s="1221"/>
      <c r="CZB38" s="1221"/>
      <c r="CZC38" s="1221"/>
      <c r="CZD38" s="1221"/>
      <c r="CZE38" s="1221"/>
      <c r="CZF38" s="1221"/>
      <c r="CZG38" s="1221"/>
      <c r="CZH38" s="1221"/>
      <c r="CZI38" s="1221"/>
      <c r="CZJ38" s="1221"/>
      <c r="CZK38" s="1221"/>
      <c r="CZL38" s="1221"/>
      <c r="CZM38" s="1221"/>
      <c r="CZN38" s="1221"/>
      <c r="CZO38" s="1221"/>
      <c r="CZP38" s="1221"/>
      <c r="CZQ38" s="1221"/>
      <c r="CZR38" s="1221"/>
      <c r="CZS38" s="1221"/>
      <c r="CZT38" s="1221"/>
      <c r="CZU38" s="1221"/>
      <c r="CZV38" s="1221"/>
      <c r="CZW38" s="1221"/>
      <c r="CZX38" s="1221"/>
      <c r="CZY38" s="1221"/>
      <c r="CZZ38" s="1221"/>
      <c r="DAA38" s="1221"/>
      <c r="DAB38" s="1221"/>
      <c r="DAC38" s="1221"/>
      <c r="DAD38" s="1221"/>
      <c r="DAE38" s="1221"/>
      <c r="DAF38" s="1221"/>
      <c r="DAG38" s="1221"/>
      <c r="DAH38" s="1221"/>
      <c r="DAI38" s="1221"/>
      <c r="DAJ38" s="1221"/>
      <c r="DAK38" s="1221"/>
      <c r="DAL38" s="1221"/>
      <c r="DAM38" s="1221"/>
      <c r="DAN38" s="1221"/>
      <c r="DAO38" s="1221"/>
      <c r="DAP38" s="1221"/>
      <c r="DAQ38" s="1221"/>
      <c r="DAR38" s="1221"/>
      <c r="DAS38" s="1221"/>
      <c r="DAT38" s="1221"/>
      <c r="DAU38" s="1221"/>
      <c r="DAV38" s="1221"/>
      <c r="DAW38" s="1221"/>
      <c r="DAX38" s="1221"/>
      <c r="DAY38" s="1221"/>
      <c r="DAZ38" s="1221"/>
      <c r="DBA38" s="1221"/>
      <c r="DBB38" s="1221"/>
      <c r="DBC38" s="1221"/>
      <c r="DBD38" s="1221"/>
      <c r="DBE38" s="1221"/>
      <c r="DBF38" s="1221"/>
      <c r="DBG38" s="1221"/>
      <c r="DBH38" s="1221"/>
      <c r="DBI38" s="1221"/>
      <c r="DBJ38" s="1221"/>
      <c r="DBK38" s="1221"/>
      <c r="DBL38" s="1221"/>
      <c r="DBM38" s="1221"/>
      <c r="DBN38" s="1221"/>
      <c r="DBO38" s="1221"/>
      <c r="DBP38" s="1221"/>
      <c r="DBQ38" s="1221"/>
      <c r="DBR38" s="1221"/>
      <c r="DBS38" s="1221"/>
      <c r="DBT38" s="1221"/>
      <c r="DBU38" s="1221"/>
      <c r="DBV38" s="1221"/>
      <c r="DBW38" s="1221"/>
      <c r="DBX38" s="1221"/>
      <c r="DBY38" s="1221"/>
      <c r="DBZ38" s="1221"/>
      <c r="DCA38" s="1221"/>
      <c r="DCB38" s="1221"/>
      <c r="DCC38" s="1221"/>
      <c r="DCD38" s="1221"/>
      <c r="DCE38" s="1221"/>
      <c r="DCF38" s="1221"/>
      <c r="DCG38" s="1221"/>
      <c r="DCH38" s="1221"/>
      <c r="DCI38" s="1221"/>
      <c r="DCJ38" s="1221"/>
      <c r="DCK38" s="1221"/>
      <c r="DCL38" s="1221"/>
      <c r="DCM38" s="1221"/>
      <c r="DCN38" s="1221"/>
      <c r="DCO38" s="1221"/>
      <c r="DCP38" s="1221"/>
      <c r="DCQ38" s="1221"/>
      <c r="DCR38" s="1221"/>
      <c r="DCS38" s="1221"/>
      <c r="DCT38" s="1221"/>
      <c r="DCU38" s="1221"/>
      <c r="DCV38" s="1221"/>
      <c r="DCW38" s="1221"/>
      <c r="DCX38" s="1221"/>
      <c r="DCY38" s="1221"/>
      <c r="DCZ38" s="1221"/>
      <c r="DDA38" s="1221"/>
      <c r="DDB38" s="1221"/>
      <c r="DDC38" s="1221"/>
      <c r="DDD38" s="1221"/>
      <c r="DDE38" s="1221"/>
      <c r="DDF38" s="1221"/>
      <c r="DDG38" s="1221"/>
      <c r="DDH38" s="1221"/>
      <c r="DDI38" s="1221"/>
      <c r="DDJ38" s="1221"/>
      <c r="DDK38" s="1221"/>
      <c r="DDL38" s="1221"/>
      <c r="DDM38" s="1221"/>
      <c r="DDN38" s="1221"/>
      <c r="DDO38" s="1221"/>
      <c r="DDP38" s="1221"/>
      <c r="DDQ38" s="1221"/>
      <c r="DDR38" s="1221"/>
      <c r="DDS38" s="1221"/>
      <c r="DDT38" s="1221"/>
      <c r="DDU38" s="1221"/>
      <c r="DDV38" s="1221"/>
      <c r="DDW38" s="1221"/>
      <c r="DDX38" s="1221"/>
      <c r="DDY38" s="1221"/>
      <c r="DDZ38" s="1221"/>
      <c r="DEA38" s="1221"/>
      <c r="DEB38" s="1221"/>
      <c r="DEC38" s="1221"/>
      <c r="DED38" s="1221"/>
      <c r="DEE38" s="1221"/>
      <c r="DEF38" s="1221"/>
      <c r="DEG38" s="1221"/>
      <c r="DEH38" s="1221"/>
      <c r="DEI38" s="1221"/>
      <c r="DEJ38" s="1221"/>
      <c r="DEK38" s="1221"/>
      <c r="DEL38" s="1221"/>
      <c r="DEM38" s="1221"/>
      <c r="DEN38" s="1221"/>
      <c r="DEO38" s="1221"/>
      <c r="DEP38" s="1221"/>
      <c r="DEQ38" s="1221"/>
      <c r="DER38" s="1221"/>
      <c r="DES38" s="1221"/>
      <c r="DET38" s="1221"/>
      <c r="DEU38" s="1221"/>
      <c r="DEV38" s="1221"/>
      <c r="DEW38" s="1221"/>
      <c r="DEX38" s="1221"/>
      <c r="DEY38" s="1221"/>
      <c r="DEZ38" s="1221"/>
      <c r="DFA38" s="1221"/>
      <c r="DFB38" s="1221"/>
      <c r="DFC38" s="1221"/>
      <c r="DFD38" s="1221"/>
      <c r="DFE38" s="1221"/>
      <c r="DFF38" s="1221"/>
      <c r="DFG38" s="1221"/>
      <c r="DFH38" s="1221"/>
      <c r="DFI38" s="1221"/>
      <c r="DFJ38" s="1221"/>
      <c r="DFK38" s="1221"/>
      <c r="DFL38" s="1221"/>
      <c r="DFM38" s="1221"/>
      <c r="DFN38" s="1221"/>
      <c r="DFO38" s="1221"/>
      <c r="DFP38" s="1221"/>
      <c r="DFQ38" s="1221"/>
      <c r="DFR38" s="1221"/>
      <c r="DFS38" s="1221"/>
      <c r="DFT38" s="1221"/>
      <c r="DFU38" s="1221"/>
      <c r="DFV38" s="1221"/>
      <c r="DFW38" s="1221"/>
      <c r="DFX38" s="1221"/>
      <c r="DFY38" s="1221"/>
      <c r="DFZ38" s="1221"/>
      <c r="DGA38" s="1221"/>
      <c r="DGB38" s="1221"/>
      <c r="DGC38" s="1221"/>
      <c r="DGD38" s="1221"/>
      <c r="DGE38" s="1221"/>
      <c r="DGF38" s="1221"/>
      <c r="DGG38" s="1221"/>
      <c r="DGH38" s="1221"/>
      <c r="DGI38" s="1221"/>
      <c r="DGJ38" s="1221"/>
      <c r="DGK38" s="1221"/>
      <c r="DGL38" s="1221"/>
      <c r="DGM38" s="1221"/>
      <c r="DGN38" s="1221"/>
      <c r="DGO38" s="1221"/>
      <c r="DGP38" s="1221"/>
      <c r="DGQ38" s="1221"/>
      <c r="DGR38" s="1221"/>
      <c r="DGS38" s="1221"/>
      <c r="DGT38" s="1221"/>
      <c r="DGU38" s="1221"/>
      <c r="DGV38" s="1221"/>
      <c r="DGW38" s="1221"/>
      <c r="DGX38" s="1221"/>
      <c r="DGY38" s="1221"/>
      <c r="DGZ38" s="1221"/>
      <c r="DHA38" s="1221"/>
      <c r="DHB38" s="1221"/>
      <c r="DHC38" s="1221"/>
      <c r="DHD38" s="1221"/>
      <c r="DHE38" s="1221"/>
      <c r="DHF38" s="1221"/>
      <c r="DHG38" s="1221"/>
      <c r="DHH38" s="1221"/>
      <c r="DHI38" s="1221"/>
      <c r="DHJ38" s="1221"/>
      <c r="DHK38" s="1221"/>
      <c r="DHL38" s="1221"/>
      <c r="DHM38" s="1221"/>
      <c r="DHN38" s="1221"/>
      <c r="DHO38" s="1221"/>
      <c r="DHP38" s="1221"/>
      <c r="DHQ38" s="1221"/>
      <c r="DHR38" s="1221"/>
      <c r="DHS38" s="1221"/>
      <c r="DHT38" s="1221"/>
      <c r="DHU38" s="1221"/>
      <c r="DHV38" s="1221"/>
      <c r="DHW38" s="1221"/>
      <c r="DHX38" s="1221"/>
      <c r="DHY38" s="1221"/>
      <c r="DHZ38" s="1221"/>
      <c r="DIA38" s="1221"/>
      <c r="DIB38" s="1221"/>
      <c r="DIC38" s="1221"/>
      <c r="DID38" s="1221"/>
      <c r="DIE38" s="1221"/>
      <c r="DIF38" s="1221"/>
      <c r="DIG38" s="1221"/>
      <c r="DIH38" s="1221"/>
      <c r="DII38" s="1221"/>
      <c r="DIJ38" s="1221"/>
      <c r="DIK38" s="1221"/>
      <c r="DIL38" s="1221"/>
      <c r="DIM38" s="1221"/>
      <c r="DIN38" s="1221"/>
      <c r="DIO38" s="1221"/>
      <c r="DIP38" s="1221"/>
      <c r="DIQ38" s="1221"/>
      <c r="DIR38" s="1221"/>
      <c r="DIS38" s="1221"/>
      <c r="DIT38" s="1221"/>
      <c r="DIU38" s="1221"/>
      <c r="DIV38" s="1221"/>
      <c r="DIW38" s="1221"/>
      <c r="DIX38" s="1221"/>
      <c r="DIY38" s="1221"/>
      <c r="DIZ38" s="1221"/>
      <c r="DJA38" s="1221"/>
      <c r="DJB38" s="1221"/>
      <c r="DJC38" s="1221"/>
      <c r="DJD38" s="1221"/>
      <c r="DJE38" s="1221"/>
      <c r="DJF38" s="1221"/>
      <c r="DJG38" s="1221"/>
      <c r="DJH38" s="1221"/>
      <c r="DJI38" s="1221"/>
      <c r="DJJ38" s="1221"/>
      <c r="DJK38" s="1221"/>
      <c r="DJL38" s="1221"/>
      <c r="DJM38" s="1221"/>
      <c r="DJN38" s="1221"/>
      <c r="DJO38" s="1221"/>
      <c r="DJP38" s="1221"/>
      <c r="DJQ38" s="1221"/>
      <c r="DJR38" s="1221"/>
      <c r="DJS38" s="1221"/>
      <c r="DJT38" s="1221"/>
      <c r="DJU38" s="1221"/>
      <c r="DJV38" s="1221"/>
      <c r="DJW38" s="1221"/>
      <c r="DJX38" s="1221"/>
      <c r="DJY38" s="1221"/>
      <c r="DJZ38" s="1221"/>
      <c r="DKA38" s="1221"/>
      <c r="DKB38" s="1221"/>
      <c r="DKC38" s="1221"/>
      <c r="DKD38" s="1221"/>
      <c r="DKE38" s="1221"/>
      <c r="DKF38" s="1221"/>
      <c r="DKG38" s="1221"/>
      <c r="DKH38" s="1221"/>
      <c r="DKI38" s="1221"/>
      <c r="DKJ38" s="1221"/>
      <c r="DKK38" s="1221"/>
      <c r="DKL38" s="1221"/>
      <c r="DKM38" s="1221"/>
      <c r="DKN38" s="1221"/>
      <c r="DKO38" s="1221"/>
      <c r="DKP38" s="1221"/>
      <c r="DKQ38" s="1221"/>
      <c r="DKR38" s="1221"/>
      <c r="DKS38" s="1221"/>
      <c r="DKT38" s="1221"/>
      <c r="DKU38" s="1221"/>
      <c r="DKV38" s="1221"/>
      <c r="DKW38" s="1221"/>
      <c r="DKX38" s="1221"/>
      <c r="DKY38" s="1221"/>
      <c r="DKZ38" s="1221"/>
      <c r="DLA38" s="1221"/>
      <c r="DLB38" s="1221"/>
      <c r="DLC38" s="1221"/>
      <c r="DLD38" s="1221"/>
      <c r="DLE38" s="1221"/>
      <c r="DLF38" s="1221"/>
      <c r="DLG38" s="1221"/>
      <c r="DLH38" s="1221"/>
      <c r="DLI38" s="1221"/>
      <c r="DLJ38" s="1221"/>
      <c r="DLK38" s="1221"/>
      <c r="DLL38" s="1221"/>
      <c r="DLM38" s="1221"/>
      <c r="DLN38" s="1221"/>
      <c r="DLO38" s="1221"/>
      <c r="DLP38" s="1221"/>
      <c r="DLQ38" s="1221"/>
      <c r="DLR38" s="1221"/>
      <c r="DLS38" s="1221"/>
      <c r="DLT38" s="1221"/>
      <c r="DLU38" s="1221"/>
      <c r="DLV38" s="1221"/>
      <c r="DLW38" s="1221"/>
      <c r="DLX38" s="1221"/>
      <c r="DLY38" s="1221"/>
      <c r="DLZ38" s="1221"/>
      <c r="DMA38" s="1221"/>
      <c r="DMB38" s="1221"/>
      <c r="DMC38" s="1221"/>
      <c r="DMD38" s="1221"/>
      <c r="DME38" s="1221"/>
      <c r="DMF38" s="1221"/>
      <c r="DMG38" s="1221"/>
      <c r="DMH38" s="1221"/>
      <c r="DMI38" s="1221"/>
      <c r="DMJ38" s="1221"/>
      <c r="DMK38" s="1221"/>
      <c r="DML38" s="1221"/>
      <c r="DMM38" s="1221"/>
      <c r="DMN38" s="1221"/>
      <c r="DMO38" s="1221"/>
      <c r="DMP38" s="1221"/>
      <c r="DMQ38" s="1221"/>
      <c r="DMR38" s="1221"/>
      <c r="DMS38" s="1221"/>
      <c r="DMT38" s="1221"/>
      <c r="DMU38" s="1221"/>
      <c r="DMV38" s="1221"/>
      <c r="DMW38" s="1221"/>
      <c r="DMX38" s="1221"/>
      <c r="DMY38" s="1221"/>
      <c r="DMZ38" s="1221"/>
      <c r="DNA38" s="1221"/>
      <c r="DNB38" s="1221"/>
      <c r="DNC38" s="1221"/>
      <c r="DND38" s="1221"/>
      <c r="DNE38" s="1221"/>
      <c r="DNF38" s="1221"/>
      <c r="DNG38" s="1221"/>
      <c r="DNH38" s="1221"/>
      <c r="DNI38" s="1221"/>
      <c r="DNJ38" s="1221"/>
      <c r="DNK38" s="1221"/>
      <c r="DNL38" s="1221"/>
      <c r="DNM38" s="1221"/>
      <c r="DNN38" s="1221"/>
      <c r="DNO38" s="1221"/>
      <c r="DNP38" s="1221"/>
      <c r="DNQ38" s="1221"/>
      <c r="DNR38" s="1221"/>
      <c r="DNS38" s="1221"/>
      <c r="DNT38" s="1221"/>
      <c r="DNU38" s="1221"/>
      <c r="DNV38" s="1221"/>
      <c r="DNW38" s="1221"/>
      <c r="DNX38" s="1221"/>
      <c r="DNY38" s="1221"/>
      <c r="DNZ38" s="1221"/>
      <c r="DOA38" s="1221"/>
      <c r="DOB38" s="1221"/>
      <c r="DOC38" s="1221"/>
      <c r="DOD38" s="1221"/>
      <c r="DOE38" s="1221"/>
      <c r="DOF38" s="1221"/>
      <c r="DOG38" s="1221"/>
      <c r="DOH38" s="1221"/>
      <c r="DOI38" s="1221"/>
      <c r="DOJ38" s="1221"/>
      <c r="DOK38" s="1221"/>
      <c r="DOL38" s="1221"/>
      <c r="DOM38" s="1221"/>
      <c r="DON38" s="1221"/>
      <c r="DOO38" s="1221"/>
      <c r="DOP38" s="1221"/>
      <c r="DOQ38" s="1221"/>
      <c r="DOR38" s="1221"/>
      <c r="DOS38" s="1221"/>
      <c r="DOT38" s="1221"/>
      <c r="DOU38" s="1221"/>
      <c r="DOV38" s="1221"/>
      <c r="DOW38" s="1221"/>
      <c r="DOX38" s="1221"/>
      <c r="DOY38" s="1221"/>
      <c r="DOZ38" s="1221"/>
      <c r="DPA38" s="1221"/>
      <c r="DPB38" s="1221"/>
      <c r="DPC38" s="1221"/>
      <c r="DPD38" s="1221"/>
      <c r="DPE38" s="1221"/>
      <c r="DPF38" s="1221"/>
      <c r="DPG38" s="1221"/>
      <c r="DPH38" s="1221"/>
      <c r="DPI38" s="1221"/>
      <c r="DPJ38" s="1221"/>
      <c r="DPK38" s="1221"/>
      <c r="DPL38" s="1221"/>
      <c r="DPM38" s="1221"/>
      <c r="DPN38" s="1221"/>
      <c r="DPO38" s="1221"/>
      <c r="DPP38" s="1221"/>
      <c r="DPQ38" s="1221"/>
      <c r="DPR38" s="1221"/>
      <c r="DPS38" s="1221"/>
      <c r="DPT38" s="1221"/>
      <c r="DPU38" s="1221"/>
      <c r="DPV38" s="1221"/>
      <c r="DPW38" s="1221"/>
      <c r="DPX38" s="1221"/>
      <c r="DPY38" s="1221"/>
      <c r="DPZ38" s="1221"/>
      <c r="DQA38" s="1221"/>
      <c r="DQB38" s="1221"/>
      <c r="DQC38" s="1221"/>
      <c r="DQD38" s="1221"/>
      <c r="DQE38" s="1221"/>
      <c r="DQF38" s="1221"/>
      <c r="DQG38" s="1221"/>
      <c r="DQH38" s="1221"/>
      <c r="DQI38" s="1221"/>
      <c r="DQJ38" s="1221"/>
      <c r="DQK38" s="1221"/>
      <c r="DQL38" s="1221"/>
      <c r="DQM38" s="1221"/>
      <c r="DQN38" s="1221"/>
      <c r="DQO38" s="1221"/>
      <c r="DQP38" s="1221"/>
      <c r="DQQ38" s="1221"/>
      <c r="DQR38" s="1221"/>
      <c r="DQS38" s="1221"/>
      <c r="DQT38" s="1221"/>
      <c r="DQU38" s="1221"/>
      <c r="DQV38" s="1221"/>
      <c r="DQW38" s="1221"/>
      <c r="DQX38" s="1221"/>
      <c r="DQY38" s="1221"/>
      <c r="DQZ38" s="1221"/>
      <c r="DRA38" s="1221"/>
      <c r="DRB38" s="1221"/>
      <c r="DRC38" s="1221"/>
      <c r="DRD38" s="1221"/>
      <c r="DRE38" s="1221"/>
      <c r="DRF38" s="1221"/>
      <c r="DRG38" s="1221"/>
      <c r="DRH38" s="1221"/>
      <c r="DRI38" s="1221"/>
      <c r="DRJ38" s="1221"/>
      <c r="DRK38" s="1221"/>
      <c r="DRL38" s="1221"/>
      <c r="DRM38" s="1221"/>
      <c r="DRN38" s="1221"/>
      <c r="DRO38" s="1221"/>
      <c r="DRP38" s="1221"/>
      <c r="DRQ38" s="1221"/>
      <c r="DRR38" s="1221"/>
      <c r="DRS38" s="1221"/>
      <c r="DRT38" s="1221"/>
      <c r="DRU38" s="1221"/>
      <c r="DRV38" s="1221"/>
      <c r="DRW38" s="1221"/>
      <c r="DRX38" s="1221"/>
      <c r="DRY38" s="1221"/>
      <c r="DRZ38" s="1221"/>
      <c r="DSA38" s="1221"/>
      <c r="DSB38" s="1221"/>
      <c r="DSC38" s="1221"/>
      <c r="DSD38" s="1221"/>
      <c r="DSE38" s="1221"/>
      <c r="DSF38" s="1221"/>
      <c r="DSG38" s="1221"/>
      <c r="DSH38" s="1221"/>
      <c r="DSI38" s="1221"/>
      <c r="DSJ38" s="1221"/>
      <c r="DSK38" s="1221"/>
      <c r="DSL38" s="1221"/>
      <c r="DSM38" s="1221"/>
      <c r="DSN38" s="1221"/>
      <c r="DSO38" s="1221"/>
      <c r="DSP38" s="1221"/>
      <c r="DSQ38" s="1221"/>
      <c r="DSR38" s="1221"/>
      <c r="DSS38" s="1221"/>
      <c r="DST38" s="1221"/>
      <c r="DSU38" s="1221"/>
      <c r="DSV38" s="1221"/>
      <c r="DSW38" s="1221"/>
      <c r="DSX38" s="1221"/>
      <c r="DSY38" s="1221"/>
      <c r="DSZ38" s="1221"/>
      <c r="DTA38" s="1221"/>
      <c r="DTB38" s="1221"/>
      <c r="DTC38" s="1221"/>
      <c r="DTD38" s="1221"/>
      <c r="DTE38" s="1221"/>
      <c r="DTF38" s="1221"/>
      <c r="DTG38" s="1221"/>
      <c r="DTH38" s="1221"/>
      <c r="DTI38" s="1221"/>
      <c r="DTJ38" s="1221"/>
      <c r="DTK38" s="1221"/>
      <c r="DTL38" s="1221"/>
      <c r="DTM38" s="1221"/>
      <c r="DTN38" s="1221"/>
      <c r="DTO38" s="1221"/>
      <c r="DTP38" s="1221"/>
      <c r="DTQ38" s="1221"/>
      <c r="DTR38" s="1221"/>
      <c r="DTS38" s="1221"/>
      <c r="DTT38" s="1221"/>
      <c r="DTU38" s="1221"/>
      <c r="DTV38" s="1221"/>
      <c r="DTW38" s="1221"/>
      <c r="DTX38" s="1221"/>
      <c r="DTY38" s="1221"/>
      <c r="DTZ38" s="1221"/>
      <c r="DUA38" s="1221"/>
      <c r="DUB38" s="1221"/>
      <c r="DUC38" s="1221"/>
      <c r="DUD38" s="1221"/>
      <c r="DUE38" s="1221"/>
      <c r="DUF38" s="1221"/>
      <c r="DUG38" s="1221"/>
      <c r="DUH38" s="1221"/>
      <c r="DUI38" s="1221"/>
      <c r="DUJ38" s="1221"/>
      <c r="DUK38" s="1221"/>
      <c r="DUL38" s="1221"/>
      <c r="DUM38" s="1221"/>
      <c r="DUN38" s="1221"/>
      <c r="DUO38" s="1221"/>
      <c r="DUP38" s="1221"/>
      <c r="DUQ38" s="1221"/>
      <c r="DUR38" s="1221"/>
      <c r="DUS38" s="1221"/>
      <c r="DUT38" s="1221"/>
      <c r="DUU38" s="1221"/>
      <c r="DUV38" s="1221"/>
      <c r="DUW38" s="1221"/>
      <c r="DUX38" s="1221"/>
      <c r="DUY38" s="1221"/>
      <c r="DUZ38" s="1221"/>
      <c r="DVA38" s="1221"/>
      <c r="DVB38" s="1221"/>
      <c r="DVC38" s="1221"/>
      <c r="DVD38" s="1221"/>
      <c r="DVE38" s="1221"/>
      <c r="DVF38" s="1221"/>
      <c r="DVG38" s="1221"/>
      <c r="DVH38" s="1221"/>
      <c r="DVI38" s="1221"/>
      <c r="DVJ38" s="1221"/>
      <c r="DVK38" s="1221"/>
      <c r="DVL38" s="1221"/>
      <c r="DVM38" s="1221"/>
      <c r="DVN38" s="1221"/>
      <c r="DVO38" s="1221"/>
      <c r="DVP38" s="1221"/>
      <c r="DVQ38" s="1221"/>
      <c r="DVR38" s="1221"/>
      <c r="DVS38" s="1221"/>
      <c r="DVT38" s="1221"/>
      <c r="DVU38" s="1221"/>
      <c r="DVV38" s="1221"/>
      <c r="DVW38" s="1221"/>
      <c r="DVX38" s="1221"/>
      <c r="DVY38" s="1221"/>
      <c r="DVZ38" s="1221"/>
      <c r="DWA38" s="1221"/>
      <c r="DWB38" s="1221"/>
      <c r="DWC38" s="1221"/>
      <c r="DWD38" s="1221"/>
      <c r="DWE38" s="1221"/>
      <c r="DWF38" s="1221"/>
      <c r="DWG38" s="1221"/>
      <c r="DWH38" s="1221"/>
      <c r="DWI38" s="1221"/>
      <c r="DWJ38" s="1221"/>
      <c r="DWK38" s="1221"/>
      <c r="DWL38" s="1221"/>
      <c r="DWM38" s="1221"/>
      <c r="DWN38" s="1221"/>
      <c r="DWO38" s="1221"/>
      <c r="DWP38" s="1221"/>
      <c r="DWQ38" s="1221"/>
      <c r="DWR38" s="1221"/>
      <c r="DWS38" s="1221"/>
      <c r="DWT38" s="1221"/>
      <c r="DWU38" s="1221"/>
      <c r="DWV38" s="1221"/>
      <c r="DWW38" s="1221"/>
      <c r="DWX38" s="1221"/>
      <c r="DWY38" s="1221"/>
      <c r="DWZ38" s="1221"/>
      <c r="DXA38" s="1221"/>
      <c r="DXB38" s="1221"/>
      <c r="DXC38" s="1221"/>
      <c r="DXD38" s="1221"/>
      <c r="DXE38" s="1221"/>
      <c r="DXF38" s="1221"/>
      <c r="DXG38" s="1221"/>
      <c r="DXH38" s="1221"/>
      <c r="DXI38" s="1221"/>
      <c r="DXJ38" s="1221"/>
      <c r="DXK38" s="1221"/>
      <c r="DXL38" s="1221"/>
      <c r="DXM38" s="1221"/>
      <c r="DXN38" s="1221"/>
      <c r="DXO38" s="1221"/>
      <c r="DXP38" s="1221"/>
      <c r="DXQ38" s="1221"/>
      <c r="DXR38" s="1221"/>
      <c r="DXS38" s="1221"/>
      <c r="DXT38" s="1221"/>
      <c r="DXU38" s="1221"/>
      <c r="DXV38" s="1221"/>
      <c r="DXW38" s="1221"/>
      <c r="DXX38" s="1221"/>
      <c r="DXY38" s="1221"/>
      <c r="DXZ38" s="1221"/>
      <c r="DYA38" s="1221"/>
      <c r="DYB38" s="1221"/>
      <c r="DYC38" s="1221"/>
      <c r="DYD38" s="1221"/>
      <c r="DYE38" s="1221"/>
      <c r="DYF38" s="1221"/>
      <c r="DYG38" s="1221"/>
      <c r="DYH38" s="1221"/>
      <c r="DYI38" s="1221"/>
      <c r="DYJ38" s="1221"/>
      <c r="DYK38" s="1221"/>
      <c r="DYL38" s="1221"/>
      <c r="DYM38" s="1221"/>
      <c r="DYN38" s="1221"/>
      <c r="DYO38" s="1221"/>
      <c r="DYP38" s="1221"/>
      <c r="DYQ38" s="1221"/>
      <c r="DYR38" s="1221"/>
      <c r="DYS38" s="1221"/>
      <c r="DYT38" s="1221"/>
      <c r="DYU38" s="1221"/>
      <c r="DYV38" s="1221"/>
      <c r="DYW38" s="1221"/>
      <c r="DYX38" s="1221"/>
      <c r="DYY38" s="1221"/>
      <c r="DYZ38" s="1221"/>
      <c r="DZA38" s="1221"/>
      <c r="DZB38" s="1221"/>
      <c r="DZC38" s="1221"/>
      <c r="DZD38" s="1221"/>
      <c r="DZE38" s="1221"/>
      <c r="DZF38" s="1221"/>
      <c r="DZG38" s="1221"/>
      <c r="DZH38" s="1221"/>
      <c r="DZI38" s="1221"/>
      <c r="DZJ38" s="1221"/>
      <c r="DZK38" s="1221"/>
      <c r="DZL38" s="1221"/>
      <c r="DZM38" s="1221"/>
      <c r="DZN38" s="1221"/>
      <c r="DZO38" s="1221"/>
      <c r="DZP38" s="1221"/>
      <c r="DZQ38" s="1221"/>
      <c r="DZR38" s="1221"/>
      <c r="DZS38" s="1221"/>
      <c r="DZT38" s="1221"/>
      <c r="DZU38" s="1221"/>
      <c r="DZV38" s="1221"/>
      <c r="DZW38" s="1221"/>
      <c r="DZX38" s="1221"/>
      <c r="DZY38" s="1221"/>
      <c r="DZZ38" s="1221"/>
      <c r="EAA38" s="1221"/>
      <c r="EAB38" s="1221"/>
      <c r="EAC38" s="1221"/>
      <c r="EAD38" s="1221"/>
      <c r="EAE38" s="1221"/>
      <c r="EAF38" s="1221"/>
      <c r="EAG38" s="1221"/>
      <c r="EAH38" s="1221"/>
      <c r="EAI38" s="1221"/>
      <c r="EAJ38" s="1221"/>
      <c r="EAK38" s="1221"/>
      <c r="EAL38" s="1221"/>
      <c r="EAM38" s="1221"/>
      <c r="EAN38" s="1221"/>
      <c r="EAO38" s="1221"/>
      <c r="EAP38" s="1221"/>
      <c r="EAQ38" s="1221"/>
      <c r="EAR38" s="1221"/>
      <c r="EAS38" s="1221"/>
      <c r="EAT38" s="1221"/>
      <c r="EAU38" s="1221"/>
      <c r="EAV38" s="1221"/>
      <c r="EAW38" s="1221"/>
      <c r="EAX38" s="1221"/>
      <c r="EAY38" s="1221"/>
      <c r="EAZ38" s="1221"/>
      <c r="EBA38" s="1221"/>
      <c r="EBB38" s="1221"/>
      <c r="EBC38" s="1221"/>
      <c r="EBD38" s="1221"/>
      <c r="EBE38" s="1221"/>
      <c r="EBF38" s="1221"/>
      <c r="EBG38" s="1221"/>
      <c r="EBH38" s="1221"/>
      <c r="EBI38" s="1221"/>
      <c r="EBJ38" s="1221"/>
      <c r="EBK38" s="1221"/>
      <c r="EBL38" s="1221"/>
      <c r="EBM38" s="1221"/>
      <c r="EBN38" s="1221"/>
      <c r="EBO38" s="1221"/>
      <c r="EBP38" s="1221"/>
      <c r="EBQ38" s="1221"/>
      <c r="EBR38" s="1221"/>
      <c r="EBS38" s="1221"/>
      <c r="EBT38" s="1221"/>
      <c r="EBU38" s="1221"/>
      <c r="EBV38" s="1221"/>
      <c r="EBW38" s="1221"/>
      <c r="EBX38" s="1221"/>
      <c r="EBY38" s="1221"/>
      <c r="EBZ38" s="1221"/>
      <c r="ECA38" s="1221"/>
      <c r="ECB38" s="1221"/>
      <c r="ECC38" s="1221"/>
      <c r="ECD38" s="1221"/>
      <c r="ECE38" s="1221"/>
      <c r="ECF38" s="1221"/>
      <c r="ECG38" s="1221"/>
      <c r="ECH38" s="1221"/>
      <c r="ECI38" s="1221"/>
      <c r="ECJ38" s="1221"/>
      <c r="ECK38" s="1221"/>
      <c r="ECL38" s="1221"/>
      <c r="ECM38" s="1221"/>
      <c r="ECN38" s="1221"/>
      <c r="ECO38" s="1221"/>
    </row>
    <row r="39" spans="2:3473" s="1248" customFormat="1" ht="13" outlineLevel="1">
      <c r="B39" s="1249" t="s">
        <v>512</v>
      </c>
      <c r="C39" s="1250">
        <v>4</v>
      </c>
      <c r="D39" s="1251" t="s">
        <v>513</v>
      </c>
      <c r="E39" s="1252">
        <f t="shared" si="47"/>
        <v>0</v>
      </c>
      <c r="F39" s="1252">
        <f t="shared" si="47"/>
        <v>0</v>
      </c>
      <c r="G39" s="1252">
        <f t="shared" si="47"/>
        <v>0</v>
      </c>
      <c r="H39" s="1252">
        <f t="shared" si="47"/>
        <v>71.256955556118584</v>
      </c>
      <c r="I39" s="1252">
        <f t="shared" si="47"/>
        <v>65.373353669752007</v>
      </c>
      <c r="J39" s="1252">
        <f t="shared" si="47"/>
        <v>5.8836018863665833</v>
      </c>
      <c r="K39" s="1252">
        <f t="shared" si="47"/>
        <v>0</v>
      </c>
      <c r="L39" s="1252">
        <f t="shared" si="47"/>
        <v>0</v>
      </c>
      <c r="M39" s="1252">
        <f t="shared" si="47"/>
        <v>0</v>
      </c>
      <c r="N39" s="1252" t="str">
        <f t="shared" si="47"/>
        <v/>
      </c>
      <c r="O39" s="1252" t="str">
        <f t="shared" si="47"/>
        <v/>
      </c>
      <c r="P39" s="1252" t="str">
        <f t="shared" si="47"/>
        <v/>
      </c>
      <c r="Q39" s="1252">
        <f t="shared" si="47"/>
        <v>71.256955556118584</v>
      </c>
      <c r="R39" s="1252">
        <f t="shared" si="47"/>
        <v>65.373353669752007</v>
      </c>
      <c r="S39" s="1252">
        <f t="shared" si="8"/>
        <v>5.8836018863665833</v>
      </c>
      <c r="T39" s="1252">
        <f t="shared" si="5"/>
        <v>71.256955556118584</v>
      </c>
      <c r="U39" s="1252">
        <f t="shared" si="5"/>
        <v>65.373353669752007</v>
      </c>
      <c r="V39" s="1252">
        <f t="shared" si="9"/>
        <v>5.8836018863665833</v>
      </c>
      <c r="W39" s="1252" t="str">
        <f t="shared" si="10"/>
        <v/>
      </c>
      <c r="X39" s="1252" t="str">
        <f t="shared" si="10"/>
        <v/>
      </c>
      <c r="Y39" s="1252" t="str">
        <f t="shared" si="10"/>
        <v/>
      </c>
      <c r="Z39" s="1252">
        <f t="shared" ref="Z39:AB49" si="78">IF(BJ$6=0,"",BJ39*10000/BJ$6)</f>
        <v>53.634802918216117</v>
      </c>
      <c r="AA39" s="1252">
        <f t="shared" si="78"/>
        <v>49.206241170640588</v>
      </c>
      <c r="AB39" s="1252">
        <f t="shared" si="78"/>
        <v>4.4285617475755279</v>
      </c>
      <c r="AC39" s="1252">
        <f t="shared" si="15"/>
        <v>71.256955556118584</v>
      </c>
      <c r="AD39" s="1260">
        <f t="shared" si="15"/>
        <v>65.373353669752007</v>
      </c>
      <c r="AE39" s="1260">
        <f t="shared" si="15"/>
        <v>5.8836018863665833</v>
      </c>
      <c r="AF39" s="1254"/>
      <c r="AG39" s="1255"/>
      <c r="AH39" s="1255"/>
      <c r="AI39" s="1256">
        <f t="shared" si="41"/>
        <v>307.64442363320859</v>
      </c>
      <c r="AJ39" s="1256">
        <f t="shared" si="64"/>
        <v>282.24259026701895</v>
      </c>
      <c r="AK39" s="1256">
        <f t="shared" si="65"/>
        <v>25.401833366189653</v>
      </c>
      <c r="AL39" s="1256"/>
      <c r="AM39" s="1256"/>
      <c r="AN39" s="1256"/>
      <c r="AO39" s="1256">
        <f t="shared" si="21"/>
        <v>0</v>
      </c>
      <c r="AP39" s="1256">
        <f t="shared" si="66"/>
        <v>0</v>
      </c>
      <c r="AQ39" s="1256">
        <f t="shared" si="67"/>
        <v>0</v>
      </c>
      <c r="AR39" s="1256">
        <f t="shared" si="60"/>
        <v>421.65861657208728</v>
      </c>
      <c r="AS39" s="1256">
        <f t="shared" si="68"/>
        <v>386.84276719282997</v>
      </c>
      <c r="AT39" s="1256">
        <f t="shared" si="69"/>
        <v>34.815849379257301</v>
      </c>
      <c r="AU39" s="1256">
        <f t="shared" si="61"/>
        <v>7.5456127947040663</v>
      </c>
      <c r="AV39" s="1256">
        <f t="shared" si="70"/>
        <v>6.9225805401510501</v>
      </c>
      <c r="AW39" s="1256">
        <f t="shared" si="71"/>
        <v>0.62303225455301658</v>
      </c>
      <c r="AX39" s="1256"/>
      <c r="AY39" s="1256"/>
      <c r="AZ39" s="1256"/>
      <c r="BA39" s="1257">
        <f t="shared" si="62"/>
        <v>736.8486529999999</v>
      </c>
      <c r="BB39" s="1257">
        <f t="shared" si="63"/>
        <v>676.00793799999997</v>
      </c>
      <c r="BC39" s="1257">
        <f t="shared" si="63"/>
        <v>60.840714999999967</v>
      </c>
      <c r="BD39" s="1256">
        <f t="shared" si="72"/>
        <v>0</v>
      </c>
      <c r="BE39" s="1256">
        <f t="shared" si="73"/>
        <v>0</v>
      </c>
      <c r="BF39" s="1256">
        <f t="shared" si="74"/>
        <v>0</v>
      </c>
      <c r="BG39" s="1256">
        <f t="shared" si="75"/>
        <v>0</v>
      </c>
      <c r="BH39" s="1257">
        <f t="shared" si="76"/>
        <v>0</v>
      </c>
      <c r="BI39" s="1257">
        <f t="shared" si="76"/>
        <v>0</v>
      </c>
      <c r="BJ39" s="1257">
        <f t="shared" si="77"/>
        <v>736.84865300000001</v>
      </c>
      <c r="BK39" s="1256">
        <f>VLOOKUP($D39,'当期公摊测算表（全期）'!$D$9:$W$192,20,0)</f>
        <v>676.00793800000008</v>
      </c>
      <c r="BL39" s="1256">
        <f>VLOOKUP($D39,'当期公摊测算表（全期）'!$D$9:$W$192,19,0)</f>
        <v>60.840714999999975</v>
      </c>
      <c r="BM39" s="1262" t="s">
        <v>20</v>
      </c>
      <c r="BN39" s="1225">
        <f t="shared" si="12"/>
        <v>0</v>
      </c>
      <c r="BO39" s="1225">
        <f t="shared" si="13"/>
        <v>1.1368683772161603E-13</v>
      </c>
      <c r="BP39" s="1225">
        <f t="shared" si="14"/>
        <v>0</v>
      </c>
      <c r="BQ39" s="1225"/>
      <c r="BR39" s="1221"/>
      <c r="BS39" s="1221"/>
      <c r="BT39" s="1221"/>
      <c r="BU39" s="1221"/>
      <c r="BV39" s="1221"/>
      <c r="BW39" s="1221"/>
      <c r="BX39" s="1221"/>
      <c r="BY39" s="1221"/>
      <c r="BZ39" s="1221"/>
      <c r="CA39" s="1221"/>
      <c r="CB39" s="1221"/>
      <c r="CC39" s="1221"/>
      <c r="CD39" s="1221"/>
      <c r="CE39" s="1221"/>
      <c r="CF39" s="1221"/>
      <c r="CG39" s="1221"/>
      <c r="CH39" s="1221"/>
      <c r="CI39" s="1221"/>
      <c r="CJ39" s="1221"/>
      <c r="CK39" s="1221"/>
      <c r="CL39" s="1221"/>
      <c r="CM39" s="1221"/>
      <c r="CN39" s="1221"/>
      <c r="CO39" s="1221"/>
      <c r="CP39" s="1221"/>
      <c r="CQ39" s="1221"/>
      <c r="CR39" s="1221"/>
      <c r="CS39" s="1221"/>
      <c r="CT39" s="1221"/>
      <c r="CU39" s="1221"/>
      <c r="CV39" s="1221"/>
      <c r="CW39" s="1221"/>
      <c r="CX39" s="1221"/>
      <c r="CY39" s="1221"/>
      <c r="CZ39" s="1221"/>
      <c r="DA39" s="1221"/>
      <c r="DB39" s="1221"/>
      <c r="DC39" s="1221"/>
      <c r="DD39" s="1221"/>
      <c r="DE39" s="1221"/>
      <c r="DF39" s="1221"/>
      <c r="DG39" s="1221"/>
      <c r="DH39" s="1221"/>
      <c r="DI39" s="1221"/>
      <c r="DJ39" s="1221"/>
      <c r="DK39" s="1221"/>
      <c r="DL39" s="1221"/>
      <c r="DM39" s="1221"/>
      <c r="DN39" s="1221"/>
      <c r="DO39" s="1221"/>
      <c r="DP39" s="1221"/>
      <c r="DQ39" s="1221"/>
      <c r="DR39" s="1221"/>
      <c r="DS39" s="1221"/>
      <c r="DT39" s="1221"/>
      <c r="DU39" s="1221"/>
      <c r="DV39" s="1221"/>
      <c r="DW39" s="1221"/>
      <c r="DX39" s="1221"/>
      <c r="DY39" s="1221"/>
      <c r="DZ39" s="1221"/>
      <c r="EA39" s="1221"/>
      <c r="EB39" s="1221"/>
      <c r="EC39" s="1221"/>
      <c r="ED39" s="1221"/>
      <c r="EE39" s="1221"/>
      <c r="EF39" s="1221"/>
      <c r="EG39" s="1221"/>
      <c r="EH39" s="1221"/>
      <c r="EI39" s="1221"/>
      <c r="EJ39" s="1221"/>
      <c r="EK39" s="1221"/>
      <c r="EL39" s="1221"/>
      <c r="EM39" s="1221"/>
      <c r="EN39" s="1221"/>
      <c r="EO39" s="1221"/>
      <c r="EP39" s="1221"/>
      <c r="EQ39" s="1221"/>
      <c r="ER39" s="1221"/>
      <c r="ES39" s="1221"/>
      <c r="ET39" s="1221"/>
      <c r="EU39" s="1221"/>
      <c r="EV39" s="1221"/>
      <c r="EW39" s="1221"/>
      <c r="EX39" s="1221"/>
      <c r="EY39" s="1221"/>
      <c r="EZ39" s="1221"/>
      <c r="FA39" s="1221"/>
      <c r="FB39" s="1221"/>
      <c r="FC39" s="1221"/>
      <c r="FD39" s="1221"/>
      <c r="FE39" s="1221"/>
      <c r="FF39" s="1221"/>
      <c r="FG39" s="1221"/>
      <c r="FH39" s="1221"/>
      <c r="FI39" s="1221"/>
      <c r="FJ39" s="1221"/>
      <c r="FK39" s="1221"/>
      <c r="FL39" s="1221"/>
      <c r="FM39" s="1221"/>
      <c r="FN39" s="1221"/>
      <c r="FO39" s="1221"/>
      <c r="FP39" s="1221"/>
      <c r="FQ39" s="1221"/>
      <c r="FR39" s="1221"/>
      <c r="FS39" s="1221"/>
      <c r="FT39" s="1221"/>
      <c r="FU39" s="1221"/>
      <c r="FV39" s="1221"/>
      <c r="FW39" s="1221"/>
      <c r="FX39" s="1221"/>
      <c r="FY39" s="1221"/>
      <c r="FZ39" s="1221"/>
      <c r="GA39" s="1221"/>
      <c r="GB39" s="1221"/>
      <c r="GC39" s="1221"/>
      <c r="GD39" s="1221"/>
      <c r="GE39" s="1221"/>
      <c r="GF39" s="1221"/>
      <c r="GG39" s="1221"/>
      <c r="GH39" s="1221"/>
      <c r="GI39" s="1221"/>
      <c r="GJ39" s="1221"/>
      <c r="GK39" s="1221"/>
      <c r="GL39" s="1221"/>
      <c r="GM39" s="1221"/>
      <c r="GN39" s="1221"/>
      <c r="GO39" s="1221"/>
      <c r="GP39" s="1221"/>
      <c r="GQ39" s="1221"/>
      <c r="GR39" s="1221"/>
      <c r="GS39" s="1221"/>
      <c r="GT39" s="1221"/>
      <c r="GU39" s="1221"/>
      <c r="GV39" s="1221"/>
      <c r="GW39" s="1221"/>
      <c r="GX39" s="1221"/>
      <c r="GY39" s="1221"/>
      <c r="GZ39" s="1221"/>
      <c r="HA39" s="1221"/>
      <c r="HB39" s="1221"/>
      <c r="HC39" s="1221"/>
      <c r="HD39" s="1221"/>
      <c r="HE39" s="1221"/>
      <c r="HF39" s="1221"/>
      <c r="HG39" s="1221"/>
      <c r="HH39" s="1221"/>
      <c r="HI39" s="1221"/>
      <c r="HJ39" s="1221"/>
      <c r="HK39" s="1221"/>
      <c r="HL39" s="1221"/>
      <c r="HM39" s="1221"/>
      <c r="HN39" s="1221"/>
      <c r="HO39" s="1221"/>
      <c r="HP39" s="1221"/>
      <c r="HQ39" s="1221"/>
      <c r="HR39" s="1221"/>
      <c r="HS39" s="1221"/>
      <c r="HT39" s="1221"/>
      <c r="HU39" s="1221"/>
      <c r="HV39" s="1221"/>
      <c r="HW39" s="1221"/>
      <c r="HX39" s="1221"/>
      <c r="HY39" s="1221"/>
      <c r="HZ39" s="1221"/>
      <c r="IA39" s="1221"/>
      <c r="IB39" s="1221"/>
      <c r="IC39" s="1221"/>
      <c r="ID39" s="1221"/>
      <c r="IE39" s="1221"/>
      <c r="IF39" s="1221"/>
      <c r="IG39" s="1221"/>
      <c r="IH39" s="1221"/>
      <c r="II39" s="1221"/>
      <c r="IJ39" s="1221"/>
      <c r="IK39" s="1221"/>
      <c r="IL39" s="1221"/>
      <c r="IM39" s="1221"/>
      <c r="IN39" s="1221"/>
      <c r="IO39" s="1221"/>
      <c r="IP39" s="1221"/>
      <c r="IQ39" s="1221"/>
      <c r="IR39" s="1221"/>
      <c r="IS39" s="1221"/>
      <c r="IT39" s="1221"/>
      <c r="IU39" s="1221"/>
      <c r="IV39" s="1221"/>
      <c r="IW39" s="1221"/>
      <c r="IX39" s="1221"/>
      <c r="IY39" s="1221"/>
      <c r="IZ39" s="1221"/>
      <c r="JA39" s="1221"/>
      <c r="JB39" s="1221"/>
      <c r="JC39" s="1221"/>
      <c r="JD39" s="1221"/>
      <c r="JE39" s="1221"/>
      <c r="JF39" s="1221"/>
      <c r="JG39" s="1221"/>
      <c r="JH39" s="1221"/>
      <c r="JI39" s="1221"/>
      <c r="JJ39" s="1221"/>
      <c r="JK39" s="1221"/>
      <c r="JL39" s="1221"/>
      <c r="JM39" s="1221"/>
      <c r="JN39" s="1221"/>
      <c r="JO39" s="1221"/>
      <c r="JP39" s="1221"/>
      <c r="JQ39" s="1221"/>
      <c r="JR39" s="1221"/>
      <c r="JS39" s="1221"/>
      <c r="JT39" s="1221"/>
      <c r="JU39" s="1221"/>
      <c r="JV39" s="1221"/>
      <c r="JW39" s="1221"/>
      <c r="JX39" s="1221"/>
      <c r="JY39" s="1221"/>
      <c r="JZ39" s="1221"/>
      <c r="KA39" s="1221"/>
      <c r="KB39" s="1221"/>
      <c r="KC39" s="1221"/>
      <c r="KD39" s="1221"/>
      <c r="KE39" s="1221"/>
      <c r="KF39" s="1221"/>
      <c r="KG39" s="1221"/>
      <c r="KH39" s="1221"/>
      <c r="KI39" s="1221"/>
      <c r="KJ39" s="1221"/>
      <c r="KK39" s="1221"/>
      <c r="KL39" s="1221"/>
      <c r="KM39" s="1221"/>
      <c r="KN39" s="1221"/>
      <c r="KO39" s="1221"/>
      <c r="KP39" s="1221"/>
      <c r="KQ39" s="1221"/>
      <c r="KR39" s="1221"/>
      <c r="KS39" s="1221"/>
      <c r="KT39" s="1221"/>
      <c r="KU39" s="1221"/>
      <c r="KV39" s="1221"/>
      <c r="KW39" s="1221"/>
      <c r="KX39" s="1221"/>
      <c r="KY39" s="1221"/>
      <c r="KZ39" s="1221"/>
      <c r="LA39" s="1221"/>
      <c r="LB39" s="1221"/>
      <c r="LC39" s="1221"/>
      <c r="LD39" s="1221"/>
      <c r="LE39" s="1221"/>
      <c r="LF39" s="1221"/>
      <c r="LG39" s="1221"/>
      <c r="LH39" s="1221"/>
      <c r="LI39" s="1221"/>
      <c r="LJ39" s="1221"/>
      <c r="LK39" s="1221"/>
      <c r="LL39" s="1221"/>
      <c r="LM39" s="1221"/>
      <c r="LN39" s="1221"/>
      <c r="LO39" s="1221"/>
      <c r="LP39" s="1221"/>
      <c r="LQ39" s="1221"/>
      <c r="LR39" s="1221"/>
      <c r="LS39" s="1221"/>
      <c r="LT39" s="1221"/>
      <c r="LU39" s="1221"/>
      <c r="LV39" s="1221"/>
      <c r="LW39" s="1221"/>
      <c r="LX39" s="1221"/>
      <c r="LY39" s="1221"/>
      <c r="LZ39" s="1221"/>
      <c r="MA39" s="1221"/>
      <c r="MB39" s="1221"/>
      <c r="MC39" s="1221"/>
      <c r="MD39" s="1221"/>
      <c r="ME39" s="1221"/>
      <c r="MF39" s="1221"/>
      <c r="MG39" s="1221"/>
      <c r="MH39" s="1221"/>
      <c r="MI39" s="1221"/>
      <c r="MJ39" s="1221"/>
      <c r="MK39" s="1221"/>
      <c r="ML39" s="1221"/>
      <c r="MM39" s="1221"/>
      <c r="MN39" s="1221"/>
      <c r="MO39" s="1221"/>
      <c r="MP39" s="1221"/>
      <c r="MQ39" s="1221"/>
      <c r="MR39" s="1221"/>
      <c r="MS39" s="1221"/>
      <c r="MT39" s="1221"/>
      <c r="MU39" s="1221"/>
      <c r="MV39" s="1221"/>
      <c r="MW39" s="1221"/>
      <c r="MX39" s="1221"/>
      <c r="MY39" s="1221"/>
      <c r="MZ39" s="1221"/>
      <c r="NA39" s="1221"/>
      <c r="NB39" s="1221"/>
      <c r="NC39" s="1221"/>
      <c r="ND39" s="1221"/>
      <c r="NE39" s="1221"/>
      <c r="NF39" s="1221"/>
      <c r="NG39" s="1221"/>
      <c r="NH39" s="1221"/>
      <c r="NI39" s="1221"/>
      <c r="NJ39" s="1221"/>
      <c r="NK39" s="1221"/>
      <c r="NL39" s="1221"/>
      <c r="NM39" s="1221"/>
      <c r="NN39" s="1221"/>
      <c r="NO39" s="1221"/>
      <c r="NP39" s="1221"/>
      <c r="NQ39" s="1221"/>
      <c r="NR39" s="1221"/>
      <c r="NS39" s="1221"/>
      <c r="NT39" s="1221"/>
      <c r="NU39" s="1221"/>
      <c r="NV39" s="1221"/>
      <c r="NW39" s="1221"/>
      <c r="NX39" s="1221"/>
      <c r="NY39" s="1221"/>
      <c r="NZ39" s="1221"/>
      <c r="OA39" s="1221"/>
      <c r="OB39" s="1221"/>
      <c r="OC39" s="1221"/>
      <c r="OD39" s="1221"/>
      <c r="OE39" s="1221"/>
      <c r="OF39" s="1221"/>
      <c r="OG39" s="1221"/>
      <c r="OH39" s="1221"/>
      <c r="OI39" s="1221"/>
      <c r="OJ39" s="1221"/>
      <c r="OK39" s="1221"/>
      <c r="OL39" s="1221"/>
      <c r="OM39" s="1221"/>
      <c r="ON39" s="1221"/>
      <c r="OO39" s="1221"/>
      <c r="OP39" s="1221"/>
      <c r="OQ39" s="1221"/>
      <c r="OR39" s="1221"/>
      <c r="OS39" s="1221"/>
      <c r="OT39" s="1221"/>
      <c r="OU39" s="1221"/>
      <c r="OV39" s="1221"/>
      <c r="OW39" s="1221"/>
      <c r="OX39" s="1221"/>
      <c r="OY39" s="1221"/>
      <c r="OZ39" s="1221"/>
      <c r="PA39" s="1221"/>
      <c r="PB39" s="1221"/>
      <c r="PC39" s="1221"/>
      <c r="PD39" s="1221"/>
      <c r="PE39" s="1221"/>
      <c r="PF39" s="1221"/>
      <c r="PG39" s="1221"/>
      <c r="PH39" s="1221"/>
      <c r="PI39" s="1221"/>
      <c r="PJ39" s="1221"/>
      <c r="PK39" s="1221"/>
      <c r="PL39" s="1221"/>
      <c r="PM39" s="1221"/>
      <c r="PN39" s="1221"/>
      <c r="PO39" s="1221"/>
      <c r="PP39" s="1221"/>
      <c r="PQ39" s="1221"/>
      <c r="PR39" s="1221"/>
      <c r="PS39" s="1221"/>
      <c r="PT39" s="1221"/>
      <c r="PU39" s="1221"/>
      <c r="PV39" s="1221"/>
      <c r="PW39" s="1221"/>
      <c r="PX39" s="1221"/>
      <c r="PY39" s="1221"/>
      <c r="PZ39" s="1221"/>
      <c r="QA39" s="1221"/>
      <c r="QB39" s="1221"/>
      <c r="QC39" s="1221"/>
      <c r="QD39" s="1221"/>
      <c r="QE39" s="1221"/>
      <c r="QF39" s="1221"/>
      <c r="QG39" s="1221"/>
      <c r="QH39" s="1221"/>
      <c r="QI39" s="1221"/>
      <c r="QJ39" s="1221"/>
      <c r="QK39" s="1221"/>
      <c r="QL39" s="1221"/>
      <c r="QM39" s="1221"/>
      <c r="QN39" s="1221"/>
      <c r="QO39" s="1221"/>
      <c r="QP39" s="1221"/>
      <c r="QQ39" s="1221"/>
      <c r="QR39" s="1221"/>
      <c r="QS39" s="1221"/>
      <c r="QT39" s="1221"/>
      <c r="QU39" s="1221"/>
      <c r="QV39" s="1221"/>
      <c r="QW39" s="1221"/>
      <c r="QX39" s="1221"/>
      <c r="QY39" s="1221"/>
      <c r="QZ39" s="1221"/>
      <c r="RA39" s="1221"/>
      <c r="RB39" s="1221"/>
      <c r="RC39" s="1221"/>
      <c r="RD39" s="1221"/>
      <c r="RE39" s="1221"/>
      <c r="RF39" s="1221"/>
      <c r="RG39" s="1221"/>
      <c r="RH39" s="1221"/>
      <c r="RI39" s="1221"/>
      <c r="RJ39" s="1221"/>
      <c r="RK39" s="1221"/>
      <c r="RL39" s="1221"/>
      <c r="RM39" s="1221"/>
      <c r="RN39" s="1221"/>
      <c r="RO39" s="1221"/>
      <c r="RP39" s="1221"/>
      <c r="RQ39" s="1221"/>
      <c r="RR39" s="1221"/>
      <c r="RS39" s="1221"/>
      <c r="RT39" s="1221"/>
      <c r="RU39" s="1221"/>
      <c r="RV39" s="1221"/>
      <c r="RW39" s="1221"/>
      <c r="RX39" s="1221"/>
      <c r="RY39" s="1221"/>
      <c r="RZ39" s="1221"/>
      <c r="SA39" s="1221"/>
      <c r="SB39" s="1221"/>
      <c r="SC39" s="1221"/>
      <c r="SD39" s="1221"/>
      <c r="SE39" s="1221"/>
      <c r="SF39" s="1221"/>
      <c r="SG39" s="1221"/>
      <c r="SH39" s="1221"/>
      <c r="SI39" s="1221"/>
      <c r="SJ39" s="1221"/>
      <c r="SK39" s="1221"/>
      <c r="SL39" s="1221"/>
      <c r="SM39" s="1221"/>
      <c r="SN39" s="1221"/>
      <c r="SO39" s="1221"/>
      <c r="SP39" s="1221"/>
      <c r="SQ39" s="1221"/>
      <c r="SR39" s="1221"/>
      <c r="SS39" s="1221"/>
      <c r="ST39" s="1221"/>
      <c r="SU39" s="1221"/>
      <c r="SV39" s="1221"/>
      <c r="SW39" s="1221"/>
      <c r="SX39" s="1221"/>
      <c r="SY39" s="1221"/>
      <c r="SZ39" s="1221"/>
      <c r="TA39" s="1221"/>
      <c r="TB39" s="1221"/>
      <c r="TC39" s="1221"/>
      <c r="TD39" s="1221"/>
      <c r="TE39" s="1221"/>
      <c r="TF39" s="1221"/>
      <c r="TG39" s="1221"/>
      <c r="TH39" s="1221"/>
      <c r="TI39" s="1221"/>
      <c r="TJ39" s="1221"/>
      <c r="TK39" s="1221"/>
      <c r="TL39" s="1221"/>
      <c r="TM39" s="1221"/>
      <c r="TN39" s="1221"/>
      <c r="TO39" s="1221"/>
      <c r="TP39" s="1221"/>
      <c r="TQ39" s="1221"/>
      <c r="TR39" s="1221"/>
      <c r="TS39" s="1221"/>
      <c r="TT39" s="1221"/>
      <c r="TU39" s="1221"/>
      <c r="TV39" s="1221"/>
      <c r="TW39" s="1221"/>
      <c r="TX39" s="1221"/>
      <c r="TY39" s="1221"/>
      <c r="TZ39" s="1221"/>
      <c r="UA39" s="1221"/>
      <c r="UB39" s="1221"/>
      <c r="UC39" s="1221"/>
      <c r="UD39" s="1221"/>
      <c r="UE39" s="1221"/>
      <c r="UF39" s="1221"/>
      <c r="UG39" s="1221"/>
      <c r="UH39" s="1221"/>
      <c r="UI39" s="1221"/>
      <c r="UJ39" s="1221"/>
      <c r="UK39" s="1221"/>
      <c r="UL39" s="1221"/>
      <c r="UM39" s="1221"/>
      <c r="UN39" s="1221"/>
      <c r="UO39" s="1221"/>
      <c r="UP39" s="1221"/>
      <c r="UQ39" s="1221"/>
      <c r="UR39" s="1221"/>
      <c r="US39" s="1221"/>
      <c r="UT39" s="1221"/>
      <c r="UU39" s="1221"/>
      <c r="UV39" s="1221"/>
      <c r="UW39" s="1221"/>
      <c r="UX39" s="1221"/>
      <c r="UY39" s="1221"/>
      <c r="UZ39" s="1221"/>
      <c r="VA39" s="1221"/>
      <c r="VB39" s="1221"/>
      <c r="VC39" s="1221"/>
      <c r="VD39" s="1221"/>
      <c r="VE39" s="1221"/>
      <c r="VF39" s="1221"/>
      <c r="VG39" s="1221"/>
      <c r="VH39" s="1221"/>
      <c r="VI39" s="1221"/>
      <c r="VJ39" s="1221"/>
      <c r="VK39" s="1221"/>
      <c r="VL39" s="1221"/>
      <c r="VM39" s="1221"/>
      <c r="VN39" s="1221"/>
      <c r="VO39" s="1221"/>
      <c r="VP39" s="1221"/>
      <c r="VQ39" s="1221"/>
      <c r="VR39" s="1221"/>
      <c r="VS39" s="1221"/>
      <c r="VT39" s="1221"/>
      <c r="VU39" s="1221"/>
      <c r="VV39" s="1221"/>
      <c r="VW39" s="1221"/>
      <c r="VX39" s="1221"/>
      <c r="VY39" s="1221"/>
      <c r="VZ39" s="1221"/>
      <c r="WA39" s="1221"/>
      <c r="WB39" s="1221"/>
      <c r="WC39" s="1221"/>
      <c r="WD39" s="1221"/>
      <c r="WE39" s="1221"/>
      <c r="WF39" s="1221"/>
      <c r="WG39" s="1221"/>
      <c r="WH39" s="1221"/>
      <c r="WI39" s="1221"/>
      <c r="WJ39" s="1221"/>
      <c r="WK39" s="1221"/>
      <c r="WL39" s="1221"/>
      <c r="WM39" s="1221"/>
      <c r="WN39" s="1221"/>
      <c r="WO39" s="1221"/>
      <c r="WP39" s="1221"/>
      <c r="WQ39" s="1221"/>
      <c r="WR39" s="1221"/>
      <c r="WS39" s="1221"/>
      <c r="WT39" s="1221"/>
      <c r="WU39" s="1221"/>
      <c r="WV39" s="1221"/>
      <c r="WW39" s="1221"/>
      <c r="WX39" s="1221"/>
      <c r="WY39" s="1221"/>
      <c r="WZ39" s="1221"/>
      <c r="XA39" s="1221"/>
      <c r="XB39" s="1221"/>
      <c r="XC39" s="1221"/>
      <c r="XD39" s="1221"/>
      <c r="XE39" s="1221"/>
      <c r="XF39" s="1221"/>
      <c r="XG39" s="1221"/>
      <c r="XH39" s="1221"/>
      <c r="XI39" s="1221"/>
      <c r="XJ39" s="1221"/>
      <c r="XK39" s="1221"/>
      <c r="XL39" s="1221"/>
      <c r="XM39" s="1221"/>
      <c r="XN39" s="1221"/>
      <c r="XO39" s="1221"/>
      <c r="XP39" s="1221"/>
      <c r="XQ39" s="1221"/>
      <c r="XR39" s="1221"/>
      <c r="XS39" s="1221"/>
      <c r="XT39" s="1221"/>
      <c r="XU39" s="1221"/>
      <c r="XV39" s="1221"/>
      <c r="XW39" s="1221"/>
      <c r="XX39" s="1221"/>
      <c r="XY39" s="1221"/>
      <c r="XZ39" s="1221"/>
      <c r="YA39" s="1221"/>
      <c r="YB39" s="1221"/>
      <c r="YC39" s="1221"/>
      <c r="YD39" s="1221"/>
      <c r="YE39" s="1221"/>
      <c r="YF39" s="1221"/>
      <c r="YG39" s="1221"/>
      <c r="YH39" s="1221"/>
      <c r="YI39" s="1221"/>
      <c r="YJ39" s="1221"/>
      <c r="YK39" s="1221"/>
      <c r="YL39" s="1221"/>
      <c r="YM39" s="1221"/>
      <c r="YN39" s="1221"/>
      <c r="YO39" s="1221"/>
      <c r="YP39" s="1221"/>
      <c r="YQ39" s="1221"/>
      <c r="YR39" s="1221"/>
      <c r="YS39" s="1221"/>
      <c r="YT39" s="1221"/>
      <c r="YU39" s="1221"/>
      <c r="YV39" s="1221"/>
      <c r="YW39" s="1221"/>
      <c r="YX39" s="1221"/>
      <c r="YY39" s="1221"/>
      <c r="YZ39" s="1221"/>
      <c r="ZA39" s="1221"/>
      <c r="ZB39" s="1221"/>
      <c r="ZC39" s="1221"/>
      <c r="ZD39" s="1221"/>
      <c r="ZE39" s="1221"/>
      <c r="ZF39" s="1221"/>
      <c r="ZG39" s="1221"/>
      <c r="ZH39" s="1221"/>
      <c r="ZI39" s="1221"/>
      <c r="ZJ39" s="1221"/>
      <c r="ZK39" s="1221"/>
      <c r="ZL39" s="1221"/>
      <c r="ZM39" s="1221"/>
      <c r="ZN39" s="1221"/>
      <c r="ZO39" s="1221"/>
      <c r="ZP39" s="1221"/>
      <c r="ZQ39" s="1221"/>
      <c r="ZR39" s="1221"/>
      <c r="ZS39" s="1221"/>
      <c r="ZT39" s="1221"/>
      <c r="ZU39" s="1221"/>
      <c r="ZV39" s="1221"/>
      <c r="ZW39" s="1221"/>
      <c r="ZX39" s="1221"/>
      <c r="ZY39" s="1221"/>
      <c r="ZZ39" s="1221"/>
      <c r="AAA39" s="1221"/>
      <c r="AAB39" s="1221"/>
      <c r="AAC39" s="1221"/>
      <c r="AAD39" s="1221"/>
      <c r="AAE39" s="1221"/>
      <c r="AAF39" s="1221"/>
      <c r="AAG39" s="1221"/>
      <c r="AAH39" s="1221"/>
      <c r="AAI39" s="1221"/>
      <c r="AAJ39" s="1221"/>
      <c r="AAK39" s="1221"/>
      <c r="AAL39" s="1221"/>
      <c r="AAM39" s="1221"/>
      <c r="AAN39" s="1221"/>
      <c r="AAO39" s="1221"/>
      <c r="AAP39" s="1221"/>
      <c r="AAQ39" s="1221"/>
      <c r="AAR39" s="1221"/>
      <c r="AAS39" s="1221"/>
      <c r="AAT39" s="1221"/>
      <c r="AAU39" s="1221"/>
      <c r="AAV39" s="1221"/>
      <c r="AAW39" s="1221"/>
      <c r="AAX39" s="1221"/>
      <c r="AAY39" s="1221"/>
      <c r="AAZ39" s="1221"/>
      <c r="ABA39" s="1221"/>
      <c r="ABB39" s="1221"/>
      <c r="ABC39" s="1221"/>
      <c r="ABD39" s="1221"/>
      <c r="ABE39" s="1221"/>
      <c r="ABF39" s="1221"/>
      <c r="ABG39" s="1221"/>
      <c r="ABH39" s="1221"/>
      <c r="ABI39" s="1221"/>
      <c r="ABJ39" s="1221"/>
      <c r="ABK39" s="1221"/>
      <c r="ABL39" s="1221"/>
      <c r="ABM39" s="1221"/>
      <c r="ABN39" s="1221"/>
      <c r="ABO39" s="1221"/>
      <c r="ABP39" s="1221"/>
      <c r="ABQ39" s="1221"/>
      <c r="ABR39" s="1221"/>
      <c r="ABS39" s="1221"/>
      <c r="ABT39" s="1221"/>
      <c r="ABU39" s="1221"/>
      <c r="ABV39" s="1221"/>
      <c r="ABW39" s="1221"/>
      <c r="ABX39" s="1221"/>
      <c r="ABY39" s="1221"/>
      <c r="ABZ39" s="1221"/>
      <c r="ACA39" s="1221"/>
      <c r="ACB39" s="1221"/>
      <c r="ACC39" s="1221"/>
      <c r="ACD39" s="1221"/>
      <c r="ACE39" s="1221"/>
      <c r="ACF39" s="1221"/>
      <c r="ACG39" s="1221"/>
      <c r="ACH39" s="1221"/>
      <c r="ACI39" s="1221"/>
      <c r="ACJ39" s="1221"/>
      <c r="ACK39" s="1221"/>
      <c r="ACL39" s="1221"/>
      <c r="ACM39" s="1221"/>
      <c r="ACN39" s="1221"/>
      <c r="ACO39" s="1221"/>
      <c r="ACP39" s="1221"/>
      <c r="ACQ39" s="1221"/>
      <c r="ACR39" s="1221"/>
      <c r="ACS39" s="1221"/>
      <c r="ACT39" s="1221"/>
      <c r="ACU39" s="1221"/>
      <c r="ACV39" s="1221"/>
      <c r="ACW39" s="1221"/>
      <c r="ACX39" s="1221"/>
      <c r="ACY39" s="1221"/>
      <c r="ACZ39" s="1221"/>
      <c r="ADA39" s="1221"/>
      <c r="ADB39" s="1221"/>
      <c r="ADC39" s="1221"/>
      <c r="ADD39" s="1221"/>
      <c r="ADE39" s="1221"/>
      <c r="ADF39" s="1221"/>
      <c r="ADG39" s="1221"/>
      <c r="ADH39" s="1221"/>
      <c r="ADI39" s="1221"/>
      <c r="ADJ39" s="1221"/>
      <c r="ADK39" s="1221"/>
      <c r="ADL39" s="1221"/>
      <c r="ADM39" s="1221"/>
      <c r="ADN39" s="1221"/>
      <c r="ADO39" s="1221"/>
      <c r="ADP39" s="1221"/>
      <c r="ADQ39" s="1221"/>
      <c r="ADR39" s="1221"/>
      <c r="ADS39" s="1221"/>
      <c r="ADT39" s="1221"/>
      <c r="ADU39" s="1221"/>
      <c r="ADV39" s="1221"/>
      <c r="ADW39" s="1221"/>
      <c r="ADX39" s="1221"/>
      <c r="ADY39" s="1221"/>
      <c r="ADZ39" s="1221"/>
      <c r="AEA39" s="1221"/>
      <c r="AEB39" s="1221"/>
      <c r="AEC39" s="1221"/>
      <c r="AED39" s="1221"/>
      <c r="AEE39" s="1221"/>
      <c r="AEF39" s="1221"/>
      <c r="AEG39" s="1221"/>
      <c r="AEH39" s="1221"/>
      <c r="AEI39" s="1221"/>
      <c r="AEJ39" s="1221"/>
      <c r="AEK39" s="1221"/>
      <c r="AEL39" s="1221"/>
      <c r="AEM39" s="1221"/>
      <c r="AEN39" s="1221"/>
      <c r="AEO39" s="1221"/>
      <c r="AEP39" s="1221"/>
      <c r="AEQ39" s="1221"/>
      <c r="AER39" s="1221"/>
      <c r="AES39" s="1221"/>
      <c r="AET39" s="1221"/>
      <c r="AEU39" s="1221"/>
      <c r="AEV39" s="1221"/>
      <c r="AEW39" s="1221"/>
      <c r="AEX39" s="1221"/>
      <c r="AEY39" s="1221"/>
      <c r="AEZ39" s="1221"/>
      <c r="AFA39" s="1221"/>
      <c r="AFB39" s="1221"/>
      <c r="AFC39" s="1221"/>
      <c r="AFD39" s="1221"/>
      <c r="AFE39" s="1221"/>
      <c r="AFF39" s="1221"/>
      <c r="AFG39" s="1221"/>
      <c r="AFH39" s="1221"/>
      <c r="AFI39" s="1221"/>
      <c r="AFJ39" s="1221"/>
      <c r="AFK39" s="1221"/>
      <c r="AFL39" s="1221"/>
      <c r="AFM39" s="1221"/>
      <c r="AFN39" s="1221"/>
      <c r="AFO39" s="1221"/>
      <c r="AFP39" s="1221"/>
      <c r="AFQ39" s="1221"/>
      <c r="AFR39" s="1221"/>
      <c r="AFS39" s="1221"/>
      <c r="AFT39" s="1221"/>
      <c r="AFU39" s="1221"/>
      <c r="AFV39" s="1221"/>
      <c r="AFW39" s="1221"/>
      <c r="AFX39" s="1221"/>
      <c r="AFY39" s="1221"/>
      <c r="AFZ39" s="1221"/>
      <c r="AGA39" s="1221"/>
      <c r="AGB39" s="1221"/>
      <c r="AGC39" s="1221"/>
      <c r="AGD39" s="1221"/>
      <c r="AGE39" s="1221"/>
      <c r="AGF39" s="1221"/>
      <c r="AGG39" s="1221"/>
      <c r="AGH39" s="1221"/>
      <c r="AGI39" s="1221"/>
      <c r="AGJ39" s="1221"/>
      <c r="AGK39" s="1221"/>
      <c r="AGL39" s="1221"/>
      <c r="AGM39" s="1221"/>
      <c r="AGN39" s="1221"/>
      <c r="AGO39" s="1221"/>
      <c r="AGP39" s="1221"/>
      <c r="AGQ39" s="1221"/>
      <c r="AGR39" s="1221"/>
      <c r="AGS39" s="1221"/>
      <c r="AGT39" s="1221"/>
      <c r="AGU39" s="1221"/>
      <c r="AGV39" s="1221"/>
      <c r="AGW39" s="1221"/>
      <c r="AGX39" s="1221"/>
      <c r="AGY39" s="1221"/>
      <c r="AGZ39" s="1221"/>
      <c r="AHA39" s="1221"/>
      <c r="AHB39" s="1221"/>
      <c r="AHC39" s="1221"/>
      <c r="AHD39" s="1221"/>
      <c r="AHE39" s="1221"/>
      <c r="AHF39" s="1221"/>
      <c r="AHG39" s="1221"/>
      <c r="AHH39" s="1221"/>
      <c r="AHI39" s="1221"/>
      <c r="AHJ39" s="1221"/>
      <c r="AHK39" s="1221"/>
      <c r="AHL39" s="1221"/>
      <c r="AHM39" s="1221"/>
      <c r="AHN39" s="1221"/>
      <c r="AHO39" s="1221"/>
      <c r="AHP39" s="1221"/>
      <c r="AHQ39" s="1221"/>
      <c r="AHR39" s="1221"/>
      <c r="AHS39" s="1221"/>
      <c r="AHT39" s="1221"/>
      <c r="AHU39" s="1221"/>
      <c r="AHV39" s="1221"/>
      <c r="AHW39" s="1221"/>
      <c r="AHX39" s="1221"/>
      <c r="AHY39" s="1221"/>
      <c r="AHZ39" s="1221"/>
      <c r="AIA39" s="1221"/>
      <c r="AIB39" s="1221"/>
      <c r="AIC39" s="1221"/>
      <c r="AID39" s="1221"/>
      <c r="AIE39" s="1221"/>
      <c r="AIF39" s="1221"/>
      <c r="AIG39" s="1221"/>
      <c r="AIH39" s="1221"/>
      <c r="AII39" s="1221"/>
      <c r="AIJ39" s="1221"/>
      <c r="AIK39" s="1221"/>
      <c r="AIL39" s="1221"/>
      <c r="AIM39" s="1221"/>
      <c r="AIN39" s="1221"/>
      <c r="AIO39" s="1221"/>
      <c r="AIP39" s="1221"/>
      <c r="AIQ39" s="1221"/>
      <c r="AIR39" s="1221"/>
      <c r="AIS39" s="1221"/>
      <c r="AIT39" s="1221"/>
      <c r="AIU39" s="1221"/>
      <c r="AIV39" s="1221"/>
      <c r="AIW39" s="1221"/>
      <c r="AIX39" s="1221"/>
      <c r="AIY39" s="1221"/>
      <c r="AIZ39" s="1221"/>
      <c r="AJA39" s="1221"/>
      <c r="AJB39" s="1221"/>
      <c r="AJC39" s="1221"/>
      <c r="AJD39" s="1221"/>
      <c r="AJE39" s="1221"/>
      <c r="AJF39" s="1221"/>
      <c r="AJG39" s="1221"/>
      <c r="AJH39" s="1221"/>
      <c r="AJI39" s="1221"/>
      <c r="AJJ39" s="1221"/>
      <c r="AJK39" s="1221"/>
      <c r="AJL39" s="1221"/>
      <c r="AJM39" s="1221"/>
      <c r="AJN39" s="1221"/>
      <c r="AJO39" s="1221"/>
      <c r="AJP39" s="1221"/>
      <c r="AJQ39" s="1221"/>
      <c r="AJR39" s="1221"/>
      <c r="AJS39" s="1221"/>
      <c r="AJT39" s="1221"/>
      <c r="AJU39" s="1221"/>
      <c r="AJV39" s="1221"/>
      <c r="AJW39" s="1221"/>
      <c r="AJX39" s="1221"/>
      <c r="AJY39" s="1221"/>
      <c r="AJZ39" s="1221"/>
      <c r="AKA39" s="1221"/>
      <c r="AKB39" s="1221"/>
      <c r="AKC39" s="1221"/>
      <c r="AKD39" s="1221"/>
      <c r="AKE39" s="1221"/>
      <c r="AKF39" s="1221"/>
      <c r="AKG39" s="1221"/>
      <c r="AKH39" s="1221"/>
      <c r="AKI39" s="1221"/>
      <c r="AKJ39" s="1221"/>
      <c r="AKK39" s="1221"/>
      <c r="AKL39" s="1221"/>
      <c r="AKM39" s="1221"/>
      <c r="AKN39" s="1221"/>
      <c r="AKO39" s="1221"/>
      <c r="AKP39" s="1221"/>
      <c r="AKQ39" s="1221"/>
      <c r="AKR39" s="1221"/>
      <c r="AKS39" s="1221"/>
      <c r="AKT39" s="1221"/>
      <c r="AKU39" s="1221"/>
      <c r="AKV39" s="1221"/>
      <c r="AKW39" s="1221"/>
      <c r="AKX39" s="1221"/>
      <c r="AKY39" s="1221"/>
      <c r="AKZ39" s="1221"/>
      <c r="ALA39" s="1221"/>
      <c r="ALB39" s="1221"/>
      <c r="ALC39" s="1221"/>
      <c r="ALD39" s="1221"/>
      <c r="ALE39" s="1221"/>
      <c r="ALF39" s="1221"/>
      <c r="ALG39" s="1221"/>
      <c r="ALH39" s="1221"/>
      <c r="ALI39" s="1221"/>
      <c r="ALJ39" s="1221"/>
      <c r="ALK39" s="1221"/>
      <c r="ALL39" s="1221"/>
      <c r="ALM39" s="1221"/>
      <c r="ALN39" s="1221"/>
      <c r="ALO39" s="1221"/>
      <c r="ALP39" s="1221"/>
      <c r="ALQ39" s="1221"/>
      <c r="ALR39" s="1221"/>
      <c r="ALS39" s="1221"/>
      <c r="ALT39" s="1221"/>
      <c r="ALU39" s="1221"/>
      <c r="ALV39" s="1221"/>
      <c r="ALW39" s="1221"/>
      <c r="ALX39" s="1221"/>
      <c r="ALY39" s="1221"/>
      <c r="ALZ39" s="1221"/>
      <c r="AMA39" s="1221"/>
      <c r="AMB39" s="1221"/>
      <c r="AMC39" s="1221"/>
      <c r="AMD39" s="1221"/>
      <c r="AME39" s="1221"/>
      <c r="AMF39" s="1221"/>
      <c r="AMG39" s="1221"/>
      <c r="AMH39" s="1221"/>
      <c r="AMI39" s="1221"/>
      <c r="AMJ39" s="1221"/>
      <c r="AMK39" s="1221"/>
      <c r="AML39" s="1221"/>
      <c r="AMM39" s="1221"/>
      <c r="AMN39" s="1221"/>
      <c r="AMO39" s="1221"/>
      <c r="AMP39" s="1221"/>
      <c r="AMQ39" s="1221"/>
      <c r="AMR39" s="1221"/>
      <c r="AMS39" s="1221"/>
      <c r="AMT39" s="1221"/>
      <c r="AMU39" s="1221"/>
      <c r="AMV39" s="1221"/>
      <c r="AMW39" s="1221"/>
      <c r="AMX39" s="1221"/>
      <c r="AMY39" s="1221"/>
      <c r="AMZ39" s="1221"/>
      <c r="ANA39" s="1221"/>
      <c r="ANB39" s="1221"/>
      <c r="ANC39" s="1221"/>
      <c r="AND39" s="1221"/>
      <c r="ANE39" s="1221"/>
      <c r="ANF39" s="1221"/>
      <c r="ANG39" s="1221"/>
      <c r="ANH39" s="1221"/>
      <c r="ANI39" s="1221"/>
      <c r="ANJ39" s="1221"/>
      <c r="ANK39" s="1221"/>
      <c r="ANL39" s="1221"/>
      <c r="ANM39" s="1221"/>
      <c r="ANN39" s="1221"/>
      <c r="ANO39" s="1221"/>
      <c r="ANP39" s="1221"/>
      <c r="ANQ39" s="1221"/>
      <c r="ANR39" s="1221"/>
      <c r="ANS39" s="1221"/>
      <c r="ANT39" s="1221"/>
      <c r="ANU39" s="1221"/>
      <c r="ANV39" s="1221"/>
      <c r="ANW39" s="1221"/>
      <c r="ANX39" s="1221"/>
      <c r="ANY39" s="1221"/>
      <c r="ANZ39" s="1221"/>
      <c r="AOA39" s="1221"/>
      <c r="AOB39" s="1221"/>
      <c r="AOC39" s="1221"/>
      <c r="AOD39" s="1221"/>
      <c r="AOE39" s="1221"/>
      <c r="AOF39" s="1221"/>
      <c r="AOG39" s="1221"/>
      <c r="AOH39" s="1221"/>
      <c r="AOI39" s="1221"/>
      <c r="AOJ39" s="1221"/>
      <c r="AOK39" s="1221"/>
      <c r="AOL39" s="1221"/>
      <c r="AOM39" s="1221"/>
      <c r="AON39" s="1221"/>
      <c r="AOO39" s="1221"/>
      <c r="AOP39" s="1221"/>
      <c r="AOQ39" s="1221"/>
      <c r="AOR39" s="1221"/>
      <c r="AOS39" s="1221"/>
      <c r="AOT39" s="1221"/>
      <c r="AOU39" s="1221"/>
      <c r="AOV39" s="1221"/>
      <c r="AOW39" s="1221"/>
      <c r="AOX39" s="1221"/>
      <c r="AOY39" s="1221"/>
      <c r="AOZ39" s="1221"/>
      <c r="APA39" s="1221"/>
      <c r="APB39" s="1221"/>
      <c r="APC39" s="1221"/>
      <c r="APD39" s="1221"/>
      <c r="APE39" s="1221"/>
      <c r="APF39" s="1221"/>
      <c r="APG39" s="1221"/>
      <c r="APH39" s="1221"/>
      <c r="API39" s="1221"/>
      <c r="APJ39" s="1221"/>
      <c r="APK39" s="1221"/>
      <c r="APL39" s="1221"/>
      <c r="APM39" s="1221"/>
      <c r="APN39" s="1221"/>
      <c r="APO39" s="1221"/>
      <c r="APP39" s="1221"/>
      <c r="APQ39" s="1221"/>
      <c r="APR39" s="1221"/>
      <c r="APS39" s="1221"/>
      <c r="APT39" s="1221"/>
      <c r="APU39" s="1221"/>
      <c r="APV39" s="1221"/>
      <c r="APW39" s="1221"/>
      <c r="APX39" s="1221"/>
      <c r="APY39" s="1221"/>
      <c r="APZ39" s="1221"/>
      <c r="AQA39" s="1221"/>
      <c r="AQB39" s="1221"/>
      <c r="AQC39" s="1221"/>
      <c r="AQD39" s="1221"/>
      <c r="AQE39" s="1221"/>
      <c r="AQF39" s="1221"/>
      <c r="AQG39" s="1221"/>
      <c r="AQH39" s="1221"/>
      <c r="AQI39" s="1221"/>
      <c r="AQJ39" s="1221"/>
      <c r="AQK39" s="1221"/>
      <c r="AQL39" s="1221"/>
      <c r="AQM39" s="1221"/>
      <c r="AQN39" s="1221"/>
      <c r="AQO39" s="1221"/>
      <c r="AQP39" s="1221"/>
      <c r="AQQ39" s="1221"/>
      <c r="AQR39" s="1221"/>
      <c r="AQS39" s="1221"/>
      <c r="AQT39" s="1221"/>
      <c r="AQU39" s="1221"/>
      <c r="AQV39" s="1221"/>
      <c r="AQW39" s="1221"/>
      <c r="AQX39" s="1221"/>
      <c r="AQY39" s="1221"/>
      <c r="AQZ39" s="1221"/>
      <c r="ARA39" s="1221"/>
      <c r="ARB39" s="1221"/>
      <c r="ARC39" s="1221"/>
      <c r="ARD39" s="1221"/>
      <c r="ARE39" s="1221"/>
      <c r="ARF39" s="1221"/>
      <c r="ARG39" s="1221"/>
      <c r="ARH39" s="1221"/>
      <c r="ARI39" s="1221"/>
      <c r="ARJ39" s="1221"/>
      <c r="ARK39" s="1221"/>
      <c r="ARL39" s="1221"/>
      <c r="ARM39" s="1221"/>
      <c r="ARN39" s="1221"/>
      <c r="ARO39" s="1221"/>
      <c r="ARP39" s="1221"/>
      <c r="ARQ39" s="1221"/>
      <c r="ARR39" s="1221"/>
      <c r="ARS39" s="1221"/>
      <c r="ART39" s="1221"/>
      <c r="ARU39" s="1221"/>
      <c r="ARV39" s="1221"/>
      <c r="ARW39" s="1221"/>
      <c r="ARX39" s="1221"/>
      <c r="ARY39" s="1221"/>
      <c r="ARZ39" s="1221"/>
      <c r="ASA39" s="1221"/>
      <c r="ASB39" s="1221"/>
      <c r="ASC39" s="1221"/>
      <c r="ASD39" s="1221"/>
      <c r="ASE39" s="1221"/>
      <c r="ASF39" s="1221"/>
      <c r="ASG39" s="1221"/>
      <c r="ASH39" s="1221"/>
      <c r="ASI39" s="1221"/>
      <c r="ASJ39" s="1221"/>
      <c r="ASK39" s="1221"/>
      <c r="ASL39" s="1221"/>
      <c r="ASM39" s="1221"/>
      <c r="ASN39" s="1221"/>
      <c r="ASO39" s="1221"/>
      <c r="ASP39" s="1221"/>
      <c r="ASQ39" s="1221"/>
      <c r="ASR39" s="1221"/>
      <c r="ASS39" s="1221"/>
      <c r="AST39" s="1221"/>
      <c r="ASU39" s="1221"/>
      <c r="ASV39" s="1221"/>
      <c r="ASW39" s="1221"/>
      <c r="ASX39" s="1221"/>
      <c r="ASY39" s="1221"/>
      <c r="ASZ39" s="1221"/>
      <c r="ATA39" s="1221"/>
      <c r="ATB39" s="1221"/>
      <c r="ATC39" s="1221"/>
      <c r="ATD39" s="1221"/>
      <c r="ATE39" s="1221"/>
      <c r="ATF39" s="1221"/>
      <c r="ATG39" s="1221"/>
      <c r="ATH39" s="1221"/>
      <c r="ATI39" s="1221"/>
      <c r="ATJ39" s="1221"/>
      <c r="ATK39" s="1221"/>
      <c r="ATL39" s="1221"/>
      <c r="ATM39" s="1221"/>
      <c r="ATN39" s="1221"/>
      <c r="ATO39" s="1221"/>
      <c r="ATP39" s="1221"/>
      <c r="ATQ39" s="1221"/>
      <c r="ATR39" s="1221"/>
      <c r="ATS39" s="1221"/>
      <c r="ATT39" s="1221"/>
      <c r="ATU39" s="1221"/>
      <c r="ATV39" s="1221"/>
      <c r="ATW39" s="1221"/>
      <c r="ATX39" s="1221"/>
      <c r="ATY39" s="1221"/>
      <c r="ATZ39" s="1221"/>
      <c r="AUA39" s="1221"/>
      <c r="AUB39" s="1221"/>
      <c r="AUC39" s="1221"/>
      <c r="AUD39" s="1221"/>
      <c r="AUE39" s="1221"/>
      <c r="AUF39" s="1221"/>
      <c r="AUG39" s="1221"/>
      <c r="AUH39" s="1221"/>
      <c r="AUI39" s="1221"/>
      <c r="AUJ39" s="1221"/>
      <c r="AUK39" s="1221"/>
      <c r="AUL39" s="1221"/>
      <c r="AUM39" s="1221"/>
      <c r="AUN39" s="1221"/>
      <c r="AUO39" s="1221"/>
      <c r="AUP39" s="1221"/>
      <c r="AUQ39" s="1221"/>
      <c r="AUR39" s="1221"/>
      <c r="AUS39" s="1221"/>
      <c r="AUT39" s="1221"/>
      <c r="AUU39" s="1221"/>
      <c r="AUV39" s="1221"/>
      <c r="AUW39" s="1221"/>
      <c r="AUX39" s="1221"/>
      <c r="AUY39" s="1221"/>
      <c r="AUZ39" s="1221"/>
      <c r="AVA39" s="1221"/>
      <c r="AVB39" s="1221"/>
      <c r="AVC39" s="1221"/>
      <c r="AVD39" s="1221"/>
      <c r="AVE39" s="1221"/>
      <c r="AVF39" s="1221"/>
      <c r="AVG39" s="1221"/>
      <c r="AVH39" s="1221"/>
      <c r="AVI39" s="1221"/>
      <c r="AVJ39" s="1221"/>
      <c r="AVK39" s="1221"/>
      <c r="AVL39" s="1221"/>
      <c r="AVM39" s="1221"/>
      <c r="AVN39" s="1221"/>
      <c r="AVO39" s="1221"/>
      <c r="AVP39" s="1221"/>
      <c r="AVQ39" s="1221"/>
      <c r="AVR39" s="1221"/>
      <c r="AVS39" s="1221"/>
      <c r="AVT39" s="1221"/>
      <c r="AVU39" s="1221"/>
      <c r="AVV39" s="1221"/>
      <c r="AVW39" s="1221"/>
      <c r="AVX39" s="1221"/>
      <c r="AVY39" s="1221"/>
      <c r="AVZ39" s="1221"/>
      <c r="AWA39" s="1221"/>
      <c r="AWB39" s="1221"/>
      <c r="AWC39" s="1221"/>
      <c r="AWD39" s="1221"/>
      <c r="AWE39" s="1221"/>
      <c r="AWF39" s="1221"/>
      <c r="AWG39" s="1221"/>
      <c r="AWH39" s="1221"/>
      <c r="AWI39" s="1221"/>
      <c r="AWJ39" s="1221"/>
      <c r="AWK39" s="1221"/>
      <c r="AWL39" s="1221"/>
      <c r="AWM39" s="1221"/>
      <c r="AWN39" s="1221"/>
      <c r="AWO39" s="1221"/>
      <c r="AWP39" s="1221"/>
      <c r="AWQ39" s="1221"/>
      <c r="AWR39" s="1221"/>
      <c r="AWS39" s="1221"/>
      <c r="AWT39" s="1221"/>
      <c r="AWU39" s="1221"/>
      <c r="AWV39" s="1221"/>
      <c r="AWW39" s="1221"/>
      <c r="AWX39" s="1221"/>
      <c r="AWY39" s="1221"/>
      <c r="AWZ39" s="1221"/>
      <c r="AXA39" s="1221"/>
      <c r="AXB39" s="1221"/>
      <c r="AXC39" s="1221"/>
      <c r="AXD39" s="1221"/>
      <c r="AXE39" s="1221"/>
      <c r="AXF39" s="1221"/>
      <c r="AXG39" s="1221"/>
      <c r="AXH39" s="1221"/>
      <c r="AXI39" s="1221"/>
      <c r="AXJ39" s="1221"/>
      <c r="AXK39" s="1221"/>
      <c r="AXL39" s="1221"/>
      <c r="AXM39" s="1221"/>
      <c r="AXN39" s="1221"/>
      <c r="AXO39" s="1221"/>
      <c r="AXP39" s="1221"/>
      <c r="AXQ39" s="1221"/>
      <c r="AXR39" s="1221"/>
      <c r="AXS39" s="1221"/>
      <c r="AXT39" s="1221"/>
      <c r="AXU39" s="1221"/>
      <c r="AXV39" s="1221"/>
      <c r="AXW39" s="1221"/>
      <c r="AXX39" s="1221"/>
      <c r="AXY39" s="1221"/>
      <c r="AXZ39" s="1221"/>
      <c r="AYA39" s="1221"/>
      <c r="AYB39" s="1221"/>
      <c r="AYC39" s="1221"/>
      <c r="AYD39" s="1221"/>
      <c r="AYE39" s="1221"/>
      <c r="AYF39" s="1221"/>
      <c r="AYG39" s="1221"/>
      <c r="AYH39" s="1221"/>
      <c r="AYI39" s="1221"/>
      <c r="AYJ39" s="1221"/>
      <c r="AYK39" s="1221"/>
      <c r="AYL39" s="1221"/>
      <c r="AYM39" s="1221"/>
      <c r="AYN39" s="1221"/>
      <c r="AYO39" s="1221"/>
      <c r="AYP39" s="1221"/>
      <c r="AYQ39" s="1221"/>
      <c r="AYR39" s="1221"/>
      <c r="AYS39" s="1221"/>
      <c r="AYT39" s="1221"/>
      <c r="AYU39" s="1221"/>
      <c r="AYV39" s="1221"/>
      <c r="AYW39" s="1221"/>
      <c r="AYX39" s="1221"/>
      <c r="AYY39" s="1221"/>
      <c r="AYZ39" s="1221"/>
      <c r="AZA39" s="1221"/>
      <c r="AZB39" s="1221"/>
      <c r="AZC39" s="1221"/>
      <c r="AZD39" s="1221"/>
      <c r="AZE39" s="1221"/>
      <c r="AZF39" s="1221"/>
      <c r="AZG39" s="1221"/>
      <c r="AZH39" s="1221"/>
      <c r="AZI39" s="1221"/>
      <c r="AZJ39" s="1221"/>
      <c r="AZK39" s="1221"/>
      <c r="AZL39" s="1221"/>
      <c r="AZM39" s="1221"/>
      <c r="AZN39" s="1221"/>
      <c r="AZO39" s="1221"/>
      <c r="AZP39" s="1221"/>
      <c r="AZQ39" s="1221"/>
      <c r="AZR39" s="1221"/>
      <c r="AZS39" s="1221"/>
      <c r="AZT39" s="1221"/>
      <c r="AZU39" s="1221"/>
      <c r="AZV39" s="1221"/>
      <c r="AZW39" s="1221"/>
      <c r="AZX39" s="1221"/>
      <c r="AZY39" s="1221"/>
      <c r="AZZ39" s="1221"/>
      <c r="BAA39" s="1221"/>
      <c r="BAB39" s="1221"/>
      <c r="BAC39" s="1221"/>
      <c r="BAD39" s="1221"/>
      <c r="BAE39" s="1221"/>
      <c r="BAF39" s="1221"/>
      <c r="BAG39" s="1221"/>
      <c r="BAH39" s="1221"/>
      <c r="BAI39" s="1221"/>
      <c r="BAJ39" s="1221"/>
      <c r="BAK39" s="1221"/>
      <c r="BAL39" s="1221"/>
      <c r="BAM39" s="1221"/>
      <c r="BAN39" s="1221"/>
      <c r="BAO39" s="1221"/>
      <c r="BAP39" s="1221"/>
      <c r="BAQ39" s="1221"/>
      <c r="BAR39" s="1221"/>
      <c r="BAS39" s="1221"/>
      <c r="BAT39" s="1221"/>
      <c r="BAU39" s="1221"/>
      <c r="BAV39" s="1221"/>
      <c r="BAW39" s="1221"/>
      <c r="BAX39" s="1221"/>
      <c r="BAY39" s="1221"/>
      <c r="BAZ39" s="1221"/>
      <c r="BBA39" s="1221"/>
      <c r="BBB39" s="1221"/>
      <c r="BBC39" s="1221"/>
      <c r="BBD39" s="1221"/>
      <c r="BBE39" s="1221"/>
      <c r="BBF39" s="1221"/>
      <c r="BBG39" s="1221"/>
      <c r="BBH39" s="1221"/>
      <c r="BBI39" s="1221"/>
      <c r="BBJ39" s="1221"/>
      <c r="BBK39" s="1221"/>
      <c r="BBL39" s="1221"/>
      <c r="BBM39" s="1221"/>
      <c r="BBN39" s="1221"/>
      <c r="BBO39" s="1221"/>
      <c r="BBP39" s="1221"/>
      <c r="BBQ39" s="1221"/>
      <c r="BBR39" s="1221"/>
      <c r="BBS39" s="1221"/>
      <c r="BBT39" s="1221"/>
      <c r="BBU39" s="1221"/>
      <c r="BBV39" s="1221"/>
      <c r="BBW39" s="1221"/>
      <c r="BBX39" s="1221"/>
      <c r="BBY39" s="1221"/>
      <c r="BBZ39" s="1221"/>
      <c r="BCA39" s="1221"/>
      <c r="BCB39" s="1221"/>
      <c r="BCC39" s="1221"/>
      <c r="BCD39" s="1221"/>
      <c r="BCE39" s="1221"/>
      <c r="BCF39" s="1221"/>
      <c r="BCG39" s="1221"/>
      <c r="BCH39" s="1221"/>
      <c r="BCI39" s="1221"/>
      <c r="BCJ39" s="1221"/>
      <c r="BCK39" s="1221"/>
      <c r="BCL39" s="1221"/>
      <c r="BCM39" s="1221"/>
      <c r="BCN39" s="1221"/>
      <c r="BCO39" s="1221"/>
      <c r="BCP39" s="1221"/>
      <c r="BCQ39" s="1221"/>
      <c r="BCR39" s="1221"/>
      <c r="BCS39" s="1221"/>
      <c r="BCT39" s="1221"/>
      <c r="BCU39" s="1221"/>
      <c r="BCV39" s="1221"/>
      <c r="BCW39" s="1221"/>
      <c r="BCX39" s="1221"/>
      <c r="BCY39" s="1221"/>
      <c r="BCZ39" s="1221"/>
      <c r="BDA39" s="1221"/>
      <c r="BDB39" s="1221"/>
      <c r="BDC39" s="1221"/>
      <c r="BDD39" s="1221"/>
      <c r="BDE39" s="1221"/>
      <c r="BDF39" s="1221"/>
      <c r="BDG39" s="1221"/>
      <c r="BDH39" s="1221"/>
      <c r="BDI39" s="1221"/>
      <c r="BDJ39" s="1221"/>
      <c r="BDK39" s="1221"/>
      <c r="BDL39" s="1221"/>
      <c r="BDM39" s="1221"/>
      <c r="BDN39" s="1221"/>
      <c r="BDO39" s="1221"/>
      <c r="BDP39" s="1221"/>
      <c r="BDQ39" s="1221"/>
      <c r="BDR39" s="1221"/>
      <c r="BDS39" s="1221"/>
      <c r="BDT39" s="1221"/>
      <c r="BDU39" s="1221"/>
      <c r="BDV39" s="1221"/>
      <c r="BDW39" s="1221"/>
      <c r="BDX39" s="1221"/>
      <c r="BDY39" s="1221"/>
      <c r="BDZ39" s="1221"/>
      <c r="BEA39" s="1221"/>
      <c r="BEB39" s="1221"/>
      <c r="BEC39" s="1221"/>
      <c r="BED39" s="1221"/>
      <c r="BEE39" s="1221"/>
      <c r="BEF39" s="1221"/>
      <c r="BEG39" s="1221"/>
      <c r="BEH39" s="1221"/>
      <c r="BEI39" s="1221"/>
      <c r="BEJ39" s="1221"/>
      <c r="BEK39" s="1221"/>
      <c r="BEL39" s="1221"/>
      <c r="BEM39" s="1221"/>
      <c r="BEN39" s="1221"/>
      <c r="BEO39" s="1221"/>
      <c r="BEP39" s="1221"/>
      <c r="BEQ39" s="1221"/>
      <c r="BER39" s="1221"/>
      <c r="BES39" s="1221"/>
      <c r="BET39" s="1221"/>
      <c r="BEU39" s="1221"/>
      <c r="BEV39" s="1221"/>
      <c r="BEW39" s="1221"/>
      <c r="BEX39" s="1221"/>
      <c r="BEY39" s="1221"/>
      <c r="BEZ39" s="1221"/>
      <c r="BFA39" s="1221"/>
      <c r="BFB39" s="1221"/>
      <c r="BFC39" s="1221"/>
      <c r="BFD39" s="1221"/>
      <c r="BFE39" s="1221"/>
      <c r="BFF39" s="1221"/>
      <c r="BFG39" s="1221"/>
      <c r="BFH39" s="1221"/>
      <c r="BFI39" s="1221"/>
      <c r="BFJ39" s="1221"/>
      <c r="BFK39" s="1221"/>
      <c r="BFL39" s="1221"/>
      <c r="BFM39" s="1221"/>
      <c r="BFN39" s="1221"/>
      <c r="BFO39" s="1221"/>
      <c r="BFP39" s="1221"/>
      <c r="BFQ39" s="1221"/>
      <c r="BFR39" s="1221"/>
      <c r="BFS39" s="1221"/>
      <c r="BFT39" s="1221"/>
      <c r="BFU39" s="1221"/>
      <c r="BFV39" s="1221"/>
      <c r="BFW39" s="1221"/>
      <c r="BFX39" s="1221"/>
      <c r="BFY39" s="1221"/>
      <c r="BFZ39" s="1221"/>
      <c r="BGA39" s="1221"/>
      <c r="BGB39" s="1221"/>
      <c r="BGC39" s="1221"/>
      <c r="BGD39" s="1221"/>
      <c r="BGE39" s="1221"/>
      <c r="BGF39" s="1221"/>
      <c r="BGG39" s="1221"/>
      <c r="BGH39" s="1221"/>
      <c r="BGI39" s="1221"/>
      <c r="BGJ39" s="1221"/>
      <c r="BGK39" s="1221"/>
      <c r="BGL39" s="1221"/>
      <c r="BGM39" s="1221"/>
      <c r="BGN39" s="1221"/>
      <c r="BGO39" s="1221"/>
      <c r="BGP39" s="1221"/>
      <c r="BGQ39" s="1221"/>
      <c r="BGR39" s="1221"/>
      <c r="BGS39" s="1221"/>
      <c r="BGT39" s="1221"/>
      <c r="BGU39" s="1221"/>
      <c r="BGV39" s="1221"/>
      <c r="BGW39" s="1221"/>
      <c r="BGX39" s="1221"/>
      <c r="BGY39" s="1221"/>
      <c r="BGZ39" s="1221"/>
      <c r="BHA39" s="1221"/>
      <c r="BHB39" s="1221"/>
      <c r="BHC39" s="1221"/>
      <c r="BHD39" s="1221"/>
      <c r="BHE39" s="1221"/>
      <c r="BHF39" s="1221"/>
      <c r="BHG39" s="1221"/>
      <c r="BHH39" s="1221"/>
      <c r="BHI39" s="1221"/>
      <c r="BHJ39" s="1221"/>
      <c r="BHK39" s="1221"/>
      <c r="BHL39" s="1221"/>
      <c r="BHM39" s="1221"/>
      <c r="BHN39" s="1221"/>
      <c r="BHO39" s="1221"/>
      <c r="BHP39" s="1221"/>
      <c r="BHQ39" s="1221"/>
      <c r="BHR39" s="1221"/>
      <c r="BHS39" s="1221"/>
      <c r="BHT39" s="1221"/>
      <c r="BHU39" s="1221"/>
      <c r="BHV39" s="1221"/>
      <c r="BHW39" s="1221"/>
      <c r="BHX39" s="1221"/>
      <c r="BHY39" s="1221"/>
      <c r="BHZ39" s="1221"/>
      <c r="BIA39" s="1221"/>
      <c r="BIB39" s="1221"/>
      <c r="BIC39" s="1221"/>
      <c r="BID39" s="1221"/>
      <c r="BIE39" s="1221"/>
      <c r="BIF39" s="1221"/>
      <c r="BIG39" s="1221"/>
      <c r="BIH39" s="1221"/>
      <c r="BII39" s="1221"/>
      <c r="BIJ39" s="1221"/>
      <c r="BIK39" s="1221"/>
      <c r="BIL39" s="1221"/>
      <c r="BIM39" s="1221"/>
      <c r="BIN39" s="1221"/>
      <c r="BIO39" s="1221"/>
      <c r="BIP39" s="1221"/>
      <c r="BIQ39" s="1221"/>
      <c r="BIR39" s="1221"/>
      <c r="BIS39" s="1221"/>
      <c r="BIT39" s="1221"/>
      <c r="BIU39" s="1221"/>
      <c r="BIV39" s="1221"/>
      <c r="BIW39" s="1221"/>
      <c r="BIX39" s="1221"/>
      <c r="BIY39" s="1221"/>
      <c r="BIZ39" s="1221"/>
      <c r="BJA39" s="1221"/>
      <c r="BJB39" s="1221"/>
      <c r="BJC39" s="1221"/>
      <c r="BJD39" s="1221"/>
      <c r="BJE39" s="1221"/>
      <c r="BJF39" s="1221"/>
      <c r="BJG39" s="1221"/>
      <c r="BJH39" s="1221"/>
      <c r="BJI39" s="1221"/>
      <c r="BJJ39" s="1221"/>
      <c r="BJK39" s="1221"/>
      <c r="BJL39" s="1221"/>
      <c r="BJM39" s="1221"/>
      <c r="BJN39" s="1221"/>
      <c r="BJO39" s="1221"/>
      <c r="BJP39" s="1221"/>
      <c r="BJQ39" s="1221"/>
      <c r="BJR39" s="1221"/>
      <c r="BJS39" s="1221"/>
      <c r="BJT39" s="1221"/>
      <c r="BJU39" s="1221"/>
      <c r="BJV39" s="1221"/>
      <c r="BJW39" s="1221"/>
      <c r="BJX39" s="1221"/>
      <c r="BJY39" s="1221"/>
      <c r="BJZ39" s="1221"/>
      <c r="BKA39" s="1221"/>
      <c r="BKB39" s="1221"/>
      <c r="BKC39" s="1221"/>
      <c r="BKD39" s="1221"/>
      <c r="BKE39" s="1221"/>
      <c r="BKF39" s="1221"/>
      <c r="BKG39" s="1221"/>
      <c r="BKH39" s="1221"/>
      <c r="BKI39" s="1221"/>
      <c r="BKJ39" s="1221"/>
      <c r="BKK39" s="1221"/>
      <c r="BKL39" s="1221"/>
      <c r="BKM39" s="1221"/>
      <c r="BKN39" s="1221"/>
      <c r="BKO39" s="1221"/>
      <c r="BKP39" s="1221"/>
      <c r="BKQ39" s="1221"/>
      <c r="BKR39" s="1221"/>
      <c r="BKS39" s="1221"/>
      <c r="BKT39" s="1221"/>
      <c r="BKU39" s="1221"/>
      <c r="BKV39" s="1221"/>
      <c r="BKW39" s="1221"/>
      <c r="BKX39" s="1221"/>
      <c r="BKY39" s="1221"/>
      <c r="BKZ39" s="1221"/>
      <c r="BLA39" s="1221"/>
      <c r="BLB39" s="1221"/>
      <c r="BLC39" s="1221"/>
      <c r="BLD39" s="1221"/>
      <c r="BLE39" s="1221"/>
      <c r="BLF39" s="1221"/>
      <c r="BLG39" s="1221"/>
      <c r="BLH39" s="1221"/>
      <c r="BLI39" s="1221"/>
      <c r="BLJ39" s="1221"/>
      <c r="BLK39" s="1221"/>
      <c r="BLL39" s="1221"/>
      <c r="BLM39" s="1221"/>
      <c r="BLN39" s="1221"/>
      <c r="BLO39" s="1221"/>
      <c r="BLP39" s="1221"/>
      <c r="BLQ39" s="1221"/>
      <c r="BLR39" s="1221"/>
      <c r="BLS39" s="1221"/>
      <c r="BLT39" s="1221"/>
      <c r="BLU39" s="1221"/>
      <c r="BLV39" s="1221"/>
      <c r="BLW39" s="1221"/>
      <c r="BLX39" s="1221"/>
      <c r="BLY39" s="1221"/>
      <c r="BLZ39" s="1221"/>
      <c r="BMA39" s="1221"/>
      <c r="BMB39" s="1221"/>
      <c r="BMC39" s="1221"/>
      <c r="BMD39" s="1221"/>
      <c r="BME39" s="1221"/>
      <c r="BMF39" s="1221"/>
      <c r="BMG39" s="1221"/>
      <c r="BMH39" s="1221"/>
      <c r="BMI39" s="1221"/>
      <c r="BMJ39" s="1221"/>
      <c r="BMK39" s="1221"/>
      <c r="BML39" s="1221"/>
      <c r="BMM39" s="1221"/>
      <c r="BMN39" s="1221"/>
      <c r="BMO39" s="1221"/>
      <c r="BMP39" s="1221"/>
      <c r="BMQ39" s="1221"/>
      <c r="BMR39" s="1221"/>
      <c r="BMS39" s="1221"/>
      <c r="BMT39" s="1221"/>
      <c r="BMU39" s="1221"/>
      <c r="BMV39" s="1221"/>
      <c r="BMW39" s="1221"/>
      <c r="BMX39" s="1221"/>
      <c r="BMY39" s="1221"/>
      <c r="BMZ39" s="1221"/>
      <c r="BNA39" s="1221"/>
      <c r="BNB39" s="1221"/>
      <c r="BNC39" s="1221"/>
      <c r="BND39" s="1221"/>
      <c r="BNE39" s="1221"/>
      <c r="BNF39" s="1221"/>
      <c r="BNG39" s="1221"/>
      <c r="BNH39" s="1221"/>
      <c r="BNI39" s="1221"/>
      <c r="BNJ39" s="1221"/>
      <c r="BNK39" s="1221"/>
      <c r="BNL39" s="1221"/>
      <c r="BNM39" s="1221"/>
      <c r="BNN39" s="1221"/>
      <c r="BNO39" s="1221"/>
      <c r="BNP39" s="1221"/>
      <c r="BNQ39" s="1221"/>
      <c r="BNR39" s="1221"/>
      <c r="BNS39" s="1221"/>
      <c r="BNT39" s="1221"/>
      <c r="BNU39" s="1221"/>
      <c r="BNV39" s="1221"/>
      <c r="BNW39" s="1221"/>
      <c r="BNX39" s="1221"/>
      <c r="BNY39" s="1221"/>
      <c r="BNZ39" s="1221"/>
      <c r="BOA39" s="1221"/>
      <c r="BOB39" s="1221"/>
      <c r="BOC39" s="1221"/>
      <c r="BOD39" s="1221"/>
      <c r="BOE39" s="1221"/>
      <c r="BOF39" s="1221"/>
      <c r="BOG39" s="1221"/>
      <c r="BOH39" s="1221"/>
      <c r="BOI39" s="1221"/>
      <c r="BOJ39" s="1221"/>
      <c r="BOK39" s="1221"/>
      <c r="BOL39" s="1221"/>
      <c r="BOM39" s="1221"/>
      <c r="BON39" s="1221"/>
      <c r="BOO39" s="1221"/>
      <c r="BOP39" s="1221"/>
      <c r="BOQ39" s="1221"/>
      <c r="BOR39" s="1221"/>
      <c r="BOS39" s="1221"/>
      <c r="BOT39" s="1221"/>
      <c r="BOU39" s="1221"/>
      <c r="BOV39" s="1221"/>
      <c r="BOW39" s="1221"/>
      <c r="BOX39" s="1221"/>
      <c r="BOY39" s="1221"/>
      <c r="BOZ39" s="1221"/>
      <c r="BPA39" s="1221"/>
      <c r="BPB39" s="1221"/>
      <c r="BPC39" s="1221"/>
      <c r="BPD39" s="1221"/>
      <c r="BPE39" s="1221"/>
      <c r="BPF39" s="1221"/>
      <c r="BPG39" s="1221"/>
      <c r="BPH39" s="1221"/>
      <c r="BPI39" s="1221"/>
      <c r="BPJ39" s="1221"/>
      <c r="BPK39" s="1221"/>
      <c r="BPL39" s="1221"/>
      <c r="BPM39" s="1221"/>
      <c r="BPN39" s="1221"/>
      <c r="BPO39" s="1221"/>
      <c r="BPP39" s="1221"/>
      <c r="BPQ39" s="1221"/>
      <c r="BPR39" s="1221"/>
      <c r="BPS39" s="1221"/>
      <c r="BPT39" s="1221"/>
      <c r="BPU39" s="1221"/>
      <c r="BPV39" s="1221"/>
      <c r="BPW39" s="1221"/>
      <c r="BPX39" s="1221"/>
      <c r="BPY39" s="1221"/>
      <c r="BPZ39" s="1221"/>
      <c r="BQA39" s="1221"/>
      <c r="BQB39" s="1221"/>
      <c r="BQC39" s="1221"/>
      <c r="BQD39" s="1221"/>
      <c r="BQE39" s="1221"/>
      <c r="BQF39" s="1221"/>
      <c r="BQG39" s="1221"/>
      <c r="BQH39" s="1221"/>
      <c r="BQI39" s="1221"/>
      <c r="BQJ39" s="1221"/>
      <c r="BQK39" s="1221"/>
      <c r="BQL39" s="1221"/>
      <c r="BQM39" s="1221"/>
      <c r="BQN39" s="1221"/>
      <c r="BQO39" s="1221"/>
      <c r="BQP39" s="1221"/>
      <c r="BQQ39" s="1221"/>
      <c r="BQR39" s="1221"/>
      <c r="BQS39" s="1221"/>
      <c r="BQT39" s="1221"/>
      <c r="BQU39" s="1221"/>
      <c r="BQV39" s="1221"/>
      <c r="BQW39" s="1221"/>
      <c r="BQX39" s="1221"/>
      <c r="BQY39" s="1221"/>
      <c r="BQZ39" s="1221"/>
      <c r="BRA39" s="1221"/>
      <c r="BRB39" s="1221"/>
      <c r="BRC39" s="1221"/>
      <c r="BRD39" s="1221"/>
      <c r="BRE39" s="1221"/>
      <c r="BRF39" s="1221"/>
      <c r="BRG39" s="1221"/>
      <c r="BRH39" s="1221"/>
      <c r="BRI39" s="1221"/>
      <c r="BRJ39" s="1221"/>
      <c r="BRK39" s="1221"/>
      <c r="BRL39" s="1221"/>
      <c r="BRM39" s="1221"/>
      <c r="BRN39" s="1221"/>
      <c r="BRO39" s="1221"/>
      <c r="BRP39" s="1221"/>
      <c r="BRQ39" s="1221"/>
      <c r="BRR39" s="1221"/>
      <c r="BRS39" s="1221"/>
      <c r="BRT39" s="1221"/>
      <c r="BRU39" s="1221"/>
      <c r="BRV39" s="1221"/>
      <c r="BRW39" s="1221"/>
      <c r="BRX39" s="1221"/>
      <c r="BRY39" s="1221"/>
      <c r="BRZ39" s="1221"/>
      <c r="BSA39" s="1221"/>
      <c r="BSB39" s="1221"/>
      <c r="BSC39" s="1221"/>
      <c r="BSD39" s="1221"/>
      <c r="BSE39" s="1221"/>
      <c r="BSF39" s="1221"/>
      <c r="BSG39" s="1221"/>
      <c r="BSH39" s="1221"/>
      <c r="BSI39" s="1221"/>
      <c r="BSJ39" s="1221"/>
      <c r="BSK39" s="1221"/>
      <c r="BSL39" s="1221"/>
      <c r="BSM39" s="1221"/>
      <c r="BSN39" s="1221"/>
      <c r="BSO39" s="1221"/>
      <c r="BSP39" s="1221"/>
      <c r="BSQ39" s="1221"/>
      <c r="BSR39" s="1221"/>
      <c r="BSS39" s="1221"/>
      <c r="BST39" s="1221"/>
      <c r="BSU39" s="1221"/>
      <c r="BSV39" s="1221"/>
      <c r="BSW39" s="1221"/>
      <c r="BSX39" s="1221"/>
      <c r="BSY39" s="1221"/>
      <c r="BSZ39" s="1221"/>
      <c r="BTA39" s="1221"/>
      <c r="BTB39" s="1221"/>
      <c r="BTC39" s="1221"/>
      <c r="BTD39" s="1221"/>
      <c r="BTE39" s="1221"/>
      <c r="BTF39" s="1221"/>
      <c r="BTG39" s="1221"/>
      <c r="BTH39" s="1221"/>
      <c r="BTI39" s="1221"/>
      <c r="BTJ39" s="1221"/>
      <c r="BTK39" s="1221"/>
      <c r="BTL39" s="1221"/>
      <c r="BTM39" s="1221"/>
      <c r="BTN39" s="1221"/>
      <c r="BTO39" s="1221"/>
      <c r="BTP39" s="1221"/>
      <c r="BTQ39" s="1221"/>
      <c r="BTR39" s="1221"/>
      <c r="BTS39" s="1221"/>
      <c r="BTT39" s="1221"/>
      <c r="BTU39" s="1221"/>
      <c r="BTV39" s="1221"/>
      <c r="BTW39" s="1221"/>
      <c r="BTX39" s="1221"/>
      <c r="BTY39" s="1221"/>
      <c r="BTZ39" s="1221"/>
      <c r="BUA39" s="1221"/>
      <c r="BUB39" s="1221"/>
      <c r="BUC39" s="1221"/>
      <c r="BUD39" s="1221"/>
      <c r="BUE39" s="1221"/>
      <c r="BUF39" s="1221"/>
      <c r="BUG39" s="1221"/>
      <c r="BUH39" s="1221"/>
      <c r="BUI39" s="1221"/>
      <c r="BUJ39" s="1221"/>
      <c r="BUK39" s="1221"/>
      <c r="BUL39" s="1221"/>
      <c r="BUM39" s="1221"/>
      <c r="BUN39" s="1221"/>
      <c r="BUO39" s="1221"/>
      <c r="BUP39" s="1221"/>
      <c r="BUQ39" s="1221"/>
      <c r="BUR39" s="1221"/>
      <c r="BUS39" s="1221"/>
      <c r="BUT39" s="1221"/>
      <c r="BUU39" s="1221"/>
      <c r="BUV39" s="1221"/>
      <c r="BUW39" s="1221"/>
      <c r="BUX39" s="1221"/>
      <c r="BUY39" s="1221"/>
      <c r="BUZ39" s="1221"/>
      <c r="BVA39" s="1221"/>
      <c r="BVB39" s="1221"/>
      <c r="BVC39" s="1221"/>
      <c r="BVD39" s="1221"/>
      <c r="BVE39" s="1221"/>
      <c r="BVF39" s="1221"/>
      <c r="BVG39" s="1221"/>
      <c r="BVH39" s="1221"/>
      <c r="BVI39" s="1221"/>
      <c r="BVJ39" s="1221"/>
      <c r="BVK39" s="1221"/>
      <c r="BVL39" s="1221"/>
      <c r="BVM39" s="1221"/>
      <c r="BVN39" s="1221"/>
      <c r="BVO39" s="1221"/>
      <c r="BVP39" s="1221"/>
      <c r="BVQ39" s="1221"/>
      <c r="BVR39" s="1221"/>
      <c r="BVS39" s="1221"/>
      <c r="BVT39" s="1221"/>
      <c r="BVU39" s="1221"/>
      <c r="BVV39" s="1221"/>
      <c r="BVW39" s="1221"/>
      <c r="BVX39" s="1221"/>
      <c r="BVY39" s="1221"/>
      <c r="BVZ39" s="1221"/>
      <c r="BWA39" s="1221"/>
      <c r="BWB39" s="1221"/>
      <c r="BWC39" s="1221"/>
      <c r="BWD39" s="1221"/>
      <c r="BWE39" s="1221"/>
      <c r="BWF39" s="1221"/>
      <c r="BWG39" s="1221"/>
      <c r="BWH39" s="1221"/>
      <c r="BWI39" s="1221"/>
      <c r="BWJ39" s="1221"/>
      <c r="BWK39" s="1221"/>
      <c r="BWL39" s="1221"/>
      <c r="BWM39" s="1221"/>
      <c r="BWN39" s="1221"/>
      <c r="BWO39" s="1221"/>
      <c r="BWP39" s="1221"/>
      <c r="BWQ39" s="1221"/>
      <c r="BWR39" s="1221"/>
      <c r="BWS39" s="1221"/>
      <c r="BWT39" s="1221"/>
      <c r="BWU39" s="1221"/>
      <c r="BWV39" s="1221"/>
      <c r="BWW39" s="1221"/>
      <c r="BWX39" s="1221"/>
      <c r="BWY39" s="1221"/>
      <c r="BWZ39" s="1221"/>
      <c r="BXA39" s="1221"/>
      <c r="BXB39" s="1221"/>
      <c r="BXC39" s="1221"/>
      <c r="BXD39" s="1221"/>
      <c r="BXE39" s="1221"/>
      <c r="BXF39" s="1221"/>
      <c r="BXG39" s="1221"/>
      <c r="BXH39" s="1221"/>
      <c r="BXI39" s="1221"/>
      <c r="BXJ39" s="1221"/>
      <c r="BXK39" s="1221"/>
      <c r="BXL39" s="1221"/>
      <c r="BXM39" s="1221"/>
      <c r="BXN39" s="1221"/>
      <c r="BXO39" s="1221"/>
      <c r="BXP39" s="1221"/>
      <c r="BXQ39" s="1221"/>
      <c r="BXR39" s="1221"/>
      <c r="BXS39" s="1221"/>
      <c r="BXT39" s="1221"/>
      <c r="BXU39" s="1221"/>
      <c r="BXV39" s="1221"/>
      <c r="BXW39" s="1221"/>
      <c r="BXX39" s="1221"/>
      <c r="BXY39" s="1221"/>
      <c r="BXZ39" s="1221"/>
      <c r="BYA39" s="1221"/>
      <c r="BYB39" s="1221"/>
      <c r="BYC39" s="1221"/>
      <c r="BYD39" s="1221"/>
      <c r="BYE39" s="1221"/>
      <c r="BYF39" s="1221"/>
      <c r="BYG39" s="1221"/>
      <c r="BYH39" s="1221"/>
      <c r="BYI39" s="1221"/>
      <c r="BYJ39" s="1221"/>
      <c r="BYK39" s="1221"/>
      <c r="BYL39" s="1221"/>
      <c r="BYM39" s="1221"/>
      <c r="BYN39" s="1221"/>
      <c r="BYO39" s="1221"/>
      <c r="BYP39" s="1221"/>
      <c r="BYQ39" s="1221"/>
      <c r="BYR39" s="1221"/>
      <c r="BYS39" s="1221"/>
      <c r="BYT39" s="1221"/>
      <c r="BYU39" s="1221"/>
      <c r="BYV39" s="1221"/>
      <c r="BYW39" s="1221"/>
      <c r="BYX39" s="1221"/>
      <c r="BYY39" s="1221"/>
      <c r="BYZ39" s="1221"/>
      <c r="BZA39" s="1221"/>
      <c r="BZB39" s="1221"/>
      <c r="BZC39" s="1221"/>
      <c r="BZD39" s="1221"/>
      <c r="BZE39" s="1221"/>
      <c r="BZF39" s="1221"/>
      <c r="BZG39" s="1221"/>
      <c r="BZH39" s="1221"/>
      <c r="BZI39" s="1221"/>
      <c r="BZJ39" s="1221"/>
      <c r="BZK39" s="1221"/>
      <c r="BZL39" s="1221"/>
      <c r="BZM39" s="1221"/>
      <c r="BZN39" s="1221"/>
      <c r="BZO39" s="1221"/>
      <c r="BZP39" s="1221"/>
      <c r="BZQ39" s="1221"/>
      <c r="BZR39" s="1221"/>
      <c r="BZS39" s="1221"/>
      <c r="BZT39" s="1221"/>
      <c r="BZU39" s="1221"/>
      <c r="BZV39" s="1221"/>
      <c r="BZW39" s="1221"/>
      <c r="BZX39" s="1221"/>
      <c r="BZY39" s="1221"/>
      <c r="BZZ39" s="1221"/>
      <c r="CAA39" s="1221"/>
      <c r="CAB39" s="1221"/>
      <c r="CAC39" s="1221"/>
      <c r="CAD39" s="1221"/>
      <c r="CAE39" s="1221"/>
      <c r="CAF39" s="1221"/>
      <c r="CAG39" s="1221"/>
      <c r="CAH39" s="1221"/>
      <c r="CAI39" s="1221"/>
      <c r="CAJ39" s="1221"/>
      <c r="CAK39" s="1221"/>
      <c r="CAL39" s="1221"/>
      <c r="CAM39" s="1221"/>
      <c r="CAN39" s="1221"/>
      <c r="CAO39" s="1221"/>
      <c r="CAP39" s="1221"/>
      <c r="CAQ39" s="1221"/>
      <c r="CAR39" s="1221"/>
      <c r="CAS39" s="1221"/>
      <c r="CAT39" s="1221"/>
      <c r="CAU39" s="1221"/>
      <c r="CAV39" s="1221"/>
      <c r="CAW39" s="1221"/>
      <c r="CAX39" s="1221"/>
      <c r="CAY39" s="1221"/>
      <c r="CAZ39" s="1221"/>
      <c r="CBA39" s="1221"/>
      <c r="CBB39" s="1221"/>
      <c r="CBC39" s="1221"/>
      <c r="CBD39" s="1221"/>
      <c r="CBE39" s="1221"/>
      <c r="CBF39" s="1221"/>
      <c r="CBG39" s="1221"/>
      <c r="CBH39" s="1221"/>
      <c r="CBI39" s="1221"/>
      <c r="CBJ39" s="1221"/>
      <c r="CBK39" s="1221"/>
      <c r="CBL39" s="1221"/>
      <c r="CBM39" s="1221"/>
      <c r="CBN39" s="1221"/>
      <c r="CBO39" s="1221"/>
      <c r="CBP39" s="1221"/>
      <c r="CBQ39" s="1221"/>
      <c r="CBR39" s="1221"/>
      <c r="CBS39" s="1221"/>
      <c r="CBT39" s="1221"/>
      <c r="CBU39" s="1221"/>
      <c r="CBV39" s="1221"/>
      <c r="CBW39" s="1221"/>
      <c r="CBX39" s="1221"/>
      <c r="CBY39" s="1221"/>
      <c r="CBZ39" s="1221"/>
      <c r="CCA39" s="1221"/>
      <c r="CCB39" s="1221"/>
      <c r="CCC39" s="1221"/>
      <c r="CCD39" s="1221"/>
      <c r="CCE39" s="1221"/>
      <c r="CCF39" s="1221"/>
      <c r="CCG39" s="1221"/>
      <c r="CCH39" s="1221"/>
      <c r="CCI39" s="1221"/>
      <c r="CCJ39" s="1221"/>
      <c r="CCK39" s="1221"/>
      <c r="CCL39" s="1221"/>
      <c r="CCM39" s="1221"/>
      <c r="CCN39" s="1221"/>
      <c r="CCO39" s="1221"/>
      <c r="CCP39" s="1221"/>
      <c r="CCQ39" s="1221"/>
      <c r="CCR39" s="1221"/>
      <c r="CCS39" s="1221"/>
      <c r="CCT39" s="1221"/>
      <c r="CCU39" s="1221"/>
      <c r="CCV39" s="1221"/>
      <c r="CCW39" s="1221"/>
      <c r="CCX39" s="1221"/>
      <c r="CCY39" s="1221"/>
      <c r="CCZ39" s="1221"/>
      <c r="CDA39" s="1221"/>
      <c r="CDB39" s="1221"/>
      <c r="CDC39" s="1221"/>
      <c r="CDD39" s="1221"/>
      <c r="CDE39" s="1221"/>
      <c r="CDF39" s="1221"/>
      <c r="CDG39" s="1221"/>
      <c r="CDH39" s="1221"/>
      <c r="CDI39" s="1221"/>
      <c r="CDJ39" s="1221"/>
      <c r="CDK39" s="1221"/>
      <c r="CDL39" s="1221"/>
      <c r="CDM39" s="1221"/>
      <c r="CDN39" s="1221"/>
      <c r="CDO39" s="1221"/>
      <c r="CDP39" s="1221"/>
      <c r="CDQ39" s="1221"/>
      <c r="CDR39" s="1221"/>
      <c r="CDS39" s="1221"/>
      <c r="CDT39" s="1221"/>
      <c r="CDU39" s="1221"/>
      <c r="CDV39" s="1221"/>
      <c r="CDW39" s="1221"/>
      <c r="CDX39" s="1221"/>
      <c r="CDY39" s="1221"/>
      <c r="CDZ39" s="1221"/>
      <c r="CEA39" s="1221"/>
      <c r="CEB39" s="1221"/>
      <c r="CEC39" s="1221"/>
      <c r="CED39" s="1221"/>
      <c r="CEE39" s="1221"/>
      <c r="CEF39" s="1221"/>
      <c r="CEG39" s="1221"/>
      <c r="CEH39" s="1221"/>
      <c r="CEI39" s="1221"/>
      <c r="CEJ39" s="1221"/>
      <c r="CEK39" s="1221"/>
      <c r="CEL39" s="1221"/>
      <c r="CEM39" s="1221"/>
      <c r="CEN39" s="1221"/>
      <c r="CEO39" s="1221"/>
      <c r="CEP39" s="1221"/>
      <c r="CEQ39" s="1221"/>
      <c r="CER39" s="1221"/>
      <c r="CES39" s="1221"/>
      <c r="CET39" s="1221"/>
      <c r="CEU39" s="1221"/>
      <c r="CEV39" s="1221"/>
      <c r="CEW39" s="1221"/>
      <c r="CEX39" s="1221"/>
      <c r="CEY39" s="1221"/>
      <c r="CEZ39" s="1221"/>
      <c r="CFA39" s="1221"/>
      <c r="CFB39" s="1221"/>
      <c r="CFC39" s="1221"/>
      <c r="CFD39" s="1221"/>
      <c r="CFE39" s="1221"/>
      <c r="CFF39" s="1221"/>
      <c r="CFG39" s="1221"/>
      <c r="CFH39" s="1221"/>
      <c r="CFI39" s="1221"/>
      <c r="CFJ39" s="1221"/>
      <c r="CFK39" s="1221"/>
      <c r="CFL39" s="1221"/>
      <c r="CFM39" s="1221"/>
      <c r="CFN39" s="1221"/>
      <c r="CFO39" s="1221"/>
      <c r="CFP39" s="1221"/>
      <c r="CFQ39" s="1221"/>
      <c r="CFR39" s="1221"/>
      <c r="CFS39" s="1221"/>
      <c r="CFT39" s="1221"/>
      <c r="CFU39" s="1221"/>
      <c r="CFV39" s="1221"/>
      <c r="CFW39" s="1221"/>
      <c r="CFX39" s="1221"/>
      <c r="CFY39" s="1221"/>
      <c r="CFZ39" s="1221"/>
      <c r="CGA39" s="1221"/>
      <c r="CGB39" s="1221"/>
      <c r="CGC39" s="1221"/>
      <c r="CGD39" s="1221"/>
      <c r="CGE39" s="1221"/>
      <c r="CGF39" s="1221"/>
      <c r="CGG39" s="1221"/>
      <c r="CGH39" s="1221"/>
      <c r="CGI39" s="1221"/>
      <c r="CGJ39" s="1221"/>
      <c r="CGK39" s="1221"/>
      <c r="CGL39" s="1221"/>
      <c r="CGM39" s="1221"/>
      <c r="CGN39" s="1221"/>
      <c r="CGO39" s="1221"/>
      <c r="CGP39" s="1221"/>
      <c r="CGQ39" s="1221"/>
      <c r="CGR39" s="1221"/>
      <c r="CGS39" s="1221"/>
      <c r="CGT39" s="1221"/>
      <c r="CGU39" s="1221"/>
      <c r="CGV39" s="1221"/>
      <c r="CGW39" s="1221"/>
      <c r="CGX39" s="1221"/>
      <c r="CGY39" s="1221"/>
      <c r="CGZ39" s="1221"/>
      <c r="CHA39" s="1221"/>
      <c r="CHB39" s="1221"/>
      <c r="CHC39" s="1221"/>
      <c r="CHD39" s="1221"/>
      <c r="CHE39" s="1221"/>
      <c r="CHF39" s="1221"/>
      <c r="CHG39" s="1221"/>
      <c r="CHH39" s="1221"/>
      <c r="CHI39" s="1221"/>
      <c r="CHJ39" s="1221"/>
      <c r="CHK39" s="1221"/>
      <c r="CHL39" s="1221"/>
      <c r="CHM39" s="1221"/>
      <c r="CHN39" s="1221"/>
      <c r="CHO39" s="1221"/>
      <c r="CHP39" s="1221"/>
      <c r="CHQ39" s="1221"/>
      <c r="CHR39" s="1221"/>
      <c r="CHS39" s="1221"/>
      <c r="CHT39" s="1221"/>
      <c r="CHU39" s="1221"/>
      <c r="CHV39" s="1221"/>
      <c r="CHW39" s="1221"/>
      <c r="CHX39" s="1221"/>
      <c r="CHY39" s="1221"/>
      <c r="CHZ39" s="1221"/>
      <c r="CIA39" s="1221"/>
      <c r="CIB39" s="1221"/>
      <c r="CIC39" s="1221"/>
      <c r="CID39" s="1221"/>
      <c r="CIE39" s="1221"/>
      <c r="CIF39" s="1221"/>
      <c r="CIG39" s="1221"/>
      <c r="CIH39" s="1221"/>
      <c r="CII39" s="1221"/>
      <c r="CIJ39" s="1221"/>
      <c r="CIK39" s="1221"/>
      <c r="CIL39" s="1221"/>
      <c r="CIM39" s="1221"/>
      <c r="CIN39" s="1221"/>
      <c r="CIO39" s="1221"/>
      <c r="CIP39" s="1221"/>
      <c r="CIQ39" s="1221"/>
      <c r="CIR39" s="1221"/>
      <c r="CIS39" s="1221"/>
      <c r="CIT39" s="1221"/>
      <c r="CIU39" s="1221"/>
      <c r="CIV39" s="1221"/>
      <c r="CIW39" s="1221"/>
      <c r="CIX39" s="1221"/>
      <c r="CIY39" s="1221"/>
      <c r="CIZ39" s="1221"/>
      <c r="CJA39" s="1221"/>
      <c r="CJB39" s="1221"/>
      <c r="CJC39" s="1221"/>
      <c r="CJD39" s="1221"/>
      <c r="CJE39" s="1221"/>
      <c r="CJF39" s="1221"/>
      <c r="CJG39" s="1221"/>
      <c r="CJH39" s="1221"/>
      <c r="CJI39" s="1221"/>
      <c r="CJJ39" s="1221"/>
      <c r="CJK39" s="1221"/>
      <c r="CJL39" s="1221"/>
      <c r="CJM39" s="1221"/>
      <c r="CJN39" s="1221"/>
      <c r="CJO39" s="1221"/>
      <c r="CJP39" s="1221"/>
      <c r="CJQ39" s="1221"/>
      <c r="CJR39" s="1221"/>
      <c r="CJS39" s="1221"/>
      <c r="CJT39" s="1221"/>
      <c r="CJU39" s="1221"/>
      <c r="CJV39" s="1221"/>
      <c r="CJW39" s="1221"/>
      <c r="CJX39" s="1221"/>
      <c r="CJY39" s="1221"/>
      <c r="CJZ39" s="1221"/>
      <c r="CKA39" s="1221"/>
      <c r="CKB39" s="1221"/>
      <c r="CKC39" s="1221"/>
      <c r="CKD39" s="1221"/>
      <c r="CKE39" s="1221"/>
      <c r="CKF39" s="1221"/>
      <c r="CKG39" s="1221"/>
      <c r="CKH39" s="1221"/>
      <c r="CKI39" s="1221"/>
      <c r="CKJ39" s="1221"/>
      <c r="CKK39" s="1221"/>
      <c r="CKL39" s="1221"/>
      <c r="CKM39" s="1221"/>
      <c r="CKN39" s="1221"/>
      <c r="CKO39" s="1221"/>
      <c r="CKP39" s="1221"/>
      <c r="CKQ39" s="1221"/>
      <c r="CKR39" s="1221"/>
      <c r="CKS39" s="1221"/>
      <c r="CKT39" s="1221"/>
      <c r="CKU39" s="1221"/>
      <c r="CKV39" s="1221"/>
      <c r="CKW39" s="1221"/>
      <c r="CKX39" s="1221"/>
      <c r="CKY39" s="1221"/>
      <c r="CKZ39" s="1221"/>
      <c r="CLA39" s="1221"/>
      <c r="CLB39" s="1221"/>
      <c r="CLC39" s="1221"/>
      <c r="CLD39" s="1221"/>
      <c r="CLE39" s="1221"/>
      <c r="CLF39" s="1221"/>
      <c r="CLG39" s="1221"/>
      <c r="CLH39" s="1221"/>
      <c r="CLI39" s="1221"/>
      <c r="CLJ39" s="1221"/>
      <c r="CLK39" s="1221"/>
      <c r="CLL39" s="1221"/>
      <c r="CLM39" s="1221"/>
      <c r="CLN39" s="1221"/>
      <c r="CLO39" s="1221"/>
      <c r="CLP39" s="1221"/>
      <c r="CLQ39" s="1221"/>
      <c r="CLR39" s="1221"/>
      <c r="CLS39" s="1221"/>
      <c r="CLT39" s="1221"/>
      <c r="CLU39" s="1221"/>
      <c r="CLV39" s="1221"/>
      <c r="CLW39" s="1221"/>
      <c r="CLX39" s="1221"/>
      <c r="CLY39" s="1221"/>
      <c r="CLZ39" s="1221"/>
      <c r="CMA39" s="1221"/>
      <c r="CMB39" s="1221"/>
      <c r="CMC39" s="1221"/>
      <c r="CMD39" s="1221"/>
      <c r="CME39" s="1221"/>
      <c r="CMF39" s="1221"/>
      <c r="CMG39" s="1221"/>
      <c r="CMH39" s="1221"/>
      <c r="CMI39" s="1221"/>
      <c r="CMJ39" s="1221"/>
      <c r="CMK39" s="1221"/>
      <c r="CML39" s="1221"/>
      <c r="CMM39" s="1221"/>
      <c r="CMN39" s="1221"/>
      <c r="CMO39" s="1221"/>
      <c r="CMP39" s="1221"/>
      <c r="CMQ39" s="1221"/>
      <c r="CMR39" s="1221"/>
      <c r="CMS39" s="1221"/>
      <c r="CMT39" s="1221"/>
      <c r="CMU39" s="1221"/>
      <c r="CMV39" s="1221"/>
      <c r="CMW39" s="1221"/>
      <c r="CMX39" s="1221"/>
      <c r="CMY39" s="1221"/>
      <c r="CMZ39" s="1221"/>
      <c r="CNA39" s="1221"/>
      <c r="CNB39" s="1221"/>
      <c r="CNC39" s="1221"/>
      <c r="CND39" s="1221"/>
      <c r="CNE39" s="1221"/>
      <c r="CNF39" s="1221"/>
      <c r="CNG39" s="1221"/>
      <c r="CNH39" s="1221"/>
      <c r="CNI39" s="1221"/>
      <c r="CNJ39" s="1221"/>
      <c r="CNK39" s="1221"/>
      <c r="CNL39" s="1221"/>
      <c r="CNM39" s="1221"/>
      <c r="CNN39" s="1221"/>
      <c r="CNO39" s="1221"/>
      <c r="CNP39" s="1221"/>
      <c r="CNQ39" s="1221"/>
      <c r="CNR39" s="1221"/>
      <c r="CNS39" s="1221"/>
      <c r="CNT39" s="1221"/>
      <c r="CNU39" s="1221"/>
      <c r="CNV39" s="1221"/>
      <c r="CNW39" s="1221"/>
      <c r="CNX39" s="1221"/>
      <c r="CNY39" s="1221"/>
      <c r="CNZ39" s="1221"/>
      <c r="COA39" s="1221"/>
      <c r="COB39" s="1221"/>
      <c r="COC39" s="1221"/>
      <c r="COD39" s="1221"/>
      <c r="COE39" s="1221"/>
      <c r="COF39" s="1221"/>
      <c r="COG39" s="1221"/>
      <c r="COH39" s="1221"/>
      <c r="COI39" s="1221"/>
      <c r="COJ39" s="1221"/>
      <c r="COK39" s="1221"/>
      <c r="COL39" s="1221"/>
      <c r="COM39" s="1221"/>
      <c r="CON39" s="1221"/>
      <c r="COO39" s="1221"/>
      <c r="COP39" s="1221"/>
      <c r="COQ39" s="1221"/>
      <c r="COR39" s="1221"/>
      <c r="COS39" s="1221"/>
      <c r="COT39" s="1221"/>
      <c r="COU39" s="1221"/>
      <c r="COV39" s="1221"/>
      <c r="COW39" s="1221"/>
      <c r="COX39" s="1221"/>
      <c r="COY39" s="1221"/>
      <c r="COZ39" s="1221"/>
      <c r="CPA39" s="1221"/>
      <c r="CPB39" s="1221"/>
      <c r="CPC39" s="1221"/>
      <c r="CPD39" s="1221"/>
      <c r="CPE39" s="1221"/>
      <c r="CPF39" s="1221"/>
      <c r="CPG39" s="1221"/>
      <c r="CPH39" s="1221"/>
      <c r="CPI39" s="1221"/>
      <c r="CPJ39" s="1221"/>
      <c r="CPK39" s="1221"/>
      <c r="CPL39" s="1221"/>
      <c r="CPM39" s="1221"/>
      <c r="CPN39" s="1221"/>
      <c r="CPO39" s="1221"/>
      <c r="CPP39" s="1221"/>
      <c r="CPQ39" s="1221"/>
      <c r="CPR39" s="1221"/>
      <c r="CPS39" s="1221"/>
      <c r="CPT39" s="1221"/>
      <c r="CPU39" s="1221"/>
      <c r="CPV39" s="1221"/>
      <c r="CPW39" s="1221"/>
      <c r="CPX39" s="1221"/>
      <c r="CPY39" s="1221"/>
      <c r="CPZ39" s="1221"/>
      <c r="CQA39" s="1221"/>
      <c r="CQB39" s="1221"/>
      <c r="CQC39" s="1221"/>
      <c r="CQD39" s="1221"/>
      <c r="CQE39" s="1221"/>
      <c r="CQF39" s="1221"/>
      <c r="CQG39" s="1221"/>
      <c r="CQH39" s="1221"/>
      <c r="CQI39" s="1221"/>
      <c r="CQJ39" s="1221"/>
      <c r="CQK39" s="1221"/>
      <c r="CQL39" s="1221"/>
      <c r="CQM39" s="1221"/>
      <c r="CQN39" s="1221"/>
      <c r="CQO39" s="1221"/>
      <c r="CQP39" s="1221"/>
      <c r="CQQ39" s="1221"/>
      <c r="CQR39" s="1221"/>
      <c r="CQS39" s="1221"/>
      <c r="CQT39" s="1221"/>
      <c r="CQU39" s="1221"/>
      <c r="CQV39" s="1221"/>
      <c r="CQW39" s="1221"/>
      <c r="CQX39" s="1221"/>
      <c r="CQY39" s="1221"/>
      <c r="CQZ39" s="1221"/>
      <c r="CRA39" s="1221"/>
      <c r="CRB39" s="1221"/>
      <c r="CRC39" s="1221"/>
      <c r="CRD39" s="1221"/>
      <c r="CRE39" s="1221"/>
      <c r="CRF39" s="1221"/>
      <c r="CRG39" s="1221"/>
      <c r="CRH39" s="1221"/>
      <c r="CRI39" s="1221"/>
      <c r="CRJ39" s="1221"/>
      <c r="CRK39" s="1221"/>
      <c r="CRL39" s="1221"/>
      <c r="CRM39" s="1221"/>
      <c r="CRN39" s="1221"/>
      <c r="CRO39" s="1221"/>
      <c r="CRP39" s="1221"/>
      <c r="CRQ39" s="1221"/>
      <c r="CRR39" s="1221"/>
      <c r="CRS39" s="1221"/>
      <c r="CRT39" s="1221"/>
      <c r="CRU39" s="1221"/>
      <c r="CRV39" s="1221"/>
      <c r="CRW39" s="1221"/>
      <c r="CRX39" s="1221"/>
      <c r="CRY39" s="1221"/>
      <c r="CRZ39" s="1221"/>
      <c r="CSA39" s="1221"/>
      <c r="CSB39" s="1221"/>
      <c r="CSC39" s="1221"/>
      <c r="CSD39" s="1221"/>
      <c r="CSE39" s="1221"/>
      <c r="CSF39" s="1221"/>
      <c r="CSG39" s="1221"/>
      <c r="CSH39" s="1221"/>
      <c r="CSI39" s="1221"/>
      <c r="CSJ39" s="1221"/>
      <c r="CSK39" s="1221"/>
      <c r="CSL39" s="1221"/>
      <c r="CSM39" s="1221"/>
      <c r="CSN39" s="1221"/>
      <c r="CSO39" s="1221"/>
      <c r="CSP39" s="1221"/>
      <c r="CSQ39" s="1221"/>
      <c r="CSR39" s="1221"/>
      <c r="CSS39" s="1221"/>
      <c r="CST39" s="1221"/>
      <c r="CSU39" s="1221"/>
      <c r="CSV39" s="1221"/>
      <c r="CSW39" s="1221"/>
      <c r="CSX39" s="1221"/>
      <c r="CSY39" s="1221"/>
      <c r="CSZ39" s="1221"/>
      <c r="CTA39" s="1221"/>
      <c r="CTB39" s="1221"/>
      <c r="CTC39" s="1221"/>
      <c r="CTD39" s="1221"/>
      <c r="CTE39" s="1221"/>
      <c r="CTF39" s="1221"/>
      <c r="CTG39" s="1221"/>
      <c r="CTH39" s="1221"/>
      <c r="CTI39" s="1221"/>
      <c r="CTJ39" s="1221"/>
      <c r="CTK39" s="1221"/>
      <c r="CTL39" s="1221"/>
      <c r="CTM39" s="1221"/>
      <c r="CTN39" s="1221"/>
      <c r="CTO39" s="1221"/>
      <c r="CTP39" s="1221"/>
      <c r="CTQ39" s="1221"/>
      <c r="CTR39" s="1221"/>
      <c r="CTS39" s="1221"/>
      <c r="CTT39" s="1221"/>
      <c r="CTU39" s="1221"/>
      <c r="CTV39" s="1221"/>
      <c r="CTW39" s="1221"/>
      <c r="CTX39" s="1221"/>
      <c r="CTY39" s="1221"/>
      <c r="CTZ39" s="1221"/>
      <c r="CUA39" s="1221"/>
      <c r="CUB39" s="1221"/>
      <c r="CUC39" s="1221"/>
      <c r="CUD39" s="1221"/>
      <c r="CUE39" s="1221"/>
      <c r="CUF39" s="1221"/>
      <c r="CUG39" s="1221"/>
      <c r="CUH39" s="1221"/>
      <c r="CUI39" s="1221"/>
      <c r="CUJ39" s="1221"/>
      <c r="CUK39" s="1221"/>
      <c r="CUL39" s="1221"/>
      <c r="CUM39" s="1221"/>
      <c r="CUN39" s="1221"/>
      <c r="CUO39" s="1221"/>
      <c r="CUP39" s="1221"/>
      <c r="CUQ39" s="1221"/>
      <c r="CUR39" s="1221"/>
      <c r="CUS39" s="1221"/>
      <c r="CUT39" s="1221"/>
      <c r="CUU39" s="1221"/>
      <c r="CUV39" s="1221"/>
      <c r="CUW39" s="1221"/>
      <c r="CUX39" s="1221"/>
      <c r="CUY39" s="1221"/>
      <c r="CUZ39" s="1221"/>
      <c r="CVA39" s="1221"/>
      <c r="CVB39" s="1221"/>
      <c r="CVC39" s="1221"/>
      <c r="CVD39" s="1221"/>
      <c r="CVE39" s="1221"/>
      <c r="CVF39" s="1221"/>
      <c r="CVG39" s="1221"/>
      <c r="CVH39" s="1221"/>
      <c r="CVI39" s="1221"/>
      <c r="CVJ39" s="1221"/>
      <c r="CVK39" s="1221"/>
      <c r="CVL39" s="1221"/>
      <c r="CVM39" s="1221"/>
      <c r="CVN39" s="1221"/>
      <c r="CVO39" s="1221"/>
      <c r="CVP39" s="1221"/>
      <c r="CVQ39" s="1221"/>
      <c r="CVR39" s="1221"/>
      <c r="CVS39" s="1221"/>
      <c r="CVT39" s="1221"/>
      <c r="CVU39" s="1221"/>
      <c r="CVV39" s="1221"/>
      <c r="CVW39" s="1221"/>
      <c r="CVX39" s="1221"/>
      <c r="CVY39" s="1221"/>
      <c r="CVZ39" s="1221"/>
      <c r="CWA39" s="1221"/>
      <c r="CWB39" s="1221"/>
      <c r="CWC39" s="1221"/>
      <c r="CWD39" s="1221"/>
      <c r="CWE39" s="1221"/>
      <c r="CWF39" s="1221"/>
      <c r="CWG39" s="1221"/>
      <c r="CWH39" s="1221"/>
      <c r="CWI39" s="1221"/>
      <c r="CWJ39" s="1221"/>
      <c r="CWK39" s="1221"/>
      <c r="CWL39" s="1221"/>
      <c r="CWM39" s="1221"/>
      <c r="CWN39" s="1221"/>
      <c r="CWO39" s="1221"/>
      <c r="CWP39" s="1221"/>
      <c r="CWQ39" s="1221"/>
      <c r="CWR39" s="1221"/>
      <c r="CWS39" s="1221"/>
      <c r="CWT39" s="1221"/>
      <c r="CWU39" s="1221"/>
      <c r="CWV39" s="1221"/>
      <c r="CWW39" s="1221"/>
      <c r="CWX39" s="1221"/>
      <c r="CWY39" s="1221"/>
      <c r="CWZ39" s="1221"/>
      <c r="CXA39" s="1221"/>
      <c r="CXB39" s="1221"/>
      <c r="CXC39" s="1221"/>
      <c r="CXD39" s="1221"/>
      <c r="CXE39" s="1221"/>
      <c r="CXF39" s="1221"/>
      <c r="CXG39" s="1221"/>
      <c r="CXH39" s="1221"/>
      <c r="CXI39" s="1221"/>
      <c r="CXJ39" s="1221"/>
      <c r="CXK39" s="1221"/>
      <c r="CXL39" s="1221"/>
      <c r="CXM39" s="1221"/>
      <c r="CXN39" s="1221"/>
      <c r="CXO39" s="1221"/>
      <c r="CXP39" s="1221"/>
      <c r="CXQ39" s="1221"/>
      <c r="CXR39" s="1221"/>
      <c r="CXS39" s="1221"/>
      <c r="CXT39" s="1221"/>
      <c r="CXU39" s="1221"/>
      <c r="CXV39" s="1221"/>
      <c r="CXW39" s="1221"/>
      <c r="CXX39" s="1221"/>
      <c r="CXY39" s="1221"/>
      <c r="CXZ39" s="1221"/>
      <c r="CYA39" s="1221"/>
      <c r="CYB39" s="1221"/>
      <c r="CYC39" s="1221"/>
      <c r="CYD39" s="1221"/>
      <c r="CYE39" s="1221"/>
      <c r="CYF39" s="1221"/>
      <c r="CYG39" s="1221"/>
      <c r="CYH39" s="1221"/>
      <c r="CYI39" s="1221"/>
      <c r="CYJ39" s="1221"/>
      <c r="CYK39" s="1221"/>
      <c r="CYL39" s="1221"/>
      <c r="CYM39" s="1221"/>
      <c r="CYN39" s="1221"/>
      <c r="CYO39" s="1221"/>
      <c r="CYP39" s="1221"/>
      <c r="CYQ39" s="1221"/>
      <c r="CYR39" s="1221"/>
      <c r="CYS39" s="1221"/>
      <c r="CYT39" s="1221"/>
      <c r="CYU39" s="1221"/>
      <c r="CYV39" s="1221"/>
      <c r="CYW39" s="1221"/>
      <c r="CYX39" s="1221"/>
      <c r="CYY39" s="1221"/>
      <c r="CYZ39" s="1221"/>
      <c r="CZA39" s="1221"/>
      <c r="CZB39" s="1221"/>
      <c r="CZC39" s="1221"/>
      <c r="CZD39" s="1221"/>
      <c r="CZE39" s="1221"/>
      <c r="CZF39" s="1221"/>
      <c r="CZG39" s="1221"/>
      <c r="CZH39" s="1221"/>
      <c r="CZI39" s="1221"/>
      <c r="CZJ39" s="1221"/>
      <c r="CZK39" s="1221"/>
      <c r="CZL39" s="1221"/>
      <c r="CZM39" s="1221"/>
      <c r="CZN39" s="1221"/>
      <c r="CZO39" s="1221"/>
      <c r="CZP39" s="1221"/>
      <c r="CZQ39" s="1221"/>
      <c r="CZR39" s="1221"/>
      <c r="CZS39" s="1221"/>
      <c r="CZT39" s="1221"/>
      <c r="CZU39" s="1221"/>
      <c r="CZV39" s="1221"/>
      <c r="CZW39" s="1221"/>
      <c r="CZX39" s="1221"/>
      <c r="CZY39" s="1221"/>
      <c r="CZZ39" s="1221"/>
      <c r="DAA39" s="1221"/>
      <c r="DAB39" s="1221"/>
      <c r="DAC39" s="1221"/>
      <c r="DAD39" s="1221"/>
      <c r="DAE39" s="1221"/>
      <c r="DAF39" s="1221"/>
      <c r="DAG39" s="1221"/>
      <c r="DAH39" s="1221"/>
      <c r="DAI39" s="1221"/>
      <c r="DAJ39" s="1221"/>
      <c r="DAK39" s="1221"/>
      <c r="DAL39" s="1221"/>
      <c r="DAM39" s="1221"/>
      <c r="DAN39" s="1221"/>
      <c r="DAO39" s="1221"/>
      <c r="DAP39" s="1221"/>
      <c r="DAQ39" s="1221"/>
      <c r="DAR39" s="1221"/>
      <c r="DAS39" s="1221"/>
      <c r="DAT39" s="1221"/>
      <c r="DAU39" s="1221"/>
      <c r="DAV39" s="1221"/>
      <c r="DAW39" s="1221"/>
      <c r="DAX39" s="1221"/>
      <c r="DAY39" s="1221"/>
      <c r="DAZ39" s="1221"/>
      <c r="DBA39" s="1221"/>
      <c r="DBB39" s="1221"/>
      <c r="DBC39" s="1221"/>
      <c r="DBD39" s="1221"/>
      <c r="DBE39" s="1221"/>
      <c r="DBF39" s="1221"/>
      <c r="DBG39" s="1221"/>
      <c r="DBH39" s="1221"/>
      <c r="DBI39" s="1221"/>
      <c r="DBJ39" s="1221"/>
      <c r="DBK39" s="1221"/>
      <c r="DBL39" s="1221"/>
      <c r="DBM39" s="1221"/>
      <c r="DBN39" s="1221"/>
      <c r="DBO39" s="1221"/>
      <c r="DBP39" s="1221"/>
      <c r="DBQ39" s="1221"/>
      <c r="DBR39" s="1221"/>
      <c r="DBS39" s="1221"/>
      <c r="DBT39" s="1221"/>
      <c r="DBU39" s="1221"/>
      <c r="DBV39" s="1221"/>
      <c r="DBW39" s="1221"/>
      <c r="DBX39" s="1221"/>
      <c r="DBY39" s="1221"/>
      <c r="DBZ39" s="1221"/>
      <c r="DCA39" s="1221"/>
      <c r="DCB39" s="1221"/>
      <c r="DCC39" s="1221"/>
      <c r="DCD39" s="1221"/>
      <c r="DCE39" s="1221"/>
      <c r="DCF39" s="1221"/>
      <c r="DCG39" s="1221"/>
      <c r="DCH39" s="1221"/>
      <c r="DCI39" s="1221"/>
      <c r="DCJ39" s="1221"/>
      <c r="DCK39" s="1221"/>
      <c r="DCL39" s="1221"/>
      <c r="DCM39" s="1221"/>
      <c r="DCN39" s="1221"/>
      <c r="DCO39" s="1221"/>
      <c r="DCP39" s="1221"/>
      <c r="DCQ39" s="1221"/>
      <c r="DCR39" s="1221"/>
      <c r="DCS39" s="1221"/>
      <c r="DCT39" s="1221"/>
      <c r="DCU39" s="1221"/>
      <c r="DCV39" s="1221"/>
      <c r="DCW39" s="1221"/>
      <c r="DCX39" s="1221"/>
      <c r="DCY39" s="1221"/>
      <c r="DCZ39" s="1221"/>
      <c r="DDA39" s="1221"/>
      <c r="DDB39" s="1221"/>
      <c r="DDC39" s="1221"/>
      <c r="DDD39" s="1221"/>
      <c r="DDE39" s="1221"/>
      <c r="DDF39" s="1221"/>
      <c r="DDG39" s="1221"/>
      <c r="DDH39" s="1221"/>
      <c r="DDI39" s="1221"/>
      <c r="DDJ39" s="1221"/>
      <c r="DDK39" s="1221"/>
      <c r="DDL39" s="1221"/>
      <c r="DDM39" s="1221"/>
      <c r="DDN39" s="1221"/>
      <c r="DDO39" s="1221"/>
      <c r="DDP39" s="1221"/>
      <c r="DDQ39" s="1221"/>
      <c r="DDR39" s="1221"/>
      <c r="DDS39" s="1221"/>
      <c r="DDT39" s="1221"/>
      <c r="DDU39" s="1221"/>
      <c r="DDV39" s="1221"/>
      <c r="DDW39" s="1221"/>
      <c r="DDX39" s="1221"/>
      <c r="DDY39" s="1221"/>
      <c r="DDZ39" s="1221"/>
      <c r="DEA39" s="1221"/>
      <c r="DEB39" s="1221"/>
      <c r="DEC39" s="1221"/>
      <c r="DED39" s="1221"/>
      <c r="DEE39" s="1221"/>
      <c r="DEF39" s="1221"/>
      <c r="DEG39" s="1221"/>
      <c r="DEH39" s="1221"/>
      <c r="DEI39" s="1221"/>
      <c r="DEJ39" s="1221"/>
      <c r="DEK39" s="1221"/>
      <c r="DEL39" s="1221"/>
      <c r="DEM39" s="1221"/>
      <c r="DEN39" s="1221"/>
      <c r="DEO39" s="1221"/>
      <c r="DEP39" s="1221"/>
      <c r="DEQ39" s="1221"/>
      <c r="DER39" s="1221"/>
      <c r="DES39" s="1221"/>
      <c r="DET39" s="1221"/>
      <c r="DEU39" s="1221"/>
      <c r="DEV39" s="1221"/>
      <c r="DEW39" s="1221"/>
      <c r="DEX39" s="1221"/>
      <c r="DEY39" s="1221"/>
      <c r="DEZ39" s="1221"/>
      <c r="DFA39" s="1221"/>
      <c r="DFB39" s="1221"/>
      <c r="DFC39" s="1221"/>
      <c r="DFD39" s="1221"/>
      <c r="DFE39" s="1221"/>
      <c r="DFF39" s="1221"/>
      <c r="DFG39" s="1221"/>
      <c r="DFH39" s="1221"/>
      <c r="DFI39" s="1221"/>
      <c r="DFJ39" s="1221"/>
      <c r="DFK39" s="1221"/>
      <c r="DFL39" s="1221"/>
      <c r="DFM39" s="1221"/>
      <c r="DFN39" s="1221"/>
      <c r="DFO39" s="1221"/>
      <c r="DFP39" s="1221"/>
      <c r="DFQ39" s="1221"/>
      <c r="DFR39" s="1221"/>
      <c r="DFS39" s="1221"/>
      <c r="DFT39" s="1221"/>
      <c r="DFU39" s="1221"/>
      <c r="DFV39" s="1221"/>
      <c r="DFW39" s="1221"/>
      <c r="DFX39" s="1221"/>
      <c r="DFY39" s="1221"/>
      <c r="DFZ39" s="1221"/>
      <c r="DGA39" s="1221"/>
      <c r="DGB39" s="1221"/>
      <c r="DGC39" s="1221"/>
      <c r="DGD39" s="1221"/>
      <c r="DGE39" s="1221"/>
      <c r="DGF39" s="1221"/>
      <c r="DGG39" s="1221"/>
      <c r="DGH39" s="1221"/>
      <c r="DGI39" s="1221"/>
      <c r="DGJ39" s="1221"/>
      <c r="DGK39" s="1221"/>
      <c r="DGL39" s="1221"/>
      <c r="DGM39" s="1221"/>
      <c r="DGN39" s="1221"/>
      <c r="DGO39" s="1221"/>
      <c r="DGP39" s="1221"/>
      <c r="DGQ39" s="1221"/>
      <c r="DGR39" s="1221"/>
      <c r="DGS39" s="1221"/>
      <c r="DGT39" s="1221"/>
      <c r="DGU39" s="1221"/>
      <c r="DGV39" s="1221"/>
      <c r="DGW39" s="1221"/>
      <c r="DGX39" s="1221"/>
      <c r="DGY39" s="1221"/>
      <c r="DGZ39" s="1221"/>
      <c r="DHA39" s="1221"/>
      <c r="DHB39" s="1221"/>
      <c r="DHC39" s="1221"/>
      <c r="DHD39" s="1221"/>
      <c r="DHE39" s="1221"/>
      <c r="DHF39" s="1221"/>
      <c r="DHG39" s="1221"/>
      <c r="DHH39" s="1221"/>
      <c r="DHI39" s="1221"/>
      <c r="DHJ39" s="1221"/>
      <c r="DHK39" s="1221"/>
      <c r="DHL39" s="1221"/>
      <c r="DHM39" s="1221"/>
      <c r="DHN39" s="1221"/>
      <c r="DHO39" s="1221"/>
      <c r="DHP39" s="1221"/>
      <c r="DHQ39" s="1221"/>
      <c r="DHR39" s="1221"/>
      <c r="DHS39" s="1221"/>
      <c r="DHT39" s="1221"/>
      <c r="DHU39" s="1221"/>
      <c r="DHV39" s="1221"/>
      <c r="DHW39" s="1221"/>
      <c r="DHX39" s="1221"/>
      <c r="DHY39" s="1221"/>
      <c r="DHZ39" s="1221"/>
      <c r="DIA39" s="1221"/>
      <c r="DIB39" s="1221"/>
      <c r="DIC39" s="1221"/>
      <c r="DID39" s="1221"/>
      <c r="DIE39" s="1221"/>
      <c r="DIF39" s="1221"/>
      <c r="DIG39" s="1221"/>
      <c r="DIH39" s="1221"/>
      <c r="DII39" s="1221"/>
      <c r="DIJ39" s="1221"/>
      <c r="DIK39" s="1221"/>
      <c r="DIL39" s="1221"/>
      <c r="DIM39" s="1221"/>
      <c r="DIN39" s="1221"/>
      <c r="DIO39" s="1221"/>
      <c r="DIP39" s="1221"/>
      <c r="DIQ39" s="1221"/>
      <c r="DIR39" s="1221"/>
      <c r="DIS39" s="1221"/>
      <c r="DIT39" s="1221"/>
      <c r="DIU39" s="1221"/>
      <c r="DIV39" s="1221"/>
      <c r="DIW39" s="1221"/>
      <c r="DIX39" s="1221"/>
      <c r="DIY39" s="1221"/>
      <c r="DIZ39" s="1221"/>
      <c r="DJA39" s="1221"/>
      <c r="DJB39" s="1221"/>
      <c r="DJC39" s="1221"/>
      <c r="DJD39" s="1221"/>
      <c r="DJE39" s="1221"/>
      <c r="DJF39" s="1221"/>
      <c r="DJG39" s="1221"/>
      <c r="DJH39" s="1221"/>
      <c r="DJI39" s="1221"/>
      <c r="DJJ39" s="1221"/>
      <c r="DJK39" s="1221"/>
      <c r="DJL39" s="1221"/>
      <c r="DJM39" s="1221"/>
      <c r="DJN39" s="1221"/>
      <c r="DJO39" s="1221"/>
      <c r="DJP39" s="1221"/>
      <c r="DJQ39" s="1221"/>
      <c r="DJR39" s="1221"/>
      <c r="DJS39" s="1221"/>
      <c r="DJT39" s="1221"/>
      <c r="DJU39" s="1221"/>
      <c r="DJV39" s="1221"/>
      <c r="DJW39" s="1221"/>
      <c r="DJX39" s="1221"/>
      <c r="DJY39" s="1221"/>
      <c r="DJZ39" s="1221"/>
      <c r="DKA39" s="1221"/>
      <c r="DKB39" s="1221"/>
      <c r="DKC39" s="1221"/>
      <c r="DKD39" s="1221"/>
      <c r="DKE39" s="1221"/>
      <c r="DKF39" s="1221"/>
      <c r="DKG39" s="1221"/>
      <c r="DKH39" s="1221"/>
      <c r="DKI39" s="1221"/>
      <c r="DKJ39" s="1221"/>
      <c r="DKK39" s="1221"/>
      <c r="DKL39" s="1221"/>
      <c r="DKM39" s="1221"/>
      <c r="DKN39" s="1221"/>
      <c r="DKO39" s="1221"/>
      <c r="DKP39" s="1221"/>
      <c r="DKQ39" s="1221"/>
      <c r="DKR39" s="1221"/>
      <c r="DKS39" s="1221"/>
      <c r="DKT39" s="1221"/>
      <c r="DKU39" s="1221"/>
      <c r="DKV39" s="1221"/>
      <c r="DKW39" s="1221"/>
      <c r="DKX39" s="1221"/>
      <c r="DKY39" s="1221"/>
      <c r="DKZ39" s="1221"/>
      <c r="DLA39" s="1221"/>
      <c r="DLB39" s="1221"/>
      <c r="DLC39" s="1221"/>
      <c r="DLD39" s="1221"/>
      <c r="DLE39" s="1221"/>
      <c r="DLF39" s="1221"/>
      <c r="DLG39" s="1221"/>
      <c r="DLH39" s="1221"/>
      <c r="DLI39" s="1221"/>
      <c r="DLJ39" s="1221"/>
      <c r="DLK39" s="1221"/>
      <c r="DLL39" s="1221"/>
      <c r="DLM39" s="1221"/>
      <c r="DLN39" s="1221"/>
      <c r="DLO39" s="1221"/>
      <c r="DLP39" s="1221"/>
      <c r="DLQ39" s="1221"/>
      <c r="DLR39" s="1221"/>
      <c r="DLS39" s="1221"/>
      <c r="DLT39" s="1221"/>
      <c r="DLU39" s="1221"/>
      <c r="DLV39" s="1221"/>
      <c r="DLW39" s="1221"/>
      <c r="DLX39" s="1221"/>
      <c r="DLY39" s="1221"/>
      <c r="DLZ39" s="1221"/>
      <c r="DMA39" s="1221"/>
      <c r="DMB39" s="1221"/>
      <c r="DMC39" s="1221"/>
      <c r="DMD39" s="1221"/>
      <c r="DME39" s="1221"/>
      <c r="DMF39" s="1221"/>
      <c r="DMG39" s="1221"/>
      <c r="DMH39" s="1221"/>
      <c r="DMI39" s="1221"/>
      <c r="DMJ39" s="1221"/>
      <c r="DMK39" s="1221"/>
      <c r="DML39" s="1221"/>
      <c r="DMM39" s="1221"/>
      <c r="DMN39" s="1221"/>
      <c r="DMO39" s="1221"/>
      <c r="DMP39" s="1221"/>
      <c r="DMQ39" s="1221"/>
      <c r="DMR39" s="1221"/>
      <c r="DMS39" s="1221"/>
      <c r="DMT39" s="1221"/>
      <c r="DMU39" s="1221"/>
      <c r="DMV39" s="1221"/>
      <c r="DMW39" s="1221"/>
      <c r="DMX39" s="1221"/>
      <c r="DMY39" s="1221"/>
      <c r="DMZ39" s="1221"/>
      <c r="DNA39" s="1221"/>
      <c r="DNB39" s="1221"/>
      <c r="DNC39" s="1221"/>
      <c r="DND39" s="1221"/>
      <c r="DNE39" s="1221"/>
      <c r="DNF39" s="1221"/>
      <c r="DNG39" s="1221"/>
      <c r="DNH39" s="1221"/>
      <c r="DNI39" s="1221"/>
      <c r="DNJ39" s="1221"/>
      <c r="DNK39" s="1221"/>
      <c r="DNL39" s="1221"/>
      <c r="DNM39" s="1221"/>
      <c r="DNN39" s="1221"/>
      <c r="DNO39" s="1221"/>
      <c r="DNP39" s="1221"/>
      <c r="DNQ39" s="1221"/>
      <c r="DNR39" s="1221"/>
      <c r="DNS39" s="1221"/>
      <c r="DNT39" s="1221"/>
      <c r="DNU39" s="1221"/>
      <c r="DNV39" s="1221"/>
      <c r="DNW39" s="1221"/>
      <c r="DNX39" s="1221"/>
      <c r="DNY39" s="1221"/>
      <c r="DNZ39" s="1221"/>
      <c r="DOA39" s="1221"/>
      <c r="DOB39" s="1221"/>
      <c r="DOC39" s="1221"/>
      <c r="DOD39" s="1221"/>
      <c r="DOE39" s="1221"/>
      <c r="DOF39" s="1221"/>
      <c r="DOG39" s="1221"/>
      <c r="DOH39" s="1221"/>
      <c r="DOI39" s="1221"/>
      <c r="DOJ39" s="1221"/>
      <c r="DOK39" s="1221"/>
      <c r="DOL39" s="1221"/>
      <c r="DOM39" s="1221"/>
      <c r="DON39" s="1221"/>
      <c r="DOO39" s="1221"/>
      <c r="DOP39" s="1221"/>
      <c r="DOQ39" s="1221"/>
      <c r="DOR39" s="1221"/>
      <c r="DOS39" s="1221"/>
      <c r="DOT39" s="1221"/>
      <c r="DOU39" s="1221"/>
      <c r="DOV39" s="1221"/>
      <c r="DOW39" s="1221"/>
      <c r="DOX39" s="1221"/>
      <c r="DOY39" s="1221"/>
      <c r="DOZ39" s="1221"/>
      <c r="DPA39" s="1221"/>
      <c r="DPB39" s="1221"/>
      <c r="DPC39" s="1221"/>
      <c r="DPD39" s="1221"/>
      <c r="DPE39" s="1221"/>
      <c r="DPF39" s="1221"/>
      <c r="DPG39" s="1221"/>
      <c r="DPH39" s="1221"/>
      <c r="DPI39" s="1221"/>
      <c r="DPJ39" s="1221"/>
      <c r="DPK39" s="1221"/>
      <c r="DPL39" s="1221"/>
      <c r="DPM39" s="1221"/>
      <c r="DPN39" s="1221"/>
      <c r="DPO39" s="1221"/>
      <c r="DPP39" s="1221"/>
      <c r="DPQ39" s="1221"/>
      <c r="DPR39" s="1221"/>
      <c r="DPS39" s="1221"/>
      <c r="DPT39" s="1221"/>
      <c r="DPU39" s="1221"/>
      <c r="DPV39" s="1221"/>
      <c r="DPW39" s="1221"/>
      <c r="DPX39" s="1221"/>
      <c r="DPY39" s="1221"/>
      <c r="DPZ39" s="1221"/>
      <c r="DQA39" s="1221"/>
      <c r="DQB39" s="1221"/>
      <c r="DQC39" s="1221"/>
      <c r="DQD39" s="1221"/>
      <c r="DQE39" s="1221"/>
      <c r="DQF39" s="1221"/>
      <c r="DQG39" s="1221"/>
      <c r="DQH39" s="1221"/>
      <c r="DQI39" s="1221"/>
      <c r="DQJ39" s="1221"/>
      <c r="DQK39" s="1221"/>
      <c r="DQL39" s="1221"/>
      <c r="DQM39" s="1221"/>
      <c r="DQN39" s="1221"/>
      <c r="DQO39" s="1221"/>
      <c r="DQP39" s="1221"/>
      <c r="DQQ39" s="1221"/>
      <c r="DQR39" s="1221"/>
      <c r="DQS39" s="1221"/>
      <c r="DQT39" s="1221"/>
      <c r="DQU39" s="1221"/>
      <c r="DQV39" s="1221"/>
      <c r="DQW39" s="1221"/>
      <c r="DQX39" s="1221"/>
      <c r="DQY39" s="1221"/>
      <c r="DQZ39" s="1221"/>
      <c r="DRA39" s="1221"/>
      <c r="DRB39" s="1221"/>
      <c r="DRC39" s="1221"/>
      <c r="DRD39" s="1221"/>
      <c r="DRE39" s="1221"/>
      <c r="DRF39" s="1221"/>
      <c r="DRG39" s="1221"/>
      <c r="DRH39" s="1221"/>
      <c r="DRI39" s="1221"/>
      <c r="DRJ39" s="1221"/>
      <c r="DRK39" s="1221"/>
      <c r="DRL39" s="1221"/>
      <c r="DRM39" s="1221"/>
      <c r="DRN39" s="1221"/>
      <c r="DRO39" s="1221"/>
      <c r="DRP39" s="1221"/>
      <c r="DRQ39" s="1221"/>
      <c r="DRR39" s="1221"/>
      <c r="DRS39" s="1221"/>
      <c r="DRT39" s="1221"/>
      <c r="DRU39" s="1221"/>
      <c r="DRV39" s="1221"/>
      <c r="DRW39" s="1221"/>
      <c r="DRX39" s="1221"/>
      <c r="DRY39" s="1221"/>
      <c r="DRZ39" s="1221"/>
      <c r="DSA39" s="1221"/>
      <c r="DSB39" s="1221"/>
      <c r="DSC39" s="1221"/>
      <c r="DSD39" s="1221"/>
      <c r="DSE39" s="1221"/>
      <c r="DSF39" s="1221"/>
      <c r="DSG39" s="1221"/>
      <c r="DSH39" s="1221"/>
      <c r="DSI39" s="1221"/>
      <c r="DSJ39" s="1221"/>
      <c r="DSK39" s="1221"/>
      <c r="DSL39" s="1221"/>
      <c r="DSM39" s="1221"/>
      <c r="DSN39" s="1221"/>
      <c r="DSO39" s="1221"/>
      <c r="DSP39" s="1221"/>
      <c r="DSQ39" s="1221"/>
      <c r="DSR39" s="1221"/>
      <c r="DSS39" s="1221"/>
      <c r="DST39" s="1221"/>
      <c r="DSU39" s="1221"/>
      <c r="DSV39" s="1221"/>
      <c r="DSW39" s="1221"/>
      <c r="DSX39" s="1221"/>
      <c r="DSY39" s="1221"/>
      <c r="DSZ39" s="1221"/>
      <c r="DTA39" s="1221"/>
      <c r="DTB39" s="1221"/>
      <c r="DTC39" s="1221"/>
      <c r="DTD39" s="1221"/>
      <c r="DTE39" s="1221"/>
      <c r="DTF39" s="1221"/>
      <c r="DTG39" s="1221"/>
      <c r="DTH39" s="1221"/>
      <c r="DTI39" s="1221"/>
      <c r="DTJ39" s="1221"/>
      <c r="DTK39" s="1221"/>
      <c r="DTL39" s="1221"/>
      <c r="DTM39" s="1221"/>
      <c r="DTN39" s="1221"/>
      <c r="DTO39" s="1221"/>
      <c r="DTP39" s="1221"/>
      <c r="DTQ39" s="1221"/>
      <c r="DTR39" s="1221"/>
      <c r="DTS39" s="1221"/>
      <c r="DTT39" s="1221"/>
      <c r="DTU39" s="1221"/>
      <c r="DTV39" s="1221"/>
      <c r="DTW39" s="1221"/>
      <c r="DTX39" s="1221"/>
      <c r="DTY39" s="1221"/>
      <c r="DTZ39" s="1221"/>
      <c r="DUA39" s="1221"/>
      <c r="DUB39" s="1221"/>
      <c r="DUC39" s="1221"/>
      <c r="DUD39" s="1221"/>
      <c r="DUE39" s="1221"/>
      <c r="DUF39" s="1221"/>
      <c r="DUG39" s="1221"/>
      <c r="DUH39" s="1221"/>
      <c r="DUI39" s="1221"/>
      <c r="DUJ39" s="1221"/>
      <c r="DUK39" s="1221"/>
      <c r="DUL39" s="1221"/>
      <c r="DUM39" s="1221"/>
      <c r="DUN39" s="1221"/>
      <c r="DUO39" s="1221"/>
      <c r="DUP39" s="1221"/>
      <c r="DUQ39" s="1221"/>
      <c r="DUR39" s="1221"/>
      <c r="DUS39" s="1221"/>
      <c r="DUT39" s="1221"/>
      <c r="DUU39" s="1221"/>
      <c r="DUV39" s="1221"/>
      <c r="DUW39" s="1221"/>
      <c r="DUX39" s="1221"/>
      <c r="DUY39" s="1221"/>
      <c r="DUZ39" s="1221"/>
      <c r="DVA39" s="1221"/>
      <c r="DVB39" s="1221"/>
      <c r="DVC39" s="1221"/>
      <c r="DVD39" s="1221"/>
      <c r="DVE39" s="1221"/>
      <c r="DVF39" s="1221"/>
      <c r="DVG39" s="1221"/>
      <c r="DVH39" s="1221"/>
      <c r="DVI39" s="1221"/>
      <c r="DVJ39" s="1221"/>
      <c r="DVK39" s="1221"/>
      <c r="DVL39" s="1221"/>
      <c r="DVM39" s="1221"/>
      <c r="DVN39" s="1221"/>
      <c r="DVO39" s="1221"/>
      <c r="DVP39" s="1221"/>
      <c r="DVQ39" s="1221"/>
      <c r="DVR39" s="1221"/>
      <c r="DVS39" s="1221"/>
      <c r="DVT39" s="1221"/>
      <c r="DVU39" s="1221"/>
      <c r="DVV39" s="1221"/>
      <c r="DVW39" s="1221"/>
      <c r="DVX39" s="1221"/>
      <c r="DVY39" s="1221"/>
      <c r="DVZ39" s="1221"/>
      <c r="DWA39" s="1221"/>
      <c r="DWB39" s="1221"/>
      <c r="DWC39" s="1221"/>
      <c r="DWD39" s="1221"/>
      <c r="DWE39" s="1221"/>
      <c r="DWF39" s="1221"/>
      <c r="DWG39" s="1221"/>
      <c r="DWH39" s="1221"/>
      <c r="DWI39" s="1221"/>
      <c r="DWJ39" s="1221"/>
      <c r="DWK39" s="1221"/>
      <c r="DWL39" s="1221"/>
      <c r="DWM39" s="1221"/>
      <c r="DWN39" s="1221"/>
      <c r="DWO39" s="1221"/>
      <c r="DWP39" s="1221"/>
      <c r="DWQ39" s="1221"/>
      <c r="DWR39" s="1221"/>
      <c r="DWS39" s="1221"/>
      <c r="DWT39" s="1221"/>
      <c r="DWU39" s="1221"/>
      <c r="DWV39" s="1221"/>
      <c r="DWW39" s="1221"/>
      <c r="DWX39" s="1221"/>
      <c r="DWY39" s="1221"/>
      <c r="DWZ39" s="1221"/>
      <c r="DXA39" s="1221"/>
      <c r="DXB39" s="1221"/>
      <c r="DXC39" s="1221"/>
      <c r="DXD39" s="1221"/>
      <c r="DXE39" s="1221"/>
      <c r="DXF39" s="1221"/>
      <c r="DXG39" s="1221"/>
      <c r="DXH39" s="1221"/>
      <c r="DXI39" s="1221"/>
      <c r="DXJ39" s="1221"/>
      <c r="DXK39" s="1221"/>
      <c r="DXL39" s="1221"/>
      <c r="DXM39" s="1221"/>
      <c r="DXN39" s="1221"/>
      <c r="DXO39" s="1221"/>
      <c r="DXP39" s="1221"/>
      <c r="DXQ39" s="1221"/>
      <c r="DXR39" s="1221"/>
      <c r="DXS39" s="1221"/>
      <c r="DXT39" s="1221"/>
      <c r="DXU39" s="1221"/>
      <c r="DXV39" s="1221"/>
      <c r="DXW39" s="1221"/>
      <c r="DXX39" s="1221"/>
      <c r="DXY39" s="1221"/>
      <c r="DXZ39" s="1221"/>
      <c r="DYA39" s="1221"/>
      <c r="DYB39" s="1221"/>
      <c r="DYC39" s="1221"/>
      <c r="DYD39" s="1221"/>
      <c r="DYE39" s="1221"/>
      <c r="DYF39" s="1221"/>
      <c r="DYG39" s="1221"/>
      <c r="DYH39" s="1221"/>
      <c r="DYI39" s="1221"/>
      <c r="DYJ39" s="1221"/>
      <c r="DYK39" s="1221"/>
      <c r="DYL39" s="1221"/>
      <c r="DYM39" s="1221"/>
      <c r="DYN39" s="1221"/>
      <c r="DYO39" s="1221"/>
      <c r="DYP39" s="1221"/>
      <c r="DYQ39" s="1221"/>
      <c r="DYR39" s="1221"/>
      <c r="DYS39" s="1221"/>
      <c r="DYT39" s="1221"/>
      <c r="DYU39" s="1221"/>
      <c r="DYV39" s="1221"/>
      <c r="DYW39" s="1221"/>
      <c r="DYX39" s="1221"/>
      <c r="DYY39" s="1221"/>
      <c r="DYZ39" s="1221"/>
      <c r="DZA39" s="1221"/>
      <c r="DZB39" s="1221"/>
      <c r="DZC39" s="1221"/>
      <c r="DZD39" s="1221"/>
      <c r="DZE39" s="1221"/>
      <c r="DZF39" s="1221"/>
      <c r="DZG39" s="1221"/>
      <c r="DZH39" s="1221"/>
      <c r="DZI39" s="1221"/>
      <c r="DZJ39" s="1221"/>
      <c r="DZK39" s="1221"/>
      <c r="DZL39" s="1221"/>
      <c r="DZM39" s="1221"/>
      <c r="DZN39" s="1221"/>
      <c r="DZO39" s="1221"/>
      <c r="DZP39" s="1221"/>
      <c r="DZQ39" s="1221"/>
      <c r="DZR39" s="1221"/>
      <c r="DZS39" s="1221"/>
      <c r="DZT39" s="1221"/>
      <c r="DZU39" s="1221"/>
      <c r="DZV39" s="1221"/>
      <c r="DZW39" s="1221"/>
      <c r="DZX39" s="1221"/>
      <c r="DZY39" s="1221"/>
      <c r="DZZ39" s="1221"/>
      <c r="EAA39" s="1221"/>
      <c r="EAB39" s="1221"/>
      <c r="EAC39" s="1221"/>
      <c r="EAD39" s="1221"/>
      <c r="EAE39" s="1221"/>
      <c r="EAF39" s="1221"/>
      <c r="EAG39" s="1221"/>
      <c r="EAH39" s="1221"/>
      <c r="EAI39" s="1221"/>
      <c r="EAJ39" s="1221"/>
      <c r="EAK39" s="1221"/>
      <c r="EAL39" s="1221"/>
      <c r="EAM39" s="1221"/>
      <c r="EAN39" s="1221"/>
      <c r="EAO39" s="1221"/>
      <c r="EAP39" s="1221"/>
      <c r="EAQ39" s="1221"/>
      <c r="EAR39" s="1221"/>
      <c r="EAS39" s="1221"/>
      <c r="EAT39" s="1221"/>
      <c r="EAU39" s="1221"/>
      <c r="EAV39" s="1221"/>
      <c r="EAW39" s="1221"/>
      <c r="EAX39" s="1221"/>
      <c r="EAY39" s="1221"/>
      <c r="EAZ39" s="1221"/>
      <c r="EBA39" s="1221"/>
      <c r="EBB39" s="1221"/>
      <c r="EBC39" s="1221"/>
      <c r="EBD39" s="1221"/>
      <c r="EBE39" s="1221"/>
      <c r="EBF39" s="1221"/>
      <c r="EBG39" s="1221"/>
      <c r="EBH39" s="1221"/>
      <c r="EBI39" s="1221"/>
      <c r="EBJ39" s="1221"/>
      <c r="EBK39" s="1221"/>
      <c r="EBL39" s="1221"/>
      <c r="EBM39" s="1221"/>
      <c r="EBN39" s="1221"/>
      <c r="EBO39" s="1221"/>
      <c r="EBP39" s="1221"/>
      <c r="EBQ39" s="1221"/>
      <c r="EBR39" s="1221"/>
      <c r="EBS39" s="1221"/>
      <c r="EBT39" s="1221"/>
      <c r="EBU39" s="1221"/>
      <c r="EBV39" s="1221"/>
      <c r="EBW39" s="1221"/>
      <c r="EBX39" s="1221"/>
      <c r="EBY39" s="1221"/>
      <c r="EBZ39" s="1221"/>
      <c r="ECA39" s="1221"/>
      <c r="ECB39" s="1221"/>
      <c r="ECC39" s="1221"/>
      <c r="ECD39" s="1221"/>
      <c r="ECE39" s="1221"/>
      <c r="ECF39" s="1221"/>
      <c r="ECG39" s="1221"/>
      <c r="ECH39" s="1221"/>
      <c r="ECI39" s="1221"/>
      <c r="ECJ39" s="1221"/>
      <c r="ECK39" s="1221"/>
      <c r="ECL39" s="1221"/>
      <c r="ECM39" s="1221"/>
      <c r="ECN39" s="1221"/>
      <c r="ECO39" s="1221"/>
    </row>
    <row r="40" spans="2:3473" s="1248" customFormat="1" ht="13" outlineLevel="1">
      <c r="B40" s="1249" t="s">
        <v>514</v>
      </c>
      <c r="C40" s="1250">
        <v>5</v>
      </c>
      <c r="D40" s="1251" t="s">
        <v>67</v>
      </c>
      <c r="E40" s="1252">
        <f t="shared" si="47"/>
        <v>0</v>
      </c>
      <c r="F40" s="1252">
        <f t="shared" si="47"/>
        <v>0</v>
      </c>
      <c r="G40" s="1252">
        <f t="shared" si="47"/>
        <v>0</v>
      </c>
      <c r="H40" s="1252">
        <f t="shared" si="47"/>
        <v>23.310502570129021</v>
      </c>
      <c r="I40" s="1252">
        <f t="shared" si="47"/>
        <v>21.991040184219173</v>
      </c>
      <c r="J40" s="1252">
        <f t="shared" si="47"/>
        <v>1.3194623859098495</v>
      </c>
      <c r="K40" s="1252">
        <f t="shared" si="47"/>
        <v>0</v>
      </c>
      <c r="L40" s="1252">
        <f t="shared" si="47"/>
        <v>0</v>
      </c>
      <c r="M40" s="1252">
        <f t="shared" si="47"/>
        <v>0</v>
      </c>
      <c r="N40" s="1252" t="str">
        <f t="shared" si="47"/>
        <v/>
      </c>
      <c r="O40" s="1252" t="str">
        <f t="shared" si="47"/>
        <v/>
      </c>
      <c r="P40" s="1252" t="str">
        <f t="shared" si="47"/>
        <v/>
      </c>
      <c r="Q40" s="1252">
        <f t="shared" si="47"/>
        <v>23.310502570129021</v>
      </c>
      <c r="R40" s="1252">
        <f t="shared" si="47"/>
        <v>21.991040184219173</v>
      </c>
      <c r="S40" s="1252">
        <f t="shared" si="8"/>
        <v>1.3194623859098495</v>
      </c>
      <c r="T40" s="1252">
        <f t="shared" si="5"/>
        <v>23.310502570129021</v>
      </c>
      <c r="U40" s="1252">
        <f t="shared" si="5"/>
        <v>21.991040184219173</v>
      </c>
      <c r="V40" s="1252">
        <f t="shared" si="9"/>
        <v>1.3194623859098493</v>
      </c>
      <c r="W40" s="1252" t="str">
        <f t="shared" si="10"/>
        <v/>
      </c>
      <c r="X40" s="1252" t="str">
        <f t="shared" si="10"/>
        <v/>
      </c>
      <c r="Y40" s="1252" t="str">
        <f t="shared" si="10"/>
        <v/>
      </c>
      <c r="Z40" s="1252">
        <f t="shared" si="78"/>
        <v>17.545714681688857</v>
      </c>
      <c r="AA40" s="1252">
        <f t="shared" si="78"/>
        <v>16.552561038315197</v>
      </c>
      <c r="AB40" s="1252">
        <f t="shared" si="78"/>
        <v>0.99315364337365775</v>
      </c>
      <c r="AC40" s="1252">
        <f t="shared" si="15"/>
        <v>23.310502570129021</v>
      </c>
      <c r="AD40" s="1260">
        <f t="shared" si="15"/>
        <v>21.991040184219173</v>
      </c>
      <c r="AE40" s="1260">
        <f t="shared" si="15"/>
        <v>1.3194623859098493</v>
      </c>
      <c r="AF40" s="1254"/>
      <c r="AG40" s="1255"/>
      <c r="AH40" s="1255"/>
      <c r="AI40" s="1256">
        <f t="shared" si="41"/>
        <v>100.64064724376217</v>
      </c>
      <c r="AJ40" s="1256">
        <f t="shared" si="64"/>
        <v>94.94400693614692</v>
      </c>
      <c r="AK40" s="1256">
        <f t="shared" si="65"/>
        <v>5.6966403076152545</v>
      </c>
      <c r="AL40" s="1256"/>
      <c r="AM40" s="1256"/>
      <c r="AN40" s="1256"/>
      <c r="AO40" s="1256">
        <f t="shared" si="21"/>
        <v>0</v>
      </c>
      <c r="AP40" s="1256">
        <f t="shared" si="66"/>
        <v>0</v>
      </c>
      <c r="AQ40" s="1256">
        <f t="shared" si="67"/>
        <v>0</v>
      </c>
      <c r="AR40" s="1256">
        <f t="shared" si="60"/>
        <v>137.93845370757913</v>
      </c>
      <c r="AS40" s="1256">
        <f t="shared" si="68"/>
        <v>130.13061684562553</v>
      </c>
      <c r="AT40" s="1256">
        <f t="shared" si="69"/>
        <v>7.8078368619536072</v>
      </c>
      <c r="AU40" s="1256">
        <f t="shared" si="61"/>
        <v>2.4684190486586726</v>
      </c>
      <c r="AV40" s="1256">
        <f t="shared" si="70"/>
        <v>2.328697218227521</v>
      </c>
      <c r="AW40" s="1256">
        <f t="shared" si="71"/>
        <v>0.13972183043115169</v>
      </c>
      <c r="AX40" s="1256"/>
      <c r="AY40" s="1256"/>
      <c r="AZ40" s="1256"/>
      <c r="BA40" s="1257">
        <f t="shared" si="62"/>
        <v>241.04751999999999</v>
      </c>
      <c r="BB40" s="1257">
        <f t="shared" si="63"/>
        <v>227.40332099999998</v>
      </c>
      <c r="BC40" s="1257">
        <f t="shared" si="63"/>
        <v>13.644199000000013</v>
      </c>
      <c r="BD40" s="1256">
        <f t="shared" si="72"/>
        <v>0</v>
      </c>
      <c r="BE40" s="1256">
        <f t="shared" si="73"/>
        <v>0</v>
      </c>
      <c r="BF40" s="1256">
        <f t="shared" si="74"/>
        <v>0</v>
      </c>
      <c r="BG40" s="1256">
        <f t="shared" si="75"/>
        <v>0</v>
      </c>
      <c r="BH40" s="1257">
        <f t="shared" si="76"/>
        <v>0</v>
      </c>
      <c r="BI40" s="1257">
        <f t="shared" si="76"/>
        <v>0</v>
      </c>
      <c r="BJ40" s="1257">
        <f t="shared" si="77"/>
        <v>241.04752000000002</v>
      </c>
      <c r="BK40" s="1256">
        <f>VLOOKUP($D40,'当期公摊测算表（全期）'!$D$9:$W$192,20,0)</f>
        <v>227.40332100000001</v>
      </c>
      <c r="BL40" s="1256">
        <f>VLOOKUP($D40,'当期公摊测算表（全期）'!$D$9:$W$192,19,0)</f>
        <v>13.644199000000015</v>
      </c>
      <c r="BM40" s="1262" t="s">
        <v>20</v>
      </c>
      <c r="BN40" s="1225">
        <f t="shared" si="12"/>
        <v>0</v>
      </c>
      <c r="BO40" s="1225">
        <f t="shared" si="13"/>
        <v>-2.8421709430404007E-14</v>
      </c>
      <c r="BP40" s="1225">
        <f t="shared" si="14"/>
        <v>0</v>
      </c>
      <c r="BQ40" s="1225"/>
      <c r="BR40" s="1221"/>
      <c r="BS40" s="1221"/>
      <c r="BT40" s="1221"/>
      <c r="BU40" s="1221"/>
      <c r="BV40" s="1221"/>
      <c r="BW40" s="1221"/>
      <c r="BX40" s="1221"/>
      <c r="BY40" s="1221"/>
      <c r="BZ40" s="1221"/>
      <c r="CA40" s="1221"/>
      <c r="CB40" s="1221"/>
      <c r="CC40" s="1221"/>
      <c r="CD40" s="1221"/>
      <c r="CE40" s="1221"/>
      <c r="CF40" s="1221"/>
      <c r="CG40" s="1221"/>
      <c r="CH40" s="1221"/>
      <c r="CI40" s="1221"/>
      <c r="CJ40" s="1221"/>
      <c r="CK40" s="1221"/>
      <c r="CL40" s="1221"/>
      <c r="CM40" s="1221"/>
      <c r="CN40" s="1221"/>
      <c r="CO40" s="1221"/>
      <c r="CP40" s="1221"/>
      <c r="CQ40" s="1221"/>
      <c r="CR40" s="1221"/>
      <c r="CS40" s="1221"/>
      <c r="CT40" s="1221"/>
      <c r="CU40" s="1221"/>
      <c r="CV40" s="1221"/>
      <c r="CW40" s="1221"/>
      <c r="CX40" s="1221"/>
      <c r="CY40" s="1221"/>
      <c r="CZ40" s="1221"/>
      <c r="DA40" s="1221"/>
      <c r="DB40" s="1221"/>
      <c r="DC40" s="1221"/>
      <c r="DD40" s="1221"/>
      <c r="DE40" s="1221"/>
      <c r="DF40" s="1221"/>
      <c r="DG40" s="1221"/>
      <c r="DH40" s="1221"/>
      <c r="DI40" s="1221"/>
      <c r="DJ40" s="1221"/>
      <c r="DK40" s="1221"/>
      <c r="DL40" s="1221"/>
      <c r="DM40" s="1221"/>
      <c r="DN40" s="1221"/>
      <c r="DO40" s="1221"/>
      <c r="DP40" s="1221"/>
      <c r="DQ40" s="1221"/>
      <c r="DR40" s="1221"/>
      <c r="DS40" s="1221"/>
      <c r="DT40" s="1221"/>
      <c r="DU40" s="1221"/>
      <c r="DV40" s="1221"/>
      <c r="DW40" s="1221"/>
      <c r="DX40" s="1221"/>
      <c r="DY40" s="1221"/>
      <c r="DZ40" s="1221"/>
      <c r="EA40" s="1221"/>
      <c r="EB40" s="1221"/>
      <c r="EC40" s="1221"/>
      <c r="ED40" s="1221"/>
      <c r="EE40" s="1221"/>
      <c r="EF40" s="1221"/>
      <c r="EG40" s="1221"/>
      <c r="EH40" s="1221"/>
      <c r="EI40" s="1221"/>
      <c r="EJ40" s="1221"/>
      <c r="EK40" s="1221"/>
      <c r="EL40" s="1221"/>
      <c r="EM40" s="1221"/>
      <c r="EN40" s="1221"/>
      <c r="EO40" s="1221"/>
      <c r="EP40" s="1221"/>
      <c r="EQ40" s="1221"/>
      <c r="ER40" s="1221"/>
      <c r="ES40" s="1221"/>
      <c r="ET40" s="1221"/>
      <c r="EU40" s="1221"/>
      <c r="EV40" s="1221"/>
      <c r="EW40" s="1221"/>
      <c r="EX40" s="1221"/>
      <c r="EY40" s="1221"/>
      <c r="EZ40" s="1221"/>
      <c r="FA40" s="1221"/>
      <c r="FB40" s="1221"/>
      <c r="FC40" s="1221"/>
      <c r="FD40" s="1221"/>
      <c r="FE40" s="1221"/>
      <c r="FF40" s="1221"/>
      <c r="FG40" s="1221"/>
      <c r="FH40" s="1221"/>
      <c r="FI40" s="1221"/>
      <c r="FJ40" s="1221"/>
      <c r="FK40" s="1221"/>
      <c r="FL40" s="1221"/>
      <c r="FM40" s="1221"/>
      <c r="FN40" s="1221"/>
      <c r="FO40" s="1221"/>
      <c r="FP40" s="1221"/>
      <c r="FQ40" s="1221"/>
      <c r="FR40" s="1221"/>
      <c r="FS40" s="1221"/>
      <c r="FT40" s="1221"/>
      <c r="FU40" s="1221"/>
      <c r="FV40" s="1221"/>
      <c r="FW40" s="1221"/>
      <c r="FX40" s="1221"/>
      <c r="FY40" s="1221"/>
      <c r="FZ40" s="1221"/>
      <c r="GA40" s="1221"/>
      <c r="GB40" s="1221"/>
      <c r="GC40" s="1221"/>
      <c r="GD40" s="1221"/>
      <c r="GE40" s="1221"/>
      <c r="GF40" s="1221"/>
      <c r="GG40" s="1221"/>
      <c r="GH40" s="1221"/>
      <c r="GI40" s="1221"/>
      <c r="GJ40" s="1221"/>
      <c r="GK40" s="1221"/>
      <c r="GL40" s="1221"/>
      <c r="GM40" s="1221"/>
      <c r="GN40" s="1221"/>
      <c r="GO40" s="1221"/>
      <c r="GP40" s="1221"/>
      <c r="GQ40" s="1221"/>
      <c r="GR40" s="1221"/>
      <c r="GS40" s="1221"/>
      <c r="GT40" s="1221"/>
      <c r="GU40" s="1221"/>
      <c r="GV40" s="1221"/>
      <c r="GW40" s="1221"/>
      <c r="GX40" s="1221"/>
      <c r="GY40" s="1221"/>
      <c r="GZ40" s="1221"/>
      <c r="HA40" s="1221"/>
      <c r="HB40" s="1221"/>
      <c r="HC40" s="1221"/>
      <c r="HD40" s="1221"/>
      <c r="HE40" s="1221"/>
      <c r="HF40" s="1221"/>
      <c r="HG40" s="1221"/>
      <c r="HH40" s="1221"/>
      <c r="HI40" s="1221"/>
      <c r="HJ40" s="1221"/>
      <c r="HK40" s="1221"/>
      <c r="HL40" s="1221"/>
      <c r="HM40" s="1221"/>
      <c r="HN40" s="1221"/>
      <c r="HO40" s="1221"/>
      <c r="HP40" s="1221"/>
      <c r="HQ40" s="1221"/>
      <c r="HR40" s="1221"/>
      <c r="HS40" s="1221"/>
      <c r="HT40" s="1221"/>
      <c r="HU40" s="1221"/>
      <c r="HV40" s="1221"/>
      <c r="HW40" s="1221"/>
      <c r="HX40" s="1221"/>
      <c r="HY40" s="1221"/>
      <c r="HZ40" s="1221"/>
      <c r="IA40" s="1221"/>
      <c r="IB40" s="1221"/>
      <c r="IC40" s="1221"/>
      <c r="ID40" s="1221"/>
      <c r="IE40" s="1221"/>
      <c r="IF40" s="1221"/>
      <c r="IG40" s="1221"/>
      <c r="IH40" s="1221"/>
      <c r="II40" s="1221"/>
      <c r="IJ40" s="1221"/>
      <c r="IK40" s="1221"/>
      <c r="IL40" s="1221"/>
      <c r="IM40" s="1221"/>
      <c r="IN40" s="1221"/>
      <c r="IO40" s="1221"/>
      <c r="IP40" s="1221"/>
      <c r="IQ40" s="1221"/>
      <c r="IR40" s="1221"/>
      <c r="IS40" s="1221"/>
      <c r="IT40" s="1221"/>
      <c r="IU40" s="1221"/>
      <c r="IV40" s="1221"/>
      <c r="IW40" s="1221"/>
      <c r="IX40" s="1221"/>
      <c r="IY40" s="1221"/>
      <c r="IZ40" s="1221"/>
      <c r="JA40" s="1221"/>
      <c r="JB40" s="1221"/>
      <c r="JC40" s="1221"/>
      <c r="JD40" s="1221"/>
      <c r="JE40" s="1221"/>
      <c r="JF40" s="1221"/>
      <c r="JG40" s="1221"/>
      <c r="JH40" s="1221"/>
      <c r="JI40" s="1221"/>
      <c r="JJ40" s="1221"/>
      <c r="JK40" s="1221"/>
      <c r="JL40" s="1221"/>
      <c r="JM40" s="1221"/>
      <c r="JN40" s="1221"/>
      <c r="JO40" s="1221"/>
      <c r="JP40" s="1221"/>
      <c r="JQ40" s="1221"/>
      <c r="JR40" s="1221"/>
      <c r="JS40" s="1221"/>
      <c r="JT40" s="1221"/>
      <c r="JU40" s="1221"/>
      <c r="JV40" s="1221"/>
      <c r="JW40" s="1221"/>
      <c r="JX40" s="1221"/>
      <c r="JY40" s="1221"/>
      <c r="JZ40" s="1221"/>
      <c r="KA40" s="1221"/>
      <c r="KB40" s="1221"/>
      <c r="KC40" s="1221"/>
      <c r="KD40" s="1221"/>
      <c r="KE40" s="1221"/>
      <c r="KF40" s="1221"/>
      <c r="KG40" s="1221"/>
      <c r="KH40" s="1221"/>
      <c r="KI40" s="1221"/>
      <c r="KJ40" s="1221"/>
      <c r="KK40" s="1221"/>
      <c r="KL40" s="1221"/>
      <c r="KM40" s="1221"/>
      <c r="KN40" s="1221"/>
      <c r="KO40" s="1221"/>
      <c r="KP40" s="1221"/>
      <c r="KQ40" s="1221"/>
      <c r="KR40" s="1221"/>
      <c r="KS40" s="1221"/>
      <c r="KT40" s="1221"/>
      <c r="KU40" s="1221"/>
      <c r="KV40" s="1221"/>
      <c r="KW40" s="1221"/>
      <c r="KX40" s="1221"/>
      <c r="KY40" s="1221"/>
      <c r="KZ40" s="1221"/>
      <c r="LA40" s="1221"/>
      <c r="LB40" s="1221"/>
      <c r="LC40" s="1221"/>
      <c r="LD40" s="1221"/>
      <c r="LE40" s="1221"/>
      <c r="LF40" s="1221"/>
      <c r="LG40" s="1221"/>
      <c r="LH40" s="1221"/>
      <c r="LI40" s="1221"/>
      <c r="LJ40" s="1221"/>
      <c r="LK40" s="1221"/>
      <c r="LL40" s="1221"/>
      <c r="LM40" s="1221"/>
      <c r="LN40" s="1221"/>
      <c r="LO40" s="1221"/>
      <c r="LP40" s="1221"/>
      <c r="LQ40" s="1221"/>
      <c r="LR40" s="1221"/>
      <c r="LS40" s="1221"/>
      <c r="LT40" s="1221"/>
      <c r="LU40" s="1221"/>
      <c r="LV40" s="1221"/>
      <c r="LW40" s="1221"/>
      <c r="LX40" s="1221"/>
      <c r="LY40" s="1221"/>
      <c r="LZ40" s="1221"/>
      <c r="MA40" s="1221"/>
      <c r="MB40" s="1221"/>
      <c r="MC40" s="1221"/>
      <c r="MD40" s="1221"/>
      <c r="ME40" s="1221"/>
      <c r="MF40" s="1221"/>
      <c r="MG40" s="1221"/>
      <c r="MH40" s="1221"/>
      <c r="MI40" s="1221"/>
      <c r="MJ40" s="1221"/>
      <c r="MK40" s="1221"/>
      <c r="ML40" s="1221"/>
      <c r="MM40" s="1221"/>
      <c r="MN40" s="1221"/>
      <c r="MO40" s="1221"/>
      <c r="MP40" s="1221"/>
      <c r="MQ40" s="1221"/>
      <c r="MR40" s="1221"/>
      <c r="MS40" s="1221"/>
      <c r="MT40" s="1221"/>
      <c r="MU40" s="1221"/>
      <c r="MV40" s="1221"/>
      <c r="MW40" s="1221"/>
      <c r="MX40" s="1221"/>
      <c r="MY40" s="1221"/>
      <c r="MZ40" s="1221"/>
      <c r="NA40" s="1221"/>
      <c r="NB40" s="1221"/>
      <c r="NC40" s="1221"/>
      <c r="ND40" s="1221"/>
      <c r="NE40" s="1221"/>
      <c r="NF40" s="1221"/>
      <c r="NG40" s="1221"/>
      <c r="NH40" s="1221"/>
      <c r="NI40" s="1221"/>
      <c r="NJ40" s="1221"/>
      <c r="NK40" s="1221"/>
      <c r="NL40" s="1221"/>
      <c r="NM40" s="1221"/>
      <c r="NN40" s="1221"/>
      <c r="NO40" s="1221"/>
      <c r="NP40" s="1221"/>
      <c r="NQ40" s="1221"/>
      <c r="NR40" s="1221"/>
      <c r="NS40" s="1221"/>
      <c r="NT40" s="1221"/>
      <c r="NU40" s="1221"/>
      <c r="NV40" s="1221"/>
      <c r="NW40" s="1221"/>
      <c r="NX40" s="1221"/>
      <c r="NY40" s="1221"/>
      <c r="NZ40" s="1221"/>
      <c r="OA40" s="1221"/>
      <c r="OB40" s="1221"/>
      <c r="OC40" s="1221"/>
      <c r="OD40" s="1221"/>
      <c r="OE40" s="1221"/>
      <c r="OF40" s="1221"/>
      <c r="OG40" s="1221"/>
      <c r="OH40" s="1221"/>
      <c r="OI40" s="1221"/>
      <c r="OJ40" s="1221"/>
      <c r="OK40" s="1221"/>
      <c r="OL40" s="1221"/>
      <c r="OM40" s="1221"/>
      <c r="ON40" s="1221"/>
      <c r="OO40" s="1221"/>
      <c r="OP40" s="1221"/>
      <c r="OQ40" s="1221"/>
      <c r="OR40" s="1221"/>
      <c r="OS40" s="1221"/>
      <c r="OT40" s="1221"/>
      <c r="OU40" s="1221"/>
      <c r="OV40" s="1221"/>
      <c r="OW40" s="1221"/>
      <c r="OX40" s="1221"/>
      <c r="OY40" s="1221"/>
      <c r="OZ40" s="1221"/>
      <c r="PA40" s="1221"/>
      <c r="PB40" s="1221"/>
      <c r="PC40" s="1221"/>
      <c r="PD40" s="1221"/>
      <c r="PE40" s="1221"/>
      <c r="PF40" s="1221"/>
      <c r="PG40" s="1221"/>
      <c r="PH40" s="1221"/>
      <c r="PI40" s="1221"/>
      <c r="PJ40" s="1221"/>
      <c r="PK40" s="1221"/>
      <c r="PL40" s="1221"/>
      <c r="PM40" s="1221"/>
      <c r="PN40" s="1221"/>
      <c r="PO40" s="1221"/>
      <c r="PP40" s="1221"/>
      <c r="PQ40" s="1221"/>
      <c r="PR40" s="1221"/>
      <c r="PS40" s="1221"/>
      <c r="PT40" s="1221"/>
      <c r="PU40" s="1221"/>
      <c r="PV40" s="1221"/>
      <c r="PW40" s="1221"/>
      <c r="PX40" s="1221"/>
      <c r="PY40" s="1221"/>
      <c r="PZ40" s="1221"/>
      <c r="QA40" s="1221"/>
      <c r="QB40" s="1221"/>
      <c r="QC40" s="1221"/>
      <c r="QD40" s="1221"/>
      <c r="QE40" s="1221"/>
      <c r="QF40" s="1221"/>
      <c r="QG40" s="1221"/>
      <c r="QH40" s="1221"/>
      <c r="QI40" s="1221"/>
      <c r="QJ40" s="1221"/>
      <c r="QK40" s="1221"/>
      <c r="QL40" s="1221"/>
      <c r="QM40" s="1221"/>
      <c r="QN40" s="1221"/>
      <c r="QO40" s="1221"/>
      <c r="QP40" s="1221"/>
      <c r="QQ40" s="1221"/>
      <c r="QR40" s="1221"/>
      <c r="QS40" s="1221"/>
      <c r="QT40" s="1221"/>
      <c r="QU40" s="1221"/>
      <c r="QV40" s="1221"/>
      <c r="QW40" s="1221"/>
      <c r="QX40" s="1221"/>
      <c r="QY40" s="1221"/>
      <c r="QZ40" s="1221"/>
      <c r="RA40" s="1221"/>
      <c r="RB40" s="1221"/>
      <c r="RC40" s="1221"/>
      <c r="RD40" s="1221"/>
      <c r="RE40" s="1221"/>
      <c r="RF40" s="1221"/>
      <c r="RG40" s="1221"/>
      <c r="RH40" s="1221"/>
      <c r="RI40" s="1221"/>
      <c r="RJ40" s="1221"/>
      <c r="RK40" s="1221"/>
      <c r="RL40" s="1221"/>
      <c r="RM40" s="1221"/>
      <c r="RN40" s="1221"/>
      <c r="RO40" s="1221"/>
      <c r="RP40" s="1221"/>
      <c r="RQ40" s="1221"/>
      <c r="RR40" s="1221"/>
      <c r="RS40" s="1221"/>
      <c r="RT40" s="1221"/>
      <c r="RU40" s="1221"/>
      <c r="RV40" s="1221"/>
      <c r="RW40" s="1221"/>
      <c r="RX40" s="1221"/>
      <c r="RY40" s="1221"/>
      <c r="RZ40" s="1221"/>
      <c r="SA40" s="1221"/>
      <c r="SB40" s="1221"/>
      <c r="SC40" s="1221"/>
      <c r="SD40" s="1221"/>
      <c r="SE40" s="1221"/>
      <c r="SF40" s="1221"/>
      <c r="SG40" s="1221"/>
      <c r="SH40" s="1221"/>
      <c r="SI40" s="1221"/>
      <c r="SJ40" s="1221"/>
      <c r="SK40" s="1221"/>
      <c r="SL40" s="1221"/>
      <c r="SM40" s="1221"/>
      <c r="SN40" s="1221"/>
      <c r="SO40" s="1221"/>
      <c r="SP40" s="1221"/>
      <c r="SQ40" s="1221"/>
      <c r="SR40" s="1221"/>
      <c r="SS40" s="1221"/>
      <c r="ST40" s="1221"/>
      <c r="SU40" s="1221"/>
      <c r="SV40" s="1221"/>
      <c r="SW40" s="1221"/>
      <c r="SX40" s="1221"/>
      <c r="SY40" s="1221"/>
      <c r="SZ40" s="1221"/>
      <c r="TA40" s="1221"/>
      <c r="TB40" s="1221"/>
      <c r="TC40" s="1221"/>
      <c r="TD40" s="1221"/>
      <c r="TE40" s="1221"/>
      <c r="TF40" s="1221"/>
      <c r="TG40" s="1221"/>
      <c r="TH40" s="1221"/>
      <c r="TI40" s="1221"/>
      <c r="TJ40" s="1221"/>
      <c r="TK40" s="1221"/>
      <c r="TL40" s="1221"/>
      <c r="TM40" s="1221"/>
      <c r="TN40" s="1221"/>
      <c r="TO40" s="1221"/>
      <c r="TP40" s="1221"/>
      <c r="TQ40" s="1221"/>
      <c r="TR40" s="1221"/>
      <c r="TS40" s="1221"/>
      <c r="TT40" s="1221"/>
      <c r="TU40" s="1221"/>
      <c r="TV40" s="1221"/>
      <c r="TW40" s="1221"/>
      <c r="TX40" s="1221"/>
      <c r="TY40" s="1221"/>
      <c r="TZ40" s="1221"/>
      <c r="UA40" s="1221"/>
      <c r="UB40" s="1221"/>
      <c r="UC40" s="1221"/>
      <c r="UD40" s="1221"/>
      <c r="UE40" s="1221"/>
      <c r="UF40" s="1221"/>
      <c r="UG40" s="1221"/>
      <c r="UH40" s="1221"/>
      <c r="UI40" s="1221"/>
      <c r="UJ40" s="1221"/>
      <c r="UK40" s="1221"/>
      <c r="UL40" s="1221"/>
      <c r="UM40" s="1221"/>
      <c r="UN40" s="1221"/>
      <c r="UO40" s="1221"/>
      <c r="UP40" s="1221"/>
      <c r="UQ40" s="1221"/>
      <c r="UR40" s="1221"/>
      <c r="US40" s="1221"/>
      <c r="UT40" s="1221"/>
      <c r="UU40" s="1221"/>
      <c r="UV40" s="1221"/>
      <c r="UW40" s="1221"/>
      <c r="UX40" s="1221"/>
      <c r="UY40" s="1221"/>
      <c r="UZ40" s="1221"/>
      <c r="VA40" s="1221"/>
      <c r="VB40" s="1221"/>
      <c r="VC40" s="1221"/>
      <c r="VD40" s="1221"/>
      <c r="VE40" s="1221"/>
      <c r="VF40" s="1221"/>
      <c r="VG40" s="1221"/>
      <c r="VH40" s="1221"/>
      <c r="VI40" s="1221"/>
      <c r="VJ40" s="1221"/>
      <c r="VK40" s="1221"/>
      <c r="VL40" s="1221"/>
      <c r="VM40" s="1221"/>
      <c r="VN40" s="1221"/>
      <c r="VO40" s="1221"/>
      <c r="VP40" s="1221"/>
      <c r="VQ40" s="1221"/>
      <c r="VR40" s="1221"/>
      <c r="VS40" s="1221"/>
      <c r="VT40" s="1221"/>
      <c r="VU40" s="1221"/>
      <c r="VV40" s="1221"/>
      <c r="VW40" s="1221"/>
      <c r="VX40" s="1221"/>
      <c r="VY40" s="1221"/>
      <c r="VZ40" s="1221"/>
      <c r="WA40" s="1221"/>
      <c r="WB40" s="1221"/>
      <c r="WC40" s="1221"/>
      <c r="WD40" s="1221"/>
      <c r="WE40" s="1221"/>
      <c r="WF40" s="1221"/>
      <c r="WG40" s="1221"/>
      <c r="WH40" s="1221"/>
      <c r="WI40" s="1221"/>
      <c r="WJ40" s="1221"/>
      <c r="WK40" s="1221"/>
      <c r="WL40" s="1221"/>
      <c r="WM40" s="1221"/>
      <c r="WN40" s="1221"/>
      <c r="WO40" s="1221"/>
      <c r="WP40" s="1221"/>
      <c r="WQ40" s="1221"/>
      <c r="WR40" s="1221"/>
      <c r="WS40" s="1221"/>
      <c r="WT40" s="1221"/>
      <c r="WU40" s="1221"/>
      <c r="WV40" s="1221"/>
      <c r="WW40" s="1221"/>
      <c r="WX40" s="1221"/>
      <c r="WY40" s="1221"/>
      <c r="WZ40" s="1221"/>
      <c r="XA40" s="1221"/>
      <c r="XB40" s="1221"/>
      <c r="XC40" s="1221"/>
      <c r="XD40" s="1221"/>
      <c r="XE40" s="1221"/>
      <c r="XF40" s="1221"/>
      <c r="XG40" s="1221"/>
      <c r="XH40" s="1221"/>
      <c r="XI40" s="1221"/>
      <c r="XJ40" s="1221"/>
      <c r="XK40" s="1221"/>
      <c r="XL40" s="1221"/>
      <c r="XM40" s="1221"/>
      <c r="XN40" s="1221"/>
      <c r="XO40" s="1221"/>
      <c r="XP40" s="1221"/>
      <c r="XQ40" s="1221"/>
      <c r="XR40" s="1221"/>
      <c r="XS40" s="1221"/>
      <c r="XT40" s="1221"/>
      <c r="XU40" s="1221"/>
      <c r="XV40" s="1221"/>
      <c r="XW40" s="1221"/>
      <c r="XX40" s="1221"/>
      <c r="XY40" s="1221"/>
      <c r="XZ40" s="1221"/>
      <c r="YA40" s="1221"/>
      <c r="YB40" s="1221"/>
      <c r="YC40" s="1221"/>
      <c r="YD40" s="1221"/>
      <c r="YE40" s="1221"/>
      <c r="YF40" s="1221"/>
      <c r="YG40" s="1221"/>
      <c r="YH40" s="1221"/>
      <c r="YI40" s="1221"/>
      <c r="YJ40" s="1221"/>
      <c r="YK40" s="1221"/>
      <c r="YL40" s="1221"/>
      <c r="YM40" s="1221"/>
      <c r="YN40" s="1221"/>
      <c r="YO40" s="1221"/>
      <c r="YP40" s="1221"/>
      <c r="YQ40" s="1221"/>
      <c r="YR40" s="1221"/>
      <c r="YS40" s="1221"/>
      <c r="YT40" s="1221"/>
      <c r="YU40" s="1221"/>
      <c r="YV40" s="1221"/>
      <c r="YW40" s="1221"/>
      <c r="YX40" s="1221"/>
      <c r="YY40" s="1221"/>
      <c r="YZ40" s="1221"/>
      <c r="ZA40" s="1221"/>
      <c r="ZB40" s="1221"/>
      <c r="ZC40" s="1221"/>
      <c r="ZD40" s="1221"/>
      <c r="ZE40" s="1221"/>
      <c r="ZF40" s="1221"/>
      <c r="ZG40" s="1221"/>
      <c r="ZH40" s="1221"/>
      <c r="ZI40" s="1221"/>
      <c r="ZJ40" s="1221"/>
      <c r="ZK40" s="1221"/>
      <c r="ZL40" s="1221"/>
      <c r="ZM40" s="1221"/>
      <c r="ZN40" s="1221"/>
      <c r="ZO40" s="1221"/>
      <c r="ZP40" s="1221"/>
      <c r="ZQ40" s="1221"/>
      <c r="ZR40" s="1221"/>
      <c r="ZS40" s="1221"/>
      <c r="ZT40" s="1221"/>
      <c r="ZU40" s="1221"/>
      <c r="ZV40" s="1221"/>
      <c r="ZW40" s="1221"/>
      <c r="ZX40" s="1221"/>
      <c r="ZY40" s="1221"/>
      <c r="ZZ40" s="1221"/>
      <c r="AAA40" s="1221"/>
      <c r="AAB40" s="1221"/>
      <c r="AAC40" s="1221"/>
      <c r="AAD40" s="1221"/>
      <c r="AAE40" s="1221"/>
      <c r="AAF40" s="1221"/>
      <c r="AAG40" s="1221"/>
      <c r="AAH40" s="1221"/>
      <c r="AAI40" s="1221"/>
      <c r="AAJ40" s="1221"/>
      <c r="AAK40" s="1221"/>
      <c r="AAL40" s="1221"/>
      <c r="AAM40" s="1221"/>
      <c r="AAN40" s="1221"/>
      <c r="AAO40" s="1221"/>
      <c r="AAP40" s="1221"/>
      <c r="AAQ40" s="1221"/>
      <c r="AAR40" s="1221"/>
      <c r="AAS40" s="1221"/>
      <c r="AAT40" s="1221"/>
      <c r="AAU40" s="1221"/>
      <c r="AAV40" s="1221"/>
      <c r="AAW40" s="1221"/>
      <c r="AAX40" s="1221"/>
      <c r="AAY40" s="1221"/>
      <c r="AAZ40" s="1221"/>
      <c r="ABA40" s="1221"/>
      <c r="ABB40" s="1221"/>
      <c r="ABC40" s="1221"/>
      <c r="ABD40" s="1221"/>
      <c r="ABE40" s="1221"/>
      <c r="ABF40" s="1221"/>
      <c r="ABG40" s="1221"/>
      <c r="ABH40" s="1221"/>
      <c r="ABI40" s="1221"/>
      <c r="ABJ40" s="1221"/>
      <c r="ABK40" s="1221"/>
      <c r="ABL40" s="1221"/>
      <c r="ABM40" s="1221"/>
      <c r="ABN40" s="1221"/>
      <c r="ABO40" s="1221"/>
      <c r="ABP40" s="1221"/>
      <c r="ABQ40" s="1221"/>
      <c r="ABR40" s="1221"/>
      <c r="ABS40" s="1221"/>
      <c r="ABT40" s="1221"/>
      <c r="ABU40" s="1221"/>
      <c r="ABV40" s="1221"/>
      <c r="ABW40" s="1221"/>
      <c r="ABX40" s="1221"/>
      <c r="ABY40" s="1221"/>
      <c r="ABZ40" s="1221"/>
      <c r="ACA40" s="1221"/>
      <c r="ACB40" s="1221"/>
      <c r="ACC40" s="1221"/>
      <c r="ACD40" s="1221"/>
      <c r="ACE40" s="1221"/>
      <c r="ACF40" s="1221"/>
      <c r="ACG40" s="1221"/>
      <c r="ACH40" s="1221"/>
      <c r="ACI40" s="1221"/>
      <c r="ACJ40" s="1221"/>
      <c r="ACK40" s="1221"/>
      <c r="ACL40" s="1221"/>
      <c r="ACM40" s="1221"/>
      <c r="ACN40" s="1221"/>
      <c r="ACO40" s="1221"/>
      <c r="ACP40" s="1221"/>
      <c r="ACQ40" s="1221"/>
      <c r="ACR40" s="1221"/>
      <c r="ACS40" s="1221"/>
      <c r="ACT40" s="1221"/>
      <c r="ACU40" s="1221"/>
      <c r="ACV40" s="1221"/>
      <c r="ACW40" s="1221"/>
      <c r="ACX40" s="1221"/>
      <c r="ACY40" s="1221"/>
      <c r="ACZ40" s="1221"/>
      <c r="ADA40" s="1221"/>
      <c r="ADB40" s="1221"/>
      <c r="ADC40" s="1221"/>
      <c r="ADD40" s="1221"/>
      <c r="ADE40" s="1221"/>
      <c r="ADF40" s="1221"/>
      <c r="ADG40" s="1221"/>
      <c r="ADH40" s="1221"/>
      <c r="ADI40" s="1221"/>
      <c r="ADJ40" s="1221"/>
      <c r="ADK40" s="1221"/>
      <c r="ADL40" s="1221"/>
      <c r="ADM40" s="1221"/>
      <c r="ADN40" s="1221"/>
      <c r="ADO40" s="1221"/>
      <c r="ADP40" s="1221"/>
      <c r="ADQ40" s="1221"/>
      <c r="ADR40" s="1221"/>
      <c r="ADS40" s="1221"/>
      <c r="ADT40" s="1221"/>
      <c r="ADU40" s="1221"/>
      <c r="ADV40" s="1221"/>
      <c r="ADW40" s="1221"/>
      <c r="ADX40" s="1221"/>
      <c r="ADY40" s="1221"/>
      <c r="ADZ40" s="1221"/>
      <c r="AEA40" s="1221"/>
      <c r="AEB40" s="1221"/>
      <c r="AEC40" s="1221"/>
      <c r="AED40" s="1221"/>
      <c r="AEE40" s="1221"/>
      <c r="AEF40" s="1221"/>
      <c r="AEG40" s="1221"/>
      <c r="AEH40" s="1221"/>
      <c r="AEI40" s="1221"/>
      <c r="AEJ40" s="1221"/>
      <c r="AEK40" s="1221"/>
      <c r="AEL40" s="1221"/>
      <c r="AEM40" s="1221"/>
      <c r="AEN40" s="1221"/>
      <c r="AEO40" s="1221"/>
      <c r="AEP40" s="1221"/>
      <c r="AEQ40" s="1221"/>
      <c r="AER40" s="1221"/>
      <c r="AES40" s="1221"/>
      <c r="AET40" s="1221"/>
      <c r="AEU40" s="1221"/>
      <c r="AEV40" s="1221"/>
      <c r="AEW40" s="1221"/>
      <c r="AEX40" s="1221"/>
      <c r="AEY40" s="1221"/>
      <c r="AEZ40" s="1221"/>
      <c r="AFA40" s="1221"/>
      <c r="AFB40" s="1221"/>
      <c r="AFC40" s="1221"/>
      <c r="AFD40" s="1221"/>
      <c r="AFE40" s="1221"/>
      <c r="AFF40" s="1221"/>
      <c r="AFG40" s="1221"/>
      <c r="AFH40" s="1221"/>
      <c r="AFI40" s="1221"/>
      <c r="AFJ40" s="1221"/>
      <c r="AFK40" s="1221"/>
      <c r="AFL40" s="1221"/>
      <c r="AFM40" s="1221"/>
      <c r="AFN40" s="1221"/>
      <c r="AFO40" s="1221"/>
      <c r="AFP40" s="1221"/>
      <c r="AFQ40" s="1221"/>
      <c r="AFR40" s="1221"/>
      <c r="AFS40" s="1221"/>
      <c r="AFT40" s="1221"/>
      <c r="AFU40" s="1221"/>
      <c r="AFV40" s="1221"/>
      <c r="AFW40" s="1221"/>
      <c r="AFX40" s="1221"/>
      <c r="AFY40" s="1221"/>
      <c r="AFZ40" s="1221"/>
      <c r="AGA40" s="1221"/>
      <c r="AGB40" s="1221"/>
      <c r="AGC40" s="1221"/>
      <c r="AGD40" s="1221"/>
      <c r="AGE40" s="1221"/>
      <c r="AGF40" s="1221"/>
      <c r="AGG40" s="1221"/>
      <c r="AGH40" s="1221"/>
      <c r="AGI40" s="1221"/>
      <c r="AGJ40" s="1221"/>
      <c r="AGK40" s="1221"/>
      <c r="AGL40" s="1221"/>
      <c r="AGM40" s="1221"/>
      <c r="AGN40" s="1221"/>
      <c r="AGO40" s="1221"/>
      <c r="AGP40" s="1221"/>
      <c r="AGQ40" s="1221"/>
      <c r="AGR40" s="1221"/>
      <c r="AGS40" s="1221"/>
      <c r="AGT40" s="1221"/>
      <c r="AGU40" s="1221"/>
      <c r="AGV40" s="1221"/>
      <c r="AGW40" s="1221"/>
      <c r="AGX40" s="1221"/>
      <c r="AGY40" s="1221"/>
      <c r="AGZ40" s="1221"/>
      <c r="AHA40" s="1221"/>
      <c r="AHB40" s="1221"/>
      <c r="AHC40" s="1221"/>
      <c r="AHD40" s="1221"/>
      <c r="AHE40" s="1221"/>
      <c r="AHF40" s="1221"/>
      <c r="AHG40" s="1221"/>
      <c r="AHH40" s="1221"/>
      <c r="AHI40" s="1221"/>
      <c r="AHJ40" s="1221"/>
      <c r="AHK40" s="1221"/>
      <c r="AHL40" s="1221"/>
      <c r="AHM40" s="1221"/>
      <c r="AHN40" s="1221"/>
      <c r="AHO40" s="1221"/>
      <c r="AHP40" s="1221"/>
      <c r="AHQ40" s="1221"/>
      <c r="AHR40" s="1221"/>
      <c r="AHS40" s="1221"/>
      <c r="AHT40" s="1221"/>
      <c r="AHU40" s="1221"/>
      <c r="AHV40" s="1221"/>
      <c r="AHW40" s="1221"/>
      <c r="AHX40" s="1221"/>
      <c r="AHY40" s="1221"/>
      <c r="AHZ40" s="1221"/>
      <c r="AIA40" s="1221"/>
      <c r="AIB40" s="1221"/>
      <c r="AIC40" s="1221"/>
      <c r="AID40" s="1221"/>
      <c r="AIE40" s="1221"/>
      <c r="AIF40" s="1221"/>
      <c r="AIG40" s="1221"/>
      <c r="AIH40" s="1221"/>
      <c r="AII40" s="1221"/>
      <c r="AIJ40" s="1221"/>
      <c r="AIK40" s="1221"/>
      <c r="AIL40" s="1221"/>
      <c r="AIM40" s="1221"/>
      <c r="AIN40" s="1221"/>
      <c r="AIO40" s="1221"/>
      <c r="AIP40" s="1221"/>
      <c r="AIQ40" s="1221"/>
      <c r="AIR40" s="1221"/>
      <c r="AIS40" s="1221"/>
      <c r="AIT40" s="1221"/>
      <c r="AIU40" s="1221"/>
      <c r="AIV40" s="1221"/>
      <c r="AIW40" s="1221"/>
      <c r="AIX40" s="1221"/>
      <c r="AIY40" s="1221"/>
      <c r="AIZ40" s="1221"/>
      <c r="AJA40" s="1221"/>
      <c r="AJB40" s="1221"/>
      <c r="AJC40" s="1221"/>
      <c r="AJD40" s="1221"/>
      <c r="AJE40" s="1221"/>
      <c r="AJF40" s="1221"/>
      <c r="AJG40" s="1221"/>
      <c r="AJH40" s="1221"/>
      <c r="AJI40" s="1221"/>
      <c r="AJJ40" s="1221"/>
      <c r="AJK40" s="1221"/>
      <c r="AJL40" s="1221"/>
      <c r="AJM40" s="1221"/>
      <c r="AJN40" s="1221"/>
      <c r="AJO40" s="1221"/>
      <c r="AJP40" s="1221"/>
      <c r="AJQ40" s="1221"/>
      <c r="AJR40" s="1221"/>
      <c r="AJS40" s="1221"/>
      <c r="AJT40" s="1221"/>
      <c r="AJU40" s="1221"/>
      <c r="AJV40" s="1221"/>
      <c r="AJW40" s="1221"/>
      <c r="AJX40" s="1221"/>
      <c r="AJY40" s="1221"/>
      <c r="AJZ40" s="1221"/>
      <c r="AKA40" s="1221"/>
      <c r="AKB40" s="1221"/>
      <c r="AKC40" s="1221"/>
      <c r="AKD40" s="1221"/>
      <c r="AKE40" s="1221"/>
      <c r="AKF40" s="1221"/>
      <c r="AKG40" s="1221"/>
      <c r="AKH40" s="1221"/>
      <c r="AKI40" s="1221"/>
      <c r="AKJ40" s="1221"/>
      <c r="AKK40" s="1221"/>
      <c r="AKL40" s="1221"/>
      <c r="AKM40" s="1221"/>
      <c r="AKN40" s="1221"/>
      <c r="AKO40" s="1221"/>
      <c r="AKP40" s="1221"/>
      <c r="AKQ40" s="1221"/>
      <c r="AKR40" s="1221"/>
      <c r="AKS40" s="1221"/>
      <c r="AKT40" s="1221"/>
      <c r="AKU40" s="1221"/>
      <c r="AKV40" s="1221"/>
      <c r="AKW40" s="1221"/>
      <c r="AKX40" s="1221"/>
      <c r="AKY40" s="1221"/>
      <c r="AKZ40" s="1221"/>
      <c r="ALA40" s="1221"/>
      <c r="ALB40" s="1221"/>
      <c r="ALC40" s="1221"/>
      <c r="ALD40" s="1221"/>
      <c r="ALE40" s="1221"/>
      <c r="ALF40" s="1221"/>
      <c r="ALG40" s="1221"/>
      <c r="ALH40" s="1221"/>
      <c r="ALI40" s="1221"/>
      <c r="ALJ40" s="1221"/>
      <c r="ALK40" s="1221"/>
      <c r="ALL40" s="1221"/>
      <c r="ALM40" s="1221"/>
      <c r="ALN40" s="1221"/>
      <c r="ALO40" s="1221"/>
      <c r="ALP40" s="1221"/>
      <c r="ALQ40" s="1221"/>
      <c r="ALR40" s="1221"/>
      <c r="ALS40" s="1221"/>
      <c r="ALT40" s="1221"/>
      <c r="ALU40" s="1221"/>
      <c r="ALV40" s="1221"/>
      <c r="ALW40" s="1221"/>
      <c r="ALX40" s="1221"/>
      <c r="ALY40" s="1221"/>
      <c r="ALZ40" s="1221"/>
      <c r="AMA40" s="1221"/>
      <c r="AMB40" s="1221"/>
      <c r="AMC40" s="1221"/>
      <c r="AMD40" s="1221"/>
      <c r="AME40" s="1221"/>
      <c r="AMF40" s="1221"/>
      <c r="AMG40" s="1221"/>
      <c r="AMH40" s="1221"/>
      <c r="AMI40" s="1221"/>
      <c r="AMJ40" s="1221"/>
      <c r="AMK40" s="1221"/>
      <c r="AML40" s="1221"/>
      <c r="AMM40" s="1221"/>
      <c r="AMN40" s="1221"/>
      <c r="AMO40" s="1221"/>
      <c r="AMP40" s="1221"/>
      <c r="AMQ40" s="1221"/>
      <c r="AMR40" s="1221"/>
      <c r="AMS40" s="1221"/>
      <c r="AMT40" s="1221"/>
      <c r="AMU40" s="1221"/>
      <c r="AMV40" s="1221"/>
      <c r="AMW40" s="1221"/>
      <c r="AMX40" s="1221"/>
      <c r="AMY40" s="1221"/>
      <c r="AMZ40" s="1221"/>
      <c r="ANA40" s="1221"/>
      <c r="ANB40" s="1221"/>
      <c r="ANC40" s="1221"/>
      <c r="AND40" s="1221"/>
      <c r="ANE40" s="1221"/>
      <c r="ANF40" s="1221"/>
      <c r="ANG40" s="1221"/>
      <c r="ANH40" s="1221"/>
      <c r="ANI40" s="1221"/>
      <c r="ANJ40" s="1221"/>
      <c r="ANK40" s="1221"/>
      <c r="ANL40" s="1221"/>
      <c r="ANM40" s="1221"/>
      <c r="ANN40" s="1221"/>
      <c r="ANO40" s="1221"/>
      <c r="ANP40" s="1221"/>
      <c r="ANQ40" s="1221"/>
      <c r="ANR40" s="1221"/>
      <c r="ANS40" s="1221"/>
      <c r="ANT40" s="1221"/>
      <c r="ANU40" s="1221"/>
      <c r="ANV40" s="1221"/>
      <c r="ANW40" s="1221"/>
      <c r="ANX40" s="1221"/>
      <c r="ANY40" s="1221"/>
      <c r="ANZ40" s="1221"/>
      <c r="AOA40" s="1221"/>
      <c r="AOB40" s="1221"/>
      <c r="AOC40" s="1221"/>
      <c r="AOD40" s="1221"/>
      <c r="AOE40" s="1221"/>
      <c r="AOF40" s="1221"/>
      <c r="AOG40" s="1221"/>
      <c r="AOH40" s="1221"/>
      <c r="AOI40" s="1221"/>
      <c r="AOJ40" s="1221"/>
      <c r="AOK40" s="1221"/>
      <c r="AOL40" s="1221"/>
      <c r="AOM40" s="1221"/>
      <c r="AON40" s="1221"/>
      <c r="AOO40" s="1221"/>
      <c r="AOP40" s="1221"/>
      <c r="AOQ40" s="1221"/>
      <c r="AOR40" s="1221"/>
      <c r="AOS40" s="1221"/>
      <c r="AOT40" s="1221"/>
      <c r="AOU40" s="1221"/>
      <c r="AOV40" s="1221"/>
      <c r="AOW40" s="1221"/>
      <c r="AOX40" s="1221"/>
      <c r="AOY40" s="1221"/>
      <c r="AOZ40" s="1221"/>
      <c r="APA40" s="1221"/>
      <c r="APB40" s="1221"/>
      <c r="APC40" s="1221"/>
      <c r="APD40" s="1221"/>
      <c r="APE40" s="1221"/>
      <c r="APF40" s="1221"/>
      <c r="APG40" s="1221"/>
      <c r="APH40" s="1221"/>
      <c r="API40" s="1221"/>
      <c r="APJ40" s="1221"/>
      <c r="APK40" s="1221"/>
      <c r="APL40" s="1221"/>
      <c r="APM40" s="1221"/>
      <c r="APN40" s="1221"/>
      <c r="APO40" s="1221"/>
      <c r="APP40" s="1221"/>
      <c r="APQ40" s="1221"/>
      <c r="APR40" s="1221"/>
      <c r="APS40" s="1221"/>
      <c r="APT40" s="1221"/>
      <c r="APU40" s="1221"/>
      <c r="APV40" s="1221"/>
      <c r="APW40" s="1221"/>
      <c r="APX40" s="1221"/>
      <c r="APY40" s="1221"/>
      <c r="APZ40" s="1221"/>
      <c r="AQA40" s="1221"/>
      <c r="AQB40" s="1221"/>
      <c r="AQC40" s="1221"/>
      <c r="AQD40" s="1221"/>
      <c r="AQE40" s="1221"/>
      <c r="AQF40" s="1221"/>
      <c r="AQG40" s="1221"/>
      <c r="AQH40" s="1221"/>
      <c r="AQI40" s="1221"/>
      <c r="AQJ40" s="1221"/>
      <c r="AQK40" s="1221"/>
      <c r="AQL40" s="1221"/>
      <c r="AQM40" s="1221"/>
      <c r="AQN40" s="1221"/>
      <c r="AQO40" s="1221"/>
      <c r="AQP40" s="1221"/>
      <c r="AQQ40" s="1221"/>
      <c r="AQR40" s="1221"/>
      <c r="AQS40" s="1221"/>
      <c r="AQT40" s="1221"/>
      <c r="AQU40" s="1221"/>
      <c r="AQV40" s="1221"/>
      <c r="AQW40" s="1221"/>
      <c r="AQX40" s="1221"/>
      <c r="AQY40" s="1221"/>
      <c r="AQZ40" s="1221"/>
      <c r="ARA40" s="1221"/>
      <c r="ARB40" s="1221"/>
      <c r="ARC40" s="1221"/>
      <c r="ARD40" s="1221"/>
      <c r="ARE40" s="1221"/>
      <c r="ARF40" s="1221"/>
      <c r="ARG40" s="1221"/>
      <c r="ARH40" s="1221"/>
      <c r="ARI40" s="1221"/>
      <c r="ARJ40" s="1221"/>
      <c r="ARK40" s="1221"/>
      <c r="ARL40" s="1221"/>
      <c r="ARM40" s="1221"/>
      <c r="ARN40" s="1221"/>
      <c r="ARO40" s="1221"/>
      <c r="ARP40" s="1221"/>
      <c r="ARQ40" s="1221"/>
      <c r="ARR40" s="1221"/>
      <c r="ARS40" s="1221"/>
      <c r="ART40" s="1221"/>
      <c r="ARU40" s="1221"/>
      <c r="ARV40" s="1221"/>
      <c r="ARW40" s="1221"/>
      <c r="ARX40" s="1221"/>
      <c r="ARY40" s="1221"/>
      <c r="ARZ40" s="1221"/>
      <c r="ASA40" s="1221"/>
      <c r="ASB40" s="1221"/>
      <c r="ASC40" s="1221"/>
      <c r="ASD40" s="1221"/>
      <c r="ASE40" s="1221"/>
      <c r="ASF40" s="1221"/>
      <c r="ASG40" s="1221"/>
      <c r="ASH40" s="1221"/>
      <c r="ASI40" s="1221"/>
      <c r="ASJ40" s="1221"/>
      <c r="ASK40" s="1221"/>
      <c r="ASL40" s="1221"/>
      <c r="ASM40" s="1221"/>
      <c r="ASN40" s="1221"/>
      <c r="ASO40" s="1221"/>
      <c r="ASP40" s="1221"/>
      <c r="ASQ40" s="1221"/>
      <c r="ASR40" s="1221"/>
      <c r="ASS40" s="1221"/>
      <c r="AST40" s="1221"/>
      <c r="ASU40" s="1221"/>
      <c r="ASV40" s="1221"/>
      <c r="ASW40" s="1221"/>
      <c r="ASX40" s="1221"/>
      <c r="ASY40" s="1221"/>
      <c r="ASZ40" s="1221"/>
      <c r="ATA40" s="1221"/>
      <c r="ATB40" s="1221"/>
      <c r="ATC40" s="1221"/>
      <c r="ATD40" s="1221"/>
      <c r="ATE40" s="1221"/>
      <c r="ATF40" s="1221"/>
      <c r="ATG40" s="1221"/>
      <c r="ATH40" s="1221"/>
      <c r="ATI40" s="1221"/>
      <c r="ATJ40" s="1221"/>
      <c r="ATK40" s="1221"/>
      <c r="ATL40" s="1221"/>
      <c r="ATM40" s="1221"/>
      <c r="ATN40" s="1221"/>
      <c r="ATO40" s="1221"/>
      <c r="ATP40" s="1221"/>
      <c r="ATQ40" s="1221"/>
      <c r="ATR40" s="1221"/>
      <c r="ATS40" s="1221"/>
      <c r="ATT40" s="1221"/>
      <c r="ATU40" s="1221"/>
      <c r="ATV40" s="1221"/>
      <c r="ATW40" s="1221"/>
      <c r="ATX40" s="1221"/>
      <c r="ATY40" s="1221"/>
      <c r="ATZ40" s="1221"/>
      <c r="AUA40" s="1221"/>
      <c r="AUB40" s="1221"/>
      <c r="AUC40" s="1221"/>
      <c r="AUD40" s="1221"/>
      <c r="AUE40" s="1221"/>
      <c r="AUF40" s="1221"/>
      <c r="AUG40" s="1221"/>
      <c r="AUH40" s="1221"/>
      <c r="AUI40" s="1221"/>
      <c r="AUJ40" s="1221"/>
      <c r="AUK40" s="1221"/>
      <c r="AUL40" s="1221"/>
      <c r="AUM40" s="1221"/>
      <c r="AUN40" s="1221"/>
      <c r="AUO40" s="1221"/>
      <c r="AUP40" s="1221"/>
      <c r="AUQ40" s="1221"/>
      <c r="AUR40" s="1221"/>
      <c r="AUS40" s="1221"/>
      <c r="AUT40" s="1221"/>
      <c r="AUU40" s="1221"/>
      <c r="AUV40" s="1221"/>
      <c r="AUW40" s="1221"/>
      <c r="AUX40" s="1221"/>
      <c r="AUY40" s="1221"/>
      <c r="AUZ40" s="1221"/>
      <c r="AVA40" s="1221"/>
      <c r="AVB40" s="1221"/>
      <c r="AVC40" s="1221"/>
      <c r="AVD40" s="1221"/>
      <c r="AVE40" s="1221"/>
      <c r="AVF40" s="1221"/>
      <c r="AVG40" s="1221"/>
      <c r="AVH40" s="1221"/>
      <c r="AVI40" s="1221"/>
      <c r="AVJ40" s="1221"/>
      <c r="AVK40" s="1221"/>
      <c r="AVL40" s="1221"/>
      <c r="AVM40" s="1221"/>
      <c r="AVN40" s="1221"/>
      <c r="AVO40" s="1221"/>
      <c r="AVP40" s="1221"/>
      <c r="AVQ40" s="1221"/>
      <c r="AVR40" s="1221"/>
      <c r="AVS40" s="1221"/>
      <c r="AVT40" s="1221"/>
      <c r="AVU40" s="1221"/>
      <c r="AVV40" s="1221"/>
      <c r="AVW40" s="1221"/>
      <c r="AVX40" s="1221"/>
      <c r="AVY40" s="1221"/>
      <c r="AVZ40" s="1221"/>
      <c r="AWA40" s="1221"/>
      <c r="AWB40" s="1221"/>
      <c r="AWC40" s="1221"/>
      <c r="AWD40" s="1221"/>
      <c r="AWE40" s="1221"/>
      <c r="AWF40" s="1221"/>
      <c r="AWG40" s="1221"/>
      <c r="AWH40" s="1221"/>
      <c r="AWI40" s="1221"/>
      <c r="AWJ40" s="1221"/>
      <c r="AWK40" s="1221"/>
      <c r="AWL40" s="1221"/>
      <c r="AWM40" s="1221"/>
      <c r="AWN40" s="1221"/>
      <c r="AWO40" s="1221"/>
      <c r="AWP40" s="1221"/>
      <c r="AWQ40" s="1221"/>
      <c r="AWR40" s="1221"/>
      <c r="AWS40" s="1221"/>
      <c r="AWT40" s="1221"/>
      <c r="AWU40" s="1221"/>
      <c r="AWV40" s="1221"/>
      <c r="AWW40" s="1221"/>
      <c r="AWX40" s="1221"/>
      <c r="AWY40" s="1221"/>
      <c r="AWZ40" s="1221"/>
      <c r="AXA40" s="1221"/>
      <c r="AXB40" s="1221"/>
      <c r="AXC40" s="1221"/>
      <c r="AXD40" s="1221"/>
      <c r="AXE40" s="1221"/>
      <c r="AXF40" s="1221"/>
      <c r="AXG40" s="1221"/>
      <c r="AXH40" s="1221"/>
      <c r="AXI40" s="1221"/>
      <c r="AXJ40" s="1221"/>
      <c r="AXK40" s="1221"/>
      <c r="AXL40" s="1221"/>
      <c r="AXM40" s="1221"/>
      <c r="AXN40" s="1221"/>
      <c r="AXO40" s="1221"/>
      <c r="AXP40" s="1221"/>
      <c r="AXQ40" s="1221"/>
      <c r="AXR40" s="1221"/>
      <c r="AXS40" s="1221"/>
      <c r="AXT40" s="1221"/>
      <c r="AXU40" s="1221"/>
      <c r="AXV40" s="1221"/>
      <c r="AXW40" s="1221"/>
      <c r="AXX40" s="1221"/>
      <c r="AXY40" s="1221"/>
      <c r="AXZ40" s="1221"/>
      <c r="AYA40" s="1221"/>
      <c r="AYB40" s="1221"/>
      <c r="AYC40" s="1221"/>
      <c r="AYD40" s="1221"/>
      <c r="AYE40" s="1221"/>
      <c r="AYF40" s="1221"/>
      <c r="AYG40" s="1221"/>
      <c r="AYH40" s="1221"/>
      <c r="AYI40" s="1221"/>
      <c r="AYJ40" s="1221"/>
      <c r="AYK40" s="1221"/>
      <c r="AYL40" s="1221"/>
      <c r="AYM40" s="1221"/>
      <c r="AYN40" s="1221"/>
      <c r="AYO40" s="1221"/>
      <c r="AYP40" s="1221"/>
      <c r="AYQ40" s="1221"/>
      <c r="AYR40" s="1221"/>
      <c r="AYS40" s="1221"/>
      <c r="AYT40" s="1221"/>
      <c r="AYU40" s="1221"/>
      <c r="AYV40" s="1221"/>
      <c r="AYW40" s="1221"/>
      <c r="AYX40" s="1221"/>
      <c r="AYY40" s="1221"/>
      <c r="AYZ40" s="1221"/>
      <c r="AZA40" s="1221"/>
      <c r="AZB40" s="1221"/>
      <c r="AZC40" s="1221"/>
      <c r="AZD40" s="1221"/>
      <c r="AZE40" s="1221"/>
      <c r="AZF40" s="1221"/>
      <c r="AZG40" s="1221"/>
      <c r="AZH40" s="1221"/>
      <c r="AZI40" s="1221"/>
      <c r="AZJ40" s="1221"/>
      <c r="AZK40" s="1221"/>
      <c r="AZL40" s="1221"/>
      <c r="AZM40" s="1221"/>
      <c r="AZN40" s="1221"/>
      <c r="AZO40" s="1221"/>
      <c r="AZP40" s="1221"/>
      <c r="AZQ40" s="1221"/>
      <c r="AZR40" s="1221"/>
      <c r="AZS40" s="1221"/>
      <c r="AZT40" s="1221"/>
      <c r="AZU40" s="1221"/>
      <c r="AZV40" s="1221"/>
      <c r="AZW40" s="1221"/>
      <c r="AZX40" s="1221"/>
      <c r="AZY40" s="1221"/>
      <c r="AZZ40" s="1221"/>
      <c r="BAA40" s="1221"/>
      <c r="BAB40" s="1221"/>
      <c r="BAC40" s="1221"/>
      <c r="BAD40" s="1221"/>
      <c r="BAE40" s="1221"/>
      <c r="BAF40" s="1221"/>
      <c r="BAG40" s="1221"/>
      <c r="BAH40" s="1221"/>
      <c r="BAI40" s="1221"/>
      <c r="BAJ40" s="1221"/>
      <c r="BAK40" s="1221"/>
      <c r="BAL40" s="1221"/>
      <c r="BAM40" s="1221"/>
      <c r="BAN40" s="1221"/>
      <c r="BAO40" s="1221"/>
      <c r="BAP40" s="1221"/>
      <c r="BAQ40" s="1221"/>
      <c r="BAR40" s="1221"/>
      <c r="BAS40" s="1221"/>
      <c r="BAT40" s="1221"/>
      <c r="BAU40" s="1221"/>
      <c r="BAV40" s="1221"/>
      <c r="BAW40" s="1221"/>
      <c r="BAX40" s="1221"/>
      <c r="BAY40" s="1221"/>
      <c r="BAZ40" s="1221"/>
      <c r="BBA40" s="1221"/>
      <c r="BBB40" s="1221"/>
      <c r="BBC40" s="1221"/>
      <c r="BBD40" s="1221"/>
      <c r="BBE40" s="1221"/>
      <c r="BBF40" s="1221"/>
      <c r="BBG40" s="1221"/>
      <c r="BBH40" s="1221"/>
      <c r="BBI40" s="1221"/>
      <c r="BBJ40" s="1221"/>
      <c r="BBK40" s="1221"/>
      <c r="BBL40" s="1221"/>
      <c r="BBM40" s="1221"/>
      <c r="BBN40" s="1221"/>
      <c r="BBO40" s="1221"/>
      <c r="BBP40" s="1221"/>
      <c r="BBQ40" s="1221"/>
      <c r="BBR40" s="1221"/>
      <c r="BBS40" s="1221"/>
      <c r="BBT40" s="1221"/>
      <c r="BBU40" s="1221"/>
      <c r="BBV40" s="1221"/>
      <c r="BBW40" s="1221"/>
      <c r="BBX40" s="1221"/>
      <c r="BBY40" s="1221"/>
      <c r="BBZ40" s="1221"/>
      <c r="BCA40" s="1221"/>
      <c r="BCB40" s="1221"/>
      <c r="BCC40" s="1221"/>
      <c r="BCD40" s="1221"/>
      <c r="BCE40" s="1221"/>
      <c r="BCF40" s="1221"/>
      <c r="BCG40" s="1221"/>
      <c r="BCH40" s="1221"/>
      <c r="BCI40" s="1221"/>
      <c r="BCJ40" s="1221"/>
      <c r="BCK40" s="1221"/>
      <c r="BCL40" s="1221"/>
      <c r="BCM40" s="1221"/>
      <c r="BCN40" s="1221"/>
      <c r="BCO40" s="1221"/>
      <c r="BCP40" s="1221"/>
      <c r="BCQ40" s="1221"/>
      <c r="BCR40" s="1221"/>
      <c r="BCS40" s="1221"/>
      <c r="BCT40" s="1221"/>
      <c r="BCU40" s="1221"/>
      <c r="BCV40" s="1221"/>
      <c r="BCW40" s="1221"/>
      <c r="BCX40" s="1221"/>
      <c r="BCY40" s="1221"/>
      <c r="BCZ40" s="1221"/>
      <c r="BDA40" s="1221"/>
      <c r="BDB40" s="1221"/>
      <c r="BDC40" s="1221"/>
      <c r="BDD40" s="1221"/>
      <c r="BDE40" s="1221"/>
      <c r="BDF40" s="1221"/>
      <c r="BDG40" s="1221"/>
      <c r="BDH40" s="1221"/>
      <c r="BDI40" s="1221"/>
      <c r="BDJ40" s="1221"/>
      <c r="BDK40" s="1221"/>
      <c r="BDL40" s="1221"/>
      <c r="BDM40" s="1221"/>
      <c r="BDN40" s="1221"/>
      <c r="BDO40" s="1221"/>
      <c r="BDP40" s="1221"/>
      <c r="BDQ40" s="1221"/>
      <c r="BDR40" s="1221"/>
      <c r="BDS40" s="1221"/>
      <c r="BDT40" s="1221"/>
      <c r="BDU40" s="1221"/>
      <c r="BDV40" s="1221"/>
      <c r="BDW40" s="1221"/>
      <c r="BDX40" s="1221"/>
      <c r="BDY40" s="1221"/>
      <c r="BDZ40" s="1221"/>
      <c r="BEA40" s="1221"/>
      <c r="BEB40" s="1221"/>
      <c r="BEC40" s="1221"/>
      <c r="BED40" s="1221"/>
      <c r="BEE40" s="1221"/>
      <c r="BEF40" s="1221"/>
      <c r="BEG40" s="1221"/>
      <c r="BEH40" s="1221"/>
      <c r="BEI40" s="1221"/>
      <c r="BEJ40" s="1221"/>
      <c r="BEK40" s="1221"/>
      <c r="BEL40" s="1221"/>
      <c r="BEM40" s="1221"/>
      <c r="BEN40" s="1221"/>
      <c r="BEO40" s="1221"/>
      <c r="BEP40" s="1221"/>
      <c r="BEQ40" s="1221"/>
      <c r="BER40" s="1221"/>
      <c r="BES40" s="1221"/>
      <c r="BET40" s="1221"/>
      <c r="BEU40" s="1221"/>
      <c r="BEV40" s="1221"/>
      <c r="BEW40" s="1221"/>
      <c r="BEX40" s="1221"/>
      <c r="BEY40" s="1221"/>
      <c r="BEZ40" s="1221"/>
      <c r="BFA40" s="1221"/>
      <c r="BFB40" s="1221"/>
      <c r="BFC40" s="1221"/>
      <c r="BFD40" s="1221"/>
      <c r="BFE40" s="1221"/>
      <c r="BFF40" s="1221"/>
      <c r="BFG40" s="1221"/>
      <c r="BFH40" s="1221"/>
      <c r="BFI40" s="1221"/>
      <c r="BFJ40" s="1221"/>
      <c r="BFK40" s="1221"/>
      <c r="BFL40" s="1221"/>
      <c r="BFM40" s="1221"/>
      <c r="BFN40" s="1221"/>
      <c r="BFO40" s="1221"/>
      <c r="BFP40" s="1221"/>
      <c r="BFQ40" s="1221"/>
      <c r="BFR40" s="1221"/>
      <c r="BFS40" s="1221"/>
      <c r="BFT40" s="1221"/>
      <c r="BFU40" s="1221"/>
      <c r="BFV40" s="1221"/>
      <c r="BFW40" s="1221"/>
      <c r="BFX40" s="1221"/>
      <c r="BFY40" s="1221"/>
      <c r="BFZ40" s="1221"/>
      <c r="BGA40" s="1221"/>
      <c r="BGB40" s="1221"/>
      <c r="BGC40" s="1221"/>
      <c r="BGD40" s="1221"/>
      <c r="BGE40" s="1221"/>
      <c r="BGF40" s="1221"/>
      <c r="BGG40" s="1221"/>
      <c r="BGH40" s="1221"/>
      <c r="BGI40" s="1221"/>
      <c r="BGJ40" s="1221"/>
      <c r="BGK40" s="1221"/>
      <c r="BGL40" s="1221"/>
      <c r="BGM40" s="1221"/>
      <c r="BGN40" s="1221"/>
      <c r="BGO40" s="1221"/>
      <c r="BGP40" s="1221"/>
      <c r="BGQ40" s="1221"/>
      <c r="BGR40" s="1221"/>
      <c r="BGS40" s="1221"/>
      <c r="BGT40" s="1221"/>
      <c r="BGU40" s="1221"/>
      <c r="BGV40" s="1221"/>
      <c r="BGW40" s="1221"/>
      <c r="BGX40" s="1221"/>
      <c r="BGY40" s="1221"/>
      <c r="BGZ40" s="1221"/>
      <c r="BHA40" s="1221"/>
      <c r="BHB40" s="1221"/>
      <c r="BHC40" s="1221"/>
      <c r="BHD40" s="1221"/>
      <c r="BHE40" s="1221"/>
      <c r="BHF40" s="1221"/>
      <c r="BHG40" s="1221"/>
      <c r="BHH40" s="1221"/>
      <c r="BHI40" s="1221"/>
      <c r="BHJ40" s="1221"/>
      <c r="BHK40" s="1221"/>
      <c r="BHL40" s="1221"/>
      <c r="BHM40" s="1221"/>
      <c r="BHN40" s="1221"/>
      <c r="BHO40" s="1221"/>
      <c r="BHP40" s="1221"/>
      <c r="BHQ40" s="1221"/>
      <c r="BHR40" s="1221"/>
      <c r="BHS40" s="1221"/>
      <c r="BHT40" s="1221"/>
      <c r="BHU40" s="1221"/>
      <c r="BHV40" s="1221"/>
      <c r="BHW40" s="1221"/>
      <c r="BHX40" s="1221"/>
      <c r="BHY40" s="1221"/>
      <c r="BHZ40" s="1221"/>
      <c r="BIA40" s="1221"/>
      <c r="BIB40" s="1221"/>
      <c r="BIC40" s="1221"/>
      <c r="BID40" s="1221"/>
      <c r="BIE40" s="1221"/>
      <c r="BIF40" s="1221"/>
      <c r="BIG40" s="1221"/>
      <c r="BIH40" s="1221"/>
      <c r="BII40" s="1221"/>
      <c r="BIJ40" s="1221"/>
      <c r="BIK40" s="1221"/>
      <c r="BIL40" s="1221"/>
      <c r="BIM40" s="1221"/>
      <c r="BIN40" s="1221"/>
      <c r="BIO40" s="1221"/>
      <c r="BIP40" s="1221"/>
      <c r="BIQ40" s="1221"/>
      <c r="BIR40" s="1221"/>
      <c r="BIS40" s="1221"/>
      <c r="BIT40" s="1221"/>
      <c r="BIU40" s="1221"/>
      <c r="BIV40" s="1221"/>
      <c r="BIW40" s="1221"/>
      <c r="BIX40" s="1221"/>
      <c r="BIY40" s="1221"/>
      <c r="BIZ40" s="1221"/>
      <c r="BJA40" s="1221"/>
      <c r="BJB40" s="1221"/>
      <c r="BJC40" s="1221"/>
      <c r="BJD40" s="1221"/>
      <c r="BJE40" s="1221"/>
      <c r="BJF40" s="1221"/>
      <c r="BJG40" s="1221"/>
      <c r="BJH40" s="1221"/>
      <c r="BJI40" s="1221"/>
      <c r="BJJ40" s="1221"/>
      <c r="BJK40" s="1221"/>
      <c r="BJL40" s="1221"/>
      <c r="BJM40" s="1221"/>
      <c r="BJN40" s="1221"/>
      <c r="BJO40" s="1221"/>
      <c r="BJP40" s="1221"/>
      <c r="BJQ40" s="1221"/>
      <c r="BJR40" s="1221"/>
      <c r="BJS40" s="1221"/>
      <c r="BJT40" s="1221"/>
      <c r="BJU40" s="1221"/>
      <c r="BJV40" s="1221"/>
      <c r="BJW40" s="1221"/>
      <c r="BJX40" s="1221"/>
      <c r="BJY40" s="1221"/>
      <c r="BJZ40" s="1221"/>
      <c r="BKA40" s="1221"/>
      <c r="BKB40" s="1221"/>
      <c r="BKC40" s="1221"/>
      <c r="BKD40" s="1221"/>
      <c r="BKE40" s="1221"/>
      <c r="BKF40" s="1221"/>
      <c r="BKG40" s="1221"/>
      <c r="BKH40" s="1221"/>
      <c r="BKI40" s="1221"/>
      <c r="BKJ40" s="1221"/>
      <c r="BKK40" s="1221"/>
      <c r="BKL40" s="1221"/>
      <c r="BKM40" s="1221"/>
      <c r="BKN40" s="1221"/>
      <c r="BKO40" s="1221"/>
      <c r="BKP40" s="1221"/>
      <c r="BKQ40" s="1221"/>
      <c r="BKR40" s="1221"/>
      <c r="BKS40" s="1221"/>
      <c r="BKT40" s="1221"/>
      <c r="BKU40" s="1221"/>
      <c r="BKV40" s="1221"/>
      <c r="BKW40" s="1221"/>
      <c r="BKX40" s="1221"/>
      <c r="BKY40" s="1221"/>
      <c r="BKZ40" s="1221"/>
      <c r="BLA40" s="1221"/>
      <c r="BLB40" s="1221"/>
      <c r="BLC40" s="1221"/>
      <c r="BLD40" s="1221"/>
      <c r="BLE40" s="1221"/>
      <c r="BLF40" s="1221"/>
      <c r="BLG40" s="1221"/>
      <c r="BLH40" s="1221"/>
      <c r="BLI40" s="1221"/>
      <c r="BLJ40" s="1221"/>
      <c r="BLK40" s="1221"/>
      <c r="BLL40" s="1221"/>
      <c r="BLM40" s="1221"/>
      <c r="BLN40" s="1221"/>
      <c r="BLO40" s="1221"/>
      <c r="BLP40" s="1221"/>
      <c r="BLQ40" s="1221"/>
      <c r="BLR40" s="1221"/>
      <c r="BLS40" s="1221"/>
      <c r="BLT40" s="1221"/>
      <c r="BLU40" s="1221"/>
      <c r="BLV40" s="1221"/>
      <c r="BLW40" s="1221"/>
      <c r="BLX40" s="1221"/>
      <c r="BLY40" s="1221"/>
      <c r="BLZ40" s="1221"/>
      <c r="BMA40" s="1221"/>
      <c r="BMB40" s="1221"/>
      <c r="BMC40" s="1221"/>
      <c r="BMD40" s="1221"/>
      <c r="BME40" s="1221"/>
      <c r="BMF40" s="1221"/>
      <c r="BMG40" s="1221"/>
      <c r="BMH40" s="1221"/>
      <c r="BMI40" s="1221"/>
      <c r="BMJ40" s="1221"/>
      <c r="BMK40" s="1221"/>
      <c r="BML40" s="1221"/>
      <c r="BMM40" s="1221"/>
      <c r="BMN40" s="1221"/>
      <c r="BMO40" s="1221"/>
      <c r="BMP40" s="1221"/>
      <c r="BMQ40" s="1221"/>
      <c r="BMR40" s="1221"/>
      <c r="BMS40" s="1221"/>
      <c r="BMT40" s="1221"/>
      <c r="BMU40" s="1221"/>
      <c r="BMV40" s="1221"/>
      <c r="BMW40" s="1221"/>
      <c r="BMX40" s="1221"/>
      <c r="BMY40" s="1221"/>
      <c r="BMZ40" s="1221"/>
      <c r="BNA40" s="1221"/>
      <c r="BNB40" s="1221"/>
      <c r="BNC40" s="1221"/>
      <c r="BND40" s="1221"/>
      <c r="BNE40" s="1221"/>
      <c r="BNF40" s="1221"/>
      <c r="BNG40" s="1221"/>
      <c r="BNH40" s="1221"/>
      <c r="BNI40" s="1221"/>
      <c r="BNJ40" s="1221"/>
      <c r="BNK40" s="1221"/>
      <c r="BNL40" s="1221"/>
      <c r="BNM40" s="1221"/>
      <c r="BNN40" s="1221"/>
      <c r="BNO40" s="1221"/>
      <c r="BNP40" s="1221"/>
      <c r="BNQ40" s="1221"/>
      <c r="BNR40" s="1221"/>
      <c r="BNS40" s="1221"/>
      <c r="BNT40" s="1221"/>
      <c r="BNU40" s="1221"/>
      <c r="BNV40" s="1221"/>
      <c r="BNW40" s="1221"/>
      <c r="BNX40" s="1221"/>
      <c r="BNY40" s="1221"/>
      <c r="BNZ40" s="1221"/>
      <c r="BOA40" s="1221"/>
      <c r="BOB40" s="1221"/>
      <c r="BOC40" s="1221"/>
      <c r="BOD40" s="1221"/>
      <c r="BOE40" s="1221"/>
      <c r="BOF40" s="1221"/>
      <c r="BOG40" s="1221"/>
      <c r="BOH40" s="1221"/>
      <c r="BOI40" s="1221"/>
      <c r="BOJ40" s="1221"/>
      <c r="BOK40" s="1221"/>
      <c r="BOL40" s="1221"/>
      <c r="BOM40" s="1221"/>
      <c r="BON40" s="1221"/>
      <c r="BOO40" s="1221"/>
      <c r="BOP40" s="1221"/>
      <c r="BOQ40" s="1221"/>
      <c r="BOR40" s="1221"/>
      <c r="BOS40" s="1221"/>
      <c r="BOT40" s="1221"/>
      <c r="BOU40" s="1221"/>
      <c r="BOV40" s="1221"/>
      <c r="BOW40" s="1221"/>
      <c r="BOX40" s="1221"/>
      <c r="BOY40" s="1221"/>
      <c r="BOZ40" s="1221"/>
      <c r="BPA40" s="1221"/>
      <c r="BPB40" s="1221"/>
      <c r="BPC40" s="1221"/>
      <c r="BPD40" s="1221"/>
      <c r="BPE40" s="1221"/>
      <c r="BPF40" s="1221"/>
      <c r="BPG40" s="1221"/>
      <c r="BPH40" s="1221"/>
      <c r="BPI40" s="1221"/>
      <c r="BPJ40" s="1221"/>
      <c r="BPK40" s="1221"/>
      <c r="BPL40" s="1221"/>
      <c r="BPM40" s="1221"/>
      <c r="BPN40" s="1221"/>
      <c r="BPO40" s="1221"/>
      <c r="BPP40" s="1221"/>
      <c r="BPQ40" s="1221"/>
      <c r="BPR40" s="1221"/>
      <c r="BPS40" s="1221"/>
      <c r="BPT40" s="1221"/>
      <c r="BPU40" s="1221"/>
      <c r="BPV40" s="1221"/>
      <c r="BPW40" s="1221"/>
      <c r="BPX40" s="1221"/>
      <c r="BPY40" s="1221"/>
      <c r="BPZ40" s="1221"/>
      <c r="BQA40" s="1221"/>
      <c r="BQB40" s="1221"/>
      <c r="BQC40" s="1221"/>
      <c r="BQD40" s="1221"/>
      <c r="BQE40" s="1221"/>
      <c r="BQF40" s="1221"/>
      <c r="BQG40" s="1221"/>
      <c r="BQH40" s="1221"/>
      <c r="BQI40" s="1221"/>
      <c r="BQJ40" s="1221"/>
      <c r="BQK40" s="1221"/>
      <c r="BQL40" s="1221"/>
      <c r="BQM40" s="1221"/>
      <c r="BQN40" s="1221"/>
      <c r="BQO40" s="1221"/>
      <c r="BQP40" s="1221"/>
      <c r="BQQ40" s="1221"/>
      <c r="BQR40" s="1221"/>
      <c r="BQS40" s="1221"/>
      <c r="BQT40" s="1221"/>
      <c r="BQU40" s="1221"/>
      <c r="BQV40" s="1221"/>
      <c r="BQW40" s="1221"/>
      <c r="BQX40" s="1221"/>
      <c r="BQY40" s="1221"/>
      <c r="BQZ40" s="1221"/>
      <c r="BRA40" s="1221"/>
      <c r="BRB40" s="1221"/>
      <c r="BRC40" s="1221"/>
      <c r="BRD40" s="1221"/>
      <c r="BRE40" s="1221"/>
      <c r="BRF40" s="1221"/>
      <c r="BRG40" s="1221"/>
      <c r="BRH40" s="1221"/>
      <c r="BRI40" s="1221"/>
      <c r="BRJ40" s="1221"/>
      <c r="BRK40" s="1221"/>
      <c r="BRL40" s="1221"/>
      <c r="BRM40" s="1221"/>
      <c r="BRN40" s="1221"/>
      <c r="BRO40" s="1221"/>
      <c r="BRP40" s="1221"/>
      <c r="BRQ40" s="1221"/>
      <c r="BRR40" s="1221"/>
      <c r="BRS40" s="1221"/>
      <c r="BRT40" s="1221"/>
      <c r="BRU40" s="1221"/>
      <c r="BRV40" s="1221"/>
      <c r="BRW40" s="1221"/>
      <c r="BRX40" s="1221"/>
      <c r="BRY40" s="1221"/>
      <c r="BRZ40" s="1221"/>
      <c r="BSA40" s="1221"/>
      <c r="BSB40" s="1221"/>
      <c r="BSC40" s="1221"/>
      <c r="BSD40" s="1221"/>
      <c r="BSE40" s="1221"/>
      <c r="BSF40" s="1221"/>
      <c r="BSG40" s="1221"/>
      <c r="BSH40" s="1221"/>
      <c r="BSI40" s="1221"/>
      <c r="BSJ40" s="1221"/>
      <c r="BSK40" s="1221"/>
      <c r="BSL40" s="1221"/>
      <c r="BSM40" s="1221"/>
      <c r="BSN40" s="1221"/>
      <c r="BSO40" s="1221"/>
      <c r="BSP40" s="1221"/>
      <c r="BSQ40" s="1221"/>
      <c r="BSR40" s="1221"/>
      <c r="BSS40" s="1221"/>
      <c r="BST40" s="1221"/>
      <c r="BSU40" s="1221"/>
      <c r="BSV40" s="1221"/>
      <c r="BSW40" s="1221"/>
      <c r="BSX40" s="1221"/>
      <c r="BSY40" s="1221"/>
      <c r="BSZ40" s="1221"/>
      <c r="BTA40" s="1221"/>
      <c r="BTB40" s="1221"/>
      <c r="BTC40" s="1221"/>
      <c r="BTD40" s="1221"/>
      <c r="BTE40" s="1221"/>
      <c r="BTF40" s="1221"/>
      <c r="BTG40" s="1221"/>
      <c r="BTH40" s="1221"/>
      <c r="BTI40" s="1221"/>
      <c r="BTJ40" s="1221"/>
      <c r="BTK40" s="1221"/>
      <c r="BTL40" s="1221"/>
      <c r="BTM40" s="1221"/>
      <c r="BTN40" s="1221"/>
      <c r="BTO40" s="1221"/>
      <c r="BTP40" s="1221"/>
      <c r="BTQ40" s="1221"/>
      <c r="BTR40" s="1221"/>
      <c r="BTS40" s="1221"/>
      <c r="BTT40" s="1221"/>
      <c r="BTU40" s="1221"/>
      <c r="BTV40" s="1221"/>
      <c r="BTW40" s="1221"/>
      <c r="BTX40" s="1221"/>
      <c r="BTY40" s="1221"/>
      <c r="BTZ40" s="1221"/>
      <c r="BUA40" s="1221"/>
      <c r="BUB40" s="1221"/>
      <c r="BUC40" s="1221"/>
      <c r="BUD40" s="1221"/>
      <c r="BUE40" s="1221"/>
      <c r="BUF40" s="1221"/>
      <c r="BUG40" s="1221"/>
      <c r="BUH40" s="1221"/>
      <c r="BUI40" s="1221"/>
      <c r="BUJ40" s="1221"/>
      <c r="BUK40" s="1221"/>
      <c r="BUL40" s="1221"/>
      <c r="BUM40" s="1221"/>
      <c r="BUN40" s="1221"/>
      <c r="BUO40" s="1221"/>
      <c r="BUP40" s="1221"/>
      <c r="BUQ40" s="1221"/>
      <c r="BUR40" s="1221"/>
      <c r="BUS40" s="1221"/>
      <c r="BUT40" s="1221"/>
      <c r="BUU40" s="1221"/>
      <c r="BUV40" s="1221"/>
      <c r="BUW40" s="1221"/>
      <c r="BUX40" s="1221"/>
      <c r="BUY40" s="1221"/>
      <c r="BUZ40" s="1221"/>
      <c r="BVA40" s="1221"/>
      <c r="BVB40" s="1221"/>
      <c r="BVC40" s="1221"/>
      <c r="BVD40" s="1221"/>
      <c r="BVE40" s="1221"/>
      <c r="BVF40" s="1221"/>
      <c r="BVG40" s="1221"/>
      <c r="BVH40" s="1221"/>
      <c r="BVI40" s="1221"/>
      <c r="BVJ40" s="1221"/>
      <c r="BVK40" s="1221"/>
      <c r="BVL40" s="1221"/>
      <c r="BVM40" s="1221"/>
      <c r="BVN40" s="1221"/>
      <c r="BVO40" s="1221"/>
      <c r="BVP40" s="1221"/>
      <c r="BVQ40" s="1221"/>
      <c r="BVR40" s="1221"/>
      <c r="BVS40" s="1221"/>
      <c r="BVT40" s="1221"/>
      <c r="BVU40" s="1221"/>
      <c r="BVV40" s="1221"/>
      <c r="BVW40" s="1221"/>
      <c r="BVX40" s="1221"/>
      <c r="BVY40" s="1221"/>
      <c r="BVZ40" s="1221"/>
      <c r="BWA40" s="1221"/>
      <c r="BWB40" s="1221"/>
      <c r="BWC40" s="1221"/>
      <c r="BWD40" s="1221"/>
      <c r="BWE40" s="1221"/>
      <c r="BWF40" s="1221"/>
      <c r="BWG40" s="1221"/>
      <c r="BWH40" s="1221"/>
      <c r="BWI40" s="1221"/>
      <c r="BWJ40" s="1221"/>
      <c r="BWK40" s="1221"/>
      <c r="BWL40" s="1221"/>
      <c r="BWM40" s="1221"/>
      <c r="BWN40" s="1221"/>
      <c r="BWO40" s="1221"/>
      <c r="BWP40" s="1221"/>
      <c r="BWQ40" s="1221"/>
      <c r="BWR40" s="1221"/>
      <c r="BWS40" s="1221"/>
      <c r="BWT40" s="1221"/>
      <c r="BWU40" s="1221"/>
      <c r="BWV40" s="1221"/>
      <c r="BWW40" s="1221"/>
      <c r="BWX40" s="1221"/>
      <c r="BWY40" s="1221"/>
      <c r="BWZ40" s="1221"/>
      <c r="BXA40" s="1221"/>
      <c r="BXB40" s="1221"/>
      <c r="BXC40" s="1221"/>
      <c r="BXD40" s="1221"/>
      <c r="BXE40" s="1221"/>
      <c r="BXF40" s="1221"/>
      <c r="BXG40" s="1221"/>
      <c r="BXH40" s="1221"/>
      <c r="BXI40" s="1221"/>
      <c r="BXJ40" s="1221"/>
      <c r="BXK40" s="1221"/>
      <c r="BXL40" s="1221"/>
      <c r="BXM40" s="1221"/>
      <c r="BXN40" s="1221"/>
      <c r="BXO40" s="1221"/>
      <c r="BXP40" s="1221"/>
      <c r="BXQ40" s="1221"/>
      <c r="BXR40" s="1221"/>
      <c r="BXS40" s="1221"/>
      <c r="BXT40" s="1221"/>
      <c r="BXU40" s="1221"/>
      <c r="BXV40" s="1221"/>
      <c r="BXW40" s="1221"/>
      <c r="BXX40" s="1221"/>
      <c r="BXY40" s="1221"/>
      <c r="BXZ40" s="1221"/>
      <c r="BYA40" s="1221"/>
      <c r="BYB40" s="1221"/>
      <c r="BYC40" s="1221"/>
      <c r="BYD40" s="1221"/>
      <c r="BYE40" s="1221"/>
      <c r="BYF40" s="1221"/>
      <c r="BYG40" s="1221"/>
      <c r="BYH40" s="1221"/>
      <c r="BYI40" s="1221"/>
      <c r="BYJ40" s="1221"/>
      <c r="BYK40" s="1221"/>
      <c r="BYL40" s="1221"/>
      <c r="BYM40" s="1221"/>
      <c r="BYN40" s="1221"/>
      <c r="BYO40" s="1221"/>
      <c r="BYP40" s="1221"/>
      <c r="BYQ40" s="1221"/>
      <c r="BYR40" s="1221"/>
      <c r="BYS40" s="1221"/>
      <c r="BYT40" s="1221"/>
      <c r="BYU40" s="1221"/>
      <c r="BYV40" s="1221"/>
      <c r="BYW40" s="1221"/>
      <c r="BYX40" s="1221"/>
      <c r="BYY40" s="1221"/>
      <c r="BYZ40" s="1221"/>
      <c r="BZA40" s="1221"/>
      <c r="BZB40" s="1221"/>
      <c r="BZC40" s="1221"/>
      <c r="BZD40" s="1221"/>
      <c r="BZE40" s="1221"/>
      <c r="BZF40" s="1221"/>
      <c r="BZG40" s="1221"/>
      <c r="BZH40" s="1221"/>
      <c r="BZI40" s="1221"/>
      <c r="BZJ40" s="1221"/>
      <c r="BZK40" s="1221"/>
      <c r="BZL40" s="1221"/>
      <c r="BZM40" s="1221"/>
      <c r="BZN40" s="1221"/>
      <c r="BZO40" s="1221"/>
      <c r="BZP40" s="1221"/>
      <c r="BZQ40" s="1221"/>
      <c r="BZR40" s="1221"/>
      <c r="BZS40" s="1221"/>
      <c r="BZT40" s="1221"/>
      <c r="BZU40" s="1221"/>
      <c r="BZV40" s="1221"/>
      <c r="BZW40" s="1221"/>
      <c r="BZX40" s="1221"/>
      <c r="BZY40" s="1221"/>
      <c r="BZZ40" s="1221"/>
      <c r="CAA40" s="1221"/>
      <c r="CAB40" s="1221"/>
      <c r="CAC40" s="1221"/>
      <c r="CAD40" s="1221"/>
      <c r="CAE40" s="1221"/>
      <c r="CAF40" s="1221"/>
      <c r="CAG40" s="1221"/>
      <c r="CAH40" s="1221"/>
      <c r="CAI40" s="1221"/>
      <c r="CAJ40" s="1221"/>
      <c r="CAK40" s="1221"/>
      <c r="CAL40" s="1221"/>
      <c r="CAM40" s="1221"/>
      <c r="CAN40" s="1221"/>
      <c r="CAO40" s="1221"/>
      <c r="CAP40" s="1221"/>
      <c r="CAQ40" s="1221"/>
      <c r="CAR40" s="1221"/>
      <c r="CAS40" s="1221"/>
      <c r="CAT40" s="1221"/>
      <c r="CAU40" s="1221"/>
      <c r="CAV40" s="1221"/>
      <c r="CAW40" s="1221"/>
      <c r="CAX40" s="1221"/>
      <c r="CAY40" s="1221"/>
      <c r="CAZ40" s="1221"/>
      <c r="CBA40" s="1221"/>
      <c r="CBB40" s="1221"/>
      <c r="CBC40" s="1221"/>
      <c r="CBD40" s="1221"/>
      <c r="CBE40" s="1221"/>
      <c r="CBF40" s="1221"/>
      <c r="CBG40" s="1221"/>
      <c r="CBH40" s="1221"/>
      <c r="CBI40" s="1221"/>
      <c r="CBJ40" s="1221"/>
      <c r="CBK40" s="1221"/>
      <c r="CBL40" s="1221"/>
      <c r="CBM40" s="1221"/>
      <c r="CBN40" s="1221"/>
      <c r="CBO40" s="1221"/>
      <c r="CBP40" s="1221"/>
      <c r="CBQ40" s="1221"/>
      <c r="CBR40" s="1221"/>
      <c r="CBS40" s="1221"/>
      <c r="CBT40" s="1221"/>
      <c r="CBU40" s="1221"/>
      <c r="CBV40" s="1221"/>
      <c r="CBW40" s="1221"/>
      <c r="CBX40" s="1221"/>
      <c r="CBY40" s="1221"/>
      <c r="CBZ40" s="1221"/>
      <c r="CCA40" s="1221"/>
      <c r="CCB40" s="1221"/>
      <c r="CCC40" s="1221"/>
      <c r="CCD40" s="1221"/>
      <c r="CCE40" s="1221"/>
      <c r="CCF40" s="1221"/>
      <c r="CCG40" s="1221"/>
      <c r="CCH40" s="1221"/>
      <c r="CCI40" s="1221"/>
      <c r="CCJ40" s="1221"/>
      <c r="CCK40" s="1221"/>
      <c r="CCL40" s="1221"/>
      <c r="CCM40" s="1221"/>
      <c r="CCN40" s="1221"/>
      <c r="CCO40" s="1221"/>
      <c r="CCP40" s="1221"/>
      <c r="CCQ40" s="1221"/>
      <c r="CCR40" s="1221"/>
      <c r="CCS40" s="1221"/>
      <c r="CCT40" s="1221"/>
      <c r="CCU40" s="1221"/>
      <c r="CCV40" s="1221"/>
      <c r="CCW40" s="1221"/>
      <c r="CCX40" s="1221"/>
      <c r="CCY40" s="1221"/>
      <c r="CCZ40" s="1221"/>
      <c r="CDA40" s="1221"/>
      <c r="CDB40" s="1221"/>
      <c r="CDC40" s="1221"/>
      <c r="CDD40" s="1221"/>
      <c r="CDE40" s="1221"/>
      <c r="CDF40" s="1221"/>
      <c r="CDG40" s="1221"/>
      <c r="CDH40" s="1221"/>
      <c r="CDI40" s="1221"/>
      <c r="CDJ40" s="1221"/>
      <c r="CDK40" s="1221"/>
      <c r="CDL40" s="1221"/>
      <c r="CDM40" s="1221"/>
      <c r="CDN40" s="1221"/>
      <c r="CDO40" s="1221"/>
      <c r="CDP40" s="1221"/>
      <c r="CDQ40" s="1221"/>
      <c r="CDR40" s="1221"/>
      <c r="CDS40" s="1221"/>
      <c r="CDT40" s="1221"/>
      <c r="CDU40" s="1221"/>
      <c r="CDV40" s="1221"/>
      <c r="CDW40" s="1221"/>
      <c r="CDX40" s="1221"/>
      <c r="CDY40" s="1221"/>
      <c r="CDZ40" s="1221"/>
      <c r="CEA40" s="1221"/>
      <c r="CEB40" s="1221"/>
      <c r="CEC40" s="1221"/>
      <c r="CED40" s="1221"/>
      <c r="CEE40" s="1221"/>
      <c r="CEF40" s="1221"/>
      <c r="CEG40" s="1221"/>
      <c r="CEH40" s="1221"/>
      <c r="CEI40" s="1221"/>
      <c r="CEJ40" s="1221"/>
      <c r="CEK40" s="1221"/>
      <c r="CEL40" s="1221"/>
      <c r="CEM40" s="1221"/>
      <c r="CEN40" s="1221"/>
      <c r="CEO40" s="1221"/>
      <c r="CEP40" s="1221"/>
      <c r="CEQ40" s="1221"/>
      <c r="CER40" s="1221"/>
      <c r="CES40" s="1221"/>
      <c r="CET40" s="1221"/>
      <c r="CEU40" s="1221"/>
      <c r="CEV40" s="1221"/>
      <c r="CEW40" s="1221"/>
      <c r="CEX40" s="1221"/>
      <c r="CEY40" s="1221"/>
      <c r="CEZ40" s="1221"/>
      <c r="CFA40" s="1221"/>
      <c r="CFB40" s="1221"/>
      <c r="CFC40" s="1221"/>
      <c r="CFD40" s="1221"/>
      <c r="CFE40" s="1221"/>
      <c r="CFF40" s="1221"/>
      <c r="CFG40" s="1221"/>
      <c r="CFH40" s="1221"/>
      <c r="CFI40" s="1221"/>
      <c r="CFJ40" s="1221"/>
      <c r="CFK40" s="1221"/>
      <c r="CFL40" s="1221"/>
      <c r="CFM40" s="1221"/>
      <c r="CFN40" s="1221"/>
      <c r="CFO40" s="1221"/>
      <c r="CFP40" s="1221"/>
      <c r="CFQ40" s="1221"/>
      <c r="CFR40" s="1221"/>
      <c r="CFS40" s="1221"/>
      <c r="CFT40" s="1221"/>
      <c r="CFU40" s="1221"/>
      <c r="CFV40" s="1221"/>
      <c r="CFW40" s="1221"/>
      <c r="CFX40" s="1221"/>
      <c r="CFY40" s="1221"/>
      <c r="CFZ40" s="1221"/>
      <c r="CGA40" s="1221"/>
      <c r="CGB40" s="1221"/>
      <c r="CGC40" s="1221"/>
      <c r="CGD40" s="1221"/>
      <c r="CGE40" s="1221"/>
      <c r="CGF40" s="1221"/>
      <c r="CGG40" s="1221"/>
      <c r="CGH40" s="1221"/>
      <c r="CGI40" s="1221"/>
      <c r="CGJ40" s="1221"/>
      <c r="CGK40" s="1221"/>
      <c r="CGL40" s="1221"/>
      <c r="CGM40" s="1221"/>
      <c r="CGN40" s="1221"/>
      <c r="CGO40" s="1221"/>
      <c r="CGP40" s="1221"/>
      <c r="CGQ40" s="1221"/>
      <c r="CGR40" s="1221"/>
      <c r="CGS40" s="1221"/>
      <c r="CGT40" s="1221"/>
      <c r="CGU40" s="1221"/>
      <c r="CGV40" s="1221"/>
      <c r="CGW40" s="1221"/>
      <c r="CGX40" s="1221"/>
      <c r="CGY40" s="1221"/>
      <c r="CGZ40" s="1221"/>
      <c r="CHA40" s="1221"/>
      <c r="CHB40" s="1221"/>
      <c r="CHC40" s="1221"/>
      <c r="CHD40" s="1221"/>
      <c r="CHE40" s="1221"/>
      <c r="CHF40" s="1221"/>
      <c r="CHG40" s="1221"/>
      <c r="CHH40" s="1221"/>
      <c r="CHI40" s="1221"/>
      <c r="CHJ40" s="1221"/>
      <c r="CHK40" s="1221"/>
      <c r="CHL40" s="1221"/>
      <c r="CHM40" s="1221"/>
      <c r="CHN40" s="1221"/>
      <c r="CHO40" s="1221"/>
      <c r="CHP40" s="1221"/>
      <c r="CHQ40" s="1221"/>
      <c r="CHR40" s="1221"/>
      <c r="CHS40" s="1221"/>
      <c r="CHT40" s="1221"/>
      <c r="CHU40" s="1221"/>
      <c r="CHV40" s="1221"/>
      <c r="CHW40" s="1221"/>
      <c r="CHX40" s="1221"/>
      <c r="CHY40" s="1221"/>
      <c r="CHZ40" s="1221"/>
      <c r="CIA40" s="1221"/>
      <c r="CIB40" s="1221"/>
      <c r="CIC40" s="1221"/>
      <c r="CID40" s="1221"/>
      <c r="CIE40" s="1221"/>
      <c r="CIF40" s="1221"/>
      <c r="CIG40" s="1221"/>
      <c r="CIH40" s="1221"/>
      <c r="CII40" s="1221"/>
      <c r="CIJ40" s="1221"/>
      <c r="CIK40" s="1221"/>
      <c r="CIL40" s="1221"/>
      <c r="CIM40" s="1221"/>
      <c r="CIN40" s="1221"/>
      <c r="CIO40" s="1221"/>
      <c r="CIP40" s="1221"/>
      <c r="CIQ40" s="1221"/>
      <c r="CIR40" s="1221"/>
      <c r="CIS40" s="1221"/>
      <c r="CIT40" s="1221"/>
      <c r="CIU40" s="1221"/>
      <c r="CIV40" s="1221"/>
      <c r="CIW40" s="1221"/>
      <c r="CIX40" s="1221"/>
      <c r="CIY40" s="1221"/>
      <c r="CIZ40" s="1221"/>
      <c r="CJA40" s="1221"/>
      <c r="CJB40" s="1221"/>
      <c r="CJC40" s="1221"/>
      <c r="CJD40" s="1221"/>
      <c r="CJE40" s="1221"/>
      <c r="CJF40" s="1221"/>
      <c r="CJG40" s="1221"/>
      <c r="CJH40" s="1221"/>
      <c r="CJI40" s="1221"/>
      <c r="CJJ40" s="1221"/>
      <c r="CJK40" s="1221"/>
      <c r="CJL40" s="1221"/>
      <c r="CJM40" s="1221"/>
      <c r="CJN40" s="1221"/>
      <c r="CJO40" s="1221"/>
      <c r="CJP40" s="1221"/>
      <c r="CJQ40" s="1221"/>
      <c r="CJR40" s="1221"/>
      <c r="CJS40" s="1221"/>
      <c r="CJT40" s="1221"/>
      <c r="CJU40" s="1221"/>
      <c r="CJV40" s="1221"/>
      <c r="CJW40" s="1221"/>
      <c r="CJX40" s="1221"/>
      <c r="CJY40" s="1221"/>
      <c r="CJZ40" s="1221"/>
      <c r="CKA40" s="1221"/>
      <c r="CKB40" s="1221"/>
      <c r="CKC40" s="1221"/>
      <c r="CKD40" s="1221"/>
      <c r="CKE40" s="1221"/>
      <c r="CKF40" s="1221"/>
      <c r="CKG40" s="1221"/>
      <c r="CKH40" s="1221"/>
      <c r="CKI40" s="1221"/>
      <c r="CKJ40" s="1221"/>
      <c r="CKK40" s="1221"/>
      <c r="CKL40" s="1221"/>
      <c r="CKM40" s="1221"/>
      <c r="CKN40" s="1221"/>
      <c r="CKO40" s="1221"/>
      <c r="CKP40" s="1221"/>
      <c r="CKQ40" s="1221"/>
      <c r="CKR40" s="1221"/>
      <c r="CKS40" s="1221"/>
      <c r="CKT40" s="1221"/>
      <c r="CKU40" s="1221"/>
      <c r="CKV40" s="1221"/>
      <c r="CKW40" s="1221"/>
      <c r="CKX40" s="1221"/>
      <c r="CKY40" s="1221"/>
      <c r="CKZ40" s="1221"/>
      <c r="CLA40" s="1221"/>
      <c r="CLB40" s="1221"/>
      <c r="CLC40" s="1221"/>
      <c r="CLD40" s="1221"/>
      <c r="CLE40" s="1221"/>
      <c r="CLF40" s="1221"/>
      <c r="CLG40" s="1221"/>
      <c r="CLH40" s="1221"/>
      <c r="CLI40" s="1221"/>
      <c r="CLJ40" s="1221"/>
      <c r="CLK40" s="1221"/>
      <c r="CLL40" s="1221"/>
      <c r="CLM40" s="1221"/>
      <c r="CLN40" s="1221"/>
      <c r="CLO40" s="1221"/>
      <c r="CLP40" s="1221"/>
      <c r="CLQ40" s="1221"/>
      <c r="CLR40" s="1221"/>
      <c r="CLS40" s="1221"/>
      <c r="CLT40" s="1221"/>
      <c r="CLU40" s="1221"/>
      <c r="CLV40" s="1221"/>
      <c r="CLW40" s="1221"/>
      <c r="CLX40" s="1221"/>
      <c r="CLY40" s="1221"/>
      <c r="CLZ40" s="1221"/>
      <c r="CMA40" s="1221"/>
      <c r="CMB40" s="1221"/>
      <c r="CMC40" s="1221"/>
      <c r="CMD40" s="1221"/>
      <c r="CME40" s="1221"/>
      <c r="CMF40" s="1221"/>
      <c r="CMG40" s="1221"/>
      <c r="CMH40" s="1221"/>
      <c r="CMI40" s="1221"/>
      <c r="CMJ40" s="1221"/>
      <c r="CMK40" s="1221"/>
      <c r="CML40" s="1221"/>
      <c r="CMM40" s="1221"/>
      <c r="CMN40" s="1221"/>
      <c r="CMO40" s="1221"/>
      <c r="CMP40" s="1221"/>
      <c r="CMQ40" s="1221"/>
      <c r="CMR40" s="1221"/>
      <c r="CMS40" s="1221"/>
      <c r="CMT40" s="1221"/>
      <c r="CMU40" s="1221"/>
      <c r="CMV40" s="1221"/>
      <c r="CMW40" s="1221"/>
      <c r="CMX40" s="1221"/>
      <c r="CMY40" s="1221"/>
      <c r="CMZ40" s="1221"/>
      <c r="CNA40" s="1221"/>
      <c r="CNB40" s="1221"/>
      <c r="CNC40" s="1221"/>
      <c r="CND40" s="1221"/>
      <c r="CNE40" s="1221"/>
      <c r="CNF40" s="1221"/>
      <c r="CNG40" s="1221"/>
      <c r="CNH40" s="1221"/>
      <c r="CNI40" s="1221"/>
      <c r="CNJ40" s="1221"/>
      <c r="CNK40" s="1221"/>
      <c r="CNL40" s="1221"/>
      <c r="CNM40" s="1221"/>
      <c r="CNN40" s="1221"/>
      <c r="CNO40" s="1221"/>
      <c r="CNP40" s="1221"/>
      <c r="CNQ40" s="1221"/>
      <c r="CNR40" s="1221"/>
      <c r="CNS40" s="1221"/>
      <c r="CNT40" s="1221"/>
      <c r="CNU40" s="1221"/>
      <c r="CNV40" s="1221"/>
      <c r="CNW40" s="1221"/>
      <c r="CNX40" s="1221"/>
      <c r="CNY40" s="1221"/>
      <c r="CNZ40" s="1221"/>
      <c r="COA40" s="1221"/>
      <c r="COB40" s="1221"/>
      <c r="COC40" s="1221"/>
      <c r="COD40" s="1221"/>
      <c r="COE40" s="1221"/>
      <c r="COF40" s="1221"/>
      <c r="COG40" s="1221"/>
      <c r="COH40" s="1221"/>
      <c r="COI40" s="1221"/>
      <c r="COJ40" s="1221"/>
      <c r="COK40" s="1221"/>
      <c r="COL40" s="1221"/>
      <c r="COM40" s="1221"/>
      <c r="CON40" s="1221"/>
      <c r="COO40" s="1221"/>
      <c r="COP40" s="1221"/>
      <c r="COQ40" s="1221"/>
      <c r="COR40" s="1221"/>
      <c r="COS40" s="1221"/>
      <c r="COT40" s="1221"/>
      <c r="COU40" s="1221"/>
      <c r="COV40" s="1221"/>
      <c r="COW40" s="1221"/>
      <c r="COX40" s="1221"/>
      <c r="COY40" s="1221"/>
      <c r="COZ40" s="1221"/>
      <c r="CPA40" s="1221"/>
      <c r="CPB40" s="1221"/>
      <c r="CPC40" s="1221"/>
      <c r="CPD40" s="1221"/>
      <c r="CPE40" s="1221"/>
      <c r="CPF40" s="1221"/>
      <c r="CPG40" s="1221"/>
      <c r="CPH40" s="1221"/>
      <c r="CPI40" s="1221"/>
      <c r="CPJ40" s="1221"/>
      <c r="CPK40" s="1221"/>
      <c r="CPL40" s="1221"/>
      <c r="CPM40" s="1221"/>
      <c r="CPN40" s="1221"/>
      <c r="CPO40" s="1221"/>
      <c r="CPP40" s="1221"/>
      <c r="CPQ40" s="1221"/>
      <c r="CPR40" s="1221"/>
      <c r="CPS40" s="1221"/>
      <c r="CPT40" s="1221"/>
      <c r="CPU40" s="1221"/>
      <c r="CPV40" s="1221"/>
      <c r="CPW40" s="1221"/>
      <c r="CPX40" s="1221"/>
      <c r="CPY40" s="1221"/>
      <c r="CPZ40" s="1221"/>
      <c r="CQA40" s="1221"/>
      <c r="CQB40" s="1221"/>
      <c r="CQC40" s="1221"/>
      <c r="CQD40" s="1221"/>
      <c r="CQE40" s="1221"/>
      <c r="CQF40" s="1221"/>
      <c r="CQG40" s="1221"/>
      <c r="CQH40" s="1221"/>
      <c r="CQI40" s="1221"/>
      <c r="CQJ40" s="1221"/>
      <c r="CQK40" s="1221"/>
      <c r="CQL40" s="1221"/>
      <c r="CQM40" s="1221"/>
      <c r="CQN40" s="1221"/>
      <c r="CQO40" s="1221"/>
      <c r="CQP40" s="1221"/>
      <c r="CQQ40" s="1221"/>
      <c r="CQR40" s="1221"/>
      <c r="CQS40" s="1221"/>
      <c r="CQT40" s="1221"/>
      <c r="CQU40" s="1221"/>
      <c r="CQV40" s="1221"/>
      <c r="CQW40" s="1221"/>
      <c r="CQX40" s="1221"/>
      <c r="CQY40" s="1221"/>
      <c r="CQZ40" s="1221"/>
      <c r="CRA40" s="1221"/>
      <c r="CRB40" s="1221"/>
      <c r="CRC40" s="1221"/>
      <c r="CRD40" s="1221"/>
      <c r="CRE40" s="1221"/>
      <c r="CRF40" s="1221"/>
      <c r="CRG40" s="1221"/>
      <c r="CRH40" s="1221"/>
      <c r="CRI40" s="1221"/>
      <c r="CRJ40" s="1221"/>
      <c r="CRK40" s="1221"/>
      <c r="CRL40" s="1221"/>
      <c r="CRM40" s="1221"/>
      <c r="CRN40" s="1221"/>
      <c r="CRO40" s="1221"/>
      <c r="CRP40" s="1221"/>
      <c r="CRQ40" s="1221"/>
      <c r="CRR40" s="1221"/>
      <c r="CRS40" s="1221"/>
      <c r="CRT40" s="1221"/>
      <c r="CRU40" s="1221"/>
      <c r="CRV40" s="1221"/>
      <c r="CRW40" s="1221"/>
      <c r="CRX40" s="1221"/>
      <c r="CRY40" s="1221"/>
      <c r="CRZ40" s="1221"/>
      <c r="CSA40" s="1221"/>
      <c r="CSB40" s="1221"/>
      <c r="CSC40" s="1221"/>
      <c r="CSD40" s="1221"/>
      <c r="CSE40" s="1221"/>
      <c r="CSF40" s="1221"/>
      <c r="CSG40" s="1221"/>
      <c r="CSH40" s="1221"/>
      <c r="CSI40" s="1221"/>
      <c r="CSJ40" s="1221"/>
      <c r="CSK40" s="1221"/>
      <c r="CSL40" s="1221"/>
      <c r="CSM40" s="1221"/>
      <c r="CSN40" s="1221"/>
      <c r="CSO40" s="1221"/>
      <c r="CSP40" s="1221"/>
      <c r="CSQ40" s="1221"/>
      <c r="CSR40" s="1221"/>
      <c r="CSS40" s="1221"/>
      <c r="CST40" s="1221"/>
      <c r="CSU40" s="1221"/>
      <c r="CSV40" s="1221"/>
      <c r="CSW40" s="1221"/>
      <c r="CSX40" s="1221"/>
      <c r="CSY40" s="1221"/>
      <c r="CSZ40" s="1221"/>
      <c r="CTA40" s="1221"/>
      <c r="CTB40" s="1221"/>
      <c r="CTC40" s="1221"/>
      <c r="CTD40" s="1221"/>
      <c r="CTE40" s="1221"/>
      <c r="CTF40" s="1221"/>
      <c r="CTG40" s="1221"/>
      <c r="CTH40" s="1221"/>
      <c r="CTI40" s="1221"/>
      <c r="CTJ40" s="1221"/>
      <c r="CTK40" s="1221"/>
      <c r="CTL40" s="1221"/>
      <c r="CTM40" s="1221"/>
      <c r="CTN40" s="1221"/>
      <c r="CTO40" s="1221"/>
      <c r="CTP40" s="1221"/>
      <c r="CTQ40" s="1221"/>
      <c r="CTR40" s="1221"/>
      <c r="CTS40" s="1221"/>
      <c r="CTT40" s="1221"/>
      <c r="CTU40" s="1221"/>
      <c r="CTV40" s="1221"/>
      <c r="CTW40" s="1221"/>
      <c r="CTX40" s="1221"/>
      <c r="CTY40" s="1221"/>
      <c r="CTZ40" s="1221"/>
      <c r="CUA40" s="1221"/>
      <c r="CUB40" s="1221"/>
      <c r="CUC40" s="1221"/>
      <c r="CUD40" s="1221"/>
      <c r="CUE40" s="1221"/>
      <c r="CUF40" s="1221"/>
      <c r="CUG40" s="1221"/>
      <c r="CUH40" s="1221"/>
      <c r="CUI40" s="1221"/>
      <c r="CUJ40" s="1221"/>
      <c r="CUK40" s="1221"/>
      <c r="CUL40" s="1221"/>
      <c r="CUM40" s="1221"/>
      <c r="CUN40" s="1221"/>
      <c r="CUO40" s="1221"/>
      <c r="CUP40" s="1221"/>
      <c r="CUQ40" s="1221"/>
      <c r="CUR40" s="1221"/>
      <c r="CUS40" s="1221"/>
      <c r="CUT40" s="1221"/>
      <c r="CUU40" s="1221"/>
      <c r="CUV40" s="1221"/>
      <c r="CUW40" s="1221"/>
      <c r="CUX40" s="1221"/>
      <c r="CUY40" s="1221"/>
      <c r="CUZ40" s="1221"/>
      <c r="CVA40" s="1221"/>
      <c r="CVB40" s="1221"/>
      <c r="CVC40" s="1221"/>
      <c r="CVD40" s="1221"/>
      <c r="CVE40" s="1221"/>
      <c r="CVF40" s="1221"/>
      <c r="CVG40" s="1221"/>
      <c r="CVH40" s="1221"/>
      <c r="CVI40" s="1221"/>
      <c r="CVJ40" s="1221"/>
      <c r="CVK40" s="1221"/>
      <c r="CVL40" s="1221"/>
      <c r="CVM40" s="1221"/>
      <c r="CVN40" s="1221"/>
      <c r="CVO40" s="1221"/>
      <c r="CVP40" s="1221"/>
      <c r="CVQ40" s="1221"/>
      <c r="CVR40" s="1221"/>
      <c r="CVS40" s="1221"/>
      <c r="CVT40" s="1221"/>
      <c r="CVU40" s="1221"/>
      <c r="CVV40" s="1221"/>
      <c r="CVW40" s="1221"/>
      <c r="CVX40" s="1221"/>
      <c r="CVY40" s="1221"/>
      <c r="CVZ40" s="1221"/>
      <c r="CWA40" s="1221"/>
      <c r="CWB40" s="1221"/>
      <c r="CWC40" s="1221"/>
      <c r="CWD40" s="1221"/>
      <c r="CWE40" s="1221"/>
      <c r="CWF40" s="1221"/>
      <c r="CWG40" s="1221"/>
      <c r="CWH40" s="1221"/>
      <c r="CWI40" s="1221"/>
      <c r="CWJ40" s="1221"/>
      <c r="CWK40" s="1221"/>
      <c r="CWL40" s="1221"/>
      <c r="CWM40" s="1221"/>
      <c r="CWN40" s="1221"/>
      <c r="CWO40" s="1221"/>
      <c r="CWP40" s="1221"/>
      <c r="CWQ40" s="1221"/>
      <c r="CWR40" s="1221"/>
      <c r="CWS40" s="1221"/>
      <c r="CWT40" s="1221"/>
      <c r="CWU40" s="1221"/>
      <c r="CWV40" s="1221"/>
      <c r="CWW40" s="1221"/>
      <c r="CWX40" s="1221"/>
      <c r="CWY40" s="1221"/>
      <c r="CWZ40" s="1221"/>
      <c r="CXA40" s="1221"/>
      <c r="CXB40" s="1221"/>
      <c r="CXC40" s="1221"/>
      <c r="CXD40" s="1221"/>
      <c r="CXE40" s="1221"/>
      <c r="CXF40" s="1221"/>
      <c r="CXG40" s="1221"/>
      <c r="CXH40" s="1221"/>
      <c r="CXI40" s="1221"/>
      <c r="CXJ40" s="1221"/>
      <c r="CXK40" s="1221"/>
      <c r="CXL40" s="1221"/>
      <c r="CXM40" s="1221"/>
      <c r="CXN40" s="1221"/>
      <c r="CXO40" s="1221"/>
      <c r="CXP40" s="1221"/>
      <c r="CXQ40" s="1221"/>
      <c r="CXR40" s="1221"/>
      <c r="CXS40" s="1221"/>
      <c r="CXT40" s="1221"/>
      <c r="CXU40" s="1221"/>
      <c r="CXV40" s="1221"/>
      <c r="CXW40" s="1221"/>
      <c r="CXX40" s="1221"/>
      <c r="CXY40" s="1221"/>
      <c r="CXZ40" s="1221"/>
      <c r="CYA40" s="1221"/>
      <c r="CYB40" s="1221"/>
      <c r="CYC40" s="1221"/>
      <c r="CYD40" s="1221"/>
      <c r="CYE40" s="1221"/>
      <c r="CYF40" s="1221"/>
      <c r="CYG40" s="1221"/>
      <c r="CYH40" s="1221"/>
      <c r="CYI40" s="1221"/>
      <c r="CYJ40" s="1221"/>
      <c r="CYK40" s="1221"/>
      <c r="CYL40" s="1221"/>
      <c r="CYM40" s="1221"/>
      <c r="CYN40" s="1221"/>
      <c r="CYO40" s="1221"/>
      <c r="CYP40" s="1221"/>
      <c r="CYQ40" s="1221"/>
      <c r="CYR40" s="1221"/>
      <c r="CYS40" s="1221"/>
      <c r="CYT40" s="1221"/>
      <c r="CYU40" s="1221"/>
      <c r="CYV40" s="1221"/>
      <c r="CYW40" s="1221"/>
      <c r="CYX40" s="1221"/>
      <c r="CYY40" s="1221"/>
      <c r="CYZ40" s="1221"/>
      <c r="CZA40" s="1221"/>
      <c r="CZB40" s="1221"/>
      <c r="CZC40" s="1221"/>
      <c r="CZD40" s="1221"/>
      <c r="CZE40" s="1221"/>
      <c r="CZF40" s="1221"/>
      <c r="CZG40" s="1221"/>
      <c r="CZH40" s="1221"/>
      <c r="CZI40" s="1221"/>
      <c r="CZJ40" s="1221"/>
      <c r="CZK40" s="1221"/>
      <c r="CZL40" s="1221"/>
      <c r="CZM40" s="1221"/>
      <c r="CZN40" s="1221"/>
      <c r="CZO40" s="1221"/>
      <c r="CZP40" s="1221"/>
      <c r="CZQ40" s="1221"/>
      <c r="CZR40" s="1221"/>
      <c r="CZS40" s="1221"/>
      <c r="CZT40" s="1221"/>
      <c r="CZU40" s="1221"/>
      <c r="CZV40" s="1221"/>
      <c r="CZW40" s="1221"/>
      <c r="CZX40" s="1221"/>
      <c r="CZY40" s="1221"/>
      <c r="CZZ40" s="1221"/>
      <c r="DAA40" s="1221"/>
      <c r="DAB40" s="1221"/>
      <c r="DAC40" s="1221"/>
      <c r="DAD40" s="1221"/>
      <c r="DAE40" s="1221"/>
      <c r="DAF40" s="1221"/>
      <c r="DAG40" s="1221"/>
      <c r="DAH40" s="1221"/>
      <c r="DAI40" s="1221"/>
      <c r="DAJ40" s="1221"/>
      <c r="DAK40" s="1221"/>
      <c r="DAL40" s="1221"/>
      <c r="DAM40" s="1221"/>
      <c r="DAN40" s="1221"/>
      <c r="DAO40" s="1221"/>
      <c r="DAP40" s="1221"/>
      <c r="DAQ40" s="1221"/>
      <c r="DAR40" s="1221"/>
      <c r="DAS40" s="1221"/>
      <c r="DAT40" s="1221"/>
      <c r="DAU40" s="1221"/>
      <c r="DAV40" s="1221"/>
      <c r="DAW40" s="1221"/>
      <c r="DAX40" s="1221"/>
      <c r="DAY40" s="1221"/>
      <c r="DAZ40" s="1221"/>
      <c r="DBA40" s="1221"/>
      <c r="DBB40" s="1221"/>
      <c r="DBC40" s="1221"/>
      <c r="DBD40" s="1221"/>
      <c r="DBE40" s="1221"/>
      <c r="DBF40" s="1221"/>
      <c r="DBG40" s="1221"/>
      <c r="DBH40" s="1221"/>
      <c r="DBI40" s="1221"/>
      <c r="DBJ40" s="1221"/>
      <c r="DBK40" s="1221"/>
      <c r="DBL40" s="1221"/>
      <c r="DBM40" s="1221"/>
      <c r="DBN40" s="1221"/>
      <c r="DBO40" s="1221"/>
      <c r="DBP40" s="1221"/>
      <c r="DBQ40" s="1221"/>
      <c r="DBR40" s="1221"/>
      <c r="DBS40" s="1221"/>
      <c r="DBT40" s="1221"/>
      <c r="DBU40" s="1221"/>
      <c r="DBV40" s="1221"/>
      <c r="DBW40" s="1221"/>
      <c r="DBX40" s="1221"/>
      <c r="DBY40" s="1221"/>
      <c r="DBZ40" s="1221"/>
      <c r="DCA40" s="1221"/>
      <c r="DCB40" s="1221"/>
      <c r="DCC40" s="1221"/>
      <c r="DCD40" s="1221"/>
      <c r="DCE40" s="1221"/>
      <c r="DCF40" s="1221"/>
      <c r="DCG40" s="1221"/>
      <c r="DCH40" s="1221"/>
      <c r="DCI40" s="1221"/>
      <c r="DCJ40" s="1221"/>
      <c r="DCK40" s="1221"/>
      <c r="DCL40" s="1221"/>
      <c r="DCM40" s="1221"/>
      <c r="DCN40" s="1221"/>
      <c r="DCO40" s="1221"/>
      <c r="DCP40" s="1221"/>
      <c r="DCQ40" s="1221"/>
      <c r="DCR40" s="1221"/>
      <c r="DCS40" s="1221"/>
      <c r="DCT40" s="1221"/>
      <c r="DCU40" s="1221"/>
      <c r="DCV40" s="1221"/>
      <c r="DCW40" s="1221"/>
      <c r="DCX40" s="1221"/>
      <c r="DCY40" s="1221"/>
      <c r="DCZ40" s="1221"/>
      <c r="DDA40" s="1221"/>
      <c r="DDB40" s="1221"/>
      <c r="DDC40" s="1221"/>
      <c r="DDD40" s="1221"/>
      <c r="DDE40" s="1221"/>
      <c r="DDF40" s="1221"/>
      <c r="DDG40" s="1221"/>
      <c r="DDH40" s="1221"/>
      <c r="DDI40" s="1221"/>
      <c r="DDJ40" s="1221"/>
      <c r="DDK40" s="1221"/>
      <c r="DDL40" s="1221"/>
      <c r="DDM40" s="1221"/>
      <c r="DDN40" s="1221"/>
      <c r="DDO40" s="1221"/>
      <c r="DDP40" s="1221"/>
      <c r="DDQ40" s="1221"/>
      <c r="DDR40" s="1221"/>
      <c r="DDS40" s="1221"/>
      <c r="DDT40" s="1221"/>
      <c r="DDU40" s="1221"/>
      <c r="DDV40" s="1221"/>
      <c r="DDW40" s="1221"/>
      <c r="DDX40" s="1221"/>
      <c r="DDY40" s="1221"/>
      <c r="DDZ40" s="1221"/>
      <c r="DEA40" s="1221"/>
      <c r="DEB40" s="1221"/>
      <c r="DEC40" s="1221"/>
      <c r="DED40" s="1221"/>
      <c r="DEE40" s="1221"/>
      <c r="DEF40" s="1221"/>
      <c r="DEG40" s="1221"/>
      <c r="DEH40" s="1221"/>
      <c r="DEI40" s="1221"/>
      <c r="DEJ40" s="1221"/>
      <c r="DEK40" s="1221"/>
      <c r="DEL40" s="1221"/>
      <c r="DEM40" s="1221"/>
      <c r="DEN40" s="1221"/>
      <c r="DEO40" s="1221"/>
      <c r="DEP40" s="1221"/>
      <c r="DEQ40" s="1221"/>
      <c r="DER40" s="1221"/>
      <c r="DES40" s="1221"/>
      <c r="DET40" s="1221"/>
      <c r="DEU40" s="1221"/>
      <c r="DEV40" s="1221"/>
      <c r="DEW40" s="1221"/>
      <c r="DEX40" s="1221"/>
      <c r="DEY40" s="1221"/>
      <c r="DEZ40" s="1221"/>
      <c r="DFA40" s="1221"/>
      <c r="DFB40" s="1221"/>
      <c r="DFC40" s="1221"/>
      <c r="DFD40" s="1221"/>
      <c r="DFE40" s="1221"/>
      <c r="DFF40" s="1221"/>
      <c r="DFG40" s="1221"/>
      <c r="DFH40" s="1221"/>
      <c r="DFI40" s="1221"/>
      <c r="DFJ40" s="1221"/>
      <c r="DFK40" s="1221"/>
      <c r="DFL40" s="1221"/>
      <c r="DFM40" s="1221"/>
      <c r="DFN40" s="1221"/>
      <c r="DFO40" s="1221"/>
      <c r="DFP40" s="1221"/>
      <c r="DFQ40" s="1221"/>
      <c r="DFR40" s="1221"/>
      <c r="DFS40" s="1221"/>
      <c r="DFT40" s="1221"/>
      <c r="DFU40" s="1221"/>
      <c r="DFV40" s="1221"/>
      <c r="DFW40" s="1221"/>
      <c r="DFX40" s="1221"/>
      <c r="DFY40" s="1221"/>
      <c r="DFZ40" s="1221"/>
      <c r="DGA40" s="1221"/>
      <c r="DGB40" s="1221"/>
      <c r="DGC40" s="1221"/>
      <c r="DGD40" s="1221"/>
      <c r="DGE40" s="1221"/>
      <c r="DGF40" s="1221"/>
      <c r="DGG40" s="1221"/>
      <c r="DGH40" s="1221"/>
      <c r="DGI40" s="1221"/>
      <c r="DGJ40" s="1221"/>
      <c r="DGK40" s="1221"/>
      <c r="DGL40" s="1221"/>
      <c r="DGM40" s="1221"/>
      <c r="DGN40" s="1221"/>
      <c r="DGO40" s="1221"/>
      <c r="DGP40" s="1221"/>
      <c r="DGQ40" s="1221"/>
      <c r="DGR40" s="1221"/>
      <c r="DGS40" s="1221"/>
      <c r="DGT40" s="1221"/>
      <c r="DGU40" s="1221"/>
      <c r="DGV40" s="1221"/>
      <c r="DGW40" s="1221"/>
      <c r="DGX40" s="1221"/>
      <c r="DGY40" s="1221"/>
      <c r="DGZ40" s="1221"/>
      <c r="DHA40" s="1221"/>
      <c r="DHB40" s="1221"/>
      <c r="DHC40" s="1221"/>
      <c r="DHD40" s="1221"/>
      <c r="DHE40" s="1221"/>
      <c r="DHF40" s="1221"/>
      <c r="DHG40" s="1221"/>
      <c r="DHH40" s="1221"/>
      <c r="DHI40" s="1221"/>
      <c r="DHJ40" s="1221"/>
      <c r="DHK40" s="1221"/>
      <c r="DHL40" s="1221"/>
      <c r="DHM40" s="1221"/>
      <c r="DHN40" s="1221"/>
      <c r="DHO40" s="1221"/>
      <c r="DHP40" s="1221"/>
      <c r="DHQ40" s="1221"/>
      <c r="DHR40" s="1221"/>
      <c r="DHS40" s="1221"/>
      <c r="DHT40" s="1221"/>
      <c r="DHU40" s="1221"/>
      <c r="DHV40" s="1221"/>
      <c r="DHW40" s="1221"/>
      <c r="DHX40" s="1221"/>
      <c r="DHY40" s="1221"/>
      <c r="DHZ40" s="1221"/>
      <c r="DIA40" s="1221"/>
      <c r="DIB40" s="1221"/>
      <c r="DIC40" s="1221"/>
      <c r="DID40" s="1221"/>
      <c r="DIE40" s="1221"/>
      <c r="DIF40" s="1221"/>
      <c r="DIG40" s="1221"/>
      <c r="DIH40" s="1221"/>
      <c r="DII40" s="1221"/>
      <c r="DIJ40" s="1221"/>
      <c r="DIK40" s="1221"/>
      <c r="DIL40" s="1221"/>
      <c r="DIM40" s="1221"/>
      <c r="DIN40" s="1221"/>
      <c r="DIO40" s="1221"/>
      <c r="DIP40" s="1221"/>
      <c r="DIQ40" s="1221"/>
      <c r="DIR40" s="1221"/>
      <c r="DIS40" s="1221"/>
      <c r="DIT40" s="1221"/>
      <c r="DIU40" s="1221"/>
      <c r="DIV40" s="1221"/>
      <c r="DIW40" s="1221"/>
      <c r="DIX40" s="1221"/>
      <c r="DIY40" s="1221"/>
      <c r="DIZ40" s="1221"/>
      <c r="DJA40" s="1221"/>
      <c r="DJB40" s="1221"/>
      <c r="DJC40" s="1221"/>
      <c r="DJD40" s="1221"/>
      <c r="DJE40" s="1221"/>
      <c r="DJF40" s="1221"/>
      <c r="DJG40" s="1221"/>
      <c r="DJH40" s="1221"/>
      <c r="DJI40" s="1221"/>
      <c r="DJJ40" s="1221"/>
      <c r="DJK40" s="1221"/>
      <c r="DJL40" s="1221"/>
      <c r="DJM40" s="1221"/>
      <c r="DJN40" s="1221"/>
      <c r="DJO40" s="1221"/>
      <c r="DJP40" s="1221"/>
      <c r="DJQ40" s="1221"/>
      <c r="DJR40" s="1221"/>
      <c r="DJS40" s="1221"/>
      <c r="DJT40" s="1221"/>
      <c r="DJU40" s="1221"/>
      <c r="DJV40" s="1221"/>
      <c r="DJW40" s="1221"/>
      <c r="DJX40" s="1221"/>
      <c r="DJY40" s="1221"/>
      <c r="DJZ40" s="1221"/>
      <c r="DKA40" s="1221"/>
      <c r="DKB40" s="1221"/>
      <c r="DKC40" s="1221"/>
      <c r="DKD40" s="1221"/>
      <c r="DKE40" s="1221"/>
      <c r="DKF40" s="1221"/>
      <c r="DKG40" s="1221"/>
      <c r="DKH40" s="1221"/>
      <c r="DKI40" s="1221"/>
      <c r="DKJ40" s="1221"/>
      <c r="DKK40" s="1221"/>
      <c r="DKL40" s="1221"/>
      <c r="DKM40" s="1221"/>
      <c r="DKN40" s="1221"/>
      <c r="DKO40" s="1221"/>
      <c r="DKP40" s="1221"/>
      <c r="DKQ40" s="1221"/>
      <c r="DKR40" s="1221"/>
      <c r="DKS40" s="1221"/>
      <c r="DKT40" s="1221"/>
      <c r="DKU40" s="1221"/>
      <c r="DKV40" s="1221"/>
      <c r="DKW40" s="1221"/>
      <c r="DKX40" s="1221"/>
      <c r="DKY40" s="1221"/>
      <c r="DKZ40" s="1221"/>
      <c r="DLA40" s="1221"/>
      <c r="DLB40" s="1221"/>
      <c r="DLC40" s="1221"/>
      <c r="DLD40" s="1221"/>
      <c r="DLE40" s="1221"/>
      <c r="DLF40" s="1221"/>
      <c r="DLG40" s="1221"/>
      <c r="DLH40" s="1221"/>
      <c r="DLI40" s="1221"/>
      <c r="DLJ40" s="1221"/>
      <c r="DLK40" s="1221"/>
      <c r="DLL40" s="1221"/>
      <c r="DLM40" s="1221"/>
      <c r="DLN40" s="1221"/>
      <c r="DLO40" s="1221"/>
      <c r="DLP40" s="1221"/>
      <c r="DLQ40" s="1221"/>
      <c r="DLR40" s="1221"/>
      <c r="DLS40" s="1221"/>
      <c r="DLT40" s="1221"/>
      <c r="DLU40" s="1221"/>
      <c r="DLV40" s="1221"/>
      <c r="DLW40" s="1221"/>
      <c r="DLX40" s="1221"/>
      <c r="DLY40" s="1221"/>
      <c r="DLZ40" s="1221"/>
      <c r="DMA40" s="1221"/>
      <c r="DMB40" s="1221"/>
      <c r="DMC40" s="1221"/>
      <c r="DMD40" s="1221"/>
      <c r="DME40" s="1221"/>
      <c r="DMF40" s="1221"/>
      <c r="DMG40" s="1221"/>
      <c r="DMH40" s="1221"/>
      <c r="DMI40" s="1221"/>
      <c r="DMJ40" s="1221"/>
      <c r="DMK40" s="1221"/>
      <c r="DML40" s="1221"/>
      <c r="DMM40" s="1221"/>
      <c r="DMN40" s="1221"/>
      <c r="DMO40" s="1221"/>
      <c r="DMP40" s="1221"/>
      <c r="DMQ40" s="1221"/>
      <c r="DMR40" s="1221"/>
      <c r="DMS40" s="1221"/>
      <c r="DMT40" s="1221"/>
      <c r="DMU40" s="1221"/>
      <c r="DMV40" s="1221"/>
      <c r="DMW40" s="1221"/>
      <c r="DMX40" s="1221"/>
      <c r="DMY40" s="1221"/>
      <c r="DMZ40" s="1221"/>
      <c r="DNA40" s="1221"/>
      <c r="DNB40" s="1221"/>
      <c r="DNC40" s="1221"/>
      <c r="DND40" s="1221"/>
      <c r="DNE40" s="1221"/>
      <c r="DNF40" s="1221"/>
      <c r="DNG40" s="1221"/>
      <c r="DNH40" s="1221"/>
      <c r="DNI40" s="1221"/>
      <c r="DNJ40" s="1221"/>
      <c r="DNK40" s="1221"/>
      <c r="DNL40" s="1221"/>
      <c r="DNM40" s="1221"/>
      <c r="DNN40" s="1221"/>
      <c r="DNO40" s="1221"/>
      <c r="DNP40" s="1221"/>
      <c r="DNQ40" s="1221"/>
      <c r="DNR40" s="1221"/>
      <c r="DNS40" s="1221"/>
      <c r="DNT40" s="1221"/>
      <c r="DNU40" s="1221"/>
      <c r="DNV40" s="1221"/>
      <c r="DNW40" s="1221"/>
      <c r="DNX40" s="1221"/>
      <c r="DNY40" s="1221"/>
      <c r="DNZ40" s="1221"/>
      <c r="DOA40" s="1221"/>
      <c r="DOB40" s="1221"/>
      <c r="DOC40" s="1221"/>
      <c r="DOD40" s="1221"/>
      <c r="DOE40" s="1221"/>
      <c r="DOF40" s="1221"/>
      <c r="DOG40" s="1221"/>
      <c r="DOH40" s="1221"/>
      <c r="DOI40" s="1221"/>
      <c r="DOJ40" s="1221"/>
      <c r="DOK40" s="1221"/>
      <c r="DOL40" s="1221"/>
      <c r="DOM40" s="1221"/>
      <c r="DON40" s="1221"/>
      <c r="DOO40" s="1221"/>
      <c r="DOP40" s="1221"/>
      <c r="DOQ40" s="1221"/>
      <c r="DOR40" s="1221"/>
      <c r="DOS40" s="1221"/>
      <c r="DOT40" s="1221"/>
      <c r="DOU40" s="1221"/>
      <c r="DOV40" s="1221"/>
      <c r="DOW40" s="1221"/>
      <c r="DOX40" s="1221"/>
      <c r="DOY40" s="1221"/>
      <c r="DOZ40" s="1221"/>
      <c r="DPA40" s="1221"/>
      <c r="DPB40" s="1221"/>
      <c r="DPC40" s="1221"/>
      <c r="DPD40" s="1221"/>
      <c r="DPE40" s="1221"/>
      <c r="DPF40" s="1221"/>
      <c r="DPG40" s="1221"/>
      <c r="DPH40" s="1221"/>
      <c r="DPI40" s="1221"/>
      <c r="DPJ40" s="1221"/>
      <c r="DPK40" s="1221"/>
      <c r="DPL40" s="1221"/>
      <c r="DPM40" s="1221"/>
      <c r="DPN40" s="1221"/>
      <c r="DPO40" s="1221"/>
      <c r="DPP40" s="1221"/>
      <c r="DPQ40" s="1221"/>
      <c r="DPR40" s="1221"/>
      <c r="DPS40" s="1221"/>
      <c r="DPT40" s="1221"/>
      <c r="DPU40" s="1221"/>
      <c r="DPV40" s="1221"/>
      <c r="DPW40" s="1221"/>
      <c r="DPX40" s="1221"/>
      <c r="DPY40" s="1221"/>
      <c r="DPZ40" s="1221"/>
      <c r="DQA40" s="1221"/>
      <c r="DQB40" s="1221"/>
      <c r="DQC40" s="1221"/>
      <c r="DQD40" s="1221"/>
      <c r="DQE40" s="1221"/>
      <c r="DQF40" s="1221"/>
      <c r="DQG40" s="1221"/>
      <c r="DQH40" s="1221"/>
      <c r="DQI40" s="1221"/>
      <c r="DQJ40" s="1221"/>
      <c r="DQK40" s="1221"/>
      <c r="DQL40" s="1221"/>
      <c r="DQM40" s="1221"/>
      <c r="DQN40" s="1221"/>
      <c r="DQO40" s="1221"/>
      <c r="DQP40" s="1221"/>
      <c r="DQQ40" s="1221"/>
      <c r="DQR40" s="1221"/>
      <c r="DQS40" s="1221"/>
      <c r="DQT40" s="1221"/>
      <c r="DQU40" s="1221"/>
      <c r="DQV40" s="1221"/>
      <c r="DQW40" s="1221"/>
      <c r="DQX40" s="1221"/>
      <c r="DQY40" s="1221"/>
      <c r="DQZ40" s="1221"/>
      <c r="DRA40" s="1221"/>
      <c r="DRB40" s="1221"/>
      <c r="DRC40" s="1221"/>
      <c r="DRD40" s="1221"/>
      <c r="DRE40" s="1221"/>
      <c r="DRF40" s="1221"/>
      <c r="DRG40" s="1221"/>
      <c r="DRH40" s="1221"/>
      <c r="DRI40" s="1221"/>
      <c r="DRJ40" s="1221"/>
      <c r="DRK40" s="1221"/>
      <c r="DRL40" s="1221"/>
      <c r="DRM40" s="1221"/>
      <c r="DRN40" s="1221"/>
      <c r="DRO40" s="1221"/>
      <c r="DRP40" s="1221"/>
      <c r="DRQ40" s="1221"/>
      <c r="DRR40" s="1221"/>
      <c r="DRS40" s="1221"/>
      <c r="DRT40" s="1221"/>
      <c r="DRU40" s="1221"/>
      <c r="DRV40" s="1221"/>
      <c r="DRW40" s="1221"/>
      <c r="DRX40" s="1221"/>
      <c r="DRY40" s="1221"/>
      <c r="DRZ40" s="1221"/>
      <c r="DSA40" s="1221"/>
      <c r="DSB40" s="1221"/>
      <c r="DSC40" s="1221"/>
      <c r="DSD40" s="1221"/>
      <c r="DSE40" s="1221"/>
      <c r="DSF40" s="1221"/>
      <c r="DSG40" s="1221"/>
      <c r="DSH40" s="1221"/>
      <c r="DSI40" s="1221"/>
      <c r="DSJ40" s="1221"/>
      <c r="DSK40" s="1221"/>
      <c r="DSL40" s="1221"/>
      <c r="DSM40" s="1221"/>
      <c r="DSN40" s="1221"/>
      <c r="DSO40" s="1221"/>
      <c r="DSP40" s="1221"/>
      <c r="DSQ40" s="1221"/>
      <c r="DSR40" s="1221"/>
      <c r="DSS40" s="1221"/>
      <c r="DST40" s="1221"/>
      <c r="DSU40" s="1221"/>
      <c r="DSV40" s="1221"/>
      <c r="DSW40" s="1221"/>
      <c r="DSX40" s="1221"/>
      <c r="DSY40" s="1221"/>
      <c r="DSZ40" s="1221"/>
      <c r="DTA40" s="1221"/>
      <c r="DTB40" s="1221"/>
      <c r="DTC40" s="1221"/>
      <c r="DTD40" s="1221"/>
      <c r="DTE40" s="1221"/>
      <c r="DTF40" s="1221"/>
      <c r="DTG40" s="1221"/>
      <c r="DTH40" s="1221"/>
      <c r="DTI40" s="1221"/>
      <c r="DTJ40" s="1221"/>
      <c r="DTK40" s="1221"/>
      <c r="DTL40" s="1221"/>
      <c r="DTM40" s="1221"/>
      <c r="DTN40" s="1221"/>
      <c r="DTO40" s="1221"/>
      <c r="DTP40" s="1221"/>
      <c r="DTQ40" s="1221"/>
      <c r="DTR40" s="1221"/>
      <c r="DTS40" s="1221"/>
      <c r="DTT40" s="1221"/>
      <c r="DTU40" s="1221"/>
      <c r="DTV40" s="1221"/>
      <c r="DTW40" s="1221"/>
      <c r="DTX40" s="1221"/>
      <c r="DTY40" s="1221"/>
      <c r="DTZ40" s="1221"/>
      <c r="DUA40" s="1221"/>
      <c r="DUB40" s="1221"/>
      <c r="DUC40" s="1221"/>
      <c r="DUD40" s="1221"/>
      <c r="DUE40" s="1221"/>
      <c r="DUF40" s="1221"/>
      <c r="DUG40" s="1221"/>
      <c r="DUH40" s="1221"/>
      <c r="DUI40" s="1221"/>
      <c r="DUJ40" s="1221"/>
      <c r="DUK40" s="1221"/>
      <c r="DUL40" s="1221"/>
      <c r="DUM40" s="1221"/>
      <c r="DUN40" s="1221"/>
      <c r="DUO40" s="1221"/>
      <c r="DUP40" s="1221"/>
      <c r="DUQ40" s="1221"/>
      <c r="DUR40" s="1221"/>
      <c r="DUS40" s="1221"/>
      <c r="DUT40" s="1221"/>
      <c r="DUU40" s="1221"/>
      <c r="DUV40" s="1221"/>
      <c r="DUW40" s="1221"/>
      <c r="DUX40" s="1221"/>
      <c r="DUY40" s="1221"/>
      <c r="DUZ40" s="1221"/>
      <c r="DVA40" s="1221"/>
      <c r="DVB40" s="1221"/>
      <c r="DVC40" s="1221"/>
      <c r="DVD40" s="1221"/>
      <c r="DVE40" s="1221"/>
      <c r="DVF40" s="1221"/>
      <c r="DVG40" s="1221"/>
      <c r="DVH40" s="1221"/>
      <c r="DVI40" s="1221"/>
      <c r="DVJ40" s="1221"/>
      <c r="DVK40" s="1221"/>
      <c r="DVL40" s="1221"/>
      <c r="DVM40" s="1221"/>
      <c r="DVN40" s="1221"/>
      <c r="DVO40" s="1221"/>
      <c r="DVP40" s="1221"/>
      <c r="DVQ40" s="1221"/>
      <c r="DVR40" s="1221"/>
      <c r="DVS40" s="1221"/>
      <c r="DVT40" s="1221"/>
      <c r="DVU40" s="1221"/>
      <c r="DVV40" s="1221"/>
      <c r="DVW40" s="1221"/>
      <c r="DVX40" s="1221"/>
      <c r="DVY40" s="1221"/>
      <c r="DVZ40" s="1221"/>
      <c r="DWA40" s="1221"/>
      <c r="DWB40" s="1221"/>
      <c r="DWC40" s="1221"/>
      <c r="DWD40" s="1221"/>
      <c r="DWE40" s="1221"/>
      <c r="DWF40" s="1221"/>
      <c r="DWG40" s="1221"/>
      <c r="DWH40" s="1221"/>
      <c r="DWI40" s="1221"/>
      <c r="DWJ40" s="1221"/>
      <c r="DWK40" s="1221"/>
      <c r="DWL40" s="1221"/>
      <c r="DWM40" s="1221"/>
      <c r="DWN40" s="1221"/>
      <c r="DWO40" s="1221"/>
      <c r="DWP40" s="1221"/>
      <c r="DWQ40" s="1221"/>
      <c r="DWR40" s="1221"/>
      <c r="DWS40" s="1221"/>
      <c r="DWT40" s="1221"/>
      <c r="DWU40" s="1221"/>
      <c r="DWV40" s="1221"/>
      <c r="DWW40" s="1221"/>
      <c r="DWX40" s="1221"/>
      <c r="DWY40" s="1221"/>
      <c r="DWZ40" s="1221"/>
      <c r="DXA40" s="1221"/>
      <c r="DXB40" s="1221"/>
      <c r="DXC40" s="1221"/>
      <c r="DXD40" s="1221"/>
      <c r="DXE40" s="1221"/>
      <c r="DXF40" s="1221"/>
      <c r="DXG40" s="1221"/>
      <c r="DXH40" s="1221"/>
      <c r="DXI40" s="1221"/>
      <c r="DXJ40" s="1221"/>
      <c r="DXK40" s="1221"/>
      <c r="DXL40" s="1221"/>
      <c r="DXM40" s="1221"/>
      <c r="DXN40" s="1221"/>
      <c r="DXO40" s="1221"/>
      <c r="DXP40" s="1221"/>
      <c r="DXQ40" s="1221"/>
      <c r="DXR40" s="1221"/>
      <c r="DXS40" s="1221"/>
      <c r="DXT40" s="1221"/>
      <c r="DXU40" s="1221"/>
      <c r="DXV40" s="1221"/>
      <c r="DXW40" s="1221"/>
      <c r="DXX40" s="1221"/>
      <c r="DXY40" s="1221"/>
      <c r="DXZ40" s="1221"/>
      <c r="DYA40" s="1221"/>
      <c r="DYB40" s="1221"/>
      <c r="DYC40" s="1221"/>
      <c r="DYD40" s="1221"/>
      <c r="DYE40" s="1221"/>
      <c r="DYF40" s="1221"/>
      <c r="DYG40" s="1221"/>
      <c r="DYH40" s="1221"/>
      <c r="DYI40" s="1221"/>
      <c r="DYJ40" s="1221"/>
      <c r="DYK40" s="1221"/>
      <c r="DYL40" s="1221"/>
      <c r="DYM40" s="1221"/>
      <c r="DYN40" s="1221"/>
      <c r="DYO40" s="1221"/>
      <c r="DYP40" s="1221"/>
      <c r="DYQ40" s="1221"/>
      <c r="DYR40" s="1221"/>
      <c r="DYS40" s="1221"/>
      <c r="DYT40" s="1221"/>
      <c r="DYU40" s="1221"/>
      <c r="DYV40" s="1221"/>
      <c r="DYW40" s="1221"/>
      <c r="DYX40" s="1221"/>
      <c r="DYY40" s="1221"/>
      <c r="DYZ40" s="1221"/>
      <c r="DZA40" s="1221"/>
      <c r="DZB40" s="1221"/>
      <c r="DZC40" s="1221"/>
      <c r="DZD40" s="1221"/>
      <c r="DZE40" s="1221"/>
      <c r="DZF40" s="1221"/>
      <c r="DZG40" s="1221"/>
      <c r="DZH40" s="1221"/>
      <c r="DZI40" s="1221"/>
      <c r="DZJ40" s="1221"/>
      <c r="DZK40" s="1221"/>
      <c r="DZL40" s="1221"/>
      <c r="DZM40" s="1221"/>
      <c r="DZN40" s="1221"/>
      <c r="DZO40" s="1221"/>
      <c r="DZP40" s="1221"/>
      <c r="DZQ40" s="1221"/>
      <c r="DZR40" s="1221"/>
      <c r="DZS40" s="1221"/>
      <c r="DZT40" s="1221"/>
      <c r="DZU40" s="1221"/>
      <c r="DZV40" s="1221"/>
      <c r="DZW40" s="1221"/>
      <c r="DZX40" s="1221"/>
      <c r="DZY40" s="1221"/>
      <c r="DZZ40" s="1221"/>
      <c r="EAA40" s="1221"/>
      <c r="EAB40" s="1221"/>
      <c r="EAC40" s="1221"/>
      <c r="EAD40" s="1221"/>
      <c r="EAE40" s="1221"/>
      <c r="EAF40" s="1221"/>
      <c r="EAG40" s="1221"/>
      <c r="EAH40" s="1221"/>
      <c r="EAI40" s="1221"/>
      <c r="EAJ40" s="1221"/>
      <c r="EAK40" s="1221"/>
      <c r="EAL40" s="1221"/>
      <c r="EAM40" s="1221"/>
      <c r="EAN40" s="1221"/>
      <c r="EAO40" s="1221"/>
      <c r="EAP40" s="1221"/>
      <c r="EAQ40" s="1221"/>
      <c r="EAR40" s="1221"/>
      <c r="EAS40" s="1221"/>
      <c r="EAT40" s="1221"/>
      <c r="EAU40" s="1221"/>
      <c r="EAV40" s="1221"/>
      <c r="EAW40" s="1221"/>
      <c r="EAX40" s="1221"/>
      <c r="EAY40" s="1221"/>
      <c r="EAZ40" s="1221"/>
      <c r="EBA40" s="1221"/>
      <c r="EBB40" s="1221"/>
      <c r="EBC40" s="1221"/>
      <c r="EBD40" s="1221"/>
      <c r="EBE40" s="1221"/>
      <c r="EBF40" s="1221"/>
      <c r="EBG40" s="1221"/>
      <c r="EBH40" s="1221"/>
      <c r="EBI40" s="1221"/>
      <c r="EBJ40" s="1221"/>
      <c r="EBK40" s="1221"/>
      <c r="EBL40" s="1221"/>
      <c r="EBM40" s="1221"/>
      <c r="EBN40" s="1221"/>
      <c r="EBO40" s="1221"/>
      <c r="EBP40" s="1221"/>
      <c r="EBQ40" s="1221"/>
      <c r="EBR40" s="1221"/>
      <c r="EBS40" s="1221"/>
      <c r="EBT40" s="1221"/>
      <c r="EBU40" s="1221"/>
      <c r="EBV40" s="1221"/>
      <c r="EBW40" s="1221"/>
      <c r="EBX40" s="1221"/>
      <c r="EBY40" s="1221"/>
      <c r="EBZ40" s="1221"/>
      <c r="ECA40" s="1221"/>
      <c r="ECB40" s="1221"/>
      <c r="ECC40" s="1221"/>
      <c r="ECD40" s="1221"/>
      <c r="ECE40" s="1221"/>
      <c r="ECF40" s="1221"/>
      <c r="ECG40" s="1221"/>
      <c r="ECH40" s="1221"/>
      <c r="ECI40" s="1221"/>
      <c r="ECJ40" s="1221"/>
      <c r="ECK40" s="1221"/>
      <c r="ECL40" s="1221"/>
      <c r="ECM40" s="1221"/>
      <c r="ECN40" s="1221"/>
      <c r="ECO40" s="1221"/>
    </row>
    <row r="41" spans="2:3473" s="1248" customFormat="1" ht="13" outlineLevel="1">
      <c r="B41" s="1249" t="s">
        <v>1010</v>
      </c>
      <c r="C41" s="1250">
        <v>6</v>
      </c>
      <c r="D41" s="1251" t="s">
        <v>1011</v>
      </c>
      <c r="E41" s="1252">
        <f t="shared" si="47"/>
        <v>0</v>
      </c>
      <c r="F41" s="1252">
        <f t="shared" si="47"/>
        <v>0</v>
      </c>
      <c r="G41" s="1252">
        <f t="shared" si="47"/>
        <v>0</v>
      </c>
      <c r="H41" s="1252">
        <f t="shared" si="47"/>
        <v>26.468808379605072</v>
      </c>
      <c r="I41" s="1252">
        <f t="shared" si="47"/>
        <v>24.970573922952799</v>
      </c>
      <c r="J41" s="1252">
        <f t="shared" si="47"/>
        <v>1.4982344566522718</v>
      </c>
      <c r="K41" s="1252">
        <f t="shared" si="47"/>
        <v>0</v>
      </c>
      <c r="L41" s="1252">
        <f t="shared" si="47"/>
        <v>0</v>
      </c>
      <c r="M41" s="1252">
        <f t="shared" si="47"/>
        <v>0</v>
      </c>
      <c r="N41" s="1252" t="str">
        <f t="shared" si="47"/>
        <v/>
      </c>
      <c r="O41" s="1252" t="str">
        <f t="shared" si="47"/>
        <v/>
      </c>
      <c r="P41" s="1252" t="str">
        <f t="shared" si="47"/>
        <v/>
      </c>
      <c r="Q41" s="1252">
        <f t="shared" si="47"/>
        <v>26.468808379605065</v>
      </c>
      <c r="R41" s="1252">
        <f t="shared" si="47"/>
        <v>24.970573922952795</v>
      </c>
      <c r="S41" s="1252">
        <f t="shared" si="8"/>
        <v>1.4982344566522716</v>
      </c>
      <c r="T41" s="1252">
        <f t="shared" si="5"/>
        <v>26.468808379605068</v>
      </c>
      <c r="U41" s="1252">
        <f t="shared" si="5"/>
        <v>24.970573922952799</v>
      </c>
      <c r="V41" s="1252">
        <f t="shared" si="9"/>
        <v>1.4982344566522721</v>
      </c>
      <c r="W41" s="1252" t="str">
        <f t="shared" si="10"/>
        <v/>
      </c>
      <c r="X41" s="1252" t="str">
        <f t="shared" si="10"/>
        <v/>
      </c>
      <c r="Y41" s="1252" t="str">
        <f t="shared" si="10"/>
        <v/>
      </c>
      <c r="Z41" s="1252">
        <f t="shared" si="78"/>
        <v>19.92295783394923</v>
      </c>
      <c r="AA41" s="1252">
        <f t="shared" si="78"/>
        <v>18.795243224467502</v>
      </c>
      <c r="AB41" s="1252">
        <f t="shared" si="78"/>
        <v>1.127714609481729</v>
      </c>
      <c r="AC41" s="1252">
        <f t="shared" si="15"/>
        <v>26.468808379605068</v>
      </c>
      <c r="AD41" s="1260">
        <f t="shared" si="15"/>
        <v>24.970573922952795</v>
      </c>
      <c r="AE41" s="1260">
        <f t="shared" si="15"/>
        <v>1.4982344566522718</v>
      </c>
      <c r="AF41" s="1254"/>
      <c r="AG41" s="1255"/>
      <c r="AH41" s="1255"/>
      <c r="AI41" s="1256">
        <f t="shared" si="41"/>
        <v>114.27630095406502</v>
      </c>
      <c r="AJ41" s="1256">
        <f t="shared" si="64"/>
        <v>107.80783100208679</v>
      </c>
      <c r="AK41" s="1256">
        <f t="shared" si="65"/>
        <v>6.4684699519782347</v>
      </c>
      <c r="AL41" s="1256"/>
      <c r="AM41" s="1256"/>
      <c r="AN41" s="1256"/>
      <c r="AO41" s="1256">
        <f t="shared" si="21"/>
        <v>0</v>
      </c>
      <c r="AP41" s="1256">
        <f t="shared" si="66"/>
        <v>0</v>
      </c>
      <c r="AQ41" s="1256">
        <f t="shared" si="67"/>
        <v>0</v>
      </c>
      <c r="AR41" s="1256">
        <f t="shared" si="60"/>
        <v>156.62753252019343</v>
      </c>
      <c r="AS41" s="1256">
        <f t="shared" si="68"/>
        <v>147.76182301348993</v>
      </c>
      <c r="AT41" s="1256">
        <f t="shared" si="69"/>
        <v>8.8657095067035048</v>
      </c>
      <c r="AU41" s="1256">
        <f t="shared" si="61"/>
        <v>2.8028615257415197</v>
      </c>
      <c r="AV41" s="1256">
        <f t="shared" si="70"/>
        <v>2.6442089844232406</v>
      </c>
      <c r="AW41" s="1256">
        <f t="shared" si="71"/>
        <v>0.15865254131827905</v>
      </c>
      <c r="AX41" s="1256"/>
      <c r="AY41" s="1256"/>
      <c r="AZ41" s="1256"/>
      <c r="BA41" s="1257">
        <f t="shared" si="62"/>
        <v>273.70669499999997</v>
      </c>
      <c r="BB41" s="1257">
        <f t="shared" si="63"/>
        <v>258.21386299999995</v>
      </c>
      <c r="BC41" s="1257">
        <f t="shared" si="63"/>
        <v>15.492832000000018</v>
      </c>
      <c r="BD41" s="1256">
        <f t="shared" si="72"/>
        <v>0</v>
      </c>
      <c r="BE41" s="1256">
        <f t="shared" si="73"/>
        <v>0</v>
      </c>
      <c r="BF41" s="1256">
        <f t="shared" si="74"/>
        <v>0</v>
      </c>
      <c r="BG41" s="1256">
        <f t="shared" si="75"/>
        <v>0</v>
      </c>
      <c r="BH41" s="1257">
        <f t="shared" si="76"/>
        <v>0</v>
      </c>
      <c r="BI41" s="1257">
        <f t="shared" si="76"/>
        <v>0</v>
      </c>
      <c r="BJ41" s="1257">
        <f t="shared" si="77"/>
        <v>273.70669500000002</v>
      </c>
      <c r="BK41" s="1256">
        <f>VLOOKUP($D41,'当期公摊测算表（全期）'!$D$9:$W$192,20,0)</f>
        <v>258.213863</v>
      </c>
      <c r="BL41" s="1256">
        <f>VLOOKUP($D41,'当期公摊测算表（全期）'!$D$9:$W$192,19,0)</f>
        <v>15.492832000000021</v>
      </c>
      <c r="BM41" s="1262" t="s">
        <v>20</v>
      </c>
      <c r="BN41" s="1225">
        <f t="shared" si="12"/>
        <v>0</v>
      </c>
      <c r="BO41" s="1225">
        <f t="shared" si="13"/>
        <v>0</v>
      </c>
      <c r="BP41" s="1225">
        <f t="shared" si="14"/>
        <v>0</v>
      </c>
      <c r="BQ41" s="1225"/>
      <c r="BR41" s="1221"/>
      <c r="BS41" s="1221"/>
      <c r="BT41" s="1221"/>
      <c r="BU41" s="1221"/>
      <c r="BV41" s="1221"/>
      <c r="BW41" s="1221"/>
      <c r="BX41" s="1221"/>
      <c r="BY41" s="1221"/>
      <c r="BZ41" s="1221"/>
      <c r="CA41" s="1221"/>
      <c r="CB41" s="1221"/>
      <c r="CC41" s="1221"/>
      <c r="CD41" s="1221"/>
      <c r="CE41" s="1221"/>
      <c r="CF41" s="1221"/>
      <c r="CG41" s="1221"/>
      <c r="CH41" s="1221"/>
      <c r="CI41" s="1221"/>
      <c r="CJ41" s="1221"/>
      <c r="CK41" s="1221"/>
      <c r="CL41" s="1221"/>
      <c r="CM41" s="1221"/>
      <c r="CN41" s="1221"/>
      <c r="CO41" s="1221"/>
      <c r="CP41" s="1221"/>
      <c r="CQ41" s="1221"/>
      <c r="CR41" s="1221"/>
      <c r="CS41" s="1221"/>
      <c r="CT41" s="1221"/>
      <c r="CU41" s="1221"/>
      <c r="CV41" s="1221"/>
      <c r="CW41" s="1221"/>
      <c r="CX41" s="1221"/>
      <c r="CY41" s="1221"/>
      <c r="CZ41" s="1221"/>
      <c r="DA41" s="1221"/>
      <c r="DB41" s="1221"/>
      <c r="DC41" s="1221"/>
      <c r="DD41" s="1221"/>
      <c r="DE41" s="1221"/>
      <c r="DF41" s="1221"/>
      <c r="DG41" s="1221"/>
      <c r="DH41" s="1221"/>
      <c r="DI41" s="1221"/>
      <c r="DJ41" s="1221"/>
      <c r="DK41" s="1221"/>
      <c r="DL41" s="1221"/>
      <c r="DM41" s="1221"/>
      <c r="DN41" s="1221"/>
      <c r="DO41" s="1221"/>
      <c r="DP41" s="1221"/>
      <c r="DQ41" s="1221"/>
      <c r="DR41" s="1221"/>
      <c r="DS41" s="1221"/>
      <c r="DT41" s="1221"/>
      <c r="DU41" s="1221"/>
      <c r="DV41" s="1221"/>
      <c r="DW41" s="1221"/>
      <c r="DX41" s="1221"/>
      <c r="DY41" s="1221"/>
      <c r="DZ41" s="1221"/>
      <c r="EA41" s="1221"/>
      <c r="EB41" s="1221"/>
      <c r="EC41" s="1221"/>
      <c r="ED41" s="1221"/>
      <c r="EE41" s="1221"/>
      <c r="EF41" s="1221"/>
      <c r="EG41" s="1221"/>
      <c r="EH41" s="1221"/>
      <c r="EI41" s="1221"/>
      <c r="EJ41" s="1221"/>
      <c r="EK41" s="1221"/>
      <c r="EL41" s="1221"/>
      <c r="EM41" s="1221"/>
      <c r="EN41" s="1221"/>
      <c r="EO41" s="1221"/>
      <c r="EP41" s="1221"/>
      <c r="EQ41" s="1221"/>
      <c r="ER41" s="1221"/>
      <c r="ES41" s="1221"/>
      <c r="ET41" s="1221"/>
      <c r="EU41" s="1221"/>
      <c r="EV41" s="1221"/>
      <c r="EW41" s="1221"/>
      <c r="EX41" s="1221"/>
      <c r="EY41" s="1221"/>
      <c r="EZ41" s="1221"/>
      <c r="FA41" s="1221"/>
      <c r="FB41" s="1221"/>
      <c r="FC41" s="1221"/>
      <c r="FD41" s="1221"/>
      <c r="FE41" s="1221"/>
      <c r="FF41" s="1221"/>
      <c r="FG41" s="1221"/>
      <c r="FH41" s="1221"/>
      <c r="FI41" s="1221"/>
      <c r="FJ41" s="1221"/>
      <c r="FK41" s="1221"/>
      <c r="FL41" s="1221"/>
      <c r="FM41" s="1221"/>
      <c r="FN41" s="1221"/>
      <c r="FO41" s="1221"/>
      <c r="FP41" s="1221"/>
      <c r="FQ41" s="1221"/>
      <c r="FR41" s="1221"/>
      <c r="FS41" s="1221"/>
      <c r="FT41" s="1221"/>
      <c r="FU41" s="1221"/>
      <c r="FV41" s="1221"/>
      <c r="FW41" s="1221"/>
      <c r="FX41" s="1221"/>
      <c r="FY41" s="1221"/>
      <c r="FZ41" s="1221"/>
      <c r="GA41" s="1221"/>
      <c r="GB41" s="1221"/>
      <c r="GC41" s="1221"/>
      <c r="GD41" s="1221"/>
      <c r="GE41" s="1221"/>
      <c r="GF41" s="1221"/>
      <c r="GG41" s="1221"/>
      <c r="GH41" s="1221"/>
      <c r="GI41" s="1221"/>
      <c r="GJ41" s="1221"/>
      <c r="GK41" s="1221"/>
      <c r="GL41" s="1221"/>
      <c r="GM41" s="1221"/>
      <c r="GN41" s="1221"/>
      <c r="GO41" s="1221"/>
      <c r="GP41" s="1221"/>
      <c r="GQ41" s="1221"/>
      <c r="GR41" s="1221"/>
      <c r="GS41" s="1221"/>
      <c r="GT41" s="1221"/>
      <c r="GU41" s="1221"/>
      <c r="GV41" s="1221"/>
      <c r="GW41" s="1221"/>
      <c r="GX41" s="1221"/>
      <c r="GY41" s="1221"/>
      <c r="GZ41" s="1221"/>
      <c r="HA41" s="1221"/>
      <c r="HB41" s="1221"/>
      <c r="HC41" s="1221"/>
      <c r="HD41" s="1221"/>
      <c r="HE41" s="1221"/>
      <c r="HF41" s="1221"/>
      <c r="HG41" s="1221"/>
      <c r="HH41" s="1221"/>
      <c r="HI41" s="1221"/>
      <c r="HJ41" s="1221"/>
      <c r="HK41" s="1221"/>
      <c r="HL41" s="1221"/>
      <c r="HM41" s="1221"/>
      <c r="HN41" s="1221"/>
      <c r="HO41" s="1221"/>
      <c r="HP41" s="1221"/>
      <c r="HQ41" s="1221"/>
      <c r="HR41" s="1221"/>
      <c r="HS41" s="1221"/>
      <c r="HT41" s="1221"/>
      <c r="HU41" s="1221"/>
      <c r="HV41" s="1221"/>
      <c r="HW41" s="1221"/>
      <c r="HX41" s="1221"/>
      <c r="HY41" s="1221"/>
      <c r="HZ41" s="1221"/>
      <c r="IA41" s="1221"/>
      <c r="IB41" s="1221"/>
      <c r="IC41" s="1221"/>
      <c r="ID41" s="1221"/>
      <c r="IE41" s="1221"/>
      <c r="IF41" s="1221"/>
      <c r="IG41" s="1221"/>
      <c r="IH41" s="1221"/>
      <c r="II41" s="1221"/>
      <c r="IJ41" s="1221"/>
      <c r="IK41" s="1221"/>
      <c r="IL41" s="1221"/>
      <c r="IM41" s="1221"/>
      <c r="IN41" s="1221"/>
      <c r="IO41" s="1221"/>
      <c r="IP41" s="1221"/>
      <c r="IQ41" s="1221"/>
      <c r="IR41" s="1221"/>
      <c r="IS41" s="1221"/>
      <c r="IT41" s="1221"/>
      <c r="IU41" s="1221"/>
      <c r="IV41" s="1221"/>
      <c r="IW41" s="1221"/>
      <c r="IX41" s="1221"/>
      <c r="IY41" s="1221"/>
      <c r="IZ41" s="1221"/>
      <c r="JA41" s="1221"/>
      <c r="JB41" s="1221"/>
      <c r="JC41" s="1221"/>
      <c r="JD41" s="1221"/>
      <c r="JE41" s="1221"/>
      <c r="JF41" s="1221"/>
      <c r="JG41" s="1221"/>
      <c r="JH41" s="1221"/>
      <c r="JI41" s="1221"/>
      <c r="JJ41" s="1221"/>
      <c r="JK41" s="1221"/>
      <c r="JL41" s="1221"/>
      <c r="JM41" s="1221"/>
      <c r="JN41" s="1221"/>
      <c r="JO41" s="1221"/>
      <c r="JP41" s="1221"/>
      <c r="JQ41" s="1221"/>
      <c r="JR41" s="1221"/>
      <c r="JS41" s="1221"/>
      <c r="JT41" s="1221"/>
      <c r="JU41" s="1221"/>
      <c r="JV41" s="1221"/>
      <c r="JW41" s="1221"/>
      <c r="JX41" s="1221"/>
      <c r="JY41" s="1221"/>
      <c r="JZ41" s="1221"/>
      <c r="KA41" s="1221"/>
      <c r="KB41" s="1221"/>
      <c r="KC41" s="1221"/>
      <c r="KD41" s="1221"/>
      <c r="KE41" s="1221"/>
      <c r="KF41" s="1221"/>
      <c r="KG41" s="1221"/>
      <c r="KH41" s="1221"/>
      <c r="KI41" s="1221"/>
      <c r="KJ41" s="1221"/>
      <c r="KK41" s="1221"/>
      <c r="KL41" s="1221"/>
      <c r="KM41" s="1221"/>
      <c r="KN41" s="1221"/>
      <c r="KO41" s="1221"/>
      <c r="KP41" s="1221"/>
      <c r="KQ41" s="1221"/>
      <c r="KR41" s="1221"/>
      <c r="KS41" s="1221"/>
      <c r="KT41" s="1221"/>
      <c r="KU41" s="1221"/>
      <c r="KV41" s="1221"/>
      <c r="KW41" s="1221"/>
      <c r="KX41" s="1221"/>
      <c r="KY41" s="1221"/>
      <c r="KZ41" s="1221"/>
      <c r="LA41" s="1221"/>
      <c r="LB41" s="1221"/>
      <c r="LC41" s="1221"/>
      <c r="LD41" s="1221"/>
      <c r="LE41" s="1221"/>
      <c r="LF41" s="1221"/>
      <c r="LG41" s="1221"/>
      <c r="LH41" s="1221"/>
      <c r="LI41" s="1221"/>
      <c r="LJ41" s="1221"/>
      <c r="LK41" s="1221"/>
      <c r="LL41" s="1221"/>
      <c r="LM41" s="1221"/>
      <c r="LN41" s="1221"/>
      <c r="LO41" s="1221"/>
      <c r="LP41" s="1221"/>
      <c r="LQ41" s="1221"/>
      <c r="LR41" s="1221"/>
      <c r="LS41" s="1221"/>
      <c r="LT41" s="1221"/>
      <c r="LU41" s="1221"/>
      <c r="LV41" s="1221"/>
      <c r="LW41" s="1221"/>
      <c r="LX41" s="1221"/>
      <c r="LY41" s="1221"/>
      <c r="LZ41" s="1221"/>
      <c r="MA41" s="1221"/>
      <c r="MB41" s="1221"/>
      <c r="MC41" s="1221"/>
      <c r="MD41" s="1221"/>
      <c r="ME41" s="1221"/>
      <c r="MF41" s="1221"/>
      <c r="MG41" s="1221"/>
      <c r="MH41" s="1221"/>
      <c r="MI41" s="1221"/>
      <c r="MJ41" s="1221"/>
      <c r="MK41" s="1221"/>
      <c r="ML41" s="1221"/>
      <c r="MM41" s="1221"/>
      <c r="MN41" s="1221"/>
      <c r="MO41" s="1221"/>
      <c r="MP41" s="1221"/>
      <c r="MQ41" s="1221"/>
      <c r="MR41" s="1221"/>
      <c r="MS41" s="1221"/>
      <c r="MT41" s="1221"/>
      <c r="MU41" s="1221"/>
      <c r="MV41" s="1221"/>
      <c r="MW41" s="1221"/>
      <c r="MX41" s="1221"/>
      <c r="MY41" s="1221"/>
      <c r="MZ41" s="1221"/>
      <c r="NA41" s="1221"/>
      <c r="NB41" s="1221"/>
      <c r="NC41" s="1221"/>
      <c r="ND41" s="1221"/>
      <c r="NE41" s="1221"/>
      <c r="NF41" s="1221"/>
      <c r="NG41" s="1221"/>
      <c r="NH41" s="1221"/>
      <c r="NI41" s="1221"/>
      <c r="NJ41" s="1221"/>
      <c r="NK41" s="1221"/>
      <c r="NL41" s="1221"/>
      <c r="NM41" s="1221"/>
      <c r="NN41" s="1221"/>
      <c r="NO41" s="1221"/>
      <c r="NP41" s="1221"/>
      <c r="NQ41" s="1221"/>
      <c r="NR41" s="1221"/>
      <c r="NS41" s="1221"/>
      <c r="NT41" s="1221"/>
      <c r="NU41" s="1221"/>
      <c r="NV41" s="1221"/>
      <c r="NW41" s="1221"/>
      <c r="NX41" s="1221"/>
      <c r="NY41" s="1221"/>
      <c r="NZ41" s="1221"/>
      <c r="OA41" s="1221"/>
      <c r="OB41" s="1221"/>
      <c r="OC41" s="1221"/>
      <c r="OD41" s="1221"/>
      <c r="OE41" s="1221"/>
      <c r="OF41" s="1221"/>
      <c r="OG41" s="1221"/>
      <c r="OH41" s="1221"/>
      <c r="OI41" s="1221"/>
      <c r="OJ41" s="1221"/>
      <c r="OK41" s="1221"/>
      <c r="OL41" s="1221"/>
      <c r="OM41" s="1221"/>
      <c r="ON41" s="1221"/>
      <c r="OO41" s="1221"/>
      <c r="OP41" s="1221"/>
      <c r="OQ41" s="1221"/>
      <c r="OR41" s="1221"/>
      <c r="OS41" s="1221"/>
      <c r="OT41" s="1221"/>
      <c r="OU41" s="1221"/>
      <c r="OV41" s="1221"/>
      <c r="OW41" s="1221"/>
      <c r="OX41" s="1221"/>
      <c r="OY41" s="1221"/>
      <c r="OZ41" s="1221"/>
      <c r="PA41" s="1221"/>
      <c r="PB41" s="1221"/>
      <c r="PC41" s="1221"/>
      <c r="PD41" s="1221"/>
      <c r="PE41" s="1221"/>
      <c r="PF41" s="1221"/>
      <c r="PG41" s="1221"/>
      <c r="PH41" s="1221"/>
      <c r="PI41" s="1221"/>
      <c r="PJ41" s="1221"/>
      <c r="PK41" s="1221"/>
      <c r="PL41" s="1221"/>
      <c r="PM41" s="1221"/>
      <c r="PN41" s="1221"/>
      <c r="PO41" s="1221"/>
      <c r="PP41" s="1221"/>
      <c r="PQ41" s="1221"/>
      <c r="PR41" s="1221"/>
      <c r="PS41" s="1221"/>
      <c r="PT41" s="1221"/>
      <c r="PU41" s="1221"/>
      <c r="PV41" s="1221"/>
      <c r="PW41" s="1221"/>
      <c r="PX41" s="1221"/>
      <c r="PY41" s="1221"/>
      <c r="PZ41" s="1221"/>
      <c r="QA41" s="1221"/>
      <c r="QB41" s="1221"/>
      <c r="QC41" s="1221"/>
      <c r="QD41" s="1221"/>
      <c r="QE41" s="1221"/>
      <c r="QF41" s="1221"/>
      <c r="QG41" s="1221"/>
      <c r="QH41" s="1221"/>
      <c r="QI41" s="1221"/>
      <c r="QJ41" s="1221"/>
      <c r="QK41" s="1221"/>
      <c r="QL41" s="1221"/>
      <c r="QM41" s="1221"/>
      <c r="QN41" s="1221"/>
      <c r="QO41" s="1221"/>
      <c r="QP41" s="1221"/>
      <c r="QQ41" s="1221"/>
      <c r="QR41" s="1221"/>
      <c r="QS41" s="1221"/>
      <c r="QT41" s="1221"/>
      <c r="QU41" s="1221"/>
      <c r="QV41" s="1221"/>
      <c r="QW41" s="1221"/>
      <c r="QX41" s="1221"/>
      <c r="QY41" s="1221"/>
      <c r="QZ41" s="1221"/>
      <c r="RA41" s="1221"/>
      <c r="RB41" s="1221"/>
      <c r="RC41" s="1221"/>
      <c r="RD41" s="1221"/>
      <c r="RE41" s="1221"/>
      <c r="RF41" s="1221"/>
      <c r="RG41" s="1221"/>
      <c r="RH41" s="1221"/>
      <c r="RI41" s="1221"/>
      <c r="RJ41" s="1221"/>
      <c r="RK41" s="1221"/>
      <c r="RL41" s="1221"/>
      <c r="RM41" s="1221"/>
      <c r="RN41" s="1221"/>
      <c r="RO41" s="1221"/>
      <c r="RP41" s="1221"/>
      <c r="RQ41" s="1221"/>
      <c r="RR41" s="1221"/>
      <c r="RS41" s="1221"/>
      <c r="RT41" s="1221"/>
      <c r="RU41" s="1221"/>
      <c r="RV41" s="1221"/>
      <c r="RW41" s="1221"/>
      <c r="RX41" s="1221"/>
      <c r="RY41" s="1221"/>
      <c r="RZ41" s="1221"/>
      <c r="SA41" s="1221"/>
      <c r="SB41" s="1221"/>
      <c r="SC41" s="1221"/>
      <c r="SD41" s="1221"/>
      <c r="SE41" s="1221"/>
      <c r="SF41" s="1221"/>
      <c r="SG41" s="1221"/>
      <c r="SH41" s="1221"/>
      <c r="SI41" s="1221"/>
      <c r="SJ41" s="1221"/>
      <c r="SK41" s="1221"/>
      <c r="SL41" s="1221"/>
      <c r="SM41" s="1221"/>
      <c r="SN41" s="1221"/>
      <c r="SO41" s="1221"/>
      <c r="SP41" s="1221"/>
      <c r="SQ41" s="1221"/>
      <c r="SR41" s="1221"/>
      <c r="SS41" s="1221"/>
      <c r="ST41" s="1221"/>
      <c r="SU41" s="1221"/>
      <c r="SV41" s="1221"/>
      <c r="SW41" s="1221"/>
      <c r="SX41" s="1221"/>
      <c r="SY41" s="1221"/>
      <c r="SZ41" s="1221"/>
      <c r="TA41" s="1221"/>
      <c r="TB41" s="1221"/>
      <c r="TC41" s="1221"/>
      <c r="TD41" s="1221"/>
      <c r="TE41" s="1221"/>
      <c r="TF41" s="1221"/>
      <c r="TG41" s="1221"/>
      <c r="TH41" s="1221"/>
      <c r="TI41" s="1221"/>
      <c r="TJ41" s="1221"/>
      <c r="TK41" s="1221"/>
      <c r="TL41" s="1221"/>
      <c r="TM41" s="1221"/>
      <c r="TN41" s="1221"/>
      <c r="TO41" s="1221"/>
      <c r="TP41" s="1221"/>
      <c r="TQ41" s="1221"/>
      <c r="TR41" s="1221"/>
      <c r="TS41" s="1221"/>
      <c r="TT41" s="1221"/>
      <c r="TU41" s="1221"/>
      <c r="TV41" s="1221"/>
      <c r="TW41" s="1221"/>
      <c r="TX41" s="1221"/>
      <c r="TY41" s="1221"/>
      <c r="TZ41" s="1221"/>
      <c r="UA41" s="1221"/>
      <c r="UB41" s="1221"/>
      <c r="UC41" s="1221"/>
      <c r="UD41" s="1221"/>
      <c r="UE41" s="1221"/>
      <c r="UF41" s="1221"/>
      <c r="UG41" s="1221"/>
      <c r="UH41" s="1221"/>
      <c r="UI41" s="1221"/>
      <c r="UJ41" s="1221"/>
      <c r="UK41" s="1221"/>
      <c r="UL41" s="1221"/>
      <c r="UM41" s="1221"/>
      <c r="UN41" s="1221"/>
      <c r="UO41" s="1221"/>
      <c r="UP41" s="1221"/>
      <c r="UQ41" s="1221"/>
      <c r="UR41" s="1221"/>
      <c r="US41" s="1221"/>
      <c r="UT41" s="1221"/>
      <c r="UU41" s="1221"/>
      <c r="UV41" s="1221"/>
      <c r="UW41" s="1221"/>
      <c r="UX41" s="1221"/>
      <c r="UY41" s="1221"/>
      <c r="UZ41" s="1221"/>
      <c r="VA41" s="1221"/>
      <c r="VB41" s="1221"/>
      <c r="VC41" s="1221"/>
      <c r="VD41" s="1221"/>
      <c r="VE41" s="1221"/>
      <c r="VF41" s="1221"/>
      <c r="VG41" s="1221"/>
      <c r="VH41" s="1221"/>
      <c r="VI41" s="1221"/>
      <c r="VJ41" s="1221"/>
      <c r="VK41" s="1221"/>
      <c r="VL41" s="1221"/>
      <c r="VM41" s="1221"/>
      <c r="VN41" s="1221"/>
      <c r="VO41" s="1221"/>
      <c r="VP41" s="1221"/>
      <c r="VQ41" s="1221"/>
      <c r="VR41" s="1221"/>
      <c r="VS41" s="1221"/>
      <c r="VT41" s="1221"/>
      <c r="VU41" s="1221"/>
      <c r="VV41" s="1221"/>
      <c r="VW41" s="1221"/>
      <c r="VX41" s="1221"/>
      <c r="VY41" s="1221"/>
      <c r="VZ41" s="1221"/>
      <c r="WA41" s="1221"/>
      <c r="WB41" s="1221"/>
      <c r="WC41" s="1221"/>
      <c r="WD41" s="1221"/>
      <c r="WE41" s="1221"/>
      <c r="WF41" s="1221"/>
      <c r="WG41" s="1221"/>
      <c r="WH41" s="1221"/>
      <c r="WI41" s="1221"/>
      <c r="WJ41" s="1221"/>
      <c r="WK41" s="1221"/>
      <c r="WL41" s="1221"/>
      <c r="WM41" s="1221"/>
      <c r="WN41" s="1221"/>
      <c r="WO41" s="1221"/>
      <c r="WP41" s="1221"/>
      <c r="WQ41" s="1221"/>
      <c r="WR41" s="1221"/>
      <c r="WS41" s="1221"/>
      <c r="WT41" s="1221"/>
      <c r="WU41" s="1221"/>
      <c r="WV41" s="1221"/>
      <c r="WW41" s="1221"/>
      <c r="WX41" s="1221"/>
      <c r="WY41" s="1221"/>
      <c r="WZ41" s="1221"/>
      <c r="XA41" s="1221"/>
      <c r="XB41" s="1221"/>
      <c r="XC41" s="1221"/>
      <c r="XD41" s="1221"/>
      <c r="XE41" s="1221"/>
      <c r="XF41" s="1221"/>
      <c r="XG41" s="1221"/>
      <c r="XH41" s="1221"/>
      <c r="XI41" s="1221"/>
      <c r="XJ41" s="1221"/>
      <c r="XK41" s="1221"/>
      <c r="XL41" s="1221"/>
      <c r="XM41" s="1221"/>
      <c r="XN41" s="1221"/>
      <c r="XO41" s="1221"/>
      <c r="XP41" s="1221"/>
      <c r="XQ41" s="1221"/>
      <c r="XR41" s="1221"/>
      <c r="XS41" s="1221"/>
      <c r="XT41" s="1221"/>
      <c r="XU41" s="1221"/>
      <c r="XV41" s="1221"/>
      <c r="XW41" s="1221"/>
      <c r="XX41" s="1221"/>
      <c r="XY41" s="1221"/>
      <c r="XZ41" s="1221"/>
      <c r="YA41" s="1221"/>
      <c r="YB41" s="1221"/>
      <c r="YC41" s="1221"/>
      <c r="YD41" s="1221"/>
      <c r="YE41" s="1221"/>
      <c r="YF41" s="1221"/>
      <c r="YG41" s="1221"/>
      <c r="YH41" s="1221"/>
      <c r="YI41" s="1221"/>
      <c r="YJ41" s="1221"/>
      <c r="YK41" s="1221"/>
      <c r="YL41" s="1221"/>
      <c r="YM41" s="1221"/>
      <c r="YN41" s="1221"/>
      <c r="YO41" s="1221"/>
      <c r="YP41" s="1221"/>
      <c r="YQ41" s="1221"/>
      <c r="YR41" s="1221"/>
      <c r="YS41" s="1221"/>
      <c r="YT41" s="1221"/>
      <c r="YU41" s="1221"/>
      <c r="YV41" s="1221"/>
      <c r="YW41" s="1221"/>
      <c r="YX41" s="1221"/>
      <c r="YY41" s="1221"/>
      <c r="YZ41" s="1221"/>
      <c r="ZA41" s="1221"/>
      <c r="ZB41" s="1221"/>
      <c r="ZC41" s="1221"/>
      <c r="ZD41" s="1221"/>
      <c r="ZE41" s="1221"/>
      <c r="ZF41" s="1221"/>
      <c r="ZG41" s="1221"/>
      <c r="ZH41" s="1221"/>
      <c r="ZI41" s="1221"/>
      <c r="ZJ41" s="1221"/>
      <c r="ZK41" s="1221"/>
      <c r="ZL41" s="1221"/>
      <c r="ZM41" s="1221"/>
      <c r="ZN41" s="1221"/>
      <c r="ZO41" s="1221"/>
      <c r="ZP41" s="1221"/>
      <c r="ZQ41" s="1221"/>
      <c r="ZR41" s="1221"/>
      <c r="ZS41" s="1221"/>
      <c r="ZT41" s="1221"/>
      <c r="ZU41" s="1221"/>
      <c r="ZV41" s="1221"/>
      <c r="ZW41" s="1221"/>
      <c r="ZX41" s="1221"/>
      <c r="ZY41" s="1221"/>
      <c r="ZZ41" s="1221"/>
      <c r="AAA41" s="1221"/>
      <c r="AAB41" s="1221"/>
      <c r="AAC41" s="1221"/>
      <c r="AAD41" s="1221"/>
      <c r="AAE41" s="1221"/>
      <c r="AAF41" s="1221"/>
      <c r="AAG41" s="1221"/>
      <c r="AAH41" s="1221"/>
      <c r="AAI41" s="1221"/>
      <c r="AAJ41" s="1221"/>
      <c r="AAK41" s="1221"/>
      <c r="AAL41" s="1221"/>
      <c r="AAM41" s="1221"/>
      <c r="AAN41" s="1221"/>
      <c r="AAO41" s="1221"/>
      <c r="AAP41" s="1221"/>
      <c r="AAQ41" s="1221"/>
      <c r="AAR41" s="1221"/>
      <c r="AAS41" s="1221"/>
      <c r="AAT41" s="1221"/>
      <c r="AAU41" s="1221"/>
      <c r="AAV41" s="1221"/>
      <c r="AAW41" s="1221"/>
      <c r="AAX41" s="1221"/>
      <c r="AAY41" s="1221"/>
      <c r="AAZ41" s="1221"/>
      <c r="ABA41" s="1221"/>
      <c r="ABB41" s="1221"/>
      <c r="ABC41" s="1221"/>
      <c r="ABD41" s="1221"/>
      <c r="ABE41" s="1221"/>
      <c r="ABF41" s="1221"/>
      <c r="ABG41" s="1221"/>
      <c r="ABH41" s="1221"/>
      <c r="ABI41" s="1221"/>
      <c r="ABJ41" s="1221"/>
      <c r="ABK41" s="1221"/>
      <c r="ABL41" s="1221"/>
      <c r="ABM41" s="1221"/>
      <c r="ABN41" s="1221"/>
      <c r="ABO41" s="1221"/>
      <c r="ABP41" s="1221"/>
      <c r="ABQ41" s="1221"/>
      <c r="ABR41" s="1221"/>
      <c r="ABS41" s="1221"/>
      <c r="ABT41" s="1221"/>
      <c r="ABU41" s="1221"/>
      <c r="ABV41" s="1221"/>
      <c r="ABW41" s="1221"/>
      <c r="ABX41" s="1221"/>
      <c r="ABY41" s="1221"/>
      <c r="ABZ41" s="1221"/>
      <c r="ACA41" s="1221"/>
      <c r="ACB41" s="1221"/>
      <c r="ACC41" s="1221"/>
      <c r="ACD41" s="1221"/>
      <c r="ACE41" s="1221"/>
      <c r="ACF41" s="1221"/>
      <c r="ACG41" s="1221"/>
      <c r="ACH41" s="1221"/>
      <c r="ACI41" s="1221"/>
      <c r="ACJ41" s="1221"/>
      <c r="ACK41" s="1221"/>
      <c r="ACL41" s="1221"/>
      <c r="ACM41" s="1221"/>
      <c r="ACN41" s="1221"/>
      <c r="ACO41" s="1221"/>
      <c r="ACP41" s="1221"/>
      <c r="ACQ41" s="1221"/>
      <c r="ACR41" s="1221"/>
      <c r="ACS41" s="1221"/>
      <c r="ACT41" s="1221"/>
      <c r="ACU41" s="1221"/>
      <c r="ACV41" s="1221"/>
      <c r="ACW41" s="1221"/>
      <c r="ACX41" s="1221"/>
      <c r="ACY41" s="1221"/>
      <c r="ACZ41" s="1221"/>
      <c r="ADA41" s="1221"/>
      <c r="ADB41" s="1221"/>
      <c r="ADC41" s="1221"/>
      <c r="ADD41" s="1221"/>
      <c r="ADE41" s="1221"/>
      <c r="ADF41" s="1221"/>
      <c r="ADG41" s="1221"/>
      <c r="ADH41" s="1221"/>
      <c r="ADI41" s="1221"/>
      <c r="ADJ41" s="1221"/>
      <c r="ADK41" s="1221"/>
      <c r="ADL41" s="1221"/>
      <c r="ADM41" s="1221"/>
      <c r="ADN41" s="1221"/>
      <c r="ADO41" s="1221"/>
      <c r="ADP41" s="1221"/>
      <c r="ADQ41" s="1221"/>
      <c r="ADR41" s="1221"/>
      <c r="ADS41" s="1221"/>
      <c r="ADT41" s="1221"/>
      <c r="ADU41" s="1221"/>
      <c r="ADV41" s="1221"/>
      <c r="ADW41" s="1221"/>
      <c r="ADX41" s="1221"/>
      <c r="ADY41" s="1221"/>
      <c r="ADZ41" s="1221"/>
      <c r="AEA41" s="1221"/>
      <c r="AEB41" s="1221"/>
      <c r="AEC41" s="1221"/>
      <c r="AED41" s="1221"/>
      <c r="AEE41" s="1221"/>
      <c r="AEF41" s="1221"/>
      <c r="AEG41" s="1221"/>
      <c r="AEH41" s="1221"/>
      <c r="AEI41" s="1221"/>
      <c r="AEJ41" s="1221"/>
      <c r="AEK41" s="1221"/>
      <c r="AEL41" s="1221"/>
      <c r="AEM41" s="1221"/>
      <c r="AEN41" s="1221"/>
      <c r="AEO41" s="1221"/>
      <c r="AEP41" s="1221"/>
      <c r="AEQ41" s="1221"/>
      <c r="AER41" s="1221"/>
      <c r="AES41" s="1221"/>
      <c r="AET41" s="1221"/>
      <c r="AEU41" s="1221"/>
      <c r="AEV41" s="1221"/>
      <c r="AEW41" s="1221"/>
      <c r="AEX41" s="1221"/>
      <c r="AEY41" s="1221"/>
      <c r="AEZ41" s="1221"/>
      <c r="AFA41" s="1221"/>
      <c r="AFB41" s="1221"/>
      <c r="AFC41" s="1221"/>
      <c r="AFD41" s="1221"/>
      <c r="AFE41" s="1221"/>
      <c r="AFF41" s="1221"/>
      <c r="AFG41" s="1221"/>
      <c r="AFH41" s="1221"/>
      <c r="AFI41" s="1221"/>
      <c r="AFJ41" s="1221"/>
      <c r="AFK41" s="1221"/>
      <c r="AFL41" s="1221"/>
      <c r="AFM41" s="1221"/>
      <c r="AFN41" s="1221"/>
      <c r="AFO41" s="1221"/>
      <c r="AFP41" s="1221"/>
      <c r="AFQ41" s="1221"/>
      <c r="AFR41" s="1221"/>
      <c r="AFS41" s="1221"/>
      <c r="AFT41" s="1221"/>
      <c r="AFU41" s="1221"/>
      <c r="AFV41" s="1221"/>
      <c r="AFW41" s="1221"/>
      <c r="AFX41" s="1221"/>
      <c r="AFY41" s="1221"/>
      <c r="AFZ41" s="1221"/>
      <c r="AGA41" s="1221"/>
      <c r="AGB41" s="1221"/>
      <c r="AGC41" s="1221"/>
      <c r="AGD41" s="1221"/>
      <c r="AGE41" s="1221"/>
      <c r="AGF41" s="1221"/>
      <c r="AGG41" s="1221"/>
      <c r="AGH41" s="1221"/>
      <c r="AGI41" s="1221"/>
      <c r="AGJ41" s="1221"/>
      <c r="AGK41" s="1221"/>
      <c r="AGL41" s="1221"/>
      <c r="AGM41" s="1221"/>
      <c r="AGN41" s="1221"/>
      <c r="AGO41" s="1221"/>
      <c r="AGP41" s="1221"/>
      <c r="AGQ41" s="1221"/>
      <c r="AGR41" s="1221"/>
      <c r="AGS41" s="1221"/>
      <c r="AGT41" s="1221"/>
      <c r="AGU41" s="1221"/>
      <c r="AGV41" s="1221"/>
      <c r="AGW41" s="1221"/>
      <c r="AGX41" s="1221"/>
      <c r="AGY41" s="1221"/>
      <c r="AGZ41" s="1221"/>
      <c r="AHA41" s="1221"/>
      <c r="AHB41" s="1221"/>
      <c r="AHC41" s="1221"/>
      <c r="AHD41" s="1221"/>
      <c r="AHE41" s="1221"/>
      <c r="AHF41" s="1221"/>
      <c r="AHG41" s="1221"/>
      <c r="AHH41" s="1221"/>
      <c r="AHI41" s="1221"/>
      <c r="AHJ41" s="1221"/>
      <c r="AHK41" s="1221"/>
      <c r="AHL41" s="1221"/>
      <c r="AHM41" s="1221"/>
      <c r="AHN41" s="1221"/>
      <c r="AHO41" s="1221"/>
      <c r="AHP41" s="1221"/>
      <c r="AHQ41" s="1221"/>
      <c r="AHR41" s="1221"/>
      <c r="AHS41" s="1221"/>
      <c r="AHT41" s="1221"/>
      <c r="AHU41" s="1221"/>
      <c r="AHV41" s="1221"/>
      <c r="AHW41" s="1221"/>
      <c r="AHX41" s="1221"/>
      <c r="AHY41" s="1221"/>
      <c r="AHZ41" s="1221"/>
      <c r="AIA41" s="1221"/>
      <c r="AIB41" s="1221"/>
      <c r="AIC41" s="1221"/>
      <c r="AID41" s="1221"/>
      <c r="AIE41" s="1221"/>
      <c r="AIF41" s="1221"/>
      <c r="AIG41" s="1221"/>
      <c r="AIH41" s="1221"/>
      <c r="AII41" s="1221"/>
      <c r="AIJ41" s="1221"/>
      <c r="AIK41" s="1221"/>
      <c r="AIL41" s="1221"/>
      <c r="AIM41" s="1221"/>
      <c r="AIN41" s="1221"/>
      <c r="AIO41" s="1221"/>
      <c r="AIP41" s="1221"/>
      <c r="AIQ41" s="1221"/>
      <c r="AIR41" s="1221"/>
      <c r="AIS41" s="1221"/>
      <c r="AIT41" s="1221"/>
      <c r="AIU41" s="1221"/>
      <c r="AIV41" s="1221"/>
      <c r="AIW41" s="1221"/>
      <c r="AIX41" s="1221"/>
      <c r="AIY41" s="1221"/>
      <c r="AIZ41" s="1221"/>
      <c r="AJA41" s="1221"/>
      <c r="AJB41" s="1221"/>
      <c r="AJC41" s="1221"/>
      <c r="AJD41" s="1221"/>
      <c r="AJE41" s="1221"/>
      <c r="AJF41" s="1221"/>
      <c r="AJG41" s="1221"/>
      <c r="AJH41" s="1221"/>
      <c r="AJI41" s="1221"/>
      <c r="AJJ41" s="1221"/>
      <c r="AJK41" s="1221"/>
      <c r="AJL41" s="1221"/>
      <c r="AJM41" s="1221"/>
      <c r="AJN41" s="1221"/>
      <c r="AJO41" s="1221"/>
      <c r="AJP41" s="1221"/>
      <c r="AJQ41" s="1221"/>
      <c r="AJR41" s="1221"/>
      <c r="AJS41" s="1221"/>
      <c r="AJT41" s="1221"/>
      <c r="AJU41" s="1221"/>
      <c r="AJV41" s="1221"/>
      <c r="AJW41" s="1221"/>
      <c r="AJX41" s="1221"/>
      <c r="AJY41" s="1221"/>
      <c r="AJZ41" s="1221"/>
      <c r="AKA41" s="1221"/>
      <c r="AKB41" s="1221"/>
      <c r="AKC41" s="1221"/>
      <c r="AKD41" s="1221"/>
      <c r="AKE41" s="1221"/>
      <c r="AKF41" s="1221"/>
      <c r="AKG41" s="1221"/>
      <c r="AKH41" s="1221"/>
      <c r="AKI41" s="1221"/>
      <c r="AKJ41" s="1221"/>
      <c r="AKK41" s="1221"/>
      <c r="AKL41" s="1221"/>
      <c r="AKM41" s="1221"/>
      <c r="AKN41" s="1221"/>
      <c r="AKO41" s="1221"/>
      <c r="AKP41" s="1221"/>
      <c r="AKQ41" s="1221"/>
      <c r="AKR41" s="1221"/>
      <c r="AKS41" s="1221"/>
      <c r="AKT41" s="1221"/>
      <c r="AKU41" s="1221"/>
      <c r="AKV41" s="1221"/>
      <c r="AKW41" s="1221"/>
      <c r="AKX41" s="1221"/>
      <c r="AKY41" s="1221"/>
      <c r="AKZ41" s="1221"/>
      <c r="ALA41" s="1221"/>
      <c r="ALB41" s="1221"/>
      <c r="ALC41" s="1221"/>
      <c r="ALD41" s="1221"/>
      <c r="ALE41" s="1221"/>
      <c r="ALF41" s="1221"/>
      <c r="ALG41" s="1221"/>
      <c r="ALH41" s="1221"/>
      <c r="ALI41" s="1221"/>
      <c r="ALJ41" s="1221"/>
      <c r="ALK41" s="1221"/>
      <c r="ALL41" s="1221"/>
      <c r="ALM41" s="1221"/>
      <c r="ALN41" s="1221"/>
      <c r="ALO41" s="1221"/>
      <c r="ALP41" s="1221"/>
      <c r="ALQ41" s="1221"/>
      <c r="ALR41" s="1221"/>
      <c r="ALS41" s="1221"/>
      <c r="ALT41" s="1221"/>
      <c r="ALU41" s="1221"/>
      <c r="ALV41" s="1221"/>
      <c r="ALW41" s="1221"/>
      <c r="ALX41" s="1221"/>
      <c r="ALY41" s="1221"/>
      <c r="ALZ41" s="1221"/>
      <c r="AMA41" s="1221"/>
      <c r="AMB41" s="1221"/>
      <c r="AMC41" s="1221"/>
      <c r="AMD41" s="1221"/>
      <c r="AME41" s="1221"/>
      <c r="AMF41" s="1221"/>
      <c r="AMG41" s="1221"/>
      <c r="AMH41" s="1221"/>
      <c r="AMI41" s="1221"/>
      <c r="AMJ41" s="1221"/>
      <c r="AMK41" s="1221"/>
      <c r="AML41" s="1221"/>
      <c r="AMM41" s="1221"/>
      <c r="AMN41" s="1221"/>
      <c r="AMO41" s="1221"/>
      <c r="AMP41" s="1221"/>
      <c r="AMQ41" s="1221"/>
      <c r="AMR41" s="1221"/>
      <c r="AMS41" s="1221"/>
      <c r="AMT41" s="1221"/>
      <c r="AMU41" s="1221"/>
      <c r="AMV41" s="1221"/>
      <c r="AMW41" s="1221"/>
      <c r="AMX41" s="1221"/>
      <c r="AMY41" s="1221"/>
      <c r="AMZ41" s="1221"/>
      <c r="ANA41" s="1221"/>
      <c r="ANB41" s="1221"/>
      <c r="ANC41" s="1221"/>
      <c r="AND41" s="1221"/>
      <c r="ANE41" s="1221"/>
      <c r="ANF41" s="1221"/>
      <c r="ANG41" s="1221"/>
      <c r="ANH41" s="1221"/>
      <c r="ANI41" s="1221"/>
      <c r="ANJ41" s="1221"/>
      <c r="ANK41" s="1221"/>
      <c r="ANL41" s="1221"/>
      <c r="ANM41" s="1221"/>
      <c r="ANN41" s="1221"/>
      <c r="ANO41" s="1221"/>
      <c r="ANP41" s="1221"/>
      <c r="ANQ41" s="1221"/>
      <c r="ANR41" s="1221"/>
      <c r="ANS41" s="1221"/>
      <c r="ANT41" s="1221"/>
      <c r="ANU41" s="1221"/>
      <c r="ANV41" s="1221"/>
      <c r="ANW41" s="1221"/>
      <c r="ANX41" s="1221"/>
      <c r="ANY41" s="1221"/>
      <c r="ANZ41" s="1221"/>
      <c r="AOA41" s="1221"/>
      <c r="AOB41" s="1221"/>
      <c r="AOC41" s="1221"/>
      <c r="AOD41" s="1221"/>
      <c r="AOE41" s="1221"/>
      <c r="AOF41" s="1221"/>
      <c r="AOG41" s="1221"/>
      <c r="AOH41" s="1221"/>
      <c r="AOI41" s="1221"/>
      <c r="AOJ41" s="1221"/>
      <c r="AOK41" s="1221"/>
      <c r="AOL41" s="1221"/>
      <c r="AOM41" s="1221"/>
      <c r="AON41" s="1221"/>
      <c r="AOO41" s="1221"/>
      <c r="AOP41" s="1221"/>
      <c r="AOQ41" s="1221"/>
      <c r="AOR41" s="1221"/>
      <c r="AOS41" s="1221"/>
      <c r="AOT41" s="1221"/>
      <c r="AOU41" s="1221"/>
      <c r="AOV41" s="1221"/>
      <c r="AOW41" s="1221"/>
      <c r="AOX41" s="1221"/>
      <c r="AOY41" s="1221"/>
      <c r="AOZ41" s="1221"/>
      <c r="APA41" s="1221"/>
      <c r="APB41" s="1221"/>
      <c r="APC41" s="1221"/>
      <c r="APD41" s="1221"/>
      <c r="APE41" s="1221"/>
      <c r="APF41" s="1221"/>
      <c r="APG41" s="1221"/>
      <c r="APH41" s="1221"/>
      <c r="API41" s="1221"/>
      <c r="APJ41" s="1221"/>
      <c r="APK41" s="1221"/>
      <c r="APL41" s="1221"/>
      <c r="APM41" s="1221"/>
      <c r="APN41" s="1221"/>
      <c r="APO41" s="1221"/>
      <c r="APP41" s="1221"/>
      <c r="APQ41" s="1221"/>
      <c r="APR41" s="1221"/>
      <c r="APS41" s="1221"/>
      <c r="APT41" s="1221"/>
      <c r="APU41" s="1221"/>
      <c r="APV41" s="1221"/>
      <c r="APW41" s="1221"/>
      <c r="APX41" s="1221"/>
      <c r="APY41" s="1221"/>
      <c r="APZ41" s="1221"/>
      <c r="AQA41" s="1221"/>
      <c r="AQB41" s="1221"/>
      <c r="AQC41" s="1221"/>
      <c r="AQD41" s="1221"/>
      <c r="AQE41" s="1221"/>
      <c r="AQF41" s="1221"/>
      <c r="AQG41" s="1221"/>
      <c r="AQH41" s="1221"/>
      <c r="AQI41" s="1221"/>
      <c r="AQJ41" s="1221"/>
      <c r="AQK41" s="1221"/>
      <c r="AQL41" s="1221"/>
      <c r="AQM41" s="1221"/>
      <c r="AQN41" s="1221"/>
      <c r="AQO41" s="1221"/>
      <c r="AQP41" s="1221"/>
      <c r="AQQ41" s="1221"/>
      <c r="AQR41" s="1221"/>
      <c r="AQS41" s="1221"/>
      <c r="AQT41" s="1221"/>
      <c r="AQU41" s="1221"/>
      <c r="AQV41" s="1221"/>
      <c r="AQW41" s="1221"/>
      <c r="AQX41" s="1221"/>
      <c r="AQY41" s="1221"/>
      <c r="AQZ41" s="1221"/>
      <c r="ARA41" s="1221"/>
      <c r="ARB41" s="1221"/>
      <c r="ARC41" s="1221"/>
      <c r="ARD41" s="1221"/>
      <c r="ARE41" s="1221"/>
      <c r="ARF41" s="1221"/>
      <c r="ARG41" s="1221"/>
      <c r="ARH41" s="1221"/>
      <c r="ARI41" s="1221"/>
      <c r="ARJ41" s="1221"/>
      <c r="ARK41" s="1221"/>
      <c r="ARL41" s="1221"/>
      <c r="ARM41" s="1221"/>
      <c r="ARN41" s="1221"/>
      <c r="ARO41" s="1221"/>
      <c r="ARP41" s="1221"/>
      <c r="ARQ41" s="1221"/>
      <c r="ARR41" s="1221"/>
      <c r="ARS41" s="1221"/>
      <c r="ART41" s="1221"/>
      <c r="ARU41" s="1221"/>
      <c r="ARV41" s="1221"/>
      <c r="ARW41" s="1221"/>
      <c r="ARX41" s="1221"/>
      <c r="ARY41" s="1221"/>
      <c r="ARZ41" s="1221"/>
      <c r="ASA41" s="1221"/>
      <c r="ASB41" s="1221"/>
      <c r="ASC41" s="1221"/>
      <c r="ASD41" s="1221"/>
      <c r="ASE41" s="1221"/>
      <c r="ASF41" s="1221"/>
      <c r="ASG41" s="1221"/>
      <c r="ASH41" s="1221"/>
      <c r="ASI41" s="1221"/>
      <c r="ASJ41" s="1221"/>
      <c r="ASK41" s="1221"/>
      <c r="ASL41" s="1221"/>
      <c r="ASM41" s="1221"/>
      <c r="ASN41" s="1221"/>
      <c r="ASO41" s="1221"/>
      <c r="ASP41" s="1221"/>
      <c r="ASQ41" s="1221"/>
      <c r="ASR41" s="1221"/>
      <c r="ASS41" s="1221"/>
      <c r="AST41" s="1221"/>
      <c r="ASU41" s="1221"/>
      <c r="ASV41" s="1221"/>
      <c r="ASW41" s="1221"/>
      <c r="ASX41" s="1221"/>
      <c r="ASY41" s="1221"/>
      <c r="ASZ41" s="1221"/>
      <c r="ATA41" s="1221"/>
      <c r="ATB41" s="1221"/>
      <c r="ATC41" s="1221"/>
      <c r="ATD41" s="1221"/>
      <c r="ATE41" s="1221"/>
      <c r="ATF41" s="1221"/>
      <c r="ATG41" s="1221"/>
      <c r="ATH41" s="1221"/>
      <c r="ATI41" s="1221"/>
      <c r="ATJ41" s="1221"/>
      <c r="ATK41" s="1221"/>
      <c r="ATL41" s="1221"/>
      <c r="ATM41" s="1221"/>
      <c r="ATN41" s="1221"/>
      <c r="ATO41" s="1221"/>
      <c r="ATP41" s="1221"/>
      <c r="ATQ41" s="1221"/>
      <c r="ATR41" s="1221"/>
      <c r="ATS41" s="1221"/>
      <c r="ATT41" s="1221"/>
      <c r="ATU41" s="1221"/>
      <c r="ATV41" s="1221"/>
      <c r="ATW41" s="1221"/>
      <c r="ATX41" s="1221"/>
      <c r="ATY41" s="1221"/>
      <c r="ATZ41" s="1221"/>
      <c r="AUA41" s="1221"/>
      <c r="AUB41" s="1221"/>
      <c r="AUC41" s="1221"/>
      <c r="AUD41" s="1221"/>
      <c r="AUE41" s="1221"/>
      <c r="AUF41" s="1221"/>
      <c r="AUG41" s="1221"/>
      <c r="AUH41" s="1221"/>
      <c r="AUI41" s="1221"/>
      <c r="AUJ41" s="1221"/>
      <c r="AUK41" s="1221"/>
      <c r="AUL41" s="1221"/>
      <c r="AUM41" s="1221"/>
      <c r="AUN41" s="1221"/>
      <c r="AUO41" s="1221"/>
      <c r="AUP41" s="1221"/>
      <c r="AUQ41" s="1221"/>
      <c r="AUR41" s="1221"/>
      <c r="AUS41" s="1221"/>
      <c r="AUT41" s="1221"/>
      <c r="AUU41" s="1221"/>
      <c r="AUV41" s="1221"/>
      <c r="AUW41" s="1221"/>
      <c r="AUX41" s="1221"/>
      <c r="AUY41" s="1221"/>
      <c r="AUZ41" s="1221"/>
      <c r="AVA41" s="1221"/>
      <c r="AVB41" s="1221"/>
      <c r="AVC41" s="1221"/>
      <c r="AVD41" s="1221"/>
      <c r="AVE41" s="1221"/>
      <c r="AVF41" s="1221"/>
      <c r="AVG41" s="1221"/>
      <c r="AVH41" s="1221"/>
      <c r="AVI41" s="1221"/>
      <c r="AVJ41" s="1221"/>
      <c r="AVK41" s="1221"/>
      <c r="AVL41" s="1221"/>
      <c r="AVM41" s="1221"/>
      <c r="AVN41" s="1221"/>
      <c r="AVO41" s="1221"/>
      <c r="AVP41" s="1221"/>
      <c r="AVQ41" s="1221"/>
      <c r="AVR41" s="1221"/>
      <c r="AVS41" s="1221"/>
      <c r="AVT41" s="1221"/>
      <c r="AVU41" s="1221"/>
      <c r="AVV41" s="1221"/>
      <c r="AVW41" s="1221"/>
      <c r="AVX41" s="1221"/>
      <c r="AVY41" s="1221"/>
      <c r="AVZ41" s="1221"/>
      <c r="AWA41" s="1221"/>
      <c r="AWB41" s="1221"/>
      <c r="AWC41" s="1221"/>
      <c r="AWD41" s="1221"/>
      <c r="AWE41" s="1221"/>
      <c r="AWF41" s="1221"/>
      <c r="AWG41" s="1221"/>
      <c r="AWH41" s="1221"/>
      <c r="AWI41" s="1221"/>
      <c r="AWJ41" s="1221"/>
      <c r="AWK41" s="1221"/>
      <c r="AWL41" s="1221"/>
      <c r="AWM41" s="1221"/>
      <c r="AWN41" s="1221"/>
      <c r="AWO41" s="1221"/>
      <c r="AWP41" s="1221"/>
      <c r="AWQ41" s="1221"/>
      <c r="AWR41" s="1221"/>
      <c r="AWS41" s="1221"/>
      <c r="AWT41" s="1221"/>
      <c r="AWU41" s="1221"/>
      <c r="AWV41" s="1221"/>
      <c r="AWW41" s="1221"/>
      <c r="AWX41" s="1221"/>
      <c r="AWY41" s="1221"/>
      <c r="AWZ41" s="1221"/>
      <c r="AXA41" s="1221"/>
      <c r="AXB41" s="1221"/>
      <c r="AXC41" s="1221"/>
      <c r="AXD41" s="1221"/>
      <c r="AXE41" s="1221"/>
      <c r="AXF41" s="1221"/>
      <c r="AXG41" s="1221"/>
      <c r="AXH41" s="1221"/>
      <c r="AXI41" s="1221"/>
      <c r="AXJ41" s="1221"/>
      <c r="AXK41" s="1221"/>
      <c r="AXL41" s="1221"/>
      <c r="AXM41" s="1221"/>
      <c r="AXN41" s="1221"/>
      <c r="AXO41" s="1221"/>
      <c r="AXP41" s="1221"/>
      <c r="AXQ41" s="1221"/>
      <c r="AXR41" s="1221"/>
      <c r="AXS41" s="1221"/>
      <c r="AXT41" s="1221"/>
      <c r="AXU41" s="1221"/>
      <c r="AXV41" s="1221"/>
      <c r="AXW41" s="1221"/>
      <c r="AXX41" s="1221"/>
      <c r="AXY41" s="1221"/>
      <c r="AXZ41" s="1221"/>
      <c r="AYA41" s="1221"/>
      <c r="AYB41" s="1221"/>
      <c r="AYC41" s="1221"/>
      <c r="AYD41" s="1221"/>
      <c r="AYE41" s="1221"/>
      <c r="AYF41" s="1221"/>
      <c r="AYG41" s="1221"/>
      <c r="AYH41" s="1221"/>
      <c r="AYI41" s="1221"/>
      <c r="AYJ41" s="1221"/>
      <c r="AYK41" s="1221"/>
      <c r="AYL41" s="1221"/>
      <c r="AYM41" s="1221"/>
      <c r="AYN41" s="1221"/>
      <c r="AYO41" s="1221"/>
      <c r="AYP41" s="1221"/>
      <c r="AYQ41" s="1221"/>
      <c r="AYR41" s="1221"/>
      <c r="AYS41" s="1221"/>
      <c r="AYT41" s="1221"/>
      <c r="AYU41" s="1221"/>
      <c r="AYV41" s="1221"/>
      <c r="AYW41" s="1221"/>
      <c r="AYX41" s="1221"/>
      <c r="AYY41" s="1221"/>
      <c r="AYZ41" s="1221"/>
      <c r="AZA41" s="1221"/>
      <c r="AZB41" s="1221"/>
      <c r="AZC41" s="1221"/>
      <c r="AZD41" s="1221"/>
      <c r="AZE41" s="1221"/>
      <c r="AZF41" s="1221"/>
      <c r="AZG41" s="1221"/>
      <c r="AZH41" s="1221"/>
      <c r="AZI41" s="1221"/>
      <c r="AZJ41" s="1221"/>
      <c r="AZK41" s="1221"/>
      <c r="AZL41" s="1221"/>
      <c r="AZM41" s="1221"/>
      <c r="AZN41" s="1221"/>
      <c r="AZO41" s="1221"/>
      <c r="AZP41" s="1221"/>
      <c r="AZQ41" s="1221"/>
      <c r="AZR41" s="1221"/>
      <c r="AZS41" s="1221"/>
      <c r="AZT41" s="1221"/>
      <c r="AZU41" s="1221"/>
      <c r="AZV41" s="1221"/>
      <c r="AZW41" s="1221"/>
      <c r="AZX41" s="1221"/>
      <c r="AZY41" s="1221"/>
      <c r="AZZ41" s="1221"/>
      <c r="BAA41" s="1221"/>
      <c r="BAB41" s="1221"/>
      <c r="BAC41" s="1221"/>
      <c r="BAD41" s="1221"/>
      <c r="BAE41" s="1221"/>
      <c r="BAF41" s="1221"/>
      <c r="BAG41" s="1221"/>
      <c r="BAH41" s="1221"/>
      <c r="BAI41" s="1221"/>
      <c r="BAJ41" s="1221"/>
      <c r="BAK41" s="1221"/>
      <c r="BAL41" s="1221"/>
      <c r="BAM41" s="1221"/>
      <c r="BAN41" s="1221"/>
      <c r="BAO41" s="1221"/>
      <c r="BAP41" s="1221"/>
      <c r="BAQ41" s="1221"/>
      <c r="BAR41" s="1221"/>
      <c r="BAS41" s="1221"/>
      <c r="BAT41" s="1221"/>
      <c r="BAU41" s="1221"/>
      <c r="BAV41" s="1221"/>
      <c r="BAW41" s="1221"/>
      <c r="BAX41" s="1221"/>
      <c r="BAY41" s="1221"/>
      <c r="BAZ41" s="1221"/>
      <c r="BBA41" s="1221"/>
      <c r="BBB41" s="1221"/>
      <c r="BBC41" s="1221"/>
      <c r="BBD41" s="1221"/>
      <c r="BBE41" s="1221"/>
      <c r="BBF41" s="1221"/>
      <c r="BBG41" s="1221"/>
      <c r="BBH41" s="1221"/>
      <c r="BBI41" s="1221"/>
      <c r="BBJ41" s="1221"/>
      <c r="BBK41" s="1221"/>
      <c r="BBL41" s="1221"/>
      <c r="BBM41" s="1221"/>
      <c r="BBN41" s="1221"/>
      <c r="BBO41" s="1221"/>
      <c r="BBP41" s="1221"/>
      <c r="BBQ41" s="1221"/>
      <c r="BBR41" s="1221"/>
      <c r="BBS41" s="1221"/>
      <c r="BBT41" s="1221"/>
      <c r="BBU41" s="1221"/>
      <c r="BBV41" s="1221"/>
      <c r="BBW41" s="1221"/>
      <c r="BBX41" s="1221"/>
      <c r="BBY41" s="1221"/>
      <c r="BBZ41" s="1221"/>
      <c r="BCA41" s="1221"/>
      <c r="BCB41" s="1221"/>
      <c r="BCC41" s="1221"/>
      <c r="BCD41" s="1221"/>
      <c r="BCE41" s="1221"/>
      <c r="BCF41" s="1221"/>
      <c r="BCG41" s="1221"/>
      <c r="BCH41" s="1221"/>
      <c r="BCI41" s="1221"/>
      <c r="BCJ41" s="1221"/>
      <c r="BCK41" s="1221"/>
      <c r="BCL41" s="1221"/>
      <c r="BCM41" s="1221"/>
      <c r="BCN41" s="1221"/>
      <c r="BCO41" s="1221"/>
      <c r="BCP41" s="1221"/>
      <c r="BCQ41" s="1221"/>
      <c r="BCR41" s="1221"/>
      <c r="BCS41" s="1221"/>
      <c r="BCT41" s="1221"/>
      <c r="BCU41" s="1221"/>
      <c r="BCV41" s="1221"/>
      <c r="BCW41" s="1221"/>
      <c r="BCX41" s="1221"/>
      <c r="BCY41" s="1221"/>
      <c r="BCZ41" s="1221"/>
      <c r="BDA41" s="1221"/>
      <c r="BDB41" s="1221"/>
      <c r="BDC41" s="1221"/>
      <c r="BDD41" s="1221"/>
      <c r="BDE41" s="1221"/>
      <c r="BDF41" s="1221"/>
      <c r="BDG41" s="1221"/>
      <c r="BDH41" s="1221"/>
      <c r="BDI41" s="1221"/>
      <c r="BDJ41" s="1221"/>
      <c r="BDK41" s="1221"/>
      <c r="BDL41" s="1221"/>
      <c r="BDM41" s="1221"/>
      <c r="BDN41" s="1221"/>
      <c r="BDO41" s="1221"/>
      <c r="BDP41" s="1221"/>
      <c r="BDQ41" s="1221"/>
      <c r="BDR41" s="1221"/>
      <c r="BDS41" s="1221"/>
      <c r="BDT41" s="1221"/>
      <c r="BDU41" s="1221"/>
      <c r="BDV41" s="1221"/>
      <c r="BDW41" s="1221"/>
      <c r="BDX41" s="1221"/>
      <c r="BDY41" s="1221"/>
      <c r="BDZ41" s="1221"/>
      <c r="BEA41" s="1221"/>
      <c r="BEB41" s="1221"/>
      <c r="BEC41" s="1221"/>
      <c r="BED41" s="1221"/>
      <c r="BEE41" s="1221"/>
      <c r="BEF41" s="1221"/>
      <c r="BEG41" s="1221"/>
      <c r="BEH41" s="1221"/>
      <c r="BEI41" s="1221"/>
      <c r="BEJ41" s="1221"/>
      <c r="BEK41" s="1221"/>
      <c r="BEL41" s="1221"/>
      <c r="BEM41" s="1221"/>
      <c r="BEN41" s="1221"/>
      <c r="BEO41" s="1221"/>
      <c r="BEP41" s="1221"/>
      <c r="BEQ41" s="1221"/>
      <c r="BER41" s="1221"/>
      <c r="BES41" s="1221"/>
      <c r="BET41" s="1221"/>
      <c r="BEU41" s="1221"/>
      <c r="BEV41" s="1221"/>
      <c r="BEW41" s="1221"/>
      <c r="BEX41" s="1221"/>
      <c r="BEY41" s="1221"/>
      <c r="BEZ41" s="1221"/>
      <c r="BFA41" s="1221"/>
      <c r="BFB41" s="1221"/>
      <c r="BFC41" s="1221"/>
      <c r="BFD41" s="1221"/>
      <c r="BFE41" s="1221"/>
      <c r="BFF41" s="1221"/>
      <c r="BFG41" s="1221"/>
      <c r="BFH41" s="1221"/>
      <c r="BFI41" s="1221"/>
      <c r="BFJ41" s="1221"/>
      <c r="BFK41" s="1221"/>
      <c r="BFL41" s="1221"/>
      <c r="BFM41" s="1221"/>
      <c r="BFN41" s="1221"/>
      <c r="BFO41" s="1221"/>
      <c r="BFP41" s="1221"/>
      <c r="BFQ41" s="1221"/>
      <c r="BFR41" s="1221"/>
      <c r="BFS41" s="1221"/>
      <c r="BFT41" s="1221"/>
      <c r="BFU41" s="1221"/>
      <c r="BFV41" s="1221"/>
      <c r="BFW41" s="1221"/>
      <c r="BFX41" s="1221"/>
      <c r="BFY41" s="1221"/>
      <c r="BFZ41" s="1221"/>
      <c r="BGA41" s="1221"/>
      <c r="BGB41" s="1221"/>
      <c r="BGC41" s="1221"/>
      <c r="BGD41" s="1221"/>
      <c r="BGE41" s="1221"/>
      <c r="BGF41" s="1221"/>
      <c r="BGG41" s="1221"/>
      <c r="BGH41" s="1221"/>
      <c r="BGI41" s="1221"/>
      <c r="BGJ41" s="1221"/>
      <c r="BGK41" s="1221"/>
      <c r="BGL41" s="1221"/>
      <c r="BGM41" s="1221"/>
      <c r="BGN41" s="1221"/>
      <c r="BGO41" s="1221"/>
      <c r="BGP41" s="1221"/>
      <c r="BGQ41" s="1221"/>
      <c r="BGR41" s="1221"/>
      <c r="BGS41" s="1221"/>
      <c r="BGT41" s="1221"/>
      <c r="BGU41" s="1221"/>
      <c r="BGV41" s="1221"/>
      <c r="BGW41" s="1221"/>
      <c r="BGX41" s="1221"/>
      <c r="BGY41" s="1221"/>
      <c r="BGZ41" s="1221"/>
      <c r="BHA41" s="1221"/>
      <c r="BHB41" s="1221"/>
      <c r="BHC41" s="1221"/>
      <c r="BHD41" s="1221"/>
      <c r="BHE41" s="1221"/>
      <c r="BHF41" s="1221"/>
      <c r="BHG41" s="1221"/>
      <c r="BHH41" s="1221"/>
      <c r="BHI41" s="1221"/>
      <c r="BHJ41" s="1221"/>
      <c r="BHK41" s="1221"/>
      <c r="BHL41" s="1221"/>
      <c r="BHM41" s="1221"/>
      <c r="BHN41" s="1221"/>
      <c r="BHO41" s="1221"/>
      <c r="BHP41" s="1221"/>
      <c r="BHQ41" s="1221"/>
      <c r="BHR41" s="1221"/>
      <c r="BHS41" s="1221"/>
      <c r="BHT41" s="1221"/>
      <c r="BHU41" s="1221"/>
      <c r="BHV41" s="1221"/>
      <c r="BHW41" s="1221"/>
      <c r="BHX41" s="1221"/>
      <c r="BHY41" s="1221"/>
      <c r="BHZ41" s="1221"/>
      <c r="BIA41" s="1221"/>
      <c r="BIB41" s="1221"/>
      <c r="BIC41" s="1221"/>
      <c r="BID41" s="1221"/>
      <c r="BIE41" s="1221"/>
      <c r="BIF41" s="1221"/>
      <c r="BIG41" s="1221"/>
      <c r="BIH41" s="1221"/>
      <c r="BII41" s="1221"/>
      <c r="BIJ41" s="1221"/>
      <c r="BIK41" s="1221"/>
      <c r="BIL41" s="1221"/>
      <c r="BIM41" s="1221"/>
      <c r="BIN41" s="1221"/>
      <c r="BIO41" s="1221"/>
      <c r="BIP41" s="1221"/>
      <c r="BIQ41" s="1221"/>
      <c r="BIR41" s="1221"/>
      <c r="BIS41" s="1221"/>
      <c r="BIT41" s="1221"/>
      <c r="BIU41" s="1221"/>
      <c r="BIV41" s="1221"/>
      <c r="BIW41" s="1221"/>
      <c r="BIX41" s="1221"/>
      <c r="BIY41" s="1221"/>
      <c r="BIZ41" s="1221"/>
      <c r="BJA41" s="1221"/>
      <c r="BJB41" s="1221"/>
      <c r="BJC41" s="1221"/>
      <c r="BJD41" s="1221"/>
      <c r="BJE41" s="1221"/>
      <c r="BJF41" s="1221"/>
      <c r="BJG41" s="1221"/>
      <c r="BJH41" s="1221"/>
      <c r="BJI41" s="1221"/>
      <c r="BJJ41" s="1221"/>
      <c r="BJK41" s="1221"/>
      <c r="BJL41" s="1221"/>
      <c r="BJM41" s="1221"/>
      <c r="BJN41" s="1221"/>
      <c r="BJO41" s="1221"/>
      <c r="BJP41" s="1221"/>
      <c r="BJQ41" s="1221"/>
      <c r="BJR41" s="1221"/>
      <c r="BJS41" s="1221"/>
      <c r="BJT41" s="1221"/>
      <c r="BJU41" s="1221"/>
      <c r="BJV41" s="1221"/>
      <c r="BJW41" s="1221"/>
      <c r="BJX41" s="1221"/>
      <c r="BJY41" s="1221"/>
      <c r="BJZ41" s="1221"/>
      <c r="BKA41" s="1221"/>
      <c r="BKB41" s="1221"/>
      <c r="BKC41" s="1221"/>
      <c r="BKD41" s="1221"/>
      <c r="BKE41" s="1221"/>
      <c r="BKF41" s="1221"/>
      <c r="BKG41" s="1221"/>
      <c r="BKH41" s="1221"/>
      <c r="BKI41" s="1221"/>
      <c r="BKJ41" s="1221"/>
      <c r="BKK41" s="1221"/>
      <c r="BKL41" s="1221"/>
      <c r="BKM41" s="1221"/>
      <c r="BKN41" s="1221"/>
      <c r="BKO41" s="1221"/>
      <c r="BKP41" s="1221"/>
      <c r="BKQ41" s="1221"/>
      <c r="BKR41" s="1221"/>
      <c r="BKS41" s="1221"/>
      <c r="BKT41" s="1221"/>
      <c r="BKU41" s="1221"/>
      <c r="BKV41" s="1221"/>
      <c r="BKW41" s="1221"/>
      <c r="BKX41" s="1221"/>
      <c r="BKY41" s="1221"/>
      <c r="BKZ41" s="1221"/>
      <c r="BLA41" s="1221"/>
      <c r="BLB41" s="1221"/>
      <c r="BLC41" s="1221"/>
      <c r="BLD41" s="1221"/>
      <c r="BLE41" s="1221"/>
      <c r="BLF41" s="1221"/>
      <c r="BLG41" s="1221"/>
      <c r="BLH41" s="1221"/>
      <c r="BLI41" s="1221"/>
      <c r="BLJ41" s="1221"/>
      <c r="BLK41" s="1221"/>
      <c r="BLL41" s="1221"/>
      <c r="BLM41" s="1221"/>
      <c r="BLN41" s="1221"/>
      <c r="BLO41" s="1221"/>
      <c r="BLP41" s="1221"/>
      <c r="BLQ41" s="1221"/>
      <c r="BLR41" s="1221"/>
      <c r="BLS41" s="1221"/>
      <c r="BLT41" s="1221"/>
      <c r="BLU41" s="1221"/>
      <c r="BLV41" s="1221"/>
      <c r="BLW41" s="1221"/>
      <c r="BLX41" s="1221"/>
      <c r="BLY41" s="1221"/>
      <c r="BLZ41" s="1221"/>
      <c r="BMA41" s="1221"/>
      <c r="BMB41" s="1221"/>
      <c r="BMC41" s="1221"/>
      <c r="BMD41" s="1221"/>
      <c r="BME41" s="1221"/>
      <c r="BMF41" s="1221"/>
      <c r="BMG41" s="1221"/>
      <c r="BMH41" s="1221"/>
      <c r="BMI41" s="1221"/>
      <c r="BMJ41" s="1221"/>
      <c r="BMK41" s="1221"/>
      <c r="BML41" s="1221"/>
      <c r="BMM41" s="1221"/>
      <c r="BMN41" s="1221"/>
      <c r="BMO41" s="1221"/>
      <c r="BMP41" s="1221"/>
      <c r="BMQ41" s="1221"/>
      <c r="BMR41" s="1221"/>
      <c r="BMS41" s="1221"/>
      <c r="BMT41" s="1221"/>
      <c r="BMU41" s="1221"/>
      <c r="BMV41" s="1221"/>
      <c r="BMW41" s="1221"/>
      <c r="BMX41" s="1221"/>
      <c r="BMY41" s="1221"/>
      <c r="BMZ41" s="1221"/>
      <c r="BNA41" s="1221"/>
      <c r="BNB41" s="1221"/>
      <c r="BNC41" s="1221"/>
      <c r="BND41" s="1221"/>
      <c r="BNE41" s="1221"/>
      <c r="BNF41" s="1221"/>
      <c r="BNG41" s="1221"/>
      <c r="BNH41" s="1221"/>
      <c r="BNI41" s="1221"/>
      <c r="BNJ41" s="1221"/>
      <c r="BNK41" s="1221"/>
      <c r="BNL41" s="1221"/>
      <c r="BNM41" s="1221"/>
      <c r="BNN41" s="1221"/>
      <c r="BNO41" s="1221"/>
      <c r="BNP41" s="1221"/>
      <c r="BNQ41" s="1221"/>
      <c r="BNR41" s="1221"/>
      <c r="BNS41" s="1221"/>
      <c r="BNT41" s="1221"/>
      <c r="BNU41" s="1221"/>
      <c r="BNV41" s="1221"/>
      <c r="BNW41" s="1221"/>
      <c r="BNX41" s="1221"/>
      <c r="BNY41" s="1221"/>
      <c r="BNZ41" s="1221"/>
      <c r="BOA41" s="1221"/>
      <c r="BOB41" s="1221"/>
      <c r="BOC41" s="1221"/>
      <c r="BOD41" s="1221"/>
      <c r="BOE41" s="1221"/>
      <c r="BOF41" s="1221"/>
      <c r="BOG41" s="1221"/>
      <c r="BOH41" s="1221"/>
      <c r="BOI41" s="1221"/>
      <c r="BOJ41" s="1221"/>
      <c r="BOK41" s="1221"/>
      <c r="BOL41" s="1221"/>
      <c r="BOM41" s="1221"/>
      <c r="BON41" s="1221"/>
      <c r="BOO41" s="1221"/>
      <c r="BOP41" s="1221"/>
      <c r="BOQ41" s="1221"/>
      <c r="BOR41" s="1221"/>
      <c r="BOS41" s="1221"/>
      <c r="BOT41" s="1221"/>
      <c r="BOU41" s="1221"/>
      <c r="BOV41" s="1221"/>
      <c r="BOW41" s="1221"/>
      <c r="BOX41" s="1221"/>
      <c r="BOY41" s="1221"/>
      <c r="BOZ41" s="1221"/>
      <c r="BPA41" s="1221"/>
      <c r="BPB41" s="1221"/>
      <c r="BPC41" s="1221"/>
      <c r="BPD41" s="1221"/>
      <c r="BPE41" s="1221"/>
      <c r="BPF41" s="1221"/>
      <c r="BPG41" s="1221"/>
      <c r="BPH41" s="1221"/>
      <c r="BPI41" s="1221"/>
      <c r="BPJ41" s="1221"/>
      <c r="BPK41" s="1221"/>
      <c r="BPL41" s="1221"/>
      <c r="BPM41" s="1221"/>
      <c r="BPN41" s="1221"/>
      <c r="BPO41" s="1221"/>
      <c r="BPP41" s="1221"/>
      <c r="BPQ41" s="1221"/>
      <c r="BPR41" s="1221"/>
      <c r="BPS41" s="1221"/>
      <c r="BPT41" s="1221"/>
      <c r="BPU41" s="1221"/>
      <c r="BPV41" s="1221"/>
      <c r="BPW41" s="1221"/>
      <c r="BPX41" s="1221"/>
      <c r="BPY41" s="1221"/>
      <c r="BPZ41" s="1221"/>
      <c r="BQA41" s="1221"/>
      <c r="BQB41" s="1221"/>
      <c r="BQC41" s="1221"/>
      <c r="BQD41" s="1221"/>
      <c r="BQE41" s="1221"/>
      <c r="BQF41" s="1221"/>
      <c r="BQG41" s="1221"/>
      <c r="BQH41" s="1221"/>
      <c r="BQI41" s="1221"/>
      <c r="BQJ41" s="1221"/>
      <c r="BQK41" s="1221"/>
      <c r="BQL41" s="1221"/>
      <c r="BQM41" s="1221"/>
      <c r="BQN41" s="1221"/>
      <c r="BQO41" s="1221"/>
      <c r="BQP41" s="1221"/>
      <c r="BQQ41" s="1221"/>
      <c r="BQR41" s="1221"/>
      <c r="BQS41" s="1221"/>
      <c r="BQT41" s="1221"/>
      <c r="BQU41" s="1221"/>
      <c r="BQV41" s="1221"/>
      <c r="BQW41" s="1221"/>
      <c r="BQX41" s="1221"/>
      <c r="BQY41" s="1221"/>
      <c r="BQZ41" s="1221"/>
      <c r="BRA41" s="1221"/>
      <c r="BRB41" s="1221"/>
      <c r="BRC41" s="1221"/>
      <c r="BRD41" s="1221"/>
      <c r="BRE41" s="1221"/>
      <c r="BRF41" s="1221"/>
      <c r="BRG41" s="1221"/>
      <c r="BRH41" s="1221"/>
      <c r="BRI41" s="1221"/>
      <c r="BRJ41" s="1221"/>
      <c r="BRK41" s="1221"/>
      <c r="BRL41" s="1221"/>
      <c r="BRM41" s="1221"/>
      <c r="BRN41" s="1221"/>
      <c r="BRO41" s="1221"/>
      <c r="BRP41" s="1221"/>
      <c r="BRQ41" s="1221"/>
      <c r="BRR41" s="1221"/>
      <c r="BRS41" s="1221"/>
      <c r="BRT41" s="1221"/>
      <c r="BRU41" s="1221"/>
      <c r="BRV41" s="1221"/>
      <c r="BRW41" s="1221"/>
      <c r="BRX41" s="1221"/>
      <c r="BRY41" s="1221"/>
      <c r="BRZ41" s="1221"/>
      <c r="BSA41" s="1221"/>
      <c r="BSB41" s="1221"/>
      <c r="BSC41" s="1221"/>
      <c r="BSD41" s="1221"/>
      <c r="BSE41" s="1221"/>
      <c r="BSF41" s="1221"/>
      <c r="BSG41" s="1221"/>
      <c r="BSH41" s="1221"/>
      <c r="BSI41" s="1221"/>
      <c r="BSJ41" s="1221"/>
      <c r="BSK41" s="1221"/>
      <c r="BSL41" s="1221"/>
      <c r="BSM41" s="1221"/>
      <c r="BSN41" s="1221"/>
      <c r="BSO41" s="1221"/>
      <c r="BSP41" s="1221"/>
      <c r="BSQ41" s="1221"/>
      <c r="BSR41" s="1221"/>
      <c r="BSS41" s="1221"/>
      <c r="BST41" s="1221"/>
      <c r="BSU41" s="1221"/>
      <c r="BSV41" s="1221"/>
      <c r="BSW41" s="1221"/>
      <c r="BSX41" s="1221"/>
      <c r="BSY41" s="1221"/>
      <c r="BSZ41" s="1221"/>
      <c r="BTA41" s="1221"/>
      <c r="BTB41" s="1221"/>
      <c r="BTC41" s="1221"/>
      <c r="BTD41" s="1221"/>
      <c r="BTE41" s="1221"/>
      <c r="BTF41" s="1221"/>
      <c r="BTG41" s="1221"/>
      <c r="BTH41" s="1221"/>
      <c r="BTI41" s="1221"/>
      <c r="BTJ41" s="1221"/>
      <c r="BTK41" s="1221"/>
      <c r="BTL41" s="1221"/>
      <c r="BTM41" s="1221"/>
      <c r="BTN41" s="1221"/>
      <c r="BTO41" s="1221"/>
      <c r="BTP41" s="1221"/>
      <c r="BTQ41" s="1221"/>
      <c r="BTR41" s="1221"/>
      <c r="BTS41" s="1221"/>
      <c r="BTT41" s="1221"/>
      <c r="BTU41" s="1221"/>
      <c r="BTV41" s="1221"/>
      <c r="BTW41" s="1221"/>
      <c r="BTX41" s="1221"/>
      <c r="BTY41" s="1221"/>
      <c r="BTZ41" s="1221"/>
      <c r="BUA41" s="1221"/>
      <c r="BUB41" s="1221"/>
      <c r="BUC41" s="1221"/>
      <c r="BUD41" s="1221"/>
      <c r="BUE41" s="1221"/>
      <c r="BUF41" s="1221"/>
      <c r="BUG41" s="1221"/>
      <c r="BUH41" s="1221"/>
      <c r="BUI41" s="1221"/>
      <c r="BUJ41" s="1221"/>
      <c r="BUK41" s="1221"/>
      <c r="BUL41" s="1221"/>
      <c r="BUM41" s="1221"/>
      <c r="BUN41" s="1221"/>
      <c r="BUO41" s="1221"/>
      <c r="BUP41" s="1221"/>
      <c r="BUQ41" s="1221"/>
      <c r="BUR41" s="1221"/>
      <c r="BUS41" s="1221"/>
      <c r="BUT41" s="1221"/>
      <c r="BUU41" s="1221"/>
      <c r="BUV41" s="1221"/>
      <c r="BUW41" s="1221"/>
      <c r="BUX41" s="1221"/>
      <c r="BUY41" s="1221"/>
      <c r="BUZ41" s="1221"/>
      <c r="BVA41" s="1221"/>
      <c r="BVB41" s="1221"/>
      <c r="BVC41" s="1221"/>
      <c r="BVD41" s="1221"/>
      <c r="BVE41" s="1221"/>
      <c r="BVF41" s="1221"/>
      <c r="BVG41" s="1221"/>
      <c r="BVH41" s="1221"/>
      <c r="BVI41" s="1221"/>
      <c r="BVJ41" s="1221"/>
      <c r="BVK41" s="1221"/>
      <c r="BVL41" s="1221"/>
      <c r="BVM41" s="1221"/>
      <c r="BVN41" s="1221"/>
      <c r="BVO41" s="1221"/>
      <c r="BVP41" s="1221"/>
      <c r="BVQ41" s="1221"/>
      <c r="BVR41" s="1221"/>
      <c r="BVS41" s="1221"/>
      <c r="BVT41" s="1221"/>
      <c r="BVU41" s="1221"/>
      <c r="BVV41" s="1221"/>
      <c r="BVW41" s="1221"/>
      <c r="BVX41" s="1221"/>
      <c r="BVY41" s="1221"/>
      <c r="BVZ41" s="1221"/>
      <c r="BWA41" s="1221"/>
      <c r="BWB41" s="1221"/>
      <c r="BWC41" s="1221"/>
      <c r="BWD41" s="1221"/>
      <c r="BWE41" s="1221"/>
      <c r="BWF41" s="1221"/>
      <c r="BWG41" s="1221"/>
      <c r="BWH41" s="1221"/>
      <c r="BWI41" s="1221"/>
      <c r="BWJ41" s="1221"/>
      <c r="BWK41" s="1221"/>
      <c r="BWL41" s="1221"/>
      <c r="BWM41" s="1221"/>
      <c r="BWN41" s="1221"/>
      <c r="BWO41" s="1221"/>
      <c r="BWP41" s="1221"/>
      <c r="BWQ41" s="1221"/>
      <c r="BWR41" s="1221"/>
      <c r="BWS41" s="1221"/>
      <c r="BWT41" s="1221"/>
      <c r="BWU41" s="1221"/>
      <c r="BWV41" s="1221"/>
      <c r="BWW41" s="1221"/>
      <c r="BWX41" s="1221"/>
      <c r="BWY41" s="1221"/>
      <c r="BWZ41" s="1221"/>
      <c r="BXA41" s="1221"/>
      <c r="BXB41" s="1221"/>
      <c r="BXC41" s="1221"/>
      <c r="BXD41" s="1221"/>
      <c r="BXE41" s="1221"/>
      <c r="BXF41" s="1221"/>
      <c r="BXG41" s="1221"/>
      <c r="BXH41" s="1221"/>
      <c r="BXI41" s="1221"/>
      <c r="BXJ41" s="1221"/>
      <c r="BXK41" s="1221"/>
      <c r="BXL41" s="1221"/>
      <c r="BXM41" s="1221"/>
      <c r="BXN41" s="1221"/>
      <c r="BXO41" s="1221"/>
      <c r="BXP41" s="1221"/>
      <c r="BXQ41" s="1221"/>
      <c r="BXR41" s="1221"/>
      <c r="BXS41" s="1221"/>
      <c r="BXT41" s="1221"/>
      <c r="BXU41" s="1221"/>
      <c r="BXV41" s="1221"/>
      <c r="BXW41" s="1221"/>
      <c r="BXX41" s="1221"/>
      <c r="BXY41" s="1221"/>
      <c r="BXZ41" s="1221"/>
      <c r="BYA41" s="1221"/>
      <c r="BYB41" s="1221"/>
      <c r="BYC41" s="1221"/>
      <c r="BYD41" s="1221"/>
      <c r="BYE41" s="1221"/>
      <c r="BYF41" s="1221"/>
      <c r="BYG41" s="1221"/>
      <c r="BYH41" s="1221"/>
      <c r="BYI41" s="1221"/>
      <c r="BYJ41" s="1221"/>
      <c r="BYK41" s="1221"/>
      <c r="BYL41" s="1221"/>
      <c r="BYM41" s="1221"/>
      <c r="BYN41" s="1221"/>
      <c r="BYO41" s="1221"/>
      <c r="BYP41" s="1221"/>
      <c r="BYQ41" s="1221"/>
      <c r="BYR41" s="1221"/>
      <c r="BYS41" s="1221"/>
      <c r="BYT41" s="1221"/>
      <c r="BYU41" s="1221"/>
      <c r="BYV41" s="1221"/>
      <c r="BYW41" s="1221"/>
      <c r="BYX41" s="1221"/>
      <c r="BYY41" s="1221"/>
      <c r="BYZ41" s="1221"/>
      <c r="BZA41" s="1221"/>
      <c r="BZB41" s="1221"/>
      <c r="BZC41" s="1221"/>
      <c r="BZD41" s="1221"/>
      <c r="BZE41" s="1221"/>
      <c r="BZF41" s="1221"/>
      <c r="BZG41" s="1221"/>
      <c r="BZH41" s="1221"/>
      <c r="BZI41" s="1221"/>
      <c r="BZJ41" s="1221"/>
      <c r="BZK41" s="1221"/>
      <c r="BZL41" s="1221"/>
      <c r="BZM41" s="1221"/>
      <c r="BZN41" s="1221"/>
      <c r="BZO41" s="1221"/>
      <c r="BZP41" s="1221"/>
      <c r="BZQ41" s="1221"/>
      <c r="BZR41" s="1221"/>
      <c r="BZS41" s="1221"/>
      <c r="BZT41" s="1221"/>
      <c r="BZU41" s="1221"/>
      <c r="BZV41" s="1221"/>
      <c r="BZW41" s="1221"/>
      <c r="BZX41" s="1221"/>
      <c r="BZY41" s="1221"/>
      <c r="BZZ41" s="1221"/>
      <c r="CAA41" s="1221"/>
      <c r="CAB41" s="1221"/>
      <c r="CAC41" s="1221"/>
      <c r="CAD41" s="1221"/>
      <c r="CAE41" s="1221"/>
      <c r="CAF41" s="1221"/>
      <c r="CAG41" s="1221"/>
      <c r="CAH41" s="1221"/>
      <c r="CAI41" s="1221"/>
      <c r="CAJ41" s="1221"/>
      <c r="CAK41" s="1221"/>
      <c r="CAL41" s="1221"/>
      <c r="CAM41" s="1221"/>
      <c r="CAN41" s="1221"/>
      <c r="CAO41" s="1221"/>
      <c r="CAP41" s="1221"/>
      <c r="CAQ41" s="1221"/>
      <c r="CAR41" s="1221"/>
      <c r="CAS41" s="1221"/>
      <c r="CAT41" s="1221"/>
      <c r="CAU41" s="1221"/>
      <c r="CAV41" s="1221"/>
      <c r="CAW41" s="1221"/>
      <c r="CAX41" s="1221"/>
      <c r="CAY41" s="1221"/>
      <c r="CAZ41" s="1221"/>
      <c r="CBA41" s="1221"/>
      <c r="CBB41" s="1221"/>
      <c r="CBC41" s="1221"/>
      <c r="CBD41" s="1221"/>
      <c r="CBE41" s="1221"/>
      <c r="CBF41" s="1221"/>
      <c r="CBG41" s="1221"/>
      <c r="CBH41" s="1221"/>
      <c r="CBI41" s="1221"/>
      <c r="CBJ41" s="1221"/>
      <c r="CBK41" s="1221"/>
      <c r="CBL41" s="1221"/>
      <c r="CBM41" s="1221"/>
      <c r="CBN41" s="1221"/>
      <c r="CBO41" s="1221"/>
      <c r="CBP41" s="1221"/>
      <c r="CBQ41" s="1221"/>
      <c r="CBR41" s="1221"/>
      <c r="CBS41" s="1221"/>
      <c r="CBT41" s="1221"/>
      <c r="CBU41" s="1221"/>
      <c r="CBV41" s="1221"/>
      <c r="CBW41" s="1221"/>
      <c r="CBX41" s="1221"/>
      <c r="CBY41" s="1221"/>
      <c r="CBZ41" s="1221"/>
      <c r="CCA41" s="1221"/>
      <c r="CCB41" s="1221"/>
      <c r="CCC41" s="1221"/>
      <c r="CCD41" s="1221"/>
      <c r="CCE41" s="1221"/>
      <c r="CCF41" s="1221"/>
      <c r="CCG41" s="1221"/>
      <c r="CCH41" s="1221"/>
      <c r="CCI41" s="1221"/>
      <c r="CCJ41" s="1221"/>
      <c r="CCK41" s="1221"/>
      <c r="CCL41" s="1221"/>
      <c r="CCM41" s="1221"/>
      <c r="CCN41" s="1221"/>
      <c r="CCO41" s="1221"/>
      <c r="CCP41" s="1221"/>
      <c r="CCQ41" s="1221"/>
      <c r="CCR41" s="1221"/>
      <c r="CCS41" s="1221"/>
      <c r="CCT41" s="1221"/>
      <c r="CCU41" s="1221"/>
      <c r="CCV41" s="1221"/>
      <c r="CCW41" s="1221"/>
      <c r="CCX41" s="1221"/>
      <c r="CCY41" s="1221"/>
      <c r="CCZ41" s="1221"/>
      <c r="CDA41" s="1221"/>
      <c r="CDB41" s="1221"/>
      <c r="CDC41" s="1221"/>
      <c r="CDD41" s="1221"/>
      <c r="CDE41" s="1221"/>
      <c r="CDF41" s="1221"/>
      <c r="CDG41" s="1221"/>
      <c r="CDH41" s="1221"/>
      <c r="CDI41" s="1221"/>
      <c r="CDJ41" s="1221"/>
      <c r="CDK41" s="1221"/>
      <c r="CDL41" s="1221"/>
      <c r="CDM41" s="1221"/>
      <c r="CDN41" s="1221"/>
      <c r="CDO41" s="1221"/>
      <c r="CDP41" s="1221"/>
      <c r="CDQ41" s="1221"/>
      <c r="CDR41" s="1221"/>
      <c r="CDS41" s="1221"/>
      <c r="CDT41" s="1221"/>
      <c r="CDU41" s="1221"/>
      <c r="CDV41" s="1221"/>
      <c r="CDW41" s="1221"/>
      <c r="CDX41" s="1221"/>
      <c r="CDY41" s="1221"/>
      <c r="CDZ41" s="1221"/>
      <c r="CEA41" s="1221"/>
      <c r="CEB41" s="1221"/>
      <c r="CEC41" s="1221"/>
      <c r="CED41" s="1221"/>
      <c r="CEE41" s="1221"/>
      <c r="CEF41" s="1221"/>
      <c r="CEG41" s="1221"/>
      <c r="CEH41" s="1221"/>
      <c r="CEI41" s="1221"/>
      <c r="CEJ41" s="1221"/>
      <c r="CEK41" s="1221"/>
      <c r="CEL41" s="1221"/>
      <c r="CEM41" s="1221"/>
      <c r="CEN41" s="1221"/>
      <c r="CEO41" s="1221"/>
      <c r="CEP41" s="1221"/>
      <c r="CEQ41" s="1221"/>
      <c r="CER41" s="1221"/>
      <c r="CES41" s="1221"/>
      <c r="CET41" s="1221"/>
      <c r="CEU41" s="1221"/>
      <c r="CEV41" s="1221"/>
      <c r="CEW41" s="1221"/>
      <c r="CEX41" s="1221"/>
      <c r="CEY41" s="1221"/>
      <c r="CEZ41" s="1221"/>
      <c r="CFA41" s="1221"/>
      <c r="CFB41" s="1221"/>
      <c r="CFC41" s="1221"/>
      <c r="CFD41" s="1221"/>
      <c r="CFE41" s="1221"/>
      <c r="CFF41" s="1221"/>
      <c r="CFG41" s="1221"/>
      <c r="CFH41" s="1221"/>
      <c r="CFI41" s="1221"/>
      <c r="CFJ41" s="1221"/>
      <c r="CFK41" s="1221"/>
      <c r="CFL41" s="1221"/>
      <c r="CFM41" s="1221"/>
      <c r="CFN41" s="1221"/>
      <c r="CFO41" s="1221"/>
      <c r="CFP41" s="1221"/>
      <c r="CFQ41" s="1221"/>
      <c r="CFR41" s="1221"/>
      <c r="CFS41" s="1221"/>
      <c r="CFT41" s="1221"/>
      <c r="CFU41" s="1221"/>
      <c r="CFV41" s="1221"/>
      <c r="CFW41" s="1221"/>
      <c r="CFX41" s="1221"/>
      <c r="CFY41" s="1221"/>
      <c r="CFZ41" s="1221"/>
      <c r="CGA41" s="1221"/>
      <c r="CGB41" s="1221"/>
      <c r="CGC41" s="1221"/>
      <c r="CGD41" s="1221"/>
      <c r="CGE41" s="1221"/>
      <c r="CGF41" s="1221"/>
      <c r="CGG41" s="1221"/>
      <c r="CGH41" s="1221"/>
      <c r="CGI41" s="1221"/>
      <c r="CGJ41" s="1221"/>
      <c r="CGK41" s="1221"/>
      <c r="CGL41" s="1221"/>
      <c r="CGM41" s="1221"/>
      <c r="CGN41" s="1221"/>
      <c r="CGO41" s="1221"/>
      <c r="CGP41" s="1221"/>
      <c r="CGQ41" s="1221"/>
      <c r="CGR41" s="1221"/>
      <c r="CGS41" s="1221"/>
      <c r="CGT41" s="1221"/>
      <c r="CGU41" s="1221"/>
      <c r="CGV41" s="1221"/>
      <c r="CGW41" s="1221"/>
      <c r="CGX41" s="1221"/>
      <c r="CGY41" s="1221"/>
      <c r="CGZ41" s="1221"/>
      <c r="CHA41" s="1221"/>
      <c r="CHB41" s="1221"/>
      <c r="CHC41" s="1221"/>
      <c r="CHD41" s="1221"/>
      <c r="CHE41" s="1221"/>
      <c r="CHF41" s="1221"/>
      <c r="CHG41" s="1221"/>
      <c r="CHH41" s="1221"/>
      <c r="CHI41" s="1221"/>
      <c r="CHJ41" s="1221"/>
      <c r="CHK41" s="1221"/>
      <c r="CHL41" s="1221"/>
      <c r="CHM41" s="1221"/>
      <c r="CHN41" s="1221"/>
      <c r="CHO41" s="1221"/>
      <c r="CHP41" s="1221"/>
      <c r="CHQ41" s="1221"/>
      <c r="CHR41" s="1221"/>
      <c r="CHS41" s="1221"/>
      <c r="CHT41" s="1221"/>
      <c r="CHU41" s="1221"/>
      <c r="CHV41" s="1221"/>
      <c r="CHW41" s="1221"/>
      <c r="CHX41" s="1221"/>
      <c r="CHY41" s="1221"/>
      <c r="CHZ41" s="1221"/>
      <c r="CIA41" s="1221"/>
      <c r="CIB41" s="1221"/>
      <c r="CIC41" s="1221"/>
      <c r="CID41" s="1221"/>
      <c r="CIE41" s="1221"/>
      <c r="CIF41" s="1221"/>
      <c r="CIG41" s="1221"/>
      <c r="CIH41" s="1221"/>
      <c r="CII41" s="1221"/>
      <c r="CIJ41" s="1221"/>
      <c r="CIK41" s="1221"/>
      <c r="CIL41" s="1221"/>
      <c r="CIM41" s="1221"/>
      <c r="CIN41" s="1221"/>
      <c r="CIO41" s="1221"/>
      <c r="CIP41" s="1221"/>
      <c r="CIQ41" s="1221"/>
      <c r="CIR41" s="1221"/>
      <c r="CIS41" s="1221"/>
      <c r="CIT41" s="1221"/>
      <c r="CIU41" s="1221"/>
      <c r="CIV41" s="1221"/>
      <c r="CIW41" s="1221"/>
      <c r="CIX41" s="1221"/>
      <c r="CIY41" s="1221"/>
      <c r="CIZ41" s="1221"/>
      <c r="CJA41" s="1221"/>
      <c r="CJB41" s="1221"/>
      <c r="CJC41" s="1221"/>
      <c r="CJD41" s="1221"/>
      <c r="CJE41" s="1221"/>
      <c r="CJF41" s="1221"/>
      <c r="CJG41" s="1221"/>
      <c r="CJH41" s="1221"/>
      <c r="CJI41" s="1221"/>
      <c r="CJJ41" s="1221"/>
      <c r="CJK41" s="1221"/>
      <c r="CJL41" s="1221"/>
      <c r="CJM41" s="1221"/>
      <c r="CJN41" s="1221"/>
      <c r="CJO41" s="1221"/>
      <c r="CJP41" s="1221"/>
      <c r="CJQ41" s="1221"/>
      <c r="CJR41" s="1221"/>
      <c r="CJS41" s="1221"/>
      <c r="CJT41" s="1221"/>
      <c r="CJU41" s="1221"/>
      <c r="CJV41" s="1221"/>
      <c r="CJW41" s="1221"/>
      <c r="CJX41" s="1221"/>
      <c r="CJY41" s="1221"/>
      <c r="CJZ41" s="1221"/>
      <c r="CKA41" s="1221"/>
      <c r="CKB41" s="1221"/>
      <c r="CKC41" s="1221"/>
      <c r="CKD41" s="1221"/>
      <c r="CKE41" s="1221"/>
      <c r="CKF41" s="1221"/>
      <c r="CKG41" s="1221"/>
      <c r="CKH41" s="1221"/>
      <c r="CKI41" s="1221"/>
      <c r="CKJ41" s="1221"/>
      <c r="CKK41" s="1221"/>
      <c r="CKL41" s="1221"/>
      <c r="CKM41" s="1221"/>
      <c r="CKN41" s="1221"/>
      <c r="CKO41" s="1221"/>
      <c r="CKP41" s="1221"/>
      <c r="CKQ41" s="1221"/>
      <c r="CKR41" s="1221"/>
      <c r="CKS41" s="1221"/>
      <c r="CKT41" s="1221"/>
      <c r="CKU41" s="1221"/>
      <c r="CKV41" s="1221"/>
      <c r="CKW41" s="1221"/>
      <c r="CKX41" s="1221"/>
      <c r="CKY41" s="1221"/>
      <c r="CKZ41" s="1221"/>
      <c r="CLA41" s="1221"/>
      <c r="CLB41" s="1221"/>
      <c r="CLC41" s="1221"/>
      <c r="CLD41" s="1221"/>
      <c r="CLE41" s="1221"/>
      <c r="CLF41" s="1221"/>
      <c r="CLG41" s="1221"/>
      <c r="CLH41" s="1221"/>
      <c r="CLI41" s="1221"/>
      <c r="CLJ41" s="1221"/>
      <c r="CLK41" s="1221"/>
      <c r="CLL41" s="1221"/>
      <c r="CLM41" s="1221"/>
      <c r="CLN41" s="1221"/>
      <c r="CLO41" s="1221"/>
      <c r="CLP41" s="1221"/>
      <c r="CLQ41" s="1221"/>
      <c r="CLR41" s="1221"/>
      <c r="CLS41" s="1221"/>
      <c r="CLT41" s="1221"/>
      <c r="CLU41" s="1221"/>
      <c r="CLV41" s="1221"/>
      <c r="CLW41" s="1221"/>
      <c r="CLX41" s="1221"/>
      <c r="CLY41" s="1221"/>
      <c r="CLZ41" s="1221"/>
      <c r="CMA41" s="1221"/>
      <c r="CMB41" s="1221"/>
      <c r="CMC41" s="1221"/>
      <c r="CMD41" s="1221"/>
      <c r="CME41" s="1221"/>
      <c r="CMF41" s="1221"/>
      <c r="CMG41" s="1221"/>
      <c r="CMH41" s="1221"/>
      <c r="CMI41" s="1221"/>
      <c r="CMJ41" s="1221"/>
      <c r="CMK41" s="1221"/>
      <c r="CML41" s="1221"/>
      <c r="CMM41" s="1221"/>
      <c r="CMN41" s="1221"/>
      <c r="CMO41" s="1221"/>
      <c r="CMP41" s="1221"/>
      <c r="CMQ41" s="1221"/>
      <c r="CMR41" s="1221"/>
      <c r="CMS41" s="1221"/>
      <c r="CMT41" s="1221"/>
      <c r="CMU41" s="1221"/>
      <c r="CMV41" s="1221"/>
      <c r="CMW41" s="1221"/>
      <c r="CMX41" s="1221"/>
      <c r="CMY41" s="1221"/>
      <c r="CMZ41" s="1221"/>
      <c r="CNA41" s="1221"/>
      <c r="CNB41" s="1221"/>
      <c r="CNC41" s="1221"/>
      <c r="CND41" s="1221"/>
      <c r="CNE41" s="1221"/>
      <c r="CNF41" s="1221"/>
      <c r="CNG41" s="1221"/>
      <c r="CNH41" s="1221"/>
      <c r="CNI41" s="1221"/>
      <c r="CNJ41" s="1221"/>
      <c r="CNK41" s="1221"/>
      <c r="CNL41" s="1221"/>
      <c r="CNM41" s="1221"/>
      <c r="CNN41" s="1221"/>
      <c r="CNO41" s="1221"/>
      <c r="CNP41" s="1221"/>
      <c r="CNQ41" s="1221"/>
      <c r="CNR41" s="1221"/>
      <c r="CNS41" s="1221"/>
      <c r="CNT41" s="1221"/>
      <c r="CNU41" s="1221"/>
      <c r="CNV41" s="1221"/>
      <c r="CNW41" s="1221"/>
      <c r="CNX41" s="1221"/>
      <c r="CNY41" s="1221"/>
      <c r="CNZ41" s="1221"/>
      <c r="COA41" s="1221"/>
      <c r="COB41" s="1221"/>
      <c r="COC41" s="1221"/>
      <c r="COD41" s="1221"/>
      <c r="COE41" s="1221"/>
      <c r="COF41" s="1221"/>
      <c r="COG41" s="1221"/>
      <c r="COH41" s="1221"/>
      <c r="COI41" s="1221"/>
      <c r="COJ41" s="1221"/>
      <c r="COK41" s="1221"/>
      <c r="COL41" s="1221"/>
      <c r="COM41" s="1221"/>
      <c r="CON41" s="1221"/>
      <c r="COO41" s="1221"/>
      <c r="COP41" s="1221"/>
      <c r="COQ41" s="1221"/>
      <c r="COR41" s="1221"/>
      <c r="COS41" s="1221"/>
      <c r="COT41" s="1221"/>
      <c r="COU41" s="1221"/>
      <c r="COV41" s="1221"/>
      <c r="COW41" s="1221"/>
      <c r="COX41" s="1221"/>
      <c r="COY41" s="1221"/>
      <c r="COZ41" s="1221"/>
      <c r="CPA41" s="1221"/>
      <c r="CPB41" s="1221"/>
      <c r="CPC41" s="1221"/>
      <c r="CPD41" s="1221"/>
      <c r="CPE41" s="1221"/>
      <c r="CPF41" s="1221"/>
      <c r="CPG41" s="1221"/>
      <c r="CPH41" s="1221"/>
      <c r="CPI41" s="1221"/>
      <c r="CPJ41" s="1221"/>
      <c r="CPK41" s="1221"/>
      <c r="CPL41" s="1221"/>
      <c r="CPM41" s="1221"/>
      <c r="CPN41" s="1221"/>
      <c r="CPO41" s="1221"/>
      <c r="CPP41" s="1221"/>
      <c r="CPQ41" s="1221"/>
      <c r="CPR41" s="1221"/>
      <c r="CPS41" s="1221"/>
      <c r="CPT41" s="1221"/>
      <c r="CPU41" s="1221"/>
      <c r="CPV41" s="1221"/>
      <c r="CPW41" s="1221"/>
      <c r="CPX41" s="1221"/>
      <c r="CPY41" s="1221"/>
      <c r="CPZ41" s="1221"/>
      <c r="CQA41" s="1221"/>
      <c r="CQB41" s="1221"/>
      <c r="CQC41" s="1221"/>
      <c r="CQD41" s="1221"/>
      <c r="CQE41" s="1221"/>
      <c r="CQF41" s="1221"/>
      <c r="CQG41" s="1221"/>
      <c r="CQH41" s="1221"/>
      <c r="CQI41" s="1221"/>
      <c r="CQJ41" s="1221"/>
      <c r="CQK41" s="1221"/>
      <c r="CQL41" s="1221"/>
      <c r="CQM41" s="1221"/>
      <c r="CQN41" s="1221"/>
      <c r="CQO41" s="1221"/>
      <c r="CQP41" s="1221"/>
      <c r="CQQ41" s="1221"/>
      <c r="CQR41" s="1221"/>
      <c r="CQS41" s="1221"/>
      <c r="CQT41" s="1221"/>
      <c r="CQU41" s="1221"/>
      <c r="CQV41" s="1221"/>
      <c r="CQW41" s="1221"/>
      <c r="CQX41" s="1221"/>
      <c r="CQY41" s="1221"/>
      <c r="CQZ41" s="1221"/>
      <c r="CRA41" s="1221"/>
      <c r="CRB41" s="1221"/>
      <c r="CRC41" s="1221"/>
      <c r="CRD41" s="1221"/>
      <c r="CRE41" s="1221"/>
      <c r="CRF41" s="1221"/>
      <c r="CRG41" s="1221"/>
      <c r="CRH41" s="1221"/>
      <c r="CRI41" s="1221"/>
      <c r="CRJ41" s="1221"/>
      <c r="CRK41" s="1221"/>
      <c r="CRL41" s="1221"/>
      <c r="CRM41" s="1221"/>
      <c r="CRN41" s="1221"/>
      <c r="CRO41" s="1221"/>
      <c r="CRP41" s="1221"/>
      <c r="CRQ41" s="1221"/>
      <c r="CRR41" s="1221"/>
      <c r="CRS41" s="1221"/>
      <c r="CRT41" s="1221"/>
      <c r="CRU41" s="1221"/>
      <c r="CRV41" s="1221"/>
      <c r="CRW41" s="1221"/>
      <c r="CRX41" s="1221"/>
      <c r="CRY41" s="1221"/>
      <c r="CRZ41" s="1221"/>
      <c r="CSA41" s="1221"/>
      <c r="CSB41" s="1221"/>
      <c r="CSC41" s="1221"/>
      <c r="CSD41" s="1221"/>
      <c r="CSE41" s="1221"/>
      <c r="CSF41" s="1221"/>
      <c r="CSG41" s="1221"/>
      <c r="CSH41" s="1221"/>
      <c r="CSI41" s="1221"/>
      <c r="CSJ41" s="1221"/>
      <c r="CSK41" s="1221"/>
      <c r="CSL41" s="1221"/>
      <c r="CSM41" s="1221"/>
      <c r="CSN41" s="1221"/>
      <c r="CSO41" s="1221"/>
      <c r="CSP41" s="1221"/>
      <c r="CSQ41" s="1221"/>
      <c r="CSR41" s="1221"/>
      <c r="CSS41" s="1221"/>
      <c r="CST41" s="1221"/>
      <c r="CSU41" s="1221"/>
      <c r="CSV41" s="1221"/>
      <c r="CSW41" s="1221"/>
      <c r="CSX41" s="1221"/>
      <c r="CSY41" s="1221"/>
      <c r="CSZ41" s="1221"/>
      <c r="CTA41" s="1221"/>
      <c r="CTB41" s="1221"/>
      <c r="CTC41" s="1221"/>
      <c r="CTD41" s="1221"/>
      <c r="CTE41" s="1221"/>
      <c r="CTF41" s="1221"/>
      <c r="CTG41" s="1221"/>
      <c r="CTH41" s="1221"/>
      <c r="CTI41" s="1221"/>
      <c r="CTJ41" s="1221"/>
      <c r="CTK41" s="1221"/>
      <c r="CTL41" s="1221"/>
      <c r="CTM41" s="1221"/>
      <c r="CTN41" s="1221"/>
      <c r="CTO41" s="1221"/>
      <c r="CTP41" s="1221"/>
      <c r="CTQ41" s="1221"/>
      <c r="CTR41" s="1221"/>
      <c r="CTS41" s="1221"/>
      <c r="CTT41" s="1221"/>
      <c r="CTU41" s="1221"/>
      <c r="CTV41" s="1221"/>
      <c r="CTW41" s="1221"/>
      <c r="CTX41" s="1221"/>
      <c r="CTY41" s="1221"/>
      <c r="CTZ41" s="1221"/>
      <c r="CUA41" s="1221"/>
      <c r="CUB41" s="1221"/>
      <c r="CUC41" s="1221"/>
      <c r="CUD41" s="1221"/>
      <c r="CUE41" s="1221"/>
      <c r="CUF41" s="1221"/>
      <c r="CUG41" s="1221"/>
      <c r="CUH41" s="1221"/>
      <c r="CUI41" s="1221"/>
      <c r="CUJ41" s="1221"/>
      <c r="CUK41" s="1221"/>
      <c r="CUL41" s="1221"/>
      <c r="CUM41" s="1221"/>
      <c r="CUN41" s="1221"/>
      <c r="CUO41" s="1221"/>
      <c r="CUP41" s="1221"/>
      <c r="CUQ41" s="1221"/>
      <c r="CUR41" s="1221"/>
      <c r="CUS41" s="1221"/>
      <c r="CUT41" s="1221"/>
      <c r="CUU41" s="1221"/>
      <c r="CUV41" s="1221"/>
      <c r="CUW41" s="1221"/>
      <c r="CUX41" s="1221"/>
      <c r="CUY41" s="1221"/>
      <c r="CUZ41" s="1221"/>
      <c r="CVA41" s="1221"/>
      <c r="CVB41" s="1221"/>
      <c r="CVC41" s="1221"/>
      <c r="CVD41" s="1221"/>
      <c r="CVE41" s="1221"/>
      <c r="CVF41" s="1221"/>
      <c r="CVG41" s="1221"/>
      <c r="CVH41" s="1221"/>
      <c r="CVI41" s="1221"/>
      <c r="CVJ41" s="1221"/>
      <c r="CVK41" s="1221"/>
      <c r="CVL41" s="1221"/>
      <c r="CVM41" s="1221"/>
      <c r="CVN41" s="1221"/>
      <c r="CVO41" s="1221"/>
      <c r="CVP41" s="1221"/>
      <c r="CVQ41" s="1221"/>
      <c r="CVR41" s="1221"/>
      <c r="CVS41" s="1221"/>
      <c r="CVT41" s="1221"/>
      <c r="CVU41" s="1221"/>
      <c r="CVV41" s="1221"/>
      <c r="CVW41" s="1221"/>
      <c r="CVX41" s="1221"/>
      <c r="CVY41" s="1221"/>
      <c r="CVZ41" s="1221"/>
      <c r="CWA41" s="1221"/>
      <c r="CWB41" s="1221"/>
      <c r="CWC41" s="1221"/>
      <c r="CWD41" s="1221"/>
      <c r="CWE41" s="1221"/>
      <c r="CWF41" s="1221"/>
      <c r="CWG41" s="1221"/>
      <c r="CWH41" s="1221"/>
      <c r="CWI41" s="1221"/>
      <c r="CWJ41" s="1221"/>
      <c r="CWK41" s="1221"/>
      <c r="CWL41" s="1221"/>
      <c r="CWM41" s="1221"/>
      <c r="CWN41" s="1221"/>
      <c r="CWO41" s="1221"/>
      <c r="CWP41" s="1221"/>
      <c r="CWQ41" s="1221"/>
      <c r="CWR41" s="1221"/>
      <c r="CWS41" s="1221"/>
      <c r="CWT41" s="1221"/>
      <c r="CWU41" s="1221"/>
      <c r="CWV41" s="1221"/>
      <c r="CWW41" s="1221"/>
      <c r="CWX41" s="1221"/>
      <c r="CWY41" s="1221"/>
      <c r="CWZ41" s="1221"/>
      <c r="CXA41" s="1221"/>
      <c r="CXB41" s="1221"/>
      <c r="CXC41" s="1221"/>
      <c r="CXD41" s="1221"/>
      <c r="CXE41" s="1221"/>
      <c r="CXF41" s="1221"/>
      <c r="CXG41" s="1221"/>
      <c r="CXH41" s="1221"/>
      <c r="CXI41" s="1221"/>
      <c r="CXJ41" s="1221"/>
      <c r="CXK41" s="1221"/>
      <c r="CXL41" s="1221"/>
      <c r="CXM41" s="1221"/>
      <c r="CXN41" s="1221"/>
      <c r="CXO41" s="1221"/>
      <c r="CXP41" s="1221"/>
      <c r="CXQ41" s="1221"/>
      <c r="CXR41" s="1221"/>
      <c r="CXS41" s="1221"/>
      <c r="CXT41" s="1221"/>
      <c r="CXU41" s="1221"/>
      <c r="CXV41" s="1221"/>
      <c r="CXW41" s="1221"/>
      <c r="CXX41" s="1221"/>
      <c r="CXY41" s="1221"/>
      <c r="CXZ41" s="1221"/>
      <c r="CYA41" s="1221"/>
      <c r="CYB41" s="1221"/>
      <c r="CYC41" s="1221"/>
      <c r="CYD41" s="1221"/>
      <c r="CYE41" s="1221"/>
      <c r="CYF41" s="1221"/>
      <c r="CYG41" s="1221"/>
      <c r="CYH41" s="1221"/>
      <c r="CYI41" s="1221"/>
      <c r="CYJ41" s="1221"/>
      <c r="CYK41" s="1221"/>
      <c r="CYL41" s="1221"/>
      <c r="CYM41" s="1221"/>
      <c r="CYN41" s="1221"/>
      <c r="CYO41" s="1221"/>
      <c r="CYP41" s="1221"/>
      <c r="CYQ41" s="1221"/>
      <c r="CYR41" s="1221"/>
      <c r="CYS41" s="1221"/>
      <c r="CYT41" s="1221"/>
      <c r="CYU41" s="1221"/>
      <c r="CYV41" s="1221"/>
      <c r="CYW41" s="1221"/>
      <c r="CYX41" s="1221"/>
      <c r="CYY41" s="1221"/>
      <c r="CYZ41" s="1221"/>
      <c r="CZA41" s="1221"/>
      <c r="CZB41" s="1221"/>
      <c r="CZC41" s="1221"/>
      <c r="CZD41" s="1221"/>
      <c r="CZE41" s="1221"/>
      <c r="CZF41" s="1221"/>
      <c r="CZG41" s="1221"/>
      <c r="CZH41" s="1221"/>
      <c r="CZI41" s="1221"/>
      <c r="CZJ41" s="1221"/>
      <c r="CZK41" s="1221"/>
      <c r="CZL41" s="1221"/>
      <c r="CZM41" s="1221"/>
      <c r="CZN41" s="1221"/>
      <c r="CZO41" s="1221"/>
      <c r="CZP41" s="1221"/>
      <c r="CZQ41" s="1221"/>
      <c r="CZR41" s="1221"/>
      <c r="CZS41" s="1221"/>
      <c r="CZT41" s="1221"/>
      <c r="CZU41" s="1221"/>
      <c r="CZV41" s="1221"/>
      <c r="CZW41" s="1221"/>
      <c r="CZX41" s="1221"/>
      <c r="CZY41" s="1221"/>
      <c r="CZZ41" s="1221"/>
      <c r="DAA41" s="1221"/>
      <c r="DAB41" s="1221"/>
      <c r="DAC41" s="1221"/>
      <c r="DAD41" s="1221"/>
      <c r="DAE41" s="1221"/>
      <c r="DAF41" s="1221"/>
      <c r="DAG41" s="1221"/>
      <c r="DAH41" s="1221"/>
      <c r="DAI41" s="1221"/>
      <c r="DAJ41" s="1221"/>
      <c r="DAK41" s="1221"/>
      <c r="DAL41" s="1221"/>
      <c r="DAM41" s="1221"/>
      <c r="DAN41" s="1221"/>
      <c r="DAO41" s="1221"/>
      <c r="DAP41" s="1221"/>
      <c r="DAQ41" s="1221"/>
      <c r="DAR41" s="1221"/>
      <c r="DAS41" s="1221"/>
      <c r="DAT41" s="1221"/>
      <c r="DAU41" s="1221"/>
      <c r="DAV41" s="1221"/>
      <c r="DAW41" s="1221"/>
      <c r="DAX41" s="1221"/>
      <c r="DAY41" s="1221"/>
      <c r="DAZ41" s="1221"/>
      <c r="DBA41" s="1221"/>
      <c r="DBB41" s="1221"/>
      <c r="DBC41" s="1221"/>
      <c r="DBD41" s="1221"/>
      <c r="DBE41" s="1221"/>
      <c r="DBF41" s="1221"/>
      <c r="DBG41" s="1221"/>
      <c r="DBH41" s="1221"/>
      <c r="DBI41" s="1221"/>
      <c r="DBJ41" s="1221"/>
      <c r="DBK41" s="1221"/>
      <c r="DBL41" s="1221"/>
      <c r="DBM41" s="1221"/>
      <c r="DBN41" s="1221"/>
      <c r="DBO41" s="1221"/>
      <c r="DBP41" s="1221"/>
      <c r="DBQ41" s="1221"/>
      <c r="DBR41" s="1221"/>
      <c r="DBS41" s="1221"/>
      <c r="DBT41" s="1221"/>
      <c r="DBU41" s="1221"/>
      <c r="DBV41" s="1221"/>
      <c r="DBW41" s="1221"/>
      <c r="DBX41" s="1221"/>
      <c r="DBY41" s="1221"/>
      <c r="DBZ41" s="1221"/>
      <c r="DCA41" s="1221"/>
      <c r="DCB41" s="1221"/>
      <c r="DCC41" s="1221"/>
      <c r="DCD41" s="1221"/>
      <c r="DCE41" s="1221"/>
      <c r="DCF41" s="1221"/>
      <c r="DCG41" s="1221"/>
      <c r="DCH41" s="1221"/>
      <c r="DCI41" s="1221"/>
      <c r="DCJ41" s="1221"/>
      <c r="DCK41" s="1221"/>
      <c r="DCL41" s="1221"/>
      <c r="DCM41" s="1221"/>
      <c r="DCN41" s="1221"/>
      <c r="DCO41" s="1221"/>
      <c r="DCP41" s="1221"/>
      <c r="DCQ41" s="1221"/>
      <c r="DCR41" s="1221"/>
      <c r="DCS41" s="1221"/>
      <c r="DCT41" s="1221"/>
      <c r="DCU41" s="1221"/>
      <c r="DCV41" s="1221"/>
      <c r="DCW41" s="1221"/>
      <c r="DCX41" s="1221"/>
      <c r="DCY41" s="1221"/>
      <c r="DCZ41" s="1221"/>
      <c r="DDA41" s="1221"/>
      <c r="DDB41" s="1221"/>
      <c r="DDC41" s="1221"/>
      <c r="DDD41" s="1221"/>
      <c r="DDE41" s="1221"/>
      <c r="DDF41" s="1221"/>
      <c r="DDG41" s="1221"/>
      <c r="DDH41" s="1221"/>
      <c r="DDI41" s="1221"/>
      <c r="DDJ41" s="1221"/>
      <c r="DDK41" s="1221"/>
      <c r="DDL41" s="1221"/>
      <c r="DDM41" s="1221"/>
      <c r="DDN41" s="1221"/>
      <c r="DDO41" s="1221"/>
      <c r="DDP41" s="1221"/>
      <c r="DDQ41" s="1221"/>
      <c r="DDR41" s="1221"/>
      <c r="DDS41" s="1221"/>
      <c r="DDT41" s="1221"/>
      <c r="DDU41" s="1221"/>
      <c r="DDV41" s="1221"/>
      <c r="DDW41" s="1221"/>
      <c r="DDX41" s="1221"/>
      <c r="DDY41" s="1221"/>
      <c r="DDZ41" s="1221"/>
      <c r="DEA41" s="1221"/>
      <c r="DEB41" s="1221"/>
      <c r="DEC41" s="1221"/>
      <c r="DED41" s="1221"/>
      <c r="DEE41" s="1221"/>
      <c r="DEF41" s="1221"/>
      <c r="DEG41" s="1221"/>
      <c r="DEH41" s="1221"/>
      <c r="DEI41" s="1221"/>
      <c r="DEJ41" s="1221"/>
      <c r="DEK41" s="1221"/>
      <c r="DEL41" s="1221"/>
      <c r="DEM41" s="1221"/>
      <c r="DEN41" s="1221"/>
      <c r="DEO41" s="1221"/>
      <c r="DEP41" s="1221"/>
      <c r="DEQ41" s="1221"/>
      <c r="DER41" s="1221"/>
      <c r="DES41" s="1221"/>
      <c r="DET41" s="1221"/>
      <c r="DEU41" s="1221"/>
      <c r="DEV41" s="1221"/>
      <c r="DEW41" s="1221"/>
      <c r="DEX41" s="1221"/>
      <c r="DEY41" s="1221"/>
      <c r="DEZ41" s="1221"/>
      <c r="DFA41" s="1221"/>
      <c r="DFB41" s="1221"/>
      <c r="DFC41" s="1221"/>
      <c r="DFD41" s="1221"/>
      <c r="DFE41" s="1221"/>
      <c r="DFF41" s="1221"/>
      <c r="DFG41" s="1221"/>
      <c r="DFH41" s="1221"/>
      <c r="DFI41" s="1221"/>
      <c r="DFJ41" s="1221"/>
      <c r="DFK41" s="1221"/>
      <c r="DFL41" s="1221"/>
      <c r="DFM41" s="1221"/>
      <c r="DFN41" s="1221"/>
      <c r="DFO41" s="1221"/>
      <c r="DFP41" s="1221"/>
      <c r="DFQ41" s="1221"/>
      <c r="DFR41" s="1221"/>
      <c r="DFS41" s="1221"/>
      <c r="DFT41" s="1221"/>
      <c r="DFU41" s="1221"/>
      <c r="DFV41" s="1221"/>
      <c r="DFW41" s="1221"/>
      <c r="DFX41" s="1221"/>
      <c r="DFY41" s="1221"/>
      <c r="DFZ41" s="1221"/>
      <c r="DGA41" s="1221"/>
      <c r="DGB41" s="1221"/>
      <c r="DGC41" s="1221"/>
      <c r="DGD41" s="1221"/>
      <c r="DGE41" s="1221"/>
      <c r="DGF41" s="1221"/>
      <c r="DGG41" s="1221"/>
      <c r="DGH41" s="1221"/>
      <c r="DGI41" s="1221"/>
      <c r="DGJ41" s="1221"/>
      <c r="DGK41" s="1221"/>
      <c r="DGL41" s="1221"/>
      <c r="DGM41" s="1221"/>
      <c r="DGN41" s="1221"/>
      <c r="DGO41" s="1221"/>
      <c r="DGP41" s="1221"/>
      <c r="DGQ41" s="1221"/>
      <c r="DGR41" s="1221"/>
      <c r="DGS41" s="1221"/>
      <c r="DGT41" s="1221"/>
      <c r="DGU41" s="1221"/>
      <c r="DGV41" s="1221"/>
      <c r="DGW41" s="1221"/>
      <c r="DGX41" s="1221"/>
      <c r="DGY41" s="1221"/>
      <c r="DGZ41" s="1221"/>
      <c r="DHA41" s="1221"/>
      <c r="DHB41" s="1221"/>
      <c r="DHC41" s="1221"/>
      <c r="DHD41" s="1221"/>
      <c r="DHE41" s="1221"/>
      <c r="DHF41" s="1221"/>
      <c r="DHG41" s="1221"/>
      <c r="DHH41" s="1221"/>
      <c r="DHI41" s="1221"/>
      <c r="DHJ41" s="1221"/>
      <c r="DHK41" s="1221"/>
      <c r="DHL41" s="1221"/>
      <c r="DHM41" s="1221"/>
      <c r="DHN41" s="1221"/>
      <c r="DHO41" s="1221"/>
      <c r="DHP41" s="1221"/>
      <c r="DHQ41" s="1221"/>
      <c r="DHR41" s="1221"/>
      <c r="DHS41" s="1221"/>
      <c r="DHT41" s="1221"/>
      <c r="DHU41" s="1221"/>
      <c r="DHV41" s="1221"/>
      <c r="DHW41" s="1221"/>
      <c r="DHX41" s="1221"/>
      <c r="DHY41" s="1221"/>
      <c r="DHZ41" s="1221"/>
      <c r="DIA41" s="1221"/>
      <c r="DIB41" s="1221"/>
      <c r="DIC41" s="1221"/>
      <c r="DID41" s="1221"/>
      <c r="DIE41" s="1221"/>
      <c r="DIF41" s="1221"/>
      <c r="DIG41" s="1221"/>
      <c r="DIH41" s="1221"/>
      <c r="DII41" s="1221"/>
      <c r="DIJ41" s="1221"/>
      <c r="DIK41" s="1221"/>
      <c r="DIL41" s="1221"/>
      <c r="DIM41" s="1221"/>
      <c r="DIN41" s="1221"/>
      <c r="DIO41" s="1221"/>
      <c r="DIP41" s="1221"/>
      <c r="DIQ41" s="1221"/>
      <c r="DIR41" s="1221"/>
      <c r="DIS41" s="1221"/>
      <c r="DIT41" s="1221"/>
      <c r="DIU41" s="1221"/>
      <c r="DIV41" s="1221"/>
      <c r="DIW41" s="1221"/>
      <c r="DIX41" s="1221"/>
      <c r="DIY41" s="1221"/>
      <c r="DIZ41" s="1221"/>
      <c r="DJA41" s="1221"/>
      <c r="DJB41" s="1221"/>
      <c r="DJC41" s="1221"/>
      <c r="DJD41" s="1221"/>
      <c r="DJE41" s="1221"/>
      <c r="DJF41" s="1221"/>
      <c r="DJG41" s="1221"/>
      <c r="DJH41" s="1221"/>
      <c r="DJI41" s="1221"/>
      <c r="DJJ41" s="1221"/>
      <c r="DJK41" s="1221"/>
      <c r="DJL41" s="1221"/>
      <c r="DJM41" s="1221"/>
      <c r="DJN41" s="1221"/>
      <c r="DJO41" s="1221"/>
      <c r="DJP41" s="1221"/>
      <c r="DJQ41" s="1221"/>
      <c r="DJR41" s="1221"/>
      <c r="DJS41" s="1221"/>
      <c r="DJT41" s="1221"/>
      <c r="DJU41" s="1221"/>
      <c r="DJV41" s="1221"/>
      <c r="DJW41" s="1221"/>
      <c r="DJX41" s="1221"/>
      <c r="DJY41" s="1221"/>
      <c r="DJZ41" s="1221"/>
      <c r="DKA41" s="1221"/>
      <c r="DKB41" s="1221"/>
      <c r="DKC41" s="1221"/>
      <c r="DKD41" s="1221"/>
      <c r="DKE41" s="1221"/>
      <c r="DKF41" s="1221"/>
      <c r="DKG41" s="1221"/>
      <c r="DKH41" s="1221"/>
      <c r="DKI41" s="1221"/>
      <c r="DKJ41" s="1221"/>
      <c r="DKK41" s="1221"/>
      <c r="DKL41" s="1221"/>
      <c r="DKM41" s="1221"/>
      <c r="DKN41" s="1221"/>
      <c r="DKO41" s="1221"/>
      <c r="DKP41" s="1221"/>
      <c r="DKQ41" s="1221"/>
      <c r="DKR41" s="1221"/>
      <c r="DKS41" s="1221"/>
      <c r="DKT41" s="1221"/>
      <c r="DKU41" s="1221"/>
      <c r="DKV41" s="1221"/>
      <c r="DKW41" s="1221"/>
      <c r="DKX41" s="1221"/>
      <c r="DKY41" s="1221"/>
      <c r="DKZ41" s="1221"/>
      <c r="DLA41" s="1221"/>
      <c r="DLB41" s="1221"/>
      <c r="DLC41" s="1221"/>
      <c r="DLD41" s="1221"/>
      <c r="DLE41" s="1221"/>
      <c r="DLF41" s="1221"/>
      <c r="DLG41" s="1221"/>
      <c r="DLH41" s="1221"/>
      <c r="DLI41" s="1221"/>
      <c r="DLJ41" s="1221"/>
      <c r="DLK41" s="1221"/>
      <c r="DLL41" s="1221"/>
      <c r="DLM41" s="1221"/>
      <c r="DLN41" s="1221"/>
      <c r="DLO41" s="1221"/>
      <c r="DLP41" s="1221"/>
      <c r="DLQ41" s="1221"/>
      <c r="DLR41" s="1221"/>
      <c r="DLS41" s="1221"/>
      <c r="DLT41" s="1221"/>
      <c r="DLU41" s="1221"/>
      <c r="DLV41" s="1221"/>
      <c r="DLW41" s="1221"/>
      <c r="DLX41" s="1221"/>
      <c r="DLY41" s="1221"/>
      <c r="DLZ41" s="1221"/>
      <c r="DMA41" s="1221"/>
      <c r="DMB41" s="1221"/>
      <c r="DMC41" s="1221"/>
      <c r="DMD41" s="1221"/>
      <c r="DME41" s="1221"/>
      <c r="DMF41" s="1221"/>
      <c r="DMG41" s="1221"/>
      <c r="DMH41" s="1221"/>
      <c r="DMI41" s="1221"/>
      <c r="DMJ41" s="1221"/>
      <c r="DMK41" s="1221"/>
      <c r="DML41" s="1221"/>
      <c r="DMM41" s="1221"/>
      <c r="DMN41" s="1221"/>
      <c r="DMO41" s="1221"/>
      <c r="DMP41" s="1221"/>
      <c r="DMQ41" s="1221"/>
      <c r="DMR41" s="1221"/>
      <c r="DMS41" s="1221"/>
      <c r="DMT41" s="1221"/>
      <c r="DMU41" s="1221"/>
      <c r="DMV41" s="1221"/>
      <c r="DMW41" s="1221"/>
      <c r="DMX41" s="1221"/>
      <c r="DMY41" s="1221"/>
      <c r="DMZ41" s="1221"/>
      <c r="DNA41" s="1221"/>
      <c r="DNB41" s="1221"/>
      <c r="DNC41" s="1221"/>
      <c r="DND41" s="1221"/>
      <c r="DNE41" s="1221"/>
      <c r="DNF41" s="1221"/>
      <c r="DNG41" s="1221"/>
      <c r="DNH41" s="1221"/>
      <c r="DNI41" s="1221"/>
      <c r="DNJ41" s="1221"/>
      <c r="DNK41" s="1221"/>
      <c r="DNL41" s="1221"/>
      <c r="DNM41" s="1221"/>
      <c r="DNN41" s="1221"/>
      <c r="DNO41" s="1221"/>
      <c r="DNP41" s="1221"/>
      <c r="DNQ41" s="1221"/>
      <c r="DNR41" s="1221"/>
      <c r="DNS41" s="1221"/>
      <c r="DNT41" s="1221"/>
      <c r="DNU41" s="1221"/>
      <c r="DNV41" s="1221"/>
      <c r="DNW41" s="1221"/>
      <c r="DNX41" s="1221"/>
      <c r="DNY41" s="1221"/>
      <c r="DNZ41" s="1221"/>
      <c r="DOA41" s="1221"/>
      <c r="DOB41" s="1221"/>
      <c r="DOC41" s="1221"/>
      <c r="DOD41" s="1221"/>
      <c r="DOE41" s="1221"/>
      <c r="DOF41" s="1221"/>
      <c r="DOG41" s="1221"/>
      <c r="DOH41" s="1221"/>
      <c r="DOI41" s="1221"/>
      <c r="DOJ41" s="1221"/>
      <c r="DOK41" s="1221"/>
      <c r="DOL41" s="1221"/>
      <c r="DOM41" s="1221"/>
      <c r="DON41" s="1221"/>
      <c r="DOO41" s="1221"/>
      <c r="DOP41" s="1221"/>
      <c r="DOQ41" s="1221"/>
      <c r="DOR41" s="1221"/>
      <c r="DOS41" s="1221"/>
      <c r="DOT41" s="1221"/>
      <c r="DOU41" s="1221"/>
      <c r="DOV41" s="1221"/>
      <c r="DOW41" s="1221"/>
      <c r="DOX41" s="1221"/>
      <c r="DOY41" s="1221"/>
      <c r="DOZ41" s="1221"/>
      <c r="DPA41" s="1221"/>
      <c r="DPB41" s="1221"/>
      <c r="DPC41" s="1221"/>
      <c r="DPD41" s="1221"/>
      <c r="DPE41" s="1221"/>
      <c r="DPF41" s="1221"/>
      <c r="DPG41" s="1221"/>
      <c r="DPH41" s="1221"/>
      <c r="DPI41" s="1221"/>
      <c r="DPJ41" s="1221"/>
      <c r="DPK41" s="1221"/>
      <c r="DPL41" s="1221"/>
      <c r="DPM41" s="1221"/>
      <c r="DPN41" s="1221"/>
      <c r="DPO41" s="1221"/>
      <c r="DPP41" s="1221"/>
      <c r="DPQ41" s="1221"/>
      <c r="DPR41" s="1221"/>
      <c r="DPS41" s="1221"/>
      <c r="DPT41" s="1221"/>
      <c r="DPU41" s="1221"/>
      <c r="DPV41" s="1221"/>
      <c r="DPW41" s="1221"/>
      <c r="DPX41" s="1221"/>
      <c r="DPY41" s="1221"/>
      <c r="DPZ41" s="1221"/>
      <c r="DQA41" s="1221"/>
      <c r="DQB41" s="1221"/>
      <c r="DQC41" s="1221"/>
      <c r="DQD41" s="1221"/>
      <c r="DQE41" s="1221"/>
      <c r="DQF41" s="1221"/>
      <c r="DQG41" s="1221"/>
      <c r="DQH41" s="1221"/>
      <c r="DQI41" s="1221"/>
      <c r="DQJ41" s="1221"/>
      <c r="DQK41" s="1221"/>
      <c r="DQL41" s="1221"/>
      <c r="DQM41" s="1221"/>
      <c r="DQN41" s="1221"/>
      <c r="DQO41" s="1221"/>
      <c r="DQP41" s="1221"/>
      <c r="DQQ41" s="1221"/>
      <c r="DQR41" s="1221"/>
      <c r="DQS41" s="1221"/>
      <c r="DQT41" s="1221"/>
      <c r="DQU41" s="1221"/>
      <c r="DQV41" s="1221"/>
      <c r="DQW41" s="1221"/>
      <c r="DQX41" s="1221"/>
      <c r="DQY41" s="1221"/>
      <c r="DQZ41" s="1221"/>
      <c r="DRA41" s="1221"/>
      <c r="DRB41" s="1221"/>
      <c r="DRC41" s="1221"/>
      <c r="DRD41" s="1221"/>
      <c r="DRE41" s="1221"/>
      <c r="DRF41" s="1221"/>
      <c r="DRG41" s="1221"/>
      <c r="DRH41" s="1221"/>
      <c r="DRI41" s="1221"/>
      <c r="DRJ41" s="1221"/>
      <c r="DRK41" s="1221"/>
      <c r="DRL41" s="1221"/>
      <c r="DRM41" s="1221"/>
      <c r="DRN41" s="1221"/>
      <c r="DRO41" s="1221"/>
      <c r="DRP41" s="1221"/>
      <c r="DRQ41" s="1221"/>
      <c r="DRR41" s="1221"/>
      <c r="DRS41" s="1221"/>
      <c r="DRT41" s="1221"/>
      <c r="DRU41" s="1221"/>
      <c r="DRV41" s="1221"/>
      <c r="DRW41" s="1221"/>
      <c r="DRX41" s="1221"/>
      <c r="DRY41" s="1221"/>
      <c r="DRZ41" s="1221"/>
      <c r="DSA41" s="1221"/>
      <c r="DSB41" s="1221"/>
      <c r="DSC41" s="1221"/>
      <c r="DSD41" s="1221"/>
      <c r="DSE41" s="1221"/>
      <c r="DSF41" s="1221"/>
      <c r="DSG41" s="1221"/>
      <c r="DSH41" s="1221"/>
      <c r="DSI41" s="1221"/>
      <c r="DSJ41" s="1221"/>
      <c r="DSK41" s="1221"/>
      <c r="DSL41" s="1221"/>
      <c r="DSM41" s="1221"/>
      <c r="DSN41" s="1221"/>
      <c r="DSO41" s="1221"/>
      <c r="DSP41" s="1221"/>
      <c r="DSQ41" s="1221"/>
      <c r="DSR41" s="1221"/>
      <c r="DSS41" s="1221"/>
      <c r="DST41" s="1221"/>
      <c r="DSU41" s="1221"/>
      <c r="DSV41" s="1221"/>
      <c r="DSW41" s="1221"/>
      <c r="DSX41" s="1221"/>
      <c r="DSY41" s="1221"/>
      <c r="DSZ41" s="1221"/>
      <c r="DTA41" s="1221"/>
      <c r="DTB41" s="1221"/>
      <c r="DTC41" s="1221"/>
      <c r="DTD41" s="1221"/>
      <c r="DTE41" s="1221"/>
      <c r="DTF41" s="1221"/>
      <c r="DTG41" s="1221"/>
      <c r="DTH41" s="1221"/>
      <c r="DTI41" s="1221"/>
      <c r="DTJ41" s="1221"/>
      <c r="DTK41" s="1221"/>
      <c r="DTL41" s="1221"/>
      <c r="DTM41" s="1221"/>
      <c r="DTN41" s="1221"/>
      <c r="DTO41" s="1221"/>
      <c r="DTP41" s="1221"/>
      <c r="DTQ41" s="1221"/>
      <c r="DTR41" s="1221"/>
      <c r="DTS41" s="1221"/>
      <c r="DTT41" s="1221"/>
      <c r="DTU41" s="1221"/>
      <c r="DTV41" s="1221"/>
      <c r="DTW41" s="1221"/>
      <c r="DTX41" s="1221"/>
      <c r="DTY41" s="1221"/>
      <c r="DTZ41" s="1221"/>
      <c r="DUA41" s="1221"/>
      <c r="DUB41" s="1221"/>
      <c r="DUC41" s="1221"/>
      <c r="DUD41" s="1221"/>
      <c r="DUE41" s="1221"/>
      <c r="DUF41" s="1221"/>
      <c r="DUG41" s="1221"/>
      <c r="DUH41" s="1221"/>
      <c r="DUI41" s="1221"/>
      <c r="DUJ41" s="1221"/>
      <c r="DUK41" s="1221"/>
      <c r="DUL41" s="1221"/>
      <c r="DUM41" s="1221"/>
      <c r="DUN41" s="1221"/>
      <c r="DUO41" s="1221"/>
      <c r="DUP41" s="1221"/>
      <c r="DUQ41" s="1221"/>
      <c r="DUR41" s="1221"/>
      <c r="DUS41" s="1221"/>
      <c r="DUT41" s="1221"/>
      <c r="DUU41" s="1221"/>
      <c r="DUV41" s="1221"/>
      <c r="DUW41" s="1221"/>
      <c r="DUX41" s="1221"/>
      <c r="DUY41" s="1221"/>
      <c r="DUZ41" s="1221"/>
      <c r="DVA41" s="1221"/>
      <c r="DVB41" s="1221"/>
      <c r="DVC41" s="1221"/>
      <c r="DVD41" s="1221"/>
      <c r="DVE41" s="1221"/>
      <c r="DVF41" s="1221"/>
      <c r="DVG41" s="1221"/>
      <c r="DVH41" s="1221"/>
      <c r="DVI41" s="1221"/>
      <c r="DVJ41" s="1221"/>
      <c r="DVK41" s="1221"/>
      <c r="DVL41" s="1221"/>
      <c r="DVM41" s="1221"/>
      <c r="DVN41" s="1221"/>
      <c r="DVO41" s="1221"/>
      <c r="DVP41" s="1221"/>
      <c r="DVQ41" s="1221"/>
      <c r="DVR41" s="1221"/>
      <c r="DVS41" s="1221"/>
      <c r="DVT41" s="1221"/>
      <c r="DVU41" s="1221"/>
      <c r="DVV41" s="1221"/>
      <c r="DVW41" s="1221"/>
      <c r="DVX41" s="1221"/>
      <c r="DVY41" s="1221"/>
      <c r="DVZ41" s="1221"/>
      <c r="DWA41" s="1221"/>
      <c r="DWB41" s="1221"/>
      <c r="DWC41" s="1221"/>
      <c r="DWD41" s="1221"/>
      <c r="DWE41" s="1221"/>
      <c r="DWF41" s="1221"/>
      <c r="DWG41" s="1221"/>
      <c r="DWH41" s="1221"/>
      <c r="DWI41" s="1221"/>
      <c r="DWJ41" s="1221"/>
      <c r="DWK41" s="1221"/>
      <c r="DWL41" s="1221"/>
      <c r="DWM41" s="1221"/>
      <c r="DWN41" s="1221"/>
      <c r="DWO41" s="1221"/>
      <c r="DWP41" s="1221"/>
      <c r="DWQ41" s="1221"/>
      <c r="DWR41" s="1221"/>
      <c r="DWS41" s="1221"/>
      <c r="DWT41" s="1221"/>
      <c r="DWU41" s="1221"/>
      <c r="DWV41" s="1221"/>
      <c r="DWW41" s="1221"/>
      <c r="DWX41" s="1221"/>
      <c r="DWY41" s="1221"/>
      <c r="DWZ41" s="1221"/>
      <c r="DXA41" s="1221"/>
      <c r="DXB41" s="1221"/>
      <c r="DXC41" s="1221"/>
      <c r="DXD41" s="1221"/>
      <c r="DXE41" s="1221"/>
      <c r="DXF41" s="1221"/>
      <c r="DXG41" s="1221"/>
      <c r="DXH41" s="1221"/>
      <c r="DXI41" s="1221"/>
      <c r="DXJ41" s="1221"/>
      <c r="DXK41" s="1221"/>
      <c r="DXL41" s="1221"/>
      <c r="DXM41" s="1221"/>
      <c r="DXN41" s="1221"/>
      <c r="DXO41" s="1221"/>
      <c r="DXP41" s="1221"/>
      <c r="DXQ41" s="1221"/>
      <c r="DXR41" s="1221"/>
      <c r="DXS41" s="1221"/>
      <c r="DXT41" s="1221"/>
      <c r="DXU41" s="1221"/>
      <c r="DXV41" s="1221"/>
      <c r="DXW41" s="1221"/>
      <c r="DXX41" s="1221"/>
      <c r="DXY41" s="1221"/>
      <c r="DXZ41" s="1221"/>
      <c r="DYA41" s="1221"/>
      <c r="DYB41" s="1221"/>
      <c r="DYC41" s="1221"/>
      <c r="DYD41" s="1221"/>
      <c r="DYE41" s="1221"/>
      <c r="DYF41" s="1221"/>
      <c r="DYG41" s="1221"/>
      <c r="DYH41" s="1221"/>
      <c r="DYI41" s="1221"/>
      <c r="DYJ41" s="1221"/>
      <c r="DYK41" s="1221"/>
      <c r="DYL41" s="1221"/>
      <c r="DYM41" s="1221"/>
      <c r="DYN41" s="1221"/>
      <c r="DYO41" s="1221"/>
      <c r="DYP41" s="1221"/>
      <c r="DYQ41" s="1221"/>
      <c r="DYR41" s="1221"/>
      <c r="DYS41" s="1221"/>
      <c r="DYT41" s="1221"/>
      <c r="DYU41" s="1221"/>
      <c r="DYV41" s="1221"/>
      <c r="DYW41" s="1221"/>
      <c r="DYX41" s="1221"/>
      <c r="DYY41" s="1221"/>
      <c r="DYZ41" s="1221"/>
      <c r="DZA41" s="1221"/>
      <c r="DZB41" s="1221"/>
      <c r="DZC41" s="1221"/>
      <c r="DZD41" s="1221"/>
      <c r="DZE41" s="1221"/>
      <c r="DZF41" s="1221"/>
      <c r="DZG41" s="1221"/>
      <c r="DZH41" s="1221"/>
      <c r="DZI41" s="1221"/>
      <c r="DZJ41" s="1221"/>
      <c r="DZK41" s="1221"/>
      <c r="DZL41" s="1221"/>
      <c r="DZM41" s="1221"/>
      <c r="DZN41" s="1221"/>
      <c r="DZO41" s="1221"/>
      <c r="DZP41" s="1221"/>
      <c r="DZQ41" s="1221"/>
      <c r="DZR41" s="1221"/>
      <c r="DZS41" s="1221"/>
      <c r="DZT41" s="1221"/>
      <c r="DZU41" s="1221"/>
      <c r="DZV41" s="1221"/>
      <c r="DZW41" s="1221"/>
      <c r="DZX41" s="1221"/>
      <c r="DZY41" s="1221"/>
      <c r="DZZ41" s="1221"/>
      <c r="EAA41" s="1221"/>
      <c r="EAB41" s="1221"/>
      <c r="EAC41" s="1221"/>
      <c r="EAD41" s="1221"/>
      <c r="EAE41" s="1221"/>
      <c r="EAF41" s="1221"/>
      <c r="EAG41" s="1221"/>
      <c r="EAH41" s="1221"/>
      <c r="EAI41" s="1221"/>
      <c r="EAJ41" s="1221"/>
      <c r="EAK41" s="1221"/>
      <c r="EAL41" s="1221"/>
      <c r="EAM41" s="1221"/>
      <c r="EAN41" s="1221"/>
      <c r="EAO41" s="1221"/>
      <c r="EAP41" s="1221"/>
      <c r="EAQ41" s="1221"/>
      <c r="EAR41" s="1221"/>
      <c r="EAS41" s="1221"/>
      <c r="EAT41" s="1221"/>
      <c r="EAU41" s="1221"/>
      <c r="EAV41" s="1221"/>
      <c r="EAW41" s="1221"/>
      <c r="EAX41" s="1221"/>
      <c r="EAY41" s="1221"/>
      <c r="EAZ41" s="1221"/>
      <c r="EBA41" s="1221"/>
      <c r="EBB41" s="1221"/>
      <c r="EBC41" s="1221"/>
      <c r="EBD41" s="1221"/>
      <c r="EBE41" s="1221"/>
      <c r="EBF41" s="1221"/>
      <c r="EBG41" s="1221"/>
      <c r="EBH41" s="1221"/>
      <c r="EBI41" s="1221"/>
      <c r="EBJ41" s="1221"/>
      <c r="EBK41" s="1221"/>
      <c r="EBL41" s="1221"/>
      <c r="EBM41" s="1221"/>
      <c r="EBN41" s="1221"/>
      <c r="EBO41" s="1221"/>
      <c r="EBP41" s="1221"/>
      <c r="EBQ41" s="1221"/>
      <c r="EBR41" s="1221"/>
      <c r="EBS41" s="1221"/>
      <c r="EBT41" s="1221"/>
      <c r="EBU41" s="1221"/>
      <c r="EBV41" s="1221"/>
      <c r="EBW41" s="1221"/>
      <c r="EBX41" s="1221"/>
      <c r="EBY41" s="1221"/>
      <c r="EBZ41" s="1221"/>
      <c r="ECA41" s="1221"/>
      <c r="ECB41" s="1221"/>
      <c r="ECC41" s="1221"/>
      <c r="ECD41" s="1221"/>
      <c r="ECE41" s="1221"/>
      <c r="ECF41" s="1221"/>
      <c r="ECG41" s="1221"/>
      <c r="ECH41" s="1221"/>
      <c r="ECI41" s="1221"/>
      <c r="ECJ41" s="1221"/>
      <c r="ECK41" s="1221"/>
      <c r="ECL41" s="1221"/>
      <c r="ECM41" s="1221"/>
      <c r="ECN41" s="1221"/>
      <c r="ECO41" s="1221"/>
    </row>
    <row r="42" spans="2:3473" s="1248" customFormat="1" ht="12.75" customHeight="1" outlineLevel="1">
      <c r="B42" s="1249" t="s">
        <v>3149</v>
      </c>
      <c r="C42" s="1250">
        <v>7</v>
      </c>
      <c r="D42" s="1251" t="s">
        <v>3150</v>
      </c>
      <c r="E42" s="1252">
        <f t="shared" si="47"/>
        <v>0</v>
      </c>
      <c r="F42" s="1252">
        <f t="shared" si="47"/>
        <v>0</v>
      </c>
      <c r="G42" s="1252">
        <f t="shared" si="47"/>
        <v>0</v>
      </c>
      <c r="H42" s="1252">
        <f t="shared" ref="H42:R49" si="79">IF(AI$6=0,"",AI42*10000/AI$6)</f>
        <v>0</v>
      </c>
      <c r="I42" s="1252">
        <f t="shared" si="79"/>
        <v>0</v>
      </c>
      <c r="J42" s="1252">
        <f t="shared" si="79"/>
        <v>0</v>
      </c>
      <c r="K42" s="1252">
        <f t="shared" si="79"/>
        <v>0</v>
      </c>
      <c r="L42" s="1252">
        <f t="shared" si="79"/>
        <v>0</v>
      </c>
      <c r="M42" s="1252">
        <f t="shared" si="79"/>
        <v>0</v>
      </c>
      <c r="N42" s="1252" t="str">
        <f t="shared" si="79"/>
        <v/>
      </c>
      <c r="O42" s="1252" t="str">
        <f t="shared" si="79"/>
        <v/>
      </c>
      <c r="P42" s="1252" t="str">
        <f t="shared" si="79"/>
        <v/>
      </c>
      <c r="Q42" s="1252">
        <f t="shared" si="79"/>
        <v>0</v>
      </c>
      <c r="R42" s="1252">
        <f t="shared" si="79"/>
        <v>0</v>
      </c>
      <c r="S42" s="1252">
        <f t="shared" si="8"/>
        <v>0</v>
      </c>
      <c r="T42" s="1252">
        <f t="shared" si="5"/>
        <v>0</v>
      </c>
      <c r="U42" s="1252">
        <f t="shared" si="5"/>
        <v>0</v>
      </c>
      <c r="V42" s="1252">
        <f t="shared" si="9"/>
        <v>0</v>
      </c>
      <c r="W42" s="1252" t="str">
        <f t="shared" si="10"/>
        <v/>
      </c>
      <c r="X42" s="1252" t="str">
        <f t="shared" si="10"/>
        <v/>
      </c>
      <c r="Y42" s="1252" t="str">
        <f t="shared" si="10"/>
        <v/>
      </c>
      <c r="Z42" s="1252">
        <f t="shared" si="78"/>
        <v>0</v>
      </c>
      <c r="AA42" s="1252">
        <f t="shared" si="78"/>
        <v>0</v>
      </c>
      <c r="AB42" s="1252">
        <f t="shared" si="78"/>
        <v>0</v>
      </c>
      <c r="AC42" s="1252">
        <f t="shared" si="15"/>
        <v>0</v>
      </c>
      <c r="AD42" s="1260">
        <f t="shared" si="15"/>
        <v>0</v>
      </c>
      <c r="AE42" s="1260">
        <f t="shared" si="15"/>
        <v>0</v>
      </c>
      <c r="AF42" s="1254"/>
      <c r="AG42" s="1255"/>
      <c r="AH42" s="1255"/>
      <c r="AI42" s="1256">
        <f t="shared" si="41"/>
        <v>0</v>
      </c>
      <c r="AJ42" s="1256">
        <f t="shared" ref="AJ42:AJ43" si="80">IF($BK42=0,0,$BK42*AJ$6/($BK$6-$AG$6))</f>
        <v>0</v>
      </c>
      <c r="AK42" s="1256">
        <f t="shared" ref="AK42:AK43" si="81">IF($BL42=0,0,$BL42*AK$6/($BL$6-$AH$6))</f>
        <v>0</v>
      </c>
      <c r="AL42" s="1256"/>
      <c r="AM42" s="1256"/>
      <c r="AN42" s="1256"/>
      <c r="AO42" s="1256">
        <f t="shared" si="21"/>
        <v>0</v>
      </c>
      <c r="AP42" s="1256">
        <f t="shared" ref="AP42:AP43" si="82">IF($BK42=0,0,$BK42*AP$6/($BK$6-$AG$6))</f>
        <v>0</v>
      </c>
      <c r="AQ42" s="1256">
        <f t="shared" ref="AQ42:AQ43" si="83">IF($BL42=0,0,$BL42*AQ$6/($BL$6-$AH$6))</f>
        <v>0</v>
      </c>
      <c r="AR42" s="1256">
        <f t="shared" si="60"/>
        <v>0</v>
      </c>
      <c r="AS42" s="1256">
        <f t="shared" ref="AS42:AS43" si="84">IF($BK42=0,0,$BK42*AS$6/($BK$6-$AG$6))</f>
        <v>0</v>
      </c>
      <c r="AT42" s="1256">
        <f t="shared" ref="AT42:AT43" si="85">IF($BL42=0,0,$BL42*AT$6/($BL$6-$AH$6))</f>
        <v>0</v>
      </c>
      <c r="AU42" s="1256">
        <f t="shared" si="61"/>
        <v>0</v>
      </c>
      <c r="AV42" s="1256">
        <f t="shared" ref="AV42:AV43" si="86">IF($BK42=0,0,$BK42*AV$6/($BK$6-$AG$6))</f>
        <v>0</v>
      </c>
      <c r="AW42" s="1256">
        <f t="shared" ref="AW42:AW43" si="87">IF($BL42=0,0,$BL42*AW$6/($BL$6-$AH$6))</f>
        <v>0</v>
      </c>
      <c r="AX42" s="1256"/>
      <c r="AY42" s="1256"/>
      <c r="AZ42" s="1256"/>
      <c r="BA42" s="1257">
        <f t="shared" si="62"/>
        <v>0</v>
      </c>
      <c r="BB42" s="1257">
        <f>AG42+AJ42+AM42+AP42+AS42+AV42</f>
        <v>0</v>
      </c>
      <c r="BC42" s="1257">
        <f>AH42+AK42+AN42+AQ42+AT42+AW42</f>
        <v>0</v>
      </c>
      <c r="BD42" s="1256">
        <f t="shared" si="72"/>
        <v>0</v>
      </c>
      <c r="BE42" s="1256">
        <f t="shared" ref="BE42:BE43" si="88">IF($BK42=0,0,$BK42*BE$7/($BK$7-$AG$7))</f>
        <v>0</v>
      </c>
      <c r="BF42" s="1256">
        <f t="shared" ref="BF42:BF43" si="89">IF($BL42=0,0,$BL42*BF$7/($BL$7-$AH$7))</f>
        <v>0</v>
      </c>
      <c r="BG42" s="1256">
        <f t="shared" si="75"/>
        <v>0</v>
      </c>
      <c r="BH42" s="1257">
        <f t="shared" si="76"/>
        <v>0</v>
      </c>
      <c r="BI42" s="1257">
        <f t="shared" si="76"/>
        <v>0</v>
      </c>
      <c r="BJ42" s="1257">
        <f t="shared" si="77"/>
        <v>0</v>
      </c>
      <c r="BK42" s="1256">
        <f>VLOOKUP($D42,'当期公摊测算表（全期）'!$D$9:$W$192,20,0)</f>
        <v>0</v>
      </c>
      <c r="BL42" s="1256">
        <f>VLOOKUP($D42,'当期公摊测算表（全期）'!$D$9:$W$192,19,0)</f>
        <v>0</v>
      </c>
      <c r="BM42" s="1262" t="s">
        <v>20</v>
      </c>
      <c r="BN42" s="1225">
        <f t="shared" si="12"/>
        <v>0</v>
      </c>
      <c r="BO42" s="1225">
        <f t="shared" si="13"/>
        <v>0</v>
      </c>
      <c r="BP42" s="1225">
        <f t="shared" si="14"/>
        <v>0</v>
      </c>
      <c r="BQ42" s="1225"/>
      <c r="BR42" s="1221"/>
      <c r="BS42" s="1221"/>
      <c r="BT42" s="1221"/>
      <c r="BU42" s="1221"/>
      <c r="BV42" s="1221"/>
      <c r="BW42" s="1221"/>
      <c r="BX42" s="1221"/>
      <c r="BY42" s="1221"/>
      <c r="BZ42" s="1221"/>
      <c r="CA42" s="1221"/>
      <c r="CB42" s="1221"/>
      <c r="CC42" s="1221"/>
      <c r="CD42" s="1221"/>
      <c r="CE42" s="1221"/>
      <c r="CF42" s="1221"/>
      <c r="CG42" s="1221"/>
      <c r="CH42" s="1221"/>
      <c r="CI42" s="1221"/>
      <c r="CJ42" s="1221"/>
      <c r="CK42" s="1221"/>
      <c r="CL42" s="1221"/>
      <c r="CM42" s="1221"/>
      <c r="CN42" s="1221"/>
      <c r="CO42" s="1221"/>
      <c r="CP42" s="1221"/>
      <c r="CQ42" s="1221"/>
      <c r="CR42" s="1221"/>
      <c r="CS42" s="1221"/>
      <c r="CT42" s="1221"/>
      <c r="CU42" s="1221"/>
      <c r="CV42" s="1221"/>
      <c r="CW42" s="1221"/>
      <c r="CX42" s="1221"/>
      <c r="CY42" s="1221"/>
      <c r="CZ42" s="1221"/>
      <c r="DA42" s="1221"/>
      <c r="DB42" s="1221"/>
      <c r="DC42" s="1221"/>
      <c r="DD42" s="1221"/>
      <c r="DE42" s="1221"/>
      <c r="DF42" s="1221"/>
      <c r="DG42" s="1221"/>
      <c r="DH42" s="1221"/>
      <c r="DI42" s="1221"/>
      <c r="DJ42" s="1221"/>
      <c r="DK42" s="1221"/>
      <c r="DL42" s="1221"/>
      <c r="DM42" s="1221"/>
      <c r="DN42" s="1221"/>
      <c r="DO42" s="1221"/>
      <c r="DP42" s="1221"/>
      <c r="DQ42" s="1221"/>
      <c r="DR42" s="1221"/>
      <c r="DS42" s="1221"/>
      <c r="DT42" s="1221"/>
      <c r="DU42" s="1221"/>
      <c r="DV42" s="1221"/>
      <c r="DW42" s="1221"/>
      <c r="DX42" s="1221"/>
      <c r="DY42" s="1221"/>
      <c r="DZ42" s="1221"/>
      <c r="EA42" s="1221"/>
      <c r="EB42" s="1221"/>
      <c r="EC42" s="1221"/>
      <c r="ED42" s="1221"/>
      <c r="EE42" s="1221"/>
      <c r="EF42" s="1221"/>
      <c r="EG42" s="1221"/>
      <c r="EH42" s="1221"/>
      <c r="EI42" s="1221"/>
      <c r="EJ42" s="1221"/>
      <c r="EK42" s="1221"/>
      <c r="EL42" s="1221"/>
      <c r="EM42" s="1221"/>
      <c r="EN42" s="1221"/>
      <c r="EO42" s="1221"/>
      <c r="EP42" s="1221"/>
      <c r="EQ42" s="1221"/>
      <c r="ER42" s="1221"/>
      <c r="ES42" s="1221"/>
      <c r="ET42" s="1221"/>
      <c r="EU42" s="1221"/>
      <c r="EV42" s="1221"/>
      <c r="EW42" s="1221"/>
      <c r="EX42" s="1221"/>
      <c r="EY42" s="1221"/>
      <c r="EZ42" s="1221"/>
      <c r="FA42" s="1221"/>
      <c r="FB42" s="1221"/>
      <c r="FC42" s="1221"/>
      <c r="FD42" s="1221"/>
      <c r="FE42" s="1221"/>
      <c r="FF42" s="1221"/>
      <c r="FG42" s="1221"/>
      <c r="FH42" s="1221"/>
      <c r="FI42" s="1221"/>
      <c r="FJ42" s="1221"/>
      <c r="FK42" s="1221"/>
      <c r="FL42" s="1221"/>
      <c r="FM42" s="1221"/>
      <c r="FN42" s="1221"/>
      <c r="FO42" s="1221"/>
      <c r="FP42" s="1221"/>
      <c r="FQ42" s="1221"/>
      <c r="FR42" s="1221"/>
      <c r="FS42" s="1221"/>
      <c r="FT42" s="1221"/>
      <c r="FU42" s="1221"/>
      <c r="FV42" s="1221"/>
      <c r="FW42" s="1221"/>
      <c r="FX42" s="1221"/>
      <c r="FY42" s="1221"/>
      <c r="FZ42" s="1221"/>
      <c r="GA42" s="1221"/>
      <c r="GB42" s="1221"/>
      <c r="GC42" s="1221"/>
      <c r="GD42" s="1221"/>
      <c r="GE42" s="1221"/>
      <c r="GF42" s="1221"/>
      <c r="GG42" s="1221"/>
      <c r="GH42" s="1221"/>
      <c r="GI42" s="1221"/>
      <c r="GJ42" s="1221"/>
      <c r="GK42" s="1221"/>
      <c r="GL42" s="1221"/>
      <c r="GM42" s="1221"/>
      <c r="GN42" s="1221"/>
      <c r="GO42" s="1221"/>
      <c r="GP42" s="1221"/>
      <c r="GQ42" s="1221"/>
      <c r="GR42" s="1221"/>
      <c r="GS42" s="1221"/>
      <c r="GT42" s="1221"/>
      <c r="GU42" s="1221"/>
      <c r="GV42" s="1221"/>
      <c r="GW42" s="1221"/>
      <c r="GX42" s="1221"/>
      <c r="GY42" s="1221"/>
      <c r="GZ42" s="1221"/>
      <c r="HA42" s="1221"/>
      <c r="HB42" s="1221"/>
      <c r="HC42" s="1221"/>
      <c r="HD42" s="1221"/>
      <c r="HE42" s="1221"/>
      <c r="HF42" s="1221"/>
      <c r="HG42" s="1221"/>
      <c r="HH42" s="1221"/>
      <c r="HI42" s="1221"/>
      <c r="HJ42" s="1221"/>
      <c r="HK42" s="1221"/>
      <c r="HL42" s="1221"/>
      <c r="HM42" s="1221"/>
      <c r="HN42" s="1221"/>
      <c r="HO42" s="1221"/>
      <c r="HP42" s="1221"/>
      <c r="HQ42" s="1221"/>
      <c r="HR42" s="1221"/>
      <c r="HS42" s="1221"/>
      <c r="HT42" s="1221"/>
      <c r="HU42" s="1221"/>
      <c r="HV42" s="1221"/>
      <c r="HW42" s="1221"/>
      <c r="HX42" s="1221"/>
      <c r="HY42" s="1221"/>
      <c r="HZ42" s="1221"/>
      <c r="IA42" s="1221"/>
      <c r="IB42" s="1221"/>
      <c r="IC42" s="1221"/>
      <c r="ID42" s="1221"/>
      <c r="IE42" s="1221"/>
      <c r="IF42" s="1221"/>
      <c r="IG42" s="1221"/>
      <c r="IH42" s="1221"/>
      <c r="II42" s="1221"/>
      <c r="IJ42" s="1221"/>
      <c r="IK42" s="1221"/>
      <c r="IL42" s="1221"/>
      <c r="IM42" s="1221"/>
      <c r="IN42" s="1221"/>
      <c r="IO42" s="1221"/>
      <c r="IP42" s="1221"/>
      <c r="IQ42" s="1221"/>
      <c r="IR42" s="1221"/>
      <c r="IS42" s="1221"/>
      <c r="IT42" s="1221"/>
      <c r="IU42" s="1221"/>
      <c r="IV42" s="1221"/>
      <c r="IW42" s="1221"/>
      <c r="IX42" s="1221"/>
      <c r="IY42" s="1221"/>
      <c r="IZ42" s="1221"/>
      <c r="JA42" s="1221"/>
      <c r="JB42" s="1221"/>
      <c r="JC42" s="1221"/>
      <c r="JD42" s="1221"/>
      <c r="JE42" s="1221"/>
      <c r="JF42" s="1221"/>
      <c r="JG42" s="1221"/>
      <c r="JH42" s="1221"/>
      <c r="JI42" s="1221"/>
      <c r="JJ42" s="1221"/>
      <c r="JK42" s="1221"/>
      <c r="JL42" s="1221"/>
      <c r="JM42" s="1221"/>
      <c r="JN42" s="1221"/>
      <c r="JO42" s="1221"/>
      <c r="JP42" s="1221"/>
      <c r="JQ42" s="1221"/>
      <c r="JR42" s="1221"/>
      <c r="JS42" s="1221"/>
      <c r="JT42" s="1221"/>
      <c r="JU42" s="1221"/>
      <c r="JV42" s="1221"/>
      <c r="JW42" s="1221"/>
      <c r="JX42" s="1221"/>
      <c r="JY42" s="1221"/>
      <c r="JZ42" s="1221"/>
      <c r="KA42" s="1221"/>
      <c r="KB42" s="1221"/>
      <c r="KC42" s="1221"/>
      <c r="KD42" s="1221"/>
      <c r="KE42" s="1221"/>
      <c r="KF42" s="1221"/>
      <c r="KG42" s="1221"/>
      <c r="KH42" s="1221"/>
      <c r="KI42" s="1221"/>
      <c r="KJ42" s="1221"/>
      <c r="KK42" s="1221"/>
      <c r="KL42" s="1221"/>
      <c r="KM42" s="1221"/>
      <c r="KN42" s="1221"/>
      <c r="KO42" s="1221"/>
      <c r="KP42" s="1221"/>
      <c r="KQ42" s="1221"/>
      <c r="KR42" s="1221"/>
      <c r="KS42" s="1221"/>
      <c r="KT42" s="1221"/>
      <c r="KU42" s="1221"/>
      <c r="KV42" s="1221"/>
      <c r="KW42" s="1221"/>
      <c r="KX42" s="1221"/>
      <c r="KY42" s="1221"/>
      <c r="KZ42" s="1221"/>
      <c r="LA42" s="1221"/>
      <c r="LB42" s="1221"/>
      <c r="LC42" s="1221"/>
      <c r="LD42" s="1221"/>
      <c r="LE42" s="1221"/>
      <c r="LF42" s="1221"/>
      <c r="LG42" s="1221"/>
      <c r="LH42" s="1221"/>
      <c r="LI42" s="1221"/>
      <c r="LJ42" s="1221"/>
      <c r="LK42" s="1221"/>
      <c r="LL42" s="1221"/>
      <c r="LM42" s="1221"/>
      <c r="LN42" s="1221"/>
      <c r="LO42" s="1221"/>
      <c r="LP42" s="1221"/>
      <c r="LQ42" s="1221"/>
      <c r="LR42" s="1221"/>
      <c r="LS42" s="1221"/>
      <c r="LT42" s="1221"/>
      <c r="LU42" s="1221"/>
      <c r="LV42" s="1221"/>
      <c r="LW42" s="1221"/>
      <c r="LX42" s="1221"/>
      <c r="LY42" s="1221"/>
      <c r="LZ42" s="1221"/>
      <c r="MA42" s="1221"/>
      <c r="MB42" s="1221"/>
      <c r="MC42" s="1221"/>
      <c r="MD42" s="1221"/>
      <c r="ME42" s="1221"/>
      <c r="MF42" s="1221"/>
      <c r="MG42" s="1221"/>
      <c r="MH42" s="1221"/>
      <c r="MI42" s="1221"/>
      <c r="MJ42" s="1221"/>
      <c r="MK42" s="1221"/>
      <c r="ML42" s="1221"/>
      <c r="MM42" s="1221"/>
      <c r="MN42" s="1221"/>
      <c r="MO42" s="1221"/>
      <c r="MP42" s="1221"/>
      <c r="MQ42" s="1221"/>
      <c r="MR42" s="1221"/>
      <c r="MS42" s="1221"/>
      <c r="MT42" s="1221"/>
      <c r="MU42" s="1221"/>
      <c r="MV42" s="1221"/>
      <c r="MW42" s="1221"/>
      <c r="MX42" s="1221"/>
      <c r="MY42" s="1221"/>
      <c r="MZ42" s="1221"/>
      <c r="NA42" s="1221"/>
      <c r="NB42" s="1221"/>
      <c r="NC42" s="1221"/>
      <c r="ND42" s="1221"/>
      <c r="NE42" s="1221"/>
      <c r="NF42" s="1221"/>
      <c r="NG42" s="1221"/>
      <c r="NH42" s="1221"/>
      <c r="NI42" s="1221"/>
      <c r="NJ42" s="1221"/>
      <c r="NK42" s="1221"/>
      <c r="NL42" s="1221"/>
      <c r="NM42" s="1221"/>
      <c r="NN42" s="1221"/>
      <c r="NO42" s="1221"/>
      <c r="NP42" s="1221"/>
      <c r="NQ42" s="1221"/>
      <c r="NR42" s="1221"/>
      <c r="NS42" s="1221"/>
      <c r="NT42" s="1221"/>
      <c r="NU42" s="1221"/>
      <c r="NV42" s="1221"/>
      <c r="NW42" s="1221"/>
      <c r="NX42" s="1221"/>
      <c r="NY42" s="1221"/>
      <c r="NZ42" s="1221"/>
      <c r="OA42" s="1221"/>
      <c r="OB42" s="1221"/>
      <c r="OC42" s="1221"/>
      <c r="OD42" s="1221"/>
      <c r="OE42" s="1221"/>
      <c r="OF42" s="1221"/>
      <c r="OG42" s="1221"/>
      <c r="OH42" s="1221"/>
      <c r="OI42" s="1221"/>
      <c r="OJ42" s="1221"/>
      <c r="OK42" s="1221"/>
      <c r="OL42" s="1221"/>
      <c r="OM42" s="1221"/>
      <c r="ON42" s="1221"/>
      <c r="OO42" s="1221"/>
      <c r="OP42" s="1221"/>
      <c r="OQ42" s="1221"/>
      <c r="OR42" s="1221"/>
      <c r="OS42" s="1221"/>
      <c r="OT42" s="1221"/>
      <c r="OU42" s="1221"/>
      <c r="OV42" s="1221"/>
      <c r="OW42" s="1221"/>
      <c r="OX42" s="1221"/>
      <c r="OY42" s="1221"/>
      <c r="OZ42" s="1221"/>
      <c r="PA42" s="1221"/>
      <c r="PB42" s="1221"/>
      <c r="PC42" s="1221"/>
      <c r="PD42" s="1221"/>
      <c r="PE42" s="1221"/>
      <c r="PF42" s="1221"/>
      <c r="PG42" s="1221"/>
      <c r="PH42" s="1221"/>
      <c r="PI42" s="1221"/>
      <c r="PJ42" s="1221"/>
      <c r="PK42" s="1221"/>
      <c r="PL42" s="1221"/>
      <c r="PM42" s="1221"/>
      <c r="PN42" s="1221"/>
      <c r="PO42" s="1221"/>
      <c r="PP42" s="1221"/>
      <c r="PQ42" s="1221"/>
      <c r="PR42" s="1221"/>
      <c r="PS42" s="1221"/>
      <c r="PT42" s="1221"/>
      <c r="PU42" s="1221"/>
      <c r="PV42" s="1221"/>
      <c r="PW42" s="1221"/>
      <c r="PX42" s="1221"/>
      <c r="PY42" s="1221"/>
      <c r="PZ42" s="1221"/>
      <c r="QA42" s="1221"/>
      <c r="QB42" s="1221"/>
      <c r="QC42" s="1221"/>
      <c r="QD42" s="1221"/>
      <c r="QE42" s="1221"/>
      <c r="QF42" s="1221"/>
      <c r="QG42" s="1221"/>
      <c r="QH42" s="1221"/>
      <c r="QI42" s="1221"/>
      <c r="QJ42" s="1221"/>
      <c r="QK42" s="1221"/>
      <c r="QL42" s="1221"/>
      <c r="QM42" s="1221"/>
      <c r="QN42" s="1221"/>
      <c r="QO42" s="1221"/>
      <c r="QP42" s="1221"/>
      <c r="QQ42" s="1221"/>
      <c r="QR42" s="1221"/>
      <c r="QS42" s="1221"/>
      <c r="QT42" s="1221"/>
      <c r="QU42" s="1221"/>
      <c r="QV42" s="1221"/>
      <c r="QW42" s="1221"/>
      <c r="QX42" s="1221"/>
      <c r="QY42" s="1221"/>
      <c r="QZ42" s="1221"/>
      <c r="RA42" s="1221"/>
      <c r="RB42" s="1221"/>
      <c r="RC42" s="1221"/>
      <c r="RD42" s="1221"/>
      <c r="RE42" s="1221"/>
      <c r="RF42" s="1221"/>
      <c r="RG42" s="1221"/>
      <c r="RH42" s="1221"/>
      <c r="RI42" s="1221"/>
      <c r="RJ42" s="1221"/>
      <c r="RK42" s="1221"/>
      <c r="RL42" s="1221"/>
      <c r="RM42" s="1221"/>
      <c r="RN42" s="1221"/>
      <c r="RO42" s="1221"/>
      <c r="RP42" s="1221"/>
      <c r="RQ42" s="1221"/>
      <c r="RR42" s="1221"/>
      <c r="RS42" s="1221"/>
      <c r="RT42" s="1221"/>
      <c r="RU42" s="1221"/>
      <c r="RV42" s="1221"/>
      <c r="RW42" s="1221"/>
      <c r="RX42" s="1221"/>
      <c r="RY42" s="1221"/>
      <c r="RZ42" s="1221"/>
      <c r="SA42" s="1221"/>
      <c r="SB42" s="1221"/>
      <c r="SC42" s="1221"/>
      <c r="SD42" s="1221"/>
      <c r="SE42" s="1221"/>
      <c r="SF42" s="1221"/>
      <c r="SG42" s="1221"/>
      <c r="SH42" s="1221"/>
      <c r="SI42" s="1221"/>
      <c r="SJ42" s="1221"/>
      <c r="SK42" s="1221"/>
      <c r="SL42" s="1221"/>
      <c r="SM42" s="1221"/>
      <c r="SN42" s="1221"/>
      <c r="SO42" s="1221"/>
      <c r="SP42" s="1221"/>
      <c r="SQ42" s="1221"/>
      <c r="SR42" s="1221"/>
      <c r="SS42" s="1221"/>
      <c r="ST42" s="1221"/>
      <c r="SU42" s="1221"/>
      <c r="SV42" s="1221"/>
      <c r="SW42" s="1221"/>
      <c r="SX42" s="1221"/>
      <c r="SY42" s="1221"/>
      <c r="SZ42" s="1221"/>
      <c r="TA42" s="1221"/>
      <c r="TB42" s="1221"/>
      <c r="TC42" s="1221"/>
      <c r="TD42" s="1221"/>
      <c r="TE42" s="1221"/>
      <c r="TF42" s="1221"/>
      <c r="TG42" s="1221"/>
      <c r="TH42" s="1221"/>
      <c r="TI42" s="1221"/>
      <c r="TJ42" s="1221"/>
      <c r="TK42" s="1221"/>
      <c r="TL42" s="1221"/>
      <c r="TM42" s="1221"/>
      <c r="TN42" s="1221"/>
      <c r="TO42" s="1221"/>
      <c r="TP42" s="1221"/>
      <c r="TQ42" s="1221"/>
      <c r="TR42" s="1221"/>
      <c r="TS42" s="1221"/>
      <c r="TT42" s="1221"/>
      <c r="TU42" s="1221"/>
      <c r="TV42" s="1221"/>
      <c r="TW42" s="1221"/>
      <c r="TX42" s="1221"/>
      <c r="TY42" s="1221"/>
      <c r="TZ42" s="1221"/>
      <c r="UA42" s="1221"/>
      <c r="UB42" s="1221"/>
      <c r="UC42" s="1221"/>
      <c r="UD42" s="1221"/>
      <c r="UE42" s="1221"/>
      <c r="UF42" s="1221"/>
      <c r="UG42" s="1221"/>
      <c r="UH42" s="1221"/>
      <c r="UI42" s="1221"/>
      <c r="UJ42" s="1221"/>
      <c r="UK42" s="1221"/>
      <c r="UL42" s="1221"/>
      <c r="UM42" s="1221"/>
      <c r="UN42" s="1221"/>
      <c r="UO42" s="1221"/>
      <c r="UP42" s="1221"/>
      <c r="UQ42" s="1221"/>
      <c r="UR42" s="1221"/>
      <c r="US42" s="1221"/>
      <c r="UT42" s="1221"/>
      <c r="UU42" s="1221"/>
      <c r="UV42" s="1221"/>
      <c r="UW42" s="1221"/>
      <c r="UX42" s="1221"/>
      <c r="UY42" s="1221"/>
      <c r="UZ42" s="1221"/>
      <c r="VA42" s="1221"/>
      <c r="VB42" s="1221"/>
      <c r="VC42" s="1221"/>
      <c r="VD42" s="1221"/>
      <c r="VE42" s="1221"/>
      <c r="VF42" s="1221"/>
      <c r="VG42" s="1221"/>
      <c r="VH42" s="1221"/>
      <c r="VI42" s="1221"/>
      <c r="VJ42" s="1221"/>
      <c r="VK42" s="1221"/>
      <c r="VL42" s="1221"/>
      <c r="VM42" s="1221"/>
      <c r="VN42" s="1221"/>
      <c r="VO42" s="1221"/>
      <c r="VP42" s="1221"/>
      <c r="VQ42" s="1221"/>
      <c r="VR42" s="1221"/>
      <c r="VS42" s="1221"/>
      <c r="VT42" s="1221"/>
      <c r="VU42" s="1221"/>
      <c r="VV42" s="1221"/>
      <c r="VW42" s="1221"/>
      <c r="VX42" s="1221"/>
      <c r="VY42" s="1221"/>
      <c r="VZ42" s="1221"/>
      <c r="WA42" s="1221"/>
      <c r="WB42" s="1221"/>
      <c r="WC42" s="1221"/>
      <c r="WD42" s="1221"/>
      <c r="WE42" s="1221"/>
      <c r="WF42" s="1221"/>
      <c r="WG42" s="1221"/>
      <c r="WH42" s="1221"/>
      <c r="WI42" s="1221"/>
      <c r="WJ42" s="1221"/>
      <c r="WK42" s="1221"/>
      <c r="WL42" s="1221"/>
      <c r="WM42" s="1221"/>
      <c r="WN42" s="1221"/>
      <c r="WO42" s="1221"/>
      <c r="WP42" s="1221"/>
      <c r="WQ42" s="1221"/>
      <c r="WR42" s="1221"/>
      <c r="WS42" s="1221"/>
      <c r="WT42" s="1221"/>
      <c r="WU42" s="1221"/>
      <c r="WV42" s="1221"/>
      <c r="WW42" s="1221"/>
      <c r="WX42" s="1221"/>
      <c r="WY42" s="1221"/>
      <c r="WZ42" s="1221"/>
      <c r="XA42" s="1221"/>
      <c r="XB42" s="1221"/>
      <c r="XC42" s="1221"/>
      <c r="XD42" s="1221"/>
      <c r="XE42" s="1221"/>
      <c r="XF42" s="1221"/>
      <c r="XG42" s="1221"/>
      <c r="XH42" s="1221"/>
      <c r="XI42" s="1221"/>
      <c r="XJ42" s="1221"/>
      <c r="XK42" s="1221"/>
      <c r="XL42" s="1221"/>
      <c r="XM42" s="1221"/>
      <c r="XN42" s="1221"/>
      <c r="XO42" s="1221"/>
      <c r="XP42" s="1221"/>
      <c r="XQ42" s="1221"/>
      <c r="XR42" s="1221"/>
      <c r="XS42" s="1221"/>
      <c r="XT42" s="1221"/>
      <c r="XU42" s="1221"/>
      <c r="XV42" s="1221"/>
      <c r="XW42" s="1221"/>
      <c r="XX42" s="1221"/>
      <c r="XY42" s="1221"/>
      <c r="XZ42" s="1221"/>
      <c r="YA42" s="1221"/>
      <c r="YB42" s="1221"/>
      <c r="YC42" s="1221"/>
      <c r="YD42" s="1221"/>
      <c r="YE42" s="1221"/>
      <c r="YF42" s="1221"/>
      <c r="YG42" s="1221"/>
      <c r="YH42" s="1221"/>
      <c r="YI42" s="1221"/>
      <c r="YJ42" s="1221"/>
      <c r="YK42" s="1221"/>
      <c r="YL42" s="1221"/>
      <c r="YM42" s="1221"/>
      <c r="YN42" s="1221"/>
      <c r="YO42" s="1221"/>
      <c r="YP42" s="1221"/>
      <c r="YQ42" s="1221"/>
      <c r="YR42" s="1221"/>
      <c r="YS42" s="1221"/>
      <c r="YT42" s="1221"/>
      <c r="YU42" s="1221"/>
      <c r="YV42" s="1221"/>
      <c r="YW42" s="1221"/>
      <c r="YX42" s="1221"/>
      <c r="YY42" s="1221"/>
      <c r="YZ42" s="1221"/>
      <c r="ZA42" s="1221"/>
      <c r="ZB42" s="1221"/>
      <c r="ZC42" s="1221"/>
      <c r="ZD42" s="1221"/>
      <c r="ZE42" s="1221"/>
      <c r="ZF42" s="1221"/>
      <c r="ZG42" s="1221"/>
      <c r="ZH42" s="1221"/>
      <c r="ZI42" s="1221"/>
      <c r="ZJ42" s="1221"/>
      <c r="ZK42" s="1221"/>
      <c r="ZL42" s="1221"/>
      <c r="ZM42" s="1221"/>
      <c r="ZN42" s="1221"/>
      <c r="ZO42" s="1221"/>
      <c r="ZP42" s="1221"/>
      <c r="ZQ42" s="1221"/>
      <c r="ZR42" s="1221"/>
      <c r="ZS42" s="1221"/>
      <c r="ZT42" s="1221"/>
      <c r="ZU42" s="1221"/>
      <c r="ZV42" s="1221"/>
      <c r="ZW42" s="1221"/>
      <c r="ZX42" s="1221"/>
      <c r="ZY42" s="1221"/>
      <c r="ZZ42" s="1221"/>
      <c r="AAA42" s="1221"/>
      <c r="AAB42" s="1221"/>
      <c r="AAC42" s="1221"/>
      <c r="AAD42" s="1221"/>
      <c r="AAE42" s="1221"/>
      <c r="AAF42" s="1221"/>
      <c r="AAG42" s="1221"/>
      <c r="AAH42" s="1221"/>
      <c r="AAI42" s="1221"/>
      <c r="AAJ42" s="1221"/>
      <c r="AAK42" s="1221"/>
      <c r="AAL42" s="1221"/>
      <c r="AAM42" s="1221"/>
      <c r="AAN42" s="1221"/>
      <c r="AAO42" s="1221"/>
      <c r="AAP42" s="1221"/>
      <c r="AAQ42" s="1221"/>
      <c r="AAR42" s="1221"/>
      <c r="AAS42" s="1221"/>
      <c r="AAT42" s="1221"/>
      <c r="AAU42" s="1221"/>
      <c r="AAV42" s="1221"/>
      <c r="AAW42" s="1221"/>
      <c r="AAX42" s="1221"/>
      <c r="AAY42" s="1221"/>
      <c r="AAZ42" s="1221"/>
      <c r="ABA42" s="1221"/>
      <c r="ABB42" s="1221"/>
      <c r="ABC42" s="1221"/>
      <c r="ABD42" s="1221"/>
      <c r="ABE42" s="1221"/>
      <c r="ABF42" s="1221"/>
      <c r="ABG42" s="1221"/>
      <c r="ABH42" s="1221"/>
      <c r="ABI42" s="1221"/>
      <c r="ABJ42" s="1221"/>
      <c r="ABK42" s="1221"/>
      <c r="ABL42" s="1221"/>
      <c r="ABM42" s="1221"/>
      <c r="ABN42" s="1221"/>
      <c r="ABO42" s="1221"/>
      <c r="ABP42" s="1221"/>
      <c r="ABQ42" s="1221"/>
      <c r="ABR42" s="1221"/>
      <c r="ABS42" s="1221"/>
      <c r="ABT42" s="1221"/>
      <c r="ABU42" s="1221"/>
      <c r="ABV42" s="1221"/>
      <c r="ABW42" s="1221"/>
      <c r="ABX42" s="1221"/>
      <c r="ABY42" s="1221"/>
      <c r="ABZ42" s="1221"/>
      <c r="ACA42" s="1221"/>
      <c r="ACB42" s="1221"/>
      <c r="ACC42" s="1221"/>
      <c r="ACD42" s="1221"/>
      <c r="ACE42" s="1221"/>
      <c r="ACF42" s="1221"/>
      <c r="ACG42" s="1221"/>
      <c r="ACH42" s="1221"/>
      <c r="ACI42" s="1221"/>
      <c r="ACJ42" s="1221"/>
      <c r="ACK42" s="1221"/>
      <c r="ACL42" s="1221"/>
      <c r="ACM42" s="1221"/>
      <c r="ACN42" s="1221"/>
      <c r="ACO42" s="1221"/>
      <c r="ACP42" s="1221"/>
      <c r="ACQ42" s="1221"/>
      <c r="ACR42" s="1221"/>
      <c r="ACS42" s="1221"/>
      <c r="ACT42" s="1221"/>
      <c r="ACU42" s="1221"/>
      <c r="ACV42" s="1221"/>
      <c r="ACW42" s="1221"/>
      <c r="ACX42" s="1221"/>
      <c r="ACY42" s="1221"/>
      <c r="ACZ42" s="1221"/>
      <c r="ADA42" s="1221"/>
      <c r="ADB42" s="1221"/>
      <c r="ADC42" s="1221"/>
      <c r="ADD42" s="1221"/>
      <c r="ADE42" s="1221"/>
      <c r="ADF42" s="1221"/>
      <c r="ADG42" s="1221"/>
      <c r="ADH42" s="1221"/>
      <c r="ADI42" s="1221"/>
      <c r="ADJ42" s="1221"/>
      <c r="ADK42" s="1221"/>
      <c r="ADL42" s="1221"/>
      <c r="ADM42" s="1221"/>
      <c r="ADN42" s="1221"/>
      <c r="ADO42" s="1221"/>
      <c r="ADP42" s="1221"/>
      <c r="ADQ42" s="1221"/>
      <c r="ADR42" s="1221"/>
      <c r="ADS42" s="1221"/>
      <c r="ADT42" s="1221"/>
      <c r="ADU42" s="1221"/>
      <c r="ADV42" s="1221"/>
      <c r="ADW42" s="1221"/>
      <c r="ADX42" s="1221"/>
      <c r="ADY42" s="1221"/>
      <c r="ADZ42" s="1221"/>
      <c r="AEA42" s="1221"/>
      <c r="AEB42" s="1221"/>
      <c r="AEC42" s="1221"/>
      <c r="AED42" s="1221"/>
      <c r="AEE42" s="1221"/>
      <c r="AEF42" s="1221"/>
      <c r="AEG42" s="1221"/>
      <c r="AEH42" s="1221"/>
      <c r="AEI42" s="1221"/>
      <c r="AEJ42" s="1221"/>
      <c r="AEK42" s="1221"/>
      <c r="AEL42" s="1221"/>
      <c r="AEM42" s="1221"/>
      <c r="AEN42" s="1221"/>
      <c r="AEO42" s="1221"/>
      <c r="AEP42" s="1221"/>
      <c r="AEQ42" s="1221"/>
      <c r="AER42" s="1221"/>
      <c r="AES42" s="1221"/>
      <c r="AET42" s="1221"/>
      <c r="AEU42" s="1221"/>
      <c r="AEV42" s="1221"/>
      <c r="AEW42" s="1221"/>
      <c r="AEX42" s="1221"/>
      <c r="AEY42" s="1221"/>
      <c r="AEZ42" s="1221"/>
      <c r="AFA42" s="1221"/>
      <c r="AFB42" s="1221"/>
      <c r="AFC42" s="1221"/>
      <c r="AFD42" s="1221"/>
      <c r="AFE42" s="1221"/>
      <c r="AFF42" s="1221"/>
      <c r="AFG42" s="1221"/>
      <c r="AFH42" s="1221"/>
      <c r="AFI42" s="1221"/>
      <c r="AFJ42" s="1221"/>
      <c r="AFK42" s="1221"/>
      <c r="AFL42" s="1221"/>
      <c r="AFM42" s="1221"/>
      <c r="AFN42" s="1221"/>
      <c r="AFO42" s="1221"/>
      <c r="AFP42" s="1221"/>
      <c r="AFQ42" s="1221"/>
      <c r="AFR42" s="1221"/>
      <c r="AFS42" s="1221"/>
      <c r="AFT42" s="1221"/>
      <c r="AFU42" s="1221"/>
      <c r="AFV42" s="1221"/>
      <c r="AFW42" s="1221"/>
      <c r="AFX42" s="1221"/>
      <c r="AFY42" s="1221"/>
      <c r="AFZ42" s="1221"/>
      <c r="AGA42" s="1221"/>
      <c r="AGB42" s="1221"/>
      <c r="AGC42" s="1221"/>
      <c r="AGD42" s="1221"/>
      <c r="AGE42" s="1221"/>
      <c r="AGF42" s="1221"/>
      <c r="AGG42" s="1221"/>
      <c r="AGH42" s="1221"/>
      <c r="AGI42" s="1221"/>
      <c r="AGJ42" s="1221"/>
      <c r="AGK42" s="1221"/>
      <c r="AGL42" s="1221"/>
      <c r="AGM42" s="1221"/>
      <c r="AGN42" s="1221"/>
      <c r="AGO42" s="1221"/>
      <c r="AGP42" s="1221"/>
      <c r="AGQ42" s="1221"/>
      <c r="AGR42" s="1221"/>
      <c r="AGS42" s="1221"/>
      <c r="AGT42" s="1221"/>
      <c r="AGU42" s="1221"/>
      <c r="AGV42" s="1221"/>
      <c r="AGW42" s="1221"/>
      <c r="AGX42" s="1221"/>
      <c r="AGY42" s="1221"/>
      <c r="AGZ42" s="1221"/>
      <c r="AHA42" s="1221"/>
      <c r="AHB42" s="1221"/>
      <c r="AHC42" s="1221"/>
      <c r="AHD42" s="1221"/>
      <c r="AHE42" s="1221"/>
      <c r="AHF42" s="1221"/>
      <c r="AHG42" s="1221"/>
      <c r="AHH42" s="1221"/>
      <c r="AHI42" s="1221"/>
      <c r="AHJ42" s="1221"/>
      <c r="AHK42" s="1221"/>
      <c r="AHL42" s="1221"/>
      <c r="AHM42" s="1221"/>
      <c r="AHN42" s="1221"/>
      <c r="AHO42" s="1221"/>
      <c r="AHP42" s="1221"/>
      <c r="AHQ42" s="1221"/>
      <c r="AHR42" s="1221"/>
      <c r="AHS42" s="1221"/>
      <c r="AHT42" s="1221"/>
      <c r="AHU42" s="1221"/>
      <c r="AHV42" s="1221"/>
      <c r="AHW42" s="1221"/>
      <c r="AHX42" s="1221"/>
      <c r="AHY42" s="1221"/>
      <c r="AHZ42" s="1221"/>
      <c r="AIA42" s="1221"/>
      <c r="AIB42" s="1221"/>
      <c r="AIC42" s="1221"/>
      <c r="AID42" s="1221"/>
      <c r="AIE42" s="1221"/>
      <c r="AIF42" s="1221"/>
      <c r="AIG42" s="1221"/>
      <c r="AIH42" s="1221"/>
      <c r="AII42" s="1221"/>
      <c r="AIJ42" s="1221"/>
      <c r="AIK42" s="1221"/>
      <c r="AIL42" s="1221"/>
      <c r="AIM42" s="1221"/>
      <c r="AIN42" s="1221"/>
      <c r="AIO42" s="1221"/>
      <c r="AIP42" s="1221"/>
      <c r="AIQ42" s="1221"/>
      <c r="AIR42" s="1221"/>
      <c r="AIS42" s="1221"/>
      <c r="AIT42" s="1221"/>
      <c r="AIU42" s="1221"/>
      <c r="AIV42" s="1221"/>
      <c r="AIW42" s="1221"/>
      <c r="AIX42" s="1221"/>
      <c r="AIY42" s="1221"/>
      <c r="AIZ42" s="1221"/>
      <c r="AJA42" s="1221"/>
      <c r="AJB42" s="1221"/>
      <c r="AJC42" s="1221"/>
      <c r="AJD42" s="1221"/>
      <c r="AJE42" s="1221"/>
      <c r="AJF42" s="1221"/>
      <c r="AJG42" s="1221"/>
      <c r="AJH42" s="1221"/>
      <c r="AJI42" s="1221"/>
      <c r="AJJ42" s="1221"/>
      <c r="AJK42" s="1221"/>
      <c r="AJL42" s="1221"/>
      <c r="AJM42" s="1221"/>
      <c r="AJN42" s="1221"/>
      <c r="AJO42" s="1221"/>
      <c r="AJP42" s="1221"/>
      <c r="AJQ42" s="1221"/>
      <c r="AJR42" s="1221"/>
      <c r="AJS42" s="1221"/>
      <c r="AJT42" s="1221"/>
      <c r="AJU42" s="1221"/>
      <c r="AJV42" s="1221"/>
      <c r="AJW42" s="1221"/>
      <c r="AJX42" s="1221"/>
      <c r="AJY42" s="1221"/>
      <c r="AJZ42" s="1221"/>
      <c r="AKA42" s="1221"/>
      <c r="AKB42" s="1221"/>
      <c r="AKC42" s="1221"/>
      <c r="AKD42" s="1221"/>
      <c r="AKE42" s="1221"/>
      <c r="AKF42" s="1221"/>
      <c r="AKG42" s="1221"/>
      <c r="AKH42" s="1221"/>
      <c r="AKI42" s="1221"/>
      <c r="AKJ42" s="1221"/>
      <c r="AKK42" s="1221"/>
      <c r="AKL42" s="1221"/>
      <c r="AKM42" s="1221"/>
      <c r="AKN42" s="1221"/>
      <c r="AKO42" s="1221"/>
      <c r="AKP42" s="1221"/>
      <c r="AKQ42" s="1221"/>
      <c r="AKR42" s="1221"/>
      <c r="AKS42" s="1221"/>
      <c r="AKT42" s="1221"/>
      <c r="AKU42" s="1221"/>
      <c r="AKV42" s="1221"/>
      <c r="AKW42" s="1221"/>
      <c r="AKX42" s="1221"/>
      <c r="AKY42" s="1221"/>
      <c r="AKZ42" s="1221"/>
      <c r="ALA42" s="1221"/>
      <c r="ALB42" s="1221"/>
      <c r="ALC42" s="1221"/>
      <c r="ALD42" s="1221"/>
      <c r="ALE42" s="1221"/>
      <c r="ALF42" s="1221"/>
      <c r="ALG42" s="1221"/>
      <c r="ALH42" s="1221"/>
      <c r="ALI42" s="1221"/>
      <c r="ALJ42" s="1221"/>
      <c r="ALK42" s="1221"/>
      <c r="ALL42" s="1221"/>
      <c r="ALM42" s="1221"/>
      <c r="ALN42" s="1221"/>
      <c r="ALO42" s="1221"/>
      <c r="ALP42" s="1221"/>
      <c r="ALQ42" s="1221"/>
      <c r="ALR42" s="1221"/>
      <c r="ALS42" s="1221"/>
      <c r="ALT42" s="1221"/>
      <c r="ALU42" s="1221"/>
      <c r="ALV42" s="1221"/>
      <c r="ALW42" s="1221"/>
      <c r="ALX42" s="1221"/>
      <c r="ALY42" s="1221"/>
      <c r="ALZ42" s="1221"/>
      <c r="AMA42" s="1221"/>
      <c r="AMB42" s="1221"/>
      <c r="AMC42" s="1221"/>
      <c r="AMD42" s="1221"/>
      <c r="AME42" s="1221"/>
      <c r="AMF42" s="1221"/>
      <c r="AMG42" s="1221"/>
      <c r="AMH42" s="1221"/>
      <c r="AMI42" s="1221"/>
      <c r="AMJ42" s="1221"/>
      <c r="AMK42" s="1221"/>
      <c r="AML42" s="1221"/>
      <c r="AMM42" s="1221"/>
      <c r="AMN42" s="1221"/>
      <c r="AMO42" s="1221"/>
      <c r="AMP42" s="1221"/>
      <c r="AMQ42" s="1221"/>
      <c r="AMR42" s="1221"/>
      <c r="AMS42" s="1221"/>
      <c r="AMT42" s="1221"/>
      <c r="AMU42" s="1221"/>
      <c r="AMV42" s="1221"/>
      <c r="AMW42" s="1221"/>
      <c r="AMX42" s="1221"/>
      <c r="AMY42" s="1221"/>
      <c r="AMZ42" s="1221"/>
      <c r="ANA42" s="1221"/>
      <c r="ANB42" s="1221"/>
      <c r="ANC42" s="1221"/>
      <c r="AND42" s="1221"/>
      <c r="ANE42" s="1221"/>
      <c r="ANF42" s="1221"/>
      <c r="ANG42" s="1221"/>
      <c r="ANH42" s="1221"/>
      <c r="ANI42" s="1221"/>
      <c r="ANJ42" s="1221"/>
      <c r="ANK42" s="1221"/>
      <c r="ANL42" s="1221"/>
      <c r="ANM42" s="1221"/>
      <c r="ANN42" s="1221"/>
      <c r="ANO42" s="1221"/>
      <c r="ANP42" s="1221"/>
      <c r="ANQ42" s="1221"/>
      <c r="ANR42" s="1221"/>
      <c r="ANS42" s="1221"/>
      <c r="ANT42" s="1221"/>
      <c r="ANU42" s="1221"/>
      <c r="ANV42" s="1221"/>
      <c r="ANW42" s="1221"/>
      <c r="ANX42" s="1221"/>
      <c r="ANY42" s="1221"/>
      <c r="ANZ42" s="1221"/>
      <c r="AOA42" s="1221"/>
      <c r="AOB42" s="1221"/>
      <c r="AOC42" s="1221"/>
      <c r="AOD42" s="1221"/>
      <c r="AOE42" s="1221"/>
      <c r="AOF42" s="1221"/>
      <c r="AOG42" s="1221"/>
      <c r="AOH42" s="1221"/>
      <c r="AOI42" s="1221"/>
      <c r="AOJ42" s="1221"/>
      <c r="AOK42" s="1221"/>
      <c r="AOL42" s="1221"/>
      <c r="AOM42" s="1221"/>
      <c r="AON42" s="1221"/>
      <c r="AOO42" s="1221"/>
      <c r="AOP42" s="1221"/>
      <c r="AOQ42" s="1221"/>
      <c r="AOR42" s="1221"/>
      <c r="AOS42" s="1221"/>
      <c r="AOT42" s="1221"/>
      <c r="AOU42" s="1221"/>
      <c r="AOV42" s="1221"/>
      <c r="AOW42" s="1221"/>
      <c r="AOX42" s="1221"/>
      <c r="AOY42" s="1221"/>
      <c r="AOZ42" s="1221"/>
      <c r="APA42" s="1221"/>
      <c r="APB42" s="1221"/>
      <c r="APC42" s="1221"/>
      <c r="APD42" s="1221"/>
      <c r="APE42" s="1221"/>
      <c r="APF42" s="1221"/>
      <c r="APG42" s="1221"/>
      <c r="APH42" s="1221"/>
      <c r="API42" s="1221"/>
      <c r="APJ42" s="1221"/>
      <c r="APK42" s="1221"/>
      <c r="APL42" s="1221"/>
      <c r="APM42" s="1221"/>
      <c r="APN42" s="1221"/>
      <c r="APO42" s="1221"/>
      <c r="APP42" s="1221"/>
      <c r="APQ42" s="1221"/>
      <c r="APR42" s="1221"/>
      <c r="APS42" s="1221"/>
      <c r="APT42" s="1221"/>
      <c r="APU42" s="1221"/>
      <c r="APV42" s="1221"/>
      <c r="APW42" s="1221"/>
      <c r="APX42" s="1221"/>
      <c r="APY42" s="1221"/>
      <c r="APZ42" s="1221"/>
      <c r="AQA42" s="1221"/>
      <c r="AQB42" s="1221"/>
      <c r="AQC42" s="1221"/>
      <c r="AQD42" s="1221"/>
      <c r="AQE42" s="1221"/>
      <c r="AQF42" s="1221"/>
      <c r="AQG42" s="1221"/>
      <c r="AQH42" s="1221"/>
      <c r="AQI42" s="1221"/>
      <c r="AQJ42" s="1221"/>
      <c r="AQK42" s="1221"/>
      <c r="AQL42" s="1221"/>
      <c r="AQM42" s="1221"/>
      <c r="AQN42" s="1221"/>
      <c r="AQO42" s="1221"/>
      <c r="AQP42" s="1221"/>
      <c r="AQQ42" s="1221"/>
      <c r="AQR42" s="1221"/>
      <c r="AQS42" s="1221"/>
      <c r="AQT42" s="1221"/>
      <c r="AQU42" s="1221"/>
      <c r="AQV42" s="1221"/>
      <c r="AQW42" s="1221"/>
      <c r="AQX42" s="1221"/>
      <c r="AQY42" s="1221"/>
      <c r="AQZ42" s="1221"/>
      <c r="ARA42" s="1221"/>
      <c r="ARB42" s="1221"/>
      <c r="ARC42" s="1221"/>
      <c r="ARD42" s="1221"/>
      <c r="ARE42" s="1221"/>
      <c r="ARF42" s="1221"/>
      <c r="ARG42" s="1221"/>
      <c r="ARH42" s="1221"/>
      <c r="ARI42" s="1221"/>
      <c r="ARJ42" s="1221"/>
      <c r="ARK42" s="1221"/>
      <c r="ARL42" s="1221"/>
      <c r="ARM42" s="1221"/>
      <c r="ARN42" s="1221"/>
      <c r="ARO42" s="1221"/>
      <c r="ARP42" s="1221"/>
      <c r="ARQ42" s="1221"/>
      <c r="ARR42" s="1221"/>
      <c r="ARS42" s="1221"/>
      <c r="ART42" s="1221"/>
      <c r="ARU42" s="1221"/>
      <c r="ARV42" s="1221"/>
      <c r="ARW42" s="1221"/>
      <c r="ARX42" s="1221"/>
      <c r="ARY42" s="1221"/>
      <c r="ARZ42" s="1221"/>
      <c r="ASA42" s="1221"/>
      <c r="ASB42" s="1221"/>
      <c r="ASC42" s="1221"/>
      <c r="ASD42" s="1221"/>
      <c r="ASE42" s="1221"/>
      <c r="ASF42" s="1221"/>
      <c r="ASG42" s="1221"/>
      <c r="ASH42" s="1221"/>
      <c r="ASI42" s="1221"/>
      <c r="ASJ42" s="1221"/>
      <c r="ASK42" s="1221"/>
      <c r="ASL42" s="1221"/>
      <c r="ASM42" s="1221"/>
      <c r="ASN42" s="1221"/>
      <c r="ASO42" s="1221"/>
      <c r="ASP42" s="1221"/>
      <c r="ASQ42" s="1221"/>
      <c r="ASR42" s="1221"/>
      <c r="ASS42" s="1221"/>
      <c r="AST42" s="1221"/>
      <c r="ASU42" s="1221"/>
      <c r="ASV42" s="1221"/>
      <c r="ASW42" s="1221"/>
      <c r="ASX42" s="1221"/>
      <c r="ASY42" s="1221"/>
      <c r="ASZ42" s="1221"/>
      <c r="ATA42" s="1221"/>
      <c r="ATB42" s="1221"/>
      <c r="ATC42" s="1221"/>
      <c r="ATD42" s="1221"/>
      <c r="ATE42" s="1221"/>
      <c r="ATF42" s="1221"/>
      <c r="ATG42" s="1221"/>
      <c r="ATH42" s="1221"/>
      <c r="ATI42" s="1221"/>
      <c r="ATJ42" s="1221"/>
      <c r="ATK42" s="1221"/>
      <c r="ATL42" s="1221"/>
      <c r="ATM42" s="1221"/>
      <c r="ATN42" s="1221"/>
      <c r="ATO42" s="1221"/>
      <c r="ATP42" s="1221"/>
      <c r="ATQ42" s="1221"/>
      <c r="ATR42" s="1221"/>
      <c r="ATS42" s="1221"/>
      <c r="ATT42" s="1221"/>
      <c r="ATU42" s="1221"/>
      <c r="ATV42" s="1221"/>
      <c r="ATW42" s="1221"/>
      <c r="ATX42" s="1221"/>
      <c r="ATY42" s="1221"/>
      <c r="ATZ42" s="1221"/>
      <c r="AUA42" s="1221"/>
      <c r="AUB42" s="1221"/>
      <c r="AUC42" s="1221"/>
      <c r="AUD42" s="1221"/>
      <c r="AUE42" s="1221"/>
      <c r="AUF42" s="1221"/>
      <c r="AUG42" s="1221"/>
      <c r="AUH42" s="1221"/>
      <c r="AUI42" s="1221"/>
      <c r="AUJ42" s="1221"/>
      <c r="AUK42" s="1221"/>
      <c r="AUL42" s="1221"/>
      <c r="AUM42" s="1221"/>
      <c r="AUN42" s="1221"/>
      <c r="AUO42" s="1221"/>
      <c r="AUP42" s="1221"/>
      <c r="AUQ42" s="1221"/>
      <c r="AUR42" s="1221"/>
      <c r="AUS42" s="1221"/>
      <c r="AUT42" s="1221"/>
      <c r="AUU42" s="1221"/>
      <c r="AUV42" s="1221"/>
      <c r="AUW42" s="1221"/>
      <c r="AUX42" s="1221"/>
      <c r="AUY42" s="1221"/>
      <c r="AUZ42" s="1221"/>
      <c r="AVA42" s="1221"/>
      <c r="AVB42" s="1221"/>
      <c r="AVC42" s="1221"/>
      <c r="AVD42" s="1221"/>
      <c r="AVE42" s="1221"/>
      <c r="AVF42" s="1221"/>
      <c r="AVG42" s="1221"/>
      <c r="AVH42" s="1221"/>
      <c r="AVI42" s="1221"/>
      <c r="AVJ42" s="1221"/>
      <c r="AVK42" s="1221"/>
      <c r="AVL42" s="1221"/>
      <c r="AVM42" s="1221"/>
      <c r="AVN42" s="1221"/>
      <c r="AVO42" s="1221"/>
      <c r="AVP42" s="1221"/>
      <c r="AVQ42" s="1221"/>
      <c r="AVR42" s="1221"/>
      <c r="AVS42" s="1221"/>
      <c r="AVT42" s="1221"/>
      <c r="AVU42" s="1221"/>
      <c r="AVV42" s="1221"/>
      <c r="AVW42" s="1221"/>
      <c r="AVX42" s="1221"/>
      <c r="AVY42" s="1221"/>
      <c r="AVZ42" s="1221"/>
      <c r="AWA42" s="1221"/>
      <c r="AWB42" s="1221"/>
      <c r="AWC42" s="1221"/>
      <c r="AWD42" s="1221"/>
      <c r="AWE42" s="1221"/>
      <c r="AWF42" s="1221"/>
      <c r="AWG42" s="1221"/>
      <c r="AWH42" s="1221"/>
      <c r="AWI42" s="1221"/>
      <c r="AWJ42" s="1221"/>
      <c r="AWK42" s="1221"/>
      <c r="AWL42" s="1221"/>
      <c r="AWM42" s="1221"/>
      <c r="AWN42" s="1221"/>
      <c r="AWO42" s="1221"/>
      <c r="AWP42" s="1221"/>
      <c r="AWQ42" s="1221"/>
      <c r="AWR42" s="1221"/>
      <c r="AWS42" s="1221"/>
      <c r="AWT42" s="1221"/>
      <c r="AWU42" s="1221"/>
      <c r="AWV42" s="1221"/>
      <c r="AWW42" s="1221"/>
      <c r="AWX42" s="1221"/>
      <c r="AWY42" s="1221"/>
      <c r="AWZ42" s="1221"/>
      <c r="AXA42" s="1221"/>
      <c r="AXB42" s="1221"/>
      <c r="AXC42" s="1221"/>
      <c r="AXD42" s="1221"/>
      <c r="AXE42" s="1221"/>
      <c r="AXF42" s="1221"/>
      <c r="AXG42" s="1221"/>
      <c r="AXH42" s="1221"/>
      <c r="AXI42" s="1221"/>
      <c r="AXJ42" s="1221"/>
      <c r="AXK42" s="1221"/>
      <c r="AXL42" s="1221"/>
      <c r="AXM42" s="1221"/>
      <c r="AXN42" s="1221"/>
      <c r="AXO42" s="1221"/>
      <c r="AXP42" s="1221"/>
      <c r="AXQ42" s="1221"/>
      <c r="AXR42" s="1221"/>
      <c r="AXS42" s="1221"/>
      <c r="AXT42" s="1221"/>
      <c r="AXU42" s="1221"/>
      <c r="AXV42" s="1221"/>
      <c r="AXW42" s="1221"/>
      <c r="AXX42" s="1221"/>
      <c r="AXY42" s="1221"/>
      <c r="AXZ42" s="1221"/>
      <c r="AYA42" s="1221"/>
      <c r="AYB42" s="1221"/>
      <c r="AYC42" s="1221"/>
      <c r="AYD42" s="1221"/>
      <c r="AYE42" s="1221"/>
      <c r="AYF42" s="1221"/>
      <c r="AYG42" s="1221"/>
      <c r="AYH42" s="1221"/>
      <c r="AYI42" s="1221"/>
      <c r="AYJ42" s="1221"/>
      <c r="AYK42" s="1221"/>
      <c r="AYL42" s="1221"/>
      <c r="AYM42" s="1221"/>
      <c r="AYN42" s="1221"/>
      <c r="AYO42" s="1221"/>
      <c r="AYP42" s="1221"/>
      <c r="AYQ42" s="1221"/>
      <c r="AYR42" s="1221"/>
      <c r="AYS42" s="1221"/>
      <c r="AYT42" s="1221"/>
      <c r="AYU42" s="1221"/>
      <c r="AYV42" s="1221"/>
      <c r="AYW42" s="1221"/>
      <c r="AYX42" s="1221"/>
      <c r="AYY42" s="1221"/>
      <c r="AYZ42" s="1221"/>
      <c r="AZA42" s="1221"/>
      <c r="AZB42" s="1221"/>
      <c r="AZC42" s="1221"/>
      <c r="AZD42" s="1221"/>
      <c r="AZE42" s="1221"/>
      <c r="AZF42" s="1221"/>
      <c r="AZG42" s="1221"/>
      <c r="AZH42" s="1221"/>
      <c r="AZI42" s="1221"/>
      <c r="AZJ42" s="1221"/>
      <c r="AZK42" s="1221"/>
      <c r="AZL42" s="1221"/>
      <c r="AZM42" s="1221"/>
      <c r="AZN42" s="1221"/>
      <c r="AZO42" s="1221"/>
      <c r="AZP42" s="1221"/>
      <c r="AZQ42" s="1221"/>
      <c r="AZR42" s="1221"/>
      <c r="AZS42" s="1221"/>
      <c r="AZT42" s="1221"/>
      <c r="AZU42" s="1221"/>
      <c r="AZV42" s="1221"/>
      <c r="AZW42" s="1221"/>
      <c r="AZX42" s="1221"/>
      <c r="AZY42" s="1221"/>
      <c r="AZZ42" s="1221"/>
      <c r="BAA42" s="1221"/>
      <c r="BAB42" s="1221"/>
      <c r="BAC42" s="1221"/>
      <c r="BAD42" s="1221"/>
      <c r="BAE42" s="1221"/>
      <c r="BAF42" s="1221"/>
      <c r="BAG42" s="1221"/>
      <c r="BAH42" s="1221"/>
      <c r="BAI42" s="1221"/>
      <c r="BAJ42" s="1221"/>
      <c r="BAK42" s="1221"/>
      <c r="BAL42" s="1221"/>
      <c r="BAM42" s="1221"/>
      <c r="BAN42" s="1221"/>
      <c r="BAO42" s="1221"/>
      <c r="BAP42" s="1221"/>
      <c r="BAQ42" s="1221"/>
      <c r="BAR42" s="1221"/>
      <c r="BAS42" s="1221"/>
      <c r="BAT42" s="1221"/>
      <c r="BAU42" s="1221"/>
      <c r="BAV42" s="1221"/>
      <c r="BAW42" s="1221"/>
      <c r="BAX42" s="1221"/>
      <c r="BAY42" s="1221"/>
      <c r="BAZ42" s="1221"/>
      <c r="BBA42" s="1221"/>
      <c r="BBB42" s="1221"/>
      <c r="BBC42" s="1221"/>
      <c r="BBD42" s="1221"/>
      <c r="BBE42" s="1221"/>
      <c r="BBF42" s="1221"/>
      <c r="BBG42" s="1221"/>
      <c r="BBH42" s="1221"/>
      <c r="BBI42" s="1221"/>
      <c r="BBJ42" s="1221"/>
      <c r="BBK42" s="1221"/>
      <c r="BBL42" s="1221"/>
      <c r="BBM42" s="1221"/>
      <c r="BBN42" s="1221"/>
      <c r="BBO42" s="1221"/>
      <c r="BBP42" s="1221"/>
      <c r="BBQ42" s="1221"/>
      <c r="BBR42" s="1221"/>
      <c r="BBS42" s="1221"/>
      <c r="BBT42" s="1221"/>
      <c r="BBU42" s="1221"/>
      <c r="BBV42" s="1221"/>
      <c r="BBW42" s="1221"/>
      <c r="BBX42" s="1221"/>
      <c r="BBY42" s="1221"/>
      <c r="BBZ42" s="1221"/>
      <c r="BCA42" s="1221"/>
      <c r="BCB42" s="1221"/>
      <c r="BCC42" s="1221"/>
      <c r="BCD42" s="1221"/>
      <c r="BCE42" s="1221"/>
      <c r="BCF42" s="1221"/>
      <c r="BCG42" s="1221"/>
      <c r="BCH42" s="1221"/>
      <c r="BCI42" s="1221"/>
      <c r="BCJ42" s="1221"/>
      <c r="BCK42" s="1221"/>
      <c r="BCL42" s="1221"/>
      <c r="BCM42" s="1221"/>
      <c r="BCN42" s="1221"/>
      <c r="BCO42" s="1221"/>
      <c r="BCP42" s="1221"/>
      <c r="BCQ42" s="1221"/>
      <c r="BCR42" s="1221"/>
      <c r="BCS42" s="1221"/>
      <c r="BCT42" s="1221"/>
      <c r="BCU42" s="1221"/>
      <c r="BCV42" s="1221"/>
      <c r="BCW42" s="1221"/>
      <c r="BCX42" s="1221"/>
      <c r="BCY42" s="1221"/>
      <c r="BCZ42" s="1221"/>
      <c r="BDA42" s="1221"/>
      <c r="BDB42" s="1221"/>
      <c r="BDC42" s="1221"/>
      <c r="BDD42" s="1221"/>
      <c r="BDE42" s="1221"/>
      <c r="BDF42" s="1221"/>
      <c r="BDG42" s="1221"/>
      <c r="BDH42" s="1221"/>
      <c r="BDI42" s="1221"/>
      <c r="BDJ42" s="1221"/>
      <c r="BDK42" s="1221"/>
      <c r="BDL42" s="1221"/>
      <c r="BDM42" s="1221"/>
      <c r="BDN42" s="1221"/>
      <c r="BDO42" s="1221"/>
      <c r="BDP42" s="1221"/>
      <c r="BDQ42" s="1221"/>
      <c r="BDR42" s="1221"/>
      <c r="BDS42" s="1221"/>
      <c r="BDT42" s="1221"/>
      <c r="BDU42" s="1221"/>
      <c r="BDV42" s="1221"/>
      <c r="BDW42" s="1221"/>
      <c r="BDX42" s="1221"/>
      <c r="BDY42" s="1221"/>
      <c r="BDZ42" s="1221"/>
      <c r="BEA42" s="1221"/>
      <c r="BEB42" s="1221"/>
      <c r="BEC42" s="1221"/>
      <c r="BED42" s="1221"/>
      <c r="BEE42" s="1221"/>
      <c r="BEF42" s="1221"/>
      <c r="BEG42" s="1221"/>
      <c r="BEH42" s="1221"/>
      <c r="BEI42" s="1221"/>
      <c r="BEJ42" s="1221"/>
      <c r="BEK42" s="1221"/>
      <c r="BEL42" s="1221"/>
      <c r="BEM42" s="1221"/>
      <c r="BEN42" s="1221"/>
      <c r="BEO42" s="1221"/>
      <c r="BEP42" s="1221"/>
      <c r="BEQ42" s="1221"/>
      <c r="BER42" s="1221"/>
      <c r="BES42" s="1221"/>
      <c r="BET42" s="1221"/>
      <c r="BEU42" s="1221"/>
      <c r="BEV42" s="1221"/>
      <c r="BEW42" s="1221"/>
      <c r="BEX42" s="1221"/>
      <c r="BEY42" s="1221"/>
      <c r="BEZ42" s="1221"/>
      <c r="BFA42" s="1221"/>
      <c r="BFB42" s="1221"/>
      <c r="BFC42" s="1221"/>
      <c r="BFD42" s="1221"/>
      <c r="BFE42" s="1221"/>
      <c r="BFF42" s="1221"/>
      <c r="BFG42" s="1221"/>
      <c r="BFH42" s="1221"/>
      <c r="BFI42" s="1221"/>
      <c r="BFJ42" s="1221"/>
      <c r="BFK42" s="1221"/>
      <c r="BFL42" s="1221"/>
      <c r="BFM42" s="1221"/>
      <c r="BFN42" s="1221"/>
      <c r="BFO42" s="1221"/>
      <c r="BFP42" s="1221"/>
      <c r="BFQ42" s="1221"/>
      <c r="BFR42" s="1221"/>
      <c r="BFS42" s="1221"/>
      <c r="BFT42" s="1221"/>
      <c r="BFU42" s="1221"/>
      <c r="BFV42" s="1221"/>
      <c r="BFW42" s="1221"/>
      <c r="BFX42" s="1221"/>
      <c r="BFY42" s="1221"/>
      <c r="BFZ42" s="1221"/>
      <c r="BGA42" s="1221"/>
      <c r="BGB42" s="1221"/>
      <c r="BGC42" s="1221"/>
      <c r="BGD42" s="1221"/>
      <c r="BGE42" s="1221"/>
      <c r="BGF42" s="1221"/>
      <c r="BGG42" s="1221"/>
      <c r="BGH42" s="1221"/>
      <c r="BGI42" s="1221"/>
      <c r="BGJ42" s="1221"/>
      <c r="BGK42" s="1221"/>
      <c r="BGL42" s="1221"/>
      <c r="BGM42" s="1221"/>
      <c r="BGN42" s="1221"/>
      <c r="BGO42" s="1221"/>
      <c r="BGP42" s="1221"/>
      <c r="BGQ42" s="1221"/>
      <c r="BGR42" s="1221"/>
      <c r="BGS42" s="1221"/>
      <c r="BGT42" s="1221"/>
      <c r="BGU42" s="1221"/>
      <c r="BGV42" s="1221"/>
      <c r="BGW42" s="1221"/>
      <c r="BGX42" s="1221"/>
      <c r="BGY42" s="1221"/>
      <c r="BGZ42" s="1221"/>
      <c r="BHA42" s="1221"/>
      <c r="BHB42" s="1221"/>
      <c r="BHC42" s="1221"/>
      <c r="BHD42" s="1221"/>
      <c r="BHE42" s="1221"/>
      <c r="BHF42" s="1221"/>
      <c r="BHG42" s="1221"/>
      <c r="BHH42" s="1221"/>
      <c r="BHI42" s="1221"/>
      <c r="BHJ42" s="1221"/>
      <c r="BHK42" s="1221"/>
      <c r="BHL42" s="1221"/>
      <c r="BHM42" s="1221"/>
      <c r="BHN42" s="1221"/>
      <c r="BHO42" s="1221"/>
      <c r="BHP42" s="1221"/>
      <c r="BHQ42" s="1221"/>
      <c r="BHR42" s="1221"/>
      <c r="BHS42" s="1221"/>
      <c r="BHT42" s="1221"/>
      <c r="BHU42" s="1221"/>
      <c r="BHV42" s="1221"/>
      <c r="BHW42" s="1221"/>
      <c r="BHX42" s="1221"/>
      <c r="BHY42" s="1221"/>
      <c r="BHZ42" s="1221"/>
      <c r="BIA42" s="1221"/>
      <c r="BIB42" s="1221"/>
      <c r="BIC42" s="1221"/>
      <c r="BID42" s="1221"/>
      <c r="BIE42" s="1221"/>
      <c r="BIF42" s="1221"/>
      <c r="BIG42" s="1221"/>
      <c r="BIH42" s="1221"/>
      <c r="BII42" s="1221"/>
      <c r="BIJ42" s="1221"/>
      <c r="BIK42" s="1221"/>
      <c r="BIL42" s="1221"/>
      <c r="BIM42" s="1221"/>
      <c r="BIN42" s="1221"/>
      <c r="BIO42" s="1221"/>
      <c r="BIP42" s="1221"/>
      <c r="BIQ42" s="1221"/>
      <c r="BIR42" s="1221"/>
      <c r="BIS42" s="1221"/>
      <c r="BIT42" s="1221"/>
      <c r="BIU42" s="1221"/>
      <c r="BIV42" s="1221"/>
      <c r="BIW42" s="1221"/>
      <c r="BIX42" s="1221"/>
      <c r="BIY42" s="1221"/>
      <c r="BIZ42" s="1221"/>
      <c r="BJA42" s="1221"/>
      <c r="BJB42" s="1221"/>
      <c r="BJC42" s="1221"/>
      <c r="BJD42" s="1221"/>
      <c r="BJE42" s="1221"/>
      <c r="BJF42" s="1221"/>
      <c r="BJG42" s="1221"/>
      <c r="BJH42" s="1221"/>
      <c r="BJI42" s="1221"/>
      <c r="BJJ42" s="1221"/>
      <c r="BJK42" s="1221"/>
      <c r="BJL42" s="1221"/>
      <c r="BJM42" s="1221"/>
      <c r="BJN42" s="1221"/>
      <c r="BJO42" s="1221"/>
      <c r="BJP42" s="1221"/>
      <c r="BJQ42" s="1221"/>
      <c r="BJR42" s="1221"/>
      <c r="BJS42" s="1221"/>
      <c r="BJT42" s="1221"/>
      <c r="BJU42" s="1221"/>
      <c r="BJV42" s="1221"/>
      <c r="BJW42" s="1221"/>
      <c r="BJX42" s="1221"/>
      <c r="BJY42" s="1221"/>
      <c r="BJZ42" s="1221"/>
      <c r="BKA42" s="1221"/>
      <c r="BKB42" s="1221"/>
      <c r="BKC42" s="1221"/>
      <c r="BKD42" s="1221"/>
      <c r="BKE42" s="1221"/>
      <c r="BKF42" s="1221"/>
      <c r="BKG42" s="1221"/>
      <c r="BKH42" s="1221"/>
      <c r="BKI42" s="1221"/>
      <c r="BKJ42" s="1221"/>
      <c r="BKK42" s="1221"/>
      <c r="BKL42" s="1221"/>
      <c r="BKM42" s="1221"/>
      <c r="BKN42" s="1221"/>
      <c r="BKO42" s="1221"/>
      <c r="BKP42" s="1221"/>
      <c r="BKQ42" s="1221"/>
      <c r="BKR42" s="1221"/>
      <c r="BKS42" s="1221"/>
      <c r="BKT42" s="1221"/>
      <c r="BKU42" s="1221"/>
      <c r="BKV42" s="1221"/>
      <c r="BKW42" s="1221"/>
      <c r="BKX42" s="1221"/>
      <c r="BKY42" s="1221"/>
      <c r="BKZ42" s="1221"/>
      <c r="BLA42" s="1221"/>
      <c r="BLB42" s="1221"/>
      <c r="BLC42" s="1221"/>
      <c r="BLD42" s="1221"/>
      <c r="BLE42" s="1221"/>
      <c r="BLF42" s="1221"/>
      <c r="BLG42" s="1221"/>
      <c r="BLH42" s="1221"/>
      <c r="BLI42" s="1221"/>
      <c r="BLJ42" s="1221"/>
      <c r="BLK42" s="1221"/>
      <c r="BLL42" s="1221"/>
      <c r="BLM42" s="1221"/>
      <c r="BLN42" s="1221"/>
      <c r="BLO42" s="1221"/>
      <c r="BLP42" s="1221"/>
      <c r="BLQ42" s="1221"/>
      <c r="BLR42" s="1221"/>
      <c r="BLS42" s="1221"/>
      <c r="BLT42" s="1221"/>
      <c r="BLU42" s="1221"/>
      <c r="BLV42" s="1221"/>
      <c r="BLW42" s="1221"/>
      <c r="BLX42" s="1221"/>
      <c r="BLY42" s="1221"/>
      <c r="BLZ42" s="1221"/>
      <c r="BMA42" s="1221"/>
      <c r="BMB42" s="1221"/>
      <c r="BMC42" s="1221"/>
      <c r="BMD42" s="1221"/>
      <c r="BME42" s="1221"/>
      <c r="BMF42" s="1221"/>
      <c r="BMG42" s="1221"/>
      <c r="BMH42" s="1221"/>
      <c r="BMI42" s="1221"/>
      <c r="BMJ42" s="1221"/>
      <c r="BMK42" s="1221"/>
      <c r="BML42" s="1221"/>
      <c r="BMM42" s="1221"/>
      <c r="BMN42" s="1221"/>
      <c r="BMO42" s="1221"/>
      <c r="BMP42" s="1221"/>
      <c r="BMQ42" s="1221"/>
      <c r="BMR42" s="1221"/>
      <c r="BMS42" s="1221"/>
      <c r="BMT42" s="1221"/>
      <c r="BMU42" s="1221"/>
      <c r="BMV42" s="1221"/>
      <c r="BMW42" s="1221"/>
      <c r="BMX42" s="1221"/>
      <c r="BMY42" s="1221"/>
      <c r="BMZ42" s="1221"/>
      <c r="BNA42" s="1221"/>
      <c r="BNB42" s="1221"/>
      <c r="BNC42" s="1221"/>
      <c r="BND42" s="1221"/>
      <c r="BNE42" s="1221"/>
      <c r="BNF42" s="1221"/>
      <c r="BNG42" s="1221"/>
      <c r="BNH42" s="1221"/>
      <c r="BNI42" s="1221"/>
      <c r="BNJ42" s="1221"/>
      <c r="BNK42" s="1221"/>
      <c r="BNL42" s="1221"/>
      <c r="BNM42" s="1221"/>
      <c r="BNN42" s="1221"/>
      <c r="BNO42" s="1221"/>
      <c r="BNP42" s="1221"/>
      <c r="BNQ42" s="1221"/>
      <c r="BNR42" s="1221"/>
      <c r="BNS42" s="1221"/>
      <c r="BNT42" s="1221"/>
      <c r="BNU42" s="1221"/>
      <c r="BNV42" s="1221"/>
      <c r="BNW42" s="1221"/>
      <c r="BNX42" s="1221"/>
      <c r="BNY42" s="1221"/>
      <c r="BNZ42" s="1221"/>
      <c r="BOA42" s="1221"/>
      <c r="BOB42" s="1221"/>
      <c r="BOC42" s="1221"/>
      <c r="BOD42" s="1221"/>
      <c r="BOE42" s="1221"/>
      <c r="BOF42" s="1221"/>
      <c r="BOG42" s="1221"/>
      <c r="BOH42" s="1221"/>
      <c r="BOI42" s="1221"/>
      <c r="BOJ42" s="1221"/>
      <c r="BOK42" s="1221"/>
      <c r="BOL42" s="1221"/>
      <c r="BOM42" s="1221"/>
      <c r="BON42" s="1221"/>
      <c r="BOO42" s="1221"/>
      <c r="BOP42" s="1221"/>
      <c r="BOQ42" s="1221"/>
      <c r="BOR42" s="1221"/>
      <c r="BOS42" s="1221"/>
      <c r="BOT42" s="1221"/>
      <c r="BOU42" s="1221"/>
      <c r="BOV42" s="1221"/>
      <c r="BOW42" s="1221"/>
      <c r="BOX42" s="1221"/>
      <c r="BOY42" s="1221"/>
      <c r="BOZ42" s="1221"/>
      <c r="BPA42" s="1221"/>
      <c r="BPB42" s="1221"/>
      <c r="BPC42" s="1221"/>
      <c r="BPD42" s="1221"/>
      <c r="BPE42" s="1221"/>
      <c r="BPF42" s="1221"/>
      <c r="BPG42" s="1221"/>
      <c r="BPH42" s="1221"/>
      <c r="BPI42" s="1221"/>
      <c r="BPJ42" s="1221"/>
      <c r="BPK42" s="1221"/>
      <c r="BPL42" s="1221"/>
      <c r="BPM42" s="1221"/>
      <c r="BPN42" s="1221"/>
      <c r="BPO42" s="1221"/>
      <c r="BPP42" s="1221"/>
      <c r="BPQ42" s="1221"/>
      <c r="BPR42" s="1221"/>
      <c r="BPS42" s="1221"/>
      <c r="BPT42" s="1221"/>
      <c r="BPU42" s="1221"/>
      <c r="BPV42" s="1221"/>
      <c r="BPW42" s="1221"/>
      <c r="BPX42" s="1221"/>
      <c r="BPY42" s="1221"/>
      <c r="BPZ42" s="1221"/>
      <c r="BQA42" s="1221"/>
      <c r="BQB42" s="1221"/>
      <c r="BQC42" s="1221"/>
      <c r="BQD42" s="1221"/>
      <c r="BQE42" s="1221"/>
      <c r="BQF42" s="1221"/>
      <c r="BQG42" s="1221"/>
      <c r="BQH42" s="1221"/>
      <c r="BQI42" s="1221"/>
      <c r="BQJ42" s="1221"/>
      <c r="BQK42" s="1221"/>
      <c r="BQL42" s="1221"/>
      <c r="BQM42" s="1221"/>
      <c r="BQN42" s="1221"/>
      <c r="BQO42" s="1221"/>
      <c r="BQP42" s="1221"/>
      <c r="BQQ42" s="1221"/>
      <c r="BQR42" s="1221"/>
      <c r="BQS42" s="1221"/>
      <c r="BQT42" s="1221"/>
      <c r="BQU42" s="1221"/>
      <c r="BQV42" s="1221"/>
      <c r="BQW42" s="1221"/>
      <c r="BQX42" s="1221"/>
      <c r="BQY42" s="1221"/>
      <c r="BQZ42" s="1221"/>
      <c r="BRA42" s="1221"/>
      <c r="BRB42" s="1221"/>
      <c r="BRC42" s="1221"/>
      <c r="BRD42" s="1221"/>
      <c r="BRE42" s="1221"/>
      <c r="BRF42" s="1221"/>
      <c r="BRG42" s="1221"/>
      <c r="BRH42" s="1221"/>
      <c r="BRI42" s="1221"/>
      <c r="BRJ42" s="1221"/>
      <c r="BRK42" s="1221"/>
      <c r="BRL42" s="1221"/>
      <c r="BRM42" s="1221"/>
      <c r="BRN42" s="1221"/>
      <c r="BRO42" s="1221"/>
      <c r="BRP42" s="1221"/>
      <c r="BRQ42" s="1221"/>
      <c r="BRR42" s="1221"/>
      <c r="BRS42" s="1221"/>
      <c r="BRT42" s="1221"/>
      <c r="BRU42" s="1221"/>
      <c r="BRV42" s="1221"/>
      <c r="BRW42" s="1221"/>
      <c r="BRX42" s="1221"/>
      <c r="BRY42" s="1221"/>
      <c r="BRZ42" s="1221"/>
      <c r="BSA42" s="1221"/>
      <c r="BSB42" s="1221"/>
      <c r="BSC42" s="1221"/>
      <c r="BSD42" s="1221"/>
      <c r="BSE42" s="1221"/>
      <c r="BSF42" s="1221"/>
      <c r="BSG42" s="1221"/>
      <c r="BSH42" s="1221"/>
      <c r="BSI42" s="1221"/>
      <c r="BSJ42" s="1221"/>
      <c r="BSK42" s="1221"/>
      <c r="BSL42" s="1221"/>
      <c r="BSM42" s="1221"/>
      <c r="BSN42" s="1221"/>
      <c r="BSO42" s="1221"/>
      <c r="BSP42" s="1221"/>
      <c r="BSQ42" s="1221"/>
      <c r="BSR42" s="1221"/>
      <c r="BSS42" s="1221"/>
      <c r="BST42" s="1221"/>
      <c r="BSU42" s="1221"/>
      <c r="BSV42" s="1221"/>
      <c r="BSW42" s="1221"/>
      <c r="BSX42" s="1221"/>
      <c r="BSY42" s="1221"/>
      <c r="BSZ42" s="1221"/>
      <c r="BTA42" s="1221"/>
      <c r="BTB42" s="1221"/>
      <c r="BTC42" s="1221"/>
      <c r="BTD42" s="1221"/>
      <c r="BTE42" s="1221"/>
      <c r="BTF42" s="1221"/>
      <c r="BTG42" s="1221"/>
      <c r="BTH42" s="1221"/>
      <c r="BTI42" s="1221"/>
      <c r="BTJ42" s="1221"/>
      <c r="BTK42" s="1221"/>
      <c r="BTL42" s="1221"/>
      <c r="BTM42" s="1221"/>
      <c r="BTN42" s="1221"/>
      <c r="BTO42" s="1221"/>
      <c r="BTP42" s="1221"/>
      <c r="BTQ42" s="1221"/>
      <c r="BTR42" s="1221"/>
      <c r="BTS42" s="1221"/>
      <c r="BTT42" s="1221"/>
      <c r="BTU42" s="1221"/>
      <c r="BTV42" s="1221"/>
      <c r="BTW42" s="1221"/>
      <c r="BTX42" s="1221"/>
      <c r="BTY42" s="1221"/>
      <c r="BTZ42" s="1221"/>
      <c r="BUA42" s="1221"/>
      <c r="BUB42" s="1221"/>
      <c r="BUC42" s="1221"/>
      <c r="BUD42" s="1221"/>
      <c r="BUE42" s="1221"/>
      <c r="BUF42" s="1221"/>
      <c r="BUG42" s="1221"/>
      <c r="BUH42" s="1221"/>
      <c r="BUI42" s="1221"/>
      <c r="BUJ42" s="1221"/>
      <c r="BUK42" s="1221"/>
      <c r="BUL42" s="1221"/>
      <c r="BUM42" s="1221"/>
      <c r="BUN42" s="1221"/>
      <c r="BUO42" s="1221"/>
      <c r="BUP42" s="1221"/>
      <c r="BUQ42" s="1221"/>
      <c r="BUR42" s="1221"/>
      <c r="BUS42" s="1221"/>
      <c r="BUT42" s="1221"/>
      <c r="BUU42" s="1221"/>
      <c r="BUV42" s="1221"/>
      <c r="BUW42" s="1221"/>
      <c r="BUX42" s="1221"/>
      <c r="BUY42" s="1221"/>
      <c r="BUZ42" s="1221"/>
      <c r="BVA42" s="1221"/>
      <c r="BVB42" s="1221"/>
      <c r="BVC42" s="1221"/>
      <c r="BVD42" s="1221"/>
      <c r="BVE42" s="1221"/>
      <c r="BVF42" s="1221"/>
      <c r="BVG42" s="1221"/>
      <c r="BVH42" s="1221"/>
      <c r="BVI42" s="1221"/>
      <c r="BVJ42" s="1221"/>
      <c r="BVK42" s="1221"/>
      <c r="BVL42" s="1221"/>
      <c r="BVM42" s="1221"/>
      <c r="BVN42" s="1221"/>
      <c r="BVO42" s="1221"/>
      <c r="BVP42" s="1221"/>
      <c r="BVQ42" s="1221"/>
      <c r="BVR42" s="1221"/>
      <c r="BVS42" s="1221"/>
      <c r="BVT42" s="1221"/>
      <c r="BVU42" s="1221"/>
      <c r="BVV42" s="1221"/>
      <c r="BVW42" s="1221"/>
      <c r="BVX42" s="1221"/>
      <c r="BVY42" s="1221"/>
      <c r="BVZ42" s="1221"/>
      <c r="BWA42" s="1221"/>
      <c r="BWB42" s="1221"/>
      <c r="BWC42" s="1221"/>
      <c r="BWD42" s="1221"/>
      <c r="BWE42" s="1221"/>
      <c r="BWF42" s="1221"/>
      <c r="BWG42" s="1221"/>
      <c r="BWH42" s="1221"/>
      <c r="BWI42" s="1221"/>
      <c r="BWJ42" s="1221"/>
      <c r="BWK42" s="1221"/>
      <c r="BWL42" s="1221"/>
      <c r="BWM42" s="1221"/>
      <c r="BWN42" s="1221"/>
      <c r="BWO42" s="1221"/>
      <c r="BWP42" s="1221"/>
      <c r="BWQ42" s="1221"/>
      <c r="BWR42" s="1221"/>
      <c r="BWS42" s="1221"/>
      <c r="BWT42" s="1221"/>
      <c r="BWU42" s="1221"/>
      <c r="BWV42" s="1221"/>
      <c r="BWW42" s="1221"/>
      <c r="BWX42" s="1221"/>
      <c r="BWY42" s="1221"/>
      <c r="BWZ42" s="1221"/>
      <c r="BXA42" s="1221"/>
      <c r="BXB42" s="1221"/>
      <c r="BXC42" s="1221"/>
      <c r="BXD42" s="1221"/>
      <c r="BXE42" s="1221"/>
      <c r="BXF42" s="1221"/>
      <c r="BXG42" s="1221"/>
      <c r="BXH42" s="1221"/>
      <c r="BXI42" s="1221"/>
      <c r="BXJ42" s="1221"/>
      <c r="BXK42" s="1221"/>
      <c r="BXL42" s="1221"/>
      <c r="BXM42" s="1221"/>
      <c r="BXN42" s="1221"/>
      <c r="BXO42" s="1221"/>
      <c r="BXP42" s="1221"/>
      <c r="BXQ42" s="1221"/>
      <c r="BXR42" s="1221"/>
      <c r="BXS42" s="1221"/>
      <c r="BXT42" s="1221"/>
      <c r="BXU42" s="1221"/>
      <c r="BXV42" s="1221"/>
      <c r="BXW42" s="1221"/>
      <c r="BXX42" s="1221"/>
      <c r="BXY42" s="1221"/>
      <c r="BXZ42" s="1221"/>
      <c r="BYA42" s="1221"/>
      <c r="BYB42" s="1221"/>
      <c r="BYC42" s="1221"/>
      <c r="BYD42" s="1221"/>
      <c r="BYE42" s="1221"/>
      <c r="BYF42" s="1221"/>
      <c r="BYG42" s="1221"/>
      <c r="BYH42" s="1221"/>
      <c r="BYI42" s="1221"/>
      <c r="BYJ42" s="1221"/>
      <c r="BYK42" s="1221"/>
      <c r="BYL42" s="1221"/>
      <c r="BYM42" s="1221"/>
      <c r="BYN42" s="1221"/>
      <c r="BYO42" s="1221"/>
      <c r="BYP42" s="1221"/>
      <c r="BYQ42" s="1221"/>
      <c r="BYR42" s="1221"/>
      <c r="BYS42" s="1221"/>
      <c r="BYT42" s="1221"/>
      <c r="BYU42" s="1221"/>
      <c r="BYV42" s="1221"/>
      <c r="BYW42" s="1221"/>
      <c r="BYX42" s="1221"/>
      <c r="BYY42" s="1221"/>
      <c r="BYZ42" s="1221"/>
      <c r="BZA42" s="1221"/>
      <c r="BZB42" s="1221"/>
      <c r="BZC42" s="1221"/>
      <c r="BZD42" s="1221"/>
      <c r="BZE42" s="1221"/>
      <c r="BZF42" s="1221"/>
      <c r="BZG42" s="1221"/>
      <c r="BZH42" s="1221"/>
      <c r="BZI42" s="1221"/>
      <c r="BZJ42" s="1221"/>
      <c r="BZK42" s="1221"/>
      <c r="BZL42" s="1221"/>
      <c r="BZM42" s="1221"/>
      <c r="BZN42" s="1221"/>
      <c r="BZO42" s="1221"/>
      <c r="BZP42" s="1221"/>
      <c r="BZQ42" s="1221"/>
      <c r="BZR42" s="1221"/>
      <c r="BZS42" s="1221"/>
      <c r="BZT42" s="1221"/>
      <c r="BZU42" s="1221"/>
      <c r="BZV42" s="1221"/>
      <c r="BZW42" s="1221"/>
      <c r="BZX42" s="1221"/>
      <c r="BZY42" s="1221"/>
      <c r="BZZ42" s="1221"/>
      <c r="CAA42" s="1221"/>
      <c r="CAB42" s="1221"/>
      <c r="CAC42" s="1221"/>
      <c r="CAD42" s="1221"/>
      <c r="CAE42" s="1221"/>
      <c r="CAF42" s="1221"/>
      <c r="CAG42" s="1221"/>
      <c r="CAH42" s="1221"/>
      <c r="CAI42" s="1221"/>
      <c r="CAJ42" s="1221"/>
      <c r="CAK42" s="1221"/>
      <c r="CAL42" s="1221"/>
      <c r="CAM42" s="1221"/>
      <c r="CAN42" s="1221"/>
      <c r="CAO42" s="1221"/>
      <c r="CAP42" s="1221"/>
      <c r="CAQ42" s="1221"/>
      <c r="CAR42" s="1221"/>
      <c r="CAS42" s="1221"/>
      <c r="CAT42" s="1221"/>
      <c r="CAU42" s="1221"/>
      <c r="CAV42" s="1221"/>
      <c r="CAW42" s="1221"/>
      <c r="CAX42" s="1221"/>
      <c r="CAY42" s="1221"/>
      <c r="CAZ42" s="1221"/>
      <c r="CBA42" s="1221"/>
      <c r="CBB42" s="1221"/>
      <c r="CBC42" s="1221"/>
      <c r="CBD42" s="1221"/>
      <c r="CBE42" s="1221"/>
      <c r="CBF42" s="1221"/>
      <c r="CBG42" s="1221"/>
      <c r="CBH42" s="1221"/>
      <c r="CBI42" s="1221"/>
      <c r="CBJ42" s="1221"/>
      <c r="CBK42" s="1221"/>
      <c r="CBL42" s="1221"/>
      <c r="CBM42" s="1221"/>
      <c r="CBN42" s="1221"/>
      <c r="CBO42" s="1221"/>
      <c r="CBP42" s="1221"/>
      <c r="CBQ42" s="1221"/>
      <c r="CBR42" s="1221"/>
      <c r="CBS42" s="1221"/>
      <c r="CBT42" s="1221"/>
      <c r="CBU42" s="1221"/>
      <c r="CBV42" s="1221"/>
      <c r="CBW42" s="1221"/>
      <c r="CBX42" s="1221"/>
      <c r="CBY42" s="1221"/>
      <c r="CBZ42" s="1221"/>
      <c r="CCA42" s="1221"/>
      <c r="CCB42" s="1221"/>
      <c r="CCC42" s="1221"/>
      <c r="CCD42" s="1221"/>
      <c r="CCE42" s="1221"/>
      <c r="CCF42" s="1221"/>
      <c r="CCG42" s="1221"/>
      <c r="CCH42" s="1221"/>
      <c r="CCI42" s="1221"/>
      <c r="CCJ42" s="1221"/>
      <c r="CCK42" s="1221"/>
      <c r="CCL42" s="1221"/>
      <c r="CCM42" s="1221"/>
      <c r="CCN42" s="1221"/>
      <c r="CCO42" s="1221"/>
      <c r="CCP42" s="1221"/>
      <c r="CCQ42" s="1221"/>
      <c r="CCR42" s="1221"/>
      <c r="CCS42" s="1221"/>
      <c r="CCT42" s="1221"/>
      <c r="CCU42" s="1221"/>
      <c r="CCV42" s="1221"/>
      <c r="CCW42" s="1221"/>
      <c r="CCX42" s="1221"/>
      <c r="CCY42" s="1221"/>
      <c r="CCZ42" s="1221"/>
      <c r="CDA42" s="1221"/>
      <c r="CDB42" s="1221"/>
      <c r="CDC42" s="1221"/>
      <c r="CDD42" s="1221"/>
      <c r="CDE42" s="1221"/>
      <c r="CDF42" s="1221"/>
      <c r="CDG42" s="1221"/>
      <c r="CDH42" s="1221"/>
      <c r="CDI42" s="1221"/>
      <c r="CDJ42" s="1221"/>
      <c r="CDK42" s="1221"/>
      <c r="CDL42" s="1221"/>
      <c r="CDM42" s="1221"/>
      <c r="CDN42" s="1221"/>
      <c r="CDO42" s="1221"/>
      <c r="CDP42" s="1221"/>
      <c r="CDQ42" s="1221"/>
      <c r="CDR42" s="1221"/>
      <c r="CDS42" s="1221"/>
      <c r="CDT42" s="1221"/>
      <c r="CDU42" s="1221"/>
      <c r="CDV42" s="1221"/>
      <c r="CDW42" s="1221"/>
      <c r="CDX42" s="1221"/>
      <c r="CDY42" s="1221"/>
      <c r="CDZ42" s="1221"/>
      <c r="CEA42" s="1221"/>
      <c r="CEB42" s="1221"/>
      <c r="CEC42" s="1221"/>
      <c r="CED42" s="1221"/>
      <c r="CEE42" s="1221"/>
      <c r="CEF42" s="1221"/>
      <c r="CEG42" s="1221"/>
      <c r="CEH42" s="1221"/>
      <c r="CEI42" s="1221"/>
      <c r="CEJ42" s="1221"/>
      <c r="CEK42" s="1221"/>
      <c r="CEL42" s="1221"/>
      <c r="CEM42" s="1221"/>
      <c r="CEN42" s="1221"/>
      <c r="CEO42" s="1221"/>
      <c r="CEP42" s="1221"/>
      <c r="CEQ42" s="1221"/>
      <c r="CER42" s="1221"/>
      <c r="CES42" s="1221"/>
      <c r="CET42" s="1221"/>
      <c r="CEU42" s="1221"/>
      <c r="CEV42" s="1221"/>
      <c r="CEW42" s="1221"/>
      <c r="CEX42" s="1221"/>
      <c r="CEY42" s="1221"/>
      <c r="CEZ42" s="1221"/>
      <c r="CFA42" s="1221"/>
      <c r="CFB42" s="1221"/>
      <c r="CFC42" s="1221"/>
      <c r="CFD42" s="1221"/>
      <c r="CFE42" s="1221"/>
      <c r="CFF42" s="1221"/>
      <c r="CFG42" s="1221"/>
      <c r="CFH42" s="1221"/>
      <c r="CFI42" s="1221"/>
      <c r="CFJ42" s="1221"/>
      <c r="CFK42" s="1221"/>
      <c r="CFL42" s="1221"/>
      <c r="CFM42" s="1221"/>
      <c r="CFN42" s="1221"/>
      <c r="CFO42" s="1221"/>
      <c r="CFP42" s="1221"/>
      <c r="CFQ42" s="1221"/>
      <c r="CFR42" s="1221"/>
      <c r="CFS42" s="1221"/>
      <c r="CFT42" s="1221"/>
      <c r="CFU42" s="1221"/>
      <c r="CFV42" s="1221"/>
      <c r="CFW42" s="1221"/>
      <c r="CFX42" s="1221"/>
      <c r="CFY42" s="1221"/>
      <c r="CFZ42" s="1221"/>
      <c r="CGA42" s="1221"/>
      <c r="CGB42" s="1221"/>
      <c r="CGC42" s="1221"/>
      <c r="CGD42" s="1221"/>
      <c r="CGE42" s="1221"/>
      <c r="CGF42" s="1221"/>
      <c r="CGG42" s="1221"/>
      <c r="CGH42" s="1221"/>
      <c r="CGI42" s="1221"/>
      <c r="CGJ42" s="1221"/>
      <c r="CGK42" s="1221"/>
      <c r="CGL42" s="1221"/>
      <c r="CGM42" s="1221"/>
      <c r="CGN42" s="1221"/>
      <c r="CGO42" s="1221"/>
      <c r="CGP42" s="1221"/>
      <c r="CGQ42" s="1221"/>
      <c r="CGR42" s="1221"/>
      <c r="CGS42" s="1221"/>
      <c r="CGT42" s="1221"/>
      <c r="CGU42" s="1221"/>
      <c r="CGV42" s="1221"/>
      <c r="CGW42" s="1221"/>
      <c r="CGX42" s="1221"/>
      <c r="CGY42" s="1221"/>
      <c r="CGZ42" s="1221"/>
      <c r="CHA42" s="1221"/>
      <c r="CHB42" s="1221"/>
      <c r="CHC42" s="1221"/>
      <c r="CHD42" s="1221"/>
      <c r="CHE42" s="1221"/>
      <c r="CHF42" s="1221"/>
      <c r="CHG42" s="1221"/>
      <c r="CHH42" s="1221"/>
      <c r="CHI42" s="1221"/>
      <c r="CHJ42" s="1221"/>
      <c r="CHK42" s="1221"/>
      <c r="CHL42" s="1221"/>
      <c r="CHM42" s="1221"/>
      <c r="CHN42" s="1221"/>
      <c r="CHO42" s="1221"/>
      <c r="CHP42" s="1221"/>
      <c r="CHQ42" s="1221"/>
      <c r="CHR42" s="1221"/>
      <c r="CHS42" s="1221"/>
      <c r="CHT42" s="1221"/>
      <c r="CHU42" s="1221"/>
      <c r="CHV42" s="1221"/>
      <c r="CHW42" s="1221"/>
      <c r="CHX42" s="1221"/>
      <c r="CHY42" s="1221"/>
      <c r="CHZ42" s="1221"/>
      <c r="CIA42" s="1221"/>
      <c r="CIB42" s="1221"/>
      <c r="CIC42" s="1221"/>
      <c r="CID42" s="1221"/>
      <c r="CIE42" s="1221"/>
      <c r="CIF42" s="1221"/>
      <c r="CIG42" s="1221"/>
      <c r="CIH42" s="1221"/>
      <c r="CII42" s="1221"/>
      <c r="CIJ42" s="1221"/>
      <c r="CIK42" s="1221"/>
      <c r="CIL42" s="1221"/>
      <c r="CIM42" s="1221"/>
      <c r="CIN42" s="1221"/>
      <c r="CIO42" s="1221"/>
      <c r="CIP42" s="1221"/>
      <c r="CIQ42" s="1221"/>
      <c r="CIR42" s="1221"/>
      <c r="CIS42" s="1221"/>
      <c r="CIT42" s="1221"/>
      <c r="CIU42" s="1221"/>
      <c r="CIV42" s="1221"/>
      <c r="CIW42" s="1221"/>
      <c r="CIX42" s="1221"/>
      <c r="CIY42" s="1221"/>
      <c r="CIZ42" s="1221"/>
      <c r="CJA42" s="1221"/>
      <c r="CJB42" s="1221"/>
      <c r="CJC42" s="1221"/>
      <c r="CJD42" s="1221"/>
      <c r="CJE42" s="1221"/>
      <c r="CJF42" s="1221"/>
      <c r="CJG42" s="1221"/>
      <c r="CJH42" s="1221"/>
      <c r="CJI42" s="1221"/>
      <c r="CJJ42" s="1221"/>
      <c r="CJK42" s="1221"/>
      <c r="CJL42" s="1221"/>
      <c r="CJM42" s="1221"/>
      <c r="CJN42" s="1221"/>
      <c r="CJO42" s="1221"/>
      <c r="CJP42" s="1221"/>
      <c r="CJQ42" s="1221"/>
      <c r="CJR42" s="1221"/>
      <c r="CJS42" s="1221"/>
      <c r="CJT42" s="1221"/>
      <c r="CJU42" s="1221"/>
      <c r="CJV42" s="1221"/>
      <c r="CJW42" s="1221"/>
      <c r="CJX42" s="1221"/>
      <c r="CJY42" s="1221"/>
      <c r="CJZ42" s="1221"/>
      <c r="CKA42" s="1221"/>
      <c r="CKB42" s="1221"/>
      <c r="CKC42" s="1221"/>
      <c r="CKD42" s="1221"/>
      <c r="CKE42" s="1221"/>
      <c r="CKF42" s="1221"/>
      <c r="CKG42" s="1221"/>
      <c r="CKH42" s="1221"/>
      <c r="CKI42" s="1221"/>
      <c r="CKJ42" s="1221"/>
      <c r="CKK42" s="1221"/>
      <c r="CKL42" s="1221"/>
      <c r="CKM42" s="1221"/>
      <c r="CKN42" s="1221"/>
      <c r="CKO42" s="1221"/>
      <c r="CKP42" s="1221"/>
      <c r="CKQ42" s="1221"/>
      <c r="CKR42" s="1221"/>
      <c r="CKS42" s="1221"/>
      <c r="CKT42" s="1221"/>
      <c r="CKU42" s="1221"/>
      <c r="CKV42" s="1221"/>
      <c r="CKW42" s="1221"/>
      <c r="CKX42" s="1221"/>
      <c r="CKY42" s="1221"/>
      <c r="CKZ42" s="1221"/>
      <c r="CLA42" s="1221"/>
      <c r="CLB42" s="1221"/>
      <c r="CLC42" s="1221"/>
      <c r="CLD42" s="1221"/>
      <c r="CLE42" s="1221"/>
      <c r="CLF42" s="1221"/>
      <c r="CLG42" s="1221"/>
      <c r="CLH42" s="1221"/>
      <c r="CLI42" s="1221"/>
      <c r="CLJ42" s="1221"/>
      <c r="CLK42" s="1221"/>
      <c r="CLL42" s="1221"/>
      <c r="CLM42" s="1221"/>
      <c r="CLN42" s="1221"/>
      <c r="CLO42" s="1221"/>
      <c r="CLP42" s="1221"/>
      <c r="CLQ42" s="1221"/>
      <c r="CLR42" s="1221"/>
      <c r="CLS42" s="1221"/>
      <c r="CLT42" s="1221"/>
      <c r="CLU42" s="1221"/>
      <c r="CLV42" s="1221"/>
      <c r="CLW42" s="1221"/>
      <c r="CLX42" s="1221"/>
      <c r="CLY42" s="1221"/>
      <c r="CLZ42" s="1221"/>
      <c r="CMA42" s="1221"/>
      <c r="CMB42" s="1221"/>
      <c r="CMC42" s="1221"/>
      <c r="CMD42" s="1221"/>
      <c r="CME42" s="1221"/>
      <c r="CMF42" s="1221"/>
      <c r="CMG42" s="1221"/>
      <c r="CMH42" s="1221"/>
      <c r="CMI42" s="1221"/>
      <c r="CMJ42" s="1221"/>
      <c r="CMK42" s="1221"/>
      <c r="CML42" s="1221"/>
      <c r="CMM42" s="1221"/>
      <c r="CMN42" s="1221"/>
      <c r="CMO42" s="1221"/>
      <c r="CMP42" s="1221"/>
      <c r="CMQ42" s="1221"/>
      <c r="CMR42" s="1221"/>
      <c r="CMS42" s="1221"/>
      <c r="CMT42" s="1221"/>
      <c r="CMU42" s="1221"/>
      <c r="CMV42" s="1221"/>
      <c r="CMW42" s="1221"/>
      <c r="CMX42" s="1221"/>
      <c r="CMY42" s="1221"/>
      <c r="CMZ42" s="1221"/>
      <c r="CNA42" s="1221"/>
      <c r="CNB42" s="1221"/>
      <c r="CNC42" s="1221"/>
      <c r="CND42" s="1221"/>
      <c r="CNE42" s="1221"/>
      <c r="CNF42" s="1221"/>
      <c r="CNG42" s="1221"/>
      <c r="CNH42" s="1221"/>
      <c r="CNI42" s="1221"/>
      <c r="CNJ42" s="1221"/>
      <c r="CNK42" s="1221"/>
      <c r="CNL42" s="1221"/>
      <c r="CNM42" s="1221"/>
      <c r="CNN42" s="1221"/>
      <c r="CNO42" s="1221"/>
      <c r="CNP42" s="1221"/>
      <c r="CNQ42" s="1221"/>
      <c r="CNR42" s="1221"/>
      <c r="CNS42" s="1221"/>
      <c r="CNT42" s="1221"/>
      <c r="CNU42" s="1221"/>
      <c r="CNV42" s="1221"/>
      <c r="CNW42" s="1221"/>
      <c r="CNX42" s="1221"/>
      <c r="CNY42" s="1221"/>
      <c r="CNZ42" s="1221"/>
      <c r="COA42" s="1221"/>
      <c r="COB42" s="1221"/>
      <c r="COC42" s="1221"/>
      <c r="COD42" s="1221"/>
      <c r="COE42" s="1221"/>
      <c r="COF42" s="1221"/>
      <c r="COG42" s="1221"/>
      <c r="COH42" s="1221"/>
      <c r="COI42" s="1221"/>
      <c r="COJ42" s="1221"/>
      <c r="COK42" s="1221"/>
      <c r="COL42" s="1221"/>
      <c r="COM42" s="1221"/>
      <c r="CON42" s="1221"/>
      <c r="COO42" s="1221"/>
      <c r="COP42" s="1221"/>
      <c r="COQ42" s="1221"/>
      <c r="COR42" s="1221"/>
      <c r="COS42" s="1221"/>
      <c r="COT42" s="1221"/>
      <c r="COU42" s="1221"/>
      <c r="COV42" s="1221"/>
      <c r="COW42" s="1221"/>
      <c r="COX42" s="1221"/>
      <c r="COY42" s="1221"/>
      <c r="COZ42" s="1221"/>
      <c r="CPA42" s="1221"/>
      <c r="CPB42" s="1221"/>
      <c r="CPC42" s="1221"/>
      <c r="CPD42" s="1221"/>
      <c r="CPE42" s="1221"/>
      <c r="CPF42" s="1221"/>
      <c r="CPG42" s="1221"/>
      <c r="CPH42" s="1221"/>
      <c r="CPI42" s="1221"/>
      <c r="CPJ42" s="1221"/>
      <c r="CPK42" s="1221"/>
      <c r="CPL42" s="1221"/>
      <c r="CPM42" s="1221"/>
      <c r="CPN42" s="1221"/>
      <c r="CPO42" s="1221"/>
      <c r="CPP42" s="1221"/>
      <c r="CPQ42" s="1221"/>
      <c r="CPR42" s="1221"/>
      <c r="CPS42" s="1221"/>
      <c r="CPT42" s="1221"/>
      <c r="CPU42" s="1221"/>
      <c r="CPV42" s="1221"/>
      <c r="CPW42" s="1221"/>
      <c r="CPX42" s="1221"/>
      <c r="CPY42" s="1221"/>
      <c r="CPZ42" s="1221"/>
      <c r="CQA42" s="1221"/>
      <c r="CQB42" s="1221"/>
      <c r="CQC42" s="1221"/>
      <c r="CQD42" s="1221"/>
      <c r="CQE42" s="1221"/>
      <c r="CQF42" s="1221"/>
      <c r="CQG42" s="1221"/>
      <c r="CQH42" s="1221"/>
      <c r="CQI42" s="1221"/>
      <c r="CQJ42" s="1221"/>
      <c r="CQK42" s="1221"/>
      <c r="CQL42" s="1221"/>
      <c r="CQM42" s="1221"/>
      <c r="CQN42" s="1221"/>
      <c r="CQO42" s="1221"/>
      <c r="CQP42" s="1221"/>
      <c r="CQQ42" s="1221"/>
      <c r="CQR42" s="1221"/>
      <c r="CQS42" s="1221"/>
      <c r="CQT42" s="1221"/>
      <c r="CQU42" s="1221"/>
      <c r="CQV42" s="1221"/>
      <c r="CQW42" s="1221"/>
      <c r="CQX42" s="1221"/>
      <c r="CQY42" s="1221"/>
      <c r="CQZ42" s="1221"/>
      <c r="CRA42" s="1221"/>
      <c r="CRB42" s="1221"/>
      <c r="CRC42" s="1221"/>
      <c r="CRD42" s="1221"/>
      <c r="CRE42" s="1221"/>
      <c r="CRF42" s="1221"/>
      <c r="CRG42" s="1221"/>
      <c r="CRH42" s="1221"/>
      <c r="CRI42" s="1221"/>
      <c r="CRJ42" s="1221"/>
      <c r="CRK42" s="1221"/>
      <c r="CRL42" s="1221"/>
      <c r="CRM42" s="1221"/>
      <c r="CRN42" s="1221"/>
      <c r="CRO42" s="1221"/>
      <c r="CRP42" s="1221"/>
      <c r="CRQ42" s="1221"/>
      <c r="CRR42" s="1221"/>
      <c r="CRS42" s="1221"/>
      <c r="CRT42" s="1221"/>
      <c r="CRU42" s="1221"/>
      <c r="CRV42" s="1221"/>
      <c r="CRW42" s="1221"/>
      <c r="CRX42" s="1221"/>
      <c r="CRY42" s="1221"/>
      <c r="CRZ42" s="1221"/>
      <c r="CSA42" s="1221"/>
      <c r="CSB42" s="1221"/>
      <c r="CSC42" s="1221"/>
      <c r="CSD42" s="1221"/>
      <c r="CSE42" s="1221"/>
      <c r="CSF42" s="1221"/>
      <c r="CSG42" s="1221"/>
      <c r="CSH42" s="1221"/>
      <c r="CSI42" s="1221"/>
      <c r="CSJ42" s="1221"/>
      <c r="CSK42" s="1221"/>
      <c r="CSL42" s="1221"/>
      <c r="CSM42" s="1221"/>
      <c r="CSN42" s="1221"/>
      <c r="CSO42" s="1221"/>
      <c r="CSP42" s="1221"/>
      <c r="CSQ42" s="1221"/>
      <c r="CSR42" s="1221"/>
      <c r="CSS42" s="1221"/>
      <c r="CST42" s="1221"/>
      <c r="CSU42" s="1221"/>
      <c r="CSV42" s="1221"/>
      <c r="CSW42" s="1221"/>
      <c r="CSX42" s="1221"/>
      <c r="CSY42" s="1221"/>
      <c r="CSZ42" s="1221"/>
      <c r="CTA42" s="1221"/>
      <c r="CTB42" s="1221"/>
      <c r="CTC42" s="1221"/>
      <c r="CTD42" s="1221"/>
      <c r="CTE42" s="1221"/>
      <c r="CTF42" s="1221"/>
      <c r="CTG42" s="1221"/>
      <c r="CTH42" s="1221"/>
      <c r="CTI42" s="1221"/>
      <c r="CTJ42" s="1221"/>
      <c r="CTK42" s="1221"/>
      <c r="CTL42" s="1221"/>
      <c r="CTM42" s="1221"/>
      <c r="CTN42" s="1221"/>
      <c r="CTO42" s="1221"/>
      <c r="CTP42" s="1221"/>
      <c r="CTQ42" s="1221"/>
      <c r="CTR42" s="1221"/>
      <c r="CTS42" s="1221"/>
      <c r="CTT42" s="1221"/>
      <c r="CTU42" s="1221"/>
      <c r="CTV42" s="1221"/>
      <c r="CTW42" s="1221"/>
      <c r="CTX42" s="1221"/>
      <c r="CTY42" s="1221"/>
      <c r="CTZ42" s="1221"/>
      <c r="CUA42" s="1221"/>
      <c r="CUB42" s="1221"/>
      <c r="CUC42" s="1221"/>
      <c r="CUD42" s="1221"/>
      <c r="CUE42" s="1221"/>
      <c r="CUF42" s="1221"/>
      <c r="CUG42" s="1221"/>
      <c r="CUH42" s="1221"/>
      <c r="CUI42" s="1221"/>
      <c r="CUJ42" s="1221"/>
      <c r="CUK42" s="1221"/>
      <c r="CUL42" s="1221"/>
      <c r="CUM42" s="1221"/>
      <c r="CUN42" s="1221"/>
      <c r="CUO42" s="1221"/>
      <c r="CUP42" s="1221"/>
      <c r="CUQ42" s="1221"/>
      <c r="CUR42" s="1221"/>
      <c r="CUS42" s="1221"/>
      <c r="CUT42" s="1221"/>
      <c r="CUU42" s="1221"/>
      <c r="CUV42" s="1221"/>
      <c r="CUW42" s="1221"/>
      <c r="CUX42" s="1221"/>
      <c r="CUY42" s="1221"/>
      <c r="CUZ42" s="1221"/>
      <c r="CVA42" s="1221"/>
      <c r="CVB42" s="1221"/>
      <c r="CVC42" s="1221"/>
      <c r="CVD42" s="1221"/>
      <c r="CVE42" s="1221"/>
      <c r="CVF42" s="1221"/>
      <c r="CVG42" s="1221"/>
      <c r="CVH42" s="1221"/>
      <c r="CVI42" s="1221"/>
      <c r="CVJ42" s="1221"/>
      <c r="CVK42" s="1221"/>
      <c r="CVL42" s="1221"/>
      <c r="CVM42" s="1221"/>
      <c r="CVN42" s="1221"/>
      <c r="CVO42" s="1221"/>
      <c r="CVP42" s="1221"/>
      <c r="CVQ42" s="1221"/>
      <c r="CVR42" s="1221"/>
      <c r="CVS42" s="1221"/>
      <c r="CVT42" s="1221"/>
      <c r="CVU42" s="1221"/>
      <c r="CVV42" s="1221"/>
      <c r="CVW42" s="1221"/>
      <c r="CVX42" s="1221"/>
      <c r="CVY42" s="1221"/>
      <c r="CVZ42" s="1221"/>
      <c r="CWA42" s="1221"/>
      <c r="CWB42" s="1221"/>
      <c r="CWC42" s="1221"/>
      <c r="CWD42" s="1221"/>
      <c r="CWE42" s="1221"/>
      <c r="CWF42" s="1221"/>
      <c r="CWG42" s="1221"/>
      <c r="CWH42" s="1221"/>
      <c r="CWI42" s="1221"/>
      <c r="CWJ42" s="1221"/>
      <c r="CWK42" s="1221"/>
      <c r="CWL42" s="1221"/>
      <c r="CWM42" s="1221"/>
      <c r="CWN42" s="1221"/>
      <c r="CWO42" s="1221"/>
      <c r="CWP42" s="1221"/>
      <c r="CWQ42" s="1221"/>
      <c r="CWR42" s="1221"/>
      <c r="CWS42" s="1221"/>
      <c r="CWT42" s="1221"/>
      <c r="CWU42" s="1221"/>
      <c r="CWV42" s="1221"/>
      <c r="CWW42" s="1221"/>
      <c r="CWX42" s="1221"/>
      <c r="CWY42" s="1221"/>
      <c r="CWZ42" s="1221"/>
      <c r="CXA42" s="1221"/>
      <c r="CXB42" s="1221"/>
      <c r="CXC42" s="1221"/>
      <c r="CXD42" s="1221"/>
      <c r="CXE42" s="1221"/>
      <c r="CXF42" s="1221"/>
      <c r="CXG42" s="1221"/>
      <c r="CXH42" s="1221"/>
      <c r="CXI42" s="1221"/>
      <c r="CXJ42" s="1221"/>
      <c r="CXK42" s="1221"/>
      <c r="CXL42" s="1221"/>
      <c r="CXM42" s="1221"/>
      <c r="CXN42" s="1221"/>
      <c r="CXO42" s="1221"/>
      <c r="CXP42" s="1221"/>
      <c r="CXQ42" s="1221"/>
      <c r="CXR42" s="1221"/>
      <c r="CXS42" s="1221"/>
      <c r="CXT42" s="1221"/>
      <c r="CXU42" s="1221"/>
      <c r="CXV42" s="1221"/>
      <c r="CXW42" s="1221"/>
      <c r="CXX42" s="1221"/>
      <c r="CXY42" s="1221"/>
      <c r="CXZ42" s="1221"/>
      <c r="CYA42" s="1221"/>
      <c r="CYB42" s="1221"/>
      <c r="CYC42" s="1221"/>
      <c r="CYD42" s="1221"/>
      <c r="CYE42" s="1221"/>
      <c r="CYF42" s="1221"/>
      <c r="CYG42" s="1221"/>
      <c r="CYH42" s="1221"/>
      <c r="CYI42" s="1221"/>
      <c r="CYJ42" s="1221"/>
      <c r="CYK42" s="1221"/>
      <c r="CYL42" s="1221"/>
      <c r="CYM42" s="1221"/>
      <c r="CYN42" s="1221"/>
      <c r="CYO42" s="1221"/>
      <c r="CYP42" s="1221"/>
      <c r="CYQ42" s="1221"/>
      <c r="CYR42" s="1221"/>
      <c r="CYS42" s="1221"/>
      <c r="CYT42" s="1221"/>
      <c r="CYU42" s="1221"/>
      <c r="CYV42" s="1221"/>
      <c r="CYW42" s="1221"/>
      <c r="CYX42" s="1221"/>
      <c r="CYY42" s="1221"/>
      <c r="CYZ42" s="1221"/>
      <c r="CZA42" s="1221"/>
      <c r="CZB42" s="1221"/>
      <c r="CZC42" s="1221"/>
      <c r="CZD42" s="1221"/>
      <c r="CZE42" s="1221"/>
      <c r="CZF42" s="1221"/>
      <c r="CZG42" s="1221"/>
      <c r="CZH42" s="1221"/>
      <c r="CZI42" s="1221"/>
      <c r="CZJ42" s="1221"/>
      <c r="CZK42" s="1221"/>
      <c r="CZL42" s="1221"/>
      <c r="CZM42" s="1221"/>
      <c r="CZN42" s="1221"/>
      <c r="CZO42" s="1221"/>
      <c r="CZP42" s="1221"/>
      <c r="CZQ42" s="1221"/>
      <c r="CZR42" s="1221"/>
      <c r="CZS42" s="1221"/>
      <c r="CZT42" s="1221"/>
      <c r="CZU42" s="1221"/>
      <c r="CZV42" s="1221"/>
      <c r="CZW42" s="1221"/>
      <c r="CZX42" s="1221"/>
      <c r="CZY42" s="1221"/>
      <c r="CZZ42" s="1221"/>
      <c r="DAA42" s="1221"/>
      <c r="DAB42" s="1221"/>
      <c r="DAC42" s="1221"/>
      <c r="DAD42" s="1221"/>
      <c r="DAE42" s="1221"/>
      <c r="DAF42" s="1221"/>
      <c r="DAG42" s="1221"/>
      <c r="DAH42" s="1221"/>
      <c r="DAI42" s="1221"/>
      <c r="DAJ42" s="1221"/>
      <c r="DAK42" s="1221"/>
      <c r="DAL42" s="1221"/>
      <c r="DAM42" s="1221"/>
      <c r="DAN42" s="1221"/>
      <c r="DAO42" s="1221"/>
      <c r="DAP42" s="1221"/>
      <c r="DAQ42" s="1221"/>
      <c r="DAR42" s="1221"/>
      <c r="DAS42" s="1221"/>
      <c r="DAT42" s="1221"/>
      <c r="DAU42" s="1221"/>
      <c r="DAV42" s="1221"/>
      <c r="DAW42" s="1221"/>
      <c r="DAX42" s="1221"/>
      <c r="DAY42" s="1221"/>
      <c r="DAZ42" s="1221"/>
      <c r="DBA42" s="1221"/>
      <c r="DBB42" s="1221"/>
      <c r="DBC42" s="1221"/>
      <c r="DBD42" s="1221"/>
      <c r="DBE42" s="1221"/>
      <c r="DBF42" s="1221"/>
      <c r="DBG42" s="1221"/>
      <c r="DBH42" s="1221"/>
      <c r="DBI42" s="1221"/>
      <c r="DBJ42" s="1221"/>
      <c r="DBK42" s="1221"/>
      <c r="DBL42" s="1221"/>
      <c r="DBM42" s="1221"/>
      <c r="DBN42" s="1221"/>
      <c r="DBO42" s="1221"/>
      <c r="DBP42" s="1221"/>
      <c r="DBQ42" s="1221"/>
      <c r="DBR42" s="1221"/>
      <c r="DBS42" s="1221"/>
      <c r="DBT42" s="1221"/>
      <c r="DBU42" s="1221"/>
      <c r="DBV42" s="1221"/>
      <c r="DBW42" s="1221"/>
      <c r="DBX42" s="1221"/>
      <c r="DBY42" s="1221"/>
      <c r="DBZ42" s="1221"/>
      <c r="DCA42" s="1221"/>
      <c r="DCB42" s="1221"/>
      <c r="DCC42" s="1221"/>
      <c r="DCD42" s="1221"/>
      <c r="DCE42" s="1221"/>
      <c r="DCF42" s="1221"/>
      <c r="DCG42" s="1221"/>
      <c r="DCH42" s="1221"/>
      <c r="DCI42" s="1221"/>
      <c r="DCJ42" s="1221"/>
      <c r="DCK42" s="1221"/>
      <c r="DCL42" s="1221"/>
      <c r="DCM42" s="1221"/>
      <c r="DCN42" s="1221"/>
      <c r="DCO42" s="1221"/>
      <c r="DCP42" s="1221"/>
      <c r="DCQ42" s="1221"/>
      <c r="DCR42" s="1221"/>
      <c r="DCS42" s="1221"/>
      <c r="DCT42" s="1221"/>
      <c r="DCU42" s="1221"/>
      <c r="DCV42" s="1221"/>
      <c r="DCW42" s="1221"/>
      <c r="DCX42" s="1221"/>
      <c r="DCY42" s="1221"/>
      <c r="DCZ42" s="1221"/>
      <c r="DDA42" s="1221"/>
      <c r="DDB42" s="1221"/>
      <c r="DDC42" s="1221"/>
      <c r="DDD42" s="1221"/>
      <c r="DDE42" s="1221"/>
      <c r="DDF42" s="1221"/>
      <c r="DDG42" s="1221"/>
      <c r="DDH42" s="1221"/>
      <c r="DDI42" s="1221"/>
      <c r="DDJ42" s="1221"/>
      <c r="DDK42" s="1221"/>
      <c r="DDL42" s="1221"/>
      <c r="DDM42" s="1221"/>
      <c r="DDN42" s="1221"/>
      <c r="DDO42" s="1221"/>
      <c r="DDP42" s="1221"/>
      <c r="DDQ42" s="1221"/>
      <c r="DDR42" s="1221"/>
      <c r="DDS42" s="1221"/>
      <c r="DDT42" s="1221"/>
      <c r="DDU42" s="1221"/>
      <c r="DDV42" s="1221"/>
      <c r="DDW42" s="1221"/>
      <c r="DDX42" s="1221"/>
      <c r="DDY42" s="1221"/>
      <c r="DDZ42" s="1221"/>
      <c r="DEA42" s="1221"/>
      <c r="DEB42" s="1221"/>
      <c r="DEC42" s="1221"/>
      <c r="DED42" s="1221"/>
      <c r="DEE42" s="1221"/>
      <c r="DEF42" s="1221"/>
      <c r="DEG42" s="1221"/>
      <c r="DEH42" s="1221"/>
      <c r="DEI42" s="1221"/>
      <c r="DEJ42" s="1221"/>
      <c r="DEK42" s="1221"/>
      <c r="DEL42" s="1221"/>
      <c r="DEM42" s="1221"/>
      <c r="DEN42" s="1221"/>
      <c r="DEO42" s="1221"/>
      <c r="DEP42" s="1221"/>
      <c r="DEQ42" s="1221"/>
      <c r="DER42" s="1221"/>
      <c r="DES42" s="1221"/>
      <c r="DET42" s="1221"/>
      <c r="DEU42" s="1221"/>
      <c r="DEV42" s="1221"/>
      <c r="DEW42" s="1221"/>
      <c r="DEX42" s="1221"/>
      <c r="DEY42" s="1221"/>
      <c r="DEZ42" s="1221"/>
      <c r="DFA42" s="1221"/>
      <c r="DFB42" s="1221"/>
      <c r="DFC42" s="1221"/>
      <c r="DFD42" s="1221"/>
      <c r="DFE42" s="1221"/>
      <c r="DFF42" s="1221"/>
      <c r="DFG42" s="1221"/>
      <c r="DFH42" s="1221"/>
      <c r="DFI42" s="1221"/>
      <c r="DFJ42" s="1221"/>
      <c r="DFK42" s="1221"/>
      <c r="DFL42" s="1221"/>
      <c r="DFM42" s="1221"/>
      <c r="DFN42" s="1221"/>
      <c r="DFO42" s="1221"/>
      <c r="DFP42" s="1221"/>
      <c r="DFQ42" s="1221"/>
      <c r="DFR42" s="1221"/>
      <c r="DFS42" s="1221"/>
      <c r="DFT42" s="1221"/>
      <c r="DFU42" s="1221"/>
      <c r="DFV42" s="1221"/>
      <c r="DFW42" s="1221"/>
      <c r="DFX42" s="1221"/>
      <c r="DFY42" s="1221"/>
      <c r="DFZ42" s="1221"/>
      <c r="DGA42" s="1221"/>
      <c r="DGB42" s="1221"/>
      <c r="DGC42" s="1221"/>
      <c r="DGD42" s="1221"/>
      <c r="DGE42" s="1221"/>
      <c r="DGF42" s="1221"/>
      <c r="DGG42" s="1221"/>
      <c r="DGH42" s="1221"/>
      <c r="DGI42" s="1221"/>
      <c r="DGJ42" s="1221"/>
      <c r="DGK42" s="1221"/>
      <c r="DGL42" s="1221"/>
      <c r="DGM42" s="1221"/>
      <c r="DGN42" s="1221"/>
      <c r="DGO42" s="1221"/>
      <c r="DGP42" s="1221"/>
      <c r="DGQ42" s="1221"/>
      <c r="DGR42" s="1221"/>
      <c r="DGS42" s="1221"/>
      <c r="DGT42" s="1221"/>
      <c r="DGU42" s="1221"/>
      <c r="DGV42" s="1221"/>
      <c r="DGW42" s="1221"/>
      <c r="DGX42" s="1221"/>
      <c r="DGY42" s="1221"/>
      <c r="DGZ42" s="1221"/>
      <c r="DHA42" s="1221"/>
      <c r="DHB42" s="1221"/>
      <c r="DHC42" s="1221"/>
      <c r="DHD42" s="1221"/>
      <c r="DHE42" s="1221"/>
      <c r="DHF42" s="1221"/>
      <c r="DHG42" s="1221"/>
      <c r="DHH42" s="1221"/>
      <c r="DHI42" s="1221"/>
      <c r="DHJ42" s="1221"/>
      <c r="DHK42" s="1221"/>
      <c r="DHL42" s="1221"/>
      <c r="DHM42" s="1221"/>
      <c r="DHN42" s="1221"/>
      <c r="DHO42" s="1221"/>
      <c r="DHP42" s="1221"/>
      <c r="DHQ42" s="1221"/>
      <c r="DHR42" s="1221"/>
      <c r="DHS42" s="1221"/>
      <c r="DHT42" s="1221"/>
      <c r="DHU42" s="1221"/>
      <c r="DHV42" s="1221"/>
      <c r="DHW42" s="1221"/>
      <c r="DHX42" s="1221"/>
      <c r="DHY42" s="1221"/>
      <c r="DHZ42" s="1221"/>
      <c r="DIA42" s="1221"/>
      <c r="DIB42" s="1221"/>
      <c r="DIC42" s="1221"/>
      <c r="DID42" s="1221"/>
      <c r="DIE42" s="1221"/>
      <c r="DIF42" s="1221"/>
      <c r="DIG42" s="1221"/>
      <c r="DIH42" s="1221"/>
      <c r="DII42" s="1221"/>
      <c r="DIJ42" s="1221"/>
      <c r="DIK42" s="1221"/>
      <c r="DIL42" s="1221"/>
      <c r="DIM42" s="1221"/>
      <c r="DIN42" s="1221"/>
      <c r="DIO42" s="1221"/>
      <c r="DIP42" s="1221"/>
      <c r="DIQ42" s="1221"/>
      <c r="DIR42" s="1221"/>
      <c r="DIS42" s="1221"/>
      <c r="DIT42" s="1221"/>
      <c r="DIU42" s="1221"/>
      <c r="DIV42" s="1221"/>
      <c r="DIW42" s="1221"/>
      <c r="DIX42" s="1221"/>
      <c r="DIY42" s="1221"/>
      <c r="DIZ42" s="1221"/>
      <c r="DJA42" s="1221"/>
      <c r="DJB42" s="1221"/>
      <c r="DJC42" s="1221"/>
      <c r="DJD42" s="1221"/>
      <c r="DJE42" s="1221"/>
      <c r="DJF42" s="1221"/>
      <c r="DJG42" s="1221"/>
      <c r="DJH42" s="1221"/>
      <c r="DJI42" s="1221"/>
      <c r="DJJ42" s="1221"/>
      <c r="DJK42" s="1221"/>
      <c r="DJL42" s="1221"/>
      <c r="DJM42" s="1221"/>
      <c r="DJN42" s="1221"/>
      <c r="DJO42" s="1221"/>
      <c r="DJP42" s="1221"/>
      <c r="DJQ42" s="1221"/>
      <c r="DJR42" s="1221"/>
      <c r="DJS42" s="1221"/>
      <c r="DJT42" s="1221"/>
      <c r="DJU42" s="1221"/>
      <c r="DJV42" s="1221"/>
      <c r="DJW42" s="1221"/>
      <c r="DJX42" s="1221"/>
      <c r="DJY42" s="1221"/>
      <c r="DJZ42" s="1221"/>
      <c r="DKA42" s="1221"/>
      <c r="DKB42" s="1221"/>
      <c r="DKC42" s="1221"/>
      <c r="DKD42" s="1221"/>
      <c r="DKE42" s="1221"/>
      <c r="DKF42" s="1221"/>
      <c r="DKG42" s="1221"/>
      <c r="DKH42" s="1221"/>
      <c r="DKI42" s="1221"/>
      <c r="DKJ42" s="1221"/>
      <c r="DKK42" s="1221"/>
      <c r="DKL42" s="1221"/>
      <c r="DKM42" s="1221"/>
      <c r="DKN42" s="1221"/>
      <c r="DKO42" s="1221"/>
      <c r="DKP42" s="1221"/>
      <c r="DKQ42" s="1221"/>
      <c r="DKR42" s="1221"/>
      <c r="DKS42" s="1221"/>
      <c r="DKT42" s="1221"/>
      <c r="DKU42" s="1221"/>
      <c r="DKV42" s="1221"/>
      <c r="DKW42" s="1221"/>
      <c r="DKX42" s="1221"/>
      <c r="DKY42" s="1221"/>
      <c r="DKZ42" s="1221"/>
      <c r="DLA42" s="1221"/>
      <c r="DLB42" s="1221"/>
      <c r="DLC42" s="1221"/>
      <c r="DLD42" s="1221"/>
      <c r="DLE42" s="1221"/>
      <c r="DLF42" s="1221"/>
      <c r="DLG42" s="1221"/>
      <c r="DLH42" s="1221"/>
      <c r="DLI42" s="1221"/>
      <c r="DLJ42" s="1221"/>
      <c r="DLK42" s="1221"/>
      <c r="DLL42" s="1221"/>
      <c r="DLM42" s="1221"/>
      <c r="DLN42" s="1221"/>
      <c r="DLO42" s="1221"/>
      <c r="DLP42" s="1221"/>
      <c r="DLQ42" s="1221"/>
      <c r="DLR42" s="1221"/>
      <c r="DLS42" s="1221"/>
      <c r="DLT42" s="1221"/>
      <c r="DLU42" s="1221"/>
      <c r="DLV42" s="1221"/>
      <c r="DLW42" s="1221"/>
      <c r="DLX42" s="1221"/>
      <c r="DLY42" s="1221"/>
      <c r="DLZ42" s="1221"/>
      <c r="DMA42" s="1221"/>
      <c r="DMB42" s="1221"/>
      <c r="DMC42" s="1221"/>
      <c r="DMD42" s="1221"/>
      <c r="DME42" s="1221"/>
      <c r="DMF42" s="1221"/>
      <c r="DMG42" s="1221"/>
      <c r="DMH42" s="1221"/>
      <c r="DMI42" s="1221"/>
      <c r="DMJ42" s="1221"/>
      <c r="DMK42" s="1221"/>
      <c r="DML42" s="1221"/>
      <c r="DMM42" s="1221"/>
      <c r="DMN42" s="1221"/>
      <c r="DMO42" s="1221"/>
      <c r="DMP42" s="1221"/>
      <c r="DMQ42" s="1221"/>
      <c r="DMR42" s="1221"/>
      <c r="DMS42" s="1221"/>
      <c r="DMT42" s="1221"/>
      <c r="DMU42" s="1221"/>
      <c r="DMV42" s="1221"/>
      <c r="DMW42" s="1221"/>
      <c r="DMX42" s="1221"/>
      <c r="DMY42" s="1221"/>
      <c r="DMZ42" s="1221"/>
      <c r="DNA42" s="1221"/>
      <c r="DNB42" s="1221"/>
      <c r="DNC42" s="1221"/>
      <c r="DND42" s="1221"/>
      <c r="DNE42" s="1221"/>
      <c r="DNF42" s="1221"/>
      <c r="DNG42" s="1221"/>
      <c r="DNH42" s="1221"/>
      <c r="DNI42" s="1221"/>
      <c r="DNJ42" s="1221"/>
      <c r="DNK42" s="1221"/>
      <c r="DNL42" s="1221"/>
      <c r="DNM42" s="1221"/>
      <c r="DNN42" s="1221"/>
      <c r="DNO42" s="1221"/>
      <c r="DNP42" s="1221"/>
      <c r="DNQ42" s="1221"/>
      <c r="DNR42" s="1221"/>
      <c r="DNS42" s="1221"/>
      <c r="DNT42" s="1221"/>
      <c r="DNU42" s="1221"/>
      <c r="DNV42" s="1221"/>
      <c r="DNW42" s="1221"/>
      <c r="DNX42" s="1221"/>
      <c r="DNY42" s="1221"/>
      <c r="DNZ42" s="1221"/>
      <c r="DOA42" s="1221"/>
      <c r="DOB42" s="1221"/>
      <c r="DOC42" s="1221"/>
      <c r="DOD42" s="1221"/>
      <c r="DOE42" s="1221"/>
      <c r="DOF42" s="1221"/>
      <c r="DOG42" s="1221"/>
      <c r="DOH42" s="1221"/>
      <c r="DOI42" s="1221"/>
      <c r="DOJ42" s="1221"/>
      <c r="DOK42" s="1221"/>
      <c r="DOL42" s="1221"/>
      <c r="DOM42" s="1221"/>
      <c r="DON42" s="1221"/>
      <c r="DOO42" s="1221"/>
      <c r="DOP42" s="1221"/>
      <c r="DOQ42" s="1221"/>
      <c r="DOR42" s="1221"/>
      <c r="DOS42" s="1221"/>
      <c r="DOT42" s="1221"/>
      <c r="DOU42" s="1221"/>
      <c r="DOV42" s="1221"/>
      <c r="DOW42" s="1221"/>
      <c r="DOX42" s="1221"/>
      <c r="DOY42" s="1221"/>
      <c r="DOZ42" s="1221"/>
      <c r="DPA42" s="1221"/>
      <c r="DPB42" s="1221"/>
      <c r="DPC42" s="1221"/>
      <c r="DPD42" s="1221"/>
      <c r="DPE42" s="1221"/>
      <c r="DPF42" s="1221"/>
      <c r="DPG42" s="1221"/>
      <c r="DPH42" s="1221"/>
      <c r="DPI42" s="1221"/>
      <c r="DPJ42" s="1221"/>
      <c r="DPK42" s="1221"/>
      <c r="DPL42" s="1221"/>
      <c r="DPM42" s="1221"/>
      <c r="DPN42" s="1221"/>
      <c r="DPO42" s="1221"/>
      <c r="DPP42" s="1221"/>
      <c r="DPQ42" s="1221"/>
      <c r="DPR42" s="1221"/>
      <c r="DPS42" s="1221"/>
      <c r="DPT42" s="1221"/>
      <c r="DPU42" s="1221"/>
      <c r="DPV42" s="1221"/>
      <c r="DPW42" s="1221"/>
      <c r="DPX42" s="1221"/>
      <c r="DPY42" s="1221"/>
      <c r="DPZ42" s="1221"/>
      <c r="DQA42" s="1221"/>
      <c r="DQB42" s="1221"/>
      <c r="DQC42" s="1221"/>
      <c r="DQD42" s="1221"/>
      <c r="DQE42" s="1221"/>
      <c r="DQF42" s="1221"/>
      <c r="DQG42" s="1221"/>
      <c r="DQH42" s="1221"/>
      <c r="DQI42" s="1221"/>
      <c r="DQJ42" s="1221"/>
      <c r="DQK42" s="1221"/>
      <c r="DQL42" s="1221"/>
      <c r="DQM42" s="1221"/>
      <c r="DQN42" s="1221"/>
      <c r="DQO42" s="1221"/>
      <c r="DQP42" s="1221"/>
      <c r="DQQ42" s="1221"/>
      <c r="DQR42" s="1221"/>
      <c r="DQS42" s="1221"/>
      <c r="DQT42" s="1221"/>
      <c r="DQU42" s="1221"/>
      <c r="DQV42" s="1221"/>
      <c r="DQW42" s="1221"/>
      <c r="DQX42" s="1221"/>
      <c r="DQY42" s="1221"/>
      <c r="DQZ42" s="1221"/>
      <c r="DRA42" s="1221"/>
      <c r="DRB42" s="1221"/>
      <c r="DRC42" s="1221"/>
      <c r="DRD42" s="1221"/>
      <c r="DRE42" s="1221"/>
      <c r="DRF42" s="1221"/>
      <c r="DRG42" s="1221"/>
      <c r="DRH42" s="1221"/>
      <c r="DRI42" s="1221"/>
      <c r="DRJ42" s="1221"/>
      <c r="DRK42" s="1221"/>
      <c r="DRL42" s="1221"/>
      <c r="DRM42" s="1221"/>
      <c r="DRN42" s="1221"/>
      <c r="DRO42" s="1221"/>
      <c r="DRP42" s="1221"/>
      <c r="DRQ42" s="1221"/>
      <c r="DRR42" s="1221"/>
      <c r="DRS42" s="1221"/>
      <c r="DRT42" s="1221"/>
      <c r="DRU42" s="1221"/>
      <c r="DRV42" s="1221"/>
      <c r="DRW42" s="1221"/>
      <c r="DRX42" s="1221"/>
      <c r="DRY42" s="1221"/>
      <c r="DRZ42" s="1221"/>
      <c r="DSA42" s="1221"/>
      <c r="DSB42" s="1221"/>
      <c r="DSC42" s="1221"/>
      <c r="DSD42" s="1221"/>
      <c r="DSE42" s="1221"/>
      <c r="DSF42" s="1221"/>
      <c r="DSG42" s="1221"/>
      <c r="DSH42" s="1221"/>
      <c r="DSI42" s="1221"/>
      <c r="DSJ42" s="1221"/>
      <c r="DSK42" s="1221"/>
      <c r="DSL42" s="1221"/>
      <c r="DSM42" s="1221"/>
      <c r="DSN42" s="1221"/>
      <c r="DSO42" s="1221"/>
      <c r="DSP42" s="1221"/>
      <c r="DSQ42" s="1221"/>
      <c r="DSR42" s="1221"/>
      <c r="DSS42" s="1221"/>
      <c r="DST42" s="1221"/>
      <c r="DSU42" s="1221"/>
      <c r="DSV42" s="1221"/>
      <c r="DSW42" s="1221"/>
      <c r="DSX42" s="1221"/>
      <c r="DSY42" s="1221"/>
      <c r="DSZ42" s="1221"/>
      <c r="DTA42" s="1221"/>
      <c r="DTB42" s="1221"/>
      <c r="DTC42" s="1221"/>
      <c r="DTD42" s="1221"/>
      <c r="DTE42" s="1221"/>
      <c r="DTF42" s="1221"/>
      <c r="DTG42" s="1221"/>
      <c r="DTH42" s="1221"/>
      <c r="DTI42" s="1221"/>
      <c r="DTJ42" s="1221"/>
      <c r="DTK42" s="1221"/>
      <c r="DTL42" s="1221"/>
      <c r="DTM42" s="1221"/>
      <c r="DTN42" s="1221"/>
      <c r="DTO42" s="1221"/>
      <c r="DTP42" s="1221"/>
      <c r="DTQ42" s="1221"/>
      <c r="DTR42" s="1221"/>
      <c r="DTS42" s="1221"/>
      <c r="DTT42" s="1221"/>
      <c r="DTU42" s="1221"/>
      <c r="DTV42" s="1221"/>
      <c r="DTW42" s="1221"/>
      <c r="DTX42" s="1221"/>
      <c r="DTY42" s="1221"/>
      <c r="DTZ42" s="1221"/>
      <c r="DUA42" s="1221"/>
      <c r="DUB42" s="1221"/>
      <c r="DUC42" s="1221"/>
      <c r="DUD42" s="1221"/>
      <c r="DUE42" s="1221"/>
      <c r="DUF42" s="1221"/>
      <c r="DUG42" s="1221"/>
      <c r="DUH42" s="1221"/>
      <c r="DUI42" s="1221"/>
      <c r="DUJ42" s="1221"/>
      <c r="DUK42" s="1221"/>
      <c r="DUL42" s="1221"/>
      <c r="DUM42" s="1221"/>
      <c r="DUN42" s="1221"/>
      <c r="DUO42" s="1221"/>
      <c r="DUP42" s="1221"/>
      <c r="DUQ42" s="1221"/>
      <c r="DUR42" s="1221"/>
      <c r="DUS42" s="1221"/>
      <c r="DUT42" s="1221"/>
      <c r="DUU42" s="1221"/>
      <c r="DUV42" s="1221"/>
      <c r="DUW42" s="1221"/>
      <c r="DUX42" s="1221"/>
      <c r="DUY42" s="1221"/>
      <c r="DUZ42" s="1221"/>
      <c r="DVA42" s="1221"/>
      <c r="DVB42" s="1221"/>
      <c r="DVC42" s="1221"/>
      <c r="DVD42" s="1221"/>
      <c r="DVE42" s="1221"/>
      <c r="DVF42" s="1221"/>
      <c r="DVG42" s="1221"/>
      <c r="DVH42" s="1221"/>
      <c r="DVI42" s="1221"/>
      <c r="DVJ42" s="1221"/>
      <c r="DVK42" s="1221"/>
      <c r="DVL42" s="1221"/>
      <c r="DVM42" s="1221"/>
      <c r="DVN42" s="1221"/>
      <c r="DVO42" s="1221"/>
      <c r="DVP42" s="1221"/>
      <c r="DVQ42" s="1221"/>
      <c r="DVR42" s="1221"/>
      <c r="DVS42" s="1221"/>
      <c r="DVT42" s="1221"/>
      <c r="DVU42" s="1221"/>
      <c r="DVV42" s="1221"/>
      <c r="DVW42" s="1221"/>
      <c r="DVX42" s="1221"/>
      <c r="DVY42" s="1221"/>
      <c r="DVZ42" s="1221"/>
      <c r="DWA42" s="1221"/>
      <c r="DWB42" s="1221"/>
      <c r="DWC42" s="1221"/>
      <c r="DWD42" s="1221"/>
      <c r="DWE42" s="1221"/>
      <c r="DWF42" s="1221"/>
      <c r="DWG42" s="1221"/>
      <c r="DWH42" s="1221"/>
      <c r="DWI42" s="1221"/>
      <c r="DWJ42" s="1221"/>
      <c r="DWK42" s="1221"/>
      <c r="DWL42" s="1221"/>
      <c r="DWM42" s="1221"/>
      <c r="DWN42" s="1221"/>
      <c r="DWO42" s="1221"/>
      <c r="DWP42" s="1221"/>
      <c r="DWQ42" s="1221"/>
      <c r="DWR42" s="1221"/>
      <c r="DWS42" s="1221"/>
      <c r="DWT42" s="1221"/>
      <c r="DWU42" s="1221"/>
      <c r="DWV42" s="1221"/>
      <c r="DWW42" s="1221"/>
      <c r="DWX42" s="1221"/>
      <c r="DWY42" s="1221"/>
      <c r="DWZ42" s="1221"/>
      <c r="DXA42" s="1221"/>
      <c r="DXB42" s="1221"/>
      <c r="DXC42" s="1221"/>
      <c r="DXD42" s="1221"/>
      <c r="DXE42" s="1221"/>
      <c r="DXF42" s="1221"/>
      <c r="DXG42" s="1221"/>
      <c r="DXH42" s="1221"/>
      <c r="DXI42" s="1221"/>
      <c r="DXJ42" s="1221"/>
      <c r="DXK42" s="1221"/>
      <c r="DXL42" s="1221"/>
      <c r="DXM42" s="1221"/>
      <c r="DXN42" s="1221"/>
      <c r="DXO42" s="1221"/>
      <c r="DXP42" s="1221"/>
      <c r="DXQ42" s="1221"/>
      <c r="DXR42" s="1221"/>
      <c r="DXS42" s="1221"/>
      <c r="DXT42" s="1221"/>
      <c r="DXU42" s="1221"/>
      <c r="DXV42" s="1221"/>
      <c r="DXW42" s="1221"/>
      <c r="DXX42" s="1221"/>
      <c r="DXY42" s="1221"/>
      <c r="DXZ42" s="1221"/>
      <c r="DYA42" s="1221"/>
      <c r="DYB42" s="1221"/>
      <c r="DYC42" s="1221"/>
      <c r="DYD42" s="1221"/>
      <c r="DYE42" s="1221"/>
      <c r="DYF42" s="1221"/>
      <c r="DYG42" s="1221"/>
      <c r="DYH42" s="1221"/>
      <c r="DYI42" s="1221"/>
      <c r="DYJ42" s="1221"/>
      <c r="DYK42" s="1221"/>
      <c r="DYL42" s="1221"/>
      <c r="DYM42" s="1221"/>
      <c r="DYN42" s="1221"/>
      <c r="DYO42" s="1221"/>
      <c r="DYP42" s="1221"/>
      <c r="DYQ42" s="1221"/>
      <c r="DYR42" s="1221"/>
      <c r="DYS42" s="1221"/>
      <c r="DYT42" s="1221"/>
      <c r="DYU42" s="1221"/>
      <c r="DYV42" s="1221"/>
      <c r="DYW42" s="1221"/>
      <c r="DYX42" s="1221"/>
      <c r="DYY42" s="1221"/>
      <c r="DYZ42" s="1221"/>
      <c r="DZA42" s="1221"/>
      <c r="DZB42" s="1221"/>
      <c r="DZC42" s="1221"/>
      <c r="DZD42" s="1221"/>
      <c r="DZE42" s="1221"/>
      <c r="DZF42" s="1221"/>
      <c r="DZG42" s="1221"/>
      <c r="DZH42" s="1221"/>
      <c r="DZI42" s="1221"/>
      <c r="DZJ42" s="1221"/>
      <c r="DZK42" s="1221"/>
      <c r="DZL42" s="1221"/>
      <c r="DZM42" s="1221"/>
      <c r="DZN42" s="1221"/>
      <c r="DZO42" s="1221"/>
      <c r="DZP42" s="1221"/>
      <c r="DZQ42" s="1221"/>
      <c r="DZR42" s="1221"/>
      <c r="DZS42" s="1221"/>
      <c r="DZT42" s="1221"/>
      <c r="DZU42" s="1221"/>
      <c r="DZV42" s="1221"/>
      <c r="DZW42" s="1221"/>
      <c r="DZX42" s="1221"/>
      <c r="DZY42" s="1221"/>
      <c r="DZZ42" s="1221"/>
      <c r="EAA42" s="1221"/>
      <c r="EAB42" s="1221"/>
      <c r="EAC42" s="1221"/>
      <c r="EAD42" s="1221"/>
      <c r="EAE42" s="1221"/>
      <c r="EAF42" s="1221"/>
      <c r="EAG42" s="1221"/>
      <c r="EAH42" s="1221"/>
      <c r="EAI42" s="1221"/>
      <c r="EAJ42" s="1221"/>
      <c r="EAK42" s="1221"/>
      <c r="EAL42" s="1221"/>
      <c r="EAM42" s="1221"/>
      <c r="EAN42" s="1221"/>
      <c r="EAO42" s="1221"/>
      <c r="EAP42" s="1221"/>
      <c r="EAQ42" s="1221"/>
      <c r="EAR42" s="1221"/>
      <c r="EAS42" s="1221"/>
      <c r="EAT42" s="1221"/>
      <c r="EAU42" s="1221"/>
      <c r="EAV42" s="1221"/>
      <c r="EAW42" s="1221"/>
      <c r="EAX42" s="1221"/>
      <c r="EAY42" s="1221"/>
      <c r="EAZ42" s="1221"/>
      <c r="EBA42" s="1221"/>
      <c r="EBB42" s="1221"/>
      <c r="EBC42" s="1221"/>
      <c r="EBD42" s="1221"/>
      <c r="EBE42" s="1221"/>
      <c r="EBF42" s="1221"/>
      <c r="EBG42" s="1221"/>
      <c r="EBH42" s="1221"/>
      <c r="EBI42" s="1221"/>
      <c r="EBJ42" s="1221"/>
      <c r="EBK42" s="1221"/>
      <c r="EBL42" s="1221"/>
      <c r="EBM42" s="1221"/>
      <c r="EBN42" s="1221"/>
      <c r="EBO42" s="1221"/>
      <c r="EBP42" s="1221"/>
      <c r="EBQ42" s="1221"/>
      <c r="EBR42" s="1221"/>
      <c r="EBS42" s="1221"/>
      <c r="EBT42" s="1221"/>
      <c r="EBU42" s="1221"/>
      <c r="EBV42" s="1221"/>
      <c r="EBW42" s="1221"/>
      <c r="EBX42" s="1221"/>
      <c r="EBY42" s="1221"/>
      <c r="EBZ42" s="1221"/>
      <c r="ECA42" s="1221"/>
      <c r="ECB42" s="1221"/>
      <c r="ECC42" s="1221"/>
      <c r="ECD42" s="1221"/>
      <c r="ECE42" s="1221"/>
      <c r="ECF42" s="1221"/>
      <c r="ECG42" s="1221"/>
      <c r="ECH42" s="1221"/>
      <c r="ECI42" s="1221"/>
      <c r="ECJ42" s="1221"/>
      <c r="ECK42" s="1221"/>
      <c r="ECL42" s="1221"/>
      <c r="ECM42" s="1221"/>
      <c r="ECN42" s="1221"/>
      <c r="ECO42" s="1221"/>
    </row>
    <row r="43" spans="2:3473" s="1248" customFormat="1" ht="12.75" customHeight="1" outlineLevel="1">
      <c r="B43" s="1249" t="s">
        <v>3151</v>
      </c>
      <c r="C43" s="1250">
        <v>8</v>
      </c>
      <c r="D43" s="1251" t="s">
        <v>3152</v>
      </c>
      <c r="E43" s="1252">
        <f t="shared" ref="E43:G49" si="90">IF(AF$6=0,"",AF43*10000/AF$6)</f>
        <v>0</v>
      </c>
      <c r="F43" s="1252">
        <f t="shared" si="90"/>
        <v>0</v>
      </c>
      <c r="G43" s="1252">
        <f t="shared" si="90"/>
        <v>0</v>
      </c>
      <c r="H43" s="1252">
        <f t="shared" si="79"/>
        <v>0</v>
      </c>
      <c r="I43" s="1252">
        <f t="shared" si="79"/>
        <v>0</v>
      </c>
      <c r="J43" s="1252">
        <f t="shared" si="79"/>
        <v>0</v>
      </c>
      <c r="K43" s="1252">
        <f t="shared" si="79"/>
        <v>0</v>
      </c>
      <c r="L43" s="1252">
        <f t="shared" si="79"/>
        <v>0</v>
      </c>
      <c r="M43" s="1252">
        <f t="shared" si="79"/>
        <v>0</v>
      </c>
      <c r="N43" s="1252" t="str">
        <f t="shared" si="79"/>
        <v/>
      </c>
      <c r="O43" s="1252" t="str">
        <f t="shared" si="79"/>
        <v/>
      </c>
      <c r="P43" s="1252" t="str">
        <f t="shared" si="79"/>
        <v/>
      </c>
      <c r="Q43" s="1252">
        <f t="shared" si="79"/>
        <v>0</v>
      </c>
      <c r="R43" s="1252">
        <f t="shared" si="79"/>
        <v>0</v>
      </c>
      <c r="S43" s="1252">
        <f t="shared" si="8"/>
        <v>0</v>
      </c>
      <c r="T43" s="1252">
        <f t="shared" si="5"/>
        <v>0</v>
      </c>
      <c r="U43" s="1252">
        <f t="shared" si="5"/>
        <v>0</v>
      </c>
      <c r="V43" s="1252">
        <f t="shared" si="9"/>
        <v>0</v>
      </c>
      <c r="W43" s="1252" t="str">
        <f t="shared" si="10"/>
        <v/>
      </c>
      <c r="X43" s="1252" t="str">
        <f t="shared" si="10"/>
        <v/>
      </c>
      <c r="Y43" s="1252" t="str">
        <f t="shared" si="10"/>
        <v/>
      </c>
      <c r="Z43" s="1252">
        <f t="shared" si="78"/>
        <v>0</v>
      </c>
      <c r="AA43" s="1252">
        <f t="shared" si="78"/>
        <v>0</v>
      </c>
      <c r="AB43" s="1252">
        <f t="shared" si="78"/>
        <v>0</v>
      </c>
      <c r="AC43" s="1252">
        <f t="shared" si="15"/>
        <v>0</v>
      </c>
      <c r="AD43" s="1260">
        <f t="shared" si="15"/>
        <v>0</v>
      </c>
      <c r="AE43" s="1260">
        <f t="shared" si="15"/>
        <v>0</v>
      </c>
      <c r="AF43" s="1254"/>
      <c r="AG43" s="1255"/>
      <c r="AH43" s="1255"/>
      <c r="AI43" s="1256">
        <f t="shared" si="41"/>
        <v>0</v>
      </c>
      <c r="AJ43" s="1256">
        <f t="shared" si="80"/>
        <v>0</v>
      </c>
      <c r="AK43" s="1256">
        <f t="shared" si="81"/>
        <v>0</v>
      </c>
      <c r="AL43" s="1256"/>
      <c r="AM43" s="1256"/>
      <c r="AN43" s="1256"/>
      <c r="AO43" s="1256">
        <f t="shared" si="21"/>
        <v>0</v>
      </c>
      <c r="AP43" s="1256">
        <f t="shared" si="82"/>
        <v>0</v>
      </c>
      <c r="AQ43" s="1256">
        <f t="shared" si="83"/>
        <v>0</v>
      </c>
      <c r="AR43" s="1256">
        <f t="shared" si="60"/>
        <v>0</v>
      </c>
      <c r="AS43" s="1256">
        <f t="shared" si="84"/>
        <v>0</v>
      </c>
      <c r="AT43" s="1256">
        <f t="shared" si="85"/>
        <v>0</v>
      </c>
      <c r="AU43" s="1256">
        <f t="shared" si="61"/>
        <v>0</v>
      </c>
      <c r="AV43" s="1256">
        <f t="shared" si="86"/>
        <v>0</v>
      </c>
      <c r="AW43" s="1256">
        <f t="shared" si="87"/>
        <v>0</v>
      </c>
      <c r="AX43" s="1256"/>
      <c r="AY43" s="1256"/>
      <c r="AZ43" s="1256"/>
      <c r="BA43" s="1257">
        <f t="shared" si="62"/>
        <v>0</v>
      </c>
      <c r="BB43" s="1257">
        <f>AG43+AJ43+AM43+AP43+AS43+AV43</f>
        <v>0</v>
      </c>
      <c r="BC43" s="1257">
        <f>AH43+AK43+AN43+AQ43+AT43+AW43</f>
        <v>0</v>
      </c>
      <c r="BD43" s="1256">
        <f t="shared" si="72"/>
        <v>0</v>
      </c>
      <c r="BE43" s="1256">
        <f t="shared" si="88"/>
        <v>0</v>
      </c>
      <c r="BF43" s="1256">
        <f t="shared" si="89"/>
        <v>0</v>
      </c>
      <c r="BG43" s="1256">
        <f t="shared" si="75"/>
        <v>0</v>
      </c>
      <c r="BH43" s="1257">
        <f t="shared" si="76"/>
        <v>0</v>
      </c>
      <c r="BI43" s="1257">
        <f t="shared" si="76"/>
        <v>0</v>
      </c>
      <c r="BJ43" s="1257">
        <f t="shared" si="77"/>
        <v>0</v>
      </c>
      <c r="BK43" s="1256">
        <f>VLOOKUP($D43,'当期公摊测算表（全期）'!$D$9:$W$192,20,0)</f>
        <v>0</v>
      </c>
      <c r="BL43" s="1256">
        <f>VLOOKUP($D43,'当期公摊测算表（全期）'!$D$9:$W$192,19,0)</f>
        <v>0</v>
      </c>
      <c r="BM43" s="1262" t="s">
        <v>20</v>
      </c>
      <c r="BN43" s="1225">
        <f t="shared" si="12"/>
        <v>0</v>
      </c>
      <c r="BO43" s="1225">
        <f t="shared" si="13"/>
        <v>0</v>
      </c>
      <c r="BP43" s="1225">
        <f t="shared" si="14"/>
        <v>0</v>
      </c>
      <c r="BQ43" s="1225"/>
      <c r="BR43" s="1221"/>
      <c r="BS43" s="1221"/>
      <c r="BT43" s="1221"/>
      <c r="BU43" s="1221"/>
      <c r="BV43" s="1221"/>
      <c r="BW43" s="1221"/>
      <c r="BX43" s="1221"/>
      <c r="BY43" s="1221"/>
      <c r="BZ43" s="1221"/>
      <c r="CA43" s="1221"/>
      <c r="CB43" s="1221"/>
      <c r="CC43" s="1221"/>
      <c r="CD43" s="1221"/>
      <c r="CE43" s="1221"/>
      <c r="CF43" s="1221"/>
      <c r="CG43" s="1221"/>
      <c r="CH43" s="1221"/>
      <c r="CI43" s="1221"/>
      <c r="CJ43" s="1221"/>
      <c r="CK43" s="1221"/>
      <c r="CL43" s="1221"/>
      <c r="CM43" s="1221"/>
      <c r="CN43" s="1221"/>
      <c r="CO43" s="1221"/>
      <c r="CP43" s="1221"/>
      <c r="CQ43" s="1221"/>
      <c r="CR43" s="1221"/>
      <c r="CS43" s="1221"/>
      <c r="CT43" s="1221"/>
      <c r="CU43" s="1221"/>
      <c r="CV43" s="1221"/>
      <c r="CW43" s="1221"/>
      <c r="CX43" s="1221"/>
      <c r="CY43" s="1221"/>
      <c r="CZ43" s="1221"/>
      <c r="DA43" s="1221"/>
      <c r="DB43" s="1221"/>
      <c r="DC43" s="1221"/>
      <c r="DD43" s="1221"/>
      <c r="DE43" s="1221"/>
      <c r="DF43" s="1221"/>
      <c r="DG43" s="1221"/>
      <c r="DH43" s="1221"/>
      <c r="DI43" s="1221"/>
      <c r="DJ43" s="1221"/>
      <c r="DK43" s="1221"/>
      <c r="DL43" s="1221"/>
      <c r="DM43" s="1221"/>
      <c r="DN43" s="1221"/>
      <c r="DO43" s="1221"/>
      <c r="DP43" s="1221"/>
      <c r="DQ43" s="1221"/>
      <c r="DR43" s="1221"/>
      <c r="DS43" s="1221"/>
      <c r="DT43" s="1221"/>
      <c r="DU43" s="1221"/>
      <c r="DV43" s="1221"/>
      <c r="DW43" s="1221"/>
      <c r="DX43" s="1221"/>
      <c r="DY43" s="1221"/>
      <c r="DZ43" s="1221"/>
      <c r="EA43" s="1221"/>
      <c r="EB43" s="1221"/>
      <c r="EC43" s="1221"/>
      <c r="ED43" s="1221"/>
      <c r="EE43" s="1221"/>
      <c r="EF43" s="1221"/>
      <c r="EG43" s="1221"/>
      <c r="EH43" s="1221"/>
      <c r="EI43" s="1221"/>
      <c r="EJ43" s="1221"/>
      <c r="EK43" s="1221"/>
      <c r="EL43" s="1221"/>
      <c r="EM43" s="1221"/>
      <c r="EN43" s="1221"/>
      <c r="EO43" s="1221"/>
      <c r="EP43" s="1221"/>
      <c r="EQ43" s="1221"/>
      <c r="ER43" s="1221"/>
      <c r="ES43" s="1221"/>
      <c r="ET43" s="1221"/>
      <c r="EU43" s="1221"/>
      <c r="EV43" s="1221"/>
      <c r="EW43" s="1221"/>
      <c r="EX43" s="1221"/>
      <c r="EY43" s="1221"/>
      <c r="EZ43" s="1221"/>
      <c r="FA43" s="1221"/>
      <c r="FB43" s="1221"/>
      <c r="FC43" s="1221"/>
      <c r="FD43" s="1221"/>
      <c r="FE43" s="1221"/>
      <c r="FF43" s="1221"/>
      <c r="FG43" s="1221"/>
      <c r="FH43" s="1221"/>
      <c r="FI43" s="1221"/>
      <c r="FJ43" s="1221"/>
      <c r="FK43" s="1221"/>
      <c r="FL43" s="1221"/>
      <c r="FM43" s="1221"/>
      <c r="FN43" s="1221"/>
      <c r="FO43" s="1221"/>
      <c r="FP43" s="1221"/>
      <c r="FQ43" s="1221"/>
      <c r="FR43" s="1221"/>
      <c r="FS43" s="1221"/>
      <c r="FT43" s="1221"/>
      <c r="FU43" s="1221"/>
      <c r="FV43" s="1221"/>
      <c r="FW43" s="1221"/>
      <c r="FX43" s="1221"/>
      <c r="FY43" s="1221"/>
      <c r="FZ43" s="1221"/>
      <c r="GA43" s="1221"/>
      <c r="GB43" s="1221"/>
      <c r="GC43" s="1221"/>
      <c r="GD43" s="1221"/>
      <c r="GE43" s="1221"/>
      <c r="GF43" s="1221"/>
      <c r="GG43" s="1221"/>
      <c r="GH43" s="1221"/>
      <c r="GI43" s="1221"/>
      <c r="GJ43" s="1221"/>
      <c r="GK43" s="1221"/>
      <c r="GL43" s="1221"/>
      <c r="GM43" s="1221"/>
      <c r="GN43" s="1221"/>
      <c r="GO43" s="1221"/>
      <c r="GP43" s="1221"/>
      <c r="GQ43" s="1221"/>
      <c r="GR43" s="1221"/>
      <c r="GS43" s="1221"/>
      <c r="GT43" s="1221"/>
      <c r="GU43" s="1221"/>
      <c r="GV43" s="1221"/>
      <c r="GW43" s="1221"/>
      <c r="GX43" s="1221"/>
      <c r="GY43" s="1221"/>
      <c r="GZ43" s="1221"/>
      <c r="HA43" s="1221"/>
      <c r="HB43" s="1221"/>
      <c r="HC43" s="1221"/>
      <c r="HD43" s="1221"/>
      <c r="HE43" s="1221"/>
      <c r="HF43" s="1221"/>
      <c r="HG43" s="1221"/>
      <c r="HH43" s="1221"/>
      <c r="HI43" s="1221"/>
      <c r="HJ43" s="1221"/>
      <c r="HK43" s="1221"/>
      <c r="HL43" s="1221"/>
      <c r="HM43" s="1221"/>
      <c r="HN43" s="1221"/>
      <c r="HO43" s="1221"/>
      <c r="HP43" s="1221"/>
      <c r="HQ43" s="1221"/>
      <c r="HR43" s="1221"/>
      <c r="HS43" s="1221"/>
      <c r="HT43" s="1221"/>
      <c r="HU43" s="1221"/>
      <c r="HV43" s="1221"/>
      <c r="HW43" s="1221"/>
      <c r="HX43" s="1221"/>
      <c r="HY43" s="1221"/>
      <c r="HZ43" s="1221"/>
      <c r="IA43" s="1221"/>
      <c r="IB43" s="1221"/>
      <c r="IC43" s="1221"/>
      <c r="ID43" s="1221"/>
      <c r="IE43" s="1221"/>
      <c r="IF43" s="1221"/>
      <c r="IG43" s="1221"/>
      <c r="IH43" s="1221"/>
      <c r="II43" s="1221"/>
      <c r="IJ43" s="1221"/>
      <c r="IK43" s="1221"/>
      <c r="IL43" s="1221"/>
      <c r="IM43" s="1221"/>
      <c r="IN43" s="1221"/>
      <c r="IO43" s="1221"/>
      <c r="IP43" s="1221"/>
      <c r="IQ43" s="1221"/>
      <c r="IR43" s="1221"/>
      <c r="IS43" s="1221"/>
      <c r="IT43" s="1221"/>
      <c r="IU43" s="1221"/>
      <c r="IV43" s="1221"/>
      <c r="IW43" s="1221"/>
      <c r="IX43" s="1221"/>
      <c r="IY43" s="1221"/>
      <c r="IZ43" s="1221"/>
      <c r="JA43" s="1221"/>
      <c r="JB43" s="1221"/>
      <c r="JC43" s="1221"/>
      <c r="JD43" s="1221"/>
      <c r="JE43" s="1221"/>
      <c r="JF43" s="1221"/>
      <c r="JG43" s="1221"/>
      <c r="JH43" s="1221"/>
      <c r="JI43" s="1221"/>
      <c r="JJ43" s="1221"/>
      <c r="JK43" s="1221"/>
      <c r="JL43" s="1221"/>
      <c r="JM43" s="1221"/>
      <c r="JN43" s="1221"/>
      <c r="JO43" s="1221"/>
      <c r="JP43" s="1221"/>
      <c r="JQ43" s="1221"/>
      <c r="JR43" s="1221"/>
      <c r="JS43" s="1221"/>
      <c r="JT43" s="1221"/>
      <c r="JU43" s="1221"/>
      <c r="JV43" s="1221"/>
      <c r="JW43" s="1221"/>
      <c r="JX43" s="1221"/>
      <c r="JY43" s="1221"/>
      <c r="JZ43" s="1221"/>
      <c r="KA43" s="1221"/>
      <c r="KB43" s="1221"/>
      <c r="KC43" s="1221"/>
      <c r="KD43" s="1221"/>
      <c r="KE43" s="1221"/>
      <c r="KF43" s="1221"/>
      <c r="KG43" s="1221"/>
      <c r="KH43" s="1221"/>
      <c r="KI43" s="1221"/>
      <c r="KJ43" s="1221"/>
      <c r="KK43" s="1221"/>
      <c r="KL43" s="1221"/>
      <c r="KM43" s="1221"/>
      <c r="KN43" s="1221"/>
      <c r="KO43" s="1221"/>
      <c r="KP43" s="1221"/>
      <c r="KQ43" s="1221"/>
      <c r="KR43" s="1221"/>
      <c r="KS43" s="1221"/>
      <c r="KT43" s="1221"/>
      <c r="KU43" s="1221"/>
      <c r="KV43" s="1221"/>
      <c r="KW43" s="1221"/>
      <c r="KX43" s="1221"/>
      <c r="KY43" s="1221"/>
      <c r="KZ43" s="1221"/>
      <c r="LA43" s="1221"/>
      <c r="LB43" s="1221"/>
      <c r="LC43" s="1221"/>
      <c r="LD43" s="1221"/>
      <c r="LE43" s="1221"/>
      <c r="LF43" s="1221"/>
      <c r="LG43" s="1221"/>
      <c r="LH43" s="1221"/>
      <c r="LI43" s="1221"/>
      <c r="LJ43" s="1221"/>
      <c r="LK43" s="1221"/>
      <c r="LL43" s="1221"/>
      <c r="LM43" s="1221"/>
      <c r="LN43" s="1221"/>
      <c r="LO43" s="1221"/>
      <c r="LP43" s="1221"/>
      <c r="LQ43" s="1221"/>
      <c r="LR43" s="1221"/>
      <c r="LS43" s="1221"/>
      <c r="LT43" s="1221"/>
      <c r="LU43" s="1221"/>
      <c r="LV43" s="1221"/>
      <c r="LW43" s="1221"/>
      <c r="LX43" s="1221"/>
      <c r="LY43" s="1221"/>
      <c r="LZ43" s="1221"/>
      <c r="MA43" s="1221"/>
      <c r="MB43" s="1221"/>
      <c r="MC43" s="1221"/>
      <c r="MD43" s="1221"/>
      <c r="ME43" s="1221"/>
      <c r="MF43" s="1221"/>
      <c r="MG43" s="1221"/>
      <c r="MH43" s="1221"/>
      <c r="MI43" s="1221"/>
      <c r="MJ43" s="1221"/>
      <c r="MK43" s="1221"/>
      <c r="ML43" s="1221"/>
      <c r="MM43" s="1221"/>
      <c r="MN43" s="1221"/>
      <c r="MO43" s="1221"/>
      <c r="MP43" s="1221"/>
      <c r="MQ43" s="1221"/>
      <c r="MR43" s="1221"/>
      <c r="MS43" s="1221"/>
      <c r="MT43" s="1221"/>
      <c r="MU43" s="1221"/>
      <c r="MV43" s="1221"/>
      <c r="MW43" s="1221"/>
      <c r="MX43" s="1221"/>
      <c r="MY43" s="1221"/>
      <c r="MZ43" s="1221"/>
      <c r="NA43" s="1221"/>
      <c r="NB43" s="1221"/>
      <c r="NC43" s="1221"/>
      <c r="ND43" s="1221"/>
      <c r="NE43" s="1221"/>
      <c r="NF43" s="1221"/>
      <c r="NG43" s="1221"/>
      <c r="NH43" s="1221"/>
      <c r="NI43" s="1221"/>
      <c r="NJ43" s="1221"/>
      <c r="NK43" s="1221"/>
      <c r="NL43" s="1221"/>
      <c r="NM43" s="1221"/>
      <c r="NN43" s="1221"/>
      <c r="NO43" s="1221"/>
      <c r="NP43" s="1221"/>
      <c r="NQ43" s="1221"/>
      <c r="NR43" s="1221"/>
      <c r="NS43" s="1221"/>
      <c r="NT43" s="1221"/>
      <c r="NU43" s="1221"/>
      <c r="NV43" s="1221"/>
      <c r="NW43" s="1221"/>
      <c r="NX43" s="1221"/>
      <c r="NY43" s="1221"/>
      <c r="NZ43" s="1221"/>
      <c r="OA43" s="1221"/>
      <c r="OB43" s="1221"/>
      <c r="OC43" s="1221"/>
      <c r="OD43" s="1221"/>
      <c r="OE43" s="1221"/>
      <c r="OF43" s="1221"/>
      <c r="OG43" s="1221"/>
      <c r="OH43" s="1221"/>
      <c r="OI43" s="1221"/>
      <c r="OJ43" s="1221"/>
      <c r="OK43" s="1221"/>
      <c r="OL43" s="1221"/>
      <c r="OM43" s="1221"/>
      <c r="ON43" s="1221"/>
      <c r="OO43" s="1221"/>
      <c r="OP43" s="1221"/>
      <c r="OQ43" s="1221"/>
      <c r="OR43" s="1221"/>
      <c r="OS43" s="1221"/>
      <c r="OT43" s="1221"/>
      <c r="OU43" s="1221"/>
      <c r="OV43" s="1221"/>
      <c r="OW43" s="1221"/>
      <c r="OX43" s="1221"/>
      <c r="OY43" s="1221"/>
      <c r="OZ43" s="1221"/>
      <c r="PA43" s="1221"/>
      <c r="PB43" s="1221"/>
      <c r="PC43" s="1221"/>
      <c r="PD43" s="1221"/>
      <c r="PE43" s="1221"/>
      <c r="PF43" s="1221"/>
      <c r="PG43" s="1221"/>
      <c r="PH43" s="1221"/>
      <c r="PI43" s="1221"/>
      <c r="PJ43" s="1221"/>
      <c r="PK43" s="1221"/>
      <c r="PL43" s="1221"/>
      <c r="PM43" s="1221"/>
      <c r="PN43" s="1221"/>
      <c r="PO43" s="1221"/>
      <c r="PP43" s="1221"/>
      <c r="PQ43" s="1221"/>
      <c r="PR43" s="1221"/>
      <c r="PS43" s="1221"/>
      <c r="PT43" s="1221"/>
      <c r="PU43" s="1221"/>
      <c r="PV43" s="1221"/>
      <c r="PW43" s="1221"/>
      <c r="PX43" s="1221"/>
      <c r="PY43" s="1221"/>
      <c r="PZ43" s="1221"/>
      <c r="QA43" s="1221"/>
      <c r="QB43" s="1221"/>
      <c r="QC43" s="1221"/>
      <c r="QD43" s="1221"/>
      <c r="QE43" s="1221"/>
      <c r="QF43" s="1221"/>
      <c r="QG43" s="1221"/>
      <c r="QH43" s="1221"/>
      <c r="QI43" s="1221"/>
      <c r="QJ43" s="1221"/>
      <c r="QK43" s="1221"/>
      <c r="QL43" s="1221"/>
      <c r="QM43" s="1221"/>
      <c r="QN43" s="1221"/>
      <c r="QO43" s="1221"/>
      <c r="QP43" s="1221"/>
      <c r="QQ43" s="1221"/>
      <c r="QR43" s="1221"/>
      <c r="QS43" s="1221"/>
      <c r="QT43" s="1221"/>
      <c r="QU43" s="1221"/>
      <c r="QV43" s="1221"/>
      <c r="QW43" s="1221"/>
      <c r="QX43" s="1221"/>
      <c r="QY43" s="1221"/>
      <c r="QZ43" s="1221"/>
      <c r="RA43" s="1221"/>
      <c r="RB43" s="1221"/>
      <c r="RC43" s="1221"/>
      <c r="RD43" s="1221"/>
      <c r="RE43" s="1221"/>
      <c r="RF43" s="1221"/>
      <c r="RG43" s="1221"/>
      <c r="RH43" s="1221"/>
      <c r="RI43" s="1221"/>
      <c r="RJ43" s="1221"/>
      <c r="RK43" s="1221"/>
      <c r="RL43" s="1221"/>
      <c r="RM43" s="1221"/>
      <c r="RN43" s="1221"/>
      <c r="RO43" s="1221"/>
      <c r="RP43" s="1221"/>
      <c r="RQ43" s="1221"/>
      <c r="RR43" s="1221"/>
      <c r="RS43" s="1221"/>
      <c r="RT43" s="1221"/>
      <c r="RU43" s="1221"/>
      <c r="RV43" s="1221"/>
      <c r="RW43" s="1221"/>
      <c r="RX43" s="1221"/>
      <c r="RY43" s="1221"/>
      <c r="RZ43" s="1221"/>
      <c r="SA43" s="1221"/>
      <c r="SB43" s="1221"/>
      <c r="SC43" s="1221"/>
      <c r="SD43" s="1221"/>
      <c r="SE43" s="1221"/>
      <c r="SF43" s="1221"/>
      <c r="SG43" s="1221"/>
      <c r="SH43" s="1221"/>
      <c r="SI43" s="1221"/>
      <c r="SJ43" s="1221"/>
      <c r="SK43" s="1221"/>
      <c r="SL43" s="1221"/>
      <c r="SM43" s="1221"/>
      <c r="SN43" s="1221"/>
      <c r="SO43" s="1221"/>
      <c r="SP43" s="1221"/>
      <c r="SQ43" s="1221"/>
      <c r="SR43" s="1221"/>
      <c r="SS43" s="1221"/>
      <c r="ST43" s="1221"/>
      <c r="SU43" s="1221"/>
      <c r="SV43" s="1221"/>
      <c r="SW43" s="1221"/>
      <c r="SX43" s="1221"/>
      <c r="SY43" s="1221"/>
      <c r="SZ43" s="1221"/>
      <c r="TA43" s="1221"/>
      <c r="TB43" s="1221"/>
      <c r="TC43" s="1221"/>
      <c r="TD43" s="1221"/>
      <c r="TE43" s="1221"/>
      <c r="TF43" s="1221"/>
      <c r="TG43" s="1221"/>
      <c r="TH43" s="1221"/>
      <c r="TI43" s="1221"/>
      <c r="TJ43" s="1221"/>
      <c r="TK43" s="1221"/>
      <c r="TL43" s="1221"/>
      <c r="TM43" s="1221"/>
      <c r="TN43" s="1221"/>
      <c r="TO43" s="1221"/>
      <c r="TP43" s="1221"/>
      <c r="TQ43" s="1221"/>
      <c r="TR43" s="1221"/>
      <c r="TS43" s="1221"/>
      <c r="TT43" s="1221"/>
      <c r="TU43" s="1221"/>
      <c r="TV43" s="1221"/>
      <c r="TW43" s="1221"/>
      <c r="TX43" s="1221"/>
      <c r="TY43" s="1221"/>
      <c r="TZ43" s="1221"/>
      <c r="UA43" s="1221"/>
      <c r="UB43" s="1221"/>
      <c r="UC43" s="1221"/>
      <c r="UD43" s="1221"/>
      <c r="UE43" s="1221"/>
      <c r="UF43" s="1221"/>
      <c r="UG43" s="1221"/>
      <c r="UH43" s="1221"/>
      <c r="UI43" s="1221"/>
      <c r="UJ43" s="1221"/>
      <c r="UK43" s="1221"/>
      <c r="UL43" s="1221"/>
      <c r="UM43" s="1221"/>
      <c r="UN43" s="1221"/>
      <c r="UO43" s="1221"/>
      <c r="UP43" s="1221"/>
      <c r="UQ43" s="1221"/>
      <c r="UR43" s="1221"/>
      <c r="US43" s="1221"/>
      <c r="UT43" s="1221"/>
      <c r="UU43" s="1221"/>
      <c r="UV43" s="1221"/>
      <c r="UW43" s="1221"/>
      <c r="UX43" s="1221"/>
      <c r="UY43" s="1221"/>
      <c r="UZ43" s="1221"/>
      <c r="VA43" s="1221"/>
      <c r="VB43" s="1221"/>
      <c r="VC43" s="1221"/>
      <c r="VD43" s="1221"/>
      <c r="VE43" s="1221"/>
      <c r="VF43" s="1221"/>
      <c r="VG43" s="1221"/>
      <c r="VH43" s="1221"/>
      <c r="VI43" s="1221"/>
      <c r="VJ43" s="1221"/>
      <c r="VK43" s="1221"/>
      <c r="VL43" s="1221"/>
      <c r="VM43" s="1221"/>
      <c r="VN43" s="1221"/>
      <c r="VO43" s="1221"/>
      <c r="VP43" s="1221"/>
      <c r="VQ43" s="1221"/>
      <c r="VR43" s="1221"/>
      <c r="VS43" s="1221"/>
      <c r="VT43" s="1221"/>
      <c r="VU43" s="1221"/>
      <c r="VV43" s="1221"/>
      <c r="VW43" s="1221"/>
      <c r="VX43" s="1221"/>
      <c r="VY43" s="1221"/>
      <c r="VZ43" s="1221"/>
      <c r="WA43" s="1221"/>
      <c r="WB43" s="1221"/>
      <c r="WC43" s="1221"/>
      <c r="WD43" s="1221"/>
      <c r="WE43" s="1221"/>
      <c r="WF43" s="1221"/>
      <c r="WG43" s="1221"/>
      <c r="WH43" s="1221"/>
      <c r="WI43" s="1221"/>
      <c r="WJ43" s="1221"/>
      <c r="WK43" s="1221"/>
      <c r="WL43" s="1221"/>
      <c r="WM43" s="1221"/>
      <c r="WN43" s="1221"/>
      <c r="WO43" s="1221"/>
      <c r="WP43" s="1221"/>
      <c r="WQ43" s="1221"/>
      <c r="WR43" s="1221"/>
      <c r="WS43" s="1221"/>
      <c r="WT43" s="1221"/>
      <c r="WU43" s="1221"/>
      <c r="WV43" s="1221"/>
      <c r="WW43" s="1221"/>
      <c r="WX43" s="1221"/>
      <c r="WY43" s="1221"/>
      <c r="WZ43" s="1221"/>
      <c r="XA43" s="1221"/>
      <c r="XB43" s="1221"/>
      <c r="XC43" s="1221"/>
      <c r="XD43" s="1221"/>
      <c r="XE43" s="1221"/>
      <c r="XF43" s="1221"/>
      <c r="XG43" s="1221"/>
      <c r="XH43" s="1221"/>
      <c r="XI43" s="1221"/>
      <c r="XJ43" s="1221"/>
      <c r="XK43" s="1221"/>
      <c r="XL43" s="1221"/>
      <c r="XM43" s="1221"/>
      <c r="XN43" s="1221"/>
      <c r="XO43" s="1221"/>
      <c r="XP43" s="1221"/>
      <c r="XQ43" s="1221"/>
      <c r="XR43" s="1221"/>
      <c r="XS43" s="1221"/>
      <c r="XT43" s="1221"/>
      <c r="XU43" s="1221"/>
      <c r="XV43" s="1221"/>
      <c r="XW43" s="1221"/>
      <c r="XX43" s="1221"/>
      <c r="XY43" s="1221"/>
      <c r="XZ43" s="1221"/>
      <c r="YA43" s="1221"/>
      <c r="YB43" s="1221"/>
      <c r="YC43" s="1221"/>
      <c r="YD43" s="1221"/>
      <c r="YE43" s="1221"/>
      <c r="YF43" s="1221"/>
      <c r="YG43" s="1221"/>
      <c r="YH43" s="1221"/>
      <c r="YI43" s="1221"/>
      <c r="YJ43" s="1221"/>
      <c r="YK43" s="1221"/>
      <c r="YL43" s="1221"/>
      <c r="YM43" s="1221"/>
      <c r="YN43" s="1221"/>
      <c r="YO43" s="1221"/>
      <c r="YP43" s="1221"/>
      <c r="YQ43" s="1221"/>
      <c r="YR43" s="1221"/>
      <c r="YS43" s="1221"/>
      <c r="YT43" s="1221"/>
      <c r="YU43" s="1221"/>
      <c r="YV43" s="1221"/>
      <c r="YW43" s="1221"/>
      <c r="YX43" s="1221"/>
      <c r="YY43" s="1221"/>
      <c r="YZ43" s="1221"/>
      <c r="ZA43" s="1221"/>
      <c r="ZB43" s="1221"/>
      <c r="ZC43" s="1221"/>
      <c r="ZD43" s="1221"/>
      <c r="ZE43" s="1221"/>
      <c r="ZF43" s="1221"/>
      <c r="ZG43" s="1221"/>
      <c r="ZH43" s="1221"/>
      <c r="ZI43" s="1221"/>
      <c r="ZJ43" s="1221"/>
      <c r="ZK43" s="1221"/>
      <c r="ZL43" s="1221"/>
      <c r="ZM43" s="1221"/>
      <c r="ZN43" s="1221"/>
      <c r="ZO43" s="1221"/>
      <c r="ZP43" s="1221"/>
      <c r="ZQ43" s="1221"/>
      <c r="ZR43" s="1221"/>
      <c r="ZS43" s="1221"/>
      <c r="ZT43" s="1221"/>
      <c r="ZU43" s="1221"/>
      <c r="ZV43" s="1221"/>
      <c r="ZW43" s="1221"/>
      <c r="ZX43" s="1221"/>
      <c r="ZY43" s="1221"/>
      <c r="ZZ43" s="1221"/>
      <c r="AAA43" s="1221"/>
      <c r="AAB43" s="1221"/>
      <c r="AAC43" s="1221"/>
      <c r="AAD43" s="1221"/>
      <c r="AAE43" s="1221"/>
      <c r="AAF43" s="1221"/>
      <c r="AAG43" s="1221"/>
      <c r="AAH43" s="1221"/>
      <c r="AAI43" s="1221"/>
      <c r="AAJ43" s="1221"/>
      <c r="AAK43" s="1221"/>
      <c r="AAL43" s="1221"/>
      <c r="AAM43" s="1221"/>
      <c r="AAN43" s="1221"/>
      <c r="AAO43" s="1221"/>
      <c r="AAP43" s="1221"/>
      <c r="AAQ43" s="1221"/>
      <c r="AAR43" s="1221"/>
      <c r="AAS43" s="1221"/>
      <c r="AAT43" s="1221"/>
      <c r="AAU43" s="1221"/>
      <c r="AAV43" s="1221"/>
      <c r="AAW43" s="1221"/>
      <c r="AAX43" s="1221"/>
      <c r="AAY43" s="1221"/>
      <c r="AAZ43" s="1221"/>
      <c r="ABA43" s="1221"/>
      <c r="ABB43" s="1221"/>
      <c r="ABC43" s="1221"/>
      <c r="ABD43" s="1221"/>
      <c r="ABE43" s="1221"/>
      <c r="ABF43" s="1221"/>
      <c r="ABG43" s="1221"/>
      <c r="ABH43" s="1221"/>
      <c r="ABI43" s="1221"/>
      <c r="ABJ43" s="1221"/>
      <c r="ABK43" s="1221"/>
      <c r="ABL43" s="1221"/>
      <c r="ABM43" s="1221"/>
      <c r="ABN43" s="1221"/>
      <c r="ABO43" s="1221"/>
      <c r="ABP43" s="1221"/>
      <c r="ABQ43" s="1221"/>
      <c r="ABR43" s="1221"/>
      <c r="ABS43" s="1221"/>
      <c r="ABT43" s="1221"/>
      <c r="ABU43" s="1221"/>
      <c r="ABV43" s="1221"/>
      <c r="ABW43" s="1221"/>
      <c r="ABX43" s="1221"/>
      <c r="ABY43" s="1221"/>
      <c r="ABZ43" s="1221"/>
      <c r="ACA43" s="1221"/>
      <c r="ACB43" s="1221"/>
      <c r="ACC43" s="1221"/>
      <c r="ACD43" s="1221"/>
      <c r="ACE43" s="1221"/>
      <c r="ACF43" s="1221"/>
      <c r="ACG43" s="1221"/>
      <c r="ACH43" s="1221"/>
      <c r="ACI43" s="1221"/>
      <c r="ACJ43" s="1221"/>
      <c r="ACK43" s="1221"/>
      <c r="ACL43" s="1221"/>
      <c r="ACM43" s="1221"/>
      <c r="ACN43" s="1221"/>
      <c r="ACO43" s="1221"/>
      <c r="ACP43" s="1221"/>
      <c r="ACQ43" s="1221"/>
      <c r="ACR43" s="1221"/>
      <c r="ACS43" s="1221"/>
      <c r="ACT43" s="1221"/>
      <c r="ACU43" s="1221"/>
      <c r="ACV43" s="1221"/>
      <c r="ACW43" s="1221"/>
      <c r="ACX43" s="1221"/>
      <c r="ACY43" s="1221"/>
      <c r="ACZ43" s="1221"/>
      <c r="ADA43" s="1221"/>
      <c r="ADB43" s="1221"/>
      <c r="ADC43" s="1221"/>
      <c r="ADD43" s="1221"/>
      <c r="ADE43" s="1221"/>
      <c r="ADF43" s="1221"/>
      <c r="ADG43" s="1221"/>
      <c r="ADH43" s="1221"/>
      <c r="ADI43" s="1221"/>
      <c r="ADJ43" s="1221"/>
      <c r="ADK43" s="1221"/>
      <c r="ADL43" s="1221"/>
      <c r="ADM43" s="1221"/>
      <c r="ADN43" s="1221"/>
      <c r="ADO43" s="1221"/>
      <c r="ADP43" s="1221"/>
      <c r="ADQ43" s="1221"/>
      <c r="ADR43" s="1221"/>
      <c r="ADS43" s="1221"/>
      <c r="ADT43" s="1221"/>
      <c r="ADU43" s="1221"/>
      <c r="ADV43" s="1221"/>
      <c r="ADW43" s="1221"/>
      <c r="ADX43" s="1221"/>
      <c r="ADY43" s="1221"/>
      <c r="ADZ43" s="1221"/>
      <c r="AEA43" s="1221"/>
      <c r="AEB43" s="1221"/>
      <c r="AEC43" s="1221"/>
      <c r="AED43" s="1221"/>
      <c r="AEE43" s="1221"/>
      <c r="AEF43" s="1221"/>
      <c r="AEG43" s="1221"/>
      <c r="AEH43" s="1221"/>
      <c r="AEI43" s="1221"/>
      <c r="AEJ43" s="1221"/>
      <c r="AEK43" s="1221"/>
      <c r="AEL43" s="1221"/>
      <c r="AEM43" s="1221"/>
      <c r="AEN43" s="1221"/>
      <c r="AEO43" s="1221"/>
      <c r="AEP43" s="1221"/>
      <c r="AEQ43" s="1221"/>
      <c r="AER43" s="1221"/>
      <c r="AES43" s="1221"/>
      <c r="AET43" s="1221"/>
      <c r="AEU43" s="1221"/>
      <c r="AEV43" s="1221"/>
      <c r="AEW43" s="1221"/>
      <c r="AEX43" s="1221"/>
      <c r="AEY43" s="1221"/>
      <c r="AEZ43" s="1221"/>
      <c r="AFA43" s="1221"/>
      <c r="AFB43" s="1221"/>
      <c r="AFC43" s="1221"/>
      <c r="AFD43" s="1221"/>
      <c r="AFE43" s="1221"/>
      <c r="AFF43" s="1221"/>
      <c r="AFG43" s="1221"/>
      <c r="AFH43" s="1221"/>
      <c r="AFI43" s="1221"/>
      <c r="AFJ43" s="1221"/>
      <c r="AFK43" s="1221"/>
      <c r="AFL43" s="1221"/>
      <c r="AFM43" s="1221"/>
      <c r="AFN43" s="1221"/>
      <c r="AFO43" s="1221"/>
      <c r="AFP43" s="1221"/>
      <c r="AFQ43" s="1221"/>
      <c r="AFR43" s="1221"/>
      <c r="AFS43" s="1221"/>
      <c r="AFT43" s="1221"/>
      <c r="AFU43" s="1221"/>
      <c r="AFV43" s="1221"/>
      <c r="AFW43" s="1221"/>
      <c r="AFX43" s="1221"/>
      <c r="AFY43" s="1221"/>
      <c r="AFZ43" s="1221"/>
      <c r="AGA43" s="1221"/>
      <c r="AGB43" s="1221"/>
      <c r="AGC43" s="1221"/>
      <c r="AGD43" s="1221"/>
      <c r="AGE43" s="1221"/>
      <c r="AGF43" s="1221"/>
      <c r="AGG43" s="1221"/>
      <c r="AGH43" s="1221"/>
      <c r="AGI43" s="1221"/>
      <c r="AGJ43" s="1221"/>
      <c r="AGK43" s="1221"/>
      <c r="AGL43" s="1221"/>
      <c r="AGM43" s="1221"/>
      <c r="AGN43" s="1221"/>
      <c r="AGO43" s="1221"/>
      <c r="AGP43" s="1221"/>
      <c r="AGQ43" s="1221"/>
      <c r="AGR43" s="1221"/>
      <c r="AGS43" s="1221"/>
      <c r="AGT43" s="1221"/>
      <c r="AGU43" s="1221"/>
      <c r="AGV43" s="1221"/>
      <c r="AGW43" s="1221"/>
      <c r="AGX43" s="1221"/>
      <c r="AGY43" s="1221"/>
      <c r="AGZ43" s="1221"/>
      <c r="AHA43" s="1221"/>
      <c r="AHB43" s="1221"/>
      <c r="AHC43" s="1221"/>
      <c r="AHD43" s="1221"/>
      <c r="AHE43" s="1221"/>
      <c r="AHF43" s="1221"/>
      <c r="AHG43" s="1221"/>
      <c r="AHH43" s="1221"/>
      <c r="AHI43" s="1221"/>
      <c r="AHJ43" s="1221"/>
      <c r="AHK43" s="1221"/>
      <c r="AHL43" s="1221"/>
      <c r="AHM43" s="1221"/>
      <c r="AHN43" s="1221"/>
      <c r="AHO43" s="1221"/>
      <c r="AHP43" s="1221"/>
      <c r="AHQ43" s="1221"/>
      <c r="AHR43" s="1221"/>
      <c r="AHS43" s="1221"/>
      <c r="AHT43" s="1221"/>
      <c r="AHU43" s="1221"/>
      <c r="AHV43" s="1221"/>
      <c r="AHW43" s="1221"/>
      <c r="AHX43" s="1221"/>
      <c r="AHY43" s="1221"/>
      <c r="AHZ43" s="1221"/>
      <c r="AIA43" s="1221"/>
      <c r="AIB43" s="1221"/>
      <c r="AIC43" s="1221"/>
      <c r="AID43" s="1221"/>
      <c r="AIE43" s="1221"/>
      <c r="AIF43" s="1221"/>
      <c r="AIG43" s="1221"/>
      <c r="AIH43" s="1221"/>
      <c r="AII43" s="1221"/>
      <c r="AIJ43" s="1221"/>
      <c r="AIK43" s="1221"/>
      <c r="AIL43" s="1221"/>
      <c r="AIM43" s="1221"/>
      <c r="AIN43" s="1221"/>
      <c r="AIO43" s="1221"/>
      <c r="AIP43" s="1221"/>
      <c r="AIQ43" s="1221"/>
      <c r="AIR43" s="1221"/>
      <c r="AIS43" s="1221"/>
      <c r="AIT43" s="1221"/>
      <c r="AIU43" s="1221"/>
      <c r="AIV43" s="1221"/>
      <c r="AIW43" s="1221"/>
      <c r="AIX43" s="1221"/>
      <c r="AIY43" s="1221"/>
      <c r="AIZ43" s="1221"/>
      <c r="AJA43" s="1221"/>
      <c r="AJB43" s="1221"/>
      <c r="AJC43" s="1221"/>
      <c r="AJD43" s="1221"/>
      <c r="AJE43" s="1221"/>
      <c r="AJF43" s="1221"/>
      <c r="AJG43" s="1221"/>
      <c r="AJH43" s="1221"/>
      <c r="AJI43" s="1221"/>
      <c r="AJJ43" s="1221"/>
      <c r="AJK43" s="1221"/>
      <c r="AJL43" s="1221"/>
      <c r="AJM43" s="1221"/>
      <c r="AJN43" s="1221"/>
      <c r="AJO43" s="1221"/>
      <c r="AJP43" s="1221"/>
      <c r="AJQ43" s="1221"/>
      <c r="AJR43" s="1221"/>
      <c r="AJS43" s="1221"/>
      <c r="AJT43" s="1221"/>
      <c r="AJU43" s="1221"/>
      <c r="AJV43" s="1221"/>
      <c r="AJW43" s="1221"/>
      <c r="AJX43" s="1221"/>
      <c r="AJY43" s="1221"/>
      <c r="AJZ43" s="1221"/>
      <c r="AKA43" s="1221"/>
      <c r="AKB43" s="1221"/>
      <c r="AKC43" s="1221"/>
      <c r="AKD43" s="1221"/>
      <c r="AKE43" s="1221"/>
      <c r="AKF43" s="1221"/>
      <c r="AKG43" s="1221"/>
      <c r="AKH43" s="1221"/>
      <c r="AKI43" s="1221"/>
      <c r="AKJ43" s="1221"/>
      <c r="AKK43" s="1221"/>
      <c r="AKL43" s="1221"/>
      <c r="AKM43" s="1221"/>
      <c r="AKN43" s="1221"/>
      <c r="AKO43" s="1221"/>
      <c r="AKP43" s="1221"/>
      <c r="AKQ43" s="1221"/>
      <c r="AKR43" s="1221"/>
      <c r="AKS43" s="1221"/>
      <c r="AKT43" s="1221"/>
      <c r="AKU43" s="1221"/>
      <c r="AKV43" s="1221"/>
      <c r="AKW43" s="1221"/>
      <c r="AKX43" s="1221"/>
      <c r="AKY43" s="1221"/>
      <c r="AKZ43" s="1221"/>
      <c r="ALA43" s="1221"/>
      <c r="ALB43" s="1221"/>
      <c r="ALC43" s="1221"/>
      <c r="ALD43" s="1221"/>
      <c r="ALE43" s="1221"/>
      <c r="ALF43" s="1221"/>
      <c r="ALG43" s="1221"/>
      <c r="ALH43" s="1221"/>
      <c r="ALI43" s="1221"/>
      <c r="ALJ43" s="1221"/>
      <c r="ALK43" s="1221"/>
      <c r="ALL43" s="1221"/>
      <c r="ALM43" s="1221"/>
      <c r="ALN43" s="1221"/>
      <c r="ALO43" s="1221"/>
      <c r="ALP43" s="1221"/>
      <c r="ALQ43" s="1221"/>
      <c r="ALR43" s="1221"/>
      <c r="ALS43" s="1221"/>
      <c r="ALT43" s="1221"/>
      <c r="ALU43" s="1221"/>
      <c r="ALV43" s="1221"/>
      <c r="ALW43" s="1221"/>
      <c r="ALX43" s="1221"/>
      <c r="ALY43" s="1221"/>
      <c r="ALZ43" s="1221"/>
      <c r="AMA43" s="1221"/>
      <c r="AMB43" s="1221"/>
      <c r="AMC43" s="1221"/>
      <c r="AMD43" s="1221"/>
      <c r="AME43" s="1221"/>
      <c r="AMF43" s="1221"/>
      <c r="AMG43" s="1221"/>
      <c r="AMH43" s="1221"/>
      <c r="AMI43" s="1221"/>
      <c r="AMJ43" s="1221"/>
      <c r="AMK43" s="1221"/>
      <c r="AML43" s="1221"/>
      <c r="AMM43" s="1221"/>
      <c r="AMN43" s="1221"/>
      <c r="AMO43" s="1221"/>
      <c r="AMP43" s="1221"/>
      <c r="AMQ43" s="1221"/>
      <c r="AMR43" s="1221"/>
      <c r="AMS43" s="1221"/>
      <c r="AMT43" s="1221"/>
      <c r="AMU43" s="1221"/>
      <c r="AMV43" s="1221"/>
      <c r="AMW43" s="1221"/>
      <c r="AMX43" s="1221"/>
      <c r="AMY43" s="1221"/>
      <c r="AMZ43" s="1221"/>
      <c r="ANA43" s="1221"/>
      <c r="ANB43" s="1221"/>
      <c r="ANC43" s="1221"/>
      <c r="AND43" s="1221"/>
      <c r="ANE43" s="1221"/>
      <c r="ANF43" s="1221"/>
      <c r="ANG43" s="1221"/>
      <c r="ANH43" s="1221"/>
      <c r="ANI43" s="1221"/>
      <c r="ANJ43" s="1221"/>
      <c r="ANK43" s="1221"/>
      <c r="ANL43" s="1221"/>
      <c r="ANM43" s="1221"/>
      <c r="ANN43" s="1221"/>
      <c r="ANO43" s="1221"/>
      <c r="ANP43" s="1221"/>
      <c r="ANQ43" s="1221"/>
      <c r="ANR43" s="1221"/>
      <c r="ANS43" s="1221"/>
      <c r="ANT43" s="1221"/>
      <c r="ANU43" s="1221"/>
      <c r="ANV43" s="1221"/>
      <c r="ANW43" s="1221"/>
      <c r="ANX43" s="1221"/>
      <c r="ANY43" s="1221"/>
      <c r="ANZ43" s="1221"/>
      <c r="AOA43" s="1221"/>
      <c r="AOB43" s="1221"/>
      <c r="AOC43" s="1221"/>
      <c r="AOD43" s="1221"/>
      <c r="AOE43" s="1221"/>
      <c r="AOF43" s="1221"/>
      <c r="AOG43" s="1221"/>
      <c r="AOH43" s="1221"/>
      <c r="AOI43" s="1221"/>
      <c r="AOJ43" s="1221"/>
      <c r="AOK43" s="1221"/>
      <c r="AOL43" s="1221"/>
      <c r="AOM43" s="1221"/>
      <c r="AON43" s="1221"/>
      <c r="AOO43" s="1221"/>
      <c r="AOP43" s="1221"/>
      <c r="AOQ43" s="1221"/>
      <c r="AOR43" s="1221"/>
      <c r="AOS43" s="1221"/>
      <c r="AOT43" s="1221"/>
      <c r="AOU43" s="1221"/>
      <c r="AOV43" s="1221"/>
      <c r="AOW43" s="1221"/>
      <c r="AOX43" s="1221"/>
      <c r="AOY43" s="1221"/>
      <c r="AOZ43" s="1221"/>
      <c r="APA43" s="1221"/>
      <c r="APB43" s="1221"/>
      <c r="APC43" s="1221"/>
      <c r="APD43" s="1221"/>
      <c r="APE43" s="1221"/>
      <c r="APF43" s="1221"/>
      <c r="APG43" s="1221"/>
      <c r="APH43" s="1221"/>
      <c r="API43" s="1221"/>
      <c r="APJ43" s="1221"/>
      <c r="APK43" s="1221"/>
      <c r="APL43" s="1221"/>
      <c r="APM43" s="1221"/>
      <c r="APN43" s="1221"/>
      <c r="APO43" s="1221"/>
      <c r="APP43" s="1221"/>
      <c r="APQ43" s="1221"/>
      <c r="APR43" s="1221"/>
      <c r="APS43" s="1221"/>
      <c r="APT43" s="1221"/>
      <c r="APU43" s="1221"/>
      <c r="APV43" s="1221"/>
      <c r="APW43" s="1221"/>
      <c r="APX43" s="1221"/>
      <c r="APY43" s="1221"/>
      <c r="APZ43" s="1221"/>
      <c r="AQA43" s="1221"/>
      <c r="AQB43" s="1221"/>
      <c r="AQC43" s="1221"/>
      <c r="AQD43" s="1221"/>
      <c r="AQE43" s="1221"/>
      <c r="AQF43" s="1221"/>
      <c r="AQG43" s="1221"/>
      <c r="AQH43" s="1221"/>
      <c r="AQI43" s="1221"/>
      <c r="AQJ43" s="1221"/>
      <c r="AQK43" s="1221"/>
      <c r="AQL43" s="1221"/>
      <c r="AQM43" s="1221"/>
      <c r="AQN43" s="1221"/>
      <c r="AQO43" s="1221"/>
      <c r="AQP43" s="1221"/>
      <c r="AQQ43" s="1221"/>
      <c r="AQR43" s="1221"/>
      <c r="AQS43" s="1221"/>
      <c r="AQT43" s="1221"/>
      <c r="AQU43" s="1221"/>
      <c r="AQV43" s="1221"/>
      <c r="AQW43" s="1221"/>
      <c r="AQX43" s="1221"/>
      <c r="AQY43" s="1221"/>
      <c r="AQZ43" s="1221"/>
      <c r="ARA43" s="1221"/>
      <c r="ARB43" s="1221"/>
      <c r="ARC43" s="1221"/>
      <c r="ARD43" s="1221"/>
      <c r="ARE43" s="1221"/>
      <c r="ARF43" s="1221"/>
      <c r="ARG43" s="1221"/>
      <c r="ARH43" s="1221"/>
      <c r="ARI43" s="1221"/>
      <c r="ARJ43" s="1221"/>
      <c r="ARK43" s="1221"/>
      <c r="ARL43" s="1221"/>
      <c r="ARM43" s="1221"/>
      <c r="ARN43" s="1221"/>
      <c r="ARO43" s="1221"/>
      <c r="ARP43" s="1221"/>
      <c r="ARQ43" s="1221"/>
      <c r="ARR43" s="1221"/>
      <c r="ARS43" s="1221"/>
      <c r="ART43" s="1221"/>
      <c r="ARU43" s="1221"/>
      <c r="ARV43" s="1221"/>
      <c r="ARW43" s="1221"/>
      <c r="ARX43" s="1221"/>
      <c r="ARY43" s="1221"/>
      <c r="ARZ43" s="1221"/>
      <c r="ASA43" s="1221"/>
      <c r="ASB43" s="1221"/>
      <c r="ASC43" s="1221"/>
      <c r="ASD43" s="1221"/>
      <c r="ASE43" s="1221"/>
      <c r="ASF43" s="1221"/>
      <c r="ASG43" s="1221"/>
      <c r="ASH43" s="1221"/>
      <c r="ASI43" s="1221"/>
      <c r="ASJ43" s="1221"/>
      <c r="ASK43" s="1221"/>
      <c r="ASL43" s="1221"/>
      <c r="ASM43" s="1221"/>
      <c r="ASN43" s="1221"/>
      <c r="ASO43" s="1221"/>
      <c r="ASP43" s="1221"/>
      <c r="ASQ43" s="1221"/>
      <c r="ASR43" s="1221"/>
      <c r="ASS43" s="1221"/>
      <c r="AST43" s="1221"/>
      <c r="ASU43" s="1221"/>
      <c r="ASV43" s="1221"/>
      <c r="ASW43" s="1221"/>
      <c r="ASX43" s="1221"/>
      <c r="ASY43" s="1221"/>
      <c r="ASZ43" s="1221"/>
      <c r="ATA43" s="1221"/>
      <c r="ATB43" s="1221"/>
      <c r="ATC43" s="1221"/>
      <c r="ATD43" s="1221"/>
      <c r="ATE43" s="1221"/>
      <c r="ATF43" s="1221"/>
      <c r="ATG43" s="1221"/>
      <c r="ATH43" s="1221"/>
      <c r="ATI43" s="1221"/>
      <c r="ATJ43" s="1221"/>
      <c r="ATK43" s="1221"/>
      <c r="ATL43" s="1221"/>
      <c r="ATM43" s="1221"/>
      <c r="ATN43" s="1221"/>
      <c r="ATO43" s="1221"/>
      <c r="ATP43" s="1221"/>
      <c r="ATQ43" s="1221"/>
      <c r="ATR43" s="1221"/>
      <c r="ATS43" s="1221"/>
      <c r="ATT43" s="1221"/>
      <c r="ATU43" s="1221"/>
      <c r="ATV43" s="1221"/>
      <c r="ATW43" s="1221"/>
      <c r="ATX43" s="1221"/>
      <c r="ATY43" s="1221"/>
      <c r="ATZ43" s="1221"/>
      <c r="AUA43" s="1221"/>
      <c r="AUB43" s="1221"/>
      <c r="AUC43" s="1221"/>
      <c r="AUD43" s="1221"/>
      <c r="AUE43" s="1221"/>
      <c r="AUF43" s="1221"/>
      <c r="AUG43" s="1221"/>
      <c r="AUH43" s="1221"/>
      <c r="AUI43" s="1221"/>
      <c r="AUJ43" s="1221"/>
      <c r="AUK43" s="1221"/>
      <c r="AUL43" s="1221"/>
      <c r="AUM43" s="1221"/>
      <c r="AUN43" s="1221"/>
      <c r="AUO43" s="1221"/>
      <c r="AUP43" s="1221"/>
      <c r="AUQ43" s="1221"/>
      <c r="AUR43" s="1221"/>
      <c r="AUS43" s="1221"/>
      <c r="AUT43" s="1221"/>
      <c r="AUU43" s="1221"/>
      <c r="AUV43" s="1221"/>
      <c r="AUW43" s="1221"/>
      <c r="AUX43" s="1221"/>
      <c r="AUY43" s="1221"/>
      <c r="AUZ43" s="1221"/>
      <c r="AVA43" s="1221"/>
      <c r="AVB43" s="1221"/>
      <c r="AVC43" s="1221"/>
      <c r="AVD43" s="1221"/>
      <c r="AVE43" s="1221"/>
      <c r="AVF43" s="1221"/>
      <c r="AVG43" s="1221"/>
      <c r="AVH43" s="1221"/>
      <c r="AVI43" s="1221"/>
      <c r="AVJ43" s="1221"/>
      <c r="AVK43" s="1221"/>
      <c r="AVL43" s="1221"/>
      <c r="AVM43" s="1221"/>
      <c r="AVN43" s="1221"/>
      <c r="AVO43" s="1221"/>
      <c r="AVP43" s="1221"/>
      <c r="AVQ43" s="1221"/>
      <c r="AVR43" s="1221"/>
      <c r="AVS43" s="1221"/>
      <c r="AVT43" s="1221"/>
      <c r="AVU43" s="1221"/>
      <c r="AVV43" s="1221"/>
      <c r="AVW43" s="1221"/>
      <c r="AVX43" s="1221"/>
      <c r="AVY43" s="1221"/>
      <c r="AVZ43" s="1221"/>
      <c r="AWA43" s="1221"/>
      <c r="AWB43" s="1221"/>
      <c r="AWC43" s="1221"/>
      <c r="AWD43" s="1221"/>
      <c r="AWE43" s="1221"/>
      <c r="AWF43" s="1221"/>
      <c r="AWG43" s="1221"/>
      <c r="AWH43" s="1221"/>
      <c r="AWI43" s="1221"/>
      <c r="AWJ43" s="1221"/>
      <c r="AWK43" s="1221"/>
      <c r="AWL43" s="1221"/>
      <c r="AWM43" s="1221"/>
      <c r="AWN43" s="1221"/>
      <c r="AWO43" s="1221"/>
      <c r="AWP43" s="1221"/>
      <c r="AWQ43" s="1221"/>
      <c r="AWR43" s="1221"/>
      <c r="AWS43" s="1221"/>
      <c r="AWT43" s="1221"/>
      <c r="AWU43" s="1221"/>
      <c r="AWV43" s="1221"/>
      <c r="AWW43" s="1221"/>
      <c r="AWX43" s="1221"/>
      <c r="AWY43" s="1221"/>
      <c r="AWZ43" s="1221"/>
      <c r="AXA43" s="1221"/>
      <c r="AXB43" s="1221"/>
      <c r="AXC43" s="1221"/>
      <c r="AXD43" s="1221"/>
      <c r="AXE43" s="1221"/>
      <c r="AXF43" s="1221"/>
      <c r="AXG43" s="1221"/>
      <c r="AXH43" s="1221"/>
      <c r="AXI43" s="1221"/>
      <c r="AXJ43" s="1221"/>
      <c r="AXK43" s="1221"/>
      <c r="AXL43" s="1221"/>
      <c r="AXM43" s="1221"/>
      <c r="AXN43" s="1221"/>
      <c r="AXO43" s="1221"/>
      <c r="AXP43" s="1221"/>
      <c r="AXQ43" s="1221"/>
      <c r="AXR43" s="1221"/>
      <c r="AXS43" s="1221"/>
      <c r="AXT43" s="1221"/>
      <c r="AXU43" s="1221"/>
      <c r="AXV43" s="1221"/>
      <c r="AXW43" s="1221"/>
      <c r="AXX43" s="1221"/>
      <c r="AXY43" s="1221"/>
      <c r="AXZ43" s="1221"/>
      <c r="AYA43" s="1221"/>
      <c r="AYB43" s="1221"/>
      <c r="AYC43" s="1221"/>
      <c r="AYD43" s="1221"/>
      <c r="AYE43" s="1221"/>
      <c r="AYF43" s="1221"/>
      <c r="AYG43" s="1221"/>
      <c r="AYH43" s="1221"/>
      <c r="AYI43" s="1221"/>
      <c r="AYJ43" s="1221"/>
      <c r="AYK43" s="1221"/>
      <c r="AYL43" s="1221"/>
      <c r="AYM43" s="1221"/>
      <c r="AYN43" s="1221"/>
      <c r="AYO43" s="1221"/>
      <c r="AYP43" s="1221"/>
      <c r="AYQ43" s="1221"/>
      <c r="AYR43" s="1221"/>
      <c r="AYS43" s="1221"/>
      <c r="AYT43" s="1221"/>
      <c r="AYU43" s="1221"/>
      <c r="AYV43" s="1221"/>
      <c r="AYW43" s="1221"/>
      <c r="AYX43" s="1221"/>
      <c r="AYY43" s="1221"/>
      <c r="AYZ43" s="1221"/>
      <c r="AZA43" s="1221"/>
      <c r="AZB43" s="1221"/>
      <c r="AZC43" s="1221"/>
      <c r="AZD43" s="1221"/>
      <c r="AZE43" s="1221"/>
      <c r="AZF43" s="1221"/>
      <c r="AZG43" s="1221"/>
      <c r="AZH43" s="1221"/>
      <c r="AZI43" s="1221"/>
      <c r="AZJ43" s="1221"/>
      <c r="AZK43" s="1221"/>
      <c r="AZL43" s="1221"/>
      <c r="AZM43" s="1221"/>
      <c r="AZN43" s="1221"/>
      <c r="AZO43" s="1221"/>
      <c r="AZP43" s="1221"/>
      <c r="AZQ43" s="1221"/>
      <c r="AZR43" s="1221"/>
      <c r="AZS43" s="1221"/>
      <c r="AZT43" s="1221"/>
      <c r="AZU43" s="1221"/>
      <c r="AZV43" s="1221"/>
      <c r="AZW43" s="1221"/>
      <c r="AZX43" s="1221"/>
      <c r="AZY43" s="1221"/>
      <c r="AZZ43" s="1221"/>
      <c r="BAA43" s="1221"/>
      <c r="BAB43" s="1221"/>
      <c r="BAC43" s="1221"/>
      <c r="BAD43" s="1221"/>
      <c r="BAE43" s="1221"/>
      <c r="BAF43" s="1221"/>
      <c r="BAG43" s="1221"/>
      <c r="BAH43" s="1221"/>
      <c r="BAI43" s="1221"/>
      <c r="BAJ43" s="1221"/>
      <c r="BAK43" s="1221"/>
      <c r="BAL43" s="1221"/>
      <c r="BAM43" s="1221"/>
      <c r="BAN43" s="1221"/>
      <c r="BAO43" s="1221"/>
      <c r="BAP43" s="1221"/>
      <c r="BAQ43" s="1221"/>
      <c r="BAR43" s="1221"/>
      <c r="BAS43" s="1221"/>
      <c r="BAT43" s="1221"/>
      <c r="BAU43" s="1221"/>
      <c r="BAV43" s="1221"/>
      <c r="BAW43" s="1221"/>
      <c r="BAX43" s="1221"/>
      <c r="BAY43" s="1221"/>
      <c r="BAZ43" s="1221"/>
      <c r="BBA43" s="1221"/>
      <c r="BBB43" s="1221"/>
      <c r="BBC43" s="1221"/>
      <c r="BBD43" s="1221"/>
      <c r="BBE43" s="1221"/>
      <c r="BBF43" s="1221"/>
      <c r="BBG43" s="1221"/>
      <c r="BBH43" s="1221"/>
      <c r="BBI43" s="1221"/>
      <c r="BBJ43" s="1221"/>
      <c r="BBK43" s="1221"/>
      <c r="BBL43" s="1221"/>
      <c r="BBM43" s="1221"/>
      <c r="BBN43" s="1221"/>
      <c r="BBO43" s="1221"/>
      <c r="BBP43" s="1221"/>
      <c r="BBQ43" s="1221"/>
      <c r="BBR43" s="1221"/>
      <c r="BBS43" s="1221"/>
      <c r="BBT43" s="1221"/>
      <c r="BBU43" s="1221"/>
      <c r="BBV43" s="1221"/>
      <c r="BBW43" s="1221"/>
      <c r="BBX43" s="1221"/>
      <c r="BBY43" s="1221"/>
      <c r="BBZ43" s="1221"/>
      <c r="BCA43" s="1221"/>
      <c r="BCB43" s="1221"/>
      <c r="BCC43" s="1221"/>
      <c r="BCD43" s="1221"/>
      <c r="BCE43" s="1221"/>
      <c r="BCF43" s="1221"/>
      <c r="BCG43" s="1221"/>
      <c r="BCH43" s="1221"/>
      <c r="BCI43" s="1221"/>
      <c r="BCJ43" s="1221"/>
      <c r="BCK43" s="1221"/>
      <c r="BCL43" s="1221"/>
      <c r="BCM43" s="1221"/>
      <c r="BCN43" s="1221"/>
      <c r="BCO43" s="1221"/>
      <c r="BCP43" s="1221"/>
      <c r="BCQ43" s="1221"/>
      <c r="BCR43" s="1221"/>
      <c r="BCS43" s="1221"/>
      <c r="BCT43" s="1221"/>
      <c r="BCU43" s="1221"/>
      <c r="BCV43" s="1221"/>
      <c r="BCW43" s="1221"/>
      <c r="BCX43" s="1221"/>
      <c r="BCY43" s="1221"/>
      <c r="BCZ43" s="1221"/>
      <c r="BDA43" s="1221"/>
      <c r="BDB43" s="1221"/>
      <c r="BDC43" s="1221"/>
      <c r="BDD43" s="1221"/>
      <c r="BDE43" s="1221"/>
      <c r="BDF43" s="1221"/>
      <c r="BDG43" s="1221"/>
      <c r="BDH43" s="1221"/>
      <c r="BDI43" s="1221"/>
      <c r="BDJ43" s="1221"/>
      <c r="BDK43" s="1221"/>
      <c r="BDL43" s="1221"/>
      <c r="BDM43" s="1221"/>
      <c r="BDN43" s="1221"/>
      <c r="BDO43" s="1221"/>
      <c r="BDP43" s="1221"/>
      <c r="BDQ43" s="1221"/>
      <c r="BDR43" s="1221"/>
      <c r="BDS43" s="1221"/>
      <c r="BDT43" s="1221"/>
      <c r="BDU43" s="1221"/>
      <c r="BDV43" s="1221"/>
      <c r="BDW43" s="1221"/>
      <c r="BDX43" s="1221"/>
      <c r="BDY43" s="1221"/>
      <c r="BDZ43" s="1221"/>
      <c r="BEA43" s="1221"/>
      <c r="BEB43" s="1221"/>
      <c r="BEC43" s="1221"/>
      <c r="BED43" s="1221"/>
      <c r="BEE43" s="1221"/>
      <c r="BEF43" s="1221"/>
      <c r="BEG43" s="1221"/>
      <c r="BEH43" s="1221"/>
      <c r="BEI43" s="1221"/>
      <c r="BEJ43" s="1221"/>
      <c r="BEK43" s="1221"/>
      <c r="BEL43" s="1221"/>
      <c r="BEM43" s="1221"/>
      <c r="BEN43" s="1221"/>
      <c r="BEO43" s="1221"/>
      <c r="BEP43" s="1221"/>
      <c r="BEQ43" s="1221"/>
      <c r="BER43" s="1221"/>
      <c r="BES43" s="1221"/>
      <c r="BET43" s="1221"/>
      <c r="BEU43" s="1221"/>
      <c r="BEV43" s="1221"/>
      <c r="BEW43" s="1221"/>
      <c r="BEX43" s="1221"/>
      <c r="BEY43" s="1221"/>
      <c r="BEZ43" s="1221"/>
      <c r="BFA43" s="1221"/>
      <c r="BFB43" s="1221"/>
      <c r="BFC43" s="1221"/>
      <c r="BFD43" s="1221"/>
      <c r="BFE43" s="1221"/>
      <c r="BFF43" s="1221"/>
      <c r="BFG43" s="1221"/>
      <c r="BFH43" s="1221"/>
      <c r="BFI43" s="1221"/>
      <c r="BFJ43" s="1221"/>
      <c r="BFK43" s="1221"/>
      <c r="BFL43" s="1221"/>
      <c r="BFM43" s="1221"/>
      <c r="BFN43" s="1221"/>
      <c r="BFO43" s="1221"/>
      <c r="BFP43" s="1221"/>
      <c r="BFQ43" s="1221"/>
      <c r="BFR43" s="1221"/>
      <c r="BFS43" s="1221"/>
      <c r="BFT43" s="1221"/>
      <c r="BFU43" s="1221"/>
      <c r="BFV43" s="1221"/>
      <c r="BFW43" s="1221"/>
      <c r="BFX43" s="1221"/>
      <c r="BFY43" s="1221"/>
      <c r="BFZ43" s="1221"/>
      <c r="BGA43" s="1221"/>
      <c r="BGB43" s="1221"/>
      <c r="BGC43" s="1221"/>
      <c r="BGD43" s="1221"/>
      <c r="BGE43" s="1221"/>
      <c r="BGF43" s="1221"/>
      <c r="BGG43" s="1221"/>
      <c r="BGH43" s="1221"/>
      <c r="BGI43" s="1221"/>
      <c r="BGJ43" s="1221"/>
      <c r="BGK43" s="1221"/>
      <c r="BGL43" s="1221"/>
      <c r="BGM43" s="1221"/>
      <c r="BGN43" s="1221"/>
      <c r="BGO43" s="1221"/>
      <c r="BGP43" s="1221"/>
      <c r="BGQ43" s="1221"/>
      <c r="BGR43" s="1221"/>
      <c r="BGS43" s="1221"/>
      <c r="BGT43" s="1221"/>
      <c r="BGU43" s="1221"/>
      <c r="BGV43" s="1221"/>
      <c r="BGW43" s="1221"/>
      <c r="BGX43" s="1221"/>
      <c r="BGY43" s="1221"/>
      <c r="BGZ43" s="1221"/>
      <c r="BHA43" s="1221"/>
      <c r="BHB43" s="1221"/>
      <c r="BHC43" s="1221"/>
      <c r="BHD43" s="1221"/>
      <c r="BHE43" s="1221"/>
      <c r="BHF43" s="1221"/>
      <c r="BHG43" s="1221"/>
      <c r="BHH43" s="1221"/>
      <c r="BHI43" s="1221"/>
      <c r="BHJ43" s="1221"/>
      <c r="BHK43" s="1221"/>
      <c r="BHL43" s="1221"/>
      <c r="BHM43" s="1221"/>
      <c r="BHN43" s="1221"/>
      <c r="BHO43" s="1221"/>
      <c r="BHP43" s="1221"/>
      <c r="BHQ43" s="1221"/>
      <c r="BHR43" s="1221"/>
      <c r="BHS43" s="1221"/>
      <c r="BHT43" s="1221"/>
      <c r="BHU43" s="1221"/>
      <c r="BHV43" s="1221"/>
      <c r="BHW43" s="1221"/>
      <c r="BHX43" s="1221"/>
      <c r="BHY43" s="1221"/>
      <c r="BHZ43" s="1221"/>
      <c r="BIA43" s="1221"/>
      <c r="BIB43" s="1221"/>
      <c r="BIC43" s="1221"/>
      <c r="BID43" s="1221"/>
      <c r="BIE43" s="1221"/>
      <c r="BIF43" s="1221"/>
      <c r="BIG43" s="1221"/>
      <c r="BIH43" s="1221"/>
      <c r="BII43" s="1221"/>
      <c r="BIJ43" s="1221"/>
      <c r="BIK43" s="1221"/>
      <c r="BIL43" s="1221"/>
      <c r="BIM43" s="1221"/>
      <c r="BIN43" s="1221"/>
      <c r="BIO43" s="1221"/>
      <c r="BIP43" s="1221"/>
      <c r="BIQ43" s="1221"/>
      <c r="BIR43" s="1221"/>
      <c r="BIS43" s="1221"/>
      <c r="BIT43" s="1221"/>
      <c r="BIU43" s="1221"/>
      <c r="BIV43" s="1221"/>
      <c r="BIW43" s="1221"/>
      <c r="BIX43" s="1221"/>
      <c r="BIY43" s="1221"/>
      <c r="BIZ43" s="1221"/>
      <c r="BJA43" s="1221"/>
      <c r="BJB43" s="1221"/>
      <c r="BJC43" s="1221"/>
      <c r="BJD43" s="1221"/>
      <c r="BJE43" s="1221"/>
      <c r="BJF43" s="1221"/>
      <c r="BJG43" s="1221"/>
      <c r="BJH43" s="1221"/>
      <c r="BJI43" s="1221"/>
      <c r="BJJ43" s="1221"/>
      <c r="BJK43" s="1221"/>
      <c r="BJL43" s="1221"/>
      <c r="BJM43" s="1221"/>
      <c r="BJN43" s="1221"/>
      <c r="BJO43" s="1221"/>
      <c r="BJP43" s="1221"/>
      <c r="BJQ43" s="1221"/>
      <c r="BJR43" s="1221"/>
      <c r="BJS43" s="1221"/>
      <c r="BJT43" s="1221"/>
      <c r="BJU43" s="1221"/>
      <c r="BJV43" s="1221"/>
      <c r="BJW43" s="1221"/>
      <c r="BJX43" s="1221"/>
      <c r="BJY43" s="1221"/>
      <c r="BJZ43" s="1221"/>
      <c r="BKA43" s="1221"/>
      <c r="BKB43" s="1221"/>
      <c r="BKC43" s="1221"/>
      <c r="BKD43" s="1221"/>
      <c r="BKE43" s="1221"/>
      <c r="BKF43" s="1221"/>
      <c r="BKG43" s="1221"/>
      <c r="BKH43" s="1221"/>
      <c r="BKI43" s="1221"/>
      <c r="BKJ43" s="1221"/>
      <c r="BKK43" s="1221"/>
      <c r="BKL43" s="1221"/>
      <c r="BKM43" s="1221"/>
      <c r="BKN43" s="1221"/>
      <c r="BKO43" s="1221"/>
      <c r="BKP43" s="1221"/>
      <c r="BKQ43" s="1221"/>
      <c r="BKR43" s="1221"/>
      <c r="BKS43" s="1221"/>
      <c r="BKT43" s="1221"/>
      <c r="BKU43" s="1221"/>
      <c r="BKV43" s="1221"/>
      <c r="BKW43" s="1221"/>
      <c r="BKX43" s="1221"/>
      <c r="BKY43" s="1221"/>
      <c r="BKZ43" s="1221"/>
      <c r="BLA43" s="1221"/>
      <c r="BLB43" s="1221"/>
      <c r="BLC43" s="1221"/>
      <c r="BLD43" s="1221"/>
      <c r="BLE43" s="1221"/>
      <c r="BLF43" s="1221"/>
      <c r="BLG43" s="1221"/>
      <c r="BLH43" s="1221"/>
      <c r="BLI43" s="1221"/>
      <c r="BLJ43" s="1221"/>
      <c r="BLK43" s="1221"/>
      <c r="BLL43" s="1221"/>
      <c r="BLM43" s="1221"/>
      <c r="BLN43" s="1221"/>
      <c r="BLO43" s="1221"/>
      <c r="BLP43" s="1221"/>
      <c r="BLQ43" s="1221"/>
      <c r="BLR43" s="1221"/>
      <c r="BLS43" s="1221"/>
      <c r="BLT43" s="1221"/>
      <c r="BLU43" s="1221"/>
      <c r="BLV43" s="1221"/>
      <c r="BLW43" s="1221"/>
      <c r="BLX43" s="1221"/>
      <c r="BLY43" s="1221"/>
      <c r="BLZ43" s="1221"/>
      <c r="BMA43" s="1221"/>
      <c r="BMB43" s="1221"/>
      <c r="BMC43" s="1221"/>
      <c r="BMD43" s="1221"/>
      <c r="BME43" s="1221"/>
      <c r="BMF43" s="1221"/>
      <c r="BMG43" s="1221"/>
      <c r="BMH43" s="1221"/>
      <c r="BMI43" s="1221"/>
      <c r="BMJ43" s="1221"/>
      <c r="BMK43" s="1221"/>
      <c r="BML43" s="1221"/>
      <c r="BMM43" s="1221"/>
      <c r="BMN43" s="1221"/>
      <c r="BMO43" s="1221"/>
      <c r="BMP43" s="1221"/>
      <c r="BMQ43" s="1221"/>
      <c r="BMR43" s="1221"/>
      <c r="BMS43" s="1221"/>
      <c r="BMT43" s="1221"/>
      <c r="BMU43" s="1221"/>
      <c r="BMV43" s="1221"/>
      <c r="BMW43" s="1221"/>
      <c r="BMX43" s="1221"/>
      <c r="BMY43" s="1221"/>
      <c r="BMZ43" s="1221"/>
      <c r="BNA43" s="1221"/>
      <c r="BNB43" s="1221"/>
      <c r="BNC43" s="1221"/>
      <c r="BND43" s="1221"/>
      <c r="BNE43" s="1221"/>
      <c r="BNF43" s="1221"/>
      <c r="BNG43" s="1221"/>
      <c r="BNH43" s="1221"/>
      <c r="BNI43" s="1221"/>
      <c r="BNJ43" s="1221"/>
      <c r="BNK43" s="1221"/>
      <c r="BNL43" s="1221"/>
      <c r="BNM43" s="1221"/>
      <c r="BNN43" s="1221"/>
      <c r="BNO43" s="1221"/>
      <c r="BNP43" s="1221"/>
      <c r="BNQ43" s="1221"/>
      <c r="BNR43" s="1221"/>
      <c r="BNS43" s="1221"/>
      <c r="BNT43" s="1221"/>
      <c r="BNU43" s="1221"/>
      <c r="BNV43" s="1221"/>
      <c r="BNW43" s="1221"/>
      <c r="BNX43" s="1221"/>
      <c r="BNY43" s="1221"/>
      <c r="BNZ43" s="1221"/>
      <c r="BOA43" s="1221"/>
      <c r="BOB43" s="1221"/>
      <c r="BOC43" s="1221"/>
      <c r="BOD43" s="1221"/>
      <c r="BOE43" s="1221"/>
      <c r="BOF43" s="1221"/>
      <c r="BOG43" s="1221"/>
      <c r="BOH43" s="1221"/>
      <c r="BOI43" s="1221"/>
      <c r="BOJ43" s="1221"/>
      <c r="BOK43" s="1221"/>
      <c r="BOL43" s="1221"/>
      <c r="BOM43" s="1221"/>
      <c r="BON43" s="1221"/>
      <c r="BOO43" s="1221"/>
      <c r="BOP43" s="1221"/>
      <c r="BOQ43" s="1221"/>
      <c r="BOR43" s="1221"/>
      <c r="BOS43" s="1221"/>
      <c r="BOT43" s="1221"/>
      <c r="BOU43" s="1221"/>
      <c r="BOV43" s="1221"/>
      <c r="BOW43" s="1221"/>
      <c r="BOX43" s="1221"/>
      <c r="BOY43" s="1221"/>
      <c r="BOZ43" s="1221"/>
      <c r="BPA43" s="1221"/>
      <c r="BPB43" s="1221"/>
      <c r="BPC43" s="1221"/>
      <c r="BPD43" s="1221"/>
      <c r="BPE43" s="1221"/>
      <c r="BPF43" s="1221"/>
      <c r="BPG43" s="1221"/>
      <c r="BPH43" s="1221"/>
      <c r="BPI43" s="1221"/>
      <c r="BPJ43" s="1221"/>
      <c r="BPK43" s="1221"/>
      <c r="BPL43" s="1221"/>
      <c r="BPM43" s="1221"/>
      <c r="BPN43" s="1221"/>
      <c r="BPO43" s="1221"/>
      <c r="BPP43" s="1221"/>
      <c r="BPQ43" s="1221"/>
      <c r="BPR43" s="1221"/>
      <c r="BPS43" s="1221"/>
      <c r="BPT43" s="1221"/>
      <c r="BPU43" s="1221"/>
      <c r="BPV43" s="1221"/>
      <c r="BPW43" s="1221"/>
      <c r="BPX43" s="1221"/>
      <c r="BPY43" s="1221"/>
      <c r="BPZ43" s="1221"/>
      <c r="BQA43" s="1221"/>
      <c r="BQB43" s="1221"/>
      <c r="BQC43" s="1221"/>
      <c r="BQD43" s="1221"/>
      <c r="BQE43" s="1221"/>
      <c r="BQF43" s="1221"/>
      <c r="BQG43" s="1221"/>
      <c r="BQH43" s="1221"/>
      <c r="BQI43" s="1221"/>
      <c r="BQJ43" s="1221"/>
      <c r="BQK43" s="1221"/>
      <c r="BQL43" s="1221"/>
      <c r="BQM43" s="1221"/>
      <c r="BQN43" s="1221"/>
      <c r="BQO43" s="1221"/>
      <c r="BQP43" s="1221"/>
      <c r="BQQ43" s="1221"/>
      <c r="BQR43" s="1221"/>
      <c r="BQS43" s="1221"/>
      <c r="BQT43" s="1221"/>
      <c r="BQU43" s="1221"/>
      <c r="BQV43" s="1221"/>
      <c r="BQW43" s="1221"/>
      <c r="BQX43" s="1221"/>
      <c r="BQY43" s="1221"/>
      <c r="BQZ43" s="1221"/>
      <c r="BRA43" s="1221"/>
      <c r="BRB43" s="1221"/>
      <c r="BRC43" s="1221"/>
      <c r="BRD43" s="1221"/>
      <c r="BRE43" s="1221"/>
      <c r="BRF43" s="1221"/>
      <c r="BRG43" s="1221"/>
      <c r="BRH43" s="1221"/>
      <c r="BRI43" s="1221"/>
      <c r="BRJ43" s="1221"/>
      <c r="BRK43" s="1221"/>
      <c r="BRL43" s="1221"/>
      <c r="BRM43" s="1221"/>
      <c r="BRN43" s="1221"/>
      <c r="BRO43" s="1221"/>
      <c r="BRP43" s="1221"/>
      <c r="BRQ43" s="1221"/>
      <c r="BRR43" s="1221"/>
      <c r="BRS43" s="1221"/>
      <c r="BRT43" s="1221"/>
      <c r="BRU43" s="1221"/>
      <c r="BRV43" s="1221"/>
      <c r="BRW43" s="1221"/>
      <c r="BRX43" s="1221"/>
      <c r="BRY43" s="1221"/>
      <c r="BRZ43" s="1221"/>
      <c r="BSA43" s="1221"/>
      <c r="BSB43" s="1221"/>
      <c r="BSC43" s="1221"/>
      <c r="BSD43" s="1221"/>
      <c r="BSE43" s="1221"/>
      <c r="BSF43" s="1221"/>
      <c r="BSG43" s="1221"/>
      <c r="BSH43" s="1221"/>
      <c r="BSI43" s="1221"/>
      <c r="BSJ43" s="1221"/>
      <c r="BSK43" s="1221"/>
      <c r="BSL43" s="1221"/>
      <c r="BSM43" s="1221"/>
      <c r="BSN43" s="1221"/>
      <c r="BSO43" s="1221"/>
      <c r="BSP43" s="1221"/>
      <c r="BSQ43" s="1221"/>
      <c r="BSR43" s="1221"/>
      <c r="BSS43" s="1221"/>
      <c r="BST43" s="1221"/>
      <c r="BSU43" s="1221"/>
      <c r="BSV43" s="1221"/>
      <c r="BSW43" s="1221"/>
      <c r="BSX43" s="1221"/>
      <c r="BSY43" s="1221"/>
      <c r="BSZ43" s="1221"/>
      <c r="BTA43" s="1221"/>
      <c r="BTB43" s="1221"/>
      <c r="BTC43" s="1221"/>
      <c r="BTD43" s="1221"/>
      <c r="BTE43" s="1221"/>
      <c r="BTF43" s="1221"/>
      <c r="BTG43" s="1221"/>
      <c r="BTH43" s="1221"/>
      <c r="BTI43" s="1221"/>
      <c r="BTJ43" s="1221"/>
      <c r="BTK43" s="1221"/>
      <c r="BTL43" s="1221"/>
      <c r="BTM43" s="1221"/>
      <c r="BTN43" s="1221"/>
      <c r="BTO43" s="1221"/>
      <c r="BTP43" s="1221"/>
      <c r="BTQ43" s="1221"/>
      <c r="BTR43" s="1221"/>
      <c r="BTS43" s="1221"/>
      <c r="BTT43" s="1221"/>
      <c r="BTU43" s="1221"/>
      <c r="BTV43" s="1221"/>
      <c r="BTW43" s="1221"/>
      <c r="BTX43" s="1221"/>
      <c r="BTY43" s="1221"/>
      <c r="BTZ43" s="1221"/>
      <c r="BUA43" s="1221"/>
      <c r="BUB43" s="1221"/>
      <c r="BUC43" s="1221"/>
      <c r="BUD43" s="1221"/>
      <c r="BUE43" s="1221"/>
      <c r="BUF43" s="1221"/>
      <c r="BUG43" s="1221"/>
      <c r="BUH43" s="1221"/>
      <c r="BUI43" s="1221"/>
      <c r="BUJ43" s="1221"/>
      <c r="BUK43" s="1221"/>
      <c r="BUL43" s="1221"/>
      <c r="BUM43" s="1221"/>
      <c r="BUN43" s="1221"/>
      <c r="BUO43" s="1221"/>
      <c r="BUP43" s="1221"/>
      <c r="BUQ43" s="1221"/>
      <c r="BUR43" s="1221"/>
      <c r="BUS43" s="1221"/>
      <c r="BUT43" s="1221"/>
      <c r="BUU43" s="1221"/>
      <c r="BUV43" s="1221"/>
      <c r="BUW43" s="1221"/>
      <c r="BUX43" s="1221"/>
      <c r="BUY43" s="1221"/>
      <c r="BUZ43" s="1221"/>
      <c r="BVA43" s="1221"/>
      <c r="BVB43" s="1221"/>
      <c r="BVC43" s="1221"/>
      <c r="BVD43" s="1221"/>
      <c r="BVE43" s="1221"/>
      <c r="BVF43" s="1221"/>
      <c r="BVG43" s="1221"/>
      <c r="BVH43" s="1221"/>
      <c r="BVI43" s="1221"/>
      <c r="BVJ43" s="1221"/>
      <c r="BVK43" s="1221"/>
      <c r="BVL43" s="1221"/>
      <c r="BVM43" s="1221"/>
      <c r="BVN43" s="1221"/>
      <c r="BVO43" s="1221"/>
      <c r="BVP43" s="1221"/>
      <c r="BVQ43" s="1221"/>
      <c r="BVR43" s="1221"/>
      <c r="BVS43" s="1221"/>
      <c r="BVT43" s="1221"/>
      <c r="BVU43" s="1221"/>
      <c r="BVV43" s="1221"/>
      <c r="BVW43" s="1221"/>
      <c r="BVX43" s="1221"/>
      <c r="BVY43" s="1221"/>
      <c r="BVZ43" s="1221"/>
      <c r="BWA43" s="1221"/>
      <c r="BWB43" s="1221"/>
      <c r="BWC43" s="1221"/>
      <c r="BWD43" s="1221"/>
      <c r="BWE43" s="1221"/>
      <c r="BWF43" s="1221"/>
      <c r="BWG43" s="1221"/>
      <c r="BWH43" s="1221"/>
      <c r="BWI43" s="1221"/>
      <c r="BWJ43" s="1221"/>
      <c r="BWK43" s="1221"/>
      <c r="BWL43" s="1221"/>
      <c r="BWM43" s="1221"/>
      <c r="BWN43" s="1221"/>
      <c r="BWO43" s="1221"/>
      <c r="BWP43" s="1221"/>
      <c r="BWQ43" s="1221"/>
      <c r="BWR43" s="1221"/>
      <c r="BWS43" s="1221"/>
      <c r="BWT43" s="1221"/>
      <c r="BWU43" s="1221"/>
      <c r="BWV43" s="1221"/>
      <c r="BWW43" s="1221"/>
      <c r="BWX43" s="1221"/>
      <c r="BWY43" s="1221"/>
      <c r="BWZ43" s="1221"/>
      <c r="BXA43" s="1221"/>
      <c r="BXB43" s="1221"/>
      <c r="BXC43" s="1221"/>
      <c r="BXD43" s="1221"/>
      <c r="BXE43" s="1221"/>
      <c r="BXF43" s="1221"/>
      <c r="BXG43" s="1221"/>
      <c r="BXH43" s="1221"/>
      <c r="BXI43" s="1221"/>
      <c r="BXJ43" s="1221"/>
      <c r="BXK43" s="1221"/>
      <c r="BXL43" s="1221"/>
      <c r="BXM43" s="1221"/>
      <c r="BXN43" s="1221"/>
      <c r="BXO43" s="1221"/>
      <c r="BXP43" s="1221"/>
      <c r="BXQ43" s="1221"/>
      <c r="BXR43" s="1221"/>
      <c r="BXS43" s="1221"/>
      <c r="BXT43" s="1221"/>
      <c r="BXU43" s="1221"/>
      <c r="BXV43" s="1221"/>
      <c r="BXW43" s="1221"/>
      <c r="BXX43" s="1221"/>
      <c r="BXY43" s="1221"/>
      <c r="BXZ43" s="1221"/>
      <c r="BYA43" s="1221"/>
      <c r="BYB43" s="1221"/>
      <c r="BYC43" s="1221"/>
      <c r="BYD43" s="1221"/>
      <c r="BYE43" s="1221"/>
      <c r="BYF43" s="1221"/>
      <c r="BYG43" s="1221"/>
      <c r="BYH43" s="1221"/>
      <c r="BYI43" s="1221"/>
      <c r="BYJ43" s="1221"/>
      <c r="BYK43" s="1221"/>
      <c r="BYL43" s="1221"/>
      <c r="BYM43" s="1221"/>
      <c r="BYN43" s="1221"/>
      <c r="BYO43" s="1221"/>
      <c r="BYP43" s="1221"/>
      <c r="BYQ43" s="1221"/>
      <c r="BYR43" s="1221"/>
      <c r="BYS43" s="1221"/>
      <c r="BYT43" s="1221"/>
      <c r="BYU43" s="1221"/>
      <c r="BYV43" s="1221"/>
      <c r="BYW43" s="1221"/>
      <c r="BYX43" s="1221"/>
      <c r="BYY43" s="1221"/>
      <c r="BYZ43" s="1221"/>
      <c r="BZA43" s="1221"/>
      <c r="BZB43" s="1221"/>
      <c r="BZC43" s="1221"/>
      <c r="BZD43" s="1221"/>
      <c r="BZE43" s="1221"/>
      <c r="BZF43" s="1221"/>
      <c r="BZG43" s="1221"/>
      <c r="BZH43" s="1221"/>
      <c r="BZI43" s="1221"/>
      <c r="BZJ43" s="1221"/>
      <c r="BZK43" s="1221"/>
      <c r="BZL43" s="1221"/>
      <c r="BZM43" s="1221"/>
      <c r="BZN43" s="1221"/>
      <c r="BZO43" s="1221"/>
      <c r="BZP43" s="1221"/>
      <c r="BZQ43" s="1221"/>
      <c r="BZR43" s="1221"/>
      <c r="BZS43" s="1221"/>
      <c r="BZT43" s="1221"/>
      <c r="BZU43" s="1221"/>
      <c r="BZV43" s="1221"/>
      <c r="BZW43" s="1221"/>
      <c r="BZX43" s="1221"/>
      <c r="BZY43" s="1221"/>
      <c r="BZZ43" s="1221"/>
      <c r="CAA43" s="1221"/>
      <c r="CAB43" s="1221"/>
      <c r="CAC43" s="1221"/>
      <c r="CAD43" s="1221"/>
      <c r="CAE43" s="1221"/>
      <c r="CAF43" s="1221"/>
      <c r="CAG43" s="1221"/>
      <c r="CAH43" s="1221"/>
      <c r="CAI43" s="1221"/>
      <c r="CAJ43" s="1221"/>
      <c r="CAK43" s="1221"/>
      <c r="CAL43" s="1221"/>
      <c r="CAM43" s="1221"/>
      <c r="CAN43" s="1221"/>
      <c r="CAO43" s="1221"/>
      <c r="CAP43" s="1221"/>
      <c r="CAQ43" s="1221"/>
      <c r="CAR43" s="1221"/>
      <c r="CAS43" s="1221"/>
      <c r="CAT43" s="1221"/>
      <c r="CAU43" s="1221"/>
      <c r="CAV43" s="1221"/>
      <c r="CAW43" s="1221"/>
      <c r="CAX43" s="1221"/>
      <c r="CAY43" s="1221"/>
      <c r="CAZ43" s="1221"/>
      <c r="CBA43" s="1221"/>
      <c r="CBB43" s="1221"/>
      <c r="CBC43" s="1221"/>
      <c r="CBD43" s="1221"/>
      <c r="CBE43" s="1221"/>
      <c r="CBF43" s="1221"/>
      <c r="CBG43" s="1221"/>
      <c r="CBH43" s="1221"/>
      <c r="CBI43" s="1221"/>
      <c r="CBJ43" s="1221"/>
      <c r="CBK43" s="1221"/>
      <c r="CBL43" s="1221"/>
      <c r="CBM43" s="1221"/>
      <c r="CBN43" s="1221"/>
      <c r="CBO43" s="1221"/>
      <c r="CBP43" s="1221"/>
      <c r="CBQ43" s="1221"/>
      <c r="CBR43" s="1221"/>
      <c r="CBS43" s="1221"/>
      <c r="CBT43" s="1221"/>
      <c r="CBU43" s="1221"/>
      <c r="CBV43" s="1221"/>
      <c r="CBW43" s="1221"/>
      <c r="CBX43" s="1221"/>
      <c r="CBY43" s="1221"/>
      <c r="CBZ43" s="1221"/>
      <c r="CCA43" s="1221"/>
      <c r="CCB43" s="1221"/>
      <c r="CCC43" s="1221"/>
      <c r="CCD43" s="1221"/>
      <c r="CCE43" s="1221"/>
      <c r="CCF43" s="1221"/>
      <c r="CCG43" s="1221"/>
      <c r="CCH43" s="1221"/>
      <c r="CCI43" s="1221"/>
      <c r="CCJ43" s="1221"/>
      <c r="CCK43" s="1221"/>
      <c r="CCL43" s="1221"/>
      <c r="CCM43" s="1221"/>
      <c r="CCN43" s="1221"/>
      <c r="CCO43" s="1221"/>
      <c r="CCP43" s="1221"/>
      <c r="CCQ43" s="1221"/>
      <c r="CCR43" s="1221"/>
      <c r="CCS43" s="1221"/>
      <c r="CCT43" s="1221"/>
      <c r="CCU43" s="1221"/>
      <c r="CCV43" s="1221"/>
      <c r="CCW43" s="1221"/>
      <c r="CCX43" s="1221"/>
      <c r="CCY43" s="1221"/>
      <c r="CCZ43" s="1221"/>
      <c r="CDA43" s="1221"/>
      <c r="CDB43" s="1221"/>
      <c r="CDC43" s="1221"/>
      <c r="CDD43" s="1221"/>
      <c r="CDE43" s="1221"/>
      <c r="CDF43" s="1221"/>
      <c r="CDG43" s="1221"/>
      <c r="CDH43" s="1221"/>
      <c r="CDI43" s="1221"/>
      <c r="CDJ43" s="1221"/>
      <c r="CDK43" s="1221"/>
      <c r="CDL43" s="1221"/>
      <c r="CDM43" s="1221"/>
      <c r="CDN43" s="1221"/>
      <c r="CDO43" s="1221"/>
      <c r="CDP43" s="1221"/>
      <c r="CDQ43" s="1221"/>
      <c r="CDR43" s="1221"/>
      <c r="CDS43" s="1221"/>
      <c r="CDT43" s="1221"/>
      <c r="CDU43" s="1221"/>
      <c r="CDV43" s="1221"/>
      <c r="CDW43" s="1221"/>
      <c r="CDX43" s="1221"/>
      <c r="CDY43" s="1221"/>
      <c r="CDZ43" s="1221"/>
      <c r="CEA43" s="1221"/>
      <c r="CEB43" s="1221"/>
      <c r="CEC43" s="1221"/>
      <c r="CED43" s="1221"/>
      <c r="CEE43" s="1221"/>
      <c r="CEF43" s="1221"/>
      <c r="CEG43" s="1221"/>
      <c r="CEH43" s="1221"/>
      <c r="CEI43" s="1221"/>
      <c r="CEJ43" s="1221"/>
      <c r="CEK43" s="1221"/>
      <c r="CEL43" s="1221"/>
      <c r="CEM43" s="1221"/>
      <c r="CEN43" s="1221"/>
      <c r="CEO43" s="1221"/>
      <c r="CEP43" s="1221"/>
      <c r="CEQ43" s="1221"/>
      <c r="CER43" s="1221"/>
      <c r="CES43" s="1221"/>
      <c r="CET43" s="1221"/>
      <c r="CEU43" s="1221"/>
      <c r="CEV43" s="1221"/>
      <c r="CEW43" s="1221"/>
      <c r="CEX43" s="1221"/>
      <c r="CEY43" s="1221"/>
      <c r="CEZ43" s="1221"/>
      <c r="CFA43" s="1221"/>
      <c r="CFB43" s="1221"/>
      <c r="CFC43" s="1221"/>
      <c r="CFD43" s="1221"/>
      <c r="CFE43" s="1221"/>
      <c r="CFF43" s="1221"/>
      <c r="CFG43" s="1221"/>
      <c r="CFH43" s="1221"/>
      <c r="CFI43" s="1221"/>
      <c r="CFJ43" s="1221"/>
      <c r="CFK43" s="1221"/>
      <c r="CFL43" s="1221"/>
      <c r="CFM43" s="1221"/>
      <c r="CFN43" s="1221"/>
      <c r="CFO43" s="1221"/>
      <c r="CFP43" s="1221"/>
      <c r="CFQ43" s="1221"/>
      <c r="CFR43" s="1221"/>
      <c r="CFS43" s="1221"/>
      <c r="CFT43" s="1221"/>
      <c r="CFU43" s="1221"/>
      <c r="CFV43" s="1221"/>
      <c r="CFW43" s="1221"/>
      <c r="CFX43" s="1221"/>
      <c r="CFY43" s="1221"/>
      <c r="CFZ43" s="1221"/>
      <c r="CGA43" s="1221"/>
      <c r="CGB43" s="1221"/>
      <c r="CGC43" s="1221"/>
      <c r="CGD43" s="1221"/>
      <c r="CGE43" s="1221"/>
      <c r="CGF43" s="1221"/>
      <c r="CGG43" s="1221"/>
      <c r="CGH43" s="1221"/>
      <c r="CGI43" s="1221"/>
      <c r="CGJ43" s="1221"/>
      <c r="CGK43" s="1221"/>
      <c r="CGL43" s="1221"/>
      <c r="CGM43" s="1221"/>
      <c r="CGN43" s="1221"/>
      <c r="CGO43" s="1221"/>
      <c r="CGP43" s="1221"/>
      <c r="CGQ43" s="1221"/>
      <c r="CGR43" s="1221"/>
      <c r="CGS43" s="1221"/>
      <c r="CGT43" s="1221"/>
      <c r="CGU43" s="1221"/>
      <c r="CGV43" s="1221"/>
      <c r="CGW43" s="1221"/>
      <c r="CGX43" s="1221"/>
      <c r="CGY43" s="1221"/>
      <c r="CGZ43" s="1221"/>
      <c r="CHA43" s="1221"/>
      <c r="CHB43" s="1221"/>
      <c r="CHC43" s="1221"/>
      <c r="CHD43" s="1221"/>
      <c r="CHE43" s="1221"/>
      <c r="CHF43" s="1221"/>
      <c r="CHG43" s="1221"/>
      <c r="CHH43" s="1221"/>
      <c r="CHI43" s="1221"/>
      <c r="CHJ43" s="1221"/>
      <c r="CHK43" s="1221"/>
      <c r="CHL43" s="1221"/>
      <c r="CHM43" s="1221"/>
      <c r="CHN43" s="1221"/>
      <c r="CHO43" s="1221"/>
      <c r="CHP43" s="1221"/>
      <c r="CHQ43" s="1221"/>
      <c r="CHR43" s="1221"/>
      <c r="CHS43" s="1221"/>
      <c r="CHT43" s="1221"/>
      <c r="CHU43" s="1221"/>
      <c r="CHV43" s="1221"/>
      <c r="CHW43" s="1221"/>
      <c r="CHX43" s="1221"/>
      <c r="CHY43" s="1221"/>
      <c r="CHZ43" s="1221"/>
      <c r="CIA43" s="1221"/>
      <c r="CIB43" s="1221"/>
      <c r="CIC43" s="1221"/>
      <c r="CID43" s="1221"/>
      <c r="CIE43" s="1221"/>
      <c r="CIF43" s="1221"/>
      <c r="CIG43" s="1221"/>
      <c r="CIH43" s="1221"/>
      <c r="CII43" s="1221"/>
      <c r="CIJ43" s="1221"/>
      <c r="CIK43" s="1221"/>
      <c r="CIL43" s="1221"/>
      <c r="CIM43" s="1221"/>
      <c r="CIN43" s="1221"/>
      <c r="CIO43" s="1221"/>
      <c r="CIP43" s="1221"/>
      <c r="CIQ43" s="1221"/>
      <c r="CIR43" s="1221"/>
      <c r="CIS43" s="1221"/>
      <c r="CIT43" s="1221"/>
      <c r="CIU43" s="1221"/>
      <c r="CIV43" s="1221"/>
      <c r="CIW43" s="1221"/>
      <c r="CIX43" s="1221"/>
      <c r="CIY43" s="1221"/>
      <c r="CIZ43" s="1221"/>
      <c r="CJA43" s="1221"/>
      <c r="CJB43" s="1221"/>
      <c r="CJC43" s="1221"/>
      <c r="CJD43" s="1221"/>
      <c r="CJE43" s="1221"/>
      <c r="CJF43" s="1221"/>
      <c r="CJG43" s="1221"/>
      <c r="CJH43" s="1221"/>
      <c r="CJI43" s="1221"/>
      <c r="CJJ43" s="1221"/>
      <c r="CJK43" s="1221"/>
      <c r="CJL43" s="1221"/>
      <c r="CJM43" s="1221"/>
      <c r="CJN43" s="1221"/>
      <c r="CJO43" s="1221"/>
      <c r="CJP43" s="1221"/>
      <c r="CJQ43" s="1221"/>
      <c r="CJR43" s="1221"/>
      <c r="CJS43" s="1221"/>
      <c r="CJT43" s="1221"/>
      <c r="CJU43" s="1221"/>
      <c r="CJV43" s="1221"/>
      <c r="CJW43" s="1221"/>
      <c r="CJX43" s="1221"/>
      <c r="CJY43" s="1221"/>
      <c r="CJZ43" s="1221"/>
      <c r="CKA43" s="1221"/>
      <c r="CKB43" s="1221"/>
      <c r="CKC43" s="1221"/>
      <c r="CKD43" s="1221"/>
      <c r="CKE43" s="1221"/>
      <c r="CKF43" s="1221"/>
      <c r="CKG43" s="1221"/>
      <c r="CKH43" s="1221"/>
      <c r="CKI43" s="1221"/>
      <c r="CKJ43" s="1221"/>
      <c r="CKK43" s="1221"/>
      <c r="CKL43" s="1221"/>
      <c r="CKM43" s="1221"/>
      <c r="CKN43" s="1221"/>
      <c r="CKO43" s="1221"/>
      <c r="CKP43" s="1221"/>
      <c r="CKQ43" s="1221"/>
      <c r="CKR43" s="1221"/>
      <c r="CKS43" s="1221"/>
      <c r="CKT43" s="1221"/>
      <c r="CKU43" s="1221"/>
      <c r="CKV43" s="1221"/>
      <c r="CKW43" s="1221"/>
      <c r="CKX43" s="1221"/>
      <c r="CKY43" s="1221"/>
      <c r="CKZ43" s="1221"/>
      <c r="CLA43" s="1221"/>
      <c r="CLB43" s="1221"/>
      <c r="CLC43" s="1221"/>
      <c r="CLD43" s="1221"/>
      <c r="CLE43" s="1221"/>
      <c r="CLF43" s="1221"/>
      <c r="CLG43" s="1221"/>
      <c r="CLH43" s="1221"/>
      <c r="CLI43" s="1221"/>
      <c r="CLJ43" s="1221"/>
      <c r="CLK43" s="1221"/>
      <c r="CLL43" s="1221"/>
      <c r="CLM43" s="1221"/>
      <c r="CLN43" s="1221"/>
      <c r="CLO43" s="1221"/>
      <c r="CLP43" s="1221"/>
      <c r="CLQ43" s="1221"/>
      <c r="CLR43" s="1221"/>
      <c r="CLS43" s="1221"/>
      <c r="CLT43" s="1221"/>
      <c r="CLU43" s="1221"/>
      <c r="CLV43" s="1221"/>
      <c r="CLW43" s="1221"/>
      <c r="CLX43" s="1221"/>
      <c r="CLY43" s="1221"/>
      <c r="CLZ43" s="1221"/>
      <c r="CMA43" s="1221"/>
      <c r="CMB43" s="1221"/>
      <c r="CMC43" s="1221"/>
      <c r="CMD43" s="1221"/>
      <c r="CME43" s="1221"/>
      <c r="CMF43" s="1221"/>
      <c r="CMG43" s="1221"/>
      <c r="CMH43" s="1221"/>
      <c r="CMI43" s="1221"/>
      <c r="CMJ43" s="1221"/>
      <c r="CMK43" s="1221"/>
      <c r="CML43" s="1221"/>
      <c r="CMM43" s="1221"/>
      <c r="CMN43" s="1221"/>
      <c r="CMO43" s="1221"/>
      <c r="CMP43" s="1221"/>
      <c r="CMQ43" s="1221"/>
      <c r="CMR43" s="1221"/>
      <c r="CMS43" s="1221"/>
      <c r="CMT43" s="1221"/>
      <c r="CMU43" s="1221"/>
      <c r="CMV43" s="1221"/>
      <c r="CMW43" s="1221"/>
      <c r="CMX43" s="1221"/>
      <c r="CMY43" s="1221"/>
      <c r="CMZ43" s="1221"/>
      <c r="CNA43" s="1221"/>
      <c r="CNB43" s="1221"/>
      <c r="CNC43" s="1221"/>
      <c r="CND43" s="1221"/>
      <c r="CNE43" s="1221"/>
      <c r="CNF43" s="1221"/>
      <c r="CNG43" s="1221"/>
      <c r="CNH43" s="1221"/>
      <c r="CNI43" s="1221"/>
      <c r="CNJ43" s="1221"/>
      <c r="CNK43" s="1221"/>
      <c r="CNL43" s="1221"/>
      <c r="CNM43" s="1221"/>
      <c r="CNN43" s="1221"/>
      <c r="CNO43" s="1221"/>
      <c r="CNP43" s="1221"/>
      <c r="CNQ43" s="1221"/>
      <c r="CNR43" s="1221"/>
      <c r="CNS43" s="1221"/>
      <c r="CNT43" s="1221"/>
      <c r="CNU43" s="1221"/>
      <c r="CNV43" s="1221"/>
      <c r="CNW43" s="1221"/>
      <c r="CNX43" s="1221"/>
      <c r="CNY43" s="1221"/>
      <c r="CNZ43" s="1221"/>
      <c r="COA43" s="1221"/>
      <c r="COB43" s="1221"/>
      <c r="COC43" s="1221"/>
      <c r="COD43" s="1221"/>
      <c r="COE43" s="1221"/>
      <c r="COF43" s="1221"/>
      <c r="COG43" s="1221"/>
      <c r="COH43" s="1221"/>
      <c r="COI43" s="1221"/>
      <c r="COJ43" s="1221"/>
      <c r="COK43" s="1221"/>
      <c r="COL43" s="1221"/>
      <c r="COM43" s="1221"/>
      <c r="CON43" s="1221"/>
      <c r="COO43" s="1221"/>
      <c r="COP43" s="1221"/>
      <c r="COQ43" s="1221"/>
      <c r="COR43" s="1221"/>
      <c r="COS43" s="1221"/>
      <c r="COT43" s="1221"/>
      <c r="COU43" s="1221"/>
      <c r="COV43" s="1221"/>
      <c r="COW43" s="1221"/>
      <c r="COX43" s="1221"/>
      <c r="COY43" s="1221"/>
      <c r="COZ43" s="1221"/>
      <c r="CPA43" s="1221"/>
      <c r="CPB43" s="1221"/>
      <c r="CPC43" s="1221"/>
      <c r="CPD43" s="1221"/>
      <c r="CPE43" s="1221"/>
      <c r="CPF43" s="1221"/>
      <c r="CPG43" s="1221"/>
      <c r="CPH43" s="1221"/>
      <c r="CPI43" s="1221"/>
      <c r="CPJ43" s="1221"/>
      <c r="CPK43" s="1221"/>
      <c r="CPL43" s="1221"/>
      <c r="CPM43" s="1221"/>
      <c r="CPN43" s="1221"/>
      <c r="CPO43" s="1221"/>
      <c r="CPP43" s="1221"/>
      <c r="CPQ43" s="1221"/>
      <c r="CPR43" s="1221"/>
      <c r="CPS43" s="1221"/>
      <c r="CPT43" s="1221"/>
      <c r="CPU43" s="1221"/>
      <c r="CPV43" s="1221"/>
      <c r="CPW43" s="1221"/>
      <c r="CPX43" s="1221"/>
      <c r="CPY43" s="1221"/>
      <c r="CPZ43" s="1221"/>
      <c r="CQA43" s="1221"/>
      <c r="CQB43" s="1221"/>
      <c r="CQC43" s="1221"/>
      <c r="CQD43" s="1221"/>
      <c r="CQE43" s="1221"/>
      <c r="CQF43" s="1221"/>
      <c r="CQG43" s="1221"/>
      <c r="CQH43" s="1221"/>
      <c r="CQI43" s="1221"/>
      <c r="CQJ43" s="1221"/>
      <c r="CQK43" s="1221"/>
      <c r="CQL43" s="1221"/>
      <c r="CQM43" s="1221"/>
      <c r="CQN43" s="1221"/>
      <c r="CQO43" s="1221"/>
      <c r="CQP43" s="1221"/>
      <c r="CQQ43" s="1221"/>
      <c r="CQR43" s="1221"/>
      <c r="CQS43" s="1221"/>
      <c r="CQT43" s="1221"/>
      <c r="CQU43" s="1221"/>
      <c r="CQV43" s="1221"/>
      <c r="CQW43" s="1221"/>
      <c r="CQX43" s="1221"/>
      <c r="CQY43" s="1221"/>
      <c r="CQZ43" s="1221"/>
      <c r="CRA43" s="1221"/>
      <c r="CRB43" s="1221"/>
      <c r="CRC43" s="1221"/>
      <c r="CRD43" s="1221"/>
      <c r="CRE43" s="1221"/>
      <c r="CRF43" s="1221"/>
      <c r="CRG43" s="1221"/>
      <c r="CRH43" s="1221"/>
      <c r="CRI43" s="1221"/>
      <c r="CRJ43" s="1221"/>
      <c r="CRK43" s="1221"/>
      <c r="CRL43" s="1221"/>
      <c r="CRM43" s="1221"/>
      <c r="CRN43" s="1221"/>
      <c r="CRO43" s="1221"/>
      <c r="CRP43" s="1221"/>
      <c r="CRQ43" s="1221"/>
      <c r="CRR43" s="1221"/>
      <c r="CRS43" s="1221"/>
      <c r="CRT43" s="1221"/>
      <c r="CRU43" s="1221"/>
      <c r="CRV43" s="1221"/>
      <c r="CRW43" s="1221"/>
      <c r="CRX43" s="1221"/>
      <c r="CRY43" s="1221"/>
      <c r="CRZ43" s="1221"/>
      <c r="CSA43" s="1221"/>
      <c r="CSB43" s="1221"/>
      <c r="CSC43" s="1221"/>
      <c r="CSD43" s="1221"/>
      <c r="CSE43" s="1221"/>
      <c r="CSF43" s="1221"/>
      <c r="CSG43" s="1221"/>
      <c r="CSH43" s="1221"/>
      <c r="CSI43" s="1221"/>
      <c r="CSJ43" s="1221"/>
      <c r="CSK43" s="1221"/>
      <c r="CSL43" s="1221"/>
      <c r="CSM43" s="1221"/>
      <c r="CSN43" s="1221"/>
      <c r="CSO43" s="1221"/>
      <c r="CSP43" s="1221"/>
      <c r="CSQ43" s="1221"/>
      <c r="CSR43" s="1221"/>
      <c r="CSS43" s="1221"/>
      <c r="CST43" s="1221"/>
      <c r="CSU43" s="1221"/>
      <c r="CSV43" s="1221"/>
      <c r="CSW43" s="1221"/>
      <c r="CSX43" s="1221"/>
      <c r="CSY43" s="1221"/>
      <c r="CSZ43" s="1221"/>
      <c r="CTA43" s="1221"/>
      <c r="CTB43" s="1221"/>
      <c r="CTC43" s="1221"/>
      <c r="CTD43" s="1221"/>
      <c r="CTE43" s="1221"/>
      <c r="CTF43" s="1221"/>
      <c r="CTG43" s="1221"/>
      <c r="CTH43" s="1221"/>
      <c r="CTI43" s="1221"/>
      <c r="CTJ43" s="1221"/>
      <c r="CTK43" s="1221"/>
      <c r="CTL43" s="1221"/>
      <c r="CTM43" s="1221"/>
      <c r="CTN43" s="1221"/>
      <c r="CTO43" s="1221"/>
      <c r="CTP43" s="1221"/>
      <c r="CTQ43" s="1221"/>
      <c r="CTR43" s="1221"/>
      <c r="CTS43" s="1221"/>
      <c r="CTT43" s="1221"/>
      <c r="CTU43" s="1221"/>
      <c r="CTV43" s="1221"/>
      <c r="CTW43" s="1221"/>
      <c r="CTX43" s="1221"/>
      <c r="CTY43" s="1221"/>
      <c r="CTZ43" s="1221"/>
      <c r="CUA43" s="1221"/>
      <c r="CUB43" s="1221"/>
      <c r="CUC43" s="1221"/>
      <c r="CUD43" s="1221"/>
      <c r="CUE43" s="1221"/>
      <c r="CUF43" s="1221"/>
      <c r="CUG43" s="1221"/>
      <c r="CUH43" s="1221"/>
      <c r="CUI43" s="1221"/>
      <c r="CUJ43" s="1221"/>
      <c r="CUK43" s="1221"/>
      <c r="CUL43" s="1221"/>
      <c r="CUM43" s="1221"/>
      <c r="CUN43" s="1221"/>
      <c r="CUO43" s="1221"/>
      <c r="CUP43" s="1221"/>
      <c r="CUQ43" s="1221"/>
      <c r="CUR43" s="1221"/>
      <c r="CUS43" s="1221"/>
      <c r="CUT43" s="1221"/>
      <c r="CUU43" s="1221"/>
      <c r="CUV43" s="1221"/>
      <c r="CUW43" s="1221"/>
      <c r="CUX43" s="1221"/>
      <c r="CUY43" s="1221"/>
      <c r="CUZ43" s="1221"/>
      <c r="CVA43" s="1221"/>
      <c r="CVB43" s="1221"/>
      <c r="CVC43" s="1221"/>
      <c r="CVD43" s="1221"/>
      <c r="CVE43" s="1221"/>
      <c r="CVF43" s="1221"/>
      <c r="CVG43" s="1221"/>
      <c r="CVH43" s="1221"/>
      <c r="CVI43" s="1221"/>
      <c r="CVJ43" s="1221"/>
      <c r="CVK43" s="1221"/>
      <c r="CVL43" s="1221"/>
      <c r="CVM43" s="1221"/>
      <c r="CVN43" s="1221"/>
      <c r="CVO43" s="1221"/>
      <c r="CVP43" s="1221"/>
      <c r="CVQ43" s="1221"/>
      <c r="CVR43" s="1221"/>
      <c r="CVS43" s="1221"/>
      <c r="CVT43" s="1221"/>
      <c r="CVU43" s="1221"/>
      <c r="CVV43" s="1221"/>
      <c r="CVW43" s="1221"/>
      <c r="CVX43" s="1221"/>
      <c r="CVY43" s="1221"/>
      <c r="CVZ43" s="1221"/>
      <c r="CWA43" s="1221"/>
      <c r="CWB43" s="1221"/>
      <c r="CWC43" s="1221"/>
      <c r="CWD43" s="1221"/>
      <c r="CWE43" s="1221"/>
      <c r="CWF43" s="1221"/>
      <c r="CWG43" s="1221"/>
      <c r="CWH43" s="1221"/>
      <c r="CWI43" s="1221"/>
      <c r="CWJ43" s="1221"/>
      <c r="CWK43" s="1221"/>
      <c r="CWL43" s="1221"/>
      <c r="CWM43" s="1221"/>
      <c r="CWN43" s="1221"/>
      <c r="CWO43" s="1221"/>
      <c r="CWP43" s="1221"/>
      <c r="CWQ43" s="1221"/>
      <c r="CWR43" s="1221"/>
      <c r="CWS43" s="1221"/>
      <c r="CWT43" s="1221"/>
      <c r="CWU43" s="1221"/>
      <c r="CWV43" s="1221"/>
      <c r="CWW43" s="1221"/>
      <c r="CWX43" s="1221"/>
      <c r="CWY43" s="1221"/>
      <c r="CWZ43" s="1221"/>
      <c r="CXA43" s="1221"/>
      <c r="CXB43" s="1221"/>
      <c r="CXC43" s="1221"/>
      <c r="CXD43" s="1221"/>
      <c r="CXE43" s="1221"/>
      <c r="CXF43" s="1221"/>
      <c r="CXG43" s="1221"/>
      <c r="CXH43" s="1221"/>
      <c r="CXI43" s="1221"/>
      <c r="CXJ43" s="1221"/>
      <c r="CXK43" s="1221"/>
      <c r="CXL43" s="1221"/>
      <c r="CXM43" s="1221"/>
      <c r="CXN43" s="1221"/>
      <c r="CXO43" s="1221"/>
      <c r="CXP43" s="1221"/>
      <c r="CXQ43" s="1221"/>
      <c r="CXR43" s="1221"/>
      <c r="CXS43" s="1221"/>
      <c r="CXT43" s="1221"/>
      <c r="CXU43" s="1221"/>
      <c r="CXV43" s="1221"/>
      <c r="CXW43" s="1221"/>
      <c r="CXX43" s="1221"/>
      <c r="CXY43" s="1221"/>
      <c r="CXZ43" s="1221"/>
      <c r="CYA43" s="1221"/>
      <c r="CYB43" s="1221"/>
      <c r="CYC43" s="1221"/>
      <c r="CYD43" s="1221"/>
      <c r="CYE43" s="1221"/>
      <c r="CYF43" s="1221"/>
      <c r="CYG43" s="1221"/>
      <c r="CYH43" s="1221"/>
      <c r="CYI43" s="1221"/>
      <c r="CYJ43" s="1221"/>
      <c r="CYK43" s="1221"/>
      <c r="CYL43" s="1221"/>
      <c r="CYM43" s="1221"/>
      <c r="CYN43" s="1221"/>
      <c r="CYO43" s="1221"/>
      <c r="CYP43" s="1221"/>
      <c r="CYQ43" s="1221"/>
      <c r="CYR43" s="1221"/>
      <c r="CYS43" s="1221"/>
      <c r="CYT43" s="1221"/>
      <c r="CYU43" s="1221"/>
      <c r="CYV43" s="1221"/>
      <c r="CYW43" s="1221"/>
      <c r="CYX43" s="1221"/>
      <c r="CYY43" s="1221"/>
      <c r="CYZ43" s="1221"/>
      <c r="CZA43" s="1221"/>
      <c r="CZB43" s="1221"/>
      <c r="CZC43" s="1221"/>
      <c r="CZD43" s="1221"/>
      <c r="CZE43" s="1221"/>
      <c r="CZF43" s="1221"/>
      <c r="CZG43" s="1221"/>
      <c r="CZH43" s="1221"/>
      <c r="CZI43" s="1221"/>
      <c r="CZJ43" s="1221"/>
      <c r="CZK43" s="1221"/>
      <c r="CZL43" s="1221"/>
      <c r="CZM43" s="1221"/>
      <c r="CZN43" s="1221"/>
      <c r="CZO43" s="1221"/>
      <c r="CZP43" s="1221"/>
      <c r="CZQ43" s="1221"/>
      <c r="CZR43" s="1221"/>
      <c r="CZS43" s="1221"/>
      <c r="CZT43" s="1221"/>
      <c r="CZU43" s="1221"/>
      <c r="CZV43" s="1221"/>
      <c r="CZW43" s="1221"/>
      <c r="CZX43" s="1221"/>
      <c r="CZY43" s="1221"/>
      <c r="CZZ43" s="1221"/>
      <c r="DAA43" s="1221"/>
      <c r="DAB43" s="1221"/>
      <c r="DAC43" s="1221"/>
      <c r="DAD43" s="1221"/>
      <c r="DAE43" s="1221"/>
      <c r="DAF43" s="1221"/>
      <c r="DAG43" s="1221"/>
      <c r="DAH43" s="1221"/>
      <c r="DAI43" s="1221"/>
      <c r="DAJ43" s="1221"/>
      <c r="DAK43" s="1221"/>
      <c r="DAL43" s="1221"/>
      <c r="DAM43" s="1221"/>
      <c r="DAN43" s="1221"/>
      <c r="DAO43" s="1221"/>
      <c r="DAP43" s="1221"/>
      <c r="DAQ43" s="1221"/>
      <c r="DAR43" s="1221"/>
      <c r="DAS43" s="1221"/>
      <c r="DAT43" s="1221"/>
      <c r="DAU43" s="1221"/>
      <c r="DAV43" s="1221"/>
      <c r="DAW43" s="1221"/>
      <c r="DAX43" s="1221"/>
      <c r="DAY43" s="1221"/>
      <c r="DAZ43" s="1221"/>
      <c r="DBA43" s="1221"/>
      <c r="DBB43" s="1221"/>
      <c r="DBC43" s="1221"/>
      <c r="DBD43" s="1221"/>
      <c r="DBE43" s="1221"/>
      <c r="DBF43" s="1221"/>
      <c r="DBG43" s="1221"/>
      <c r="DBH43" s="1221"/>
      <c r="DBI43" s="1221"/>
      <c r="DBJ43" s="1221"/>
      <c r="DBK43" s="1221"/>
      <c r="DBL43" s="1221"/>
      <c r="DBM43" s="1221"/>
      <c r="DBN43" s="1221"/>
      <c r="DBO43" s="1221"/>
      <c r="DBP43" s="1221"/>
      <c r="DBQ43" s="1221"/>
      <c r="DBR43" s="1221"/>
      <c r="DBS43" s="1221"/>
      <c r="DBT43" s="1221"/>
      <c r="DBU43" s="1221"/>
      <c r="DBV43" s="1221"/>
      <c r="DBW43" s="1221"/>
      <c r="DBX43" s="1221"/>
      <c r="DBY43" s="1221"/>
      <c r="DBZ43" s="1221"/>
      <c r="DCA43" s="1221"/>
      <c r="DCB43" s="1221"/>
      <c r="DCC43" s="1221"/>
      <c r="DCD43" s="1221"/>
      <c r="DCE43" s="1221"/>
      <c r="DCF43" s="1221"/>
      <c r="DCG43" s="1221"/>
      <c r="DCH43" s="1221"/>
      <c r="DCI43" s="1221"/>
      <c r="DCJ43" s="1221"/>
      <c r="DCK43" s="1221"/>
      <c r="DCL43" s="1221"/>
      <c r="DCM43" s="1221"/>
      <c r="DCN43" s="1221"/>
      <c r="DCO43" s="1221"/>
      <c r="DCP43" s="1221"/>
      <c r="DCQ43" s="1221"/>
      <c r="DCR43" s="1221"/>
      <c r="DCS43" s="1221"/>
      <c r="DCT43" s="1221"/>
      <c r="DCU43" s="1221"/>
      <c r="DCV43" s="1221"/>
      <c r="DCW43" s="1221"/>
      <c r="DCX43" s="1221"/>
      <c r="DCY43" s="1221"/>
      <c r="DCZ43" s="1221"/>
      <c r="DDA43" s="1221"/>
      <c r="DDB43" s="1221"/>
      <c r="DDC43" s="1221"/>
      <c r="DDD43" s="1221"/>
      <c r="DDE43" s="1221"/>
      <c r="DDF43" s="1221"/>
      <c r="DDG43" s="1221"/>
      <c r="DDH43" s="1221"/>
      <c r="DDI43" s="1221"/>
      <c r="DDJ43" s="1221"/>
      <c r="DDK43" s="1221"/>
      <c r="DDL43" s="1221"/>
      <c r="DDM43" s="1221"/>
      <c r="DDN43" s="1221"/>
      <c r="DDO43" s="1221"/>
      <c r="DDP43" s="1221"/>
      <c r="DDQ43" s="1221"/>
      <c r="DDR43" s="1221"/>
      <c r="DDS43" s="1221"/>
      <c r="DDT43" s="1221"/>
      <c r="DDU43" s="1221"/>
      <c r="DDV43" s="1221"/>
      <c r="DDW43" s="1221"/>
      <c r="DDX43" s="1221"/>
      <c r="DDY43" s="1221"/>
      <c r="DDZ43" s="1221"/>
      <c r="DEA43" s="1221"/>
      <c r="DEB43" s="1221"/>
      <c r="DEC43" s="1221"/>
      <c r="DED43" s="1221"/>
      <c r="DEE43" s="1221"/>
      <c r="DEF43" s="1221"/>
      <c r="DEG43" s="1221"/>
      <c r="DEH43" s="1221"/>
      <c r="DEI43" s="1221"/>
      <c r="DEJ43" s="1221"/>
      <c r="DEK43" s="1221"/>
      <c r="DEL43" s="1221"/>
      <c r="DEM43" s="1221"/>
      <c r="DEN43" s="1221"/>
      <c r="DEO43" s="1221"/>
      <c r="DEP43" s="1221"/>
      <c r="DEQ43" s="1221"/>
      <c r="DER43" s="1221"/>
      <c r="DES43" s="1221"/>
      <c r="DET43" s="1221"/>
      <c r="DEU43" s="1221"/>
      <c r="DEV43" s="1221"/>
      <c r="DEW43" s="1221"/>
      <c r="DEX43" s="1221"/>
      <c r="DEY43" s="1221"/>
      <c r="DEZ43" s="1221"/>
      <c r="DFA43" s="1221"/>
      <c r="DFB43" s="1221"/>
      <c r="DFC43" s="1221"/>
      <c r="DFD43" s="1221"/>
      <c r="DFE43" s="1221"/>
      <c r="DFF43" s="1221"/>
      <c r="DFG43" s="1221"/>
      <c r="DFH43" s="1221"/>
      <c r="DFI43" s="1221"/>
      <c r="DFJ43" s="1221"/>
      <c r="DFK43" s="1221"/>
      <c r="DFL43" s="1221"/>
      <c r="DFM43" s="1221"/>
      <c r="DFN43" s="1221"/>
      <c r="DFO43" s="1221"/>
      <c r="DFP43" s="1221"/>
      <c r="DFQ43" s="1221"/>
      <c r="DFR43" s="1221"/>
      <c r="DFS43" s="1221"/>
      <c r="DFT43" s="1221"/>
      <c r="DFU43" s="1221"/>
      <c r="DFV43" s="1221"/>
      <c r="DFW43" s="1221"/>
      <c r="DFX43" s="1221"/>
      <c r="DFY43" s="1221"/>
      <c r="DFZ43" s="1221"/>
      <c r="DGA43" s="1221"/>
      <c r="DGB43" s="1221"/>
      <c r="DGC43" s="1221"/>
      <c r="DGD43" s="1221"/>
      <c r="DGE43" s="1221"/>
      <c r="DGF43" s="1221"/>
      <c r="DGG43" s="1221"/>
      <c r="DGH43" s="1221"/>
      <c r="DGI43" s="1221"/>
      <c r="DGJ43" s="1221"/>
      <c r="DGK43" s="1221"/>
      <c r="DGL43" s="1221"/>
      <c r="DGM43" s="1221"/>
      <c r="DGN43" s="1221"/>
      <c r="DGO43" s="1221"/>
      <c r="DGP43" s="1221"/>
      <c r="DGQ43" s="1221"/>
      <c r="DGR43" s="1221"/>
      <c r="DGS43" s="1221"/>
      <c r="DGT43" s="1221"/>
      <c r="DGU43" s="1221"/>
      <c r="DGV43" s="1221"/>
      <c r="DGW43" s="1221"/>
      <c r="DGX43" s="1221"/>
      <c r="DGY43" s="1221"/>
      <c r="DGZ43" s="1221"/>
      <c r="DHA43" s="1221"/>
      <c r="DHB43" s="1221"/>
      <c r="DHC43" s="1221"/>
      <c r="DHD43" s="1221"/>
      <c r="DHE43" s="1221"/>
      <c r="DHF43" s="1221"/>
      <c r="DHG43" s="1221"/>
      <c r="DHH43" s="1221"/>
      <c r="DHI43" s="1221"/>
      <c r="DHJ43" s="1221"/>
      <c r="DHK43" s="1221"/>
      <c r="DHL43" s="1221"/>
      <c r="DHM43" s="1221"/>
      <c r="DHN43" s="1221"/>
      <c r="DHO43" s="1221"/>
      <c r="DHP43" s="1221"/>
      <c r="DHQ43" s="1221"/>
      <c r="DHR43" s="1221"/>
      <c r="DHS43" s="1221"/>
      <c r="DHT43" s="1221"/>
      <c r="DHU43" s="1221"/>
      <c r="DHV43" s="1221"/>
      <c r="DHW43" s="1221"/>
      <c r="DHX43" s="1221"/>
      <c r="DHY43" s="1221"/>
      <c r="DHZ43" s="1221"/>
      <c r="DIA43" s="1221"/>
      <c r="DIB43" s="1221"/>
      <c r="DIC43" s="1221"/>
      <c r="DID43" s="1221"/>
      <c r="DIE43" s="1221"/>
      <c r="DIF43" s="1221"/>
      <c r="DIG43" s="1221"/>
      <c r="DIH43" s="1221"/>
      <c r="DII43" s="1221"/>
      <c r="DIJ43" s="1221"/>
      <c r="DIK43" s="1221"/>
      <c r="DIL43" s="1221"/>
      <c r="DIM43" s="1221"/>
      <c r="DIN43" s="1221"/>
      <c r="DIO43" s="1221"/>
      <c r="DIP43" s="1221"/>
      <c r="DIQ43" s="1221"/>
      <c r="DIR43" s="1221"/>
      <c r="DIS43" s="1221"/>
      <c r="DIT43" s="1221"/>
      <c r="DIU43" s="1221"/>
      <c r="DIV43" s="1221"/>
      <c r="DIW43" s="1221"/>
      <c r="DIX43" s="1221"/>
      <c r="DIY43" s="1221"/>
      <c r="DIZ43" s="1221"/>
      <c r="DJA43" s="1221"/>
      <c r="DJB43" s="1221"/>
      <c r="DJC43" s="1221"/>
      <c r="DJD43" s="1221"/>
      <c r="DJE43" s="1221"/>
      <c r="DJF43" s="1221"/>
      <c r="DJG43" s="1221"/>
      <c r="DJH43" s="1221"/>
      <c r="DJI43" s="1221"/>
      <c r="DJJ43" s="1221"/>
      <c r="DJK43" s="1221"/>
      <c r="DJL43" s="1221"/>
      <c r="DJM43" s="1221"/>
      <c r="DJN43" s="1221"/>
      <c r="DJO43" s="1221"/>
      <c r="DJP43" s="1221"/>
      <c r="DJQ43" s="1221"/>
      <c r="DJR43" s="1221"/>
      <c r="DJS43" s="1221"/>
      <c r="DJT43" s="1221"/>
      <c r="DJU43" s="1221"/>
      <c r="DJV43" s="1221"/>
      <c r="DJW43" s="1221"/>
      <c r="DJX43" s="1221"/>
      <c r="DJY43" s="1221"/>
      <c r="DJZ43" s="1221"/>
      <c r="DKA43" s="1221"/>
      <c r="DKB43" s="1221"/>
      <c r="DKC43" s="1221"/>
      <c r="DKD43" s="1221"/>
      <c r="DKE43" s="1221"/>
      <c r="DKF43" s="1221"/>
      <c r="DKG43" s="1221"/>
      <c r="DKH43" s="1221"/>
      <c r="DKI43" s="1221"/>
      <c r="DKJ43" s="1221"/>
      <c r="DKK43" s="1221"/>
      <c r="DKL43" s="1221"/>
      <c r="DKM43" s="1221"/>
      <c r="DKN43" s="1221"/>
      <c r="DKO43" s="1221"/>
      <c r="DKP43" s="1221"/>
      <c r="DKQ43" s="1221"/>
      <c r="DKR43" s="1221"/>
      <c r="DKS43" s="1221"/>
      <c r="DKT43" s="1221"/>
      <c r="DKU43" s="1221"/>
      <c r="DKV43" s="1221"/>
      <c r="DKW43" s="1221"/>
      <c r="DKX43" s="1221"/>
      <c r="DKY43" s="1221"/>
      <c r="DKZ43" s="1221"/>
      <c r="DLA43" s="1221"/>
      <c r="DLB43" s="1221"/>
      <c r="DLC43" s="1221"/>
      <c r="DLD43" s="1221"/>
      <c r="DLE43" s="1221"/>
      <c r="DLF43" s="1221"/>
      <c r="DLG43" s="1221"/>
      <c r="DLH43" s="1221"/>
      <c r="DLI43" s="1221"/>
      <c r="DLJ43" s="1221"/>
      <c r="DLK43" s="1221"/>
      <c r="DLL43" s="1221"/>
      <c r="DLM43" s="1221"/>
      <c r="DLN43" s="1221"/>
      <c r="DLO43" s="1221"/>
      <c r="DLP43" s="1221"/>
      <c r="DLQ43" s="1221"/>
      <c r="DLR43" s="1221"/>
      <c r="DLS43" s="1221"/>
      <c r="DLT43" s="1221"/>
      <c r="DLU43" s="1221"/>
      <c r="DLV43" s="1221"/>
      <c r="DLW43" s="1221"/>
      <c r="DLX43" s="1221"/>
      <c r="DLY43" s="1221"/>
      <c r="DLZ43" s="1221"/>
      <c r="DMA43" s="1221"/>
      <c r="DMB43" s="1221"/>
      <c r="DMC43" s="1221"/>
      <c r="DMD43" s="1221"/>
      <c r="DME43" s="1221"/>
      <c r="DMF43" s="1221"/>
      <c r="DMG43" s="1221"/>
      <c r="DMH43" s="1221"/>
      <c r="DMI43" s="1221"/>
      <c r="DMJ43" s="1221"/>
      <c r="DMK43" s="1221"/>
      <c r="DML43" s="1221"/>
      <c r="DMM43" s="1221"/>
      <c r="DMN43" s="1221"/>
      <c r="DMO43" s="1221"/>
      <c r="DMP43" s="1221"/>
      <c r="DMQ43" s="1221"/>
      <c r="DMR43" s="1221"/>
      <c r="DMS43" s="1221"/>
      <c r="DMT43" s="1221"/>
      <c r="DMU43" s="1221"/>
      <c r="DMV43" s="1221"/>
      <c r="DMW43" s="1221"/>
      <c r="DMX43" s="1221"/>
      <c r="DMY43" s="1221"/>
      <c r="DMZ43" s="1221"/>
      <c r="DNA43" s="1221"/>
      <c r="DNB43" s="1221"/>
      <c r="DNC43" s="1221"/>
      <c r="DND43" s="1221"/>
      <c r="DNE43" s="1221"/>
      <c r="DNF43" s="1221"/>
      <c r="DNG43" s="1221"/>
      <c r="DNH43" s="1221"/>
      <c r="DNI43" s="1221"/>
      <c r="DNJ43" s="1221"/>
      <c r="DNK43" s="1221"/>
      <c r="DNL43" s="1221"/>
      <c r="DNM43" s="1221"/>
      <c r="DNN43" s="1221"/>
      <c r="DNO43" s="1221"/>
      <c r="DNP43" s="1221"/>
      <c r="DNQ43" s="1221"/>
      <c r="DNR43" s="1221"/>
      <c r="DNS43" s="1221"/>
      <c r="DNT43" s="1221"/>
      <c r="DNU43" s="1221"/>
      <c r="DNV43" s="1221"/>
      <c r="DNW43" s="1221"/>
      <c r="DNX43" s="1221"/>
      <c r="DNY43" s="1221"/>
      <c r="DNZ43" s="1221"/>
      <c r="DOA43" s="1221"/>
      <c r="DOB43" s="1221"/>
      <c r="DOC43" s="1221"/>
      <c r="DOD43" s="1221"/>
      <c r="DOE43" s="1221"/>
      <c r="DOF43" s="1221"/>
      <c r="DOG43" s="1221"/>
      <c r="DOH43" s="1221"/>
      <c r="DOI43" s="1221"/>
      <c r="DOJ43" s="1221"/>
      <c r="DOK43" s="1221"/>
      <c r="DOL43" s="1221"/>
      <c r="DOM43" s="1221"/>
      <c r="DON43" s="1221"/>
      <c r="DOO43" s="1221"/>
      <c r="DOP43" s="1221"/>
      <c r="DOQ43" s="1221"/>
      <c r="DOR43" s="1221"/>
      <c r="DOS43" s="1221"/>
      <c r="DOT43" s="1221"/>
      <c r="DOU43" s="1221"/>
      <c r="DOV43" s="1221"/>
      <c r="DOW43" s="1221"/>
      <c r="DOX43" s="1221"/>
      <c r="DOY43" s="1221"/>
      <c r="DOZ43" s="1221"/>
      <c r="DPA43" s="1221"/>
      <c r="DPB43" s="1221"/>
      <c r="DPC43" s="1221"/>
      <c r="DPD43" s="1221"/>
      <c r="DPE43" s="1221"/>
      <c r="DPF43" s="1221"/>
      <c r="DPG43" s="1221"/>
      <c r="DPH43" s="1221"/>
      <c r="DPI43" s="1221"/>
      <c r="DPJ43" s="1221"/>
      <c r="DPK43" s="1221"/>
      <c r="DPL43" s="1221"/>
      <c r="DPM43" s="1221"/>
      <c r="DPN43" s="1221"/>
      <c r="DPO43" s="1221"/>
      <c r="DPP43" s="1221"/>
      <c r="DPQ43" s="1221"/>
      <c r="DPR43" s="1221"/>
      <c r="DPS43" s="1221"/>
      <c r="DPT43" s="1221"/>
      <c r="DPU43" s="1221"/>
      <c r="DPV43" s="1221"/>
      <c r="DPW43" s="1221"/>
      <c r="DPX43" s="1221"/>
      <c r="DPY43" s="1221"/>
      <c r="DPZ43" s="1221"/>
      <c r="DQA43" s="1221"/>
      <c r="DQB43" s="1221"/>
      <c r="DQC43" s="1221"/>
      <c r="DQD43" s="1221"/>
      <c r="DQE43" s="1221"/>
      <c r="DQF43" s="1221"/>
      <c r="DQG43" s="1221"/>
      <c r="DQH43" s="1221"/>
      <c r="DQI43" s="1221"/>
      <c r="DQJ43" s="1221"/>
      <c r="DQK43" s="1221"/>
      <c r="DQL43" s="1221"/>
      <c r="DQM43" s="1221"/>
      <c r="DQN43" s="1221"/>
      <c r="DQO43" s="1221"/>
      <c r="DQP43" s="1221"/>
      <c r="DQQ43" s="1221"/>
      <c r="DQR43" s="1221"/>
      <c r="DQS43" s="1221"/>
      <c r="DQT43" s="1221"/>
      <c r="DQU43" s="1221"/>
      <c r="DQV43" s="1221"/>
      <c r="DQW43" s="1221"/>
      <c r="DQX43" s="1221"/>
      <c r="DQY43" s="1221"/>
      <c r="DQZ43" s="1221"/>
      <c r="DRA43" s="1221"/>
      <c r="DRB43" s="1221"/>
      <c r="DRC43" s="1221"/>
      <c r="DRD43" s="1221"/>
      <c r="DRE43" s="1221"/>
      <c r="DRF43" s="1221"/>
      <c r="DRG43" s="1221"/>
      <c r="DRH43" s="1221"/>
      <c r="DRI43" s="1221"/>
      <c r="DRJ43" s="1221"/>
      <c r="DRK43" s="1221"/>
      <c r="DRL43" s="1221"/>
      <c r="DRM43" s="1221"/>
      <c r="DRN43" s="1221"/>
      <c r="DRO43" s="1221"/>
      <c r="DRP43" s="1221"/>
      <c r="DRQ43" s="1221"/>
      <c r="DRR43" s="1221"/>
      <c r="DRS43" s="1221"/>
      <c r="DRT43" s="1221"/>
      <c r="DRU43" s="1221"/>
      <c r="DRV43" s="1221"/>
      <c r="DRW43" s="1221"/>
      <c r="DRX43" s="1221"/>
      <c r="DRY43" s="1221"/>
      <c r="DRZ43" s="1221"/>
      <c r="DSA43" s="1221"/>
      <c r="DSB43" s="1221"/>
      <c r="DSC43" s="1221"/>
      <c r="DSD43" s="1221"/>
      <c r="DSE43" s="1221"/>
      <c r="DSF43" s="1221"/>
      <c r="DSG43" s="1221"/>
      <c r="DSH43" s="1221"/>
      <c r="DSI43" s="1221"/>
      <c r="DSJ43" s="1221"/>
      <c r="DSK43" s="1221"/>
      <c r="DSL43" s="1221"/>
      <c r="DSM43" s="1221"/>
      <c r="DSN43" s="1221"/>
      <c r="DSO43" s="1221"/>
      <c r="DSP43" s="1221"/>
      <c r="DSQ43" s="1221"/>
      <c r="DSR43" s="1221"/>
      <c r="DSS43" s="1221"/>
      <c r="DST43" s="1221"/>
      <c r="DSU43" s="1221"/>
      <c r="DSV43" s="1221"/>
      <c r="DSW43" s="1221"/>
      <c r="DSX43" s="1221"/>
      <c r="DSY43" s="1221"/>
      <c r="DSZ43" s="1221"/>
      <c r="DTA43" s="1221"/>
      <c r="DTB43" s="1221"/>
      <c r="DTC43" s="1221"/>
      <c r="DTD43" s="1221"/>
      <c r="DTE43" s="1221"/>
      <c r="DTF43" s="1221"/>
      <c r="DTG43" s="1221"/>
      <c r="DTH43" s="1221"/>
      <c r="DTI43" s="1221"/>
      <c r="DTJ43" s="1221"/>
      <c r="DTK43" s="1221"/>
      <c r="DTL43" s="1221"/>
      <c r="DTM43" s="1221"/>
      <c r="DTN43" s="1221"/>
      <c r="DTO43" s="1221"/>
      <c r="DTP43" s="1221"/>
      <c r="DTQ43" s="1221"/>
      <c r="DTR43" s="1221"/>
      <c r="DTS43" s="1221"/>
      <c r="DTT43" s="1221"/>
      <c r="DTU43" s="1221"/>
      <c r="DTV43" s="1221"/>
      <c r="DTW43" s="1221"/>
      <c r="DTX43" s="1221"/>
      <c r="DTY43" s="1221"/>
      <c r="DTZ43" s="1221"/>
      <c r="DUA43" s="1221"/>
      <c r="DUB43" s="1221"/>
      <c r="DUC43" s="1221"/>
      <c r="DUD43" s="1221"/>
      <c r="DUE43" s="1221"/>
      <c r="DUF43" s="1221"/>
      <c r="DUG43" s="1221"/>
      <c r="DUH43" s="1221"/>
      <c r="DUI43" s="1221"/>
      <c r="DUJ43" s="1221"/>
      <c r="DUK43" s="1221"/>
      <c r="DUL43" s="1221"/>
      <c r="DUM43" s="1221"/>
      <c r="DUN43" s="1221"/>
      <c r="DUO43" s="1221"/>
      <c r="DUP43" s="1221"/>
      <c r="DUQ43" s="1221"/>
      <c r="DUR43" s="1221"/>
      <c r="DUS43" s="1221"/>
      <c r="DUT43" s="1221"/>
      <c r="DUU43" s="1221"/>
      <c r="DUV43" s="1221"/>
      <c r="DUW43" s="1221"/>
      <c r="DUX43" s="1221"/>
      <c r="DUY43" s="1221"/>
      <c r="DUZ43" s="1221"/>
      <c r="DVA43" s="1221"/>
      <c r="DVB43" s="1221"/>
      <c r="DVC43" s="1221"/>
      <c r="DVD43" s="1221"/>
      <c r="DVE43" s="1221"/>
      <c r="DVF43" s="1221"/>
      <c r="DVG43" s="1221"/>
      <c r="DVH43" s="1221"/>
      <c r="DVI43" s="1221"/>
      <c r="DVJ43" s="1221"/>
      <c r="DVK43" s="1221"/>
      <c r="DVL43" s="1221"/>
      <c r="DVM43" s="1221"/>
      <c r="DVN43" s="1221"/>
      <c r="DVO43" s="1221"/>
      <c r="DVP43" s="1221"/>
      <c r="DVQ43" s="1221"/>
      <c r="DVR43" s="1221"/>
      <c r="DVS43" s="1221"/>
      <c r="DVT43" s="1221"/>
      <c r="DVU43" s="1221"/>
      <c r="DVV43" s="1221"/>
      <c r="DVW43" s="1221"/>
      <c r="DVX43" s="1221"/>
      <c r="DVY43" s="1221"/>
      <c r="DVZ43" s="1221"/>
      <c r="DWA43" s="1221"/>
      <c r="DWB43" s="1221"/>
      <c r="DWC43" s="1221"/>
      <c r="DWD43" s="1221"/>
      <c r="DWE43" s="1221"/>
      <c r="DWF43" s="1221"/>
      <c r="DWG43" s="1221"/>
      <c r="DWH43" s="1221"/>
      <c r="DWI43" s="1221"/>
      <c r="DWJ43" s="1221"/>
      <c r="DWK43" s="1221"/>
      <c r="DWL43" s="1221"/>
      <c r="DWM43" s="1221"/>
      <c r="DWN43" s="1221"/>
      <c r="DWO43" s="1221"/>
      <c r="DWP43" s="1221"/>
      <c r="DWQ43" s="1221"/>
      <c r="DWR43" s="1221"/>
      <c r="DWS43" s="1221"/>
      <c r="DWT43" s="1221"/>
      <c r="DWU43" s="1221"/>
      <c r="DWV43" s="1221"/>
      <c r="DWW43" s="1221"/>
      <c r="DWX43" s="1221"/>
      <c r="DWY43" s="1221"/>
      <c r="DWZ43" s="1221"/>
      <c r="DXA43" s="1221"/>
      <c r="DXB43" s="1221"/>
      <c r="DXC43" s="1221"/>
      <c r="DXD43" s="1221"/>
      <c r="DXE43" s="1221"/>
      <c r="DXF43" s="1221"/>
      <c r="DXG43" s="1221"/>
      <c r="DXH43" s="1221"/>
      <c r="DXI43" s="1221"/>
      <c r="DXJ43" s="1221"/>
      <c r="DXK43" s="1221"/>
      <c r="DXL43" s="1221"/>
      <c r="DXM43" s="1221"/>
      <c r="DXN43" s="1221"/>
      <c r="DXO43" s="1221"/>
      <c r="DXP43" s="1221"/>
      <c r="DXQ43" s="1221"/>
      <c r="DXR43" s="1221"/>
      <c r="DXS43" s="1221"/>
      <c r="DXT43" s="1221"/>
      <c r="DXU43" s="1221"/>
      <c r="DXV43" s="1221"/>
      <c r="DXW43" s="1221"/>
      <c r="DXX43" s="1221"/>
      <c r="DXY43" s="1221"/>
      <c r="DXZ43" s="1221"/>
      <c r="DYA43" s="1221"/>
      <c r="DYB43" s="1221"/>
      <c r="DYC43" s="1221"/>
      <c r="DYD43" s="1221"/>
      <c r="DYE43" s="1221"/>
      <c r="DYF43" s="1221"/>
      <c r="DYG43" s="1221"/>
      <c r="DYH43" s="1221"/>
      <c r="DYI43" s="1221"/>
      <c r="DYJ43" s="1221"/>
      <c r="DYK43" s="1221"/>
      <c r="DYL43" s="1221"/>
      <c r="DYM43" s="1221"/>
      <c r="DYN43" s="1221"/>
      <c r="DYO43" s="1221"/>
      <c r="DYP43" s="1221"/>
      <c r="DYQ43" s="1221"/>
      <c r="DYR43" s="1221"/>
      <c r="DYS43" s="1221"/>
      <c r="DYT43" s="1221"/>
      <c r="DYU43" s="1221"/>
      <c r="DYV43" s="1221"/>
      <c r="DYW43" s="1221"/>
      <c r="DYX43" s="1221"/>
      <c r="DYY43" s="1221"/>
      <c r="DYZ43" s="1221"/>
      <c r="DZA43" s="1221"/>
      <c r="DZB43" s="1221"/>
      <c r="DZC43" s="1221"/>
      <c r="DZD43" s="1221"/>
      <c r="DZE43" s="1221"/>
      <c r="DZF43" s="1221"/>
      <c r="DZG43" s="1221"/>
      <c r="DZH43" s="1221"/>
      <c r="DZI43" s="1221"/>
      <c r="DZJ43" s="1221"/>
      <c r="DZK43" s="1221"/>
      <c r="DZL43" s="1221"/>
      <c r="DZM43" s="1221"/>
      <c r="DZN43" s="1221"/>
      <c r="DZO43" s="1221"/>
      <c r="DZP43" s="1221"/>
      <c r="DZQ43" s="1221"/>
      <c r="DZR43" s="1221"/>
      <c r="DZS43" s="1221"/>
      <c r="DZT43" s="1221"/>
      <c r="DZU43" s="1221"/>
      <c r="DZV43" s="1221"/>
      <c r="DZW43" s="1221"/>
      <c r="DZX43" s="1221"/>
      <c r="DZY43" s="1221"/>
      <c r="DZZ43" s="1221"/>
      <c r="EAA43" s="1221"/>
      <c r="EAB43" s="1221"/>
      <c r="EAC43" s="1221"/>
      <c r="EAD43" s="1221"/>
      <c r="EAE43" s="1221"/>
      <c r="EAF43" s="1221"/>
      <c r="EAG43" s="1221"/>
      <c r="EAH43" s="1221"/>
      <c r="EAI43" s="1221"/>
      <c r="EAJ43" s="1221"/>
      <c r="EAK43" s="1221"/>
      <c r="EAL43" s="1221"/>
      <c r="EAM43" s="1221"/>
      <c r="EAN43" s="1221"/>
      <c r="EAO43" s="1221"/>
      <c r="EAP43" s="1221"/>
      <c r="EAQ43" s="1221"/>
      <c r="EAR43" s="1221"/>
      <c r="EAS43" s="1221"/>
      <c r="EAT43" s="1221"/>
      <c r="EAU43" s="1221"/>
      <c r="EAV43" s="1221"/>
      <c r="EAW43" s="1221"/>
      <c r="EAX43" s="1221"/>
      <c r="EAY43" s="1221"/>
      <c r="EAZ43" s="1221"/>
      <c r="EBA43" s="1221"/>
      <c r="EBB43" s="1221"/>
      <c r="EBC43" s="1221"/>
      <c r="EBD43" s="1221"/>
      <c r="EBE43" s="1221"/>
      <c r="EBF43" s="1221"/>
      <c r="EBG43" s="1221"/>
      <c r="EBH43" s="1221"/>
      <c r="EBI43" s="1221"/>
      <c r="EBJ43" s="1221"/>
      <c r="EBK43" s="1221"/>
      <c r="EBL43" s="1221"/>
      <c r="EBM43" s="1221"/>
      <c r="EBN43" s="1221"/>
      <c r="EBO43" s="1221"/>
      <c r="EBP43" s="1221"/>
      <c r="EBQ43" s="1221"/>
      <c r="EBR43" s="1221"/>
      <c r="EBS43" s="1221"/>
      <c r="EBT43" s="1221"/>
      <c r="EBU43" s="1221"/>
      <c r="EBV43" s="1221"/>
      <c r="EBW43" s="1221"/>
      <c r="EBX43" s="1221"/>
      <c r="EBY43" s="1221"/>
      <c r="EBZ43" s="1221"/>
      <c r="ECA43" s="1221"/>
      <c r="ECB43" s="1221"/>
      <c r="ECC43" s="1221"/>
      <c r="ECD43" s="1221"/>
      <c r="ECE43" s="1221"/>
      <c r="ECF43" s="1221"/>
      <c r="ECG43" s="1221"/>
      <c r="ECH43" s="1221"/>
      <c r="ECI43" s="1221"/>
      <c r="ECJ43" s="1221"/>
      <c r="ECK43" s="1221"/>
      <c r="ECL43" s="1221"/>
      <c r="ECM43" s="1221"/>
      <c r="ECN43" s="1221"/>
      <c r="ECO43" s="1221"/>
    </row>
    <row r="44" spans="2:3473" s="1237" customFormat="1" ht="13">
      <c r="B44" s="1238">
        <v>5001.08</v>
      </c>
      <c r="C44" s="1265" t="s">
        <v>141</v>
      </c>
      <c r="D44" s="1240" t="s">
        <v>142</v>
      </c>
      <c r="E44" s="1241">
        <f t="shared" si="90"/>
        <v>0</v>
      </c>
      <c r="F44" s="1241">
        <f t="shared" si="90"/>
        <v>0</v>
      </c>
      <c r="G44" s="1241">
        <f t="shared" si="90"/>
        <v>0</v>
      </c>
      <c r="H44" s="1241">
        <f t="shared" ca="1" si="79"/>
        <v>207.03296058392277</v>
      </c>
      <c r="I44" s="1241">
        <f t="shared" ca="1" si="79"/>
        <v>207.03296054841792</v>
      </c>
      <c r="J44" s="1241">
        <f t="shared" ca="1" si="79"/>
        <v>3.5504831160442448E-8</v>
      </c>
      <c r="K44" s="1241">
        <f t="shared" si="79"/>
        <v>0</v>
      </c>
      <c r="L44" s="1241">
        <f t="shared" si="79"/>
        <v>0</v>
      </c>
      <c r="M44" s="1241">
        <f t="shared" si="79"/>
        <v>0</v>
      </c>
      <c r="N44" s="1241" t="str">
        <f t="shared" si="79"/>
        <v/>
      </c>
      <c r="O44" s="1241" t="str">
        <f t="shared" si="79"/>
        <v/>
      </c>
      <c r="P44" s="1241" t="str">
        <f t="shared" si="79"/>
        <v/>
      </c>
      <c r="Q44" s="1241">
        <f t="shared" ca="1" si="79"/>
        <v>207.03296058392277</v>
      </c>
      <c r="R44" s="1241">
        <f t="shared" ca="1" si="79"/>
        <v>207.03296054841795</v>
      </c>
      <c r="S44" s="1241">
        <f t="shared" ca="1" si="8"/>
        <v>3.5504831160442448E-8</v>
      </c>
      <c r="T44" s="1241">
        <f t="shared" ca="1" si="5"/>
        <v>207.03296058392277</v>
      </c>
      <c r="U44" s="1241">
        <f t="shared" ca="1" si="5"/>
        <v>207.03296054841795</v>
      </c>
      <c r="V44" s="1241">
        <f t="shared" ca="1" si="9"/>
        <v>3.5504831160442448E-8</v>
      </c>
      <c r="W44" s="1241" t="str">
        <f t="shared" si="10"/>
        <v/>
      </c>
      <c r="X44" s="1241" t="str">
        <f t="shared" si="10"/>
        <v/>
      </c>
      <c r="Y44" s="1241" t="str">
        <f t="shared" si="10"/>
        <v/>
      </c>
      <c r="Z44" s="1242">
        <f t="shared" ca="1" si="78"/>
        <v>155.83281592417157</v>
      </c>
      <c r="AA44" s="1242">
        <f t="shared" ca="1" si="78"/>
        <v>155.83281589744723</v>
      </c>
      <c r="AB44" s="1242">
        <f t="shared" ca="1" si="78"/>
        <v>2.6724333183658642E-8</v>
      </c>
      <c r="AC44" s="1242">
        <f t="shared" ca="1" si="15"/>
        <v>207.03296058392277</v>
      </c>
      <c r="AD44" s="1243">
        <f t="shared" ca="1" si="15"/>
        <v>207.03296054841795</v>
      </c>
      <c r="AE44" s="1243">
        <f t="shared" ca="1" si="15"/>
        <v>3.5504831160442448E-8</v>
      </c>
      <c r="AF44" s="1244">
        <f t="shared" ref="AF44:AW44" si="91">SUM(AF45:AF48)</f>
        <v>0</v>
      </c>
      <c r="AG44" s="1245">
        <f t="shared" si="91"/>
        <v>0</v>
      </c>
      <c r="AH44" s="1245">
        <f t="shared" si="91"/>
        <v>0</v>
      </c>
      <c r="AI44" s="1245">
        <f t="shared" ca="1" si="91"/>
        <v>893.84306886022523</v>
      </c>
      <c r="AJ44" s="1245">
        <f t="shared" ca="1" si="91"/>
        <v>893.84306870693683</v>
      </c>
      <c r="AK44" s="1245">
        <f t="shared" ca="1" si="91"/>
        <v>1.532883805279384E-7</v>
      </c>
      <c r="AL44" s="1245">
        <f t="shared" si="91"/>
        <v>0</v>
      </c>
      <c r="AM44" s="1245">
        <f t="shared" si="91"/>
        <v>0</v>
      </c>
      <c r="AN44" s="1245">
        <f t="shared" si="91"/>
        <v>0</v>
      </c>
      <c r="AO44" s="1245">
        <f t="shared" ca="1" si="91"/>
        <v>0</v>
      </c>
      <c r="AP44" s="1245">
        <f t="shared" ca="1" si="91"/>
        <v>0</v>
      </c>
      <c r="AQ44" s="1245">
        <f t="shared" ca="1" si="91"/>
        <v>0</v>
      </c>
      <c r="AR44" s="1245">
        <f t="shared" ca="1" si="91"/>
        <v>1225.1047082118068</v>
      </c>
      <c r="AS44" s="1245">
        <f t="shared" ca="1" si="91"/>
        <v>1225.1047080017092</v>
      </c>
      <c r="AT44" s="1245">
        <f t="shared" ca="1" si="91"/>
        <v>2.1009763709238624E-7</v>
      </c>
      <c r="AU44" s="1245">
        <f t="shared" ca="1" si="91"/>
        <v>21.923341295113335</v>
      </c>
      <c r="AV44" s="1245">
        <f t="shared" ca="1" si="91"/>
        <v>21.923341291353623</v>
      </c>
      <c r="AW44" s="1245">
        <f t="shared" ca="1" si="91"/>
        <v>3.7597130860727325E-9</v>
      </c>
      <c r="AX44" s="1245"/>
      <c r="AY44" s="1245"/>
      <c r="AZ44" s="1245"/>
      <c r="BA44" s="1245">
        <f ca="1">SUM(BA45:BA48)</f>
        <v>2140.8711183671458</v>
      </c>
      <c r="BB44" s="1245">
        <f ca="1">SUM(BB45:BB48)</f>
        <v>2140.871118</v>
      </c>
      <c r="BC44" s="1245">
        <f ca="1">SUM(BC45:BC48)</f>
        <v>3.6714573070639744E-7</v>
      </c>
      <c r="BD44" s="1245">
        <f t="shared" ref="BD44:BL44" si="92">SUM(BD45:BD48)</f>
        <v>0</v>
      </c>
      <c r="BE44" s="1245">
        <f t="shared" si="92"/>
        <v>0</v>
      </c>
      <c r="BF44" s="1245">
        <f t="shared" si="92"/>
        <v>0</v>
      </c>
      <c r="BG44" s="1245">
        <f t="shared" si="92"/>
        <v>0</v>
      </c>
      <c r="BH44" s="1245">
        <f t="shared" si="92"/>
        <v>0</v>
      </c>
      <c r="BI44" s="1245">
        <f t="shared" si="92"/>
        <v>0</v>
      </c>
      <c r="BJ44" s="1245">
        <f t="shared" ca="1" si="92"/>
        <v>2140.8711183671458</v>
      </c>
      <c r="BK44" s="1245">
        <f t="shared" ca="1" si="92"/>
        <v>2140.871118</v>
      </c>
      <c r="BL44" s="1245">
        <f t="shared" ca="1" si="92"/>
        <v>3.6714573070639744E-7</v>
      </c>
      <c r="BM44" s="1246"/>
      <c r="BN44" s="1225">
        <f t="shared" ca="1" si="12"/>
        <v>0</v>
      </c>
      <c r="BO44" s="1225">
        <f t="shared" ca="1" si="13"/>
        <v>0</v>
      </c>
      <c r="BP44" s="1225">
        <f t="shared" si="14"/>
        <v>0</v>
      </c>
      <c r="BQ44" s="1247"/>
      <c r="BR44" s="1247"/>
      <c r="BS44" s="1247"/>
      <c r="BT44" s="1247"/>
      <c r="BU44" s="1247"/>
      <c r="BV44" s="1247"/>
      <c r="BW44" s="1247"/>
      <c r="BX44" s="1247"/>
      <c r="BY44" s="1247"/>
      <c r="BZ44" s="1247"/>
      <c r="CA44" s="1247"/>
      <c r="CB44" s="1247"/>
      <c r="CC44" s="1247"/>
      <c r="CD44" s="1247"/>
      <c r="CE44" s="1247"/>
      <c r="CF44" s="1247"/>
      <c r="CG44" s="1247"/>
      <c r="CH44" s="1247"/>
      <c r="CI44" s="1247"/>
      <c r="CJ44" s="1247"/>
      <c r="CK44" s="1247"/>
      <c r="CL44" s="1247"/>
      <c r="CM44" s="1247"/>
      <c r="CN44" s="1247"/>
      <c r="CO44" s="1247"/>
      <c r="CP44" s="1247"/>
      <c r="CQ44" s="1247"/>
      <c r="CR44" s="1247"/>
      <c r="CS44" s="1247"/>
      <c r="CT44" s="1247"/>
      <c r="CU44" s="1247"/>
      <c r="CV44" s="1247"/>
      <c r="CW44" s="1247"/>
      <c r="CX44" s="1247"/>
      <c r="CY44" s="1247"/>
      <c r="CZ44" s="1247"/>
      <c r="DA44" s="1247"/>
      <c r="DB44" s="1247"/>
      <c r="DC44" s="1247"/>
      <c r="DD44" s="1247"/>
      <c r="DE44" s="1247"/>
      <c r="DF44" s="1247"/>
      <c r="DG44" s="1247"/>
      <c r="DH44" s="1247"/>
      <c r="DI44" s="1247"/>
      <c r="DJ44" s="1247"/>
      <c r="DK44" s="1247"/>
      <c r="DL44" s="1247"/>
      <c r="DM44" s="1247"/>
      <c r="DN44" s="1247"/>
      <c r="DO44" s="1247"/>
      <c r="DP44" s="1247"/>
      <c r="DQ44" s="1247"/>
      <c r="DR44" s="1247"/>
      <c r="DS44" s="1247"/>
      <c r="DT44" s="1247"/>
      <c r="DU44" s="1247"/>
      <c r="DV44" s="1247"/>
      <c r="DW44" s="1247"/>
      <c r="DX44" s="1247"/>
      <c r="DY44" s="1247"/>
      <c r="DZ44" s="1247"/>
      <c r="EA44" s="1247"/>
      <c r="EB44" s="1247"/>
      <c r="EC44" s="1247"/>
      <c r="ED44" s="1247"/>
      <c r="EE44" s="1247"/>
      <c r="EF44" s="1247"/>
      <c r="EG44" s="1247"/>
      <c r="EH44" s="1247"/>
      <c r="EI44" s="1247"/>
      <c r="EJ44" s="1247"/>
      <c r="EK44" s="1247"/>
      <c r="EL44" s="1247"/>
      <c r="EM44" s="1247"/>
      <c r="EN44" s="1247"/>
      <c r="EO44" s="1247"/>
      <c r="EP44" s="1247"/>
      <c r="EQ44" s="1247"/>
      <c r="ER44" s="1247"/>
      <c r="ES44" s="1247"/>
      <c r="ET44" s="1247"/>
      <c r="EU44" s="1247"/>
      <c r="EV44" s="1247"/>
      <c r="EW44" s="1247"/>
      <c r="EX44" s="1247"/>
      <c r="EY44" s="1247"/>
      <c r="EZ44" s="1247"/>
      <c r="FA44" s="1247"/>
      <c r="FB44" s="1247"/>
      <c r="FC44" s="1247"/>
      <c r="FD44" s="1247"/>
      <c r="FE44" s="1247"/>
      <c r="FF44" s="1247"/>
      <c r="FG44" s="1247"/>
      <c r="FH44" s="1247"/>
      <c r="FI44" s="1247"/>
      <c r="FJ44" s="1247"/>
      <c r="FK44" s="1247"/>
      <c r="FL44" s="1247"/>
      <c r="FM44" s="1247"/>
      <c r="FN44" s="1247"/>
      <c r="FO44" s="1247"/>
      <c r="FP44" s="1247"/>
      <c r="FQ44" s="1247"/>
      <c r="FR44" s="1247"/>
      <c r="FS44" s="1247"/>
      <c r="FT44" s="1247"/>
      <c r="FU44" s="1247"/>
      <c r="FV44" s="1247"/>
      <c r="FW44" s="1247"/>
      <c r="FX44" s="1247"/>
      <c r="FY44" s="1247"/>
      <c r="FZ44" s="1247"/>
      <c r="GA44" s="1247"/>
      <c r="GB44" s="1247"/>
      <c r="GC44" s="1247"/>
      <c r="GD44" s="1247"/>
      <c r="GE44" s="1247"/>
      <c r="GF44" s="1247"/>
      <c r="GG44" s="1247"/>
      <c r="GH44" s="1247"/>
      <c r="GI44" s="1247"/>
      <c r="GJ44" s="1247"/>
      <c r="GK44" s="1247"/>
      <c r="GL44" s="1247"/>
      <c r="GM44" s="1247"/>
      <c r="GN44" s="1247"/>
      <c r="GO44" s="1247"/>
      <c r="GP44" s="1247"/>
      <c r="GQ44" s="1247"/>
      <c r="GR44" s="1247"/>
      <c r="GS44" s="1247"/>
      <c r="GT44" s="1247"/>
      <c r="GU44" s="1247"/>
      <c r="GV44" s="1247"/>
      <c r="GW44" s="1247"/>
      <c r="GX44" s="1247"/>
      <c r="GY44" s="1247"/>
      <c r="GZ44" s="1247"/>
      <c r="HA44" s="1247"/>
      <c r="HB44" s="1247"/>
      <c r="HC44" s="1247"/>
      <c r="HD44" s="1247"/>
      <c r="HE44" s="1247"/>
      <c r="HF44" s="1247"/>
      <c r="HG44" s="1247"/>
      <c r="HH44" s="1247"/>
      <c r="HI44" s="1247"/>
      <c r="HJ44" s="1247"/>
      <c r="HK44" s="1247"/>
      <c r="HL44" s="1247"/>
      <c r="HM44" s="1247"/>
      <c r="HN44" s="1247"/>
      <c r="HO44" s="1247"/>
      <c r="HP44" s="1247"/>
      <c r="HQ44" s="1247"/>
      <c r="HR44" s="1247"/>
      <c r="HS44" s="1247"/>
      <c r="HT44" s="1247"/>
      <c r="HU44" s="1247"/>
      <c r="HV44" s="1247"/>
      <c r="HW44" s="1247"/>
      <c r="HX44" s="1247"/>
      <c r="HY44" s="1247"/>
      <c r="HZ44" s="1247"/>
      <c r="IA44" s="1247"/>
      <c r="IB44" s="1247"/>
      <c r="IC44" s="1247"/>
      <c r="ID44" s="1247"/>
      <c r="IE44" s="1247"/>
      <c r="IF44" s="1247"/>
      <c r="IG44" s="1247"/>
      <c r="IH44" s="1247"/>
      <c r="II44" s="1247"/>
      <c r="IJ44" s="1247"/>
      <c r="IK44" s="1247"/>
      <c r="IL44" s="1247"/>
      <c r="IM44" s="1247"/>
      <c r="IN44" s="1247"/>
      <c r="IO44" s="1247"/>
      <c r="IP44" s="1247"/>
      <c r="IQ44" s="1247"/>
      <c r="IR44" s="1247"/>
      <c r="IS44" s="1247"/>
      <c r="IT44" s="1247"/>
      <c r="IU44" s="1247"/>
      <c r="IV44" s="1247"/>
      <c r="IW44" s="1247"/>
      <c r="IX44" s="1247"/>
      <c r="IY44" s="1247"/>
      <c r="IZ44" s="1247"/>
      <c r="JA44" s="1247"/>
      <c r="JB44" s="1247"/>
      <c r="JC44" s="1247"/>
      <c r="JD44" s="1247"/>
      <c r="JE44" s="1247"/>
      <c r="JF44" s="1247"/>
      <c r="JG44" s="1247"/>
      <c r="JH44" s="1247"/>
      <c r="JI44" s="1247"/>
      <c r="JJ44" s="1247"/>
      <c r="JK44" s="1247"/>
      <c r="JL44" s="1247"/>
      <c r="JM44" s="1247"/>
      <c r="JN44" s="1247"/>
      <c r="JO44" s="1247"/>
      <c r="JP44" s="1247"/>
      <c r="JQ44" s="1247"/>
      <c r="JR44" s="1247"/>
      <c r="JS44" s="1247"/>
      <c r="JT44" s="1247"/>
      <c r="JU44" s="1247"/>
      <c r="JV44" s="1247"/>
      <c r="JW44" s="1247"/>
      <c r="JX44" s="1247"/>
      <c r="JY44" s="1247"/>
      <c r="JZ44" s="1247"/>
      <c r="KA44" s="1247"/>
      <c r="KB44" s="1247"/>
      <c r="KC44" s="1247"/>
      <c r="KD44" s="1247"/>
      <c r="KE44" s="1247"/>
      <c r="KF44" s="1247"/>
      <c r="KG44" s="1247"/>
      <c r="KH44" s="1247"/>
      <c r="KI44" s="1247"/>
      <c r="KJ44" s="1247"/>
      <c r="KK44" s="1247"/>
      <c r="KL44" s="1247"/>
      <c r="KM44" s="1247"/>
      <c r="KN44" s="1247"/>
      <c r="KO44" s="1247"/>
      <c r="KP44" s="1247"/>
      <c r="KQ44" s="1247"/>
      <c r="KR44" s="1247"/>
      <c r="KS44" s="1247"/>
      <c r="KT44" s="1247"/>
      <c r="KU44" s="1247"/>
      <c r="KV44" s="1247"/>
      <c r="KW44" s="1247"/>
      <c r="KX44" s="1247"/>
      <c r="KY44" s="1247"/>
      <c r="KZ44" s="1247"/>
      <c r="LA44" s="1247"/>
      <c r="LB44" s="1247"/>
      <c r="LC44" s="1247"/>
      <c r="LD44" s="1247"/>
      <c r="LE44" s="1247"/>
      <c r="LF44" s="1247"/>
      <c r="LG44" s="1247"/>
      <c r="LH44" s="1247"/>
      <c r="LI44" s="1247"/>
      <c r="LJ44" s="1247"/>
      <c r="LK44" s="1247"/>
      <c r="LL44" s="1247"/>
      <c r="LM44" s="1247"/>
      <c r="LN44" s="1247"/>
      <c r="LO44" s="1247"/>
      <c r="LP44" s="1247"/>
      <c r="LQ44" s="1247"/>
      <c r="LR44" s="1247"/>
      <c r="LS44" s="1247"/>
      <c r="LT44" s="1247"/>
      <c r="LU44" s="1247"/>
      <c r="LV44" s="1247"/>
      <c r="LW44" s="1247"/>
      <c r="LX44" s="1247"/>
      <c r="LY44" s="1247"/>
      <c r="LZ44" s="1247"/>
      <c r="MA44" s="1247"/>
      <c r="MB44" s="1247"/>
      <c r="MC44" s="1247"/>
      <c r="MD44" s="1247"/>
      <c r="ME44" s="1247"/>
      <c r="MF44" s="1247"/>
      <c r="MG44" s="1247"/>
      <c r="MH44" s="1247"/>
      <c r="MI44" s="1247"/>
      <c r="MJ44" s="1247"/>
      <c r="MK44" s="1247"/>
      <c r="ML44" s="1247"/>
      <c r="MM44" s="1247"/>
      <c r="MN44" s="1247"/>
      <c r="MO44" s="1247"/>
      <c r="MP44" s="1247"/>
      <c r="MQ44" s="1247"/>
      <c r="MR44" s="1247"/>
      <c r="MS44" s="1247"/>
      <c r="MT44" s="1247"/>
      <c r="MU44" s="1247"/>
      <c r="MV44" s="1247"/>
      <c r="MW44" s="1247"/>
      <c r="MX44" s="1247"/>
      <c r="MY44" s="1247"/>
      <c r="MZ44" s="1247"/>
      <c r="NA44" s="1247"/>
      <c r="NB44" s="1247"/>
      <c r="NC44" s="1247"/>
      <c r="ND44" s="1247"/>
      <c r="NE44" s="1247"/>
      <c r="NF44" s="1247"/>
      <c r="NG44" s="1247"/>
      <c r="NH44" s="1247"/>
      <c r="NI44" s="1247"/>
      <c r="NJ44" s="1247"/>
      <c r="NK44" s="1247"/>
      <c r="NL44" s="1247"/>
      <c r="NM44" s="1247"/>
      <c r="NN44" s="1247"/>
      <c r="NO44" s="1247"/>
      <c r="NP44" s="1247"/>
      <c r="NQ44" s="1247"/>
      <c r="NR44" s="1247"/>
      <c r="NS44" s="1247"/>
      <c r="NT44" s="1247"/>
      <c r="NU44" s="1247"/>
      <c r="NV44" s="1247"/>
      <c r="NW44" s="1247"/>
      <c r="NX44" s="1247"/>
      <c r="NY44" s="1247"/>
      <c r="NZ44" s="1247"/>
      <c r="OA44" s="1247"/>
      <c r="OB44" s="1247"/>
      <c r="OC44" s="1247"/>
      <c r="OD44" s="1247"/>
      <c r="OE44" s="1247"/>
      <c r="OF44" s="1247"/>
      <c r="OG44" s="1247"/>
      <c r="OH44" s="1247"/>
      <c r="OI44" s="1247"/>
      <c r="OJ44" s="1247"/>
      <c r="OK44" s="1247"/>
      <c r="OL44" s="1247"/>
      <c r="OM44" s="1247"/>
      <c r="ON44" s="1247"/>
      <c r="OO44" s="1247"/>
      <c r="OP44" s="1247"/>
      <c r="OQ44" s="1247"/>
      <c r="OR44" s="1247"/>
      <c r="OS44" s="1247"/>
      <c r="OT44" s="1247"/>
      <c r="OU44" s="1247"/>
      <c r="OV44" s="1247"/>
      <c r="OW44" s="1247"/>
      <c r="OX44" s="1247"/>
      <c r="OY44" s="1247"/>
      <c r="OZ44" s="1247"/>
      <c r="PA44" s="1247"/>
      <c r="PB44" s="1247"/>
      <c r="PC44" s="1247"/>
      <c r="PD44" s="1247"/>
      <c r="PE44" s="1247"/>
      <c r="PF44" s="1247"/>
      <c r="PG44" s="1247"/>
      <c r="PH44" s="1247"/>
      <c r="PI44" s="1247"/>
      <c r="PJ44" s="1247"/>
      <c r="PK44" s="1247"/>
      <c r="PL44" s="1247"/>
      <c r="PM44" s="1247"/>
      <c r="PN44" s="1247"/>
      <c r="PO44" s="1247"/>
      <c r="PP44" s="1247"/>
      <c r="PQ44" s="1247"/>
      <c r="PR44" s="1247"/>
      <c r="PS44" s="1247"/>
      <c r="PT44" s="1247"/>
      <c r="PU44" s="1247"/>
      <c r="PV44" s="1247"/>
      <c r="PW44" s="1247"/>
      <c r="PX44" s="1247"/>
      <c r="PY44" s="1247"/>
      <c r="PZ44" s="1247"/>
      <c r="QA44" s="1247"/>
      <c r="QB44" s="1247"/>
      <c r="QC44" s="1247"/>
      <c r="QD44" s="1247"/>
      <c r="QE44" s="1247"/>
      <c r="QF44" s="1247"/>
      <c r="QG44" s="1247"/>
      <c r="QH44" s="1247"/>
      <c r="QI44" s="1247"/>
      <c r="QJ44" s="1247"/>
      <c r="QK44" s="1247"/>
      <c r="QL44" s="1247"/>
      <c r="QM44" s="1247"/>
      <c r="QN44" s="1247"/>
      <c r="QO44" s="1247"/>
      <c r="QP44" s="1247"/>
      <c r="QQ44" s="1247"/>
      <c r="QR44" s="1247"/>
      <c r="QS44" s="1247"/>
      <c r="QT44" s="1247"/>
      <c r="QU44" s="1247"/>
      <c r="QV44" s="1247"/>
      <c r="QW44" s="1247"/>
      <c r="QX44" s="1247"/>
      <c r="QY44" s="1247"/>
      <c r="QZ44" s="1247"/>
      <c r="RA44" s="1247"/>
      <c r="RB44" s="1247"/>
      <c r="RC44" s="1247"/>
      <c r="RD44" s="1247"/>
      <c r="RE44" s="1247"/>
      <c r="RF44" s="1247"/>
      <c r="RG44" s="1247"/>
      <c r="RH44" s="1247"/>
      <c r="RI44" s="1247"/>
      <c r="RJ44" s="1247"/>
      <c r="RK44" s="1247"/>
      <c r="RL44" s="1247"/>
      <c r="RM44" s="1247"/>
      <c r="RN44" s="1247"/>
      <c r="RO44" s="1247"/>
      <c r="RP44" s="1247"/>
      <c r="RQ44" s="1247"/>
      <c r="RR44" s="1247"/>
      <c r="RS44" s="1247"/>
      <c r="RT44" s="1247"/>
      <c r="RU44" s="1247"/>
      <c r="RV44" s="1247"/>
      <c r="RW44" s="1247"/>
      <c r="RX44" s="1247"/>
      <c r="RY44" s="1247"/>
      <c r="RZ44" s="1247"/>
      <c r="SA44" s="1247"/>
      <c r="SB44" s="1247"/>
      <c r="SC44" s="1247"/>
      <c r="SD44" s="1247"/>
      <c r="SE44" s="1247"/>
      <c r="SF44" s="1247"/>
      <c r="SG44" s="1247"/>
      <c r="SH44" s="1247"/>
      <c r="SI44" s="1247"/>
      <c r="SJ44" s="1247"/>
      <c r="SK44" s="1247"/>
      <c r="SL44" s="1247"/>
      <c r="SM44" s="1247"/>
      <c r="SN44" s="1247"/>
      <c r="SO44" s="1247"/>
      <c r="SP44" s="1247"/>
      <c r="SQ44" s="1247"/>
      <c r="SR44" s="1247"/>
      <c r="SS44" s="1247"/>
      <c r="ST44" s="1247"/>
      <c r="SU44" s="1247"/>
      <c r="SV44" s="1247"/>
      <c r="SW44" s="1247"/>
      <c r="SX44" s="1247"/>
      <c r="SY44" s="1247"/>
      <c r="SZ44" s="1247"/>
      <c r="TA44" s="1247"/>
      <c r="TB44" s="1247"/>
      <c r="TC44" s="1247"/>
      <c r="TD44" s="1247"/>
      <c r="TE44" s="1247"/>
      <c r="TF44" s="1247"/>
      <c r="TG44" s="1247"/>
      <c r="TH44" s="1247"/>
      <c r="TI44" s="1247"/>
      <c r="TJ44" s="1247"/>
      <c r="TK44" s="1247"/>
      <c r="TL44" s="1247"/>
      <c r="TM44" s="1247"/>
      <c r="TN44" s="1247"/>
      <c r="TO44" s="1247"/>
      <c r="TP44" s="1247"/>
      <c r="TQ44" s="1247"/>
      <c r="TR44" s="1247"/>
      <c r="TS44" s="1247"/>
      <c r="TT44" s="1247"/>
      <c r="TU44" s="1247"/>
      <c r="TV44" s="1247"/>
      <c r="TW44" s="1247"/>
      <c r="TX44" s="1247"/>
      <c r="TY44" s="1247"/>
      <c r="TZ44" s="1247"/>
      <c r="UA44" s="1247"/>
      <c r="UB44" s="1247"/>
      <c r="UC44" s="1247"/>
      <c r="UD44" s="1247"/>
      <c r="UE44" s="1247"/>
      <c r="UF44" s="1247"/>
      <c r="UG44" s="1247"/>
      <c r="UH44" s="1247"/>
      <c r="UI44" s="1247"/>
      <c r="UJ44" s="1247"/>
      <c r="UK44" s="1247"/>
      <c r="UL44" s="1247"/>
      <c r="UM44" s="1247"/>
      <c r="UN44" s="1247"/>
      <c r="UO44" s="1247"/>
      <c r="UP44" s="1247"/>
      <c r="UQ44" s="1247"/>
      <c r="UR44" s="1247"/>
      <c r="US44" s="1247"/>
      <c r="UT44" s="1247"/>
      <c r="UU44" s="1247"/>
      <c r="UV44" s="1247"/>
      <c r="UW44" s="1247"/>
      <c r="UX44" s="1247"/>
      <c r="UY44" s="1247"/>
      <c r="UZ44" s="1247"/>
      <c r="VA44" s="1247"/>
      <c r="VB44" s="1247"/>
      <c r="VC44" s="1247"/>
      <c r="VD44" s="1247"/>
      <c r="VE44" s="1247"/>
      <c r="VF44" s="1247"/>
      <c r="VG44" s="1247"/>
      <c r="VH44" s="1247"/>
      <c r="VI44" s="1247"/>
      <c r="VJ44" s="1247"/>
      <c r="VK44" s="1247"/>
      <c r="VL44" s="1247"/>
      <c r="VM44" s="1247"/>
      <c r="VN44" s="1247"/>
      <c r="VO44" s="1247"/>
      <c r="VP44" s="1247"/>
      <c r="VQ44" s="1247"/>
      <c r="VR44" s="1247"/>
      <c r="VS44" s="1247"/>
      <c r="VT44" s="1247"/>
      <c r="VU44" s="1247"/>
      <c r="VV44" s="1247"/>
      <c r="VW44" s="1247"/>
      <c r="VX44" s="1247"/>
      <c r="VY44" s="1247"/>
      <c r="VZ44" s="1247"/>
      <c r="WA44" s="1247"/>
      <c r="WB44" s="1247"/>
      <c r="WC44" s="1247"/>
      <c r="WD44" s="1247"/>
      <c r="WE44" s="1247"/>
      <c r="WF44" s="1247"/>
      <c r="WG44" s="1247"/>
      <c r="WH44" s="1247"/>
      <c r="WI44" s="1247"/>
      <c r="WJ44" s="1247"/>
      <c r="WK44" s="1247"/>
      <c r="WL44" s="1247"/>
      <c r="WM44" s="1247"/>
      <c r="WN44" s="1247"/>
      <c r="WO44" s="1247"/>
      <c r="WP44" s="1247"/>
      <c r="WQ44" s="1247"/>
      <c r="WR44" s="1247"/>
      <c r="WS44" s="1247"/>
      <c r="WT44" s="1247"/>
      <c r="WU44" s="1247"/>
      <c r="WV44" s="1247"/>
      <c r="WW44" s="1247"/>
      <c r="WX44" s="1247"/>
      <c r="WY44" s="1247"/>
      <c r="WZ44" s="1247"/>
      <c r="XA44" s="1247"/>
      <c r="XB44" s="1247"/>
      <c r="XC44" s="1247"/>
      <c r="XD44" s="1247"/>
      <c r="XE44" s="1247"/>
      <c r="XF44" s="1247"/>
      <c r="XG44" s="1247"/>
      <c r="XH44" s="1247"/>
      <c r="XI44" s="1247"/>
      <c r="XJ44" s="1247"/>
      <c r="XK44" s="1247"/>
      <c r="XL44" s="1247"/>
      <c r="XM44" s="1247"/>
      <c r="XN44" s="1247"/>
      <c r="XO44" s="1247"/>
      <c r="XP44" s="1247"/>
      <c r="XQ44" s="1247"/>
      <c r="XR44" s="1247"/>
      <c r="XS44" s="1247"/>
      <c r="XT44" s="1247"/>
      <c r="XU44" s="1247"/>
      <c r="XV44" s="1247"/>
      <c r="XW44" s="1247"/>
      <c r="XX44" s="1247"/>
      <c r="XY44" s="1247"/>
      <c r="XZ44" s="1247"/>
      <c r="YA44" s="1247"/>
      <c r="YB44" s="1247"/>
      <c r="YC44" s="1247"/>
      <c r="YD44" s="1247"/>
      <c r="YE44" s="1247"/>
      <c r="YF44" s="1247"/>
      <c r="YG44" s="1247"/>
      <c r="YH44" s="1247"/>
      <c r="YI44" s="1247"/>
      <c r="YJ44" s="1247"/>
      <c r="YK44" s="1247"/>
      <c r="YL44" s="1247"/>
      <c r="YM44" s="1247"/>
      <c r="YN44" s="1247"/>
      <c r="YO44" s="1247"/>
      <c r="YP44" s="1247"/>
      <c r="YQ44" s="1247"/>
      <c r="YR44" s="1247"/>
      <c r="YS44" s="1247"/>
      <c r="YT44" s="1247"/>
      <c r="YU44" s="1247"/>
      <c r="YV44" s="1247"/>
      <c r="YW44" s="1247"/>
      <c r="YX44" s="1247"/>
      <c r="YY44" s="1247"/>
      <c r="YZ44" s="1247"/>
      <c r="ZA44" s="1247"/>
      <c r="ZB44" s="1247"/>
      <c r="ZC44" s="1247"/>
      <c r="ZD44" s="1247"/>
      <c r="ZE44" s="1247"/>
      <c r="ZF44" s="1247"/>
      <c r="ZG44" s="1247"/>
      <c r="ZH44" s="1247"/>
      <c r="ZI44" s="1247"/>
      <c r="ZJ44" s="1247"/>
      <c r="ZK44" s="1247"/>
      <c r="ZL44" s="1247"/>
      <c r="ZM44" s="1247"/>
      <c r="ZN44" s="1247"/>
      <c r="ZO44" s="1247"/>
      <c r="ZP44" s="1247"/>
      <c r="ZQ44" s="1247"/>
      <c r="ZR44" s="1247"/>
      <c r="ZS44" s="1247"/>
      <c r="ZT44" s="1247"/>
      <c r="ZU44" s="1247"/>
      <c r="ZV44" s="1247"/>
      <c r="ZW44" s="1247"/>
      <c r="ZX44" s="1247"/>
      <c r="ZY44" s="1247"/>
      <c r="ZZ44" s="1247"/>
      <c r="AAA44" s="1247"/>
      <c r="AAB44" s="1247"/>
      <c r="AAC44" s="1247"/>
      <c r="AAD44" s="1247"/>
      <c r="AAE44" s="1247"/>
      <c r="AAF44" s="1247"/>
      <c r="AAG44" s="1247"/>
      <c r="AAH44" s="1247"/>
      <c r="AAI44" s="1247"/>
      <c r="AAJ44" s="1247"/>
      <c r="AAK44" s="1247"/>
      <c r="AAL44" s="1247"/>
      <c r="AAM44" s="1247"/>
      <c r="AAN44" s="1247"/>
      <c r="AAO44" s="1247"/>
      <c r="AAP44" s="1247"/>
      <c r="AAQ44" s="1247"/>
      <c r="AAR44" s="1247"/>
      <c r="AAS44" s="1247"/>
      <c r="AAT44" s="1247"/>
      <c r="AAU44" s="1247"/>
      <c r="AAV44" s="1247"/>
      <c r="AAW44" s="1247"/>
      <c r="AAX44" s="1247"/>
      <c r="AAY44" s="1247"/>
      <c r="AAZ44" s="1247"/>
      <c r="ABA44" s="1247"/>
      <c r="ABB44" s="1247"/>
      <c r="ABC44" s="1247"/>
      <c r="ABD44" s="1247"/>
      <c r="ABE44" s="1247"/>
      <c r="ABF44" s="1247"/>
      <c r="ABG44" s="1247"/>
      <c r="ABH44" s="1247"/>
      <c r="ABI44" s="1247"/>
      <c r="ABJ44" s="1247"/>
      <c r="ABK44" s="1247"/>
      <c r="ABL44" s="1247"/>
      <c r="ABM44" s="1247"/>
      <c r="ABN44" s="1247"/>
      <c r="ABO44" s="1247"/>
      <c r="ABP44" s="1247"/>
      <c r="ABQ44" s="1247"/>
      <c r="ABR44" s="1247"/>
      <c r="ABS44" s="1247"/>
      <c r="ABT44" s="1247"/>
      <c r="ABU44" s="1247"/>
      <c r="ABV44" s="1247"/>
      <c r="ABW44" s="1247"/>
      <c r="ABX44" s="1247"/>
      <c r="ABY44" s="1247"/>
      <c r="ABZ44" s="1247"/>
      <c r="ACA44" s="1247"/>
      <c r="ACB44" s="1247"/>
      <c r="ACC44" s="1247"/>
      <c r="ACD44" s="1247"/>
      <c r="ACE44" s="1247"/>
      <c r="ACF44" s="1247"/>
      <c r="ACG44" s="1247"/>
      <c r="ACH44" s="1247"/>
      <c r="ACI44" s="1247"/>
      <c r="ACJ44" s="1247"/>
      <c r="ACK44" s="1247"/>
      <c r="ACL44" s="1247"/>
      <c r="ACM44" s="1247"/>
      <c r="ACN44" s="1247"/>
      <c r="ACO44" s="1247"/>
      <c r="ACP44" s="1247"/>
      <c r="ACQ44" s="1247"/>
      <c r="ACR44" s="1247"/>
      <c r="ACS44" s="1247"/>
      <c r="ACT44" s="1247"/>
      <c r="ACU44" s="1247"/>
      <c r="ACV44" s="1247"/>
      <c r="ACW44" s="1247"/>
      <c r="ACX44" s="1247"/>
      <c r="ACY44" s="1247"/>
      <c r="ACZ44" s="1247"/>
      <c r="ADA44" s="1247"/>
      <c r="ADB44" s="1247"/>
      <c r="ADC44" s="1247"/>
      <c r="ADD44" s="1247"/>
      <c r="ADE44" s="1247"/>
      <c r="ADF44" s="1247"/>
      <c r="ADG44" s="1247"/>
      <c r="ADH44" s="1247"/>
      <c r="ADI44" s="1247"/>
      <c r="ADJ44" s="1247"/>
      <c r="ADK44" s="1247"/>
      <c r="ADL44" s="1247"/>
      <c r="ADM44" s="1247"/>
      <c r="ADN44" s="1247"/>
      <c r="ADO44" s="1247"/>
      <c r="ADP44" s="1247"/>
      <c r="ADQ44" s="1247"/>
      <c r="ADR44" s="1247"/>
      <c r="ADS44" s="1247"/>
      <c r="ADT44" s="1247"/>
      <c r="ADU44" s="1247"/>
      <c r="ADV44" s="1247"/>
      <c r="ADW44" s="1247"/>
      <c r="ADX44" s="1247"/>
      <c r="ADY44" s="1247"/>
      <c r="ADZ44" s="1247"/>
      <c r="AEA44" s="1247"/>
      <c r="AEB44" s="1247"/>
      <c r="AEC44" s="1247"/>
      <c r="AED44" s="1247"/>
      <c r="AEE44" s="1247"/>
      <c r="AEF44" s="1247"/>
      <c r="AEG44" s="1247"/>
      <c r="AEH44" s="1247"/>
      <c r="AEI44" s="1247"/>
      <c r="AEJ44" s="1247"/>
      <c r="AEK44" s="1247"/>
      <c r="AEL44" s="1247"/>
      <c r="AEM44" s="1247"/>
      <c r="AEN44" s="1247"/>
      <c r="AEO44" s="1247"/>
      <c r="AEP44" s="1247"/>
      <c r="AEQ44" s="1247"/>
      <c r="AER44" s="1247"/>
      <c r="AES44" s="1247"/>
      <c r="AET44" s="1247"/>
      <c r="AEU44" s="1247"/>
      <c r="AEV44" s="1247"/>
      <c r="AEW44" s="1247"/>
      <c r="AEX44" s="1247"/>
      <c r="AEY44" s="1247"/>
      <c r="AEZ44" s="1247"/>
      <c r="AFA44" s="1247"/>
      <c r="AFB44" s="1247"/>
      <c r="AFC44" s="1247"/>
      <c r="AFD44" s="1247"/>
      <c r="AFE44" s="1247"/>
      <c r="AFF44" s="1247"/>
      <c r="AFG44" s="1247"/>
      <c r="AFH44" s="1247"/>
      <c r="AFI44" s="1247"/>
      <c r="AFJ44" s="1247"/>
      <c r="AFK44" s="1247"/>
      <c r="AFL44" s="1247"/>
      <c r="AFM44" s="1247"/>
      <c r="AFN44" s="1247"/>
      <c r="AFO44" s="1247"/>
      <c r="AFP44" s="1247"/>
      <c r="AFQ44" s="1247"/>
      <c r="AFR44" s="1247"/>
      <c r="AFS44" s="1247"/>
      <c r="AFT44" s="1247"/>
      <c r="AFU44" s="1247"/>
      <c r="AFV44" s="1247"/>
      <c r="AFW44" s="1247"/>
      <c r="AFX44" s="1247"/>
      <c r="AFY44" s="1247"/>
      <c r="AFZ44" s="1247"/>
      <c r="AGA44" s="1247"/>
      <c r="AGB44" s="1247"/>
      <c r="AGC44" s="1247"/>
      <c r="AGD44" s="1247"/>
      <c r="AGE44" s="1247"/>
      <c r="AGF44" s="1247"/>
      <c r="AGG44" s="1247"/>
      <c r="AGH44" s="1247"/>
      <c r="AGI44" s="1247"/>
      <c r="AGJ44" s="1247"/>
      <c r="AGK44" s="1247"/>
      <c r="AGL44" s="1247"/>
      <c r="AGM44" s="1247"/>
      <c r="AGN44" s="1247"/>
      <c r="AGO44" s="1247"/>
      <c r="AGP44" s="1247"/>
      <c r="AGQ44" s="1247"/>
      <c r="AGR44" s="1247"/>
      <c r="AGS44" s="1247"/>
      <c r="AGT44" s="1247"/>
      <c r="AGU44" s="1247"/>
      <c r="AGV44" s="1247"/>
      <c r="AGW44" s="1247"/>
      <c r="AGX44" s="1247"/>
      <c r="AGY44" s="1247"/>
      <c r="AGZ44" s="1247"/>
      <c r="AHA44" s="1247"/>
      <c r="AHB44" s="1247"/>
      <c r="AHC44" s="1247"/>
      <c r="AHD44" s="1247"/>
      <c r="AHE44" s="1247"/>
      <c r="AHF44" s="1247"/>
      <c r="AHG44" s="1247"/>
      <c r="AHH44" s="1247"/>
      <c r="AHI44" s="1247"/>
      <c r="AHJ44" s="1247"/>
      <c r="AHK44" s="1247"/>
      <c r="AHL44" s="1247"/>
      <c r="AHM44" s="1247"/>
      <c r="AHN44" s="1247"/>
      <c r="AHO44" s="1247"/>
      <c r="AHP44" s="1247"/>
      <c r="AHQ44" s="1247"/>
      <c r="AHR44" s="1247"/>
      <c r="AHS44" s="1247"/>
      <c r="AHT44" s="1247"/>
      <c r="AHU44" s="1247"/>
      <c r="AHV44" s="1247"/>
      <c r="AHW44" s="1247"/>
      <c r="AHX44" s="1247"/>
      <c r="AHY44" s="1247"/>
      <c r="AHZ44" s="1247"/>
      <c r="AIA44" s="1247"/>
      <c r="AIB44" s="1247"/>
      <c r="AIC44" s="1247"/>
      <c r="AID44" s="1247"/>
      <c r="AIE44" s="1247"/>
      <c r="AIF44" s="1247"/>
      <c r="AIG44" s="1247"/>
      <c r="AIH44" s="1247"/>
      <c r="AII44" s="1247"/>
      <c r="AIJ44" s="1247"/>
      <c r="AIK44" s="1247"/>
      <c r="AIL44" s="1247"/>
      <c r="AIM44" s="1247"/>
      <c r="AIN44" s="1247"/>
      <c r="AIO44" s="1247"/>
      <c r="AIP44" s="1247"/>
      <c r="AIQ44" s="1247"/>
      <c r="AIR44" s="1247"/>
      <c r="AIS44" s="1247"/>
      <c r="AIT44" s="1247"/>
      <c r="AIU44" s="1247"/>
      <c r="AIV44" s="1247"/>
      <c r="AIW44" s="1247"/>
      <c r="AIX44" s="1247"/>
      <c r="AIY44" s="1247"/>
      <c r="AIZ44" s="1247"/>
      <c r="AJA44" s="1247"/>
      <c r="AJB44" s="1247"/>
      <c r="AJC44" s="1247"/>
      <c r="AJD44" s="1247"/>
      <c r="AJE44" s="1247"/>
      <c r="AJF44" s="1247"/>
      <c r="AJG44" s="1247"/>
      <c r="AJH44" s="1247"/>
      <c r="AJI44" s="1247"/>
      <c r="AJJ44" s="1247"/>
      <c r="AJK44" s="1247"/>
      <c r="AJL44" s="1247"/>
      <c r="AJM44" s="1247"/>
      <c r="AJN44" s="1247"/>
      <c r="AJO44" s="1247"/>
      <c r="AJP44" s="1247"/>
      <c r="AJQ44" s="1247"/>
      <c r="AJR44" s="1247"/>
      <c r="AJS44" s="1247"/>
      <c r="AJT44" s="1247"/>
      <c r="AJU44" s="1247"/>
      <c r="AJV44" s="1247"/>
      <c r="AJW44" s="1247"/>
      <c r="AJX44" s="1247"/>
      <c r="AJY44" s="1247"/>
      <c r="AJZ44" s="1247"/>
      <c r="AKA44" s="1247"/>
      <c r="AKB44" s="1247"/>
      <c r="AKC44" s="1247"/>
      <c r="AKD44" s="1247"/>
      <c r="AKE44" s="1247"/>
      <c r="AKF44" s="1247"/>
      <c r="AKG44" s="1247"/>
      <c r="AKH44" s="1247"/>
      <c r="AKI44" s="1247"/>
      <c r="AKJ44" s="1247"/>
      <c r="AKK44" s="1247"/>
      <c r="AKL44" s="1247"/>
      <c r="AKM44" s="1247"/>
      <c r="AKN44" s="1247"/>
      <c r="AKO44" s="1247"/>
      <c r="AKP44" s="1247"/>
      <c r="AKQ44" s="1247"/>
      <c r="AKR44" s="1247"/>
      <c r="AKS44" s="1247"/>
      <c r="AKT44" s="1247"/>
      <c r="AKU44" s="1247"/>
      <c r="AKV44" s="1247"/>
      <c r="AKW44" s="1247"/>
      <c r="AKX44" s="1247"/>
      <c r="AKY44" s="1247"/>
      <c r="AKZ44" s="1247"/>
      <c r="ALA44" s="1247"/>
      <c r="ALB44" s="1247"/>
      <c r="ALC44" s="1247"/>
      <c r="ALD44" s="1247"/>
      <c r="ALE44" s="1247"/>
      <c r="ALF44" s="1247"/>
      <c r="ALG44" s="1247"/>
      <c r="ALH44" s="1247"/>
      <c r="ALI44" s="1247"/>
      <c r="ALJ44" s="1247"/>
      <c r="ALK44" s="1247"/>
      <c r="ALL44" s="1247"/>
      <c r="ALM44" s="1247"/>
      <c r="ALN44" s="1247"/>
      <c r="ALO44" s="1247"/>
      <c r="ALP44" s="1247"/>
      <c r="ALQ44" s="1247"/>
      <c r="ALR44" s="1247"/>
      <c r="ALS44" s="1247"/>
      <c r="ALT44" s="1247"/>
      <c r="ALU44" s="1247"/>
      <c r="ALV44" s="1247"/>
      <c r="ALW44" s="1247"/>
      <c r="ALX44" s="1247"/>
      <c r="ALY44" s="1247"/>
      <c r="ALZ44" s="1247"/>
      <c r="AMA44" s="1247"/>
      <c r="AMB44" s="1247"/>
      <c r="AMC44" s="1247"/>
      <c r="AMD44" s="1247"/>
      <c r="AME44" s="1247"/>
      <c r="AMF44" s="1247"/>
      <c r="AMG44" s="1247"/>
      <c r="AMH44" s="1247"/>
      <c r="AMI44" s="1247"/>
      <c r="AMJ44" s="1247"/>
      <c r="AMK44" s="1247"/>
      <c r="AML44" s="1247"/>
      <c r="AMM44" s="1247"/>
      <c r="AMN44" s="1247"/>
      <c r="AMO44" s="1247"/>
      <c r="AMP44" s="1247"/>
      <c r="AMQ44" s="1247"/>
      <c r="AMR44" s="1247"/>
      <c r="AMS44" s="1247"/>
      <c r="AMT44" s="1247"/>
      <c r="AMU44" s="1247"/>
      <c r="AMV44" s="1247"/>
      <c r="AMW44" s="1247"/>
      <c r="AMX44" s="1247"/>
      <c r="AMY44" s="1247"/>
      <c r="AMZ44" s="1247"/>
      <c r="ANA44" s="1247"/>
      <c r="ANB44" s="1247"/>
      <c r="ANC44" s="1247"/>
      <c r="AND44" s="1247"/>
      <c r="ANE44" s="1247"/>
      <c r="ANF44" s="1247"/>
      <c r="ANG44" s="1247"/>
      <c r="ANH44" s="1247"/>
      <c r="ANI44" s="1247"/>
      <c r="ANJ44" s="1247"/>
      <c r="ANK44" s="1247"/>
      <c r="ANL44" s="1247"/>
      <c r="ANM44" s="1247"/>
      <c r="ANN44" s="1247"/>
      <c r="ANO44" s="1247"/>
      <c r="ANP44" s="1247"/>
      <c r="ANQ44" s="1247"/>
      <c r="ANR44" s="1247"/>
      <c r="ANS44" s="1247"/>
      <c r="ANT44" s="1247"/>
      <c r="ANU44" s="1247"/>
      <c r="ANV44" s="1247"/>
      <c r="ANW44" s="1247"/>
      <c r="ANX44" s="1247"/>
      <c r="ANY44" s="1247"/>
      <c r="ANZ44" s="1247"/>
      <c r="AOA44" s="1247"/>
      <c r="AOB44" s="1247"/>
      <c r="AOC44" s="1247"/>
      <c r="AOD44" s="1247"/>
      <c r="AOE44" s="1247"/>
      <c r="AOF44" s="1247"/>
      <c r="AOG44" s="1247"/>
      <c r="AOH44" s="1247"/>
      <c r="AOI44" s="1247"/>
      <c r="AOJ44" s="1247"/>
      <c r="AOK44" s="1247"/>
      <c r="AOL44" s="1247"/>
      <c r="AOM44" s="1247"/>
      <c r="AON44" s="1247"/>
      <c r="AOO44" s="1247"/>
      <c r="AOP44" s="1247"/>
      <c r="AOQ44" s="1247"/>
      <c r="AOR44" s="1247"/>
      <c r="AOS44" s="1247"/>
      <c r="AOT44" s="1247"/>
      <c r="AOU44" s="1247"/>
      <c r="AOV44" s="1247"/>
      <c r="AOW44" s="1247"/>
      <c r="AOX44" s="1247"/>
      <c r="AOY44" s="1247"/>
      <c r="AOZ44" s="1247"/>
      <c r="APA44" s="1247"/>
      <c r="APB44" s="1247"/>
      <c r="APC44" s="1247"/>
      <c r="APD44" s="1247"/>
      <c r="APE44" s="1247"/>
      <c r="APF44" s="1247"/>
      <c r="APG44" s="1247"/>
      <c r="APH44" s="1247"/>
      <c r="API44" s="1247"/>
      <c r="APJ44" s="1247"/>
      <c r="APK44" s="1247"/>
      <c r="APL44" s="1247"/>
      <c r="APM44" s="1247"/>
      <c r="APN44" s="1247"/>
      <c r="APO44" s="1247"/>
      <c r="APP44" s="1247"/>
      <c r="APQ44" s="1247"/>
      <c r="APR44" s="1247"/>
      <c r="APS44" s="1247"/>
      <c r="APT44" s="1247"/>
      <c r="APU44" s="1247"/>
      <c r="APV44" s="1247"/>
      <c r="APW44" s="1247"/>
      <c r="APX44" s="1247"/>
      <c r="APY44" s="1247"/>
      <c r="APZ44" s="1247"/>
      <c r="AQA44" s="1247"/>
      <c r="AQB44" s="1247"/>
      <c r="AQC44" s="1247"/>
      <c r="AQD44" s="1247"/>
      <c r="AQE44" s="1247"/>
      <c r="AQF44" s="1247"/>
      <c r="AQG44" s="1247"/>
      <c r="AQH44" s="1247"/>
      <c r="AQI44" s="1247"/>
      <c r="AQJ44" s="1247"/>
      <c r="AQK44" s="1247"/>
      <c r="AQL44" s="1247"/>
      <c r="AQM44" s="1247"/>
      <c r="AQN44" s="1247"/>
      <c r="AQO44" s="1247"/>
      <c r="AQP44" s="1247"/>
      <c r="AQQ44" s="1247"/>
      <c r="AQR44" s="1247"/>
      <c r="AQS44" s="1247"/>
      <c r="AQT44" s="1247"/>
      <c r="AQU44" s="1247"/>
      <c r="AQV44" s="1247"/>
      <c r="AQW44" s="1247"/>
      <c r="AQX44" s="1247"/>
      <c r="AQY44" s="1247"/>
      <c r="AQZ44" s="1247"/>
      <c r="ARA44" s="1247"/>
      <c r="ARB44" s="1247"/>
      <c r="ARC44" s="1247"/>
      <c r="ARD44" s="1247"/>
      <c r="ARE44" s="1247"/>
      <c r="ARF44" s="1247"/>
      <c r="ARG44" s="1247"/>
      <c r="ARH44" s="1247"/>
      <c r="ARI44" s="1247"/>
      <c r="ARJ44" s="1247"/>
      <c r="ARK44" s="1247"/>
      <c r="ARL44" s="1247"/>
      <c r="ARM44" s="1247"/>
      <c r="ARN44" s="1247"/>
      <c r="ARO44" s="1247"/>
      <c r="ARP44" s="1247"/>
      <c r="ARQ44" s="1247"/>
      <c r="ARR44" s="1247"/>
      <c r="ARS44" s="1247"/>
      <c r="ART44" s="1247"/>
      <c r="ARU44" s="1247"/>
      <c r="ARV44" s="1247"/>
      <c r="ARW44" s="1247"/>
      <c r="ARX44" s="1247"/>
      <c r="ARY44" s="1247"/>
      <c r="ARZ44" s="1247"/>
      <c r="ASA44" s="1247"/>
      <c r="ASB44" s="1247"/>
      <c r="ASC44" s="1247"/>
      <c r="ASD44" s="1247"/>
      <c r="ASE44" s="1247"/>
      <c r="ASF44" s="1247"/>
      <c r="ASG44" s="1247"/>
      <c r="ASH44" s="1247"/>
      <c r="ASI44" s="1247"/>
      <c r="ASJ44" s="1247"/>
      <c r="ASK44" s="1247"/>
      <c r="ASL44" s="1247"/>
      <c r="ASM44" s="1247"/>
      <c r="ASN44" s="1247"/>
      <c r="ASO44" s="1247"/>
      <c r="ASP44" s="1247"/>
      <c r="ASQ44" s="1247"/>
      <c r="ASR44" s="1247"/>
      <c r="ASS44" s="1247"/>
      <c r="AST44" s="1247"/>
      <c r="ASU44" s="1247"/>
      <c r="ASV44" s="1247"/>
      <c r="ASW44" s="1247"/>
      <c r="ASX44" s="1247"/>
      <c r="ASY44" s="1247"/>
      <c r="ASZ44" s="1247"/>
      <c r="ATA44" s="1247"/>
      <c r="ATB44" s="1247"/>
      <c r="ATC44" s="1247"/>
      <c r="ATD44" s="1247"/>
      <c r="ATE44" s="1247"/>
      <c r="ATF44" s="1247"/>
      <c r="ATG44" s="1247"/>
      <c r="ATH44" s="1247"/>
      <c r="ATI44" s="1247"/>
      <c r="ATJ44" s="1247"/>
      <c r="ATK44" s="1247"/>
      <c r="ATL44" s="1247"/>
      <c r="ATM44" s="1247"/>
      <c r="ATN44" s="1247"/>
      <c r="ATO44" s="1247"/>
      <c r="ATP44" s="1247"/>
      <c r="ATQ44" s="1247"/>
      <c r="ATR44" s="1247"/>
      <c r="ATS44" s="1247"/>
      <c r="ATT44" s="1247"/>
      <c r="ATU44" s="1247"/>
      <c r="ATV44" s="1247"/>
      <c r="ATW44" s="1247"/>
      <c r="ATX44" s="1247"/>
      <c r="ATY44" s="1247"/>
      <c r="ATZ44" s="1247"/>
      <c r="AUA44" s="1247"/>
      <c r="AUB44" s="1247"/>
      <c r="AUC44" s="1247"/>
      <c r="AUD44" s="1247"/>
      <c r="AUE44" s="1247"/>
      <c r="AUF44" s="1247"/>
      <c r="AUG44" s="1247"/>
      <c r="AUH44" s="1247"/>
      <c r="AUI44" s="1247"/>
      <c r="AUJ44" s="1247"/>
      <c r="AUK44" s="1247"/>
      <c r="AUL44" s="1247"/>
      <c r="AUM44" s="1247"/>
      <c r="AUN44" s="1247"/>
      <c r="AUO44" s="1247"/>
      <c r="AUP44" s="1247"/>
      <c r="AUQ44" s="1247"/>
      <c r="AUR44" s="1247"/>
      <c r="AUS44" s="1247"/>
      <c r="AUT44" s="1247"/>
      <c r="AUU44" s="1247"/>
      <c r="AUV44" s="1247"/>
      <c r="AUW44" s="1247"/>
      <c r="AUX44" s="1247"/>
      <c r="AUY44" s="1247"/>
      <c r="AUZ44" s="1247"/>
      <c r="AVA44" s="1247"/>
      <c r="AVB44" s="1247"/>
      <c r="AVC44" s="1247"/>
      <c r="AVD44" s="1247"/>
      <c r="AVE44" s="1247"/>
      <c r="AVF44" s="1247"/>
      <c r="AVG44" s="1247"/>
      <c r="AVH44" s="1247"/>
      <c r="AVI44" s="1247"/>
      <c r="AVJ44" s="1247"/>
      <c r="AVK44" s="1247"/>
      <c r="AVL44" s="1247"/>
      <c r="AVM44" s="1247"/>
      <c r="AVN44" s="1247"/>
      <c r="AVO44" s="1247"/>
      <c r="AVP44" s="1247"/>
      <c r="AVQ44" s="1247"/>
      <c r="AVR44" s="1247"/>
      <c r="AVS44" s="1247"/>
      <c r="AVT44" s="1247"/>
      <c r="AVU44" s="1247"/>
      <c r="AVV44" s="1247"/>
      <c r="AVW44" s="1247"/>
      <c r="AVX44" s="1247"/>
      <c r="AVY44" s="1247"/>
      <c r="AVZ44" s="1247"/>
      <c r="AWA44" s="1247"/>
      <c r="AWB44" s="1247"/>
      <c r="AWC44" s="1247"/>
      <c r="AWD44" s="1247"/>
      <c r="AWE44" s="1247"/>
      <c r="AWF44" s="1247"/>
      <c r="AWG44" s="1247"/>
      <c r="AWH44" s="1247"/>
      <c r="AWI44" s="1247"/>
      <c r="AWJ44" s="1247"/>
      <c r="AWK44" s="1247"/>
      <c r="AWL44" s="1247"/>
      <c r="AWM44" s="1247"/>
      <c r="AWN44" s="1247"/>
      <c r="AWO44" s="1247"/>
      <c r="AWP44" s="1247"/>
      <c r="AWQ44" s="1247"/>
      <c r="AWR44" s="1247"/>
      <c r="AWS44" s="1247"/>
      <c r="AWT44" s="1247"/>
      <c r="AWU44" s="1247"/>
      <c r="AWV44" s="1247"/>
      <c r="AWW44" s="1247"/>
      <c r="AWX44" s="1247"/>
      <c r="AWY44" s="1247"/>
      <c r="AWZ44" s="1247"/>
      <c r="AXA44" s="1247"/>
      <c r="AXB44" s="1247"/>
      <c r="AXC44" s="1247"/>
      <c r="AXD44" s="1247"/>
      <c r="AXE44" s="1247"/>
      <c r="AXF44" s="1247"/>
      <c r="AXG44" s="1247"/>
      <c r="AXH44" s="1247"/>
      <c r="AXI44" s="1247"/>
      <c r="AXJ44" s="1247"/>
      <c r="AXK44" s="1247"/>
      <c r="AXL44" s="1247"/>
      <c r="AXM44" s="1247"/>
      <c r="AXN44" s="1247"/>
      <c r="AXO44" s="1247"/>
      <c r="AXP44" s="1247"/>
      <c r="AXQ44" s="1247"/>
      <c r="AXR44" s="1247"/>
      <c r="AXS44" s="1247"/>
      <c r="AXT44" s="1247"/>
      <c r="AXU44" s="1247"/>
      <c r="AXV44" s="1247"/>
      <c r="AXW44" s="1247"/>
      <c r="AXX44" s="1247"/>
      <c r="AXY44" s="1247"/>
      <c r="AXZ44" s="1247"/>
      <c r="AYA44" s="1247"/>
      <c r="AYB44" s="1247"/>
      <c r="AYC44" s="1247"/>
      <c r="AYD44" s="1247"/>
      <c r="AYE44" s="1247"/>
      <c r="AYF44" s="1247"/>
      <c r="AYG44" s="1247"/>
      <c r="AYH44" s="1247"/>
      <c r="AYI44" s="1247"/>
      <c r="AYJ44" s="1247"/>
      <c r="AYK44" s="1247"/>
      <c r="AYL44" s="1247"/>
      <c r="AYM44" s="1247"/>
      <c r="AYN44" s="1247"/>
      <c r="AYO44" s="1247"/>
      <c r="AYP44" s="1247"/>
      <c r="AYQ44" s="1247"/>
      <c r="AYR44" s="1247"/>
      <c r="AYS44" s="1247"/>
      <c r="AYT44" s="1247"/>
      <c r="AYU44" s="1247"/>
      <c r="AYV44" s="1247"/>
      <c r="AYW44" s="1247"/>
      <c r="AYX44" s="1247"/>
      <c r="AYY44" s="1247"/>
      <c r="AYZ44" s="1247"/>
      <c r="AZA44" s="1247"/>
      <c r="AZB44" s="1247"/>
      <c r="AZC44" s="1247"/>
      <c r="AZD44" s="1247"/>
      <c r="AZE44" s="1247"/>
      <c r="AZF44" s="1247"/>
      <c r="AZG44" s="1247"/>
      <c r="AZH44" s="1247"/>
      <c r="AZI44" s="1247"/>
      <c r="AZJ44" s="1247"/>
      <c r="AZK44" s="1247"/>
      <c r="AZL44" s="1247"/>
      <c r="AZM44" s="1247"/>
      <c r="AZN44" s="1247"/>
      <c r="AZO44" s="1247"/>
      <c r="AZP44" s="1247"/>
      <c r="AZQ44" s="1247"/>
      <c r="AZR44" s="1247"/>
      <c r="AZS44" s="1247"/>
      <c r="AZT44" s="1247"/>
      <c r="AZU44" s="1247"/>
      <c r="AZV44" s="1247"/>
      <c r="AZW44" s="1247"/>
      <c r="AZX44" s="1247"/>
      <c r="AZY44" s="1247"/>
      <c r="AZZ44" s="1247"/>
      <c r="BAA44" s="1247"/>
      <c r="BAB44" s="1247"/>
      <c r="BAC44" s="1247"/>
      <c r="BAD44" s="1247"/>
      <c r="BAE44" s="1247"/>
      <c r="BAF44" s="1247"/>
      <c r="BAG44" s="1247"/>
      <c r="BAH44" s="1247"/>
      <c r="BAI44" s="1247"/>
      <c r="BAJ44" s="1247"/>
      <c r="BAK44" s="1247"/>
      <c r="BAL44" s="1247"/>
      <c r="BAM44" s="1247"/>
      <c r="BAN44" s="1247"/>
      <c r="BAO44" s="1247"/>
      <c r="BAP44" s="1247"/>
      <c r="BAQ44" s="1247"/>
      <c r="BAR44" s="1247"/>
      <c r="BAS44" s="1247"/>
      <c r="BAT44" s="1247"/>
      <c r="BAU44" s="1247"/>
      <c r="BAV44" s="1247"/>
      <c r="BAW44" s="1247"/>
      <c r="BAX44" s="1247"/>
      <c r="BAY44" s="1247"/>
      <c r="BAZ44" s="1247"/>
      <c r="BBA44" s="1247"/>
      <c r="BBB44" s="1247"/>
      <c r="BBC44" s="1247"/>
      <c r="BBD44" s="1247"/>
      <c r="BBE44" s="1247"/>
      <c r="BBF44" s="1247"/>
      <c r="BBG44" s="1247"/>
      <c r="BBH44" s="1247"/>
      <c r="BBI44" s="1247"/>
      <c r="BBJ44" s="1247"/>
      <c r="BBK44" s="1247"/>
      <c r="BBL44" s="1247"/>
      <c r="BBM44" s="1247"/>
      <c r="BBN44" s="1247"/>
      <c r="BBO44" s="1247"/>
      <c r="BBP44" s="1247"/>
      <c r="BBQ44" s="1247"/>
      <c r="BBR44" s="1247"/>
      <c r="BBS44" s="1247"/>
      <c r="BBT44" s="1247"/>
      <c r="BBU44" s="1247"/>
      <c r="BBV44" s="1247"/>
      <c r="BBW44" s="1247"/>
      <c r="BBX44" s="1247"/>
      <c r="BBY44" s="1247"/>
      <c r="BBZ44" s="1247"/>
      <c r="BCA44" s="1247"/>
      <c r="BCB44" s="1247"/>
      <c r="BCC44" s="1247"/>
      <c r="BCD44" s="1247"/>
      <c r="BCE44" s="1247"/>
      <c r="BCF44" s="1247"/>
      <c r="BCG44" s="1247"/>
      <c r="BCH44" s="1247"/>
      <c r="BCI44" s="1247"/>
      <c r="BCJ44" s="1247"/>
      <c r="BCK44" s="1247"/>
      <c r="BCL44" s="1247"/>
      <c r="BCM44" s="1247"/>
      <c r="BCN44" s="1247"/>
      <c r="BCO44" s="1247"/>
      <c r="BCP44" s="1247"/>
      <c r="BCQ44" s="1247"/>
      <c r="BCR44" s="1247"/>
      <c r="BCS44" s="1247"/>
      <c r="BCT44" s="1247"/>
      <c r="BCU44" s="1247"/>
      <c r="BCV44" s="1247"/>
      <c r="BCW44" s="1247"/>
      <c r="BCX44" s="1247"/>
      <c r="BCY44" s="1247"/>
      <c r="BCZ44" s="1247"/>
      <c r="BDA44" s="1247"/>
      <c r="BDB44" s="1247"/>
      <c r="BDC44" s="1247"/>
      <c r="BDD44" s="1247"/>
      <c r="BDE44" s="1247"/>
      <c r="BDF44" s="1247"/>
      <c r="BDG44" s="1247"/>
      <c r="BDH44" s="1247"/>
      <c r="BDI44" s="1247"/>
      <c r="BDJ44" s="1247"/>
      <c r="BDK44" s="1247"/>
      <c r="BDL44" s="1247"/>
      <c r="BDM44" s="1247"/>
      <c r="BDN44" s="1247"/>
      <c r="BDO44" s="1247"/>
      <c r="BDP44" s="1247"/>
      <c r="BDQ44" s="1247"/>
      <c r="BDR44" s="1247"/>
      <c r="BDS44" s="1247"/>
      <c r="BDT44" s="1247"/>
      <c r="BDU44" s="1247"/>
      <c r="BDV44" s="1247"/>
      <c r="BDW44" s="1247"/>
      <c r="BDX44" s="1247"/>
      <c r="BDY44" s="1247"/>
      <c r="BDZ44" s="1247"/>
      <c r="BEA44" s="1247"/>
      <c r="BEB44" s="1247"/>
      <c r="BEC44" s="1247"/>
      <c r="BED44" s="1247"/>
      <c r="BEE44" s="1247"/>
      <c r="BEF44" s="1247"/>
      <c r="BEG44" s="1247"/>
      <c r="BEH44" s="1247"/>
      <c r="BEI44" s="1247"/>
      <c r="BEJ44" s="1247"/>
      <c r="BEK44" s="1247"/>
      <c r="BEL44" s="1247"/>
      <c r="BEM44" s="1247"/>
      <c r="BEN44" s="1247"/>
      <c r="BEO44" s="1247"/>
      <c r="BEP44" s="1247"/>
      <c r="BEQ44" s="1247"/>
      <c r="BER44" s="1247"/>
      <c r="BES44" s="1247"/>
      <c r="BET44" s="1247"/>
      <c r="BEU44" s="1247"/>
      <c r="BEV44" s="1247"/>
      <c r="BEW44" s="1247"/>
      <c r="BEX44" s="1247"/>
      <c r="BEY44" s="1247"/>
      <c r="BEZ44" s="1247"/>
      <c r="BFA44" s="1247"/>
      <c r="BFB44" s="1247"/>
      <c r="BFC44" s="1247"/>
      <c r="BFD44" s="1247"/>
      <c r="BFE44" s="1247"/>
      <c r="BFF44" s="1247"/>
      <c r="BFG44" s="1247"/>
      <c r="BFH44" s="1247"/>
      <c r="BFI44" s="1247"/>
      <c r="BFJ44" s="1247"/>
      <c r="BFK44" s="1247"/>
      <c r="BFL44" s="1247"/>
      <c r="BFM44" s="1247"/>
      <c r="BFN44" s="1247"/>
      <c r="BFO44" s="1247"/>
      <c r="BFP44" s="1247"/>
      <c r="BFQ44" s="1247"/>
      <c r="BFR44" s="1247"/>
      <c r="BFS44" s="1247"/>
      <c r="BFT44" s="1247"/>
      <c r="BFU44" s="1247"/>
      <c r="BFV44" s="1247"/>
      <c r="BFW44" s="1247"/>
      <c r="BFX44" s="1247"/>
      <c r="BFY44" s="1247"/>
      <c r="BFZ44" s="1247"/>
      <c r="BGA44" s="1247"/>
      <c r="BGB44" s="1247"/>
      <c r="BGC44" s="1247"/>
      <c r="BGD44" s="1247"/>
      <c r="BGE44" s="1247"/>
      <c r="BGF44" s="1247"/>
      <c r="BGG44" s="1247"/>
      <c r="BGH44" s="1247"/>
      <c r="BGI44" s="1247"/>
      <c r="BGJ44" s="1247"/>
      <c r="BGK44" s="1247"/>
      <c r="BGL44" s="1247"/>
      <c r="BGM44" s="1247"/>
      <c r="BGN44" s="1247"/>
      <c r="BGO44" s="1247"/>
      <c r="BGP44" s="1247"/>
      <c r="BGQ44" s="1247"/>
      <c r="BGR44" s="1247"/>
      <c r="BGS44" s="1247"/>
      <c r="BGT44" s="1247"/>
      <c r="BGU44" s="1247"/>
      <c r="BGV44" s="1247"/>
      <c r="BGW44" s="1247"/>
      <c r="BGX44" s="1247"/>
      <c r="BGY44" s="1247"/>
      <c r="BGZ44" s="1247"/>
      <c r="BHA44" s="1247"/>
      <c r="BHB44" s="1247"/>
      <c r="BHC44" s="1247"/>
      <c r="BHD44" s="1247"/>
      <c r="BHE44" s="1247"/>
      <c r="BHF44" s="1247"/>
      <c r="BHG44" s="1247"/>
      <c r="BHH44" s="1247"/>
      <c r="BHI44" s="1247"/>
      <c r="BHJ44" s="1247"/>
      <c r="BHK44" s="1247"/>
      <c r="BHL44" s="1247"/>
      <c r="BHM44" s="1247"/>
      <c r="BHN44" s="1247"/>
      <c r="BHO44" s="1247"/>
      <c r="BHP44" s="1247"/>
      <c r="BHQ44" s="1247"/>
      <c r="BHR44" s="1247"/>
      <c r="BHS44" s="1247"/>
      <c r="BHT44" s="1247"/>
      <c r="BHU44" s="1247"/>
      <c r="BHV44" s="1247"/>
      <c r="BHW44" s="1247"/>
      <c r="BHX44" s="1247"/>
      <c r="BHY44" s="1247"/>
      <c r="BHZ44" s="1247"/>
      <c r="BIA44" s="1247"/>
      <c r="BIB44" s="1247"/>
      <c r="BIC44" s="1247"/>
      <c r="BID44" s="1247"/>
      <c r="BIE44" s="1247"/>
      <c r="BIF44" s="1247"/>
      <c r="BIG44" s="1247"/>
      <c r="BIH44" s="1247"/>
      <c r="BII44" s="1247"/>
      <c r="BIJ44" s="1247"/>
      <c r="BIK44" s="1247"/>
      <c r="BIL44" s="1247"/>
      <c r="BIM44" s="1247"/>
      <c r="BIN44" s="1247"/>
      <c r="BIO44" s="1247"/>
      <c r="BIP44" s="1247"/>
      <c r="BIQ44" s="1247"/>
      <c r="BIR44" s="1247"/>
      <c r="BIS44" s="1247"/>
      <c r="BIT44" s="1247"/>
      <c r="BIU44" s="1247"/>
      <c r="BIV44" s="1247"/>
      <c r="BIW44" s="1247"/>
      <c r="BIX44" s="1247"/>
      <c r="BIY44" s="1247"/>
      <c r="BIZ44" s="1247"/>
      <c r="BJA44" s="1247"/>
      <c r="BJB44" s="1247"/>
      <c r="BJC44" s="1247"/>
      <c r="BJD44" s="1247"/>
      <c r="BJE44" s="1247"/>
      <c r="BJF44" s="1247"/>
      <c r="BJG44" s="1247"/>
      <c r="BJH44" s="1247"/>
      <c r="BJI44" s="1247"/>
      <c r="BJJ44" s="1247"/>
      <c r="BJK44" s="1247"/>
      <c r="BJL44" s="1247"/>
      <c r="BJM44" s="1247"/>
      <c r="BJN44" s="1247"/>
      <c r="BJO44" s="1247"/>
      <c r="BJP44" s="1247"/>
      <c r="BJQ44" s="1247"/>
      <c r="BJR44" s="1247"/>
      <c r="BJS44" s="1247"/>
      <c r="BJT44" s="1247"/>
      <c r="BJU44" s="1247"/>
      <c r="BJV44" s="1247"/>
      <c r="BJW44" s="1247"/>
      <c r="BJX44" s="1247"/>
      <c r="BJY44" s="1247"/>
      <c r="BJZ44" s="1247"/>
      <c r="BKA44" s="1247"/>
      <c r="BKB44" s="1247"/>
      <c r="BKC44" s="1247"/>
      <c r="BKD44" s="1247"/>
      <c r="BKE44" s="1247"/>
      <c r="BKF44" s="1247"/>
      <c r="BKG44" s="1247"/>
      <c r="BKH44" s="1247"/>
      <c r="BKI44" s="1247"/>
      <c r="BKJ44" s="1247"/>
      <c r="BKK44" s="1247"/>
      <c r="BKL44" s="1247"/>
      <c r="BKM44" s="1247"/>
      <c r="BKN44" s="1247"/>
      <c r="BKO44" s="1247"/>
      <c r="BKP44" s="1247"/>
      <c r="BKQ44" s="1247"/>
      <c r="BKR44" s="1247"/>
      <c r="BKS44" s="1247"/>
      <c r="BKT44" s="1247"/>
      <c r="BKU44" s="1247"/>
      <c r="BKV44" s="1247"/>
      <c r="BKW44" s="1247"/>
      <c r="BKX44" s="1247"/>
      <c r="BKY44" s="1247"/>
      <c r="BKZ44" s="1247"/>
      <c r="BLA44" s="1247"/>
      <c r="BLB44" s="1247"/>
      <c r="BLC44" s="1247"/>
      <c r="BLD44" s="1247"/>
      <c r="BLE44" s="1247"/>
      <c r="BLF44" s="1247"/>
      <c r="BLG44" s="1247"/>
      <c r="BLH44" s="1247"/>
      <c r="BLI44" s="1247"/>
      <c r="BLJ44" s="1247"/>
      <c r="BLK44" s="1247"/>
      <c r="BLL44" s="1247"/>
      <c r="BLM44" s="1247"/>
      <c r="BLN44" s="1247"/>
      <c r="BLO44" s="1247"/>
      <c r="BLP44" s="1247"/>
      <c r="BLQ44" s="1247"/>
      <c r="BLR44" s="1247"/>
      <c r="BLS44" s="1247"/>
      <c r="BLT44" s="1247"/>
      <c r="BLU44" s="1247"/>
      <c r="BLV44" s="1247"/>
      <c r="BLW44" s="1247"/>
      <c r="BLX44" s="1247"/>
      <c r="BLY44" s="1247"/>
      <c r="BLZ44" s="1247"/>
      <c r="BMA44" s="1247"/>
      <c r="BMB44" s="1247"/>
      <c r="BMC44" s="1247"/>
      <c r="BMD44" s="1247"/>
      <c r="BME44" s="1247"/>
      <c r="BMF44" s="1247"/>
      <c r="BMG44" s="1247"/>
      <c r="BMH44" s="1247"/>
      <c r="BMI44" s="1247"/>
      <c r="BMJ44" s="1247"/>
      <c r="BMK44" s="1247"/>
      <c r="BML44" s="1247"/>
      <c r="BMM44" s="1247"/>
      <c r="BMN44" s="1247"/>
      <c r="BMO44" s="1247"/>
      <c r="BMP44" s="1247"/>
      <c r="BMQ44" s="1247"/>
      <c r="BMR44" s="1247"/>
      <c r="BMS44" s="1247"/>
      <c r="BMT44" s="1247"/>
      <c r="BMU44" s="1247"/>
      <c r="BMV44" s="1247"/>
      <c r="BMW44" s="1247"/>
      <c r="BMX44" s="1247"/>
      <c r="BMY44" s="1247"/>
      <c r="BMZ44" s="1247"/>
      <c r="BNA44" s="1247"/>
      <c r="BNB44" s="1247"/>
      <c r="BNC44" s="1247"/>
      <c r="BND44" s="1247"/>
      <c r="BNE44" s="1247"/>
      <c r="BNF44" s="1247"/>
      <c r="BNG44" s="1247"/>
      <c r="BNH44" s="1247"/>
      <c r="BNI44" s="1247"/>
      <c r="BNJ44" s="1247"/>
      <c r="BNK44" s="1247"/>
      <c r="BNL44" s="1247"/>
      <c r="BNM44" s="1247"/>
      <c r="BNN44" s="1247"/>
      <c r="BNO44" s="1247"/>
      <c r="BNP44" s="1247"/>
      <c r="BNQ44" s="1247"/>
      <c r="BNR44" s="1247"/>
      <c r="BNS44" s="1247"/>
      <c r="BNT44" s="1247"/>
      <c r="BNU44" s="1247"/>
      <c r="BNV44" s="1247"/>
      <c r="BNW44" s="1247"/>
      <c r="BNX44" s="1247"/>
      <c r="BNY44" s="1247"/>
      <c r="BNZ44" s="1247"/>
      <c r="BOA44" s="1247"/>
      <c r="BOB44" s="1247"/>
      <c r="BOC44" s="1247"/>
      <c r="BOD44" s="1247"/>
      <c r="BOE44" s="1247"/>
      <c r="BOF44" s="1247"/>
      <c r="BOG44" s="1247"/>
      <c r="BOH44" s="1247"/>
      <c r="BOI44" s="1247"/>
      <c r="BOJ44" s="1247"/>
      <c r="BOK44" s="1247"/>
      <c r="BOL44" s="1247"/>
      <c r="BOM44" s="1247"/>
      <c r="BON44" s="1247"/>
      <c r="BOO44" s="1247"/>
      <c r="BOP44" s="1247"/>
      <c r="BOQ44" s="1247"/>
      <c r="BOR44" s="1247"/>
      <c r="BOS44" s="1247"/>
      <c r="BOT44" s="1247"/>
      <c r="BOU44" s="1247"/>
      <c r="BOV44" s="1247"/>
      <c r="BOW44" s="1247"/>
      <c r="BOX44" s="1247"/>
      <c r="BOY44" s="1247"/>
      <c r="BOZ44" s="1247"/>
      <c r="BPA44" s="1247"/>
      <c r="BPB44" s="1247"/>
      <c r="BPC44" s="1247"/>
      <c r="BPD44" s="1247"/>
      <c r="BPE44" s="1247"/>
      <c r="BPF44" s="1247"/>
      <c r="BPG44" s="1247"/>
      <c r="BPH44" s="1247"/>
      <c r="BPI44" s="1247"/>
      <c r="BPJ44" s="1247"/>
      <c r="BPK44" s="1247"/>
      <c r="BPL44" s="1247"/>
      <c r="BPM44" s="1247"/>
      <c r="BPN44" s="1247"/>
      <c r="BPO44" s="1247"/>
      <c r="BPP44" s="1247"/>
      <c r="BPQ44" s="1247"/>
      <c r="BPR44" s="1247"/>
      <c r="BPS44" s="1247"/>
      <c r="BPT44" s="1247"/>
      <c r="BPU44" s="1247"/>
      <c r="BPV44" s="1247"/>
      <c r="BPW44" s="1247"/>
      <c r="BPX44" s="1247"/>
      <c r="BPY44" s="1247"/>
      <c r="BPZ44" s="1247"/>
      <c r="BQA44" s="1247"/>
      <c r="BQB44" s="1247"/>
      <c r="BQC44" s="1247"/>
      <c r="BQD44" s="1247"/>
      <c r="BQE44" s="1247"/>
      <c r="BQF44" s="1247"/>
      <c r="BQG44" s="1247"/>
      <c r="BQH44" s="1247"/>
      <c r="BQI44" s="1247"/>
      <c r="BQJ44" s="1247"/>
      <c r="BQK44" s="1247"/>
      <c r="BQL44" s="1247"/>
      <c r="BQM44" s="1247"/>
      <c r="BQN44" s="1247"/>
      <c r="BQO44" s="1247"/>
      <c r="BQP44" s="1247"/>
      <c r="BQQ44" s="1247"/>
      <c r="BQR44" s="1247"/>
      <c r="BQS44" s="1247"/>
      <c r="BQT44" s="1247"/>
      <c r="BQU44" s="1247"/>
      <c r="BQV44" s="1247"/>
      <c r="BQW44" s="1247"/>
      <c r="BQX44" s="1247"/>
      <c r="BQY44" s="1247"/>
      <c r="BQZ44" s="1247"/>
      <c r="BRA44" s="1247"/>
      <c r="BRB44" s="1247"/>
      <c r="BRC44" s="1247"/>
      <c r="BRD44" s="1247"/>
      <c r="BRE44" s="1247"/>
      <c r="BRF44" s="1247"/>
      <c r="BRG44" s="1247"/>
      <c r="BRH44" s="1247"/>
      <c r="BRI44" s="1247"/>
      <c r="BRJ44" s="1247"/>
      <c r="BRK44" s="1247"/>
      <c r="BRL44" s="1247"/>
      <c r="BRM44" s="1247"/>
      <c r="BRN44" s="1247"/>
      <c r="BRO44" s="1247"/>
      <c r="BRP44" s="1247"/>
      <c r="BRQ44" s="1247"/>
      <c r="BRR44" s="1247"/>
      <c r="BRS44" s="1247"/>
      <c r="BRT44" s="1247"/>
      <c r="BRU44" s="1247"/>
      <c r="BRV44" s="1247"/>
      <c r="BRW44" s="1247"/>
      <c r="BRX44" s="1247"/>
      <c r="BRY44" s="1247"/>
      <c r="BRZ44" s="1247"/>
      <c r="BSA44" s="1247"/>
      <c r="BSB44" s="1247"/>
      <c r="BSC44" s="1247"/>
      <c r="BSD44" s="1247"/>
      <c r="BSE44" s="1247"/>
      <c r="BSF44" s="1247"/>
      <c r="BSG44" s="1247"/>
      <c r="BSH44" s="1247"/>
      <c r="BSI44" s="1247"/>
      <c r="BSJ44" s="1247"/>
      <c r="BSK44" s="1247"/>
      <c r="BSL44" s="1247"/>
      <c r="BSM44" s="1247"/>
      <c r="BSN44" s="1247"/>
      <c r="BSO44" s="1247"/>
      <c r="BSP44" s="1247"/>
      <c r="BSQ44" s="1247"/>
      <c r="BSR44" s="1247"/>
      <c r="BSS44" s="1247"/>
      <c r="BST44" s="1247"/>
      <c r="BSU44" s="1247"/>
      <c r="BSV44" s="1247"/>
      <c r="BSW44" s="1247"/>
      <c r="BSX44" s="1247"/>
      <c r="BSY44" s="1247"/>
      <c r="BSZ44" s="1247"/>
      <c r="BTA44" s="1247"/>
      <c r="BTB44" s="1247"/>
      <c r="BTC44" s="1247"/>
      <c r="BTD44" s="1247"/>
      <c r="BTE44" s="1247"/>
      <c r="BTF44" s="1247"/>
      <c r="BTG44" s="1247"/>
      <c r="BTH44" s="1247"/>
      <c r="BTI44" s="1247"/>
      <c r="BTJ44" s="1247"/>
      <c r="BTK44" s="1247"/>
      <c r="BTL44" s="1247"/>
      <c r="BTM44" s="1247"/>
      <c r="BTN44" s="1247"/>
      <c r="BTO44" s="1247"/>
      <c r="BTP44" s="1247"/>
      <c r="BTQ44" s="1247"/>
      <c r="BTR44" s="1247"/>
      <c r="BTS44" s="1247"/>
      <c r="BTT44" s="1247"/>
      <c r="BTU44" s="1247"/>
      <c r="BTV44" s="1247"/>
      <c r="BTW44" s="1247"/>
      <c r="BTX44" s="1247"/>
      <c r="BTY44" s="1247"/>
      <c r="BTZ44" s="1247"/>
      <c r="BUA44" s="1247"/>
      <c r="BUB44" s="1247"/>
      <c r="BUC44" s="1247"/>
      <c r="BUD44" s="1247"/>
      <c r="BUE44" s="1247"/>
      <c r="BUF44" s="1247"/>
      <c r="BUG44" s="1247"/>
      <c r="BUH44" s="1247"/>
      <c r="BUI44" s="1247"/>
      <c r="BUJ44" s="1247"/>
      <c r="BUK44" s="1247"/>
      <c r="BUL44" s="1247"/>
      <c r="BUM44" s="1247"/>
      <c r="BUN44" s="1247"/>
      <c r="BUO44" s="1247"/>
      <c r="BUP44" s="1247"/>
      <c r="BUQ44" s="1247"/>
      <c r="BUR44" s="1247"/>
      <c r="BUS44" s="1247"/>
      <c r="BUT44" s="1247"/>
      <c r="BUU44" s="1247"/>
      <c r="BUV44" s="1247"/>
      <c r="BUW44" s="1247"/>
      <c r="BUX44" s="1247"/>
      <c r="BUY44" s="1247"/>
      <c r="BUZ44" s="1247"/>
      <c r="BVA44" s="1247"/>
      <c r="BVB44" s="1247"/>
      <c r="BVC44" s="1247"/>
      <c r="BVD44" s="1247"/>
      <c r="BVE44" s="1247"/>
      <c r="BVF44" s="1247"/>
      <c r="BVG44" s="1247"/>
      <c r="BVH44" s="1247"/>
      <c r="BVI44" s="1247"/>
      <c r="BVJ44" s="1247"/>
      <c r="BVK44" s="1247"/>
      <c r="BVL44" s="1247"/>
      <c r="BVM44" s="1247"/>
      <c r="BVN44" s="1247"/>
      <c r="BVO44" s="1247"/>
      <c r="BVP44" s="1247"/>
      <c r="BVQ44" s="1247"/>
      <c r="BVR44" s="1247"/>
      <c r="BVS44" s="1247"/>
      <c r="BVT44" s="1247"/>
      <c r="BVU44" s="1247"/>
      <c r="BVV44" s="1247"/>
      <c r="BVW44" s="1247"/>
      <c r="BVX44" s="1247"/>
      <c r="BVY44" s="1247"/>
      <c r="BVZ44" s="1247"/>
      <c r="BWA44" s="1247"/>
      <c r="BWB44" s="1247"/>
      <c r="BWC44" s="1247"/>
      <c r="BWD44" s="1247"/>
      <c r="BWE44" s="1247"/>
      <c r="BWF44" s="1247"/>
      <c r="BWG44" s="1247"/>
      <c r="BWH44" s="1247"/>
      <c r="BWI44" s="1247"/>
      <c r="BWJ44" s="1247"/>
      <c r="BWK44" s="1247"/>
      <c r="BWL44" s="1247"/>
      <c r="BWM44" s="1247"/>
      <c r="BWN44" s="1247"/>
      <c r="BWO44" s="1247"/>
      <c r="BWP44" s="1247"/>
      <c r="BWQ44" s="1247"/>
      <c r="BWR44" s="1247"/>
      <c r="BWS44" s="1247"/>
      <c r="BWT44" s="1247"/>
      <c r="BWU44" s="1247"/>
      <c r="BWV44" s="1247"/>
      <c r="BWW44" s="1247"/>
      <c r="BWX44" s="1247"/>
      <c r="BWY44" s="1247"/>
      <c r="BWZ44" s="1247"/>
      <c r="BXA44" s="1247"/>
      <c r="BXB44" s="1247"/>
      <c r="BXC44" s="1247"/>
      <c r="BXD44" s="1247"/>
      <c r="BXE44" s="1247"/>
      <c r="BXF44" s="1247"/>
      <c r="BXG44" s="1247"/>
      <c r="BXH44" s="1247"/>
      <c r="BXI44" s="1247"/>
      <c r="BXJ44" s="1247"/>
      <c r="BXK44" s="1247"/>
      <c r="BXL44" s="1247"/>
      <c r="BXM44" s="1247"/>
      <c r="BXN44" s="1247"/>
      <c r="BXO44" s="1247"/>
      <c r="BXP44" s="1247"/>
      <c r="BXQ44" s="1247"/>
      <c r="BXR44" s="1247"/>
      <c r="BXS44" s="1247"/>
      <c r="BXT44" s="1247"/>
      <c r="BXU44" s="1247"/>
      <c r="BXV44" s="1247"/>
      <c r="BXW44" s="1247"/>
      <c r="BXX44" s="1247"/>
      <c r="BXY44" s="1247"/>
      <c r="BXZ44" s="1247"/>
      <c r="BYA44" s="1247"/>
      <c r="BYB44" s="1247"/>
      <c r="BYC44" s="1247"/>
      <c r="BYD44" s="1247"/>
      <c r="BYE44" s="1247"/>
      <c r="BYF44" s="1247"/>
      <c r="BYG44" s="1247"/>
      <c r="BYH44" s="1247"/>
      <c r="BYI44" s="1247"/>
      <c r="BYJ44" s="1247"/>
      <c r="BYK44" s="1247"/>
      <c r="BYL44" s="1247"/>
      <c r="BYM44" s="1247"/>
      <c r="BYN44" s="1247"/>
      <c r="BYO44" s="1247"/>
      <c r="BYP44" s="1247"/>
      <c r="BYQ44" s="1247"/>
      <c r="BYR44" s="1247"/>
      <c r="BYS44" s="1247"/>
      <c r="BYT44" s="1247"/>
      <c r="BYU44" s="1247"/>
      <c r="BYV44" s="1247"/>
      <c r="BYW44" s="1247"/>
      <c r="BYX44" s="1247"/>
      <c r="BYY44" s="1247"/>
      <c r="BYZ44" s="1247"/>
      <c r="BZA44" s="1247"/>
      <c r="BZB44" s="1247"/>
      <c r="BZC44" s="1247"/>
      <c r="BZD44" s="1247"/>
      <c r="BZE44" s="1247"/>
      <c r="BZF44" s="1247"/>
      <c r="BZG44" s="1247"/>
      <c r="BZH44" s="1247"/>
      <c r="BZI44" s="1247"/>
      <c r="BZJ44" s="1247"/>
      <c r="BZK44" s="1247"/>
      <c r="BZL44" s="1247"/>
      <c r="BZM44" s="1247"/>
      <c r="BZN44" s="1247"/>
      <c r="BZO44" s="1247"/>
      <c r="BZP44" s="1247"/>
      <c r="BZQ44" s="1247"/>
      <c r="BZR44" s="1247"/>
      <c r="BZS44" s="1247"/>
      <c r="BZT44" s="1247"/>
      <c r="BZU44" s="1247"/>
      <c r="BZV44" s="1247"/>
      <c r="BZW44" s="1247"/>
      <c r="BZX44" s="1247"/>
      <c r="BZY44" s="1247"/>
      <c r="BZZ44" s="1247"/>
      <c r="CAA44" s="1247"/>
      <c r="CAB44" s="1247"/>
      <c r="CAC44" s="1247"/>
      <c r="CAD44" s="1247"/>
      <c r="CAE44" s="1247"/>
      <c r="CAF44" s="1247"/>
      <c r="CAG44" s="1247"/>
      <c r="CAH44" s="1247"/>
      <c r="CAI44" s="1247"/>
      <c r="CAJ44" s="1247"/>
      <c r="CAK44" s="1247"/>
      <c r="CAL44" s="1247"/>
      <c r="CAM44" s="1247"/>
      <c r="CAN44" s="1247"/>
      <c r="CAO44" s="1247"/>
      <c r="CAP44" s="1247"/>
      <c r="CAQ44" s="1247"/>
      <c r="CAR44" s="1247"/>
      <c r="CAS44" s="1247"/>
      <c r="CAT44" s="1247"/>
      <c r="CAU44" s="1247"/>
      <c r="CAV44" s="1247"/>
      <c r="CAW44" s="1247"/>
      <c r="CAX44" s="1247"/>
      <c r="CAY44" s="1247"/>
      <c r="CAZ44" s="1247"/>
      <c r="CBA44" s="1247"/>
      <c r="CBB44" s="1247"/>
      <c r="CBC44" s="1247"/>
      <c r="CBD44" s="1247"/>
      <c r="CBE44" s="1247"/>
      <c r="CBF44" s="1247"/>
      <c r="CBG44" s="1247"/>
      <c r="CBH44" s="1247"/>
      <c r="CBI44" s="1247"/>
      <c r="CBJ44" s="1247"/>
      <c r="CBK44" s="1247"/>
      <c r="CBL44" s="1247"/>
      <c r="CBM44" s="1247"/>
      <c r="CBN44" s="1247"/>
      <c r="CBO44" s="1247"/>
      <c r="CBP44" s="1247"/>
      <c r="CBQ44" s="1247"/>
      <c r="CBR44" s="1247"/>
      <c r="CBS44" s="1247"/>
      <c r="CBT44" s="1247"/>
      <c r="CBU44" s="1247"/>
      <c r="CBV44" s="1247"/>
      <c r="CBW44" s="1247"/>
      <c r="CBX44" s="1247"/>
      <c r="CBY44" s="1247"/>
      <c r="CBZ44" s="1247"/>
      <c r="CCA44" s="1247"/>
      <c r="CCB44" s="1247"/>
      <c r="CCC44" s="1247"/>
      <c r="CCD44" s="1247"/>
      <c r="CCE44" s="1247"/>
      <c r="CCF44" s="1247"/>
      <c r="CCG44" s="1247"/>
      <c r="CCH44" s="1247"/>
      <c r="CCI44" s="1247"/>
      <c r="CCJ44" s="1247"/>
      <c r="CCK44" s="1247"/>
      <c r="CCL44" s="1247"/>
      <c r="CCM44" s="1247"/>
      <c r="CCN44" s="1247"/>
      <c r="CCO44" s="1247"/>
      <c r="CCP44" s="1247"/>
      <c r="CCQ44" s="1247"/>
      <c r="CCR44" s="1247"/>
      <c r="CCS44" s="1247"/>
      <c r="CCT44" s="1247"/>
      <c r="CCU44" s="1247"/>
      <c r="CCV44" s="1247"/>
      <c r="CCW44" s="1247"/>
      <c r="CCX44" s="1247"/>
      <c r="CCY44" s="1247"/>
      <c r="CCZ44" s="1247"/>
      <c r="CDA44" s="1247"/>
      <c r="CDB44" s="1247"/>
      <c r="CDC44" s="1247"/>
      <c r="CDD44" s="1247"/>
      <c r="CDE44" s="1247"/>
      <c r="CDF44" s="1247"/>
      <c r="CDG44" s="1247"/>
      <c r="CDH44" s="1247"/>
      <c r="CDI44" s="1247"/>
      <c r="CDJ44" s="1247"/>
      <c r="CDK44" s="1247"/>
      <c r="CDL44" s="1247"/>
      <c r="CDM44" s="1247"/>
      <c r="CDN44" s="1247"/>
      <c r="CDO44" s="1247"/>
      <c r="CDP44" s="1247"/>
      <c r="CDQ44" s="1247"/>
      <c r="CDR44" s="1247"/>
      <c r="CDS44" s="1247"/>
      <c r="CDT44" s="1247"/>
      <c r="CDU44" s="1247"/>
      <c r="CDV44" s="1247"/>
      <c r="CDW44" s="1247"/>
      <c r="CDX44" s="1247"/>
      <c r="CDY44" s="1247"/>
      <c r="CDZ44" s="1247"/>
      <c r="CEA44" s="1247"/>
      <c r="CEB44" s="1247"/>
      <c r="CEC44" s="1247"/>
      <c r="CED44" s="1247"/>
      <c r="CEE44" s="1247"/>
      <c r="CEF44" s="1247"/>
      <c r="CEG44" s="1247"/>
      <c r="CEH44" s="1247"/>
      <c r="CEI44" s="1247"/>
      <c r="CEJ44" s="1247"/>
      <c r="CEK44" s="1247"/>
      <c r="CEL44" s="1247"/>
      <c r="CEM44" s="1247"/>
      <c r="CEN44" s="1247"/>
      <c r="CEO44" s="1247"/>
      <c r="CEP44" s="1247"/>
      <c r="CEQ44" s="1247"/>
      <c r="CER44" s="1247"/>
      <c r="CES44" s="1247"/>
      <c r="CET44" s="1247"/>
      <c r="CEU44" s="1247"/>
      <c r="CEV44" s="1247"/>
      <c r="CEW44" s="1247"/>
      <c r="CEX44" s="1247"/>
      <c r="CEY44" s="1247"/>
      <c r="CEZ44" s="1247"/>
      <c r="CFA44" s="1247"/>
      <c r="CFB44" s="1247"/>
      <c r="CFC44" s="1247"/>
      <c r="CFD44" s="1247"/>
      <c r="CFE44" s="1247"/>
      <c r="CFF44" s="1247"/>
      <c r="CFG44" s="1247"/>
      <c r="CFH44" s="1247"/>
      <c r="CFI44" s="1247"/>
      <c r="CFJ44" s="1247"/>
      <c r="CFK44" s="1247"/>
      <c r="CFL44" s="1247"/>
      <c r="CFM44" s="1247"/>
      <c r="CFN44" s="1247"/>
      <c r="CFO44" s="1247"/>
      <c r="CFP44" s="1247"/>
      <c r="CFQ44" s="1247"/>
      <c r="CFR44" s="1247"/>
      <c r="CFS44" s="1247"/>
      <c r="CFT44" s="1247"/>
      <c r="CFU44" s="1247"/>
      <c r="CFV44" s="1247"/>
      <c r="CFW44" s="1247"/>
      <c r="CFX44" s="1247"/>
      <c r="CFY44" s="1247"/>
      <c r="CFZ44" s="1247"/>
      <c r="CGA44" s="1247"/>
      <c r="CGB44" s="1247"/>
      <c r="CGC44" s="1247"/>
      <c r="CGD44" s="1247"/>
      <c r="CGE44" s="1247"/>
      <c r="CGF44" s="1247"/>
      <c r="CGG44" s="1247"/>
      <c r="CGH44" s="1247"/>
      <c r="CGI44" s="1247"/>
      <c r="CGJ44" s="1247"/>
      <c r="CGK44" s="1247"/>
      <c r="CGL44" s="1247"/>
      <c r="CGM44" s="1247"/>
      <c r="CGN44" s="1247"/>
      <c r="CGO44" s="1247"/>
      <c r="CGP44" s="1247"/>
      <c r="CGQ44" s="1247"/>
      <c r="CGR44" s="1247"/>
      <c r="CGS44" s="1247"/>
      <c r="CGT44" s="1247"/>
      <c r="CGU44" s="1247"/>
      <c r="CGV44" s="1247"/>
      <c r="CGW44" s="1247"/>
      <c r="CGX44" s="1247"/>
      <c r="CGY44" s="1247"/>
      <c r="CGZ44" s="1247"/>
      <c r="CHA44" s="1247"/>
      <c r="CHB44" s="1247"/>
      <c r="CHC44" s="1247"/>
      <c r="CHD44" s="1247"/>
      <c r="CHE44" s="1247"/>
      <c r="CHF44" s="1247"/>
      <c r="CHG44" s="1247"/>
      <c r="CHH44" s="1247"/>
      <c r="CHI44" s="1247"/>
      <c r="CHJ44" s="1247"/>
      <c r="CHK44" s="1247"/>
      <c r="CHL44" s="1247"/>
      <c r="CHM44" s="1247"/>
      <c r="CHN44" s="1247"/>
      <c r="CHO44" s="1247"/>
      <c r="CHP44" s="1247"/>
      <c r="CHQ44" s="1247"/>
      <c r="CHR44" s="1247"/>
      <c r="CHS44" s="1247"/>
      <c r="CHT44" s="1247"/>
      <c r="CHU44" s="1247"/>
      <c r="CHV44" s="1247"/>
      <c r="CHW44" s="1247"/>
      <c r="CHX44" s="1247"/>
      <c r="CHY44" s="1247"/>
      <c r="CHZ44" s="1247"/>
      <c r="CIA44" s="1247"/>
      <c r="CIB44" s="1247"/>
      <c r="CIC44" s="1247"/>
      <c r="CID44" s="1247"/>
      <c r="CIE44" s="1247"/>
      <c r="CIF44" s="1247"/>
      <c r="CIG44" s="1247"/>
      <c r="CIH44" s="1247"/>
      <c r="CII44" s="1247"/>
      <c r="CIJ44" s="1247"/>
      <c r="CIK44" s="1247"/>
      <c r="CIL44" s="1247"/>
      <c r="CIM44" s="1247"/>
      <c r="CIN44" s="1247"/>
      <c r="CIO44" s="1247"/>
      <c r="CIP44" s="1247"/>
      <c r="CIQ44" s="1247"/>
      <c r="CIR44" s="1247"/>
      <c r="CIS44" s="1247"/>
      <c r="CIT44" s="1247"/>
      <c r="CIU44" s="1247"/>
      <c r="CIV44" s="1247"/>
      <c r="CIW44" s="1247"/>
      <c r="CIX44" s="1247"/>
      <c r="CIY44" s="1247"/>
      <c r="CIZ44" s="1247"/>
      <c r="CJA44" s="1247"/>
      <c r="CJB44" s="1247"/>
      <c r="CJC44" s="1247"/>
      <c r="CJD44" s="1247"/>
      <c r="CJE44" s="1247"/>
      <c r="CJF44" s="1247"/>
      <c r="CJG44" s="1247"/>
      <c r="CJH44" s="1247"/>
      <c r="CJI44" s="1247"/>
      <c r="CJJ44" s="1247"/>
      <c r="CJK44" s="1247"/>
      <c r="CJL44" s="1247"/>
      <c r="CJM44" s="1247"/>
      <c r="CJN44" s="1247"/>
      <c r="CJO44" s="1247"/>
      <c r="CJP44" s="1247"/>
      <c r="CJQ44" s="1247"/>
      <c r="CJR44" s="1247"/>
      <c r="CJS44" s="1247"/>
      <c r="CJT44" s="1247"/>
      <c r="CJU44" s="1247"/>
      <c r="CJV44" s="1247"/>
      <c r="CJW44" s="1247"/>
      <c r="CJX44" s="1247"/>
      <c r="CJY44" s="1247"/>
      <c r="CJZ44" s="1247"/>
      <c r="CKA44" s="1247"/>
      <c r="CKB44" s="1247"/>
      <c r="CKC44" s="1247"/>
      <c r="CKD44" s="1247"/>
      <c r="CKE44" s="1247"/>
      <c r="CKF44" s="1247"/>
      <c r="CKG44" s="1247"/>
      <c r="CKH44" s="1247"/>
      <c r="CKI44" s="1247"/>
      <c r="CKJ44" s="1247"/>
      <c r="CKK44" s="1247"/>
      <c r="CKL44" s="1247"/>
      <c r="CKM44" s="1247"/>
      <c r="CKN44" s="1247"/>
      <c r="CKO44" s="1247"/>
      <c r="CKP44" s="1247"/>
      <c r="CKQ44" s="1247"/>
      <c r="CKR44" s="1247"/>
      <c r="CKS44" s="1247"/>
      <c r="CKT44" s="1247"/>
      <c r="CKU44" s="1247"/>
      <c r="CKV44" s="1247"/>
      <c r="CKW44" s="1247"/>
      <c r="CKX44" s="1247"/>
      <c r="CKY44" s="1247"/>
      <c r="CKZ44" s="1247"/>
      <c r="CLA44" s="1247"/>
      <c r="CLB44" s="1247"/>
      <c r="CLC44" s="1247"/>
      <c r="CLD44" s="1247"/>
      <c r="CLE44" s="1247"/>
      <c r="CLF44" s="1247"/>
      <c r="CLG44" s="1247"/>
      <c r="CLH44" s="1247"/>
      <c r="CLI44" s="1247"/>
      <c r="CLJ44" s="1247"/>
      <c r="CLK44" s="1247"/>
      <c r="CLL44" s="1247"/>
      <c r="CLM44" s="1247"/>
      <c r="CLN44" s="1247"/>
      <c r="CLO44" s="1247"/>
      <c r="CLP44" s="1247"/>
      <c r="CLQ44" s="1247"/>
      <c r="CLR44" s="1247"/>
      <c r="CLS44" s="1247"/>
      <c r="CLT44" s="1247"/>
      <c r="CLU44" s="1247"/>
      <c r="CLV44" s="1247"/>
      <c r="CLW44" s="1247"/>
      <c r="CLX44" s="1247"/>
      <c r="CLY44" s="1247"/>
      <c r="CLZ44" s="1247"/>
      <c r="CMA44" s="1247"/>
      <c r="CMB44" s="1247"/>
      <c r="CMC44" s="1247"/>
      <c r="CMD44" s="1247"/>
      <c r="CME44" s="1247"/>
      <c r="CMF44" s="1247"/>
      <c r="CMG44" s="1247"/>
      <c r="CMH44" s="1247"/>
      <c r="CMI44" s="1247"/>
      <c r="CMJ44" s="1247"/>
      <c r="CMK44" s="1247"/>
      <c r="CML44" s="1247"/>
      <c r="CMM44" s="1247"/>
      <c r="CMN44" s="1247"/>
      <c r="CMO44" s="1247"/>
      <c r="CMP44" s="1247"/>
      <c r="CMQ44" s="1247"/>
      <c r="CMR44" s="1247"/>
      <c r="CMS44" s="1247"/>
      <c r="CMT44" s="1247"/>
      <c r="CMU44" s="1247"/>
      <c r="CMV44" s="1247"/>
      <c r="CMW44" s="1247"/>
      <c r="CMX44" s="1247"/>
      <c r="CMY44" s="1247"/>
      <c r="CMZ44" s="1247"/>
      <c r="CNA44" s="1247"/>
      <c r="CNB44" s="1247"/>
      <c r="CNC44" s="1247"/>
      <c r="CND44" s="1247"/>
      <c r="CNE44" s="1247"/>
      <c r="CNF44" s="1247"/>
      <c r="CNG44" s="1247"/>
      <c r="CNH44" s="1247"/>
      <c r="CNI44" s="1247"/>
      <c r="CNJ44" s="1247"/>
      <c r="CNK44" s="1247"/>
      <c r="CNL44" s="1247"/>
      <c r="CNM44" s="1247"/>
      <c r="CNN44" s="1247"/>
      <c r="CNO44" s="1247"/>
      <c r="CNP44" s="1247"/>
      <c r="CNQ44" s="1247"/>
      <c r="CNR44" s="1247"/>
      <c r="CNS44" s="1247"/>
      <c r="CNT44" s="1247"/>
      <c r="CNU44" s="1247"/>
      <c r="CNV44" s="1247"/>
      <c r="CNW44" s="1247"/>
      <c r="CNX44" s="1247"/>
      <c r="CNY44" s="1247"/>
      <c r="CNZ44" s="1247"/>
      <c r="COA44" s="1247"/>
      <c r="COB44" s="1247"/>
      <c r="COC44" s="1247"/>
      <c r="COD44" s="1247"/>
      <c r="COE44" s="1247"/>
      <c r="COF44" s="1247"/>
      <c r="COG44" s="1247"/>
      <c r="COH44" s="1247"/>
      <c r="COI44" s="1247"/>
      <c r="COJ44" s="1247"/>
      <c r="COK44" s="1247"/>
      <c r="COL44" s="1247"/>
      <c r="COM44" s="1247"/>
      <c r="CON44" s="1247"/>
      <c r="COO44" s="1247"/>
      <c r="COP44" s="1247"/>
      <c r="COQ44" s="1247"/>
      <c r="COR44" s="1247"/>
      <c r="COS44" s="1247"/>
      <c r="COT44" s="1247"/>
      <c r="COU44" s="1247"/>
      <c r="COV44" s="1247"/>
      <c r="COW44" s="1247"/>
      <c r="COX44" s="1247"/>
      <c r="COY44" s="1247"/>
      <c r="COZ44" s="1247"/>
      <c r="CPA44" s="1247"/>
      <c r="CPB44" s="1247"/>
      <c r="CPC44" s="1247"/>
      <c r="CPD44" s="1247"/>
      <c r="CPE44" s="1247"/>
      <c r="CPF44" s="1247"/>
      <c r="CPG44" s="1247"/>
      <c r="CPH44" s="1247"/>
      <c r="CPI44" s="1247"/>
      <c r="CPJ44" s="1247"/>
      <c r="CPK44" s="1247"/>
      <c r="CPL44" s="1247"/>
      <c r="CPM44" s="1247"/>
      <c r="CPN44" s="1247"/>
      <c r="CPO44" s="1247"/>
      <c r="CPP44" s="1247"/>
      <c r="CPQ44" s="1247"/>
      <c r="CPR44" s="1247"/>
      <c r="CPS44" s="1247"/>
      <c r="CPT44" s="1247"/>
      <c r="CPU44" s="1247"/>
      <c r="CPV44" s="1247"/>
      <c r="CPW44" s="1247"/>
      <c r="CPX44" s="1247"/>
      <c r="CPY44" s="1247"/>
      <c r="CPZ44" s="1247"/>
      <c r="CQA44" s="1247"/>
      <c r="CQB44" s="1247"/>
      <c r="CQC44" s="1247"/>
      <c r="CQD44" s="1247"/>
      <c r="CQE44" s="1247"/>
      <c r="CQF44" s="1247"/>
      <c r="CQG44" s="1247"/>
      <c r="CQH44" s="1247"/>
      <c r="CQI44" s="1247"/>
      <c r="CQJ44" s="1247"/>
      <c r="CQK44" s="1247"/>
      <c r="CQL44" s="1247"/>
      <c r="CQM44" s="1247"/>
      <c r="CQN44" s="1247"/>
      <c r="CQO44" s="1247"/>
      <c r="CQP44" s="1247"/>
      <c r="CQQ44" s="1247"/>
      <c r="CQR44" s="1247"/>
      <c r="CQS44" s="1247"/>
      <c r="CQT44" s="1247"/>
      <c r="CQU44" s="1247"/>
      <c r="CQV44" s="1247"/>
      <c r="CQW44" s="1247"/>
      <c r="CQX44" s="1247"/>
      <c r="CQY44" s="1247"/>
      <c r="CQZ44" s="1247"/>
      <c r="CRA44" s="1247"/>
      <c r="CRB44" s="1247"/>
      <c r="CRC44" s="1247"/>
      <c r="CRD44" s="1247"/>
      <c r="CRE44" s="1247"/>
      <c r="CRF44" s="1247"/>
      <c r="CRG44" s="1247"/>
      <c r="CRH44" s="1247"/>
      <c r="CRI44" s="1247"/>
      <c r="CRJ44" s="1247"/>
      <c r="CRK44" s="1247"/>
      <c r="CRL44" s="1247"/>
      <c r="CRM44" s="1247"/>
      <c r="CRN44" s="1247"/>
      <c r="CRO44" s="1247"/>
      <c r="CRP44" s="1247"/>
      <c r="CRQ44" s="1247"/>
      <c r="CRR44" s="1247"/>
      <c r="CRS44" s="1247"/>
      <c r="CRT44" s="1247"/>
      <c r="CRU44" s="1247"/>
      <c r="CRV44" s="1247"/>
      <c r="CRW44" s="1247"/>
      <c r="CRX44" s="1247"/>
      <c r="CRY44" s="1247"/>
      <c r="CRZ44" s="1247"/>
      <c r="CSA44" s="1247"/>
      <c r="CSB44" s="1247"/>
      <c r="CSC44" s="1247"/>
      <c r="CSD44" s="1247"/>
      <c r="CSE44" s="1247"/>
      <c r="CSF44" s="1247"/>
      <c r="CSG44" s="1247"/>
      <c r="CSH44" s="1247"/>
      <c r="CSI44" s="1247"/>
      <c r="CSJ44" s="1247"/>
      <c r="CSK44" s="1247"/>
      <c r="CSL44" s="1247"/>
      <c r="CSM44" s="1247"/>
      <c r="CSN44" s="1247"/>
      <c r="CSO44" s="1247"/>
      <c r="CSP44" s="1247"/>
      <c r="CSQ44" s="1247"/>
      <c r="CSR44" s="1247"/>
      <c r="CSS44" s="1247"/>
      <c r="CST44" s="1247"/>
      <c r="CSU44" s="1247"/>
      <c r="CSV44" s="1247"/>
      <c r="CSW44" s="1247"/>
      <c r="CSX44" s="1247"/>
      <c r="CSY44" s="1247"/>
      <c r="CSZ44" s="1247"/>
      <c r="CTA44" s="1247"/>
      <c r="CTB44" s="1247"/>
      <c r="CTC44" s="1247"/>
      <c r="CTD44" s="1247"/>
      <c r="CTE44" s="1247"/>
      <c r="CTF44" s="1247"/>
      <c r="CTG44" s="1247"/>
      <c r="CTH44" s="1247"/>
      <c r="CTI44" s="1247"/>
      <c r="CTJ44" s="1247"/>
      <c r="CTK44" s="1247"/>
      <c r="CTL44" s="1247"/>
      <c r="CTM44" s="1247"/>
      <c r="CTN44" s="1247"/>
      <c r="CTO44" s="1247"/>
      <c r="CTP44" s="1247"/>
      <c r="CTQ44" s="1247"/>
      <c r="CTR44" s="1247"/>
      <c r="CTS44" s="1247"/>
      <c r="CTT44" s="1247"/>
      <c r="CTU44" s="1247"/>
      <c r="CTV44" s="1247"/>
      <c r="CTW44" s="1247"/>
      <c r="CTX44" s="1247"/>
      <c r="CTY44" s="1247"/>
      <c r="CTZ44" s="1247"/>
      <c r="CUA44" s="1247"/>
      <c r="CUB44" s="1247"/>
      <c r="CUC44" s="1247"/>
      <c r="CUD44" s="1247"/>
      <c r="CUE44" s="1247"/>
      <c r="CUF44" s="1247"/>
      <c r="CUG44" s="1247"/>
      <c r="CUH44" s="1247"/>
      <c r="CUI44" s="1247"/>
      <c r="CUJ44" s="1247"/>
      <c r="CUK44" s="1247"/>
      <c r="CUL44" s="1247"/>
      <c r="CUM44" s="1247"/>
      <c r="CUN44" s="1247"/>
      <c r="CUO44" s="1247"/>
      <c r="CUP44" s="1247"/>
      <c r="CUQ44" s="1247"/>
      <c r="CUR44" s="1247"/>
      <c r="CUS44" s="1247"/>
      <c r="CUT44" s="1247"/>
      <c r="CUU44" s="1247"/>
      <c r="CUV44" s="1247"/>
      <c r="CUW44" s="1247"/>
      <c r="CUX44" s="1247"/>
      <c r="CUY44" s="1247"/>
      <c r="CUZ44" s="1247"/>
      <c r="CVA44" s="1247"/>
      <c r="CVB44" s="1247"/>
      <c r="CVC44" s="1247"/>
      <c r="CVD44" s="1247"/>
      <c r="CVE44" s="1247"/>
      <c r="CVF44" s="1247"/>
      <c r="CVG44" s="1247"/>
      <c r="CVH44" s="1247"/>
      <c r="CVI44" s="1247"/>
      <c r="CVJ44" s="1247"/>
      <c r="CVK44" s="1247"/>
      <c r="CVL44" s="1247"/>
      <c r="CVM44" s="1247"/>
      <c r="CVN44" s="1247"/>
      <c r="CVO44" s="1247"/>
      <c r="CVP44" s="1247"/>
      <c r="CVQ44" s="1247"/>
      <c r="CVR44" s="1247"/>
      <c r="CVS44" s="1247"/>
      <c r="CVT44" s="1247"/>
      <c r="CVU44" s="1247"/>
      <c r="CVV44" s="1247"/>
      <c r="CVW44" s="1247"/>
      <c r="CVX44" s="1247"/>
      <c r="CVY44" s="1247"/>
      <c r="CVZ44" s="1247"/>
      <c r="CWA44" s="1247"/>
      <c r="CWB44" s="1247"/>
      <c r="CWC44" s="1247"/>
      <c r="CWD44" s="1247"/>
      <c r="CWE44" s="1247"/>
      <c r="CWF44" s="1247"/>
      <c r="CWG44" s="1247"/>
      <c r="CWH44" s="1247"/>
      <c r="CWI44" s="1247"/>
      <c r="CWJ44" s="1247"/>
      <c r="CWK44" s="1247"/>
      <c r="CWL44" s="1247"/>
      <c r="CWM44" s="1247"/>
      <c r="CWN44" s="1247"/>
      <c r="CWO44" s="1247"/>
      <c r="CWP44" s="1247"/>
      <c r="CWQ44" s="1247"/>
      <c r="CWR44" s="1247"/>
      <c r="CWS44" s="1247"/>
      <c r="CWT44" s="1247"/>
      <c r="CWU44" s="1247"/>
      <c r="CWV44" s="1247"/>
      <c r="CWW44" s="1247"/>
      <c r="CWX44" s="1247"/>
      <c r="CWY44" s="1247"/>
      <c r="CWZ44" s="1247"/>
      <c r="CXA44" s="1247"/>
      <c r="CXB44" s="1247"/>
      <c r="CXC44" s="1247"/>
      <c r="CXD44" s="1247"/>
      <c r="CXE44" s="1247"/>
      <c r="CXF44" s="1247"/>
      <c r="CXG44" s="1247"/>
      <c r="CXH44" s="1247"/>
      <c r="CXI44" s="1247"/>
      <c r="CXJ44" s="1247"/>
      <c r="CXK44" s="1247"/>
      <c r="CXL44" s="1247"/>
      <c r="CXM44" s="1247"/>
      <c r="CXN44" s="1247"/>
      <c r="CXO44" s="1247"/>
      <c r="CXP44" s="1247"/>
      <c r="CXQ44" s="1247"/>
      <c r="CXR44" s="1247"/>
      <c r="CXS44" s="1247"/>
      <c r="CXT44" s="1247"/>
      <c r="CXU44" s="1247"/>
      <c r="CXV44" s="1247"/>
      <c r="CXW44" s="1247"/>
      <c r="CXX44" s="1247"/>
      <c r="CXY44" s="1247"/>
      <c r="CXZ44" s="1247"/>
      <c r="CYA44" s="1247"/>
      <c r="CYB44" s="1247"/>
      <c r="CYC44" s="1247"/>
      <c r="CYD44" s="1247"/>
      <c r="CYE44" s="1247"/>
      <c r="CYF44" s="1247"/>
      <c r="CYG44" s="1247"/>
      <c r="CYH44" s="1247"/>
      <c r="CYI44" s="1247"/>
      <c r="CYJ44" s="1247"/>
      <c r="CYK44" s="1247"/>
      <c r="CYL44" s="1247"/>
      <c r="CYM44" s="1247"/>
      <c r="CYN44" s="1247"/>
      <c r="CYO44" s="1247"/>
      <c r="CYP44" s="1247"/>
      <c r="CYQ44" s="1247"/>
      <c r="CYR44" s="1247"/>
      <c r="CYS44" s="1247"/>
      <c r="CYT44" s="1247"/>
      <c r="CYU44" s="1247"/>
      <c r="CYV44" s="1247"/>
      <c r="CYW44" s="1247"/>
      <c r="CYX44" s="1247"/>
      <c r="CYY44" s="1247"/>
      <c r="CYZ44" s="1247"/>
      <c r="CZA44" s="1247"/>
      <c r="CZB44" s="1247"/>
      <c r="CZC44" s="1247"/>
      <c r="CZD44" s="1247"/>
      <c r="CZE44" s="1247"/>
      <c r="CZF44" s="1247"/>
      <c r="CZG44" s="1247"/>
      <c r="CZH44" s="1247"/>
      <c r="CZI44" s="1247"/>
      <c r="CZJ44" s="1247"/>
      <c r="CZK44" s="1247"/>
      <c r="CZL44" s="1247"/>
      <c r="CZM44" s="1247"/>
      <c r="CZN44" s="1247"/>
      <c r="CZO44" s="1247"/>
      <c r="CZP44" s="1247"/>
      <c r="CZQ44" s="1247"/>
      <c r="CZR44" s="1247"/>
      <c r="CZS44" s="1247"/>
      <c r="CZT44" s="1247"/>
      <c r="CZU44" s="1247"/>
      <c r="CZV44" s="1247"/>
      <c r="CZW44" s="1247"/>
      <c r="CZX44" s="1247"/>
      <c r="CZY44" s="1247"/>
      <c r="CZZ44" s="1247"/>
      <c r="DAA44" s="1247"/>
      <c r="DAB44" s="1247"/>
      <c r="DAC44" s="1247"/>
      <c r="DAD44" s="1247"/>
      <c r="DAE44" s="1247"/>
      <c r="DAF44" s="1247"/>
      <c r="DAG44" s="1247"/>
      <c r="DAH44" s="1247"/>
      <c r="DAI44" s="1247"/>
      <c r="DAJ44" s="1247"/>
      <c r="DAK44" s="1247"/>
      <c r="DAL44" s="1247"/>
      <c r="DAM44" s="1247"/>
      <c r="DAN44" s="1247"/>
      <c r="DAO44" s="1247"/>
      <c r="DAP44" s="1247"/>
      <c r="DAQ44" s="1247"/>
      <c r="DAR44" s="1247"/>
      <c r="DAS44" s="1247"/>
      <c r="DAT44" s="1247"/>
      <c r="DAU44" s="1247"/>
      <c r="DAV44" s="1247"/>
      <c r="DAW44" s="1247"/>
      <c r="DAX44" s="1247"/>
      <c r="DAY44" s="1247"/>
      <c r="DAZ44" s="1247"/>
      <c r="DBA44" s="1247"/>
      <c r="DBB44" s="1247"/>
      <c r="DBC44" s="1247"/>
      <c r="DBD44" s="1247"/>
      <c r="DBE44" s="1247"/>
      <c r="DBF44" s="1247"/>
      <c r="DBG44" s="1247"/>
      <c r="DBH44" s="1247"/>
      <c r="DBI44" s="1247"/>
      <c r="DBJ44" s="1247"/>
      <c r="DBK44" s="1247"/>
      <c r="DBL44" s="1247"/>
      <c r="DBM44" s="1247"/>
      <c r="DBN44" s="1247"/>
      <c r="DBO44" s="1247"/>
      <c r="DBP44" s="1247"/>
      <c r="DBQ44" s="1247"/>
      <c r="DBR44" s="1247"/>
      <c r="DBS44" s="1247"/>
      <c r="DBT44" s="1247"/>
      <c r="DBU44" s="1247"/>
      <c r="DBV44" s="1247"/>
      <c r="DBW44" s="1247"/>
      <c r="DBX44" s="1247"/>
      <c r="DBY44" s="1247"/>
      <c r="DBZ44" s="1247"/>
      <c r="DCA44" s="1247"/>
      <c r="DCB44" s="1247"/>
      <c r="DCC44" s="1247"/>
      <c r="DCD44" s="1247"/>
      <c r="DCE44" s="1247"/>
      <c r="DCF44" s="1247"/>
      <c r="DCG44" s="1247"/>
      <c r="DCH44" s="1247"/>
      <c r="DCI44" s="1247"/>
      <c r="DCJ44" s="1247"/>
      <c r="DCK44" s="1247"/>
      <c r="DCL44" s="1247"/>
      <c r="DCM44" s="1247"/>
      <c r="DCN44" s="1247"/>
      <c r="DCO44" s="1247"/>
      <c r="DCP44" s="1247"/>
      <c r="DCQ44" s="1247"/>
      <c r="DCR44" s="1247"/>
      <c r="DCS44" s="1247"/>
      <c r="DCT44" s="1247"/>
      <c r="DCU44" s="1247"/>
      <c r="DCV44" s="1247"/>
      <c r="DCW44" s="1247"/>
      <c r="DCX44" s="1247"/>
      <c r="DCY44" s="1247"/>
      <c r="DCZ44" s="1247"/>
      <c r="DDA44" s="1247"/>
      <c r="DDB44" s="1247"/>
      <c r="DDC44" s="1247"/>
      <c r="DDD44" s="1247"/>
      <c r="DDE44" s="1247"/>
      <c r="DDF44" s="1247"/>
      <c r="DDG44" s="1247"/>
      <c r="DDH44" s="1247"/>
      <c r="DDI44" s="1247"/>
      <c r="DDJ44" s="1247"/>
      <c r="DDK44" s="1247"/>
      <c r="DDL44" s="1247"/>
      <c r="DDM44" s="1247"/>
      <c r="DDN44" s="1247"/>
      <c r="DDO44" s="1247"/>
      <c r="DDP44" s="1247"/>
      <c r="DDQ44" s="1247"/>
      <c r="DDR44" s="1247"/>
      <c r="DDS44" s="1247"/>
      <c r="DDT44" s="1247"/>
      <c r="DDU44" s="1247"/>
      <c r="DDV44" s="1247"/>
      <c r="DDW44" s="1247"/>
      <c r="DDX44" s="1247"/>
      <c r="DDY44" s="1247"/>
      <c r="DDZ44" s="1247"/>
      <c r="DEA44" s="1247"/>
      <c r="DEB44" s="1247"/>
      <c r="DEC44" s="1247"/>
      <c r="DED44" s="1247"/>
      <c r="DEE44" s="1247"/>
      <c r="DEF44" s="1247"/>
      <c r="DEG44" s="1247"/>
      <c r="DEH44" s="1247"/>
      <c r="DEI44" s="1247"/>
      <c r="DEJ44" s="1247"/>
      <c r="DEK44" s="1247"/>
      <c r="DEL44" s="1247"/>
      <c r="DEM44" s="1247"/>
      <c r="DEN44" s="1247"/>
      <c r="DEO44" s="1247"/>
      <c r="DEP44" s="1247"/>
      <c r="DEQ44" s="1247"/>
      <c r="DER44" s="1247"/>
      <c r="DES44" s="1247"/>
      <c r="DET44" s="1247"/>
      <c r="DEU44" s="1247"/>
      <c r="DEV44" s="1247"/>
      <c r="DEW44" s="1247"/>
      <c r="DEX44" s="1247"/>
      <c r="DEY44" s="1247"/>
      <c r="DEZ44" s="1247"/>
      <c r="DFA44" s="1247"/>
      <c r="DFB44" s="1247"/>
      <c r="DFC44" s="1247"/>
      <c r="DFD44" s="1247"/>
      <c r="DFE44" s="1247"/>
      <c r="DFF44" s="1247"/>
      <c r="DFG44" s="1247"/>
      <c r="DFH44" s="1247"/>
      <c r="DFI44" s="1247"/>
      <c r="DFJ44" s="1247"/>
      <c r="DFK44" s="1247"/>
      <c r="DFL44" s="1247"/>
      <c r="DFM44" s="1247"/>
      <c r="DFN44" s="1247"/>
      <c r="DFO44" s="1247"/>
      <c r="DFP44" s="1247"/>
      <c r="DFQ44" s="1247"/>
      <c r="DFR44" s="1247"/>
      <c r="DFS44" s="1247"/>
      <c r="DFT44" s="1247"/>
      <c r="DFU44" s="1247"/>
      <c r="DFV44" s="1247"/>
      <c r="DFW44" s="1247"/>
      <c r="DFX44" s="1247"/>
      <c r="DFY44" s="1247"/>
      <c r="DFZ44" s="1247"/>
      <c r="DGA44" s="1247"/>
      <c r="DGB44" s="1247"/>
      <c r="DGC44" s="1247"/>
      <c r="DGD44" s="1247"/>
      <c r="DGE44" s="1247"/>
      <c r="DGF44" s="1247"/>
      <c r="DGG44" s="1247"/>
      <c r="DGH44" s="1247"/>
      <c r="DGI44" s="1247"/>
      <c r="DGJ44" s="1247"/>
      <c r="DGK44" s="1247"/>
      <c r="DGL44" s="1247"/>
      <c r="DGM44" s="1247"/>
      <c r="DGN44" s="1247"/>
      <c r="DGO44" s="1247"/>
      <c r="DGP44" s="1247"/>
      <c r="DGQ44" s="1247"/>
      <c r="DGR44" s="1247"/>
      <c r="DGS44" s="1247"/>
      <c r="DGT44" s="1247"/>
      <c r="DGU44" s="1247"/>
      <c r="DGV44" s="1247"/>
      <c r="DGW44" s="1247"/>
      <c r="DGX44" s="1247"/>
      <c r="DGY44" s="1247"/>
      <c r="DGZ44" s="1247"/>
      <c r="DHA44" s="1247"/>
      <c r="DHB44" s="1247"/>
      <c r="DHC44" s="1247"/>
      <c r="DHD44" s="1247"/>
      <c r="DHE44" s="1247"/>
      <c r="DHF44" s="1247"/>
      <c r="DHG44" s="1247"/>
      <c r="DHH44" s="1247"/>
      <c r="DHI44" s="1247"/>
      <c r="DHJ44" s="1247"/>
      <c r="DHK44" s="1247"/>
      <c r="DHL44" s="1247"/>
      <c r="DHM44" s="1247"/>
      <c r="DHN44" s="1247"/>
      <c r="DHO44" s="1247"/>
      <c r="DHP44" s="1247"/>
      <c r="DHQ44" s="1247"/>
      <c r="DHR44" s="1247"/>
      <c r="DHS44" s="1247"/>
      <c r="DHT44" s="1247"/>
      <c r="DHU44" s="1247"/>
      <c r="DHV44" s="1247"/>
      <c r="DHW44" s="1247"/>
      <c r="DHX44" s="1247"/>
      <c r="DHY44" s="1247"/>
      <c r="DHZ44" s="1247"/>
      <c r="DIA44" s="1247"/>
      <c r="DIB44" s="1247"/>
      <c r="DIC44" s="1247"/>
      <c r="DID44" s="1247"/>
      <c r="DIE44" s="1247"/>
      <c r="DIF44" s="1247"/>
      <c r="DIG44" s="1247"/>
      <c r="DIH44" s="1247"/>
      <c r="DII44" s="1247"/>
      <c r="DIJ44" s="1247"/>
      <c r="DIK44" s="1247"/>
      <c r="DIL44" s="1247"/>
      <c r="DIM44" s="1247"/>
      <c r="DIN44" s="1247"/>
      <c r="DIO44" s="1247"/>
      <c r="DIP44" s="1247"/>
      <c r="DIQ44" s="1247"/>
      <c r="DIR44" s="1247"/>
      <c r="DIS44" s="1247"/>
      <c r="DIT44" s="1247"/>
      <c r="DIU44" s="1247"/>
      <c r="DIV44" s="1247"/>
      <c r="DIW44" s="1247"/>
      <c r="DIX44" s="1247"/>
      <c r="DIY44" s="1247"/>
      <c r="DIZ44" s="1247"/>
      <c r="DJA44" s="1247"/>
      <c r="DJB44" s="1247"/>
      <c r="DJC44" s="1247"/>
      <c r="DJD44" s="1247"/>
      <c r="DJE44" s="1247"/>
      <c r="DJF44" s="1247"/>
      <c r="DJG44" s="1247"/>
      <c r="DJH44" s="1247"/>
      <c r="DJI44" s="1247"/>
      <c r="DJJ44" s="1247"/>
      <c r="DJK44" s="1247"/>
      <c r="DJL44" s="1247"/>
      <c r="DJM44" s="1247"/>
      <c r="DJN44" s="1247"/>
      <c r="DJO44" s="1247"/>
      <c r="DJP44" s="1247"/>
      <c r="DJQ44" s="1247"/>
      <c r="DJR44" s="1247"/>
      <c r="DJS44" s="1247"/>
      <c r="DJT44" s="1247"/>
      <c r="DJU44" s="1247"/>
      <c r="DJV44" s="1247"/>
      <c r="DJW44" s="1247"/>
      <c r="DJX44" s="1247"/>
      <c r="DJY44" s="1247"/>
      <c r="DJZ44" s="1247"/>
      <c r="DKA44" s="1247"/>
      <c r="DKB44" s="1247"/>
      <c r="DKC44" s="1247"/>
      <c r="DKD44" s="1247"/>
      <c r="DKE44" s="1247"/>
      <c r="DKF44" s="1247"/>
      <c r="DKG44" s="1247"/>
      <c r="DKH44" s="1247"/>
      <c r="DKI44" s="1247"/>
      <c r="DKJ44" s="1247"/>
      <c r="DKK44" s="1247"/>
      <c r="DKL44" s="1247"/>
      <c r="DKM44" s="1247"/>
      <c r="DKN44" s="1247"/>
      <c r="DKO44" s="1247"/>
      <c r="DKP44" s="1247"/>
      <c r="DKQ44" s="1247"/>
      <c r="DKR44" s="1247"/>
      <c r="DKS44" s="1247"/>
      <c r="DKT44" s="1247"/>
      <c r="DKU44" s="1247"/>
      <c r="DKV44" s="1247"/>
      <c r="DKW44" s="1247"/>
      <c r="DKX44" s="1247"/>
      <c r="DKY44" s="1247"/>
      <c r="DKZ44" s="1247"/>
      <c r="DLA44" s="1247"/>
      <c r="DLB44" s="1247"/>
      <c r="DLC44" s="1247"/>
      <c r="DLD44" s="1247"/>
      <c r="DLE44" s="1247"/>
      <c r="DLF44" s="1247"/>
      <c r="DLG44" s="1247"/>
      <c r="DLH44" s="1247"/>
      <c r="DLI44" s="1247"/>
      <c r="DLJ44" s="1247"/>
      <c r="DLK44" s="1247"/>
      <c r="DLL44" s="1247"/>
      <c r="DLM44" s="1247"/>
      <c r="DLN44" s="1247"/>
      <c r="DLO44" s="1247"/>
      <c r="DLP44" s="1247"/>
      <c r="DLQ44" s="1247"/>
      <c r="DLR44" s="1247"/>
      <c r="DLS44" s="1247"/>
      <c r="DLT44" s="1247"/>
      <c r="DLU44" s="1247"/>
      <c r="DLV44" s="1247"/>
      <c r="DLW44" s="1247"/>
      <c r="DLX44" s="1247"/>
      <c r="DLY44" s="1247"/>
      <c r="DLZ44" s="1247"/>
      <c r="DMA44" s="1247"/>
      <c r="DMB44" s="1247"/>
      <c r="DMC44" s="1247"/>
      <c r="DMD44" s="1247"/>
      <c r="DME44" s="1247"/>
      <c r="DMF44" s="1247"/>
      <c r="DMG44" s="1247"/>
      <c r="DMH44" s="1247"/>
      <c r="DMI44" s="1247"/>
      <c r="DMJ44" s="1247"/>
      <c r="DMK44" s="1247"/>
      <c r="DML44" s="1247"/>
      <c r="DMM44" s="1247"/>
      <c r="DMN44" s="1247"/>
      <c r="DMO44" s="1247"/>
      <c r="DMP44" s="1247"/>
      <c r="DMQ44" s="1247"/>
      <c r="DMR44" s="1247"/>
      <c r="DMS44" s="1247"/>
      <c r="DMT44" s="1247"/>
      <c r="DMU44" s="1247"/>
      <c r="DMV44" s="1247"/>
      <c r="DMW44" s="1247"/>
      <c r="DMX44" s="1247"/>
      <c r="DMY44" s="1247"/>
      <c r="DMZ44" s="1247"/>
      <c r="DNA44" s="1247"/>
      <c r="DNB44" s="1247"/>
      <c r="DNC44" s="1247"/>
      <c r="DND44" s="1247"/>
      <c r="DNE44" s="1247"/>
      <c r="DNF44" s="1247"/>
      <c r="DNG44" s="1247"/>
      <c r="DNH44" s="1247"/>
      <c r="DNI44" s="1247"/>
      <c r="DNJ44" s="1247"/>
      <c r="DNK44" s="1247"/>
      <c r="DNL44" s="1247"/>
      <c r="DNM44" s="1247"/>
      <c r="DNN44" s="1247"/>
      <c r="DNO44" s="1247"/>
      <c r="DNP44" s="1247"/>
      <c r="DNQ44" s="1247"/>
      <c r="DNR44" s="1247"/>
      <c r="DNS44" s="1247"/>
      <c r="DNT44" s="1247"/>
      <c r="DNU44" s="1247"/>
      <c r="DNV44" s="1247"/>
      <c r="DNW44" s="1247"/>
      <c r="DNX44" s="1247"/>
      <c r="DNY44" s="1247"/>
      <c r="DNZ44" s="1247"/>
      <c r="DOA44" s="1247"/>
      <c r="DOB44" s="1247"/>
      <c r="DOC44" s="1247"/>
      <c r="DOD44" s="1247"/>
      <c r="DOE44" s="1247"/>
      <c r="DOF44" s="1247"/>
      <c r="DOG44" s="1247"/>
      <c r="DOH44" s="1247"/>
      <c r="DOI44" s="1247"/>
      <c r="DOJ44" s="1247"/>
      <c r="DOK44" s="1247"/>
      <c r="DOL44" s="1247"/>
      <c r="DOM44" s="1247"/>
      <c r="DON44" s="1247"/>
      <c r="DOO44" s="1247"/>
      <c r="DOP44" s="1247"/>
      <c r="DOQ44" s="1247"/>
      <c r="DOR44" s="1247"/>
      <c r="DOS44" s="1247"/>
      <c r="DOT44" s="1247"/>
      <c r="DOU44" s="1247"/>
      <c r="DOV44" s="1247"/>
      <c r="DOW44" s="1247"/>
      <c r="DOX44" s="1247"/>
      <c r="DOY44" s="1247"/>
      <c r="DOZ44" s="1247"/>
      <c r="DPA44" s="1247"/>
      <c r="DPB44" s="1247"/>
      <c r="DPC44" s="1247"/>
      <c r="DPD44" s="1247"/>
      <c r="DPE44" s="1247"/>
      <c r="DPF44" s="1247"/>
      <c r="DPG44" s="1247"/>
      <c r="DPH44" s="1247"/>
      <c r="DPI44" s="1247"/>
      <c r="DPJ44" s="1247"/>
      <c r="DPK44" s="1247"/>
      <c r="DPL44" s="1247"/>
      <c r="DPM44" s="1247"/>
      <c r="DPN44" s="1247"/>
      <c r="DPO44" s="1247"/>
      <c r="DPP44" s="1247"/>
      <c r="DPQ44" s="1247"/>
      <c r="DPR44" s="1247"/>
      <c r="DPS44" s="1247"/>
      <c r="DPT44" s="1247"/>
      <c r="DPU44" s="1247"/>
      <c r="DPV44" s="1247"/>
      <c r="DPW44" s="1247"/>
      <c r="DPX44" s="1247"/>
      <c r="DPY44" s="1247"/>
      <c r="DPZ44" s="1247"/>
      <c r="DQA44" s="1247"/>
      <c r="DQB44" s="1247"/>
      <c r="DQC44" s="1247"/>
      <c r="DQD44" s="1247"/>
      <c r="DQE44" s="1247"/>
      <c r="DQF44" s="1247"/>
      <c r="DQG44" s="1247"/>
      <c r="DQH44" s="1247"/>
      <c r="DQI44" s="1247"/>
      <c r="DQJ44" s="1247"/>
      <c r="DQK44" s="1247"/>
      <c r="DQL44" s="1247"/>
      <c r="DQM44" s="1247"/>
      <c r="DQN44" s="1247"/>
      <c r="DQO44" s="1247"/>
      <c r="DQP44" s="1247"/>
      <c r="DQQ44" s="1247"/>
      <c r="DQR44" s="1247"/>
      <c r="DQS44" s="1247"/>
      <c r="DQT44" s="1247"/>
      <c r="DQU44" s="1247"/>
      <c r="DQV44" s="1247"/>
      <c r="DQW44" s="1247"/>
      <c r="DQX44" s="1247"/>
      <c r="DQY44" s="1247"/>
      <c r="DQZ44" s="1247"/>
      <c r="DRA44" s="1247"/>
      <c r="DRB44" s="1247"/>
      <c r="DRC44" s="1247"/>
      <c r="DRD44" s="1247"/>
      <c r="DRE44" s="1247"/>
      <c r="DRF44" s="1247"/>
      <c r="DRG44" s="1247"/>
      <c r="DRH44" s="1247"/>
      <c r="DRI44" s="1247"/>
      <c r="DRJ44" s="1247"/>
      <c r="DRK44" s="1247"/>
      <c r="DRL44" s="1247"/>
      <c r="DRM44" s="1247"/>
      <c r="DRN44" s="1247"/>
      <c r="DRO44" s="1247"/>
      <c r="DRP44" s="1247"/>
      <c r="DRQ44" s="1247"/>
      <c r="DRR44" s="1247"/>
      <c r="DRS44" s="1247"/>
      <c r="DRT44" s="1247"/>
      <c r="DRU44" s="1247"/>
      <c r="DRV44" s="1247"/>
      <c r="DRW44" s="1247"/>
      <c r="DRX44" s="1247"/>
      <c r="DRY44" s="1247"/>
      <c r="DRZ44" s="1247"/>
      <c r="DSA44" s="1247"/>
      <c r="DSB44" s="1247"/>
      <c r="DSC44" s="1247"/>
      <c r="DSD44" s="1247"/>
      <c r="DSE44" s="1247"/>
      <c r="DSF44" s="1247"/>
      <c r="DSG44" s="1247"/>
      <c r="DSH44" s="1247"/>
      <c r="DSI44" s="1247"/>
      <c r="DSJ44" s="1247"/>
      <c r="DSK44" s="1247"/>
      <c r="DSL44" s="1247"/>
      <c r="DSM44" s="1247"/>
      <c r="DSN44" s="1247"/>
      <c r="DSO44" s="1247"/>
      <c r="DSP44" s="1247"/>
      <c r="DSQ44" s="1247"/>
      <c r="DSR44" s="1247"/>
      <c r="DSS44" s="1247"/>
      <c r="DST44" s="1247"/>
      <c r="DSU44" s="1247"/>
      <c r="DSV44" s="1247"/>
      <c r="DSW44" s="1247"/>
      <c r="DSX44" s="1247"/>
      <c r="DSY44" s="1247"/>
      <c r="DSZ44" s="1247"/>
      <c r="DTA44" s="1247"/>
      <c r="DTB44" s="1247"/>
      <c r="DTC44" s="1247"/>
      <c r="DTD44" s="1247"/>
      <c r="DTE44" s="1247"/>
      <c r="DTF44" s="1247"/>
      <c r="DTG44" s="1247"/>
      <c r="DTH44" s="1247"/>
      <c r="DTI44" s="1247"/>
      <c r="DTJ44" s="1247"/>
      <c r="DTK44" s="1247"/>
      <c r="DTL44" s="1247"/>
      <c r="DTM44" s="1247"/>
      <c r="DTN44" s="1247"/>
      <c r="DTO44" s="1247"/>
      <c r="DTP44" s="1247"/>
      <c r="DTQ44" s="1247"/>
      <c r="DTR44" s="1247"/>
      <c r="DTS44" s="1247"/>
      <c r="DTT44" s="1247"/>
      <c r="DTU44" s="1247"/>
      <c r="DTV44" s="1247"/>
      <c r="DTW44" s="1247"/>
      <c r="DTX44" s="1247"/>
      <c r="DTY44" s="1247"/>
      <c r="DTZ44" s="1247"/>
      <c r="DUA44" s="1247"/>
      <c r="DUB44" s="1247"/>
      <c r="DUC44" s="1247"/>
      <c r="DUD44" s="1247"/>
      <c r="DUE44" s="1247"/>
      <c r="DUF44" s="1247"/>
      <c r="DUG44" s="1247"/>
      <c r="DUH44" s="1247"/>
      <c r="DUI44" s="1247"/>
      <c r="DUJ44" s="1247"/>
      <c r="DUK44" s="1247"/>
      <c r="DUL44" s="1247"/>
      <c r="DUM44" s="1247"/>
      <c r="DUN44" s="1247"/>
      <c r="DUO44" s="1247"/>
      <c r="DUP44" s="1247"/>
      <c r="DUQ44" s="1247"/>
      <c r="DUR44" s="1247"/>
      <c r="DUS44" s="1247"/>
      <c r="DUT44" s="1247"/>
      <c r="DUU44" s="1247"/>
      <c r="DUV44" s="1247"/>
      <c r="DUW44" s="1247"/>
      <c r="DUX44" s="1247"/>
      <c r="DUY44" s="1247"/>
      <c r="DUZ44" s="1247"/>
      <c r="DVA44" s="1247"/>
      <c r="DVB44" s="1247"/>
      <c r="DVC44" s="1247"/>
      <c r="DVD44" s="1247"/>
      <c r="DVE44" s="1247"/>
      <c r="DVF44" s="1247"/>
      <c r="DVG44" s="1247"/>
      <c r="DVH44" s="1247"/>
      <c r="DVI44" s="1247"/>
      <c r="DVJ44" s="1247"/>
      <c r="DVK44" s="1247"/>
      <c r="DVL44" s="1247"/>
      <c r="DVM44" s="1247"/>
      <c r="DVN44" s="1247"/>
      <c r="DVO44" s="1247"/>
      <c r="DVP44" s="1247"/>
      <c r="DVQ44" s="1247"/>
      <c r="DVR44" s="1247"/>
      <c r="DVS44" s="1247"/>
      <c r="DVT44" s="1247"/>
      <c r="DVU44" s="1247"/>
      <c r="DVV44" s="1247"/>
      <c r="DVW44" s="1247"/>
      <c r="DVX44" s="1247"/>
      <c r="DVY44" s="1247"/>
      <c r="DVZ44" s="1247"/>
      <c r="DWA44" s="1247"/>
      <c r="DWB44" s="1247"/>
      <c r="DWC44" s="1247"/>
      <c r="DWD44" s="1247"/>
      <c r="DWE44" s="1247"/>
      <c r="DWF44" s="1247"/>
      <c r="DWG44" s="1247"/>
      <c r="DWH44" s="1247"/>
      <c r="DWI44" s="1247"/>
      <c r="DWJ44" s="1247"/>
      <c r="DWK44" s="1247"/>
      <c r="DWL44" s="1247"/>
      <c r="DWM44" s="1247"/>
      <c r="DWN44" s="1247"/>
      <c r="DWO44" s="1247"/>
      <c r="DWP44" s="1247"/>
      <c r="DWQ44" s="1247"/>
      <c r="DWR44" s="1247"/>
      <c r="DWS44" s="1247"/>
      <c r="DWT44" s="1247"/>
      <c r="DWU44" s="1247"/>
      <c r="DWV44" s="1247"/>
      <c r="DWW44" s="1247"/>
      <c r="DWX44" s="1247"/>
      <c r="DWY44" s="1247"/>
      <c r="DWZ44" s="1247"/>
      <c r="DXA44" s="1247"/>
      <c r="DXB44" s="1247"/>
      <c r="DXC44" s="1247"/>
      <c r="DXD44" s="1247"/>
      <c r="DXE44" s="1247"/>
      <c r="DXF44" s="1247"/>
      <c r="DXG44" s="1247"/>
      <c r="DXH44" s="1247"/>
      <c r="DXI44" s="1247"/>
      <c r="DXJ44" s="1247"/>
      <c r="DXK44" s="1247"/>
      <c r="DXL44" s="1247"/>
      <c r="DXM44" s="1247"/>
      <c r="DXN44" s="1247"/>
      <c r="DXO44" s="1247"/>
      <c r="DXP44" s="1247"/>
      <c r="DXQ44" s="1247"/>
      <c r="DXR44" s="1247"/>
      <c r="DXS44" s="1247"/>
      <c r="DXT44" s="1247"/>
      <c r="DXU44" s="1247"/>
      <c r="DXV44" s="1247"/>
      <c r="DXW44" s="1247"/>
      <c r="DXX44" s="1247"/>
      <c r="DXY44" s="1247"/>
      <c r="DXZ44" s="1247"/>
      <c r="DYA44" s="1247"/>
      <c r="DYB44" s="1247"/>
      <c r="DYC44" s="1247"/>
      <c r="DYD44" s="1247"/>
      <c r="DYE44" s="1247"/>
      <c r="DYF44" s="1247"/>
      <c r="DYG44" s="1247"/>
      <c r="DYH44" s="1247"/>
      <c r="DYI44" s="1247"/>
      <c r="DYJ44" s="1247"/>
      <c r="DYK44" s="1247"/>
      <c r="DYL44" s="1247"/>
      <c r="DYM44" s="1247"/>
      <c r="DYN44" s="1247"/>
      <c r="DYO44" s="1247"/>
      <c r="DYP44" s="1247"/>
      <c r="DYQ44" s="1247"/>
      <c r="DYR44" s="1247"/>
      <c r="DYS44" s="1247"/>
      <c r="DYT44" s="1247"/>
      <c r="DYU44" s="1247"/>
      <c r="DYV44" s="1247"/>
      <c r="DYW44" s="1247"/>
      <c r="DYX44" s="1247"/>
      <c r="DYY44" s="1247"/>
      <c r="DYZ44" s="1247"/>
      <c r="DZA44" s="1247"/>
      <c r="DZB44" s="1247"/>
      <c r="DZC44" s="1247"/>
      <c r="DZD44" s="1247"/>
      <c r="DZE44" s="1247"/>
      <c r="DZF44" s="1247"/>
      <c r="DZG44" s="1247"/>
      <c r="DZH44" s="1247"/>
      <c r="DZI44" s="1247"/>
      <c r="DZJ44" s="1247"/>
      <c r="DZK44" s="1247"/>
      <c r="DZL44" s="1247"/>
      <c r="DZM44" s="1247"/>
      <c r="DZN44" s="1247"/>
      <c r="DZO44" s="1247"/>
      <c r="DZP44" s="1247"/>
      <c r="DZQ44" s="1247"/>
      <c r="DZR44" s="1247"/>
      <c r="DZS44" s="1247"/>
      <c r="DZT44" s="1247"/>
      <c r="DZU44" s="1247"/>
      <c r="DZV44" s="1247"/>
      <c r="DZW44" s="1247"/>
      <c r="DZX44" s="1247"/>
      <c r="DZY44" s="1247"/>
      <c r="DZZ44" s="1247"/>
      <c r="EAA44" s="1247"/>
      <c r="EAB44" s="1247"/>
      <c r="EAC44" s="1247"/>
      <c r="EAD44" s="1247"/>
      <c r="EAE44" s="1247"/>
      <c r="EAF44" s="1247"/>
      <c r="EAG44" s="1247"/>
      <c r="EAH44" s="1247"/>
      <c r="EAI44" s="1247"/>
      <c r="EAJ44" s="1247"/>
      <c r="EAK44" s="1247"/>
      <c r="EAL44" s="1247"/>
      <c r="EAM44" s="1247"/>
      <c r="EAN44" s="1247"/>
      <c r="EAO44" s="1247"/>
      <c r="EAP44" s="1247"/>
      <c r="EAQ44" s="1247"/>
      <c r="EAR44" s="1247"/>
      <c r="EAS44" s="1247"/>
      <c r="EAT44" s="1247"/>
      <c r="EAU44" s="1247"/>
      <c r="EAV44" s="1247"/>
      <c r="EAW44" s="1247"/>
      <c r="EAX44" s="1247"/>
      <c r="EAY44" s="1247"/>
      <c r="EAZ44" s="1247"/>
      <c r="EBA44" s="1247"/>
      <c r="EBB44" s="1247"/>
      <c r="EBC44" s="1247"/>
      <c r="EBD44" s="1247"/>
      <c r="EBE44" s="1247"/>
      <c r="EBF44" s="1247"/>
      <c r="EBG44" s="1247"/>
      <c r="EBH44" s="1247"/>
      <c r="EBI44" s="1247"/>
      <c r="EBJ44" s="1247"/>
      <c r="EBK44" s="1247"/>
      <c r="EBL44" s="1247"/>
      <c r="EBM44" s="1247"/>
      <c r="EBN44" s="1247"/>
      <c r="EBO44" s="1247"/>
      <c r="EBP44" s="1247"/>
      <c r="EBQ44" s="1247"/>
      <c r="EBR44" s="1247"/>
      <c r="EBS44" s="1247"/>
      <c r="EBT44" s="1247"/>
      <c r="EBU44" s="1247"/>
      <c r="EBV44" s="1247"/>
      <c r="EBW44" s="1247"/>
      <c r="EBX44" s="1247"/>
      <c r="EBY44" s="1247"/>
      <c r="EBZ44" s="1247"/>
      <c r="ECA44" s="1247"/>
      <c r="ECB44" s="1247"/>
      <c r="ECC44" s="1247"/>
      <c r="ECD44" s="1247"/>
      <c r="ECE44" s="1247"/>
      <c r="ECF44" s="1247"/>
      <c r="ECG44" s="1247"/>
      <c r="ECH44" s="1247"/>
      <c r="ECI44" s="1247"/>
      <c r="ECJ44" s="1247"/>
      <c r="ECK44" s="1247"/>
      <c r="ECL44" s="1247"/>
      <c r="ECM44" s="1247"/>
      <c r="ECN44" s="1247"/>
      <c r="ECO44" s="1247"/>
    </row>
    <row r="45" spans="2:3473" s="1248" customFormat="1" ht="13" outlineLevel="1">
      <c r="B45" s="1249" t="s">
        <v>1472</v>
      </c>
      <c r="C45" s="1250">
        <v>1</v>
      </c>
      <c r="D45" s="1251" t="s">
        <v>3153</v>
      </c>
      <c r="E45" s="1252">
        <f t="shared" si="90"/>
        <v>0</v>
      </c>
      <c r="F45" s="1252">
        <f t="shared" si="90"/>
        <v>0</v>
      </c>
      <c r="G45" s="1252">
        <f t="shared" si="90"/>
        <v>0</v>
      </c>
      <c r="H45" s="1252">
        <f t="shared" ca="1" si="79"/>
        <v>207.03296058392277</v>
      </c>
      <c r="I45" s="1252">
        <f t="shared" ca="1" si="79"/>
        <v>207.03296054841792</v>
      </c>
      <c r="J45" s="1252">
        <f t="shared" ca="1" si="79"/>
        <v>3.5504831160442448E-8</v>
      </c>
      <c r="K45" s="1252">
        <f t="shared" si="79"/>
        <v>0</v>
      </c>
      <c r="L45" s="1252">
        <f t="shared" si="79"/>
        <v>0</v>
      </c>
      <c r="M45" s="1252">
        <f t="shared" si="79"/>
        <v>0</v>
      </c>
      <c r="N45" s="1252" t="str">
        <f t="shared" si="79"/>
        <v/>
      </c>
      <c r="O45" s="1252" t="str">
        <f t="shared" si="79"/>
        <v/>
      </c>
      <c r="P45" s="1252" t="str">
        <f t="shared" si="79"/>
        <v/>
      </c>
      <c r="Q45" s="1252">
        <f t="shared" ca="1" si="79"/>
        <v>207.03296058392277</v>
      </c>
      <c r="R45" s="1252">
        <f t="shared" ca="1" si="79"/>
        <v>207.03296054841795</v>
      </c>
      <c r="S45" s="1252">
        <f t="shared" ca="1" si="8"/>
        <v>3.5504831160442448E-8</v>
      </c>
      <c r="T45" s="1252">
        <f t="shared" ca="1" si="5"/>
        <v>207.03296058392277</v>
      </c>
      <c r="U45" s="1252">
        <f t="shared" ca="1" si="5"/>
        <v>207.03296054841795</v>
      </c>
      <c r="V45" s="1252">
        <f t="shared" ca="1" si="9"/>
        <v>3.5504831160442448E-8</v>
      </c>
      <c r="W45" s="1253" t="str">
        <f t="shared" si="10"/>
        <v/>
      </c>
      <c r="X45" s="1252" t="str">
        <f t="shared" si="10"/>
        <v/>
      </c>
      <c r="Y45" s="1252" t="str">
        <f t="shared" si="10"/>
        <v/>
      </c>
      <c r="Z45" s="1252">
        <f t="shared" ca="1" si="78"/>
        <v>155.83281592417157</v>
      </c>
      <c r="AA45" s="1252">
        <f t="shared" ca="1" si="78"/>
        <v>155.83281589744723</v>
      </c>
      <c r="AB45" s="1252">
        <f t="shared" ca="1" si="78"/>
        <v>2.6724333183658642E-8</v>
      </c>
      <c r="AC45" s="1252">
        <f t="shared" ca="1" si="15"/>
        <v>207.03296058392277</v>
      </c>
      <c r="AD45" s="1260">
        <f t="shared" ca="1" si="15"/>
        <v>207.03296054841795</v>
      </c>
      <c r="AE45" s="1260">
        <f t="shared" ca="1" si="15"/>
        <v>3.5504831160442448E-8</v>
      </c>
      <c r="AF45" s="1254"/>
      <c r="AG45" s="1255"/>
      <c r="AH45" s="1255"/>
      <c r="AI45" s="1256">
        <f ca="1">AJ45+AK45</f>
        <v>893.84306886022523</v>
      </c>
      <c r="AJ45" s="1256">
        <f ca="1">IF($BB45=0,0,$BB45*AJ$6/($BB$6-$AG$6-$AM$6))</f>
        <v>893.84306870693683</v>
      </c>
      <c r="AK45" s="1256">
        <f ca="1">IF($BC45=0,0,$BC45*AK$6/($BC$6-$AH$6-$AN$6))</f>
        <v>1.532883805279384E-7</v>
      </c>
      <c r="AL45" s="1256">
        <f t="shared" si="20"/>
        <v>0</v>
      </c>
      <c r="AM45" s="1256"/>
      <c r="AN45" s="1256"/>
      <c r="AO45" s="1256">
        <f t="shared" ca="1" si="21"/>
        <v>0</v>
      </c>
      <c r="AP45" s="1256">
        <f ca="1">IF($BB45=0,0,$BB45*AP$6/($BB$6-$AG$6-$AM$6))</f>
        <v>0</v>
      </c>
      <c r="AQ45" s="1256">
        <f ca="1">IF($BC45=0,0,$BC45*AQ$6/($BC$6-$AH$6-$AN$6))</f>
        <v>0</v>
      </c>
      <c r="AR45" s="1256">
        <f ca="1">AS45+AT45</f>
        <v>1225.1047082118068</v>
      </c>
      <c r="AS45" s="1256">
        <f ca="1">IF($BB45=0,0,$BB45*AS$6/($BB$6-$AG$6-$AM$6))</f>
        <v>1225.1047080017092</v>
      </c>
      <c r="AT45" s="1256">
        <f ca="1">IF($BC45=0,0,$BC45*AT$6/($BC$6-$AH$6-$AN$6))</f>
        <v>2.1009763709238624E-7</v>
      </c>
      <c r="AU45" s="1256">
        <f ca="1">AV45+AW45</f>
        <v>21.923341295113335</v>
      </c>
      <c r="AV45" s="1256">
        <f ca="1">IF($BB45=0,0,$BB45*AV$6/($BB$6-$AG$6-$AM$6))</f>
        <v>21.923341291353623</v>
      </c>
      <c r="AW45" s="1256">
        <f ca="1">IF($BC45=0,0,$BC45*AW$6/($BC$6-$AH$6-$AN$6))</f>
        <v>3.7597130860727325E-9</v>
      </c>
      <c r="AX45" s="1256"/>
      <c r="AY45" s="1256"/>
      <c r="AZ45" s="1256"/>
      <c r="BA45" s="1257">
        <f ca="1">BB45+BC45</f>
        <v>2140.8711183671458</v>
      </c>
      <c r="BB45" s="1257">
        <f t="shared" ref="BB45:BC48" ca="1" si="93">BK45</f>
        <v>2140.871118</v>
      </c>
      <c r="BC45" s="1257">
        <f t="shared" ca="1" si="93"/>
        <v>3.6714573070639744E-7</v>
      </c>
      <c r="BD45" s="1256">
        <f t="shared" ref="BD45:BD48" si="94">+BE45+BF45</f>
        <v>0</v>
      </c>
      <c r="BE45" s="1256">
        <v>0</v>
      </c>
      <c r="BF45" s="1256">
        <v>0</v>
      </c>
      <c r="BG45" s="1256">
        <f>+BH45+BI45</f>
        <v>0</v>
      </c>
      <c r="BH45" s="1257">
        <f>+BE45</f>
        <v>0</v>
      </c>
      <c r="BI45" s="1257">
        <f>+BF45</f>
        <v>0</v>
      </c>
      <c r="BJ45" s="1257">
        <f ca="1">BK45+BL45</f>
        <v>2140.8711183671458</v>
      </c>
      <c r="BK45" s="1256">
        <f ca="1">VLOOKUP($D45,'当期公摊测算表（全期）'!$D$9:$W$192,20,0)</f>
        <v>2140.871118</v>
      </c>
      <c r="BL45" s="1256">
        <f ca="1">VLOOKUP($D45,'当期公摊测算表（全期）'!$D$9:$W$192,19,0)</f>
        <v>3.6714573070639744E-7</v>
      </c>
      <c r="BM45" s="1262" t="s">
        <v>20</v>
      </c>
      <c r="BN45" s="1225">
        <f t="shared" ca="1" si="12"/>
        <v>0</v>
      </c>
      <c r="BO45" s="1225">
        <f t="shared" ca="1" si="13"/>
        <v>0</v>
      </c>
      <c r="BP45" s="1225">
        <f t="shared" si="14"/>
        <v>0</v>
      </c>
      <c r="BQ45" s="1225"/>
      <c r="BR45" s="1221"/>
      <c r="BS45" s="1221"/>
      <c r="BT45" s="1221"/>
      <c r="BU45" s="1221"/>
      <c r="BV45" s="1221"/>
      <c r="BW45" s="1221"/>
      <c r="BX45" s="1221"/>
      <c r="BY45" s="1221"/>
      <c r="BZ45" s="1221"/>
      <c r="CA45" s="1221"/>
      <c r="CB45" s="1221"/>
      <c r="CC45" s="1221"/>
      <c r="CD45" s="1221"/>
      <c r="CE45" s="1221"/>
      <c r="CF45" s="1221"/>
      <c r="CG45" s="1221"/>
      <c r="CH45" s="1221"/>
      <c r="CI45" s="1221"/>
      <c r="CJ45" s="1221"/>
      <c r="CK45" s="1221"/>
      <c r="CL45" s="1221"/>
      <c r="CM45" s="1221"/>
      <c r="CN45" s="1221"/>
      <c r="CO45" s="1221"/>
      <c r="CP45" s="1221"/>
      <c r="CQ45" s="1221"/>
      <c r="CR45" s="1221"/>
      <c r="CS45" s="1221"/>
      <c r="CT45" s="1221"/>
      <c r="CU45" s="1221"/>
      <c r="CV45" s="1221"/>
      <c r="CW45" s="1221"/>
      <c r="CX45" s="1221"/>
      <c r="CY45" s="1221"/>
      <c r="CZ45" s="1221"/>
      <c r="DA45" s="1221"/>
      <c r="DB45" s="1221"/>
      <c r="DC45" s="1221"/>
      <c r="DD45" s="1221"/>
      <c r="DE45" s="1221"/>
      <c r="DF45" s="1221"/>
      <c r="DG45" s="1221"/>
      <c r="DH45" s="1221"/>
      <c r="DI45" s="1221"/>
      <c r="DJ45" s="1221"/>
      <c r="DK45" s="1221"/>
      <c r="DL45" s="1221"/>
      <c r="DM45" s="1221"/>
      <c r="DN45" s="1221"/>
      <c r="DO45" s="1221"/>
      <c r="DP45" s="1221"/>
      <c r="DQ45" s="1221"/>
      <c r="DR45" s="1221"/>
      <c r="DS45" s="1221"/>
      <c r="DT45" s="1221"/>
      <c r="DU45" s="1221"/>
      <c r="DV45" s="1221"/>
      <c r="DW45" s="1221"/>
      <c r="DX45" s="1221"/>
      <c r="DY45" s="1221"/>
      <c r="DZ45" s="1221"/>
      <c r="EA45" s="1221"/>
      <c r="EB45" s="1221"/>
      <c r="EC45" s="1221"/>
      <c r="ED45" s="1221"/>
      <c r="EE45" s="1221"/>
      <c r="EF45" s="1221"/>
      <c r="EG45" s="1221"/>
      <c r="EH45" s="1221"/>
      <c r="EI45" s="1221"/>
      <c r="EJ45" s="1221"/>
      <c r="EK45" s="1221"/>
      <c r="EL45" s="1221"/>
      <c r="EM45" s="1221"/>
      <c r="EN45" s="1221"/>
      <c r="EO45" s="1221"/>
      <c r="EP45" s="1221"/>
      <c r="EQ45" s="1221"/>
      <c r="ER45" s="1221"/>
      <c r="ES45" s="1221"/>
      <c r="ET45" s="1221"/>
      <c r="EU45" s="1221"/>
      <c r="EV45" s="1221"/>
      <c r="EW45" s="1221"/>
      <c r="EX45" s="1221"/>
      <c r="EY45" s="1221"/>
      <c r="EZ45" s="1221"/>
      <c r="FA45" s="1221"/>
      <c r="FB45" s="1221"/>
      <c r="FC45" s="1221"/>
      <c r="FD45" s="1221"/>
      <c r="FE45" s="1221"/>
      <c r="FF45" s="1221"/>
      <c r="FG45" s="1221"/>
      <c r="FH45" s="1221"/>
      <c r="FI45" s="1221"/>
      <c r="FJ45" s="1221"/>
      <c r="FK45" s="1221"/>
      <c r="FL45" s="1221"/>
      <c r="FM45" s="1221"/>
      <c r="FN45" s="1221"/>
      <c r="FO45" s="1221"/>
      <c r="FP45" s="1221"/>
      <c r="FQ45" s="1221"/>
      <c r="FR45" s="1221"/>
      <c r="FS45" s="1221"/>
      <c r="FT45" s="1221"/>
      <c r="FU45" s="1221"/>
      <c r="FV45" s="1221"/>
      <c r="FW45" s="1221"/>
      <c r="FX45" s="1221"/>
      <c r="FY45" s="1221"/>
      <c r="FZ45" s="1221"/>
      <c r="GA45" s="1221"/>
      <c r="GB45" s="1221"/>
      <c r="GC45" s="1221"/>
      <c r="GD45" s="1221"/>
      <c r="GE45" s="1221"/>
      <c r="GF45" s="1221"/>
      <c r="GG45" s="1221"/>
      <c r="GH45" s="1221"/>
      <c r="GI45" s="1221"/>
      <c r="GJ45" s="1221"/>
      <c r="GK45" s="1221"/>
      <c r="GL45" s="1221"/>
      <c r="GM45" s="1221"/>
      <c r="GN45" s="1221"/>
      <c r="GO45" s="1221"/>
      <c r="GP45" s="1221"/>
      <c r="GQ45" s="1221"/>
      <c r="GR45" s="1221"/>
      <c r="GS45" s="1221"/>
      <c r="GT45" s="1221"/>
      <c r="GU45" s="1221"/>
      <c r="GV45" s="1221"/>
      <c r="GW45" s="1221"/>
      <c r="GX45" s="1221"/>
      <c r="GY45" s="1221"/>
      <c r="GZ45" s="1221"/>
      <c r="HA45" s="1221"/>
      <c r="HB45" s="1221"/>
      <c r="HC45" s="1221"/>
      <c r="HD45" s="1221"/>
      <c r="HE45" s="1221"/>
      <c r="HF45" s="1221"/>
      <c r="HG45" s="1221"/>
      <c r="HH45" s="1221"/>
      <c r="HI45" s="1221"/>
      <c r="HJ45" s="1221"/>
      <c r="HK45" s="1221"/>
      <c r="HL45" s="1221"/>
      <c r="HM45" s="1221"/>
      <c r="HN45" s="1221"/>
      <c r="HO45" s="1221"/>
      <c r="HP45" s="1221"/>
      <c r="HQ45" s="1221"/>
      <c r="HR45" s="1221"/>
      <c r="HS45" s="1221"/>
      <c r="HT45" s="1221"/>
      <c r="HU45" s="1221"/>
      <c r="HV45" s="1221"/>
      <c r="HW45" s="1221"/>
      <c r="HX45" s="1221"/>
      <c r="HY45" s="1221"/>
      <c r="HZ45" s="1221"/>
      <c r="IA45" s="1221"/>
      <c r="IB45" s="1221"/>
      <c r="IC45" s="1221"/>
      <c r="ID45" s="1221"/>
      <c r="IE45" s="1221"/>
      <c r="IF45" s="1221"/>
      <c r="IG45" s="1221"/>
      <c r="IH45" s="1221"/>
      <c r="II45" s="1221"/>
      <c r="IJ45" s="1221"/>
      <c r="IK45" s="1221"/>
      <c r="IL45" s="1221"/>
      <c r="IM45" s="1221"/>
      <c r="IN45" s="1221"/>
      <c r="IO45" s="1221"/>
      <c r="IP45" s="1221"/>
      <c r="IQ45" s="1221"/>
      <c r="IR45" s="1221"/>
      <c r="IS45" s="1221"/>
      <c r="IT45" s="1221"/>
      <c r="IU45" s="1221"/>
      <c r="IV45" s="1221"/>
      <c r="IW45" s="1221"/>
      <c r="IX45" s="1221"/>
      <c r="IY45" s="1221"/>
      <c r="IZ45" s="1221"/>
      <c r="JA45" s="1221"/>
      <c r="JB45" s="1221"/>
      <c r="JC45" s="1221"/>
      <c r="JD45" s="1221"/>
      <c r="JE45" s="1221"/>
      <c r="JF45" s="1221"/>
      <c r="JG45" s="1221"/>
      <c r="JH45" s="1221"/>
      <c r="JI45" s="1221"/>
      <c r="JJ45" s="1221"/>
      <c r="JK45" s="1221"/>
      <c r="JL45" s="1221"/>
      <c r="JM45" s="1221"/>
      <c r="JN45" s="1221"/>
      <c r="JO45" s="1221"/>
      <c r="JP45" s="1221"/>
      <c r="JQ45" s="1221"/>
      <c r="JR45" s="1221"/>
      <c r="JS45" s="1221"/>
      <c r="JT45" s="1221"/>
      <c r="JU45" s="1221"/>
      <c r="JV45" s="1221"/>
      <c r="JW45" s="1221"/>
      <c r="JX45" s="1221"/>
      <c r="JY45" s="1221"/>
      <c r="JZ45" s="1221"/>
      <c r="KA45" s="1221"/>
      <c r="KB45" s="1221"/>
      <c r="KC45" s="1221"/>
      <c r="KD45" s="1221"/>
      <c r="KE45" s="1221"/>
      <c r="KF45" s="1221"/>
      <c r="KG45" s="1221"/>
      <c r="KH45" s="1221"/>
      <c r="KI45" s="1221"/>
      <c r="KJ45" s="1221"/>
      <c r="KK45" s="1221"/>
      <c r="KL45" s="1221"/>
      <c r="KM45" s="1221"/>
      <c r="KN45" s="1221"/>
      <c r="KO45" s="1221"/>
      <c r="KP45" s="1221"/>
      <c r="KQ45" s="1221"/>
      <c r="KR45" s="1221"/>
      <c r="KS45" s="1221"/>
      <c r="KT45" s="1221"/>
      <c r="KU45" s="1221"/>
      <c r="KV45" s="1221"/>
      <c r="KW45" s="1221"/>
      <c r="KX45" s="1221"/>
      <c r="KY45" s="1221"/>
      <c r="KZ45" s="1221"/>
      <c r="LA45" s="1221"/>
      <c r="LB45" s="1221"/>
      <c r="LC45" s="1221"/>
      <c r="LD45" s="1221"/>
      <c r="LE45" s="1221"/>
      <c r="LF45" s="1221"/>
      <c r="LG45" s="1221"/>
      <c r="LH45" s="1221"/>
      <c r="LI45" s="1221"/>
      <c r="LJ45" s="1221"/>
      <c r="LK45" s="1221"/>
      <c r="LL45" s="1221"/>
      <c r="LM45" s="1221"/>
      <c r="LN45" s="1221"/>
      <c r="LO45" s="1221"/>
      <c r="LP45" s="1221"/>
      <c r="LQ45" s="1221"/>
      <c r="LR45" s="1221"/>
      <c r="LS45" s="1221"/>
      <c r="LT45" s="1221"/>
      <c r="LU45" s="1221"/>
      <c r="LV45" s="1221"/>
      <c r="LW45" s="1221"/>
      <c r="LX45" s="1221"/>
      <c r="LY45" s="1221"/>
      <c r="LZ45" s="1221"/>
      <c r="MA45" s="1221"/>
      <c r="MB45" s="1221"/>
      <c r="MC45" s="1221"/>
      <c r="MD45" s="1221"/>
      <c r="ME45" s="1221"/>
      <c r="MF45" s="1221"/>
      <c r="MG45" s="1221"/>
      <c r="MH45" s="1221"/>
      <c r="MI45" s="1221"/>
      <c r="MJ45" s="1221"/>
      <c r="MK45" s="1221"/>
      <c r="ML45" s="1221"/>
      <c r="MM45" s="1221"/>
      <c r="MN45" s="1221"/>
      <c r="MO45" s="1221"/>
      <c r="MP45" s="1221"/>
      <c r="MQ45" s="1221"/>
      <c r="MR45" s="1221"/>
      <c r="MS45" s="1221"/>
      <c r="MT45" s="1221"/>
      <c r="MU45" s="1221"/>
      <c r="MV45" s="1221"/>
      <c r="MW45" s="1221"/>
      <c r="MX45" s="1221"/>
      <c r="MY45" s="1221"/>
      <c r="MZ45" s="1221"/>
      <c r="NA45" s="1221"/>
      <c r="NB45" s="1221"/>
      <c r="NC45" s="1221"/>
      <c r="ND45" s="1221"/>
      <c r="NE45" s="1221"/>
      <c r="NF45" s="1221"/>
      <c r="NG45" s="1221"/>
      <c r="NH45" s="1221"/>
      <c r="NI45" s="1221"/>
      <c r="NJ45" s="1221"/>
      <c r="NK45" s="1221"/>
      <c r="NL45" s="1221"/>
      <c r="NM45" s="1221"/>
      <c r="NN45" s="1221"/>
      <c r="NO45" s="1221"/>
      <c r="NP45" s="1221"/>
      <c r="NQ45" s="1221"/>
      <c r="NR45" s="1221"/>
      <c r="NS45" s="1221"/>
      <c r="NT45" s="1221"/>
      <c r="NU45" s="1221"/>
      <c r="NV45" s="1221"/>
      <c r="NW45" s="1221"/>
      <c r="NX45" s="1221"/>
      <c r="NY45" s="1221"/>
      <c r="NZ45" s="1221"/>
      <c r="OA45" s="1221"/>
      <c r="OB45" s="1221"/>
      <c r="OC45" s="1221"/>
      <c r="OD45" s="1221"/>
      <c r="OE45" s="1221"/>
      <c r="OF45" s="1221"/>
      <c r="OG45" s="1221"/>
      <c r="OH45" s="1221"/>
      <c r="OI45" s="1221"/>
      <c r="OJ45" s="1221"/>
      <c r="OK45" s="1221"/>
      <c r="OL45" s="1221"/>
      <c r="OM45" s="1221"/>
      <c r="ON45" s="1221"/>
      <c r="OO45" s="1221"/>
      <c r="OP45" s="1221"/>
      <c r="OQ45" s="1221"/>
      <c r="OR45" s="1221"/>
      <c r="OS45" s="1221"/>
      <c r="OT45" s="1221"/>
      <c r="OU45" s="1221"/>
      <c r="OV45" s="1221"/>
      <c r="OW45" s="1221"/>
      <c r="OX45" s="1221"/>
      <c r="OY45" s="1221"/>
      <c r="OZ45" s="1221"/>
      <c r="PA45" s="1221"/>
      <c r="PB45" s="1221"/>
      <c r="PC45" s="1221"/>
      <c r="PD45" s="1221"/>
      <c r="PE45" s="1221"/>
      <c r="PF45" s="1221"/>
      <c r="PG45" s="1221"/>
      <c r="PH45" s="1221"/>
      <c r="PI45" s="1221"/>
      <c r="PJ45" s="1221"/>
      <c r="PK45" s="1221"/>
      <c r="PL45" s="1221"/>
      <c r="PM45" s="1221"/>
      <c r="PN45" s="1221"/>
      <c r="PO45" s="1221"/>
      <c r="PP45" s="1221"/>
      <c r="PQ45" s="1221"/>
      <c r="PR45" s="1221"/>
      <c r="PS45" s="1221"/>
      <c r="PT45" s="1221"/>
      <c r="PU45" s="1221"/>
      <c r="PV45" s="1221"/>
      <c r="PW45" s="1221"/>
      <c r="PX45" s="1221"/>
      <c r="PY45" s="1221"/>
      <c r="PZ45" s="1221"/>
      <c r="QA45" s="1221"/>
      <c r="QB45" s="1221"/>
      <c r="QC45" s="1221"/>
      <c r="QD45" s="1221"/>
      <c r="QE45" s="1221"/>
      <c r="QF45" s="1221"/>
      <c r="QG45" s="1221"/>
      <c r="QH45" s="1221"/>
      <c r="QI45" s="1221"/>
      <c r="QJ45" s="1221"/>
      <c r="QK45" s="1221"/>
      <c r="QL45" s="1221"/>
      <c r="QM45" s="1221"/>
      <c r="QN45" s="1221"/>
      <c r="QO45" s="1221"/>
      <c r="QP45" s="1221"/>
      <c r="QQ45" s="1221"/>
      <c r="QR45" s="1221"/>
      <c r="QS45" s="1221"/>
      <c r="QT45" s="1221"/>
      <c r="QU45" s="1221"/>
      <c r="QV45" s="1221"/>
      <c r="QW45" s="1221"/>
      <c r="QX45" s="1221"/>
      <c r="QY45" s="1221"/>
      <c r="QZ45" s="1221"/>
      <c r="RA45" s="1221"/>
      <c r="RB45" s="1221"/>
      <c r="RC45" s="1221"/>
      <c r="RD45" s="1221"/>
      <c r="RE45" s="1221"/>
      <c r="RF45" s="1221"/>
      <c r="RG45" s="1221"/>
      <c r="RH45" s="1221"/>
      <c r="RI45" s="1221"/>
      <c r="RJ45" s="1221"/>
      <c r="RK45" s="1221"/>
      <c r="RL45" s="1221"/>
      <c r="RM45" s="1221"/>
      <c r="RN45" s="1221"/>
      <c r="RO45" s="1221"/>
      <c r="RP45" s="1221"/>
      <c r="RQ45" s="1221"/>
      <c r="RR45" s="1221"/>
      <c r="RS45" s="1221"/>
      <c r="RT45" s="1221"/>
      <c r="RU45" s="1221"/>
      <c r="RV45" s="1221"/>
      <c r="RW45" s="1221"/>
      <c r="RX45" s="1221"/>
      <c r="RY45" s="1221"/>
      <c r="RZ45" s="1221"/>
      <c r="SA45" s="1221"/>
      <c r="SB45" s="1221"/>
      <c r="SC45" s="1221"/>
      <c r="SD45" s="1221"/>
      <c r="SE45" s="1221"/>
      <c r="SF45" s="1221"/>
      <c r="SG45" s="1221"/>
      <c r="SH45" s="1221"/>
      <c r="SI45" s="1221"/>
      <c r="SJ45" s="1221"/>
      <c r="SK45" s="1221"/>
      <c r="SL45" s="1221"/>
      <c r="SM45" s="1221"/>
      <c r="SN45" s="1221"/>
      <c r="SO45" s="1221"/>
      <c r="SP45" s="1221"/>
      <c r="SQ45" s="1221"/>
      <c r="SR45" s="1221"/>
      <c r="SS45" s="1221"/>
      <c r="ST45" s="1221"/>
      <c r="SU45" s="1221"/>
      <c r="SV45" s="1221"/>
      <c r="SW45" s="1221"/>
      <c r="SX45" s="1221"/>
      <c r="SY45" s="1221"/>
      <c r="SZ45" s="1221"/>
      <c r="TA45" s="1221"/>
      <c r="TB45" s="1221"/>
      <c r="TC45" s="1221"/>
      <c r="TD45" s="1221"/>
      <c r="TE45" s="1221"/>
      <c r="TF45" s="1221"/>
      <c r="TG45" s="1221"/>
      <c r="TH45" s="1221"/>
      <c r="TI45" s="1221"/>
      <c r="TJ45" s="1221"/>
      <c r="TK45" s="1221"/>
      <c r="TL45" s="1221"/>
      <c r="TM45" s="1221"/>
      <c r="TN45" s="1221"/>
      <c r="TO45" s="1221"/>
      <c r="TP45" s="1221"/>
      <c r="TQ45" s="1221"/>
      <c r="TR45" s="1221"/>
      <c r="TS45" s="1221"/>
      <c r="TT45" s="1221"/>
      <c r="TU45" s="1221"/>
      <c r="TV45" s="1221"/>
      <c r="TW45" s="1221"/>
      <c r="TX45" s="1221"/>
      <c r="TY45" s="1221"/>
      <c r="TZ45" s="1221"/>
      <c r="UA45" s="1221"/>
      <c r="UB45" s="1221"/>
      <c r="UC45" s="1221"/>
      <c r="UD45" s="1221"/>
      <c r="UE45" s="1221"/>
      <c r="UF45" s="1221"/>
      <c r="UG45" s="1221"/>
      <c r="UH45" s="1221"/>
      <c r="UI45" s="1221"/>
      <c r="UJ45" s="1221"/>
      <c r="UK45" s="1221"/>
      <c r="UL45" s="1221"/>
      <c r="UM45" s="1221"/>
      <c r="UN45" s="1221"/>
      <c r="UO45" s="1221"/>
      <c r="UP45" s="1221"/>
      <c r="UQ45" s="1221"/>
      <c r="UR45" s="1221"/>
      <c r="US45" s="1221"/>
      <c r="UT45" s="1221"/>
      <c r="UU45" s="1221"/>
      <c r="UV45" s="1221"/>
      <c r="UW45" s="1221"/>
      <c r="UX45" s="1221"/>
      <c r="UY45" s="1221"/>
      <c r="UZ45" s="1221"/>
      <c r="VA45" s="1221"/>
      <c r="VB45" s="1221"/>
      <c r="VC45" s="1221"/>
      <c r="VD45" s="1221"/>
      <c r="VE45" s="1221"/>
      <c r="VF45" s="1221"/>
      <c r="VG45" s="1221"/>
      <c r="VH45" s="1221"/>
      <c r="VI45" s="1221"/>
      <c r="VJ45" s="1221"/>
      <c r="VK45" s="1221"/>
      <c r="VL45" s="1221"/>
      <c r="VM45" s="1221"/>
      <c r="VN45" s="1221"/>
      <c r="VO45" s="1221"/>
      <c r="VP45" s="1221"/>
      <c r="VQ45" s="1221"/>
      <c r="VR45" s="1221"/>
      <c r="VS45" s="1221"/>
      <c r="VT45" s="1221"/>
      <c r="VU45" s="1221"/>
      <c r="VV45" s="1221"/>
      <c r="VW45" s="1221"/>
      <c r="VX45" s="1221"/>
      <c r="VY45" s="1221"/>
      <c r="VZ45" s="1221"/>
      <c r="WA45" s="1221"/>
      <c r="WB45" s="1221"/>
      <c r="WC45" s="1221"/>
      <c r="WD45" s="1221"/>
      <c r="WE45" s="1221"/>
      <c r="WF45" s="1221"/>
      <c r="WG45" s="1221"/>
      <c r="WH45" s="1221"/>
      <c r="WI45" s="1221"/>
      <c r="WJ45" s="1221"/>
      <c r="WK45" s="1221"/>
      <c r="WL45" s="1221"/>
      <c r="WM45" s="1221"/>
      <c r="WN45" s="1221"/>
      <c r="WO45" s="1221"/>
      <c r="WP45" s="1221"/>
      <c r="WQ45" s="1221"/>
      <c r="WR45" s="1221"/>
      <c r="WS45" s="1221"/>
      <c r="WT45" s="1221"/>
      <c r="WU45" s="1221"/>
      <c r="WV45" s="1221"/>
      <c r="WW45" s="1221"/>
      <c r="WX45" s="1221"/>
      <c r="WY45" s="1221"/>
      <c r="WZ45" s="1221"/>
      <c r="XA45" s="1221"/>
      <c r="XB45" s="1221"/>
      <c r="XC45" s="1221"/>
      <c r="XD45" s="1221"/>
      <c r="XE45" s="1221"/>
      <c r="XF45" s="1221"/>
      <c r="XG45" s="1221"/>
      <c r="XH45" s="1221"/>
      <c r="XI45" s="1221"/>
      <c r="XJ45" s="1221"/>
      <c r="XK45" s="1221"/>
      <c r="XL45" s="1221"/>
      <c r="XM45" s="1221"/>
      <c r="XN45" s="1221"/>
      <c r="XO45" s="1221"/>
      <c r="XP45" s="1221"/>
      <c r="XQ45" s="1221"/>
      <c r="XR45" s="1221"/>
      <c r="XS45" s="1221"/>
      <c r="XT45" s="1221"/>
      <c r="XU45" s="1221"/>
      <c r="XV45" s="1221"/>
      <c r="XW45" s="1221"/>
      <c r="XX45" s="1221"/>
      <c r="XY45" s="1221"/>
      <c r="XZ45" s="1221"/>
      <c r="YA45" s="1221"/>
      <c r="YB45" s="1221"/>
      <c r="YC45" s="1221"/>
      <c r="YD45" s="1221"/>
      <c r="YE45" s="1221"/>
      <c r="YF45" s="1221"/>
      <c r="YG45" s="1221"/>
      <c r="YH45" s="1221"/>
      <c r="YI45" s="1221"/>
      <c r="YJ45" s="1221"/>
      <c r="YK45" s="1221"/>
      <c r="YL45" s="1221"/>
      <c r="YM45" s="1221"/>
      <c r="YN45" s="1221"/>
      <c r="YO45" s="1221"/>
      <c r="YP45" s="1221"/>
      <c r="YQ45" s="1221"/>
      <c r="YR45" s="1221"/>
      <c r="YS45" s="1221"/>
      <c r="YT45" s="1221"/>
      <c r="YU45" s="1221"/>
      <c r="YV45" s="1221"/>
      <c r="YW45" s="1221"/>
      <c r="YX45" s="1221"/>
      <c r="YY45" s="1221"/>
      <c r="YZ45" s="1221"/>
      <c r="ZA45" s="1221"/>
      <c r="ZB45" s="1221"/>
      <c r="ZC45" s="1221"/>
      <c r="ZD45" s="1221"/>
      <c r="ZE45" s="1221"/>
      <c r="ZF45" s="1221"/>
      <c r="ZG45" s="1221"/>
      <c r="ZH45" s="1221"/>
      <c r="ZI45" s="1221"/>
      <c r="ZJ45" s="1221"/>
      <c r="ZK45" s="1221"/>
      <c r="ZL45" s="1221"/>
      <c r="ZM45" s="1221"/>
      <c r="ZN45" s="1221"/>
      <c r="ZO45" s="1221"/>
      <c r="ZP45" s="1221"/>
      <c r="ZQ45" s="1221"/>
      <c r="ZR45" s="1221"/>
      <c r="ZS45" s="1221"/>
      <c r="ZT45" s="1221"/>
      <c r="ZU45" s="1221"/>
      <c r="ZV45" s="1221"/>
      <c r="ZW45" s="1221"/>
      <c r="ZX45" s="1221"/>
      <c r="ZY45" s="1221"/>
      <c r="ZZ45" s="1221"/>
      <c r="AAA45" s="1221"/>
      <c r="AAB45" s="1221"/>
      <c r="AAC45" s="1221"/>
      <c r="AAD45" s="1221"/>
      <c r="AAE45" s="1221"/>
      <c r="AAF45" s="1221"/>
      <c r="AAG45" s="1221"/>
      <c r="AAH45" s="1221"/>
      <c r="AAI45" s="1221"/>
      <c r="AAJ45" s="1221"/>
      <c r="AAK45" s="1221"/>
      <c r="AAL45" s="1221"/>
      <c r="AAM45" s="1221"/>
      <c r="AAN45" s="1221"/>
      <c r="AAO45" s="1221"/>
      <c r="AAP45" s="1221"/>
      <c r="AAQ45" s="1221"/>
      <c r="AAR45" s="1221"/>
      <c r="AAS45" s="1221"/>
      <c r="AAT45" s="1221"/>
      <c r="AAU45" s="1221"/>
      <c r="AAV45" s="1221"/>
      <c r="AAW45" s="1221"/>
      <c r="AAX45" s="1221"/>
      <c r="AAY45" s="1221"/>
      <c r="AAZ45" s="1221"/>
      <c r="ABA45" s="1221"/>
      <c r="ABB45" s="1221"/>
      <c r="ABC45" s="1221"/>
      <c r="ABD45" s="1221"/>
      <c r="ABE45" s="1221"/>
      <c r="ABF45" s="1221"/>
      <c r="ABG45" s="1221"/>
      <c r="ABH45" s="1221"/>
      <c r="ABI45" s="1221"/>
      <c r="ABJ45" s="1221"/>
      <c r="ABK45" s="1221"/>
      <c r="ABL45" s="1221"/>
      <c r="ABM45" s="1221"/>
      <c r="ABN45" s="1221"/>
      <c r="ABO45" s="1221"/>
      <c r="ABP45" s="1221"/>
      <c r="ABQ45" s="1221"/>
      <c r="ABR45" s="1221"/>
      <c r="ABS45" s="1221"/>
      <c r="ABT45" s="1221"/>
      <c r="ABU45" s="1221"/>
      <c r="ABV45" s="1221"/>
      <c r="ABW45" s="1221"/>
      <c r="ABX45" s="1221"/>
      <c r="ABY45" s="1221"/>
      <c r="ABZ45" s="1221"/>
      <c r="ACA45" s="1221"/>
      <c r="ACB45" s="1221"/>
      <c r="ACC45" s="1221"/>
      <c r="ACD45" s="1221"/>
      <c r="ACE45" s="1221"/>
      <c r="ACF45" s="1221"/>
      <c r="ACG45" s="1221"/>
      <c r="ACH45" s="1221"/>
      <c r="ACI45" s="1221"/>
      <c r="ACJ45" s="1221"/>
      <c r="ACK45" s="1221"/>
      <c r="ACL45" s="1221"/>
      <c r="ACM45" s="1221"/>
      <c r="ACN45" s="1221"/>
      <c r="ACO45" s="1221"/>
      <c r="ACP45" s="1221"/>
      <c r="ACQ45" s="1221"/>
      <c r="ACR45" s="1221"/>
      <c r="ACS45" s="1221"/>
      <c r="ACT45" s="1221"/>
      <c r="ACU45" s="1221"/>
      <c r="ACV45" s="1221"/>
      <c r="ACW45" s="1221"/>
      <c r="ACX45" s="1221"/>
      <c r="ACY45" s="1221"/>
      <c r="ACZ45" s="1221"/>
      <c r="ADA45" s="1221"/>
      <c r="ADB45" s="1221"/>
      <c r="ADC45" s="1221"/>
      <c r="ADD45" s="1221"/>
      <c r="ADE45" s="1221"/>
      <c r="ADF45" s="1221"/>
      <c r="ADG45" s="1221"/>
      <c r="ADH45" s="1221"/>
      <c r="ADI45" s="1221"/>
      <c r="ADJ45" s="1221"/>
      <c r="ADK45" s="1221"/>
      <c r="ADL45" s="1221"/>
      <c r="ADM45" s="1221"/>
      <c r="ADN45" s="1221"/>
      <c r="ADO45" s="1221"/>
      <c r="ADP45" s="1221"/>
      <c r="ADQ45" s="1221"/>
      <c r="ADR45" s="1221"/>
      <c r="ADS45" s="1221"/>
      <c r="ADT45" s="1221"/>
      <c r="ADU45" s="1221"/>
      <c r="ADV45" s="1221"/>
      <c r="ADW45" s="1221"/>
      <c r="ADX45" s="1221"/>
      <c r="ADY45" s="1221"/>
      <c r="ADZ45" s="1221"/>
      <c r="AEA45" s="1221"/>
      <c r="AEB45" s="1221"/>
      <c r="AEC45" s="1221"/>
      <c r="AED45" s="1221"/>
      <c r="AEE45" s="1221"/>
      <c r="AEF45" s="1221"/>
      <c r="AEG45" s="1221"/>
      <c r="AEH45" s="1221"/>
      <c r="AEI45" s="1221"/>
      <c r="AEJ45" s="1221"/>
      <c r="AEK45" s="1221"/>
      <c r="AEL45" s="1221"/>
      <c r="AEM45" s="1221"/>
      <c r="AEN45" s="1221"/>
      <c r="AEO45" s="1221"/>
      <c r="AEP45" s="1221"/>
      <c r="AEQ45" s="1221"/>
      <c r="AER45" s="1221"/>
      <c r="AES45" s="1221"/>
      <c r="AET45" s="1221"/>
      <c r="AEU45" s="1221"/>
      <c r="AEV45" s="1221"/>
      <c r="AEW45" s="1221"/>
      <c r="AEX45" s="1221"/>
      <c r="AEY45" s="1221"/>
      <c r="AEZ45" s="1221"/>
      <c r="AFA45" s="1221"/>
      <c r="AFB45" s="1221"/>
      <c r="AFC45" s="1221"/>
      <c r="AFD45" s="1221"/>
      <c r="AFE45" s="1221"/>
      <c r="AFF45" s="1221"/>
      <c r="AFG45" s="1221"/>
      <c r="AFH45" s="1221"/>
      <c r="AFI45" s="1221"/>
      <c r="AFJ45" s="1221"/>
      <c r="AFK45" s="1221"/>
      <c r="AFL45" s="1221"/>
      <c r="AFM45" s="1221"/>
      <c r="AFN45" s="1221"/>
      <c r="AFO45" s="1221"/>
      <c r="AFP45" s="1221"/>
      <c r="AFQ45" s="1221"/>
      <c r="AFR45" s="1221"/>
      <c r="AFS45" s="1221"/>
      <c r="AFT45" s="1221"/>
      <c r="AFU45" s="1221"/>
      <c r="AFV45" s="1221"/>
      <c r="AFW45" s="1221"/>
      <c r="AFX45" s="1221"/>
      <c r="AFY45" s="1221"/>
      <c r="AFZ45" s="1221"/>
      <c r="AGA45" s="1221"/>
      <c r="AGB45" s="1221"/>
      <c r="AGC45" s="1221"/>
      <c r="AGD45" s="1221"/>
      <c r="AGE45" s="1221"/>
      <c r="AGF45" s="1221"/>
      <c r="AGG45" s="1221"/>
      <c r="AGH45" s="1221"/>
      <c r="AGI45" s="1221"/>
      <c r="AGJ45" s="1221"/>
      <c r="AGK45" s="1221"/>
      <c r="AGL45" s="1221"/>
      <c r="AGM45" s="1221"/>
      <c r="AGN45" s="1221"/>
      <c r="AGO45" s="1221"/>
      <c r="AGP45" s="1221"/>
      <c r="AGQ45" s="1221"/>
      <c r="AGR45" s="1221"/>
      <c r="AGS45" s="1221"/>
      <c r="AGT45" s="1221"/>
      <c r="AGU45" s="1221"/>
      <c r="AGV45" s="1221"/>
      <c r="AGW45" s="1221"/>
      <c r="AGX45" s="1221"/>
      <c r="AGY45" s="1221"/>
      <c r="AGZ45" s="1221"/>
      <c r="AHA45" s="1221"/>
      <c r="AHB45" s="1221"/>
      <c r="AHC45" s="1221"/>
      <c r="AHD45" s="1221"/>
      <c r="AHE45" s="1221"/>
      <c r="AHF45" s="1221"/>
      <c r="AHG45" s="1221"/>
      <c r="AHH45" s="1221"/>
      <c r="AHI45" s="1221"/>
      <c r="AHJ45" s="1221"/>
      <c r="AHK45" s="1221"/>
      <c r="AHL45" s="1221"/>
      <c r="AHM45" s="1221"/>
      <c r="AHN45" s="1221"/>
      <c r="AHO45" s="1221"/>
      <c r="AHP45" s="1221"/>
      <c r="AHQ45" s="1221"/>
      <c r="AHR45" s="1221"/>
      <c r="AHS45" s="1221"/>
      <c r="AHT45" s="1221"/>
      <c r="AHU45" s="1221"/>
      <c r="AHV45" s="1221"/>
      <c r="AHW45" s="1221"/>
      <c r="AHX45" s="1221"/>
      <c r="AHY45" s="1221"/>
      <c r="AHZ45" s="1221"/>
      <c r="AIA45" s="1221"/>
      <c r="AIB45" s="1221"/>
      <c r="AIC45" s="1221"/>
      <c r="AID45" s="1221"/>
      <c r="AIE45" s="1221"/>
      <c r="AIF45" s="1221"/>
      <c r="AIG45" s="1221"/>
      <c r="AIH45" s="1221"/>
      <c r="AII45" s="1221"/>
      <c r="AIJ45" s="1221"/>
      <c r="AIK45" s="1221"/>
      <c r="AIL45" s="1221"/>
      <c r="AIM45" s="1221"/>
      <c r="AIN45" s="1221"/>
      <c r="AIO45" s="1221"/>
      <c r="AIP45" s="1221"/>
      <c r="AIQ45" s="1221"/>
      <c r="AIR45" s="1221"/>
      <c r="AIS45" s="1221"/>
      <c r="AIT45" s="1221"/>
      <c r="AIU45" s="1221"/>
      <c r="AIV45" s="1221"/>
      <c r="AIW45" s="1221"/>
      <c r="AIX45" s="1221"/>
      <c r="AIY45" s="1221"/>
      <c r="AIZ45" s="1221"/>
      <c r="AJA45" s="1221"/>
      <c r="AJB45" s="1221"/>
      <c r="AJC45" s="1221"/>
      <c r="AJD45" s="1221"/>
      <c r="AJE45" s="1221"/>
      <c r="AJF45" s="1221"/>
      <c r="AJG45" s="1221"/>
      <c r="AJH45" s="1221"/>
      <c r="AJI45" s="1221"/>
      <c r="AJJ45" s="1221"/>
      <c r="AJK45" s="1221"/>
      <c r="AJL45" s="1221"/>
      <c r="AJM45" s="1221"/>
      <c r="AJN45" s="1221"/>
      <c r="AJO45" s="1221"/>
      <c r="AJP45" s="1221"/>
      <c r="AJQ45" s="1221"/>
      <c r="AJR45" s="1221"/>
      <c r="AJS45" s="1221"/>
      <c r="AJT45" s="1221"/>
      <c r="AJU45" s="1221"/>
      <c r="AJV45" s="1221"/>
      <c r="AJW45" s="1221"/>
      <c r="AJX45" s="1221"/>
      <c r="AJY45" s="1221"/>
      <c r="AJZ45" s="1221"/>
      <c r="AKA45" s="1221"/>
      <c r="AKB45" s="1221"/>
      <c r="AKC45" s="1221"/>
      <c r="AKD45" s="1221"/>
      <c r="AKE45" s="1221"/>
      <c r="AKF45" s="1221"/>
      <c r="AKG45" s="1221"/>
      <c r="AKH45" s="1221"/>
      <c r="AKI45" s="1221"/>
      <c r="AKJ45" s="1221"/>
      <c r="AKK45" s="1221"/>
      <c r="AKL45" s="1221"/>
      <c r="AKM45" s="1221"/>
      <c r="AKN45" s="1221"/>
      <c r="AKO45" s="1221"/>
      <c r="AKP45" s="1221"/>
      <c r="AKQ45" s="1221"/>
      <c r="AKR45" s="1221"/>
      <c r="AKS45" s="1221"/>
      <c r="AKT45" s="1221"/>
      <c r="AKU45" s="1221"/>
      <c r="AKV45" s="1221"/>
      <c r="AKW45" s="1221"/>
      <c r="AKX45" s="1221"/>
      <c r="AKY45" s="1221"/>
      <c r="AKZ45" s="1221"/>
      <c r="ALA45" s="1221"/>
      <c r="ALB45" s="1221"/>
      <c r="ALC45" s="1221"/>
      <c r="ALD45" s="1221"/>
      <c r="ALE45" s="1221"/>
      <c r="ALF45" s="1221"/>
      <c r="ALG45" s="1221"/>
      <c r="ALH45" s="1221"/>
      <c r="ALI45" s="1221"/>
      <c r="ALJ45" s="1221"/>
      <c r="ALK45" s="1221"/>
      <c r="ALL45" s="1221"/>
      <c r="ALM45" s="1221"/>
      <c r="ALN45" s="1221"/>
      <c r="ALO45" s="1221"/>
      <c r="ALP45" s="1221"/>
      <c r="ALQ45" s="1221"/>
      <c r="ALR45" s="1221"/>
      <c r="ALS45" s="1221"/>
      <c r="ALT45" s="1221"/>
      <c r="ALU45" s="1221"/>
      <c r="ALV45" s="1221"/>
      <c r="ALW45" s="1221"/>
      <c r="ALX45" s="1221"/>
      <c r="ALY45" s="1221"/>
      <c r="ALZ45" s="1221"/>
      <c r="AMA45" s="1221"/>
      <c r="AMB45" s="1221"/>
      <c r="AMC45" s="1221"/>
      <c r="AMD45" s="1221"/>
      <c r="AME45" s="1221"/>
      <c r="AMF45" s="1221"/>
      <c r="AMG45" s="1221"/>
      <c r="AMH45" s="1221"/>
      <c r="AMI45" s="1221"/>
      <c r="AMJ45" s="1221"/>
      <c r="AMK45" s="1221"/>
      <c r="AML45" s="1221"/>
      <c r="AMM45" s="1221"/>
      <c r="AMN45" s="1221"/>
      <c r="AMO45" s="1221"/>
      <c r="AMP45" s="1221"/>
      <c r="AMQ45" s="1221"/>
      <c r="AMR45" s="1221"/>
      <c r="AMS45" s="1221"/>
      <c r="AMT45" s="1221"/>
      <c r="AMU45" s="1221"/>
      <c r="AMV45" s="1221"/>
      <c r="AMW45" s="1221"/>
      <c r="AMX45" s="1221"/>
      <c r="AMY45" s="1221"/>
      <c r="AMZ45" s="1221"/>
      <c r="ANA45" s="1221"/>
      <c r="ANB45" s="1221"/>
      <c r="ANC45" s="1221"/>
      <c r="AND45" s="1221"/>
      <c r="ANE45" s="1221"/>
      <c r="ANF45" s="1221"/>
      <c r="ANG45" s="1221"/>
      <c r="ANH45" s="1221"/>
      <c r="ANI45" s="1221"/>
      <c r="ANJ45" s="1221"/>
      <c r="ANK45" s="1221"/>
      <c r="ANL45" s="1221"/>
      <c r="ANM45" s="1221"/>
      <c r="ANN45" s="1221"/>
      <c r="ANO45" s="1221"/>
      <c r="ANP45" s="1221"/>
      <c r="ANQ45" s="1221"/>
      <c r="ANR45" s="1221"/>
      <c r="ANS45" s="1221"/>
      <c r="ANT45" s="1221"/>
      <c r="ANU45" s="1221"/>
      <c r="ANV45" s="1221"/>
      <c r="ANW45" s="1221"/>
      <c r="ANX45" s="1221"/>
      <c r="ANY45" s="1221"/>
      <c r="ANZ45" s="1221"/>
      <c r="AOA45" s="1221"/>
      <c r="AOB45" s="1221"/>
      <c r="AOC45" s="1221"/>
      <c r="AOD45" s="1221"/>
      <c r="AOE45" s="1221"/>
      <c r="AOF45" s="1221"/>
      <c r="AOG45" s="1221"/>
      <c r="AOH45" s="1221"/>
      <c r="AOI45" s="1221"/>
      <c r="AOJ45" s="1221"/>
      <c r="AOK45" s="1221"/>
      <c r="AOL45" s="1221"/>
      <c r="AOM45" s="1221"/>
      <c r="AON45" s="1221"/>
      <c r="AOO45" s="1221"/>
      <c r="AOP45" s="1221"/>
      <c r="AOQ45" s="1221"/>
      <c r="AOR45" s="1221"/>
      <c r="AOS45" s="1221"/>
      <c r="AOT45" s="1221"/>
      <c r="AOU45" s="1221"/>
      <c r="AOV45" s="1221"/>
      <c r="AOW45" s="1221"/>
      <c r="AOX45" s="1221"/>
      <c r="AOY45" s="1221"/>
      <c r="AOZ45" s="1221"/>
      <c r="APA45" s="1221"/>
      <c r="APB45" s="1221"/>
      <c r="APC45" s="1221"/>
      <c r="APD45" s="1221"/>
      <c r="APE45" s="1221"/>
      <c r="APF45" s="1221"/>
      <c r="APG45" s="1221"/>
      <c r="APH45" s="1221"/>
      <c r="API45" s="1221"/>
      <c r="APJ45" s="1221"/>
      <c r="APK45" s="1221"/>
      <c r="APL45" s="1221"/>
      <c r="APM45" s="1221"/>
      <c r="APN45" s="1221"/>
      <c r="APO45" s="1221"/>
      <c r="APP45" s="1221"/>
      <c r="APQ45" s="1221"/>
      <c r="APR45" s="1221"/>
      <c r="APS45" s="1221"/>
      <c r="APT45" s="1221"/>
      <c r="APU45" s="1221"/>
      <c r="APV45" s="1221"/>
      <c r="APW45" s="1221"/>
      <c r="APX45" s="1221"/>
      <c r="APY45" s="1221"/>
      <c r="APZ45" s="1221"/>
      <c r="AQA45" s="1221"/>
      <c r="AQB45" s="1221"/>
      <c r="AQC45" s="1221"/>
      <c r="AQD45" s="1221"/>
      <c r="AQE45" s="1221"/>
      <c r="AQF45" s="1221"/>
      <c r="AQG45" s="1221"/>
      <c r="AQH45" s="1221"/>
      <c r="AQI45" s="1221"/>
      <c r="AQJ45" s="1221"/>
      <c r="AQK45" s="1221"/>
      <c r="AQL45" s="1221"/>
      <c r="AQM45" s="1221"/>
      <c r="AQN45" s="1221"/>
      <c r="AQO45" s="1221"/>
      <c r="AQP45" s="1221"/>
      <c r="AQQ45" s="1221"/>
      <c r="AQR45" s="1221"/>
      <c r="AQS45" s="1221"/>
      <c r="AQT45" s="1221"/>
      <c r="AQU45" s="1221"/>
      <c r="AQV45" s="1221"/>
      <c r="AQW45" s="1221"/>
      <c r="AQX45" s="1221"/>
      <c r="AQY45" s="1221"/>
      <c r="AQZ45" s="1221"/>
      <c r="ARA45" s="1221"/>
      <c r="ARB45" s="1221"/>
      <c r="ARC45" s="1221"/>
      <c r="ARD45" s="1221"/>
      <c r="ARE45" s="1221"/>
      <c r="ARF45" s="1221"/>
      <c r="ARG45" s="1221"/>
      <c r="ARH45" s="1221"/>
      <c r="ARI45" s="1221"/>
      <c r="ARJ45" s="1221"/>
      <c r="ARK45" s="1221"/>
      <c r="ARL45" s="1221"/>
      <c r="ARM45" s="1221"/>
      <c r="ARN45" s="1221"/>
      <c r="ARO45" s="1221"/>
      <c r="ARP45" s="1221"/>
      <c r="ARQ45" s="1221"/>
      <c r="ARR45" s="1221"/>
      <c r="ARS45" s="1221"/>
      <c r="ART45" s="1221"/>
      <c r="ARU45" s="1221"/>
      <c r="ARV45" s="1221"/>
      <c r="ARW45" s="1221"/>
      <c r="ARX45" s="1221"/>
      <c r="ARY45" s="1221"/>
      <c r="ARZ45" s="1221"/>
      <c r="ASA45" s="1221"/>
      <c r="ASB45" s="1221"/>
      <c r="ASC45" s="1221"/>
      <c r="ASD45" s="1221"/>
      <c r="ASE45" s="1221"/>
      <c r="ASF45" s="1221"/>
      <c r="ASG45" s="1221"/>
      <c r="ASH45" s="1221"/>
      <c r="ASI45" s="1221"/>
      <c r="ASJ45" s="1221"/>
      <c r="ASK45" s="1221"/>
      <c r="ASL45" s="1221"/>
      <c r="ASM45" s="1221"/>
      <c r="ASN45" s="1221"/>
      <c r="ASO45" s="1221"/>
      <c r="ASP45" s="1221"/>
      <c r="ASQ45" s="1221"/>
      <c r="ASR45" s="1221"/>
      <c r="ASS45" s="1221"/>
      <c r="AST45" s="1221"/>
      <c r="ASU45" s="1221"/>
      <c r="ASV45" s="1221"/>
      <c r="ASW45" s="1221"/>
      <c r="ASX45" s="1221"/>
      <c r="ASY45" s="1221"/>
      <c r="ASZ45" s="1221"/>
      <c r="ATA45" s="1221"/>
      <c r="ATB45" s="1221"/>
      <c r="ATC45" s="1221"/>
      <c r="ATD45" s="1221"/>
      <c r="ATE45" s="1221"/>
      <c r="ATF45" s="1221"/>
      <c r="ATG45" s="1221"/>
      <c r="ATH45" s="1221"/>
      <c r="ATI45" s="1221"/>
      <c r="ATJ45" s="1221"/>
      <c r="ATK45" s="1221"/>
      <c r="ATL45" s="1221"/>
      <c r="ATM45" s="1221"/>
      <c r="ATN45" s="1221"/>
      <c r="ATO45" s="1221"/>
      <c r="ATP45" s="1221"/>
      <c r="ATQ45" s="1221"/>
      <c r="ATR45" s="1221"/>
      <c r="ATS45" s="1221"/>
      <c r="ATT45" s="1221"/>
      <c r="ATU45" s="1221"/>
      <c r="ATV45" s="1221"/>
      <c r="ATW45" s="1221"/>
      <c r="ATX45" s="1221"/>
      <c r="ATY45" s="1221"/>
      <c r="ATZ45" s="1221"/>
      <c r="AUA45" s="1221"/>
      <c r="AUB45" s="1221"/>
      <c r="AUC45" s="1221"/>
      <c r="AUD45" s="1221"/>
      <c r="AUE45" s="1221"/>
      <c r="AUF45" s="1221"/>
      <c r="AUG45" s="1221"/>
      <c r="AUH45" s="1221"/>
      <c r="AUI45" s="1221"/>
      <c r="AUJ45" s="1221"/>
      <c r="AUK45" s="1221"/>
      <c r="AUL45" s="1221"/>
      <c r="AUM45" s="1221"/>
      <c r="AUN45" s="1221"/>
      <c r="AUO45" s="1221"/>
      <c r="AUP45" s="1221"/>
      <c r="AUQ45" s="1221"/>
      <c r="AUR45" s="1221"/>
      <c r="AUS45" s="1221"/>
      <c r="AUT45" s="1221"/>
      <c r="AUU45" s="1221"/>
      <c r="AUV45" s="1221"/>
      <c r="AUW45" s="1221"/>
      <c r="AUX45" s="1221"/>
      <c r="AUY45" s="1221"/>
      <c r="AUZ45" s="1221"/>
      <c r="AVA45" s="1221"/>
      <c r="AVB45" s="1221"/>
      <c r="AVC45" s="1221"/>
      <c r="AVD45" s="1221"/>
      <c r="AVE45" s="1221"/>
      <c r="AVF45" s="1221"/>
      <c r="AVG45" s="1221"/>
      <c r="AVH45" s="1221"/>
      <c r="AVI45" s="1221"/>
      <c r="AVJ45" s="1221"/>
      <c r="AVK45" s="1221"/>
      <c r="AVL45" s="1221"/>
      <c r="AVM45" s="1221"/>
      <c r="AVN45" s="1221"/>
      <c r="AVO45" s="1221"/>
      <c r="AVP45" s="1221"/>
      <c r="AVQ45" s="1221"/>
      <c r="AVR45" s="1221"/>
      <c r="AVS45" s="1221"/>
      <c r="AVT45" s="1221"/>
      <c r="AVU45" s="1221"/>
      <c r="AVV45" s="1221"/>
      <c r="AVW45" s="1221"/>
      <c r="AVX45" s="1221"/>
      <c r="AVY45" s="1221"/>
      <c r="AVZ45" s="1221"/>
      <c r="AWA45" s="1221"/>
      <c r="AWB45" s="1221"/>
      <c r="AWC45" s="1221"/>
      <c r="AWD45" s="1221"/>
      <c r="AWE45" s="1221"/>
      <c r="AWF45" s="1221"/>
      <c r="AWG45" s="1221"/>
      <c r="AWH45" s="1221"/>
      <c r="AWI45" s="1221"/>
      <c r="AWJ45" s="1221"/>
      <c r="AWK45" s="1221"/>
      <c r="AWL45" s="1221"/>
      <c r="AWM45" s="1221"/>
      <c r="AWN45" s="1221"/>
      <c r="AWO45" s="1221"/>
      <c r="AWP45" s="1221"/>
      <c r="AWQ45" s="1221"/>
      <c r="AWR45" s="1221"/>
      <c r="AWS45" s="1221"/>
      <c r="AWT45" s="1221"/>
      <c r="AWU45" s="1221"/>
      <c r="AWV45" s="1221"/>
      <c r="AWW45" s="1221"/>
      <c r="AWX45" s="1221"/>
      <c r="AWY45" s="1221"/>
      <c r="AWZ45" s="1221"/>
      <c r="AXA45" s="1221"/>
      <c r="AXB45" s="1221"/>
      <c r="AXC45" s="1221"/>
      <c r="AXD45" s="1221"/>
      <c r="AXE45" s="1221"/>
      <c r="AXF45" s="1221"/>
      <c r="AXG45" s="1221"/>
      <c r="AXH45" s="1221"/>
      <c r="AXI45" s="1221"/>
      <c r="AXJ45" s="1221"/>
      <c r="AXK45" s="1221"/>
      <c r="AXL45" s="1221"/>
      <c r="AXM45" s="1221"/>
      <c r="AXN45" s="1221"/>
      <c r="AXO45" s="1221"/>
      <c r="AXP45" s="1221"/>
      <c r="AXQ45" s="1221"/>
      <c r="AXR45" s="1221"/>
      <c r="AXS45" s="1221"/>
      <c r="AXT45" s="1221"/>
      <c r="AXU45" s="1221"/>
      <c r="AXV45" s="1221"/>
      <c r="AXW45" s="1221"/>
      <c r="AXX45" s="1221"/>
      <c r="AXY45" s="1221"/>
      <c r="AXZ45" s="1221"/>
      <c r="AYA45" s="1221"/>
      <c r="AYB45" s="1221"/>
      <c r="AYC45" s="1221"/>
      <c r="AYD45" s="1221"/>
      <c r="AYE45" s="1221"/>
      <c r="AYF45" s="1221"/>
      <c r="AYG45" s="1221"/>
      <c r="AYH45" s="1221"/>
      <c r="AYI45" s="1221"/>
      <c r="AYJ45" s="1221"/>
      <c r="AYK45" s="1221"/>
      <c r="AYL45" s="1221"/>
      <c r="AYM45" s="1221"/>
      <c r="AYN45" s="1221"/>
      <c r="AYO45" s="1221"/>
      <c r="AYP45" s="1221"/>
      <c r="AYQ45" s="1221"/>
      <c r="AYR45" s="1221"/>
      <c r="AYS45" s="1221"/>
      <c r="AYT45" s="1221"/>
      <c r="AYU45" s="1221"/>
      <c r="AYV45" s="1221"/>
      <c r="AYW45" s="1221"/>
      <c r="AYX45" s="1221"/>
      <c r="AYY45" s="1221"/>
      <c r="AYZ45" s="1221"/>
      <c r="AZA45" s="1221"/>
      <c r="AZB45" s="1221"/>
      <c r="AZC45" s="1221"/>
      <c r="AZD45" s="1221"/>
      <c r="AZE45" s="1221"/>
      <c r="AZF45" s="1221"/>
      <c r="AZG45" s="1221"/>
      <c r="AZH45" s="1221"/>
      <c r="AZI45" s="1221"/>
      <c r="AZJ45" s="1221"/>
      <c r="AZK45" s="1221"/>
      <c r="AZL45" s="1221"/>
      <c r="AZM45" s="1221"/>
      <c r="AZN45" s="1221"/>
      <c r="AZO45" s="1221"/>
      <c r="AZP45" s="1221"/>
      <c r="AZQ45" s="1221"/>
      <c r="AZR45" s="1221"/>
      <c r="AZS45" s="1221"/>
      <c r="AZT45" s="1221"/>
      <c r="AZU45" s="1221"/>
      <c r="AZV45" s="1221"/>
      <c r="AZW45" s="1221"/>
      <c r="AZX45" s="1221"/>
      <c r="AZY45" s="1221"/>
      <c r="AZZ45" s="1221"/>
      <c r="BAA45" s="1221"/>
      <c r="BAB45" s="1221"/>
      <c r="BAC45" s="1221"/>
      <c r="BAD45" s="1221"/>
      <c r="BAE45" s="1221"/>
      <c r="BAF45" s="1221"/>
      <c r="BAG45" s="1221"/>
      <c r="BAH45" s="1221"/>
      <c r="BAI45" s="1221"/>
      <c r="BAJ45" s="1221"/>
      <c r="BAK45" s="1221"/>
      <c r="BAL45" s="1221"/>
      <c r="BAM45" s="1221"/>
      <c r="BAN45" s="1221"/>
      <c r="BAO45" s="1221"/>
      <c r="BAP45" s="1221"/>
      <c r="BAQ45" s="1221"/>
      <c r="BAR45" s="1221"/>
      <c r="BAS45" s="1221"/>
      <c r="BAT45" s="1221"/>
      <c r="BAU45" s="1221"/>
      <c r="BAV45" s="1221"/>
      <c r="BAW45" s="1221"/>
      <c r="BAX45" s="1221"/>
      <c r="BAY45" s="1221"/>
      <c r="BAZ45" s="1221"/>
      <c r="BBA45" s="1221"/>
      <c r="BBB45" s="1221"/>
      <c r="BBC45" s="1221"/>
      <c r="BBD45" s="1221"/>
      <c r="BBE45" s="1221"/>
      <c r="BBF45" s="1221"/>
      <c r="BBG45" s="1221"/>
      <c r="BBH45" s="1221"/>
      <c r="BBI45" s="1221"/>
      <c r="BBJ45" s="1221"/>
      <c r="BBK45" s="1221"/>
      <c r="BBL45" s="1221"/>
      <c r="BBM45" s="1221"/>
      <c r="BBN45" s="1221"/>
      <c r="BBO45" s="1221"/>
      <c r="BBP45" s="1221"/>
      <c r="BBQ45" s="1221"/>
      <c r="BBR45" s="1221"/>
      <c r="BBS45" s="1221"/>
      <c r="BBT45" s="1221"/>
      <c r="BBU45" s="1221"/>
      <c r="BBV45" s="1221"/>
      <c r="BBW45" s="1221"/>
      <c r="BBX45" s="1221"/>
      <c r="BBY45" s="1221"/>
      <c r="BBZ45" s="1221"/>
      <c r="BCA45" s="1221"/>
      <c r="BCB45" s="1221"/>
      <c r="BCC45" s="1221"/>
      <c r="BCD45" s="1221"/>
      <c r="BCE45" s="1221"/>
      <c r="BCF45" s="1221"/>
      <c r="BCG45" s="1221"/>
      <c r="BCH45" s="1221"/>
      <c r="BCI45" s="1221"/>
      <c r="BCJ45" s="1221"/>
      <c r="BCK45" s="1221"/>
      <c r="BCL45" s="1221"/>
      <c r="BCM45" s="1221"/>
      <c r="BCN45" s="1221"/>
      <c r="BCO45" s="1221"/>
      <c r="BCP45" s="1221"/>
      <c r="BCQ45" s="1221"/>
      <c r="BCR45" s="1221"/>
      <c r="BCS45" s="1221"/>
      <c r="BCT45" s="1221"/>
      <c r="BCU45" s="1221"/>
      <c r="BCV45" s="1221"/>
      <c r="BCW45" s="1221"/>
      <c r="BCX45" s="1221"/>
      <c r="BCY45" s="1221"/>
      <c r="BCZ45" s="1221"/>
      <c r="BDA45" s="1221"/>
      <c r="BDB45" s="1221"/>
      <c r="BDC45" s="1221"/>
      <c r="BDD45" s="1221"/>
      <c r="BDE45" s="1221"/>
      <c r="BDF45" s="1221"/>
      <c r="BDG45" s="1221"/>
      <c r="BDH45" s="1221"/>
      <c r="BDI45" s="1221"/>
      <c r="BDJ45" s="1221"/>
      <c r="BDK45" s="1221"/>
      <c r="BDL45" s="1221"/>
      <c r="BDM45" s="1221"/>
      <c r="BDN45" s="1221"/>
      <c r="BDO45" s="1221"/>
      <c r="BDP45" s="1221"/>
      <c r="BDQ45" s="1221"/>
      <c r="BDR45" s="1221"/>
      <c r="BDS45" s="1221"/>
      <c r="BDT45" s="1221"/>
      <c r="BDU45" s="1221"/>
      <c r="BDV45" s="1221"/>
      <c r="BDW45" s="1221"/>
      <c r="BDX45" s="1221"/>
      <c r="BDY45" s="1221"/>
      <c r="BDZ45" s="1221"/>
      <c r="BEA45" s="1221"/>
      <c r="BEB45" s="1221"/>
      <c r="BEC45" s="1221"/>
      <c r="BED45" s="1221"/>
      <c r="BEE45" s="1221"/>
      <c r="BEF45" s="1221"/>
      <c r="BEG45" s="1221"/>
      <c r="BEH45" s="1221"/>
      <c r="BEI45" s="1221"/>
      <c r="BEJ45" s="1221"/>
      <c r="BEK45" s="1221"/>
      <c r="BEL45" s="1221"/>
      <c r="BEM45" s="1221"/>
      <c r="BEN45" s="1221"/>
      <c r="BEO45" s="1221"/>
      <c r="BEP45" s="1221"/>
      <c r="BEQ45" s="1221"/>
      <c r="BER45" s="1221"/>
      <c r="BES45" s="1221"/>
      <c r="BET45" s="1221"/>
      <c r="BEU45" s="1221"/>
      <c r="BEV45" s="1221"/>
      <c r="BEW45" s="1221"/>
      <c r="BEX45" s="1221"/>
      <c r="BEY45" s="1221"/>
      <c r="BEZ45" s="1221"/>
      <c r="BFA45" s="1221"/>
      <c r="BFB45" s="1221"/>
      <c r="BFC45" s="1221"/>
      <c r="BFD45" s="1221"/>
      <c r="BFE45" s="1221"/>
      <c r="BFF45" s="1221"/>
      <c r="BFG45" s="1221"/>
      <c r="BFH45" s="1221"/>
      <c r="BFI45" s="1221"/>
      <c r="BFJ45" s="1221"/>
      <c r="BFK45" s="1221"/>
      <c r="BFL45" s="1221"/>
      <c r="BFM45" s="1221"/>
      <c r="BFN45" s="1221"/>
      <c r="BFO45" s="1221"/>
      <c r="BFP45" s="1221"/>
      <c r="BFQ45" s="1221"/>
      <c r="BFR45" s="1221"/>
      <c r="BFS45" s="1221"/>
      <c r="BFT45" s="1221"/>
      <c r="BFU45" s="1221"/>
      <c r="BFV45" s="1221"/>
      <c r="BFW45" s="1221"/>
      <c r="BFX45" s="1221"/>
      <c r="BFY45" s="1221"/>
      <c r="BFZ45" s="1221"/>
      <c r="BGA45" s="1221"/>
      <c r="BGB45" s="1221"/>
      <c r="BGC45" s="1221"/>
      <c r="BGD45" s="1221"/>
      <c r="BGE45" s="1221"/>
      <c r="BGF45" s="1221"/>
      <c r="BGG45" s="1221"/>
      <c r="BGH45" s="1221"/>
      <c r="BGI45" s="1221"/>
      <c r="BGJ45" s="1221"/>
      <c r="BGK45" s="1221"/>
      <c r="BGL45" s="1221"/>
      <c r="BGM45" s="1221"/>
      <c r="BGN45" s="1221"/>
      <c r="BGO45" s="1221"/>
      <c r="BGP45" s="1221"/>
      <c r="BGQ45" s="1221"/>
      <c r="BGR45" s="1221"/>
      <c r="BGS45" s="1221"/>
      <c r="BGT45" s="1221"/>
      <c r="BGU45" s="1221"/>
      <c r="BGV45" s="1221"/>
      <c r="BGW45" s="1221"/>
      <c r="BGX45" s="1221"/>
      <c r="BGY45" s="1221"/>
      <c r="BGZ45" s="1221"/>
      <c r="BHA45" s="1221"/>
      <c r="BHB45" s="1221"/>
      <c r="BHC45" s="1221"/>
      <c r="BHD45" s="1221"/>
      <c r="BHE45" s="1221"/>
      <c r="BHF45" s="1221"/>
      <c r="BHG45" s="1221"/>
      <c r="BHH45" s="1221"/>
      <c r="BHI45" s="1221"/>
      <c r="BHJ45" s="1221"/>
      <c r="BHK45" s="1221"/>
      <c r="BHL45" s="1221"/>
      <c r="BHM45" s="1221"/>
      <c r="BHN45" s="1221"/>
      <c r="BHO45" s="1221"/>
      <c r="BHP45" s="1221"/>
      <c r="BHQ45" s="1221"/>
      <c r="BHR45" s="1221"/>
      <c r="BHS45" s="1221"/>
      <c r="BHT45" s="1221"/>
      <c r="BHU45" s="1221"/>
      <c r="BHV45" s="1221"/>
      <c r="BHW45" s="1221"/>
      <c r="BHX45" s="1221"/>
      <c r="BHY45" s="1221"/>
      <c r="BHZ45" s="1221"/>
      <c r="BIA45" s="1221"/>
      <c r="BIB45" s="1221"/>
      <c r="BIC45" s="1221"/>
      <c r="BID45" s="1221"/>
      <c r="BIE45" s="1221"/>
      <c r="BIF45" s="1221"/>
      <c r="BIG45" s="1221"/>
      <c r="BIH45" s="1221"/>
      <c r="BII45" s="1221"/>
      <c r="BIJ45" s="1221"/>
      <c r="BIK45" s="1221"/>
      <c r="BIL45" s="1221"/>
      <c r="BIM45" s="1221"/>
      <c r="BIN45" s="1221"/>
      <c r="BIO45" s="1221"/>
      <c r="BIP45" s="1221"/>
      <c r="BIQ45" s="1221"/>
      <c r="BIR45" s="1221"/>
      <c r="BIS45" s="1221"/>
      <c r="BIT45" s="1221"/>
      <c r="BIU45" s="1221"/>
      <c r="BIV45" s="1221"/>
      <c r="BIW45" s="1221"/>
      <c r="BIX45" s="1221"/>
      <c r="BIY45" s="1221"/>
      <c r="BIZ45" s="1221"/>
      <c r="BJA45" s="1221"/>
      <c r="BJB45" s="1221"/>
      <c r="BJC45" s="1221"/>
      <c r="BJD45" s="1221"/>
      <c r="BJE45" s="1221"/>
      <c r="BJF45" s="1221"/>
      <c r="BJG45" s="1221"/>
      <c r="BJH45" s="1221"/>
      <c r="BJI45" s="1221"/>
      <c r="BJJ45" s="1221"/>
      <c r="BJK45" s="1221"/>
      <c r="BJL45" s="1221"/>
      <c r="BJM45" s="1221"/>
      <c r="BJN45" s="1221"/>
      <c r="BJO45" s="1221"/>
      <c r="BJP45" s="1221"/>
      <c r="BJQ45" s="1221"/>
      <c r="BJR45" s="1221"/>
      <c r="BJS45" s="1221"/>
      <c r="BJT45" s="1221"/>
      <c r="BJU45" s="1221"/>
      <c r="BJV45" s="1221"/>
      <c r="BJW45" s="1221"/>
      <c r="BJX45" s="1221"/>
      <c r="BJY45" s="1221"/>
      <c r="BJZ45" s="1221"/>
      <c r="BKA45" s="1221"/>
      <c r="BKB45" s="1221"/>
      <c r="BKC45" s="1221"/>
      <c r="BKD45" s="1221"/>
      <c r="BKE45" s="1221"/>
      <c r="BKF45" s="1221"/>
      <c r="BKG45" s="1221"/>
      <c r="BKH45" s="1221"/>
      <c r="BKI45" s="1221"/>
      <c r="BKJ45" s="1221"/>
      <c r="BKK45" s="1221"/>
      <c r="BKL45" s="1221"/>
      <c r="BKM45" s="1221"/>
      <c r="BKN45" s="1221"/>
      <c r="BKO45" s="1221"/>
      <c r="BKP45" s="1221"/>
      <c r="BKQ45" s="1221"/>
      <c r="BKR45" s="1221"/>
      <c r="BKS45" s="1221"/>
      <c r="BKT45" s="1221"/>
      <c r="BKU45" s="1221"/>
      <c r="BKV45" s="1221"/>
      <c r="BKW45" s="1221"/>
      <c r="BKX45" s="1221"/>
      <c r="BKY45" s="1221"/>
      <c r="BKZ45" s="1221"/>
      <c r="BLA45" s="1221"/>
      <c r="BLB45" s="1221"/>
      <c r="BLC45" s="1221"/>
      <c r="BLD45" s="1221"/>
      <c r="BLE45" s="1221"/>
      <c r="BLF45" s="1221"/>
      <c r="BLG45" s="1221"/>
      <c r="BLH45" s="1221"/>
      <c r="BLI45" s="1221"/>
      <c r="BLJ45" s="1221"/>
      <c r="BLK45" s="1221"/>
      <c r="BLL45" s="1221"/>
      <c r="BLM45" s="1221"/>
      <c r="BLN45" s="1221"/>
      <c r="BLO45" s="1221"/>
      <c r="BLP45" s="1221"/>
      <c r="BLQ45" s="1221"/>
      <c r="BLR45" s="1221"/>
      <c r="BLS45" s="1221"/>
      <c r="BLT45" s="1221"/>
      <c r="BLU45" s="1221"/>
      <c r="BLV45" s="1221"/>
      <c r="BLW45" s="1221"/>
      <c r="BLX45" s="1221"/>
      <c r="BLY45" s="1221"/>
      <c r="BLZ45" s="1221"/>
      <c r="BMA45" s="1221"/>
      <c r="BMB45" s="1221"/>
      <c r="BMC45" s="1221"/>
      <c r="BMD45" s="1221"/>
      <c r="BME45" s="1221"/>
      <c r="BMF45" s="1221"/>
      <c r="BMG45" s="1221"/>
      <c r="BMH45" s="1221"/>
      <c r="BMI45" s="1221"/>
      <c r="BMJ45" s="1221"/>
      <c r="BMK45" s="1221"/>
      <c r="BML45" s="1221"/>
      <c r="BMM45" s="1221"/>
      <c r="BMN45" s="1221"/>
      <c r="BMO45" s="1221"/>
      <c r="BMP45" s="1221"/>
      <c r="BMQ45" s="1221"/>
      <c r="BMR45" s="1221"/>
      <c r="BMS45" s="1221"/>
      <c r="BMT45" s="1221"/>
      <c r="BMU45" s="1221"/>
      <c r="BMV45" s="1221"/>
      <c r="BMW45" s="1221"/>
      <c r="BMX45" s="1221"/>
      <c r="BMY45" s="1221"/>
      <c r="BMZ45" s="1221"/>
      <c r="BNA45" s="1221"/>
      <c r="BNB45" s="1221"/>
      <c r="BNC45" s="1221"/>
      <c r="BND45" s="1221"/>
      <c r="BNE45" s="1221"/>
      <c r="BNF45" s="1221"/>
      <c r="BNG45" s="1221"/>
      <c r="BNH45" s="1221"/>
      <c r="BNI45" s="1221"/>
      <c r="BNJ45" s="1221"/>
      <c r="BNK45" s="1221"/>
      <c r="BNL45" s="1221"/>
      <c r="BNM45" s="1221"/>
      <c r="BNN45" s="1221"/>
      <c r="BNO45" s="1221"/>
      <c r="BNP45" s="1221"/>
      <c r="BNQ45" s="1221"/>
      <c r="BNR45" s="1221"/>
      <c r="BNS45" s="1221"/>
      <c r="BNT45" s="1221"/>
      <c r="BNU45" s="1221"/>
      <c r="BNV45" s="1221"/>
      <c r="BNW45" s="1221"/>
      <c r="BNX45" s="1221"/>
      <c r="BNY45" s="1221"/>
      <c r="BNZ45" s="1221"/>
      <c r="BOA45" s="1221"/>
      <c r="BOB45" s="1221"/>
      <c r="BOC45" s="1221"/>
      <c r="BOD45" s="1221"/>
      <c r="BOE45" s="1221"/>
      <c r="BOF45" s="1221"/>
      <c r="BOG45" s="1221"/>
      <c r="BOH45" s="1221"/>
      <c r="BOI45" s="1221"/>
      <c r="BOJ45" s="1221"/>
      <c r="BOK45" s="1221"/>
      <c r="BOL45" s="1221"/>
      <c r="BOM45" s="1221"/>
      <c r="BON45" s="1221"/>
      <c r="BOO45" s="1221"/>
      <c r="BOP45" s="1221"/>
      <c r="BOQ45" s="1221"/>
      <c r="BOR45" s="1221"/>
      <c r="BOS45" s="1221"/>
      <c r="BOT45" s="1221"/>
      <c r="BOU45" s="1221"/>
      <c r="BOV45" s="1221"/>
      <c r="BOW45" s="1221"/>
      <c r="BOX45" s="1221"/>
      <c r="BOY45" s="1221"/>
      <c r="BOZ45" s="1221"/>
      <c r="BPA45" s="1221"/>
      <c r="BPB45" s="1221"/>
      <c r="BPC45" s="1221"/>
      <c r="BPD45" s="1221"/>
      <c r="BPE45" s="1221"/>
      <c r="BPF45" s="1221"/>
      <c r="BPG45" s="1221"/>
      <c r="BPH45" s="1221"/>
      <c r="BPI45" s="1221"/>
      <c r="BPJ45" s="1221"/>
      <c r="BPK45" s="1221"/>
      <c r="BPL45" s="1221"/>
      <c r="BPM45" s="1221"/>
      <c r="BPN45" s="1221"/>
      <c r="BPO45" s="1221"/>
      <c r="BPP45" s="1221"/>
      <c r="BPQ45" s="1221"/>
      <c r="BPR45" s="1221"/>
      <c r="BPS45" s="1221"/>
      <c r="BPT45" s="1221"/>
      <c r="BPU45" s="1221"/>
      <c r="BPV45" s="1221"/>
      <c r="BPW45" s="1221"/>
      <c r="BPX45" s="1221"/>
      <c r="BPY45" s="1221"/>
      <c r="BPZ45" s="1221"/>
      <c r="BQA45" s="1221"/>
      <c r="BQB45" s="1221"/>
      <c r="BQC45" s="1221"/>
      <c r="BQD45" s="1221"/>
      <c r="BQE45" s="1221"/>
      <c r="BQF45" s="1221"/>
      <c r="BQG45" s="1221"/>
      <c r="BQH45" s="1221"/>
      <c r="BQI45" s="1221"/>
      <c r="BQJ45" s="1221"/>
      <c r="BQK45" s="1221"/>
      <c r="BQL45" s="1221"/>
      <c r="BQM45" s="1221"/>
      <c r="BQN45" s="1221"/>
      <c r="BQO45" s="1221"/>
      <c r="BQP45" s="1221"/>
      <c r="BQQ45" s="1221"/>
      <c r="BQR45" s="1221"/>
      <c r="BQS45" s="1221"/>
      <c r="BQT45" s="1221"/>
      <c r="BQU45" s="1221"/>
      <c r="BQV45" s="1221"/>
      <c r="BQW45" s="1221"/>
      <c r="BQX45" s="1221"/>
      <c r="BQY45" s="1221"/>
      <c r="BQZ45" s="1221"/>
      <c r="BRA45" s="1221"/>
      <c r="BRB45" s="1221"/>
      <c r="BRC45" s="1221"/>
      <c r="BRD45" s="1221"/>
      <c r="BRE45" s="1221"/>
      <c r="BRF45" s="1221"/>
      <c r="BRG45" s="1221"/>
      <c r="BRH45" s="1221"/>
      <c r="BRI45" s="1221"/>
      <c r="BRJ45" s="1221"/>
      <c r="BRK45" s="1221"/>
      <c r="BRL45" s="1221"/>
      <c r="BRM45" s="1221"/>
      <c r="BRN45" s="1221"/>
      <c r="BRO45" s="1221"/>
      <c r="BRP45" s="1221"/>
      <c r="BRQ45" s="1221"/>
      <c r="BRR45" s="1221"/>
      <c r="BRS45" s="1221"/>
      <c r="BRT45" s="1221"/>
      <c r="BRU45" s="1221"/>
      <c r="BRV45" s="1221"/>
      <c r="BRW45" s="1221"/>
      <c r="BRX45" s="1221"/>
      <c r="BRY45" s="1221"/>
      <c r="BRZ45" s="1221"/>
      <c r="BSA45" s="1221"/>
      <c r="BSB45" s="1221"/>
      <c r="BSC45" s="1221"/>
      <c r="BSD45" s="1221"/>
      <c r="BSE45" s="1221"/>
      <c r="BSF45" s="1221"/>
      <c r="BSG45" s="1221"/>
      <c r="BSH45" s="1221"/>
      <c r="BSI45" s="1221"/>
      <c r="BSJ45" s="1221"/>
      <c r="BSK45" s="1221"/>
      <c r="BSL45" s="1221"/>
      <c r="BSM45" s="1221"/>
      <c r="BSN45" s="1221"/>
      <c r="BSO45" s="1221"/>
      <c r="BSP45" s="1221"/>
      <c r="BSQ45" s="1221"/>
      <c r="BSR45" s="1221"/>
      <c r="BSS45" s="1221"/>
      <c r="BST45" s="1221"/>
      <c r="BSU45" s="1221"/>
      <c r="BSV45" s="1221"/>
      <c r="BSW45" s="1221"/>
      <c r="BSX45" s="1221"/>
      <c r="BSY45" s="1221"/>
      <c r="BSZ45" s="1221"/>
      <c r="BTA45" s="1221"/>
      <c r="BTB45" s="1221"/>
      <c r="BTC45" s="1221"/>
      <c r="BTD45" s="1221"/>
      <c r="BTE45" s="1221"/>
      <c r="BTF45" s="1221"/>
      <c r="BTG45" s="1221"/>
      <c r="BTH45" s="1221"/>
      <c r="BTI45" s="1221"/>
      <c r="BTJ45" s="1221"/>
      <c r="BTK45" s="1221"/>
      <c r="BTL45" s="1221"/>
      <c r="BTM45" s="1221"/>
      <c r="BTN45" s="1221"/>
      <c r="BTO45" s="1221"/>
      <c r="BTP45" s="1221"/>
      <c r="BTQ45" s="1221"/>
      <c r="BTR45" s="1221"/>
      <c r="BTS45" s="1221"/>
      <c r="BTT45" s="1221"/>
      <c r="BTU45" s="1221"/>
      <c r="BTV45" s="1221"/>
      <c r="BTW45" s="1221"/>
      <c r="BTX45" s="1221"/>
      <c r="BTY45" s="1221"/>
      <c r="BTZ45" s="1221"/>
      <c r="BUA45" s="1221"/>
      <c r="BUB45" s="1221"/>
      <c r="BUC45" s="1221"/>
      <c r="BUD45" s="1221"/>
      <c r="BUE45" s="1221"/>
      <c r="BUF45" s="1221"/>
      <c r="BUG45" s="1221"/>
      <c r="BUH45" s="1221"/>
      <c r="BUI45" s="1221"/>
      <c r="BUJ45" s="1221"/>
      <c r="BUK45" s="1221"/>
      <c r="BUL45" s="1221"/>
      <c r="BUM45" s="1221"/>
      <c r="BUN45" s="1221"/>
      <c r="BUO45" s="1221"/>
      <c r="BUP45" s="1221"/>
      <c r="BUQ45" s="1221"/>
      <c r="BUR45" s="1221"/>
      <c r="BUS45" s="1221"/>
      <c r="BUT45" s="1221"/>
      <c r="BUU45" s="1221"/>
      <c r="BUV45" s="1221"/>
      <c r="BUW45" s="1221"/>
      <c r="BUX45" s="1221"/>
      <c r="BUY45" s="1221"/>
      <c r="BUZ45" s="1221"/>
      <c r="BVA45" s="1221"/>
      <c r="BVB45" s="1221"/>
      <c r="BVC45" s="1221"/>
      <c r="BVD45" s="1221"/>
      <c r="BVE45" s="1221"/>
      <c r="BVF45" s="1221"/>
      <c r="BVG45" s="1221"/>
      <c r="BVH45" s="1221"/>
      <c r="BVI45" s="1221"/>
      <c r="BVJ45" s="1221"/>
      <c r="BVK45" s="1221"/>
      <c r="BVL45" s="1221"/>
      <c r="BVM45" s="1221"/>
      <c r="BVN45" s="1221"/>
      <c r="BVO45" s="1221"/>
      <c r="BVP45" s="1221"/>
      <c r="BVQ45" s="1221"/>
      <c r="BVR45" s="1221"/>
      <c r="BVS45" s="1221"/>
      <c r="BVT45" s="1221"/>
      <c r="BVU45" s="1221"/>
      <c r="BVV45" s="1221"/>
      <c r="BVW45" s="1221"/>
      <c r="BVX45" s="1221"/>
      <c r="BVY45" s="1221"/>
      <c r="BVZ45" s="1221"/>
      <c r="BWA45" s="1221"/>
      <c r="BWB45" s="1221"/>
      <c r="BWC45" s="1221"/>
      <c r="BWD45" s="1221"/>
      <c r="BWE45" s="1221"/>
      <c r="BWF45" s="1221"/>
      <c r="BWG45" s="1221"/>
      <c r="BWH45" s="1221"/>
      <c r="BWI45" s="1221"/>
      <c r="BWJ45" s="1221"/>
      <c r="BWK45" s="1221"/>
      <c r="BWL45" s="1221"/>
      <c r="BWM45" s="1221"/>
      <c r="BWN45" s="1221"/>
      <c r="BWO45" s="1221"/>
      <c r="BWP45" s="1221"/>
      <c r="BWQ45" s="1221"/>
      <c r="BWR45" s="1221"/>
      <c r="BWS45" s="1221"/>
      <c r="BWT45" s="1221"/>
      <c r="BWU45" s="1221"/>
      <c r="BWV45" s="1221"/>
      <c r="BWW45" s="1221"/>
      <c r="BWX45" s="1221"/>
      <c r="BWY45" s="1221"/>
      <c r="BWZ45" s="1221"/>
      <c r="BXA45" s="1221"/>
      <c r="BXB45" s="1221"/>
      <c r="BXC45" s="1221"/>
      <c r="BXD45" s="1221"/>
      <c r="BXE45" s="1221"/>
      <c r="BXF45" s="1221"/>
      <c r="BXG45" s="1221"/>
      <c r="BXH45" s="1221"/>
      <c r="BXI45" s="1221"/>
      <c r="BXJ45" s="1221"/>
      <c r="BXK45" s="1221"/>
      <c r="BXL45" s="1221"/>
      <c r="BXM45" s="1221"/>
      <c r="BXN45" s="1221"/>
      <c r="BXO45" s="1221"/>
      <c r="BXP45" s="1221"/>
      <c r="BXQ45" s="1221"/>
      <c r="BXR45" s="1221"/>
      <c r="BXS45" s="1221"/>
      <c r="BXT45" s="1221"/>
      <c r="BXU45" s="1221"/>
      <c r="BXV45" s="1221"/>
      <c r="BXW45" s="1221"/>
      <c r="BXX45" s="1221"/>
      <c r="BXY45" s="1221"/>
      <c r="BXZ45" s="1221"/>
      <c r="BYA45" s="1221"/>
      <c r="BYB45" s="1221"/>
      <c r="BYC45" s="1221"/>
      <c r="BYD45" s="1221"/>
      <c r="BYE45" s="1221"/>
      <c r="BYF45" s="1221"/>
      <c r="BYG45" s="1221"/>
      <c r="BYH45" s="1221"/>
      <c r="BYI45" s="1221"/>
      <c r="BYJ45" s="1221"/>
      <c r="BYK45" s="1221"/>
      <c r="BYL45" s="1221"/>
      <c r="BYM45" s="1221"/>
      <c r="BYN45" s="1221"/>
      <c r="BYO45" s="1221"/>
      <c r="BYP45" s="1221"/>
      <c r="BYQ45" s="1221"/>
      <c r="BYR45" s="1221"/>
      <c r="BYS45" s="1221"/>
      <c r="BYT45" s="1221"/>
      <c r="BYU45" s="1221"/>
      <c r="BYV45" s="1221"/>
      <c r="BYW45" s="1221"/>
      <c r="BYX45" s="1221"/>
      <c r="BYY45" s="1221"/>
      <c r="BYZ45" s="1221"/>
      <c r="BZA45" s="1221"/>
      <c r="BZB45" s="1221"/>
      <c r="BZC45" s="1221"/>
      <c r="BZD45" s="1221"/>
      <c r="BZE45" s="1221"/>
      <c r="BZF45" s="1221"/>
      <c r="BZG45" s="1221"/>
      <c r="BZH45" s="1221"/>
      <c r="BZI45" s="1221"/>
      <c r="BZJ45" s="1221"/>
      <c r="BZK45" s="1221"/>
      <c r="BZL45" s="1221"/>
      <c r="BZM45" s="1221"/>
      <c r="BZN45" s="1221"/>
      <c r="BZO45" s="1221"/>
      <c r="BZP45" s="1221"/>
      <c r="BZQ45" s="1221"/>
      <c r="BZR45" s="1221"/>
      <c r="BZS45" s="1221"/>
      <c r="BZT45" s="1221"/>
      <c r="BZU45" s="1221"/>
      <c r="BZV45" s="1221"/>
      <c r="BZW45" s="1221"/>
      <c r="BZX45" s="1221"/>
      <c r="BZY45" s="1221"/>
      <c r="BZZ45" s="1221"/>
      <c r="CAA45" s="1221"/>
      <c r="CAB45" s="1221"/>
      <c r="CAC45" s="1221"/>
      <c r="CAD45" s="1221"/>
      <c r="CAE45" s="1221"/>
      <c r="CAF45" s="1221"/>
      <c r="CAG45" s="1221"/>
      <c r="CAH45" s="1221"/>
      <c r="CAI45" s="1221"/>
      <c r="CAJ45" s="1221"/>
      <c r="CAK45" s="1221"/>
      <c r="CAL45" s="1221"/>
      <c r="CAM45" s="1221"/>
      <c r="CAN45" s="1221"/>
      <c r="CAO45" s="1221"/>
      <c r="CAP45" s="1221"/>
      <c r="CAQ45" s="1221"/>
      <c r="CAR45" s="1221"/>
      <c r="CAS45" s="1221"/>
      <c r="CAT45" s="1221"/>
      <c r="CAU45" s="1221"/>
      <c r="CAV45" s="1221"/>
      <c r="CAW45" s="1221"/>
      <c r="CAX45" s="1221"/>
      <c r="CAY45" s="1221"/>
      <c r="CAZ45" s="1221"/>
      <c r="CBA45" s="1221"/>
      <c r="CBB45" s="1221"/>
      <c r="CBC45" s="1221"/>
      <c r="CBD45" s="1221"/>
      <c r="CBE45" s="1221"/>
      <c r="CBF45" s="1221"/>
      <c r="CBG45" s="1221"/>
      <c r="CBH45" s="1221"/>
      <c r="CBI45" s="1221"/>
      <c r="CBJ45" s="1221"/>
      <c r="CBK45" s="1221"/>
      <c r="CBL45" s="1221"/>
      <c r="CBM45" s="1221"/>
      <c r="CBN45" s="1221"/>
      <c r="CBO45" s="1221"/>
      <c r="CBP45" s="1221"/>
      <c r="CBQ45" s="1221"/>
      <c r="CBR45" s="1221"/>
      <c r="CBS45" s="1221"/>
      <c r="CBT45" s="1221"/>
      <c r="CBU45" s="1221"/>
      <c r="CBV45" s="1221"/>
      <c r="CBW45" s="1221"/>
      <c r="CBX45" s="1221"/>
      <c r="CBY45" s="1221"/>
      <c r="CBZ45" s="1221"/>
      <c r="CCA45" s="1221"/>
      <c r="CCB45" s="1221"/>
      <c r="CCC45" s="1221"/>
      <c r="CCD45" s="1221"/>
      <c r="CCE45" s="1221"/>
      <c r="CCF45" s="1221"/>
      <c r="CCG45" s="1221"/>
      <c r="CCH45" s="1221"/>
      <c r="CCI45" s="1221"/>
      <c r="CCJ45" s="1221"/>
      <c r="CCK45" s="1221"/>
      <c r="CCL45" s="1221"/>
      <c r="CCM45" s="1221"/>
      <c r="CCN45" s="1221"/>
      <c r="CCO45" s="1221"/>
      <c r="CCP45" s="1221"/>
      <c r="CCQ45" s="1221"/>
      <c r="CCR45" s="1221"/>
      <c r="CCS45" s="1221"/>
      <c r="CCT45" s="1221"/>
      <c r="CCU45" s="1221"/>
      <c r="CCV45" s="1221"/>
      <c r="CCW45" s="1221"/>
      <c r="CCX45" s="1221"/>
      <c r="CCY45" s="1221"/>
      <c r="CCZ45" s="1221"/>
      <c r="CDA45" s="1221"/>
      <c r="CDB45" s="1221"/>
      <c r="CDC45" s="1221"/>
      <c r="CDD45" s="1221"/>
      <c r="CDE45" s="1221"/>
      <c r="CDF45" s="1221"/>
      <c r="CDG45" s="1221"/>
      <c r="CDH45" s="1221"/>
      <c r="CDI45" s="1221"/>
      <c r="CDJ45" s="1221"/>
      <c r="CDK45" s="1221"/>
      <c r="CDL45" s="1221"/>
      <c r="CDM45" s="1221"/>
      <c r="CDN45" s="1221"/>
      <c r="CDO45" s="1221"/>
      <c r="CDP45" s="1221"/>
      <c r="CDQ45" s="1221"/>
      <c r="CDR45" s="1221"/>
      <c r="CDS45" s="1221"/>
      <c r="CDT45" s="1221"/>
      <c r="CDU45" s="1221"/>
      <c r="CDV45" s="1221"/>
      <c r="CDW45" s="1221"/>
      <c r="CDX45" s="1221"/>
      <c r="CDY45" s="1221"/>
      <c r="CDZ45" s="1221"/>
      <c r="CEA45" s="1221"/>
      <c r="CEB45" s="1221"/>
      <c r="CEC45" s="1221"/>
      <c r="CED45" s="1221"/>
      <c r="CEE45" s="1221"/>
      <c r="CEF45" s="1221"/>
      <c r="CEG45" s="1221"/>
      <c r="CEH45" s="1221"/>
      <c r="CEI45" s="1221"/>
      <c r="CEJ45" s="1221"/>
      <c r="CEK45" s="1221"/>
      <c r="CEL45" s="1221"/>
      <c r="CEM45" s="1221"/>
      <c r="CEN45" s="1221"/>
      <c r="CEO45" s="1221"/>
      <c r="CEP45" s="1221"/>
      <c r="CEQ45" s="1221"/>
      <c r="CER45" s="1221"/>
      <c r="CES45" s="1221"/>
      <c r="CET45" s="1221"/>
      <c r="CEU45" s="1221"/>
      <c r="CEV45" s="1221"/>
      <c r="CEW45" s="1221"/>
      <c r="CEX45" s="1221"/>
      <c r="CEY45" s="1221"/>
      <c r="CEZ45" s="1221"/>
      <c r="CFA45" s="1221"/>
      <c r="CFB45" s="1221"/>
      <c r="CFC45" s="1221"/>
      <c r="CFD45" s="1221"/>
      <c r="CFE45" s="1221"/>
      <c r="CFF45" s="1221"/>
      <c r="CFG45" s="1221"/>
      <c r="CFH45" s="1221"/>
      <c r="CFI45" s="1221"/>
      <c r="CFJ45" s="1221"/>
      <c r="CFK45" s="1221"/>
      <c r="CFL45" s="1221"/>
      <c r="CFM45" s="1221"/>
      <c r="CFN45" s="1221"/>
      <c r="CFO45" s="1221"/>
      <c r="CFP45" s="1221"/>
      <c r="CFQ45" s="1221"/>
      <c r="CFR45" s="1221"/>
      <c r="CFS45" s="1221"/>
      <c r="CFT45" s="1221"/>
      <c r="CFU45" s="1221"/>
      <c r="CFV45" s="1221"/>
      <c r="CFW45" s="1221"/>
      <c r="CFX45" s="1221"/>
      <c r="CFY45" s="1221"/>
      <c r="CFZ45" s="1221"/>
      <c r="CGA45" s="1221"/>
      <c r="CGB45" s="1221"/>
      <c r="CGC45" s="1221"/>
      <c r="CGD45" s="1221"/>
      <c r="CGE45" s="1221"/>
      <c r="CGF45" s="1221"/>
      <c r="CGG45" s="1221"/>
      <c r="CGH45" s="1221"/>
      <c r="CGI45" s="1221"/>
      <c r="CGJ45" s="1221"/>
      <c r="CGK45" s="1221"/>
      <c r="CGL45" s="1221"/>
      <c r="CGM45" s="1221"/>
      <c r="CGN45" s="1221"/>
      <c r="CGO45" s="1221"/>
      <c r="CGP45" s="1221"/>
      <c r="CGQ45" s="1221"/>
      <c r="CGR45" s="1221"/>
      <c r="CGS45" s="1221"/>
      <c r="CGT45" s="1221"/>
      <c r="CGU45" s="1221"/>
      <c r="CGV45" s="1221"/>
      <c r="CGW45" s="1221"/>
      <c r="CGX45" s="1221"/>
      <c r="CGY45" s="1221"/>
      <c r="CGZ45" s="1221"/>
      <c r="CHA45" s="1221"/>
      <c r="CHB45" s="1221"/>
      <c r="CHC45" s="1221"/>
      <c r="CHD45" s="1221"/>
      <c r="CHE45" s="1221"/>
      <c r="CHF45" s="1221"/>
      <c r="CHG45" s="1221"/>
      <c r="CHH45" s="1221"/>
      <c r="CHI45" s="1221"/>
      <c r="CHJ45" s="1221"/>
      <c r="CHK45" s="1221"/>
      <c r="CHL45" s="1221"/>
      <c r="CHM45" s="1221"/>
      <c r="CHN45" s="1221"/>
      <c r="CHO45" s="1221"/>
      <c r="CHP45" s="1221"/>
      <c r="CHQ45" s="1221"/>
      <c r="CHR45" s="1221"/>
      <c r="CHS45" s="1221"/>
      <c r="CHT45" s="1221"/>
      <c r="CHU45" s="1221"/>
      <c r="CHV45" s="1221"/>
      <c r="CHW45" s="1221"/>
      <c r="CHX45" s="1221"/>
      <c r="CHY45" s="1221"/>
      <c r="CHZ45" s="1221"/>
      <c r="CIA45" s="1221"/>
      <c r="CIB45" s="1221"/>
      <c r="CIC45" s="1221"/>
      <c r="CID45" s="1221"/>
      <c r="CIE45" s="1221"/>
      <c r="CIF45" s="1221"/>
      <c r="CIG45" s="1221"/>
      <c r="CIH45" s="1221"/>
      <c r="CII45" s="1221"/>
      <c r="CIJ45" s="1221"/>
      <c r="CIK45" s="1221"/>
      <c r="CIL45" s="1221"/>
      <c r="CIM45" s="1221"/>
      <c r="CIN45" s="1221"/>
      <c r="CIO45" s="1221"/>
      <c r="CIP45" s="1221"/>
      <c r="CIQ45" s="1221"/>
      <c r="CIR45" s="1221"/>
      <c r="CIS45" s="1221"/>
      <c r="CIT45" s="1221"/>
      <c r="CIU45" s="1221"/>
      <c r="CIV45" s="1221"/>
      <c r="CIW45" s="1221"/>
      <c r="CIX45" s="1221"/>
      <c r="CIY45" s="1221"/>
      <c r="CIZ45" s="1221"/>
      <c r="CJA45" s="1221"/>
      <c r="CJB45" s="1221"/>
      <c r="CJC45" s="1221"/>
      <c r="CJD45" s="1221"/>
      <c r="CJE45" s="1221"/>
      <c r="CJF45" s="1221"/>
      <c r="CJG45" s="1221"/>
      <c r="CJH45" s="1221"/>
      <c r="CJI45" s="1221"/>
      <c r="CJJ45" s="1221"/>
      <c r="CJK45" s="1221"/>
      <c r="CJL45" s="1221"/>
      <c r="CJM45" s="1221"/>
      <c r="CJN45" s="1221"/>
      <c r="CJO45" s="1221"/>
      <c r="CJP45" s="1221"/>
      <c r="CJQ45" s="1221"/>
      <c r="CJR45" s="1221"/>
      <c r="CJS45" s="1221"/>
      <c r="CJT45" s="1221"/>
      <c r="CJU45" s="1221"/>
      <c r="CJV45" s="1221"/>
      <c r="CJW45" s="1221"/>
      <c r="CJX45" s="1221"/>
      <c r="CJY45" s="1221"/>
      <c r="CJZ45" s="1221"/>
      <c r="CKA45" s="1221"/>
      <c r="CKB45" s="1221"/>
      <c r="CKC45" s="1221"/>
      <c r="CKD45" s="1221"/>
      <c r="CKE45" s="1221"/>
      <c r="CKF45" s="1221"/>
      <c r="CKG45" s="1221"/>
      <c r="CKH45" s="1221"/>
      <c r="CKI45" s="1221"/>
      <c r="CKJ45" s="1221"/>
      <c r="CKK45" s="1221"/>
      <c r="CKL45" s="1221"/>
      <c r="CKM45" s="1221"/>
      <c r="CKN45" s="1221"/>
      <c r="CKO45" s="1221"/>
      <c r="CKP45" s="1221"/>
      <c r="CKQ45" s="1221"/>
      <c r="CKR45" s="1221"/>
      <c r="CKS45" s="1221"/>
      <c r="CKT45" s="1221"/>
      <c r="CKU45" s="1221"/>
      <c r="CKV45" s="1221"/>
      <c r="CKW45" s="1221"/>
      <c r="CKX45" s="1221"/>
      <c r="CKY45" s="1221"/>
      <c r="CKZ45" s="1221"/>
      <c r="CLA45" s="1221"/>
      <c r="CLB45" s="1221"/>
      <c r="CLC45" s="1221"/>
      <c r="CLD45" s="1221"/>
      <c r="CLE45" s="1221"/>
      <c r="CLF45" s="1221"/>
      <c r="CLG45" s="1221"/>
      <c r="CLH45" s="1221"/>
      <c r="CLI45" s="1221"/>
      <c r="CLJ45" s="1221"/>
      <c r="CLK45" s="1221"/>
      <c r="CLL45" s="1221"/>
      <c r="CLM45" s="1221"/>
      <c r="CLN45" s="1221"/>
      <c r="CLO45" s="1221"/>
      <c r="CLP45" s="1221"/>
      <c r="CLQ45" s="1221"/>
      <c r="CLR45" s="1221"/>
      <c r="CLS45" s="1221"/>
      <c r="CLT45" s="1221"/>
      <c r="CLU45" s="1221"/>
      <c r="CLV45" s="1221"/>
      <c r="CLW45" s="1221"/>
      <c r="CLX45" s="1221"/>
      <c r="CLY45" s="1221"/>
      <c r="CLZ45" s="1221"/>
      <c r="CMA45" s="1221"/>
      <c r="CMB45" s="1221"/>
      <c r="CMC45" s="1221"/>
      <c r="CMD45" s="1221"/>
      <c r="CME45" s="1221"/>
      <c r="CMF45" s="1221"/>
      <c r="CMG45" s="1221"/>
      <c r="CMH45" s="1221"/>
      <c r="CMI45" s="1221"/>
      <c r="CMJ45" s="1221"/>
      <c r="CMK45" s="1221"/>
      <c r="CML45" s="1221"/>
      <c r="CMM45" s="1221"/>
      <c r="CMN45" s="1221"/>
      <c r="CMO45" s="1221"/>
      <c r="CMP45" s="1221"/>
      <c r="CMQ45" s="1221"/>
      <c r="CMR45" s="1221"/>
      <c r="CMS45" s="1221"/>
      <c r="CMT45" s="1221"/>
      <c r="CMU45" s="1221"/>
      <c r="CMV45" s="1221"/>
      <c r="CMW45" s="1221"/>
      <c r="CMX45" s="1221"/>
      <c r="CMY45" s="1221"/>
      <c r="CMZ45" s="1221"/>
      <c r="CNA45" s="1221"/>
      <c r="CNB45" s="1221"/>
      <c r="CNC45" s="1221"/>
      <c r="CND45" s="1221"/>
      <c r="CNE45" s="1221"/>
      <c r="CNF45" s="1221"/>
      <c r="CNG45" s="1221"/>
      <c r="CNH45" s="1221"/>
      <c r="CNI45" s="1221"/>
      <c r="CNJ45" s="1221"/>
      <c r="CNK45" s="1221"/>
      <c r="CNL45" s="1221"/>
      <c r="CNM45" s="1221"/>
      <c r="CNN45" s="1221"/>
      <c r="CNO45" s="1221"/>
      <c r="CNP45" s="1221"/>
      <c r="CNQ45" s="1221"/>
      <c r="CNR45" s="1221"/>
      <c r="CNS45" s="1221"/>
      <c r="CNT45" s="1221"/>
      <c r="CNU45" s="1221"/>
      <c r="CNV45" s="1221"/>
      <c r="CNW45" s="1221"/>
      <c r="CNX45" s="1221"/>
      <c r="CNY45" s="1221"/>
      <c r="CNZ45" s="1221"/>
      <c r="COA45" s="1221"/>
      <c r="COB45" s="1221"/>
      <c r="COC45" s="1221"/>
      <c r="COD45" s="1221"/>
      <c r="COE45" s="1221"/>
      <c r="COF45" s="1221"/>
      <c r="COG45" s="1221"/>
      <c r="COH45" s="1221"/>
      <c r="COI45" s="1221"/>
      <c r="COJ45" s="1221"/>
      <c r="COK45" s="1221"/>
      <c r="COL45" s="1221"/>
      <c r="COM45" s="1221"/>
      <c r="CON45" s="1221"/>
      <c r="COO45" s="1221"/>
      <c r="COP45" s="1221"/>
      <c r="COQ45" s="1221"/>
      <c r="COR45" s="1221"/>
      <c r="COS45" s="1221"/>
      <c r="COT45" s="1221"/>
      <c r="COU45" s="1221"/>
      <c r="COV45" s="1221"/>
      <c r="COW45" s="1221"/>
      <c r="COX45" s="1221"/>
      <c r="COY45" s="1221"/>
      <c r="COZ45" s="1221"/>
      <c r="CPA45" s="1221"/>
      <c r="CPB45" s="1221"/>
      <c r="CPC45" s="1221"/>
      <c r="CPD45" s="1221"/>
      <c r="CPE45" s="1221"/>
      <c r="CPF45" s="1221"/>
      <c r="CPG45" s="1221"/>
      <c r="CPH45" s="1221"/>
      <c r="CPI45" s="1221"/>
      <c r="CPJ45" s="1221"/>
      <c r="CPK45" s="1221"/>
      <c r="CPL45" s="1221"/>
      <c r="CPM45" s="1221"/>
      <c r="CPN45" s="1221"/>
      <c r="CPO45" s="1221"/>
      <c r="CPP45" s="1221"/>
      <c r="CPQ45" s="1221"/>
      <c r="CPR45" s="1221"/>
      <c r="CPS45" s="1221"/>
      <c r="CPT45" s="1221"/>
      <c r="CPU45" s="1221"/>
      <c r="CPV45" s="1221"/>
      <c r="CPW45" s="1221"/>
      <c r="CPX45" s="1221"/>
      <c r="CPY45" s="1221"/>
      <c r="CPZ45" s="1221"/>
      <c r="CQA45" s="1221"/>
      <c r="CQB45" s="1221"/>
      <c r="CQC45" s="1221"/>
      <c r="CQD45" s="1221"/>
      <c r="CQE45" s="1221"/>
      <c r="CQF45" s="1221"/>
      <c r="CQG45" s="1221"/>
      <c r="CQH45" s="1221"/>
      <c r="CQI45" s="1221"/>
      <c r="CQJ45" s="1221"/>
      <c r="CQK45" s="1221"/>
      <c r="CQL45" s="1221"/>
      <c r="CQM45" s="1221"/>
      <c r="CQN45" s="1221"/>
      <c r="CQO45" s="1221"/>
      <c r="CQP45" s="1221"/>
      <c r="CQQ45" s="1221"/>
      <c r="CQR45" s="1221"/>
      <c r="CQS45" s="1221"/>
      <c r="CQT45" s="1221"/>
      <c r="CQU45" s="1221"/>
      <c r="CQV45" s="1221"/>
      <c r="CQW45" s="1221"/>
      <c r="CQX45" s="1221"/>
      <c r="CQY45" s="1221"/>
      <c r="CQZ45" s="1221"/>
      <c r="CRA45" s="1221"/>
      <c r="CRB45" s="1221"/>
      <c r="CRC45" s="1221"/>
      <c r="CRD45" s="1221"/>
      <c r="CRE45" s="1221"/>
      <c r="CRF45" s="1221"/>
      <c r="CRG45" s="1221"/>
      <c r="CRH45" s="1221"/>
      <c r="CRI45" s="1221"/>
      <c r="CRJ45" s="1221"/>
      <c r="CRK45" s="1221"/>
      <c r="CRL45" s="1221"/>
      <c r="CRM45" s="1221"/>
      <c r="CRN45" s="1221"/>
      <c r="CRO45" s="1221"/>
      <c r="CRP45" s="1221"/>
      <c r="CRQ45" s="1221"/>
      <c r="CRR45" s="1221"/>
      <c r="CRS45" s="1221"/>
      <c r="CRT45" s="1221"/>
      <c r="CRU45" s="1221"/>
      <c r="CRV45" s="1221"/>
      <c r="CRW45" s="1221"/>
      <c r="CRX45" s="1221"/>
      <c r="CRY45" s="1221"/>
      <c r="CRZ45" s="1221"/>
      <c r="CSA45" s="1221"/>
      <c r="CSB45" s="1221"/>
      <c r="CSC45" s="1221"/>
      <c r="CSD45" s="1221"/>
      <c r="CSE45" s="1221"/>
      <c r="CSF45" s="1221"/>
      <c r="CSG45" s="1221"/>
      <c r="CSH45" s="1221"/>
      <c r="CSI45" s="1221"/>
      <c r="CSJ45" s="1221"/>
      <c r="CSK45" s="1221"/>
      <c r="CSL45" s="1221"/>
      <c r="CSM45" s="1221"/>
      <c r="CSN45" s="1221"/>
      <c r="CSO45" s="1221"/>
      <c r="CSP45" s="1221"/>
      <c r="CSQ45" s="1221"/>
      <c r="CSR45" s="1221"/>
      <c r="CSS45" s="1221"/>
      <c r="CST45" s="1221"/>
      <c r="CSU45" s="1221"/>
      <c r="CSV45" s="1221"/>
      <c r="CSW45" s="1221"/>
      <c r="CSX45" s="1221"/>
      <c r="CSY45" s="1221"/>
      <c r="CSZ45" s="1221"/>
      <c r="CTA45" s="1221"/>
      <c r="CTB45" s="1221"/>
      <c r="CTC45" s="1221"/>
      <c r="CTD45" s="1221"/>
      <c r="CTE45" s="1221"/>
      <c r="CTF45" s="1221"/>
      <c r="CTG45" s="1221"/>
      <c r="CTH45" s="1221"/>
      <c r="CTI45" s="1221"/>
      <c r="CTJ45" s="1221"/>
      <c r="CTK45" s="1221"/>
      <c r="CTL45" s="1221"/>
      <c r="CTM45" s="1221"/>
      <c r="CTN45" s="1221"/>
      <c r="CTO45" s="1221"/>
      <c r="CTP45" s="1221"/>
      <c r="CTQ45" s="1221"/>
      <c r="CTR45" s="1221"/>
      <c r="CTS45" s="1221"/>
      <c r="CTT45" s="1221"/>
      <c r="CTU45" s="1221"/>
      <c r="CTV45" s="1221"/>
      <c r="CTW45" s="1221"/>
      <c r="CTX45" s="1221"/>
      <c r="CTY45" s="1221"/>
      <c r="CTZ45" s="1221"/>
      <c r="CUA45" s="1221"/>
      <c r="CUB45" s="1221"/>
      <c r="CUC45" s="1221"/>
      <c r="CUD45" s="1221"/>
      <c r="CUE45" s="1221"/>
      <c r="CUF45" s="1221"/>
      <c r="CUG45" s="1221"/>
      <c r="CUH45" s="1221"/>
      <c r="CUI45" s="1221"/>
      <c r="CUJ45" s="1221"/>
      <c r="CUK45" s="1221"/>
      <c r="CUL45" s="1221"/>
      <c r="CUM45" s="1221"/>
      <c r="CUN45" s="1221"/>
      <c r="CUO45" s="1221"/>
      <c r="CUP45" s="1221"/>
      <c r="CUQ45" s="1221"/>
      <c r="CUR45" s="1221"/>
      <c r="CUS45" s="1221"/>
      <c r="CUT45" s="1221"/>
      <c r="CUU45" s="1221"/>
      <c r="CUV45" s="1221"/>
      <c r="CUW45" s="1221"/>
      <c r="CUX45" s="1221"/>
      <c r="CUY45" s="1221"/>
      <c r="CUZ45" s="1221"/>
      <c r="CVA45" s="1221"/>
      <c r="CVB45" s="1221"/>
      <c r="CVC45" s="1221"/>
      <c r="CVD45" s="1221"/>
      <c r="CVE45" s="1221"/>
      <c r="CVF45" s="1221"/>
      <c r="CVG45" s="1221"/>
      <c r="CVH45" s="1221"/>
      <c r="CVI45" s="1221"/>
      <c r="CVJ45" s="1221"/>
      <c r="CVK45" s="1221"/>
      <c r="CVL45" s="1221"/>
      <c r="CVM45" s="1221"/>
      <c r="CVN45" s="1221"/>
      <c r="CVO45" s="1221"/>
      <c r="CVP45" s="1221"/>
      <c r="CVQ45" s="1221"/>
      <c r="CVR45" s="1221"/>
      <c r="CVS45" s="1221"/>
      <c r="CVT45" s="1221"/>
      <c r="CVU45" s="1221"/>
      <c r="CVV45" s="1221"/>
      <c r="CVW45" s="1221"/>
      <c r="CVX45" s="1221"/>
      <c r="CVY45" s="1221"/>
      <c r="CVZ45" s="1221"/>
      <c r="CWA45" s="1221"/>
      <c r="CWB45" s="1221"/>
      <c r="CWC45" s="1221"/>
      <c r="CWD45" s="1221"/>
      <c r="CWE45" s="1221"/>
      <c r="CWF45" s="1221"/>
      <c r="CWG45" s="1221"/>
      <c r="CWH45" s="1221"/>
      <c r="CWI45" s="1221"/>
      <c r="CWJ45" s="1221"/>
      <c r="CWK45" s="1221"/>
      <c r="CWL45" s="1221"/>
      <c r="CWM45" s="1221"/>
      <c r="CWN45" s="1221"/>
      <c r="CWO45" s="1221"/>
      <c r="CWP45" s="1221"/>
      <c r="CWQ45" s="1221"/>
      <c r="CWR45" s="1221"/>
      <c r="CWS45" s="1221"/>
      <c r="CWT45" s="1221"/>
      <c r="CWU45" s="1221"/>
      <c r="CWV45" s="1221"/>
      <c r="CWW45" s="1221"/>
      <c r="CWX45" s="1221"/>
      <c r="CWY45" s="1221"/>
      <c r="CWZ45" s="1221"/>
      <c r="CXA45" s="1221"/>
      <c r="CXB45" s="1221"/>
      <c r="CXC45" s="1221"/>
      <c r="CXD45" s="1221"/>
      <c r="CXE45" s="1221"/>
      <c r="CXF45" s="1221"/>
      <c r="CXG45" s="1221"/>
      <c r="CXH45" s="1221"/>
      <c r="CXI45" s="1221"/>
      <c r="CXJ45" s="1221"/>
      <c r="CXK45" s="1221"/>
      <c r="CXL45" s="1221"/>
      <c r="CXM45" s="1221"/>
      <c r="CXN45" s="1221"/>
      <c r="CXO45" s="1221"/>
      <c r="CXP45" s="1221"/>
      <c r="CXQ45" s="1221"/>
      <c r="CXR45" s="1221"/>
      <c r="CXS45" s="1221"/>
      <c r="CXT45" s="1221"/>
      <c r="CXU45" s="1221"/>
      <c r="CXV45" s="1221"/>
      <c r="CXW45" s="1221"/>
      <c r="CXX45" s="1221"/>
      <c r="CXY45" s="1221"/>
      <c r="CXZ45" s="1221"/>
      <c r="CYA45" s="1221"/>
      <c r="CYB45" s="1221"/>
      <c r="CYC45" s="1221"/>
      <c r="CYD45" s="1221"/>
      <c r="CYE45" s="1221"/>
      <c r="CYF45" s="1221"/>
      <c r="CYG45" s="1221"/>
      <c r="CYH45" s="1221"/>
      <c r="CYI45" s="1221"/>
      <c r="CYJ45" s="1221"/>
      <c r="CYK45" s="1221"/>
      <c r="CYL45" s="1221"/>
      <c r="CYM45" s="1221"/>
      <c r="CYN45" s="1221"/>
      <c r="CYO45" s="1221"/>
      <c r="CYP45" s="1221"/>
      <c r="CYQ45" s="1221"/>
      <c r="CYR45" s="1221"/>
      <c r="CYS45" s="1221"/>
      <c r="CYT45" s="1221"/>
      <c r="CYU45" s="1221"/>
      <c r="CYV45" s="1221"/>
      <c r="CYW45" s="1221"/>
      <c r="CYX45" s="1221"/>
      <c r="CYY45" s="1221"/>
      <c r="CYZ45" s="1221"/>
      <c r="CZA45" s="1221"/>
      <c r="CZB45" s="1221"/>
      <c r="CZC45" s="1221"/>
      <c r="CZD45" s="1221"/>
      <c r="CZE45" s="1221"/>
      <c r="CZF45" s="1221"/>
      <c r="CZG45" s="1221"/>
      <c r="CZH45" s="1221"/>
      <c r="CZI45" s="1221"/>
      <c r="CZJ45" s="1221"/>
      <c r="CZK45" s="1221"/>
      <c r="CZL45" s="1221"/>
      <c r="CZM45" s="1221"/>
      <c r="CZN45" s="1221"/>
      <c r="CZO45" s="1221"/>
      <c r="CZP45" s="1221"/>
      <c r="CZQ45" s="1221"/>
      <c r="CZR45" s="1221"/>
      <c r="CZS45" s="1221"/>
      <c r="CZT45" s="1221"/>
      <c r="CZU45" s="1221"/>
      <c r="CZV45" s="1221"/>
      <c r="CZW45" s="1221"/>
      <c r="CZX45" s="1221"/>
      <c r="CZY45" s="1221"/>
      <c r="CZZ45" s="1221"/>
      <c r="DAA45" s="1221"/>
      <c r="DAB45" s="1221"/>
      <c r="DAC45" s="1221"/>
      <c r="DAD45" s="1221"/>
      <c r="DAE45" s="1221"/>
      <c r="DAF45" s="1221"/>
      <c r="DAG45" s="1221"/>
      <c r="DAH45" s="1221"/>
      <c r="DAI45" s="1221"/>
      <c r="DAJ45" s="1221"/>
      <c r="DAK45" s="1221"/>
      <c r="DAL45" s="1221"/>
      <c r="DAM45" s="1221"/>
      <c r="DAN45" s="1221"/>
      <c r="DAO45" s="1221"/>
      <c r="DAP45" s="1221"/>
      <c r="DAQ45" s="1221"/>
      <c r="DAR45" s="1221"/>
      <c r="DAS45" s="1221"/>
      <c r="DAT45" s="1221"/>
      <c r="DAU45" s="1221"/>
      <c r="DAV45" s="1221"/>
      <c r="DAW45" s="1221"/>
      <c r="DAX45" s="1221"/>
      <c r="DAY45" s="1221"/>
      <c r="DAZ45" s="1221"/>
      <c r="DBA45" s="1221"/>
      <c r="DBB45" s="1221"/>
      <c r="DBC45" s="1221"/>
      <c r="DBD45" s="1221"/>
      <c r="DBE45" s="1221"/>
      <c r="DBF45" s="1221"/>
      <c r="DBG45" s="1221"/>
      <c r="DBH45" s="1221"/>
      <c r="DBI45" s="1221"/>
      <c r="DBJ45" s="1221"/>
      <c r="DBK45" s="1221"/>
      <c r="DBL45" s="1221"/>
      <c r="DBM45" s="1221"/>
      <c r="DBN45" s="1221"/>
      <c r="DBO45" s="1221"/>
      <c r="DBP45" s="1221"/>
      <c r="DBQ45" s="1221"/>
      <c r="DBR45" s="1221"/>
      <c r="DBS45" s="1221"/>
      <c r="DBT45" s="1221"/>
      <c r="DBU45" s="1221"/>
      <c r="DBV45" s="1221"/>
      <c r="DBW45" s="1221"/>
      <c r="DBX45" s="1221"/>
      <c r="DBY45" s="1221"/>
      <c r="DBZ45" s="1221"/>
      <c r="DCA45" s="1221"/>
      <c r="DCB45" s="1221"/>
      <c r="DCC45" s="1221"/>
      <c r="DCD45" s="1221"/>
      <c r="DCE45" s="1221"/>
      <c r="DCF45" s="1221"/>
      <c r="DCG45" s="1221"/>
      <c r="DCH45" s="1221"/>
      <c r="DCI45" s="1221"/>
      <c r="DCJ45" s="1221"/>
      <c r="DCK45" s="1221"/>
      <c r="DCL45" s="1221"/>
      <c r="DCM45" s="1221"/>
      <c r="DCN45" s="1221"/>
      <c r="DCO45" s="1221"/>
      <c r="DCP45" s="1221"/>
      <c r="DCQ45" s="1221"/>
      <c r="DCR45" s="1221"/>
      <c r="DCS45" s="1221"/>
      <c r="DCT45" s="1221"/>
      <c r="DCU45" s="1221"/>
      <c r="DCV45" s="1221"/>
      <c r="DCW45" s="1221"/>
      <c r="DCX45" s="1221"/>
      <c r="DCY45" s="1221"/>
      <c r="DCZ45" s="1221"/>
      <c r="DDA45" s="1221"/>
      <c r="DDB45" s="1221"/>
      <c r="DDC45" s="1221"/>
      <c r="DDD45" s="1221"/>
      <c r="DDE45" s="1221"/>
      <c r="DDF45" s="1221"/>
      <c r="DDG45" s="1221"/>
      <c r="DDH45" s="1221"/>
      <c r="DDI45" s="1221"/>
      <c r="DDJ45" s="1221"/>
      <c r="DDK45" s="1221"/>
      <c r="DDL45" s="1221"/>
      <c r="DDM45" s="1221"/>
      <c r="DDN45" s="1221"/>
      <c r="DDO45" s="1221"/>
      <c r="DDP45" s="1221"/>
      <c r="DDQ45" s="1221"/>
      <c r="DDR45" s="1221"/>
      <c r="DDS45" s="1221"/>
      <c r="DDT45" s="1221"/>
      <c r="DDU45" s="1221"/>
      <c r="DDV45" s="1221"/>
      <c r="DDW45" s="1221"/>
      <c r="DDX45" s="1221"/>
      <c r="DDY45" s="1221"/>
      <c r="DDZ45" s="1221"/>
      <c r="DEA45" s="1221"/>
      <c r="DEB45" s="1221"/>
      <c r="DEC45" s="1221"/>
      <c r="DED45" s="1221"/>
      <c r="DEE45" s="1221"/>
      <c r="DEF45" s="1221"/>
      <c r="DEG45" s="1221"/>
      <c r="DEH45" s="1221"/>
      <c r="DEI45" s="1221"/>
      <c r="DEJ45" s="1221"/>
      <c r="DEK45" s="1221"/>
      <c r="DEL45" s="1221"/>
      <c r="DEM45" s="1221"/>
      <c r="DEN45" s="1221"/>
      <c r="DEO45" s="1221"/>
      <c r="DEP45" s="1221"/>
      <c r="DEQ45" s="1221"/>
      <c r="DER45" s="1221"/>
      <c r="DES45" s="1221"/>
      <c r="DET45" s="1221"/>
      <c r="DEU45" s="1221"/>
      <c r="DEV45" s="1221"/>
      <c r="DEW45" s="1221"/>
      <c r="DEX45" s="1221"/>
      <c r="DEY45" s="1221"/>
      <c r="DEZ45" s="1221"/>
      <c r="DFA45" s="1221"/>
      <c r="DFB45" s="1221"/>
      <c r="DFC45" s="1221"/>
      <c r="DFD45" s="1221"/>
      <c r="DFE45" s="1221"/>
      <c r="DFF45" s="1221"/>
      <c r="DFG45" s="1221"/>
      <c r="DFH45" s="1221"/>
      <c r="DFI45" s="1221"/>
      <c r="DFJ45" s="1221"/>
      <c r="DFK45" s="1221"/>
      <c r="DFL45" s="1221"/>
      <c r="DFM45" s="1221"/>
      <c r="DFN45" s="1221"/>
      <c r="DFO45" s="1221"/>
      <c r="DFP45" s="1221"/>
      <c r="DFQ45" s="1221"/>
      <c r="DFR45" s="1221"/>
      <c r="DFS45" s="1221"/>
      <c r="DFT45" s="1221"/>
      <c r="DFU45" s="1221"/>
      <c r="DFV45" s="1221"/>
      <c r="DFW45" s="1221"/>
      <c r="DFX45" s="1221"/>
      <c r="DFY45" s="1221"/>
      <c r="DFZ45" s="1221"/>
      <c r="DGA45" s="1221"/>
      <c r="DGB45" s="1221"/>
      <c r="DGC45" s="1221"/>
      <c r="DGD45" s="1221"/>
      <c r="DGE45" s="1221"/>
      <c r="DGF45" s="1221"/>
      <c r="DGG45" s="1221"/>
      <c r="DGH45" s="1221"/>
      <c r="DGI45" s="1221"/>
      <c r="DGJ45" s="1221"/>
      <c r="DGK45" s="1221"/>
      <c r="DGL45" s="1221"/>
      <c r="DGM45" s="1221"/>
      <c r="DGN45" s="1221"/>
      <c r="DGO45" s="1221"/>
      <c r="DGP45" s="1221"/>
      <c r="DGQ45" s="1221"/>
      <c r="DGR45" s="1221"/>
      <c r="DGS45" s="1221"/>
      <c r="DGT45" s="1221"/>
      <c r="DGU45" s="1221"/>
      <c r="DGV45" s="1221"/>
      <c r="DGW45" s="1221"/>
      <c r="DGX45" s="1221"/>
      <c r="DGY45" s="1221"/>
      <c r="DGZ45" s="1221"/>
      <c r="DHA45" s="1221"/>
      <c r="DHB45" s="1221"/>
      <c r="DHC45" s="1221"/>
      <c r="DHD45" s="1221"/>
      <c r="DHE45" s="1221"/>
      <c r="DHF45" s="1221"/>
      <c r="DHG45" s="1221"/>
      <c r="DHH45" s="1221"/>
      <c r="DHI45" s="1221"/>
      <c r="DHJ45" s="1221"/>
      <c r="DHK45" s="1221"/>
      <c r="DHL45" s="1221"/>
      <c r="DHM45" s="1221"/>
      <c r="DHN45" s="1221"/>
      <c r="DHO45" s="1221"/>
      <c r="DHP45" s="1221"/>
      <c r="DHQ45" s="1221"/>
      <c r="DHR45" s="1221"/>
      <c r="DHS45" s="1221"/>
      <c r="DHT45" s="1221"/>
      <c r="DHU45" s="1221"/>
      <c r="DHV45" s="1221"/>
      <c r="DHW45" s="1221"/>
      <c r="DHX45" s="1221"/>
      <c r="DHY45" s="1221"/>
      <c r="DHZ45" s="1221"/>
      <c r="DIA45" s="1221"/>
      <c r="DIB45" s="1221"/>
      <c r="DIC45" s="1221"/>
      <c r="DID45" s="1221"/>
      <c r="DIE45" s="1221"/>
      <c r="DIF45" s="1221"/>
      <c r="DIG45" s="1221"/>
      <c r="DIH45" s="1221"/>
      <c r="DII45" s="1221"/>
      <c r="DIJ45" s="1221"/>
      <c r="DIK45" s="1221"/>
      <c r="DIL45" s="1221"/>
      <c r="DIM45" s="1221"/>
      <c r="DIN45" s="1221"/>
      <c r="DIO45" s="1221"/>
      <c r="DIP45" s="1221"/>
      <c r="DIQ45" s="1221"/>
      <c r="DIR45" s="1221"/>
      <c r="DIS45" s="1221"/>
      <c r="DIT45" s="1221"/>
      <c r="DIU45" s="1221"/>
      <c r="DIV45" s="1221"/>
      <c r="DIW45" s="1221"/>
      <c r="DIX45" s="1221"/>
      <c r="DIY45" s="1221"/>
      <c r="DIZ45" s="1221"/>
      <c r="DJA45" s="1221"/>
      <c r="DJB45" s="1221"/>
      <c r="DJC45" s="1221"/>
      <c r="DJD45" s="1221"/>
      <c r="DJE45" s="1221"/>
      <c r="DJF45" s="1221"/>
      <c r="DJG45" s="1221"/>
      <c r="DJH45" s="1221"/>
      <c r="DJI45" s="1221"/>
      <c r="DJJ45" s="1221"/>
      <c r="DJK45" s="1221"/>
      <c r="DJL45" s="1221"/>
      <c r="DJM45" s="1221"/>
      <c r="DJN45" s="1221"/>
      <c r="DJO45" s="1221"/>
      <c r="DJP45" s="1221"/>
      <c r="DJQ45" s="1221"/>
      <c r="DJR45" s="1221"/>
      <c r="DJS45" s="1221"/>
      <c r="DJT45" s="1221"/>
      <c r="DJU45" s="1221"/>
      <c r="DJV45" s="1221"/>
      <c r="DJW45" s="1221"/>
      <c r="DJX45" s="1221"/>
      <c r="DJY45" s="1221"/>
      <c r="DJZ45" s="1221"/>
      <c r="DKA45" s="1221"/>
      <c r="DKB45" s="1221"/>
      <c r="DKC45" s="1221"/>
      <c r="DKD45" s="1221"/>
      <c r="DKE45" s="1221"/>
      <c r="DKF45" s="1221"/>
      <c r="DKG45" s="1221"/>
      <c r="DKH45" s="1221"/>
      <c r="DKI45" s="1221"/>
      <c r="DKJ45" s="1221"/>
      <c r="DKK45" s="1221"/>
      <c r="DKL45" s="1221"/>
      <c r="DKM45" s="1221"/>
      <c r="DKN45" s="1221"/>
      <c r="DKO45" s="1221"/>
      <c r="DKP45" s="1221"/>
      <c r="DKQ45" s="1221"/>
      <c r="DKR45" s="1221"/>
      <c r="DKS45" s="1221"/>
      <c r="DKT45" s="1221"/>
      <c r="DKU45" s="1221"/>
      <c r="DKV45" s="1221"/>
      <c r="DKW45" s="1221"/>
      <c r="DKX45" s="1221"/>
      <c r="DKY45" s="1221"/>
      <c r="DKZ45" s="1221"/>
      <c r="DLA45" s="1221"/>
      <c r="DLB45" s="1221"/>
      <c r="DLC45" s="1221"/>
      <c r="DLD45" s="1221"/>
      <c r="DLE45" s="1221"/>
      <c r="DLF45" s="1221"/>
      <c r="DLG45" s="1221"/>
      <c r="DLH45" s="1221"/>
      <c r="DLI45" s="1221"/>
      <c r="DLJ45" s="1221"/>
      <c r="DLK45" s="1221"/>
      <c r="DLL45" s="1221"/>
      <c r="DLM45" s="1221"/>
      <c r="DLN45" s="1221"/>
      <c r="DLO45" s="1221"/>
      <c r="DLP45" s="1221"/>
      <c r="DLQ45" s="1221"/>
      <c r="DLR45" s="1221"/>
      <c r="DLS45" s="1221"/>
      <c r="DLT45" s="1221"/>
      <c r="DLU45" s="1221"/>
      <c r="DLV45" s="1221"/>
      <c r="DLW45" s="1221"/>
      <c r="DLX45" s="1221"/>
      <c r="DLY45" s="1221"/>
      <c r="DLZ45" s="1221"/>
      <c r="DMA45" s="1221"/>
      <c r="DMB45" s="1221"/>
      <c r="DMC45" s="1221"/>
      <c r="DMD45" s="1221"/>
      <c r="DME45" s="1221"/>
      <c r="DMF45" s="1221"/>
      <c r="DMG45" s="1221"/>
      <c r="DMH45" s="1221"/>
      <c r="DMI45" s="1221"/>
      <c r="DMJ45" s="1221"/>
      <c r="DMK45" s="1221"/>
      <c r="DML45" s="1221"/>
      <c r="DMM45" s="1221"/>
      <c r="DMN45" s="1221"/>
      <c r="DMO45" s="1221"/>
      <c r="DMP45" s="1221"/>
      <c r="DMQ45" s="1221"/>
      <c r="DMR45" s="1221"/>
      <c r="DMS45" s="1221"/>
      <c r="DMT45" s="1221"/>
      <c r="DMU45" s="1221"/>
      <c r="DMV45" s="1221"/>
      <c r="DMW45" s="1221"/>
      <c r="DMX45" s="1221"/>
      <c r="DMY45" s="1221"/>
      <c r="DMZ45" s="1221"/>
      <c r="DNA45" s="1221"/>
      <c r="DNB45" s="1221"/>
      <c r="DNC45" s="1221"/>
      <c r="DND45" s="1221"/>
      <c r="DNE45" s="1221"/>
      <c r="DNF45" s="1221"/>
      <c r="DNG45" s="1221"/>
      <c r="DNH45" s="1221"/>
      <c r="DNI45" s="1221"/>
      <c r="DNJ45" s="1221"/>
      <c r="DNK45" s="1221"/>
      <c r="DNL45" s="1221"/>
      <c r="DNM45" s="1221"/>
      <c r="DNN45" s="1221"/>
      <c r="DNO45" s="1221"/>
      <c r="DNP45" s="1221"/>
      <c r="DNQ45" s="1221"/>
      <c r="DNR45" s="1221"/>
      <c r="DNS45" s="1221"/>
      <c r="DNT45" s="1221"/>
      <c r="DNU45" s="1221"/>
      <c r="DNV45" s="1221"/>
      <c r="DNW45" s="1221"/>
      <c r="DNX45" s="1221"/>
      <c r="DNY45" s="1221"/>
      <c r="DNZ45" s="1221"/>
      <c r="DOA45" s="1221"/>
      <c r="DOB45" s="1221"/>
      <c r="DOC45" s="1221"/>
      <c r="DOD45" s="1221"/>
      <c r="DOE45" s="1221"/>
      <c r="DOF45" s="1221"/>
      <c r="DOG45" s="1221"/>
      <c r="DOH45" s="1221"/>
      <c r="DOI45" s="1221"/>
      <c r="DOJ45" s="1221"/>
      <c r="DOK45" s="1221"/>
      <c r="DOL45" s="1221"/>
      <c r="DOM45" s="1221"/>
      <c r="DON45" s="1221"/>
      <c r="DOO45" s="1221"/>
      <c r="DOP45" s="1221"/>
      <c r="DOQ45" s="1221"/>
      <c r="DOR45" s="1221"/>
      <c r="DOS45" s="1221"/>
      <c r="DOT45" s="1221"/>
      <c r="DOU45" s="1221"/>
      <c r="DOV45" s="1221"/>
      <c r="DOW45" s="1221"/>
      <c r="DOX45" s="1221"/>
      <c r="DOY45" s="1221"/>
      <c r="DOZ45" s="1221"/>
      <c r="DPA45" s="1221"/>
      <c r="DPB45" s="1221"/>
      <c r="DPC45" s="1221"/>
      <c r="DPD45" s="1221"/>
      <c r="DPE45" s="1221"/>
      <c r="DPF45" s="1221"/>
      <c r="DPG45" s="1221"/>
      <c r="DPH45" s="1221"/>
      <c r="DPI45" s="1221"/>
      <c r="DPJ45" s="1221"/>
      <c r="DPK45" s="1221"/>
      <c r="DPL45" s="1221"/>
      <c r="DPM45" s="1221"/>
      <c r="DPN45" s="1221"/>
      <c r="DPO45" s="1221"/>
      <c r="DPP45" s="1221"/>
      <c r="DPQ45" s="1221"/>
      <c r="DPR45" s="1221"/>
      <c r="DPS45" s="1221"/>
      <c r="DPT45" s="1221"/>
      <c r="DPU45" s="1221"/>
      <c r="DPV45" s="1221"/>
      <c r="DPW45" s="1221"/>
      <c r="DPX45" s="1221"/>
      <c r="DPY45" s="1221"/>
      <c r="DPZ45" s="1221"/>
      <c r="DQA45" s="1221"/>
      <c r="DQB45" s="1221"/>
      <c r="DQC45" s="1221"/>
      <c r="DQD45" s="1221"/>
      <c r="DQE45" s="1221"/>
      <c r="DQF45" s="1221"/>
      <c r="DQG45" s="1221"/>
      <c r="DQH45" s="1221"/>
      <c r="DQI45" s="1221"/>
      <c r="DQJ45" s="1221"/>
      <c r="DQK45" s="1221"/>
      <c r="DQL45" s="1221"/>
      <c r="DQM45" s="1221"/>
      <c r="DQN45" s="1221"/>
      <c r="DQO45" s="1221"/>
      <c r="DQP45" s="1221"/>
      <c r="DQQ45" s="1221"/>
      <c r="DQR45" s="1221"/>
      <c r="DQS45" s="1221"/>
      <c r="DQT45" s="1221"/>
      <c r="DQU45" s="1221"/>
      <c r="DQV45" s="1221"/>
      <c r="DQW45" s="1221"/>
      <c r="DQX45" s="1221"/>
      <c r="DQY45" s="1221"/>
      <c r="DQZ45" s="1221"/>
      <c r="DRA45" s="1221"/>
      <c r="DRB45" s="1221"/>
      <c r="DRC45" s="1221"/>
      <c r="DRD45" s="1221"/>
      <c r="DRE45" s="1221"/>
      <c r="DRF45" s="1221"/>
      <c r="DRG45" s="1221"/>
      <c r="DRH45" s="1221"/>
      <c r="DRI45" s="1221"/>
      <c r="DRJ45" s="1221"/>
      <c r="DRK45" s="1221"/>
      <c r="DRL45" s="1221"/>
      <c r="DRM45" s="1221"/>
      <c r="DRN45" s="1221"/>
      <c r="DRO45" s="1221"/>
      <c r="DRP45" s="1221"/>
      <c r="DRQ45" s="1221"/>
      <c r="DRR45" s="1221"/>
      <c r="DRS45" s="1221"/>
      <c r="DRT45" s="1221"/>
      <c r="DRU45" s="1221"/>
      <c r="DRV45" s="1221"/>
      <c r="DRW45" s="1221"/>
      <c r="DRX45" s="1221"/>
      <c r="DRY45" s="1221"/>
      <c r="DRZ45" s="1221"/>
      <c r="DSA45" s="1221"/>
      <c r="DSB45" s="1221"/>
      <c r="DSC45" s="1221"/>
      <c r="DSD45" s="1221"/>
      <c r="DSE45" s="1221"/>
      <c r="DSF45" s="1221"/>
      <c r="DSG45" s="1221"/>
      <c r="DSH45" s="1221"/>
      <c r="DSI45" s="1221"/>
      <c r="DSJ45" s="1221"/>
      <c r="DSK45" s="1221"/>
      <c r="DSL45" s="1221"/>
      <c r="DSM45" s="1221"/>
      <c r="DSN45" s="1221"/>
      <c r="DSO45" s="1221"/>
      <c r="DSP45" s="1221"/>
      <c r="DSQ45" s="1221"/>
      <c r="DSR45" s="1221"/>
      <c r="DSS45" s="1221"/>
      <c r="DST45" s="1221"/>
      <c r="DSU45" s="1221"/>
      <c r="DSV45" s="1221"/>
      <c r="DSW45" s="1221"/>
      <c r="DSX45" s="1221"/>
      <c r="DSY45" s="1221"/>
      <c r="DSZ45" s="1221"/>
      <c r="DTA45" s="1221"/>
      <c r="DTB45" s="1221"/>
      <c r="DTC45" s="1221"/>
      <c r="DTD45" s="1221"/>
      <c r="DTE45" s="1221"/>
      <c r="DTF45" s="1221"/>
      <c r="DTG45" s="1221"/>
      <c r="DTH45" s="1221"/>
      <c r="DTI45" s="1221"/>
      <c r="DTJ45" s="1221"/>
      <c r="DTK45" s="1221"/>
      <c r="DTL45" s="1221"/>
      <c r="DTM45" s="1221"/>
      <c r="DTN45" s="1221"/>
      <c r="DTO45" s="1221"/>
      <c r="DTP45" s="1221"/>
      <c r="DTQ45" s="1221"/>
      <c r="DTR45" s="1221"/>
      <c r="DTS45" s="1221"/>
      <c r="DTT45" s="1221"/>
      <c r="DTU45" s="1221"/>
      <c r="DTV45" s="1221"/>
      <c r="DTW45" s="1221"/>
      <c r="DTX45" s="1221"/>
      <c r="DTY45" s="1221"/>
      <c r="DTZ45" s="1221"/>
      <c r="DUA45" s="1221"/>
      <c r="DUB45" s="1221"/>
      <c r="DUC45" s="1221"/>
      <c r="DUD45" s="1221"/>
      <c r="DUE45" s="1221"/>
      <c r="DUF45" s="1221"/>
      <c r="DUG45" s="1221"/>
      <c r="DUH45" s="1221"/>
      <c r="DUI45" s="1221"/>
      <c r="DUJ45" s="1221"/>
      <c r="DUK45" s="1221"/>
      <c r="DUL45" s="1221"/>
      <c r="DUM45" s="1221"/>
      <c r="DUN45" s="1221"/>
      <c r="DUO45" s="1221"/>
      <c r="DUP45" s="1221"/>
      <c r="DUQ45" s="1221"/>
      <c r="DUR45" s="1221"/>
      <c r="DUS45" s="1221"/>
      <c r="DUT45" s="1221"/>
      <c r="DUU45" s="1221"/>
      <c r="DUV45" s="1221"/>
      <c r="DUW45" s="1221"/>
      <c r="DUX45" s="1221"/>
      <c r="DUY45" s="1221"/>
      <c r="DUZ45" s="1221"/>
      <c r="DVA45" s="1221"/>
      <c r="DVB45" s="1221"/>
      <c r="DVC45" s="1221"/>
      <c r="DVD45" s="1221"/>
      <c r="DVE45" s="1221"/>
      <c r="DVF45" s="1221"/>
      <c r="DVG45" s="1221"/>
      <c r="DVH45" s="1221"/>
      <c r="DVI45" s="1221"/>
      <c r="DVJ45" s="1221"/>
      <c r="DVK45" s="1221"/>
      <c r="DVL45" s="1221"/>
      <c r="DVM45" s="1221"/>
      <c r="DVN45" s="1221"/>
      <c r="DVO45" s="1221"/>
      <c r="DVP45" s="1221"/>
      <c r="DVQ45" s="1221"/>
      <c r="DVR45" s="1221"/>
      <c r="DVS45" s="1221"/>
      <c r="DVT45" s="1221"/>
      <c r="DVU45" s="1221"/>
      <c r="DVV45" s="1221"/>
      <c r="DVW45" s="1221"/>
      <c r="DVX45" s="1221"/>
      <c r="DVY45" s="1221"/>
      <c r="DVZ45" s="1221"/>
      <c r="DWA45" s="1221"/>
      <c r="DWB45" s="1221"/>
      <c r="DWC45" s="1221"/>
      <c r="DWD45" s="1221"/>
      <c r="DWE45" s="1221"/>
      <c r="DWF45" s="1221"/>
      <c r="DWG45" s="1221"/>
      <c r="DWH45" s="1221"/>
      <c r="DWI45" s="1221"/>
      <c r="DWJ45" s="1221"/>
      <c r="DWK45" s="1221"/>
      <c r="DWL45" s="1221"/>
      <c r="DWM45" s="1221"/>
      <c r="DWN45" s="1221"/>
      <c r="DWO45" s="1221"/>
      <c r="DWP45" s="1221"/>
      <c r="DWQ45" s="1221"/>
      <c r="DWR45" s="1221"/>
      <c r="DWS45" s="1221"/>
      <c r="DWT45" s="1221"/>
      <c r="DWU45" s="1221"/>
      <c r="DWV45" s="1221"/>
      <c r="DWW45" s="1221"/>
      <c r="DWX45" s="1221"/>
      <c r="DWY45" s="1221"/>
      <c r="DWZ45" s="1221"/>
      <c r="DXA45" s="1221"/>
      <c r="DXB45" s="1221"/>
      <c r="DXC45" s="1221"/>
      <c r="DXD45" s="1221"/>
      <c r="DXE45" s="1221"/>
      <c r="DXF45" s="1221"/>
      <c r="DXG45" s="1221"/>
      <c r="DXH45" s="1221"/>
      <c r="DXI45" s="1221"/>
      <c r="DXJ45" s="1221"/>
      <c r="DXK45" s="1221"/>
      <c r="DXL45" s="1221"/>
      <c r="DXM45" s="1221"/>
      <c r="DXN45" s="1221"/>
      <c r="DXO45" s="1221"/>
      <c r="DXP45" s="1221"/>
      <c r="DXQ45" s="1221"/>
      <c r="DXR45" s="1221"/>
      <c r="DXS45" s="1221"/>
      <c r="DXT45" s="1221"/>
      <c r="DXU45" s="1221"/>
      <c r="DXV45" s="1221"/>
      <c r="DXW45" s="1221"/>
      <c r="DXX45" s="1221"/>
      <c r="DXY45" s="1221"/>
      <c r="DXZ45" s="1221"/>
      <c r="DYA45" s="1221"/>
      <c r="DYB45" s="1221"/>
      <c r="DYC45" s="1221"/>
      <c r="DYD45" s="1221"/>
      <c r="DYE45" s="1221"/>
      <c r="DYF45" s="1221"/>
      <c r="DYG45" s="1221"/>
      <c r="DYH45" s="1221"/>
      <c r="DYI45" s="1221"/>
      <c r="DYJ45" s="1221"/>
      <c r="DYK45" s="1221"/>
      <c r="DYL45" s="1221"/>
      <c r="DYM45" s="1221"/>
      <c r="DYN45" s="1221"/>
      <c r="DYO45" s="1221"/>
      <c r="DYP45" s="1221"/>
      <c r="DYQ45" s="1221"/>
      <c r="DYR45" s="1221"/>
      <c r="DYS45" s="1221"/>
      <c r="DYT45" s="1221"/>
      <c r="DYU45" s="1221"/>
      <c r="DYV45" s="1221"/>
      <c r="DYW45" s="1221"/>
      <c r="DYX45" s="1221"/>
      <c r="DYY45" s="1221"/>
      <c r="DYZ45" s="1221"/>
      <c r="DZA45" s="1221"/>
      <c r="DZB45" s="1221"/>
      <c r="DZC45" s="1221"/>
      <c r="DZD45" s="1221"/>
      <c r="DZE45" s="1221"/>
      <c r="DZF45" s="1221"/>
      <c r="DZG45" s="1221"/>
      <c r="DZH45" s="1221"/>
      <c r="DZI45" s="1221"/>
      <c r="DZJ45" s="1221"/>
      <c r="DZK45" s="1221"/>
      <c r="DZL45" s="1221"/>
      <c r="DZM45" s="1221"/>
      <c r="DZN45" s="1221"/>
      <c r="DZO45" s="1221"/>
      <c r="DZP45" s="1221"/>
      <c r="DZQ45" s="1221"/>
      <c r="DZR45" s="1221"/>
      <c r="DZS45" s="1221"/>
      <c r="DZT45" s="1221"/>
      <c r="DZU45" s="1221"/>
      <c r="DZV45" s="1221"/>
      <c r="DZW45" s="1221"/>
      <c r="DZX45" s="1221"/>
      <c r="DZY45" s="1221"/>
      <c r="DZZ45" s="1221"/>
      <c r="EAA45" s="1221"/>
      <c r="EAB45" s="1221"/>
      <c r="EAC45" s="1221"/>
      <c r="EAD45" s="1221"/>
      <c r="EAE45" s="1221"/>
      <c r="EAF45" s="1221"/>
      <c r="EAG45" s="1221"/>
      <c r="EAH45" s="1221"/>
      <c r="EAI45" s="1221"/>
      <c r="EAJ45" s="1221"/>
      <c r="EAK45" s="1221"/>
      <c r="EAL45" s="1221"/>
      <c r="EAM45" s="1221"/>
      <c r="EAN45" s="1221"/>
      <c r="EAO45" s="1221"/>
      <c r="EAP45" s="1221"/>
      <c r="EAQ45" s="1221"/>
      <c r="EAR45" s="1221"/>
      <c r="EAS45" s="1221"/>
      <c r="EAT45" s="1221"/>
      <c r="EAU45" s="1221"/>
      <c r="EAV45" s="1221"/>
      <c r="EAW45" s="1221"/>
      <c r="EAX45" s="1221"/>
      <c r="EAY45" s="1221"/>
      <c r="EAZ45" s="1221"/>
      <c r="EBA45" s="1221"/>
      <c r="EBB45" s="1221"/>
      <c r="EBC45" s="1221"/>
      <c r="EBD45" s="1221"/>
      <c r="EBE45" s="1221"/>
      <c r="EBF45" s="1221"/>
      <c r="EBG45" s="1221"/>
      <c r="EBH45" s="1221"/>
      <c r="EBI45" s="1221"/>
      <c r="EBJ45" s="1221"/>
      <c r="EBK45" s="1221"/>
      <c r="EBL45" s="1221"/>
      <c r="EBM45" s="1221"/>
      <c r="EBN45" s="1221"/>
      <c r="EBO45" s="1221"/>
      <c r="EBP45" s="1221"/>
      <c r="EBQ45" s="1221"/>
      <c r="EBR45" s="1221"/>
      <c r="EBS45" s="1221"/>
      <c r="EBT45" s="1221"/>
      <c r="EBU45" s="1221"/>
      <c r="EBV45" s="1221"/>
      <c r="EBW45" s="1221"/>
      <c r="EBX45" s="1221"/>
      <c r="EBY45" s="1221"/>
      <c r="EBZ45" s="1221"/>
      <c r="ECA45" s="1221"/>
      <c r="ECB45" s="1221"/>
      <c r="ECC45" s="1221"/>
      <c r="ECD45" s="1221"/>
      <c r="ECE45" s="1221"/>
      <c r="ECF45" s="1221"/>
      <c r="ECG45" s="1221"/>
      <c r="ECH45" s="1221"/>
      <c r="ECI45" s="1221"/>
      <c r="ECJ45" s="1221"/>
      <c r="ECK45" s="1221"/>
      <c r="ECL45" s="1221"/>
      <c r="ECM45" s="1221"/>
      <c r="ECN45" s="1221"/>
      <c r="ECO45" s="1221"/>
    </row>
    <row r="46" spans="2:3473" s="1248" customFormat="1" ht="13" outlineLevel="1">
      <c r="B46" s="1249" t="s">
        <v>1474</v>
      </c>
      <c r="C46" s="1250">
        <v>2</v>
      </c>
      <c r="D46" s="1251" t="s">
        <v>3154</v>
      </c>
      <c r="E46" s="1252">
        <f t="shared" si="90"/>
        <v>0</v>
      </c>
      <c r="F46" s="1252">
        <f t="shared" si="90"/>
        <v>0</v>
      </c>
      <c r="G46" s="1252">
        <f t="shared" si="90"/>
        <v>0</v>
      </c>
      <c r="H46" s="1252">
        <f t="shared" si="79"/>
        <v>0</v>
      </c>
      <c r="I46" s="1252">
        <f t="shared" si="79"/>
        <v>0</v>
      </c>
      <c r="J46" s="1252">
        <f t="shared" si="79"/>
        <v>0</v>
      </c>
      <c r="K46" s="1252">
        <f t="shared" si="79"/>
        <v>0</v>
      </c>
      <c r="L46" s="1252">
        <f t="shared" si="79"/>
        <v>0</v>
      </c>
      <c r="M46" s="1252">
        <f t="shared" si="79"/>
        <v>0</v>
      </c>
      <c r="N46" s="1252" t="str">
        <f t="shared" si="79"/>
        <v/>
      </c>
      <c r="O46" s="1252" t="str">
        <f t="shared" si="79"/>
        <v/>
      </c>
      <c r="P46" s="1252" t="str">
        <f t="shared" si="79"/>
        <v/>
      </c>
      <c r="Q46" s="1252">
        <f t="shared" si="79"/>
        <v>0</v>
      </c>
      <c r="R46" s="1252">
        <f t="shared" si="79"/>
        <v>0</v>
      </c>
      <c r="S46" s="1252">
        <f t="shared" si="8"/>
        <v>0</v>
      </c>
      <c r="T46" s="1252">
        <f t="shared" si="5"/>
        <v>0</v>
      </c>
      <c r="U46" s="1252">
        <f t="shared" si="5"/>
        <v>0</v>
      </c>
      <c r="V46" s="1252">
        <f t="shared" si="9"/>
        <v>0</v>
      </c>
      <c r="W46" s="1252" t="str">
        <f t="shared" si="10"/>
        <v/>
      </c>
      <c r="X46" s="1252" t="str">
        <f t="shared" si="10"/>
        <v/>
      </c>
      <c r="Y46" s="1252" t="str">
        <f t="shared" si="10"/>
        <v/>
      </c>
      <c r="Z46" s="1252">
        <f t="shared" si="78"/>
        <v>0</v>
      </c>
      <c r="AA46" s="1252">
        <f t="shared" si="78"/>
        <v>0</v>
      </c>
      <c r="AB46" s="1252">
        <f t="shared" si="78"/>
        <v>0</v>
      </c>
      <c r="AC46" s="1252">
        <f t="shared" si="15"/>
        <v>0</v>
      </c>
      <c r="AD46" s="1260">
        <f t="shared" si="15"/>
        <v>0</v>
      </c>
      <c r="AE46" s="1260">
        <f t="shared" si="15"/>
        <v>0</v>
      </c>
      <c r="AF46" s="1254"/>
      <c r="AG46" s="1255"/>
      <c r="AH46" s="1255"/>
      <c r="AI46" s="1256">
        <f>AJ46+AK46</f>
        <v>0</v>
      </c>
      <c r="AJ46" s="1256">
        <f>IF($BB46=0,0,$BB46*AJ$6/($BB$6-$AG$6-$AM$6))</f>
        <v>0</v>
      </c>
      <c r="AK46" s="1256">
        <f>IF($BC46=0,0,$BC46*AK$6/($BC$6-$AH$6-$AN$6))</f>
        <v>0</v>
      </c>
      <c r="AL46" s="1256">
        <f t="shared" si="20"/>
        <v>0</v>
      </c>
      <c r="AM46" s="1256"/>
      <c r="AN46" s="1256"/>
      <c r="AO46" s="1256">
        <f t="shared" si="21"/>
        <v>0</v>
      </c>
      <c r="AP46" s="1256">
        <f>IF($BB46=0,0,$BB46*AP$6/($BB$6-$AG$6-$AM$6))</f>
        <v>0</v>
      </c>
      <c r="AQ46" s="1256">
        <f>IF($BC46=0,0,$BC46*AQ$6/($BC$6-$AH$6-$AN$6))</f>
        <v>0</v>
      </c>
      <c r="AR46" s="1256">
        <f>AS46+AT46</f>
        <v>0</v>
      </c>
      <c r="AS46" s="1256">
        <f>IF($BB46=0,0,$BB46*AS$6/($BB$6-$AG$6-$AM$6))</f>
        <v>0</v>
      </c>
      <c r="AT46" s="1256">
        <f>IF($BC46=0,0,$BC46*AT$6/($BC$6-$AH$6-$AN$6))</f>
        <v>0</v>
      </c>
      <c r="AU46" s="1256">
        <f>AV46+AW46</f>
        <v>0</v>
      </c>
      <c r="AV46" s="1256">
        <f>IF($BB46=0,0,$BB46*AV$6/($BB$6-$AG$6-$AM$6))</f>
        <v>0</v>
      </c>
      <c r="AW46" s="1256">
        <f>IF($BC46=0,0,$BC46*AW$6/($BC$6-$AH$6-$AN$6))</f>
        <v>0</v>
      </c>
      <c r="AX46" s="1256"/>
      <c r="AY46" s="1256"/>
      <c r="AZ46" s="1256"/>
      <c r="BA46" s="1257">
        <f>BB46+BC46</f>
        <v>0</v>
      </c>
      <c r="BB46" s="1257">
        <f t="shared" si="93"/>
        <v>0</v>
      </c>
      <c r="BC46" s="1257">
        <f t="shared" si="93"/>
        <v>0</v>
      </c>
      <c r="BD46" s="1256">
        <f t="shared" si="94"/>
        <v>0</v>
      </c>
      <c r="BE46" s="1256">
        <v>0</v>
      </c>
      <c r="BF46" s="1256">
        <v>0</v>
      </c>
      <c r="BG46" s="1256">
        <f t="shared" ref="BG46:BG48" si="95">+BH46+BI46</f>
        <v>0</v>
      </c>
      <c r="BH46" s="1257">
        <f t="shared" ref="BH46:BI48" si="96">+BE46</f>
        <v>0</v>
      </c>
      <c r="BI46" s="1257">
        <f t="shared" si="96"/>
        <v>0</v>
      </c>
      <c r="BJ46" s="1257">
        <f>BK46+BL46</f>
        <v>0</v>
      </c>
      <c r="BK46" s="1256">
        <f>VLOOKUP($D46,'当期公摊测算表（全期）'!$D$9:$W$192,20,0)</f>
        <v>0</v>
      </c>
      <c r="BL46" s="1256">
        <f>VLOOKUP($D46,'当期公摊测算表（全期）'!$D$9:$W$192,19,0)</f>
        <v>0</v>
      </c>
      <c r="BM46" s="1262" t="s">
        <v>20</v>
      </c>
      <c r="BN46" s="1225">
        <f t="shared" si="12"/>
        <v>0</v>
      </c>
      <c r="BO46" s="1225">
        <f t="shared" si="13"/>
        <v>0</v>
      </c>
      <c r="BP46" s="1225">
        <f t="shared" si="14"/>
        <v>0</v>
      </c>
      <c r="BQ46" s="1225"/>
      <c r="BR46" s="1221"/>
      <c r="BS46" s="1221"/>
      <c r="BT46" s="1221"/>
      <c r="BU46" s="1221"/>
      <c r="BV46" s="1221"/>
      <c r="BW46" s="1221"/>
      <c r="BX46" s="1221"/>
      <c r="BY46" s="1221"/>
      <c r="BZ46" s="1221"/>
      <c r="CA46" s="1221"/>
      <c r="CB46" s="1221"/>
      <c r="CC46" s="1221"/>
      <c r="CD46" s="1221"/>
      <c r="CE46" s="1221"/>
      <c r="CF46" s="1221"/>
      <c r="CG46" s="1221"/>
      <c r="CH46" s="1221"/>
      <c r="CI46" s="1221"/>
      <c r="CJ46" s="1221"/>
      <c r="CK46" s="1221"/>
      <c r="CL46" s="1221"/>
      <c r="CM46" s="1221"/>
      <c r="CN46" s="1221"/>
      <c r="CO46" s="1221"/>
      <c r="CP46" s="1221"/>
      <c r="CQ46" s="1221"/>
      <c r="CR46" s="1221"/>
      <c r="CS46" s="1221"/>
      <c r="CT46" s="1221"/>
      <c r="CU46" s="1221"/>
      <c r="CV46" s="1221"/>
      <c r="CW46" s="1221"/>
      <c r="CX46" s="1221"/>
      <c r="CY46" s="1221"/>
      <c r="CZ46" s="1221"/>
      <c r="DA46" s="1221"/>
      <c r="DB46" s="1221"/>
      <c r="DC46" s="1221"/>
      <c r="DD46" s="1221"/>
      <c r="DE46" s="1221"/>
      <c r="DF46" s="1221"/>
      <c r="DG46" s="1221"/>
      <c r="DH46" s="1221"/>
      <c r="DI46" s="1221"/>
      <c r="DJ46" s="1221"/>
      <c r="DK46" s="1221"/>
      <c r="DL46" s="1221"/>
      <c r="DM46" s="1221"/>
      <c r="DN46" s="1221"/>
      <c r="DO46" s="1221"/>
      <c r="DP46" s="1221"/>
      <c r="DQ46" s="1221"/>
      <c r="DR46" s="1221"/>
      <c r="DS46" s="1221"/>
      <c r="DT46" s="1221"/>
      <c r="DU46" s="1221"/>
      <c r="DV46" s="1221"/>
      <c r="DW46" s="1221"/>
      <c r="DX46" s="1221"/>
      <c r="DY46" s="1221"/>
      <c r="DZ46" s="1221"/>
      <c r="EA46" s="1221"/>
      <c r="EB46" s="1221"/>
      <c r="EC46" s="1221"/>
      <c r="ED46" s="1221"/>
      <c r="EE46" s="1221"/>
      <c r="EF46" s="1221"/>
      <c r="EG46" s="1221"/>
      <c r="EH46" s="1221"/>
      <c r="EI46" s="1221"/>
      <c r="EJ46" s="1221"/>
      <c r="EK46" s="1221"/>
      <c r="EL46" s="1221"/>
      <c r="EM46" s="1221"/>
      <c r="EN46" s="1221"/>
      <c r="EO46" s="1221"/>
      <c r="EP46" s="1221"/>
      <c r="EQ46" s="1221"/>
      <c r="ER46" s="1221"/>
      <c r="ES46" s="1221"/>
      <c r="ET46" s="1221"/>
      <c r="EU46" s="1221"/>
      <c r="EV46" s="1221"/>
      <c r="EW46" s="1221"/>
      <c r="EX46" s="1221"/>
      <c r="EY46" s="1221"/>
      <c r="EZ46" s="1221"/>
      <c r="FA46" s="1221"/>
      <c r="FB46" s="1221"/>
      <c r="FC46" s="1221"/>
      <c r="FD46" s="1221"/>
      <c r="FE46" s="1221"/>
      <c r="FF46" s="1221"/>
      <c r="FG46" s="1221"/>
      <c r="FH46" s="1221"/>
      <c r="FI46" s="1221"/>
      <c r="FJ46" s="1221"/>
      <c r="FK46" s="1221"/>
      <c r="FL46" s="1221"/>
      <c r="FM46" s="1221"/>
      <c r="FN46" s="1221"/>
      <c r="FO46" s="1221"/>
      <c r="FP46" s="1221"/>
      <c r="FQ46" s="1221"/>
      <c r="FR46" s="1221"/>
      <c r="FS46" s="1221"/>
      <c r="FT46" s="1221"/>
      <c r="FU46" s="1221"/>
      <c r="FV46" s="1221"/>
      <c r="FW46" s="1221"/>
      <c r="FX46" s="1221"/>
      <c r="FY46" s="1221"/>
      <c r="FZ46" s="1221"/>
      <c r="GA46" s="1221"/>
      <c r="GB46" s="1221"/>
      <c r="GC46" s="1221"/>
      <c r="GD46" s="1221"/>
      <c r="GE46" s="1221"/>
      <c r="GF46" s="1221"/>
      <c r="GG46" s="1221"/>
      <c r="GH46" s="1221"/>
      <c r="GI46" s="1221"/>
      <c r="GJ46" s="1221"/>
      <c r="GK46" s="1221"/>
      <c r="GL46" s="1221"/>
      <c r="GM46" s="1221"/>
      <c r="GN46" s="1221"/>
      <c r="GO46" s="1221"/>
      <c r="GP46" s="1221"/>
      <c r="GQ46" s="1221"/>
      <c r="GR46" s="1221"/>
      <c r="GS46" s="1221"/>
      <c r="GT46" s="1221"/>
      <c r="GU46" s="1221"/>
      <c r="GV46" s="1221"/>
      <c r="GW46" s="1221"/>
      <c r="GX46" s="1221"/>
      <c r="GY46" s="1221"/>
      <c r="GZ46" s="1221"/>
      <c r="HA46" s="1221"/>
      <c r="HB46" s="1221"/>
      <c r="HC46" s="1221"/>
      <c r="HD46" s="1221"/>
      <c r="HE46" s="1221"/>
      <c r="HF46" s="1221"/>
      <c r="HG46" s="1221"/>
      <c r="HH46" s="1221"/>
      <c r="HI46" s="1221"/>
      <c r="HJ46" s="1221"/>
      <c r="HK46" s="1221"/>
      <c r="HL46" s="1221"/>
      <c r="HM46" s="1221"/>
      <c r="HN46" s="1221"/>
      <c r="HO46" s="1221"/>
      <c r="HP46" s="1221"/>
      <c r="HQ46" s="1221"/>
      <c r="HR46" s="1221"/>
      <c r="HS46" s="1221"/>
      <c r="HT46" s="1221"/>
      <c r="HU46" s="1221"/>
      <c r="HV46" s="1221"/>
      <c r="HW46" s="1221"/>
      <c r="HX46" s="1221"/>
      <c r="HY46" s="1221"/>
      <c r="HZ46" s="1221"/>
      <c r="IA46" s="1221"/>
      <c r="IB46" s="1221"/>
      <c r="IC46" s="1221"/>
      <c r="ID46" s="1221"/>
      <c r="IE46" s="1221"/>
      <c r="IF46" s="1221"/>
      <c r="IG46" s="1221"/>
      <c r="IH46" s="1221"/>
      <c r="II46" s="1221"/>
      <c r="IJ46" s="1221"/>
      <c r="IK46" s="1221"/>
      <c r="IL46" s="1221"/>
      <c r="IM46" s="1221"/>
      <c r="IN46" s="1221"/>
      <c r="IO46" s="1221"/>
      <c r="IP46" s="1221"/>
      <c r="IQ46" s="1221"/>
      <c r="IR46" s="1221"/>
      <c r="IS46" s="1221"/>
      <c r="IT46" s="1221"/>
      <c r="IU46" s="1221"/>
      <c r="IV46" s="1221"/>
      <c r="IW46" s="1221"/>
      <c r="IX46" s="1221"/>
      <c r="IY46" s="1221"/>
      <c r="IZ46" s="1221"/>
      <c r="JA46" s="1221"/>
      <c r="JB46" s="1221"/>
      <c r="JC46" s="1221"/>
      <c r="JD46" s="1221"/>
      <c r="JE46" s="1221"/>
      <c r="JF46" s="1221"/>
      <c r="JG46" s="1221"/>
      <c r="JH46" s="1221"/>
      <c r="JI46" s="1221"/>
      <c r="JJ46" s="1221"/>
      <c r="JK46" s="1221"/>
      <c r="JL46" s="1221"/>
      <c r="JM46" s="1221"/>
      <c r="JN46" s="1221"/>
      <c r="JO46" s="1221"/>
      <c r="JP46" s="1221"/>
      <c r="JQ46" s="1221"/>
      <c r="JR46" s="1221"/>
      <c r="JS46" s="1221"/>
      <c r="JT46" s="1221"/>
      <c r="JU46" s="1221"/>
      <c r="JV46" s="1221"/>
      <c r="JW46" s="1221"/>
      <c r="JX46" s="1221"/>
      <c r="JY46" s="1221"/>
      <c r="JZ46" s="1221"/>
      <c r="KA46" s="1221"/>
      <c r="KB46" s="1221"/>
      <c r="KC46" s="1221"/>
      <c r="KD46" s="1221"/>
      <c r="KE46" s="1221"/>
      <c r="KF46" s="1221"/>
      <c r="KG46" s="1221"/>
      <c r="KH46" s="1221"/>
      <c r="KI46" s="1221"/>
      <c r="KJ46" s="1221"/>
      <c r="KK46" s="1221"/>
      <c r="KL46" s="1221"/>
      <c r="KM46" s="1221"/>
      <c r="KN46" s="1221"/>
      <c r="KO46" s="1221"/>
      <c r="KP46" s="1221"/>
      <c r="KQ46" s="1221"/>
      <c r="KR46" s="1221"/>
      <c r="KS46" s="1221"/>
      <c r="KT46" s="1221"/>
      <c r="KU46" s="1221"/>
      <c r="KV46" s="1221"/>
      <c r="KW46" s="1221"/>
      <c r="KX46" s="1221"/>
      <c r="KY46" s="1221"/>
      <c r="KZ46" s="1221"/>
      <c r="LA46" s="1221"/>
      <c r="LB46" s="1221"/>
      <c r="LC46" s="1221"/>
      <c r="LD46" s="1221"/>
      <c r="LE46" s="1221"/>
      <c r="LF46" s="1221"/>
      <c r="LG46" s="1221"/>
      <c r="LH46" s="1221"/>
      <c r="LI46" s="1221"/>
      <c r="LJ46" s="1221"/>
      <c r="LK46" s="1221"/>
      <c r="LL46" s="1221"/>
      <c r="LM46" s="1221"/>
      <c r="LN46" s="1221"/>
      <c r="LO46" s="1221"/>
      <c r="LP46" s="1221"/>
      <c r="LQ46" s="1221"/>
      <c r="LR46" s="1221"/>
      <c r="LS46" s="1221"/>
      <c r="LT46" s="1221"/>
      <c r="LU46" s="1221"/>
      <c r="LV46" s="1221"/>
      <c r="LW46" s="1221"/>
      <c r="LX46" s="1221"/>
      <c r="LY46" s="1221"/>
      <c r="LZ46" s="1221"/>
      <c r="MA46" s="1221"/>
      <c r="MB46" s="1221"/>
      <c r="MC46" s="1221"/>
      <c r="MD46" s="1221"/>
      <c r="ME46" s="1221"/>
      <c r="MF46" s="1221"/>
      <c r="MG46" s="1221"/>
      <c r="MH46" s="1221"/>
      <c r="MI46" s="1221"/>
      <c r="MJ46" s="1221"/>
      <c r="MK46" s="1221"/>
      <c r="ML46" s="1221"/>
      <c r="MM46" s="1221"/>
      <c r="MN46" s="1221"/>
      <c r="MO46" s="1221"/>
      <c r="MP46" s="1221"/>
      <c r="MQ46" s="1221"/>
      <c r="MR46" s="1221"/>
      <c r="MS46" s="1221"/>
      <c r="MT46" s="1221"/>
      <c r="MU46" s="1221"/>
      <c r="MV46" s="1221"/>
      <c r="MW46" s="1221"/>
      <c r="MX46" s="1221"/>
      <c r="MY46" s="1221"/>
      <c r="MZ46" s="1221"/>
      <c r="NA46" s="1221"/>
      <c r="NB46" s="1221"/>
      <c r="NC46" s="1221"/>
      <c r="ND46" s="1221"/>
      <c r="NE46" s="1221"/>
      <c r="NF46" s="1221"/>
      <c r="NG46" s="1221"/>
      <c r="NH46" s="1221"/>
      <c r="NI46" s="1221"/>
      <c r="NJ46" s="1221"/>
      <c r="NK46" s="1221"/>
      <c r="NL46" s="1221"/>
      <c r="NM46" s="1221"/>
      <c r="NN46" s="1221"/>
      <c r="NO46" s="1221"/>
      <c r="NP46" s="1221"/>
      <c r="NQ46" s="1221"/>
      <c r="NR46" s="1221"/>
      <c r="NS46" s="1221"/>
      <c r="NT46" s="1221"/>
      <c r="NU46" s="1221"/>
      <c r="NV46" s="1221"/>
      <c r="NW46" s="1221"/>
      <c r="NX46" s="1221"/>
      <c r="NY46" s="1221"/>
      <c r="NZ46" s="1221"/>
      <c r="OA46" s="1221"/>
      <c r="OB46" s="1221"/>
      <c r="OC46" s="1221"/>
      <c r="OD46" s="1221"/>
      <c r="OE46" s="1221"/>
      <c r="OF46" s="1221"/>
      <c r="OG46" s="1221"/>
      <c r="OH46" s="1221"/>
      <c r="OI46" s="1221"/>
      <c r="OJ46" s="1221"/>
      <c r="OK46" s="1221"/>
      <c r="OL46" s="1221"/>
      <c r="OM46" s="1221"/>
      <c r="ON46" s="1221"/>
      <c r="OO46" s="1221"/>
      <c r="OP46" s="1221"/>
      <c r="OQ46" s="1221"/>
      <c r="OR46" s="1221"/>
      <c r="OS46" s="1221"/>
      <c r="OT46" s="1221"/>
      <c r="OU46" s="1221"/>
      <c r="OV46" s="1221"/>
      <c r="OW46" s="1221"/>
      <c r="OX46" s="1221"/>
      <c r="OY46" s="1221"/>
      <c r="OZ46" s="1221"/>
      <c r="PA46" s="1221"/>
      <c r="PB46" s="1221"/>
      <c r="PC46" s="1221"/>
      <c r="PD46" s="1221"/>
      <c r="PE46" s="1221"/>
      <c r="PF46" s="1221"/>
      <c r="PG46" s="1221"/>
      <c r="PH46" s="1221"/>
      <c r="PI46" s="1221"/>
      <c r="PJ46" s="1221"/>
      <c r="PK46" s="1221"/>
      <c r="PL46" s="1221"/>
      <c r="PM46" s="1221"/>
      <c r="PN46" s="1221"/>
      <c r="PO46" s="1221"/>
      <c r="PP46" s="1221"/>
      <c r="PQ46" s="1221"/>
      <c r="PR46" s="1221"/>
      <c r="PS46" s="1221"/>
      <c r="PT46" s="1221"/>
      <c r="PU46" s="1221"/>
      <c r="PV46" s="1221"/>
      <c r="PW46" s="1221"/>
      <c r="PX46" s="1221"/>
      <c r="PY46" s="1221"/>
      <c r="PZ46" s="1221"/>
      <c r="QA46" s="1221"/>
      <c r="QB46" s="1221"/>
      <c r="QC46" s="1221"/>
      <c r="QD46" s="1221"/>
      <c r="QE46" s="1221"/>
      <c r="QF46" s="1221"/>
      <c r="QG46" s="1221"/>
      <c r="QH46" s="1221"/>
      <c r="QI46" s="1221"/>
      <c r="QJ46" s="1221"/>
      <c r="QK46" s="1221"/>
      <c r="QL46" s="1221"/>
      <c r="QM46" s="1221"/>
      <c r="QN46" s="1221"/>
      <c r="QO46" s="1221"/>
      <c r="QP46" s="1221"/>
      <c r="QQ46" s="1221"/>
      <c r="QR46" s="1221"/>
      <c r="QS46" s="1221"/>
      <c r="QT46" s="1221"/>
      <c r="QU46" s="1221"/>
      <c r="QV46" s="1221"/>
      <c r="QW46" s="1221"/>
      <c r="QX46" s="1221"/>
      <c r="QY46" s="1221"/>
      <c r="QZ46" s="1221"/>
      <c r="RA46" s="1221"/>
      <c r="RB46" s="1221"/>
      <c r="RC46" s="1221"/>
      <c r="RD46" s="1221"/>
      <c r="RE46" s="1221"/>
      <c r="RF46" s="1221"/>
      <c r="RG46" s="1221"/>
      <c r="RH46" s="1221"/>
      <c r="RI46" s="1221"/>
      <c r="RJ46" s="1221"/>
      <c r="RK46" s="1221"/>
      <c r="RL46" s="1221"/>
      <c r="RM46" s="1221"/>
      <c r="RN46" s="1221"/>
      <c r="RO46" s="1221"/>
      <c r="RP46" s="1221"/>
      <c r="RQ46" s="1221"/>
      <c r="RR46" s="1221"/>
      <c r="RS46" s="1221"/>
      <c r="RT46" s="1221"/>
      <c r="RU46" s="1221"/>
      <c r="RV46" s="1221"/>
      <c r="RW46" s="1221"/>
      <c r="RX46" s="1221"/>
      <c r="RY46" s="1221"/>
      <c r="RZ46" s="1221"/>
      <c r="SA46" s="1221"/>
      <c r="SB46" s="1221"/>
      <c r="SC46" s="1221"/>
      <c r="SD46" s="1221"/>
      <c r="SE46" s="1221"/>
      <c r="SF46" s="1221"/>
      <c r="SG46" s="1221"/>
      <c r="SH46" s="1221"/>
      <c r="SI46" s="1221"/>
      <c r="SJ46" s="1221"/>
      <c r="SK46" s="1221"/>
      <c r="SL46" s="1221"/>
      <c r="SM46" s="1221"/>
      <c r="SN46" s="1221"/>
      <c r="SO46" s="1221"/>
      <c r="SP46" s="1221"/>
      <c r="SQ46" s="1221"/>
      <c r="SR46" s="1221"/>
      <c r="SS46" s="1221"/>
      <c r="ST46" s="1221"/>
      <c r="SU46" s="1221"/>
      <c r="SV46" s="1221"/>
      <c r="SW46" s="1221"/>
      <c r="SX46" s="1221"/>
      <c r="SY46" s="1221"/>
      <c r="SZ46" s="1221"/>
      <c r="TA46" s="1221"/>
      <c r="TB46" s="1221"/>
      <c r="TC46" s="1221"/>
      <c r="TD46" s="1221"/>
      <c r="TE46" s="1221"/>
      <c r="TF46" s="1221"/>
      <c r="TG46" s="1221"/>
      <c r="TH46" s="1221"/>
      <c r="TI46" s="1221"/>
      <c r="TJ46" s="1221"/>
      <c r="TK46" s="1221"/>
      <c r="TL46" s="1221"/>
      <c r="TM46" s="1221"/>
      <c r="TN46" s="1221"/>
      <c r="TO46" s="1221"/>
      <c r="TP46" s="1221"/>
      <c r="TQ46" s="1221"/>
      <c r="TR46" s="1221"/>
      <c r="TS46" s="1221"/>
      <c r="TT46" s="1221"/>
      <c r="TU46" s="1221"/>
      <c r="TV46" s="1221"/>
      <c r="TW46" s="1221"/>
      <c r="TX46" s="1221"/>
      <c r="TY46" s="1221"/>
      <c r="TZ46" s="1221"/>
      <c r="UA46" s="1221"/>
      <c r="UB46" s="1221"/>
      <c r="UC46" s="1221"/>
      <c r="UD46" s="1221"/>
      <c r="UE46" s="1221"/>
      <c r="UF46" s="1221"/>
      <c r="UG46" s="1221"/>
      <c r="UH46" s="1221"/>
      <c r="UI46" s="1221"/>
      <c r="UJ46" s="1221"/>
      <c r="UK46" s="1221"/>
      <c r="UL46" s="1221"/>
      <c r="UM46" s="1221"/>
      <c r="UN46" s="1221"/>
      <c r="UO46" s="1221"/>
      <c r="UP46" s="1221"/>
      <c r="UQ46" s="1221"/>
      <c r="UR46" s="1221"/>
      <c r="US46" s="1221"/>
      <c r="UT46" s="1221"/>
      <c r="UU46" s="1221"/>
      <c r="UV46" s="1221"/>
      <c r="UW46" s="1221"/>
      <c r="UX46" s="1221"/>
      <c r="UY46" s="1221"/>
      <c r="UZ46" s="1221"/>
      <c r="VA46" s="1221"/>
      <c r="VB46" s="1221"/>
      <c r="VC46" s="1221"/>
      <c r="VD46" s="1221"/>
      <c r="VE46" s="1221"/>
      <c r="VF46" s="1221"/>
      <c r="VG46" s="1221"/>
      <c r="VH46" s="1221"/>
      <c r="VI46" s="1221"/>
      <c r="VJ46" s="1221"/>
      <c r="VK46" s="1221"/>
      <c r="VL46" s="1221"/>
      <c r="VM46" s="1221"/>
      <c r="VN46" s="1221"/>
      <c r="VO46" s="1221"/>
      <c r="VP46" s="1221"/>
      <c r="VQ46" s="1221"/>
      <c r="VR46" s="1221"/>
      <c r="VS46" s="1221"/>
      <c r="VT46" s="1221"/>
      <c r="VU46" s="1221"/>
      <c r="VV46" s="1221"/>
      <c r="VW46" s="1221"/>
      <c r="VX46" s="1221"/>
      <c r="VY46" s="1221"/>
      <c r="VZ46" s="1221"/>
      <c r="WA46" s="1221"/>
      <c r="WB46" s="1221"/>
      <c r="WC46" s="1221"/>
      <c r="WD46" s="1221"/>
      <c r="WE46" s="1221"/>
      <c r="WF46" s="1221"/>
      <c r="WG46" s="1221"/>
      <c r="WH46" s="1221"/>
      <c r="WI46" s="1221"/>
      <c r="WJ46" s="1221"/>
      <c r="WK46" s="1221"/>
      <c r="WL46" s="1221"/>
      <c r="WM46" s="1221"/>
      <c r="WN46" s="1221"/>
      <c r="WO46" s="1221"/>
      <c r="WP46" s="1221"/>
      <c r="WQ46" s="1221"/>
      <c r="WR46" s="1221"/>
      <c r="WS46" s="1221"/>
      <c r="WT46" s="1221"/>
      <c r="WU46" s="1221"/>
      <c r="WV46" s="1221"/>
      <c r="WW46" s="1221"/>
      <c r="WX46" s="1221"/>
      <c r="WY46" s="1221"/>
      <c r="WZ46" s="1221"/>
      <c r="XA46" s="1221"/>
      <c r="XB46" s="1221"/>
      <c r="XC46" s="1221"/>
      <c r="XD46" s="1221"/>
      <c r="XE46" s="1221"/>
      <c r="XF46" s="1221"/>
      <c r="XG46" s="1221"/>
      <c r="XH46" s="1221"/>
      <c r="XI46" s="1221"/>
      <c r="XJ46" s="1221"/>
      <c r="XK46" s="1221"/>
      <c r="XL46" s="1221"/>
      <c r="XM46" s="1221"/>
      <c r="XN46" s="1221"/>
      <c r="XO46" s="1221"/>
      <c r="XP46" s="1221"/>
      <c r="XQ46" s="1221"/>
      <c r="XR46" s="1221"/>
      <c r="XS46" s="1221"/>
      <c r="XT46" s="1221"/>
      <c r="XU46" s="1221"/>
      <c r="XV46" s="1221"/>
      <c r="XW46" s="1221"/>
      <c r="XX46" s="1221"/>
      <c r="XY46" s="1221"/>
      <c r="XZ46" s="1221"/>
      <c r="YA46" s="1221"/>
      <c r="YB46" s="1221"/>
      <c r="YC46" s="1221"/>
      <c r="YD46" s="1221"/>
      <c r="YE46" s="1221"/>
      <c r="YF46" s="1221"/>
      <c r="YG46" s="1221"/>
      <c r="YH46" s="1221"/>
      <c r="YI46" s="1221"/>
      <c r="YJ46" s="1221"/>
      <c r="YK46" s="1221"/>
      <c r="YL46" s="1221"/>
      <c r="YM46" s="1221"/>
      <c r="YN46" s="1221"/>
      <c r="YO46" s="1221"/>
      <c r="YP46" s="1221"/>
      <c r="YQ46" s="1221"/>
      <c r="YR46" s="1221"/>
      <c r="YS46" s="1221"/>
      <c r="YT46" s="1221"/>
      <c r="YU46" s="1221"/>
      <c r="YV46" s="1221"/>
      <c r="YW46" s="1221"/>
      <c r="YX46" s="1221"/>
      <c r="YY46" s="1221"/>
      <c r="YZ46" s="1221"/>
      <c r="ZA46" s="1221"/>
      <c r="ZB46" s="1221"/>
      <c r="ZC46" s="1221"/>
      <c r="ZD46" s="1221"/>
      <c r="ZE46" s="1221"/>
      <c r="ZF46" s="1221"/>
      <c r="ZG46" s="1221"/>
      <c r="ZH46" s="1221"/>
      <c r="ZI46" s="1221"/>
      <c r="ZJ46" s="1221"/>
      <c r="ZK46" s="1221"/>
      <c r="ZL46" s="1221"/>
      <c r="ZM46" s="1221"/>
      <c r="ZN46" s="1221"/>
      <c r="ZO46" s="1221"/>
      <c r="ZP46" s="1221"/>
      <c r="ZQ46" s="1221"/>
      <c r="ZR46" s="1221"/>
      <c r="ZS46" s="1221"/>
      <c r="ZT46" s="1221"/>
      <c r="ZU46" s="1221"/>
      <c r="ZV46" s="1221"/>
      <c r="ZW46" s="1221"/>
      <c r="ZX46" s="1221"/>
      <c r="ZY46" s="1221"/>
      <c r="ZZ46" s="1221"/>
      <c r="AAA46" s="1221"/>
      <c r="AAB46" s="1221"/>
      <c r="AAC46" s="1221"/>
      <c r="AAD46" s="1221"/>
      <c r="AAE46" s="1221"/>
      <c r="AAF46" s="1221"/>
      <c r="AAG46" s="1221"/>
      <c r="AAH46" s="1221"/>
      <c r="AAI46" s="1221"/>
      <c r="AAJ46" s="1221"/>
      <c r="AAK46" s="1221"/>
      <c r="AAL46" s="1221"/>
      <c r="AAM46" s="1221"/>
      <c r="AAN46" s="1221"/>
      <c r="AAO46" s="1221"/>
      <c r="AAP46" s="1221"/>
      <c r="AAQ46" s="1221"/>
      <c r="AAR46" s="1221"/>
      <c r="AAS46" s="1221"/>
      <c r="AAT46" s="1221"/>
      <c r="AAU46" s="1221"/>
      <c r="AAV46" s="1221"/>
      <c r="AAW46" s="1221"/>
      <c r="AAX46" s="1221"/>
      <c r="AAY46" s="1221"/>
      <c r="AAZ46" s="1221"/>
      <c r="ABA46" s="1221"/>
      <c r="ABB46" s="1221"/>
      <c r="ABC46" s="1221"/>
      <c r="ABD46" s="1221"/>
      <c r="ABE46" s="1221"/>
      <c r="ABF46" s="1221"/>
      <c r="ABG46" s="1221"/>
      <c r="ABH46" s="1221"/>
      <c r="ABI46" s="1221"/>
      <c r="ABJ46" s="1221"/>
      <c r="ABK46" s="1221"/>
      <c r="ABL46" s="1221"/>
      <c r="ABM46" s="1221"/>
      <c r="ABN46" s="1221"/>
      <c r="ABO46" s="1221"/>
      <c r="ABP46" s="1221"/>
      <c r="ABQ46" s="1221"/>
      <c r="ABR46" s="1221"/>
      <c r="ABS46" s="1221"/>
      <c r="ABT46" s="1221"/>
      <c r="ABU46" s="1221"/>
      <c r="ABV46" s="1221"/>
      <c r="ABW46" s="1221"/>
      <c r="ABX46" s="1221"/>
      <c r="ABY46" s="1221"/>
      <c r="ABZ46" s="1221"/>
      <c r="ACA46" s="1221"/>
      <c r="ACB46" s="1221"/>
      <c r="ACC46" s="1221"/>
      <c r="ACD46" s="1221"/>
      <c r="ACE46" s="1221"/>
      <c r="ACF46" s="1221"/>
      <c r="ACG46" s="1221"/>
      <c r="ACH46" s="1221"/>
      <c r="ACI46" s="1221"/>
      <c r="ACJ46" s="1221"/>
      <c r="ACK46" s="1221"/>
      <c r="ACL46" s="1221"/>
      <c r="ACM46" s="1221"/>
      <c r="ACN46" s="1221"/>
      <c r="ACO46" s="1221"/>
      <c r="ACP46" s="1221"/>
      <c r="ACQ46" s="1221"/>
      <c r="ACR46" s="1221"/>
      <c r="ACS46" s="1221"/>
      <c r="ACT46" s="1221"/>
      <c r="ACU46" s="1221"/>
      <c r="ACV46" s="1221"/>
      <c r="ACW46" s="1221"/>
      <c r="ACX46" s="1221"/>
      <c r="ACY46" s="1221"/>
      <c r="ACZ46" s="1221"/>
      <c r="ADA46" s="1221"/>
      <c r="ADB46" s="1221"/>
      <c r="ADC46" s="1221"/>
      <c r="ADD46" s="1221"/>
      <c r="ADE46" s="1221"/>
      <c r="ADF46" s="1221"/>
      <c r="ADG46" s="1221"/>
      <c r="ADH46" s="1221"/>
      <c r="ADI46" s="1221"/>
      <c r="ADJ46" s="1221"/>
      <c r="ADK46" s="1221"/>
      <c r="ADL46" s="1221"/>
      <c r="ADM46" s="1221"/>
      <c r="ADN46" s="1221"/>
      <c r="ADO46" s="1221"/>
      <c r="ADP46" s="1221"/>
      <c r="ADQ46" s="1221"/>
      <c r="ADR46" s="1221"/>
      <c r="ADS46" s="1221"/>
      <c r="ADT46" s="1221"/>
      <c r="ADU46" s="1221"/>
      <c r="ADV46" s="1221"/>
      <c r="ADW46" s="1221"/>
      <c r="ADX46" s="1221"/>
      <c r="ADY46" s="1221"/>
      <c r="ADZ46" s="1221"/>
      <c r="AEA46" s="1221"/>
      <c r="AEB46" s="1221"/>
      <c r="AEC46" s="1221"/>
      <c r="AED46" s="1221"/>
      <c r="AEE46" s="1221"/>
      <c r="AEF46" s="1221"/>
      <c r="AEG46" s="1221"/>
      <c r="AEH46" s="1221"/>
      <c r="AEI46" s="1221"/>
      <c r="AEJ46" s="1221"/>
      <c r="AEK46" s="1221"/>
      <c r="AEL46" s="1221"/>
      <c r="AEM46" s="1221"/>
      <c r="AEN46" s="1221"/>
      <c r="AEO46" s="1221"/>
      <c r="AEP46" s="1221"/>
      <c r="AEQ46" s="1221"/>
      <c r="AER46" s="1221"/>
      <c r="AES46" s="1221"/>
      <c r="AET46" s="1221"/>
      <c r="AEU46" s="1221"/>
      <c r="AEV46" s="1221"/>
      <c r="AEW46" s="1221"/>
      <c r="AEX46" s="1221"/>
      <c r="AEY46" s="1221"/>
      <c r="AEZ46" s="1221"/>
      <c r="AFA46" s="1221"/>
      <c r="AFB46" s="1221"/>
      <c r="AFC46" s="1221"/>
      <c r="AFD46" s="1221"/>
      <c r="AFE46" s="1221"/>
      <c r="AFF46" s="1221"/>
      <c r="AFG46" s="1221"/>
      <c r="AFH46" s="1221"/>
      <c r="AFI46" s="1221"/>
      <c r="AFJ46" s="1221"/>
      <c r="AFK46" s="1221"/>
      <c r="AFL46" s="1221"/>
      <c r="AFM46" s="1221"/>
      <c r="AFN46" s="1221"/>
      <c r="AFO46" s="1221"/>
      <c r="AFP46" s="1221"/>
      <c r="AFQ46" s="1221"/>
      <c r="AFR46" s="1221"/>
      <c r="AFS46" s="1221"/>
      <c r="AFT46" s="1221"/>
      <c r="AFU46" s="1221"/>
      <c r="AFV46" s="1221"/>
      <c r="AFW46" s="1221"/>
      <c r="AFX46" s="1221"/>
      <c r="AFY46" s="1221"/>
      <c r="AFZ46" s="1221"/>
      <c r="AGA46" s="1221"/>
      <c r="AGB46" s="1221"/>
      <c r="AGC46" s="1221"/>
      <c r="AGD46" s="1221"/>
      <c r="AGE46" s="1221"/>
      <c r="AGF46" s="1221"/>
      <c r="AGG46" s="1221"/>
      <c r="AGH46" s="1221"/>
      <c r="AGI46" s="1221"/>
      <c r="AGJ46" s="1221"/>
      <c r="AGK46" s="1221"/>
      <c r="AGL46" s="1221"/>
      <c r="AGM46" s="1221"/>
      <c r="AGN46" s="1221"/>
      <c r="AGO46" s="1221"/>
      <c r="AGP46" s="1221"/>
      <c r="AGQ46" s="1221"/>
      <c r="AGR46" s="1221"/>
      <c r="AGS46" s="1221"/>
      <c r="AGT46" s="1221"/>
      <c r="AGU46" s="1221"/>
      <c r="AGV46" s="1221"/>
      <c r="AGW46" s="1221"/>
      <c r="AGX46" s="1221"/>
      <c r="AGY46" s="1221"/>
      <c r="AGZ46" s="1221"/>
      <c r="AHA46" s="1221"/>
      <c r="AHB46" s="1221"/>
      <c r="AHC46" s="1221"/>
      <c r="AHD46" s="1221"/>
      <c r="AHE46" s="1221"/>
      <c r="AHF46" s="1221"/>
      <c r="AHG46" s="1221"/>
      <c r="AHH46" s="1221"/>
      <c r="AHI46" s="1221"/>
      <c r="AHJ46" s="1221"/>
      <c r="AHK46" s="1221"/>
      <c r="AHL46" s="1221"/>
      <c r="AHM46" s="1221"/>
      <c r="AHN46" s="1221"/>
      <c r="AHO46" s="1221"/>
      <c r="AHP46" s="1221"/>
      <c r="AHQ46" s="1221"/>
      <c r="AHR46" s="1221"/>
      <c r="AHS46" s="1221"/>
      <c r="AHT46" s="1221"/>
      <c r="AHU46" s="1221"/>
      <c r="AHV46" s="1221"/>
      <c r="AHW46" s="1221"/>
      <c r="AHX46" s="1221"/>
      <c r="AHY46" s="1221"/>
      <c r="AHZ46" s="1221"/>
      <c r="AIA46" s="1221"/>
      <c r="AIB46" s="1221"/>
      <c r="AIC46" s="1221"/>
      <c r="AID46" s="1221"/>
      <c r="AIE46" s="1221"/>
      <c r="AIF46" s="1221"/>
      <c r="AIG46" s="1221"/>
      <c r="AIH46" s="1221"/>
      <c r="AII46" s="1221"/>
      <c r="AIJ46" s="1221"/>
      <c r="AIK46" s="1221"/>
      <c r="AIL46" s="1221"/>
      <c r="AIM46" s="1221"/>
      <c r="AIN46" s="1221"/>
      <c r="AIO46" s="1221"/>
      <c r="AIP46" s="1221"/>
      <c r="AIQ46" s="1221"/>
      <c r="AIR46" s="1221"/>
      <c r="AIS46" s="1221"/>
      <c r="AIT46" s="1221"/>
      <c r="AIU46" s="1221"/>
      <c r="AIV46" s="1221"/>
      <c r="AIW46" s="1221"/>
      <c r="AIX46" s="1221"/>
      <c r="AIY46" s="1221"/>
      <c r="AIZ46" s="1221"/>
      <c r="AJA46" s="1221"/>
      <c r="AJB46" s="1221"/>
      <c r="AJC46" s="1221"/>
      <c r="AJD46" s="1221"/>
      <c r="AJE46" s="1221"/>
      <c r="AJF46" s="1221"/>
      <c r="AJG46" s="1221"/>
      <c r="AJH46" s="1221"/>
      <c r="AJI46" s="1221"/>
      <c r="AJJ46" s="1221"/>
      <c r="AJK46" s="1221"/>
      <c r="AJL46" s="1221"/>
      <c r="AJM46" s="1221"/>
      <c r="AJN46" s="1221"/>
      <c r="AJO46" s="1221"/>
      <c r="AJP46" s="1221"/>
      <c r="AJQ46" s="1221"/>
      <c r="AJR46" s="1221"/>
      <c r="AJS46" s="1221"/>
      <c r="AJT46" s="1221"/>
      <c r="AJU46" s="1221"/>
      <c r="AJV46" s="1221"/>
      <c r="AJW46" s="1221"/>
      <c r="AJX46" s="1221"/>
      <c r="AJY46" s="1221"/>
      <c r="AJZ46" s="1221"/>
      <c r="AKA46" s="1221"/>
      <c r="AKB46" s="1221"/>
      <c r="AKC46" s="1221"/>
      <c r="AKD46" s="1221"/>
      <c r="AKE46" s="1221"/>
      <c r="AKF46" s="1221"/>
      <c r="AKG46" s="1221"/>
      <c r="AKH46" s="1221"/>
      <c r="AKI46" s="1221"/>
      <c r="AKJ46" s="1221"/>
      <c r="AKK46" s="1221"/>
      <c r="AKL46" s="1221"/>
      <c r="AKM46" s="1221"/>
      <c r="AKN46" s="1221"/>
      <c r="AKO46" s="1221"/>
      <c r="AKP46" s="1221"/>
      <c r="AKQ46" s="1221"/>
      <c r="AKR46" s="1221"/>
      <c r="AKS46" s="1221"/>
      <c r="AKT46" s="1221"/>
      <c r="AKU46" s="1221"/>
      <c r="AKV46" s="1221"/>
      <c r="AKW46" s="1221"/>
      <c r="AKX46" s="1221"/>
      <c r="AKY46" s="1221"/>
      <c r="AKZ46" s="1221"/>
      <c r="ALA46" s="1221"/>
      <c r="ALB46" s="1221"/>
      <c r="ALC46" s="1221"/>
      <c r="ALD46" s="1221"/>
      <c r="ALE46" s="1221"/>
      <c r="ALF46" s="1221"/>
      <c r="ALG46" s="1221"/>
      <c r="ALH46" s="1221"/>
      <c r="ALI46" s="1221"/>
      <c r="ALJ46" s="1221"/>
      <c r="ALK46" s="1221"/>
      <c r="ALL46" s="1221"/>
      <c r="ALM46" s="1221"/>
      <c r="ALN46" s="1221"/>
      <c r="ALO46" s="1221"/>
      <c r="ALP46" s="1221"/>
      <c r="ALQ46" s="1221"/>
      <c r="ALR46" s="1221"/>
      <c r="ALS46" s="1221"/>
      <c r="ALT46" s="1221"/>
      <c r="ALU46" s="1221"/>
      <c r="ALV46" s="1221"/>
      <c r="ALW46" s="1221"/>
      <c r="ALX46" s="1221"/>
      <c r="ALY46" s="1221"/>
      <c r="ALZ46" s="1221"/>
      <c r="AMA46" s="1221"/>
      <c r="AMB46" s="1221"/>
      <c r="AMC46" s="1221"/>
      <c r="AMD46" s="1221"/>
      <c r="AME46" s="1221"/>
      <c r="AMF46" s="1221"/>
      <c r="AMG46" s="1221"/>
      <c r="AMH46" s="1221"/>
      <c r="AMI46" s="1221"/>
      <c r="AMJ46" s="1221"/>
      <c r="AMK46" s="1221"/>
      <c r="AML46" s="1221"/>
      <c r="AMM46" s="1221"/>
      <c r="AMN46" s="1221"/>
      <c r="AMO46" s="1221"/>
      <c r="AMP46" s="1221"/>
      <c r="AMQ46" s="1221"/>
      <c r="AMR46" s="1221"/>
      <c r="AMS46" s="1221"/>
      <c r="AMT46" s="1221"/>
      <c r="AMU46" s="1221"/>
      <c r="AMV46" s="1221"/>
      <c r="AMW46" s="1221"/>
      <c r="AMX46" s="1221"/>
      <c r="AMY46" s="1221"/>
      <c r="AMZ46" s="1221"/>
      <c r="ANA46" s="1221"/>
      <c r="ANB46" s="1221"/>
      <c r="ANC46" s="1221"/>
      <c r="AND46" s="1221"/>
      <c r="ANE46" s="1221"/>
      <c r="ANF46" s="1221"/>
      <c r="ANG46" s="1221"/>
      <c r="ANH46" s="1221"/>
      <c r="ANI46" s="1221"/>
      <c r="ANJ46" s="1221"/>
      <c r="ANK46" s="1221"/>
      <c r="ANL46" s="1221"/>
      <c r="ANM46" s="1221"/>
      <c r="ANN46" s="1221"/>
      <c r="ANO46" s="1221"/>
      <c r="ANP46" s="1221"/>
      <c r="ANQ46" s="1221"/>
      <c r="ANR46" s="1221"/>
      <c r="ANS46" s="1221"/>
      <c r="ANT46" s="1221"/>
      <c r="ANU46" s="1221"/>
      <c r="ANV46" s="1221"/>
      <c r="ANW46" s="1221"/>
      <c r="ANX46" s="1221"/>
      <c r="ANY46" s="1221"/>
      <c r="ANZ46" s="1221"/>
      <c r="AOA46" s="1221"/>
      <c r="AOB46" s="1221"/>
      <c r="AOC46" s="1221"/>
      <c r="AOD46" s="1221"/>
      <c r="AOE46" s="1221"/>
      <c r="AOF46" s="1221"/>
      <c r="AOG46" s="1221"/>
      <c r="AOH46" s="1221"/>
      <c r="AOI46" s="1221"/>
      <c r="AOJ46" s="1221"/>
      <c r="AOK46" s="1221"/>
      <c r="AOL46" s="1221"/>
      <c r="AOM46" s="1221"/>
      <c r="AON46" s="1221"/>
      <c r="AOO46" s="1221"/>
      <c r="AOP46" s="1221"/>
      <c r="AOQ46" s="1221"/>
      <c r="AOR46" s="1221"/>
      <c r="AOS46" s="1221"/>
      <c r="AOT46" s="1221"/>
      <c r="AOU46" s="1221"/>
      <c r="AOV46" s="1221"/>
      <c r="AOW46" s="1221"/>
      <c r="AOX46" s="1221"/>
      <c r="AOY46" s="1221"/>
      <c r="AOZ46" s="1221"/>
      <c r="APA46" s="1221"/>
      <c r="APB46" s="1221"/>
      <c r="APC46" s="1221"/>
      <c r="APD46" s="1221"/>
      <c r="APE46" s="1221"/>
      <c r="APF46" s="1221"/>
      <c r="APG46" s="1221"/>
      <c r="APH46" s="1221"/>
      <c r="API46" s="1221"/>
      <c r="APJ46" s="1221"/>
      <c r="APK46" s="1221"/>
      <c r="APL46" s="1221"/>
      <c r="APM46" s="1221"/>
      <c r="APN46" s="1221"/>
      <c r="APO46" s="1221"/>
      <c r="APP46" s="1221"/>
      <c r="APQ46" s="1221"/>
      <c r="APR46" s="1221"/>
      <c r="APS46" s="1221"/>
      <c r="APT46" s="1221"/>
      <c r="APU46" s="1221"/>
      <c r="APV46" s="1221"/>
      <c r="APW46" s="1221"/>
      <c r="APX46" s="1221"/>
      <c r="APY46" s="1221"/>
      <c r="APZ46" s="1221"/>
      <c r="AQA46" s="1221"/>
      <c r="AQB46" s="1221"/>
      <c r="AQC46" s="1221"/>
      <c r="AQD46" s="1221"/>
      <c r="AQE46" s="1221"/>
      <c r="AQF46" s="1221"/>
      <c r="AQG46" s="1221"/>
      <c r="AQH46" s="1221"/>
      <c r="AQI46" s="1221"/>
      <c r="AQJ46" s="1221"/>
      <c r="AQK46" s="1221"/>
      <c r="AQL46" s="1221"/>
      <c r="AQM46" s="1221"/>
      <c r="AQN46" s="1221"/>
      <c r="AQO46" s="1221"/>
      <c r="AQP46" s="1221"/>
      <c r="AQQ46" s="1221"/>
      <c r="AQR46" s="1221"/>
      <c r="AQS46" s="1221"/>
      <c r="AQT46" s="1221"/>
      <c r="AQU46" s="1221"/>
      <c r="AQV46" s="1221"/>
      <c r="AQW46" s="1221"/>
      <c r="AQX46" s="1221"/>
      <c r="AQY46" s="1221"/>
      <c r="AQZ46" s="1221"/>
      <c r="ARA46" s="1221"/>
      <c r="ARB46" s="1221"/>
      <c r="ARC46" s="1221"/>
      <c r="ARD46" s="1221"/>
      <c r="ARE46" s="1221"/>
      <c r="ARF46" s="1221"/>
      <c r="ARG46" s="1221"/>
      <c r="ARH46" s="1221"/>
      <c r="ARI46" s="1221"/>
      <c r="ARJ46" s="1221"/>
      <c r="ARK46" s="1221"/>
      <c r="ARL46" s="1221"/>
      <c r="ARM46" s="1221"/>
      <c r="ARN46" s="1221"/>
      <c r="ARO46" s="1221"/>
      <c r="ARP46" s="1221"/>
      <c r="ARQ46" s="1221"/>
      <c r="ARR46" s="1221"/>
      <c r="ARS46" s="1221"/>
      <c r="ART46" s="1221"/>
      <c r="ARU46" s="1221"/>
      <c r="ARV46" s="1221"/>
      <c r="ARW46" s="1221"/>
      <c r="ARX46" s="1221"/>
      <c r="ARY46" s="1221"/>
      <c r="ARZ46" s="1221"/>
      <c r="ASA46" s="1221"/>
      <c r="ASB46" s="1221"/>
      <c r="ASC46" s="1221"/>
      <c r="ASD46" s="1221"/>
      <c r="ASE46" s="1221"/>
      <c r="ASF46" s="1221"/>
      <c r="ASG46" s="1221"/>
      <c r="ASH46" s="1221"/>
      <c r="ASI46" s="1221"/>
      <c r="ASJ46" s="1221"/>
      <c r="ASK46" s="1221"/>
      <c r="ASL46" s="1221"/>
      <c r="ASM46" s="1221"/>
      <c r="ASN46" s="1221"/>
      <c r="ASO46" s="1221"/>
      <c r="ASP46" s="1221"/>
      <c r="ASQ46" s="1221"/>
      <c r="ASR46" s="1221"/>
      <c r="ASS46" s="1221"/>
      <c r="AST46" s="1221"/>
      <c r="ASU46" s="1221"/>
      <c r="ASV46" s="1221"/>
      <c r="ASW46" s="1221"/>
      <c r="ASX46" s="1221"/>
      <c r="ASY46" s="1221"/>
      <c r="ASZ46" s="1221"/>
      <c r="ATA46" s="1221"/>
      <c r="ATB46" s="1221"/>
      <c r="ATC46" s="1221"/>
      <c r="ATD46" s="1221"/>
      <c r="ATE46" s="1221"/>
      <c r="ATF46" s="1221"/>
      <c r="ATG46" s="1221"/>
      <c r="ATH46" s="1221"/>
      <c r="ATI46" s="1221"/>
      <c r="ATJ46" s="1221"/>
      <c r="ATK46" s="1221"/>
      <c r="ATL46" s="1221"/>
      <c r="ATM46" s="1221"/>
      <c r="ATN46" s="1221"/>
      <c r="ATO46" s="1221"/>
      <c r="ATP46" s="1221"/>
      <c r="ATQ46" s="1221"/>
      <c r="ATR46" s="1221"/>
      <c r="ATS46" s="1221"/>
      <c r="ATT46" s="1221"/>
      <c r="ATU46" s="1221"/>
      <c r="ATV46" s="1221"/>
      <c r="ATW46" s="1221"/>
      <c r="ATX46" s="1221"/>
      <c r="ATY46" s="1221"/>
      <c r="ATZ46" s="1221"/>
      <c r="AUA46" s="1221"/>
      <c r="AUB46" s="1221"/>
      <c r="AUC46" s="1221"/>
      <c r="AUD46" s="1221"/>
      <c r="AUE46" s="1221"/>
      <c r="AUF46" s="1221"/>
      <c r="AUG46" s="1221"/>
      <c r="AUH46" s="1221"/>
      <c r="AUI46" s="1221"/>
      <c r="AUJ46" s="1221"/>
      <c r="AUK46" s="1221"/>
      <c r="AUL46" s="1221"/>
      <c r="AUM46" s="1221"/>
      <c r="AUN46" s="1221"/>
      <c r="AUO46" s="1221"/>
      <c r="AUP46" s="1221"/>
      <c r="AUQ46" s="1221"/>
      <c r="AUR46" s="1221"/>
      <c r="AUS46" s="1221"/>
      <c r="AUT46" s="1221"/>
      <c r="AUU46" s="1221"/>
      <c r="AUV46" s="1221"/>
      <c r="AUW46" s="1221"/>
      <c r="AUX46" s="1221"/>
      <c r="AUY46" s="1221"/>
      <c r="AUZ46" s="1221"/>
      <c r="AVA46" s="1221"/>
      <c r="AVB46" s="1221"/>
      <c r="AVC46" s="1221"/>
      <c r="AVD46" s="1221"/>
      <c r="AVE46" s="1221"/>
      <c r="AVF46" s="1221"/>
      <c r="AVG46" s="1221"/>
      <c r="AVH46" s="1221"/>
      <c r="AVI46" s="1221"/>
      <c r="AVJ46" s="1221"/>
      <c r="AVK46" s="1221"/>
      <c r="AVL46" s="1221"/>
      <c r="AVM46" s="1221"/>
      <c r="AVN46" s="1221"/>
      <c r="AVO46" s="1221"/>
      <c r="AVP46" s="1221"/>
      <c r="AVQ46" s="1221"/>
      <c r="AVR46" s="1221"/>
      <c r="AVS46" s="1221"/>
      <c r="AVT46" s="1221"/>
      <c r="AVU46" s="1221"/>
      <c r="AVV46" s="1221"/>
      <c r="AVW46" s="1221"/>
      <c r="AVX46" s="1221"/>
      <c r="AVY46" s="1221"/>
      <c r="AVZ46" s="1221"/>
      <c r="AWA46" s="1221"/>
      <c r="AWB46" s="1221"/>
      <c r="AWC46" s="1221"/>
      <c r="AWD46" s="1221"/>
      <c r="AWE46" s="1221"/>
      <c r="AWF46" s="1221"/>
      <c r="AWG46" s="1221"/>
      <c r="AWH46" s="1221"/>
      <c r="AWI46" s="1221"/>
      <c r="AWJ46" s="1221"/>
      <c r="AWK46" s="1221"/>
      <c r="AWL46" s="1221"/>
      <c r="AWM46" s="1221"/>
      <c r="AWN46" s="1221"/>
      <c r="AWO46" s="1221"/>
      <c r="AWP46" s="1221"/>
      <c r="AWQ46" s="1221"/>
      <c r="AWR46" s="1221"/>
      <c r="AWS46" s="1221"/>
      <c r="AWT46" s="1221"/>
      <c r="AWU46" s="1221"/>
      <c r="AWV46" s="1221"/>
      <c r="AWW46" s="1221"/>
      <c r="AWX46" s="1221"/>
      <c r="AWY46" s="1221"/>
      <c r="AWZ46" s="1221"/>
      <c r="AXA46" s="1221"/>
      <c r="AXB46" s="1221"/>
      <c r="AXC46" s="1221"/>
      <c r="AXD46" s="1221"/>
      <c r="AXE46" s="1221"/>
      <c r="AXF46" s="1221"/>
      <c r="AXG46" s="1221"/>
      <c r="AXH46" s="1221"/>
      <c r="AXI46" s="1221"/>
      <c r="AXJ46" s="1221"/>
      <c r="AXK46" s="1221"/>
      <c r="AXL46" s="1221"/>
      <c r="AXM46" s="1221"/>
      <c r="AXN46" s="1221"/>
      <c r="AXO46" s="1221"/>
      <c r="AXP46" s="1221"/>
      <c r="AXQ46" s="1221"/>
      <c r="AXR46" s="1221"/>
      <c r="AXS46" s="1221"/>
      <c r="AXT46" s="1221"/>
      <c r="AXU46" s="1221"/>
      <c r="AXV46" s="1221"/>
      <c r="AXW46" s="1221"/>
      <c r="AXX46" s="1221"/>
      <c r="AXY46" s="1221"/>
      <c r="AXZ46" s="1221"/>
      <c r="AYA46" s="1221"/>
      <c r="AYB46" s="1221"/>
      <c r="AYC46" s="1221"/>
      <c r="AYD46" s="1221"/>
      <c r="AYE46" s="1221"/>
      <c r="AYF46" s="1221"/>
      <c r="AYG46" s="1221"/>
      <c r="AYH46" s="1221"/>
      <c r="AYI46" s="1221"/>
      <c r="AYJ46" s="1221"/>
      <c r="AYK46" s="1221"/>
      <c r="AYL46" s="1221"/>
      <c r="AYM46" s="1221"/>
      <c r="AYN46" s="1221"/>
      <c r="AYO46" s="1221"/>
      <c r="AYP46" s="1221"/>
      <c r="AYQ46" s="1221"/>
      <c r="AYR46" s="1221"/>
      <c r="AYS46" s="1221"/>
      <c r="AYT46" s="1221"/>
      <c r="AYU46" s="1221"/>
      <c r="AYV46" s="1221"/>
      <c r="AYW46" s="1221"/>
      <c r="AYX46" s="1221"/>
      <c r="AYY46" s="1221"/>
      <c r="AYZ46" s="1221"/>
      <c r="AZA46" s="1221"/>
      <c r="AZB46" s="1221"/>
      <c r="AZC46" s="1221"/>
      <c r="AZD46" s="1221"/>
      <c r="AZE46" s="1221"/>
      <c r="AZF46" s="1221"/>
      <c r="AZG46" s="1221"/>
      <c r="AZH46" s="1221"/>
      <c r="AZI46" s="1221"/>
      <c r="AZJ46" s="1221"/>
      <c r="AZK46" s="1221"/>
      <c r="AZL46" s="1221"/>
      <c r="AZM46" s="1221"/>
      <c r="AZN46" s="1221"/>
      <c r="AZO46" s="1221"/>
      <c r="AZP46" s="1221"/>
      <c r="AZQ46" s="1221"/>
      <c r="AZR46" s="1221"/>
      <c r="AZS46" s="1221"/>
      <c r="AZT46" s="1221"/>
      <c r="AZU46" s="1221"/>
      <c r="AZV46" s="1221"/>
      <c r="AZW46" s="1221"/>
      <c r="AZX46" s="1221"/>
      <c r="AZY46" s="1221"/>
      <c r="AZZ46" s="1221"/>
      <c r="BAA46" s="1221"/>
      <c r="BAB46" s="1221"/>
      <c r="BAC46" s="1221"/>
      <c r="BAD46" s="1221"/>
      <c r="BAE46" s="1221"/>
      <c r="BAF46" s="1221"/>
      <c r="BAG46" s="1221"/>
      <c r="BAH46" s="1221"/>
      <c r="BAI46" s="1221"/>
      <c r="BAJ46" s="1221"/>
      <c r="BAK46" s="1221"/>
      <c r="BAL46" s="1221"/>
      <c r="BAM46" s="1221"/>
      <c r="BAN46" s="1221"/>
      <c r="BAO46" s="1221"/>
      <c r="BAP46" s="1221"/>
      <c r="BAQ46" s="1221"/>
      <c r="BAR46" s="1221"/>
      <c r="BAS46" s="1221"/>
      <c r="BAT46" s="1221"/>
      <c r="BAU46" s="1221"/>
      <c r="BAV46" s="1221"/>
      <c r="BAW46" s="1221"/>
      <c r="BAX46" s="1221"/>
      <c r="BAY46" s="1221"/>
      <c r="BAZ46" s="1221"/>
      <c r="BBA46" s="1221"/>
      <c r="BBB46" s="1221"/>
      <c r="BBC46" s="1221"/>
      <c r="BBD46" s="1221"/>
      <c r="BBE46" s="1221"/>
      <c r="BBF46" s="1221"/>
      <c r="BBG46" s="1221"/>
      <c r="BBH46" s="1221"/>
      <c r="BBI46" s="1221"/>
      <c r="BBJ46" s="1221"/>
      <c r="BBK46" s="1221"/>
      <c r="BBL46" s="1221"/>
      <c r="BBM46" s="1221"/>
      <c r="BBN46" s="1221"/>
      <c r="BBO46" s="1221"/>
      <c r="BBP46" s="1221"/>
      <c r="BBQ46" s="1221"/>
      <c r="BBR46" s="1221"/>
      <c r="BBS46" s="1221"/>
      <c r="BBT46" s="1221"/>
      <c r="BBU46" s="1221"/>
      <c r="BBV46" s="1221"/>
      <c r="BBW46" s="1221"/>
      <c r="BBX46" s="1221"/>
      <c r="BBY46" s="1221"/>
      <c r="BBZ46" s="1221"/>
      <c r="BCA46" s="1221"/>
      <c r="BCB46" s="1221"/>
      <c r="BCC46" s="1221"/>
      <c r="BCD46" s="1221"/>
      <c r="BCE46" s="1221"/>
      <c r="BCF46" s="1221"/>
      <c r="BCG46" s="1221"/>
      <c r="BCH46" s="1221"/>
      <c r="BCI46" s="1221"/>
      <c r="BCJ46" s="1221"/>
      <c r="BCK46" s="1221"/>
      <c r="BCL46" s="1221"/>
      <c r="BCM46" s="1221"/>
      <c r="BCN46" s="1221"/>
      <c r="BCO46" s="1221"/>
      <c r="BCP46" s="1221"/>
      <c r="BCQ46" s="1221"/>
      <c r="BCR46" s="1221"/>
      <c r="BCS46" s="1221"/>
      <c r="BCT46" s="1221"/>
      <c r="BCU46" s="1221"/>
      <c r="BCV46" s="1221"/>
      <c r="BCW46" s="1221"/>
      <c r="BCX46" s="1221"/>
      <c r="BCY46" s="1221"/>
      <c r="BCZ46" s="1221"/>
      <c r="BDA46" s="1221"/>
      <c r="BDB46" s="1221"/>
      <c r="BDC46" s="1221"/>
      <c r="BDD46" s="1221"/>
      <c r="BDE46" s="1221"/>
      <c r="BDF46" s="1221"/>
      <c r="BDG46" s="1221"/>
      <c r="BDH46" s="1221"/>
      <c r="BDI46" s="1221"/>
      <c r="BDJ46" s="1221"/>
      <c r="BDK46" s="1221"/>
      <c r="BDL46" s="1221"/>
      <c r="BDM46" s="1221"/>
      <c r="BDN46" s="1221"/>
      <c r="BDO46" s="1221"/>
      <c r="BDP46" s="1221"/>
      <c r="BDQ46" s="1221"/>
      <c r="BDR46" s="1221"/>
      <c r="BDS46" s="1221"/>
      <c r="BDT46" s="1221"/>
      <c r="BDU46" s="1221"/>
      <c r="BDV46" s="1221"/>
      <c r="BDW46" s="1221"/>
      <c r="BDX46" s="1221"/>
      <c r="BDY46" s="1221"/>
      <c r="BDZ46" s="1221"/>
      <c r="BEA46" s="1221"/>
      <c r="BEB46" s="1221"/>
      <c r="BEC46" s="1221"/>
      <c r="BED46" s="1221"/>
      <c r="BEE46" s="1221"/>
      <c r="BEF46" s="1221"/>
      <c r="BEG46" s="1221"/>
      <c r="BEH46" s="1221"/>
      <c r="BEI46" s="1221"/>
      <c r="BEJ46" s="1221"/>
      <c r="BEK46" s="1221"/>
      <c r="BEL46" s="1221"/>
      <c r="BEM46" s="1221"/>
      <c r="BEN46" s="1221"/>
      <c r="BEO46" s="1221"/>
      <c r="BEP46" s="1221"/>
      <c r="BEQ46" s="1221"/>
      <c r="BER46" s="1221"/>
      <c r="BES46" s="1221"/>
      <c r="BET46" s="1221"/>
      <c r="BEU46" s="1221"/>
      <c r="BEV46" s="1221"/>
      <c r="BEW46" s="1221"/>
      <c r="BEX46" s="1221"/>
      <c r="BEY46" s="1221"/>
      <c r="BEZ46" s="1221"/>
      <c r="BFA46" s="1221"/>
      <c r="BFB46" s="1221"/>
      <c r="BFC46" s="1221"/>
      <c r="BFD46" s="1221"/>
      <c r="BFE46" s="1221"/>
      <c r="BFF46" s="1221"/>
      <c r="BFG46" s="1221"/>
      <c r="BFH46" s="1221"/>
      <c r="BFI46" s="1221"/>
      <c r="BFJ46" s="1221"/>
      <c r="BFK46" s="1221"/>
      <c r="BFL46" s="1221"/>
      <c r="BFM46" s="1221"/>
      <c r="BFN46" s="1221"/>
      <c r="BFO46" s="1221"/>
      <c r="BFP46" s="1221"/>
      <c r="BFQ46" s="1221"/>
      <c r="BFR46" s="1221"/>
      <c r="BFS46" s="1221"/>
      <c r="BFT46" s="1221"/>
      <c r="BFU46" s="1221"/>
      <c r="BFV46" s="1221"/>
      <c r="BFW46" s="1221"/>
      <c r="BFX46" s="1221"/>
      <c r="BFY46" s="1221"/>
      <c r="BFZ46" s="1221"/>
      <c r="BGA46" s="1221"/>
      <c r="BGB46" s="1221"/>
      <c r="BGC46" s="1221"/>
      <c r="BGD46" s="1221"/>
      <c r="BGE46" s="1221"/>
      <c r="BGF46" s="1221"/>
      <c r="BGG46" s="1221"/>
      <c r="BGH46" s="1221"/>
      <c r="BGI46" s="1221"/>
      <c r="BGJ46" s="1221"/>
      <c r="BGK46" s="1221"/>
      <c r="BGL46" s="1221"/>
      <c r="BGM46" s="1221"/>
      <c r="BGN46" s="1221"/>
      <c r="BGO46" s="1221"/>
      <c r="BGP46" s="1221"/>
      <c r="BGQ46" s="1221"/>
      <c r="BGR46" s="1221"/>
      <c r="BGS46" s="1221"/>
      <c r="BGT46" s="1221"/>
      <c r="BGU46" s="1221"/>
      <c r="BGV46" s="1221"/>
      <c r="BGW46" s="1221"/>
      <c r="BGX46" s="1221"/>
      <c r="BGY46" s="1221"/>
      <c r="BGZ46" s="1221"/>
      <c r="BHA46" s="1221"/>
      <c r="BHB46" s="1221"/>
      <c r="BHC46" s="1221"/>
      <c r="BHD46" s="1221"/>
      <c r="BHE46" s="1221"/>
      <c r="BHF46" s="1221"/>
      <c r="BHG46" s="1221"/>
      <c r="BHH46" s="1221"/>
      <c r="BHI46" s="1221"/>
      <c r="BHJ46" s="1221"/>
      <c r="BHK46" s="1221"/>
      <c r="BHL46" s="1221"/>
      <c r="BHM46" s="1221"/>
      <c r="BHN46" s="1221"/>
      <c r="BHO46" s="1221"/>
      <c r="BHP46" s="1221"/>
      <c r="BHQ46" s="1221"/>
      <c r="BHR46" s="1221"/>
      <c r="BHS46" s="1221"/>
      <c r="BHT46" s="1221"/>
      <c r="BHU46" s="1221"/>
      <c r="BHV46" s="1221"/>
      <c r="BHW46" s="1221"/>
      <c r="BHX46" s="1221"/>
      <c r="BHY46" s="1221"/>
      <c r="BHZ46" s="1221"/>
      <c r="BIA46" s="1221"/>
      <c r="BIB46" s="1221"/>
      <c r="BIC46" s="1221"/>
      <c r="BID46" s="1221"/>
      <c r="BIE46" s="1221"/>
      <c r="BIF46" s="1221"/>
      <c r="BIG46" s="1221"/>
      <c r="BIH46" s="1221"/>
      <c r="BII46" s="1221"/>
      <c r="BIJ46" s="1221"/>
      <c r="BIK46" s="1221"/>
      <c r="BIL46" s="1221"/>
      <c r="BIM46" s="1221"/>
      <c r="BIN46" s="1221"/>
      <c r="BIO46" s="1221"/>
      <c r="BIP46" s="1221"/>
      <c r="BIQ46" s="1221"/>
      <c r="BIR46" s="1221"/>
      <c r="BIS46" s="1221"/>
      <c r="BIT46" s="1221"/>
      <c r="BIU46" s="1221"/>
      <c r="BIV46" s="1221"/>
      <c r="BIW46" s="1221"/>
      <c r="BIX46" s="1221"/>
      <c r="BIY46" s="1221"/>
      <c r="BIZ46" s="1221"/>
      <c r="BJA46" s="1221"/>
      <c r="BJB46" s="1221"/>
      <c r="BJC46" s="1221"/>
      <c r="BJD46" s="1221"/>
      <c r="BJE46" s="1221"/>
      <c r="BJF46" s="1221"/>
      <c r="BJG46" s="1221"/>
      <c r="BJH46" s="1221"/>
      <c r="BJI46" s="1221"/>
      <c r="BJJ46" s="1221"/>
      <c r="BJK46" s="1221"/>
      <c r="BJL46" s="1221"/>
      <c r="BJM46" s="1221"/>
      <c r="BJN46" s="1221"/>
      <c r="BJO46" s="1221"/>
      <c r="BJP46" s="1221"/>
      <c r="BJQ46" s="1221"/>
      <c r="BJR46" s="1221"/>
      <c r="BJS46" s="1221"/>
      <c r="BJT46" s="1221"/>
      <c r="BJU46" s="1221"/>
      <c r="BJV46" s="1221"/>
      <c r="BJW46" s="1221"/>
      <c r="BJX46" s="1221"/>
      <c r="BJY46" s="1221"/>
      <c r="BJZ46" s="1221"/>
      <c r="BKA46" s="1221"/>
      <c r="BKB46" s="1221"/>
      <c r="BKC46" s="1221"/>
      <c r="BKD46" s="1221"/>
      <c r="BKE46" s="1221"/>
      <c r="BKF46" s="1221"/>
      <c r="BKG46" s="1221"/>
      <c r="BKH46" s="1221"/>
      <c r="BKI46" s="1221"/>
      <c r="BKJ46" s="1221"/>
      <c r="BKK46" s="1221"/>
      <c r="BKL46" s="1221"/>
      <c r="BKM46" s="1221"/>
      <c r="BKN46" s="1221"/>
      <c r="BKO46" s="1221"/>
      <c r="BKP46" s="1221"/>
      <c r="BKQ46" s="1221"/>
      <c r="BKR46" s="1221"/>
      <c r="BKS46" s="1221"/>
      <c r="BKT46" s="1221"/>
      <c r="BKU46" s="1221"/>
      <c r="BKV46" s="1221"/>
      <c r="BKW46" s="1221"/>
      <c r="BKX46" s="1221"/>
      <c r="BKY46" s="1221"/>
      <c r="BKZ46" s="1221"/>
      <c r="BLA46" s="1221"/>
      <c r="BLB46" s="1221"/>
      <c r="BLC46" s="1221"/>
      <c r="BLD46" s="1221"/>
      <c r="BLE46" s="1221"/>
      <c r="BLF46" s="1221"/>
      <c r="BLG46" s="1221"/>
      <c r="BLH46" s="1221"/>
      <c r="BLI46" s="1221"/>
      <c r="BLJ46" s="1221"/>
      <c r="BLK46" s="1221"/>
      <c r="BLL46" s="1221"/>
      <c r="BLM46" s="1221"/>
      <c r="BLN46" s="1221"/>
      <c r="BLO46" s="1221"/>
      <c r="BLP46" s="1221"/>
      <c r="BLQ46" s="1221"/>
      <c r="BLR46" s="1221"/>
      <c r="BLS46" s="1221"/>
      <c r="BLT46" s="1221"/>
      <c r="BLU46" s="1221"/>
      <c r="BLV46" s="1221"/>
      <c r="BLW46" s="1221"/>
      <c r="BLX46" s="1221"/>
      <c r="BLY46" s="1221"/>
      <c r="BLZ46" s="1221"/>
      <c r="BMA46" s="1221"/>
      <c r="BMB46" s="1221"/>
      <c r="BMC46" s="1221"/>
      <c r="BMD46" s="1221"/>
      <c r="BME46" s="1221"/>
      <c r="BMF46" s="1221"/>
      <c r="BMG46" s="1221"/>
      <c r="BMH46" s="1221"/>
      <c r="BMI46" s="1221"/>
      <c r="BMJ46" s="1221"/>
      <c r="BMK46" s="1221"/>
      <c r="BML46" s="1221"/>
      <c r="BMM46" s="1221"/>
      <c r="BMN46" s="1221"/>
      <c r="BMO46" s="1221"/>
      <c r="BMP46" s="1221"/>
      <c r="BMQ46" s="1221"/>
      <c r="BMR46" s="1221"/>
      <c r="BMS46" s="1221"/>
      <c r="BMT46" s="1221"/>
      <c r="BMU46" s="1221"/>
      <c r="BMV46" s="1221"/>
      <c r="BMW46" s="1221"/>
      <c r="BMX46" s="1221"/>
      <c r="BMY46" s="1221"/>
      <c r="BMZ46" s="1221"/>
      <c r="BNA46" s="1221"/>
      <c r="BNB46" s="1221"/>
      <c r="BNC46" s="1221"/>
      <c r="BND46" s="1221"/>
      <c r="BNE46" s="1221"/>
      <c r="BNF46" s="1221"/>
      <c r="BNG46" s="1221"/>
      <c r="BNH46" s="1221"/>
      <c r="BNI46" s="1221"/>
      <c r="BNJ46" s="1221"/>
      <c r="BNK46" s="1221"/>
      <c r="BNL46" s="1221"/>
      <c r="BNM46" s="1221"/>
      <c r="BNN46" s="1221"/>
      <c r="BNO46" s="1221"/>
      <c r="BNP46" s="1221"/>
      <c r="BNQ46" s="1221"/>
      <c r="BNR46" s="1221"/>
      <c r="BNS46" s="1221"/>
      <c r="BNT46" s="1221"/>
      <c r="BNU46" s="1221"/>
      <c r="BNV46" s="1221"/>
      <c r="BNW46" s="1221"/>
      <c r="BNX46" s="1221"/>
      <c r="BNY46" s="1221"/>
      <c r="BNZ46" s="1221"/>
      <c r="BOA46" s="1221"/>
      <c r="BOB46" s="1221"/>
      <c r="BOC46" s="1221"/>
      <c r="BOD46" s="1221"/>
      <c r="BOE46" s="1221"/>
      <c r="BOF46" s="1221"/>
      <c r="BOG46" s="1221"/>
      <c r="BOH46" s="1221"/>
      <c r="BOI46" s="1221"/>
      <c r="BOJ46" s="1221"/>
      <c r="BOK46" s="1221"/>
      <c r="BOL46" s="1221"/>
      <c r="BOM46" s="1221"/>
      <c r="BON46" s="1221"/>
      <c r="BOO46" s="1221"/>
      <c r="BOP46" s="1221"/>
      <c r="BOQ46" s="1221"/>
      <c r="BOR46" s="1221"/>
      <c r="BOS46" s="1221"/>
      <c r="BOT46" s="1221"/>
      <c r="BOU46" s="1221"/>
      <c r="BOV46" s="1221"/>
      <c r="BOW46" s="1221"/>
      <c r="BOX46" s="1221"/>
      <c r="BOY46" s="1221"/>
      <c r="BOZ46" s="1221"/>
      <c r="BPA46" s="1221"/>
      <c r="BPB46" s="1221"/>
      <c r="BPC46" s="1221"/>
      <c r="BPD46" s="1221"/>
      <c r="BPE46" s="1221"/>
      <c r="BPF46" s="1221"/>
      <c r="BPG46" s="1221"/>
      <c r="BPH46" s="1221"/>
      <c r="BPI46" s="1221"/>
      <c r="BPJ46" s="1221"/>
      <c r="BPK46" s="1221"/>
      <c r="BPL46" s="1221"/>
      <c r="BPM46" s="1221"/>
      <c r="BPN46" s="1221"/>
      <c r="BPO46" s="1221"/>
      <c r="BPP46" s="1221"/>
      <c r="BPQ46" s="1221"/>
      <c r="BPR46" s="1221"/>
      <c r="BPS46" s="1221"/>
      <c r="BPT46" s="1221"/>
      <c r="BPU46" s="1221"/>
      <c r="BPV46" s="1221"/>
      <c r="BPW46" s="1221"/>
      <c r="BPX46" s="1221"/>
      <c r="BPY46" s="1221"/>
      <c r="BPZ46" s="1221"/>
      <c r="BQA46" s="1221"/>
      <c r="BQB46" s="1221"/>
      <c r="BQC46" s="1221"/>
      <c r="BQD46" s="1221"/>
      <c r="BQE46" s="1221"/>
      <c r="BQF46" s="1221"/>
      <c r="BQG46" s="1221"/>
      <c r="BQH46" s="1221"/>
      <c r="BQI46" s="1221"/>
      <c r="BQJ46" s="1221"/>
      <c r="BQK46" s="1221"/>
      <c r="BQL46" s="1221"/>
      <c r="BQM46" s="1221"/>
      <c r="BQN46" s="1221"/>
      <c r="BQO46" s="1221"/>
      <c r="BQP46" s="1221"/>
      <c r="BQQ46" s="1221"/>
      <c r="BQR46" s="1221"/>
      <c r="BQS46" s="1221"/>
      <c r="BQT46" s="1221"/>
      <c r="BQU46" s="1221"/>
      <c r="BQV46" s="1221"/>
      <c r="BQW46" s="1221"/>
      <c r="BQX46" s="1221"/>
      <c r="BQY46" s="1221"/>
      <c r="BQZ46" s="1221"/>
      <c r="BRA46" s="1221"/>
      <c r="BRB46" s="1221"/>
      <c r="BRC46" s="1221"/>
      <c r="BRD46" s="1221"/>
      <c r="BRE46" s="1221"/>
      <c r="BRF46" s="1221"/>
      <c r="BRG46" s="1221"/>
      <c r="BRH46" s="1221"/>
      <c r="BRI46" s="1221"/>
      <c r="BRJ46" s="1221"/>
      <c r="BRK46" s="1221"/>
      <c r="BRL46" s="1221"/>
      <c r="BRM46" s="1221"/>
      <c r="BRN46" s="1221"/>
      <c r="BRO46" s="1221"/>
      <c r="BRP46" s="1221"/>
      <c r="BRQ46" s="1221"/>
      <c r="BRR46" s="1221"/>
      <c r="BRS46" s="1221"/>
      <c r="BRT46" s="1221"/>
      <c r="BRU46" s="1221"/>
      <c r="BRV46" s="1221"/>
      <c r="BRW46" s="1221"/>
      <c r="BRX46" s="1221"/>
      <c r="BRY46" s="1221"/>
      <c r="BRZ46" s="1221"/>
      <c r="BSA46" s="1221"/>
      <c r="BSB46" s="1221"/>
      <c r="BSC46" s="1221"/>
      <c r="BSD46" s="1221"/>
      <c r="BSE46" s="1221"/>
      <c r="BSF46" s="1221"/>
      <c r="BSG46" s="1221"/>
      <c r="BSH46" s="1221"/>
      <c r="BSI46" s="1221"/>
      <c r="BSJ46" s="1221"/>
      <c r="BSK46" s="1221"/>
      <c r="BSL46" s="1221"/>
      <c r="BSM46" s="1221"/>
      <c r="BSN46" s="1221"/>
      <c r="BSO46" s="1221"/>
      <c r="BSP46" s="1221"/>
      <c r="BSQ46" s="1221"/>
      <c r="BSR46" s="1221"/>
      <c r="BSS46" s="1221"/>
      <c r="BST46" s="1221"/>
      <c r="BSU46" s="1221"/>
      <c r="BSV46" s="1221"/>
      <c r="BSW46" s="1221"/>
      <c r="BSX46" s="1221"/>
      <c r="BSY46" s="1221"/>
      <c r="BSZ46" s="1221"/>
      <c r="BTA46" s="1221"/>
      <c r="BTB46" s="1221"/>
      <c r="BTC46" s="1221"/>
      <c r="BTD46" s="1221"/>
      <c r="BTE46" s="1221"/>
      <c r="BTF46" s="1221"/>
      <c r="BTG46" s="1221"/>
      <c r="BTH46" s="1221"/>
      <c r="BTI46" s="1221"/>
      <c r="BTJ46" s="1221"/>
      <c r="BTK46" s="1221"/>
      <c r="BTL46" s="1221"/>
      <c r="BTM46" s="1221"/>
      <c r="BTN46" s="1221"/>
      <c r="BTO46" s="1221"/>
      <c r="BTP46" s="1221"/>
      <c r="BTQ46" s="1221"/>
      <c r="BTR46" s="1221"/>
      <c r="BTS46" s="1221"/>
      <c r="BTT46" s="1221"/>
      <c r="BTU46" s="1221"/>
      <c r="BTV46" s="1221"/>
      <c r="BTW46" s="1221"/>
      <c r="BTX46" s="1221"/>
      <c r="BTY46" s="1221"/>
      <c r="BTZ46" s="1221"/>
      <c r="BUA46" s="1221"/>
      <c r="BUB46" s="1221"/>
      <c r="BUC46" s="1221"/>
      <c r="BUD46" s="1221"/>
      <c r="BUE46" s="1221"/>
      <c r="BUF46" s="1221"/>
      <c r="BUG46" s="1221"/>
      <c r="BUH46" s="1221"/>
      <c r="BUI46" s="1221"/>
      <c r="BUJ46" s="1221"/>
      <c r="BUK46" s="1221"/>
      <c r="BUL46" s="1221"/>
      <c r="BUM46" s="1221"/>
      <c r="BUN46" s="1221"/>
      <c r="BUO46" s="1221"/>
      <c r="BUP46" s="1221"/>
      <c r="BUQ46" s="1221"/>
      <c r="BUR46" s="1221"/>
      <c r="BUS46" s="1221"/>
      <c r="BUT46" s="1221"/>
      <c r="BUU46" s="1221"/>
      <c r="BUV46" s="1221"/>
      <c r="BUW46" s="1221"/>
      <c r="BUX46" s="1221"/>
      <c r="BUY46" s="1221"/>
      <c r="BUZ46" s="1221"/>
      <c r="BVA46" s="1221"/>
      <c r="BVB46" s="1221"/>
      <c r="BVC46" s="1221"/>
      <c r="BVD46" s="1221"/>
      <c r="BVE46" s="1221"/>
      <c r="BVF46" s="1221"/>
      <c r="BVG46" s="1221"/>
      <c r="BVH46" s="1221"/>
      <c r="BVI46" s="1221"/>
      <c r="BVJ46" s="1221"/>
      <c r="BVK46" s="1221"/>
      <c r="BVL46" s="1221"/>
      <c r="BVM46" s="1221"/>
      <c r="BVN46" s="1221"/>
      <c r="BVO46" s="1221"/>
      <c r="BVP46" s="1221"/>
      <c r="BVQ46" s="1221"/>
      <c r="BVR46" s="1221"/>
      <c r="BVS46" s="1221"/>
      <c r="BVT46" s="1221"/>
      <c r="BVU46" s="1221"/>
      <c r="BVV46" s="1221"/>
      <c r="BVW46" s="1221"/>
      <c r="BVX46" s="1221"/>
      <c r="BVY46" s="1221"/>
      <c r="BVZ46" s="1221"/>
      <c r="BWA46" s="1221"/>
      <c r="BWB46" s="1221"/>
      <c r="BWC46" s="1221"/>
      <c r="BWD46" s="1221"/>
      <c r="BWE46" s="1221"/>
      <c r="BWF46" s="1221"/>
      <c r="BWG46" s="1221"/>
      <c r="BWH46" s="1221"/>
      <c r="BWI46" s="1221"/>
      <c r="BWJ46" s="1221"/>
      <c r="BWK46" s="1221"/>
      <c r="BWL46" s="1221"/>
      <c r="BWM46" s="1221"/>
      <c r="BWN46" s="1221"/>
      <c r="BWO46" s="1221"/>
      <c r="BWP46" s="1221"/>
      <c r="BWQ46" s="1221"/>
      <c r="BWR46" s="1221"/>
      <c r="BWS46" s="1221"/>
      <c r="BWT46" s="1221"/>
      <c r="BWU46" s="1221"/>
      <c r="BWV46" s="1221"/>
      <c r="BWW46" s="1221"/>
      <c r="BWX46" s="1221"/>
      <c r="BWY46" s="1221"/>
      <c r="BWZ46" s="1221"/>
      <c r="BXA46" s="1221"/>
      <c r="BXB46" s="1221"/>
      <c r="BXC46" s="1221"/>
      <c r="BXD46" s="1221"/>
      <c r="BXE46" s="1221"/>
      <c r="BXF46" s="1221"/>
      <c r="BXG46" s="1221"/>
      <c r="BXH46" s="1221"/>
      <c r="BXI46" s="1221"/>
      <c r="BXJ46" s="1221"/>
      <c r="BXK46" s="1221"/>
      <c r="BXL46" s="1221"/>
      <c r="BXM46" s="1221"/>
      <c r="BXN46" s="1221"/>
      <c r="BXO46" s="1221"/>
      <c r="BXP46" s="1221"/>
      <c r="BXQ46" s="1221"/>
      <c r="BXR46" s="1221"/>
      <c r="BXS46" s="1221"/>
      <c r="BXT46" s="1221"/>
      <c r="BXU46" s="1221"/>
      <c r="BXV46" s="1221"/>
      <c r="BXW46" s="1221"/>
      <c r="BXX46" s="1221"/>
      <c r="BXY46" s="1221"/>
      <c r="BXZ46" s="1221"/>
      <c r="BYA46" s="1221"/>
      <c r="BYB46" s="1221"/>
      <c r="BYC46" s="1221"/>
      <c r="BYD46" s="1221"/>
      <c r="BYE46" s="1221"/>
      <c r="BYF46" s="1221"/>
      <c r="BYG46" s="1221"/>
      <c r="BYH46" s="1221"/>
      <c r="BYI46" s="1221"/>
      <c r="BYJ46" s="1221"/>
      <c r="BYK46" s="1221"/>
      <c r="BYL46" s="1221"/>
      <c r="BYM46" s="1221"/>
      <c r="BYN46" s="1221"/>
      <c r="BYO46" s="1221"/>
      <c r="BYP46" s="1221"/>
      <c r="BYQ46" s="1221"/>
      <c r="BYR46" s="1221"/>
      <c r="BYS46" s="1221"/>
      <c r="BYT46" s="1221"/>
      <c r="BYU46" s="1221"/>
      <c r="BYV46" s="1221"/>
      <c r="BYW46" s="1221"/>
      <c r="BYX46" s="1221"/>
      <c r="BYY46" s="1221"/>
      <c r="BYZ46" s="1221"/>
      <c r="BZA46" s="1221"/>
      <c r="BZB46" s="1221"/>
      <c r="BZC46" s="1221"/>
      <c r="BZD46" s="1221"/>
      <c r="BZE46" s="1221"/>
      <c r="BZF46" s="1221"/>
      <c r="BZG46" s="1221"/>
      <c r="BZH46" s="1221"/>
      <c r="BZI46" s="1221"/>
      <c r="BZJ46" s="1221"/>
      <c r="BZK46" s="1221"/>
      <c r="BZL46" s="1221"/>
      <c r="BZM46" s="1221"/>
      <c r="BZN46" s="1221"/>
      <c r="BZO46" s="1221"/>
      <c r="BZP46" s="1221"/>
      <c r="BZQ46" s="1221"/>
      <c r="BZR46" s="1221"/>
      <c r="BZS46" s="1221"/>
      <c r="BZT46" s="1221"/>
      <c r="BZU46" s="1221"/>
      <c r="BZV46" s="1221"/>
      <c r="BZW46" s="1221"/>
      <c r="BZX46" s="1221"/>
      <c r="BZY46" s="1221"/>
      <c r="BZZ46" s="1221"/>
      <c r="CAA46" s="1221"/>
      <c r="CAB46" s="1221"/>
      <c r="CAC46" s="1221"/>
      <c r="CAD46" s="1221"/>
      <c r="CAE46" s="1221"/>
      <c r="CAF46" s="1221"/>
      <c r="CAG46" s="1221"/>
      <c r="CAH46" s="1221"/>
      <c r="CAI46" s="1221"/>
      <c r="CAJ46" s="1221"/>
      <c r="CAK46" s="1221"/>
      <c r="CAL46" s="1221"/>
      <c r="CAM46" s="1221"/>
      <c r="CAN46" s="1221"/>
      <c r="CAO46" s="1221"/>
      <c r="CAP46" s="1221"/>
      <c r="CAQ46" s="1221"/>
      <c r="CAR46" s="1221"/>
      <c r="CAS46" s="1221"/>
      <c r="CAT46" s="1221"/>
      <c r="CAU46" s="1221"/>
      <c r="CAV46" s="1221"/>
      <c r="CAW46" s="1221"/>
      <c r="CAX46" s="1221"/>
      <c r="CAY46" s="1221"/>
      <c r="CAZ46" s="1221"/>
      <c r="CBA46" s="1221"/>
      <c r="CBB46" s="1221"/>
      <c r="CBC46" s="1221"/>
      <c r="CBD46" s="1221"/>
      <c r="CBE46" s="1221"/>
      <c r="CBF46" s="1221"/>
      <c r="CBG46" s="1221"/>
      <c r="CBH46" s="1221"/>
      <c r="CBI46" s="1221"/>
      <c r="CBJ46" s="1221"/>
      <c r="CBK46" s="1221"/>
      <c r="CBL46" s="1221"/>
      <c r="CBM46" s="1221"/>
      <c r="CBN46" s="1221"/>
      <c r="CBO46" s="1221"/>
      <c r="CBP46" s="1221"/>
      <c r="CBQ46" s="1221"/>
      <c r="CBR46" s="1221"/>
      <c r="CBS46" s="1221"/>
      <c r="CBT46" s="1221"/>
      <c r="CBU46" s="1221"/>
      <c r="CBV46" s="1221"/>
      <c r="CBW46" s="1221"/>
      <c r="CBX46" s="1221"/>
      <c r="CBY46" s="1221"/>
      <c r="CBZ46" s="1221"/>
      <c r="CCA46" s="1221"/>
      <c r="CCB46" s="1221"/>
      <c r="CCC46" s="1221"/>
      <c r="CCD46" s="1221"/>
      <c r="CCE46" s="1221"/>
      <c r="CCF46" s="1221"/>
      <c r="CCG46" s="1221"/>
      <c r="CCH46" s="1221"/>
      <c r="CCI46" s="1221"/>
      <c r="CCJ46" s="1221"/>
      <c r="CCK46" s="1221"/>
      <c r="CCL46" s="1221"/>
      <c r="CCM46" s="1221"/>
      <c r="CCN46" s="1221"/>
      <c r="CCO46" s="1221"/>
      <c r="CCP46" s="1221"/>
      <c r="CCQ46" s="1221"/>
      <c r="CCR46" s="1221"/>
      <c r="CCS46" s="1221"/>
      <c r="CCT46" s="1221"/>
      <c r="CCU46" s="1221"/>
      <c r="CCV46" s="1221"/>
      <c r="CCW46" s="1221"/>
      <c r="CCX46" s="1221"/>
      <c r="CCY46" s="1221"/>
      <c r="CCZ46" s="1221"/>
      <c r="CDA46" s="1221"/>
      <c r="CDB46" s="1221"/>
      <c r="CDC46" s="1221"/>
      <c r="CDD46" s="1221"/>
      <c r="CDE46" s="1221"/>
      <c r="CDF46" s="1221"/>
      <c r="CDG46" s="1221"/>
      <c r="CDH46" s="1221"/>
      <c r="CDI46" s="1221"/>
      <c r="CDJ46" s="1221"/>
      <c r="CDK46" s="1221"/>
      <c r="CDL46" s="1221"/>
      <c r="CDM46" s="1221"/>
      <c r="CDN46" s="1221"/>
      <c r="CDO46" s="1221"/>
      <c r="CDP46" s="1221"/>
      <c r="CDQ46" s="1221"/>
      <c r="CDR46" s="1221"/>
      <c r="CDS46" s="1221"/>
      <c r="CDT46" s="1221"/>
      <c r="CDU46" s="1221"/>
      <c r="CDV46" s="1221"/>
      <c r="CDW46" s="1221"/>
      <c r="CDX46" s="1221"/>
      <c r="CDY46" s="1221"/>
      <c r="CDZ46" s="1221"/>
      <c r="CEA46" s="1221"/>
      <c r="CEB46" s="1221"/>
      <c r="CEC46" s="1221"/>
      <c r="CED46" s="1221"/>
      <c r="CEE46" s="1221"/>
      <c r="CEF46" s="1221"/>
      <c r="CEG46" s="1221"/>
      <c r="CEH46" s="1221"/>
      <c r="CEI46" s="1221"/>
      <c r="CEJ46" s="1221"/>
      <c r="CEK46" s="1221"/>
      <c r="CEL46" s="1221"/>
      <c r="CEM46" s="1221"/>
      <c r="CEN46" s="1221"/>
      <c r="CEO46" s="1221"/>
      <c r="CEP46" s="1221"/>
      <c r="CEQ46" s="1221"/>
      <c r="CER46" s="1221"/>
      <c r="CES46" s="1221"/>
      <c r="CET46" s="1221"/>
      <c r="CEU46" s="1221"/>
      <c r="CEV46" s="1221"/>
      <c r="CEW46" s="1221"/>
      <c r="CEX46" s="1221"/>
      <c r="CEY46" s="1221"/>
      <c r="CEZ46" s="1221"/>
      <c r="CFA46" s="1221"/>
      <c r="CFB46" s="1221"/>
      <c r="CFC46" s="1221"/>
      <c r="CFD46" s="1221"/>
      <c r="CFE46" s="1221"/>
      <c r="CFF46" s="1221"/>
      <c r="CFG46" s="1221"/>
      <c r="CFH46" s="1221"/>
      <c r="CFI46" s="1221"/>
      <c r="CFJ46" s="1221"/>
      <c r="CFK46" s="1221"/>
      <c r="CFL46" s="1221"/>
      <c r="CFM46" s="1221"/>
      <c r="CFN46" s="1221"/>
      <c r="CFO46" s="1221"/>
      <c r="CFP46" s="1221"/>
      <c r="CFQ46" s="1221"/>
      <c r="CFR46" s="1221"/>
      <c r="CFS46" s="1221"/>
      <c r="CFT46" s="1221"/>
      <c r="CFU46" s="1221"/>
      <c r="CFV46" s="1221"/>
      <c r="CFW46" s="1221"/>
      <c r="CFX46" s="1221"/>
      <c r="CFY46" s="1221"/>
      <c r="CFZ46" s="1221"/>
      <c r="CGA46" s="1221"/>
      <c r="CGB46" s="1221"/>
      <c r="CGC46" s="1221"/>
      <c r="CGD46" s="1221"/>
      <c r="CGE46" s="1221"/>
      <c r="CGF46" s="1221"/>
      <c r="CGG46" s="1221"/>
      <c r="CGH46" s="1221"/>
      <c r="CGI46" s="1221"/>
      <c r="CGJ46" s="1221"/>
      <c r="CGK46" s="1221"/>
      <c r="CGL46" s="1221"/>
      <c r="CGM46" s="1221"/>
      <c r="CGN46" s="1221"/>
      <c r="CGO46" s="1221"/>
      <c r="CGP46" s="1221"/>
      <c r="CGQ46" s="1221"/>
      <c r="CGR46" s="1221"/>
      <c r="CGS46" s="1221"/>
      <c r="CGT46" s="1221"/>
      <c r="CGU46" s="1221"/>
      <c r="CGV46" s="1221"/>
      <c r="CGW46" s="1221"/>
      <c r="CGX46" s="1221"/>
      <c r="CGY46" s="1221"/>
      <c r="CGZ46" s="1221"/>
      <c r="CHA46" s="1221"/>
      <c r="CHB46" s="1221"/>
      <c r="CHC46" s="1221"/>
      <c r="CHD46" s="1221"/>
      <c r="CHE46" s="1221"/>
      <c r="CHF46" s="1221"/>
      <c r="CHG46" s="1221"/>
      <c r="CHH46" s="1221"/>
      <c r="CHI46" s="1221"/>
      <c r="CHJ46" s="1221"/>
      <c r="CHK46" s="1221"/>
      <c r="CHL46" s="1221"/>
      <c r="CHM46" s="1221"/>
      <c r="CHN46" s="1221"/>
      <c r="CHO46" s="1221"/>
      <c r="CHP46" s="1221"/>
      <c r="CHQ46" s="1221"/>
      <c r="CHR46" s="1221"/>
      <c r="CHS46" s="1221"/>
      <c r="CHT46" s="1221"/>
      <c r="CHU46" s="1221"/>
      <c r="CHV46" s="1221"/>
      <c r="CHW46" s="1221"/>
      <c r="CHX46" s="1221"/>
      <c r="CHY46" s="1221"/>
      <c r="CHZ46" s="1221"/>
      <c r="CIA46" s="1221"/>
      <c r="CIB46" s="1221"/>
      <c r="CIC46" s="1221"/>
      <c r="CID46" s="1221"/>
      <c r="CIE46" s="1221"/>
      <c r="CIF46" s="1221"/>
      <c r="CIG46" s="1221"/>
      <c r="CIH46" s="1221"/>
      <c r="CII46" s="1221"/>
      <c r="CIJ46" s="1221"/>
      <c r="CIK46" s="1221"/>
      <c r="CIL46" s="1221"/>
      <c r="CIM46" s="1221"/>
      <c r="CIN46" s="1221"/>
      <c r="CIO46" s="1221"/>
      <c r="CIP46" s="1221"/>
      <c r="CIQ46" s="1221"/>
      <c r="CIR46" s="1221"/>
      <c r="CIS46" s="1221"/>
      <c r="CIT46" s="1221"/>
      <c r="CIU46" s="1221"/>
      <c r="CIV46" s="1221"/>
      <c r="CIW46" s="1221"/>
      <c r="CIX46" s="1221"/>
      <c r="CIY46" s="1221"/>
      <c r="CIZ46" s="1221"/>
      <c r="CJA46" s="1221"/>
      <c r="CJB46" s="1221"/>
      <c r="CJC46" s="1221"/>
      <c r="CJD46" s="1221"/>
      <c r="CJE46" s="1221"/>
      <c r="CJF46" s="1221"/>
      <c r="CJG46" s="1221"/>
      <c r="CJH46" s="1221"/>
      <c r="CJI46" s="1221"/>
      <c r="CJJ46" s="1221"/>
      <c r="CJK46" s="1221"/>
      <c r="CJL46" s="1221"/>
      <c r="CJM46" s="1221"/>
      <c r="CJN46" s="1221"/>
      <c r="CJO46" s="1221"/>
      <c r="CJP46" s="1221"/>
      <c r="CJQ46" s="1221"/>
      <c r="CJR46" s="1221"/>
      <c r="CJS46" s="1221"/>
      <c r="CJT46" s="1221"/>
      <c r="CJU46" s="1221"/>
      <c r="CJV46" s="1221"/>
      <c r="CJW46" s="1221"/>
      <c r="CJX46" s="1221"/>
      <c r="CJY46" s="1221"/>
      <c r="CJZ46" s="1221"/>
      <c r="CKA46" s="1221"/>
      <c r="CKB46" s="1221"/>
      <c r="CKC46" s="1221"/>
      <c r="CKD46" s="1221"/>
      <c r="CKE46" s="1221"/>
      <c r="CKF46" s="1221"/>
      <c r="CKG46" s="1221"/>
      <c r="CKH46" s="1221"/>
      <c r="CKI46" s="1221"/>
      <c r="CKJ46" s="1221"/>
      <c r="CKK46" s="1221"/>
      <c r="CKL46" s="1221"/>
      <c r="CKM46" s="1221"/>
      <c r="CKN46" s="1221"/>
      <c r="CKO46" s="1221"/>
      <c r="CKP46" s="1221"/>
      <c r="CKQ46" s="1221"/>
      <c r="CKR46" s="1221"/>
      <c r="CKS46" s="1221"/>
      <c r="CKT46" s="1221"/>
      <c r="CKU46" s="1221"/>
      <c r="CKV46" s="1221"/>
      <c r="CKW46" s="1221"/>
      <c r="CKX46" s="1221"/>
      <c r="CKY46" s="1221"/>
      <c r="CKZ46" s="1221"/>
      <c r="CLA46" s="1221"/>
      <c r="CLB46" s="1221"/>
      <c r="CLC46" s="1221"/>
      <c r="CLD46" s="1221"/>
      <c r="CLE46" s="1221"/>
      <c r="CLF46" s="1221"/>
      <c r="CLG46" s="1221"/>
      <c r="CLH46" s="1221"/>
      <c r="CLI46" s="1221"/>
      <c r="CLJ46" s="1221"/>
      <c r="CLK46" s="1221"/>
      <c r="CLL46" s="1221"/>
      <c r="CLM46" s="1221"/>
      <c r="CLN46" s="1221"/>
      <c r="CLO46" s="1221"/>
      <c r="CLP46" s="1221"/>
      <c r="CLQ46" s="1221"/>
      <c r="CLR46" s="1221"/>
      <c r="CLS46" s="1221"/>
      <c r="CLT46" s="1221"/>
      <c r="CLU46" s="1221"/>
      <c r="CLV46" s="1221"/>
      <c r="CLW46" s="1221"/>
      <c r="CLX46" s="1221"/>
      <c r="CLY46" s="1221"/>
      <c r="CLZ46" s="1221"/>
      <c r="CMA46" s="1221"/>
      <c r="CMB46" s="1221"/>
      <c r="CMC46" s="1221"/>
      <c r="CMD46" s="1221"/>
      <c r="CME46" s="1221"/>
      <c r="CMF46" s="1221"/>
      <c r="CMG46" s="1221"/>
      <c r="CMH46" s="1221"/>
      <c r="CMI46" s="1221"/>
      <c r="CMJ46" s="1221"/>
      <c r="CMK46" s="1221"/>
      <c r="CML46" s="1221"/>
      <c r="CMM46" s="1221"/>
      <c r="CMN46" s="1221"/>
      <c r="CMO46" s="1221"/>
      <c r="CMP46" s="1221"/>
      <c r="CMQ46" s="1221"/>
      <c r="CMR46" s="1221"/>
      <c r="CMS46" s="1221"/>
      <c r="CMT46" s="1221"/>
      <c r="CMU46" s="1221"/>
      <c r="CMV46" s="1221"/>
      <c r="CMW46" s="1221"/>
      <c r="CMX46" s="1221"/>
      <c r="CMY46" s="1221"/>
      <c r="CMZ46" s="1221"/>
      <c r="CNA46" s="1221"/>
      <c r="CNB46" s="1221"/>
      <c r="CNC46" s="1221"/>
      <c r="CND46" s="1221"/>
      <c r="CNE46" s="1221"/>
      <c r="CNF46" s="1221"/>
      <c r="CNG46" s="1221"/>
      <c r="CNH46" s="1221"/>
      <c r="CNI46" s="1221"/>
      <c r="CNJ46" s="1221"/>
      <c r="CNK46" s="1221"/>
      <c r="CNL46" s="1221"/>
      <c r="CNM46" s="1221"/>
      <c r="CNN46" s="1221"/>
      <c r="CNO46" s="1221"/>
      <c r="CNP46" s="1221"/>
      <c r="CNQ46" s="1221"/>
      <c r="CNR46" s="1221"/>
      <c r="CNS46" s="1221"/>
      <c r="CNT46" s="1221"/>
      <c r="CNU46" s="1221"/>
      <c r="CNV46" s="1221"/>
      <c r="CNW46" s="1221"/>
      <c r="CNX46" s="1221"/>
      <c r="CNY46" s="1221"/>
      <c r="CNZ46" s="1221"/>
      <c r="COA46" s="1221"/>
      <c r="COB46" s="1221"/>
      <c r="COC46" s="1221"/>
      <c r="COD46" s="1221"/>
      <c r="COE46" s="1221"/>
      <c r="COF46" s="1221"/>
      <c r="COG46" s="1221"/>
      <c r="COH46" s="1221"/>
      <c r="COI46" s="1221"/>
      <c r="COJ46" s="1221"/>
      <c r="COK46" s="1221"/>
      <c r="COL46" s="1221"/>
      <c r="COM46" s="1221"/>
      <c r="CON46" s="1221"/>
      <c r="COO46" s="1221"/>
      <c r="COP46" s="1221"/>
      <c r="COQ46" s="1221"/>
      <c r="COR46" s="1221"/>
      <c r="COS46" s="1221"/>
      <c r="COT46" s="1221"/>
      <c r="COU46" s="1221"/>
      <c r="COV46" s="1221"/>
      <c r="COW46" s="1221"/>
      <c r="COX46" s="1221"/>
      <c r="COY46" s="1221"/>
      <c r="COZ46" s="1221"/>
      <c r="CPA46" s="1221"/>
      <c r="CPB46" s="1221"/>
      <c r="CPC46" s="1221"/>
      <c r="CPD46" s="1221"/>
      <c r="CPE46" s="1221"/>
      <c r="CPF46" s="1221"/>
      <c r="CPG46" s="1221"/>
      <c r="CPH46" s="1221"/>
      <c r="CPI46" s="1221"/>
      <c r="CPJ46" s="1221"/>
      <c r="CPK46" s="1221"/>
      <c r="CPL46" s="1221"/>
      <c r="CPM46" s="1221"/>
      <c r="CPN46" s="1221"/>
      <c r="CPO46" s="1221"/>
      <c r="CPP46" s="1221"/>
      <c r="CPQ46" s="1221"/>
      <c r="CPR46" s="1221"/>
      <c r="CPS46" s="1221"/>
      <c r="CPT46" s="1221"/>
      <c r="CPU46" s="1221"/>
      <c r="CPV46" s="1221"/>
      <c r="CPW46" s="1221"/>
      <c r="CPX46" s="1221"/>
      <c r="CPY46" s="1221"/>
      <c r="CPZ46" s="1221"/>
      <c r="CQA46" s="1221"/>
      <c r="CQB46" s="1221"/>
      <c r="CQC46" s="1221"/>
      <c r="CQD46" s="1221"/>
      <c r="CQE46" s="1221"/>
      <c r="CQF46" s="1221"/>
      <c r="CQG46" s="1221"/>
      <c r="CQH46" s="1221"/>
      <c r="CQI46" s="1221"/>
      <c r="CQJ46" s="1221"/>
      <c r="CQK46" s="1221"/>
      <c r="CQL46" s="1221"/>
      <c r="CQM46" s="1221"/>
      <c r="CQN46" s="1221"/>
      <c r="CQO46" s="1221"/>
      <c r="CQP46" s="1221"/>
      <c r="CQQ46" s="1221"/>
      <c r="CQR46" s="1221"/>
      <c r="CQS46" s="1221"/>
      <c r="CQT46" s="1221"/>
      <c r="CQU46" s="1221"/>
      <c r="CQV46" s="1221"/>
      <c r="CQW46" s="1221"/>
      <c r="CQX46" s="1221"/>
      <c r="CQY46" s="1221"/>
      <c r="CQZ46" s="1221"/>
      <c r="CRA46" s="1221"/>
      <c r="CRB46" s="1221"/>
      <c r="CRC46" s="1221"/>
      <c r="CRD46" s="1221"/>
      <c r="CRE46" s="1221"/>
      <c r="CRF46" s="1221"/>
      <c r="CRG46" s="1221"/>
      <c r="CRH46" s="1221"/>
      <c r="CRI46" s="1221"/>
      <c r="CRJ46" s="1221"/>
      <c r="CRK46" s="1221"/>
      <c r="CRL46" s="1221"/>
      <c r="CRM46" s="1221"/>
      <c r="CRN46" s="1221"/>
      <c r="CRO46" s="1221"/>
      <c r="CRP46" s="1221"/>
      <c r="CRQ46" s="1221"/>
      <c r="CRR46" s="1221"/>
      <c r="CRS46" s="1221"/>
      <c r="CRT46" s="1221"/>
      <c r="CRU46" s="1221"/>
      <c r="CRV46" s="1221"/>
      <c r="CRW46" s="1221"/>
      <c r="CRX46" s="1221"/>
      <c r="CRY46" s="1221"/>
      <c r="CRZ46" s="1221"/>
      <c r="CSA46" s="1221"/>
      <c r="CSB46" s="1221"/>
      <c r="CSC46" s="1221"/>
      <c r="CSD46" s="1221"/>
      <c r="CSE46" s="1221"/>
      <c r="CSF46" s="1221"/>
      <c r="CSG46" s="1221"/>
      <c r="CSH46" s="1221"/>
      <c r="CSI46" s="1221"/>
      <c r="CSJ46" s="1221"/>
      <c r="CSK46" s="1221"/>
      <c r="CSL46" s="1221"/>
      <c r="CSM46" s="1221"/>
      <c r="CSN46" s="1221"/>
      <c r="CSO46" s="1221"/>
      <c r="CSP46" s="1221"/>
      <c r="CSQ46" s="1221"/>
      <c r="CSR46" s="1221"/>
      <c r="CSS46" s="1221"/>
      <c r="CST46" s="1221"/>
      <c r="CSU46" s="1221"/>
      <c r="CSV46" s="1221"/>
      <c r="CSW46" s="1221"/>
      <c r="CSX46" s="1221"/>
      <c r="CSY46" s="1221"/>
      <c r="CSZ46" s="1221"/>
      <c r="CTA46" s="1221"/>
      <c r="CTB46" s="1221"/>
      <c r="CTC46" s="1221"/>
      <c r="CTD46" s="1221"/>
      <c r="CTE46" s="1221"/>
      <c r="CTF46" s="1221"/>
      <c r="CTG46" s="1221"/>
      <c r="CTH46" s="1221"/>
      <c r="CTI46" s="1221"/>
      <c r="CTJ46" s="1221"/>
      <c r="CTK46" s="1221"/>
      <c r="CTL46" s="1221"/>
      <c r="CTM46" s="1221"/>
      <c r="CTN46" s="1221"/>
      <c r="CTO46" s="1221"/>
      <c r="CTP46" s="1221"/>
      <c r="CTQ46" s="1221"/>
      <c r="CTR46" s="1221"/>
      <c r="CTS46" s="1221"/>
      <c r="CTT46" s="1221"/>
      <c r="CTU46" s="1221"/>
      <c r="CTV46" s="1221"/>
      <c r="CTW46" s="1221"/>
      <c r="CTX46" s="1221"/>
      <c r="CTY46" s="1221"/>
      <c r="CTZ46" s="1221"/>
      <c r="CUA46" s="1221"/>
      <c r="CUB46" s="1221"/>
      <c r="CUC46" s="1221"/>
      <c r="CUD46" s="1221"/>
      <c r="CUE46" s="1221"/>
      <c r="CUF46" s="1221"/>
      <c r="CUG46" s="1221"/>
      <c r="CUH46" s="1221"/>
      <c r="CUI46" s="1221"/>
      <c r="CUJ46" s="1221"/>
      <c r="CUK46" s="1221"/>
      <c r="CUL46" s="1221"/>
      <c r="CUM46" s="1221"/>
      <c r="CUN46" s="1221"/>
      <c r="CUO46" s="1221"/>
      <c r="CUP46" s="1221"/>
      <c r="CUQ46" s="1221"/>
      <c r="CUR46" s="1221"/>
      <c r="CUS46" s="1221"/>
      <c r="CUT46" s="1221"/>
      <c r="CUU46" s="1221"/>
      <c r="CUV46" s="1221"/>
      <c r="CUW46" s="1221"/>
      <c r="CUX46" s="1221"/>
      <c r="CUY46" s="1221"/>
      <c r="CUZ46" s="1221"/>
      <c r="CVA46" s="1221"/>
      <c r="CVB46" s="1221"/>
      <c r="CVC46" s="1221"/>
      <c r="CVD46" s="1221"/>
      <c r="CVE46" s="1221"/>
      <c r="CVF46" s="1221"/>
      <c r="CVG46" s="1221"/>
      <c r="CVH46" s="1221"/>
      <c r="CVI46" s="1221"/>
      <c r="CVJ46" s="1221"/>
      <c r="CVK46" s="1221"/>
      <c r="CVL46" s="1221"/>
      <c r="CVM46" s="1221"/>
      <c r="CVN46" s="1221"/>
      <c r="CVO46" s="1221"/>
      <c r="CVP46" s="1221"/>
      <c r="CVQ46" s="1221"/>
      <c r="CVR46" s="1221"/>
      <c r="CVS46" s="1221"/>
      <c r="CVT46" s="1221"/>
      <c r="CVU46" s="1221"/>
      <c r="CVV46" s="1221"/>
      <c r="CVW46" s="1221"/>
      <c r="CVX46" s="1221"/>
      <c r="CVY46" s="1221"/>
      <c r="CVZ46" s="1221"/>
      <c r="CWA46" s="1221"/>
      <c r="CWB46" s="1221"/>
      <c r="CWC46" s="1221"/>
      <c r="CWD46" s="1221"/>
      <c r="CWE46" s="1221"/>
      <c r="CWF46" s="1221"/>
      <c r="CWG46" s="1221"/>
      <c r="CWH46" s="1221"/>
      <c r="CWI46" s="1221"/>
      <c r="CWJ46" s="1221"/>
      <c r="CWK46" s="1221"/>
      <c r="CWL46" s="1221"/>
      <c r="CWM46" s="1221"/>
      <c r="CWN46" s="1221"/>
      <c r="CWO46" s="1221"/>
      <c r="CWP46" s="1221"/>
      <c r="CWQ46" s="1221"/>
      <c r="CWR46" s="1221"/>
      <c r="CWS46" s="1221"/>
      <c r="CWT46" s="1221"/>
      <c r="CWU46" s="1221"/>
      <c r="CWV46" s="1221"/>
      <c r="CWW46" s="1221"/>
      <c r="CWX46" s="1221"/>
      <c r="CWY46" s="1221"/>
      <c r="CWZ46" s="1221"/>
      <c r="CXA46" s="1221"/>
      <c r="CXB46" s="1221"/>
      <c r="CXC46" s="1221"/>
      <c r="CXD46" s="1221"/>
      <c r="CXE46" s="1221"/>
      <c r="CXF46" s="1221"/>
      <c r="CXG46" s="1221"/>
      <c r="CXH46" s="1221"/>
      <c r="CXI46" s="1221"/>
      <c r="CXJ46" s="1221"/>
      <c r="CXK46" s="1221"/>
      <c r="CXL46" s="1221"/>
      <c r="CXM46" s="1221"/>
      <c r="CXN46" s="1221"/>
      <c r="CXO46" s="1221"/>
      <c r="CXP46" s="1221"/>
      <c r="CXQ46" s="1221"/>
      <c r="CXR46" s="1221"/>
      <c r="CXS46" s="1221"/>
      <c r="CXT46" s="1221"/>
      <c r="CXU46" s="1221"/>
      <c r="CXV46" s="1221"/>
      <c r="CXW46" s="1221"/>
      <c r="CXX46" s="1221"/>
      <c r="CXY46" s="1221"/>
      <c r="CXZ46" s="1221"/>
      <c r="CYA46" s="1221"/>
      <c r="CYB46" s="1221"/>
      <c r="CYC46" s="1221"/>
      <c r="CYD46" s="1221"/>
      <c r="CYE46" s="1221"/>
      <c r="CYF46" s="1221"/>
      <c r="CYG46" s="1221"/>
      <c r="CYH46" s="1221"/>
      <c r="CYI46" s="1221"/>
      <c r="CYJ46" s="1221"/>
      <c r="CYK46" s="1221"/>
      <c r="CYL46" s="1221"/>
      <c r="CYM46" s="1221"/>
      <c r="CYN46" s="1221"/>
      <c r="CYO46" s="1221"/>
      <c r="CYP46" s="1221"/>
      <c r="CYQ46" s="1221"/>
      <c r="CYR46" s="1221"/>
      <c r="CYS46" s="1221"/>
      <c r="CYT46" s="1221"/>
      <c r="CYU46" s="1221"/>
      <c r="CYV46" s="1221"/>
      <c r="CYW46" s="1221"/>
      <c r="CYX46" s="1221"/>
      <c r="CYY46" s="1221"/>
      <c r="CYZ46" s="1221"/>
      <c r="CZA46" s="1221"/>
      <c r="CZB46" s="1221"/>
      <c r="CZC46" s="1221"/>
      <c r="CZD46" s="1221"/>
      <c r="CZE46" s="1221"/>
      <c r="CZF46" s="1221"/>
      <c r="CZG46" s="1221"/>
      <c r="CZH46" s="1221"/>
      <c r="CZI46" s="1221"/>
      <c r="CZJ46" s="1221"/>
      <c r="CZK46" s="1221"/>
      <c r="CZL46" s="1221"/>
      <c r="CZM46" s="1221"/>
      <c r="CZN46" s="1221"/>
      <c r="CZO46" s="1221"/>
      <c r="CZP46" s="1221"/>
      <c r="CZQ46" s="1221"/>
      <c r="CZR46" s="1221"/>
      <c r="CZS46" s="1221"/>
      <c r="CZT46" s="1221"/>
      <c r="CZU46" s="1221"/>
      <c r="CZV46" s="1221"/>
      <c r="CZW46" s="1221"/>
      <c r="CZX46" s="1221"/>
      <c r="CZY46" s="1221"/>
      <c r="CZZ46" s="1221"/>
      <c r="DAA46" s="1221"/>
      <c r="DAB46" s="1221"/>
      <c r="DAC46" s="1221"/>
      <c r="DAD46" s="1221"/>
      <c r="DAE46" s="1221"/>
      <c r="DAF46" s="1221"/>
      <c r="DAG46" s="1221"/>
      <c r="DAH46" s="1221"/>
      <c r="DAI46" s="1221"/>
      <c r="DAJ46" s="1221"/>
      <c r="DAK46" s="1221"/>
      <c r="DAL46" s="1221"/>
      <c r="DAM46" s="1221"/>
      <c r="DAN46" s="1221"/>
      <c r="DAO46" s="1221"/>
      <c r="DAP46" s="1221"/>
      <c r="DAQ46" s="1221"/>
      <c r="DAR46" s="1221"/>
      <c r="DAS46" s="1221"/>
      <c r="DAT46" s="1221"/>
      <c r="DAU46" s="1221"/>
      <c r="DAV46" s="1221"/>
      <c r="DAW46" s="1221"/>
      <c r="DAX46" s="1221"/>
      <c r="DAY46" s="1221"/>
      <c r="DAZ46" s="1221"/>
      <c r="DBA46" s="1221"/>
      <c r="DBB46" s="1221"/>
      <c r="DBC46" s="1221"/>
      <c r="DBD46" s="1221"/>
      <c r="DBE46" s="1221"/>
      <c r="DBF46" s="1221"/>
      <c r="DBG46" s="1221"/>
      <c r="DBH46" s="1221"/>
      <c r="DBI46" s="1221"/>
      <c r="DBJ46" s="1221"/>
      <c r="DBK46" s="1221"/>
      <c r="DBL46" s="1221"/>
      <c r="DBM46" s="1221"/>
      <c r="DBN46" s="1221"/>
      <c r="DBO46" s="1221"/>
      <c r="DBP46" s="1221"/>
      <c r="DBQ46" s="1221"/>
      <c r="DBR46" s="1221"/>
      <c r="DBS46" s="1221"/>
      <c r="DBT46" s="1221"/>
      <c r="DBU46" s="1221"/>
      <c r="DBV46" s="1221"/>
      <c r="DBW46" s="1221"/>
      <c r="DBX46" s="1221"/>
      <c r="DBY46" s="1221"/>
      <c r="DBZ46" s="1221"/>
      <c r="DCA46" s="1221"/>
      <c r="DCB46" s="1221"/>
      <c r="DCC46" s="1221"/>
      <c r="DCD46" s="1221"/>
      <c r="DCE46" s="1221"/>
      <c r="DCF46" s="1221"/>
      <c r="DCG46" s="1221"/>
      <c r="DCH46" s="1221"/>
      <c r="DCI46" s="1221"/>
      <c r="DCJ46" s="1221"/>
      <c r="DCK46" s="1221"/>
      <c r="DCL46" s="1221"/>
      <c r="DCM46" s="1221"/>
      <c r="DCN46" s="1221"/>
      <c r="DCO46" s="1221"/>
      <c r="DCP46" s="1221"/>
      <c r="DCQ46" s="1221"/>
      <c r="DCR46" s="1221"/>
      <c r="DCS46" s="1221"/>
      <c r="DCT46" s="1221"/>
      <c r="DCU46" s="1221"/>
      <c r="DCV46" s="1221"/>
      <c r="DCW46" s="1221"/>
      <c r="DCX46" s="1221"/>
      <c r="DCY46" s="1221"/>
      <c r="DCZ46" s="1221"/>
      <c r="DDA46" s="1221"/>
      <c r="DDB46" s="1221"/>
      <c r="DDC46" s="1221"/>
      <c r="DDD46" s="1221"/>
      <c r="DDE46" s="1221"/>
      <c r="DDF46" s="1221"/>
      <c r="DDG46" s="1221"/>
      <c r="DDH46" s="1221"/>
      <c r="DDI46" s="1221"/>
      <c r="DDJ46" s="1221"/>
      <c r="DDK46" s="1221"/>
      <c r="DDL46" s="1221"/>
      <c r="DDM46" s="1221"/>
      <c r="DDN46" s="1221"/>
      <c r="DDO46" s="1221"/>
      <c r="DDP46" s="1221"/>
      <c r="DDQ46" s="1221"/>
      <c r="DDR46" s="1221"/>
      <c r="DDS46" s="1221"/>
      <c r="DDT46" s="1221"/>
      <c r="DDU46" s="1221"/>
      <c r="DDV46" s="1221"/>
      <c r="DDW46" s="1221"/>
      <c r="DDX46" s="1221"/>
      <c r="DDY46" s="1221"/>
      <c r="DDZ46" s="1221"/>
      <c r="DEA46" s="1221"/>
      <c r="DEB46" s="1221"/>
      <c r="DEC46" s="1221"/>
      <c r="DED46" s="1221"/>
      <c r="DEE46" s="1221"/>
      <c r="DEF46" s="1221"/>
      <c r="DEG46" s="1221"/>
      <c r="DEH46" s="1221"/>
      <c r="DEI46" s="1221"/>
      <c r="DEJ46" s="1221"/>
      <c r="DEK46" s="1221"/>
      <c r="DEL46" s="1221"/>
      <c r="DEM46" s="1221"/>
      <c r="DEN46" s="1221"/>
      <c r="DEO46" s="1221"/>
      <c r="DEP46" s="1221"/>
      <c r="DEQ46" s="1221"/>
      <c r="DER46" s="1221"/>
      <c r="DES46" s="1221"/>
      <c r="DET46" s="1221"/>
      <c r="DEU46" s="1221"/>
      <c r="DEV46" s="1221"/>
      <c r="DEW46" s="1221"/>
      <c r="DEX46" s="1221"/>
      <c r="DEY46" s="1221"/>
      <c r="DEZ46" s="1221"/>
      <c r="DFA46" s="1221"/>
      <c r="DFB46" s="1221"/>
      <c r="DFC46" s="1221"/>
      <c r="DFD46" s="1221"/>
      <c r="DFE46" s="1221"/>
      <c r="DFF46" s="1221"/>
      <c r="DFG46" s="1221"/>
      <c r="DFH46" s="1221"/>
      <c r="DFI46" s="1221"/>
      <c r="DFJ46" s="1221"/>
      <c r="DFK46" s="1221"/>
      <c r="DFL46" s="1221"/>
      <c r="DFM46" s="1221"/>
      <c r="DFN46" s="1221"/>
      <c r="DFO46" s="1221"/>
      <c r="DFP46" s="1221"/>
      <c r="DFQ46" s="1221"/>
      <c r="DFR46" s="1221"/>
      <c r="DFS46" s="1221"/>
      <c r="DFT46" s="1221"/>
      <c r="DFU46" s="1221"/>
      <c r="DFV46" s="1221"/>
      <c r="DFW46" s="1221"/>
      <c r="DFX46" s="1221"/>
      <c r="DFY46" s="1221"/>
      <c r="DFZ46" s="1221"/>
      <c r="DGA46" s="1221"/>
      <c r="DGB46" s="1221"/>
      <c r="DGC46" s="1221"/>
      <c r="DGD46" s="1221"/>
      <c r="DGE46" s="1221"/>
      <c r="DGF46" s="1221"/>
      <c r="DGG46" s="1221"/>
      <c r="DGH46" s="1221"/>
      <c r="DGI46" s="1221"/>
      <c r="DGJ46" s="1221"/>
      <c r="DGK46" s="1221"/>
      <c r="DGL46" s="1221"/>
      <c r="DGM46" s="1221"/>
      <c r="DGN46" s="1221"/>
      <c r="DGO46" s="1221"/>
      <c r="DGP46" s="1221"/>
      <c r="DGQ46" s="1221"/>
      <c r="DGR46" s="1221"/>
      <c r="DGS46" s="1221"/>
      <c r="DGT46" s="1221"/>
      <c r="DGU46" s="1221"/>
      <c r="DGV46" s="1221"/>
      <c r="DGW46" s="1221"/>
      <c r="DGX46" s="1221"/>
      <c r="DGY46" s="1221"/>
      <c r="DGZ46" s="1221"/>
      <c r="DHA46" s="1221"/>
      <c r="DHB46" s="1221"/>
      <c r="DHC46" s="1221"/>
      <c r="DHD46" s="1221"/>
      <c r="DHE46" s="1221"/>
      <c r="DHF46" s="1221"/>
      <c r="DHG46" s="1221"/>
      <c r="DHH46" s="1221"/>
      <c r="DHI46" s="1221"/>
      <c r="DHJ46" s="1221"/>
      <c r="DHK46" s="1221"/>
      <c r="DHL46" s="1221"/>
      <c r="DHM46" s="1221"/>
      <c r="DHN46" s="1221"/>
      <c r="DHO46" s="1221"/>
      <c r="DHP46" s="1221"/>
      <c r="DHQ46" s="1221"/>
      <c r="DHR46" s="1221"/>
      <c r="DHS46" s="1221"/>
      <c r="DHT46" s="1221"/>
      <c r="DHU46" s="1221"/>
      <c r="DHV46" s="1221"/>
      <c r="DHW46" s="1221"/>
      <c r="DHX46" s="1221"/>
      <c r="DHY46" s="1221"/>
      <c r="DHZ46" s="1221"/>
      <c r="DIA46" s="1221"/>
      <c r="DIB46" s="1221"/>
      <c r="DIC46" s="1221"/>
      <c r="DID46" s="1221"/>
      <c r="DIE46" s="1221"/>
      <c r="DIF46" s="1221"/>
      <c r="DIG46" s="1221"/>
      <c r="DIH46" s="1221"/>
      <c r="DII46" s="1221"/>
      <c r="DIJ46" s="1221"/>
      <c r="DIK46" s="1221"/>
      <c r="DIL46" s="1221"/>
      <c r="DIM46" s="1221"/>
      <c r="DIN46" s="1221"/>
      <c r="DIO46" s="1221"/>
      <c r="DIP46" s="1221"/>
      <c r="DIQ46" s="1221"/>
      <c r="DIR46" s="1221"/>
      <c r="DIS46" s="1221"/>
      <c r="DIT46" s="1221"/>
      <c r="DIU46" s="1221"/>
      <c r="DIV46" s="1221"/>
      <c r="DIW46" s="1221"/>
      <c r="DIX46" s="1221"/>
      <c r="DIY46" s="1221"/>
      <c r="DIZ46" s="1221"/>
      <c r="DJA46" s="1221"/>
      <c r="DJB46" s="1221"/>
      <c r="DJC46" s="1221"/>
      <c r="DJD46" s="1221"/>
      <c r="DJE46" s="1221"/>
      <c r="DJF46" s="1221"/>
      <c r="DJG46" s="1221"/>
      <c r="DJH46" s="1221"/>
      <c r="DJI46" s="1221"/>
      <c r="DJJ46" s="1221"/>
      <c r="DJK46" s="1221"/>
      <c r="DJL46" s="1221"/>
      <c r="DJM46" s="1221"/>
      <c r="DJN46" s="1221"/>
      <c r="DJO46" s="1221"/>
      <c r="DJP46" s="1221"/>
      <c r="DJQ46" s="1221"/>
      <c r="DJR46" s="1221"/>
      <c r="DJS46" s="1221"/>
      <c r="DJT46" s="1221"/>
      <c r="DJU46" s="1221"/>
      <c r="DJV46" s="1221"/>
      <c r="DJW46" s="1221"/>
      <c r="DJX46" s="1221"/>
      <c r="DJY46" s="1221"/>
      <c r="DJZ46" s="1221"/>
      <c r="DKA46" s="1221"/>
      <c r="DKB46" s="1221"/>
      <c r="DKC46" s="1221"/>
      <c r="DKD46" s="1221"/>
      <c r="DKE46" s="1221"/>
      <c r="DKF46" s="1221"/>
      <c r="DKG46" s="1221"/>
      <c r="DKH46" s="1221"/>
      <c r="DKI46" s="1221"/>
      <c r="DKJ46" s="1221"/>
      <c r="DKK46" s="1221"/>
      <c r="DKL46" s="1221"/>
      <c r="DKM46" s="1221"/>
      <c r="DKN46" s="1221"/>
      <c r="DKO46" s="1221"/>
      <c r="DKP46" s="1221"/>
      <c r="DKQ46" s="1221"/>
      <c r="DKR46" s="1221"/>
      <c r="DKS46" s="1221"/>
      <c r="DKT46" s="1221"/>
      <c r="DKU46" s="1221"/>
      <c r="DKV46" s="1221"/>
      <c r="DKW46" s="1221"/>
      <c r="DKX46" s="1221"/>
      <c r="DKY46" s="1221"/>
      <c r="DKZ46" s="1221"/>
      <c r="DLA46" s="1221"/>
      <c r="DLB46" s="1221"/>
      <c r="DLC46" s="1221"/>
      <c r="DLD46" s="1221"/>
      <c r="DLE46" s="1221"/>
      <c r="DLF46" s="1221"/>
      <c r="DLG46" s="1221"/>
      <c r="DLH46" s="1221"/>
      <c r="DLI46" s="1221"/>
      <c r="DLJ46" s="1221"/>
      <c r="DLK46" s="1221"/>
      <c r="DLL46" s="1221"/>
      <c r="DLM46" s="1221"/>
      <c r="DLN46" s="1221"/>
      <c r="DLO46" s="1221"/>
      <c r="DLP46" s="1221"/>
      <c r="DLQ46" s="1221"/>
      <c r="DLR46" s="1221"/>
      <c r="DLS46" s="1221"/>
      <c r="DLT46" s="1221"/>
      <c r="DLU46" s="1221"/>
      <c r="DLV46" s="1221"/>
      <c r="DLW46" s="1221"/>
      <c r="DLX46" s="1221"/>
      <c r="DLY46" s="1221"/>
      <c r="DLZ46" s="1221"/>
      <c r="DMA46" s="1221"/>
      <c r="DMB46" s="1221"/>
      <c r="DMC46" s="1221"/>
      <c r="DMD46" s="1221"/>
      <c r="DME46" s="1221"/>
      <c r="DMF46" s="1221"/>
      <c r="DMG46" s="1221"/>
      <c r="DMH46" s="1221"/>
      <c r="DMI46" s="1221"/>
      <c r="DMJ46" s="1221"/>
      <c r="DMK46" s="1221"/>
      <c r="DML46" s="1221"/>
      <c r="DMM46" s="1221"/>
      <c r="DMN46" s="1221"/>
      <c r="DMO46" s="1221"/>
      <c r="DMP46" s="1221"/>
      <c r="DMQ46" s="1221"/>
      <c r="DMR46" s="1221"/>
      <c r="DMS46" s="1221"/>
      <c r="DMT46" s="1221"/>
      <c r="DMU46" s="1221"/>
      <c r="DMV46" s="1221"/>
      <c r="DMW46" s="1221"/>
      <c r="DMX46" s="1221"/>
      <c r="DMY46" s="1221"/>
      <c r="DMZ46" s="1221"/>
      <c r="DNA46" s="1221"/>
      <c r="DNB46" s="1221"/>
      <c r="DNC46" s="1221"/>
      <c r="DND46" s="1221"/>
      <c r="DNE46" s="1221"/>
      <c r="DNF46" s="1221"/>
      <c r="DNG46" s="1221"/>
      <c r="DNH46" s="1221"/>
      <c r="DNI46" s="1221"/>
      <c r="DNJ46" s="1221"/>
      <c r="DNK46" s="1221"/>
      <c r="DNL46" s="1221"/>
      <c r="DNM46" s="1221"/>
      <c r="DNN46" s="1221"/>
      <c r="DNO46" s="1221"/>
      <c r="DNP46" s="1221"/>
      <c r="DNQ46" s="1221"/>
      <c r="DNR46" s="1221"/>
      <c r="DNS46" s="1221"/>
      <c r="DNT46" s="1221"/>
      <c r="DNU46" s="1221"/>
      <c r="DNV46" s="1221"/>
      <c r="DNW46" s="1221"/>
      <c r="DNX46" s="1221"/>
      <c r="DNY46" s="1221"/>
      <c r="DNZ46" s="1221"/>
      <c r="DOA46" s="1221"/>
      <c r="DOB46" s="1221"/>
      <c r="DOC46" s="1221"/>
      <c r="DOD46" s="1221"/>
      <c r="DOE46" s="1221"/>
      <c r="DOF46" s="1221"/>
      <c r="DOG46" s="1221"/>
      <c r="DOH46" s="1221"/>
      <c r="DOI46" s="1221"/>
      <c r="DOJ46" s="1221"/>
      <c r="DOK46" s="1221"/>
      <c r="DOL46" s="1221"/>
      <c r="DOM46" s="1221"/>
      <c r="DON46" s="1221"/>
      <c r="DOO46" s="1221"/>
      <c r="DOP46" s="1221"/>
      <c r="DOQ46" s="1221"/>
      <c r="DOR46" s="1221"/>
      <c r="DOS46" s="1221"/>
      <c r="DOT46" s="1221"/>
      <c r="DOU46" s="1221"/>
      <c r="DOV46" s="1221"/>
      <c r="DOW46" s="1221"/>
      <c r="DOX46" s="1221"/>
      <c r="DOY46" s="1221"/>
      <c r="DOZ46" s="1221"/>
      <c r="DPA46" s="1221"/>
      <c r="DPB46" s="1221"/>
      <c r="DPC46" s="1221"/>
      <c r="DPD46" s="1221"/>
      <c r="DPE46" s="1221"/>
      <c r="DPF46" s="1221"/>
      <c r="DPG46" s="1221"/>
      <c r="DPH46" s="1221"/>
      <c r="DPI46" s="1221"/>
      <c r="DPJ46" s="1221"/>
      <c r="DPK46" s="1221"/>
      <c r="DPL46" s="1221"/>
      <c r="DPM46" s="1221"/>
      <c r="DPN46" s="1221"/>
      <c r="DPO46" s="1221"/>
      <c r="DPP46" s="1221"/>
      <c r="DPQ46" s="1221"/>
      <c r="DPR46" s="1221"/>
      <c r="DPS46" s="1221"/>
      <c r="DPT46" s="1221"/>
      <c r="DPU46" s="1221"/>
      <c r="DPV46" s="1221"/>
      <c r="DPW46" s="1221"/>
      <c r="DPX46" s="1221"/>
      <c r="DPY46" s="1221"/>
      <c r="DPZ46" s="1221"/>
      <c r="DQA46" s="1221"/>
      <c r="DQB46" s="1221"/>
      <c r="DQC46" s="1221"/>
      <c r="DQD46" s="1221"/>
      <c r="DQE46" s="1221"/>
      <c r="DQF46" s="1221"/>
      <c r="DQG46" s="1221"/>
      <c r="DQH46" s="1221"/>
      <c r="DQI46" s="1221"/>
      <c r="DQJ46" s="1221"/>
      <c r="DQK46" s="1221"/>
      <c r="DQL46" s="1221"/>
      <c r="DQM46" s="1221"/>
      <c r="DQN46" s="1221"/>
      <c r="DQO46" s="1221"/>
      <c r="DQP46" s="1221"/>
      <c r="DQQ46" s="1221"/>
      <c r="DQR46" s="1221"/>
      <c r="DQS46" s="1221"/>
      <c r="DQT46" s="1221"/>
      <c r="DQU46" s="1221"/>
      <c r="DQV46" s="1221"/>
      <c r="DQW46" s="1221"/>
      <c r="DQX46" s="1221"/>
      <c r="DQY46" s="1221"/>
      <c r="DQZ46" s="1221"/>
      <c r="DRA46" s="1221"/>
      <c r="DRB46" s="1221"/>
      <c r="DRC46" s="1221"/>
      <c r="DRD46" s="1221"/>
      <c r="DRE46" s="1221"/>
      <c r="DRF46" s="1221"/>
      <c r="DRG46" s="1221"/>
      <c r="DRH46" s="1221"/>
      <c r="DRI46" s="1221"/>
      <c r="DRJ46" s="1221"/>
      <c r="DRK46" s="1221"/>
      <c r="DRL46" s="1221"/>
      <c r="DRM46" s="1221"/>
      <c r="DRN46" s="1221"/>
      <c r="DRO46" s="1221"/>
      <c r="DRP46" s="1221"/>
      <c r="DRQ46" s="1221"/>
      <c r="DRR46" s="1221"/>
      <c r="DRS46" s="1221"/>
      <c r="DRT46" s="1221"/>
      <c r="DRU46" s="1221"/>
      <c r="DRV46" s="1221"/>
      <c r="DRW46" s="1221"/>
      <c r="DRX46" s="1221"/>
      <c r="DRY46" s="1221"/>
      <c r="DRZ46" s="1221"/>
      <c r="DSA46" s="1221"/>
      <c r="DSB46" s="1221"/>
      <c r="DSC46" s="1221"/>
      <c r="DSD46" s="1221"/>
      <c r="DSE46" s="1221"/>
      <c r="DSF46" s="1221"/>
      <c r="DSG46" s="1221"/>
      <c r="DSH46" s="1221"/>
      <c r="DSI46" s="1221"/>
      <c r="DSJ46" s="1221"/>
      <c r="DSK46" s="1221"/>
      <c r="DSL46" s="1221"/>
      <c r="DSM46" s="1221"/>
      <c r="DSN46" s="1221"/>
      <c r="DSO46" s="1221"/>
      <c r="DSP46" s="1221"/>
      <c r="DSQ46" s="1221"/>
      <c r="DSR46" s="1221"/>
      <c r="DSS46" s="1221"/>
      <c r="DST46" s="1221"/>
      <c r="DSU46" s="1221"/>
      <c r="DSV46" s="1221"/>
      <c r="DSW46" s="1221"/>
      <c r="DSX46" s="1221"/>
      <c r="DSY46" s="1221"/>
      <c r="DSZ46" s="1221"/>
      <c r="DTA46" s="1221"/>
      <c r="DTB46" s="1221"/>
      <c r="DTC46" s="1221"/>
      <c r="DTD46" s="1221"/>
      <c r="DTE46" s="1221"/>
      <c r="DTF46" s="1221"/>
      <c r="DTG46" s="1221"/>
      <c r="DTH46" s="1221"/>
      <c r="DTI46" s="1221"/>
      <c r="DTJ46" s="1221"/>
      <c r="DTK46" s="1221"/>
      <c r="DTL46" s="1221"/>
      <c r="DTM46" s="1221"/>
      <c r="DTN46" s="1221"/>
      <c r="DTO46" s="1221"/>
      <c r="DTP46" s="1221"/>
      <c r="DTQ46" s="1221"/>
      <c r="DTR46" s="1221"/>
      <c r="DTS46" s="1221"/>
      <c r="DTT46" s="1221"/>
      <c r="DTU46" s="1221"/>
      <c r="DTV46" s="1221"/>
      <c r="DTW46" s="1221"/>
      <c r="DTX46" s="1221"/>
      <c r="DTY46" s="1221"/>
      <c r="DTZ46" s="1221"/>
      <c r="DUA46" s="1221"/>
      <c r="DUB46" s="1221"/>
      <c r="DUC46" s="1221"/>
      <c r="DUD46" s="1221"/>
      <c r="DUE46" s="1221"/>
      <c r="DUF46" s="1221"/>
      <c r="DUG46" s="1221"/>
      <c r="DUH46" s="1221"/>
      <c r="DUI46" s="1221"/>
      <c r="DUJ46" s="1221"/>
      <c r="DUK46" s="1221"/>
      <c r="DUL46" s="1221"/>
      <c r="DUM46" s="1221"/>
      <c r="DUN46" s="1221"/>
      <c r="DUO46" s="1221"/>
      <c r="DUP46" s="1221"/>
      <c r="DUQ46" s="1221"/>
      <c r="DUR46" s="1221"/>
      <c r="DUS46" s="1221"/>
      <c r="DUT46" s="1221"/>
      <c r="DUU46" s="1221"/>
      <c r="DUV46" s="1221"/>
      <c r="DUW46" s="1221"/>
      <c r="DUX46" s="1221"/>
      <c r="DUY46" s="1221"/>
      <c r="DUZ46" s="1221"/>
      <c r="DVA46" s="1221"/>
      <c r="DVB46" s="1221"/>
      <c r="DVC46" s="1221"/>
      <c r="DVD46" s="1221"/>
      <c r="DVE46" s="1221"/>
      <c r="DVF46" s="1221"/>
      <c r="DVG46" s="1221"/>
      <c r="DVH46" s="1221"/>
      <c r="DVI46" s="1221"/>
      <c r="DVJ46" s="1221"/>
      <c r="DVK46" s="1221"/>
      <c r="DVL46" s="1221"/>
      <c r="DVM46" s="1221"/>
      <c r="DVN46" s="1221"/>
      <c r="DVO46" s="1221"/>
      <c r="DVP46" s="1221"/>
      <c r="DVQ46" s="1221"/>
      <c r="DVR46" s="1221"/>
      <c r="DVS46" s="1221"/>
      <c r="DVT46" s="1221"/>
      <c r="DVU46" s="1221"/>
      <c r="DVV46" s="1221"/>
      <c r="DVW46" s="1221"/>
      <c r="DVX46" s="1221"/>
      <c r="DVY46" s="1221"/>
      <c r="DVZ46" s="1221"/>
      <c r="DWA46" s="1221"/>
      <c r="DWB46" s="1221"/>
      <c r="DWC46" s="1221"/>
      <c r="DWD46" s="1221"/>
      <c r="DWE46" s="1221"/>
      <c r="DWF46" s="1221"/>
      <c r="DWG46" s="1221"/>
      <c r="DWH46" s="1221"/>
      <c r="DWI46" s="1221"/>
      <c r="DWJ46" s="1221"/>
      <c r="DWK46" s="1221"/>
      <c r="DWL46" s="1221"/>
      <c r="DWM46" s="1221"/>
      <c r="DWN46" s="1221"/>
      <c r="DWO46" s="1221"/>
      <c r="DWP46" s="1221"/>
      <c r="DWQ46" s="1221"/>
      <c r="DWR46" s="1221"/>
      <c r="DWS46" s="1221"/>
      <c r="DWT46" s="1221"/>
      <c r="DWU46" s="1221"/>
      <c r="DWV46" s="1221"/>
      <c r="DWW46" s="1221"/>
      <c r="DWX46" s="1221"/>
      <c r="DWY46" s="1221"/>
      <c r="DWZ46" s="1221"/>
      <c r="DXA46" s="1221"/>
      <c r="DXB46" s="1221"/>
      <c r="DXC46" s="1221"/>
      <c r="DXD46" s="1221"/>
      <c r="DXE46" s="1221"/>
      <c r="DXF46" s="1221"/>
      <c r="DXG46" s="1221"/>
      <c r="DXH46" s="1221"/>
      <c r="DXI46" s="1221"/>
      <c r="DXJ46" s="1221"/>
      <c r="DXK46" s="1221"/>
      <c r="DXL46" s="1221"/>
      <c r="DXM46" s="1221"/>
      <c r="DXN46" s="1221"/>
      <c r="DXO46" s="1221"/>
      <c r="DXP46" s="1221"/>
      <c r="DXQ46" s="1221"/>
      <c r="DXR46" s="1221"/>
      <c r="DXS46" s="1221"/>
      <c r="DXT46" s="1221"/>
      <c r="DXU46" s="1221"/>
      <c r="DXV46" s="1221"/>
      <c r="DXW46" s="1221"/>
      <c r="DXX46" s="1221"/>
      <c r="DXY46" s="1221"/>
      <c r="DXZ46" s="1221"/>
      <c r="DYA46" s="1221"/>
      <c r="DYB46" s="1221"/>
      <c r="DYC46" s="1221"/>
      <c r="DYD46" s="1221"/>
      <c r="DYE46" s="1221"/>
      <c r="DYF46" s="1221"/>
      <c r="DYG46" s="1221"/>
      <c r="DYH46" s="1221"/>
      <c r="DYI46" s="1221"/>
      <c r="DYJ46" s="1221"/>
      <c r="DYK46" s="1221"/>
      <c r="DYL46" s="1221"/>
      <c r="DYM46" s="1221"/>
      <c r="DYN46" s="1221"/>
      <c r="DYO46" s="1221"/>
      <c r="DYP46" s="1221"/>
      <c r="DYQ46" s="1221"/>
      <c r="DYR46" s="1221"/>
      <c r="DYS46" s="1221"/>
      <c r="DYT46" s="1221"/>
      <c r="DYU46" s="1221"/>
      <c r="DYV46" s="1221"/>
      <c r="DYW46" s="1221"/>
      <c r="DYX46" s="1221"/>
      <c r="DYY46" s="1221"/>
      <c r="DYZ46" s="1221"/>
      <c r="DZA46" s="1221"/>
      <c r="DZB46" s="1221"/>
      <c r="DZC46" s="1221"/>
      <c r="DZD46" s="1221"/>
      <c r="DZE46" s="1221"/>
      <c r="DZF46" s="1221"/>
      <c r="DZG46" s="1221"/>
      <c r="DZH46" s="1221"/>
      <c r="DZI46" s="1221"/>
      <c r="DZJ46" s="1221"/>
      <c r="DZK46" s="1221"/>
      <c r="DZL46" s="1221"/>
      <c r="DZM46" s="1221"/>
      <c r="DZN46" s="1221"/>
      <c r="DZO46" s="1221"/>
      <c r="DZP46" s="1221"/>
      <c r="DZQ46" s="1221"/>
      <c r="DZR46" s="1221"/>
      <c r="DZS46" s="1221"/>
      <c r="DZT46" s="1221"/>
      <c r="DZU46" s="1221"/>
      <c r="DZV46" s="1221"/>
      <c r="DZW46" s="1221"/>
      <c r="DZX46" s="1221"/>
      <c r="DZY46" s="1221"/>
      <c r="DZZ46" s="1221"/>
      <c r="EAA46" s="1221"/>
      <c r="EAB46" s="1221"/>
      <c r="EAC46" s="1221"/>
      <c r="EAD46" s="1221"/>
      <c r="EAE46" s="1221"/>
      <c r="EAF46" s="1221"/>
      <c r="EAG46" s="1221"/>
      <c r="EAH46" s="1221"/>
      <c r="EAI46" s="1221"/>
      <c r="EAJ46" s="1221"/>
      <c r="EAK46" s="1221"/>
      <c r="EAL46" s="1221"/>
      <c r="EAM46" s="1221"/>
      <c r="EAN46" s="1221"/>
      <c r="EAO46" s="1221"/>
      <c r="EAP46" s="1221"/>
      <c r="EAQ46" s="1221"/>
      <c r="EAR46" s="1221"/>
      <c r="EAS46" s="1221"/>
      <c r="EAT46" s="1221"/>
      <c r="EAU46" s="1221"/>
      <c r="EAV46" s="1221"/>
      <c r="EAW46" s="1221"/>
      <c r="EAX46" s="1221"/>
      <c r="EAY46" s="1221"/>
      <c r="EAZ46" s="1221"/>
      <c r="EBA46" s="1221"/>
      <c r="EBB46" s="1221"/>
      <c r="EBC46" s="1221"/>
      <c r="EBD46" s="1221"/>
      <c r="EBE46" s="1221"/>
      <c r="EBF46" s="1221"/>
      <c r="EBG46" s="1221"/>
      <c r="EBH46" s="1221"/>
      <c r="EBI46" s="1221"/>
      <c r="EBJ46" s="1221"/>
      <c r="EBK46" s="1221"/>
      <c r="EBL46" s="1221"/>
      <c r="EBM46" s="1221"/>
      <c r="EBN46" s="1221"/>
      <c r="EBO46" s="1221"/>
      <c r="EBP46" s="1221"/>
      <c r="EBQ46" s="1221"/>
      <c r="EBR46" s="1221"/>
      <c r="EBS46" s="1221"/>
      <c r="EBT46" s="1221"/>
      <c r="EBU46" s="1221"/>
      <c r="EBV46" s="1221"/>
      <c r="EBW46" s="1221"/>
      <c r="EBX46" s="1221"/>
      <c r="EBY46" s="1221"/>
      <c r="EBZ46" s="1221"/>
      <c r="ECA46" s="1221"/>
      <c r="ECB46" s="1221"/>
      <c r="ECC46" s="1221"/>
      <c r="ECD46" s="1221"/>
      <c r="ECE46" s="1221"/>
      <c r="ECF46" s="1221"/>
      <c r="ECG46" s="1221"/>
      <c r="ECH46" s="1221"/>
      <c r="ECI46" s="1221"/>
      <c r="ECJ46" s="1221"/>
      <c r="ECK46" s="1221"/>
      <c r="ECL46" s="1221"/>
      <c r="ECM46" s="1221"/>
      <c r="ECN46" s="1221"/>
      <c r="ECO46" s="1221"/>
    </row>
    <row r="47" spans="2:3473" s="1248" customFormat="1" ht="13" outlineLevel="1">
      <c r="B47" s="1249" t="s">
        <v>1476</v>
      </c>
      <c r="C47" s="1250">
        <v>3</v>
      </c>
      <c r="D47" s="1251" t="s">
        <v>3155</v>
      </c>
      <c r="E47" s="1252">
        <f t="shared" si="90"/>
        <v>0</v>
      </c>
      <c r="F47" s="1252">
        <f t="shared" si="90"/>
        <v>0</v>
      </c>
      <c r="G47" s="1252">
        <f t="shared" si="90"/>
        <v>0</v>
      </c>
      <c r="H47" s="1252">
        <f t="shared" si="79"/>
        <v>0</v>
      </c>
      <c r="I47" s="1252">
        <f t="shared" si="79"/>
        <v>0</v>
      </c>
      <c r="J47" s="1252">
        <f t="shared" si="79"/>
        <v>0</v>
      </c>
      <c r="K47" s="1252">
        <f t="shared" si="79"/>
        <v>0</v>
      </c>
      <c r="L47" s="1252">
        <f t="shared" si="79"/>
        <v>0</v>
      </c>
      <c r="M47" s="1252">
        <f t="shared" si="79"/>
        <v>0</v>
      </c>
      <c r="N47" s="1252" t="str">
        <f t="shared" si="79"/>
        <v/>
      </c>
      <c r="O47" s="1252" t="str">
        <f t="shared" si="79"/>
        <v/>
      </c>
      <c r="P47" s="1252" t="str">
        <f t="shared" si="79"/>
        <v/>
      </c>
      <c r="Q47" s="1252">
        <f t="shared" si="79"/>
        <v>0</v>
      </c>
      <c r="R47" s="1252">
        <f t="shared" si="79"/>
        <v>0</v>
      </c>
      <c r="S47" s="1252">
        <f t="shared" si="8"/>
        <v>0</v>
      </c>
      <c r="T47" s="1252">
        <f t="shared" si="5"/>
        <v>0</v>
      </c>
      <c r="U47" s="1252">
        <f t="shared" si="5"/>
        <v>0</v>
      </c>
      <c r="V47" s="1252">
        <f t="shared" si="9"/>
        <v>0</v>
      </c>
      <c r="W47" s="1252" t="str">
        <f t="shared" si="10"/>
        <v/>
      </c>
      <c r="X47" s="1252" t="str">
        <f t="shared" si="10"/>
        <v/>
      </c>
      <c r="Y47" s="1252" t="str">
        <f t="shared" si="10"/>
        <v/>
      </c>
      <c r="Z47" s="1252">
        <f t="shared" si="78"/>
        <v>0</v>
      </c>
      <c r="AA47" s="1252">
        <f t="shared" si="78"/>
        <v>0</v>
      </c>
      <c r="AB47" s="1252">
        <f t="shared" si="78"/>
        <v>0</v>
      </c>
      <c r="AC47" s="1252">
        <f t="shared" si="15"/>
        <v>0</v>
      </c>
      <c r="AD47" s="1260">
        <f t="shared" si="15"/>
        <v>0</v>
      </c>
      <c r="AE47" s="1260">
        <f t="shared" si="15"/>
        <v>0</v>
      </c>
      <c r="AF47" s="1254"/>
      <c r="AG47" s="1255"/>
      <c r="AH47" s="1255"/>
      <c r="AI47" s="1256">
        <f>AJ47+AK47</f>
        <v>0</v>
      </c>
      <c r="AJ47" s="1256">
        <f>IF($BB47=0,0,$BB47*AJ$6/($BB$6-$AG$6))</f>
        <v>0</v>
      </c>
      <c r="AK47" s="1256">
        <f>IF($BC47=0,0,$BC47*AK$6/($BC$6-$AH$6))</f>
        <v>0</v>
      </c>
      <c r="AL47" s="1256">
        <f t="shared" si="20"/>
        <v>0</v>
      </c>
      <c r="AM47" s="1256">
        <f>IF($BB47=0,0,$BB47*AM$6/($BB$6-$AG$6))</f>
        <v>0</v>
      </c>
      <c r="AN47" s="1256">
        <f>IF($BC47=0,0,$BC47*AN$6/($BC$6-$AH$6))</f>
        <v>0</v>
      </c>
      <c r="AO47" s="1256">
        <f t="shared" si="21"/>
        <v>0</v>
      </c>
      <c r="AP47" s="1256">
        <f>IF($BB47=0,0,$BB47*AP$6/($BB$6-$AG$6))</f>
        <v>0</v>
      </c>
      <c r="AQ47" s="1256">
        <f>IF($BC47=0,0,$BC47*AQ$6/($BC$6-$AH$6))</f>
        <v>0</v>
      </c>
      <c r="AR47" s="1256">
        <f>AS47+AT47</f>
        <v>0</v>
      </c>
      <c r="AS47" s="1256">
        <f>IF($BB47=0,0,$BB47*AS$6/($BB$6-$AG$6))</f>
        <v>0</v>
      </c>
      <c r="AT47" s="1256">
        <f>IF($BC47=0,0,$BC47*AT$6/($BC$6-$AH$6))</f>
        <v>0</v>
      </c>
      <c r="AU47" s="1256">
        <f>AV47+AW47</f>
        <v>0</v>
      </c>
      <c r="AV47" s="1256">
        <f>IF($BB47=0,0,$BB47*AV$6/($BB$6-$AG$6))</f>
        <v>0</v>
      </c>
      <c r="AW47" s="1256">
        <f>IF($BC47=0,0,$BC47*AW$6/($BC$6-$AH$6))</f>
        <v>0</v>
      </c>
      <c r="AX47" s="1256"/>
      <c r="AY47" s="1256"/>
      <c r="AZ47" s="1256"/>
      <c r="BA47" s="1257">
        <f>BB47+BC47</f>
        <v>0</v>
      </c>
      <c r="BB47" s="1257">
        <f t="shared" si="93"/>
        <v>0</v>
      </c>
      <c r="BC47" s="1257">
        <f t="shared" si="93"/>
        <v>0</v>
      </c>
      <c r="BD47" s="1256">
        <f t="shared" si="94"/>
        <v>0</v>
      </c>
      <c r="BE47" s="1256">
        <v>0</v>
      </c>
      <c r="BF47" s="1256">
        <v>0</v>
      </c>
      <c r="BG47" s="1256">
        <f t="shared" si="95"/>
        <v>0</v>
      </c>
      <c r="BH47" s="1257">
        <f t="shared" si="96"/>
        <v>0</v>
      </c>
      <c r="BI47" s="1257">
        <f t="shared" si="96"/>
        <v>0</v>
      </c>
      <c r="BJ47" s="1257">
        <f>BK47+BL47</f>
        <v>0</v>
      </c>
      <c r="BK47" s="1256">
        <f>VLOOKUP($D47,'当期公摊测算表（全期）'!$D$9:$W$192,20,0)</f>
        <v>0</v>
      </c>
      <c r="BL47" s="1256">
        <f>VLOOKUP($D47,'当期公摊测算表（全期）'!$D$9:$W$192,19,0)</f>
        <v>0</v>
      </c>
      <c r="BM47" s="1262" t="s">
        <v>20</v>
      </c>
      <c r="BN47" s="1225">
        <f t="shared" si="12"/>
        <v>0</v>
      </c>
      <c r="BO47" s="1225">
        <f t="shared" si="13"/>
        <v>0</v>
      </c>
      <c r="BP47" s="1225">
        <f t="shared" si="14"/>
        <v>0</v>
      </c>
      <c r="BQ47" s="1225"/>
      <c r="BR47" s="1221"/>
      <c r="BS47" s="1221"/>
      <c r="BT47" s="1221"/>
      <c r="BU47" s="1221"/>
      <c r="BV47" s="1221"/>
      <c r="BW47" s="1221"/>
      <c r="BX47" s="1221"/>
      <c r="BY47" s="1221"/>
      <c r="BZ47" s="1221"/>
      <c r="CA47" s="1221"/>
      <c r="CB47" s="1221"/>
      <c r="CC47" s="1221"/>
      <c r="CD47" s="1221"/>
      <c r="CE47" s="1221"/>
      <c r="CF47" s="1221"/>
      <c r="CG47" s="1221"/>
      <c r="CH47" s="1221"/>
      <c r="CI47" s="1221"/>
      <c r="CJ47" s="1221"/>
      <c r="CK47" s="1221"/>
      <c r="CL47" s="1221"/>
      <c r="CM47" s="1221"/>
      <c r="CN47" s="1221"/>
      <c r="CO47" s="1221"/>
      <c r="CP47" s="1221"/>
      <c r="CQ47" s="1221"/>
      <c r="CR47" s="1221"/>
      <c r="CS47" s="1221"/>
      <c r="CT47" s="1221"/>
      <c r="CU47" s="1221"/>
      <c r="CV47" s="1221"/>
      <c r="CW47" s="1221"/>
      <c r="CX47" s="1221"/>
      <c r="CY47" s="1221"/>
      <c r="CZ47" s="1221"/>
      <c r="DA47" s="1221"/>
      <c r="DB47" s="1221"/>
      <c r="DC47" s="1221"/>
      <c r="DD47" s="1221"/>
      <c r="DE47" s="1221"/>
      <c r="DF47" s="1221"/>
      <c r="DG47" s="1221"/>
      <c r="DH47" s="1221"/>
      <c r="DI47" s="1221"/>
      <c r="DJ47" s="1221"/>
      <c r="DK47" s="1221"/>
      <c r="DL47" s="1221"/>
      <c r="DM47" s="1221"/>
      <c r="DN47" s="1221"/>
      <c r="DO47" s="1221"/>
      <c r="DP47" s="1221"/>
      <c r="DQ47" s="1221"/>
      <c r="DR47" s="1221"/>
      <c r="DS47" s="1221"/>
      <c r="DT47" s="1221"/>
      <c r="DU47" s="1221"/>
      <c r="DV47" s="1221"/>
      <c r="DW47" s="1221"/>
      <c r="DX47" s="1221"/>
      <c r="DY47" s="1221"/>
      <c r="DZ47" s="1221"/>
      <c r="EA47" s="1221"/>
      <c r="EB47" s="1221"/>
      <c r="EC47" s="1221"/>
      <c r="ED47" s="1221"/>
      <c r="EE47" s="1221"/>
      <c r="EF47" s="1221"/>
      <c r="EG47" s="1221"/>
      <c r="EH47" s="1221"/>
      <c r="EI47" s="1221"/>
      <c r="EJ47" s="1221"/>
      <c r="EK47" s="1221"/>
      <c r="EL47" s="1221"/>
      <c r="EM47" s="1221"/>
      <c r="EN47" s="1221"/>
      <c r="EO47" s="1221"/>
      <c r="EP47" s="1221"/>
      <c r="EQ47" s="1221"/>
      <c r="ER47" s="1221"/>
      <c r="ES47" s="1221"/>
      <c r="ET47" s="1221"/>
      <c r="EU47" s="1221"/>
      <c r="EV47" s="1221"/>
      <c r="EW47" s="1221"/>
      <c r="EX47" s="1221"/>
      <c r="EY47" s="1221"/>
      <c r="EZ47" s="1221"/>
      <c r="FA47" s="1221"/>
      <c r="FB47" s="1221"/>
      <c r="FC47" s="1221"/>
      <c r="FD47" s="1221"/>
      <c r="FE47" s="1221"/>
      <c r="FF47" s="1221"/>
      <c r="FG47" s="1221"/>
      <c r="FH47" s="1221"/>
      <c r="FI47" s="1221"/>
      <c r="FJ47" s="1221"/>
      <c r="FK47" s="1221"/>
      <c r="FL47" s="1221"/>
      <c r="FM47" s="1221"/>
      <c r="FN47" s="1221"/>
      <c r="FO47" s="1221"/>
      <c r="FP47" s="1221"/>
      <c r="FQ47" s="1221"/>
      <c r="FR47" s="1221"/>
      <c r="FS47" s="1221"/>
      <c r="FT47" s="1221"/>
      <c r="FU47" s="1221"/>
      <c r="FV47" s="1221"/>
      <c r="FW47" s="1221"/>
      <c r="FX47" s="1221"/>
      <c r="FY47" s="1221"/>
      <c r="FZ47" s="1221"/>
      <c r="GA47" s="1221"/>
      <c r="GB47" s="1221"/>
      <c r="GC47" s="1221"/>
      <c r="GD47" s="1221"/>
      <c r="GE47" s="1221"/>
      <c r="GF47" s="1221"/>
      <c r="GG47" s="1221"/>
      <c r="GH47" s="1221"/>
      <c r="GI47" s="1221"/>
      <c r="GJ47" s="1221"/>
      <c r="GK47" s="1221"/>
      <c r="GL47" s="1221"/>
      <c r="GM47" s="1221"/>
      <c r="GN47" s="1221"/>
      <c r="GO47" s="1221"/>
      <c r="GP47" s="1221"/>
      <c r="GQ47" s="1221"/>
      <c r="GR47" s="1221"/>
      <c r="GS47" s="1221"/>
      <c r="GT47" s="1221"/>
      <c r="GU47" s="1221"/>
      <c r="GV47" s="1221"/>
      <c r="GW47" s="1221"/>
      <c r="GX47" s="1221"/>
      <c r="GY47" s="1221"/>
      <c r="GZ47" s="1221"/>
      <c r="HA47" s="1221"/>
      <c r="HB47" s="1221"/>
      <c r="HC47" s="1221"/>
      <c r="HD47" s="1221"/>
      <c r="HE47" s="1221"/>
      <c r="HF47" s="1221"/>
      <c r="HG47" s="1221"/>
      <c r="HH47" s="1221"/>
      <c r="HI47" s="1221"/>
      <c r="HJ47" s="1221"/>
      <c r="HK47" s="1221"/>
      <c r="HL47" s="1221"/>
      <c r="HM47" s="1221"/>
      <c r="HN47" s="1221"/>
      <c r="HO47" s="1221"/>
      <c r="HP47" s="1221"/>
      <c r="HQ47" s="1221"/>
      <c r="HR47" s="1221"/>
      <c r="HS47" s="1221"/>
      <c r="HT47" s="1221"/>
      <c r="HU47" s="1221"/>
      <c r="HV47" s="1221"/>
      <c r="HW47" s="1221"/>
      <c r="HX47" s="1221"/>
      <c r="HY47" s="1221"/>
      <c r="HZ47" s="1221"/>
      <c r="IA47" s="1221"/>
      <c r="IB47" s="1221"/>
      <c r="IC47" s="1221"/>
      <c r="ID47" s="1221"/>
      <c r="IE47" s="1221"/>
      <c r="IF47" s="1221"/>
      <c r="IG47" s="1221"/>
      <c r="IH47" s="1221"/>
      <c r="II47" s="1221"/>
      <c r="IJ47" s="1221"/>
      <c r="IK47" s="1221"/>
      <c r="IL47" s="1221"/>
      <c r="IM47" s="1221"/>
      <c r="IN47" s="1221"/>
      <c r="IO47" s="1221"/>
      <c r="IP47" s="1221"/>
      <c r="IQ47" s="1221"/>
      <c r="IR47" s="1221"/>
      <c r="IS47" s="1221"/>
      <c r="IT47" s="1221"/>
      <c r="IU47" s="1221"/>
      <c r="IV47" s="1221"/>
      <c r="IW47" s="1221"/>
      <c r="IX47" s="1221"/>
      <c r="IY47" s="1221"/>
      <c r="IZ47" s="1221"/>
      <c r="JA47" s="1221"/>
      <c r="JB47" s="1221"/>
      <c r="JC47" s="1221"/>
      <c r="JD47" s="1221"/>
      <c r="JE47" s="1221"/>
      <c r="JF47" s="1221"/>
      <c r="JG47" s="1221"/>
      <c r="JH47" s="1221"/>
      <c r="JI47" s="1221"/>
      <c r="JJ47" s="1221"/>
      <c r="JK47" s="1221"/>
      <c r="JL47" s="1221"/>
      <c r="JM47" s="1221"/>
      <c r="JN47" s="1221"/>
      <c r="JO47" s="1221"/>
      <c r="JP47" s="1221"/>
      <c r="JQ47" s="1221"/>
      <c r="JR47" s="1221"/>
      <c r="JS47" s="1221"/>
      <c r="JT47" s="1221"/>
      <c r="JU47" s="1221"/>
      <c r="JV47" s="1221"/>
      <c r="JW47" s="1221"/>
      <c r="JX47" s="1221"/>
      <c r="JY47" s="1221"/>
      <c r="JZ47" s="1221"/>
      <c r="KA47" s="1221"/>
      <c r="KB47" s="1221"/>
      <c r="KC47" s="1221"/>
      <c r="KD47" s="1221"/>
      <c r="KE47" s="1221"/>
      <c r="KF47" s="1221"/>
      <c r="KG47" s="1221"/>
      <c r="KH47" s="1221"/>
      <c r="KI47" s="1221"/>
      <c r="KJ47" s="1221"/>
      <c r="KK47" s="1221"/>
      <c r="KL47" s="1221"/>
      <c r="KM47" s="1221"/>
      <c r="KN47" s="1221"/>
      <c r="KO47" s="1221"/>
      <c r="KP47" s="1221"/>
      <c r="KQ47" s="1221"/>
      <c r="KR47" s="1221"/>
      <c r="KS47" s="1221"/>
      <c r="KT47" s="1221"/>
      <c r="KU47" s="1221"/>
      <c r="KV47" s="1221"/>
      <c r="KW47" s="1221"/>
      <c r="KX47" s="1221"/>
      <c r="KY47" s="1221"/>
      <c r="KZ47" s="1221"/>
      <c r="LA47" s="1221"/>
      <c r="LB47" s="1221"/>
      <c r="LC47" s="1221"/>
      <c r="LD47" s="1221"/>
      <c r="LE47" s="1221"/>
      <c r="LF47" s="1221"/>
      <c r="LG47" s="1221"/>
      <c r="LH47" s="1221"/>
      <c r="LI47" s="1221"/>
      <c r="LJ47" s="1221"/>
      <c r="LK47" s="1221"/>
      <c r="LL47" s="1221"/>
      <c r="LM47" s="1221"/>
      <c r="LN47" s="1221"/>
      <c r="LO47" s="1221"/>
      <c r="LP47" s="1221"/>
      <c r="LQ47" s="1221"/>
      <c r="LR47" s="1221"/>
      <c r="LS47" s="1221"/>
      <c r="LT47" s="1221"/>
      <c r="LU47" s="1221"/>
      <c r="LV47" s="1221"/>
      <c r="LW47" s="1221"/>
      <c r="LX47" s="1221"/>
      <c r="LY47" s="1221"/>
      <c r="LZ47" s="1221"/>
      <c r="MA47" s="1221"/>
      <c r="MB47" s="1221"/>
      <c r="MC47" s="1221"/>
      <c r="MD47" s="1221"/>
      <c r="ME47" s="1221"/>
      <c r="MF47" s="1221"/>
      <c r="MG47" s="1221"/>
      <c r="MH47" s="1221"/>
      <c r="MI47" s="1221"/>
      <c r="MJ47" s="1221"/>
      <c r="MK47" s="1221"/>
      <c r="ML47" s="1221"/>
      <c r="MM47" s="1221"/>
      <c r="MN47" s="1221"/>
      <c r="MO47" s="1221"/>
      <c r="MP47" s="1221"/>
      <c r="MQ47" s="1221"/>
      <c r="MR47" s="1221"/>
      <c r="MS47" s="1221"/>
      <c r="MT47" s="1221"/>
      <c r="MU47" s="1221"/>
      <c r="MV47" s="1221"/>
      <c r="MW47" s="1221"/>
      <c r="MX47" s="1221"/>
      <c r="MY47" s="1221"/>
      <c r="MZ47" s="1221"/>
      <c r="NA47" s="1221"/>
      <c r="NB47" s="1221"/>
      <c r="NC47" s="1221"/>
      <c r="ND47" s="1221"/>
      <c r="NE47" s="1221"/>
      <c r="NF47" s="1221"/>
      <c r="NG47" s="1221"/>
      <c r="NH47" s="1221"/>
      <c r="NI47" s="1221"/>
      <c r="NJ47" s="1221"/>
      <c r="NK47" s="1221"/>
      <c r="NL47" s="1221"/>
      <c r="NM47" s="1221"/>
      <c r="NN47" s="1221"/>
      <c r="NO47" s="1221"/>
      <c r="NP47" s="1221"/>
      <c r="NQ47" s="1221"/>
      <c r="NR47" s="1221"/>
      <c r="NS47" s="1221"/>
      <c r="NT47" s="1221"/>
      <c r="NU47" s="1221"/>
      <c r="NV47" s="1221"/>
      <c r="NW47" s="1221"/>
      <c r="NX47" s="1221"/>
      <c r="NY47" s="1221"/>
      <c r="NZ47" s="1221"/>
      <c r="OA47" s="1221"/>
      <c r="OB47" s="1221"/>
      <c r="OC47" s="1221"/>
      <c r="OD47" s="1221"/>
      <c r="OE47" s="1221"/>
      <c r="OF47" s="1221"/>
      <c r="OG47" s="1221"/>
      <c r="OH47" s="1221"/>
      <c r="OI47" s="1221"/>
      <c r="OJ47" s="1221"/>
      <c r="OK47" s="1221"/>
      <c r="OL47" s="1221"/>
      <c r="OM47" s="1221"/>
      <c r="ON47" s="1221"/>
      <c r="OO47" s="1221"/>
      <c r="OP47" s="1221"/>
      <c r="OQ47" s="1221"/>
      <c r="OR47" s="1221"/>
      <c r="OS47" s="1221"/>
      <c r="OT47" s="1221"/>
      <c r="OU47" s="1221"/>
      <c r="OV47" s="1221"/>
      <c r="OW47" s="1221"/>
      <c r="OX47" s="1221"/>
      <c r="OY47" s="1221"/>
      <c r="OZ47" s="1221"/>
      <c r="PA47" s="1221"/>
      <c r="PB47" s="1221"/>
      <c r="PC47" s="1221"/>
      <c r="PD47" s="1221"/>
      <c r="PE47" s="1221"/>
      <c r="PF47" s="1221"/>
      <c r="PG47" s="1221"/>
      <c r="PH47" s="1221"/>
      <c r="PI47" s="1221"/>
      <c r="PJ47" s="1221"/>
      <c r="PK47" s="1221"/>
      <c r="PL47" s="1221"/>
      <c r="PM47" s="1221"/>
      <c r="PN47" s="1221"/>
      <c r="PO47" s="1221"/>
      <c r="PP47" s="1221"/>
      <c r="PQ47" s="1221"/>
      <c r="PR47" s="1221"/>
      <c r="PS47" s="1221"/>
      <c r="PT47" s="1221"/>
      <c r="PU47" s="1221"/>
      <c r="PV47" s="1221"/>
      <c r="PW47" s="1221"/>
      <c r="PX47" s="1221"/>
      <c r="PY47" s="1221"/>
      <c r="PZ47" s="1221"/>
      <c r="QA47" s="1221"/>
      <c r="QB47" s="1221"/>
      <c r="QC47" s="1221"/>
      <c r="QD47" s="1221"/>
      <c r="QE47" s="1221"/>
      <c r="QF47" s="1221"/>
      <c r="QG47" s="1221"/>
      <c r="QH47" s="1221"/>
      <c r="QI47" s="1221"/>
      <c r="QJ47" s="1221"/>
      <c r="QK47" s="1221"/>
      <c r="QL47" s="1221"/>
      <c r="QM47" s="1221"/>
      <c r="QN47" s="1221"/>
      <c r="QO47" s="1221"/>
      <c r="QP47" s="1221"/>
      <c r="QQ47" s="1221"/>
      <c r="QR47" s="1221"/>
      <c r="QS47" s="1221"/>
      <c r="QT47" s="1221"/>
      <c r="QU47" s="1221"/>
      <c r="QV47" s="1221"/>
      <c r="QW47" s="1221"/>
      <c r="QX47" s="1221"/>
      <c r="QY47" s="1221"/>
      <c r="QZ47" s="1221"/>
      <c r="RA47" s="1221"/>
      <c r="RB47" s="1221"/>
      <c r="RC47" s="1221"/>
      <c r="RD47" s="1221"/>
      <c r="RE47" s="1221"/>
      <c r="RF47" s="1221"/>
      <c r="RG47" s="1221"/>
      <c r="RH47" s="1221"/>
      <c r="RI47" s="1221"/>
      <c r="RJ47" s="1221"/>
      <c r="RK47" s="1221"/>
      <c r="RL47" s="1221"/>
      <c r="RM47" s="1221"/>
      <c r="RN47" s="1221"/>
      <c r="RO47" s="1221"/>
      <c r="RP47" s="1221"/>
      <c r="RQ47" s="1221"/>
      <c r="RR47" s="1221"/>
      <c r="RS47" s="1221"/>
      <c r="RT47" s="1221"/>
      <c r="RU47" s="1221"/>
      <c r="RV47" s="1221"/>
      <c r="RW47" s="1221"/>
      <c r="RX47" s="1221"/>
      <c r="RY47" s="1221"/>
      <c r="RZ47" s="1221"/>
      <c r="SA47" s="1221"/>
      <c r="SB47" s="1221"/>
      <c r="SC47" s="1221"/>
      <c r="SD47" s="1221"/>
      <c r="SE47" s="1221"/>
      <c r="SF47" s="1221"/>
      <c r="SG47" s="1221"/>
      <c r="SH47" s="1221"/>
      <c r="SI47" s="1221"/>
      <c r="SJ47" s="1221"/>
      <c r="SK47" s="1221"/>
      <c r="SL47" s="1221"/>
      <c r="SM47" s="1221"/>
      <c r="SN47" s="1221"/>
      <c r="SO47" s="1221"/>
      <c r="SP47" s="1221"/>
      <c r="SQ47" s="1221"/>
      <c r="SR47" s="1221"/>
      <c r="SS47" s="1221"/>
      <c r="ST47" s="1221"/>
      <c r="SU47" s="1221"/>
      <c r="SV47" s="1221"/>
      <c r="SW47" s="1221"/>
      <c r="SX47" s="1221"/>
      <c r="SY47" s="1221"/>
      <c r="SZ47" s="1221"/>
      <c r="TA47" s="1221"/>
      <c r="TB47" s="1221"/>
      <c r="TC47" s="1221"/>
      <c r="TD47" s="1221"/>
      <c r="TE47" s="1221"/>
      <c r="TF47" s="1221"/>
      <c r="TG47" s="1221"/>
      <c r="TH47" s="1221"/>
      <c r="TI47" s="1221"/>
      <c r="TJ47" s="1221"/>
      <c r="TK47" s="1221"/>
      <c r="TL47" s="1221"/>
      <c r="TM47" s="1221"/>
      <c r="TN47" s="1221"/>
      <c r="TO47" s="1221"/>
      <c r="TP47" s="1221"/>
      <c r="TQ47" s="1221"/>
      <c r="TR47" s="1221"/>
      <c r="TS47" s="1221"/>
      <c r="TT47" s="1221"/>
      <c r="TU47" s="1221"/>
      <c r="TV47" s="1221"/>
      <c r="TW47" s="1221"/>
      <c r="TX47" s="1221"/>
      <c r="TY47" s="1221"/>
      <c r="TZ47" s="1221"/>
      <c r="UA47" s="1221"/>
      <c r="UB47" s="1221"/>
      <c r="UC47" s="1221"/>
      <c r="UD47" s="1221"/>
      <c r="UE47" s="1221"/>
      <c r="UF47" s="1221"/>
      <c r="UG47" s="1221"/>
      <c r="UH47" s="1221"/>
      <c r="UI47" s="1221"/>
      <c r="UJ47" s="1221"/>
      <c r="UK47" s="1221"/>
      <c r="UL47" s="1221"/>
      <c r="UM47" s="1221"/>
      <c r="UN47" s="1221"/>
      <c r="UO47" s="1221"/>
      <c r="UP47" s="1221"/>
      <c r="UQ47" s="1221"/>
      <c r="UR47" s="1221"/>
      <c r="US47" s="1221"/>
      <c r="UT47" s="1221"/>
      <c r="UU47" s="1221"/>
      <c r="UV47" s="1221"/>
      <c r="UW47" s="1221"/>
      <c r="UX47" s="1221"/>
      <c r="UY47" s="1221"/>
      <c r="UZ47" s="1221"/>
      <c r="VA47" s="1221"/>
      <c r="VB47" s="1221"/>
      <c r="VC47" s="1221"/>
      <c r="VD47" s="1221"/>
      <c r="VE47" s="1221"/>
      <c r="VF47" s="1221"/>
      <c r="VG47" s="1221"/>
      <c r="VH47" s="1221"/>
      <c r="VI47" s="1221"/>
      <c r="VJ47" s="1221"/>
      <c r="VK47" s="1221"/>
      <c r="VL47" s="1221"/>
      <c r="VM47" s="1221"/>
      <c r="VN47" s="1221"/>
      <c r="VO47" s="1221"/>
      <c r="VP47" s="1221"/>
      <c r="VQ47" s="1221"/>
      <c r="VR47" s="1221"/>
      <c r="VS47" s="1221"/>
      <c r="VT47" s="1221"/>
      <c r="VU47" s="1221"/>
      <c r="VV47" s="1221"/>
      <c r="VW47" s="1221"/>
      <c r="VX47" s="1221"/>
      <c r="VY47" s="1221"/>
      <c r="VZ47" s="1221"/>
      <c r="WA47" s="1221"/>
      <c r="WB47" s="1221"/>
      <c r="WC47" s="1221"/>
      <c r="WD47" s="1221"/>
      <c r="WE47" s="1221"/>
      <c r="WF47" s="1221"/>
      <c r="WG47" s="1221"/>
      <c r="WH47" s="1221"/>
      <c r="WI47" s="1221"/>
      <c r="WJ47" s="1221"/>
      <c r="WK47" s="1221"/>
      <c r="WL47" s="1221"/>
      <c r="WM47" s="1221"/>
      <c r="WN47" s="1221"/>
      <c r="WO47" s="1221"/>
      <c r="WP47" s="1221"/>
      <c r="WQ47" s="1221"/>
      <c r="WR47" s="1221"/>
      <c r="WS47" s="1221"/>
      <c r="WT47" s="1221"/>
      <c r="WU47" s="1221"/>
      <c r="WV47" s="1221"/>
      <c r="WW47" s="1221"/>
      <c r="WX47" s="1221"/>
      <c r="WY47" s="1221"/>
      <c r="WZ47" s="1221"/>
      <c r="XA47" s="1221"/>
      <c r="XB47" s="1221"/>
      <c r="XC47" s="1221"/>
      <c r="XD47" s="1221"/>
      <c r="XE47" s="1221"/>
      <c r="XF47" s="1221"/>
      <c r="XG47" s="1221"/>
      <c r="XH47" s="1221"/>
      <c r="XI47" s="1221"/>
      <c r="XJ47" s="1221"/>
      <c r="XK47" s="1221"/>
      <c r="XL47" s="1221"/>
      <c r="XM47" s="1221"/>
      <c r="XN47" s="1221"/>
      <c r="XO47" s="1221"/>
      <c r="XP47" s="1221"/>
      <c r="XQ47" s="1221"/>
      <c r="XR47" s="1221"/>
      <c r="XS47" s="1221"/>
      <c r="XT47" s="1221"/>
      <c r="XU47" s="1221"/>
      <c r="XV47" s="1221"/>
      <c r="XW47" s="1221"/>
      <c r="XX47" s="1221"/>
      <c r="XY47" s="1221"/>
      <c r="XZ47" s="1221"/>
      <c r="YA47" s="1221"/>
      <c r="YB47" s="1221"/>
      <c r="YC47" s="1221"/>
      <c r="YD47" s="1221"/>
      <c r="YE47" s="1221"/>
      <c r="YF47" s="1221"/>
      <c r="YG47" s="1221"/>
      <c r="YH47" s="1221"/>
      <c r="YI47" s="1221"/>
      <c r="YJ47" s="1221"/>
      <c r="YK47" s="1221"/>
      <c r="YL47" s="1221"/>
      <c r="YM47" s="1221"/>
      <c r="YN47" s="1221"/>
      <c r="YO47" s="1221"/>
      <c r="YP47" s="1221"/>
      <c r="YQ47" s="1221"/>
      <c r="YR47" s="1221"/>
      <c r="YS47" s="1221"/>
      <c r="YT47" s="1221"/>
      <c r="YU47" s="1221"/>
      <c r="YV47" s="1221"/>
      <c r="YW47" s="1221"/>
      <c r="YX47" s="1221"/>
      <c r="YY47" s="1221"/>
      <c r="YZ47" s="1221"/>
      <c r="ZA47" s="1221"/>
      <c r="ZB47" s="1221"/>
      <c r="ZC47" s="1221"/>
      <c r="ZD47" s="1221"/>
      <c r="ZE47" s="1221"/>
      <c r="ZF47" s="1221"/>
      <c r="ZG47" s="1221"/>
      <c r="ZH47" s="1221"/>
      <c r="ZI47" s="1221"/>
      <c r="ZJ47" s="1221"/>
      <c r="ZK47" s="1221"/>
      <c r="ZL47" s="1221"/>
      <c r="ZM47" s="1221"/>
      <c r="ZN47" s="1221"/>
      <c r="ZO47" s="1221"/>
      <c r="ZP47" s="1221"/>
      <c r="ZQ47" s="1221"/>
      <c r="ZR47" s="1221"/>
      <c r="ZS47" s="1221"/>
      <c r="ZT47" s="1221"/>
      <c r="ZU47" s="1221"/>
      <c r="ZV47" s="1221"/>
      <c r="ZW47" s="1221"/>
      <c r="ZX47" s="1221"/>
      <c r="ZY47" s="1221"/>
      <c r="ZZ47" s="1221"/>
      <c r="AAA47" s="1221"/>
      <c r="AAB47" s="1221"/>
      <c r="AAC47" s="1221"/>
      <c r="AAD47" s="1221"/>
      <c r="AAE47" s="1221"/>
      <c r="AAF47" s="1221"/>
      <c r="AAG47" s="1221"/>
      <c r="AAH47" s="1221"/>
      <c r="AAI47" s="1221"/>
      <c r="AAJ47" s="1221"/>
      <c r="AAK47" s="1221"/>
      <c r="AAL47" s="1221"/>
      <c r="AAM47" s="1221"/>
      <c r="AAN47" s="1221"/>
      <c r="AAO47" s="1221"/>
      <c r="AAP47" s="1221"/>
      <c r="AAQ47" s="1221"/>
      <c r="AAR47" s="1221"/>
      <c r="AAS47" s="1221"/>
      <c r="AAT47" s="1221"/>
      <c r="AAU47" s="1221"/>
      <c r="AAV47" s="1221"/>
      <c r="AAW47" s="1221"/>
      <c r="AAX47" s="1221"/>
      <c r="AAY47" s="1221"/>
      <c r="AAZ47" s="1221"/>
      <c r="ABA47" s="1221"/>
      <c r="ABB47" s="1221"/>
      <c r="ABC47" s="1221"/>
      <c r="ABD47" s="1221"/>
      <c r="ABE47" s="1221"/>
      <c r="ABF47" s="1221"/>
      <c r="ABG47" s="1221"/>
      <c r="ABH47" s="1221"/>
      <c r="ABI47" s="1221"/>
      <c r="ABJ47" s="1221"/>
      <c r="ABK47" s="1221"/>
      <c r="ABL47" s="1221"/>
      <c r="ABM47" s="1221"/>
      <c r="ABN47" s="1221"/>
      <c r="ABO47" s="1221"/>
      <c r="ABP47" s="1221"/>
      <c r="ABQ47" s="1221"/>
      <c r="ABR47" s="1221"/>
      <c r="ABS47" s="1221"/>
      <c r="ABT47" s="1221"/>
      <c r="ABU47" s="1221"/>
      <c r="ABV47" s="1221"/>
      <c r="ABW47" s="1221"/>
      <c r="ABX47" s="1221"/>
      <c r="ABY47" s="1221"/>
      <c r="ABZ47" s="1221"/>
      <c r="ACA47" s="1221"/>
      <c r="ACB47" s="1221"/>
      <c r="ACC47" s="1221"/>
      <c r="ACD47" s="1221"/>
      <c r="ACE47" s="1221"/>
      <c r="ACF47" s="1221"/>
      <c r="ACG47" s="1221"/>
      <c r="ACH47" s="1221"/>
      <c r="ACI47" s="1221"/>
      <c r="ACJ47" s="1221"/>
      <c r="ACK47" s="1221"/>
      <c r="ACL47" s="1221"/>
      <c r="ACM47" s="1221"/>
      <c r="ACN47" s="1221"/>
      <c r="ACO47" s="1221"/>
      <c r="ACP47" s="1221"/>
      <c r="ACQ47" s="1221"/>
      <c r="ACR47" s="1221"/>
      <c r="ACS47" s="1221"/>
      <c r="ACT47" s="1221"/>
      <c r="ACU47" s="1221"/>
      <c r="ACV47" s="1221"/>
      <c r="ACW47" s="1221"/>
      <c r="ACX47" s="1221"/>
      <c r="ACY47" s="1221"/>
      <c r="ACZ47" s="1221"/>
      <c r="ADA47" s="1221"/>
      <c r="ADB47" s="1221"/>
      <c r="ADC47" s="1221"/>
      <c r="ADD47" s="1221"/>
      <c r="ADE47" s="1221"/>
      <c r="ADF47" s="1221"/>
      <c r="ADG47" s="1221"/>
      <c r="ADH47" s="1221"/>
      <c r="ADI47" s="1221"/>
      <c r="ADJ47" s="1221"/>
      <c r="ADK47" s="1221"/>
      <c r="ADL47" s="1221"/>
      <c r="ADM47" s="1221"/>
      <c r="ADN47" s="1221"/>
      <c r="ADO47" s="1221"/>
      <c r="ADP47" s="1221"/>
      <c r="ADQ47" s="1221"/>
      <c r="ADR47" s="1221"/>
      <c r="ADS47" s="1221"/>
      <c r="ADT47" s="1221"/>
      <c r="ADU47" s="1221"/>
      <c r="ADV47" s="1221"/>
      <c r="ADW47" s="1221"/>
      <c r="ADX47" s="1221"/>
      <c r="ADY47" s="1221"/>
      <c r="ADZ47" s="1221"/>
      <c r="AEA47" s="1221"/>
      <c r="AEB47" s="1221"/>
      <c r="AEC47" s="1221"/>
      <c r="AED47" s="1221"/>
      <c r="AEE47" s="1221"/>
      <c r="AEF47" s="1221"/>
      <c r="AEG47" s="1221"/>
      <c r="AEH47" s="1221"/>
      <c r="AEI47" s="1221"/>
      <c r="AEJ47" s="1221"/>
      <c r="AEK47" s="1221"/>
      <c r="AEL47" s="1221"/>
      <c r="AEM47" s="1221"/>
      <c r="AEN47" s="1221"/>
      <c r="AEO47" s="1221"/>
      <c r="AEP47" s="1221"/>
      <c r="AEQ47" s="1221"/>
      <c r="AER47" s="1221"/>
      <c r="AES47" s="1221"/>
      <c r="AET47" s="1221"/>
      <c r="AEU47" s="1221"/>
      <c r="AEV47" s="1221"/>
      <c r="AEW47" s="1221"/>
      <c r="AEX47" s="1221"/>
      <c r="AEY47" s="1221"/>
      <c r="AEZ47" s="1221"/>
      <c r="AFA47" s="1221"/>
      <c r="AFB47" s="1221"/>
      <c r="AFC47" s="1221"/>
      <c r="AFD47" s="1221"/>
      <c r="AFE47" s="1221"/>
      <c r="AFF47" s="1221"/>
      <c r="AFG47" s="1221"/>
      <c r="AFH47" s="1221"/>
      <c r="AFI47" s="1221"/>
      <c r="AFJ47" s="1221"/>
      <c r="AFK47" s="1221"/>
      <c r="AFL47" s="1221"/>
      <c r="AFM47" s="1221"/>
      <c r="AFN47" s="1221"/>
      <c r="AFO47" s="1221"/>
      <c r="AFP47" s="1221"/>
      <c r="AFQ47" s="1221"/>
      <c r="AFR47" s="1221"/>
      <c r="AFS47" s="1221"/>
      <c r="AFT47" s="1221"/>
      <c r="AFU47" s="1221"/>
      <c r="AFV47" s="1221"/>
      <c r="AFW47" s="1221"/>
      <c r="AFX47" s="1221"/>
      <c r="AFY47" s="1221"/>
      <c r="AFZ47" s="1221"/>
      <c r="AGA47" s="1221"/>
      <c r="AGB47" s="1221"/>
      <c r="AGC47" s="1221"/>
      <c r="AGD47" s="1221"/>
      <c r="AGE47" s="1221"/>
      <c r="AGF47" s="1221"/>
      <c r="AGG47" s="1221"/>
      <c r="AGH47" s="1221"/>
      <c r="AGI47" s="1221"/>
      <c r="AGJ47" s="1221"/>
      <c r="AGK47" s="1221"/>
      <c r="AGL47" s="1221"/>
      <c r="AGM47" s="1221"/>
      <c r="AGN47" s="1221"/>
      <c r="AGO47" s="1221"/>
      <c r="AGP47" s="1221"/>
      <c r="AGQ47" s="1221"/>
      <c r="AGR47" s="1221"/>
      <c r="AGS47" s="1221"/>
      <c r="AGT47" s="1221"/>
      <c r="AGU47" s="1221"/>
      <c r="AGV47" s="1221"/>
      <c r="AGW47" s="1221"/>
      <c r="AGX47" s="1221"/>
      <c r="AGY47" s="1221"/>
      <c r="AGZ47" s="1221"/>
      <c r="AHA47" s="1221"/>
      <c r="AHB47" s="1221"/>
      <c r="AHC47" s="1221"/>
      <c r="AHD47" s="1221"/>
      <c r="AHE47" s="1221"/>
      <c r="AHF47" s="1221"/>
      <c r="AHG47" s="1221"/>
      <c r="AHH47" s="1221"/>
      <c r="AHI47" s="1221"/>
      <c r="AHJ47" s="1221"/>
      <c r="AHK47" s="1221"/>
      <c r="AHL47" s="1221"/>
      <c r="AHM47" s="1221"/>
      <c r="AHN47" s="1221"/>
      <c r="AHO47" s="1221"/>
      <c r="AHP47" s="1221"/>
      <c r="AHQ47" s="1221"/>
      <c r="AHR47" s="1221"/>
      <c r="AHS47" s="1221"/>
      <c r="AHT47" s="1221"/>
      <c r="AHU47" s="1221"/>
      <c r="AHV47" s="1221"/>
      <c r="AHW47" s="1221"/>
      <c r="AHX47" s="1221"/>
      <c r="AHY47" s="1221"/>
      <c r="AHZ47" s="1221"/>
      <c r="AIA47" s="1221"/>
      <c r="AIB47" s="1221"/>
      <c r="AIC47" s="1221"/>
      <c r="AID47" s="1221"/>
      <c r="AIE47" s="1221"/>
      <c r="AIF47" s="1221"/>
      <c r="AIG47" s="1221"/>
      <c r="AIH47" s="1221"/>
      <c r="AII47" s="1221"/>
      <c r="AIJ47" s="1221"/>
      <c r="AIK47" s="1221"/>
      <c r="AIL47" s="1221"/>
      <c r="AIM47" s="1221"/>
      <c r="AIN47" s="1221"/>
      <c r="AIO47" s="1221"/>
      <c r="AIP47" s="1221"/>
      <c r="AIQ47" s="1221"/>
      <c r="AIR47" s="1221"/>
      <c r="AIS47" s="1221"/>
      <c r="AIT47" s="1221"/>
      <c r="AIU47" s="1221"/>
      <c r="AIV47" s="1221"/>
      <c r="AIW47" s="1221"/>
      <c r="AIX47" s="1221"/>
      <c r="AIY47" s="1221"/>
      <c r="AIZ47" s="1221"/>
      <c r="AJA47" s="1221"/>
      <c r="AJB47" s="1221"/>
      <c r="AJC47" s="1221"/>
      <c r="AJD47" s="1221"/>
      <c r="AJE47" s="1221"/>
      <c r="AJF47" s="1221"/>
      <c r="AJG47" s="1221"/>
      <c r="AJH47" s="1221"/>
      <c r="AJI47" s="1221"/>
      <c r="AJJ47" s="1221"/>
      <c r="AJK47" s="1221"/>
      <c r="AJL47" s="1221"/>
      <c r="AJM47" s="1221"/>
      <c r="AJN47" s="1221"/>
      <c r="AJO47" s="1221"/>
      <c r="AJP47" s="1221"/>
      <c r="AJQ47" s="1221"/>
      <c r="AJR47" s="1221"/>
      <c r="AJS47" s="1221"/>
      <c r="AJT47" s="1221"/>
      <c r="AJU47" s="1221"/>
      <c r="AJV47" s="1221"/>
      <c r="AJW47" s="1221"/>
      <c r="AJX47" s="1221"/>
      <c r="AJY47" s="1221"/>
      <c r="AJZ47" s="1221"/>
      <c r="AKA47" s="1221"/>
      <c r="AKB47" s="1221"/>
      <c r="AKC47" s="1221"/>
      <c r="AKD47" s="1221"/>
      <c r="AKE47" s="1221"/>
      <c r="AKF47" s="1221"/>
      <c r="AKG47" s="1221"/>
      <c r="AKH47" s="1221"/>
      <c r="AKI47" s="1221"/>
      <c r="AKJ47" s="1221"/>
      <c r="AKK47" s="1221"/>
      <c r="AKL47" s="1221"/>
      <c r="AKM47" s="1221"/>
      <c r="AKN47" s="1221"/>
      <c r="AKO47" s="1221"/>
      <c r="AKP47" s="1221"/>
      <c r="AKQ47" s="1221"/>
      <c r="AKR47" s="1221"/>
      <c r="AKS47" s="1221"/>
      <c r="AKT47" s="1221"/>
      <c r="AKU47" s="1221"/>
      <c r="AKV47" s="1221"/>
      <c r="AKW47" s="1221"/>
      <c r="AKX47" s="1221"/>
      <c r="AKY47" s="1221"/>
      <c r="AKZ47" s="1221"/>
      <c r="ALA47" s="1221"/>
      <c r="ALB47" s="1221"/>
      <c r="ALC47" s="1221"/>
      <c r="ALD47" s="1221"/>
      <c r="ALE47" s="1221"/>
      <c r="ALF47" s="1221"/>
      <c r="ALG47" s="1221"/>
      <c r="ALH47" s="1221"/>
      <c r="ALI47" s="1221"/>
      <c r="ALJ47" s="1221"/>
      <c r="ALK47" s="1221"/>
      <c r="ALL47" s="1221"/>
      <c r="ALM47" s="1221"/>
      <c r="ALN47" s="1221"/>
      <c r="ALO47" s="1221"/>
      <c r="ALP47" s="1221"/>
      <c r="ALQ47" s="1221"/>
      <c r="ALR47" s="1221"/>
      <c r="ALS47" s="1221"/>
      <c r="ALT47" s="1221"/>
      <c r="ALU47" s="1221"/>
      <c r="ALV47" s="1221"/>
      <c r="ALW47" s="1221"/>
      <c r="ALX47" s="1221"/>
      <c r="ALY47" s="1221"/>
      <c r="ALZ47" s="1221"/>
      <c r="AMA47" s="1221"/>
      <c r="AMB47" s="1221"/>
      <c r="AMC47" s="1221"/>
      <c r="AMD47" s="1221"/>
      <c r="AME47" s="1221"/>
      <c r="AMF47" s="1221"/>
      <c r="AMG47" s="1221"/>
      <c r="AMH47" s="1221"/>
      <c r="AMI47" s="1221"/>
      <c r="AMJ47" s="1221"/>
      <c r="AMK47" s="1221"/>
      <c r="AML47" s="1221"/>
      <c r="AMM47" s="1221"/>
      <c r="AMN47" s="1221"/>
      <c r="AMO47" s="1221"/>
      <c r="AMP47" s="1221"/>
      <c r="AMQ47" s="1221"/>
      <c r="AMR47" s="1221"/>
      <c r="AMS47" s="1221"/>
      <c r="AMT47" s="1221"/>
      <c r="AMU47" s="1221"/>
      <c r="AMV47" s="1221"/>
      <c r="AMW47" s="1221"/>
      <c r="AMX47" s="1221"/>
      <c r="AMY47" s="1221"/>
      <c r="AMZ47" s="1221"/>
      <c r="ANA47" s="1221"/>
      <c r="ANB47" s="1221"/>
      <c r="ANC47" s="1221"/>
      <c r="AND47" s="1221"/>
      <c r="ANE47" s="1221"/>
      <c r="ANF47" s="1221"/>
      <c r="ANG47" s="1221"/>
      <c r="ANH47" s="1221"/>
      <c r="ANI47" s="1221"/>
      <c r="ANJ47" s="1221"/>
      <c r="ANK47" s="1221"/>
      <c r="ANL47" s="1221"/>
      <c r="ANM47" s="1221"/>
      <c r="ANN47" s="1221"/>
      <c r="ANO47" s="1221"/>
      <c r="ANP47" s="1221"/>
      <c r="ANQ47" s="1221"/>
      <c r="ANR47" s="1221"/>
      <c r="ANS47" s="1221"/>
      <c r="ANT47" s="1221"/>
      <c r="ANU47" s="1221"/>
      <c r="ANV47" s="1221"/>
      <c r="ANW47" s="1221"/>
      <c r="ANX47" s="1221"/>
      <c r="ANY47" s="1221"/>
      <c r="ANZ47" s="1221"/>
      <c r="AOA47" s="1221"/>
      <c r="AOB47" s="1221"/>
      <c r="AOC47" s="1221"/>
      <c r="AOD47" s="1221"/>
      <c r="AOE47" s="1221"/>
      <c r="AOF47" s="1221"/>
      <c r="AOG47" s="1221"/>
      <c r="AOH47" s="1221"/>
      <c r="AOI47" s="1221"/>
      <c r="AOJ47" s="1221"/>
      <c r="AOK47" s="1221"/>
      <c r="AOL47" s="1221"/>
      <c r="AOM47" s="1221"/>
      <c r="AON47" s="1221"/>
      <c r="AOO47" s="1221"/>
      <c r="AOP47" s="1221"/>
      <c r="AOQ47" s="1221"/>
      <c r="AOR47" s="1221"/>
      <c r="AOS47" s="1221"/>
      <c r="AOT47" s="1221"/>
      <c r="AOU47" s="1221"/>
      <c r="AOV47" s="1221"/>
      <c r="AOW47" s="1221"/>
      <c r="AOX47" s="1221"/>
      <c r="AOY47" s="1221"/>
      <c r="AOZ47" s="1221"/>
      <c r="APA47" s="1221"/>
      <c r="APB47" s="1221"/>
      <c r="APC47" s="1221"/>
      <c r="APD47" s="1221"/>
      <c r="APE47" s="1221"/>
      <c r="APF47" s="1221"/>
      <c r="APG47" s="1221"/>
      <c r="APH47" s="1221"/>
      <c r="API47" s="1221"/>
      <c r="APJ47" s="1221"/>
      <c r="APK47" s="1221"/>
      <c r="APL47" s="1221"/>
      <c r="APM47" s="1221"/>
      <c r="APN47" s="1221"/>
      <c r="APO47" s="1221"/>
      <c r="APP47" s="1221"/>
      <c r="APQ47" s="1221"/>
      <c r="APR47" s="1221"/>
      <c r="APS47" s="1221"/>
      <c r="APT47" s="1221"/>
      <c r="APU47" s="1221"/>
      <c r="APV47" s="1221"/>
      <c r="APW47" s="1221"/>
      <c r="APX47" s="1221"/>
      <c r="APY47" s="1221"/>
      <c r="APZ47" s="1221"/>
      <c r="AQA47" s="1221"/>
      <c r="AQB47" s="1221"/>
      <c r="AQC47" s="1221"/>
      <c r="AQD47" s="1221"/>
      <c r="AQE47" s="1221"/>
      <c r="AQF47" s="1221"/>
      <c r="AQG47" s="1221"/>
      <c r="AQH47" s="1221"/>
      <c r="AQI47" s="1221"/>
      <c r="AQJ47" s="1221"/>
      <c r="AQK47" s="1221"/>
      <c r="AQL47" s="1221"/>
      <c r="AQM47" s="1221"/>
      <c r="AQN47" s="1221"/>
      <c r="AQO47" s="1221"/>
      <c r="AQP47" s="1221"/>
      <c r="AQQ47" s="1221"/>
      <c r="AQR47" s="1221"/>
      <c r="AQS47" s="1221"/>
      <c r="AQT47" s="1221"/>
      <c r="AQU47" s="1221"/>
      <c r="AQV47" s="1221"/>
      <c r="AQW47" s="1221"/>
      <c r="AQX47" s="1221"/>
      <c r="AQY47" s="1221"/>
      <c r="AQZ47" s="1221"/>
      <c r="ARA47" s="1221"/>
      <c r="ARB47" s="1221"/>
      <c r="ARC47" s="1221"/>
      <c r="ARD47" s="1221"/>
      <c r="ARE47" s="1221"/>
      <c r="ARF47" s="1221"/>
      <c r="ARG47" s="1221"/>
      <c r="ARH47" s="1221"/>
      <c r="ARI47" s="1221"/>
      <c r="ARJ47" s="1221"/>
      <c r="ARK47" s="1221"/>
      <c r="ARL47" s="1221"/>
      <c r="ARM47" s="1221"/>
      <c r="ARN47" s="1221"/>
      <c r="ARO47" s="1221"/>
      <c r="ARP47" s="1221"/>
      <c r="ARQ47" s="1221"/>
      <c r="ARR47" s="1221"/>
      <c r="ARS47" s="1221"/>
      <c r="ART47" s="1221"/>
      <c r="ARU47" s="1221"/>
      <c r="ARV47" s="1221"/>
      <c r="ARW47" s="1221"/>
      <c r="ARX47" s="1221"/>
      <c r="ARY47" s="1221"/>
      <c r="ARZ47" s="1221"/>
      <c r="ASA47" s="1221"/>
      <c r="ASB47" s="1221"/>
      <c r="ASC47" s="1221"/>
      <c r="ASD47" s="1221"/>
      <c r="ASE47" s="1221"/>
      <c r="ASF47" s="1221"/>
      <c r="ASG47" s="1221"/>
      <c r="ASH47" s="1221"/>
      <c r="ASI47" s="1221"/>
      <c r="ASJ47" s="1221"/>
      <c r="ASK47" s="1221"/>
      <c r="ASL47" s="1221"/>
      <c r="ASM47" s="1221"/>
      <c r="ASN47" s="1221"/>
      <c r="ASO47" s="1221"/>
      <c r="ASP47" s="1221"/>
      <c r="ASQ47" s="1221"/>
      <c r="ASR47" s="1221"/>
      <c r="ASS47" s="1221"/>
      <c r="AST47" s="1221"/>
      <c r="ASU47" s="1221"/>
      <c r="ASV47" s="1221"/>
      <c r="ASW47" s="1221"/>
      <c r="ASX47" s="1221"/>
      <c r="ASY47" s="1221"/>
      <c r="ASZ47" s="1221"/>
      <c r="ATA47" s="1221"/>
      <c r="ATB47" s="1221"/>
      <c r="ATC47" s="1221"/>
      <c r="ATD47" s="1221"/>
      <c r="ATE47" s="1221"/>
      <c r="ATF47" s="1221"/>
      <c r="ATG47" s="1221"/>
      <c r="ATH47" s="1221"/>
      <c r="ATI47" s="1221"/>
      <c r="ATJ47" s="1221"/>
      <c r="ATK47" s="1221"/>
      <c r="ATL47" s="1221"/>
      <c r="ATM47" s="1221"/>
      <c r="ATN47" s="1221"/>
      <c r="ATO47" s="1221"/>
      <c r="ATP47" s="1221"/>
      <c r="ATQ47" s="1221"/>
      <c r="ATR47" s="1221"/>
      <c r="ATS47" s="1221"/>
      <c r="ATT47" s="1221"/>
      <c r="ATU47" s="1221"/>
      <c r="ATV47" s="1221"/>
      <c r="ATW47" s="1221"/>
      <c r="ATX47" s="1221"/>
      <c r="ATY47" s="1221"/>
      <c r="ATZ47" s="1221"/>
      <c r="AUA47" s="1221"/>
      <c r="AUB47" s="1221"/>
      <c r="AUC47" s="1221"/>
      <c r="AUD47" s="1221"/>
      <c r="AUE47" s="1221"/>
      <c r="AUF47" s="1221"/>
      <c r="AUG47" s="1221"/>
      <c r="AUH47" s="1221"/>
      <c r="AUI47" s="1221"/>
      <c r="AUJ47" s="1221"/>
      <c r="AUK47" s="1221"/>
      <c r="AUL47" s="1221"/>
      <c r="AUM47" s="1221"/>
      <c r="AUN47" s="1221"/>
      <c r="AUO47" s="1221"/>
      <c r="AUP47" s="1221"/>
      <c r="AUQ47" s="1221"/>
      <c r="AUR47" s="1221"/>
      <c r="AUS47" s="1221"/>
      <c r="AUT47" s="1221"/>
      <c r="AUU47" s="1221"/>
      <c r="AUV47" s="1221"/>
      <c r="AUW47" s="1221"/>
      <c r="AUX47" s="1221"/>
      <c r="AUY47" s="1221"/>
      <c r="AUZ47" s="1221"/>
      <c r="AVA47" s="1221"/>
      <c r="AVB47" s="1221"/>
      <c r="AVC47" s="1221"/>
      <c r="AVD47" s="1221"/>
      <c r="AVE47" s="1221"/>
      <c r="AVF47" s="1221"/>
      <c r="AVG47" s="1221"/>
      <c r="AVH47" s="1221"/>
      <c r="AVI47" s="1221"/>
      <c r="AVJ47" s="1221"/>
      <c r="AVK47" s="1221"/>
      <c r="AVL47" s="1221"/>
      <c r="AVM47" s="1221"/>
      <c r="AVN47" s="1221"/>
      <c r="AVO47" s="1221"/>
      <c r="AVP47" s="1221"/>
      <c r="AVQ47" s="1221"/>
      <c r="AVR47" s="1221"/>
      <c r="AVS47" s="1221"/>
      <c r="AVT47" s="1221"/>
      <c r="AVU47" s="1221"/>
      <c r="AVV47" s="1221"/>
      <c r="AVW47" s="1221"/>
      <c r="AVX47" s="1221"/>
      <c r="AVY47" s="1221"/>
      <c r="AVZ47" s="1221"/>
      <c r="AWA47" s="1221"/>
      <c r="AWB47" s="1221"/>
      <c r="AWC47" s="1221"/>
      <c r="AWD47" s="1221"/>
      <c r="AWE47" s="1221"/>
      <c r="AWF47" s="1221"/>
      <c r="AWG47" s="1221"/>
      <c r="AWH47" s="1221"/>
      <c r="AWI47" s="1221"/>
      <c r="AWJ47" s="1221"/>
      <c r="AWK47" s="1221"/>
      <c r="AWL47" s="1221"/>
      <c r="AWM47" s="1221"/>
      <c r="AWN47" s="1221"/>
      <c r="AWO47" s="1221"/>
      <c r="AWP47" s="1221"/>
      <c r="AWQ47" s="1221"/>
      <c r="AWR47" s="1221"/>
      <c r="AWS47" s="1221"/>
      <c r="AWT47" s="1221"/>
      <c r="AWU47" s="1221"/>
      <c r="AWV47" s="1221"/>
      <c r="AWW47" s="1221"/>
      <c r="AWX47" s="1221"/>
      <c r="AWY47" s="1221"/>
      <c r="AWZ47" s="1221"/>
      <c r="AXA47" s="1221"/>
      <c r="AXB47" s="1221"/>
      <c r="AXC47" s="1221"/>
      <c r="AXD47" s="1221"/>
      <c r="AXE47" s="1221"/>
      <c r="AXF47" s="1221"/>
      <c r="AXG47" s="1221"/>
      <c r="AXH47" s="1221"/>
      <c r="AXI47" s="1221"/>
      <c r="AXJ47" s="1221"/>
      <c r="AXK47" s="1221"/>
      <c r="AXL47" s="1221"/>
      <c r="AXM47" s="1221"/>
      <c r="AXN47" s="1221"/>
      <c r="AXO47" s="1221"/>
      <c r="AXP47" s="1221"/>
      <c r="AXQ47" s="1221"/>
      <c r="AXR47" s="1221"/>
      <c r="AXS47" s="1221"/>
      <c r="AXT47" s="1221"/>
      <c r="AXU47" s="1221"/>
      <c r="AXV47" s="1221"/>
      <c r="AXW47" s="1221"/>
      <c r="AXX47" s="1221"/>
      <c r="AXY47" s="1221"/>
      <c r="AXZ47" s="1221"/>
      <c r="AYA47" s="1221"/>
      <c r="AYB47" s="1221"/>
      <c r="AYC47" s="1221"/>
      <c r="AYD47" s="1221"/>
      <c r="AYE47" s="1221"/>
      <c r="AYF47" s="1221"/>
      <c r="AYG47" s="1221"/>
      <c r="AYH47" s="1221"/>
      <c r="AYI47" s="1221"/>
      <c r="AYJ47" s="1221"/>
      <c r="AYK47" s="1221"/>
      <c r="AYL47" s="1221"/>
      <c r="AYM47" s="1221"/>
      <c r="AYN47" s="1221"/>
      <c r="AYO47" s="1221"/>
      <c r="AYP47" s="1221"/>
      <c r="AYQ47" s="1221"/>
      <c r="AYR47" s="1221"/>
      <c r="AYS47" s="1221"/>
      <c r="AYT47" s="1221"/>
      <c r="AYU47" s="1221"/>
      <c r="AYV47" s="1221"/>
      <c r="AYW47" s="1221"/>
      <c r="AYX47" s="1221"/>
      <c r="AYY47" s="1221"/>
      <c r="AYZ47" s="1221"/>
      <c r="AZA47" s="1221"/>
      <c r="AZB47" s="1221"/>
      <c r="AZC47" s="1221"/>
      <c r="AZD47" s="1221"/>
      <c r="AZE47" s="1221"/>
      <c r="AZF47" s="1221"/>
      <c r="AZG47" s="1221"/>
      <c r="AZH47" s="1221"/>
      <c r="AZI47" s="1221"/>
      <c r="AZJ47" s="1221"/>
      <c r="AZK47" s="1221"/>
      <c r="AZL47" s="1221"/>
      <c r="AZM47" s="1221"/>
      <c r="AZN47" s="1221"/>
      <c r="AZO47" s="1221"/>
      <c r="AZP47" s="1221"/>
      <c r="AZQ47" s="1221"/>
      <c r="AZR47" s="1221"/>
      <c r="AZS47" s="1221"/>
      <c r="AZT47" s="1221"/>
      <c r="AZU47" s="1221"/>
      <c r="AZV47" s="1221"/>
      <c r="AZW47" s="1221"/>
      <c r="AZX47" s="1221"/>
      <c r="AZY47" s="1221"/>
      <c r="AZZ47" s="1221"/>
      <c r="BAA47" s="1221"/>
      <c r="BAB47" s="1221"/>
      <c r="BAC47" s="1221"/>
      <c r="BAD47" s="1221"/>
      <c r="BAE47" s="1221"/>
      <c r="BAF47" s="1221"/>
      <c r="BAG47" s="1221"/>
      <c r="BAH47" s="1221"/>
      <c r="BAI47" s="1221"/>
      <c r="BAJ47" s="1221"/>
      <c r="BAK47" s="1221"/>
      <c r="BAL47" s="1221"/>
      <c r="BAM47" s="1221"/>
      <c r="BAN47" s="1221"/>
      <c r="BAO47" s="1221"/>
      <c r="BAP47" s="1221"/>
      <c r="BAQ47" s="1221"/>
      <c r="BAR47" s="1221"/>
      <c r="BAS47" s="1221"/>
      <c r="BAT47" s="1221"/>
      <c r="BAU47" s="1221"/>
      <c r="BAV47" s="1221"/>
      <c r="BAW47" s="1221"/>
      <c r="BAX47" s="1221"/>
      <c r="BAY47" s="1221"/>
      <c r="BAZ47" s="1221"/>
      <c r="BBA47" s="1221"/>
      <c r="BBB47" s="1221"/>
      <c r="BBC47" s="1221"/>
      <c r="BBD47" s="1221"/>
      <c r="BBE47" s="1221"/>
      <c r="BBF47" s="1221"/>
      <c r="BBG47" s="1221"/>
      <c r="BBH47" s="1221"/>
      <c r="BBI47" s="1221"/>
      <c r="BBJ47" s="1221"/>
      <c r="BBK47" s="1221"/>
      <c r="BBL47" s="1221"/>
      <c r="BBM47" s="1221"/>
      <c r="BBN47" s="1221"/>
      <c r="BBO47" s="1221"/>
      <c r="BBP47" s="1221"/>
      <c r="BBQ47" s="1221"/>
      <c r="BBR47" s="1221"/>
      <c r="BBS47" s="1221"/>
      <c r="BBT47" s="1221"/>
      <c r="BBU47" s="1221"/>
      <c r="BBV47" s="1221"/>
      <c r="BBW47" s="1221"/>
      <c r="BBX47" s="1221"/>
      <c r="BBY47" s="1221"/>
      <c r="BBZ47" s="1221"/>
      <c r="BCA47" s="1221"/>
      <c r="BCB47" s="1221"/>
      <c r="BCC47" s="1221"/>
      <c r="BCD47" s="1221"/>
      <c r="BCE47" s="1221"/>
      <c r="BCF47" s="1221"/>
      <c r="BCG47" s="1221"/>
      <c r="BCH47" s="1221"/>
      <c r="BCI47" s="1221"/>
      <c r="BCJ47" s="1221"/>
      <c r="BCK47" s="1221"/>
      <c r="BCL47" s="1221"/>
      <c r="BCM47" s="1221"/>
      <c r="BCN47" s="1221"/>
      <c r="BCO47" s="1221"/>
      <c r="BCP47" s="1221"/>
      <c r="BCQ47" s="1221"/>
      <c r="BCR47" s="1221"/>
      <c r="BCS47" s="1221"/>
      <c r="BCT47" s="1221"/>
      <c r="BCU47" s="1221"/>
      <c r="BCV47" s="1221"/>
      <c r="BCW47" s="1221"/>
      <c r="BCX47" s="1221"/>
      <c r="BCY47" s="1221"/>
      <c r="BCZ47" s="1221"/>
      <c r="BDA47" s="1221"/>
      <c r="BDB47" s="1221"/>
      <c r="BDC47" s="1221"/>
      <c r="BDD47" s="1221"/>
      <c r="BDE47" s="1221"/>
      <c r="BDF47" s="1221"/>
      <c r="BDG47" s="1221"/>
      <c r="BDH47" s="1221"/>
      <c r="BDI47" s="1221"/>
      <c r="BDJ47" s="1221"/>
      <c r="BDK47" s="1221"/>
      <c r="BDL47" s="1221"/>
      <c r="BDM47" s="1221"/>
      <c r="BDN47" s="1221"/>
      <c r="BDO47" s="1221"/>
      <c r="BDP47" s="1221"/>
      <c r="BDQ47" s="1221"/>
      <c r="BDR47" s="1221"/>
      <c r="BDS47" s="1221"/>
      <c r="BDT47" s="1221"/>
      <c r="BDU47" s="1221"/>
      <c r="BDV47" s="1221"/>
      <c r="BDW47" s="1221"/>
      <c r="BDX47" s="1221"/>
      <c r="BDY47" s="1221"/>
      <c r="BDZ47" s="1221"/>
      <c r="BEA47" s="1221"/>
      <c r="BEB47" s="1221"/>
      <c r="BEC47" s="1221"/>
      <c r="BED47" s="1221"/>
      <c r="BEE47" s="1221"/>
      <c r="BEF47" s="1221"/>
      <c r="BEG47" s="1221"/>
      <c r="BEH47" s="1221"/>
      <c r="BEI47" s="1221"/>
      <c r="BEJ47" s="1221"/>
      <c r="BEK47" s="1221"/>
      <c r="BEL47" s="1221"/>
      <c r="BEM47" s="1221"/>
      <c r="BEN47" s="1221"/>
      <c r="BEO47" s="1221"/>
      <c r="BEP47" s="1221"/>
      <c r="BEQ47" s="1221"/>
      <c r="BER47" s="1221"/>
      <c r="BES47" s="1221"/>
      <c r="BET47" s="1221"/>
      <c r="BEU47" s="1221"/>
      <c r="BEV47" s="1221"/>
      <c r="BEW47" s="1221"/>
      <c r="BEX47" s="1221"/>
      <c r="BEY47" s="1221"/>
      <c r="BEZ47" s="1221"/>
      <c r="BFA47" s="1221"/>
      <c r="BFB47" s="1221"/>
      <c r="BFC47" s="1221"/>
      <c r="BFD47" s="1221"/>
      <c r="BFE47" s="1221"/>
      <c r="BFF47" s="1221"/>
      <c r="BFG47" s="1221"/>
      <c r="BFH47" s="1221"/>
      <c r="BFI47" s="1221"/>
      <c r="BFJ47" s="1221"/>
      <c r="BFK47" s="1221"/>
      <c r="BFL47" s="1221"/>
      <c r="BFM47" s="1221"/>
      <c r="BFN47" s="1221"/>
      <c r="BFO47" s="1221"/>
      <c r="BFP47" s="1221"/>
      <c r="BFQ47" s="1221"/>
      <c r="BFR47" s="1221"/>
      <c r="BFS47" s="1221"/>
      <c r="BFT47" s="1221"/>
      <c r="BFU47" s="1221"/>
      <c r="BFV47" s="1221"/>
      <c r="BFW47" s="1221"/>
      <c r="BFX47" s="1221"/>
      <c r="BFY47" s="1221"/>
      <c r="BFZ47" s="1221"/>
      <c r="BGA47" s="1221"/>
      <c r="BGB47" s="1221"/>
      <c r="BGC47" s="1221"/>
      <c r="BGD47" s="1221"/>
      <c r="BGE47" s="1221"/>
      <c r="BGF47" s="1221"/>
      <c r="BGG47" s="1221"/>
      <c r="BGH47" s="1221"/>
      <c r="BGI47" s="1221"/>
      <c r="BGJ47" s="1221"/>
      <c r="BGK47" s="1221"/>
      <c r="BGL47" s="1221"/>
      <c r="BGM47" s="1221"/>
      <c r="BGN47" s="1221"/>
      <c r="BGO47" s="1221"/>
      <c r="BGP47" s="1221"/>
      <c r="BGQ47" s="1221"/>
      <c r="BGR47" s="1221"/>
      <c r="BGS47" s="1221"/>
      <c r="BGT47" s="1221"/>
      <c r="BGU47" s="1221"/>
      <c r="BGV47" s="1221"/>
      <c r="BGW47" s="1221"/>
      <c r="BGX47" s="1221"/>
      <c r="BGY47" s="1221"/>
      <c r="BGZ47" s="1221"/>
      <c r="BHA47" s="1221"/>
      <c r="BHB47" s="1221"/>
      <c r="BHC47" s="1221"/>
      <c r="BHD47" s="1221"/>
      <c r="BHE47" s="1221"/>
      <c r="BHF47" s="1221"/>
      <c r="BHG47" s="1221"/>
      <c r="BHH47" s="1221"/>
      <c r="BHI47" s="1221"/>
      <c r="BHJ47" s="1221"/>
      <c r="BHK47" s="1221"/>
      <c r="BHL47" s="1221"/>
      <c r="BHM47" s="1221"/>
      <c r="BHN47" s="1221"/>
      <c r="BHO47" s="1221"/>
      <c r="BHP47" s="1221"/>
      <c r="BHQ47" s="1221"/>
      <c r="BHR47" s="1221"/>
      <c r="BHS47" s="1221"/>
      <c r="BHT47" s="1221"/>
      <c r="BHU47" s="1221"/>
      <c r="BHV47" s="1221"/>
      <c r="BHW47" s="1221"/>
      <c r="BHX47" s="1221"/>
      <c r="BHY47" s="1221"/>
      <c r="BHZ47" s="1221"/>
      <c r="BIA47" s="1221"/>
      <c r="BIB47" s="1221"/>
      <c r="BIC47" s="1221"/>
      <c r="BID47" s="1221"/>
      <c r="BIE47" s="1221"/>
      <c r="BIF47" s="1221"/>
      <c r="BIG47" s="1221"/>
      <c r="BIH47" s="1221"/>
      <c r="BII47" s="1221"/>
      <c r="BIJ47" s="1221"/>
      <c r="BIK47" s="1221"/>
      <c r="BIL47" s="1221"/>
      <c r="BIM47" s="1221"/>
      <c r="BIN47" s="1221"/>
      <c r="BIO47" s="1221"/>
      <c r="BIP47" s="1221"/>
      <c r="BIQ47" s="1221"/>
      <c r="BIR47" s="1221"/>
      <c r="BIS47" s="1221"/>
      <c r="BIT47" s="1221"/>
      <c r="BIU47" s="1221"/>
      <c r="BIV47" s="1221"/>
      <c r="BIW47" s="1221"/>
      <c r="BIX47" s="1221"/>
      <c r="BIY47" s="1221"/>
      <c r="BIZ47" s="1221"/>
      <c r="BJA47" s="1221"/>
      <c r="BJB47" s="1221"/>
      <c r="BJC47" s="1221"/>
      <c r="BJD47" s="1221"/>
      <c r="BJE47" s="1221"/>
      <c r="BJF47" s="1221"/>
      <c r="BJG47" s="1221"/>
      <c r="BJH47" s="1221"/>
      <c r="BJI47" s="1221"/>
      <c r="BJJ47" s="1221"/>
      <c r="BJK47" s="1221"/>
      <c r="BJL47" s="1221"/>
      <c r="BJM47" s="1221"/>
      <c r="BJN47" s="1221"/>
      <c r="BJO47" s="1221"/>
      <c r="BJP47" s="1221"/>
      <c r="BJQ47" s="1221"/>
      <c r="BJR47" s="1221"/>
      <c r="BJS47" s="1221"/>
      <c r="BJT47" s="1221"/>
      <c r="BJU47" s="1221"/>
      <c r="BJV47" s="1221"/>
      <c r="BJW47" s="1221"/>
      <c r="BJX47" s="1221"/>
      <c r="BJY47" s="1221"/>
      <c r="BJZ47" s="1221"/>
      <c r="BKA47" s="1221"/>
      <c r="BKB47" s="1221"/>
      <c r="BKC47" s="1221"/>
      <c r="BKD47" s="1221"/>
      <c r="BKE47" s="1221"/>
      <c r="BKF47" s="1221"/>
      <c r="BKG47" s="1221"/>
      <c r="BKH47" s="1221"/>
      <c r="BKI47" s="1221"/>
      <c r="BKJ47" s="1221"/>
      <c r="BKK47" s="1221"/>
      <c r="BKL47" s="1221"/>
      <c r="BKM47" s="1221"/>
      <c r="BKN47" s="1221"/>
      <c r="BKO47" s="1221"/>
      <c r="BKP47" s="1221"/>
      <c r="BKQ47" s="1221"/>
      <c r="BKR47" s="1221"/>
      <c r="BKS47" s="1221"/>
      <c r="BKT47" s="1221"/>
      <c r="BKU47" s="1221"/>
      <c r="BKV47" s="1221"/>
      <c r="BKW47" s="1221"/>
      <c r="BKX47" s="1221"/>
      <c r="BKY47" s="1221"/>
      <c r="BKZ47" s="1221"/>
      <c r="BLA47" s="1221"/>
      <c r="BLB47" s="1221"/>
      <c r="BLC47" s="1221"/>
      <c r="BLD47" s="1221"/>
      <c r="BLE47" s="1221"/>
      <c r="BLF47" s="1221"/>
      <c r="BLG47" s="1221"/>
      <c r="BLH47" s="1221"/>
      <c r="BLI47" s="1221"/>
      <c r="BLJ47" s="1221"/>
      <c r="BLK47" s="1221"/>
      <c r="BLL47" s="1221"/>
      <c r="BLM47" s="1221"/>
      <c r="BLN47" s="1221"/>
      <c r="BLO47" s="1221"/>
      <c r="BLP47" s="1221"/>
      <c r="BLQ47" s="1221"/>
      <c r="BLR47" s="1221"/>
      <c r="BLS47" s="1221"/>
      <c r="BLT47" s="1221"/>
      <c r="BLU47" s="1221"/>
      <c r="BLV47" s="1221"/>
      <c r="BLW47" s="1221"/>
      <c r="BLX47" s="1221"/>
      <c r="BLY47" s="1221"/>
      <c r="BLZ47" s="1221"/>
      <c r="BMA47" s="1221"/>
      <c r="BMB47" s="1221"/>
      <c r="BMC47" s="1221"/>
      <c r="BMD47" s="1221"/>
      <c r="BME47" s="1221"/>
      <c r="BMF47" s="1221"/>
      <c r="BMG47" s="1221"/>
      <c r="BMH47" s="1221"/>
      <c r="BMI47" s="1221"/>
      <c r="BMJ47" s="1221"/>
      <c r="BMK47" s="1221"/>
      <c r="BML47" s="1221"/>
      <c r="BMM47" s="1221"/>
      <c r="BMN47" s="1221"/>
      <c r="BMO47" s="1221"/>
      <c r="BMP47" s="1221"/>
      <c r="BMQ47" s="1221"/>
      <c r="BMR47" s="1221"/>
      <c r="BMS47" s="1221"/>
      <c r="BMT47" s="1221"/>
      <c r="BMU47" s="1221"/>
      <c r="BMV47" s="1221"/>
      <c r="BMW47" s="1221"/>
      <c r="BMX47" s="1221"/>
      <c r="BMY47" s="1221"/>
      <c r="BMZ47" s="1221"/>
      <c r="BNA47" s="1221"/>
      <c r="BNB47" s="1221"/>
      <c r="BNC47" s="1221"/>
      <c r="BND47" s="1221"/>
      <c r="BNE47" s="1221"/>
      <c r="BNF47" s="1221"/>
      <c r="BNG47" s="1221"/>
      <c r="BNH47" s="1221"/>
      <c r="BNI47" s="1221"/>
      <c r="BNJ47" s="1221"/>
      <c r="BNK47" s="1221"/>
      <c r="BNL47" s="1221"/>
      <c r="BNM47" s="1221"/>
      <c r="BNN47" s="1221"/>
      <c r="BNO47" s="1221"/>
      <c r="BNP47" s="1221"/>
      <c r="BNQ47" s="1221"/>
      <c r="BNR47" s="1221"/>
      <c r="BNS47" s="1221"/>
      <c r="BNT47" s="1221"/>
      <c r="BNU47" s="1221"/>
      <c r="BNV47" s="1221"/>
      <c r="BNW47" s="1221"/>
      <c r="BNX47" s="1221"/>
      <c r="BNY47" s="1221"/>
      <c r="BNZ47" s="1221"/>
      <c r="BOA47" s="1221"/>
      <c r="BOB47" s="1221"/>
      <c r="BOC47" s="1221"/>
      <c r="BOD47" s="1221"/>
      <c r="BOE47" s="1221"/>
      <c r="BOF47" s="1221"/>
      <c r="BOG47" s="1221"/>
      <c r="BOH47" s="1221"/>
      <c r="BOI47" s="1221"/>
      <c r="BOJ47" s="1221"/>
      <c r="BOK47" s="1221"/>
      <c r="BOL47" s="1221"/>
      <c r="BOM47" s="1221"/>
      <c r="BON47" s="1221"/>
      <c r="BOO47" s="1221"/>
      <c r="BOP47" s="1221"/>
      <c r="BOQ47" s="1221"/>
      <c r="BOR47" s="1221"/>
      <c r="BOS47" s="1221"/>
      <c r="BOT47" s="1221"/>
      <c r="BOU47" s="1221"/>
      <c r="BOV47" s="1221"/>
      <c r="BOW47" s="1221"/>
      <c r="BOX47" s="1221"/>
      <c r="BOY47" s="1221"/>
      <c r="BOZ47" s="1221"/>
      <c r="BPA47" s="1221"/>
      <c r="BPB47" s="1221"/>
      <c r="BPC47" s="1221"/>
      <c r="BPD47" s="1221"/>
      <c r="BPE47" s="1221"/>
      <c r="BPF47" s="1221"/>
      <c r="BPG47" s="1221"/>
      <c r="BPH47" s="1221"/>
      <c r="BPI47" s="1221"/>
      <c r="BPJ47" s="1221"/>
      <c r="BPK47" s="1221"/>
      <c r="BPL47" s="1221"/>
      <c r="BPM47" s="1221"/>
      <c r="BPN47" s="1221"/>
      <c r="BPO47" s="1221"/>
      <c r="BPP47" s="1221"/>
      <c r="BPQ47" s="1221"/>
      <c r="BPR47" s="1221"/>
      <c r="BPS47" s="1221"/>
      <c r="BPT47" s="1221"/>
      <c r="BPU47" s="1221"/>
      <c r="BPV47" s="1221"/>
      <c r="BPW47" s="1221"/>
      <c r="BPX47" s="1221"/>
      <c r="BPY47" s="1221"/>
      <c r="BPZ47" s="1221"/>
      <c r="BQA47" s="1221"/>
      <c r="BQB47" s="1221"/>
      <c r="BQC47" s="1221"/>
      <c r="BQD47" s="1221"/>
      <c r="BQE47" s="1221"/>
      <c r="BQF47" s="1221"/>
      <c r="BQG47" s="1221"/>
      <c r="BQH47" s="1221"/>
      <c r="BQI47" s="1221"/>
      <c r="BQJ47" s="1221"/>
      <c r="BQK47" s="1221"/>
      <c r="BQL47" s="1221"/>
      <c r="BQM47" s="1221"/>
      <c r="BQN47" s="1221"/>
      <c r="BQO47" s="1221"/>
      <c r="BQP47" s="1221"/>
      <c r="BQQ47" s="1221"/>
      <c r="BQR47" s="1221"/>
      <c r="BQS47" s="1221"/>
      <c r="BQT47" s="1221"/>
      <c r="BQU47" s="1221"/>
      <c r="BQV47" s="1221"/>
      <c r="BQW47" s="1221"/>
      <c r="BQX47" s="1221"/>
      <c r="BQY47" s="1221"/>
      <c r="BQZ47" s="1221"/>
      <c r="BRA47" s="1221"/>
      <c r="BRB47" s="1221"/>
      <c r="BRC47" s="1221"/>
      <c r="BRD47" s="1221"/>
      <c r="BRE47" s="1221"/>
      <c r="BRF47" s="1221"/>
      <c r="BRG47" s="1221"/>
      <c r="BRH47" s="1221"/>
      <c r="BRI47" s="1221"/>
      <c r="BRJ47" s="1221"/>
      <c r="BRK47" s="1221"/>
      <c r="BRL47" s="1221"/>
      <c r="BRM47" s="1221"/>
      <c r="BRN47" s="1221"/>
      <c r="BRO47" s="1221"/>
      <c r="BRP47" s="1221"/>
      <c r="BRQ47" s="1221"/>
      <c r="BRR47" s="1221"/>
      <c r="BRS47" s="1221"/>
      <c r="BRT47" s="1221"/>
      <c r="BRU47" s="1221"/>
      <c r="BRV47" s="1221"/>
      <c r="BRW47" s="1221"/>
      <c r="BRX47" s="1221"/>
      <c r="BRY47" s="1221"/>
      <c r="BRZ47" s="1221"/>
      <c r="BSA47" s="1221"/>
      <c r="BSB47" s="1221"/>
      <c r="BSC47" s="1221"/>
      <c r="BSD47" s="1221"/>
      <c r="BSE47" s="1221"/>
      <c r="BSF47" s="1221"/>
      <c r="BSG47" s="1221"/>
      <c r="BSH47" s="1221"/>
      <c r="BSI47" s="1221"/>
      <c r="BSJ47" s="1221"/>
      <c r="BSK47" s="1221"/>
      <c r="BSL47" s="1221"/>
      <c r="BSM47" s="1221"/>
      <c r="BSN47" s="1221"/>
      <c r="BSO47" s="1221"/>
      <c r="BSP47" s="1221"/>
      <c r="BSQ47" s="1221"/>
      <c r="BSR47" s="1221"/>
      <c r="BSS47" s="1221"/>
      <c r="BST47" s="1221"/>
      <c r="BSU47" s="1221"/>
      <c r="BSV47" s="1221"/>
      <c r="BSW47" s="1221"/>
      <c r="BSX47" s="1221"/>
      <c r="BSY47" s="1221"/>
      <c r="BSZ47" s="1221"/>
      <c r="BTA47" s="1221"/>
      <c r="BTB47" s="1221"/>
      <c r="BTC47" s="1221"/>
      <c r="BTD47" s="1221"/>
      <c r="BTE47" s="1221"/>
      <c r="BTF47" s="1221"/>
      <c r="BTG47" s="1221"/>
      <c r="BTH47" s="1221"/>
      <c r="BTI47" s="1221"/>
      <c r="BTJ47" s="1221"/>
      <c r="BTK47" s="1221"/>
      <c r="BTL47" s="1221"/>
      <c r="BTM47" s="1221"/>
      <c r="BTN47" s="1221"/>
      <c r="BTO47" s="1221"/>
      <c r="BTP47" s="1221"/>
      <c r="BTQ47" s="1221"/>
      <c r="BTR47" s="1221"/>
      <c r="BTS47" s="1221"/>
      <c r="BTT47" s="1221"/>
      <c r="BTU47" s="1221"/>
      <c r="BTV47" s="1221"/>
      <c r="BTW47" s="1221"/>
      <c r="BTX47" s="1221"/>
      <c r="BTY47" s="1221"/>
      <c r="BTZ47" s="1221"/>
      <c r="BUA47" s="1221"/>
      <c r="BUB47" s="1221"/>
      <c r="BUC47" s="1221"/>
      <c r="BUD47" s="1221"/>
      <c r="BUE47" s="1221"/>
      <c r="BUF47" s="1221"/>
      <c r="BUG47" s="1221"/>
      <c r="BUH47" s="1221"/>
      <c r="BUI47" s="1221"/>
      <c r="BUJ47" s="1221"/>
      <c r="BUK47" s="1221"/>
      <c r="BUL47" s="1221"/>
      <c r="BUM47" s="1221"/>
      <c r="BUN47" s="1221"/>
      <c r="BUO47" s="1221"/>
      <c r="BUP47" s="1221"/>
      <c r="BUQ47" s="1221"/>
      <c r="BUR47" s="1221"/>
      <c r="BUS47" s="1221"/>
      <c r="BUT47" s="1221"/>
      <c r="BUU47" s="1221"/>
      <c r="BUV47" s="1221"/>
      <c r="BUW47" s="1221"/>
      <c r="BUX47" s="1221"/>
      <c r="BUY47" s="1221"/>
      <c r="BUZ47" s="1221"/>
      <c r="BVA47" s="1221"/>
      <c r="BVB47" s="1221"/>
      <c r="BVC47" s="1221"/>
      <c r="BVD47" s="1221"/>
      <c r="BVE47" s="1221"/>
      <c r="BVF47" s="1221"/>
      <c r="BVG47" s="1221"/>
      <c r="BVH47" s="1221"/>
      <c r="BVI47" s="1221"/>
      <c r="BVJ47" s="1221"/>
      <c r="BVK47" s="1221"/>
      <c r="BVL47" s="1221"/>
      <c r="BVM47" s="1221"/>
      <c r="BVN47" s="1221"/>
      <c r="BVO47" s="1221"/>
      <c r="BVP47" s="1221"/>
      <c r="BVQ47" s="1221"/>
      <c r="BVR47" s="1221"/>
      <c r="BVS47" s="1221"/>
      <c r="BVT47" s="1221"/>
      <c r="BVU47" s="1221"/>
      <c r="BVV47" s="1221"/>
      <c r="BVW47" s="1221"/>
      <c r="BVX47" s="1221"/>
      <c r="BVY47" s="1221"/>
      <c r="BVZ47" s="1221"/>
      <c r="BWA47" s="1221"/>
      <c r="BWB47" s="1221"/>
      <c r="BWC47" s="1221"/>
      <c r="BWD47" s="1221"/>
      <c r="BWE47" s="1221"/>
      <c r="BWF47" s="1221"/>
      <c r="BWG47" s="1221"/>
      <c r="BWH47" s="1221"/>
      <c r="BWI47" s="1221"/>
      <c r="BWJ47" s="1221"/>
      <c r="BWK47" s="1221"/>
      <c r="BWL47" s="1221"/>
      <c r="BWM47" s="1221"/>
      <c r="BWN47" s="1221"/>
      <c r="BWO47" s="1221"/>
      <c r="BWP47" s="1221"/>
      <c r="BWQ47" s="1221"/>
      <c r="BWR47" s="1221"/>
      <c r="BWS47" s="1221"/>
      <c r="BWT47" s="1221"/>
      <c r="BWU47" s="1221"/>
      <c r="BWV47" s="1221"/>
      <c r="BWW47" s="1221"/>
      <c r="BWX47" s="1221"/>
      <c r="BWY47" s="1221"/>
      <c r="BWZ47" s="1221"/>
      <c r="BXA47" s="1221"/>
      <c r="BXB47" s="1221"/>
      <c r="BXC47" s="1221"/>
      <c r="BXD47" s="1221"/>
      <c r="BXE47" s="1221"/>
      <c r="BXF47" s="1221"/>
      <c r="BXG47" s="1221"/>
      <c r="BXH47" s="1221"/>
      <c r="BXI47" s="1221"/>
      <c r="BXJ47" s="1221"/>
      <c r="BXK47" s="1221"/>
      <c r="BXL47" s="1221"/>
      <c r="BXM47" s="1221"/>
      <c r="BXN47" s="1221"/>
      <c r="BXO47" s="1221"/>
      <c r="BXP47" s="1221"/>
      <c r="BXQ47" s="1221"/>
      <c r="BXR47" s="1221"/>
      <c r="BXS47" s="1221"/>
      <c r="BXT47" s="1221"/>
      <c r="BXU47" s="1221"/>
      <c r="BXV47" s="1221"/>
      <c r="BXW47" s="1221"/>
      <c r="BXX47" s="1221"/>
      <c r="BXY47" s="1221"/>
      <c r="BXZ47" s="1221"/>
      <c r="BYA47" s="1221"/>
      <c r="BYB47" s="1221"/>
      <c r="BYC47" s="1221"/>
      <c r="BYD47" s="1221"/>
      <c r="BYE47" s="1221"/>
      <c r="BYF47" s="1221"/>
      <c r="BYG47" s="1221"/>
      <c r="BYH47" s="1221"/>
      <c r="BYI47" s="1221"/>
      <c r="BYJ47" s="1221"/>
      <c r="BYK47" s="1221"/>
      <c r="BYL47" s="1221"/>
      <c r="BYM47" s="1221"/>
      <c r="BYN47" s="1221"/>
      <c r="BYO47" s="1221"/>
      <c r="BYP47" s="1221"/>
      <c r="BYQ47" s="1221"/>
      <c r="BYR47" s="1221"/>
      <c r="BYS47" s="1221"/>
      <c r="BYT47" s="1221"/>
      <c r="BYU47" s="1221"/>
      <c r="BYV47" s="1221"/>
      <c r="BYW47" s="1221"/>
      <c r="BYX47" s="1221"/>
      <c r="BYY47" s="1221"/>
      <c r="BYZ47" s="1221"/>
      <c r="BZA47" s="1221"/>
      <c r="BZB47" s="1221"/>
      <c r="BZC47" s="1221"/>
      <c r="BZD47" s="1221"/>
      <c r="BZE47" s="1221"/>
      <c r="BZF47" s="1221"/>
      <c r="BZG47" s="1221"/>
      <c r="BZH47" s="1221"/>
      <c r="BZI47" s="1221"/>
      <c r="BZJ47" s="1221"/>
      <c r="BZK47" s="1221"/>
      <c r="BZL47" s="1221"/>
      <c r="BZM47" s="1221"/>
      <c r="BZN47" s="1221"/>
      <c r="BZO47" s="1221"/>
      <c r="BZP47" s="1221"/>
      <c r="BZQ47" s="1221"/>
      <c r="BZR47" s="1221"/>
      <c r="BZS47" s="1221"/>
      <c r="BZT47" s="1221"/>
      <c r="BZU47" s="1221"/>
      <c r="BZV47" s="1221"/>
      <c r="BZW47" s="1221"/>
      <c r="BZX47" s="1221"/>
      <c r="BZY47" s="1221"/>
      <c r="BZZ47" s="1221"/>
      <c r="CAA47" s="1221"/>
      <c r="CAB47" s="1221"/>
      <c r="CAC47" s="1221"/>
      <c r="CAD47" s="1221"/>
      <c r="CAE47" s="1221"/>
      <c r="CAF47" s="1221"/>
      <c r="CAG47" s="1221"/>
      <c r="CAH47" s="1221"/>
      <c r="CAI47" s="1221"/>
      <c r="CAJ47" s="1221"/>
      <c r="CAK47" s="1221"/>
      <c r="CAL47" s="1221"/>
      <c r="CAM47" s="1221"/>
      <c r="CAN47" s="1221"/>
      <c r="CAO47" s="1221"/>
      <c r="CAP47" s="1221"/>
      <c r="CAQ47" s="1221"/>
      <c r="CAR47" s="1221"/>
      <c r="CAS47" s="1221"/>
      <c r="CAT47" s="1221"/>
      <c r="CAU47" s="1221"/>
      <c r="CAV47" s="1221"/>
      <c r="CAW47" s="1221"/>
      <c r="CAX47" s="1221"/>
      <c r="CAY47" s="1221"/>
      <c r="CAZ47" s="1221"/>
      <c r="CBA47" s="1221"/>
      <c r="CBB47" s="1221"/>
      <c r="CBC47" s="1221"/>
      <c r="CBD47" s="1221"/>
      <c r="CBE47" s="1221"/>
      <c r="CBF47" s="1221"/>
      <c r="CBG47" s="1221"/>
      <c r="CBH47" s="1221"/>
      <c r="CBI47" s="1221"/>
      <c r="CBJ47" s="1221"/>
      <c r="CBK47" s="1221"/>
      <c r="CBL47" s="1221"/>
      <c r="CBM47" s="1221"/>
      <c r="CBN47" s="1221"/>
      <c r="CBO47" s="1221"/>
      <c r="CBP47" s="1221"/>
      <c r="CBQ47" s="1221"/>
      <c r="CBR47" s="1221"/>
      <c r="CBS47" s="1221"/>
      <c r="CBT47" s="1221"/>
      <c r="CBU47" s="1221"/>
      <c r="CBV47" s="1221"/>
      <c r="CBW47" s="1221"/>
      <c r="CBX47" s="1221"/>
      <c r="CBY47" s="1221"/>
      <c r="CBZ47" s="1221"/>
      <c r="CCA47" s="1221"/>
      <c r="CCB47" s="1221"/>
      <c r="CCC47" s="1221"/>
      <c r="CCD47" s="1221"/>
      <c r="CCE47" s="1221"/>
      <c r="CCF47" s="1221"/>
      <c r="CCG47" s="1221"/>
      <c r="CCH47" s="1221"/>
      <c r="CCI47" s="1221"/>
      <c r="CCJ47" s="1221"/>
      <c r="CCK47" s="1221"/>
      <c r="CCL47" s="1221"/>
      <c r="CCM47" s="1221"/>
      <c r="CCN47" s="1221"/>
      <c r="CCO47" s="1221"/>
      <c r="CCP47" s="1221"/>
      <c r="CCQ47" s="1221"/>
      <c r="CCR47" s="1221"/>
      <c r="CCS47" s="1221"/>
      <c r="CCT47" s="1221"/>
      <c r="CCU47" s="1221"/>
      <c r="CCV47" s="1221"/>
      <c r="CCW47" s="1221"/>
      <c r="CCX47" s="1221"/>
      <c r="CCY47" s="1221"/>
      <c r="CCZ47" s="1221"/>
      <c r="CDA47" s="1221"/>
      <c r="CDB47" s="1221"/>
      <c r="CDC47" s="1221"/>
      <c r="CDD47" s="1221"/>
      <c r="CDE47" s="1221"/>
      <c r="CDF47" s="1221"/>
      <c r="CDG47" s="1221"/>
      <c r="CDH47" s="1221"/>
      <c r="CDI47" s="1221"/>
      <c r="CDJ47" s="1221"/>
      <c r="CDK47" s="1221"/>
      <c r="CDL47" s="1221"/>
      <c r="CDM47" s="1221"/>
      <c r="CDN47" s="1221"/>
      <c r="CDO47" s="1221"/>
      <c r="CDP47" s="1221"/>
      <c r="CDQ47" s="1221"/>
      <c r="CDR47" s="1221"/>
      <c r="CDS47" s="1221"/>
      <c r="CDT47" s="1221"/>
      <c r="CDU47" s="1221"/>
      <c r="CDV47" s="1221"/>
      <c r="CDW47" s="1221"/>
      <c r="CDX47" s="1221"/>
      <c r="CDY47" s="1221"/>
      <c r="CDZ47" s="1221"/>
      <c r="CEA47" s="1221"/>
      <c r="CEB47" s="1221"/>
      <c r="CEC47" s="1221"/>
      <c r="CED47" s="1221"/>
      <c r="CEE47" s="1221"/>
      <c r="CEF47" s="1221"/>
      <c r="CEG47" s="1221"/>
      <c r="CEH47" s="1221"/>
      <c r="CEI47" s="1221"/>
      <c r="CEJ47" s="1221"/>
      <c r="CEK47" s="1221"/>
      <c r="CEL47" s="1221"/>
      <c r="CEM47" s="1221"/>
      <c r="CEN47" s="1221"/>
      <c r="CEO47" s="1221"/>
      <c r="CEP47" s="1221"/>
      <c r="CEQ47" s="1221"/>
      <c r="CER47" s="1221"/>
      <c r="CES47" s="1221"/>
      <c r="CET47" s="1221"/>
      <c r="CEU47" s="1221"/>
      <c r="CEV47" s="1221"/>
      <c r="CEW47" s="1221"/>
      <c r="CEX47" s="1221"/>
      <c r="CEY47" s="1221"/>
      <c r="CEZ47" s="1221"/>
      <c r="CFA47" s="1221"/>
      <c r="CFB47" s="1221"/>
      <c r="CFC47" s="1221"/>
      <c r="CFD47" s="1221"/>
      <c r="CFE47" s="1221"/>
      <c r="CFF47" s="1221"/>
      <c r="CFG47" s="1221"/>
      <c r="CFH47" s="1221"/>
      <c r="CFI47" s="1221"/>
      <c r="CFJ47" s="1221"/>
      <c r="CFK47" s="1221"/>
      <c r="CFL47" s="1221"/>
      <c r="CFM47" s="1221"/>
      <c r="CFN47" s="1221"/>
      <c r="CFO47" s="1221"/>
      <c r="CFP47" s="1221"/>
      <c r="CFQ47" s="1221"/>
      <c r="CFR47" s="1221"/>
      <c r="CFS47" s="1221"/>
      <c r="CFT47" s="1221"/>
      <c r="CFU47" s="1221"/>
      <c r="CFV47" s="1221"/>
      <c r="CFW47" s="1221"/>
      <c r="CFX47" s="1221"/>
      <c r="CFY47" s="1221"/>
      <c r="CFZ47" s="1221"/>
      <c r="CGA47" s="1221"/>
      <c r="CGB47" s="1221"/>
      <c r="CGC47" s="1221"/>
      <c r="CGD47" s="1221"/>
      <c r="CGE47" s="1221"/>
      <c r="CGF47" s="1221"/>
      <c r="CGG47" s="1221"/>
      <c r="CGH47" s="1221"/>
      <c r="CGI47" s="1221"/>
      <c r="CGJ47" s="1221"/>
      <c r="CGK47" s="1221"/>
      <c r="CGL47" s="1221"/>
      <c r="CGM47" s="1221"/>
      <c r="CGN47" s="1221"/>
      <c r="CGO47" s="1221"/>
      <c r="CGP47" s="1221"/>
      <c r="CGQ47" s="1221"/>
      <c r="CGR47" s="1221"/>
      <c r="CGS47" s="1221"/>
      <c r="CGT47" s="1221"/>
      <c r="CGU47" s="1221"/>
      <c r="CGV47" s="1221"/>
      <c r="CGW47" s="1221"/>
      <c r="CGX47" s="1221"/>
      <c r="CGY47" s="1221"/>
      <c r="CGZ47" s="1221"/>
      <c r="CHA47" s="1221"/>
      <c r="CHB47" s="1221"/>
      <c r="CHC47" s="1221"/>
      <c r="CHD47" s="1221"/>
      <c r="CHE47" s="1221"/>
      <c r="CHF47" s="1221"/>
      <c r="CHG47" s="1221"/>
      <c r="CHH47" s="1221"/>
      <c r="CHI47" s="1221"/>
      <c r="CHJ47" s="1221"/>
      <c r="CHK47" s="1221"/>
      <c r="CHL47" s="1221"/>
      <c r="CHM47" s="1221"/>
      <c r="CHN47" s="1221"/>
      <c r="CHO47" s="1221"/>
      <c r="CHP47" s="1221"/>
      <c r="CHQ47" s="1221"/>
      <c r="CHR47" s="1221"/>
      <c r="CHS47" s="1221"/>
      <c r="CHT47" s="1221"/>
      <c r="CHU47" s="1221"/>
      <c r="CHV47" s="1221"/>
      <c r="CHW47" s="1221"/>
      <c r="CHX47" s="1221"/>
      <c r="CHY47" s="1221"/>
      <c r="CHZ47" s="1221"/>
      <c r="CIA47" s="1221"/>
      <c r="CIB47" s="1221"/>
      <c r="CIC47" s="1221"/>
      <c r="CID47" s="1221"/>
      <c r="CIE47" s="1221"/>
      <c r="CIF47" s="1221"/>
      <c r="CIG47" s="1221"/>
      <c r="CIH47" s="1221"/>
      <c r="CII47" s="1221"/>
      <c r="CIJ47" s="1221"/>
      <c r="CIK47" s="1221"/>
      <c r="CIL47" s="1221"/>
      <c r="CIM47" s="1221"/>
      <c r="CIN47" s="1221"/>
      <c r="CIO47" s="1221"/>
      <c r="CIP47" s="1221"/>
      <c r="CIQ47" s="1221"/>
      <c r="CIR47" s="1221"/>
      <c r="CIS47" s="1221"/>
      <c r="CIT47" s="1221"/>
      <c r="CIU47" s="1221"/>
      <c r="CIV47" s="1221"/>
      <c r="CIW47" s="1221"/>
      <c r="CIX47" s="1221"/>
      <c r="CIY47" s="1221"/>
      <c r="CIZ47" s="1221"/>
      <c r="CJA47" s="1221"/>
      <c r="CJB47" s="1221"/>
      <c r="CJC47" s="1221"/>
      <c r="CJD47" s="1221"/>
      <c r="CJE47" s="1221"/>
      <c r="CJF47" s="1221"/>
      <c r="CJG47" s="1221"/>
      <c r="CJH47" s="1221"/>
      <c r="CJI47" s="1221"/>
      <c r="CJJ47" s="1221"/>
      <c r="CJK47" s="1221"/>
      <c r="CJL47" s="1221"/>
      <c r="CJM47" s="1221"/>
      <c r="CJN47" s="1221"/>
      <c r="CJO47" s="1221"/>
      <c r="CJP47" s="1221"/>
      <c r="CJQ47" s="1221"/>
      <c r="CJR47" s="1221"/>
      <c r="CJS47" s="1221"/>
      <c r="CJT47" s="1221"/>
      <c r="CJU47" s="1221"/>
      <c r="CJV47" s="1221"/>
      <c r="CJW47" s="1221"/>
      <c r="CJX47" s="1221"/>
      <c r="CJY47" s="1221"/>
      <c r="CJZ47" s="1221"/>
      <c r="CKA47" s="1221"/>
      <c r="CKB47" s="1221"/>
      <c r="CKC47" s="1221"/>
      <c r="CKD47" s="1221"/>
      <c r="CKE47" s="1221"/>
      <c r="CKF47" s="1221"/>
      <c r="CKG47" s="1221"/>
      <c r="CKH47" s="1221"/>
      <c r="CKI47" s="1221"/>
      <c r="CKJ47" s="1221"/>
      <c r="CKK47" s="1221"/>
      <c r="CKL47" s="1221"/>
      <c r="CKM47" s="1221"/>
      <c r="CKN47" s="1221"/>
      <c r="CKO47" s="1221"/>
      <c r="CKP47" s="1221"/>
      <c r="CKQ47" s="1221"/>
      <c r="CKR47" s="1221"/>
      <c r="CKS47" s="1221"/>
      <c r="CKT47" s="1221"/>
      <c r="CKU47" s="1221"/>
      <c r="CKV47" s="1221"/>
      <c r="CKW47" s="1221"/>
      <c r="CKX47" s="1221"/>
      <c r="CKY47" s="1221"/>
      <c r="CKZ47" s="1221"/>
      <c r="CLA47" s="1221"/>
      <c r="CLB47" s="1221"/>
      <c r="CLC47" s="1221"/>
      <c r="CLD47" s="1221"/>
      <c r="CLE47" s="1221"/>
      <c r="CLF47" s="1221"/>
      <c r="CLG47" s="1221"/>
      <c r="CLH47" s="1221"/>
      <c r="CLI47" s="1221"/>
      <c r="CLJ47" s="1221"/>
      <c r="CLK47" s="1221"/>
      <c r="CLL47" s="1221"/>
      <c r="CLM47" s="1221"/>
      <c r="CLN47" s="1221"/>
      <c r="CLO47" s="1221"/>
      <c r="CLP47" s="1221"/>
      <c r="CLQ47" s="1221"/>
      <c r="CLR47" s="1221"/>
      <c r="CLS47" s="1221"/>
      <c r="CLT47" s="1221"/>
      <c r="CLU47" s="1221"/>
      <c r="CLV47" s="1221"/>
      <c r="CLW47" s="1221"/>
      <c r="CLX47" s="1221"/>
      <c r="CLY47" s="1221"/>
      <c r="CLZ47" s="1221"/>
      <c r="CMA47" s="1221"/>
      <c r="CMB47" s="1221"/>
      <c r="CMC47" s="1221"/>
      <c r="CMD47" s="1221"/>
      <c r="CME47" s="1221"/>
      <c r="CMF47" s="1221"/>
      <c r="CMG47" s="1221"/>
      <c r="CMH47" s="1221"/>
      <c r="CMI47" s="1221"/>
      <c r="CMJ47" s="1221"/>
      <c r="CMK47" s="1221"/>
      <c r="CML47" s="1221"/>
      <c r="CMM47" s="1221"/>
      <c r="CMN47" s="1221"/>
      <c r="CMO47" s="1221"/>
      <c r="CMP47" s="1221"/>
      <c r="CMQ47" s="1221"/>
      <c r="CMR47" s="1221"/>
      <c r="CMS47" s="1221"/>
      <c r="CMT47" s="1221"/>
      <c r="CMU47" s="1221"/>
      <c r="CMV47" s="1221"/>
      <c r="CMW47" s="1221"/>
      <c r="CMX47" s="1221"/>
      <c r="CMY47" s="1221"/>
      <c r="CMZ47" s="1221"/>
      <c r="CNA47" s="1221"/>
      <c r="CNB47" s="1221"/>
      <c r="CNC47" s="1221"/>
      <c r="CND47" s="1221"/>
      <c r="CNE47" s="1221"/>
      <c r="CNF47" s="1221"/>
      <c r="CNG47" s="1221"/>
      <c r="CNH47" s="1221"/>
      <c r="CNI47" s="1221"/>
      <c r="CNJ47" s="1221"/>
      <c r="CNK47" s="1221"/>
      <c r="CNL47" s="1221"/>
      <c r="CNM47" s="1221"/>
      <c r="CNN47" s="1221"/>
      <c r="CNO47" s="1221"/>
      <c r="CNP47" s="1221"/>
      <c r="CNQ47" s="1221"/>
      <c r="CNR47" s="1221"/>
      <c r="CNS47" s="1221"/>
      <c r="CNT47" s="1221"/>
      <c r="CNU47" s="1221"/>
      <c r="CNV47" s="1221"/>
      <c r="CNW47" s="1221"/>
      <c r="CNX47" s="1221"/>
      <c r="CNY47" s="1221"/>
      <c r="CNZ47" s="1221"/>
      <c r="COA47" s="1221"/>
      <c r="COB47" s="1221"/>
      <c r="COC47" s="1221"/>
      <c r="COD47" s="1221"/>
      <c r="COE47" s="1221"/>
      <c r="COF47" s="1221"/>
      <c r="COG47" s="1221"/>
      <c r="COH47" s="1221"/>
      <c r="COI47" s="1221"/>
      <c r="COJ47" s="1221"/>
      <c r="COK47" s="1221"/>
      <c r="COL47" s="1221"/>
      <c r="COM47" s="1221"/>
      <c r="CON47" s="1221"/>
      <c r="COO47" s="1221"/>
      <c r="COP47" s="1221"/>
      <c r="COQ47" s="1221"/>
      <c r="COR47" s="1221"/>
      <c r="COS47" s="1221"/>
      <c r="COT47" s="1221"/>
      <c r="COU47" s="1221"/>
      <c r="COV47" s="1221"/>
      <c r="COW47" s="1221"/>
      <c r="COX47" s="1221"/>
      <c r="COY47" s="1221"/>
      <c r="COZ47" s="1221"/>
      <c r="CPA47" s="1221"/>
      <c r="CPB47" s="1221"/>
      <c r="CPC47" s="1221"/>
      <c r="CPD47" s="1221"/>
      <c r="CPE47" s="1221"/>
      <c r="CPF47" s="1221"/>
      <c r="CPG47" s="1221"/>
      <c r="CPH47" s="1221"/>
      <c r="CPI47" s="1221"/>
      <c r="CPJ47" s="1221"/>
      <c r="CPK47" s="1221"/>
      <c r="CPL47" s="1221"/>
      <c r="CPM47" s="1221"/>
      <c r="CPN47" s="1221"/>
      <c r="CPO47" s="1221"/>
      <c r="CPP47" s="1221"/>
      <c r="CPQ47" s="1221"/>
      <c r="CPR47" s="1221"/>
      <c r="CPS47" s="1221"/>
      <c r="CPT47" s="1221"/>
      <c r="CPU47" s="1221"/>
      <c r="CPV47" s="1221"/>
      <c r="CPW47" s="1221"/>
      <c r="CPX47" s="1221"/>
      <c r="CPY47" s="1221"/>
      <c r="CPZ47" s="1221"/>
      <c r="CQA47" s="1221"/>
      <c r="CQB47" s="1221"/>
      <c r="CQC47" s="1221"/>
      <c r="CQD47" s="1221"/>
      <c r="CQE47" s="1221"/>
      <c r="CQF47" s="1221"/>
      <c r="CQG47" s="1221"/>
      <c r="CQH47" s="1221"/>
      <c r="CQI47" s="1221"/>
      <c r="CQJ47" s="1221"/>
      <c r="CQK47" s="1221"/>
      <c r="CQL47" s="1221"/>
      <c r="CQM47" s="1221"/>
      <c r="CQN47" s="1221"/>
      <c r="CQO47" s="1221"/>
      <c r="CQP47" s="1221"/>
      <c r="CQQ47" s="1221"/>
      <c r="CQR47" s="1221"/>
      <c r="CQS47" s="1221"/>
      <c r="CQT47" s="1221"/>
      <c r="CQU47" s="1221"/>
      <c r="CQV47" s="1221"/>
      <c r="CQW47" s="1221"/>
      <c r="CQX47" s="1221"/>
      <c r="CQY47" s="1221"/>
      <c r="CQZ47" s="1221"/>
      <c r="CRA47" s="1221"/>
      <c r="CRB47" s="1221"/>
      <c r="CRC47" s="1221"/>
      <c r="CRD47" s="1221"/>
      <c r="CRE47" s="1221"/>
      <c r="CRF47" s="1221"/>
      <c r="CRG47" s="1221"/>
      <c r="CRH47" s="1221"/>
      <c r="CRI47" s="1221"/>
      <c r="CRJ47" s="1221"/>
      <c r="CRK47" s="1221"/>
      <c r="CRL47" s="1221"/>
      <c r="CRM47" s="1221"/>
      <c r="CRN47" s="1221"/>
      <c r="CRO47" s="1221"/>
      <c r="CRP47" s="1221"/>
      <c r="CRQ47" s="1221"/>
      <c r="CRR47" s="1221"/>
      <c r="CRS47" s="1221"/>
      <c r="CRT47" s="1221"/>
      <c r="CRU47" s="1221"/>
      <c r="CRV47" s="1221"/>
      <c r="CRW47" s="1221"/>
      <c r="CRX47" s="1221"/>
      <c r="CRY47" s="1221"/>
      <c r="CRZ47" s="1221"/>
      <c r="CSA47" s="1221"/>
      <c r="CSB47" s="1221"/>
      <c r="CSC47" s="1221"/>
      <c r="CSD47" s="1221"/>
      <c r="CSE47" s="1221"/>
      <c r="CSF47" s="1221"/>
      <c r="CSG47" s="1221"/>
      <c r="CSH47" s="1221"/>
      <c r="CSI47" s="1221"/>
      <c r="CSJ47" s="1221"/>
      <c r="CSK47" s="1221"/>
      <c r="CSL47" s="1221"/>
      <c r="CSM47" s="1221"/>
      <c r="CSN47" s="1221"/>
      <c r="CSO47" s="1221"/>
      <c r="CSP47" s="1221"/>
      <c r="CSQ47" s="1221"/>
      <c r="CSR47" s="1221"/>
      <c r="CSS47" s="1221"/>
      <c r="CST47" s="1221"/>
      <c r="CSU47" s="1221"/>
      <c r="CSV47" s="1221"/>
      <c r="CSW47" s="1221"/>
      <c r="CSX47" s="1221"/>
      <c r="CSY47" s="1221"/>
      <c r="CSZ47" s="1221"/>
      <c r="CTA47" s="1221"/>
      <c r="CTB47" s="1221"/>
      <c r="CTC47" s="1221"/>
      <c r="CTD47" s="1221"/>
      <c r="CTE47" s="1221"/>
      <c r="CTF47" s="1221"/>
      <c r="CTG47" s="1221"/>
      <c r="CTH47" s="1221"/>
      <c r="CTI47" s="1221"/>
      <c r="CTJ47" s="1221"/>
      <c r="CTK47" s="1221"/>
      <c r="CTL47" s="1221"/>
      <c r="CTM47" s="1221"/>
      <c r="CTN47" s="1221"/>
      <c r="CTO47" s="1221"/>
      <c r="CTP47" s="1221"/>
      <c r="CTQ47" s="1221"/>
      <c r="CTR47" s="1221"/>
      <c r="CTS47" s="1221"/>
      <c r="CTT47" s="1221"/>
      <c r="CTU47" s="1221"/>
      <c r="CTV47" s="1221"/>
      <c r="CTW47" s="1221"/>
      <c r="CTX47" s="1221"/>
      <c r="CTY47" s="1221"/>
      <c r="CTZ47" s="1221"/>
      <c r="CUA47" s="1221"/>
      <c r="CUB47" s="1221"/>
      <c r="CUC47" s="1221"/>
      <c r="CUD47" s="1221"/>
      <c r="CUE47" s="1221"/>
      <c r="CUF47" s="1221"/>
      <c r="CUG47" s="1221"/>
      <c r="CUH47" s="1221"/>
      <c r="CUI47" s="1221"/>
      <c r="CUJ47" s="1221"/>
      <c r="CUK47" s="1221"/>
      <c r="CUL47" s="1221"/>
      <c r="CUM47" s="1221"/>
      <c r="CUN47" s="1221"/>
      <c r="CUO47" s="1221"/>
      <c r="CUP47" s="1221"/>
      <c r="CUQ47" s="1221"/>
      <c r="CUR47" s="1221"/>
      <c r="CUS47" s="1221"/>
      <c r="CUT47" s="1221"/>
      <c r="CUU47" s="1221"/>
      <c r="CUV47" s="1221"/>
      <c r="CUW47" s="1221"/>
      <c r="CUX47" s="1221"/>
      <c r="CUY47" s="1221"/>
      <c r="CUZ47" s="1221"/>
      <c r="CVA47" s="1221"/>
      <c r="CVB47" s="1221"/>
      <c r="CVC47" s="1221"/>
      <c r="CVD47" s="1221"/>
      <c r="CVE47" s="1221"/>
      <c r="CVF47" s="1221"/>
      <c r="CVG47" s="1221"/>
      <c r="CVH47" s="1221"/>
      <c r="CVI47" s="1221"/>
      <c r="CVJ47" s="1221"/>
      <c r="CVK47" s="1221"/>
      <c r="CVL47" s="1221"/>
      <c r="CVM47" s="1221"/>
      <c r="CVN47" s="1221"/>
      <c r="CVO47" s="1221"/>
      <c r="CVP47" s="1221"/>
      <c r="CVQ47" s="1221"/>
      <c r="CVR47" s="1221"/>
      <c r="CVS47" s="1221"/>
      <c r="CVT47" s="1221"/>
      <c r="CVU47" s="1221"/>
      <c r="CVV47" s="1221"/>
      <c r="CVW47" s="1221"/>
      <c r="CVX47" s="1221"/>
      <c r="CVY47" s="1221"/>
      <c r="CVZ47" s="1221"/>
      <c r="CWA47" s="1221"/>
      <c r="CWB47" s="1221"/>
      <c r="CWC47" s="1221"/>
      <c r="CWD47" s="1221"/>
      <c r="CWE47" s="1221"/>
      <c r="CWF47" s="1221"/>
      <c r="CWG47" s="1221"/>
      <c r="CWH47" s="1221"/>
      <c r="CWI47" s="1221"/>
      <c r="CWJ47" s="1221"/>
      <c r="CWK47" s="1221"/>
      <c r="CWL47" s="1221"/>
      <c r="CWM47" s="1221"/>
      <c r="CWN47" s="1221"/>
      <c r="CWO47" s="1221"/>
      <c r="CWP47" s="1221"/>
      <c r="CWQ47" s="1221"/>
      <c r="CWR47" s="1221"/>
      <c r="CWS47" s="1221"/>
      <c r="CWT47" s="1221"/>
      <c r="CWU47" s="1221"/>
      <c r="CWV47" s="1221"/>
      <c r="CWW47" s="1221"/>
      <c r="CWX47" s="1221"/>
      <c r="CWY47" s="1221"/>
      <c r="CWZ47" s="1221"/>
      <c r="CXA47" s="1221"/>
      <c r="CXB47" s="1221"/>
      <c r="CXC47" s="1221"/>
      <c r="CXD47" s="1221"/>
      <c r="CXE47" s="1221"/>
      <c r="CXF47" s="1221"/>
      <c r="CXG47" s="1221"/>
      <c r="CXH47" s="1221"/>
      <c r="CXI47" s="1221"/>
      <c r="CXJ47" s="1221"/>
      <c r="CXK47" s="1221"/>
      <c r="CXL47" s="1221"/>
      <c r="CXM47" s="1221"/>
      <c r="CXN47" s="1221"/>
      <c r="CXO47" s="1221"/>
      <c r="CXP47" s="1221"/>
      <c r="CXQ47" s="1221"/>
      <c r="CXR47" s="1221"/>
      <c r="CXS47" s="1221"/>
      <c r="CXT47" s="1221"/>
      <c r="CXU47" s="1221"/>
      <c r="CXV47" s="1221"/>
      <c r="CXW47" s="1221"/>
      <c r="CXX47" s="1221"/>
      <c r="CXY47" s="1221"/>
      <c r="CXZ47" s="1221"/>
      <c r="CYA47" s="1221"/>
      <c r="CYB47" s="1221"/>
      <c r="CYC47" s="1221"/>
      <c r="CYD47" s="1221"/>
      <c r="CYE47" s="1221"/>
      <c r="CYF47" s="1221"/>
      <c r="CYG47" s="1221"/>
      <c r="CYH47" s="1221"/>
      <c r="CYI47" s="1221"/>
      <c r="CYJ47" s="1221"/>
      <c r="CYK47" s="1221"/>
      <c r="CYL47" s="1221"/>
      <c r="CYM47" s="1221"/>
      <c r="CYN47" s="1221"/>
      <c r="CYO47" s="1221"/>
      <c r="CYP47" s="1221"/>
      <c r="CYQ47" s="1221"/>
      <c r="CYR47" s="1221"/>
      <c r="CYS47" s="1221"/>
      <c r="CYT47" s="1221"/>
      <c r="CYU47" s="1221"/>
      <c r="CYV47" s="1221"/>
      <c r="CYW47" s="1221"/>
      <c r="CYX47" s="1221"/>
      <c r="CYY47" s="1221"/>
      <c r="CYZ47" s="1221"/>
      <c r="CZA47" s="1221"/>
      <c r="CZB47" s="1221"/>
      <c r="CZC47" s="1221"/>
      <c r="CZD47" s="1221"/>
      <c r="CZE47" s="1221"/>
      <c r="CZF47" s="1221"/>
      <c r="CZG47" s="1221"/>
      <c r="CZH47" s="1221"/>
      <c r="CZI47" s="1221"/>
      <c r="CZJ47" s="1221"/>
      <c r="CZK47" s="1221"/>
      <c r="CZL47" s="1221"/>
      <c r="CZM47" s="1221"/>
      <c r="CZN47" s="1221"/>
      <c r="CZO47" s="1221"/>
      <c r="CZP47" s="1221"/>
      <c r="CZQ47" s="1221"/>
      <c r="CZR47" s="1221"/>
      <c r="CZS47" s="1221"/>
      <c r="CZT47" s="1221"/>
      <c r="CZU47" s="1221"/>
      <c r="CZV47" s="1221"/>
      <c r="CZW47" s="1221"/>
      <c r="CZX47" s="1221"/>
      <c r="CZY47" s="1221"/>
      <c r="CZZ47" s="1221"/>
      <c r="DAA47" s="1221"/>
      <c r="DAB47" s="1221"/>
      <c r="DAC47" s="1221"/>
      <c r="DAD47" s="1221"/>
      <c r="DAE47" s="1221"/>
      <c r="DAF47" s="1221"/>
      <c r="DAG47" s="1221"/>
      <c r="DAH47" s="1221"/>
      <c r="DAI47" s="1221"/>
      <c r="DAJ47" s="1221"/>
      <c r="DAK47" s="1221"/>
      <c r="DAL47" s="1221"/>
      <c r="DAM47" s="1221"/>
      <c r="DAN47" s="1221"/>
      <c r="DAO47" s="1221"/>
      <c r="DAP47" s="1221"/>
      <c r="DAQ47" s="1221"/>
      <c r="DAR47" s="1221"/>
      <c r="DAS47" s="1221"/>
      <c r="DAT47" s="1221"/>
      <c r="DAU47" s="1221"/>
      <c r="DAV47" s="1221"/>
      <c r="DAW47" s="1221"/>
      <c r="DAX47" s="1221"/>
      <c r="DAY47" s="1221"/>
      <c r="DAZ47" s="1221"/>
      <c r="DBA47" s="1221"/>
      <c r="DBB47" s="1221"/>
      <c r="DBC47" s="1221"/>
      <c r="DBD47" s="1221"/>
      <c r="DBE47" s="1221"/>
      <c r="DBF47" s="1221"/>
      <c r="DBG47" s="1221"/>
      <c r="DBH47" s="1221"/>
      <c r="DBI47" s="1221"/>
      <c r="DBJ47" s="1221"/>
      <c r="DBK47" s="1221"/>
      <c r="DBL47" s="1221"/>
      <c r="DBM47" s="1221"/>
      <c r="DBN47" s="1221"/>
      <c r="DBO47" s="1221"/>
      <c r="DBP47" s="1221"/>
      <c r="DBQ47" s="1221"/>
      <c r="DBR47" s="1221"/>
      <c r="DBS47" s="1221"/>
      <c r="DBT47" s="1221"/>
      <c r="DBU47" s="1221"/>
      <c r="DBV47" s="1221"/>
      <c r="DBW47" s="1221"/>
      <c r="DBX47" s="1221"/>
      <c r="DBY47" s="1221"/>
      <c r="DBZ47" s="1221"/>
      <c r="DCA47" s="1221"/>
      <c r="DCB47" s="1221"/>
      <c r="DCC47" s="1221"/>
      <c r="DCD47" s="1221"/>
      <c r="DCE47" s="1221"/>
      <c r="DCF47" s="1221"/>
      <c r="DCG47" s="1221"/>
      <c r="DCH47" s="1221"/>
      <c r="DCI47" s="1221"/>
      <c r="DCJ47" s="1221"/>
      <c r="DCK47" s="1221"/>
      <c r="DCL47" s="1221"/>
      <c r="DCM47" s="1221"/>
      <c r="DCN47" s="1221"/>
      <c r="DCO47" s="1221"/>
      <c r="DCP47" s="1221"/>
      <c r="DCQ47" s="1221"/>
      <c r="DCR47" s="1221"/>
      <c r="DCS47" s="1221"/>
      <c r="DCT47" s="1221"/>
      <c r="DCU47" s="1221"/>
      <c r="DCV47" s="1221"/>
      <c r="DCW47" s="1221"/>
      <c r="DCX47" s="1221"/>
      <c r="DCY47" s="1221"/>
      <c r="DCZ47" s="1221"/>
      <c r="DDA47" s="1221"/>
      <c r="DDB47" s="1221"/>
      <c r="DDC47" s="1221"/>
      <c r="DDD47" s="1221"/>
      <c r="DDE47" s="1221"/>
      <c r="DDF47" s="1221"/>
      <c r="DDG47" s="1221"/>
      <c r="DDH47" s="1221"/>
      <c r="DDI47" s="1221"/>
      <c r="DDJ47" s="1221"/>
      <c r="DDK47" s="1221"/>
      <c r="DDL47" s="1221"/>
      <c r="DDM47" s="1221"/>
      <c r="DDN47" s="1221"/>
      <c r="DDO47" s="1221"/>
      <c r="DDP47" s="1221"/>
      <c r="DDQ47" s="1221"/>
      <c r="DDR47" s="1221"/>
      <c r="DDS47" s="1221"/>
      <c r="DDT47" s="1221"/>
      <c r="DDU47" s="1221"/>
      <c r="DDV47" s="1221"/>
      <c r="DDW47" s="1221"/>
      <c r="DDX47" s="1221"/>
      <c r="DDY47" s="1221"/>
      <c r="DDZ47" s="1221"/>
      <c r="DEA47" s="1221"/>
      <c r="DEB47" s="1221"/>
      <c r="DEC47" s="1221"/>
      <c r="DED47" s="1221"/>
      <c r="DEE47" s="1221"/>
      <c r="DEF47" s="1221"/>
      <c r="DEG47" s="1221"/>
      <c r="DEH47" s="1221"/>
      <c r="DEI47" s="1221"/>
      <c r="DEJ47" s="1221"/>
      <c r="DEK47" s="1221"/>
      <c r="DEL47" s="1221"/>
      <c r="DEM47" s="1221"/>
      <c r="DEN47" s="1221"/>
      <c r="DEO47" s="1221"/>
      <c r="DEP47" s="1221"/>
      <c r="DEQ47" s="1221"/>
      <c r="DER47" s="1221"/>
      <c r="DES47" s="1221"/>
      <c r="DET47" s="1221"/>
      <c r="DEU47" s="1221"/>
      <c r="DEV47" s="1221"/>
      <c r="DEW47" s="1221"/>
      <c r="DEX47" s="1221"/>
      <c r="DEY47" s="1221"/>
      <c r="DEZ47" s="1221"/>
      <c r="DFA47" s="1221"/>
      <c r="DFB47" s="1221"/>
      <c r="DFC47" s="1221"/>
      <c r="DFD47" s="1221"/>
      <c r="DFE47" s="1221"/>
      <c r="DFF47" s="1221"/>
      <c r="DFG47" s="1221"/>
      <c r="DFH47" s="1221"/>
      <c r="DFI47" s="1221"/>
      <c r="DFJ47" s="1221"/>
      <c r="DFK47" s="1221"/>
      <c r="DFL47" s="1221"/>
      <c r="DFM47" s="1221"/>
      <c r="DFN47" s="1221"/>
      <c r="DFO47" s="1221"/>
      <c r="DFP47" s="1221"/>
      <c r="DFQ47" s="1221"/>
      <c r="DFR47" s="1221"/>
      <c r="DFS47" s="1221"/>
      <c r="DFT47" s="1221"/>
      <c r="DFU47" s="1221"/>
      <c r="DFV47" s="1221"/>
      <c r="DFW47" s="1221"/>
      <c r="DFX47" s="1221"/>
      <c r="DFY47" s="1221"/>
      <c r="DFZ47" s="1221"/>
      <c r="DGA47" s="1221"/>
      <c r="DGB47" s="1221"/>
      <c r="DGC47" s="1221"/>
      <c r="DGD47" s="1221"/>
      <c r="DGE47" s="1221"/>
      <c r="DGF47" s="1221"/>
      <c r="DGG47" s="1221"/>
      <c r="DGH47" s="1221"/>
      <c r="DGI47" s="1221"/>
      <c r="DGJ47" s="1221"/>
      <c r="DGK47" s="1221"/>
      <c r="DGL47" s="1221"/>
      <c r="DGM47" s="1221"/>
      <c r="DGN47" s="1221"/>
      <c r="DGO47" s="1221"/>
      <c r="DGP47" s="1221"/>
      <c r="DGQ47" s="1221"/>
      <c r="DGR47" s="1221"/>
      <c r="DGS47" s="1221"/>
      <c r="DGT47" s="1221"/>
      <c r="DGU47" s="1221"/>
      <c r="DGV47" s="1221"/>
      <c r="DGW47" s="1221"/>
      <c r="DGX47" s="1221"/>
      <c r="DGY47" s="1221"/>
      <c r="DGZ47" s="1221"/>
      <c r="DHA47" s="1221"/>
      <c r="DHB47" s="1221"/>
      <c r="DHC47" s="1221"/>
      <c r="DHD47" s="1221"/>
      <c r="DHE47" s="1221"/>
      <c r="DHF47" s="1221"/>
      <c r="DHG47" s="1221"/>
      <c r="DHH47" s="1221"/>
      <c r="DHI47" s="1221"/>
      <c r="DHJ47" s="1221"/>
      <c r="DHK47" s="1221"/>
      <c r="DHL47" s="1221"/>
      <c r="DHM47" s="1221"/>
      <c r="DHN47" s="1221"/>
      <c r="DHO47" s="1221"/>
      <c r="DHP47" s="1221"/>
      <c r="DHQ47" s="1221"/>
      <c r="DHR47" s="1221"/>
      <c r="DHS47" s="1221"/>
      <c r="DHT47" s="1221"/>
      <c r="DHU47" s="1221"/>
      <c r="DHV47" s="1221"/>
      <c r="DHW47" s="1221"/>
      <c r="DHX47" s="1221"/>
      <c r="DHY47" s="1221"/>
      <c r="DHZ47" s="1221"/>
      <c r="DIA47" s="1221"/>
      <c r="DIB47" s="1221"/>
      <c r="DIC47" s="1221"/>
      <c r="DID47" s="1221"/>
      <c r="DIE47" s="1221"/>
      <c r="DIF47" s="1221"/>
      <c r="DIG47" s="1221"/>
      <c r="DIH47" s="1221"/>
      <c r="DII47" s="1221"/>
      <c r="DIJ47" s="1221"/>
      <c r="DIK47" s="1221"/>
      <c r="DIL47" s="1221"/>
      <c r="DIM47" s="1221"/>
      <c r="DIN47" s="1221"/>
      <c r="DIO47" s="1221"/>
      <c r="DIP47" s="1221"/>
      <c r="DIQ47" s="1221"/>
      <c r="DIR47" s="1221"/>
      <c r="DIS47" s="1221"/>
      <c r="DIT47" s="1221"/>
      <c r="DIU47" s="1221"/>
      <c r="DIV47" s="1221"/>
      <c r="DIW47" s="1221"/>
      <c r="DIX47" s="1221"/>
      <c r="DIY47" s="1221"/>
      <c r="DIZ47" s="1221"/>
      <c r="DJA47" s="1221"/>
      <c r="DJB47" s="1221"/>
      <c r="DJC47" s="1221"/>
      <c r="DJD47" s="1221"/>
      <c r="DJE47" s="1221"/>
      <c r="DJF47" s="1221"/>
      <c r="DJG47" s="1221"/>
      <c r="DJH47" s="1221"/>
      <c r="DJI47" s="1221"/>
      <c r="DJJ47" s="1221"/>
      <c r="DJK47" s="1221"/>
      <c r="DJL47" s="1221"/>
      <c r="DJM47" s="1221"/>
      <c r="DJN47" s="1221"/>
      <c r="DJO47" s="1221"/>
      <c r="DJP47" s="1221"/>
      <c r="DJQ47" s="1221"/>
      <c r="DJR47" s="1221"/>
      <c r="DJS47" s="1221"/>
      <c r="DJT47" s="1221"/>
      <c r="DJU47" s="1221"/>
      <c r="DJV47" s="1221"/>
      <c r="DJW47" s="1221"/>
      <c r="DJX47" s="1221"/>
      <c r="DJY47" s="1221"/>
      <c r="DJZ47" s="1221"/>
      <c r="DKA47" s="1221"/>
      <c r="DKB47" s="1221"/>
      <c r="DKC47" s="1221"/>
      <c r="DKD47" s="1221"/>
      <c r="DKE47" s="1221"/>
      <c r="DKF47" s="1221"/>
      <c r="DKG47" s="1221"/>
      <c r="DKH47" s="1221"/>
      <c r="DKI47" s="1221"/>
      <c r="DKJ47" s="1221"/>
      <c r="DKK47" s="1221"/>
      <c r="DKL47" s="1221"/>
      <c r="DKM47" s="1221"/>
      <c r="DKN47" s="1221"/>
      <c r="DKO47" s="1221"/>
      <c r="DKP47" s="1221"/>
      <c r="DKQ47" s="1221"/>
      <c r="DKR47" s="1221"/>
      <c r="DKS47" s="1221"/>
      <c r="DKT47" s="1221"/>
      <c r="DKU47" s="1221"/>
      <c r="DKV47" s="1221"/>
      <c r="DKW47" s="1221"/>
      <c r="DKX47" s="1221"/>
      <c r="DKY47" s="1221"/>
      <c r="DKZ47" s="1221"/>
      <c r="DLA47" s="1221"/>
      <c r="DLB47" s="1221"/>
      <c r="DLC47" s="1221"/>
      <c r="DLD47" s="1221"/>
      <c r="DLE47" s="1221"/>
      <c r="DLF47" s="1221"/>
      <c r="DLG47" s="1221"/>
      <c r="DLH47" s="1221"/>
      <c r="DLI47" s="1221"/>
      <c r="DLJ47" s="1221"/>
      <c r="DLK47" s="1221"/>
      <c r="DLL47" s="1221"/>
      <c r="DLM47" s="1221"/>
      <c r="DLN47" s="1221"/>
      <c r="DLO47" s="1221"/>
      <c r="DLP47" s="1221"/>
      <c r="DLQ47" s="1221"/>
      <c r="DLR47" s="1221"/>
      <c r="DLS47" s="1221"/>
      <c r="DLT47" s="1221"/>
      <c r="DLU47" s="1221"/>
      <c r="DLV47" s="1221"/>
      <c r="DLW47" s="1221"/>
      <c r="DLX47" s="1221"/>
      <c r="DLY47" s="1221"/>
      <c r="DLZ47" s="1221"/>
      <c r="DMA47" s="1221"/>
      <c r="DMB47" s="1221"/>
      <c r="DMC47" s="1221"/>
      <c r="DMD47" s="1221"/>
      <c r="DME47" s="1221"/>
      <c r="DMF47" s="1221"/>
      <c r="DMG47" s="1221"/>
      <c r="DMH47" s="1221"/>
      <c r="DMI47" s="1221"/>
      <c r="DMJ47" s="1221"/>
      <c r="DMK47" s="1221"/>
      <c r="DML47" s="1221"/>
      <c r="DMM47" s="1221"/>
      <c r="DMN47" s="1221"/>
      <c r="DMO47" s="1221"/>
      <c r="DMP47" s="1221"/>
      <c r="DMQ47" s="1221"/>
      <c r="DMR47" s="1221"/>
      <c r="DMS47" s="1221"/>
      <c r="DMT47" s="1221"/>
      <c r="DMU47" s="1221"/>
      <c r="DMV47" s="1221"/>
      <c r="DMW47" s="1221"/>
      <c r="DMX47" s="1221"/>
      <c r="DMY47" s="1221"/>
      <c r="DMZ47" s="1221"/>
      <c r="DNA47" s="1221"/>
      <c r="DNB47" s="1221"/>
      <c r="DNC47" s="1221"/>
      <c r="DND47" s="1221"/>
      <c r="DNE47" s="1221"/>
      <c r="DNF47" s="1221"/>
      <c r="DNG47" s="1221"/>
      <c r="DNH47" s="1221"/>
      <c r="DNI47" s="1221"/>
      <c r="DNJ47" s="1221"/>
      <c r="DNK47" s="1221"/>
      <c r="DNL47" s="1221"/>
      <c r="DNM47" s="1221"/>
      <c r="DNN47" s="1221"/>
      <c r="DNO47" s="1221"/>
      <c r="DNP47" s="1221"/>
      <c r="DNQ47" s="1221"/>
      <c r="DNR47" s="1221"/>
      <c r="DNS47" s="1221"/>
      <c r="DNT47" s="1221"/>
      <c r="DNU47" s="1221"/>
      <c r="DNV47" s="1221"/>
      <c r="DNW47" s="1221"/>
      <c r="DNX47" s="1221"/>
      <c r="DNY47" s="1221"/>
      <c r="DNZ47" s="1221"/>
      <c r="DOA47" s="1221"/>
      <c r="DOB47" s="1221"/>
      <c r="DOC47" s="1221"/>
      <c r="DOD47" s="1221"/>
      <c r="DOE47" s="1221"/>
      <c r="DOF47" s="1221"/>
      <c r="DOG47" s="1221"/>
      <c r="DOH47" s="1221"/>
      <c r="DOI47" s="1221"/>
      <c r="DOJ47" s="1221"/>
      <c r="DOK47" s="1221"/>
      <c r="DOL47" s="1221"/>
      <c r="DOM47" s="1221"/>
      <c r="DON47" s="1221"/>
      <c r="DOO47" s="1221"/>
      <c r="DOP47" s="1221"/>
      <c r="DOQ47" s="1221"/>
      <c r="DOR47" s="1221"/>
      <c r="DOS47" s="1221"/>
      <c r="DOT47" s="1221"/>
      <c r="DOU47" s="1221"/>
      <c r="DOV47" s="1221"/>
      <c r="DOW47" s="1221"/>
      <c r="DOX47" s="1221"/>
      <c r="DOY47" s="1221"/>
      <c r="DOZ47" s="1221"/>
      <c r="DPA47" s="1221"/>
      <c r="DPB47" s="1221"/>
      <c r="DPC47" s="1221"/>
      <c r="DPD47" s="1221"/>
      <c r="DPE47" s="1221"/>
      <c r="DPF47" s="1221"/>
      <c r="DPG47" s="1221"/>
      <c r="DPH47" s="1221"/>
      <c r="DPI47" s="1221"/>
      <c r="DPJ47" s="1221"/>
      <c r="DPK47" s="1221"/>
      <c r="DPL47" s="1221"/>
      <c r="DPM47" s="1221"/>
      <c r="DPN47" s="1221"/>
      <c r="DPO47" s="1221"/>
      <c r="DPP47" s="1221"/>
      <c r="DPQ47" s="1221"/>
      <c r="DPR47" s="1221"/>
      <c r="DPS47" s="1221"/>
      <c r="DPT47" s="1221"/>
      <c r="DPU47" s="1221"/>
      <c r="DPV47" s="1221"/>
      <c r="DPW47" s="1221"/>
      <c r="DPX47" s="1221"/>
      <c r="DPY47" s="1221"/>
      <c r="DPZ47" s="1221"/>
      <c r="DQA47" s="1221"/>
      <c r="DQB47" s="1221"/>
      <c r="DQC47" s="1221"/>
      <c r="DQD47" s="1221"/>
      <c r="DQE47" s="1221"/>
      <c r="DQF47" s="1221"/>
      <c r="DQG47" s="1221"/>
      <c r="DQH47" s="1221"/>
      <c r="DQI47" s="1221"/>
      <c r="DQJ47" s="1221"/>
      <c r="DQK47" s="1221"/>
      <c r="DQL47" s="1221"/>
      <c r="DQM47" s="1221"/>
      <c r="DQN47" s="1221"/>
      <c r="DQO47" s="1221"/>
      <c r="DQP47" s="1221"/>
      <c r="DQQ47" s="1221"/>
      <c r="DQR47" s="1221"/>
      <c r="DQS47" s="1221"/>
      <c r="DQT47" s="1221"/>
      <c r="DQU47" s="1221"/>
      <c r="DQV47" s="1221"/>
      <c r="DQW47" s="1221"/>
      <c r="DQX47" s="1221"/>
      <c r="DQY47" s="1221"/>
      <c r="DQZ47" s="1221"/>
      <c r="DRA47" s="1221"/>
      <c r="DRB47" s="1221"/>
      <c r="DRC47" s="1221"/>
      <c r="DRD47" s="1221"/>
      <c r="DRE47" s="1221"/>
      <c r="DRF47" s="1221"/>
      <c r="DRG47" s="1221"/>
      <c r="DRH47" s="1221"/>
      <c r="DRI47" s="1221"/>
      <c r="DRJ47" s="1221"/>
      <c r="DRK47" s="1221"/>
      <c r="DRL47" s="1221"/>
      <c r="DRM47" s="1221"/>
      <c r="DRN47" s="1221"/>
      <c r="DRO47" s="1221"/>
      <c r="DRP47" s="1221"/>
      <c r="DRQ47" s="1221"/>
      <c r="DRR47" s="1221"/>
      <c r="DRS47" s="1221"/>
      <c r="DRT47" s="1221"/>
      <c r="DRU47" s="1221"/>
      <c r="DRV47" s="1221"/>
      <c r="DRW47" s="1221"/>
      <c r="DRX47" s="1221"/>
      <c r="DRY47" s="1221"/>
      <c r="DRZ47" s="1221"/>
      <c r="DSA47" s="1221"/>
      <c r="DSB47" s="1221"/>
      <c r="DSC47" s="1221"/>
      <c r="DSD47" s="1221"/>
      <c r="DSE47" s="1221"/>
      <c r="DSF47" s="1221"/>
      <c r="DSG47" s="1221"/>
      <c r="DSH47" s="1221"/>
      <c r="DSI47" s="1221"/>
      <c r="DSJ47" s="1221"/>
      <c r="DSK47" s="1221"/>
      <c r="DSL47" s="1221"/>
      <c r="DSM47" s="1221"/>
      <c r="DSN47" s="1221"/>
      <c r="DSO47" s="1221"/>
      <c r="DSP47" s="1221"/>
      <c r="DSQ47" s="1221"/>
      <c r="DSR47" s="1221"/>
      <c r="DSS47" s="1221"/>
      <c r="DST47" s="1221"/>
      <c r="DSU47" s="1221"/>
      <c r="DSV47" s="1221"/>
      <c r="DSW47" s="1221"/>
      <c r="DSX47" s="1221"/>
      <c r="DSY47" s="1221"/>
      <c r="DSZ47" s="1221"/>
      <c r="DTA47" s="1221"/>
      <c r="DTB47" s="1221"/>
      <c r="DTC47" s="1221"/>
      <c r="DTD47" s="1221"/>
      <c r="DTE47" s="1221"/>
      <c r="DTF47" s="1221"/>
      <c r="DTG47" s="1221"/>
      <c r="DTH47" s="1221"/>
      <c r="DTI47" s="1221"/>
      <c r="DTJ47" s="1221"/>
      <c r="DTK47" s="1221"/>
      <c r="DTL47" s="1221"/>
      <c r="DTM47" s="1221"/>
      <c r="DTN47" s="1221"/>
      <c r="DTO47" s="1221"/>
      <c r="DTP47" s="1221"/>
      <c r="DTQ47" s="1221"/>
      <c r="DTR47" s="1221"/>
      <c r="DTS47" s="1221"/>
      <c r="DTT47" s="1221"/>
      <c r="DTU47" s="1221"/>
      <c r="DTV47" s="1221"/>
      <c r="DTW47" s="1221"/>
      <c r="DTX47" s="1221"/>
      <c r="DTY47" s="1221"/>
      <c r="DTZ47" s="1221"/>
      <c r="DUA47" s="1221"/>
      <c r="DUB47" s="1221"/>
      <c r="DUC47" s="1221"/>
      <c r="DUD47" s="1221"/>
      <c r="DUE47" s="1221"/>
      <c r="DUF47" s="1221"/>
      <c r="DUG47" s="1221"/>
      <c r="DUH47" s="1221"/>
      <c r="DUI47" s="1221"/>
      <c r="DUJ47" s="1221"/>
      <c r="DUK47" s="1221"/>
      <c r="DUL47" s="1221"/>
      <c r="DUM47" s="1221"/>
      <c r="DUN47" s="1221"/>
      <c r="DUO47" s="1221"/>
      <c r="DUP47" s="1221"/>
      <c r="DUQ47" s="1221"/>
      <c r="DUR47" s="1221"/>
      <c r="DUS47" s="1221"/>
      <c r="DUT47" s="1221"/>
      <c r="DUU47" s="1221"/>
      <c r="DUV47" s="1221"/>
      <c r="DUW47" s="1221"/>
      <c r="DUX47" s="1221"/>
      <c r="DUY47" s="1221"/>
      <c r="DUZ47" s="1221"/>
      <c r="DVA47" s="1221"/>
      <c r="DVB47" s="1221"/>
      <c r="DVC47" s="1221"/>
      <c r="DVD47" s="1221"/>
      <c r="DVE47" s="1221"/>
      <c r="DVF47" s="1221"/>
      <c r="DVG47" s="1221"/>
      <c r="DVH47" s="1221"/>
      <c r="DVI47" s="1221"/>
      <c r="DVJ47" s="1221"/>
      <c r="DVK47" s="1221"/>
      <c r="DVL47" s="1221"/>
      <c r="DVM47" s="1221"/>
      <c r="DVN47" s="1221"/>
      <c r="DVO47" s="1221"/>
      <c r="DVP47" s="1221"/>
      <c r="DVQ47" s="1221"/>
      <c r="DVR47" s="1221"/>
      <c r="DVS47" s="1221"/>
      <c r="DVT47" s="1221"/>
      <c r="DVU47" s="1221"/>
      <c r="DVV47" s="1221"/>
      <c r="DVW47" s="1221"/>
      <c r="DVX47" s="1221"/>
      <c r="DVY47" s="1221"/>
      <c r="DVZ47" s="1221"/>
      <c r="DWA47" s="1221"/>
      <c r="DWB47" s="1221"/>
      <c r="DWC47" s="1221"/>
      <c r="DWD47" s="1221"/>
      <c r="DWE47" s="1221"/>
      <c r="DWF47" s="1221"/>
      <c r="DWG47" s="1221"/>
      <c r="DWH47" s="1221"/>
      <c r="DWI47" s="1221"/>
      <c r="DWJ47" s="1221"/>
      <c r="DWK47" s="1221"/>
      <c r="DWL47" s="1221"/>
      <c r="DWM47" s="1221"/>
      <c r="DWN47" s="1221"/>
      <c r="DWO47" s="1221"/>
      <c r="DWP47" s="1221"/>
      <c r="DWQ47" s="1221"/>
      <c r="DWR47" s="1221"/>
      <c r="DWS47" s="1221"/>
      <c r="DWT47" s="1221"/>
      <c r="DWU47" s="1221"/>
      <c r="DWV47" s="1221"/>
      <c r="DWW47" s="1221"/>
      <c r="DWX47" s="1221"/>
      <c r="DWY47" s="1221"/>
      <c r="DWZ47" s="1221"/>
      <c r="DXA47" s="1221"/>
      <c r="DXB47" s="1221"/>
      <c r="DXC47" s="1221"/>
      <c r="DXD47" s="1221"/>
      <c r="DXE47" s="1221"/>
      <c r="DXF47" s="1221"/>
      <c r="DXG47" s="1221"/>
      <c r="DXH47" s="1221"/>
      <c r="DXI47" s="1221"/>
      <c r="DXJ47" s="1221"/>
      <c r="DXK47" s="1221"/>
      <c r="DXL47" s="1221"/>
      <c r="DXM47" s="1221"/>
      <c r="DXN47" s="1221"/>
      <c r="DXO47" s="1221"/>
      <c r="DXP47" s="1221"/>
      <c r="DXQ47" s="1221"/>
      <c r="DXR47" s="1221"/>
      <c r="DXS47" s="1221"/>
      <c r="DXT47" s="1221"/>
      <c r="DXU47" s="1221"/>
      <c r="DXV47" s="1221"/>
      <c r="DXW47" s="1221"/>
      <c r="DXX47" s="1221"/>
      <c r="DXY47" s="1221"/>
      <c r="DXZ47" s="1221"/>
      <c r="DYA47" s="1221"/>
      <c r="DYB47" s="1221"/>
      <c r="DYC47" s="1221"/>
      <c r="DYD47" s="1221"/>
      <c r="DYE47" s="1221"/>
      <c r="DYF47" s="1221"/>
      <c r="DYG47" s="1221"/>
      <c r="DYH47" s="1221"/>
      <c r="DYI47" s="1221"/>
      <c r="DYJ47" s="1221"/>
      <c r="DYK47" s="1221"/>
      <c r="DYL47" s="1221"/>
      <c r="DYM47" s="1221"/>
      <c r="DYN47" s="1221"/>
      <c r="DYO47" s="1221"/>
      <c r="DYP47" s="1221"/>
      <c r="DYQ47" s="1221"/>
      <c r="DYR47" s="1221"/>
      <c r="DYS47" s="1221"/>
      <c r="DYT47" s="1221"/>
      <c r="DYU47" s="1221"/>
      <c r="DYV47" s="1221"/>
      <c r="DYW47" s="1221"/>
      <c r="DYX47" s="1221"/>
      <c r="DYY47" s="1221"/>
      <c r="DYZ47" s="1221"/>
      <c r="DZA47" s="1221"/>
      <c r="DZB47" s="1221"/>
      <c r="DZC47" s="1221"/>
      <c r="DZD47" s="1221"/>
      <c r="DZE47" s="1221"/>
      <c r="DZF47" s="1221"/>
      <c r="DZG47" s="1221"/>
      <c r="DZH47" s="1221"/>
      <c r="DZI47" s="1221"/>
      <c r="DZJ47" s="1221"/>
      <c r="DZK47" s="1221"/>
      <c r="DZL47" s="1221"/>
      <c r="DZM47" s="1221"/>
      <c r="DZN47" s="1221"/>
      <c r="DZO47" s="1221"/>
      <c r="DZP47" s="1221"/>
      <c r="DZQ47" s="1221"/>
      <c r="DZR47" s="1221"/>
      <c r="DZS47" s="1221"/>
      <c r="DZT47" s="1221"/>
      <c r="DZU47" s="1221"/>
      <c r="DZV47" s="1221"/>
      <c r="DZW47" s="1221"/>
      <c r="DZX47" s="1221"/>
      <c r="DZY47" s="1221"/>
      <c r="DZZ47" s="1221"/>
      <c r="EAA47" s="1221"/>
      <c r="EAB47" s="1221"/>
      <c r="EAC47" s="1221"/>
      <c r="EAD47" s="1221"/>
      <c r="EAE47" s="1221"/>
      <c r="EAF47" s="1221"/>
      <c r="EAG47" s="1221"/>
      <c r="EAH47" s="1221"/>
      <c r="EAI47" s="1221"/>
      <c r="EAJ47" s="1221"/>
      <c r="EAK47" s="1221"/>
      <c r="EAL47" s="1221"/>
      <c r="EAM47" s="1221"/>
      <c r="EAN47" s="1221"/>
      <c r="EAO47" s="1221"/>
      <c r="EAP47" s="1221"/>
      <c r="EAQ47" s="1221"/>
      <c r="EAR47" s="1221"/>
      <c r="EAS47" s="1221"/>
      <c r="EAT47" s="1221"/>
      <c r="EAU47" s="1221"/>
      <c r="EAV47" s="1221"/>
      <c r="EAW47" s="1221"/>
      <c r="EAX47" s="1221"/>
      <c r="EAY47" s="1221"/>
      <c r="EAZ47" s="1221"/>
      <c r="EBA47" s="1221"/>
      <c r="EBB47" s="1221"/>
      <c r="EBC47" s="1221"/>
      <c r="EBD47" s="1221"/>
      <c r="EBE47" s="1221"/>
      <c r="EBF47" s="1221"/>
      <c r="EBG47" s="1221"/>
      <c r="EBH47" s="1221"/>
      <c r="EBI47" s="1221"/>
      <c r="EBJ47" s="1221"/>
      <c r="EBK47" s="1221"/>
      <c r="EBL47" s="1221"/>
      <c r="EBM47" s="1221"/>
      <c r="EBN47" s="1221"/>
      <c r="EBO47" s="1221"/>
      <c r="EBP47" s="1221"/>
      <c r="EBQ47" s="1221"/>
      <c r="EBR47" s="1221"/>
      <c r="EBS47" s="1221"/>
      <c r="EBT47" s="1221"/>
      <c r="EBU47" s="1221"/>
      <c r="EBV47" s="1221"/>
      <c r="EBW47" s="1221"/>
      <c r="EBX47" s="1221"/>
      <c r="EBY47" s="1221"/>
      <c r="EBZ47" s="1221"/>
      <c r="ECA47" s="1221"/>
      <c r="ECB47" s="1221"/>
      <c r="ECC47" s="1221"/>
      <c r="ECD47" s="1221"/>
      <c r="ECE47" s="1221"/>
      <c r="ECF47" s="1221"/>
      <c r="ECG47" s="1221"/>
      <c r="ECH47" s="1221"/>
      <c r="ECI47" s="1221"/>
      <c r="ECJ47" s="1221"/>
      <c r="ECK47" s="1221"/>
      <c r="ECL47" s="1221"/>
      <c r="ECM47" s="1221"/>
      <c r="ECN47" s="1221"/>
      <c r="ECO47" s="1221"/>
    </row>
    <row r="48" spans="2:3473" s="1248" customFormat="1" ht="24" outlineLevel="1">
      <c r="B48" s="1249" t="s">
        <v>3156</v>
      </c>
      <c r="C48" s="1250">
        <v>4</v>
      </c>
      <c r="D48" s="1251" t="s">
        <v>3157</v>
      </c>
      <c r="E48" s="1252">
        <f t="shared" si="90"/>
        <v>0</v>
      </c>
      <c r="F48" s="1252">
        <f t="shared" si="90"/>
        <v>0</v>
      </c>
      <c r="G48" s="1252">
        <f t="shared" si="90"/>
        <v>0</v>
      </c>
      <c r="H48" s="1252">
        <f t="shared" si="79"/>
        <v>0</v>
      </c>
      <c r="I48" s="1252">
        <f t="shared" si="79"/>
        <v>0</v>
      </c>
      <c r="J48" s="1252">
        <f t="shared" si="79"/>
        <v>0</v>
      </c>
      <c r="K48" s="1252">
        <f t="shared" si="79"/>
        <v>0</v>
      </c>
      <c r="L48" s="1252">
        <f t="shared" si="79"/>
        <v>0</v>
      </c>
      <c r="M48" s="1252">
        <f t="shared" si="79"/>
        <v>0</v>
      </c>
      <c r="N48" s="1252" t="str">
        <f t="shared" si="79"/>
        <v/>
      </c>
      <c r="O48" s="1252" t="str">
        <f t="shared" si="79"/>
        <v/>
      </c>
      <c r="P48" s="1252" t="str">
        <f t="shared" si="79"/>
        <v/>
      </c>
      <c r="Q48" s="1252">
        <f t="shared" si="79"/>
        <v>0</v>
      </c>
      <c r="R48" s="1252">
        <f t="shared" si="79"/>
        <v>0</v>
      </c>
      <c r="S48" s="1252">
        <f t="shared" si="8"/>
        <v>0</v>
      </c>
      <c r="T48" s="1252">
        <f t="shared" si="5"/>
        <v>0</v>
      </c>
      <c r="U48" s="1252">
        <f t="shared" si="5"/>
        <v>0</v>
      </c>
      <c r="V48" s="1252">
        <f t="shared" si="9"/>
        <v>0</v>
      </c>
      <c r="W48" s="1252" t="str">
        <f t="shared" si="10"/>
        <v/>
      </c>
      <c r="X48" s="1252" t="str">
        <f t="shared" si="10"/>
        <v/>
      </c>
      <c r="Y48" s="1252" t="str">
        <f t="shared" si="10"/>
        <v/>
      </c>
      <c r="Z48" s="1252">
        <f t="shared" si="78"/>
        <v>0</v>
      </c>
      <c r="AA48" s="1252">
        <f t="shared" si="78"/>
        <v>0</v>
      </c>
      <c r="AB48" s="1252">
        <f t="shared" si="78"/>
        <v>0</v>
      </c>
      <c r="AC48" s="1252">
        <f t="shared" si="15"/>
        <v>0</v>
      </c>
      <c r="AD48" s="1260">
        <f t="shared" si="15"/>
        <v>0</v>
      </c>
      <c r="AE48" s="1260">
        <f t="shared" si="15"/>
        <v>0</v>
      </c>
      <c r="AF48" s="1254"/>
      <c r="AG48" s="1255"/>
      <c r="AH48" s="1255"/>
      <c r="AI48" s="1256">
        <f>AJ48+AK48</f>
        <v>0</v>
      </c>
      <c r="AJ48" s="1256">
        <f>IF($BB48=0,0,$BB48*AJ$6/($BB$6-$AG$6))</f>
        <v>0</v>
      </c>
      <c r="AK48" s="1256">
        <f>IF($BC48=0,0,$BC48*AK$6/($BC$6-$AH$6))</f>
        <v>0</v>
      </c>
      <c r="AL48" s="1256">
        <f t="shared" si="20"/>
        <v>0</v>
      </c>
      <c r="AM48" s="1256">
        <f>IF($BB48=0,0,$BB48*AM$6/($BB$6-$AG$6))</f>
        <v>0</v>
      </c>
      <c r="AN48" s="1256">
        <f>IF($BC48=0,0,$BC48*AN$6/($BC$6-$AH$6))</f>
        <v>0</v>
      </c>
      <c r="AO48" s="1256">
        <f t="shared" si="21"/>
        <v>0</v>
      </c>
      <c r="AP48" s="1256">
        <f>IF($BB48=0,0,$BB48*AP$6/($BB$6-$AG$6))</f>
        <v>0</v>
      </c>
      <c r="AQ48" s="1256">
        <f>IF($BC48=0,0,$BC48*AQ$6/($BC$6-$AH$6))</f>
        <v>0</v>
      </c>
      <c r="AR48" s="1256">
        <f>AS48+AT48</f>
        <v>0</v>
      </c>
      <c r="AS48" s="1256">
        <f>IF($BB48=0,0,$BB48*AS$6/($BB$6-$AG$6))</f>
        <v>0</v>
      </c>
      <c r="AT48" s="1256">
        <f>IF($BC48=0,0,$BC48*AT$6/($BC$6-$AH$6))</f>
        <v>0</v>
      </c>
      <c r="AU48" s="1256">
        <f>AV48+AW48</f>
        <v>0</v>
      </c>
      <c r="AV48" s="1256">
        <f>IF($BB48=0,0,$BB48*AV$6/($BB$6-$AG$6))</f>
        <v>0</v>
      </c>
      <c r="AW48" s="1256">
        <f>IF($BC48=0,0,$BC48*AW$6/($BC$6-$AH$6))</f>
        <v>0</v>
      </c>
      <c r="AX48" s="1256"/>
      <c r="AY48" s="1256"/>
      <c r="AZ48" s="1256"/>
      <c r="BA48" s="1257">
        <f>BB48+BC48</f>
        <v>0</v>
      </c>
      <c r="BB48" s="1257">
        <f t="shared" si="93"/>
        <v>0</v>
      </c>
      <c r="BC48" s="1257">
        <f t="shared" si="93"/>
        <v>0</v>
      </c>
      <c r="BD48" s="1256">
        <f t="shared" si="94"/>
        <v>0</v>
      </c>
      <c r="BE48" s="1256">
        <v>0</v>
      </c>
      <c r="BF48" s="1256">
        <v>0</v>
      </c>
      <c r="BG48" s="1256">
        <f t="shared" si="95"/>
        <v>0</v>
      </c>
      <c r="BH48" s="1257">
        <f t="shared" si="96"/>
        <v>0</v>
      </c>
      <c r="BI48" s="1257">
        <f t="shared" si="96"/>
        <v>0</v>
      </c>
      <c r="BJ48" s="1257">
        <f>BK48+BL48</f>
        <v>0</v>
      </c>
      <c r="BK48" s="1256">
        <f>VLOOKUP($D48,'当期公摊测算表（全期）'!$D$9:$W$192,20,0)</f>
        <v>0</v>
      </c>
      <c r="BL48" s="1256">
        <f>VLOOKUP($D48,'当期公摊测算表（全期）'!$D$9:$W$192,19,0)</f>
        <v>0</v>
      </c>
      <c r="BM48" s="1262" t="s">
        <v>20</v>
      </c>
      <c r="BN48" s="1225">
        <f t="shared" si="12"/>
        <v>0</v>
      </c>
      <c r="BO48" s="1225">
        <f t="shared" si="13"/>
        <v>0</v>
      </c>
      <c r="BP48" s="1225">
        <f t="shared" si="14"/>
        <v>0</v>
      </c>
      <c r="BQ48" s="1225"/>
      <c r="BR48" s="1221"/>
      <c r="BS48" s="1221"/>
      <c r="BT48" s="1221"/>
      <c r="BU48" s="1221"/>
      <c r="BV48" s="1221"/>
      <c r="BW48" s="1221"/>
      <c r="BX48" s="1221"/>
      <c r="BY48" s="1221"/>
      <c r="BZ48" s="1221"/>
      <c r="CA48" s="1221"/>
      <c r="CB48" s="1221"/>
      <c r="CC48" s="1221"/>
      <c r="CD48" s="1221"/>
      <c r="CE48" s="1221"/>
      <c r="CF48" s="1221"/>
      <c r="CG48" s="1221"/>
      <c r="CH48" s="1221"/>
      <c r="CI48" s="1221"/>
      <c r="CJ48" s="1221"/>
      <c r="CK48" s="1221"/>
      <c r="CL48" s="1221"/>
      <c r="CM48" s="1221"/>
      <c r="CN48" s="1221"/>
      <c r="CO48" s="1221"/>
      <c r="CP48" s="1221"/>
      <c r="CQ48" s="1221"/>
      <c r="CR48" s="1221"/>
      <c r="CS48" s="1221"/>
      <c r="CT48" s="1221"/>
      <c r="CU48" s="1221"/>
      <c r="CV48" s="1221"/>
      <c r="CW48" s="1221"/>
      <c r="CX48" s="1221"/>
      <c r="CY48" s="1221"/>
      <c r="CZ48" s="1221"/>
      <c r="DA48" s="1221"/>
      <c r="DB48" s="1221"/>
      <c r="DC48" s="1221"/>
      <c r="DD48" s="1221"/>
      <c r="DE48" s="1221"/>
      <c r="DF48" s="1221"/>
      <c r="DG48" s="1221"/>
      <c r="DH48" s="1221"/>
      <c r="DI48" s="1221"/>
      <c r="DJ48" s="1221"/>
      <c r="DK48" s="1221"/>
      <c r="DL48" s="1221"/>
      <c r="DM48" s="1221"/>
      <c r="DN48" s="1221"/>
      <c r="DO48" s="1221"/>
      <c r="DP48" s="1221"/>
      <c r="DQ48" s="1221"/>
      <c r="DR48" s="1221"/>
      <c r="DS48" s="1221"/>
      <c r="DT48" s="1221"/>
      <c r="DU48" s="1221"/>
      <c r="DV48" s="1221"/>
      <c r="DW48" s="1221"/>
      <c r="DX48" s="1221"/>
      <c r="DY48" s="1221"/>
      <c r="DZ48" s="1221"/>
      <c r="EA48" s="1221"/>
      <c r="EB48" s="1221"/>
      <c r="EC48" s="1221"/>
      <c r="ED48" s="1221"/>
      <c r="EE48" s="1221"/>
      <c r="EF48" s="1221"/>
      <c r="EG48" s="1221"/>
      <c r="EH48" s="1221"/>
      <c r="EI48" s="1221"/>
      <c r="EJ48" s="1221"/>
      <c r="EK48" s="1221"/>
      <c r="EL48" s="1221"/>
      <c r="EM48" s="1221"/>
      <c r="EN48" s="1221"/>
      <c r="EO48" s="1221"/>
      <c r="EP48" s="1221"/>
      <c r="EQ48" s="1221"/>
      <c r="ER48" s="1221"/>
      <c r="ES48" s="1221"/>
      <c r="ET48" s="1221"/>
      <c r="EU48" s="1221"/>
      <c r="EV48" s="1221"/>
      <c r="EW48" s="1221"/>
      <c r="EX48" s="1221"/>
      <c r="EY48" s="1221"/>
      <c r="EZ48" s="1221"/>
      <c r="FA48" s="1221"/>
      <c r="FB48" s="1221"/>
      <c r="FC48" s="1221"/>
      <c r="FD48" s="1221"/>
      <c r="FE48" s="1221"/>
      <c r="FF48" s="1221"/>
      <c r="FG48" s="1221"/>
      <c r="FH48" s="1221"/>
      <c r="FI48" s="1221"/>
      <c r="FJ48" s="1221"/>
      <c r="FK48" s="1221"/>
      <c r="FL48" s="1221"/>
      <c r="FM48" s="1221"/>
      <c r="FN48" s="1221"/>
      <c r="FO48" s="1221"/>
      <c r="FP48" s="1221"/>
      <c r="FQ48" s="1221"/>
      <c r="FR48" s="1221"/>
      <c r="FS48" s="1221"/>
      <c r="FT48" s="1221"/>
      <c r="FU48" s="1221"/>
      <c r="FV48" s="1221"/>
      <c r="FW48" s="1221"/>
      <c r="FX48" s="1221"/>
      <c r="FY48" s="1221"/>
      <c r="FZ48" s="1221"/>
      <c r="GA48" s="1221"/>
      <c r="GB48" s="1221"/>
      <c r="GC48" s="1221"/>
      <c r="GD48" s="1221"/>
      <c r="GE48" s="1221"/>
      <c r="GF48" s="1221"/>
      <c r="GG48" s="1221"/>
      <c r="GH48" s="1221"/>
      <c r="GI48" s="1221"/>
      <c r="GJ48" s="1221"/>
      <c r="GK48" s="1221"/>
      <c r="GL48" s="1221"/>
      <c r="GM48" s="1221"/>
      <c r="GN48" s="1221"/>
      <c r="GO48" s="1221"/>
      <c r="GP48" s="1221"/>
      <c r="GQ48" s="1221"/>
      <c r="GR48" s="1221"/>
      <c r="GS48" s="1221"/>
      <c r="GT48" s="1221"/>
      <c r="GU48" s="1221"/>
      <c r="GV48" s="1221"/>
      <c r="GW48" s="1221"/>
      <c r="GX48" s="1221"/>
      <c r="GY48" s="1221"/>
      <c r="GZ48" s="1221"/>
      <c r="HA48" s="1221"/>
      <c r="HB48" s="1221"/>
      <c r="HC48" s="1221"/>
      <c r="HD48" s="1221"/>
      <c r="HE48" s="1221"/>
      <c r="HF48" s="1221"/>
      <c r="HG48" s="1221"/>
      <c r="HH48" s="1221"/>
      <c r="HI48" s="1221"/>
      <c r="HJ48" s="1221"/>
      <c r="HK48" s="1221"/>
      <c r="HL48" s="1221"/>
      <c r="HM48" s="1221"/>
      <c r="HN48" s="1221"/>
      <c r="HO48" s="1221"/>
      <c r="HP48" s="1221"/>
      <c r="HQ48" s="1221"/>
      <c r="HR48" s="1221"/>
      <c r="HS48" s="1221"/>
      <c r="HT48" s="1221"/>
      <c r="HU48" s="1221"/>
      <c r="HV48" s="1221"/>
      <c r="HW48" s="1221"/>
      <c r="HX48" s="1221"/>
      <c r="HY48" s="1221"/>
      <c r="HZ48" s="1221"/>
      <c r="IA48" s="1221"/>
      <c r="IB48" s="1221"/>
      <c r="IC48" s="1221"/>
      <c r="ID48" s="1221"/>
      <c r="IE48" s="1221"/>
      <c r="IF48" s="1221"/>
      <c r="IG48" s="1221"/>
      <c r="IH48" s="1221"/>
      <c r="II48" s="1221"/>
      <c r="IJ48" s="1221"/>
      <c r="IK48" s="1221"/>
      <c r="IL48" s="1221"/>
      <c r="IM48" s="1221"/>
      <c r="IN48" s="1221"/>
      <c r="IO48" s="1221"/>
      <c r="IP48" s="1221"/>
      <c r="IQ48" s="1221"/>
      <c r="IR48" s="1221"/>
      <c r="IS48" s="1221"/>
      <c r="IT48" s="1221"/>
      <c r="IU48" s="1221"/>
      <c r="IV48" s="1221"/>
      <c r="IW48" s="1221"/>
      <c r="IX48" s="1221"/>
      <c r="IY48" s="1221"/>
      <c r="IZ48" s="1221"/>
      <c r="JA48" s="1221"/>
      <c r="JB48" s="1221"/>
      <c r="JC48" s="1221"/>
      <c r="JD48" s="1221"/>
      <c r="JE48" s="1221"/>
      <c r="JF48" s="1221"/>
      <c r="JG48" s="1221"/>
      <c r="JH48" s="1221"/>
      <c r="JI48" s="1221"/>
      <c r="JJ48" s="1221"/>
      <c r="JK48" s="1221"/>
      <c r="JL48" s="1221"/>
      <c r="JM48" s="1221"/>
      <c r="JN48" s="1221"/>
      <c r="JO48" s="1221"/>
      <c r="JP48" s="1221"/>
      <c r="JQ48" s="1221"/>
      <c r="JR48" s="1221"/>
      <c r="JS48" s="1221"/>
      <c r="JT48" s="1221"/>
      <c r="JU48" s="1221"/>
      <c r="JV48" s="1221"/>
      <c r="JW48" s="1221"/>
      <c r="JX48" s="1221"/>
      <c r="JY48" s="1221"/>
      <c r="JZ48" s="1221"/>
      <c r="KA48" s="1221"/>
      <c r="KB48" s="1221"/>
      <c r="KC48" s="1221"/>
      <c r="KD48" s="1221"/>
      <c r="KE48" s="1221"/>
      <c r="KF48" s="1221"/>
      <c r="KG48" s="1221"/>
      <c r="KH48" s="1221"/>
      <c r="KI48" s="1221"/>
      <c r="KJ48" s="1221"/>
      <c r="KK48" s="1221"/>
      <c r="KL48" s="1221"/>
      <c r="KM48" s="1221"/>
      <c r="KN48" s="1221"/>
      <c r="KO48" s="1221"/>
      <c r="KP48" s="1221"/>
      <c r="KQ48" s="1221"/>
      <c r="KR48" s="1221"/>
      <c r="KS48" s="1221"/>
      <c r="KT48" s="1221"/>
      <c r="KU48" s="1221"/>
      <c r="KV48" s="1221"/>
      <c r="KW48" s="1221"/>
      <c r="KX48" s="1221"/>
      <c r="KY48" s="1221"/>
      <c r="KZ48" s="1221"/>
      <c r="LA48" s="1221"/>
      <c r="LB48" s="1221"/>
      <c r="LC48" s="1221"/>
      <c r="LD48" s="1221"/>
      <c r="LE48" s="1221"/>
      <c r="LF48" s="1221"/>
      <c r="LG48" s="1221"/>
      <c r="LH48" s="1221"/>
      <c r="LI48" s="1221"/>
      <c r="LJ48" s="1221"/>
      <c r="LK48" s="1221"/>
      <c r="LL48" s="1221"/>
      <c r="LM48" s="1221"/>
      <c r="LN48" s="1221"/>
      <c r="LO48" s="1221"/>
      <c r="LP48" s="1221"/>
      <c r="LQ48" s="1221"/>
      <c r="LR48" s="1221"/>
      <c r="LS48" s="1221"/>
      <c r="LT48" s="1221"/>
      <c r="LU48" s="1221"/>
      <c r="LV48" s="1221"/>
      <c r="LW48" s="1221"/>
      <c r="LX48" s="1221"/>
      <c r="LY48" s="1221"/>
      <c r="LZ48" s="1221"/>
      <c r="MA48" s="1221"/>
      <c r="MB48" s="1221"/>
      <c r="MC48" s="1221"/>
      <c r="MD48" s="1221"/>
      <c r="ME48" s="1221"/>
      <c r="MF48" s="1221"/>
      <c r="MG48" s="1221"/>
      <c r="MH48" s="1221"/>
      <c r="MI48" s="1221"/>
      <c r="MJ48" s="1221"/>
      <c r="MK48" s="1221"/>
      <c r="ML48" s="1221"/>
      <c r="MM48" s="1221"/>
      <c r="MN48" s="1221"/>
      <c r="MO48" s="1221"/>
      <c r="MP48" s="1221"/>
      <c r="MQ48" s="1221"/>
      <c r="MR48" s="1221"/>
      <c r="MS48" s="1221"/>
      <c r="MT48" s="1221"/>
      <c r="MU48" s="1221"/>
      <c r="MV48" s="1221"/>
      <c r="MW48" s="1221"/>
      <c r="MX48" s="1221"/>
      <c r="MY48" s="1221"/>
      <c r="MZ48" s="1221"/>
      <c r="NA48" s="1221"/>
      <c r="NB48" s="1221"/>
      <c r="NC48" s="1221"/>
      <c r="ND48" s="1221"/>
      <c r="NE48" s="1221"/>
      <c r="NF48" s="1221"/>
      <c r="NG48" s="1221"/>
      <c r="NH48" s="1221"/>
      <c r="NI48" s="1221"/>
      <c r="NJ48" s="1221"/>
      <c r="NK48" s="1221"/>
      <c r="NL48" s="1221"/>
      <c r="NM48" s="1221"/>
      <c r="NN48" s="1221"/>
      <c r="NO48" s="1221"/>
      <c r="NP48" s="1221"/>
      <c r="NQ48" s="1221"/>
      <c r="NR48" s="1221"/>
      <c r="NS48" s="1221"/>
      <c r="NT48" s="1221"/>
      <c r="NU48" s="1221"/>
      <c r="NV48" s="1221"/>
      <c r="NW48" s="1221"/>
      <c r="NX48" s="1221"/>
      <c r="NY48" s="1221"/>
      <c r="NZ48" s="1221"/>
      <c r="OA48" s="1221"/>
      <c r="OB48" s="1221"/>
      <c r="OC48" s="1221"/>
      <c r="OD48" s="1221"/>
      <c r="OE48" s="1221"/>
      <c r="OF48" s="1221"/>
      <c r="OG48" s="1221"/>
      <c r="OH48" s="1221"/>
      <c r="OI48" s="1221"/>
      <c r="OJ48" s="1221"/>
      <c r="OK48" s="1221"/>
      <c r="OL48" s="1221"/>
      <c r="OM48" s="1221"/>
      <c r="ON48" s="1221"/>
      <c r="OO48" s="1221"/>
      <c r="OP48" s="1221"/>
      <c r="OQ48" s="1221"/>
      <c r="OR48" s="1221"/>
      <c r="OS48" s="1221"/>
      <c r="OT48" s="1221"/>
      <c r="OU48" s="1221"/>
      <c r="OV48" s="1221"/>
      <c r="OW48" s="1221"/>
      <c r="OX48" s="1221"/>
      <c r="OY48" s="1221"/>
      <c r="OZ48" s="1221"/>
      <c r="PA48" s="1221"/>
      <c r="PB48" s="1221"/>
      <c r="PC48" s="1221"/>
      <c r="PD48" s="1221"/>
      <c r="PE48" s="1221"/>
      <c r="PF48" s="1221"/>
      <c r="PG48" s="1221"/>
      <c r="PH48" s="1221"/>
      <c r="PI48" s="1221"/>
      <c r="PJ48" s="1221"/>
      <c r="PK48" s="1221"/>
      <c r="PL48" s="1221"/>
      <c r="PM48" s="1221"/>
      <c r="PN48" s="1221"/>
      <c r="PO48" s="1221"/>
      <c r="PP48" s="1221"/>
      <c r="PQ48" s="1221"/>
      <c r="PR48" s="1221"/>
      <c r="PS48" s="1221"/>
      <c r="PT48" s="1221"/>
      <c r="PU48" s="1221"/>
      <c r="PV48" s="1221"/>
      <c r="PW48" s="1221"/>
      <c r="PX48" s="1221"/>
      <c r="PY48" s="1221"/>
      <c r="PZ48" s="1221"/>
      <c r="QA48" s="1221"/>
      <c r="QB48" s="1221"/>
      <c r="QC48" s="1221"/>
      <c r="QD48" s="1221"/>
      <c r="QE48" s="1221"/>
      <c r="QF48" s="1221"/>
      <c r="QG48" s="1221"/>
      <c r="QH48" s="1221"/>
      <c r="QI48" s="1221"/>
      <c r="QJ48" s="1221"/>
      <c r="QK48" s="1221"/>
      <c r="QL48" s="1221"/>
      <c r="QM48" s="1221"/>
      <c r="QN48" s="1221"/>
      <c r="QO48" s="1221"/>
      <c r="QP48" s="1221"/>
      <c r="QQ48" s="1221"/>
      <c r="QR48" s="1221"/>
      <c r="QS48" s="1221"/>
      <c r="QT48" s="1221"/>
      <c r="QU48" s="1221"/>
      <c r="QV48" s="1221"/>
      <c r="QW48" s="1221"/>
      <c r="QX48" s="1221"/>
      <c r="QY48" s="1221"/>
      <c r="QZ48" s="1221"/>
      <c r="RA48" s="1221"/>
      <c r="RB48" s="1221"/>
      <c r="RC48" s="1221"/>
      <c r="RD48" s="1221"/>
      <c r="RE48" s="1221"/>
      <c r="RF48" s="1221"/>
      <c r="RG48" s="1221"/>
      <c r="RH48" s="1221"/>
      <c r="RI48" s="1221"/>
      <c r="RJ48" s="1221"/>
      <c r="RK48" s="1221"/>
      <c r="RL48" s="1221"/>
      <c r="RM48" s="1221"/>
      <c r="RN48" s="1221"/>
      <c r="RO48" s="1221"/>
      <c r="RP48" s="1221"/>
      <c r="RQ48" s="1221"/>
      <c r="RR48" s="1221"/>
      <c r="RS48" s="1221"/>
      <c r="RT48" s="1221"/>
      <c r="RU48" s="1221"/>
      <c r="RV48" s="1221"/>
      <c r="RW48" s="1221"/>
      <c r="RX48" s="1221"/>
      <c r="RY48" s="1221"/>
      <c r="RZ48" s="1221"/>
      <c r="SA48" s="1221"/>
      <c r="SB48" s="1221"/>
      <c r="SC48" s="1221"/>
      <c r="SD48" s="1221"/>
      <c r="SE48" s="1221"/>
      <c r="SF48" s="1221"/>
      <c r="SG48" s="1221"/>
      <c r="SH48" s="1221"/>
      <c r="SI48" s="1221"/>
      <c r="SJ48" s="1221"/>
      <c r="SK48" s="1221"/>
      <c r="SL48" s="1221"/>
      <c r="SM48" s="1221"/>
      <c r="SN48" s="1221"/>
      <c r="SO48" s="1221"/>
      <c r="SP48" s="1221"/>
      <c r="SQ48" s="1221"/>
      <c r="SR48" s="1221"/>
      <c r="SS48" s="1221"/>
      <c r="ST48" s="1221"/>
      <c r="SU48" s="1221"/>
      <c r="SV48" s="1221"/>
      <c r="SW48" s="1221"/>
      <c r="SX48" s="1221"/>
      <c r="SY48" s="1221"/>
      <c r="SZ48" s="1221"/>
      <c r="TA48" s="1221"/>
      <c r="TB48" s="1221"/>
      <c r="TC48" s="1221"/>
      <c r="TD48" s="1221"/>
      <c r="TE48" s="1221"/>
      <c r="TF48" s="1221"/>
      <c r="TG48" s="1221"/>
      <c r="TH48" s="1221"/>
      <c r="TI48" s="1221"/>
      <c r="TJ48" s="1221"/>
      <c r="TK48" s="1221"/>
      <c r="TL48" s="1221"/>
      <c r="TM48" s="1221"/>
      <c r="TN48" s="1221"/>
      <c r="TO48" s="1221"/>
      <c r="TP48" s="1221"/>
      <c r="TQ48" s="1221"/>
      <c r="TR48" s="1221"/>
      <c r="TS48" s="1221"/>
      <c r="TT48" s="1221"/>
      <c r="TU48" s="1221"/>
      <c r="TV48" s="1221"/>
      <c r="TW48" s="1221"/>
      <c r="TX48" s="1221"/>
      <c r="TY48" s="1221"/>
      <c r="TZ48" s="1221"/>
      <c r="UA48" s="1221"/>
      <c r="UB48" s="1221"/>
      <c r="UC48" s="1221"/>
      <c r="UD48" s="1221"/>
      <c r="UE48" s="1221"/>
      <c r="UF48" s="1221"/>
      <c r="UG48" s="1221"/>
      <c r="UH48" s="1221"/>
      <c r="UI48" s="1221"/>
      <c r="UJ48" s="1221"/>
      <c r="UK48" s="1221"/>
      <c r="UL48" s="1221"/>
      <c r="UM48" s="1221"/>
      <c r="UN48" s="1221"/>
      <c r="UO48" s="1221"/>
      <c r="UP48" s="1221"/>
      <c r="UQ48" s="1221"/>
      <c r="UR48" s="1221"/>
      <c r="US48" s="1221"/>
      <c r="UT48" s="1221"/>
      <c r="UU48" s="1221"/>
      <c r="UV48" s="1221"/>
      <c r="UW48" s="1221"/>
      <c r="UX48" s="1221"/>
      <c r="UY48" s="1221"/>
      <c r="UZ48" s="1221"/>
      <c r="VA48" s="1221"/>
      <c r="VB48" s="1221"/>
      <c r="VC48" s="1221"/>
      <c r="VD48" s="1221"/>
      <c r="VE48" s="1221"/>
      <c r="VF48" s="1221"/>
      <c r="VG48" s="1221"/>
      <c r="VH48" s="1221"/>
      <c r="VI48" s="1221"/>
      <c r="VJ48" s="1221"/>
      <c r="VK48" s="1221"/>
      <c r="VL48" s="1221"/>
      <c r="VM48" s="1221"/>
      <c r="VN48" s="1221"/>
      <c r="VO48" s="1221"/>
      <c r="VP48" s="1221"/>
      <c r="VQ48" s="1221"/>
      <c r="VR48" s="1221"/>
      <c r="VS48" s="1221"/>
      <c r="VT48" s="1221"/>
      <c r="VU48" s="1221"/>
      <c r="VV48" s="1221"/>
      <c r="VW48" s="1221"/>
      <c r="VX48" s="1221"/>
      <c r="VY48" s="1221"/>
      <c r="VZ48" s="1221"/>
      <c r="WA48" s="1221"/>
      <c r="WB48" s="1221"/>
      <c r="WC48" s="1221"/>
      <c r="WD48" s="1221"/>
      <c r="WE48" s="1221"/>
      <c r="WF48" s="1221"/>
      <c r="WG48" s="1221"/>
      <c r="WH48" s="1221"/>
      <c r="WI48" s="1221"/>
      <c r="WJ48" s="1221"/>
      <c r="WK48" s="1221"/>
      <c r="WL48" s="1221"/>
      <c r="WM48" s="1221"/>
      <c r="WN48" s="1221"/>
      <c r="WO48" s="1221"/>
      <c r="WP48" s="1221"/>
      <c r="WQ48" s="1221"/>
      <c r="WR48" s="1221"/>
      <c r="WS48" s="1221"/>
      <c r="WT48" s="1221"/>
      <c r="WU48" s="1221"/>
      <c r="WV48" s="1221"/>
      <c r="WW48" s="1221"/>
      <c r="WX48" s="1221"/>
      <c r="WY48" s="1221"/>
      <c r="WZ48" s="1221"/>
      <c r="XA48" s="1221"/>
      <c r="XB48" s="1221"/>
      <c r="XC48" s="1221"/>
      <c r="XD48" s="1221"/>
      <c r="XE48" s="1221"/>
      <c r="XF48" s="1221"/>
      <c r="XG48" s="1221"/>
      <c r="XH48" s="1221"/>
      <c r="XI48" s="1221"/>
      <c r="XJ48" s="1221"/>
      <c r="XK48" s="1221"/>
      <c r="XL48" s="1221"/>
      <c r="XM48" s="1221"/>
      <c r="XN48" s="1221"/>
      <c r="XO48" s="1221"/>
      <c r="XP48" s="1221"/>
      <c r="XQ48" s="1221"/>
      <c r="XR48" s="1221"/>
      <c r="XS48" s="1221"/>
      <c r="XT48" s="1221"/>
      <c r="XU48" s="1221"/>
      <c r="XV48" s="1221"/>
      <c r="XW48" s="1221"/>
      <c r="XX48" s="1221"/>
      <c r="XY48" s="1221"/>
      <c r="XZ48" s="1221"/>
      <c r="YA48" s="1221"/>
      <c r="YB48" s="1221"/>
      <c r="YC48" s="1221"/>
      <c r="YD48" s="1221"/>
      <c r="YE48" s="1221"/>
      <c r="YF48" s="1221"/>
      <c r="YG48" s="1221"/>
      <c r="YH48" s="1221"/>
      <c r="YI48" s="1221"/>
      <c r="YJ48" s="1221"/>
      <c r="YK48" s="1221"/>
      <c r="YL48" s="1221"/>
      <c r="YM48" s="1221"/>
      <c r="YN48" s="1221"/>
      <c r="YO48" s="1221"/>
      <c r="YP48" s="1221"/>
      <c r="YQ48" s="1221"/>
      <c r="YR48" s="1221"/>
      <c r="YS48" s="1221"/>
      <c r="YT48" s="1221"/>
      <c r="YU48" s="1221"/>
      <c r="YV48" s="1221"/>
      <c r="YW48" s="1221"/>
      <c r="YX48" s="1221"/>
      <c r="YY48" s="1221"/>
      <c r="YZ48" s="1221"/>
      <c r="ZA48" s="1221"/>
      <c r="ZB48" s="1221"/>
      <c r="ZC48" s="1221"/>
      <c r="ZD48" s="1221"/>
      <c r="ZE48" s="1221"/>
      <c r="ZF48" s="1221"/>
      <c r="ZG48" s="1221"/>
      <c r="ZH48" s="1221"/>
      <c r="ZI48" s="1221"/>
      <c r="ZJ48" s="1221"/>
      <c r="ZK48" s="1221"/>
      <c r="ZL48" s="1221"/>
      <c r="ZM48" s="1221"/>
      <c r="ZN48" s="1221"/>
      <c r="ZO48" s="1221"/>
      <c r="ZP48" s="1221"/>
      <c r="ZQ48" s="1221"/>
      <c r="ZR48" s="1221"/>
      <c r="ZS48" s="1221"/>
      <c r="ZT48" s="1221"/>
      <c r="ZU48" s="1221"/>
      <c r="ZV48" s="1221"/>
      <c r="ZW48" s="1221"/>
      <c r="ZX48" s="1221"/>
      <c r="ZY48" s="1221"/>
      <c r="ZZ48" s="1221"/>
      <c r="AAA48" s="1221"/>
      <c r="AAB48" s="1221"/>
      <c r="AAC48" s="1221"/>
      <c r="AAD48" s="1221"/>
      <c r="AAE48" s="1221"/>
      <c r="AAF48" s="1221"/>
      <c r="AAG48" s="1221"/>
      <c r="AAH48" s="1221"/>
      <c r="AAI48" s="1221"/>
      <c r="AAJ48" s="1221"/>
      <c r="AAK48" s="1221"/>
      <c r="AAL48" s="1221"/>
      <c r="AAM48" s="1221"/>
      <c r="AAN48" s="1221"/>
      <c r="AAO48" s="1221"/>
      <c r="AAP48" s="1221"/>
      <c r="AAQ48" s="1221"/>
      <c r="AAR48" s="1221"/>
      <c r="AAS48" s="1221"/>
      <c r="AAT48" s="1221"/>
      <c r="AAU48" s="1221"/>
      <c r="AAV48" s="1221"/>
      <c r="AAW48" s="1221"/>
      <c r="AAX48" s="1221"/>
      <c r="AAY48" s="1221"/>
      <c r="AAZ48" s="1221"/>
      <c r="ABA48" s="1221"/>
      <c r="ABB48" s="1221"/>
      <c r="ABC48" s="1221"/>
      <c r="ABD48" s="1221"/>
      <c r="ABE48" s="1221"/>
      <c r="ABF48" s="1221"/>
      <c r="ABG48" s="1221"/>
      <c r="ABH48" s="1221"/>
      <c r="ABI48" s="1221"/>
      <c r="ABJ48" s="1221"/>
      <c r="ABK48" s="1221"/>
      <c r="ABL48" s="1221"/>
      <c r="ABM48" s="1221"/>
      <c r="ABN48" s="1221"/>
      <c r="ABO48" s="1221"/>
      <c r="ABP48" s="1221"/>
      <c r="ABQ48" s="1221"/>
      <c r="ABR48" s="1221"/>
      <c r="ABS48" s="1221"/>
      <c r="ABT48" s="1221"/>
      <c r="ABU48" s="1221"/>
      <c r="ABV48" s="1221"/>
      <c r="ABW48" s="1221"/>
      <c r="ABX48" s="1221"/>
      <c r="ABY48" s="1221"/>
      <c r="ABZ48" s="1221"/>
      <c r="ACA48" s="1221"/>
      <c r="ACB48" s="1221"/>
      <c r="ACC48" s="1221"/>
      <c r="ACD48" s="1221"/>
      <c r="ACE48" s="1221"/>
      <c r="ACF48" s="1221"/>
      <c r="ACG48" s="1221"/>
      <c r="ACH48" s="1221"/>
      <c r="ACI48" s="1221"/>
      <c r="ACJ48" s="1221"/>
      <c r="ACK48" s="1221"/>
      <c r="ACL48" s="1221"/>
      <c r="ACM48" s="1221"/>
      <c r="ACN48" s="1221"/>
      <c r="ACO48" s="1221"/>
      <c r="ACP48" s="1221"/>
      <c r="ACQ48" s="1221"/>
      <c r="ACR48" s="1221"/>
      <c r="ACS48" s="1221"/>
      <c r="ACT48" s="1221"/>
      <c r="ACU48" s="1221"/>
      <c r="ACV48" s="1221"/>
      <c r="ACW48" s="1221"/>
      <c r="ACX48" s="1221"/>
      <c r="ACY48" s="1221"/>
      <c r="ACZ48" s="1221"/>
      <c r="ADA48" s="1221"/>
      <c r="ADB48" s="1221"/>
      <c r="ADC48" s="1221"/>
      <c r="ADD48" s="1221"/>
      <c r="ADE48" s="1221"/>
      <c r="ADF48" s="1221"/>
      <c r="ADG48" s="1221"/>
      <c r="ADH48" s="1221"/>
      <c r="ADI48" s="1221"/>
      <c r="ADJ48" s="1221"/>
      <c r="ADK48" s="1221"/>
      <c r="ADL48" s="1221"/>
      <c r="ADM48" s="1221"/>
      <c r="ADN48" s="1221"/>
      <c r="ADO48" s="1221"/>
      <c r="ADP48" s="1221"/>
      <c r="ADQ48" s="1221"/>
      <c r="ADR48" s="1221"/>
      <c r="ADS48" s="1221"/>
      <c r="ADT48" s="1221"/>
      <c r="ADU48" s="1221"/>
      <c r="ADV48" s="1221"/>
      <c r="ADW48" s="1221"/>
      <c r="ADX48" s="1221"/>
      <c r="ADY48" s="1221"/>
      <c r="ADZ48" s="1221"/>
      <c r="AEA48" s="1221"/>
      <c r="AEB48" s="1221"/>
      <c r="AEC48" s="1221"/>
      <c r="AED48" s="1221"/>
      <c r="AEE48" s="1221"/>
      <c r="AEF48" s="1221"/>
      <c r="AEG48" s="1221"/>
      <c r="AEH48" s="1221"/>
      <c r="AEI48" s="1221"/>
      <c r="AEJ48" s="1221"/>
      <c r="AEK48" s="1221"/>
      <c r="AEL48" s="1221"/>
      <c r="AEM48" s="1221"/>
      <c r="AEN48" s="1221"/>
      <c r="AEO48" s="1221"/>
      <c r="AEP48" s="1221"/>
      <c r="AEQ48" s="1221"/>
      <c r="AER48" s="1221"/>
      <c r="AES48" s="1221"/>
      <c r="AET48" s="1221"/>
      <c r="AEU48" s="1221"/>
      <c r="AEV48" s="1221"/>
      <c r="AEW48" s="1221"/>
      <c r="AEX48" s="1221"/>
      <c r="AEY48" s="1221"/>
      <c r="AEZ48" s="1221"/>
      <c r="AFA48" s="1221"/>
      <c r="AFB48" s="1221"/>
      <c r="AFC48" s="1221"/>
      <c r="AFD48" s="1221"/>
      <c r="AFE48" s="1221"/>
      <c r="AFF48" s="1221"/>
      <c r="AFG48" s="1221"/>
      <c r="AFH48" s="1221"/>
      <c r="AFI48" s="1221"/>
      <c r="AFJ48" s="1221"/>
      <c r="AFK48" s="1221"/>
      <c r="AFL48" s="1221"/>
      <c r="AFM48" s="1221"/>
      <c r="AFN48" s="1221"/>
      <c r="AFO48" s="1221"/>
      <c r="AFP48" s="1221"/>
      <c r="AFQ48" s="1221"/>
      <c r="AFR48" s="1221"/>
      <c r="AFS48" s="1221"/>
      <c r="AFT48" s="1221"/>
      <c r="AFU48" s="1221"/>
      <c r="AFV48" s="1221"/>
      <c r="AFW48" s="1221"/>
      <c r="AFX48" s="1221"/>
      <c r="AFY48" s="1221"/>
      <c r="AFZ48" s="1221"/>
      <c r="AGA48" s="1221"/>
      <c r="AGB48" s="1221"/>
      <c r="AGC48" s="1221"/>
      <c r="AGD48" s="1221"/>
      <c r="AGE48" s="1221"/>
      <c r="AGF48" s="1221"/>
      <c r="AGG48" s="1221"/>
      <c r="AGH48" s="1221"/>
      <c r="AGI48" s="1221"/>
      <c r="AGJ48" s="1221"/>
      <c r="AGK48" s="1221"/>
      <c r="AGL48" s="1221"/>
      <c r="AGM48" s="1221"/>
      <c r="AGN48" s="1221"/>
      <c r="AGO48" s="1221"/>
      <c r="AGP48" s="1221"/>
      <c r="AGQ48" s="1221"/>
      <c r="AGR48" s="1221"/>
      <c r="AGS48" s="1221"/>
      <c r="AGT48" s="1221"/>
      <c r="AGU48" s="1221"/>
      <c r="AGV48" s="1221"/>
      <c r="AGW48" s="1221"/>
      <c r="AGX48" s="1221"/>
      <c r="AGY48" s="1221"/>
      <c r="AGZ48" s="1221"/>
      <c r="AHA48" s="1221"/>
      <c r="AHB48" s="1221"/>
      <c r="AHC48" s="1221"/>
      <c r="AHD48" s="1221"/>
      <c r="AHE48" s="1221"/>
      <c r="AHF48" s="1221"/>
      <c r="AHG48" s="1221"/>
      <c r="AHH48" s="1221"/>
      <c r="AHI48" s="1221"/>
      <c r="AHJ48" s="1221"/>
      <c r="AHK48" s="1221"/>
      <c r="AHL48" s="1221"/>
      <c r="AHM48" s="1221"/>
      <c r="AHN48" s="1221"/>
      <c r="AHO48" s="1221"/>
      <c r="AHP48" s="1221"/>
      <c r="AHQ48" s="1221"/>
      <c r="AHR48" s="1221"/>
      <c r="AHS48" s="1221"/>
      <c r="AHT48" s="1221"/>
      <c r="AHU48" s="1221"/>
      <c r="AHV48" s="1221"/>
      <c r="AHW48" s="1221"/>
      <c r="AHX48" s="1221"/>
      <c r="AHY48" s="1221"/>
      <c r="AHZ48" s="1221"/>
      <c r="AIA48" s="1221"/>
      <c r="AIB48" s="1221"/>
      <c r="AIC48" s="1221"/>
      <c r="AID48" s="1221"/>
      <c r="AIE48" s="1221"/>
      <c r="AIF48" s="1221"/>
      <c r="AIG48" s="1221"/>
      <c r="AIH48" s="1221"/>
      <c r="AII48" s="1221"/>
      <c r="AIJ48" s="1221"/>
      <c r="AIK48" s="1221"/>
      <c r="AIL48" s="1221"/>
      <c r="AIM48" s="1221"/>
      <c r="AIN48" s="1221"/>
      <c r="AIO48" s="1221"/>
      <c r="AIP48" s="1221"/>
      <c r="AIQ48" s="1221"/>
      <c r="AIR48" s="1221"/>
      <c r="AIS48" s="1221"/>
      <c r="AIT48" s="1221"/>
      <c r="AIU48" s="1221"/>
      <c r="AIV48" s="1221"/>
      <c r="AIW48" s="1221"/>
      <c r="AIX48" s="1221"/>
      <c r="AIY48" s="1221"/>
      <c r="AIZ48" s="1221"/>
      <c r="AJA48" s="1221"/>
      <c r="AJB48" s="1221"/>
      <c r="AJC48" s="1221"/>
      <c r="AJD48" s="1221"/>
      <c r="AJE48" s="1221"/>
      <c r="AJF48" s="1221"/>
      <c r="AJG48" s="1221"/>
      <c r="AJH48" s="1221"/>
      <c r="AJI48" s="1221"/>
      <c r="AJJ48" s="1221"/>
      <c r="AJK48" s="1221"/>
      <c r="AJL48" s="1221"/>
      <c r="AJM48" s="1221"/>
      <c r="AJN48" s="1221"/>
      <c r="AJO48" s="1221"/>
      <c r="AJP48" s="1221"/>
      <c r="AJQ48" s="1221"/>
      <c r="AJR48" s="1221"/>
      <c r="AJS48" s="1221"/>
      <c r="AJT48" s="1221"/>
      <c r="AJU48" s="1221"/>
      <c r="AJV48" s="1221"/>
      <c r="AJW48" s="1221"/>
      <c r="AJX48" s="1221"/>
      <c r="AJY48" s="1221"/>
      <c r="AJZ48" s="1221"/>
      <c r="AKA48" s="1221"/>
      <c r="AKB48" s="1221"/>
      <c r="AKC48" s="1221"/>
      <c r="AKD48" s="1221"/>
      <c r="AKE48" s="1221"/>
      <c r="AKF48" s="1221"/>
      <c r="AKG48" s="1221"/>
      <c r="AKH48" s="1221"/>
      <c r="AKI48" s="1221"/>
      <c r="AKJ48" s="1221"/>
      <c r="AKK48" s="1221"/>
      <c r="AKL48" s="1221"/>
      <c r="AKM48" s="1221"/>
      <c r="AKN48" s="1221"/>
      <c r="AKO48" s="1221"/>
      <c r="AKP48" s="1221"/>
      <c r="AKQ48" s="1221"/>
      <c r="AKR48" s="1221"/>
      <c r="AKS48" s="1221"/>
      <c r="AKT48" s="1221"/>
      <c r="AKU48" s="1221"/>
      <c r="AKV48" s="1221"/>
      <c r="AKW48" s="1221"/>
      <c r="AKX48" s="1221"/>
      <c r="AKY48" s="1221"/>
      <c r="AKZ48" s="1221"/>
      <c r="ALA48" s="1221"/>
      <c r="ALB48" s="1221"/>
      <c r="ALC48" s="1221"/>
      <c r="ALD48" s="1221"/>
      <c r="ALE48" s="1221"/>
      <c r="ALF48" s="1221"/>
      <c r="ALG48" s="1221"/>
      <c r="ALH48" s="1221"/>
      <c r="ALI48" s="1221"/>
      <c r="ALJ48" s="1221"/>
      <c r="ALK48" s="1221"/>
      <c r="ALL48" s="1221"/>
      <c r="ALM48" s="1221"/>
      <c r="ALN48" s="1221"/>
      <c r="ALO48" s="1221"/>
      <c r="ALP48" s="1221"/>
      <c r="ALQ48" s="1221"/>
      <c r="ALR48" s="1221"/>
      <c r="ALS48" s="1221"/>
      <c r="ALT48" s="1221"/>
      <c r="ALU48" s="1221"/>
      <c r="ALV48" s="1221"/>
      <c r="ALW48" s="1221"/>
      <c r="ALX48" s="1221"/>
      <c r="ALY48" s="1221"/>
      <c r="ALZ48" s="1221"/>
      <c r="AMA48" s="1221"/>
      <c r="AMB48" s="1221"/>
      <c r="AMC48" s="1221"/>
      <c r="AMD48" s="1221"/>
      <c r="AME48" s="1221"/>
      <c r="AMF48" s="1221"/>
      <c r="AMG48" s="1221"/>
      <c r="AMH48" s="1221"/>
      <c r="AMI48" s="1221"/>
      <c r="AMJ48" s="1221"/>
      <c r="AMK48" s="1221"/>
      <c r="AML48" s="1221"/>
      <c r="AMM48" s="1221"/>
      <c r="AMN48" s="1221"/>
      <c r="AMO48" s="1221"/>
      <c r="AMP48" s="1221"/>
      <c r="AMQ48" s="1221"/>
      <c r="AMR48" s="1221"/>
      <c r="AMS48" s="1221"/>
      <c r="AMT48" s="1221"/>
      <c r="AMU48" s="1221"/>
      <c r="AMV48" s="1221"/>
      <c r="AMW48" s="1221"/>
      <c r="AMX48" s="1221"/>
      <c r="AMY48" s="1221"/>
      <c r="AMZ48" s="1221"/>
      <c r="ANA48" s="1221"/>
      <c r="ANB48" s="1221"/>
      <c r="ANC48" s="1221"/>
      <c r="AND48" s="1221"/>
      <c r="ANE48" s="1221"/>
      <c r="ANF48" s="1221"/>
      <c r="ANG48" s="1221"/>
      <c r="ANH48" s="1221"/>
      <c r="ANI48" s="1221"/>
      <c r="ANJ48" s="1221"/>
      <c r="ANK48" s="1221"/>
      <c r="ANL48" s="1221"/>
      <c r="ANM48" s="1221"/>
      <c r="ANN48" s="1221"/>
      <c r="ANO48" s="1221"/>
      <c r="ANP48" s="1221"/>
      <c r="ANQ48" s="1221"/>
      <c r="ANR48" s="1221"/>
      <c r="ANS48" s="1221"/>
      <c r="ANT48" s="1221"/>
      <c r="ANU48" s="1221"/>
      <c r="ANV48" s="1221"/>
      <c r="ANW48" s="1221"/>
      <c r="ANX48" s="1221"/>
      <c r="ANY48" s="1221"/>
      <c r="ANZ48" s="1221"/>
      <c r="AOA48" s="1221"/>
      <c r="AOB48" s="1221"/>
      <c r="AOC48" s="1221"/>
      <c r="AOD48" s="1221"/>
      <c r="AOE48" s="1221"/>
      <c r="AOF48" s="1221"/>
      <c r="AOG48" s="1221"/>
      <c r="AOH48" s="1221"/>
      <c r="AOI48" s="1221"/>
      <c r="AOJ48" s="1221"/>
      <c r="AOK48" s="1221"/>
      <c r="AOL48" s="1221"/>
      <c r="AOM48" s="1221"/>
      <c r="AON48" s="1221"/>
      <c r="AOO48" s="1221"/>
      <c r="AOP48" s="1221"/>
      <c r="AOQ48" s="1221"/>
      <c r="AOR48" s="1221"/>
      <c r="AOS48" s="1221"/>
      <c r="AOT48" s="1221"/>
      <c r="AOU48" s="1221"/>
      <c r="AOV48" s="1221"/>
      <c r="AOW48" s="1221"/>
      <c r="AOX48" s="1221"/>
      <c r="AOY48" s="1221"/>
      <c r="AOZ48" s="1221"/>
      <c r="APA48" s="1221"/>
      <c r="APB48" s="1221"/>
      <c r="APC48" s="1221"/>
      <c r="APD48" s="1221"/>
      <c r="APE48" s="1221"/>
      <c r="APF48" s="1221"/>
      <c r="APG48" s="1221"/>
      <c r="APH48" s="1221"/>
      <c r="API48" s="1221"/>
      <c r="APJ48" s="1221"/>
      <c r="APK48" s="1221"/>
      <c r="APL48" s="1221"/>
      <c r="APM48" s="1221"/>
      <c r="APN48" s="1221"/>
      <c r="APO48" s="1221"/>
      <c r="APP48" s="1221"/>
      <c r="APQ48" s="1221"/>
      <c r="APR48" s="1221"/>
      <c r="APS48" s="1221"/>
      <c r="APT48" s="1221"/>
      <c r="APU48" s="1221"/>
      <c r="APV48" s="1221"/>
      <c r="APW48" s="1221"/>
      <c r="APX48" s="1221"/>
      <c r="APY48" s="1221"/>
      <c r="APZ48" s="1221"/>
      <c r="AQA48" s="1221"/>
      <c r="AQB48" s="1221"/>
      <c r="AQC48" s="1221"/>
      <c r="AQD48" s="1221"/>
      <c r="AQE48" s="1221"/>
      <c r="AQF48" s="1221"/>
      <c r="AQG48" s="1221"/>
      <c r="AQH48" s="1221"/>
      <c r="AQI48" s="1221"/>
      <c r="AQJ48" s="1221"/>
      <c r="AQK48" s="1221"/>
      <c r="AQL48" s="1221"/>
      <c r="AQM48" s="1221"/>
      <c r="AQN48" s="1221"/>
      <c r="AQO48" s="1221"/>
      <c r="AQP48" s="1221"/>
      <c r="AQQ48" s="1221"/>
      <c r="AQR48" s="1221"/>
      <c r="AQS48" s="1221"/>
      <c r="AQT48" s="1221"/>
      <c r="AQU48" s="1221"/>
      <c r="AQV48" s="1221"/>
      <c r="AQW48" s="1221"/>
      <c r="AQX48" s="1221"/>
      <c r="AQY48" s="1221"/>
      <c r="AQZ48" s="1221"/>
      <c r="ARA48" s="1221"/>
      <c r="ARB48" s="1221"/>
      <c r="ARC48" s="1221"/>
      <c r="ARD48" s="1221"/>
      <c r="ARE48" s="1221"/>
      <c r="ARF48" s="1221"/>
      <c r="ARG48" s="1221"/>
      <c r="ARH48" s="1221"/>
      <c r="ARI48" s="1221"/>
      <c r="ARJ48" s="1221"/>
      <c r="ARK48" s="1221"/>
      <c r="ARL48" s="1221"/>
      <c r="ARM48" s="1221"/>
      <c r="ARN48" s="1221"/>
      <c r="ARO48" s="1221"/>
      <c r="ARP48" s="1221"/>
      <c r="ARQ48" s="1221"/>
      <c r="ARR48" s="1221"/>
      <c r="ARS48" s="1221"/>
      <c r="ART48" s="1221"/>
      <c r="ARU48" s="1221"/>
      <c r="ARV48" s="1221"/>
      <c r="ARW48" s="1221"/>
      <c r="ARX48" s="1221"/>
      <c r="ARY48" s="1221"/>
      <c r="ARZ48" s="1221"/>
      <c r="ASA48" s="1221"/>
      <c r="ASB48" s="1221"/>
      <c r="ASC48" s="1221"/>
      <c r="ASD48" s="1221"/>
      <c r="ASE48" s="1221"/>
      <c r="ASF48" s="1221"/>
      <c r="ASG48" s="1221"/>
      <c r="ASH48" s="1221"/>
      <c r="ASI48" s="1221"/>
      <c r="ASJ48" s="1221"/>
      <c r="ASK48" s="1221"/>
      <c r="ASL48" s="1221"/>
      <c r="ASM48" s="1221"/>
      <c r="ASN48" s="1221"/>
      <c r="ASO48" s="1221"/>
      <c r="ASP48" s="1221"/>
      <c r="ASQ48" s="1221"/>
      <c r="ASR48" s="1221"/>
      <c r="ASS48" s="1221"/>
      <c r="AST48" s="1221"/>
      <c r="ASU48" s="1221"/>
      <c r="ASV48" s="1221"/>
      <c r="ASW48" s="1221"/>
      <c r="ASX48" s="1221"/>
      <c r="ASY48" s="1221"/>
      <c r="ASZ48" s="1221"/>
      <c r="ATA48" s="1221"/>
      <c r="ATB48" s="1221"/>
      <c r="ATC48" s="1221"/>
      <c r="ATD48" s="1221"/>
      <c r="ATE48" s="1221"/>
      <c r="ATF48" s="1221"/>
      <c r="ATG48" s="1221"/>
      <c r="ATH48" s="1221"/>
      <c r="ATI48" s="1221"/>
      <c r="ATJ48" s="1221"/>
      <c r="ATK48" s="1221"/>
      <c r="ATL48" s="1221"/>
      <c r="ATM48" s="1221"/>
      <c r="ATN48" s="1221"/>
      <c r="ATO48" s="1221"/>
      <c r="ATP48" s="1221"/>
      <c r="ATQ48" s="1221"/>
      <c r="ATR48" s="1221"/>
      <c r="ATS48" s="1221"/>
      <c r="ATT48" s="1221"/>
      <c r="ATU48" s="1221"/>
      <c r="ATV48" s="1221"/>
      <c r="ATW48" s="1221"/>
      <c r="ATX48" s="1221"/>
      <c r="ATY48" s="1221"/>
      <c r="ATZ48" s="1221"/>
      <c r="AUA48" s="1221"/>
      <c r="AUB48" s="1221"/>
      <c r="AUC48" s="1221"/>
      <c r="AUD48" s="1221"/>
      <c r="AUE48" s="1221"/>
      <c r="AUF48" s="1221"/>
      <c r="AUG48" s="1221"/>
      <c r="AUH48" s="1221"/>
      <c r="AUI48" s="1221"/>
      <c r="AUJ48" s="1221"/>
      <c r="AUK48" s="1221"/>
      <c r="AUL48" s="1221"/>
      <c r="AUM48" s="1221"/>
      <c r="AUN48" s="1221"/>
      <c r="AUO48" s="1221"/>
      <c r="AUP48" s="1221"/>
      <c r="AUQ48" s="1221"/>
      <c r="AUR48" s="1221"/>
      <c r="AUS48" s="1221"/>
      <c r="AUT48" s="1221"/>
      <c r="AUU48" s="1221"/>
      <c r="AUV48" s="1221"/>
      <c r="AUW48" s="1221"/>
      <c r="AUX48" s="1221"/>
      <c r="AUY48" s="1221"/>
      <c r="AUZ48" s="1221"/>
      <c r="AVA48" s="1221"/>
      <c r="AVB48" s="1221"/>
      <c r="AVC48" s="1221"/>
      <c r="AVD48" s="1221"/>
      <c r="AVE48" s="1221"/>
      <c r="AVF48" s="1221"/>
      <c r="AVG48" s="1221"/>
      <c r="AVH48" s="1221"/>
      <c r="AVI48" s="1221"/>
      <c r="AVJ48" s="1221"/>
      <c r="AVK48" s="1221"/>
      <c r="AVL48" s="1221"/>
      <c r="AVM48" s="1221"/>
      <c r="AVN48" s="1221"/>
      <c r="AVO48" s="1221"/>
      <c r="AVP48" s="1221"/>
      <c r="AVQ48" s="1221"/>
      <c r="AVR48" s="1221"/>
      <c r="AVS48" s="1221"/>
      <c r="AVT48" s="1221"/>
      <c r="AVU48" s="1221"/>
      <c r="AVV48" s="1221"/>
      <c r="AVW48" s="1221"/>
      <c r="AVX48" s="1221"/>
      <c r="AVY48" s="1221"/>
      <c r="AVZ48" s="1221"/>
      <c r="AWA48" s="1221"/>
      <c r="AWB48" s="1221"/>
      <c r="AWC48" s="1221"/>
      <c r="AWD48" s="1221"/>
      <c r="AWE48" s="1221"/>
      <c r="AWF48" s="1221"/>
      <c r="AWG48" s="1221"/>
      <c r="AWH48" s="1221"/>
      <c r="AWI48" s="1221"/>
      <c r="AWJ48" s="1221"/>
      <c r="AWK48" s="1221"/>
      <c r="AWL48" s="1221"/>
      <c r="AWM48" s="1221"/>
      <c r="AWN48" s="1221"/>
      <c r="AWO48" s="1221"/>
      <c r="AWP48" s="1221"/>
      <c r="AWQ48" s="1221"/>
      <c r="AWR48" s="1221"/>
      <c r="AWS48" s="1221"/>
      <c r="AWT48" s="1221"/>
      <c r="AWU48" s="1221"/>
      <c r="AWV48" s="1221"/>
      <c r="AWW48" s="1221"/>
      <c r="AWX48" s="1221"/>
      <c r="AWY48" s="1221"/>
      <c r="AWZ48" s="1221"/>
      <c r="AXA48" s="1221"/>
      <c r="AXB48" s="1221"/>
      <c r="AXC48" s="1221"/>
      <c r="AXD48" s="1221"/>
      <c r="AXE48" s="1221"/>
      <c r="AXF48" s="1221"/>
      <c r="AXG48" s="1221"/>
      <c r="AXH48" s="1221"/>
      <c r="AXI48" s="1221"/>
      <c r="AXJ48" s="1221"/>
      <c r="AXK48" s="1221"/>
      <c r="AXL48" s="1221"/>
      <c r="AXM48" s="1221"/>
      <c r="AXN48" s="1221"/>
      <c r="AXO48" s="1221"/>
      <c r="AXP48" s="1221"/>
      <c r="AXQ48" s="1221"/>
      <c r="AXR48" s="1221"/>
      <c r="AXS48" s="1221"/>
      <c r="AXT48" s="1221"/>
      <c r="AXU48" s="1221"/>
      <c r="AXV48" s="1221"/>
      <c r="AXW48" s="1221"/>
      <c r="AXX48" s="1221"/>
      <c r="AXY48" s="1221"/>
      <c r="AXZ48" s="1221"/>
      <c r="AYA48" s="1221"/>
      <c r="AYB48" s="1221"/>
      <c r="AYC48" s="1221"/>
      <c r="AYD48" s="1221"/>
      <c r="AYE48" s="1221"/>
      <c r="AYF48" s="1221"/>
      <c r="AYG48" s="1221"/>
      <c r="AYH48" s="1221"/>
      <c r="AYI48" s="1221"/>
      <c r="AYJ48" s="1221"/>
      <c r="AYK48" s="1221"/>
      <c r="AYL48" s="1221"/>
      <c r="AYM48" s="1221"/>
      <c r="AYN48" s="1221"/>
      <c r="AYO48" s="1221"/>
      <c r="AYP48" s="1221"/>
      <c r="AYQ48" s="1221"/>
      <c r="AYR48" s="1221"/>
      <c r="AYS48" s="1221"/>
      <c r="AYT48" s="1221"/>
      <c r="AYU48" s="1221"/>
      <c r="AYV48" s="1221"/>
      <c r="AYW48" s="1221"/>
      <c r="AYX48" s="1221"/>
      <c r="AYY48" s="1221"/>
      <c r="AYZ48" s="1221"/>
      <c r="AZA48" s="1221"/>
      <c r="AZB48" s="1221"/>
      <c r="AZC48" s="1221"/>
      <c r="AZD48" s="1221"/>
      <c r="AZE48" s="1221"/>
      <c r="AZF48" s="1221"/>
      <c r="AZG48" s="1221"/>
      <c r="AZH48" s="1221"/>
      <c r="AZI48" s="1221"/>
      <c r="AZJ48" s="1221"/>
      <c r="AZK48" s="1221"/>
      <c r="AZL48" s="1221"/>
      <c r="AZM48" s="1221"/>
      <c r="AZN48" s="1221"/>
      <c r="AZO48" s="1221"/>
      <c r="AZP48" s="1221"/>
      <c r="AZQ48" s="1221"/>
      <c r="AZR48" s="1221"/>
      <c r="AZS48" s="1221"/>
      <c r="AZT48" s="1221"/>
      <c r="AZU48" s="1221"/>
      <c r="AZV48" s="1221"/>
      <c r="AZW48" s="1221"/>
      <c r="AZX48" s="1221"/>
      <c r="AZY48" s="1221"/>
      <c r="AZZ48" s="1221"/>
      <c r="BAA48" s="1221"/>
      <c r="BAB48" s="1221"/>
      <c r="BAC48" s="1221"/>
      <c r="BAD48" s="1221"/>
      <c r="BAE48" s="1221"/>
      <c r="BAF48" s="1221"/>
      <c r="BAG48" s="1221"/>
      <c r="BAH48" s="1221"/>
      <c r="BAI48" s="1221"/>
      <c r="BAJ48" s="1221"/>
      <c r="BAK48" s="1221"/>
      <c r="BAL48" s="1221"/>
      <c r="BAM48" s="1221"/>
      <c r="BAN48" s="1221"/>
      <c r="BAO48" s="1221"/>
      <c r="BAP48" s="1221"/>
      <c r="BAQ48" s="1221"/>
      <c r="BAR48" s="1221"/>
      <c r="BAS48" s="1221"/>
      <c r="BAT48" s="1221"/>
      <c r="BAU48" s="1221"/>
      <c r="BAV48" s="1221"/>
      <c r="BAW48" s="1221"/>
      <c r="BAX48" s="1221"/>
      <c r="BAY48" s="1221"/>
      <c r="BAZ48" s="1221"/>
      <c r="BBA48" s="1221"/>
      <c r="BBB48" s="1221"/>
      <c r="BBC48" s="1221"/>
      <c r="BBD48" s="1221"/>
      <c r="BBE48" s="1221"/>
      <c r="BBF48" s="1221"/>
      <c r="BBG48" s="1221"/>
      <c r="BBH48" s="1221"/>
      <c r="BBI48" s="1221"/>
      <c r="BBJ48" s="1221"/>
      <c r="BBK48" s="1221"/>
      <c r="BBL48" s="1221"/>
      <c r="BBM48" s="1221"/>
      <c r="BBN48" s="1221"/>
      <c r="BBO48" s="1221"/>
      <c r="BBP48" s="1221"/>
      <c r="BBQ48" s="1221"/>
      <c r="BBR48" s="1221"/>
      <c r="BBS48" s="1221"/>
      <c r="BBT48" s="1221"/>
      <c r="BBU48" s="1221"/>
      <c r="BBV48" s="1221"/>
      <c r="BBW48" s="1221"/>
      <c r="BBX48" s="1221"/>
      <c r="BBY48" s="1221"/>
      <c r="BBZ48" s="1221"/>
      <c r="BCA48" s="1221"/>
      <c r="BCB48" s="1221"/>
      <c r="BCC48" s="1221"/>
      <c r="BCD48" s="1221"/>
      <c r="BCE48" s="1221"/>
      <c r="BCF48" s="1221"/>
      <c r="BCG48" s="1221"/>
      <c r="BCH48" s="1221"/>
      <c r="BCI48" s="1221"/>
      <c r="BCJ48" s="1221"/>
      <c r="BCK48" s="1221"/>
      <c r="BCL48" s="1221"/>
      <c r="BCM48" s="1221"/>
      <c r="BCN48" s="1221"/>
      <c r="BCO48" s="1221"/>
      <c r="BCP48" s="1221"/>
      <c r="BCQ48" s="1221"/>
      <c r="BCR48" s="1221"/>
      <c r="BCS48" s="1221"/>
      <c r="BCT48" s="1221"/>
      <c r="BCU48" s="1221"/>
      <c r="BCV48" s="1221"/>
      <c r="BCW48" s="1221"/>
      <c r="BCX48" s="1221"/>
      <c r="BCY48" s="1221"/>
      <c r="BCZ48" s="1221"/>
      <c r="BDA48" s="1221"/>
      <c r="BDB48" s="1221"/>
      <c r="BDC48" s="1221"/>
      <c r="BDD48" s="1221"/>
      <c r="BDE48" s="1221"/>
      <c r="BDF48" s="1221"/>
      <c r="BDG48" s="1221"/>
      <c r="BDH48" s="1221"/>
      <c r="BDI48" s="1221"/>
      <c r="BDJ48" s="1221"/>
      <c r="BDK48" s="1221"/>
      <c r="BDL48" s="1221"/>
      <c r="BDM48" s="1221"/>
      <c r="BDN48" s="1221"/>
      <c r="BDO48" s="1221"/>
      <c r="BDP48" s="1221"/>
      <c r="BDQ48" s="1221"/>
      <c r="BDR48" s="1221"/>
      <c r="BDS48" s="1221"/>
      <c r="BDT48" s="1221"/>
      <c r="BDU48" s="1221"/>
      <c r="BDV48" s="1221"/>
      <c r="BDW48" s="1221"/>
      <c r="BDX48" s="1221"/>
      <c r="BDY48" s="1221"/>
      <c r="BDZ48" s="1221"/>
      <c r="BEA48" s="1221"/>
      <c r="BEB48" s="1221"/>
      <c r="BEC48" s="1221"/>
      <c r="BED48" s="1221"/>
      <c r="BEE48" s="1221"/>
      <c r="BEF48" s="1221"/>
      <c r="BEG48" s="1221"/>
      <c r="BEH48" s="1221"/>
      <c r="BEI48" s="1221"/>
      <c r="BEJ48" s="1221"/>
      <c r="BEK48" s="1221"/>
      <c r="BEL48" s="1221"/>
      <c r="BEM48" s="1221"/>
      <c r="BEN48" s="1221"/>
      <c r="BEO48" s="1221"/>
      <c r="BEP48" s="1221"/>
      <c r="BEQ48" s="1221"/>
      <c r="BER48" s="1221"/>
      <c r="BES48" s="1221"/>
      <c r="BET48" s="1221"/>
      <c r="BEU48" s="1221"/>
      <c r="BEV48" s="1221"/>
      <c r="BEW48" s="1221"/>
      <c r="BEX48" s="1221"/>
      <c r="BEY48" s="1221"/>
      <c r="BEZ48" s="1221"/>
      <c r="BFA48" s="1221"/>
      <c r="BFB48" s="1221"/>
      <c r="BFC48" s="1221"/>
      <c r="BFD48" s="1221"/>
      <c r="BFE48" s="1221"/>
      <c r="BFF48" s="1221"/>
      <c r="BFG48" s="1221"/>
      <c r="BFH48" s="1221"/>
      <c r="BFI48" s="1221"/>
      <c r="BFJ48" s="1221"/>
      <c r="BFK48" s="1221"/>
      <c r="BFL48" s="1221"/>
      <c r="BFM48" s="1221"/>
      <c r="BFN48" s="1221"/>
      <c r="BFO48" s="1221"/>
      <c r="BFP48" s="1221"/>
      <c r="BFQ48" s="1221"/>
      <c r="BFR48" s="1221"/>
      <c r="BFS48" s="1221"/>
      <c r="BFT48" s="1221"/>
      <c r="BFU48" s="1221"/>
      <c r="BFV48" s="1221"/>
      <c r="BFW48" s="1221"/>
      <c r="BFX48" s="1221"/>
      <c r="BFY48" s="1221"/>
      <c r="BFZ48" s="1221"/>
      <c r="BGA48" s="1221"/>
      <c r="BGB48" s="1221"/>
      <c r="BGC48" s="1221"/>
      <c r="BGD48" s="1221"/>
      <c r="BGE48" s="1221"/>
      <c r="BGF48" s="1221"/>
      <c r="BGG48" s="1221"/>
      <c r="BGH48" s="1221"/>
      <c r="BGI48" s="1221"/>
      <c r="BGJ48" s="1221"/>
      <c r="BGK48" s="1221"/>
      <c r="BGL48" s="1221"/>
      <c r="BGM48" s="1221"/>
      <c r="BGN48" s="1221"/>
      <c r="BGO48" s="1221"/>
      <c r="BGP48" s="1221"/>
      <c r="BGQ48" s="1221"/>
      <c r="BGR48" s="1221"/>
      <c r="BGS48" s="1221"/>
      <c r="BGT48" s="1221"/>
      <c r="BGU48" s="1221"/>
      <c r="BGV48" s="1221"/>
      <c r="BGW48" s="1221"/>
      <c r="BGX48" s="1221"/>
      <c r="BGY48" s="1221"/>
      <c r="BGZ48" s="1221"/>
      <c r="BHA48" s="1221"/>
      <c r="BHB48" s="1221"/>
      <c r="BHC48" s="1221"/>
      <c r="BHD48" s="1221"/>
      <c r="BHE48" s="1221"/>
      <c r="BHF48" s="1221"/>
      <c r="BHG48" s="1221"/>
      <c r="BHH48" s="1221"/>
      <c r="BHI48" s="1221"/>
      <c r="BHJ48" s="1221"/>
      <c r="BHK48" s="1221"/>
      <c r="BHL48" s="1221"/>
      <c r="BHM48" s="1221"/>
      <c r="BHN48" s="1221"/>
      <c r="BHO48" s="1221"/>
      <c r="BHP48" s="1221"/>
      <c r="BHQ48" s="1221"/>
      <c r="BHR48" s="1221"/>
      <c r="BHS48" s="1221"/>
      <c r="BHT48" s="1221"/>
      <c r="BHU48" s="1221"/>
      <c r="BHV48" s="1221"/>
      <c r="BHW48" s="1221"/>
      <c r="BHX48" s="1221"/>
      <c r="BHY48" s="1221"/>
      <c r="BHZ48" s="1221"/>
      <c r="BIA48" s="1221"/>
      <c r="BIB48" s="1221"/>
      <c r="BIC48" s="1221"/>
      <c r="BID48" s="1221"/>
      <c r="BIE48" s="1221"/>
      <c r="BIF48" s="1221"/>
      <c r="BIG48" s="1221"/>
      <c r="BIH48" s="1221"/>
      <c r="BII48" s="1221"/>
      <c r="BIJ48" s="1221"/>
      <c r="BIK48" s="1221"/>
      <c r="BIL48" s="1221"/>
      <c r="BIM48" s="1221"/>
      <c r="BIN48" s="1221"/>
      <c r="BIO48" s="1221"/>
      <c r="BIP48" s="1221"/>
      <c r="BIQ48" s="1221"/>
      <c r="BIR48" s="1221"/>
      <c r="BIS48" s="1221"/>
      <c r="BIT48" s="1221"/>
      <c r="BIU48" s="1221"/>
      <c r="BIV48" s="1221"/>
      <c r="BIW48" s="1221"/>
      <c r="BIX48" s="1221"/>
      <c r="BIY48" s="1221"/>
      <c r="BIZ48" s="1221"/>
      <c r="BJA48" s="1221"/>
      <c r="BJB48" s="1221"/>
      <c r="BJC48" s="1221"/>
      <c r="BJD48" s="1221"/>
      <c r="BJE48" s="1221"/>
      <c r="BJF48" s="1221"/>
      <c r="BJG48" s="1221"/>
      <c r="BJH48" s="1221"/>
      <c r="BJI48" s="1221"/>
      <c r="BJJ48" s="1221"/>
      <c r="BJK48" s="1221"/>
      <c r="BJL48" s="1221"/>
      <c r="BJM48" s="1221"/>
      <c r="BJN48" s="1221"/>
      <c r="BJO48" s="1221"/>
      <c r="BJP48" s="1221"/>
      <c r="BJQ48" s="1221"/>
      <c r="BJR48" s="1221"/>
      <c r="BJS48" s="1221"/>
      <c r="BJT48" s="1221"/>
      <c r="BJU48" s="1221"/>
      <c r="BJV48" s="1221"/>
      <c r="BJW48" s="1221"/>
      <c r="BJX48" s="1221"/>
      <c r="BJY48" s="1221"/>
      <c r="BJZ48" s="1221"/>
      <c r="BKA48" s="1221"/>
      <c r="BKB48" s="1221"/>
      <c r="BKC48" s="1221"/>
      <c r="BKD48" s="1221"/>
      <c r="BKE48" s="1221"/>
      <c r="BKF48" s="1221"/>
      <c r="BKG48" s="1221"/>
      <c r="BKH48" s="1221"/>
      <c r="BKI48" s="1221"/>
      <c r="BKJ48" s="1221"/>
      <c r="BKK48" s="1221"/>
      <c r="BKL48" s="1221"/>
      <c r="BKM48" s="1221"/>
      <c r="BKN48" s="1221"/>
      <c r="BKO48" s="1221"/>
      <c r="BKP48" s="1221"/>
      <c r="BKQ48" s="1221"/>
      <c r="BKR48" s="1221"/>
      <c r="BKS48" s="1221"/>
      <c r="BKT48" s="1221"/>
      <c r="BKU48" s="1221"/>
      <c r="BKV48" s="1221"/>
      <c r="BKW48" s="1221"/>
      <c r="BKX48" s="1221"/>
      <c r="BKY48" s="1221"/>
      <c r="BKZ48" s="1221"/>
      <c r="BLA48" s="1221"/>
      <c r="BLB48" s="1221"/>
      <c r="BLC48" s="1221"/>
      <c r="BLD48" s="1221"/>
      <c r="BLE48" s="1221"/>
      <c r="BLF48" s="1221"/>
      <c r="BLG48" s="1221"/>
      <c r="BLH48" s="1221"/>
      <c r="BLI48" s="1221"/>
      <c r="BLJ48" s="1221"/>
      <c r="BLK48" s="1221"/>
      <c r="BLL48" s="1221"/>
      <c r="BLM48" s="1221"/>
      <c r="BLN48" s="1221"/>
      <c r="BLO48" s="1221"/>
      <c r="BLP48" s="1221"/>
      <c r="BLQ48" s="1221"/>
      <c r="BLR48" s="1221"/>
      <c r="BLS48" s="1221"/>
      <c r="BLT48" s="1221"/>
      <c r="BLU48" s="1221"/>
      <c r="BLV48" s="1221"/>
      <c r="BLW48" s="1221"/>
      <c r="BLX48" s="1221"/>
      <c r="BLY48" s="1221"/>
      <c r="BLZ48" s="1221"/>
      <c r="BMA48" s="1221"/>
      <c r="BMB48" s="1221"/>
      <c r="BMC48" s="1221"/>
      <c r="BMD48" s="1221"/>
      <c r="BME48" s="1221"/>
      <c r="BMF48" s="1221"/>
      <c r="BMG48" s="1221"/>
      <c r="BMH48" s="1221"/>
      <c r="BMI48" s="1221"/>
      <c r="BMJ48" s="1221"/>
      <c r="BMK48" s="1221"/>
      <c r="BML48" s="1221"/>
      <c r="BMM48" s="1221"/>
      <c r="BMN48" s="1221"/>
      <c r="BMO48" s="1221"/>
      <c r="BMP48" s="1221"/>
      <c r="BMQ48" s="1221"/>
      <c r="BMR48" s="1221"/>
      <c r="BMS48" s="1221"/>
      <c r="BMT48" s="1221"/>
      <c r="BMU48" s="1221"/>
      <c r="BMV48" s="1221"/>
      <c r="BMW48" s="1221"/>
      <c r="BMX48" s="1221"/>
      <c r="BMY48" s="1221"/>
      <c r="BMZ48" s="1221"/>
      <c r="BNA48" s="1221"/>
      <c r="BNB48" s="1221"/>
      <c r="BNC48" s="1221"/>
      <c r="BND48" s="1221"/>
      <c r="BNE48" s="1221"/>
      <c r="BNF48" s="1221"/>
      <c r="BNG48" s="1221"/>
      <c r="BNH48" s="1221"/>
      <c r="BNI48" s="1221"/>
      <c r="BNJ48" s="1221"/>
      <c r="BNK48" s="1221"/>
      <c r="BNL48" s="1221"/>
      <c r="BNM48" s="1221"/>
      <c r="BNN48" s="1221"/>
      <c r="BNO48" s="1221"/>
      <c r="BNP48" s="1221"/>
      <c r="BNQ48" s="1221"/>
      <c r="BNR48" s="1221"/>
      <c r="BNS48" s="1221"/>
      <c r="BNT48" s="1221"/>
      <c r="BNU48" s="1221"/>
      <c r="BNV48" s="1221"/>
      <c r="BNW48" s="1221"/>
      <c r="BNX48" s="1221"/>
      <c r="BNY48" s="1221"/>
      <c r="BNZ48" s="1221"/>
      <c r="BOA48" s="1221"/>
      <c r="BOB48" s="1221"/>
      <c r="BOC48" s="1221"/>
      <c r="BOD48" s="1221"/>
      <c r="BOE48" s="1221"/>
      <c r="BOF48" s="1221"/>
      <c r="BOG48" s="1221"/>
      <c r="BOH48" s="1221"/>
      <c r="BOI48" s="1221"/>
      <c r="BOJ48" s="1221"/>
      <c r="BOK48" s="1221"/>
      <c r="BOL48" s="1221"/>
      <c r="BOM48" s="1221"/>
      <c r="BON48" s="1221"/>
      <c r="BOO48" s="1221"/>
      <c r="BOP48" s="1221"/>
      <c r="BOQ48" s="1221"/>
      <c r="BOR48" s="1221"/>
      <c r="BOS48" s="1221"/>
      <c r="BOT48" s="1221"/>
      <c r="BOU48" s="1221"/>
      <c r="BOV48" s="1221"/>
      <c r="BOW48" s="1221"/>
      <c r="BOX48" s="1221"/>
      <c r="BOY48" s="1221"/>
      <c r="BOZ48" s="1221"/>
      <c r="BPA48" s="1221"/>
      <c r="BPB48" s="1221"/>
      <c r="BPC48" s="1221"/>
      <c r="BPD48" s="1221"/>
      <c r="BPE48" s="1221"/>
      <c r="BPF48" s="1221"/>
      <c r="BPG48" s="1221"/>
      <c r="BPH48" s="1221"/>
      <c r="BPI48" s="1221"/>
      <c r="BPJ48" s="1221"/>
      <c r="BPK48" s="1221"/>
      <c r="BPL48" s="1221"/>
      <c r="BPM48" s="1221"/>
      <c r="BPN48" s="1221"/>
      <c r="BPO48" s="1221"/>
      <c r="BPP48" s="1221"/>
      <c r="BPQ48" s="1221"/>
      <c r="BPR48" s="1221"/>
      <c r="BPS48" s="1221"/>
      <c r="BPT48" s="1221"/>
      <c r="BPU48" s="1221"/>
      <c r="BPV48" s="1221"/>
      <c r="BPW48" s="1221"/>
      <c r="BPX48" s="1221"/>
      <c r="BPY48" s="1221"/>
      <c r="BPZ48" s="1221"/>
      <c r="BQA48" s="1221"/>
      <c r="BQB48" s="1221"/>
      <c r="BQC48" s="1221"/>
      <c r="BQD48" s="1221"/>
      <c r="BQE48" s="1221"/>
      <c r="BQF48" s="1221"/>
      <c r="BQG48" s="1221"/>
      <c r="BQH48" s="1221"/>
      <c r="BQI48" s="1221"/>
      <c r="BQJ48" s="1221"/>
      <c r="BQK48" s="1221"/>
      <c r="BQL48" s="1221"/>
      <c r="BQM48" s="1221"/>
      <c r="BQN48" s="1221"/>
      <c r="BQO48" s="1221"/>
      <c r="BQP48" s="1221"/>
      <c r="BQQ48" s="1221"/>
      <c r="BQR48" s="1221"/>
      <c r="BQS48" s="1221"/>
      <c r="BQT48" s="1221"/>
      <c r="BQU48" s="1221"/>
      <c r="BQV48" s="1221"/>
      <c r="BQW48" s="1221"/>
      <c r="BQX48" s="1221"/>
      <c r="BQY48" s="1221"/>
      <c r="BQZ48" s="1221"/>
      <c r="BRA48" s="1221"/>
      <c r="BRB48" s="1221"/>
      <c r="BRC48" s="1221"/>
      <c r="BRD48" s="1221"/>
      <c r="BRE48" s="1221"/>
      <c r="BRF48" s="1221"/>
      <c r="BRG48" s="1221"/>
      <c r="BRH48" s="1221"/>
      <c r="BRI48" s="1221"/>
      <c r="BRJ48" s="1221"/>
      <c r="BRK48" s="1221"/>
      <c r="BRL48" s="1221"/>
      <c r="BRM48" s="1221"/>
      <c r="BRN48" s="1221"/>
      <c r="BRO48" s="1221"/>
      <c r="BRP48" s="1221"/>
      <c r="BRQ48" s="1221"/>
      <c r="BRR48" s="1221"/>
      <c r="BRS48" s="1221"/>
      <c r="BRT48" s="1221"/>
      <c r="BRU48" s="1221"/>
      <c r="BRV48" s="1221"/>
      <c r="BRW48" s="1221"/>
      <c r="BRX48" s="1221"/>
      <c r="BRY48" s="1221"/>
      <c r="BRZ48" s="1221"/>
      <c r="BSA48" s="1221"/>
      <c r="BSB48" s="1221"/>
      <c r="BSC48" s="1221"/>
      <c r="BSD48" s="1221"/>
      <c r="BSE48" s="1221"/>
      <c r="BSF48" s="1221"/>
      <c r="BSG48" s="1221"/>
      <c r="BSH48" s="1221"/>
      <c r="BSI48" s="1221"/>
      <c r="BSJ48" s="1221"/>
      <c r="BSK48" s="1221"/>
      <c r="BSL48" s="1221"/>
      <c r="BSM48" s="1221"/>
      <c r="BSN48" s="1221"/>
      <c r="BSO48" s="1221"/>
      <c r="BSP48" s="1221"/>
      <c r="BSQ48" s="1221"/>
      <c r="BSR48" s="1221"/>
      <c r="BSS48" s="1221"/>
      <c r="BST48" s="1221"/>
      <c r="BSU48" s="1221"/>
      <c r="BSV48" s="1221"/>
      <c r="BSW48" s="1221"/>
      <c r="BSX48" s="1221"/>
      <c r="BSY48" s="1221"/>
      <c r="BSZ48" s="1221"/>
      <c r="BTA48" s="1221"/>
      <c r="BTB48" s="1221"/>
      <c r="BTC48" s="1221"/>
      <c r="BTD48" s="1221"/>
      <c r="BTE48" s="1221"/>
      <c r="BTF48" s="1221"/>
      <c r="BTG48" s="1221"/>
      <c r="BTH48" s="1221"/>
      <c r="BTI48" s="1221"/>
      <c r="BTJ48" s="1221"/>
      <c r="BTK48" s="1221"/>
      <c r="BTL48" s="1221"/>
      <c r="BTM48" s="1221"/>
      <c r="BTN48" s="1221"/>
      <c r="BTO48" s="1221"/>
      <c r="BTP48" s="1221"/>
      <c r="BTQ48" s="1221"/>
      <c r="BTR48" s="1221"/>
      <c r="BTS48" s="1221"/>
      <c r="BTT48" s="1221"/>
      <c r="BTU48" s="1221"/>
      <c r="BTV48" s="1221"/>
      <c r="BTW48" s="1221"/>
      <c r="BTX48" s="1221"/>
      <c r="BTY48" s="1221"/>
      <c r="BTZ48" s="1221"/>
      <c r="BUA48" s="1221"/>
      <c r="BUB48" s="1221"/>
      <c r="BUC48" s="1221"/>
      <c r="BUD48" s="1221"/>
      <c r="BUE48" s="1221"/>
      <c r="BUF48" s="1221"/>
      <c r="BUG48" s="1221"/>
      <c r="BUH48" s="1221"/>
      <c r="BUI48" s="1221"/>
      <c r="BUJ48" s="1221"/>
      <c r="BUK48" s="1221"/>
      <c r="BUL48" s="1221"/>
      <c r="BUM48" s="1221"/>
      <c r="BUN48" s="1221"/>
      <c r="BUO48" s="1221"/>
      <c r="BUP48" s="1221"/>
      <c r="BUQ48" s="1221"/>
      <c r="BUR48" s="1221"/>
      <c r="BUS48" s="1221"/>
      <c r="BUT48" s="1221"/>
      <c r="BUU48" s="1221"/>
      <c r="BUV48" s="1221"/>
      <c r="BUW48" s="1221"/>
      <c r="BUX48" s="1221"/>
      <c r="BUY48" s="1221"/>
      <c r="BUZ48" s="1221"/>
      <c r="BVA48" s="1221"/>
      <c r="BVB48" s="1221"/>
      <c r="BVC48" s="1221"/>
      <c r="BVD48" s="1221"/>
      <c r="BVE48" s="1221"/>
      <c r="BVF48" s="1221"/>
      <c r="BVG48" s="1221"/>
      <c r="BVH48" s="1221"/>
      <c r="BVI48" s="1221"/>
      <c r="BVJ48" s="1221"/>
      <c r="BVK48" s="1221"/>
      <c r="BVL48" s="1221"/>
      <c r="BVM48" s="1221"/>
      <c r="BVN48" s="1221"/>
      <c r="BVO48" s="1221"/>
      <c r="BVP48" s="1221"/>
      <c r="BVQ48" s="1221"/>
      <c r="BVR48" s="1221"/>
      <c r="BVS48" s="1221"/>
      <c r="BVT48" s="1221"/>
      <c r="BVU48" s="1221"/>
      <c r="BVV48" s="1221"/>
      <c r="BVW48" s="1221"/>
      <c r="BVX48" s="1221"/>
      <c r="BVY48" s="1221"/>
      <c r="BVZ48" s="1221"/>
      <c r="BWA48" s="1221"/>
      <c r="BWB48" s="1221"/>
      <c r="BWC48" s="1221"/>
      <c r="BWD48" s="1221"/>
      <c r="BWE48" s="1221"/>
      <c r="BWF48" s="1221"/>
      <c r="BWG48" s="1221"/>
      <c r="BWH48" s="1221"/>
      <c r="BWI48" s="1221"/>
      <c r="BWJ48" s="1221"/>
      <c r="BWK48" s="1221"/>
      <c r="BWL48" s="1221"/>
      <c r="BWM48" s="1221"/>
      <c r="BWN48" s="1221"/>
      <c r="BWO48" s="1221"/>
      <c r="BWP48" s="1221"/>
      <c r="BWQ48" s="1221"/>
      <c r="BWR48" s="1221"/>
      <c r="BWS48" s="1221"/>
      <c r="BWT48" s="1221"/>
      <c r="BWU48" s="1221"/>
      <c r="BWV48" s="1221"/>
      <c r="BWW48" s="1221"/>
      <c r="BWX48" s="1221"/>
      <c r="BWY48" s="1221"/>
      <c r="BWZ48" s="1221"/>
      <c r="BXA48" s="1221"/>
      <c r="BXB48" s="1221"/>
      <c r="BXC48" s="1221"/>
      <c r="BXD48" s="1221"/>
      <c r="BXE48" s="1221"/>
      <c r="BXF48" s="1221"/>
      <c r="BXG48" s="1221"/>
      <c r="BXH48" s="1221"/>
      <c r="BXI48" s="1221"/>
      <c r="BXJ48" s="1221"/>
      <c r="BXK48" s="1221"/>
      <c r="BXL48" s="1221"/>
      <c r="BXM48" s="1221"/>
      <c r="BXN48" s="1221"/>
      <c r="BXO48" s="1221"/>
      <c r="BXP48" s="1221"/>
      <c r="BXQ48" s="1221"/>
      <c r="BXR48" s="1221"/>
      <c r="BXS48" s="1221"/>
      <c r="BXT48" s="1221"/>
      <c r="BXU48" s="1221"/>
      <c r="BXV48" s="1221"/>
      <c r="BXW48" s="1221"/>
      <c r="BXX48" s="1221"/>
      <c r="BXY48" s="1221"/>
      <c r="BXZ48" s="1221"/>
      <c r="BYA48" s="1221"/>
      <c r="BYB48" s="1221"/>
      <c r="BYC48" s="1221"/>
      <c r="BYD48" s="1221"/>
      <c r="BYE48" s="1221"/>
      <c r="BYF48" s="1221"/>
      <c r="BYG48" s="1221"/>
      <c r="BYH48" s="1221"/>
      <c r="BYI48" s="1221"/>
      <c r="BYJ48" s="1221"/>
      <c r="BYK48" s="1221"/>
      <c r="BYL48" s="1221"/>
      <c r="BYM48" s="1221"/>
      <c r="BYN48" s="1221"/>
      <c r="BYO48" s="1221"/>
      <c r="BYP48" s="1221"/>
      <c r="BYQ48" s="1221"/>
      <c r="BYR48" s="1221"/>
      <c r="BYS48" s="1221"/>
      <c r="BYT48" s="1221"/>
      <c r="BYU48" s="1221"/>
      <c r="BYV48" s="1221"/>
      <c r="BYW48" s="1221"/>
      <c r="BYX48" s="1221"/>
      <c r="BYY48" s="1221"/>
      <c r="BYZ48" s="1221"/>
      <c r="BZA48" s="1221"/>
      <c r="BZB48" s="1221"/>
      <c r="BZC48" s="1221"/>
      <c r="BZD48" s="1221"/>
      <c r="BZE48" s="1221"/>
      <c r="BZF48" s="1221"/>
      <c r="BZG48" s="1221"/>
      <c r="BZH48" s="1221"/>
      <c r="BZI48" s="1221"/>
      <c r="BZJ48" s="1221"/>
      <c r="BZK48" s="1221"/>
      <c r="BZL48" s="1221"/>
      <c r="BZM48" s="1221"/>
      <c r="BZN48" s="1221"/>
      <c r="BZO48" s="1221"/>
      <c r="BZP48" s="1221"/>
      <c r="BZQ48" s="1221"/>
      <c r="BZR48" s="1221"/>
      <c r="BZS48" s="1221"/>
      <c r="BZT48" s="1221"/>
      <c r="BZU48" s="1221"/>
      <c r="BZV48" s="1221"/>
      <c r="BZW48" s="1221"/>
      <c r="BZX48" s="1221"/>
      <c r="BZY48" s="1221"/>
      <c r="BZZ48" s="1221"/>
      <c r="CAA48" s="1221"/>
      <c r="CAB48" s="1221"/>
      <c r="CAC48" s="1221"/>
      <c r="CAD48" s="1221"/>
      <c r="CAE48" s="1221"/>
      <c r="CAF48" s="1221"/>
      <c r="CAG48" s="1221"/>
      <c r="CAH48" s="1221"/>
      <c r="CAI48" s="1221"/>
      <c r="CAJ48" s="1221"/>
      <c r="CAK48" s="1221"/>
      <c r="CAL48" s="1221"/>
      <c r="CAM48" s="1221"/>
      <c r="CAN48" s="1221"/>
      <c r="CAO48" s="1221"/>
      <c r="CAP48" s="1221"/>
      <c r="CAQ48" s="1221"/>
      <c r="CAR48" s="1221"/>
      <c r="CAS48" s="1221"/>
      <c r="CAT48" s="1221"/>
      <c r="CAU48" s="1221"/>
      <c r="CAV48" s="1221"/>
      <c r="CAW48" s="1221"/>
      <c r="CAX48" s="1221"/>
      <c r="CAY48" s="1221"/>
      <c r="CAZ48" s="1221"/>
      <c r="CBA48" s="1221"/>
      <c r="CBB48" s="1221"/>
      <c r="CBC48" s="1221"/>
      <c r="CBD48" s="1221"/>
      <c r="CBE48" s="1221"/>
      <c r="CBF48" s="1221"/>
      <c r="CBG48" s="1221"/>
      <c r="CBH48" s="1221"/>
      <c r="CBI48" s="1221"/>
      <c r="CBJ48" s="1221"/>
      <c r="CBK48" s="1221"/>
      <c r="CBL48" s="1221"/>
      <c r="CBM48" s="1221"/>
      <c r="CBN48" s="1221"/>
      <c r="CBO48" s="1221"/>
      <c r="CBP48" s="1221"/>
      <c r="CBQ48" s="1221"/>
      <c r="CBR48" s="1221"/>
      <c r="CBS48" s="1221"/>
      <c r="CBT48" s="1221"/>
      <c r="CBU48" s="1221"/>
      <c r="CBV48" s="1221"/>
      <c r="CBW48" s="1221"/>
      <c r="CBX48" s="1221"/>
      <c r="CBY48" s="1221"/>
      <c r="CBZ48" s="1221"/>
      <c r="CCA48" s="1221"/>
      <c r="CCB48" s="1221"/>
      <c r="CCC48" s="1221"/>
      <c r="CCD48" s="1221"/>
      <c r="CCE48" s="1221"/>
      <c r="CCF48" s="1221"/>
      <c r="CCG48" s="1221"/>
      <c r="CCH48" s="1221"/>
      <c r="CCI48" s="1221"/>
      <c r="CCJ48" s="1221"/>
      <c r="CCK48" s="1221"/>
      <c r="CCL48" s="1221"/>
      <c r="CCM48" s="1221"/>
      <c r="CCN48" s="1221"/>
      <c r="CCO48" s="1221"/>
      <c r="CCP48" s="1221"/>
      <c r="CCQ48" s="1221"/>
      <c r="CCR48" s="1221"/>
      <c r="CCS48" s="1221"/>
      <c r="CCT48" s="1221"/>
      <c r="CCU48" s="1221"/>
      <c r="CCV48" s="1221"/>
      <c r="CCW48" s="1221"/>
      <c r="CCX48" s="1221"/>
      <c r="CCY48" s="1221"/>
      <c r="CCZ48" s="1221"/>
      <c r="CDA48" s="1221"/>
      <c r="CDB48" s="1221"/>
      <c r="CDC48" s="1221"/>
      <c r="CDD48" s="1221"/>
      <c r="CDE48" s="1221"/>
      <c r="CDF48" s="1221"/>
      <c r="CDG48" s="1221"/>
      <c r="CDH48" s="1221"/>
      <c r="CDI48" s="1221"/>
      <c r="CDJ48" s="1221"/>
      <c r="CDK48" s="1221"/>
      <c r="CDL48" s="1221"/>
      <c r="CDM48" s="1221"/>
      <c r="CDN48" s="1221"/>
      <c r="CDO48" s="1221"/>
      <c r="CDP48" s="1221"/>
      <c r="CDQ48" s="1221"/>
      <c r="CDR48" s="1221"/>
      <c r="CDS48" s="1221"/>
      <c r="CDT48" s="1221"/>
      <c r="CDU48" s="1221"/>
      <c r="CDV48" s="1221"/>
      <c r="CDW48" s="1221"/>
      <c r="CDX48" s="1221"/>
      <c r="CDY48" s="1221"/>
      <c r="CDZ48" s="1221"/>
      <c r="CEA48" s="1221"/>
      <c r="CEB48" s="1221"/>
      <c r="CEC48" s="1221"/>
      <c r="CED48" s="1221"/>
      <c r="CEE48" s="1221"/>
      <c r="CEF48" s="1221"/>
      <c r="CEG48" s="1221"/>
      <c r="CEH48" s="1221"/>
      <c r="CEI48" s="1221"/>
      <c r="CEJ48" s="1221"/>
      <c r="CEK48" s="1221"/>
      <c r="CEL48" s="1221"/>
      <c r="CEM48" s="1221"/>
      <c r="CEN48" s="1221"/>
      <c r="CEO48" s="1221"/>
      <c r="CEP48" s="1221"/>
      <c r="CEQ48" s="1221"/>
      <c r="CER48" s="1221"/>
      <c r="CES48" s="1221"/>
      <c r="CET48" s="1221"/>
      <c r="CEU48" s="1221"/>
      <c r="CEV48" s="1221"/>
      <c r="CEW48" s="1221"/>
      <c r="CEX48" s="1221"/>
      <c r="CEY48" s="1221"/>
      <c r="CEZ48" s="1221"/>
      <c r="CFA48" s="1221"/>
      <c r="CFB48" s="1221"/>
      <c r="CFC48" s="1221"/>
      <c r="CFD48" s="1221"/>
      <c r="CFE48" s="1221"/>
      <c r="CFF48" s="1221"/>
      <c r="CFG48" s="1221"/>
      <c r="CFH48" s="1221"/>
      <c r="CFI48" s="1221"/>
      <c r="CFJ48" s="1221"/>
      <c r="CFK48" s="1221"/>
      <c r="CFL48" s="1221"/>
      <c r="CFM48" s="1221"/>
      <c r="CFN48" s="1221"/>
      <c r="CFO48" s="1221"/>
      <c r="CFP48" s="1221"/>
      <c r="CFQ48" s="1221"/>
      <c r="CFR48" s="1221"/>
      <c r="CFS48" s="1221"/>
      <c r="CFT48" s="1221"/>
      <c r="CFU48" s="1221"/>
      <c r="CFV48" s="1221"/>
      <c r="CFW48" s="1221"/>
      <c r="CFX48" s="1221"/>
      <c r="CFY48" s="1221"/>
      <c r="CFZ48" s="1221"/>
      <c r="CGA48" s="1221"/>
      <c r="CGB48" s="1221"/>
      <c r="CGC48" s="1221"/>
      <c r="CGD48" s="1221"/>
      <c r="CGE48" s="1221"/>
      <c r="CGF48" s="1221"/>
      <c r="CGG48" s="1221"/>
      <c r="CGH48" s="1221"/>
      <c r="CGI48" s="1221"/>
      <c r="CGJ48" s="1221"/>
      <c r="CGK48" s="1221"/>
      <c r="CGL48" s="1221"/>
      <c r="CGM48" s="1221"/>
      <c r="CGN48" s="1221"/>
      <c r="CGO48" s="1221"/>
      <c r="CGP48" s="1221"/>
      <c r="CGQ48" s="1221"/>
      <c r="CGR48" s="1221"/>
      <c r="CGS48" s="1221"/>
      <c r="CGT48" s="1221"/>
      <c r="CGU48" s="1221"/>
      <c r="CGV48" s="1221"/>
      <c r="CGW48" s="1221"/>
      <c r="CGX48" s="1221"/>
      <c r="CGY48" s="1221"/>
      <c r="CGZ48" s="1221"/>
      <c r="CHA48" s="1221"/>
      <c r="CHB48" s="1221"/>
      <c r="CHC48" s="1221"/>
      <c r="CHD48" s="1221"/>
      <c r="CHE48" s="1221"/>
      <c r="CHF48" s="1221"/>
      <c r="CHG48" s="1221"/>
      <c r="CHH48" s="1221"/>
      <c r="CHI48" s="1221"/>
      <c r="CHJ48" s="1221"/>
      <c r="CHK48" s="1221"/>
      <c r="CHL48" s="1221"/>
      <c r="CHM48" s="1221"/>
      <c r="CHN48" s="1221"/>
      <c r="CHO48" s="1221"/>
      <c r="CHP48" s="1221"/>
      <c r="CHQ48" s="1221"/>
      <c r="CHR48" s="1221"/>
      <c r="CHS48" s="1221"/>
      <c r="CHT48" s="1221"/>
      <c r="CHU48" s="1221"/>
      <c r="CHV48" s="1221"/>
      <c r="CHW48" s="1221"/>
      <c r="CHX48" s="1221"/>
      <c r="CHY48" s="1221"/>
      <c r="CHZ48" s="1221"/>
      <c r="CIA48" s="1221"/>
      <c r="CIB48" s="1221"/>
      <c r="CIC48" s="1221"/>
      <c r="CID48" s="1221"/>
      <c r="CIE48" s="1221"/>
      <c r="CIF48" s="1221"/>
      <c r="CIG48" s="1221"/>
      <c r="CIH48" s="1221"/>
      <c r="CII48" s="1221"/>
      <c r="CIJ48" s="1221"/>
      <c r="CIK48" s="1221"/>
      <c r="CIL48" s="1221"/>
      <c r="CIM48" s="1221"/>
      <c r="CIN48" s="1221"/>
      <c r="CIO48" s="1221"/>
      <c r="CIP48" s="1221"/>
      <c r="CIQ48" s="1221"/>
      <c r="CIR48" s="1221"/>
      <c r="CIS48" s="1221"/>
      <c r="CIT48" s="1221"/>
      <c r="CIU48" s="1221"/>
      <c r="CIV48" s="1221"/>
      <c r="CIW48" s="1221"/>
      <c r="CIX48" s="1221"/>
      <c r="CIY48" s="1221"/>
      <c r="CIZ48" s="1221"/>
      <c r="CJA48" s="1221"/>
      <c r="CJB48" s="1221"/>
      <c r="CJC48" s="1221"/>
      <c r="CJD48" s="1221"/>
      <c r="CJE48" s="1221"/>
      <c r="CJF48" s="1221"/>
      <c r="CJG48" s="1221"/>
      <c r="CJH48" s="1221"/>
      <c r="CJI48" s="1221"/>
      <c r="CJJ48" s="1221"/>
      <c r="CJK48" s="1221"/>
      <c r="CJL48" s="1221"/>
      <c r="CJM48" s="1221"/>
      <c r="CJN48" s="1221"/>
      <c r="CJO48" s="1221"/>
      <c r="CJP48" s="1221"/>
      <c r="CJQ48" s="1221"/>
      <c r="CJR48" s="1221"/>
      <c r="CJS48" s="1221"/>
      <c r="CJT48" s="1221"/>
      <c r="CJU48" s="1221"/>
      <c r="CJV48" s="1221"/>
      <c r="CJW48" s="1221"/>
      <c r="CJX48" s="1221"/>
      <c r="CJY48" s="1221"/>
      <c r="CJZ48" s="1221"/>
      <c r="CKA48" s="1221"/>
      <c r="CKB48" s="1221"/>
      <c r="CKC48" s="1221"/>
      <c r="CKD48" s="1221"/>
      <c r="CKE48" s="1221"/>
      <c r="CKF48" s="1221"/>
      <c r="CKG48" s="1221"/>
      <c r="CKH48" s="1221"/>
      <c r="CKI48" s="1221"/>
      <c r="CKJ48" s="1221"/>
      <c r="CKK48" s="1221"/>
      <c r="CKL48" s="1221"/>
      <c r="CKM48" s="1221"/>
      <c r="CKN48" s="1221"/>
      <c r="CKO48" s="1221"/>
      <c r="CKP48" s="1221"/>
      <c r="CKQ48" s="1221"/>
      <c r="CKR48" s="1221"/>
      <c r="CKS48" s="1221"/>
      <c r="CKT48" s="1221"/>
      <c r="CKU48" s="1221"/>
      <c r="CKV48" s="1221"/>
      <c r="CKW48" s="1221"/>
      <c r="CKX48" s="1221"/>
      <c r="CKY48" s="1221"/>
      <c r="CKZ48" s="1221"/>
      <c r="CLA48" s="1221"/>
      <c r="CLB48" s="1221"/>
      <c r="CLC48" s="1221"/>
      <c r="CLD48" s="1221"/>
      <c r="CLE48" s="1221"/>
      <c r="CLF48" s="1221"/>
      <c r="CLG48" s="1221"/>
      <c r="CLH48" s="1221"/>
      <c r="CLI48" s="1221"/>
      <c r="CLJ48" s="1221"/>
      <c r="CLK48" s="1221"/>
      <c r="CLL48" s="1221"/>
      <c r="CLM48" s="1221"/>
      <c r="CLN48" s="1221"/>
      <c r="CLO48" s="1221"/>
      <c r="CLP48" s="1221"/>
      <c r="CLQ48" s="1221"/>
      <c r="CLR48" s="1221"/>
      <c r="CLS48" s="1221"/>
      <c r="CLT48" s="1221"/>
      <c r="CLU48" s="1221"/>
      <c r="CLV48" s="1221"/>
      <c r="CLW48" s="1221"/>
      <c r="CLX48" s="1221"/>
      <c r="CLY48" s="1221"/>
      <c r="CLZ48" s="1221"/>
      <c r="CMA48" s="1221"/>
      <c r="CMB48" s="1221"/>
      <c r="CMC48" s="1221"/>
      <c r="CMD48" s="1221"/>
      <c r="CME48" s="1221"/>
      <c r="CMF48" s="1221"/>
      <c r="CMG48" s="1221"/>
      <c r="CMH48" s="1221"/>
      <c r="CMI48" s="1221"/>
      <c r="CMJ48" s="1221"/>
      <c r="CMK48" s="1221"/>
      <c r="CML48" s="1221"/>
      <c r="CMM48" s="1221"/>
      <c r="CMN48" s="1221"/>
      <c r="CMO48" s="1221"/>
      <c r="CMP48" s="1221"/>
      <c r="CMQ48" s="1221"/>
      <c r="CMR48" s="1221"/>
      <c r="CMS48" s="1221"/>
      <c r="CMT48" s="1221"/>
      <c r="CMU48" s="1221"/>
      <c r="CMV48" s="1221"/>
      <c r="CMW48" s="1221"/>
      <c r="CMX48" s="1221"/>
      <c r="CMY48" s="1221"/>
      <c r="CMZ48" s="1221"/>
      <c r="CNA48" s="1221"/>
      <c r="CNB48" s="1221"/>
      <c r="CNC48" s="1221"/>
      <c r="CND48" s="1221"/>
      <c r="CNE48" s="1221"/>
      <c r="CNF48" s="1221"/>
      <c r="CNG48" s="1221"/>
      <c r="CNH48" s="1221"/>
      <c r="CNI48" s="1221"/>
      <c r="CNJ48" s="1221"/>
      <c r="CNK48" s="1221"/>
      <c r="CNL48" s="1221"/>
      <c r="CNM48" s="1221"/>
      <c r="CNN48" s="1221"/>
      <c r="CNO48" s="1221"/>
      <c r="CNP48" s="1221"/>
      <c r="CNQ48" s="1221"/>
      <c r="CNR48" s="1221"/>
      <c r="CNS48" s="1221"/>
      <c r="CNT48" s="1221"/>
      <c r="CNU48" s="1221"/>
      <c r="CNV48" s="1221"/>
      <c r="CNW48" s="1221"/>
      <c r="CNX48" s="1221"/>
      <c r="CNY48" s="1221"/>
      <c r="CNZ48" s="1221"/>
      <c r="COA48" s="1221"/>
      <c r="COB48" s="1221"/>
      <c r="COC48" s="1221"/>
      <c r="COD48" s="1221"/>
      <c r="COE48" s="1221"/>
      <c r="COF48" s="1221"/>
      <c r="COG48" s="1221"/>
      <c r="COH48" s="1221"/>
      <c r="COI48" s="1221"/>
      <c r="COJ48" s="1221"/>
      <c r="COK48" s="1221"/>
      <c r="COL48" s="1221"/>
      <c r="COM48" s="1221"/>
      <c r="CON48" s="1221"/>
      <c r="COO48" s="1221"/>
      <c r="COP48" s="1221"/>
      <c r="COQ48" s="1221"/>
      <c r="COR48" s="1221"/>
      <c r="COS48" s="1221"/>
      <c r="COT48" s="1221"/>
      <c r="COU48" s="1221"/>
      <c r="COV48" s="1221"/>
      <c r="COW48" s="1221"/>
      <c r="COX48" s="1221"/>
      <c r="COY48" s="1221"/>
      <c r="COZ48" s="1221"/>
      <c r="CPA48" s="1221"/>
      <c r="CPB48" s="1221"/>
      <c r="CPC48" s="1221"/>
      <c r="CPD48" s="1221"/>
      <c r="CPE48" s="1221"/>
      <c r="CPF48" s="1221"/>
      <c r="CPG48" s="1221"/>
      <c r="CPH48" s="1221"/>
      <c r="CPI48" s="1221"/>
      <c r="CPJ48" s="1221"/>
      <c r="CPK48" s="1221"/>
      <c r="CPL48" s="1221"/>
      <c r="CPM48" s="1221"/>
      <c r="CPN48" s="1221"/>
      <c r="CPO48" s="1221"/>
      <c r="CPP48" s="1221"/>
      <c r="CPQ48" s="1221"/>
      <c r="CPR48" s="1221"/>
      <c r="CPS48" s="1221"/>
      <c r="CPT48" s="1221"/>
      <c r="CPU48" s="1221"/>
      <c r="CPV48" s="1221"/>
      <c r="CPW48" s="1221"/>
      <c r="CPX48" s="1221"/>
      <c r="CPY48" s="1221"/>
      <c r="CPZ48" s="1221"/>
      <c r="CQA48" s="1221"/>
      <c r="CQB48" s="1221"/>
      <c r="CQC48" s="1221"/>
      <c r="CQD48" s="1221"/>
      <c r="CQE48" s="1221"/>
      <c r="CQF48" s="1221"/>
      <c r="CQG48" s="1221"/>
      <c r="CQH48" s="1221"/>
      <c r="CQI48" s="1221"/>
      <c r="CQJ48" s="1221"/>
      <c r="CQK48" s="1221"/>
      <c r="CQL48" s="1221"/>
      <c r="CQM48" s="1221"/>
      <c r="CQN48" s="1221"/>
      <c r="CQO48" s="1221"/>
      <c r="CQP48" s="1221"/>
      <c r="CQQ48" s="1221"/>
      <c r="CQR48" s="1221"/>
      <c r="CQS48" s="1221"/>
      <c r="CQT48" s="1221"/>
      <c r="CQU48" s="1221"/>
      <c r="CQV48" s="1221"/>
      <c r="CQW48" s="1221"/>
      <c r="CQX48" s="1221"/>
      <c r="CQY48" s="1221"/>
      <c r="CQZ48" s="1221"/>
      <c r="CRA48" s="1221"/>
      <c r="CRB48" s="1221"/>
      <c r="CRC48" s="1221"/>
      <c r="CRD48" s="1221"/>
      <c r="CRE48" s="1221"/>
      <c r="CRF48" s="1221"/>
      <c r="CRG48" s="1221"/>
      <c r="CRH48" s="1221"/>
      <c r="CRI48" s="1221"/>
      <c r="CRJ48" s="1221"/>
      <c r="CRK48" s="1221"/>
      <c r="CRL48" s="1221"/>
      <c r="CRM48" s="1221"/>
      <c r="CRN48" s="1221"/>
      <c r="CRO48" s="1221"/>
      <c r="CRP48" s="1221"/>
      <c r="CRQ48" s="1221"/>
      <c r="CRR48" s="1221"/>
      <c r="CRS48" s="1221"/>
      <c r="CRT48" s="1221"/>
      <c r="CRU48" s="1221"/>
      <c r="CRV48" s="1221"/>
      <c r="CRW48" s="1221"/>
      <c r="CRX48" s="1221"/>
      <c r="CRY48" s="1221"/>
      <c r="CRZ48" s="1221"/>
      <c r="CSA48" s="1221"/>
      <c r="CSB48" s="1221"/>
      <c r="CSC48" s="1221"/>
      <c r="CSD48" s="1221"/>
      <c r="CSE48" s="1221"/>
      <c r="CSF48" s="1221"/>
      <c r="CSG48" s="1221"/>
      <c r="CSH48" s="1221"/>
      <c r="CSI48" s="1221"/>
      <c r="CSJ48" s="1221"/>
      <c r="CSK48" s="1221"/>
      <c r="CSL48" s="1221"/>
      <c r="CSM48" s="1221"/>
      <c r="CSN48" s="1221"/>
      <c r="CSO48" s="1221"/>
      <c r="CSP48" s="1221"/>
      <c r="CSQ48" s="1221"/>
      <c r="CSR48" s="1221"/>
      <c r="CSS48" s="1221"/>
      <c r="CST48" s="1221"/>
      <c r="CSU48" s="1221"/>
      <c r="CSV48" s="1221"/>
      <c r="CSW48" s="1221"/>
      <c r="CSX48" s="1221"/>
      <c r="CSY48" s="1221"/>
      <c r="CSZ48" s="1221"/>
      <c r="CTA48" s="1221"/>
      <c r="CTB48" s="1221"/>
      <c r="CTC48" s="1221"/>
      <c r="CTD48" s="1221"/>
      <c r="CTE48" s="1221"/>
      <c r="CTF48" s="1221"/>
      <c r="CTG48" s="1221"/>
      <c r="CTH48" s="1221"/>
      <c r="CTI48" s="1221"/>
      <c r="CTJ48" s="1221"/>
      <c r="CTK48" s="1221"/>
      <c r="CTL48" s="1221"/>
      <c r="CTM48" s="1221"/>
      <c r="CTN48" s="1221"/>
      <c r="CTO48" s="1221"/>
      <c r="CTP48" s="1221"/>
      <c r="CTQ48" s="1221"/>
      <c r="CTR48" s="1221"/>
      <c r="CTS48" s="1221"/>
      <c r="CTT48" s="1221"/>
      <c r="CTU48" s="1221"/>
      <c r="CTV48" s="1221"/>
      <c r="CTW48" s="1221"/>
      <c r="CTX48" s="1221"/>
      <c r="CTY48" s="1221"/>
      <c r="CTZ48" s="1221"/>
      <c r="CUA48" s="1221"/>
      <c r="CUB48" s="1221"/>
      <c r="CUC48" s="1221"/>
      <c r="CUD48" s="1221"/>
      <c r="CUE48" s="1221"/>
      <c r="CUF48" s="1221"/>
      <c r="CUG48" s="1221"/>
      <c r="CUH48" s="1221"/>
      <c r="CUI48" s="1221"/>
      <c r="CUJ48" s="1221"/>
      <c r="CUK48" s="1221"/>
      <c r="CUL48" s="1221"/>
      <c r="CUM48" s="1221"/>
      <c r="CUN48" s="1221"/>
      <c r="CUO48" s="1221"/>
      <c r="CUP48" s="1221"/>
      <c r="CUQ48" s="1221"/>
      <c r="CUR48" s="1221"/>
      <c r="CUS48" s="1221"/>
      <c r="CUT48" s="1221"/>
      <c r="CUU48" s="1221"/>
      <c r="CUV48" s="1221"/>
      <c r="CUW48" s="1221"/>
      <c r="CUX48" s="1221"/>
      <c r="CUY48" s="1221"/>
      <c r="CUZ48" s="1221"/>
      <c r="CVA48" s="1221"/>
      <c r="CVB48" s="1221"/>
      <c r="CVC48" s="1221"/>
      <c r="CVD48" s="1221"/>
      <c r="CVE48" s="1221"/>
      <c r="CVF48" s="1221"/>
      <c r="CVG48" s="1221"/>
      <c r="CVH48" s="1221"/>
      <c r="CVI48" s="1221"/>
      <c r="CVJ48" s="1221"/>
      <c r="CVK48" s="1221"/>
      <c r="CVL48" s="1221"/>
      <c r="CVM48" s="1221"/>
      <c r="CVN48" s="1221"/>
      <c r="CVO48" s="1221"/>
      <c r="CVP48" s="1221"/>
      <c r="CVQ48" s="1221"/>
      <c r="CVR48" s="1221"/>
      <c r="CVS48" s="1221"/>
      <c r="CVT48" s="1221"/>
      <c r="CVU48" s="1221"/>
      <c r="CVV48" s="1221"/>
      <c r="CVW48" s="1221"/>
      <c r="CVX48" s="1221"/>
      <c r="CVY48" s="1221"/>
      <c r="CVZ48" s="1221"/>
      <c r="CWA48" s="1221"/>
      <c r="CWB48" s="1221"/>
      <c r="CWC48" s="1221"/>
      <c r="CWD48" s="1221"/>
      <c r="CWE48" s="1221"/>
      <c r="CWF48" s="1221"/>
      <c r="CWG48" s="1221"/>
      <c r="CWH48" s="1221"/>
      <c r="CWI48" s="1221"/>
      <c r="CWJ48" s="1221"/>
      <c r="CWK48" s="1221"/>
      <c r="CWL48" s="1221"/>
      <c r="CWM48" s="1221"/>
      <c r="CWN48" s="1221"/>
      <c r="CWO48" s="1221"/>
      <c r="CWP48" s="1221"/>
      <c r="CWQ48" s="1221"/>
      <c r="CWR48" s="1221"/>
      <c r="CWS48" s="1221"/>
      <c r="CWT48" s="1221"/>
      <c r="CWU48" s="1221"/>
      <c r="CWV48" s="1221"/>
      <c r="CWW48" s="1221"/>
      <c r="CWX48" s="1221"/>
      <c r="CWY48" s="1221"/>
      <c r="CWZ48" s="1221"/>
      <c r="CXA48" s="1221"/>
      <c r="CXB48" s="1221"/>
      <c r="CXC48" s="1221"/>
      <c r="CXD48" s="1221"/>
      <c r="CXE48" s="1221"/>
      <c r="CXF48" s="1221"/>
      <c r="CXG48" s="1221"/>
      <c r="CXH48" s="1221"/>
      <c r="CXI48" s="1221"/>
      <c r="CXJ48" s="1221"/>
      <c r="CXK48" s="1221"/>
      <c r="CXL48" s="1221"/>
      <c r="CXM48" s="1221"/>
      <c r="CXN48" s="1221"/>
      <c r="CXO48" s="1221"/>
      <c r="CXP48" s="1221"/>
      <c r="CXQ48" s="1221"/>
      <c r="CXR48" s="1221"/>
      <c r="CXS48" s="1221"/>
      <c r="CXT48" s="1221"/>
      <c r="CXU48" s="1221"/>
      <c r="CXV48" s="1221"/>
      <c r="CXW48" s="1221"/>
      <c r="CXX48" s="1221"/>
      <c r="CXY48" s="1221"/>
      <c r="CXZ48" s="1221"/>
      <c r="CYA48" s="1221"/>
      <c r="CYB48" s="1221"/>
      <c r="CYC48" s="1221"/>
      <c r="CYD48" s="1221"/>
      <c r="CYE48" s="1221"/>
      <c r="CYF48" s="1221"/>
      <c r="CYG48" s="1221"/>
      <c r="CYH48" s="1221"/>
      <c r="CYI48" s="1221"/>
      <c r="CYJ48" s="1221"/>
      <c r="CYK48" s="1221"/>
      <c r="CYL48" s="1221"/>
      <c r="CYM48" s="1221"/>
      <c r="CYN48" s="1221"/>
      <c r="CYO48" s="1221"/>
      <c r="CYP48" s="1221"/>
      <c r="CYQ48" s="1221"/>
      <c r="CYR48" s="1221"/>
      <c r="CYS48" s="1221"/>
      <c r="CYT48" s="1221"/>
      <c r="CYU48" s="1221"/>
      <c r="CYV48" s="1221"/>
      <c r="CYW48" s="1221"/>
      <c r="CYX48" s="1221"/>
      <c r="CYY48" s="1221"/>
      <c r="CYZ48" s="1221"/>
      <c r="CZA48" s="1221"/>
      <c r="CZB48" s="1221"/>
      <c r="CZC48" s="1221"/>
      <c r="CZD48" s="1221"/>
      <c r="CZE48" s="1221"/>
      <c r="CZF48" s="1221"/>
      <c r="CZG48" s="1221"/>
      <c r="CZH48" s="1221"/>
      <c r="CZI48" s="1221"/>
      <c r="CZJ48" s="1221"/>
      <c r="CZK48" s="1221"/>
      <c r="CZL48" s="1221"/>
      <c r="CZM48" s="1221"/>
      <c r="CZN48" s="1221"/>
      <c r="CZO48" s="1221"/>
      <c r="CZP48" s="1221"/>
      <c r="CZQ48" s="1221"/>
      <c r="CZR48" s="1221"/>
      <c r="CZS48" s="1221"/>
      <c r="CZT48" s="1221"/>
      <c r="CZU48" s="1221"/>
      <c r="CZV48" s="1221"/>
      <c r="CZW48" s="1221"/>
      <c r="CZX48" s="1221"/>
      <c r="CZY48" s="1221"/>
      <c r="CZZ48" s="1221"/>
      <c r="DAA48" s="1221"/>
      <c r="DAB48" s="1221"/>
      <c r="DAC48" s="1221"/>
      <c r="DAD48" s="1221"/>
      <c r="DAE48" s="1221"/>
      <c r="DAF48" s="1221"/>
      <c r="DAG48" s="1221"/>
      <c r="DAH48" s="1221"/>
      <c r="DAI48" s="1221"/>
      <c r="DAJ48" s="1221"/>
      <c r="DAK48" s="1221"/>
      <c r="DAL48" s="1221"/>
      <c r="DAM48" s="1221"/>
      <c r="DAN48" s="1221"/>
      <c r="DAO48" s="1221"/>
      <c r="DAP48" s="1221"/>
      <c r="DAQ48" s="1221"/>
      <c r="DAR48" s="1221"/>
      <c r="DAS48" s="1221"/>
      <c r="DAT48" s="1221"/>
      <c r="DAU48" s="1221"/>
      <c r="DAV48" s="1221"/>
      <c r="DAW48" s="1221"/>
      <c r="DAX48" s="1221"/>
      <c r="DAY48" s="1221"/>
      <c r="DAZ48" s="1221"/>
      <c r="DBA48" s="1221"/>
      <c r="DBB48" s="1221"/>
      <c r="DBC48" s="1221"/>
      <c r="DBD48" s="1221"/>
      <c r="DBE48" s="1221"/>
      <c r="DBF48" s="1221"/>
      <c r="DBG48" s="1221"/>
      <c r="DBH48" s="1221"/>
      <c r="DBI48" s="1221"/>
      <c r="DBJ48" s="1221"/>
      <c r="DBK48" s="1221"/>
      <c r="DBL48" s="1221"/>
      <c r="DBM48" s="1221"/>
      <c r="DBN48" s="1221"/>
      <c r="DBO48" s="1221"/>
      <c r="DBP48" s="1221"/>
      <c r="DBQ48" s="1221"/>
      <c r="DBR48" s="1221"/>
      <c r="DBS48" s="1221"/>
      <c r="DBT48" s="1221"/>
      <c r="DBU48" s="1221"/>
      <c r="DBV48" s="1221"/>
      <c r="DBW48" s="1221"/>
      <c r="DBX48" s="1221"/>
      <c r="DBY48" s="1221"/>
      <c r="DBZ48" s="1221"/>
      <c r="DCA48" s="1221"/>
      <c r="DCB48" s="1221"/>
      <c r="DCC48" s="1221"/>
      <c r="DCD48" s="1221"/>
      <c r="DCE48" s="1221"/>
      <c r="DCF48" s="1221"/>
      <c r="DCG48" s="1221"/>
      <c r="DCH48" s="1221"/>
      <c r="DCI48" s="1221"/>
      <c r="DCJ48" s="1221"/>
      <c r="DCK48" s="1221"/>
      <c r="DCL48" s="1221"/>
      <c r="DCM48" s="1221"/>
      <c r="DCN48" s="1221"/>
      <c r="DCO48" s="1221"/>
      <c r="DCP48" s="1221"/>
      <c r="DCQ48" s="1221"/>
      <c r="DCR48" s="1221"/>
      <c r="DCS48" s="1221"/>
      <c r="DCT48" s="1221"/>
      <c r="DCU48" s="1221"/>
      <c r="DCV48" s="1221"/>
      <c r="DCW48" s="1221"/>
      <c r="DCX48" s="1221"/>
      <c r="DCY48" s="1221"/>
      <c r="DCZ48" s="1221"/>
      <c r="DDA48" s="1221"/>
      <c r="DDB48" s="1221"/>
      <c r="DDC48" s="1221"/>
      <c r="DDD48" s="1221"/>
      <c r="DDE48" s="1221"/>
      <c r="DDF48" s="1221"/>
      <c r="DDG48" s="1221"/>
      <c r="DDH48" s="1221"/>
      <c r="DDI48" s="1221"/>
      <c r="DDJ48" s="1221"/>
      <c r="DDK48" s="1221"/>
      <c r="DDL48" s="1221"/>
      <c r="DDM48" s="1221"/>
      <c r="DDN48" s="1221"/>
      <c r="DDO48" s="1221"/>
      <c r="DDP48" s="1221"/>
      <c r="DDQ48" s="1221"/>
      <c r="DDR48" s="1221"/>
      <c r="DDS48" s="1221"/>
      <c r="DDT48" s="1221"/>
      <c r="DDU48" s="1221"/>
      <c r="DDV48" s="1221"/>
      <c r="DDW48" s="1221"/>
      <c r="DDX48" s="1221"/>
      <c r="DDY48" s="1221"/>
      <c r="DDZ48" s="1221"/>
      <c r="DEA48" s="1221"/>
      <c r="DEB48" s="1221"/>
      <c r="DEC48" s="1221"/>
      <c r="DED48" s="1221"/>
      <c r="DEE48" s="1221"/>
      <c r="DEF48" s="1221"/>
      <c r="DEG48" s="1221"/>
      <c r="DEH48" s="1221"/>
      <c r="DEI48" s="1221"/>
      <c r="DEJ48" s="1221"/>
      <c r="DEK48" s="1221"/>
      <c r="DEL48" s="1221"/>
      <c r="DEM48" s="1221"/>
      <c r="DEN48" s="1221"/>
      <c r="DEO48" s="1221"/>
      <c r="DEP48" s="1221"/>
      <c r="DEQ48" s="1221"/>
      <c r="DER48" s="1221"/>
      <c r="DES48" s="1221"/>
      <c r="DET48" s="1221"/>
      <c r="DEU48" s="1221"/>
      <c r="DEV48" s="1221"/>
      <c r="DEW48" s="1221"/>
      <c r="DEX48" s="1221"/>
      <c r="DEY48" s="1221"/>
      <c r="DEZ48" s="1221"/>
      <c r="DFA48" s="1221"/>
      <c r="DFB48" s="1221"/>
      <c r="DFC48" s="1221"/>
      <c r="DFD48" s="1221"/>
      <c r="DFE48" s="1221"/>
      <c r="DFF48" s="1221"/>
      <c r="DFG48" s="1221"/>
      <c r="DFH48" s="1221"/>
      <c r="DFI48" s="1221"/>
      <c r="DFJ48" s="1221"/>
      <c r="DFK48" s="1221"/>
      <c r="DFL48" s="1221"/>
      <c r="DFM48" s="1221"/>
      <c r="DFN48" s="1221"/>
      <c r="DFO48" s="1221"/>
      <c r="DFP48" s="1221"/>
      <c r="DFQ48" s="1221"/>
      <c r="DFR48" s="1221"/>
      <c r="DFS48" s="1221"/>
      <c r="DFT48" s="1221"/>
      <c r="DFU48" s="1221"/>
      <c r="DFV48" s="1221"/>
      <c r="DFW48" s="1221"/>
      <c r="DFX48" s="1221"/>
      <c r="DFY48" s="1221"/>
      <c r="DFZ48" s="1221"/>
      <c r="DGA48" s="1221"/>
      <c r="DGB48" s="1221"/>
      <c r="DGC48" s="1221"/>
      <c r="DGD48" s="1221"/>
      <c r="DGE48" s="1221"/>
      <c r="DGF48" s="1221"/>
      <c r="DGG48" s="1221"/>
      <c r="DGH48" s="1221"/>
      <c r="DGI48" s="1221"/>
      <c r="DGJ48" s="1221"/>
      <c r="DGK48" s="1221"/>
      <c r="DGL48" s="1221"/>
      <c r="DGM48" s="1221"/>
      <c r="DGN48" s="1221"/>
      <c r="DGO48" s="1221"/>
      <c r="DGP48" s="1221"/>
      <c r="DGQ48" s="1221"/>
      <c r="DGR48" s="1221"/>
      <c r="DGS48" s="1221"/>
      <c r="DGT48" s="1221"/>
      <c r="DGU48" s="1221"/>
      <c r="DGV48" s="1221"/>
      <c r="DGW48" s="1221"/>
      <c r="DGX48" s="1221"/>
      <c r="DGY48" s="1221"/>
      <c r="DGZ48" s="1221"/>
      <c r="DHA48" s="1221"/>
      <c r="DHB48" s="1221"/>
      <c r="DHC48" s="1221"/>
      <c r="DHD48" s="1221"/>
      <c r="DHE48" s="1221"/>
      <c r="DHF48" s="1221"/>
      <c r="DHG48" s="1221"/>
      <c r="DHH48" s="1221"/>
      <c r="DHI48" s="1221"/>
      <c r="DHJ48" s="1221"/>
      <c r="DHK48" s="1221"/>
      <c r="DHL48" s="1221"/>
      <c r="DHM48" s="1221"/>
      <c r="DHN48" s="1221"/>
      <c r="DHO48" s="1221"/>
      <c r="DHP48" s="1221"/>
      <c r="DHQ48" s="1221"/>
      <c r="DHR48" s="1221"/>
      <c r="DHS48" s="1221"/>
      <c r="DHT48" s="1221"/>
      <c r="DHU48" s="1221"/>
      <c r="DHV48" s="1221"/>
      <c r="DHW48" s="1221"/>
      <c r="DHX48" s="1221"/>
      <c r="DHY48" s="1221"/>
      <c r="DHZ48" s="1221"/>
      <c r="DIA48" s="1221"/>
      <c r="DIB48" s="1221"/>
      <c r="DIC48" s="1221"/>
      <c r="DID48" s="1221"/>
      <c r="DIE48" s="1221"/>
      <c r="DIF48" s="1221"/>
      <c r="DIG48" s="1221"/>
      <c r="DIH48" s="1221"/>
      <c r="DII48" s="1221"/>
      <c r="DIJ48" s="1221"/>
      <c r="DIK48" s="1221"/>
      <c r="DIL48" s="1221"/>
      <c r="DIM48" s="1221"/>
      <c r="DIN48" s="1221"/>
      <c r="DIO48" s="1221"/>
      <c r="DIP48" s="1221"/>
      <c r="DIQ48" s="1221"/>
      <c r="DIR48" s="1221"/>
      <c r="DIS48" s="1221"/>
      <c r="DIT48" s="1221"/>
      <c r="DIU48" s="1221"/>
      <c r="DIV48" s="1221"/>
      <c r="DIW48" s="1221"/>
      <c r="DIX48" s="1221"/>
      <c r="DIY48" s="1221"/>
      <c r="DIZ48" s="1221"/>
      <c r="DJA48" s="1221"/>
      <c r="DJB48" s="1221"/>
      <c r="DJC48" s="1221"/>
      <c r="DJD48" s="1221"/>
      <c r="DJE48" s="1221"/>
      <c r="DJF48" s="1221"/>
      <c r="DJG48" s="1221"/>
      <c r="DJH48" s="1221"/>
      <c r="DJI48" s="1221"/>
      <c r="DJJ48" s="1221"/>
      <c r="DJK48" s="1221"/>
      <c r="DJL48" s="1221"/>
      <c r="DJM48" s="1221"/>
      <c r="DJN48" s="1221"/>
      <c r="DJO48" s="1221"/>
      <c r="DJP48" s="1221"/>
      <c r="DJQ48" s="1221"/>
      <c r="DJR48" s="1221"/>
      <c r="DJS48" s="1221"/>
      <c r="DJT48" s="1221"/>
      <c r="DJU48" s="1221"/>
      <c r="DJV48" s="1221"/>
      <c r="DJW48" s="1221"/>
      <c r="DJX48" s="1221"/>
      <c r="DJY48" s="1221"/>
      <c r="DJZ48" s="1221"/>
      <c r="DKA48" s="1221"/>
      <c r="DKB48" s="1221"/>
      <c r="DKC48" s="1221"/>
      <c r="DKD48" s="1221"/>
      <c r="DKE48" s="1221"/>
      <c r="DKF48" s="1221"/>
      <c r="DKG48" s="1221"/>
      <c r="DKH48" s="1221"/>
      <c r="DKI48" s="1221"/>
      <c r="DKJ48" s="1221"/>
      <c r="DKK48" s="1221"/>
      <c r="DKL48" s="1221"/>
      <c r="DKM48" s="1221"/>
      <c r="DKN48" s="1221"/>
      <c r="DKO48" s="1221"/>
      <c r="DKP48" s="1221"/>
      <c r="DKQ48" s="1221"/>
      <c r="DKR48" s="1221"/>
      <c r="DKS48" s="1221"/>
      <c r="DKT48" s="1221"/>
      <c r="DKU48" s="1221"/>
      <c r="DKV48" s="1221"/>
      <c r="DKW48" s="1221"/>
      <c r="DKX48" s="1221"/>
      <c r="DKY48" s="1221"/>
      <c r="DKZ48" s="1221"/>
      <c r="DLA48" s="1221"/>
      <c r="DLB48" s="1221"/>
      <c r="DLC48" s="1221"/>
      <c r="DLD48" s="1221"/>
      <c r="DLE48" s="1221"/>
      <c r="DLF48" s="1221"/>
      <c r="DLG48" s="1221"/>
      <c r="DLH48" s="1221"/>
      <c r="DLI48" s="1221"/>
      <c r="DLJ48" s="1221"/>
      <c r="DLK48" s="1221"/>
      <c r="DLL48" s="1221"/>
      <c r="DLM48" s="1221"/>
      <c r="DLN48" s="1221"/>
      <c r="DLO48" s="1221"/>
      <c r="DLP48" s="1221"/>
      <c r="DLQ48" s="1221"/>
      <c r="DLR48" s="1221"/>
      <c r="DLS48" s="1221"/>
      <c r="DLT48" s="1221"/>
      <c r="DLU48" s="1221"/>
      <c r="DLV48" s="1221"/>
      <c r="DLW48" s="1221"/>
      <c r="DLX48" s="1221"/>
      <c r="DLY48" s="1221"/>
      <c r="DLZ48" s="1221"/>
      <c r="DMA48" s="1221"/>
      <c r="DMB48" s="1221"/>
      <c r="DMC48" s="1221"/>
      <c r="DMD48" s="1221"/>
      <c r="DME48" s="1221"/>
      <c r="DMF48" s="1221"/>
      <c r="DMG48" s="1221"/>
      <c r="DMH48" s="1221"/>
      <c r="DMI48" s="1221"/>
      <c r="DMJ48" s="1221"/>
      <c r="DMK48" s="1221"/>
      <c r="DML48" s="1221"/>
      <c r="DMM48" s="1221"/>
      <c r="DMN48" s="1221"/>
      <c r="DMO48" s="1221"/>
      <c r="DMP48" s="1221"/>
      <c r="DMQ48" s="1221"/>
      <c r="DMR48" s="1221"/>
      <c r="DMS48" s="1221"/>
      <c r="DMT48" s="1221"/>
      <c r="DMU48" s="1221"/>
      <c r="DMV48" s="1221"/>
      <c r="DMW48" s="1221"/>
      <c r="DMX48" s="1221"/>
      <c r="DMY48" s="1221"/>
      <c r="DMZ48" s="1221"/>
      <c r="DNA48" s="1221"/>
      <c r="DNB48" s="1221"/>
      <c r="DNC48" s="1221"/>
      <c r="DND48" s="1221"/>
      <c r="DNE48" s="1221"/>
      <c r="DNF48" s="1221"/>
      <c r="DNG48" s="1221"/>
      <c r="DNH48" s="1221"/>
      <c r="DNI48" s="1221"/>
      <c r="DNJ48" s="1221"/>
      <c r="DNK48" s="1221"/>
      <c r="DNL48" s="1221"/>
      <c r="DNM48" s="1221"/>
      <c r="DNN48" s="1221"/>
      <c r="DNO48" s="1221"/>
      <c r="DNP48" s="1221"/>
      <c r="DNQ48" s="1221"/>
      <c r="DNR48" s="1221"/>
      <c r="DNS48" s="1221"/>
      <c r="DNT48" s="1221"/>
      <c r="DNU48" s="1221"/>
      <c r="DNV48" s="1221"/>
      <c r="DNW48" s="1221"/>
      <c r="DNX48" s="1221"/>
      <c r="DNY48" s="1221"/>
      <c r="DNZ48" s="1221"/>
      <c r="DOA48" s="1221"/>
      <c r="DOB48" s="1221"/>
      <c r="DOC48" s="1221"/>
      <c r="DOD48" s="1221"/>
      <c r="DOE48" s="1221"/>
      <c r="DOF48" s="1221"/>
      <c r="DOG48" s="1221"/>
      <c r="DOH48" s="1221"/>
      <c r="DOI48" s="1221"/>
      <c r="DOJ48" s="1221"/>
      <c r="DOK48" s="1221"/>
      <c r="DOL48" s="1221"/>
      <c r="DOM48" s="1221"/>
      <c r="DON48" s="1221"/>
      <c r="DOO48" s="1221"/>
      <c r="DOP48" s="1221"/>
      <c r="DOQ48" s="1221"/>
      <c r="DOR48" s="1221"/>
      <c r="DOS48" s="1221"/>
      <c r="DOT48" s="1221"/>
      <c r="DOU48" s="1221"/>
      <c r="DOV48" s="1221"/>
      <c r="DOW48" s="1221"/>
      <c r="DOX48" s="1221"/>
      <c r="DOY48" s="1221"/>
      <c r="DOZ48" s="1221"/>
      <c r="DPA48" s="1221"/>
      <c r="DPB48" s="1221"/>
      <c r="DPC48" s="1221"/>
      <c r="DPD48" s="1221"/>
      <c r="DPE48" s="1221"/>
      <c r="DPF48" s="1221"/>
      <c r="DPG48" s="1221"/>
      <c r="DPH48" s="1221"/>
      <c r="DPI48" s="1221"/>
      <c r="DPJ48" s="1221"/>
      <c r="DPK48" s="1221"/>
      <c r="DPL48" s="1221"/>
      <c r="DPM48" s="1221"/>
      <c r="DPN48" s="1221"/>
      <c r="DPO48" s="1221"/>
      <c r="DPP48" s="1221"/>
      <c r="DPQ48" s="1221"/>
      <c r="DPR48" s="1221"/>
      <c r="DPS48" s="1221"/>
      <c r="DPT48" s="1221"/>
      <c r="DPU48" s="1221"/>
      <c r="DPV48" s="1221"/>
      <c r="DPW48" s="1221"/>
      <c r="DPX48" s="1221"/>
      <c r="DPY48" s="1221"/>
      <c r="DPZ48" s="1221"/>
      <c r="DQA48" s="1221"/>
      <c r="DQB48" s="1221"/>
      <c r="DQC48" s="1221"/>
      <c r="DQD48" s="1221"/>
      <c r="DQE48" s="1221"/>
      <c r="DQF48" s="1221"/>
      <c r="DQG48" s="1221"/>
      <c r="DQH48" s="1221"/>
      <c r="DQI48" s="1221"/>
      <c r="DQJ48" s="1221"/>
      <c r="DQK48" s="1221"/>
      <c r="DQL48" s="1221"/>
      <c r="DQM48" s="1221"/>
      <c r="DQN48" s="1221"/>
      <c r="DQO48" s="1221"/>
      <c r="DQP48" s="1221"/>
      <c r="DQQ48" s="1221"/>
      <c r="DQR48" s="1221"/>
      <c r="DQS48" s="1221"/>
      <c r="DQT48" s="1221"/>
      <c r="DQU48" s="1221"/>
      <c r="DQV48" s="1221"/>
      <c r="DQW48" s="1221"/>
      <c r="DQX48" s="1221"/>
      <c r="DQY48" s="1221"/>
      <c r="DQZ48" s="1221"/>
      <c r="DRA48" s="1221"/>
      <c r="DRB48" s="1221"/>
      <c r="DRC48" s="1221"/>
      <c r="DRD48" s="1221"/>
      <c r="DRE48" s="1221"/>
      <c r="DRF48" s="1221"/>
      <c r="DRG48" s="1221"/>
      <c r="DRH48" s="1221"/>
      <c r="DRI48" s="1221"/>
      <c r="DRJ48" s="1221"/>
      <c r="DRK48" s="1221"/>
      <c r="DRL48" s="1221"/>
      <c r="DRM48" s="1221"/>
      <c r="DRN48" s="1221"/>
      <c r="DRO48" s="1221"/>
      <c r="DRP48" s="1221"/>
      <c r="DRQ48" s="1221"/>
      <c r="DRR48" s="1221"/>
      <c r="DRS48" s="1221"/>
      <c r="DRT48" s="1221"/>
      <c r="DRU48" s="1221"/>
      <c r="DRV48" s="1221"/>
      <c r="DRW48" s="1221"/>
      <c r="DRX48" s="1221"/>
      <c r="DRY48" s="1221"/>
      <c r="DRZ48" s="1221"/>
      <c r="DSA48" s="1221"/>
      <c r="DSB48" s="1221"/>
      <c r="DSC48" s="1221"/>
      <c r="DSD48" s="1221"/>
      <c r="DSE48" s="1221"/>
      <c r="DSF48" s="1221"/>
      <c r="DSG48" s="1221"/>
      <c r="DSH48" s="1221"/>
      <c r="DSI48" s="1221"/>
      <c r="DSJ48" s="1221"/>
      <c r="DSK48" s="1221"/>
      <c r="DSL48" s="1221"/>
      <c r="DSM48" s="1221"/>
      <c r="DSN48" s="1221"/>
      <c r="DSO48" s="1221"/>
      <c r="DSP48" s="1221"/>
      <c r="DSQ48" s="1221"/>
      <c r="DSR48" s="1221"/>
      <c r="DSS48" s="1221"/>
      <c r="DST48" s="1221"/>
      <c r="DSU48" s="1221"/>
      <c r="DSV48" s="1221"/>
      <c r="DSW48" s="1221"/>
      <c r="DSX48" s="1221"/>
      <c r="DSY48" s="1221"/>
      <c r="DSZ48" s="1221"/>
      <c r="DTA48" s="1221"/>
      <c r="DTB48" s="1221"/>
      <c r="DTC48" s="1221"/>
      <c r="DTD48" s="1221"/>
      <c r="DTE48" s="1221"/>
      <c r="DTF48" s="1221"/>
      <c r="DTG48" s="1221"/>
      <c r="DTH48" s="1221"/>
      <c r="DTI48" s="1221"/>
      <c r="DTJ48" s="1221"/>
      <c r="DTK48" s="1221"/>
      <c r="DTL48" s="1221"/>
      <c r="DTM48" s="1221"/>
      <c r="DTN48" s="1221"/>
      <c r="DTO48" s="1221"/>
      <c r="DTP48" s="1221"/>
      <c r="DTQ48" s="1221"/>
      <c r="DTR48" s="1221"/>
      <c r="DTS48" s="1221"/>
      <c r="DTT48" s="1221"/>
      <c r="DTU48" s="1221"/>
      <c r="DTV48" s="1221"/>
      <c r="DTW48" s="1221"/>
      <c r="DTX48" s="1221"/>
      <c r="DTY48" s="1221"/>
      <c r="DTZ48" s="1221"/>
      <c r="DUA48" s="1221"/>
      <c r="DUB48" s="1221"/>
      <c r="DUC48" s="1221"/>
      <c r="DUD48" s="1221"/>
      <c r="DUE48" s="1221"/>
      <c r="DUF48" s="1221"/>
      <c r="DUG48" s="1221"/>
      <c r="DUH48" s="1221"/>
      <c r="DUI48" s="1221"/>
      <c r="DUJ48" s="1221"/>
      <c r="DUK48" s="1221"/>
      <c r="DUL48" s="1221"/>
      <c r="DUM48" s="1221"/>
      <c r="DUN48" s="1221"/>
      <c r="DUO48" s="1221"/>
      <c r="DUP48" s="1221"/>
      <c r="DUQ48" s="1221"/>
      <c r="DUR48" s="1221"/>
      <c r="DUS48" s="1221"/>
      <c r="DUT48" s="1221"/>
      <c r="DUU48" s="1221"/>
      <c r="DUV48" s="1221"/>
      <c r="DUW48" s="1221"/>
      <c r="DUX48" s="1221"/>
      <c r="DUY48" s="1221"/>
      <c r="DUZ48" s="1221"/>
      <c r="DVA48" s="1221"/>
      <c r="DVB48" s="1221"/>
      <c r="DVC48" s="1221"/>
      <c r="DVD48" s="1221"/>
      <c r="DVE48" s="1221"/>
      <c r="DVF48" s="1221"/>
      <c r="DVG48" s="1221"/>
      <c r="DVH48" s="1221"/>
      <c r="DVI48" s="1221"/>
      <c r="DVJ48" s="1221"/>
      <c r="DVK48" s="1221"/>
      <c r="DVL48" s="1221"/>
      <c r="DVM48" s="1221"/>
      <c r="DVN48" s="1221"/>
      <c r="DVO48" s="1221"/>
      <c r="DVP48" s="1221"/>
      <c r="DVQ48" s="1221"/>
      <c r="DVR48" s="1221"/>
      <c r="DVS48" s="1221"/>
      <c r="DVT48" s="1221"/>
      <c r="DVU48" s="1221"/>
      <c r="DVV48" s="1221"/>
      <c r="DVW48" s="1221"/>
      <c r="DVX48" s="1221"/>
      <c r="DVY48" s="1221"/>
      <c r="DVZ48" s="1221"/>
      <c r="DWA48" s="1221"/>
      <c r="DWB48" s="1221"/>
      <c r="DWC48" s="1221"/>
      <c r="DWD48" s="1221"/>
      <c r="DWE48" s="1221"/>
      <c r="DWF48" s="1221"/>
      <c r="DWG48" s="1221"/>
      <c r="DWH48" s="1221"/>
      <c r="DWI48" s="1221"/>
      <c r="DWJ48" s="1221"/>
      <c r="DWK48" s="1221"/>
      <c r="DWL48" s="1221"/>
      <c r="DWM48" s="1221"/>
      <c r="DWN48" s="1221"/>
      <c r="DWO48" s="1221"/>
      <c r="DWP48" s="1221"/>
      <c r="DWQ48" s="1221"/>
      <c r="DWR48" s="1221"/>
      <c r="DWS48" s="1221"/>
      <c r="DWT48" s="1221"/>
      <c r="DWU48" s="1221"/>
      <c r="DWV48" s="1221"/>
      <c r="DWW48" s="1221"/>
      <c r="DWX48" s="1221"/>
      <c r="DWY48" s="1221"/>
      <c r="DWZ48" s="1221"/>
      <c r="DXA48" s="1221"/>
      <c r="DXB48" s="1221"/>
      <c r="DXC48" s="1221"/>
      <c r="DXD48" s="1221"/>
      <c r="DXE48" s="1221"/>
      <c r="DXF48" s="1221"/>
      <c r="DXG48" s="1221"/>
      <c r="DXH48" s="1221"/>
      <c r="DXI48" s="1221"/>
      <c r="DXJ48" s="1221"/>
      <c r="DXK48" s="1221"/>
      <c r="DXL48" s="1221"/>
      <c r="DXM48" s="1221"/>
      <c r="DXN48" s="1221"/>
      <c r="DXO48" s="1221"/>
      <c r="DXP48" s="1221"/>
      <c r="DXQ48" s="1221"/>
      <c r="DXR48" s="1221"/>
      <c r="DXS48" s="1221"/>
      <c r="DXT48" s="1221"/>
      <c r="DXU48" s="1221"/>
      <c r="DXV48" s="1221"/>
      <c r="DXW48" s="1221"/>
      <c r="DXX48" s="1221"/>
      <c r="DXY48" s="1221"/>
      <c r="DXZ48" s="1221"/>
      <c r="DYA48" s="1221"/>
      <c r="DYB48" s="1221"/>
      <c r="DYC48" s="1221"/>
      <c r="DYD48" s="1221"/>
      <c r="DYE48" s="1221"/>
      <c r="DYF48" s="1221"/>
      <c r="DYG48" s="1221"/>
      <c r="DYH48" s="1221"/>
      <c r="DYI48" s="1221"/>
      <c r="DYJ48" s="1221"/>
      <c r="DYK48" s="1221"/>
      <c r="DYL48" s="1221"/>
      <c r="DYM48" s="1221"/>
      <c r="DYN48" s="1221"/>
      <c r="DYO48" s="1221"/>
      <c r="DYP48" s="1221"/>
      <c r="DYQ48" s="1221"/>
      <c r="DYR48" s="1221"/>
      <c r="DYS48" s="1221"/>
      <c r="DYT48" s="1221"/>
      <c r="DYU48" s="1221"/>
      <c r="DYV48" s="1221"/>
      <c r="DYW48" s="1221"/>
      <c r="DYX48" s="1221"/>
      <c r="DYY48" s="1221"/>
      <c r="DYZ48" s="1221"/>
      <c r="DZA48" s="1221"/>
      <c r="DZB48" s="1221"/>
      <c r="DZC48" s="1221"/>
      <c r="DZD48" s="1221"/>
      <c r="DZE48" s="1221"/>
      <c r="DZF48" s="1221"/>
      <c r="DZG48" s="1221"/>
      <c r="DZH48" s="1221"/>
      <c r="DZI48" s="1221"/>
      <c r="DZJ48" s="1221"/>
      <c r="DZK48" s="1221"/>
      <c r="DZL48" s="1221"/>
      <c r="DZM48" s="1221"/>
      <c r="DZN48" s="1221"/>
      <c r="DZO48" s="1221"/>
      <c r="DZP48" s="1221"/>
      <c r="DZQ48" s="1221"/>
      <c r="DZR48" s="1221"/>
      <c r="DZS48" s="1221"/>
      <c r="DZT48" s="1221"/>
      <c r="DZU48" s="1221"/>
      <c r="DZV48" s="1221"/>
      <c r="DZW48" s="1221"/>
      <c r="DZX48" s="1221"/>
      <c r="DZY48" s="1221"/>
      <c r="DZZ48" s="1221"/>
      <c r="EAA48" s="1221"/>
      <c r="EAB48" s="1221"/>
      <c r="EAC48" s="1221"/>
      <c r="EAD48" s="1221"/>
      <c r="EAE48" s="1221"/>
      <c r="EAF48" s="1221"/>
      <c r="EAG48" s="1221"/>
      <c r="EAH48" s="1221"/>
      <c r="EAI48" s="1221"/>
      <c r="EAJ48" s="1221"/>
      <c r="EAK48" s="1221"/>
      <c r="EAL48" s="1221"/>
      <c r="EAM48" s="1221"/>
      <c r="EAN48" s="1221"/>
      <c r="EAO48" s="1221"/>
      <c r="EAP48" s="1221"/>
      <c r="EAQ48" s="1221"/>
      <c r="EAR48" s="1221"/>
      <c r="EAS48" s="1221"/>
      <c r="EAT48" s="1221"/>
      <c r="EAU48" s="1221"/>
      <c r="EAV48" s="1221"/>
      <c r="EAW48" s="1221"/>
      <c r="EAX48" s="1221"/>
      <c r="EAY48" s="1221"/>
      <c r="EAZ48" s="1221"/>
      <c r="EBA48" s="1221"/>
      <c r="EBB48" s="1221"/>
      <c r="EBC48" s="1221"/>
      <c r="EBD48" s="1221"/>
      <c r="EBE48" s="1221"/>
      <c r="EBF48" s="1221"/>
      <c r="EBG48" s="1221"/>
      <c r="EBH48" s="1221"/>
      <c r="EBI48" s="1221"/>
      <c r="EBJ48" s="1221"/>
      <c r="EBK48" s="1221"/>
      <c r="EBL48" s="1221"/>
      <c r="EBM48" s="1221"/>
      <c r="EBN48" s="1221"/>
      <c r="EBO48" s="1221"/>
      <c r="EBP48" s="1221"/>
      <c r="EBQ48" s="1221"/>
      <c r="EBR48" s="1221"/>
      <c r="EBS48" s="1221"/>
      <c r="EBT48" s="1221"/>
      <c r="EBU48" s="1221"/>
      <c r="EBV48" s="1221"/>
      <c r="EBW48" s="1221"/>
      <c r="EBX48" s="1221"/>
      <c r="EBY48" s="1221"/>
      <c r="EBZ48" s="1221"/>
      <c r="ECA48" s="1221"/>
      <c r="ECB48" s="1221"/>
      <c r="ECC48" s="1221"/>
      <c r="ECD48" s="1221"/>
      <c r="ECE48" s="1221"/>
      <c r="ECF48" s="1221"/>
      <c r="ECG48" s="1221"/>
      <c r="ECH48" s="1221"/>
      <c r="ECI48" s="1221"/>
      <c r="ECJ48" s="1221"/>
      <c r="ECK48" s="1221"/>
      <c r="ECL48" s="1221"/>
      <c r="ECM48" s="1221"/>
      <c r="ECN48" s="1221"/>
      <c r="ECO48" s="1221"/>
    </row>
    <row r="49" spans="2:3473" s="1273" customFormat="1" ht="13">
      <c r="B49" s="1266"/>
      <c r="C49" s="1267"/>
      <c r="D49" s="1268" t="s">
        <v>1012</v>
      </c>
      <c r="E49" s="1269">
        <f t="shared" si="90"/>
        <v>926.89686165830256</v>
      </c>
      <c r="F49" s="1269">
        <f t="shared" si="90"/>
        <v>846.94635088614302</v>
      </c>
      <c r="G49" s="1269">
        <f t="shared" si="90"/>
        <v>79.950510772159561</v>
      </c>
      <c r="H49" s="1269">
        <f t="shared" ca="1" si="79"/>
        <v>8909.4310154701652</v>
      </c>
      <c r="I49" s="1269">
        <f t="shared" ca="1" si="79"/>
        <v>8218.8008917813149</v>
      </c>
      <c r="J49" s="1269">
        <f t="shared" ca="1" si="79"/>
        <v>690.63012368884847</v>
      </c>
      <c r="K49" s="1269">
        <f t="shared" si="79"/>
        <v>892.71860446826906</v>
      </c>
      <c r="L49" s="1269">
        <f t="shared" si="79"/>
        <v>815.30223751540791</v>
      </c>
      <c r="M49" s="1269">
        <f t="shared" si="79"/>
        <v>77.416366952861154</v>
      </c>
      <c r="N49" s="1269" t="str">
        <f t="shared" si="79"/>
        <v/>
      </c>
      <c r="O49" s="1269" t="str">
        <f t="shared" si="79"/>
        <v/>
      </c>
      <c r="P49" s="1269" t="str">
        <f t="shared" si="79"/>
        <v/>
      </c>
      <c r="Q49" s="1269">
        <f t="shared" ca="1" si="79"/>
        <v>10679.10714910816</v>
      </c>
      <c r="R49" s="1269">
        <f t="shared" ca="1" si="79"/>
        <v>9845.972238406539</v>
      </c>
      <c r="S49" s="1269">
        <f t="shared" ca="1" si="8"/>
        <v>833.13491070162047</v>
      </c>
      <c r="T49" s="1269">
        <f t="shared" ca="1" si="5"/>
        <v>15094.714439359155</v>
      </c>
      <c r="U49" s="1269">
        <f t="shared" ca="1" si="5"/>
        <v>13932.376037220933</v>
      </c>
      <c r="V49" s="1269">
        <f t="shared" ca="1" si="9"/>
        <v>1162.3384021382237</v>
      </c>
      <c r="W49" s="1269" t="str">
        <f t="shared" si="10"/>
        <v/>
      </c>
      <c r="X49" s="1269" t="str">
        <f t="shared" si="10"/>
        <v/>
      </c>
      <c r="Y49" s="1269" t="str">
        <f t="shared" si="10"/>
        <v/>
      </c>
      <c r="Z49" s="1269">
        <f t="shared" ca="1" si="78"/>
        <v>7742.8977859611259</v>
      </c>
      <c r="AA49" s="1269">
        <f ca="1">IF(BK$6=0,"",BK49*10000/BK$6)</f>
        <v>7138.4483937408077</v>
      </c>
      <c r="AB49" s="1269">
        <f ca="1">IF(BL$6=0,"",BL49*10000/BL$6)</f>
        <v>604.4493922203194</v>
      </c>
      <c r="AC49" s="1269">
        <f ca="1">IF(BJ$6=0,"",BJ49*10000/(BJ$6-AF$6-AL$6))</f>
        <v>10286.890104753491</v>
      </c>
      <c r="AD49" s="1270">
        <f ca="1">IF(BK$6=0,"",BK49*10000/(BK$6-AG$6-AM$6))</f>
        <v>9483.8439270124745</v>
      </c>
      <c r="AE49" s="1270">
        <f ca="1">IF(BL$6=0,"",BL49*10000/(BL$6-AH$6-AN$6))</f>
        <v>803.04617774101689</v>
      </c>
      <c r="AF49" s="1271">
        <f>AF8+AF11+AF16+AF21+AF26+AF31+AF35+AF44</f>
        <v>2277</v>
      </c>
      <c r="AG49" s="1270">
        <f t="shared" ref="AG49:BL49" si="97">AG8+AG11+AG16+AG21+AG26+AG31+AG35+AG44</f>
        <v>2080.5948544452849</v>
      </c>
      <c r="AH49" s="1270">
        <f t="shared" si="97"/>
        <v>196.40514555471484</v>
      </c>
      <c r="AI49" s="1270">
        <f t="shared" ca="1" si="97"/>
        <v>38465.53291903581</v>
      </c>
      <c r="AJ49" s="1270">
        <f t="shared" ca="1" si="97"/>
        <v>35483.809876172192</v>
      </c>
      <c r="AK49" s="1270">
        <f t="shared" ca="1" si="97"/>
        <v>2981.7230428636158</v>
      </c>
      <c r="AL49" s="1270">
        <f t="shared" si="97"/>
        <v>839.99999999999989</v>
      </c>
      <c r="AM49" s="1270">
        <f t="shared" si="97"/>
        <v>767.15537918117298</v>
      </c>
      <c r="AN49" s="1270">
        <f t="shared" si="97"/>
        <v>72.844620818826883</v>
      </c>
      <c r="AO49" s="1270">
        <f t="shared" ca="1" si="97"/>
        <v>0</v>
      </c>
      <c r="AP49" s="1270">
        <f t="shared" ca="1" si="97"/>
        <v>0</v>
      </c>
      <c r="AQ49" s="1270">
        <f t="shared" ca="1" si="97"/>
        <v>0</v>
      </c>
      <c r="AR49" s="1270">
        <f t="shared" ca="1" si="97"/>
        <v>63192.954450204285</v>
      </c>
      <c r="AS49" s="1270">
        <f t="shared" ca="1" si="97"/>
        <v>58262.93027049191</v>
      </c>
      <c r="AT49" s="1270">
        <f t="shared" ca="1" si="97"/>
        <v>4930.0241797123754</v>
      </c>
      <c r="AU49" s="1270">
        <f t="shared" ca="1" si="97"/>
        <v>1598.4245961270592</v>
      </c>
      <c r="AV49" s="1270">
        <f t="shared" ca="1" si="97"/>
        <v>1475.3410957094363</v>
      </c>
      <c r="AW49" s="1270">
        <f t="shared" ca="1" si="97"/>
        <v>123.08350041762293</v>
      </c>
      <c r="AX49" s="1270"/>
      <c r="AY49" s="1270"/>
      <c r="AZ49" s="1270"/>
      <c r="BA49" s="1270">
        <f t="shared" ca="1" si="97"/>
        <v>106373.91196536715</v>
      </c>
      <c r="BB49" s="1270">
        <f t="shared" ca="1" si="97"/>
        <v>98069.831475999992</v>
      </c>
      <c r="BC49" s="1270">
        <f t="shared" ca="1" si="97"/>
        <v>8304.0804893671557</v>
      </c>
      <c r="BD49" s="1270">
        <f t="shared" si="97"/>
        <v>0</v>
      </c>
      <c r="BE49" s="1270">
        <f t="shared" si="97"/>
        <v>0</v>
      </c>
      <c r="BF49" s="1270">
        <f t="shared" si="97"/>
        <v>0</v>
      </c>
      <c r="BG49" s="1270">
        <f t="shared" si="97"/>
        <v>0</v>
      </c>
      <c r="BH49" s="1270">
        <f t="shared" si="97"/>
        <v>0</v>
      </c>
      <c r="BI49" s="1270">
        <f t="shared" si="97"/>
        <v>0</v>
      </c>
      <c r="BJ49" s="1270">
        <f t="shared" ca="1" si="97"/>
        <v>106373.91196536715</v>
      </c>
      <c r="BK49" s="1270">
        <f t="shared" ca="1" si="97"/>
        <v>98069.831476000007</v>
      </c>
      <c r="BL49" s="1270">
        <f t="shared" ca="1" si="97"/>
        <v>8304.0804893671557</v>
      </c>
      <c r="BM49" s="1272"/>
      <c r="BN49" s="1225">
        <f t="shared" ca="1" si="12"/>
        <v>0</v>
      </c>
      <c r="BO49" s="1225">
        <f t="shared" ca="1" si="13"/>
        <v>0</v>
      </c>
      <c r="BP49" s="1225">
        <f t="shared" si="14"/>
        <v>0</v>
      </c>
      <c r="BQ49" s="1247"/>
      <c r="BR49" s="1247"/>
      <c r="BS49" s="1247"/>
      <c r="BT49" s="1247"/>
      <c r="BU49" s="1247"/>
      <c r="BV49" s="1247"/>
      <c r="BW49" s="1247"/>
      <c r="BX49" s="1247"/>
      <c r="BY49" s="1247"/>
      <c r="BZ49" s="1247"/>
      <c r="CA49" s="1247"/>
      <c r="CB49" s="1247"/>
      <c r="CC49" s="1247"/>
      <c r="CD49" s="1247"/>
      <c r="CE49" s="1247"/>
      <c r="CF49" s="1247"/>
      <c r="CG49" s="1247"/>
      <c r="CH49" s="1247"/>
      <c r="CI49" s="1247"/>
      <c r="CJ49" s="1247"/>
      <c r="CK49" s="1247"/>
      <c r="CL49" s="1247"/>
      <c r="CM49" s="1247"/>
      <c r="CN49" s="1247"/>
      <c r="CO49" s="1247"/>
      <c r="CP49" s="1247"/>
      <c r="CQ49" s="1247"/>
      <c r="CR49" s="1247"/>
      <c r="CS49" s="1247"/>
      <c r="CT49" s="1247"/>
      <c r="CU49" s="1247"/>
      <c r="CV49" s="1247"/>
      <c r="CW49" s="1247"/>
      <c r="CX49" s="1247"/>
      <c r="CY49" s="1247"/>
      <c r="CZ49" s="1247"/>
      <c r="DA49" s="1247"/>
      <c r="DB49" s="1247"/>
      <c r="DC49" s="1247"/>
      <c r="DD49" s="1247"/>
      <c r="DE49" s="1247"/>
      <c r="DF49" s="1247"/>
      <c r="DG49" s="1247"/>
      <c r="DH49" s="1247"/>
      <c r="DI49" s="1247"/>
      <c r="DJ49" s="1247"/>
      <c r="DK49" s="1247"/>
      <c r="DL49" s="1247"/>
      <c r="DM49" s="1247"/>
      <c r="DN49" s="1247"/>
      <c r="DO49" s="1247"/>
      <c r="DP49" s="1247"/>
      <c r="DQ49" s="1247"/>
      <c r="DR49" s="1247"/>
      <c r="DS49" s="1247"/>
      <c r="DT49" s="1247"/>
      <c r="DU49" s="1247"/>
      <c r="DV49" s="1247"/>
      <c r="DW49" s="1247"/>
      <c r="DX49" s="1247"/>
      <c r="DY49" s="1247"/>
      <c r="DZ49" s="1247"/>
      <c r="EA49" s="1247"/>
      <c r="EB49" s="1247"/>
      <c r="EC49" s="1247"/>
      <c r="ED49" s="1247"/>
      <c r="EE49" s="1247"/>
      <c r="EF49" s="1247"/>
      <c r="EG49" s="1247"/>
      <c r="EH49" s="1247"/>
      <c r="EI49" s="1247"/>
      <c r="EJ49" s="1247"/>
      <c r="EK49" s="1247"/>
      <c r="EL49" s="1247"/>
      <c r="EM49" s="1247"/>
      <c r="EN49" s="1247"/>
      <c r="EO49" s="1247"/>
      <c r="EP49" s="1247"/>
      <c r="EQ49" s="1247"/>
      <c r="ER49" s="1247"/>
      <c r="ES49" s="1247"/>
      <c r="ET49" s="1247"/>
      <c r="EU49" s="1247"/>
      <c r="EV49" s="1247"/>
      <c r="EW49" s="1247"/>
      <c r="EX49" s="1247"/>
      <c r="EY49" s="1247"/>
      <c r="EZ49" s="1247"/>
      <c r="FA49" s="1247"/>
      <c r="FB49" s="1247"/>
      <c r="FC49" s="1247"/>
      <c r="FD49" s="1247"/>
      <c r="FE49" s="1247"/>
      <c r="FF49" s="1247"/>
      <c r="FG49" s="1247"/>
      <c r="FH49" s="1247"/>
      <c r="FI49" s="1247"/>
      <c r="FJ49" s="1247"/>
      <c r="FK49" s="1247"/>
      <c r="FL49" s="1247"/>
      <c r="FM49" s="1247"/>
      <c r="FN49" s="1247"/>
      <c r="FO49" s="1247"/>
      <c r="FP49" s="1247"/>
      <c r="FQ49" s="1247"/>
      <c r="FR49" s="1247"/>
      <c r="FS49" s="1247"/>
      <c r="FT49" s="1247"/>
      <c r="FU49" s="1247"/>
      <c r="FV49" s="1247"/>
      <c r="FW49" s="1247"/>
      <c r="FX49" s="1247"/>
      <c r="FY49" s="1247"/>
      <c r="FZ49" s="1247"/>
      <c r="GA49" s="1247"/>
      <c r="GB49" s="1247"/>
      <c r="GC49" s="1247"/>
      <c r="GD49" s="1247"/>
      <c r="GE49" s="1247"/>
      <c r="GF49" s="1247"/>
      <c r="GG49" s="1247"/>
      <c r="GH49" s="1247"/>
      <c r="GI49" s="1247"/>
      <c r="GJ49" s="1247"/>
      <c r="GK49" s="1247"/>
      <c r="GL49" s="1247"/>
      <c r="GM49" s="1247"/>
      <c r="GN49" s="1247"/>
      <c r="GO49" s="1247"/>
      <c r="GP49" s="1247"/>
      <c r="GQ49" s="1247"/>
      <c r="GR49" s="1247"/>
      <c r="GS49" s="1247"/>
      <c r="GT49" s="1247"/>
      <c r="GU49" s="1247"/>
      <c r="GV49" s="1247"/>
      <c r="GW49" s="1247"/>
      <c r="GX49" s="1247"/>
      <c r="GY49" s="1247"/>
      <c r="GZ49" s="1247"/>
      <c r="HA49" s="1247"/>
      <c r="HB49" s="1247"/>
      <c r="HC49" s="1247"/>
      <c r="HD49" s="1247"/>
      <c r="HE49" s="1247"/>
      <c r="HF49" s="1247"/>
      <c r="HG49" s="1247"/>
      <c r="HH49" s="1247"/>
      <c r="HI49" s="1247"/>
      <c r="HJ49" s="1247"/>
      <c r="HK49" s="1247"/>
      <c r="HL49" s="1247"/>
      <c r="HM49" s="1247"/>
      <c r="HN49" s="1247"/>
      <c r="HO49" s="1247"/>
      <c r="HP49" s="1247"/>
      <c r="HQ49" s="1247"/>
      <c r="HR49" s="1247"/>
      <c r="HS49" s="1247"/>
      <c r="HT49" s="1247"/>
      <c r="HU49" s="1247"/>
      <c r="HV49" s="1247"/>
      <c r="HW49" s="1247"/>
      <c r="HX49" s="1247"/>
      <c r="HY49" s="1247"/>
      <c r="HZ49" s="1247"/>
      <c r="IA49" s="1247"/>
      <c r="IB49" s="1247"/>
      <c r="IC49" s="1247"/>
      <c r="ID49" s="1247"/>
      <c r="IE49" s="1247"/>
      <c r="IF49" s="1247"/>
      <c r="IG49" s="1247"/>
      <c r="IH49" s="1247"/>
      <c r="II49" s="1247"/>
      <c r="IJ49" s="1247"/>
      <c r="IK49" s="1247"/>
      <c r="IL49" s="1247"/>
      <c r="IM49" s="1247"/>
      <c r="IN49" s="1247"/>
      <c r="IO49" s="1247"/>
      <c r="IP49" s="1247"/>
      <c r="IQ49" s="1247"/>
      <c r="IR49" s="1247"/>
      <c r="IS49" s="1247"/>
      <c r="IT49" s="1247"/>
      <c r="IU49" s="1247"/>
      <c r="IV49" s="1247"/>
      <c r="IW49" s="1247"/>
      <c r="IX49" s="1247"/>
      <c r="IY49" s="1247"/>
      <c r="IZ49" s="1247"/>
      <c r="JA49" s="1247"/>
      <c r="JB49" s="1247"/>
      <c r="JC49" s="1247"/>
      <c r="JD49" s="1247"/>
      <c r="JE49" s="1247"/>
      <c r="JF49" s="1247"/>
      <c r="JG49" s="1247"/>
      <c r="JH49" s="1247"/>
      <c r="JI49" s="1247"/>
      <c r="JJ49" s="1247"/>
      <c r="JK49" s="1247"/>
      <c r="JL49" s="1247"/>
      <c r="JM49" s="1247"/>
      <c r="JN49" s="1247"/>
      <c r="JO49" s="1247"/>
      <c r="JP49" s="1247"/>
      <c r="JQ49" s="1247"/>
      <c r="JR49" s="1247"/>
      <c r="JS49" s="1247"/>
      <c r="JT49" s="1247"/>
      <c r="JU49" s="1247"/>
      <c r="JV49" s="1247"/>
      <c r="JW49" s="1247"/>
      <c r="JX49" s="1247"/>
      <c r="JY49" s="1247"/>
      <c r="JZ49" s="1247"/>
      <c r="KA49" s="1247"/>
      <c r="KB49" s="1247"/>
      <c r="KC49" s="1247"/>
      <c r="KD49" s="1247"/>
      <c r="KE49" s="1247"/>
      <c r="KF49" s="1247"/>
      <c r="KG49" s="1247"/>
      <c r="KH49" s="1247"/>
      <c r="KI49" s="1247"/>
      <c r="KJ49" s="1247"/>
      <c r="KK49" s="1247"/>
      <c r="KL49" s="1247"/>
      <c r="KM49" s="1247"/>
      <c r="KN49" s="1247"/>
      <c r="KO49" s="1247"/>
      <c r="KP49" s="1247"/>
      <c r="KQ49" s="1247"/>
      <c r="KR49" s="1247"/>
      <c r="KS49" s="1247"/>
      <c r="KT49" s="1247"/>
      <c r="KU49" s="1247"/>
      <c r="KV49" s="1247"/>
      <c r="KW49" s="1247"/>
      <c r="KX49" s="1247"/>
      <c r="KY49" s="1247"/>
      <c r="KZ49" s="1247"/>
      <c r="LA49" s="1247"/>
      <c r="LB49" s="1247"/>
      <c r="LC49" s="1247"/>
      <c r="LD49" s="1247"/>
      <c r="LE49" s="1247"/>
      <c r="LF49" s="1247"/>
      <c r="LG49" s="1247"/>
      <c r="LH49" s="1247"/>
      <c r="LI49" s="1247"/>
      <c r="LJ49" s="1247"/>
      <c r="LK49" s="1247"/>
      <c r="LL49" s="1247"/>
      <c r="LM49" s="1247"/>
      <c r="LN49" s="1247"/>
      <c r="LO49" s="1247"/>
      <c r="LP49" s="1247"/>
      <c r="LQ49" s="1247"/>
      <c r="LR49" s="1247"/>
      <c r="LS49" s="1247"/>
      <c r="LT49" s="1247"/>
      <c r="LU49" s="1247"/>
      <c r="LV49" s="1247"/>
      <c r="LW49" s="1247"/>
      <c r="LX49" s="1247"/>
      <c r="LY49" s="1247"/>
      <c r="LZ49" s="1247"/>
      <c r="MA49" s="1247"/>
      <c r="MB49" s="1247"/>
      <c r="MC49" s="1247"/>
      <c r="MD49" s="1247"/>
      <c r="ME49" s="1247"/>
      <c r="MF49" s="1247"/>
      <c r="MG49" s="1247"/>
      <c r="MH49" s="1247"/>
      <c r="MI49" s="1247"/>
      <c r="MJ49" s="1247"/>
      <c r="MK49" s="1247"/>
      <c r="ML49" s="1247"/>
      <c r="MM49" s="1247"/>
      <c r="MN49" s="1247"/>
      <c r="MO49" s="1247"/>
      <c r="MP49" s="1247"/>
      <c r="MQ49" s="1247"/>
      <c r="MR49" s="1247"/>
      <c r="MS49" s="1247"/>
      <c r="MT49" s="1247"/>
      <c r="MU49" s="1247"/>
      <c r="MV49" s="1247"/>
      <c r="MW49" s="1247"/>
      <c r="MX49" s="1247"/>
      <c r="MY49" s="1247"/>
      <c r="MZ49" s="1247"/>
      <c r="NA49" s="1247"/>
      <c r="NB49" s="1247"/>
      <c r="NC49" s="1247"/>
      <c r="ND49" s="1247"/>
      <c r="NE49" s="1247"/>
      <c r="NF49" s="1247"/>
      <c r="NG49" s="1247"/>
      <c r="NH49" s="1247"/>
      <c r="NI49" s="1247"/>
      <c r="NJ49" s="1247"/>
      <c r="NK49" s="1247"/>
      <c r="NL49" s="1247"/>
      <c r="NM49" s="1247"/>
      <c r="NN49" s="1247"/>
      <c r="NO49" s="1247"/>
      <c r="NP49" s="1247"/>
      <c r="NQ49" s="1247"/>
      <c r="NR49" s="1247"/>
      <c r="NS49" s="1247"/>
      <c r="NT49" s="1247"/>
      <c r="NU49" s="1247"/>
      <c r="NV49" s="1247"/>
      <c r="NW49" s="1247"/>
      <c r="NX49" s="1247"/>
      <c r="NY49" s="1247"/>
      <c r="NZ49" s="1247"/>
      <c r="OA49" s="1247"/>
      <c r="OB49" s="1247"/>
      <c r="OC49" s="1247"/>
      <c r="OD49" s="1247"/>
      <c r="OE49" s="1247"/>
      <c r="OF49" s="1247"/>
      <c r="OG49" s="1247"/>
      <c r="OH49" s="1247"/>
      <c r="OI49" s="1247"/>
      <c r="OJ49" s="1247"/>
      <c r="OK49" s="1247"/>
      <c r="OL49" s="1247"/>
      <c r="OM49" s="1247"/>
      <c r="ON49" s="1247"/>
      <c r="OO49" s="1247"/>
      <c r="OP49" s="1247"/>
      <c r="OQ49" s="1247"/>
      <c r="OR49" s="1247"/>
      <c r="OS49" s="1247"/>
      <c r="OT49" s="1247"/>
      <c r="OU49" s="1247"/>
      <c r="OV49" s="1247"/>
      <c r="OW49" s="1247"/>
      <c r="OX49" s="1247"/>
      <c r="OY49" s="1247"/>
      <c r="OZ49" s="1247"/>
      <c r="PA49" s="1247"/>
      <c r="PB49" s="1247"/>
      <c r="PC49" s="1247"/>
      <c r="PD49" s="1247"/>
      <c r="PE49" s="1247"/>
      <c r="PF49" s="1247"/>
      <c r="PG49" s="1247"/>
      <c r="PH49" s="1247"/>
      <c r="PI49" s="1247"/>
      <c r="PJ49" s="1247"/>
      <c r="PK49" s="1247"/>
      <c r="PL49" s="1247"/>
      <c r="PM49" s="1247"/>
      <c r="PN49" s="1247"/>
      <c r="PO49" s="1247"/>
      <c r="PP49" s="1247"/>
      <c r="PQ49" s="1247"/>
      <c r="PR49" s="1247"/>
      <c r="PS49" s="1247"/>
      <c r="PT49" s="1247"/>
      <c r="PU49" s="1247"/>
      <c r="PV49" s="1247"/>
      <c r="PW49" s="1247"/>
      <c r="PX49" s="1247"/>
      <c r="PY49" s="1247"/>
      <c r="PZ49" s="1247"/>
      <c r="QA49" s="1247"/>
      <c r="QB49" s="1247"/>
      <c r="QC49" s="1247"/>
      <c r="QD49" s="1247"/>
      <c r="QE49" s="1247"/>
      <c r="QF49" s="1247"/>
      <c r="QG49" s="1247"/>
      <c r="QH49" s="1247"/>
      <c r="QI49" s="1247"/>
      <c r="QJ49" s="1247"/>
      <c r="QK49" s="1247"/>
      <c r="QL49" s="1247"/>
      <c r="QM49" s="1247"/>
      <c r="QN49" s="1247"/>
      <c r="QO49" s="1247"/>
      <c r="QP49" s="1247"/>
      <c r="QQ49" s="1247"/>
      <c r="QR49" s="1247"/>
      <c r="QS49" s="1247"/>
      <c r="QT49" s="1247"/>
      <c r="QU49" s="1247"/>
      <c r="QV49" s="1247"/>
      <c r="QW49" s="1247"/>
      <c r="QX49" s="1247"/>
      <c r="QY49" s="1247"/>
      <c r="QZ49" s="1247"/>
      <c r="RA49" s="1247"/>
      <c r="RB49" s="1247"/>
      <c r="RC49" s="1247"/>
      <c r="RD49" s="1247"/>
      <c r="RE49" s="1247"/>
      <c r="RF49" s="1247"/>
      <c r="RG49" s="1247"/>
      <c r="RH49" s="1247"/>
      <c r="RI49" s="1247"/>
      <c r="RJ49" s="1247"/>
      <c r="RK49" s="1247"/>
      <c r="RL49" s="1247"/>
      <c r="RM49" s="1247"/>
      <c r="RN49" s="1247"/>
      <c r="RO49" s="1247"/>
      <c r="RP49" s="1247"/>
      <c r="RQ49" s="1247"/>
      <c r="RR49" s="1247"/>
      <c r="RS49" s="1247"/>
      <c r="RT49" s="1247"/>
      <c r="RU49" s="1247"/>
      <c r="RV49" s="1247"/>
      <c r="RW49" s="1247"/>
      <c r="RX49" s="1247"/>
      <c r="RY49" s="1247"/>
      <c r="RZ49" s="1247"/>
      <c r="SA49" s="1247"/>
      <c r="SB49" s="1247"/>
      <c r="SC49" s="1247"/>
      <c r="SD49" s="1247"/>
      <c r="SE49" s="1247"/>
      <c r="SF49" s="1247"/>
      <c r="SG49" s="1247"/>
      <c r="SH49" s="1247"/>
      <c r="SI49" s="1247"/>
      <c r="SJ49" s="1247"/>
      <c r="SK49" s="1247"/>
      <c r="SL49" s="1247"/>
      <c r="SM49" s="1247"/>
      <c r="SN49" s="1247"/>
      <c r="SO49" s="1247"/>
      <c r="SP49" s="1247"/>
      <c r="SQ49" s="1247"/>
      <c r="SR49" s="1247"/>
      <c r="SS49" s="1247"/>
      <c r="ST49" s="1247"/>
      <c r="SU49" s="1247"/>
      <c r="SV49" s="1247"/>
      <c r="SW49" s="1247"/>
      <c r="SX49" s="1247"/>
      <c r="SY49" s="1247"/>
      <c r="SZ49" s="1247"/>
      <c r="TA49" s="1247"/>
      <c r="TB49" s="1247"/>
      <c r="TC49" s="1247"/>
      <c r="TD49" s="1247"/>
      <c r="TE49" s="1247"/>
      <c r="TF49" s="1247"/>
      <c r="TG49" s="1247"/>
      <c r="TH49" s="1247"/>
      <c r="TI49" s="1247"/>
      <c r="TJ49" s="1247"/>
      <c r="TK49" s="1247"/>
      <c r="TL49" s="1247"/>
      <c r="TM49" s="1247"/>
      <c r="TN49" s="1247"/>
      <c r="TO49" s="1247"/>
      <c r="TP49" s="1247"/>
      <c r="TQ49" s="1247"/>
      <c r="TR49" s="1247"/>
      <c r="TS49" s="1247"/>
      <c r="TT49" s="1247"/>
      <c r="TU49" s="1247"/>
      <c r="TV49" s="1247"/>
      <c r="TW49" s="1247"/>
      <c r="TX49" s="1247"/>
      <c r="TY49" s="1247"/>
      <c r="TZ49" s="1247"/>
      <c r="UA49" s="1247"/>
      <c r="UB49" s="1247"/>
      <c r="UC49" s="1247"/>
      <c r="UD49" s="1247"/>
      <c r="UE49" s="1247"/>
      <c r="UF49" s="1247"/>
      <c r="UG49" s="1247"/>
      <c r="UH49" s="1247"/>
      <c r="UI49" s="1247"/>
      <c r="UJ49" s="1247"/>
      <c r="UK49" s="1247"/>
      <c r="UL49" s="1247"/>
      <c r="UM49" s="1247"/>
      <c r="UN49" s="1247"/>
      <c r="UO49" s="1247"/>
      <c r="UP49" s="1247"/>
      <c r="UQ49" s="1247"/>
      <c r="UR49" s="1247"/>
      <c r="US49" s="1247"/>
      <c r="UT49" s="1247"/>
      <c r="UU49" s="1247"/>
      <c r="UV49" s="1247"/>
      <c r="UW49" s="1247"/>
      <c r="UX49" s="1247"/>
      <c r="UY49" s="1247"/>
      <c r="UZ49" s="1247"/>
      <c r="VA49" s="1247"/>
      <c r="VB49" s="1247"/>
      <c r="VC49" s="1247"/>
      <c r="VD49" s="1247"/>
      <c r="VE49" s="1247"/>
      <c r="VF49" s="1247"/>
      <c r="VG49" s="1247"/>
      <c r="VH49" s="1247"/>
      <c r="VI49" s="1247"/>
      <c r="VJ49" s="1247"/>
      <c r="VK49" s="1247"/>
      <c r="VL49" s="1247"/>
      <c r="VM49" s="1247"/>
      <c r="VN49" s="1247"/>
      <c r="VO49" s="1247"/>
      <c r="VP49" s="1247"/>
      <c r="VQ49" s="1247"/>
      <c r="VR49" s="1247"/>
      <c r="VS49" s="1247"/>
      <c r="VT49" s="1247"/>
      <c r="VU49" s="1247"/>
      <c r="VV49" s="1247"/>
      <c r="VW49" s="1247"/>
      <c r="VX49" s="1247"/>
      <c r="VY49" s="1247"/>
      <c r="VZ49" s="1247"/>
      <c r="WA49" s="1247"/>
      <c r="WB49" s="1247"/>
      <c r="WC49" s="1247"/>
      <c r="WD49" s="1247"/>
      <c r="WE49" s="1247"/>
      <c r="WF49" s="1247"/>
      <c r="WG49" s="1247"/>
      <c r="WH49" s="1247"/>
      <c r="WI49" s="1247"/>
      <c r="WJ49" s="1247"/>
      <c r="WK49" s="1247"/>
      <c r="WL49" s="1247"/>
      <c r="WM49" s="1247"/>
      <c r="WN49" s="1247"/>
      <c r="WO49" s="1247"/>
      <c r="WP49" s="1247"/>
      <c r="WQ49" s="1247"/>
      <c r="WR49" s="1247"/>
      <c r="WS49" s="1247"/>
      <c r="WT49" s="1247"/>
      <c r="WU49" s="1247"/>
      <c r="WV49" s="1247"/>
      <c r="WW49" s="1247"/>
      <c r="WX49" s="1247"/>
      <c r="WY49" s="1247"/>
      <c r="WZ49" s="1247"/>
      <c r="XA49" s="1247"/>
      <c r="XB49" s="1247"/>
      <c r="XC49" s="1247"/>
      <c r="XD49" s="1247"/>
      <c r="XE49" s="1247"/>
      <c r="XF49" s="1247"/>
      <c r="XG49" s="1247"/>
      <c r="XH49" s="1247"/>
      <c r="XI49" s="1247"/>
      <c r="XJ49" s="1247"/>
      <c r="XK49" s="1247"/>
      <c r="XL49" s="1247"/>
      <c r="XM49" s="1247"/>
      <c r="XN49" s="1247"/>
      <c r="XO49" s="1247"/>
      <c r="XP49" s="1247"/>
      <c r="XQ49" s="1247"/>
      <c r="XR49" s="1247"/>
      <c r="XS49" s="1247"/>
      <c r="XT49" s="1247"/>
      <c r="XU49" s="1247"/>
      <c r="XV49" s="1247"/>
      <c r="XW49" s="1247"/>
      <c r="XX49" s="1247"/>
      <c r="XY49" s="1247"/>
      <c r="XZ49" s="1247"/>
      <c r="YA49" s="1247"/>
      <c r="YB49" s="1247"/>
      <c r="YC49" s="1247"/>
      <c r="YD49" s="1247"/>
      <c r="YE49" s="1247"/>
      <c r="YF49" s="1247"/>
      <c r="YG49" s="1247"/>
      <c r="YH49" s="1247"/>
      <c r="YI49" s="1247"/>
      <c r="YJ49" s="1247"/>
      <c r="YK49" s="1247"/>
      <c r="YL49" s="1247"/>
      <c r="YM49" s="1247"/>
      <c r="YN49" s="1247"/>
      <c r="YO49" s="1247"/>
      <c r="YP49" s="1247"/>
      <c r="YQ49" s="1247"/>
      <c r="YR49" s="1247"/>
      <c r="YS49" s="1247"/>
      <c r="YT49" s="1247"/>
      <c r="YU49" s="1247"/>
      <c r="YV49" s="1247"/>
      <c r="YW49" s="1247"/>
      <c r="YX49" s="1247"/>
      <c r="YY49" s="1247"/>
      <c r="YZ49" s="1247"/>
      <c r="ZA49" s="1247"/>
      <c r="ZB49" s="1247"/>
      <c r="ZC49" s="1247"/>
      <c r="ZD49" s="1247"/>
      <c r="ZE49" s="1247"/>
      <c r="ZF49" s="1247"/>
      <c r="ZG49" s="1247"/>
      <c r="ZH49" s="1247"/>
      <c r="ZI49" s="1247"/>
      <c r="ZJ49" s="1247"/>
      <c r="ZK49" s="1247"/>
      <c r="ZL49" s="1247"/>
      <c r="ZM49" s="1247"/>
      <c r="ZN49" s="1247"/>
      <c r="ZO49" s="1247"/>
      <c r="ZP49" s="1247"/>
      <c r="ZQ49" s="1247"/>
      <c r="ZR49" s="1247"/>
      <c r="ZS49" s="1247"/>
      <c r="ZT49" s="1247"/>
      <c r="ZU49" s="1247"/>
      <c r="ZV49" s="1247"/>
      <c r="ZW49" s="1247"/>
      <c r="ZX49" s="1247"/>
      <c r="ZY49" s="1247"/>
      <c r="ZZ49" s="1247"/>
      <c r="AAA49" s="1247"/>
      <c r="AAB49" s="1247"/>
      <c r="AAC49" s="1247"/>
      <c r="AAD49" s="1247"/>
      <c r="AAE49" s="1247"/>
      <c r="AAF49" s="1247"/>
      <c r="AAG49" s="1247"/>
      <c r="AAH49" s="1247"/>
      <c r="AAI49" s="1247"/>
      <c r="AAJ49" s="1247"/>
      <c r="AAK49" s="1247"/>
      <c r="AAL49" s="1247"/>
      <c r="AAM49" s="1247"/>
      <c r="AAN49" s="1247"/>
      <c r="AAO49" s="1247"/>
      <c r="AAP49" s="1247"/>
      <c r="AAQ49" s="1247"/>
      <c r="AAR49" s="1247"/>
      <c r="AAS49" s="1247"/>
      <c r="AAT49" s="1247"/>
      <c r="AAU49" s="1247"/>
      <c r="AAV49" s="1247"/>
      <c r="AAW49" s="1247"/>
      <c r="AAX49" s="1247"/>
      <c r="AAY49" s="1247"/>
      <c r="AAZ49" s="1247"/>
      <c r="ABA49" s="1247"/>
      <c r="ABB49" s="1247"/>
      <c r="ABC49" s="1247"/>
      <c r="ABD49" s="1247"/>
      <c r="ABE49" s="1247"/>
      <c r="ABF49" s="1247"/>
      <c r="ABG49" s="1247"/>
      <c r="ABH49" s="1247"/>
      <c r="ABI49" s="1247"/>
      <c r="ABJ49" s="1247"/>
      <c r="ABK49" s="1247"/>
      <c r="ABL49" s="1247"/>
      <c r="ABM49" s="1247"/>
      <c r="ABN49" s="1247"/>
      <c r="ABO49" s="1247"/>
      <c r="ABP49" s="1247"/>
      <c r="ABQ49" s="1247"/>
      <c r="ABR49" s="1247"/>
      <c r="ABS49" s="1247"/>
      <c r="ABT49" s="1247"/>
      <c r="ABU49" s="1247"/>
      <c r="ABV49" s="1247"/>
      <c r="ABW49" s="1247"/>
      <c r="ABX49" s="1247"/>
      <c r="ABY49" s="1247"/>
      <c r="ABZ49" s="1247"/>
      <c r="ACA49" s="1247"/>
      <c r="ACB49" s="1247"/>
      <c r="ACC49" s="1247"/>
      <c r="ACD49" s="1247"/>
      <c r="ACE49" s="1247"/>
      <c r="ACF49" s="1247"/>
      <c r="ACG49" s="1247"/>
      <c r="ACH49" s="1247"/>
      <c r="ACI49" s="1247"/>
      <c r="ACJ49" s="1247"/>
      <c r="ACK49" s="1247"/>
      <c r="ACL49" s="1247"/>
      <c r="ACM49" s="1247"/>
      <c r="ACN49" s="1247"/>
      <c r="ACO49" s="1247"/>
      <c r="ACP49" s="1247"/>
      <c r="ACQ49" s="1247"/>
      <c r="ACR49" s="1247"/>
      <c r="ACS49" s="1247"/>
      <c r="ACT49" s="1247"/>
      <c r="ACU49" s="1247"/>
      <c r="ACV49" s="1247"/>
      <c r="ACW49" s="1247"/>
      <c r="ACX49" s="1247"/>
      <c r="ACY49" s="1247"/>
      <c r="ACZ49" s="1247"/>
      <c r="ADA49" s="1247"/>
      <c r="ADB49" s="1247"/>
      <c r="ADC49" s="1247"/>
      <c r="ADD49" s="1247"/>
      <c r="ADE49" s="1247"/>
      <c r="ADF49" s="1247"/>
      <c r="ADG49" s="1247"/>
      <c r="ADH49" s="1247"/>
      <c r="ADI49" s="1247"/>
      <c r="ADJ49" s="1247"/>
      <c r="ADK49" s="1247"/>
      <c r="ADL49" s="1247"/>
      <c r="ADM49" s="1247"/>
      <c r="ADN49" s="1247"/>
      <c r="ADO49" s="1247"/>
      <c r="ADP49" s="1247"/>
      <c r="ADQ49" s="1247"/>
      <c r="ADR49" s="1247"/>
      <c r="ADS49" s="1247"/>
      <c r="ADT49" s="1247"/>
      <c r="ADU49" s="1247"/>
      <c r="ADV49" s="1247"/>
      <c r="ADW49" s="1247"/>
      <c r="ADX49" s="1247"/>
      <c r="ADY49" s="1247"/>
      <c r="ADZ49" s="1247"/>
      <c r="AEA49" s="1247"/>
      <c r="AEB49" s="1247"/>
      <c r="AEC49" s="1247"/>
      <c r="AED49" s="1247"/>
      <c r="AEE49" s="1247"/>
      <c r="AEF49" s="1247"/>
      <c r="AEG49" s="1247"/>
      <c r="AEH49" s="1247"/>
      <c r="AEI49" s="1247"/>
      <c r="AEJ49" s="1247"/>
      <c r="AEK49" s="1247"/>
      <c r="AEL49" s="1247"/>
      <c r="AEM49" s="1247"/>
      <c r="AEN49" s="1247"/>
      <c r="AEO49" s="1247"/>
      <c r="AEP49" s="1247"/>
      <c r="AEQ49" s="1247"/>
      <c r="AER49" s="1247"/>
      <c r="AES49" s="1247"/>
      <c r="AET49" s="1247"/>
      <c r="AEU49" s="1247"/>
      <c r="AEV49" s="1247"/>
      <c r="AEW49" s="1247"/>
      <c r="AEX49" s="1247"/>
      <c r="AEY49" s="1247"/>
      <c r="AEZ49" s="1247"/>
      <c r="AFA49" s="1247"/>
      <c r="AFB49" s="1247"/>
      <c r="AFC49" s="1247"/>
      <c r="AFD49" s="1247"/>
      <c r="AFE49" s="1247"/>
      <c r="AFF49" s="1247"/>
      <c r="AFG49" s="1247"/>
      <c r="AFH49" s="1247"/>
      <c r="AFI49" s="1247"/>
      <c r="AFJ49" s="1247"/>
      <c r="AFK49" s="1247"/>
      <c r="AFL49" s="1247"/>
      <c r="AFM49" s="1247"/>
      <c r="AFN49" s="1247"/>
      <c r="AFO49" s="1247"/>
      <c r="AFP49" s="1247"/>
      <c r="AFQ49" s="1247"/>
      <c r="AFR49" s="1247"/>
      <c r="AFS49" s="1247"/>
      <c r="AFT49" s="1247"/>
      <c r="AFU49" s="1247"/>
      <c r="AFV49" s="1247"/>
      <c r="AFW49" s="1247"/>
      <c r="AFX49" s="1247"/>
      <c r="AFY49" s="1247"/>
      <c r="AFZ49" s="1247"/>
      <c r="AGA49" s="1247"/>
      <c r="AGB49" s="1247"/>
      <c r="AGC49" s="1247"/>
      <c r="AGD49" s="1247"/>
      <c r="AGE49" s="1247"/>
      <c r="AGF49" s="1247"/>
      <c r="AGG49" s="1247"/>
      <c r="AGH49" s="1247"/>
      <c r="AGI49" s="1247"/>
      <c r="AGJ49" s="1247"/>
      <c r="AGK49" s="1247"/>
      <c r="AGL49" s="1247"/>
      <c r="AGM49" s="1247"/>
      <c r="AGN49" s="1247"/>
      <c r="AGO49" s="1247"/>
      <c r="AGP49" s="1247"/>
      <c r="AGQ49" s="1247"/>
      <c r="AGR49" s="1247"/>
      <c r="AGS49" s="1247"/>
      <c r="AGT49" s="1247"/>
      <c r="AGU49" s="1247"/>
      <c r="AGV49" s="1247"/>
      <c r="AGW49" s="1247"/>
      <c r="AGX49" s="1247"/>
      <c r="AGY49" s="1247"/>
      <c r="AGZ49" s="1247"/>
      <c r="AHA49" s="1247"/>
      <c r="AHB49" s="1247"/>
      <c r="AHC49" s="1247"/>
      <c r="AHD49" s="1247"/>
      <c r="AHE49" s="1247"/>
      <c r="AHF49" s="1247"/>
      <c r="AHG49" s="1247"/>
      <c r="AHH49" s="1247"/>
      <c r="AHI49" s="1247"/>
      <c r="AHJ49" s="1247"/>
      <c r="AHK49" s="1247"/>
      <c r="AHL49" s="1247"/>
      <c r="AHM49" s="1247"/>
      <c r="AHN49" s="1247"/>
      <c r="AHO49" s="1247"/>
      <c r="AHP49" s="1247"/>
      <c r="AHQ49" s="1247"/>
      <c r="AHR49" s="1247"/>
      <c r="AHS49" s="1247"/>
      <c r="AHT49" s="1247"/>
      <c r="AHU49" s="1247"/>
      <c r="AHV49" s="1247"/>
      <c r="AHW49" s="1247"/>
      <c r="AHX49" s="1247"/>
      <c r="AHY49" s="1247"/>
      <c r="AHZ49" s="1247"/>
      <c r="AIA49" s="1247"/>
      <c r="AIB49" s="1247"/>
      <c r="AIC49" s="1247"/>
      <c r="AID49" s="1247"/>
      <c r="AIE49" s="1247"/>
      <c r="AIF49" s="1247"/>
      <c r="AIG49" s="1247"/>
      <c r="AIH49" s="1247"/>
      <c r="AII49" s="1247"/>
      <c r="AIJ49" s="1247"/>
      <c r="AIK49" s="1247"/>
      <c r="AIL49" s="1247"/>
      <c r="AIM49" s="1247"/>
      <c r="AIN49" s="1247"/>
      <c r="AIO49" s="1247"/>
      <c r="AIP49" s="1247"/>
      <c r="AIQ49" s="1247"/>
      <c r="AIR49" s="1247"/>
      <c r="AIS49" s="1247"/>
      <c r="AIT49" s="1247"/>
      <c r="AIU49" s="1247"/>
      <c r="AIV49" s="1247"/>
      <c r="AIW49" s="1247"/>
      <c r="AIX49" s="1247"/>
      <c r="AIY49" s="1247"/>
      <c r="AIZ49" s="1247"/>
      <c r="AJA49" s="1247"/>
      <c r="AJB49" s="1247"/>
      <c r="AJC49" s="1247"/>
      <c r="AJD49" s="1247"/>
      <c r="AJE49" s="1247"/>
      <c r="AJF49" s="1247"/>
      <c r="AJG49" s="1247"/>
      <c r="AJH49" s="1247"/>
      <c r="AJI49" s="1247"/>
      <c r="AJJ49" s="1247"/>
      <c r="AJK49" s="1247"/>
      <c r="AJL49" s="1247"/>
      <c r="AJM49" s="1247"/>
      <c r="AJN49" s="1247"/>
      <c r="AJO49" s="1247"/>
      <c r="AJP49" s="1247"/>
      <c r="AJQ49" s="1247"/>
      <c r="AJR49" s="1247"/>
      <c r="AJS49" s="1247"/>
      <c r="AJT49" s="1247"/>
      <c r="AJU49" s="1247"/>
      <c r="AJV49" s="1247"/>
      <c r="AJW49" s="1247"/>
      <c r="AJX49" s="1247"/>
      <c r="AJY49" s="1247"/>
      <c r="AJZ49" s="1247"/>
      <c r="AKA49" s="1247"/>
      <c r="AKB49" s="1247"/>
      <c r="AKC49" s="1247"/>
      <c r="AKD49" s="1247"/>
      <c r="AKE49" s="1247"/>
      <c r="AKF49" s="1247"/>
      <c r="AKG49" s="1247"/>
      <c r="AKH49" s="1247"/>
      <c r="AKI49" s="1247"/>
      <c r="AKJ49" s="1247"/>
      <c r="AKK49" s="1247"/>
      <c r="AKL49" s="1247"/>
      <c r="AKM49" s="1247"/>
      <c r="AKN49" s="1247"/>
      <c r="AKO49" s="1247"/>
      <c r="AKP49" s="1247"/>
      <c r="AKQ49" s="1247"/>
      <c r="AKR49" s="1247"/>
      <c r="AKS49" s="1247"/>
      <c r="AKT49" s="1247"/>
      <c r="AKU49" s="1247"/>
      <c r="AKV49" s="1247"/>
      <c r="AKW49" s="1247"/>
      <c r="AKX49" s="1247"/>
      <c r="AKY49" s="1247"/>
      <c r="AKZ49" s="1247"/>
      <c r="ALA49" s="1247"/>
      <c r="ALB49" s="1247"/>
      <c r="ALC49" s="1247"/>
      <c r="ALD49" s="1247"/>
      <c r="ALE49" s="1247"/>
      <c r="ALF49" s="1247"/>
      <c r="ALG49" s="1247"/>
      <c r="ALH49" s="1247"/>
      <c r="ALI49" s="1247"/>
      <c r="ALJ49" s="1247"/>
      <c r="ALK49" s="1247"/>
      <c r="ALL49" s="1247"/>
      <c r="ALM49" s="1247"/>
      <c r="ALN49" s="1247"/>
      <c r="ALO49" s="1247"/>
      <c r="ALP49" s="1247"/>
      <c r="ALQ49" s="1247"/>
      <c r="ALR49" s="1247"/>
      <c r="ALS49" s="1247"/>
      <c r="ALT49" s="1247"/>
      <c r="ALU49" s="1247"/>
      <c r="ALV49" s="1247"/>
      <c r="ALW49" s="1247"/>
      <c r="ALX49" s="1247"/>
      <c r="ALY49" s="1247"/>
      <c r="ALZ49" s="1247"/>
      <c r="AMA49" s="1247"/>
      <c r="AMB49" s="1247"/>
      <c r="AMC49" s="1247"/>
      <c r="AMD49" s="1247"/>
      <c r="AME49" s="1247"/>
      <c r="AMF49" s="1247"/>
      <c r="AMG49" s="1247"/>
      <c r="AMH49" s="1247"/>
      <c r="AMI49" s="1247"/>
      <c r="AMJ49" s="1247"/>
      <c r="AMK49" s="1247"/>
      <c r="AML49" s="1247"/>
      <c r="AMM49" s="1247"/>
      <c r="AMN49" s="1247"/>
      <c r="AMO49" s="1247"/>
      <c r="AMP49" s="1247"/>
      <c r="AMQ49" s="1247"/>
      <c r="AMR49" s="1247"/>
      <c r="AMS49" s="1247"/>
      <c r="AMT49" s="1247"/>
      <c r="AMU49" s="1247"/>
      <c r="AMV49" s="1247"/>
      <c r="AMW49" s="1247"/>
      <c r="AMX49" s="1247"/>
      <c r="AMY49" s="1247"/>
      <c r="AMZ49" s="1247"/>
      <c r="ANA49" s="1247"/>
      <c r="ANB49" s="1247"/>
      <c r="ANC49" s="1247"/>
      <c r="AND49" s="1247"/>
      <c r="ANE49" s="1247"/>
      <c r="ANF49" s="1247"/>
      <c r="ANG49" s="1247"/>
      <c r="ANH49" s="1247"/>
      <c r="ANI49" s="1247"/>
      <c r="ANJ49" s="1247"/>
      <c r="ANK49" s="1247"/>
      <c r="ANL49" s="1247"/>
      <c r="ANM49" s="1247"/>
      <c r="ANN49" s="1247"/>
      <c r="ANO49" s="1247"/>
      <c r="ANP49" s="1247"/>
      <c r="ANQ49" s="1247"/>
      <c r="ANR49" s="1247"/>
      <c r="ANS49" s="1247"/>
      <c r="ANT49" s="1247"/>
      <c r="ANU49" s="1247"/>
      <c r="ANV49" s="1247"/>
      <c r="ANW49" s="1247"/>
      <c r="ANX49" s="1247"/>
      <c r="ANY49" s="1247"/>
      <c r="ANZ49" s="1247"/>
      <c r="AOA49" s="1247"/>
      <c r="AOB49" s="1247"/>
      <c r="AOC49" s="1247"/>
      <c r="AOD49" s="1247"/>
      <c r="AOE49" s="1247"/>
      <c r="AOF49" s="1247"/>
      <c r="AOG49" s="1247"/>
      <c r="AOH49" s="1247"/>
      <c r="AOI49" s="1247"/>
      <c r="AOJ49" s="1247"/>
      <c r="AOK49" s="1247"/>
      <c r="AOL49" s="1247"/>
      <c r="AOM49" s="1247"/>
      <c r="AON49" s="1247"/>
      <c r="AOO49" s="1247"/>
      <c r="AOP49" s="1247"/>
      <c r="AOQ49" s="1247"/>
      <c r="AOR49" s="1247"/>
      <c r="AOS49" s="1247"/>
      <c r="AOT49" s="1247"/>
      <c r="AOU49" s="1247"/>
      <c r="AOV49" s="1247"/>
      <c r="AOW49" s="1247"/>
      <c r="AOX49" s="1247"/>
      <c r="AOY49" s="1247"/>
      <c r="AOZ49" s="1247"/>
      <c r="APA49" s="1247"/>
      <c r="APB49" s="1247"/>
      <c r="APC49" s="1247"/>
      <c r="APD49" s="1247"/>
      <c r="APE49" s="1247"/>
      <c r="APF49" s="1247"/>
      <c r="APG49" s="1247"/>
      <c r="APH49" s="1247"/>
      <c r="API49" s="1247"/>
      <c r="APJ49" s="1247"/>
      <c r="APK49" s="1247"/>
      <c r="APL49" s="1247"/>
      <c r="APM49" s="1247"/>
      <c r="APN49" s="1247"/>
      <c r="APO49" s="1247"/>
      <c r="APP49" s="1247"/>
      <c r="APQ49" s="1247"/>
      <c r="APR49" s="1247"/>
      <c r="APS49" s="1247"/>
      <c r="APT49" s="1247"/>
      <c r="APU49" s="1247"/>
      <c r="APV49" s="1247"/>
      <c r="APW49" s="1247"/>
      <c r="APX49" s="1247"/>
      <c r="APY49" s="1247"/>
      <c r="APZ49" s="1247"/>
      <c r="AQA49" s="1247"/>
      <c r="AQB49" s="1247"/>
      <c r="AQC49" s="1247"/>
      <c r="AQD49" s="1247"/>
      <c r="AQE49" s="1247"/>
      <c r="AQF49" s="1247"/>
      <c r="AQG49" s="1247"/>
      <c r="AQH49" s="1247"/>
      <c r="AQI49" s="1247"/>
      <c r="AQJ49" s="1247"/>
      <c r="AQK49" s="1247"/>
      <c r="AQL49" s="1247"/>
      <c r="AQM49" s="1247"/>
      <c r="AQN49" s="1247"/>
      <c r="AQO49" s="1247"/>
      <c r="AQP49" s="1247"/>
      <c r="AQQ49" s="1247"/>
      <c r="AQR49" s="1247"/>
      <c r="AQS49" s="1247"/>
      <c r="AQT49" s="1247"/>
      <c r="AQU49" s="1247"/>
      <c r="AQV49" s="1247"/>
      <c r="AQW49" s="1247"/>
      <c r="AQX49" s="1247"/>
      <c r="AQY49" s="1247"/>
      <c r="AQZ49" s="1247"/>
      <c r="ARA49" s="1247"/>
      <c r="ARB49" s="1247"/>
      <c r="ARC49" s="1247"/>
      <c r="ARD49" s="1247"/>
      <c r="ARE49" s="1247"/>
      <c r="ARF49" s="1247"/>
      <c r="ARG49" s="1247"/>
      <c r="ARH49" s="1247"/>
      <c r="ARI49" s="1247"/>
      <c r="ARJ49" s="1247"/>
      <c r="ARK49" s="1247"/>
      <c r="ARL49" s="1247"/>
      <c r="ARM49" s="1247"/>
      <c r="ARN49" s="1247"/>
      <c r="ARO49" s="1247"/>
      <c r="ARP49" s="1247"/>
      <c r="ARQ49" s="1247"/>
      <c r="ARR49" s="1247"/>
      <c r="ARS49" s="1247"/>
      <c r="ART49" s="1247"/>
      <c r="ARU49" s="1247"/>
      <c r="ARV49" s="1247"/>
      <c r="ARW49" s="1247"/>
      <c r="ARX49" s="1247"/>
      <c r="ARY49" s="1247"/>
      <c r="ARZ49" s="1247"/>
      <c r="ASA49" s="1247"/>
      <c r="ASB49" s="1247"/>
      <c r="ASC49" s="1247"/>
      <c r="ASD49" s="1247"/>
      <c r="ASE49" s="1247"/>
      <c r="ASF49" s="1247"/>
      <c r="ASG49" s="1247"/>
      <c r="ASH49" s="1247"/>
      <c r="ASI49" s="1247"/>
      <c r="ASJ49" s="1247"/>
      <c r="ASK49" s="1247"/>
      <c r="ASL49" s="1247"/>
      <c r="ASM49" s="1247"/>
      <c r="ASN49" s="1247"/>
      <c r="ASO49" s="1247"/>
      <c r="ASP49" s="1247"/>
      <c r="ASQ49" s="1247"/>
      <c r="ASR49" s="1247"/>
      <c r="ASS49" s="1247"/>
      <c r="AST49" s="1247"/>
      <c r="ASU49" s="1247"/>
      <c r="ASV49" s="1247"/>
      <c r="ASW49" s="1247"/>
      <c r="ASX49" s="1247"/>
      <c r="ASY49" s="1247"/>
      <c r="ASZ49" s="1247"/>
      <c r="ATA49" s="1247"/>
      <c r="ATB49" s="1247"/>
      <c r="ATC49" s="1247"/>
      <c r="ATD49" s="1247"/>
      <c r="ATE49" s="1247"/>
      <c r="ATF49" s="1247"/>
      <c r="ATG49" s="1247"/>
      <c r="ATH49" s="1247"/>
      <c r="ATI49" s="1247"/>
      <c r="ATJ49" s="1247"/>
      <c r="ATK49" s="1247"/>
      <c r="ATL49" s="1247"/>
      <c r="ATM49" s="1247"/>
      <c r="ATN49" s="1247"/>
      <c r="ATO49" s="1247"/>
      <c r="ATP49" s="1247"/>
      <c r="ATQ49" s="1247"/>
      <c r="ATR49" s="1247"/>
      <c r="ATS49" s="1247"/>
      <c r="ATT49" s="1247"/>
      <c r="ATU49" s="1247"/>
      <c r="ATV49" s="1247"/>
      <c r="ATW49" s="1247"/>
      <c r="ATX49" s="1247"/>
      <c r="ATY49" s="1247"/>
      <c r="ATZ49" s="1247"/>
      <c r="AUA49" s="1247"/>
      <c r="AUB49" s="1247"/>
      <c r="AUC49" s="1247"/>
      <c r="AUD49" s="1247"/>
      <c r="AUE49" s="1247"/>
      <c r="AUF49" s="1247"/>
      <c r="AUG49" s="1247"/>
      <c r="AUH49" s="1247"/>
      <c r="AUI49" s="1247"/>
      <c r="AUJ49" s="1247"/>
      <c r="AUK49" s="1247"/>
      <c r="AUL49" s="1247"/>
      <c r="AUM49" s="1247"/>
      <c r="AUN49" s="1247"/>
      <c r="AUO49" s="1247"/>
      <c r="AUP49" s="1247"/>
      <c r="AUQ49" s="1247"/>
      <c r="AUR49" s="1247"/>
      <c r="AUS49" s="1247"/>
      <c r="AUT49" s="1247"/>
      <c r="AUU49" s="1247"/>
      <c r="AUV49" s="1247"/>
      <c r="AUW49" s="1247"/>
      <c r="AUX49" s="1247"/>
      <c r="AUY49" s="1247"/>
      <c r="AUZ49" s="1247"/>
      <c r="AVA49" s="1247"/>
      <c r="AVB49" s="1247"/>
      <c r="AVC49" s="1247"/>
      <c r="AVD49" s="1247"/>
      <c r="AVE49" s="1247"/>
      <c r="AVF49" s="1247"/>
      <c r="AVG49" s="1247"/>
      <c r="AVH49" s="1247"/>
      <c r="AVI49" s="1247"/>
      <c r="AVJ49" s="1247"/>
      <c r="AVK49" s="1247"/>
      <c r="AVL49" s="1247"/>
      <c r="AVM49" s="1247"/>
      <c r="AVN49" s="1247"/>
      <c r="AVO49" s="1247"/>
      <c r="AVP49" s="1247"/>
      <c r="AVQ49" s="1247"/>
      <c r="AVR49" s="1247"/>
      <c r="AVS49" s="1247"/>
      <c r="AVT49" s="1247"/>
      <c r="AVU49" s="1247"/>
      <c r="AVV49" s="1247"/>
      <c r="AVW49" s="1247"/>
      <c r="AVX49" s="1247"/>
      <c r="AVY49" s="1247"/>
      <c r="AVZ49" s="1247"/>
      <c r="AWA49" s="1247"/>
      <c r="AWB49" s="1247"/>
      <c r="AWC49" s="1247"/>
      <c r="AWD49" s="1247"/>
      <c r="AWE49" s="1247"/>
      <c r="AWF49" s="1247"/>
      <c r="AWG49" s="1247"/>
      <c r="AWH49" s="1247"/>
      <c r="AWI49" s="1247"/>
      <c r="AWJ49" s="1247"/>
      <c r="AWK49" s="1247"/>
      <c r="AWL49" s="1247"/>
      <c r="AWM49" s="1247"/>
      <c r="AWN49" s="1247"/>
      <c r="AWO49" s="1247"/>
      <c r="AWP49" s="1247"/>
      <c r="AWQ49" s="1247"/>
      <c r="AWR49" s="1247"/>
      <c r="AWS49" s="1247"/>
      <c r="AWT49" s="1247"/>
      <c r="AWU49" s="1247"/>
      <c r="AWV49" s="1247"/>
      <c r="AWW49" s="1247"/>
      <c r="AWX49" s="1247"/>
      <c r="AWY49" s="1247"/>
      <c r="AWZ49" s="1247"/>
      <c r="AXA49" s="1247"/>
      <c r="AXB49" s="1247"/>
      <c r="AXC49" s="1247"/>
      <c r="AXD49" s="1247"/>
      <c r="AXE49" s="1247"/>
      <c r="AXF49" s="1247"/>
      <c r="AXG49" s="1247"/>
      <c r="AXH49" s="1247"/>
      <c r="AXI49" s="1247"/>
      <c r="AXJ49" s="1247"/>
      <c r="AXK49" s="1247"/>
      <c r="AXL49" s="1247"/>
      <c r="AXM49" s="1247"/>
      <c r="AXN49" s="1247"/>
      <c r="AXO49" s="1247"/>
      <c r="AXP49" s="1247"/>
      <c r="AXQ49" s="1247"/>
      <c r="AXR49" s="1247"/>
      <c r="AXS49" s="1247"/>
      <c r="AXT49" s="1247"/>
      <c r="AXU49" s="1247"/>
      <c r="AXV49" s="1247"/>
      <c r="AXW49" s="1247"/>
      <c r="AXX49" s="1247"/>
      <c r="AXY49" s="1247"/>
      <c r="AXZ49" s="1247"/>
      <c r="AYA49" s="1247"/>
      <c r="AYB49" s="1247"/>
      <c r="AYC49" s="1247"/>
      <c r="AYD49" s="1247"/>
      <c r="AYE49" s="1247"/>
      <c r="AYF49" s="1247"/>
      <c r="AYG49" s="1247"/>
      <c r="AYH49" s="1247"/>
      <c r="AYI49" s="1247"/>
      <c r="AYJ49" s="1247"/>
      <c r="AYK49" s="1247"/>
      <c r="AYL49" s="1247"/>
      <c r="AYM49" s="1247"/>
      <c r="AYN49" s="1247"/>
      <c r="AYO49" s="1247"/>
      <c r="AYP49" s="1247"/>
      <c r="AYQ49" s="1247"/>
      <c r="AYR49" s="1247"/>
      <c r="AYS49" s="1247"/>
      <c r="AYT49" s="1247"/>
      <c r="AYU49" s="1247"/>
      <c r="AYV49" s="1247"/>
      <c r="AYW49" s="1247"/>
      <c r="AYX49" s="1247"/>
      <c r="AYY49" s="1247"/>
      <c r="AYZ49" s="1247"/>
      <c r="AZA49" s="1247"/>
      <c r="AZB49" s="1247"/>
      <c r="AZC49" s="1247"/>
      <c r="AZD49" s="1247"/>
      <c r="AZE49" s="1247"/>
      <c r="AZF49" s="1247"/>
      <c r="AZG49" s="1247"/>
      <c r="AZH49" s="1247"/>
      <c r="AZI49" s="1247"/>
      <c r="AZJ49" s="1247"/>
      <c r="AZK49" s="1247"/>
      <c r="AZL49" s="1247"/>
      <c r="AZM49" s="1247"/>
      <c r="AZN49" s="1247"/>
      <c r="AZO49" s="1247"/>
      <c r="AZP49" s="1247"/>
      <c r="AZQ49" s="1247"/>
      <c r="AZR49" s="1247"/>
      <c r="AZS49" s="1247"/>
      <c r="AZT49" s="1247"/>
      <c r="AZU49" s="1247"/>
      <c r="AZV49" s="1247"/>
      <c r="AZW49" s="1247"/>
      <c r="AZX49" s="1247"/>
      <c r="AZY49" s="1247"/>
      <c r="AZZ49" s="1247"/>
      <c r="BAA49" s="1247"/>
      <c r="BAB49" s="1247"/>
      <c r="BAC49" s="1247"/>
      <c r="BAD49" s="1247"/>
      <c r="BAE49" s="1247"/>
      <c r="BAF49" s="1247"/>
      <c r="BAG49" s="1247"/>
      <c r="BAH49" s="1247"/>
      <c r="BAI49" s="1247"/>
      <c r="BAJ49" s="1247"/>
      <c r="BAK49" s="1247"/>
      <c r="BAL49" s="1247"/>
      <c r="BAM49" s="1247"/>
      <c r="BAN49" s="1247"/>
      <c r="BAO49" s="1247"/>
      <c r="BAP49" s="1247"/>
      <c r="BAQ49" s="1247"/>
      <c r="BAR49" s="1247"/>
      <c r="BAS49" s="1247"/>
      <c r="BAT49" s="1247"/>
      <c r="BAU49" s="1247"/>
      <c r="BAV49" s="1247"/>
      <c r="BAW49" s="1247"/>
      <c r="BAX49" s="1247"/>
      <c r="BAY49" s="1247"/>
      <c r="BAZ49" s="1247"/>
      <c r="BBA49" s="1247"/>
      <c r="BBB49" s="1247"/>
      <c r="BBC49" s="1247"/>
      <c r="BBD49" s="1247"/>
      <c r="BBE49" s="1247"/>
      <c r="BBF49" s="1247"/>
      <c r="BBG49" s="1247"/>
      <c r="BBH49" s="1247"/>
      <c r="BBI49" s="1247"/>
      <c r="BBJ49" s="1247"/>
      <c r="BBK49" s="1247"/>
      <c r="BBL49" s="1247"/>
      <c r="BBM49" s="1247"/>
      <c r="BBN49" s="1247"/>
      <c r="BBO49" s="1247"/>
      <c r="BBP49" s="1247"/>
      <c r="BBQ49" s="1247"/>
      <c r="BBR49" s="1247"/>
      <c r="BBS49" s="1247"/>
      <c r="BBT49" s="1247"/>
      <c r="BBU49" s="1247"/>
      <c r="BBV49" s="1247"/>
      <c r="BBW49" s="1247"/>
      <c r="BBX49" s="1247"/>
      <c r="BBY49" s="1247"/>
      <c r="BBZ49" s="1247"/>
      <c r="BCA49" s="1247"/>
      <c r="BCB49" s="1247"/>
      <c r="BCC49" s="1247"/>
      <c r="BCD49" s="1247"/>
      <c r="BCE49" s="1247"/>
      <c r="BCF49" s="1247"/>
      <c r="BCG49" s="1247"/>
      <c r="BCH49" s="1247"/>
      <c r="BCI49" s="1247"/>
      <c r="BCJ49" s="1247"/>
      <c r="BCK49" s="1247"/>
      <c r="BCL49" s="1247"/>
      <c r="BCM49" s="1247"/>
      <c r="BCN49" s="1247"/>
      <c r="BCO49" s="1247"/>
      <c r="BCP49" s="1247"/>
      <c r="BCQ49" s="1247"/>
      <c r="BCR49" s="1247"/>
      <c r="BCS49" s="1247"/>
      <c r="BCT49" s="1247"/>
      <c r="BCU49" s="1247"/>
      <c r="BCV49" s="1247"/>
      <c r="BCW49" s="1247"/>
      <c r="BCX49" s="1247"/>
      <c r="BCY49" s="1247"/>
      <c r="BCZ49" s="1247"/>
      <c r="BDA49" s="1247"/>
      <c r="BDB49" s="1247"/>
      <c r="BDC49" s="1247"/>
      <c r="BDD49" s="1247"/>
      <c r="BDE49" s="1247"/>
      <c r="BDF49" s="1247"/>
      <c r="BDG49" s="1247"/>
      <c r="BDH49" s="1247"/>
      <c r="BDI49" s="1247"/>
      <c r="BDJ49" s="1247"/>
      <c r="BDK49" s="1247"/>
      <c r="BDL49" s="1247"/>
      <c r="BDM49" s="1247"/>
      <c r="BDN49" s="1247"/>
      <c r="BDO49" s="1247"/>
      <c r="BDP49" s="1247"/>
      <c r="BDQ49" s="1247"/>
      <c r="BDR49" s="1247"/>
      <c r="BDS49" s="1247"/>
      <c r="BDT49" s="1247"/>
      <c r="BDU49" s="1247"/>
      <c r="BDV49" s="1247"/>
      <c r="BDW49" s="1247"/>
      <c r="BDX49" s="1247"/>
      <c r="BDY49" s="1247"/>
      <c r="BDZ49" s="1247"/>
      <c r="BEA49" s="1247"/>
      <c r="BEB49" s="1247"/>
      <c r="BEC49" s="1247"/>
      <c r="BED49" s="1247"/>
      <c r="BEE49" s="1247"/>
      <c r="BEF49" s="1247"/>
      <c r="BEG49" s="1247"/>
      <c r="BEH49" s="1247"/>
      <c r="BEI49" s="1247"/>
      <c r="BEJ49" s="1247"/>
      <c r="BEK49" s="1247"/>
      <c r="BEL49" s="1247"/>
      <c r="BEM49" s="1247"/>
      <c r="BEN49" s="1247"/>
      <c r="BEO49" s="1247"/>
      <c r="BEP49" s="1247"/>
      <c r="BEQ49" s="1247"/>
      <c r="BER49" s="1247"/>
      <c r="BES49" s="1247"/>
      <c r="BET49" s="1247"/>
      <c r="BEU49" s="1247"/>
      <c r="BEV49" s="1247"/>
      <c r="BEW49" s="1247"/>
      <c r="BEX49" s="1247"/>
      <c r="BEY49" s="1247"/>
      <c r="BEZ49" s="1247"/>
      <c r="BFA49" s="1247"/>
      <c r="BFB49" s="1247"/>
      <c r="BFC49" s="1247"/>
      <c r="BFD49" s="1247"/>
      <c r="BFE49" s="1247"/>
      <c r="BFF49" s="1247"/>
      <c r="BFG49" s="1247"/>
      <c r="BFH49" s="1247"/>
      <c r="BFI49" s="1247"/>
      <c r="BFJ49" s="1247"/>
      <c r="BFK49" s="1247"/>
      <c r="BFL49" s="1247"/>
      <c r="BFM49" s="1247"/>
      <c r="BFN49" s="1247"/>
      <c r="BFO49" s="1247"/>
      <c r="BFP49" s="1247"/>
      <c r="BFQ49" s="1247"/>
      <c r="BFR49" s="1247"/>
      <c r="BFS49" s="1247"/>
      <c r="BFT49" s="1247"/>
      <c r="BFU49" s="1247"/>
      <c r="BFV49" s="1247"/>
      <c r="BFW49" s="1247"/>
      <c r="BFX49" s="1247"/>
      <c r="BFY49" s="1247"/>
      <c r="BFZ49" s="1247"/>
      <c r="BGA49" s="1247"/>
      <c r="BGB49" s="1247"/>
      <c r="BGC49" s="1247"/>
      <c r="BGD49" s="1247"/>
      <c r="BGE49" s="1247"/>
      <c r="BGF49" s="1247"/>
      <c r="BGG49" s="1247"/>
      <c r="BGH49" s="1247"/>
      <c r="BGI49" s="1247"/>
      <c r="BGJ49" s="1247"/>
      <c r="BGK49" s="1247"/>
      <c r="BGL49" s="1247"/>
      <c r="BGM49" s="1247"/>
      <c r="BGN49" s="1247"/>
      <c r="BGO49" s="1247"/>
      <c r="BGP49" s="1247"/>
      <c r="BGQ49" s="1247"/>
      <c r="BGR49" s="1247"/>
      <c r="BGS49" s="1247"/>
      <c r="BGT49" s="1247"/>
      <c r="BGU49" s="1247"/>
      <c r="BGV49" s="1247"/>
      <c r="BGW49" s="1247"/>
      <c r="BGX49" s="1247"/>
      <c r="BGY49" s="1247"/>
      <c r="BGZ49" s="1247"/>
      <c r="BHA49" s="1247"/>
      <c r="BHB49" s="1247"/>
      <c r="BHC49" s="1247"/>
      <c r="BHD49" s="1247"/>
      <c r="BHE49" s="1247"/>
      <c r="BHF49" s="1247"/>
      <c r="BHG49" s="1247"/>
      <c r="BHH49" s="1247"/>
      <c r="BHI49" s="1247"/>
      <c r="BHJ49" s="1247"/>
      <c r="BHK49" s="1247"/>
      <c r="BHL49" s="1247"/>
      <c r="BHM49" s="1247"/>
      <c r="BHN49" s="1247"/>
      <c r="BHO49" s="1247"/>
      <c r="BHP49" s="1247"/>
      <c r="BHQ49" s="1247"/>
      <c r="BHR49" s="1247"/>
      <c r="BHS49" s="1247"/>
      <c r="BHT49" s="1247"/>
      <c r="BHU49" s="1247"/>
      <c r="BHV49" s="1247"/>
      <c r="BHW49" s="1247"/>
      <c r="BHX49" s="1247"/>
      <c r="BHY49" s="1247"/>
      <c r="BHZ49" s="1247"/>
      <c r="BIA49" s="1247"/>
      <c r="BIB49" s="1247"/>
      <c r="BIC49" s="1247"/>
      <c r="BID49" s="1247"/>
      <c r="BIE49" s="1247"/>
      <c r="BIF49" s="1247"/>
      <c r="BIG49" s="1247"/>
      <c r="BIH49" s="1247"/>
      <c r="BII49" s="1247"/>
      <c r="BIJ49" s="1247"/>
      <c r="BIK49" s="1247"/>
      <c r="BIL49" s="1247"/>
      <c r="BIM49" s="1247"/>
      <c r="BIN49" s="1247"/>
      <c r="BIO49" s="1247"/>
      <c r="BIP49" s="1247"/>
      <c r="BIQ49" s="1247"/>
      <c r="BIR49" s="1247"/>
      <c r="BIS49" s="1247"/>
      <c r="BIT49" s="1247"/>
      <c r="BIU49" s="1247"/>
      <c r="BIV49" s="1247"/>
      <c r="BIW49" s="1247"/>
      <c r="BIX49" s="1247"/>
      <c r="BIY49" s="1247"/>
      <c r="BIZ49" s="1247"/>
      <c r="BJA49" s="1247"/>
      <c r="BJB49" s="1247"/>
      <c r="BJC49" s="1247"/>
      <c r="BJD49" s="1247"/>
      <c r="BJE49" s="1247"/>
      <c r="BJF49" s="1247"/>
      <c r="BJG49" s="1247"/>
      <c r="BJH49" s="1247"/>
      <c r="BJI49" s="1247"/>
      <c r="BJJ49" s="1247"/>
      <c r="BJK49" s="1247"/>
      <c r="BJL49" s="1247"/>
      <c r="BJM49" s="1247"/>
      <c r="BJN49" s="1247"/>
      <c r="BJO49" s="1247"/>
      <c r="BJP49" s="1247"/>
      <c r="BJQ49" s="1247"/>
      <c r="BJR49" s="1247"/>
      <c r="BJS49" s="1247"/>
      <c r="BJT49" s="1247"/>
      <c r="BJU49" s="1247"/>
      <c r="BJV49" s="1247"/>
      <c r="BJW49" s="1247"/>
      <c r="BJX49" s="1247"/>
      <c r="BJY49" s="1247"/>
      <c r="BJZ49" s="1247"/>
      <c r="BKA49" s="1247"/>
      <c r="BKB49" s="1247"/>
      <c r="BKC49" s="1247"/>
      <c r="BKD49" s="1247"/>
      <c r="BKE49" s="1247"/>
      <c r="BKF49" s="1247"/>
      <c r="BKG49" s="1247"/>
      <c r="BKH49" s="1247"/>
      <c r="BKI49" s="1247"/>
      <c r="BKJ49" s="1247"/>
      <c r="BKK49" s="1247"/>
      <c r="BKL49" s="1247"/>
      <c r="BKM49" s="1247"/>
      <c r="BKN49" s="1247"/>
      <c r="BKO49" s="1247"/>
      <c r="BKP49" s="1247"/>
      <c r="BKQ49" s="1247"/>
      <c r="BKR49" s="1247"/>
      <c r="BKS49" s="1247"/>
      <c r="BKT49" s="1247"/>
      <c r="BKU49" s="1247"/>
      <c r="BKV49" s="1247"/>
      <c r="BKW49" s="1247"/>
      <c r="BKX49" s="1247"/>
      <c r="BKY49" s="1247"/>
      <c r="BKZ49" s="1247"/>
      <c r="BLA49" s="1247"/>
      <c r="BLB49" s="1247"/>
      <c r="BLC49" s="1247"/>
      <c r="BLD49" s="1247"/>
      <c r="BLE49" s="1247"/>
      <c r="BLF49" s="1247"/>
      <c r="BLG49" s="1247"/>
      <c r="BLH49" s="1247"/>
      <c r="BLI49" s="1247"/>
      <c r="BLJ49" s="1247"/>
      <c r="BLK49" s="1247"/>
      <c r="BLL49" s="1247"/>
      <c r="BLM49" s="1247"/>
      <c r="BLN49" s="1247"/>
      <c r="BLO49" s="1247"/>
      <c r="BLP49" s="1247"/>
      <c r="BLQ49" s="1247"/>
      <c r="BLR49" s="1247"/>
      <c r="BLS49" s="1247"/>
      <c r="BLT49" s="1247"/>
      <c r="BLU49" s="1247"/>
      <c r="BLV49" s="1247"/>
      <c r="BLW49" s="1247"/>
      <c r="BLX49" s="1247"/>
      <c r="BLY49" s="1247"/>
      <c r="BLZ49" s="1247"/>
      <c r="BMA49" s="1247"/>
      <c r="BMB49" s="1247"/>
      <c r="BMC49" s="1247"/>
      <c r="BMD49" s="1247"/>
      <c r="BME49" s="1247"/>
      <c r="BMF49" s="1247"/>
      <c r="BMG49" s="1247"/>
      <c r="BMH49" s="1247"/>
      <c r="BMI49" s="1247"/>
      <c r="BMJ49" s="1247"/>
      <c r="BMK49" s="1247"/>
      <c r="BML49" s="1247"/>
      <c r="BMM49" s="1247"/>
      <c r="BMN49" s="1247"/>
      <c r="BMO49" s="1247"/>
      <c r="BMP49" s="1247"/>
      <c r="BMQ49" s="1247"/>
      <c r="BMR49" s="1247"/>
      <c r="BMS49" s="1247"/>
      <c r="BMT49" s="1247"/>
      <c r="BMU49" s="1247"/>
      <c r="BMV49" s="1247"/>
      <c r="BMW49" s="1247"/>
      <c r="BMX49" s="1247"/>
      <c r="BMY49" s="1247"/>
      <c r="BMZ49" s="1247"/>
      <c r="BNA49" s="1247"/>
      <c r="BNB49" s="1247"/>
      <c r="BNC49" s="1247"/>
      <c r="BND49" s="1247"/>
      <c r="BNE49" s="1247"/>
      <c r="BNF49" s="1247"/>
      <c r="BNG49" s="1247"/>
      <c r="BNH49" s="1247"/>
      <c r="BNI49" s="1247"/>
      <c r="BNJ49" s="1247"/>
      <c r="BNK49" s="1247"/>
      <c r="BNL49" s="1247"/>
      <c r="BNM49" s="1247"/>
      <c r="BNN49" s="1247"/>
      <c r="BNO49" s="1247"/>
      <c r="BNP49" s="1247"/>
      <c r="BNQ49" s="1247"/>
      <c r="BNR49" s="1247"/>
      <c r="BNS49" s="1247"/>
      <c r="BNT49" s="1247"/>
      <c r="BNU49" s="1247"/>
      <c r="BNV49" s="1247"/>
      <c r="BNW49" s="1247"/>
      <c r="BNX49" s="1247"/>
      <c r="BNY49" s="1247"/>
      <c r="BNZ49" s="1247"/>
      <c r="BOA49" s="1247"/>
      <c r="BOB49" s="1247"/>
      <c r="BOC49" s="1247"/>
      <c r="BOD49" s="1247"/>
      <c r="BOE49" s="1247"/>
      <c r="BOF49" s="1247"/>
      <c r="BOG49" s="1247"/>
      <c r="BOH49" s="1247"/>
      <c r="BOI49" s="1247"/>
      <c r="BOJ49" s="1247"/>
      <c r="BOK49" s="1247"/>
      <c r="BOL49" s="1247"/>
      <c r="BOM49" s="1247"/>
      <c r="BON49" s="1247"/>
      <c r="BOO49" s="1247"/>
      <c r="BOP49" s="1247"/>
      <c r="BOQ49" s="1247"/>
      <c r="BOR49" s="1247"/>
      <c r="BOS49" s="1247"/>
      <c r="BOT49" s="1247"/>
      <c r="BOU49" s="1247"/>
      <c r="BOV49" s="1247"/>
      <c r="BOW49" s="1247"/>
      <c r="BOX49" s="1247"/>
      <c r="BOY49" s="1247"/>
      <c r="BOZ49" s="1247"/>
      <c r="BPA49" s="1247"/>
      <c r="BPB49" s="1247"/>
      <c r="BPC49" s="1247"/>
      <c r="BPD49" s="1247"/>
      <c r="BPE49" s="1247"/>
      <c r="BPF49" s="1247"/>
      <c r="BPG49" s="1247"/>
      <c r="BPH49" s="1247"/>
      <c r="BPI49" s="1247"/>
      <c r="BPJ49" s="1247"/>
      <c r="BPK49" s="1247"/>
      <c r="BPL49" s="1247"/>
      <c r="BPM49" s="1247"/>
      <c r="BPN49" s="1247"/>
      <c r="BPO49" s="1247"/>
      <c r="BPP49" s="1247"/>
      <c r="BPQ49" s="1247"/>
      <c r="BPR49" s="1247"/>
      <c r="BPS49" s="1247"/>
      <c r="BPT49" s="1247"/>
      <c r="BPU49" s="1247"/>
      <c r="BPV49" s="1247"/>
      <c r="BPW49" s="1247"/>
      <c r="BPX49" s="1247"/>
      <c r="BPY49" s="1247"/>
      <c r="BPZ49" s="1247"/>
      <c r="BQA49" s="1247"/>
      <c r="BQB49" s="1247"/>
      <c r="BQC49" s="1247"/>
      <c r="BQD49" s="1247"/>
      <c r="BQE49" s="1247"/>
      <c r="BQF49" s="1247"/>
      <c r="BQG49" s="1247"/>
      <c r="BQH49" s="1247"/>
      <c r="BQI49" s="1247"/>
      <c r="BQJ49" s="1247"/>
      <c r="BQK49" s="1247"/>
      <c r="BQL49" s="1247"/>
      <c r="BQM49" s="1247"/>
      <c r="BQN49" s="1247"/>
      <c r="BQO49" s="1247"/>
      <c r="BQP49" s="1247"/>
      <c r="BQQ49" s="1247"/>
      <c r="BQR49" s="1247"/>
      <c r="BQS49" s="1247"/>
      <c r="BQT49" s="1247"/>
      <c r="BQU49" s="1247"/>
      <c r="BQV49" s="1247"/>
      <c r="BQW49" s="1247"/>
      <c r="BQX49" s="1247"/>
      <c r="BQY49" s="1247"/>
      <c r="BQZ49" s="1247"/>
      <c r="BRA49" s="1247"/>
      <c r="BRB49" s="1247"/>
      <c r="BRC49" s="1247"/>
      <c r="BRD49" s="1247"/>
      <c r="BRE49" s="1247"/>
      <c r="BRF49" s="1247"/>
      <c r="BRG49" s="1247"/>
      <c r="BRH49" s="1247"/>
      <c r="BRI49" s="1247"/>
      <c r="BRJ49" s="1247"/>
      <c r="BRK49" s="1247"/>
      <c r="BRL49" s="1247"/>
      <c r="BRM49" s="1247"/>
      <c r="BRN49" s="1247"/>
      <c r="BRO49" s="1247"/>
      <c r="BRP49" s="1247"/>
      <c r="BRQ49" s="1247"/>
      <c r="BRR49" s="1247"/>
      <c r="BRS49" s="1247"/>
      <c r="BRT49" s="1247"/>
      <c r="BRU49" s="1247"/>
      <c r="BRV49" s="1247"/>
      <c r="BRW49" s="1247"/>
      <c r="BRX49" s="1247"/>
      <c r="BRY49" s="1247"/>
      <c r="BRZ49" s="1247"/>
      <c r="BSA49" s="1247"/>
      <c r="BSB49" s="1247"/>
      <c r="BSC49" s="1247"/>
      <c r="BSD49" s="1247"/>
      <c r="BSE49" s="1247"/>
      <c r="BSF49" s="1247"/>
      <c r="BSG49" s="1247"/>
      <c r="BSH49" s="1247"/>
      <c r="BSI49" s="1247"/>
      <c r="BSJ49" s="1247"/>
      <c r="BSK49" s="1247"/>
      <c r="BSL49" s="1247"/>
      <c r="BSM49" s="1247"/>
      <c r="BSN49" s="1247"/>
      <c r="BSO49" s="1247"/>
      <c r="BSP49" s="1247"/>
      <c r="BSQ49" s="1247"/>
      <c r="BSR49" s="1247"/>
      <c r="BSS49" s="1247"/>
      <c r="BST49" s="1247"/>
      <c r="BSU49" s="1247"/>
      <c r="BSV49" s="1247"/>
      <c r="BSW49" s="1247"/>
      <c r="BSX49" s="1247"/>
      <c r="BSY49" s="1247"/>
      <c r="BSZ49" s="1247"/>
      <c r="BTA49" s="1247"/>
      <c r="BTB49" s="1247"/>
      <c r="BTC49" s="1247"/>
      <c r="BTD49" s="1247"/>
      <c r="BTE49" s="1247"/>
      <c r="BTF49" s="1247"/>
      <c r="BTG49" s="1247"/>
      <c r="BTH49" s="1247"/>
      <c r="BTI49" s="1247"/>
      <c r="BTJ49" s="1247"/>
      <c r="BTK49" s="1247"/>
      <c r="BTL49" s="1247"/>
      <c r="BTM49" s="1247"/>
      <c r="BTN49" s="1247"/>
      <c r="BTO49" s="1247"/>
      <c r="BTP49" s="1247"/>
      <c r="BTQ49" s="1247"/>
      <c r="BTR49" s="1247"/>
      <c r="BTS49" s="1247"/>
      <c r="BTT49" s="1247"/>
      <c r="BTU49" s="1247"/>
      <c r="BTV49" s="1247"/>
      <c r="BTW49" s="1247"/>
      <c r="BTX49" s="1247"/>
      <c r="BTY49" s="1247"/>
      <c r="BTZ49" s="1247"/>
      <c r="BUA49" s="1247"/>
      <c r="BUB49" s="1247"/>
      <c r="BUC49" s="1247"/>
      <c r="BUD49" s="1247"/>
      <c r="BUE49" s="1247"/>
      <c r="BUF49" s="1247"/>
      <c r="BUG49" s="1247"/>
      <c r="BUH49" s="1247"/>
      <c r="BUI49" s="1247"/>
      <c r="BUJ49" s="1247"/>
      <c r="BUK49" s="1247"/>
      <c r="BUL49" s="1247"/>
      <c r="BUM49" s="1247"/>
      <c r="BUN49" s="1247"/>
      <c r="BUO49" s="1247"/>
      <c r="BUP49" s="1247"/>
      <c r="BUQ49" s="1247"/>
      <c r="BUR49" s="1247"/>
      <c r="BUS49" s="1247"/>
      <c r="BUT49" s="1247"/>
      <c r="BUU49" s="1247"/>
      <c r="BUV49" s="1247"/>
      <c r="BUW49" s="1247"/>
      <c r="BUX49" s="1247"/>
      <c r="BUY49" s="1247"/>
      <c r="BUZ49" s="1247"/>
      <c r="BVA49" s="1247"/>
      <c r="BVB49" s="1247"/>
      <c r="BVC49" s="1247"/>
      <c r="BVD49" s="1247"/>
      <c r="BVE49" s="1247"/>
      <c r="BVF49" s="1247"/>
      <c r="BVG49" s="1247"/>
      <c r="BVH49" s="1247"/>
      <c r="BVI49" s="1247"/>
      <c r="BVJ49" s="1247"/>
      <c r="BVK49" s="1247"/>
      <c r="BVL49" s="1247"/>
      <c r="BVM49" s="1247"/>
      <c r="BVN49" s="1247"/>
      <c r="BVO49" s="1247"/>
      <c r="BVP49" s="1247"/>
      <c r="BVQ49" s="1247"/>
      <c r="BVR49" s="1247"/>
      <c r="BVS49" s="1247"/>
      <c r="BVT49" s="1247"/>
      <c r="BVU49" s="1247"/>
      <c r="BVV49" s="1247"/>
      <c r="BVW49" s="1247"/>
      <c r="BVX49" s="1247"/>
      <c r="BVY49" s="1247"/>
      <c r="BVZ49" s="1247"/>
      <c r="BWA49" s="1247"/>
      <c r="BWB49" s="1247"/>
      <c r="BWC49" s="1247"/>
      <c r="BWD49" s="1247"/>
      <c r="BWE49" s="1247"/>
      <c r="BWF49" s="1247"/>
      <c r="BWG49" s="1247"/>
      <c r="BWH49" s="1247"/>
      <c r="BWI49" s="1247"/>
      <c r="BWJ49" s="1247"/>
      <c r="BWK49" s="1247"/>
      <c r="BWL49" s="1247"/>
      <c r="BWM49" s="1247"/>
      <c r="BWN49" s="1247"/>
      <c r="BWO49" s="1247"/>
      <c r="BWP49" s="1247"/>
      <c r="BWQ49" s="1247"/>
      <c r="BWR49" s="1247"/>
      <c r="BWS49" s="1247"/>
      <c r="BWT49" s="1247"/>
      <c r="BWU49" s="1247"/>
      <c r="BWV49" s="1247"/>
      <c r="BWW49" s="1247"/>
      <c r="BWX49" s="1247"/>
      <c r="BWY49" s="1247"/>
      <c r="BWZ49" s="1247"/>
      <c r="BXA49" s="1247"/>
      <c r="BXB49" s="1247"/>
      <c r="BXC49" s="1247"/>
      <c r="BXD49" s="1247"/>
      <c r="BXE49" s="1247"/>
      <c r="BXF49" s="1247"/>
      <c r="BXG49" s="1247"/>
      <c r="BXH49" s="1247"/>
      <c r="BXI49" s="1247"/>
      <c r="BXJ49" s="1247"/>
      <c r="BXK49" s="1247"/>
      <c r="BXL49" s="1247"/>
      <c r="BXM49" s="1247"/>
      <c r="BXN49" s="1247"/>
      <c r="BXO49" s="1247"/>
      <c r="BXP49" s="1247"/>
      <c r="BXQ49" s="1247"/>
      <c r="BXR49" s="1247"/>
      <c r="BXS49" s="1247"/>
      <c r="BXT49" s="1247"/>
      <c r="BXU49" s="1247"/>
      <c r="BXV49" s="1247"/>
      <c r="BXW49" s="1247"/>
      <c r="BXX49" s="1247"/>
      <c r="BXY49" s="1247"/>
      <c r="BXZ49" s="1247"/>
      <c r="BYA49" s="1247"/>
      <c r="BYB49" s="1247"/>
      <c r="BYC49" s="1247"/>
      <c r="BYD49" s="1247"/>
      <c r="BYE49" s="1247"/>
      <c r="BYF49" s="1247"/>
      <c r="BYG49" s="1247"/>
      <c r="BYH49" s="1247"/>
      <c r="BYI49" s="1247"/>
      <c r="BYJ49" s="1247"/>
      <c r="BYK49" s="1247"/>
      <c r="BYL49" s="1247"/>
      <c r="BYM49" s="1247"/>
      <c r="BYN49" s="1247"/>
      <c r="BYO49" s="1247"/>
      <c r="BYP49" s="1247"/>
      <c r="BYQ49" s="1247"/>
      <c r="BYR49" s="1247"/>
      <c r="BYS49" s="1247"/>
      <c r="BYT49" s="1247"/>
      <c r="BYU49" s="1247"/>
      <c r="BYV49" s="1247"/>
      <c r="BYW49" s="1247"/>
      <c r="BYX49" s="1247"/>
      <c r="BYY49" s="1247"/>
      <c r="BYZ49" s="1247"/>
      <c r="BZA49" s="1247"/>
      <c r="BZB49" s="1247"/>
      <c r="BZC49" s="1247"/>
      <c r="BZD49" s="1247"/>
      <c r="BZE49" s="1247"/>
      <c r="BZF49" s="1247"/>
      <c r="BZG49" s="1247"/>
      <c r="BZH49" s="1247"/>
      <c r="BZI49" s="1247"/>
      <c r="BZJ49" s="1247"/>
      <c r="BZK49" s="1247"/>
      <c r="BZL49" s="1247"/>
      <c r="BZM49" s="1247"/>
      <c r="BZN49" s="1247"/>
      <c r="BZO49" s="1247"/>
      <c r="BZP49" s="1247"/>
      <c r="BZQ49" s="1247"/>
      <c r="BZR49" s="1247"/>
      <c r="BZS49" s="1247"/>
      <c r="BZT49" s="1247"/>
      <c r="BZU49" s="1247"/>
      <c r="BZV49" s="1247"/>
      <c r="BZW49" s="1247"/>
      <c r="BZX49" s="1247"/>
      <c r="BZY49" s="1247"/>
      <c r="BZZ49" s="1247"/>
      <c r="CAA49" s="1247"/>
      <c r="CAB49" s="1247"/>
      <c r="CAC49" s="1247"/>
      <c r="CAD49" s="1247"/>
      <c r="CAE49" s="1247"/>
      <c r="CAF49" s="1247"/>
      <c r="CAG49" s="1247"/>
      <c r="CAH49" s="1247"/>
      <c r="CAI49" s="1247"/>
      <c r="CAJ49" s="1247"/>
      <c r="CAK49" s="1247"/>
      <c r="CAL49" s="1247"/>
      <c r="CAM49" s="1247"/>
      <c r="CAN49" s="1247"/>
      <c r="CAO49" s="1247"/>
      <c r="CAP49" s="1247"/>
      <c r="CAQ49" s="1247"/>
      <c r="CAR49" s="1247"/>
      <c r="CAS49" s="1247"/>
      <c r="CAT49" s="1247"/>
      <c r="CAU49" s="1247"/>
      <c r="CAV49" s="1247"/>
      <c r="CAW49" s="1247"/>
      <c r="CAX49" s="1247"/>
      <c r="CAY49" s="1247"/>
      <c r="CAZ49" s="1247"/>
      <c r="CBA49" s="1247"/>
      <c r="CBB49" s="1247"/>
      <c r="CBC49" s="1247"/>
      <c r="CBD49" s="1247"/>
      <c r="CBE49" s="1247"/>
      <c r="CBF49" s="1247"/>
      <c r="CBG49" s="1247"/>
      <c r="CBH49" s="1247"/>
      <c r="CBI49" s="1247"/>
      <c r="CBJ49" s="1247"/>
      <c r="CBK49" s="1247"/>
      <c r="CBL49" s="1247"/>
      <c r="CBM49" s="1247"/>
      <c r="CBN49" s="1247"/>
      <c r="CBO49" s="1247"/>
      <c r="CBP49" s="1247"/>
      <c r="CBQ49" s="1247"/>
      <c r="CBR49" s="1247"/>
      <c r="CBS49" s="1247"/>
      <c r="CBT49" s="1247"/>
      <c r="CBU49" s="1247"/>
      <c r="CBV49" s="1247"/>
      <c r="CBW49" s="1247"/>
      <c r="CBX49" s="1247"/>
      <c r="CBY49" s="1247"/>
      <c r="CBZ49" s="1247"/>
      <c r="CCA49" s="1247"/>
      <c r="CCB49" s="1247"/>
      <c r="CCC49" s="1247"/>
      <c r="CCD49" s="1247"/>
      <c r="CCE49" s="1247"/>
      <c r="CCF49" s="1247"/>
      <c r="CCG49" s="1247"/>
      <c r="CCH49" s="1247"/>
      <c r="CCI49" s="1247"/>
      <c r="CCJ49" s="1247"/>
      <c r="CCK49" s="1247"/>
      <c r="CCL49" s="1247"/>
      <c r="CCM49" s="1247"/>
      <c r="CCN49" s="1247"/>
      <c r="CCO49" s="1247"/>
      <c r="CCP49" s="1247"/>
      <c r="CCQ49" s="1247"/>
      <c r="CCR49" s="1247"/>
      <c r="CCS49" s="1247"/>
      <c r="CCT49" s="1247"/>
      <c r="CCU49" s="1247"/>
      <c r="CCV49" s="1247"/>
      <c r="CCW49" s="1247"/>
      <c r="CCX49" s="1247"/>
      <c r="CCY49" s="1247"/>
      <c r="CCZ49" s="1247"/>
      <c r="CDA49" s="1247"/>
      <c r="CDB49" s="1247"/>
      <c r="CDC49" s="1247"/>
      <c r="CDD49" s="1247"/>
      <c r="CDE49" s="1247"/>
      <c r="CDF49" s="1247"/>
      <c r="CDG49" s="1247"/>
      <c r="CDH49" s="1247"/>
      <c r="CDI49" s="1247"/>
      <c r="CDJ49" s="1247"/>
      <c r="CDK49" s="1247"/>
      <c r="CDL49" s="1247"/>
      <c r="CDM49" s="1247"/>
      <c r="CDN49" s="1247"/>
      <c r="CDO49" s="1247"/>
      <c r="CDP49" s="1247"/>
      <c r="CDQ49" s="1247"/>
      <c r="CDR49" s="1247"/>
      <c r="CDS49" s="1247"/>
      <c r="CDT49" s="1247"/>
      <c r="CDU49" s="1247"/>
      <c r="CDV49" s="1247"/>
      <c r="CDW49" s="1247"/>
      <c r="CDX49" s="1247"/>
      <c r="CDY49" s="1247"/>
      <c r="CDZ49" s="1247"/>
      <c r="CEA49" s="1247"/>
      <c r="CEB49" s="1247"/>
      <c r="CEC49" s="1247"/>
      <c r="CED49" s="1247"/>
      <c r="CEE49" s="1247"/>
      <c r="CEF49" s="1247"/>
      <c r="CEG49" s="1247"/>
      <c r="CEH49" s="1247"/>
      <c r="CEI49" s="1247"/>
      <c r="CEJ49" s="1247"/>
      <c r="CEK49" s="1247"/>
      <c r="CEL49" s="1247"/>
      <c r="CEM49" s="1247"/>
      <c r="CEN49" s="1247"/>
      <c r="CEO49" s="1247"/>
      <c r="CEP49" s="1247"/>
      <c r="CEQ49" s="1247"/>
      <c r="CER49" s="1247"/>
      <c r="CES49" s="1247"/>
      <c r="CET49" s="1247"/>
      <c r="CEU49" s="1247"/>
      <c r="CEV49" s="1247"/>
      <c r="CEW49" s="1247"/>
      <c r="CEX49" s="1247"/>
      <c r="CEY49" s="1247"/>
      <c r="CEZ49" s="1247"/>
      <c r="CFA49" s="1247"/>
      <c r="CFB49" s="1247"/>
      <c r="CFC49" s="1247"/>
      <c r="CFD49" s="1247"/>
      <c r="CFE49" s="1247"/>
      <c r="CFF49" s="1247"/>
      <c r="CFG49" s="1247"/>
      <c r="CFH49" s="1247"/>
      <c r="CFI49" s="1247"/>
      <c r="CFJ49" s="1247"/>
      <c r="CFK49" s="1247"/>
      <c r="CFL49" s="1247"/>
      <c r="CFM49" s="1247"/>
      <c r="CFN49" s="1247"/>
      <c r="CFO49" s="1247"/>
      <c r="CFP49" s="1247"/>
      <c r="CFQ49" s="1247"/>
      <c r="CFR49" s="1247"/>
      <c r="CFS49" s="1247"/>
      <c r="CFT49" s="1247"/>
      <c r="CFU49" s="1247"/>
      <c r="CFV49" s="1247"/>
      <c r="CFW49" s="1247"/>
      <c r="CFX49" s="1247"/>
      <c r="CFY49" s="1247"/>
      <c r="CFZ49" s="1247"/>
      <c r="CGA49" s="1247"/>
      <c r="CGB49" s="1247"/>
      <c r="CGC49" s="1247"/>
      <c r="CGD49" s="1247"/>
      <c r="CGE49" s="1247"/>
      <c r="CGF49" s="1247"/>
      <c r="CGG49" s="1247"/>
      <c r="CGH49" s="1247"/>
      <c r="CGI49" s="1247"/>
      <c r="CGJ49" s="1247"/>
      <c r="CGK49" s="1247"/>
      <c r="CGL49" s="1247"/>
      <c r="CGM49" s="1247"/>
      <c r="CGN49" s="1247"/>
      <c r="CGO49" s="1247"/>
      <c r="CGP49" s="1247"/>
      <c r="CGQ49" s="1247"/>
      <c r="CGR49" s="1247"/>
      <c r="CGS49" s="1247"/>
      <c r="CGT49" s="1247"/>
      <c r="CGU49" s="1247"/>
      <c r="CGV49" s="1247"/>
      <c r="CGW49" s="1247"/>
      <c r="CGX49" s="1247"/>
      <c r="CGY49" s="1247"/>
      <c r="CGZ49" s="1247"/>
      <c r="CHA49" s="1247"/>
      <c r="CHB49" s="1247"/>
      <c r="CHC49" s="1247"/>
      <c r="CHD49" s="1247"/>
      <c r="CHE49" s="1247"/>
      <c r="CHF49" s="1247"/>
      <c r="CHG49" s="1247"/>
      <c r="CHH49" s="1247"/>
      <c r="CHI49" s="1247"/>
      <c r="CHJ49" s="1247"/>
      <c r="CHK49" s="1247"/>
      <c r="CHL49" s="1247"/>
      <c r="CHM49" s="1247"/>
      <c r="CHN49" s="1247"/>
      <c r="CHO49" s="1247"/>
      <c r="CHP49" s="1247"/>
      <c r="CHQ49" s="1247"/>
      <c r="CHR49" s="1247"/>
      <c r="CHS49" s="1247"/>
      <c r="CHT49" s="1247"/>
      <c r="CHU49" s="1247"/>
      <c r="CHV49" s="1247"/>
      <c r="CHW49" s="1247"/>
      <c r="CHX49" s="1247"/>
      <c r="CHY49" s="1247"/>
      <c r="CHZ49" s="1247"/>
      <c r="CIA49" s="1247"/>
      <c r="CIB49" s="1247"/>
      <c r="CIC49" s="1247"/>
      <c r="CID49" s="1247"/>
      <c r="CIE49" s="1247"/>
      <c r="CIF49" s="1247"/>
      <c r="CIG49" s="1247"/>
      <c r="CIH49" s="1247"/>
      <c r="CII49" s="1247"/>
      <c r="CIJ49" s="1247"/>
      <c r="CIK49" s="1247"/>
      <c r="CIL49" s="1247"/>
      <c r="CIM49" s="1247"/>
      <c r="CIN49" s="1247"/>
      <c r="CIO49" s="1247"/>
      <c r="CIP49" s="1247"/>
      <c r="CIQ49" s="1247"/>
      <c r="CIR49" s="1247"/>
      <c r="CIS49" s="1247"/>
      <c r="CIT49" s="1247"/>
      <c r="CIU49" s="1247"/>
      <c r="CIV49" s="1247"/>
      <c r="CIW49" s="1247"/>
      <c r="CIX49" s="1247"/>
      <c r="CIY49" s="1247"/>
      <c r="CIZ49" s="1247"/>
      <c r="CJA49" s="1247"/>
      <c r="CJB49" s="1247"/>
      <c r="CJC49" s="1247"/>
      <c r="CJD49" s="1247"/>
      <c r="CJE49" s="1247"/>
      <c r="CJF49" s="1247"/>
      <c r="CJG49" s="1247"/>
      <c r="CJH49" s="1247"/>
      <c r="CJI49" s="1247"/>
      <c r="CJJ49" s="1247"/>
      <c r="CJK49" s="1247"/>
      <c r="CJL49" s="1247"/>
      <c r="CJM49" s="1247"/>
      <c r="CJN49" s="1247"/>
      <c r="CJO49" s="1247"/>
      <c r="CJP49" s="1247"/>
      <c r="CJQ49" s="1247"/>
      <c r="CJR49" s="1247"/>
      <c r="CJS49" s="1247"/>
      <c r="CJT49" s="1247"/>
      <c r="CJU49" s="1247"/>
      <c r="CJV49" s="1247"/>
      <c r="CJW49" s="1247"/>
      <c r="CJX49" s="1247"/>
      <c r="CJY49" s="1247"/>
      <c r="CJZ49" s="1247"/>
      <c r="CKA49" s="1247"/>
      <c r="CKB49" s="1247"/>
      <c r="CKC49" s="1247"/>
      <c r="CKD49" s="1247"/>
      <c r="CKE49" s="1247"/>
      <c r="CKF49" s="1247"/>
      <c r="CKG49" s="1247"/>
      <c r="CKH49" s="1247"/>
      <c r="CKI49" s="1247"/>
      <c r="CKJ49" s="1247"/>
      <c r="CKK49" s="1247"/>
      <c r="CKL49" s="1247"/>
      <c r="CKM49" s="1247"/>
      <c r="CKN49" s="1247"/>
      <c r="CKO49" s="1247"/>
      <c r="CKP49" s="1247"/>
      <c r="CKQ49" s="1247"/>
      <c r="CKR49" s="1247"/>
      <c r="CKS49" s="1247"/>
      <c r="CKT49" s="1247"/>
      <c r="CKU49" s="1247"/>
      <c r="CKV49" s="1247"/>
      <c r="CKW49" s="1247"/>
      <c r="CKX49" s="1247"/>
      <c r="CKY49" s="1247"/>
      <c r="CKZ49" s="1247"/>
      <c r="CLA49" s="1247"/>
      <c r="CLB49" s="1247"/>
      <c r="CLC49" s="1247"/>
      <c r="CLD49" s="1247"/>
      <c r="CLE49" s="1247"/>
      <c r="CLF49" s="1247"/>
      <c r="CLG49" s="1247"/>
      <c r="CLH49" s="1247"/>
      <c r="CLI49" s="1247"/>
      <c r="CLJ49" s="1247"/>
      <c r="CLK49" s="1247"/>
      <c r="CLL49" s="1247"/>
      <c r="CLM49" s="1247"/>
      <c r="CLN49" s="1247"/>
      <c r="CLO49" s="1247"/>
      <c r="CLP49" s="1247"/>
      <c r="CLQ49" s="1247"/>
      <c r="CLR49" s="1247"/>
      <c r="CLS49" s="1247"/>
      <c r="CLT49" s="1247"/>
      <c r="CLU49" s="1247"/>
      <c r="CLV49" s="1247"/>
      <c r="CLW49" s="1247"/>
      <c r="CLX49" s="1247"/>
      <c r="CLY49" s="1247"/>
      <c r="CLZ49" s="1247"/>
      <c r="CMA49" s="1247"/>
      <c r="CMB49" s="1247"/>
      <c r="CMC49" s="1247"/>
      <c r="CMD49" s="1247"/>
      <c r="CME49" s="1247"/>
      <c r="CMF49" s="1247"/>
      <c r="CMG49" s="1247"/>
      <c r="CMH49" s="1247"/>
      <c r="CMI49" s="1247"/>
      <c r="CMJ49" s="1247"/>
      <c r="CMK49" s="1247"/>
      <c r="CML49" s="1247"/>
      <c r="CMM49" s="1247"/>
      <c r="CMN49" s="1247"/>
      <c r="CMO49" s="1247"/>
      <c r="CMP49" s="1247"/>
      <c r="CMQ49" s="1247"/>
      <c r="CMR49" s="1247"/>
      <c r="CMS49" s="1247"/>
      <c r="CMT49" s="1247"/>
      <c r="CMU49" s="1247"/>
      <c r="CMV49" s="1247"/>
      <c r="CMW49" s="1247"/>
      <c r="CMX49" s="1247"/>
      <c r="CMY49" s="1247"/>
      <c r="CMZ49" s="1247"/>
      <c r="CNA49" s="1247"/>
      <c r="CNB49" s="1247"/>
      <c r="CNC49" s="1247"/>
      <c r="CND49" s="1247"/>
      <c r="CNE49" s="1247"/>
      <c r="CNF49" s="1247"/>
      <c r="CNG49" s="1247"/>
      <c r="CNH49" s="1247"/>
      <c r="CNI49" s="1247"/>
      <c r="CNJ49" s="1247"/>
      <c r="CNK49" s="1247"/>
      <c r="CNL49" s="1247"/>
      <c r="CNM49" s="1247"/>
      <c r="CNN49" s="1247"/>
      <c r="CNO49" s="1247"/>
      <c r="CNP49" s="1247"/>
      <c r="CNQ49" s="1247"/>
      <c r="CNR49" s="1247"/>
      <c r="CNS49" s="1247"/>
      <c r="CNT49" s="1247"/>
      <c r="CNU49" s="1247"/>
      <c r="CNV49" s="1247"/>
      <c r="CNW49" s="1247"/>
      <c r="CNX49" s="1247"/>
      <c r="CNY49" s="1247"/>
      <c r="CNZ49" s="1247"/>
      <c r="COA49" s="1247"/>
      <c r="COB49" s="1247"/>
      <c r="COC49" s="1247"/>
      <c r="COD49" s="1247"/>
      <c r="COE49" s="1247"/>
      <c r="COF49" s="1247"/>
      <c r="COG49" s="1247"/>
      <c r="COH49" s="1247"/>
      <c r="COI49" s="1247"/>
      <c r="COJ49" s="1247"/>
      <c r="COK49" s="1247"/>
      <c r="COL49" s="1247"/>
      <c r="COM49" s="1247"/>
      <c r="CON49" s="1247"/>
      <c r="COO49" s="1247"/>
      <c r="COP49" s="1247"/>
      <c r="COQ49" s="1247"/>
      <c r="COR49" s="1247"/>
      <c r="COS49" s="1247"/>
      <c r="COT49" s="1247"/>
      <c r="COU49" s="1247"/>
      <c r="COV49" s="1247"/>
      <c r="COW49" s="1247"/>
      <c r="COX49" s="1247"/>
      <c r="COY49" s="1247"/>
      <c r="COZ49" s="1247"/>
      <c r="CPA49" s="1247"/>
      <c r="CPB49" s="1247"/>
      <c r="CPC49" s="1247"/>
      <c r="CPD49" s="1247"/>
      <c r="CPE49" s="1247"/>
      <c r="CPF49" s="1247"/>
      <c r="CPG49" s="1247"/>
      <c r="CPH49" s="1247"/>
      <c r="CPI49" s="1247"/>
      <c r="CPJ49" s="1247"/>
      <c r="CPK49" s="1247"/>
      <c r="CPL49" s="1247"/>
      <c r="CPM49" s="1247"/>
      <c r="CPN49" s="1247"/>
      <c r="CPO49" s="1247"/>
      <c r="CPP49" s="1247"/>
      <c r="CPQ49" s="1247"/>
      <c r="CPR49" s="1247"/>
      <c r="CPS49" s="1247"/>
      <c r="CPT49" s="1247"/>
      <c r="CPU49" s="1247"/>
      <c r="CPV49" s="1247"/>
      <c r="CPW49" s="1247"/>
      <c r="CPX49" s="1247"/>
      <c r="CPY49" s="1247"/>
      <c r="CPZ49" s="1247"/>
      <c r="CQA49" s="1247"/>
      <c r="CQB49" s="1247"/>
      <c r="CQC49" s="1247"/>
      <c r="CQD49" s="1247"/>
      <c r="CQE49" s="1247"/>
      <c r="CQF49" s="1247"/>
      <c r="CQG49" s="1247"/>
      <c r="CQH49" s="1247"/>
      <c r="CQI49" s="1247"/>
      <c r="CQJ49" s="1247"/>
      <c r="CQK49" s="1247"/>
      <c r="CQL49" s="1247"/>
      <c r="CQM49" s="1247"/>
      <c r="CQN49" s="1247"/>
      <c r="CQO49" s="1247"/>
      <c r="CQP49" s="1247"/>
      <c r="CQQ49" s="1247"/>
      <c r="CQR49" s="1247"/>
      <c r="CQS49" s="1247"/>
      <c r="CQT49" s="1247"/>
      <c r="CQU49" s="1247"/>
      <c r="CQV49" s="1247"/>
      <c r="CQW49" s="1247"/>
      <c r="CQX49" s="1247"/>
      <c r="CQY49" s="1247"/>
      <c r="CQZ49" s="1247"/>
      <c r="CRA49" s="1247"/>
      <c r="CRB49" s="1247"/>
      <c r="CRC49" s="1247"/>
      <c r="CRD49" s="1247"/>
      <c r="CRE49" s="1247"/>
      <c r="CRF49" s="1247"/>
      <c r="CRG49" s="1247"/>
      <c r="CRH49" s="1247"/>
      <c r="CRI49" s="1247"/>
      <c r="CRJ49" s="1247"/>
      <c r="CRK49" s="1247"/>
      <c r="CRL49" s="1247"/>
      <c r="CRM49" s="1247"/>
      <c r="CRN49" s="1247"/>
      <c r="CRO49" s="1247"/>
      <c r="CRP49" s="1247"/>
      <c r="CRQ49" s="1247"/>
      <c r="CRR49" s="1247"/>
      <c r="CRS49" s="1247"/>
      <c r="CRT49" s="1247"/>
      <c r="CRU49" s="1247"/>
      <c r="CRV49" s="1247"/>
      <c r="CRW49" s="1247"/>
      <c r="CRX49" s="1247"/>
      <c r="CRY49" s="1247"/>
      <c r="CRZ49" s="1247"/>
      <c r="CSA49" s="1247"/>
      <c r="CSB49" s="1247"/>
      <c r="CSC49" s="1247"/>
      <c r="CSD49" s="1247"/>
      <c r="CSE49" s="1247"/>
      <c r="CSF49" s="1247"/>
      <c r="CSG49" s="1247"/>
      <c r="CSH49" s="1247"/>
      <c r="CSI49" s="1247"/>
      <c r="CSJ49" s="1247"/>
      <c r="CSK49" s="1247"/>
      <c r="CSL49" s="1247"/>
      <c r="CSM49" s="1247"/>
      <c r="CSN49" s="1247"/>
      <c r="CSO49" s="1247"/>
      <c r="CSP49" s="1247"/>
      <c r="CSQ49" s="1247"/>
      <c r="CSR49" s="1247"/>
      <c r="CSS49" s="1247"/>
      <c r="CST49" s="1247"/>
      <c r="CSU49" s="1247"/>
      <c r="CSV49" s="1247"/>
      <c r="CSW49" s="1247"/>
      <c r="CSX49" s="1247"/>
      <c r="CSY49" s="1247"/>
      <c r="CSZ49" s="1247"/>
      <c r="CTA49" s="1247"/>
      <c r="CTB49" s="1247"/>
      <c r="CTC49" s="1247"/>
      <c r="CTD49" s="1247"/>
      <c r="CTE49" s="1247"/>
      <c r="CTF49" s="1247"/>
      <c r="CTG49" s="1247"/>
      <c r="CTH49" s="1247"/>
      <c r="CTI49" s="1247"/>
      <c r="CTJ49" s="1247"/>
      <c r="CTK49" s="1247"/>
      <c r="CTL49" s="1247"/>
      <c r="CTM49" s="1247"/>
      <c r="CTN49" s="1247"/>
      <c r="CTO49" s="1247"/>
      <c r="CTP49" s="1247"/>
      <c r="CTQ49" s="1247"/>
      <c r="CTR49" s="1247"/>
      <c r="CTS49" s="1247"/>
      <c r="CTT49" s="1247"/>
      <c r="CTU49" s="1247"/>
      <c r="CTV49" s="1247"/>
      <c r="CTW49" s="1247"/>
      <c r="CTX49" s="1247"/>
      <c r="CTY49" s="1247"/>
      <c r="CTZ49" s="1247"/>
      <c r="CUA49" s="1247"/>
      <c r="CUB49" s="1247"/>
      <c r="CUC49" s="1247"/>
      <c r="CUD49" s="1247"/>
      <c r="CUE49" s="1247"/>
      <c r="CUF49" s="1247"/>
      <c r="CUG49" s="1247"/>
      <c r="CUH49" s="1247"/>
      <c r="CUI49" s="1247"/>
      <c r="CUJ49" s="1247"/>
      <c r="CUK49" s="1247"/>
      <c r="CUL49" s="1247"/>
      <c r="CUM49" s="1247"/>
      <c r="CUN49" s="1247"/>
      <c r="CUO49" s="1247"/>
      <c r="CUP49" s="1247"/>
      <c r="CUQ49" s="1247"/>
      <c r="CUR49" s="1247"/>
      <c r="CUS49" s="1247"/>
      <c r="CUT49" s="1247"/>
      <c r="CUU49" s="1247"/>
      <c r="CUV49" s="1247"/>
      <c r="CUW49" s="1247"/>
      <c r="CUX49" s="1247"/>
      <c r="CUY49" s="1247"/>
      <c r="CUZ49" s="1247"/>
      <c r="CVA49" s="1247"/>
      <c r="CVB49" s="1247"/>
      <c r="CVC49" s="1247"/>
      <c r="CVD49" s="1247"/>
      <c r="CVE49" s="1247"/>
      <c r="CVF49" s="1247"/>
      <c r="CVG49" s="1247"/>
      <c r="CVH49" s="1247"/>
      <c r="CVI49" s="1247"/>
      <c r="CVJ49" s="1247"/>
      <c r="CVK49" s="1247"/>
      <c r="CVL49" s="1247"/>
      <c r="CVM49" s="1247"/>
      <c r="CVN49" s="1247"/>
      <c r="CVO49" s="1247"/>
      <c r="CVP49" s="1247"/>
      <c r="CVQ49" s="1247"/>
      <c r="CVR49" s="1247"/>
      <c r="CVS49" s="1247"/>
      <c r="CVT49" s="1247"/>
      <c r="CVU49" s="1247"/>
      <c r="CVV49" s="1247"/>
      <c r="CVW49" s="1247"/>
      <c r="CVX49" s="1247"/>
      <c r="CVY49" s="1247"/>
      <c r="CVZ49" s="1247"/>
      <c r="CWA49" s="1247"/>
      <c r="CWB49" s="1247"/>
      <c r="CWC49" s="1247"/>
      <c r="CWD49" s="1247"/>
      <c r="CWE49" s="1247"/>
      <c r="CWF49" s="1247"/>
      <c r="CWG49" s="1247"/>
      <c r="CWH49" s="1247"/>
      <c r="CWI49" s="1247"/>
      <c r="CWJ49" s="1247"/>
      <c r="CWK49" s="1247"/>
      <c r="CWL49" s="1247"/>
      <c r="CWM49" s="1247"/>
      <c r="CWN49" s="1247"/>
      <c r="CWO49" s="1247"/>
      <c r="CWP49" s="1247"/>
      <c r="CWQ49" s="1247"/>
      <c r="CWR49" s="1247"/>
      <c r="CWS49" s="1247"/>
      <c r="CWT49" s="1247"/>
      <c r="CWU49" s="1247"/>
      <c r="CWV49" s="1247"/>
      <c r="CWW49" s="1247"/>
      <c r="CWX49" s="1247"/>
      <c r="CWY49" s="1247"/>
      <c r="CWZ49" s="1247"/>
      <c r="CXA49" s="1247"/>
      <c r="CXB49" s="1247"/>
      <c r="CXC49" s="1247"/>
      <c r="CXD49" s="1247"/>
      <c r="CXE49" s="1247"/>
      <c r="CXF49" s="1247"/>
      <c r="CXG49" s="1247"/>
      <c r="CXH49" s="1247"/>
      <c r="CXI49" s="1247"/>
      <c r="CXJ49" s="1247"/>
      <c r="CXK49" s="1247"/>
      <c r="CXL49" s="1247"/>
      <c r="CXM49" s="1247"/>
      <c r="CXN49" s="1247"/>
      <c r="CXO49" s="1247"/>
      <c r="CXP49" s="1247"/>
      <c r="CXQ49" s="1247"/>
      <c r="CXR49" s="1247"/>
      <c r="CXS49" s="1247"/>
      <c r="CXT49" s="1247"/>
      <c r="CXU49" s="1247"/>
      <c r="CXV49" s="1247"/>
      <c r="CXW49" s="1247"/>
      <c r="CXX49" s="1247"/>
      <c r="CXY49" s="1247"/>
      <c r="CXZ49" s="1247"/>
      <c r="CYA49" s="1247"/>
      <c r="CYB49" s="1247"/>
      <c r="CYC49" s="1247"/>
      <c r="CYD49" s="1247"/>
      <c r="CYE49" s="1247"/>
      <c r="CYF49" s="1247"/>
      <c r="CYG49" s="1247"/>
      <c r="CYH49" s="1247"/>
      <c r="CYI49" s="1247"/>
      <c r="CYJ49" s="1247"/>
      <c r="CYK49" s="1247"/>
      <c r="CYL49" s="1247"/>
      <c r="CYM49" s="1247"/>
      <c r="CYN49" s="1247"/>
      <c r="CYO49" s="1247"/>
      <c r="CYP49" s="1247"/>
      <c r="CYQ49" s="1247"/>
      <c r="CYR49" s="1247"/>
      <c r="CYS49" s="1247"/>
      <c r="CYT49" s="1247"/>
      <c r="CYU49" s="1247"/>
      <c r="CYV49" s="1247"/>
      <c r="CYW49" s="1247"/>
      <c r="CYX49" s="1247"/>
      <c r="CYY49" s="1247"/>
      <c r="CYZ49" s="1247"/>
      <c r="CZA49" s="1247"/>
      <c r="CZB49" s="1247"/>
      <c r="CZC49" s="1247"/>
      <c r="CZD49" s="1247"/>
      <c r="CZE49" s="1247"/>
      <c r="CZF49" s="1247"/>
      <c r="CZG49" s="1247"/>
      <c r="CZH49" s="1247"/>
      <c r="CZI49" s="1247"/>
      <c r="CZJ49" s="1247"/>
      <c r="CZK49" s="1247"/>
      <c r="CZL49" s="1247"/>
      <c r="CZM49" s="1247"/>
      <c r="CZN49" s="1247"/>
      <c r="CZO49" s="1247"/>
      <c r="CZP49" s="1247"/>
      <c r="CZQ49" s="1247"/>
      <c r="CZR49" s="1247"/>
      <c r="CZS49" s="1247"/>
      <c r="CZT49" s="1247"/>
      <c r="CZU49" s="1247"/>
      <c r="CZV49" s="1247"/>
      <c r="CZW49" s="1247"/>
      <c r="CZX49" s="1247"/>
      <c r="CZY49" s="1247"/>
      <c r="CZZ49" s="1247"/>
      <c r="DAA49" s="1247"/>
      <c r="DAB49" s="1247"/>
      <c r="DAC49" s="1247"/>
      <c r="DAD49" s="1247"/>
      <c r="DAE49" s="1247"/>
      <c r="DAF49" s="1247"/>
      <c r="DAG49" s="1247"/>
      <c r="DAH49" s="1247"/>
      <c r="DAI49" s="1247"/>
      <c r="DAJ49" s="1247"/>
      <c r="DAK49" s="1247"/>
      <c r="DAL49" s="1247"/>
      <c r="DAM49" s="1247"/>
      <c r="DAN49" s="1247"/>
      <c r="DAO49" s="1247"/>
      <c r="DAP49" s="1247"/>
      <c r="DAQ49" s="1247"/>
      <c r="DAR49" s="1247"/>
      <c r="DAS49" s="1247"/>
      <c r="DAT49" s="1247"/>
      <c r="DAU49" s="1247"/>
      <c r="DAV49" s="1247"/>
      <c r="DAW49" s="1247"/>
      <c r="DAX49" s="1247"/>
      <c r="DAY49" s="1247"/>
      <c r="DAZ49" s="1247"/>
      <c r="DBA49" s="1247"/>
      <c r="DBB49" s="1247"/>
      <c r="DBC49" s="1247"/>
      <c r="DBD49" s="1247"/>
      <c r="DBE49" s="1247"/>
      <c r="DBF49" s="1247"/>
      <c r="DBG49" s="1247"/>
      <c r="DBH49" s="1247"/>
      <c r="DBI49" s="1247"/>
      <c r="DBJ49" s="1247"/>
      <c r="DBK49" s="1247"/>
      <c r="DBL49" s="1247"/>
      <c r="DBM49" s="1247"/>
      <c r="DBN49" s="1247"/>
      <c r="DBO49" s="1247"/>
      <c r="DBP49" s="1247"/>
      <c r="DBQ49" s="1247"/>
      <c r="DBR49" s="1247"/>
      <c r="DBS49" s="1247"/>
      <c r="DBT49" s="1247"/>
      <c r="DBU49" s="1247"/>
      <c r="DBV49" s="1247"/>
      <c r="DBW49" s="1247"/>
      <c r="DBX49" s="1247"/>
      <c r="DBY49" s="1247"/>
      <c r="DBZ49" s="1247"/>
      <c r="DCA49" s="1247"/>
      <c r="DCB49" s="1247"/>
      <c r="DCC49" s="1247"/>
      <c r="DCD49" s="1247"/>
      <c r="DCE49" s="1247"/>
      <c r="DCF49" s="1247"/>
      <c r="DCG49" s="1247"/>
      <c r="DCH49" s="1247"/>
      <c r="DCI49" s="1247"/>
      <c r="DCJ49" s="1247"/>
      <c r="DCK49" s="1247"/>
      <c r="DCL49" s="1247"/>
      <c r="DCM49" s="1247"/>
      <c r="DCN49" s="1247"/>
      <c r="DCO49" s="1247"/>
      <c r="DCP49" s="1247"/>
      <c r="DCQ49" s="1247"/>
      <c r="DCR49" s="1247"/>
      <c r="DCS49" s="1247"/>
      <c r="DCT49" s="1247"/>
      <c r="DCU49" s="1247"/>
      <c r="DCV49" s="1247"/>
      <c r="DCW49" s="1247"/>
      <c r="DCX49" s="1247"/>
      <c r="DCY49" s="1247"/>
      <c r="DCZ49" s="1247"/>
      <c r="DDA49" s="1247"/>
      <c r="DDB49" s="1247"/>
      <c r="DDC49" s="1247"/>
      <c r="DDD49" s="1247"/>
      <c r="DDE49" s="1247"/>
      <c r="DDF49" s="1247"/>
      <c r="DDG49" s="1247"/>
      <c r="DDH49" s="1247"/>
      <c r="DDI49" s="1247"/>
      <c r="DDJ49" s="1247"/>
      <c r="DDK49" s="1247"/>
      <c r="DDL49" s="1247"/>
      <c r="DDM49" s="1247"/>
      <c r="DDN49" s="1247"/>
      <c r="DDO49" s="1247"/>
      <c r="DDP49" s="1247"/>
      <c r="DDQ49" s="1247"/>
      <c r="DDR49" s="1247"/>
      <c r="DDS49" s="1247"/>
      <c r="DDT49" s="1247"/>
      <c r="DDU49" s="1247"/>
      <c r="DDV49" s="1247"/>
      <c r="DDW49" s="1247"/>
      <c r="DDX49" s="1247"/>
      <c r="DDY49" s="1247"/>
      <c r="DDZ49" s="1247"/>
      <c r="DEA49" s="1247"/>
      <c r="DEB49" s="1247"/>
      <c r="DEC49" s="1247"/>
      <c r="DED49" s="1247"/>
      <c r="DEE49" s="1247"/>
      <c r="DEF49" s="1247"/>
      <c r="DEG49" s="1247"/>
      <c r="DEH49" s="1247"/>
      <c r="DEI49" s="1247"/>
      <c r="DEJ49" s="1247"/>
      <c r="DEK49" s="1247"/>
      <c r="DEL49" s="1247"/>
      <c r="DEM49" s="1247"/>
      <c r="DEN49" s="1247"/>
      <c r="DEO49" s="1247"/>
      <c r="DEP49" s="1247"/>
      <c r="DEQ49" s="1247"/>
      <c r="DER49" s="1247"/>
      <c r="DES49" s="1247"/>
      <c r="DET49" s="1247"/>
      <c r="DEU49" s="1247"/>
      <c r="DEV49" s="1247"/>
      <c r="DEW49" s="1247"/>
      <c r="DEX49" s="1247"/>
      <c r="DEY49" s="1247"/>
      <c r="DEZ49" s="1247"/>
      <c r="DFA49" s="1247"/>
      <c r="DFB49" s="1247"/>
      <c r="DFC49" s="1247"/>
      <c r="DFD49" s="1247"/>
      <c r="DFE49" s="1247"/>
      <c r="DFF49" s="1247"/>
      <c r="DFG49" s="1247"/>
      <c r="DFH49" s="1247"/>
      <c r="DFI49" s="1247"/>
      <c r="DFJ49" s="1247"/>
      <c r="DFK49" s="1247"/>
      <c r="DFL49" s="1247"/>
      <c r="DFM49" s="1247"/>
      <c r="DFN49" s="1247"/>
      <c r="DFO49" s="1247"/>
      <c r="DFP49" s="1247"/>
      <c r="DFQ49" s="1247"/>
      <c r="DFR49" s="1247"/>
      <c r="DFS49" s="1247"/>
      <c r="DFT49" s="1247"/>
      <c r="DFU49" s="1247"/>
      <c r="DFV49" s="1247"/>
      <c r="DFW49" s="1247"/>
      <c r="DFX49" s="1247"/>
      <c r="DFY49" s="1247"/>
      <c r="DFZ49" s="1247"/>
      <c r="DGA49" s="1247"/>
      <c r="DGB49" s="1247"/>
      <c r="DGC49" s="1247"/>
      <c r="DGD49" s="1247"/>
      <c r="DGE49" s="1247"/>
      <c r="DGF49" s="1247"/>
      <c r="DGG49" s="1247"/>
      <c r="DGH49" s="1247"/>
      <c r="DGI49" s="1247"/>
      <c r="DGJ49" s="1247"/>
      <c r="DGK49" s="1247"/>
      <c r="DGL49" s="1247"/>
      <c r="DGM49" s="1247"/>
      <c r="DGN49" s="1247"/>
      <c r="DGO49" s="1247"/>
      <c r="DGP49" s="1247"/>
      <c r="DGQ49" s="1247"/>
      <c r="DGR49" s="1247"/>
      <c r="DGS49" s="1247"/>
      <c r="DGT49" s="1247"/>
      <c r="DGU49" s="1247"/>
      <c r="DGV49" s="1247"/>
      <c r="DGW49" s="1247"/>
      <c r="DGX49" s="1247"/>
      <c r="DGY49" s="1247"/>
      <c r="DGZ49" s="1247"/>
      <c r="DHA49" s="1247"/>
      <c r="DHB49" s="1247"/>
      <c r="DHC49" s="1247"/>
      <c r="DHD49" s="1247"/>
      <c r="DHE49" s="1247"/>
      <c r="DHF49" s="1247"/>
      <c r="DHG49" s="1247"/>
      <c r="DHH49" s="1247"/>
      <c r="DHI49" s="1247"/>
      <c r="DHJ49" s="1247"/>
      <c r="DHK49" s="1247"/>
      <c r="DHL49" s="1247"/>
      <c r="DHM49" s="1247"/>
      <c r="DHN49" s="1247"/>
      <c r="DHO49" s="1247"/>
      <c r="DHP49" s="1247"/>
      <c r="DHQ49" s="1247"/>
      <c r="DHR49" s="1247"/>
      <c r="DHS49" s="1247"/>
      <c r="DHT49" s="1247"/>
      <c r="DHU49" s="1247"/>
      <c r="DHV49" s="1247"/>
      <c r="DHW49" s="1247"/>
      <c r="DHX49" s="1247"/>
      <c r="DHY49" s="1247"/>
      <c r="DHZ49" s="1247"/>
      <c r="DIA49" s="1247"/>
      <c r="DIB49" s="1247"/>
      <c r="DIC49" s="1247"/>
      <c r="DID49" s="1247"/>
      <c r="DIE49" s="1247"/>
      <c r="DIF49" s="1247"/>
      <c r="DIG49" s="1247"/>
      <c r="DIH49" s="1247"/>
      <c r="DII49" s="1247"/>
      <c r="DIJ49" s="1247"/>
      <c r="DIK49" s="1247"/>
      <c r="DIL49" s="1247"/>
      <c r="DIM49" s="1247"/>
      <c r="DIN49" s="1247"/>
      <c r="DIO49" s="1247"/>
      <c r="DIP49" s="1247"/>
      <c r="DIQ49" s="1247"/>
      <c r="DIR49" s="1247"/>
      <c r="DIS49" s="1247"/>
      <c r="DIT49" s="1247"/>
      <c r="DIU49" s="1247"/>
      <c r="DIV49" s="1247"/>
      <c r="DIW49" s="1247"/>
      <c r="DIX49" s="1247"/>
      <c r="DIY49" s="1247"/>
      <c r="DIZ49" s="1247"/>
      <c r="DJA49" s="1247"/>
      <c r="DJB49" s="1247"/>
      <c r="DJC49" s="1247"/>
      <c r="DJD49" s="1247"/>
      <c r="DJE49" s="1247"/>
      <c r="DJF49" s="1247"/>
      <c r="DJG49" s="1247"/>
      <c r="DJH49" s="1247"/>
      <c r="DJI49" s="1247"/>
      <c r="DJJ49" s="1247"/>
      <c r="DJK49" s="1247"/>
      <c r="DJL49" s="1247"/>
      <c r="DJM49" s="1247"/>
      <c r="DJN49" s="1247"/>
      <c r="DJO49" s="1247"/>
      <c r="DJP49" s="1247"/>
      <c r="DJQ49" s="1247"/>
      <c r="DJR49" s="1247"/>
      <c r="DJS49" s="1247"/>
      <c r="DJT49" s="1247"/>
      <c r="DJU49" s="1247"/>
      <c r="DJV49" s="1247"/>
      <c r="DJW49" s="1247"/>
      <c r="DJX49" s="1247"/>
      <c r="DJY49" s="1247"/>
      <c r="DJZ49" s="1247"/>
      <c r="DKA49" s="1247"/>
      <c r="DKB49" s="1247"/>
      <c r="DKC49" s="1247"/>
      <c r="DKD49" s="1247"/>
      <c r="DKE49" s="1247"/>
      <c r="DKF49" s="1247"/>
      <c r="DKG49" s="1247"/>
      <c r="DKH49" s="1247"/>
      <c r="DKI49" s="1247"/>
      <c r="DKJ49" s="1247"/>
      <c r="DKK49" s="1247"/>
      <c r="DKL49" s="1247"/>
      <c r="DKM49" s="1247"/>
      <c r="DKN49" s="1247"/>
      <c r="DKO49" s="1247"/>
      <c r="DKP49" s="1247"/>
      <c r="DKQ49" s="1247"/>
      <c r="DKR49" s="1247"/>
      <c r="DKS49" s="1247"/>
      <c r="DKT49" s="1247"/>
      <c r="DKU49" s="1247"/>
      <c r="DKV49" s="1247"/>
      <c r="DKW49" s="1247"/>
      <c r="DKX49" s="1247"/>
      <c r="DKY49" s="1247"/>
      <c r="DKZ49" s="1247"/>
      <c r="DLA49" s="1247"/>
      <c r="DLB49" s="1247"/>
      <c r="DLC49" s="1247"/>
      <c r="DLD49" s="1247"/>
      <c r="DLE49" s="1247"/>
      <c r="DLF49" s="1247"/>
      <c r="DLG49" s="1247"/>
      <c r="DLH49" s="1247"/>
      <c r="DLI49" s="1247"/>
      <c r="DLJ49" s="1247"/>
      <c r="DLK49" s="1247"/>
      <c r="DLL49" s="1247"/>
      <c r="DLM49" s="1247"/>
      <c r="DLN49" s="1247"/>
      <c r="DLO49" s="1247"/>
      <c r="DLP49" s="1247"/>
      <c r="DLQ49" s="1247"/>
      <c r="DLR49" s="1247"/>
      <c r="DLS49" s="1247"/>
      <c r="DLT49" s="1247"/>
      <c r="DLU49" s="1247"/>
      <c r="DLV49" s="1247"/>
      <c r="DLW49" s="1247"/>
      <c r="DLX49" s="1247"/>
      <c r="DLY49" s="1247"/>
      <c r="DLZ49" s="1247"/>
      <c r="DMA49" s="1247"/>
      <c r="DMB49" s="1247"/>
      <c r="DMC49" s="1247"/>
      <c r="DMD49" s="1247"/>
      <c r="DME49" s="1247"/>
      <c r="DMF49" s="1247"/>
      <c r="DMG49" s="1247"/>
      <c r="DMH49" s="1247"/>
      <c r="DMI49" s="1247"/>
      <c r="DMJ49" s="1247"/>
      <c r="DMK49" s="1247"/>
      <c r="DML49" s="1247"/>
      <c r="DMM49" s="1247"/>
      <c r="DMN49" s="1247"/>
      <c r="DMO49" s="1247"/>
      <c r="DMP49" s="1247"/>
      <c r="DMQ49" s="1247"/>
      <c r="DMR49" s="1247"/>
      <c r="DMS49" s="1247"/>
      <c r="DMT49" s="1247"/>
      <c r="DMU49" s="1247"/>
      <c r="DMV49" s="1247"/>
      <c r="DMW49" s="1247"/>
      <c r="DMX49" s="1247"/>
      <c r="DMY49" s="1247"/>
      <c r="DMZ49" s="1247"/>
      <c r="DNA49" s="1247"/>
      <c r="DNB49" s="1247"/>
      <c r="DNC49" s="1247"/>
      <c r="DND49" s="1247"/>
      <c r="DNE49" s="1247"/>
      <c r="DNF49" s="1247"/>
      <c r="DNG49" s="1247"/>
      <c r="DNH49" s="1247"/>
      <c r="DNI49" s="1247"/>
      <c r="DNJ49" s="1247"/>
      <c r="DNK49" s="1247"/>
      <c r="DNL49" s="1247"/>
      <c r="DNM49" s="1247"/>
      <c r="DNN49" s="1247"/>
      <c r="DNO49" s="1247"/>
      <c r="DNP49" s="1247"/>
      <c r="DNQ49" s="1247"/>
      <c r="DNR49" s="1247"/>
      <c r="DNS49" s="1247"/>
      <c r="DNT49" s="1247"/>
      <c r="DNU49" s="1247"/>
      <c r="DNV49" s="1247"/>
      <c r="DNW49" s="1247"/>
      <c r="DNX49" s="1247"/>
      <c r="DNY49" s="1247"/>
      <c r="DNZ49" s="1247"/>
      <c r="DOA49" s="1247"/>
      <c r="DOB49" s="1247"/>
      <c r="DOC49" s="1247"/>
      <c r="DOD49" s="1247"/>
      <c r="DOE49" s="1247"/>
      <c r="DOF49" s="1247"/>
      <c r="DOG49" s="1247"/>
      <c r="DOH49" s="1247"/>
      <c r="DOI49" s="1247"/>
      <c r="DOJ49" s="1247"/>
      <c r="DOK49" s="1247"/>
      <c r="DOL49" s="1247"/>
      <c r="DOM49" s="1247"/>
      <c r="DON49" s="1247"/>
      <c r="DOO49" s="1247"/>
      <c r="DOP49" s="1247"/>
      <c r="DOQ49" s="1247"/>
      <c r="DOR49" s="1247"/>
      <c r="DOS49" s="1247"/>
      <c r="DOT49" s="1247"/>
      <c r="DOU49" s="1247"/>
      <c r="DOV49" s="1247"/>
      <c r="DOW49" s="1247"/>
      <c r="DOX49" s="1247"/>
      <c r="DOY49" s="1247"/>
      <c r="DOZ49" s="1247"/>
      <c r="DPA49" s="1247"/>
      <c r="DPB49" s="1247"/>
      <c r="DPC49" s="1247"/>
      <c r="DPD49" s="1247"/>
      <c r="DPE49" s="1247"/>
      <c r="DPF49" s="1247"/>
      <c r="DPG49" s="1247"/>
      <c r="DPH49" s="1247"/>
      <c r="DPI49" s="1247"/>
      <c r="DPJ49" s="1247"/>
      <c r="DPK49" s="1247"/>
      <c r="DPL49" s="1247"/>
      <c r="DPM49" s="1247"/>
      <c r="DPN49" s="1247"/>
      <c r="DPO49" s="1247"/>
      <c r="DPP49" s="1247"/>
      <c r="DPQ49" s="1247"/>
      <c r="DPR49" s="1247"/>
      <c r="DPS49" s="1247"/>
      <c r="DPT49" s="1247"/>
      <c r="DPU49" s="1247"/>
      <c r="DPV49" s="1247"/>
      <c r="DPW49" s="1247"/>
      <c r="DPX49" s="1247"/>
      <c r="DPY49" s="1247"/>
      <c r="DPZ49" s="1247"/>
      <c r="DQA49" s="1247"/>
      <c r="DQB49" s="1247"/>
      <c r="DQC49" s="1247"/>
      <c r="DQD49" s="1247"/>
      <c r="DQE49" s="1247"/>
      <c r="DQF49" s="1247"/>
      <c r="DQG49" s="1247"/>
      <c r="DQH49" s="1247"/>
      <c r="DQI49" s="1247"/>
      <c r="DQJ49" s="1247"/>
      <c r="DQK49" s="1247"/>
      <c r="DQL49" s="1247"/>
      <c r="DQM49" s="1247"/>
      <c r="DQN49" s="1247"/>
      <c r="DQO49" s="1247"/>
      <c r="DQP49" s="1247"/>
      <c r="DQQ49" s="1247"/>
      <c r="DQR49" s="1247"/>
      <c r="DQS49" s="1247"/>
      <c r="DQT49" s="1247"/>
      <c r="DQU49" s="1247"/>
      <c r="DQV49" s="1247"/>
      <c r="DQW49" s="1247"/>
      <c r="DQX49" s="1247"/>
      <c r="DQY49" s="1247"/>
      <c r="DQZ49" s="1247"/>
      <c r="DRA49" s="1247"/>
      <c r="DRB49" s="1247"/>
      <c r="DRC49" s="1247"/>
      <c r="DRD49" s="1247"/>
      <c r="DRE49" s="1247"/>
      <c r="DRF49" s="1247"/>
      <c r="DRG49" s="1247"/>
      <c r="DRH49" s="1247"/>
      <c r="DRI49" s="1247"/>
      <c r="DRJ49" s="1247"/>
      <c r="DRK49" s="1247"/>
      <c r="DRL49" s="1247"/>
      <c r="DRM49" s="1247"/>
      <c r="DRN49" s="1247"/>
      <c r="DRO49" s="1247"/>
      <c r="DRP49" s="1247"/>
      <c r="DRQ49" s="1247"/>
      <c r="DRR49" s="1247"/>
      <c r="DRS49" s="1247"/>
      <c r="DRT49" s="1247"/>
      <c r="DRU49" s="1247"/>
      <c r="DRV49" s="1247"/>
      <c r="DRW49" s="1247"/>
      <c r="DRX49" s="1247"/>
      <c r="DRY49" s="1247"/>
      <c r="DRZ49" s="1247"/>
      <c r="DSA49" s="1247"/>
      <c r="DSB49" s="1247"/>
      <c r="DSC49" s="1247"/>
      <c r="DSD49" s="1247"/>
      <c r="DSE49" s="1247"/>
      <c r="DSF49" s="1247"/>
      <c r="DSG49" s="1247"/>
      <c r="DSH49" s="1247"/>
      <c r="DSI49" s="1247"/>
      <c r="DSJ49" s="1247"/>
      <c r="DSK49" s="1247"/>
      <c r="DSL49" s="1247"/>
      <c r="DSM49" s="1247"/>
      <c r="DSN49" s="1247"/>
      <c r="DSO49" s="1247"/>
      <c r="DSP49" s="1247"/>
      <c r="DSQ49" s="1247"/>
      <c r="DSR49" s="1247"/>
      <c r="DSS49" s="1247"/>
      <c r="DST49" s="1247"/>
      <c r="DSU49" s="1247"/>
      <c r="DSV49" s="1247"/>
      <c r="DSW49" s="1247"/>
      <c r="DSX49" s="1247"/>
      <c r="DSY49" s="1247"/>
      <c r="DSZ49" s="1247"/>
      <c r="DTA49" s="1247"/>
      <c r="DTB49" s="1247"/>
      <c r="DTC49" s="1247"/>
      <c r="DTD49" s="1247"/>
      <c r="DTE49" s="1247"/>
      <c r="DTF49" s="1247"/>
      <c r="DTG49" s="1247"/>
      <c r="DTH49" s="1247"/>
      <c r="DTI49" s="1247"/>
      <c r="DTJ49" s="1247"/>
      <c r="DTK49" s="1247"/>
      <c r="DTL49" s="1247"/>
      <c r="DTM49" s="1247"/>
      <c r="DTN49" s="1247"/>
      <c r="DTO49" s="1247"/>
      <c r="DTP49" s="1247"/>
      <c r="DTQ49" s="1247"/>
      <c r="DTR49" s="1247"/>
      <c r="DTS49" s="1247"/>
      <c r="DTT49" s="1247"/>
      <c r="DTU49" s="1247"/>
      <c r="DTV49" s="1247"/>
      <c r="DTW49" s="1247"/>
      <c r="DTX49" s="1247"/>
      <c r="DTY49" s="1247"/>
      <c r="DTZ49" s="1247"/>
      <c r="DUA49" s="1247"/>
      <c r="DUB49" s="1247"/>
      <c r="DUC49" s="1247"/>
      <c r="DUD49" s="1247"/>
      <c r="DUE49" s="1247"/>
      <c r="DUF49" s="1247"/>
      <c r="DUG49" s="1247"/>
      <c r="DUH49" s="1247"/>
      <c r="DUI49" s="1247"/>
      <c r="DUJ49" s="1247"/>
      <c r="DUK49" s="1247"/>
      <c r="DUL49" s="1247"/>
      <c r="DUM49" s="1247"/>
      <c r="DUN49" s="1247"/>
      <c r="DUO49" s="1247"/>
      <c r="DUP49" s="1247"/>
      <c r="DUQ49" s="1247"/>
      <c r="DUR49" s="1247"/>
      <c r="DUS49" s="1247"/>
      <c r="DUT49" s="1247"/>
      <c r="DUU49" s="1247"/>
      <c r="DUV49" s="1247"/>
      <c r="DUW49" s="1247"/>
      <c r="DUX49" s="1247"/>
      <c r="DUY49" s="1247"/>
      <c r="DUZ49" s="1247"/>
      <c r="DVA49" s="1247"/>
      <c r="DVB49" s="1247"/>
      <c r="DVC49" s="1247"/>
      <c r="DVD49" s="1247"/>
      <c r="DVE49" s="1247"/>
      <c r="DVF49" s="1247"/>
      <c r="DVG49" s="1247"/>
      <c r="DVH49" s="1247"/>
      <c r="DVI49" s="1247"/>
      <c r="DVJ49" s="1247"/>
      <c r="DVK49" s="1247"/>
      <c r="DVL49" s="1247"/>
      <c r="DVM49" s="1247"/>
      <c r="DVN49" s="1247"/>
      <c r="DVO49" s="1247"/>
      <c r="DVP49" s="1247"/>
      <c r="DVQ49" s="1247"/>
      <c r="DVR49" s="1247"/>
      <c r="DVS49" s="1247"/>
      <c r="DVT49" s="1247"/>
      <c r="DVU49" s="1247"/>
      <c r="DVV49" s="1247"/>
      <c r="DVW49" s="1247"/>
      <c r="DVX49" s="1247"/>
      <c r="DVY49" s="1247"/>
      <c r="DVZ49" s="1247"/>
      <c r="DWA49" s="1247"/>
      <c r="DWB49" s="1247"/>
      <c r="DWC49" s="1247"/>
      <c r="DWD49" s="1247"/>
      <c r="DWE49" s="1247"/>
      <c r="DWF49" s="1247"/>
      <c r="DWG49" s="1247"/>
      <c r="DWH49" s="1247"/>
      <c r="DWI49" s="1247"/>
      <c r="DWJ49" s="1247"/>
      <c r="DWK49" s="1247"/>
      <c r="DWL49" s="1247"/>
      <c r="DWM49" s="1247"/>
      <c r="DWN49" s="1247"/>
      <c r="DWO49" s="1247"/>
      <c r="DWP49" s="1247"/>
      <c r="DWQ49" s="1247"/>
      <c r="DWR49" s="1247"/>
      <c r="DWS49" s="1247"/>
      <c r="DWT49" s="1247"/>
      <c r="DWU49" s="1247"/>
      <c r="DWV49" s="1247"/>
      <c r="DWW49" s="1247"/>
      <c r="DWX49" s="1247"/>
      <c r="DWY49" s="1247"/>
      <c r="DWZ49" s="1247"/>
      <c r="DXA49" s="1247"/>
      <c r="DXB49" s="1247"/>
      <c r="DXC49" s="1247"/>
      <c r="DXD49" s="1247"/>
      <c r="DXE49" s="1247"/>
      <c r="DXF49" s="1247"/>
      <c r="DXG49" s="1247"/>
      <c r="DXH49" s="1247"/>
      <c r="DXI49" s="1247"/>
      <c r="DXJ49" s="1247"/>
      <c r="DXK49" s="1247"/>
      <c r="DXL49" s="1247"/>
      <c r="DXM49" s="1247"/>
      <c r="DXN49" s="1247"/>
      <c r="DXO49" s="1247"/>
      <c r="DXP49" s="1247"/>
      <c r="DXQ49" s="1247"/>
      <c r="DXR49" s="1247"/>
      <c r="DXS49" s="1247"/>
      <c r="DXT49" s="1247"/>
      <c r="DXU49" s="1247"/>
      <c r="DXV49" s="1247"/>
      <c r="DXW49" s="1247"/>
      <c r="DXX49" s="1247"/>
      <c r="DXY49" s="1247"/>
      <c r="DXZ49" s="1247"/>
      <c r="DYA49" s="1247"/>
      <c r="DYB49" s="1247"/>
      <c r="DYC49" s="1247"/>
      <c r="DYD49" s="1247"/>
      <c r="DYE49" s="1247"/>
      <c r="DYF49" s="1247"/>
      <c r="DYG49" s="1247"/>
      <c r="DYH49" s="1247"/>
      <c r="DYI49" s="1247"/>
      <c r="DYJ49" s="1247"/>
      <c r="DYK49" s="1247"/>
      <c r="DYL49" s="1247"/>
      <c r="DYM49" s="1247"/>
      <c r="DYN49" s="1247"/>
      <c r="DYO49" s="1247"/>
      <c r="DYP49" s="1247"/>
      <c r="DYQ49" s="1247"/>
      <c r="DYR49" s="1247"/>
      <c r="DYS49" s="1247"/>
      <c r="DYT49" s="1247"/>
      <c r="DYU49" s="1247"/>
      <c r="DYV49" s="1247"/>
      <c r="DYW49" s="1247"/>
      <c r="DYX49" s="1247"/>
      <c r="DYY49" s="1247"/>
      <c r="DYZ49" s="1247"/>
      <c r="DZA49" s="1247"/>
      <c r="DZB49" s="1247"/>
      <c r="DZC49" s="1247"/>
      <c r="DZD49" s="1247"/>
      <c r="DZE49" s="1247"/>
      <c r="DZF49" s="1247"/>
      <c r="DZG49" s="1247"/>
      <c r="DZH49" s="1247"/>
      <c r="DZI49" s="1247"/>
      <c r="DZJ49" s="1247"/>
      <c r="DZK49" s="1247"/>
      <c r="DZL49" s="1247"/>
      <c r="DZM49" s="1247"/>
      <c r="DZN49" s="1247"/>
      <c r="DZO49" s="1247"/>
      <c r="DZP49" s="1247"/>
      <c r="DZQ49" s="1247"/>
      <c r="DZR49" s="1247"/>
      <c r="DZS49" s="1247"/>
      <c r="DZT49" s="1247"/>
      <c r="DZU49" s="1247"/>
      <c r="DZV49" s="1247"/>
      <c r="DZW49" s="1247"/>
      <c r="DZX49" s="1247"/>
      <c r="DZY49" s="1247"/>
      <c r="DZZ49" s="1247"/>
      <c r="EAA49" s="1247"/>
      <c r="EAB49" s="1247"/>
      <c r="EAC49" s="1247"/>
      <c r="EAD49" s="1247"/>
      <c r="EAE49" s="1247"/>
      <c r="EAF49" s="1247"/>
      <c r="EAG49" s="1247"/>
      <c r="EAH49" s="1247"/>
      <c r="EAI49" s="1247"/>
      <c r="EAJ49" s="1247"/>
      <c r="EAK49" s="1247"/>
      <c r="EAL49" s="1247"/>
      <c r="EAM49" s="1247"/>
      <c r="EAN49" s="1247"/>
      <c r="EAO49" s="1247"/>
      <c r="EAP49" s="1247"/>
      <c r="EAQ49" s="1247"/>
      <c r="EAR49" s="1247"/>
      <c r="EAS49" s="1247"/>
      <c r="EAT49" s="1247"/>
      <c r="EAU49" s="1247"/>
      <c r="EAV49" s="1247"/>
      <c r="EAW49" s="1247"/>
      <c r="EAX49" s="1247"/>
      <c r="EAY49" s="1247"/>
      <c r="EAZ49" s="1247"/>
      <c r="EBA49" s="1247"/>
      <c r="EBB49" s="1247"/>
      <c r="EBC49" s="1247"/>
      <c r="EBD49" s="1247"/>
      <c r="EBE49" s="1247"/>
      <c r="EBF49" s="1247"/>
      <c r="EBG49" s="1247"/>
      <c r="EBH49" s="1247"/>
      <c r="EBI49" s="1247"/>
      <c r="EBJ49" s="1247"/>
      <c r="EBK49" s="1247"/>
      <c r="EBL49" s="1247"/>
      <c r="EBM49" s="1247"/>
      <c r="EBN49" s="1247"/>
      <c r="EBO49" s="1247"/>
      <c r="EBP49" s="1247"/>
      <c r="EBQ49" s="1247"/>
      <c r="EBR49" s="1247"/>
      <c r="EBS49" s="1247"/>
      <c r="EBT49" s="1247"/>
      <c r="EBU49" s="1247"/>
      <c r="EBV49" s="1247"/>
      <c r="EBW49" s="1247"/>
      <c r="EBX49" s="1247"/>
      <c r="EBY49" s="1247"/>
      <c r="EBZ49" s="1247"/>
      <c r="ECA49" s="1247"/>
      <c r="ECB49" s="1247"/>
      <c r="ECC49" s="1247"/>
      <c r="ECD49" s="1247"/>
      <c r="ECE49" s="1247"/>
      <c r="ECF49" s="1247"/>
      <c r="ECG49" s="1247"/>
      <c r="ECH49" s="1247"/>
      <c r="ECI49" s="1247"/>
      <c r="ECJ49" s="1247"/>
      <c r="ECK49" s="1247"/>
      <c r="ECL49" s="1247"/>
      <c r="ECM49" s="1247"/>
      <c r="ECN49" s="1247"/>
      <c r="ECO49" s="1247"/>
    </row>
    <row r="50" spans="2:3473" s="1237" customFormat="1" ht="13">
      <c r="B50" s="1238">
        <v>5001.09</v>
      </c>
      <c r="C50" s="1265" t="s">
        <v>1013</v>
      </c>
      <c r="D50" s="1240" t="s">
        <v>53</v>
      </c>
      <c r="E50" s="1274"/>
      <c r="F50" s="1242"/>
      <c r="G50" s="1242"/>
      <c r="H50" s="1242"/>
      <c r="I50" s="1242"/>
      <c r="J50" s="1242"/>
      <c r="K50" s="1242"/>
      <c r="L50" s="1242"/>
      <c r="M50" s="1274"/>
      <c r="N50" s="1242"/>
      <c r="O50" s="1242"/>
      <c r="P50" s="1242"/>
      <c r="Q50" s="1242"/>
      <c r="R50" s="1242"/>
      <c r="S50" s="1242"/>
      <c r="T50" s="1242"/>
      <c r="U50" s="1242"/>
      <c r="V50" s="1242"/>
      <c r="W50" s="1242"/>
      <c r="X50" s="1242"/>
      <c r="Y50" s="1242"/>
      <c r="Z50" s="1242"/>
      <c r="AA50" s="1274"/>
      <c r="AB50" s="1274"/>
      <c r="AC50" s="1242"/>
      <c r="AD50" s="1275"/>
      <c r="AE50" s="1243"/>
      <c r="AF50" s="1263"/>
      <c r="AG50" s="1264"/>
      <c r="AH50" s="1264"/>
      <c r="AI50" s="1264"/>
      <c r="AJ50" s="1275"/>
      <c r="AK50" s="1275"/>
      <c r="AL50" s="1264"/>
      <c r="AM50" s="1275"/>
      <c r="AN50" s="1275"/>
      <c r="AO50" s="1275"/>
      <c r="AP50" s="1275"/>
      <c r="AQ50" s="1275"/>
      <c r="AR50" s="1264"/>
      <c r="AS50" s="1275"/>
      <c r="AT50" s="1275"/>
      <c r="AU50" s="1275"/>
      <c r="AV50" s="1275"/>
      <c r="AW50" s="1275"/>
      <c r="AX50" s="1275"/>
      <c r="AY50" s="1275"/>
      <c r="AZ50" s="1275"/>
      <c r="BA50" s="1275"/>
      <c r="BB50" s="1275"/>
      <c r="BC50" s="1275"/>
      <c r="BD50" s="1275"/>
      <c r="BE50" s="1275"/>
      <c r="BF50" s="1275"/>
      <c r="BG50" s="1275"/>
      <c r="BH50" s="1275"/>
      <c r="BI50" s="1275"/>
      <c r="BJ50" s="1276"/>
      <c r="BK50" s="1264"/>
      <c r="BL50" s="1277"/>
      <c r="BM50" s="1246"/>
      <c r="BN50" s="1247"/>
      <c r="BO50" s="1247"/>
      <c r="BP50" s="1247"/>
      <c r="BQ50" s="1247"/>
      <c r="BR50" s="1247"/>
      <c r="BS50" s="1247"/>
      <c r="BT50" s="1247"/>
      <c r="BU50" s="1247"/>
      <c r="BV50" s="1247"/>
      <c r="BW50" s="1247"/>
      <c r="BX50" s="1247"/>
      <c r="BY50" s="1247"/>
      <c r="BZ50" s="1247"/>
      <c r="CA50" s="1247"/>
      <c r="CB50" s="1247"/>
      <c r="CC50" s="1247"/>
      <c r="CD50" s="1247"/>
      <c r="CE50" s="1247"/>
      <c r="CF50" s="1247"/>
      <c r="CG50" s="1247"/>
      <c r="CH50" s="1247"/>
      <c r="CI50" s="1247"/>
      <c r="CJ50" s="1247"/>
      <c r="CK50" s="1247"/>
      <c r="CL50" s="1247"/>
      <c r="CM50" s="1247"/>
      <c r="CN50" s="1247"/>
      <c r="CO50" s="1247"/>
      <c r="CP50" s="1247"/>
      <c r="CQ50" s="1247"/>
      <c r="CR50" s="1247"/>
      <c r="CS50" s="1247"/>
      <c r="CT50" s="1247"/>
      <c r="CU50" s="1247"/>
      <c r="CV50" s="1247"/>
      <c r="CW50" s="1247"/>
      <c r="CX50" s="1247"/>
      <c r="CY50" s="1247"/>
      <c r="CZ50" s="1247"/>
      <c r="DA50" s="1247"/>
      <c r="DB50" s="1247"/>
      <c r="DC50" s="1247"/>
      <c r="DD50" s="1247"/>
      <c r="DE50" s="1247"/>
      <c r="DF50" s="1247"/>
      <c r="DG50" s="1247"/>
      <c r="DH50" s="1247"/>
      <c r="DI50" s="1247"/>
      <c r="DJ50" s="1247"/>
      <c r="DK50" s="1247"/>
      <c r="DL50" s="1247"/>
      <c r="DM50" s="1247"/>
      <c r="DN50" s="1247"/>
      <c r="DO50" s="1247"/>
      <c r="DP50" s="1247"/>
      <c r="DQ50" s="1247"/>
      <c r="DR50" s="1247"/>
      <c r="DS50" s="1247"/>
      <c r="DT50" s="1247"/>
      <c r="DU50" s="1247"/>
      <c r="DV50" s="1247"/>
      <c r="DW50" s="1247"/>
      <c r="DX50" s="1247"/>
      <c r="DY50" s="1247"/>
      <c r="DZ50" s="1247"/>
      <c r="EA50" s="1247"/>
      <c r="EB50" s="1247"/>
      <c r="EC50" s="1247"/>
      <c r="ED50" s="1247"/>
      <c r="EE50" s="1247"/>
      <c r="EF50" s="1247"/>
      <c r="EG50" s="1247"/>
      <c r="EH50" s="1247"/>
      <c r="EI50" s="1247"/>
      <c r="EJ50" s="1247"/>
      <c r="EK50" s="1247"/>
      <c r="EL50" s="1247"/>
      <c r="EM50" s="1247"/>
      <c r="EN50" s="1247"/>
      <c r="EO50" s="1247"/>
      <c r="EP50" s="1247"/>
      <c r="EQ50" s="1247"/>
      <c r="ER50" s="1247"/>
      <c r="ES50" s="1247"/>
      <c r="ET50" s="1247"/>
      <c r="EU50" s="1247"/>
      <c r="EV50" s="1247"/>
      <c r="EW50" s="1247"/>
      <c r="EX50" s="1247"/>
      <c r="EY50" s="1247"/>
      <c r="EZ50" s="1247"/>
      <c r="FA50" s="1247"/>
      <c r="FB50" s="1247"/>
      <c r="FC50" s="1247"/>
      <c r="FD50" s="1247"/>
      <c r="FE50" s="1247"/>
      <c r="FF50" s="1247"/>
      <c r="FG50" s="1247"/>
      <c r="FH50" s="1247"/>
      <c r="FI50" s="1247"/>
      <c r="FJ50" s="1247"/>
      <c r="FK50" s="1247"/>
      <c r="FL50" s="1247"/>
      <c r="FM50" s="1247"/>
      <c r="FN50" s="1247"/>
      <c r="FO50" s="1247"/>
      <c r="FP50" s="1247"/>
      <c r="FQ50" s="1247"/>
      <c r="FR50" s="1247"/>
      <c r="FS50" s="1247"/>
      <c r="FT50" s="1247"/>
      <c r="FU50" s="1247"/>
      <c r="FV50" s="1247"/>
      <c r="FW50" s="1247"/>
      <c r="FX50" s="1247"/>
      <c r="FY50" s="1247"/>
      <c r="FZ50" s="1247"/>
      <c r="GA50" s="1247"/>
      <c r="GB50" s="1247"/>
      <c r="GC50" s="1247"/>
      <c r="GD50" s="1247"/>
      <c r="GE50" s="1247"/>
      <c r="GF50" s="1247"/>
      <c r="GG50" s="1247"/>
      <c r="GH50" s="1247"/>
      <c r="GI50" s="1247"/>
      <c r="GJ50" s="1247"/>
      <c r="GK50" s="1247"/>
      <c r="GL50" s="1247"/>
      <c r="GM50" s="1247"/>
      <c r="GN50" s="1247"/>
      <c r="GO50" s="1247"/>
      <c r="GP50" s="1247"/>
      <c r="GQ50" s="1247"/>
      <c r="GR50" s="1247"/>
      <c r="GS50" s="1247"/>
      <c r="GT50" s="1247"/>
      <c r="GU50" s="1247"/>
      <c r="GV50" s="1247"/>
      <c r="GW50" s="1247"/>
      <c r="GX50" s="1247"/>
      <c r="GY50" s="1247"/>
      <c r="GZ50" s="1247"/>
      <c r="HA50" s="1247"/>
      <c r="HB50" s="1247"/>
      <c r="HC50" s="1247"/>
      <c r="HD50" s="1247"/>
      <c r="HE50" s="1247"/>
      <c r="HF50" s="1247"/>
      <c r="HG50" s="1247"/>
      <c r="HH50" s="1247"/>
      <c r="HI50" s="1247"/>
      <c r="HJ50" s="1247"/>
      <c r="HK50" s="1247"/>
      <c r="HL50" s="1247"/>
      <c r="HM50" s="1247"/>
      <c r="HN50" s="1247"/>
      <c r="HO50" s="1247"/>
      <c r="HP50" s="1247"/>
      <c r="HQ50" s="1247"/>
      <c r="HR50" s="1247"/>
      <c r="HS50" s="1247"/>
      <c r="HT50" s="1247"/>
      <c r="HU50" s="1247"/>
      <c r="HV50" s="1247"/>
      <c r="HW50" s="1247"/>
      <c r="HX50" s="1247"/>
      <c r="HY50" s="1247"/>
      <c r="HZ50" s="1247"/>
      <c r="IA50" s="1247"/>
      <c r="IB50" s="1247"/>
      <c r="IC50" s="1247"/>
      <c r="ID50" s="1247"/>
      <c r="IE50" s="1247"/>
      <c r="IF50" s="1247"/>
      <c r="IG50" s="1247"/>
      <c r="IH50" s="1247"/>
      <c r="II50" s="1247"/>
      <c r="IJ50" s="1247"/>
      <c r="IK50" s="1247"/>
      <c r="IL50" s="1247"/>
      <c r="IM50" s="1247"/>
      <c r="IN50" s="1247"/>
      <c r="IO50" s="1247"/>
      <c r="IP50" s="1247"/>
      <c r="IQ50" s="1247"/>
      <c r="IR50" s="1247"/>
      <c r="IS50" s="1247"/>
      <c r="IT50" s="1247"/>
      <c r="IU50" s="1247"/>
      <c r="IV50" s="1247"/>
      <c r="IW50" s="1247"/>
      <c r="IX50" s="1247"/>
      <c r="IY50" s="1247"/>
      <c r="IZ50" s="1247"/>
      <c r="JA50" s="1247"/>
      <c r="JB50" s="1247"/>
      <c r="JC50" s="1247"/>
      <c r="JD50" s="1247"/>
      <c r="JE50" s="1247"/>
      <c r="JF50" s="1247"/>
      <c r="JG50" s="1247"/>
      <c r="JH50" s="1247"/>
      <c r="JI50" s="1247"/>
      <c r="JJ50" s="1247"/>
      <c r="JK50" s="1247"/>
      <c r="JL50" s="1247"/>
      <c r="JM50" s="1247"/>
      <c r="JN50" s="1247"/>
      <c r="JO50" s="1247"/>
      <c r="JP50" s="1247"/>
      <c r="JQ50" s="1247"/>
      <c r="JR50" s="1247"/>
      <c r="JS50" s="1247"/>
      <c r="JT50" s="1247"/>
      <c r="JU50" s="1247"/>
      <c r="JV50" s="1247"/>
      <c r="JW50" s="1247"/>
      <c r="JX50" s="1247"/>
      <c r="JY50" s="1247"/>
      <c r="JZ50" s="1247"/>
      <c r="KA50" s="1247"/>
      <c r="KB50" s="1247"/>
      <c r="KC50" s="1247"/>
      <c r="KD50" s="1247"/>
      <c r="KE50" s="1247"/>
      <c r="KF50" s="1247"/>
      <c r="KG50" s="1247"/>
      <c r="KH50" s="1247"/>
      <c r="KI50" s="1247"/>
      <c r="KJ50" s="1247"/>
      <c r="KK50" s="1247"/>
      <c r="KL50" s="1247"/>
      <c r="KM50" s="1247"/>
      <c r="KN50" s="1247"/>
      <c r="KO50" s="1247"/>
      <c r="KP50" s="1247"/>
      <c r="KQ50" s="1247"/>
      <c r="KR50" s="1247"/>
      <c r="KS50" s="1247"/>
      <c r="KT50" s="1247"/>
      <c r="KU50" s="1247"/>
      <c r="KV50" s="1247"/>
      <c r="KW50" s="1247"/>
      <c r="KX50" s="1247"/>
      <c r="KY50" s="1247"/>
      <c r="KZ50" s="1247"/>
      <c r="LA50" s="1247"/>
      <c r="LB50" s="1247"/>
      <c r="LC50" s="1247"/>
      <c r="LD50" s="1247"/>
      <c r="LE50" s="1247"/>
      <c r="LF50" s="1247"/>
      <c r="LG50" s="1247"/>
      <c r="LH50" s="1247"/>
      <c r="LI50" s="1247"/>
      <c r="LJ50" s="1247"/>
      <c r="LK50" s="1247"/>
      <c r="LL50" s="1247"/>
      <c r="LM50" s="1247"/>
      <c r="LN50" s="1247"/>
      <c r="LO50" s="1247"/>
      <c r="LP50" s="1247"/>
      <c r="LQ50" s="1247"/>
      <c r="LR50" s="1247"/>
      <c r="LS50" s="1247"/>
      <c r="LT50" s="1247"/>
      <c r="LU50" s="1247"/>
      <c r="LV50" s="1247"/>
      <c r="LW50" s="1247"/>
      <c r="LX50" s="1247"/>
      <c r="LY50" s="1247"/>
      <c r="LZ50" s="1247"/>
      <c r="MA50" s="1247"/>
      <c r="MB50" s="1247"/>
      <c r="MC50" s="1247"/>
      <c r="MD50" s="1247"/>
      <c r="ME50" s="1247"/>
      <c r="MF50" s="1247"/>
      <c r="MG50" s="1247"/>
      <c r="MH50" s="1247"/>
      <c r="MI50" s="1247"/>
      <c r="MJ50" s="1247"/>
      <c r="MK50" s="1247"/>
      <c r="ML50" s="1247"/>
      <c r="MM50" s="1247"/>
      <c r="MN50" s="1247"/>
      <c r="MO50" s="1247"/>
      <c r="MP50" s="1247"/>
      <c r="MQ50" s="1247"/>
      <c r="MR50" s="1247"/>
      <c r="MS50" s="1247"/>
      <c r="MT50" s="1247"/>
      <c r="MU50" s="1247"/>
      <c r="MV50" s="1247"/>
      <c r="MW50" s="1247"/>
      <c r="MX50" s="1247"/>
      <c r="MY50" s="1247"/>
      <c r="MZ50" s="1247"/>
      <c r="NA50" s="1247"/>
      <c r="NB50" s="1247"/>
      <c r="NC50" s="1247"/>
      <c r="ND50" s="1247"/>
      <c r="NE50" s="1247"/>
      <c r="NF50" s="1247"/>
      <c r="NG50" s="1247"/>
      <c r="NH50" s="1247"/>
      <c r="NI50" s="1247"/>
      <c r="NJ50" s="1247"/>
      <c r="NK50" s="1247"/>
      <c r="NL50" s="1247"/>
      <c r="NM50" s="1247"/>
      <c r="NN50" s="1247"/>
      <c r="NO50" s="1247"/>
      <c r="NP50" s="1247"/>
      <c r="NQ50" s="1247"/>
      <c r="NR50" s="1247"/>
      <c r="NS50" s="1247"/>
      <c r="NT50" s="1247"/>
      <c r="NU50" s="1247"/>
      <c r="NV50" s="1247"/>
      <c r="NW50" s="1247"/>
      <c r="NX50" s="1247"/>
      <c r="NY50" s="1247"/>
      <c r="NZ50" s="1247"/>
      <c r="OA50" s="1247"/>
      <c r="OB50" s="1247"/>
      <c r="OC50" s="1247"/>
      <c r="OD50" s="1247"/>
      <c r="OE50" s="1247"/>
      <c r="OF50" s="1247"/>
      <c r="OG50" s="1247"/>
      <c r="OH50" s="1247"/>
      <c r="OI50" s="1247"/>
      <c r="OJ50" s="1247"/>
      <c r="OK50" s="1247"/>
      <c r="OL50" s="1247"/>
      <c r="OM50" s="1247"/>
      <c r="ON50" s="1247"/>
      <c r="OO50" s="1247"/>
      <c r="OP50" s="1247"/>
      <c r="OQ50" s="1247"/>
      <c r="OR50" s="1247"/>
      <c r="OS50" s="1247"/>
      <c r="OT50" s="1247"/>
      <c r="OU50" s="1247"/>
      <c r="OV50" s="1247"/>
      <c r="OW50" s="1247"/>
      <c r="OX50" s="1247"/>
      <c r="OY50" s="1247"/>
      <c r="OZ50" s="1247"/>
      <c r="PA50" s="1247"/>
      <c r="PB50" s="1247"/>
      <c r="PC50" s="1247"/>
      <c r="PD50" s="1247"/>
      <c r="PE50" s="1247"/>
      <c r="PF50" s="1247"/>
      <c r="PG50" s="1247"/>
      <c r="PH50" s="1247"/>
      <c r="PI50" s="1247"/>
      <c r="PJ50" s="1247"/>
      <c r="PK50" s="1247"/>
      <c r="PL50" s="1247"/>
      <c r="PM50" s="1247"/>
      <c r="PN50" s="1247"/>
      <c r="PO50" s="1247"/>
      <c r="PP50" s="1247"/>
      <c r="PQ50" s="1247"/>
      <c r="PR50" s="1247"/>
      <c r="PS50" s="1247"/>
      <c r="PT50" s="1247"/>
      <c r="PU50" s="1247"/>
      <c r="PV50" s="1247"/>
      <c r="PW50" s="1247"/>
      <c r="PX50" s="1247"/>
      <c r="PY50" s="1247"/>
      <c r="PZ50" s="1247"/>
      <c r="QA50" s="1247"/>
      <c r="QB50" s="1247"/>
      <c r="QC50" s="1247"/>
      <c r="QD50" s="1247"/>
      <c r="QE50" s="1247"/>
      <c r="QF50" s="1247"/>
      <c r="QG50" s="1247"/>
      <c r="QH50" s="1247"/>
      <c r="QI50" s="1247"/>
      <c r="QJ50" s="1247"/>
      <c r="QK50" s="1247"/>
      <c r="QL50" s="1247"/>
      <c r="QM50" s="1247"/>
      <c r="QN50" s="1247"/>
      <c r="QO50" s="1247"/>
      <c r="QP50" s="1247"/>
      <c r="QQ50" s="1247"/>
      <c r="QR50" s="1247"/>
      <c r="QS50" s="1247"/>
      <c r="QT50" s="1247"/>
      <c r="QU50" s="1247"/>
      <c r="QV50" s="1247"/>
      <c r="QW50" s="1247"/>
      <c r="QX50" s="1247"/>
      <c r="QY50" s="1247"/>
      <c r="QZ50" s="1247"/>
      <c r="RA50" s="1247"/>
      <c r="RB50" s="1247"/>
      <c r="RC50" s="1247"/>
      <c r="RD50" s="1247"/>
      <c r="RE50" s="1247"/>
      <c r="RF50" s="1247"/>
      <c r="RG50" s="1247"/>
      <c r="RH50" s="1247"/>
      <c r="RI50" s="1247"/>
      <c r="RJ50" s="1247"/>
      <c r="RK50" s="1247"/>
      <c r="RL50" s="1247"/>
      <c r="RM50" s="1247"/>
      <c r="RN50" s="1247"/>
      <c r="RO50" s="1247"/>
      <c r="RP50" s="1247"/>
      <c r="RQ50" s="1247"/>
      <c r="RR50" s="1247"/>
      <c r="RS50" s="1247"/>
      <c r="RT50" s="1247"/>
      <c r="RU50" s="1247"/>
      <c r="RV50" s="1247"/>
      <c r="RW50" s="1247"/>
      <c r="RX50" s="1247"/>
      <c r="RY50" s="1247"/>
      <c r="RZ50" s="1247"/>
      <c r="SA50" s="1247"/>
      <c r="SB50" s="1247"/>
      <c r="SC50" s="1247"/>
      <c r="SD50" s="1247"/>
      <c r="SE50" s="1247"/>
      <c r="SF50" s="1247"/>
      <c r="SG50" s="1247"/>
      <c r="SH50" s="1247"/>
      <c r="SI50" s="1247"/>
      <c r="SJ50" s="1247"/>
      <c r="SK50" s="1247"/>
      <c r="SL50" s="1247"/>
      <c r="SM50" s="1247"/>
      <c r="SN50" s="1247"/>
      <c r="SO50" s="1247"/>
      <c r="SP50" s="1247"/>
      <c r="SQ50" s="1247"/>
      <c r="SR50" s="1247"/>
      <c r="SS50" s="1247"/>
      <c r="ST50" s="1247"/>
      <c r="SU50" s="1247"/>
      <c r="SV50" s="1247"/>
      <c r="SW50" s="1247"/>
      <c r="SX50" s="1247"/>
      <c r="SY50" s="1247"/>
      <c r="SZ50" s="1247"/>
      <c r="TA50" s="1247"/>
      <c r="TB50" s="1247"/>
      <c r="TC50" s="1247"/>
      <c r="TD50" s="1247"/>
      <c r="TE50" s="1247"/>
      <c r="TF50" s="1247"/>
      <c r="TG50" s="1247"/>
      <c r="TH50" s="1247"/>
      <c r="TI50" s="1247"/>
      <c r="TJ50" s="1247"/>
      <c r="TK50" s="1247"/>
      <c r="TL50" s="1247"/>
      <c r="TM50" s="1247"/>
      <c r="TN50" s="1247"/>
      <c r="TO50" s="1247"/>
      <c r="TP50" s="1247"/>
      <c r="TQ50" s="1247"/>
      <c r="TR50" s="1247"/>
      <c r="TS50" s="1247"/>
      <c r="TT50" s="1247"/>
      <c r="TU50" s="1247"/>
      <c r="TV50" s="1247"/>
      <c r="TW50" s="1247"/>
      <c r="TX50" s="1247"/>
      <c r="TY50" s="1247"/>
      <c r="TZ50" s="1247"/>
      <c r="UA50" s="1247"/>
      <c r="UB50" s="1247"/>
      <c r="UC50" s="1247"/>
      <c r="UD50" s="1247"/>
      <c r="UE50" s="1247"/>
      <c r="UF50" s="1247"/>
      <c r="UG50" s="1247"/>
      <c r="UH50" s="1247"/>
      <c r="UI50" s="1247"/>
      <c r="UJ50" s="1247"/>
      <c r="UK50" s="1247"/>
      <c r="UL50" s="1247"/>
      <c r="UM50" s="1247"/>
      <c r="UN50" s="1247"/>
      <c r="UO50" s="1247"/>
      <c r="UP50" s="1247"/>
      <c r="UQ50" s="1247"/>
      <c r="UR50" s="1247"/>
      <c r="US50" s="1247"/>
      <c r="UT50" s="1247"/>
      <c r="UU50" s="1247"/>
      <c r="UV50" s="1247"/>
      <c r="UW50" s="1247"/>
      <c r="UX50" s="1247"/>
      <c r="UY50" s="1247"/>
      <c r="UZ50" s="1247"/>
      <c r="VA50" s="1247"/>
      <c r="VB50" s="1247"/>
      <c r="VC50" s="1247"/>
      <c r="VD50" s="1247"/>
      <c r="VE50" s="1247"/>
      <c r="VF50" s="1247"/>
      <c r="VG50" s="1247"/>
      <c r="VH50" s="1247"/>
      <c r="VI50" s="1247"/>
      <c r="VJ50" s="1247"/>
      <c r="VK50" s="1247"/>
      <c r="VL50" s="1247"/>
      <c r="VM50" s="1247"/>
      <c r="VN50" s="1247"/>
      <c r="VO50" s="1247"/>
      <c r="VP50" s="1247"/>
      <c r="VQ50" s="1247"/>
      <c r="VR50" s="1247"/>
      <c r="VS50" s="1247"/>
      <c r="VT50" s="1247"/>
      <c r="VU50" s="1247"/>
      <c r="VV50" s="1247"/>
      <c r="VW50" s="1247"/>
      <c r="VX50" s="1247"/>
      <c r="VY50" s="1247"/>
      <c r="VZ50" s="1247"/>
      <c r="WA50" s="1247"/>
      <c r="WB50" s="1247"/>
      <c r="WC50" s="1247"/>
      <c r="WD50" s="1247"/>
      <c r="WE50" s="1247"/>
      <c r="WF50" s="1247"/>
      <c r="WG50" s="1247"/>
      <c r="WH50" s="1247"/>
      <c r="WI50" s="1247"/>
      <c r="WJ50" s="1247"/>
      <c r="WK50" s="1247"/>
      <c r="WL50" s="1247"/>
      <c r="WM50" s="1247"/>
      <c r="WN50" s="1247"/>
      <c r="WO50" s="1247"/>
      <c r="WP50" s="1247"/>
      <c r="WQ50" s="1247"/>
      <c r="WR50" s="1247"/>
      <c r="WS50" s="1247"/>
      <c r="WT50" s="1247"/>
      <c r="WU50" s="1247"/>
      <c r="WV50" s="1247"/>
      <c r="WW50" s="1247"/>
      <c r="WX50" s="1247"/>
      <c r="WY50" s="1247"/>
      <c r="WZ50" s="1247"/>
      <c r="XA50" s="1247"/>
      <c r="XB50" s="1247"/>
      <c r="XC50" s="1247"/>
      <c r="XD50" s="1247"/>
      <c r="XE50" s="1247"/>
      <c r="XF50" s="1247"/>
      <c r="XG50" s="1247"/>
      <c r="XH50" s="1247"/>
      <c r="XI50" s="1247"/>
      <c r="XJ50" s="1247"/>
      <c r="XK50" s="1247"/>
      <c r="XL50" s="1247"/>
      <c r="XM50" s="1247"/>
      <c r="XN50" s="1247"/>
      <c r="XO50" s="1247"/>
      <c r="XP50" s="1247"/>
      <c r="XQ50" s="1247"/>
      <c r="XR50" s="1247"/>
      <c r="XS50" s="1247"/>
      <c r="XT50" s="1247"/>
      <c r="XU50" s="1247"/>
      <c r="XV50" s="1247"/>
      <c r="XW50" s="1247"/>
      <c r="XX50" s="1247"/>
      <c r="XY50" s="1247"/>
      <c r="XZ50" s="1247"/>
      <c r="YA50" s="1247"/>
      <c r="YB50" s="1247"/>
      <c r="YC50" s="1247"/>
      <c r="YD50" s="1247"/>
      <c r="YE50" s="1247"/>
      <c r="YF50" s="1247"/>
      <c r="YG50" s="1247"/>
      <c r="YH50" s="1247"/>
      <c r="YI50" s="1247"/>
      <c r="YJ50" s="1247"/>
      <c r="YK50" s="1247"/>
      <c r="YL50" s="1247"/>
      <c r="YM50" s="1247"/>
      <c r="YN50" s="1247"/>
      <c r="YO50" s="1247"/>
      <c r="YP50" s="1247"/>
      <c r="YQ50" s="1247"/>
      <c r="YR50" s="1247"/>
      <c r="YS50" s="1247"/>
      <c r="YT50" s="1247"/>
      <c r="YU50" s="1247"/>
      <c r="YV50" s="1247"/>
      <c r="YW50" s="1247"/>
      <c r="YX50" s="1247"/>
      <c r="YY50" s="1247"/>
      <c r="YZ50" s="1247"/>
      <c r="ZA50" s="1247"/>
      <c r="ZB50" s="1247"/>
      <c r="ZC50" s="1247"/>
      <c r="ZD50" s="1247"/>
      <c r="ZE50" s="1247"/>
      <c r="ZF50" s="1247"/>
      <c r="ZG50" s="1247"/>
      <c r="ZH50" s="1247"/>
      <c r="ZI50" s="1247"/>
      <c r="ZJ50" s="1247"/>
      <c r="ZK50" s="1247"/>
      <c r="ZL50" s="1247"/>
      <c r="ZM50" s="1247"/>
      <c r="ZN50" s="1247"/>
      <c r="ZO50" s="1247"/>
      <c r="ZP50" s="1247"/>
      <c r="ZQ50" s="1247"/>
      <c r="ZR50" s="1247"/>
      <c r="ZS50" s="1247"/>
      <c r="ZT50" s="1247"/>
      <c r="ZU50" s="1247"/>
      <c r="ZV50" s="1247"/>
      <c r="ZW50" s="1247"/>
      <c r="ZX50" s="1247"/>
      <c r="ZY50" s="1247"/>
      <c r="ZZ50" s="1247"/>
      <c r="AAA50" s="1247"/>
      <c r="AAB50" s="1247"/>
      <c r="AAC50" s="1247"/>
      <c r="AAD50" s="1247"/>
      <c r="AAE50" s="1247"/>
      <c r="AAF50" s="1247"/>
      <c r="AAG50" s="1247"/>
      <c r="AAH50" s="1247"/>
      <c r="AAI50" s="1247"/>
      <c r="AAJ50" s="1247"/>
      <c r="AAK50" s="1247"/>
      <c r="AAL50" s="1247"/>
      <c r="AAM50" s="1247"/>
      <c r="AAN50" s="1247"/>
      <c r="AAO50" s="1247"/>
      <c r="AAP50" s="1247"/>
      <c r="AAQ50" s="1247"/>
      <c r="AAR50" s="1247"/>
      <c r="AAS50" s="1247"/>
      <c r="AAT50" s="1247"/>
      <c r="AAU50" s="1247"/>
      <c r="AAV50" s="1247"/>
      <c r="AAW50" s="1247"/>
      <c r="AAX50" s="1247"/>
      <c r="AAY50" s="1247"/>
      <c r="AAZ50" s="1247"/>
      <c r="ABA50" s="1247"/>
      <c r="ABB50" s="1247"/>
      <c r="ABC50" s="1247"/>
      <c r="ABD50" s="1247"/>
      <c r="ABE50" s="1247"/>
      <c r="ABF50" s="1247"/>
      <c r="ABG50" s="1247"/>
      <c r="ABH50" s="1247"/>
      <c r="ABI50" s="1247"/>
      <c r="ABJ50" s="1247"/>
      <c r="ABK50" s="1247"/>
      <c r="ABL50" s="1247"/>
      <c r="ABM50" s="1247"/>
      <c r="ABN50" s="1247"/>
      <c r="ABO50" s="1247"/>
      <c r="ABP50" s="1247"/>
      <c r="ABQ50" s="1247"/>
      <c r="ABR50" s="1247"/>
      <c r="ABS50" s="1247"/>
      <c r="ABT50" s="1247"/>
      <c r="ABU50" s="1247"/>
      <c r="ABV50" s="1247"/>
      <c r="ABW50" s="1247"/>
      <c r="ABX50" s="1247"/>
      <c r="ABY50" s="1247"/>
      <c r="ABZ50" s="1247"/>
      <c r="ACA50" s="1247"/>
      <c r="ACB50" s="1247"/>
      <c r="ACC50" s="1247"/>
      <c r="ACD50" s="1247"/>
      <c r="ACE50" s="1247"/>
      <c r="ACF50" s="1247"/>
      <c r="ACG50" s="1247"/>
      <c r="ACH50" s="1247"/>
      <c r="ACI50" s="1247"/>
      <c r="ACJ50" s="1247"/>
      <c r="ACK50" s="1247"/>
      <c r="ACL50" s="1247"/>
      <c r="ACM50" s="1247"/>
      <c r="ACN50" s="1247"/>
      <c r="ACO50" s="1247"/>
      <c r="ACP50" s="1247"/>
      <c r="ACQ50" s="1247"/>
      <c r="ACR50" s="1247"/>
      <c r="ACS50" s="1247"/>
      <c r="ACT50" s="1247"/>
      <c r="ACU50" s="1247"/>
      <c r="ACV50" s="1247"/>
      <c r="ACW50" s="1247"/>
      <c r="ACX50" s="1247"/>
      <c r="ACY50" s="1247"/>
      <c r="ACZ50" s="1247"/>
      <c r="ADA50" s="1247"/>
      <c r="ADB50" s="1247"/>
      <c r="ADC50" s="1247"/>
      <c r="ADD50" s="1247"/>
      <c r="ADE50" s="1247"/>
      <c r="ADF50" s="1247"/>
      <c r="ADG50" s="1247"/>
      <c r="ADH50" s="1247"/>
      <c r="ADI50" s="1247"/>
      <c r="ADJ50" s="1247"/>
      <c r="ADK50" s="1247"/>
      <c r="ADL50" s="1247"/>
      <c r="ADM50" s="1247"/>
      <c r="ADN50" s="1247"/>
      <c r="ADO50" s="1247"/>
      <c r="ADP50" s="1247"/>
      <c r="ADQ50" s="1247"/>
      <c r="ADR50" s="1247"/>
      <c r="ADS50" s="1247"/>
      <c r="ADT50" s="1247"/>
      <c r="ADU50" s="1247"/>
      <c r="ADV50" s="1247"/>
      <c r="ADW50" s="1247"/>
      <c r="ADX50" s="1247"/>
      <c r="ADY50" s="1247"/>
      <c r="ADZ50" s="1247"/>
      <c r="AEA50" s="1247"/>
      <c r="AEB50" s="1247"/>
      <c r="AEC50" s="1247"/>
      <c r="AED50" s="1247"/>
      <c r="AEE50" s="1247"/>
      <c r="AEF50" s="1247"/>
      <c r="AEG50" s="1247"/>
      <c r="AEH50" s="1247"/>
      <c r="AEI50" s="1247"/>
      <c r="AEJ50" s="1247"/>
      <c r="AEK50" s="1247"/>
      <c r="AEL50" s="1247"/>
      <c r="AEM50" s="1247"/>
      <c r="AEN50" s="1247"/>
      <c r="AEO50" s="1247"/>
      <c r="AEP50" s="1247"/>
      <c r="AEQ50" s="1247"/>
      <c r="AER50" s="1247"/>
      <c r="AES50" s="1247"/>
      <c r="AET50" s="1247"/>
      <c r="AEU50" s="1247"/>
      <c r="AEV50" s="1247"/>
      <c r="AEW50" s="1247"/>
      <c r="AEX50" s="1247"/>
      <c r="AEY50" s="1247"/>
      <c r="AEZ50" s="1247"/>
      <c r="AFA50" s="1247"/>
      <c r="AFB50" s="1247"/>
      <c r="AFC50" s="1247"/>
      <c r="AFD50" s="1247"/>
      <c r="AFE50" s="1247"/>
      <c r="AFF50" s="1247"/>
      <c r="AFG50" s="1247"/>
      <c r="AFH50" s="1247"/>
      <c r="AFI50" s="1247"/>
      <c r="AFJ50" s="1247"/>
      <c r="AFK50" s="1247"/>
      <c r="AFL50" s="1247"/>
      <c r="AFM50" s="1247"/>
      <c r="AFN50" s="1247"/>
      <c r="AFO50" s="1247"/>
      <c r="AFP50" s="1247"/>
      <c r="AFQ50" s="1247"/>
      <c r="AFR50" s="1247"/>
      <c r="AFS50" s="1247"/>
      <c r="AFT50" s="1247"/>
      <c r="AFU50" s="1247"/>
      <c r="AFV50" s="1247"/>
      <c r="AFW50" s="1247"/>
      <c r="AFX50" s="1247"/>
      <c r="AFY50" s="1247"/>
      <c r="AFZ50" s="1247"/>
      <c r="AGA50" s="1247"/>
      <c r="AGB50" s="1247"/>
      <c r="AGC50" s="1247"/>
      <c r="AGD50" s="1247"/>
      <c r="AGE50" s="1247"/>
      <c r="AGF50" s="1247"/>
      <c r="AGG50" s="1247"/>
      <c r="AGH50" s="1247"/>
      <c r="AGI50" s="1247"/>
      <c r="AGJ50" s="1247"/>
      <c r="AGK50" s="1247"/>
      <c r="AGL50" s="1247"/>
      <c r="AGM50" s="1247"/>
      <c r="AGN50" s="1247"/>
      <c r="AGO50" s="1247"/>
      <c r="AGP50" s="1247"/>
      <c r="AGQ50" s="1247"/>
      <c r="AGR50" s="1247"/>
      <c r="AGS50" s="1247"/>
      <c r="AGT50" s="1247"/>
      <c r="AGU50" s="1247"/>
      <c r="AGV50" s="1247"/>
      <c r="AGW50" s="1247"/>
      <c r="AGX50" s="1247"/>
      <c r="AGY50" s="1247"/>
      <c r="AGZ50" s="1247"/>
      <c r="AHA50" s="1247"/>
      <c r="AHB50" s="1247"/>
      <c r="AHC50" s="1247"/>
      <c r="AHD50" s="1247"/>
      <c r="AHE50" s="1247"/>
      <c r="AHF50" s="1247"/>
      <c r="AHG50" s="1247"/>
      <c r="AHH50" s="1247"/>
      <c r="AHI50" s="1247"/>
      <c r="AHJ50" s="1247"/>
      <c r="AHK50" s="1247"/>
      <c r="AHL50" s="1247"/>
      <c r="AHM50" s="1247"/>
      <c r="AHN50" s="1247"/>
      <c r="AHO50" s="1247"/>
      <c r="AHP50" s="1247"/>
      <c r="AHQ50" s="1247"/>
      <c r="AHR50" s="1247"/>
      <c r="AHS50" s="1247"/>
      <c r="AHT50" s="1247"/>
      <c r="AHU50" s="1247"/>
      <c r="AHV50" s="1247"/>
      <c r="AHW50" s="1247"/>
      <c r="AHX50" s="1247"/>
      <c r="AHY50" s="1247"/>
      <c r="AHZ50" s="1247"/>
      <c r="AIA50" s="1247"/>
      <c r="AIB50" s="1247"/>
      <c r="AIC50" s="1247"/>
      <c r="AID50" s="1247"/>
      <c r="AIE50" s="1247"/>
      <c r="AIF50" s="1247"/>
      <c r="AIG50" s="1247"/>
      <c r="AIH50" s="1247"/>
      <c r="AII50" s="1247"/>
      <c r="AIJ50" s="1247"/>
      <c r="AIK50" s="1247"/>
      <c r="AIL50" s="1247"/>
      <c r="AIM50" s="1247"/>
      <c r="AIN50" s="1247"/>
      <c r="AIO50" s="1247"/>
      <c r="AIP50" s="1247"/>
      <c r="AIQ50" s="1247"/>
      <c r="AIR50" s="1247"/>
      <c r="AIS50" s="1247"/>
      <c r="AIT50" s="1247"/>
      <c r="AIU50" s="1247"/>
      <c r="AIV50" s="1247"/>
      <c r="AIW50" s="1247"/>
      <c r="AIX50" s="1247"/>
      <c r="AIY50" s="1247"/>
      <c r="AIZ50" s="1247"/>
      <c r="AJA50" s="1247"/>
      <c r="AJB50" s="1247"/>
      <c r="AJC50" s="1247"/>
      <c r="AJD50" s="1247"/>
      <c r="AJE50" s="1247"/>
      <c r="AJF50" s="1247"/>
      <c r="AJG50" s="1247"/>
      <c r="AJH50" s="1247"/>
      <c r="AJI50" s="1247"/>
      <c r="AJJ50" s="1247"/>
      <c r="AJK50" s="1247"/>
      <c r="AJL50" s="1247"/>
      <c r="AJM50" s="1247"/>
      <c r="AJN50" s="1247"/>
      <c r="AJO50" s="1247"/>
      <c r="AJP50" s="1247"/>
      <c r="AJQ50" s="1247"/>
      <c r="AJR50" s="1247"/>
      <c r="AJS50" s="1247"/>
      <c r="AJT50" s="1247"/>
      <c r="AJU50" s="1247"/>
      <c r="AJV50" s="1247"/>
      <c r="AJW50" s="1247"/>
      <c r="AJX50" s="1247"/>
      <c r="AJY50" s="1247"/>
      <c r="AJZ50" s="1247"/>
      <c r="AKA50" s="1247"/>
      <c r="AKB50" s="1247"/>
      <c r="AKC50" s="1247"/>
      <c r="AKD50" s="1247"/>
      <c r="AKE50" s="1247"/>
      <c r="AKF50" s="1247"/>
      <c r="AKG50" s="1247"/>
      <c r="AKH50" s="1247"/>
      <c r="AKI50" s="1247"/>
      <c r="AKJ50" s="1247"/>
      <c r="AKK50" s="1247"/>
      <c r="AKL50" s="1247"/>
      <c r="AKM50" s="1247"/>
      <c r="AKN50" s="1247"/>
      <c r="AKO50" s="1247"/>
      <c r="AKP50" s="1247"/>
      <c r="AKQ50" s="1247"/>
      <c r="AKR50" s="1247"/>
      <c r="AKS50" s="1247"/>
      <c r="AKT50" s="1247"/>
      <c r="AKU50" s="1247"/>
      <c r="AKV50" s="1247"/>
      <c r="AKW50" s="1247"/>
      <c r="AKX50" s="1247"/>
      <c r="AKY50" s="1247"/>
      <c r="AKZ50" s="1247"/>
      <c r="ALA50" s="1247"/>
      <c r="ALB50" s="1247"/>
      <c r="ALC50" s="1247"/>
      <c r="ALD50" s="1247"/>
      <c r="ALE50" s="1247"/>
      <c r="ALF50" s="1247"/>
      <c r="ALG50" s="1247"/>
      <c r="ALH50" s="1247"/>
      <c r="ALI50" s="1247"/>
      <c r="ALJ50" s="1247"/>
      <c r="ALK50" s="1247"/>
      <c r="ALL50" s="1247"/>
      <c r="ALM50" s="1247"/>
      <c r="ALN50" s="1247"/>
      <c r="ALO50" s="1247"/>
      <c r="ALP50" s="1247"/>
      <c r="ALQ50" s="1247"/>
      <c r="ALR50" s="1247"/>
      <c r="ALS50" s="1247"/>
      <c r="ALT50" s="1247"/>
      <c r="ALU50" s="1247"/>
      <c r="ALV50" s="1247"/>
      <c r="ALW50" s="1247"/>
      <c r="ALX50" s="1247"/>
      <c r="ALY50" s="1247"/>
      <c r="ALZ50" s="1247"/>
      <c r="AMA50" s="1247"/>
      <c r="AMB50" s="1247"/>
      <c r="AMC50" s="1247"/>
      <c r="AMD50" s="1247"/>
      <c r="AME50" s="1247"/>
      <c r="AMF50" s="1247"/>
      <c r="AMG50" s="1247"/>
      <c r="AMH50" s="1247"/>
      <c r="AMI50" s="1247"/>
      <c r="AMJ50" s="1247"/>
      <c r="AMK50" s="1247"/>
      <c r="AML50" s="1247"/>
      <c r="AMM50" s="1247"/>
      <c r="AMN50" s="1247"/>
      <c r="AMO50" s="1247"/>
      <c r="AMP50" s="1247"/>
      <c r="AMQ50" s="1247"/>
      <c r="AMR50" s="1247"/>
      <c r="AMS50" s="1247"/>
      <c r="AMT50" s="1247"/>
      <c r="AMU50" s="1247"/>
      <c r="AMV50" s="1247"/>
      <c r="AMW50" s="1247"/>
      <c r="AMX50" s="1247"/>
      <c r="AMY50" s="1247"/>
      <c r="AMZ50" s="1247"/>
      <c r="ANA50" s="1247"/>
      <c r="ANB50" s="1247"/>
      <c r="ANC50" s="1247"/>
      <c r="AND50" s="1247"/>
      <c r="ANE50" s="1247"/>
      <c r="ANF50" s="1247"/>
      <c r="ANG50" s="1247"/>
      <c r="ANH50" s="1247"/>
      <c r="ANI50" s="1247"/>
      <c r="ANJ50" s="1247"/>
      <c r="ANK50" s="1247"/>
      <c r="ANL50" s="1247"/>
      <c r="ANM50" s="1247"/>
      <c r="ANN50" s="1247"/>
      <c r="ANO50" s="1247"/>
      <c r="ANP50" s="1247"/>
      <c r="ANQ50" s="1247"/>
      <c r="ANR50" s="1247"/>
      <c r="ANS50" s="1247"/>
      <c r="ANT50" s="1247"/>
      <c r="ANU50" s="1247"/>
      <c r="ANV50" s="1247"/>
      <c r="ANW50" s="1247"/>
      <c r="ANX50" s="1247"/>
      <c r="ANY50" s="1247"/>
      <c r="ANZ50" s="1247"/>
      <c r="AOA50" s="1247"/>
      <c r="AOB50" s="1247"/>
      <c r="AOC50" s="1247"/>
      <c r="AOD50" s="1247"/>
      <c r="AOE50" s="1247"/>
      <c r="AOF50" s="1247"/>
      <c r="AOG50" s="1247"/>
      <c r="AOH50" s="1247"/>
      <c r="AOI50" s="1247"/>
      <c r="AOJ50" s="1247"/>
      <c r="AOK50" s="1247"/>
      <c r="AOL50" s="1247"/>
      <c r="AOM50" s="1247"/>
      <c r="AON50" s="1247"/>
      <c r="AOO50" s="1247"/>
      <c r="AOP50" s="1247"/>
      <c r="AOQ50" s="1247"/>
      <c r="AOR50" s="1247"/>
      <c r="AOS50" s="1247"/>
      <c r="AOT50" s="1247"/>
      <c r="AOU50" s="1247"/>
      <c r="AOV50" s="1247"/>
      <c r="AOW50" s="1247"/>
      <c r="AOX50" s="1247"/>
      <c r="AOY50" s="1247"/>
      <c r="AOZ50" s="1247"/>
      <c r="APA50" s="1247"/>
      <c r="APB50" s="1247"/>
      <c r="APC50" s="1247"/>
      <c r="APD50" s="1247"/>
      <c r="APE50" s="1247"/>
      <c r="APF50" s="1247"/>
      <c r="APG50" s="1247"/>
      <c r="APH50" s="1247"/>
      <c r="API50" s="1247"/>
      <c r="APJ50" s="1247"/>
      <c r="APK50" s="1247"/>
      <c r="APL50" s="1247"/>
      <c r="APM50" s="1247"/>
      <c r="APN50" s="1247"/>
      <c r="APO50" s="1247"/>
      <c r="APP50" s="1247"/>
      <c r="APQ50" s="1247"/>
      <c r="APR50" s="1247"/>
      <c r="APS50" s="1247"/>
      <c r="APT50" s="1247"/>
      <c r="APU50" s="1247"/>
      <c r="APV50" s="1247"/>
      <c r="APW50" s="1247"/>
      <c r="APX50" s="1247"/>
      <c r="APY50" s="1247"/>
      <c r="APZ50" s="1247"/>
      <c r="AQA50" s="1247"/>
      <c r="AQB50" s="1247"/>
      <c r="AQC50" s="1247"/>
      <c r="AQD50" s="1247"/>
      <c r="AQE50" s="1247"/>
      <c r="AQF50" s="1247"/>
      <c r="AQG50" s="1247"/>
      <c r="AQH50" s="1247"/>
      <c r="AQI50" s="1247"/>
      <c r="AQJ50" s="1247"/>
      <c r="AQK50" s="1247"/>
      <c r="AQL50" s="1247"/>
      <c r="AQM50" s="1247"/>
      <c r="AQN50" s="1247"/>
      <c r="AQO50" s="1247"/>
      <c r="AQP50" s="1247"/>
      <c r="AQQ50" s="1247"/>
      <c r="AQR50" s="1247"/>
      <c r="AQS50" s="1247"/>
      <c r="AQT50" s="1247"/>
      <c r="AQU50" s="1247"/>
      <c r="AQV50" s="1247"/>
      <c r="AQW50" s="1247"/>
      <c r="AQX50" s="1247"/>
      <c r="AQY50" s="1247"/>
      <c r="AQZ50" s="1247"/>
      <c r="ARA50" s="1247"/>
      <c r="ARB50" s="1247"/>
      <c r="ARC50" s="1247"/>
      <c r="ARD50" s="1247"/>
      <c r="ARE50" s="1247"/>
      <c r="ARF50" s="1247"/>
      <c r="ARG50" s="1247"/>
      <c r="ARH50" s="1247"/>
      <c r="ARI50" s="1247"/>
      <c r="ARJ50" s="1247"/>
      <c r="ARK50" s="1247"/>
      <c r="ARL50" s="1247"/>
      <c r="ARM50" s="1247"/>
      <c r="ARN50" s="1247"/>
      <c r="ARO50" s="1247"/>
      <c r="ARP50" s="1247"/>
      <c r="ARQ50" s="1247"/>
      <c r="ARR50" s="1247"/>
      <c r="ARS50" s="1247"/>
      <c r="ART50" s="1247"/>
      <c r="ARU50" s="1247"/>
      <c r="ARV50" s="1247"/>
      <c r="ARW50" s="1247"/>
      <c r="ARX50" s="1247"/>
      <c r="ARY50" s="1247"/>
      <c r="ARZ50" s="1247"/>
      <c r="ASA50" s="1247"/>
      <c r="ASB50" s="1247"/>
      <c r="ASC50" s="1247"/>
      <c r="ASD50" s="1247"/>
      <c r="ASE50" s="1247"/>
      <c r="ASF50" s="1247"/>
      <c r="ASG50" s="1247"/>
      <c r="ASH50" s="1247"/>
      <c r="ASI50" s="1247"/>
      <c r="ASJ50" s="1247"/>
      <c r="ASK50" s="1247"/>
      <c r="ASL50" s="1247"/>
      <c r="ASM50" s="1247"/>
      <c r="ASN50" s="1247"/>
      <c r="ASO50" s="1247"/>
      <c r="ASP50" s="1247"/>
      <c r="ASQ50" s="1247"/>
      <c r="ASR50" s="1247"/>
      <c r="ASS50" s="1247"/>
      <c r="AST50" s="1247"/>
      <c r="ASU50" s="1247"/>
      <c r="ASV50" s="1247"/>
      <c r="ASW50" s="1247"/>
      <c r="ASX50" s="1247"/>
      <c r="ASY50" s="1247"/>
      <c r="ASZ50" s="1247"/>
      <c r="ATA50" s="1247"/>
      <c r="ATB50" s="1247"/>
      <c r="ATC50" s="1247"/>
      <c r="ATD50" s="1247"/>
      <c r="ATE50" s="1247"/>
      <c r="ATF50" s="1247"/>
      <c r="ATG50" s="1247"/>
      <c r="ATH50" s="1247"/>
      <c r="ATI50" s="1247"/>
      <c r="ATJ50" s="1247"/>
      <c r="ATK50" s="1247"/>
      <c r="ATL50" s="1247"/>
      <c r="ATM50" s="1247"/>
      <c r="ATN50" s="1247"/>
      <c r="ATO50" s="1247"/>
      <c r="ATP50" s="1247"/>
      <c r="ATQ50" s="1247"/>
      <c r="ATR50" s="1247"/>
      <c r="ATS50" s="1247"/>
      <c r="ATT50" s="1247"/>
      <c r="ATU50" s="1247"/>
      <c r="ATV50" s="1247"/>
      <c r="ATW50" s="1247"/>
      <c r="ATX50" s="1247"/>
      <c r="ATY50" s="1247"/>
      <c r="ATZ50" s="1247"/>
      <c r="AUA50" s="1247"/>
      <c r="AUB50" s="1247"/>
      <c r="AUC50" s="1247"/>
      <c r="AUD50" s="1247"/>
      <c r="AUE50" s="1247"/>
      <c r="AUF50" s="1247"/>
      <c r="AUG50" s="1247"/>
      <c r="AUH50" s="1247"/>
      <c r="AUI50" s="1247"/>
      <c r="AUJ50" s="1247"/>
      <c r="AUK50" s="1247"/>
      <c r="AUL50" s="1247"/>
      <c r="AUM50" s="1247"/>
      <c r="AUN50" s="1247"/>
      <c r="AUO50" s="1247"/>
      <c r="AUP50" s="1247"/>
      <c r="AUQ50" s="1247"/>
      <c r="AUR50" s="1247"/>
      <c r="AUS50" s="1247"/>
      <c r="AUT50" s="1247"/>
      <c r="AUU50" s="1247"/>
      <c r="AUV50" s="1247"/>
      <c r="AUW50" s="1247"/>
      <c r="AUX50" s="1247"/>
      <c r="AUY50" s="1247"/>
      <c r="AUZ50" s="1247"/>
      <c r="AVA50" s="1247"/>
      <c r="AVB50" s="1247"/>
      <c r="AVC50" s="1247"/>
      <c r="AVD50" s="1247"/>
      <c r="AVE50" s="1247"/>
      <c r="AVF50" s="1247"/>
      <c r="AVG50" s="1247"/>
      <c r="AVH50" s="1247"/>
      <c r="AVI50" s="1247"/>
      <c r="AVJ50" s="1247"/>
      <c r="AVK50" s="1247"/>
      <c r="AVL50" s="1247"/>
      <c r="AVM50" s="1247"/>
      <c r="AVN50" s="1247"/>
      <c r="AVO50" s="1247"/>
      <c r="AVP50" s="1247"/>
      <c r="AVQ50" s="1247"/>
      <c r="AVR50" s="1247"/>
      <c r="AVS50" s="1247"/>
      <c r="AVT50" s="1247"/>
      <c r="AVU50" s="1247"/>
      <c r="AVV50" s="1247"/>
      <c r="AVW50" s="1247"/>
      <c r="AVX50" s="1247"/>
      <c r="AVY50" s="1247"/>
      <c r="AVZ50" s="1247"/>
      <c r="AWA50" s="1247"/>
      <c r="AWB50" s="1247"/>
      <c r="AWC50" s="1247"/>
      <c r="AWD50" s="1247"/>
      <c r="AWE50" s="1247"/>
      <c r="AWF50" s="1247"/>
      <c r="AWG50" s="1247"/>
      <c r="AWH50" s="1247"/>
      <c r="AWI50" s="1247"/>
      <c r="AWJ50" s="1247"/>
      <c r="AWK50" s="1247"/>
      <c r="AWL50" s="1247"/>
      <c r="AWM50" s="1247"/>
      <c r="AWN50" s="1247"/>
      <c r="AWO50" s="1247"/>
      <c r="AWP50" s="1247"/>
      <c r="AWQ50" s="1247"/>
      <c r="AWR50" s="1247"/>
      <c r="AWS50" s="1247"/>
      <c r="AWT50" s="1247"/>
      <c r="AWU50" s="1247"/>
      <c r="AWV50" s="1247"/>
      <c r="AWW50" s="1247"/>
      <c r="AWX50" s="1247"/>
      <c r="AWY50" s="1247"/>
      <c r="AWZ50" s="1247"/>
      <c r="AXA50" s="1247"/>
      <c r="AXB50" s="1247"/>
      <c r="AXC50" s="1247"/>
      <c r="AXD50" s="1247"/>
      <c r="AXE50" s="1247"/>
      <c r="AXF50" s="1247"/>
      <c r="AXG50" s="1247"/>
      <c r="AXH50" s="1247"/>
      <c r="AXI50" s="1247"/>
      <c r="AXJ50" s="1247"/>
      <c r="AXK50" s="1247"/>
      <c r="AXL50" s="1247"/>
      <c r="AXM50" s="1247"/>
      <c r="AXN50" s="1247"/>
      <c r="AXO50" s="1247"/>
      <c r="AXP50" s="1247"/>
      <c r="AXQ50" s="1247"/>
      <c r="AXR50" s="1247"/>
      <c r="AXS50" s="1247"/>
      <c r="AXT50" s="1247"/>
      <c r="AXU50" s="1247"/>
      <c r="AXV50" s="1247"/>
      <c r="AXW50" s="1247"/>
      <c r="AXX50" s="1247"/>
      <c r="AXY50" s="1247"/>
      <c r="AXZ50" s="1247"/>
      <c r="AYA50" s="1247"/>
      <c r="AYB50" s="1247"/>
      <c r="AYC50" s="1247"/>
      <c r="AYD50" s="1247"/>
      <c r="AYE50" s="1247"/>
      <c r="AYF50" s="1247"/>
      <c r="AYG50" s="1247"/>
      <c r="AYH50" s="1247"/>
      <c r="AYI50" s="1247"/>
      <c r="AYJ50" s="1247"/>
      <c r="AYK50" s="1247"/>
      <c r="AYL50" s="1247"/>
      <c r="AYM50" s="1247"/>
      <c r="AYN50" s="1247"/>
      <c r="AYO50" s="1247"/>
      <c r="AYP50" s="1247"/>
      <c r="AYQ50" s="1247"/>
      <c r="AYR50" s="1247"/>
      <c r="AYS50" s="1247"/>
      <c r="AYT50" s="1247"/>
      <c r="AYU50" s="1247"/>
      <c r="AYV50" s="1247"/>
      <c r="AYW50" s="1247"/>
      <c r="AYX50" s="1247"/>
      <c r="AYY50" s="1247"/>
      <c r="AYZ50" s="1247"/>
      <c r="AZA50" s="1247"/>
      <c r="AZB50" s="1247"/>
      <c r="AZC50" s="1247"/>
      <c r="AZD50" s="1247"/>
      <c r="AZE50" s="1247"/>
      <c r="AZF50" s="1247"/>
      <c r="AZG50" s="1247"/>
      <c r="AZH50" s="1247"/>
      <c r="AZI50" s="1247"/>
      <c r="AZJ50" s="1247"/>
      <c r="AZK50" s="1247"/>
      <c r="AZL50" s="1247"/>
      <c r="AZM50" s="1247"/>
      <c r="AZN50" s="1247"/>
      <c r="AZO50" s="1247"/>
      <c r="AZP50" s="1247"/>
      <c r="AZQ50" s="1247"/>
      <c r="AZR50" s="1247"/>
      <c r="AZS50" s="1247"/>
      <c r="AZT50" s="1247"/>
      <c r="AZU50" s="1247"/>
      <c r="AZV50" s="1247"/>
      <c r="AZW50" s="1247"/>
      <c r="AZX50" s="1247"/>
      <c r="AZY50" s="1247"/>
      <c r="AZZ50" s="1247"/>
      <c r="BAA50" s="1247"/>
      <c r="BAB50" s="1247"/>
      <c r="BAC50" s="1247"/>
      <c r="BAD50" s="1247"/>
      <c r="BAE50" s="1247"/>
      <c r="BAF50" s="1247"/>
      <c r="BAG50" s="1247"/>
      <c r="BAH50" s="1247"/>
      <c r="BAI50" s="1247"/>
      <c r="BAJ50" s="1247"/>
      <c r="BAK50" s="1247"/>
      <c r="BAL50" s="1247"/>
      <c r="BAM50" s="1247"/>
      <c r="BAN50" s="1247"/>
      <c r="BAO50" s="1247"/>
      <c r="BAP50" s="1247"/>
      <c r="BAQ50" s="1247"/>
      <c r="BAR50" s="1247"/>
      <c r="BAS50" s="1247"/>
      <c r="BAT50" s="1247"/>
      <c r="BAU50" s="1247"/>
      <c r="BAV50" s="1247"/>
      <c r="BAW50" s="1247"/>
      <c r="BAX50" s="1247"/>
      <c r="BAY50" s="1247"/>
      <c r="BAZ50" s="1247"/>
      <c r="BBA50" s="1247"/>
      <c r="BBB50" s="1247"/>
      <c r="BBC50" s="1247"/>
      <c r="BBD50" s="1247"/>
      <c r="BBE50" s="1247"/>
      <c r="BBF50" s="1247"/>
      <c r="BBG50" s="1247"/>
      <c r="BBH50" s="1247"/>
      <c r="BBI50" s="1247"/>
      <c r="BBJ50" s="1247"/>
      <c r="BBK50" s="1247"/>
      <c r="BBL50" s="1247"/>
      <c r="BBM50" s="1247"/>
      <c r="BBN50" s="1247"/>
      <c r="BBO50" s="1247"/>
      <c r="BBP50" s="1247"/>
      <c r="BBQ50" s="1247"/>
      <c r="BBR50" s="1247"/>
      <c r="BBS50" s="1247"/>
      <c r="BBT50" s="1247"/>
      <c r="BBU50" s="1247"/>
      <c r="BBV50" s="1247"/>
      <c r="BBW50" s="1247"/>
      <c r="BBX50" s="1247"/>
      <c r="BBY50" s="1247"/>
      <c r="BBZ50" s="1247"/>
      <c r="BCA50" s="1247"/>
      <c r="BCB50" s="1247"/>
      <c r="BCC50" s="1247"/>
      <c r="BCD50" s="1247"/>
      <c r="BCE50" s="1247"/>
      <c r="BCF50" s="1247"/>
      <c r="BCG50" s="1247"/>
      <c r="BCH50" s="1247"/>
      <c r="BCI50" s="1247"/>
      <c r="BCJ50" s="1247"/>
      <c r="BCK50" s="1247"/>
      <c r="BCL50" s="1247"/>
      <c r="BCM50" s="1247"/>
      <c r="BCN50" s="1247"/>
      <c r="BCO50" s="1247"/>
      <c r="BCP50" s="1247"/>
      <c r="BCQ50" s="1247"/>
      <c r="BCR50" s="1247"/>
      <c r="BCS50" s="1247"/>
      <c r="BCT50" s="1247"/>
      <c r="BCU50" s="1247"/>
      <c r="BCV50" s="1247"/>
      <c r="BCW50" s="1247"/>
      <c r="BCX50" s="1247"/>
      <c r="BCY50" s="1247"/>
      <c r="BCZ50" s="1247"/>
      <c r="BDA50" s="1247"/>
      <c r="BDB50" s="1247"/>
      <c r="BDC50" s="1247"/>
      <c r="BDD50" s="1247"/>
      <c r="BDE50" s="1247"/>
      <c r="BDF50" s="1247"/>
      <c r="BDG50" s="1247"/>
      <c r="BDH50" s="1247"/>
      <c r="BDI50" s="1247"/>
      <c r="BDJ50" s="1247"/>
      <c r="BDK50" s="1247"/>
      <c r="BDL50" s="1247"/>
      <c r="BDM50" s="1247"/>
      <c r="BDN50" s="1247"/>
      <c r="BDO50" s="1247"/>
      <c r="BDP50" s="1247"/>
      <c r="BDQ50" s="1247"/>
      <c r="BDR50" s="1247"/>
      <c r="BDS50" s="1247"/>
      <c r="BDT50" s="1247"/>
      <c r="BDU50" s="1247"/>
      <c r="BDV50" s="1247"/>
      <c r="BDW50" s="1247"/>
      <c r="BDX50" s="1247"/>
      <c r="BDY50" s="1247"/>
      <c r="BDZ50" s="1247"/>
      <c r="BEA50" s="1247"/>
      <c r="BEB50" s="1247"/>
      <c r="BEC50" s="1247"/>
      <c r="BED50" s="1247"/>
      <c r="BEE50" s="1247"/>
      <c r="BEF50" s="1247"/>
      <c r="BEG50" s="1247"/>
      <c r="BEH50" s="1247"/>
      <c r="BEI50" s="1247"/>
      <c r="BEJ50" s="1247"/>
      <c r="BEK50" s="1247"/>
      <c r="BEL50" s="1247"/>
      <c r="BEM50" s="1247"/>
      <c r="BEN50" s="1247"/>
      <c r="BEO50" s="1247"/>
      <c r="BEP50" s="1247"/>
      <c r="BEQ50" s="1247"/>
      <c r="BER50" s="1247"/>
      <c r="BES50" s="1247"/>
      <c r="BET50" s="1247"/>
      <c r="BEU50" s="1247"/>
      <c r="BEV50" s="1247"/>
      <c r="BEW50" s="1247"/>
      <c r="BEX50" s="1247"/>
      <c r="BEY50" s="1247"/>
      <c r="BEZ50" s="1247"/>
      <c r="BFA50" s="1247"/>
      <c r="BFB50" s="1247"/>
      <c r="BFC50" s="1247"/>
      <c r="BFD50" s="1247"/>
      <c r="BFE50" s="1247"/>
      <c r="BFF50" s="1247"/>
      <c r="BFG50" s="1247"/>
      <c r="BFH50" s="1247"/>
      <c r="BFI50" s="1247"/>
      <c r="BFJ50" s="1247"/>
      <c r="BFK50" s="1247"/>
      <c r="BFL50" s="1247"/>
      <c r="BFM50" s="1247"/>
      <c r="BFN50" s="1247"/>
      <c r="BFO50" s="1247"/>
      <c r="BFP50" s="1247"/>
      <c r="BFQ50" s="1247"/>
      <c r="BFR50" s="1247"/>
      <c r="BFS50" s="1247"/>
      <c r="BFT50" s="1247"/>
      <c r="BFU50" s="1247"/>
      <c r="BFV50" s="1247"/>
      <c r="BFW50" s="1247"/>
      <c r="BFX50" s="1247"/>
      <c r="BFY50" s="1247"/>
      <c r="BFZ50" s="1247"/>
      <c r="BGA50" s="1247"/>
      <c r="BGB50" s="1247"/>
      <c r="BGC50" s="1247"/>
      <c r="BGD50" s="1247"/>
      <c r="BGE50" s="1247"/>
      <c r="BGF50" s="1247"/>
      <c r="BGG50" s="1247"/>
      <c r="BGH50" s="1247"/>
      <c r="BGI50" s="1247"/>
      <c r="BGJ50" s="1247"/>
      <c r="BGK50" s="1247"/>
      <c r="BGL50" s="1247"/>
      <c r="BGM50" s="1247"/>
      <c r="BGN50" s="1247"/>
      <c r="BGO50" s="1247"/>
      <c r="BGP50" s="1247"/>
      <c r="BGQ50" s="1247"/>
      <c r="BGR50" s="1247"/>
      <c r="BGS50" s="1247"/>
      <c r="BGT50" s="1247"/>
      <c r="BGU50" s="1247"/>
      <c r="BGV50" s="1247"/>
      <c r="BGW50" s="1247"/>
      <c r="BGX50" s="1247"/>
      <c r="BGY50" s="1247"/>
      <c r="BGZ50" s="1247"/>
      <c r="BHA50" s="1247"/>
      <c r="BHB50" s="1247"/>
      <c r="BHC50" s="1247"/>
      <c r="BHD50" s="1247"/>
      <c r="BHE50" s="1247"/>
      <c r="BHF50" s="1247"/>
      <c r="BHG50" s="1247"/>
      <c r="BHH50" s="1247"/>
      <c r="BHI50" s="1247"/>
      <c r="BHJ50" s="1247"/>
      <c r="BHK50" s="1247"/>
      <c r="BHL50" s="1247"/>
      <c r="BHM50" s="1247"/>
      <c r="BHN50" s="1247"/>
      <c r="BHO50" s="1247"/>
      <c r="BHP50" s="1247"/>
      <c r="BHQ50" s="1247"/>
      <c r="BHR50" s="1247"/>
      <c r="BHS50" s="1247"/>
      <c r="BHT50" s="1247"/>
      <c r="BHU50" s="1247"/>
      <c r="BHV50" s="1247"/>
      <c r="BHW50" s="1247"/>
      <c r="BHX50" s="1247"/>
      <c r="BHY50" s="1247"/>
      <c r="BHZ50" s="1247"/>
      <c r="BIA50" s="1247"/>
      <c r="BIB50" s="1247"/>
      <c r="BIC50" s="1247"/>
      <c r="BID50" s="1247"/>
      <c r="BIE50" s="1247"/>
      <c r="BIF50" s="1247"/>
      <c r="BIG50" s="1247"/>
      <c r="BIH50" s="1247"/>
      <c r="BII50" s="1247"/>
      <c r="BIJ50" s="1247"/>
      <c r="BIK50" s="1247"/>
      <c r="BIL50" s="1247"/>
      <c r="BIM50" s="1247"/>
      <c r="BIN50" s="1247"/>
      <c r="BIO50" s="1247"/>
      <c r="BIP50" s="1247"/>
      <c r="BIQ50" s="1247"/>
      <c r="BIR50" s="1247"/>
      <c r="BIS50" s="1247"/>
      <c r="BIT50" s="1247"/>
      <c r="BIU50" s="1247"/>
      <c r="BIV50" s="1247"/>
      <c r="BIW50" s="1247"/>
      <c r="BIX50" s="1247"/>
      <c r="BIY50" s="1247"/>
      <c r="BIZ50" s="1247"/>
      <c r="BJA50" s="1247"/>
      <c r="BJB50" s="1247"/>
      <c r="BJC50" s="1247"/>
      <c r="BJD50" s="1247"/>
      <c r="BJE50" s="1247"/>
      <c r="BJF50" s="1247"/>
      <c r="BJG50" s="1247"/>
      <c r="BJH50" s="1247"/>
      <c r="BJI50" s="1247"/>
      <c r="BJJ50" s="1247"/>
      <c r="BJK50" s="1247"/>
      <c r="BJL50" s="1247"/>
      <c r="BJM50" s="1247"/>
      <c r="BJN50" s="1247"/>
      <c r="BJO50" s="1247"/>
      <c r="BJP50" s="1247"/>
      <c r="BJQ50" s="1247"/>
      <c r="BJR50" s="1247"/>
      <c r="BJS50" s="1247"/>
      <c r="BJT50" s="1247"/>
      <c r="BJU50" s="1247"/>
      <c r="BJV50" s="1247"/>
      <c r="BJW50" s="1247"/>
      <c r="BJX50" s="1247"/>
      <c r="BJY50" s="1247"/>
      <c r="BJZ50" s="1247"/>
      <c r="BKA50" s="1247"/>
      <c r="BKB50" s="1247"/>
      <c r="BKC50" s="1247"/>
      <c r="BKD50" s="1247"/>
      <c r="BKE50" s="1247"/>
      <c r="BKF50" s="1247"/>
      <c r="BKG50" s="1247"/>
      <c r="BKH50" s="1247"/>
      <c r="BKI50" s="1247"/>
      <c r="BKJ50" s="1247"/>
      <c r="BKK50" s="1247"/>
      <c r="BKL50" s="1247"/>
      <c r="BKM50" s="1247"/>
      <c r="BKN50" s="1247"/>
      <c r="BKO50" s="1247"/>
      <c r="BKP50" s="1247"/>
      <c r="BKQ50" s="1247"/>
      <c r="BKR50" s="1247"/>
      <c r="BKS50" s="1247"/>
      <c r="BKT50" s="1247"/>
      <c r="BKU50" s="1247"/>
      <c r="BKV50" s="1247"/>
      <c r="BKW50" s="1247"/>
      <c r="BKX50" s="1247"/>
      <c r="BKY50" s="1247"/>
      <c r="BKZ50" s="1247"/>
      <c r="BLA50" s="1247"/>
      <c r="BLB50" s="1247"/>
      <c r="BLC50" s="1247"/>
      <c r="BLD50" s="1247"/>
      <c r="BLE50" s="1247"/>
      <c r="BLF50" s="1247"/>
      <c r="BLG50" s="1247"/>
      <c r="BLH50" s="1247"/>
      <c r="BLI50" s="1247"/>
      <c r="BLJ50" s="1247"/>
      <c r="BLK50" s="1247"/>
      <c r="BLL50" s="1247"/>
      <c r="BLM50" s="1247"/>
      <c r="BLN50" s="1247"/>
      <c r="BLO50" s="1247"/>
      <c r="BLP50" s="1247"/>
      <c r="BLQ50" s="1247"/>
      <c r="BLR50" s="1247"/>
      <c r="BLS50" s="1247"/>
      <c r="BLT50" s="1247"/>
      <c r="BLU50" s="1247"/>
      <c r="BLV50" s="1247"/>
      <c r="BLW50" s="1247"/>
      <c r="BLX50" s="1247"/>
      <c r="BLY50" s="1247"/>
      <c r="BLZ50" s="1247"/>
      <c r="BMA50" s="1247"/>
      <c r="BMB50" s="1247"/>
      <c r="BMC50" s="1247"/>
      <c r="BMD50" s="1247"/>
      <c r="BME50" s="1247"/>
      <c r="BMF50" s="1247"/>
      <c r="BMG50" s="1247"/>
      <c r="BMH50" s="1247"/>
      <c r="BMI50" s="1247"/>
      <c r="BMJ50" s="1247"/>
      <c r="BMK50" s="1247"/>
      <c r="BML50" s="1247"/>
      <c r="BMM50" s="1247"/>
      <c r="BMN50" s="1247"/>
      <c r="BMO50" s="1247"/>
      <c r="BMP50" s="1247"/>
      <c r="BMQ50" s="1247"/>
      <c r="BMR50" s="1247"/>
      <c r="BMS50" s="1247"/>
      <c r="BMT50" s="1247"/>
      <c r="BMU50" s="1247"/>
      <c r="BMV50" s="1247"/>
      <c r="BMW50" s="1247"/>
      <c r="BMX50" s="1247"/>
      <c r="BMY50" s="1247"/>
      <c r="BMZ50" s="1247"/>
      <c r="BNA50" s="1247"/>
      <c r="BNB50" s="1247"/>
      <c r="BNC50" s="1247"/>
      <c r="BND50" s="1247"/>
      <c r="BNE50" s="1247"/>
      <c r="BNF50" s="1247"/>
      <c r="BNG50" s="1247"/>
      <c r="BNH50" s="1247"/>
      <c r="BNI50" s="1247"/>
      <c r="BNJ50" s="1247"/>
      <c r="BNK50" s="1247"/>
      <c r="BNL50" s="1247"/>
      <c r="BNM50" s="1247"/>
      <c r="BNN50" s="1247"/>
      <c r="BNO50" s="1247"/>
      <c r="BNP50" s="1247"/>
      <c r="BNQ50" s="1247"/>
      <c r="BNR50" s="1247"/>
      <c r="BNS50" s="1247"/>
      <c r="BNT50" s="1247"/>
      <c r="BNU50" s="1247"/>
      <c r="BNV50" s="1247"/>
      <c r="BNW50" s="1247"/>
      <c r="BNX50" s="1247"/>
      <c r="BNY50" s="1247"/>
      <c r="BNZ50" s="1247"/>
      <c r="BOA50" s="1247"/>
      <c r="BOB50" s="1247"/>
      <c r="BOC50" s="1247"/>
      <c r="BOD50" s="1247"/>
      <c r="BOE50" s="1247"/>
      <c r="BOF50" s="1247"/>
      <c r="BOG50" s="1247"/>
      <c r="BOH50" s="1247"/>
      <c r="BOI50" s="1247"/>
      <c r="BOJ50" s="1247"/>
      <c r="BOK50" s="1247"/>
      <c r="BOL50" s="1247"/>
      <c r="BOM50" s="1247"/>
      <c r="BON50" s="1247"/>
      <c r="BOO50" s="1247"/>
      <c r="BOP50" s="1247"/>
      <c r="BOQ50" s="1247"/>
      <c r="BOR50" s="1247"/>
      <c r="BOS50" s="1247"/>
      <c r="BOT50" s="1247"/>
      <c r="BOU50" s="1247"/>
      <c r="BOV50" s="1247"/>
      <c r="BOW50" s="1247"/>
      <c r="BOX50" s="1247"/>
      <c r="BOY50" s="1247"/>
      <c r="BOZ50" s="1247"/>
      <c r="BPA50" s="1247"/>
      <c r="BPB50" s="1247"/>
      <c r="BPC50" s="1247"/>
      <c r="BPD50" s="1247"/>
      <c r="BPE50" s="1247"/>
      <c r="BPF50" s="1247"/>
      <c r="BPG50" s="1247"/>
      <c r="BPH50" s="1247"/>
      <c r="BPI50" s="1247"/>
      <c r="BPJ50" s="1247"/>
      <c r="BPK50" s="1247"/>
      <c r="BPL50" s="1247"/>
      <c r="BPM50" s="1247"/>
      <c r="BPN50" s="1247"/>
      <c r="BPO50" s="1247"/>
      <c r="BPP50" s="1247"/>
      <c r="BPQ50" s="1247"/>
      <c r="BPR50" s="1247"/>
      <c r="BPS50" s="1247"/>
      <c r="BPT50" s="1247"/>
      <c r="BPU50" s="1247"/>
      <c r="BPV50" s="1247"/>
      <c r="BPW50" s="1247"/>
      <c r="BPX50" s="1247"/>
      <c r="BPY50" s="1247"/>
      <c r="BPZ50" s="1247"/>
      <c r="BQA50" s="1247"/>
      <c r="BQB50" s="1247"/>
      <c r="BQC50" s="1247"/>
      <c r="BQD50" s="1247"/>
      <c r="BQE50" s="1247"/>
      <c r="BQF50" s="1247"/>
      <c r="BQG50" s="1247"/>
      <c r="BQH50" s="1247"/>
      <c r="BQI50" s="1247"/>
      <c r="BQJ50" s="1247"/>
      <c r="BQK50" s="1247"/>
      <c r="BQL50" s="1247"/>
      <c r="BQM50" s="1247"/>
      <c r="BQN50" s="1247"/>
      <c r="BQO50" s="1247"/>
      <c r="BQP50" s="1247"/>
      <c r="BQQ50" s="1247"/>
      <c r="BQR50" s="1247"/>
      <c r="BQS50" s="1247"/>
      <c r="BQT50" s="1247"/>
      <c r="BQU50" s="1247"/>
      <c r="BQV50" s="1247"/>
      <c r="BQW50" s="1247"/>
      <c r="BQX50" s="1247"/>
      <c r="BQY50" s="1247"/>
      <c r="BQZ50" s="1247"/>
      <c r="BRA50" s="1247"/>
      <c r="BRB50" s="1247"/>
      <c r="BRC50" s="1247"/>
      <c r="BRD50" s="1247"/>
      <c r="BRE50" s="1247"/>
      <c r="BRF50" s="1247"/>
      <c r="BRG50" s="1247"/>
      <c r="BRH50" s="1247"/>
      <c r="BRI50" s="1247"/>
      <c r="BRJ50" s="1247"/>
      <c r="BRK50" s="1247"/>
      <c r="BRL50" s="1247"/>
      <c r="BRM50" s="1247"/>
      <c r="BRN50" s="1247"/>
      <c r="BRO50" s="1247"/>
      <c r="BRP50" s="1247"/>
      <c r="BRQ50" s="1247"/>
      <c r="BRR50" s="1247"/>
      <c r="BRS50" s="1247"/>
      <c r="BRT50" s="1247"/>
      <c r="BRU50" s="1247"/>
      <c r="BRV50" s="1247"/>
      <c r="BRW50" s="1247"/>
      <c r="BRX50" s="1247"/>
      <c r="BRY50" s="1247"/>
      <c r="BRZ50" s="1247"/>
      <c r="BSA50" s="1247"/>
      <c r="BSB50" s="1247"/>
      <c r="BSC50" s="1247"/>
      <c r="BSD50" s="1247"/>
      <c r="BSE50" s="1247"/>
      <c r="BSF50" s="1247"/>
      <c r="BSG50" s="1247"/>
      <c r="BSH50" s="1247"/>
      <c r="BSI50" s="1247"/>
      <c r="BSJ50" s="1247"/>
      <c r="BSK50" s="1247"/>
      <c r="BSL50" s="1247"/>
      <c r="BSM50" s="1247"/>
      <c r="BSN50" s="1247"/>
      <c r="BSO50" s="1247"/>
      <c r="BSP50" s="1247"/>
      <c r="BSQ50" s="1247"/>
      <c r="BSR50" s="1247"/>
      <c r="BSS50" s="1247"/>
      <c r="BST50" s="1247"/>
      <c r="BSU50" s="1247"/>
      <c r="BSV50" s="1247"/>
      <c r="BSW50" s="1247"/>
      <c r="BSX50" s="1247"/>
      <c r="BSY50" s="1247"/>
      <c r="BSZ50" s="1247"/>
      <c r="BTA50" s="1247"/>
      <c r="BTB50" s="1247"/>
      <c r="BTC50" s="1247"/>
      <c r="BTD50" s="1247"/>
      <c r="BTE50" s="1247"/>
      <c r="BTF50" s="1247"/>
      <c r="BTG50" s="1247"/>
      <c r="BTH50" s="1247"/>
      <c r="BTI50" s="1247"/>
      <c r="BTJ50" s="1247"/>
      <c r="BTK50" s="1247"/>
      <c r="BTL50" s="1247"/>
      <c r="BTM50" s="1247"/>
      <c r="BTN50" s="1247"/>
      <c r="BTO50" s="1247"/>
      <c r="BTP50" s="1247"/>
      <c r="BTQ50" s="1247"/>
      <c r="BTR50" s="1247"/>
      <c r="BTS50" s="1247"/>
      <c r="BTT50" s="1247"/>
      <c r="BTU50" s="1247"/>
      <c r="BTV50" s="1247"/>
      <c r="BTW50" s="1247"/>
      <c r="BTX50" s="1247"/>
      <c r="BTY50" s="1247"/>
      <c r="BTZ50" s="1247"/>
      <c r="BUA50" s="1247"/>
      <c r="BUB50" s="1247"/>
      <c r="BUC50" s="1247"/>
      <c r="BUD50" s="1247"/>
      <c r="BUE50" s="1247"/>
      <c r="BUF50" s="1247"/>
      <c r="BUG50" s="1247"/>
      <c r="BUH50" s="1247"/>
      <c r="BUI50" s="1247"/>
      <c r="BUJ50" s="1247"/>
      <c r="BUK50" s="1247"/>
      <c r="BUL50" s="1247"/>
      <c r="BUM50" s="1247"/>
      <c r="BUN50" s="1247"/>
      <c r="BUO50" s="1247"/>
      <c r="BUP50" s="1247"/>
      <c r="BUQ50" s="1247"/>
      <c r="BUR50" s="1247"/>
      <c r="BUS50" s="1247"/>
      <c r="BUT50" s="1247"/>
      <c r="BUU50" s="1247"/>
      <c r="BUV50" s="1247"/>
      <c r="BUW50" s="1247"/>
      <c r="BUX50" s="1247"/>
      <c r="BUY50" s="1247"/>
      <c r="BUZ50" s="1247"/>
      <c r="BVA50" s="1247"/>
      <c r="BVB50" s="1247"/>
      <c r="BVC50" s="1247"/>
      <c r="BVD50" s="1247"/>
      <c r="BVE50" s="1247"/>
      <c r="BVF50" s="1247"/>
      <c r="BVG50" s="1247"/>
      <c r="BVH50" s="1247"/>
      <c r="BVI50" s="1247"/>
      <c r="BVJ50" s="1247"/>
      <c r="BVK50" s="1247"/>
      <c r="BVL50" s="1247"/>
      <c r="BVM50" s="1247"/>
      <c r="BVN50" s="1247"/>
      <c r="BVO50" s="1247"/>
      <c r="BVP50" s="1247"/>
      <c r="BVQ50" s="1247"/>
      <c r="BVR50" s="1247"/>
      <c r="BVS50" s="1247"/>
      <c r="BVT50" s="1247"/>
      <c r="BVU50" s="1247"/>
      <c r="BVV50" s="1247"/>
      <c r="BVW50" s="1247"/>
      <c r="BVX50" s="1247"/>
      <c r="BVY50" s="1247"/>
      <c r="BVZ50" s="1247"/>
      <c r="BWA50" s="1247"/>
      <c r="BWB50" s="1247"/>
      <c r="BWC50" s="1247"/>
      <c r="BWD50" s="1247"/>
      <c r="BWE50" s="1247"/>
      <c r="BWF50" s="1247"/>
      <c r="BWG50" s="1247"/>
      <c r="BWH50" s="1247"/>
      <c r="BWI50" s="1247"/>
      <c r="BWJ50" s="1247"/>
      <c r="BWK50" s="1247"/>
      <c r="BWL50" s="1247"/>
      <c r="BWM50" s="1247"/>
      <c r="BWN50" s="1247"/>
      <c r="BWO50" s="1247"/>
      <c r="BWP50" s="1247"/>
      <c r="BWQ50" s="1247"/>
      <c r="BWR50" s="1247"/>
      <c r="BWS50" s="1247"/>
      <c r="BWT50" s="1247"/>
      <c r="BWU50" s="1247"/>
      <c r="BWV50" s="1247"/>
      <c r="BWW50" s="1247"/>
      <c r="BWX50" s="1247"/>
      <c r="BWY50" s="1247"/>
      <c r="BWZ50" s="1247"/>
      <c r="BXA50" s="1247"/>
      <c r="BXB50" s="1247"/>
      <c r="BXC50" s="1247"/>
      <c r="BXD50" s="1247"/>
      <c r="BXE50" s="1247"/>
      <c r="BXF50" s="1247"/>
      <c r="BXG50" s="1247"/>
      <c r="BXH50" s="1247"/>
      <c r="BXI50" s="1247"/>
      <c r="BXJ50" s="1247"/>
      <c r="BXK50" s="1247"/>
      <c r="BXL50" s="1247"/>
      <c r="BXM50" s="1247"/>
      <c r="BXN50" s="1247"/>
      <c r="BXO50" s="1247"/>
      <c r="BXP50" s="1247"/>
      <c r="BXQ50" s="1247"/>
      <c r="BXR50" s="1247"/>
      <c r="BXS50" s="1247"/>
      <c r="BXT50" s="1247"/>
      <c r="BXU50" s="1247"/>
      <c r="BXV50" s="1247"/>
      <c r="BXW50" s="1247"/>
      <c r="BXX50" s="1247"/>
      <c r="BXY50" s="1247"/>
      <c r="BXZ50" s="1247"/>
      <c r="BYA50" s="1247"/>
      <c r="BYB50" s="1247"/>
      <c r="BYC50" s="1247"/>
      <c r="BYD50" s="1247"/>
      <c r="BYE50" s="1247"/>
      <c r="BYF50" s="1247"/>
      <c r="BYG50" s="1247"/>
      <c r="BYH50" s="1247"/>
      <c r="BYI50" s="1247"/>
      <c r="BYJ50" s="1247"/>
      <c r="BYK50" s="1247"/>
      <c r="BYL50" s="1247"/>
      <c r="BYM50" s="1247"/>
      <c r="BYN50" s="1247"/>
      <c r="BYO50" s="1247"/>
      <c r="BYP50" s="1247"/>
      <c r="BYQ50" s="1247"/>
      <c r="BYR50" s="1247"/>
      <c r="BYS50" s="1247"/>
      <c r="BYT50" s="1247"/>
      <c r="BYU50" s="1247"/>
      <c r="BYV50" s="1247"/>
      <c r="BYW50" s="1247"/>
      <c r="BYX50" s="1247"/>
      <c r="BYY50" s="1247"/>
      <c r="BYZ50" s="1247"/>
      <c r="BZA50" s="1247"/>
      <c r="BZB50" s="1247"/>
      <c r="BZC50" s="1247"/>
      <c r="BZD50" s="1247"/>
      <c r="BZE50" s="1247"/>
      <c r="BZF50" s="1247"/>
      <c r="BZG50" s="1247"/>
      <c r="BZH50" s="1247"/>
      <c r="BZI50" s="1247"/>
      <c r="BZJ50" s="1247"/>
      <c r="BZK50" s="1247"/>
      <c r="BZL50" s="1247"/>
      <c r="BZM50" s="1247"/>
      <c r="BZN50" s="1247"/>
      <c r="BZO50" s="1247"/>
      <c r="BZP50" s="1247"/>
      <c r="BZQ50" s="1247"/>
      <c r="BZR50" s="1247"/>
      <c r="BZS50" s="1247"/>
      <c r="BZT50" s="1247"/>
      <c r="BZU50" s="1247"/>
      <c r="BZV50" s="1247"/>
      <c r="BZW50" s="1247"/>
      <c r="BZX50" s="1247"/>
      <c r="BZY50" s="1247"/>
      <c r="BZZ50" s="1247"/>
      <c r="CAA50" s="1247"/>
      <c r="CAB50" s="1247"/>
      <c r="CAC50" s="1247"/>
      <c r="CAD50" s="1247"/>
      <c r="CAE50" s="1247"/>
      <c r="CAF50" s="1247"/>
      <c r="CAG50" s="1247"/>
      <c r="CAH50" s="1247"/>
      <c r="CAI50" s="1247"/>
      <c r="CAJ50" s="1247"/>
      <c r="CAK50" s="1247"/>
      <c r="CAL50" s="1247"/>
      <c r="CAM50" s="1247"/>
      <c r="CAN50" s="1247"/>
      <c r="CAO50" s="1247"/>
      <c r="CAP50" s="1247"/>
      <c r="CAQ50" s="1247"/>
      <c r="CAR50" s="1247"/>
      <c r="CAS50" s="1247"/>
      <c r="CAT50" s="1247"/>
      <c r="CAU50" s="1247"/>
      <c r="CAV50" s="1247"/>
      <c r="CAW50" s="1247"/>
      <c r="CAX50" s="1247"/>
      <c r="CAY50" s="1247"/>
      <c r="CAZ50" s="1247"/>
      <c r="CBA50" s="1247"/>
      <c r="CBB50" s="1247"/>
      <c r="CBC50" s="1247"/>
      <c r="CBD50" s="1247"/>
      <c r="CBE50" s="1247"/>
      <c r="CBF50" s="1247"/>
      <c r="CBG50" s="1247"/>
      <c r="CBH50" s="1247"/>
      <c r="CBI50" s="1247"/>
      <c r="CBJ50" s="1247"/>
      <c r="CBK50" s="1247"/>
      <c r="CBL50" s="1247"/>
      <c r="CBM50" s="1247"/>
      <c r="CBN50" s="1247"/>
      <c r="CBO50" s="1247"/>
      <c r="CBP50" s="1247"/>
      <c r="CBQ50" s="1247"/>
      <c r="CBR50" s="1247"/>
      <c r="CBS50" s="1247"/>
      <c r="CBT50" s="1247"/>
      <c r="CBU50" s="1247"/>
      <c r="CBV50" s="1247"/>
      <c r="CBW50" s="1247"/>
      <c r="CBX50" s="1247"/>
      <c r="CBY50" s="1247"/>
      <c r="CBZ50" s="1247"/>
      <c r="CCA50" s="1247"/>
      <c r="CCB50" s="1247"/>
      <c r="CCC50" s="1247"/>
      <c r="CCD50" s="1247"/>
      <c r="CCE50" s="1247"/>
      <c r="CCF50" s="1247"/>
      <c r="CCG50" s="1247"/>
      <c r="CCH50" s="1247"/>
      <c r="CCI50" s="1247"/>
      <c r="CCJ50" s="1247"/>
      <c r="CCK50" s="1247"/>
      <c r="CCL50" s="1247"/>
      <c r="CCM50" s="1247"/>
      <c r="CCN50" s="1247"/>
      <c r="CCO50" s="1247"/>
      <c r="CCP50" s="1247"/>
      <c r="CCQ50" s="1247"/>
      <c r="CCR50" s="1247"/>
      <c r="CCS50" s="1247"/>
      <c r="CCT50" s="1247"/>
      <c r="CCU50" s="1247"/>
      <c r="CCV50" s="1247"/>
      <c r="CCW50" s="1247"/>
      <c r="CCX50" s="1247"/>
      <c r="CCY50" s="1247"/>
      <c r="CCZ50" s="1247"/>
      <c r="CDA50" s="1247"/>
      <c r="CDB50" s="1247"/>
      <c r="CDC50" s="1247"/>
      <c r="CDD50" s="1247"/>
      <c r="CDE50" s="1247"/>
      <c r="CDF50" s="1247"/>
      <c r="CDG50" s="1247"/>
      <c r="CDH50" s="1247"/>
      <c r="CDI50" s="1247"/>
      <c r="CDJ50" s="1247"/>
      <c r="CDK50" s="1247"/>
      <c r="CDL50" s="1247"/>
      <c r="CDM50" s="1247"/>
      <c r="CDN50" s="1247"/>
      <c r="CDO50" s="1247"/>
      <c r="CDP50" s="1247"/>
      <c r="CDQ50" s="1247"/>
      <c r="CDR50" s="1247"/>
      <c r="CDS50" s="1247"/>
      <c r="CDT50" s="1247"/>
      <c r="CDU50" s="1247"/>
      <c r="CDV50" s="1247"/>
      <c r="CDW50" s="1247"/>
      <c r="CDX50" s="1247"/>
      <c r="CDY50" s="1247"/>
      <c r="CDZ50" s="1247"/>
      <c r="CEA50" s="1247"/>
      <c r="CEB50" s="1247"/>
      <c r="CEC50" s="1247"/>
      <c r="CED50" s="1247"/>
      <c r="CEE50" s="1247"/>
      <c r="CEF50" s="1247"/>
      <c r="CEG50" s="1247"/>
      <c r="CEH50" s="1247"/>
      <c r="CEI50" s="1247"/>
      <c r="CEJ50" s="1247"/>
      <c r="CEK50" s="1247"/>
      <c r="CEL50" s="1247"/>
      <c r="CEM50" s="1247"/>
      <c r="CEN50" s="1247"/>
      <c r="CEO50" s="1247"/>
      <c r="CEP50" s="1247"/>
      <c r="CEQ50" s="1247"/>
      <c r="CER50" s="1247"/>
      <c r="CES50" s="1247"/>
      <c r="CET50" s="1247"/>
      <c r="CEU50" s="1247"/>
      <c r="CEV50" s="1247"/>
      <c r="CEW50" s="1247"/>
      <c r="CEX50" s="1247"/>
      <c r="CEY50" s="1247"/>
      <c r="CEZ50" s="1247"/>
      <c r="CFA50" s="1247"/>
      <c r="CFB50" s="1247"/>
      <c r="CFC50" s="1247"/>
      <c r="CFD50" s="1247"/>
      <c r="CFE50" s="1247"/>
      <c r="CFF50" s="1247"/>
      <c r="CFG50" s="1247"/>
      <c r="CFH50" s="1247"/>
      <c r="CFI50" s="1247"/>
      <c r="CFJ50" s="1247"/>
      <c r="CFK50" s="1247"/>
      <c r="CFL50" s="1247"/>
      <c r="CFM50" s="1247"/>
      <c r="CFN50" s="1247"/>
      <c r="CFO50" s="1247"/>
      <c r="CFP50" s="1247"/>
      <c r="CFQ50" s="1247"/>
      <c r="CFR50" s="1247"/>
      <c r="CFS50" s="1247"/>
      <c r="CFT50" s="1247"/>
      <c r="CFU50" s="1247"/>
      <c r="CFV50" s="1247"/>
      <c r="CFW50" s="1247"/>
      <c r="CFX50" s="1247"/>
      <c r="CFY50" s="1247"/>
      <c r="CFZ50" s="1247"/>
      <c r="CGA50" s="1247"/>
      <c r="CGB50" s="1247"/>
      <c r="CGC50" s="1247"/>
      <c r="CGD50" s="1247"/>
      <c r="CGE50" s="1247"/>
      <c r="CGF50" s="1247"/>
      <c r="CGG50" s="1247"/>
      <c r="CGH50" s="1247"/>
      <c r="CGI50" s="1247"/>
      <c r="CGJ50" s="1247"/>
      <c r="CGK50" s="1247"/>
      <c r="CGL50" s="1247"/>
      <c r="CGM50" s="1247"/>
      <c r="CGN50" s="1247"/>
      <c r="CGO50" s="1247"/>
      <c r="CGP50" s="1247"/>
      <c r="CGQ50" s="1247"/>
      <c r="CGR50" s="1247"/>
      <c r="CGS50" s="1247"/>
      <c r="CGT50" s="1247"/>
      <c r="CGU50" s="1247"/>
      <c r="CGV50" s="1247"/>
      <c r="CGW50" s="1247"/>
      <c r="CGX50" s="1247"/>
      <c r="CGY50" s="1247"/>
      <c r="CGZ50" s="1247"/>
      <c r="CHA50" s="1247"/>
      <c r="CHB50" s="1247"/>
      <c r="CHC50" s="1247"/>
      <c r="CHD50" s="1247"/>
      <c r="CHE50" s="1247"/>
      <c r="CHF50" s="1247"/>
      <c r="CHG50" s="1247"/>
      <c r="CHH50" s="1247"/>
      <c r="CHI50" s="1247"/>
      <c r="CHJ50" s="1247"/>
      <c r="CHK50" s="1247"/>
      <c r="CHL50" s="1247"/>
      <c r="CHM50" s="1247"/>
      <c r="CHN50" s="1247"/>
      <c r="CHO50" s="1247"/>
      <c r="CHP50" s="1247"/>
      <c r="CHQ50" s="1247"/>
      <c r="CHR50" s="1247"/>
      <c r="CHS50" s="1247"/>
      <c r="CHT50" s="1247"/>
      <c r="CHU50" s="1247"/>
      <c r="CHV50" s="1247"/>
      <c r="CHW50" s="1247"/>
      <c r="CHX50" s="1247"/>
      <c r="CHY50" s="1247"/>
      <c r="CHZ50" s="1247"/>
      <c r="CIA50" s="1247"/>
      <c r="CIB50" s="1247"/>
      <c r="CIC50" s="1247"/>
      <c r="CID50" s="1247"/>
      <c r="CIE50" s="1247"/>
      <c r="CIF50" s="1247"/>
      <c r="CIG50" s="1247"/>
      <c r="CIH50" s="1247"/>
      <c r="CII50" s="1247"/>
      <c r="CIJ50" s="1247"/>
      <c r="CIK50" s="1247"/>
      <c r="CIL50" s="1247"/>
      <c r="CIM50" s="1247"/>
      <c r="CIN50" s="1247"/>
      <c r="CIO50" s="1247"/>
      <c r="CIP50" s="1247"/>
      <c r="CIQ50" s="1247"/>
      <c r="CIR50" s="1247"/>
      <c r="CIS50" s="1247"/>
      <c r="CIT50" s="1247"/>
      <c r="CIU50" s="1247"/>
      <c r="CIV50" s="1247"/>
      <c r="CIW50" s="1247"/>
      <c r="CIX50" s="1247"/>
      <c r="CIY50" s="1247"/>
      <c r="CIZ50" s="1247"/>
      <c r="CJA50" s="1247"/>
      <c r="CJB50" s="1247"/>
      <c r="CJC50" s="1247"/>
      <c r="CJD50" s="1247"/>
      <c r="CJE50" s="1247"/>
      <c r="CJF50" s="1247"/>
      <c r="CJG50" s="1247"/>
      <c r="CJH50" s="1247"/>
      <c r="CJI50" s="1247"/>
      <c r="CJJ50" s="1247"/>
      <c r="CJK50" s="1247"/>
      <c r="CJL50" s="1247"/>
      <c r="CJM50" s="1247"/>
      <c r="CJN50" s="1247"/>
      <c r="CJO50" s="1247"/>
      <c r="CJP50" s="1247"/>
      <c r="CJQ50" s="1247"/>
      <c r="CJR50" s="1247"/>
      <c r="CJS50" s="1247"/>
      <c r="CJT50" s="1247"/>
      <c r="CJU50" s="1247"/>
      <c r="CJV50" s="1247"/>
      <c r="CJW50" s="1247"/>
      <c r="CJX50" s="1247"/>
      <c r="CJY50" s="1247"/>
      <c r="CJZ50" s="1247"/>
      <c r="CKA50" s="1247"/>
      <c r="CKB50" s="1247"/>
      <c r="CKC50" s="1247"/>
      <c r="CKD50" s="1247"/>
      <c r="CKE50" s="1247"/>
      <c r="CKF50" s="1247"/>
      <c r="CKG50" s="1247"/>
      <c r="CKH50" s="1247"/>
      <c r="CKI50" s="1247"/>
      <c r="CKJ50" s="1247"/>
      <c r="CKK50" s="1247"/>
      <c r="CKL50" s="1247"/>
      <c r="CKM50" s="1247"/>
      <c r="CKN50" s="1247"/>
      <c r="CKO50" s="1247"/>
      <c r="CKP50" s="1247"/>
      <c r="CKQ50" s="1247"/>
      <c r="CKR50" s="1247"/>
      <c r="CKS50" s="1247"/>
      <c r="CKT50" s="1247"/>
      <c r="CKU50" s="1247"/>
      <c r="CKV50" s="1247"/>
      <c r="CKW50" s="1247"/>
      <c r="CKX50" s="1247"/>
      <c r="CKY50" s="1247"/>
      <c r="CKZ50" s="1247"/>
      <c r="CLA50" s="1247"/>
      <c r="CLB50" s="1247"/>
      <c r="CLC50" s="1247"/>
      <c r="CLD50" s="1247"/>
      <c r="CLE50" s="1247"/>
      <c r="CLF50" s="1247"/>
      <c r="CLG50" s="1247"/>
      <c r="CLH50" s="1247"/>
      <c r="CLI50" s="1247"/>
      <c r="CLJ50" s="1247"/>
      <c r="CLK50" s="1247"/>
      <c r="CLL50" s="1247"/>
      <c r="CLM50" s="1247"/>
      <c r="CLN50" s="1247"/>
      <c r="CLO50" s="1247"/>
      <c r="CLP50" s="1247"/>
      <c r="CLQ50" s="1247"/>
      <c r="CLR50" s="1247"/>
      <c r="CLS50" s="1247"/>
      <c r="CLT50" s="1247"/>
      <c r="CLU50" s="1247"/>
      <c r="CLV50" s="1247"/>
      <c r="CLW50" s="1247"/>
      <c r="CLX50" s="1247"/>
      <c r="CLY50" s="1247"/>
      <c r="CLZ50" s="1247"/>
      <c r="CMA50" s="1247"/>
      <c r="CMB50" s="1247"/>
      <c r="CMC50" s="1247"/>
      <c r="CMD50" s="1247"/>
      <c r="CME50" s="1247"/>
      <c r="CMF50" s="1247"/>
      <c r="CMG50" s="1247"/>
      <c r="CMH50" s="1247"/>
      <c r="CMI50" s="1247"/>
      <c r="CMJ50" s="1247"/>
      <c r="CMK50" s="1247"/>
      <c r="CML50" s="1247"/>
      <c r="CMM50" s="1247"/>
      <c r="CMN50" s="1247"/>
      <c r="CMO50" s="1247"/>
      <c r="CMP50" s="1247"/>
      <c r="CMQ50" s="1247"/>
      <c r="CMR50" s="1247"/>
      <c r="CMS50" s="1247"/>
      <c r="CMT50" s="1247"/>
      <c r="CMU50" s="1247"/>
      <c r="CMV50" s="1247"/>
      <c r="CMW50" s="1247"/>
      <c r="CMX50" s="1247"/>
      <c r="CMY50" s="1247"/>
      <c r="CMZ50" s="1247"/>
      <c r="CNA50" s="1247"/>
      <c r="CNB50" s="1247"/>
      <c r="CNC50" s="1247"/>
      <c r="CND50" s="1247"/>
      <c r="CNE50" s="1247"/>
      <c r="CNF50" s="1247"/>
      <c r="CNG50" s="1247"/>
      <c r="CNH50" s="1247"/>
      <c r="CNI50" s="1247"/>
      <c r="CNJ50" s="1247"/>
      <c r="CNK50" s="1247"/>
      <c r="CNL50" s="1247"/>
      <c r="CNM50" s="1247"/>
      <c r="CNN50" s="1247"/>
      <c r="CNO50" s="1247"/>
      <c r="CNP50" s="1247"/>
      <c r="CNQ50" s="1247"/>
      <c r="CNR50" s="1247"/>
      <c r="CNS50" s="1247"/>
      <c r="CNT50" s="1247"/>
      <c r="CNU50" s="1247"/>
      <c r="CNV50" s="1247"/>
      <c r="CNW50" s="1247"/>
      <c r="CNX50" s="1247"/>
      <c r="CNY50" s="1247"/>
      <c r="CNZ50" s="1247"/>
      <c r="COA50" s="1247"/>
      <c r="COB50" s="1247"/>
      <c r="COC50" s="1247"/>
      <c r="COD50" s="1247"/>
      <c r="COE50" s="1247"/>
      <c r="COF50" s="1247"/>
      <c r="COG50" s="1247"/>
      <c r="COH50" s="1247"/>
      <c r="COI50" s="1247"/>
      <c r="COJ50" s="1247"/>
      <c r="COK50" s="1247"/>
      <c r="COL50" s="1247"/>
      <c r="COM50" s="1247"/>
      <c r="CON50" s="1247"/>
      <c r="COO50" s="1247"/>
      <c r="COP50" s="1247"/>
      <c r="COQ50" s="1247"/>
      <c r="COR50" s="1247"/>
      <c r="COS50" s="1247"/>
      <c r="COT50" s="1247"/>
      <c r="COU50" s="1247"/>
      <c r="COV50" s="1247"/>
      <c r="COW50" s="1247"/>
      <c r="COX50" s="1247"/>
      <c r="COY50" s="1247"/>
      <c r="COZ50" s="1247"/>
      <c r="CPA50" s="1247"/>
      <c r="CPB50" s="1247"/>
      <c r="CPC50" s="1247"/>
      <c r="CPD50" s="1247"/>
      <c r="CPE50" s="1247"/>
      <c r="CPF50" s="1247"/>
      <c r="CPG50" s="1247"/>
      <c r="CPH50" s="1247"/>
      <c r="CPI50" s="1247"/>
      <c r="CPJ50" s="1247"/>
      <c r="CPK50" s="1247"/>
      <c r="CPL50" s="1247"/>
      <c r="CPM50" s="1247"/>
      <c r="CPN50" s="1247"/>
      <c r="CPO50" s="1247"/>
      <c r="CPP50" s="1247"/>
      <c r="CPQ50" s="1247"/>
      <c r="CPR50" s="1247"/>
      <c r="CPS50" s="1247"/>
      <c r="CPT50" s="1247"/>
      <c r="CPU50" s="1247"/>
      <c r="CPV50" s="1247"/>
      <c r="CPW50" s="1247"/>
      <c r="CPX50" s="1247"/>
      <c r="CPY50" s="1247"/>
      <c r="CPZ50" s="1247"/>
      <c r="CQA50" s="1247"/>
      <c r="CQB50" s="1247"/>
      <c r="CQC50" s="1247"/>
      <c r="CQD50" s="1247"/>
      <c r="CQE50" s="1247"/>
      <c r="CQF50" s="1247"/>
      <c r="CQG50" s="1247"/>
      <c r="CQH50" s="1247"/>
      <c r="CQI50" s="1247"/>
      <c r="CQJ50" s="1247"/>
      <c r="CQK50" s="1247"/>
      <c r="CQL50" s="1247"/>
      <c r="CQM50" s="1247"/>
      <c r="CQN50" s="1247"/>
      <c r="CQO50" s="1247"/>
      <c r="CQP50" s="1247"/>
      <c r="CQQ50" s="1247"/>
      <c r="CQR50" s="1247"/>
      <c r="CQS50" s="1247"/>
      <c r="CQT50" s="1247"/>
      <c r="CQU50" s="1247"/>
      <c r="CQV50" s="1247"/>
      <c r="CQW50" s="1247"/>
      <c r="CQX50" s="1247"/>
      <c r="CQY50" s="1247"/>
      <c r="CQZ50" s="1247"/>
      <c r="CRA50" s="1247"/>
      <c r="CRB50" s="1247"/>
      <c r="CRC50" s="1247"/>
      <c r="CRD50" s="1247"/>
      <c r="CRE50" s="1247"/>
      <c r="CRF50" s="1247"/>
      <c r="CRG50" s="1247"/>
      <c r="CRH50" s="1247"/>
      <c r="CRI50" s="1247"/>
      <c r="CRJ50" s="1247"/>
      <c r="CRK50" s="1247"/>
      <c r="CRL50" s="1247"/>
      <c r="CRM50" s="1247"/>
      <c r="CRN50" s="1247"/>
      <c r="CRO50" s="1247"/>
      <c r="CRP50" s="1247"/>
      <c r="CRQ50" s="1247"/>
      <c r="CRR50" s="1247"/>
      <c r="CRS50" s="1247"/>
      <c r="CRT50" s="1247"/>
      <c r="CRU50" s="1247"/>
      <c r="CRV50" s="1247"/>
      <c r="CRW50" s="1247"/>
      <c r="CRX50" s="1247"/>
      <c r="CRY50" s="1247"/>
      <c r="CRZ50" s="1247"/>
      <c r="CSA50" s="1247"/>
      <c r="CSB50" s="1247"/>
      <c r="CSC50" s="1247"/>
      <c r="CSD50" s="1247"/>
      <c r="CSE50" s="1247"/>
      <c r="CSF50" s="1247"/>
      <c r="CSG50" s="1247"/>
      <c r="CSH50" s="1247"/>
      <c r="CSI50" s="1247"/>
      <c r="CSJ50" s="1247"/>
      <c r="CSK50" s="1247"/>
      <c r="CSL50" s="1247"/>
      <c r="CSM50" s="1247"/>
      <c r="CSN50" s="1247"/>
      <c r="CSO50" s="1247"/>
      <c r="CSP50" s="1247"/>
      <c r="CSQ50" s="1247"/>
      <c r="CSR50" s="1247"/>
      <c r="CSS50" s="1247"/>
      <c r="CST50" s="1247"/>
      <c r="CSU50" s="1247"/>
      <c r="CSV50" s="1247"/>
      <c r="CSW50" s="1247"/>
      <c r="CSX50" s="1247"/>
      <c r="CSY50" s="1247"/>
      <c r="CSZ50" s="1247"/>
      <c r="CTA50" s="1247"/>
      <c r="CTB50" s="1247"/>
      <c r="CTC50" s="1247"/>
      <c r="CTD50" s="1247"/>
      <c r="CTE50" s="1247"/>
      <c r="CTF50" s="1247"/>
      <c r="CTG50" s="1247"/>
      <c r="CTH50" s="1247"/>
      <c r="CTI50" s="1247"/>
      <c r="CTJ50" s="1247"/>
      <c r="CTK50" s="1247"/>
      <c r="CTL50" s="1247"/>
      <c r="CTM50" s="1247"/>
      <c r="CTN50" s="1247"/>
      <c r="CTO50" s="1247"/>
      <c r="CTP50" s="1247"/>
      <c r="CTQ50" s="1247"/>
      <c r="CTR50" s="1247"/>
      <c r="CTS50" s="1247"/>
      <c r="CTT50" s="1247"/>
      <c r="CTU50" s="1247"/>
      <c r="CTV50" s="1247"/>
      <c r="CTW50" s="1247"/>
      <c r="CTX50" s="1247"/>
      <c r="CTY50" s="1247"/>
      <c r="CTZ50" s="1247"/>
      <c r="CUA50" s="1247"/>
      <c r="CUB50" s="1247"/>
      <c r="CUC50" s="1247"/>
      <c r="CUD50" s="1247"/>
      <c r="CUE50" s="1247"/>
      <c r="CUF50" s="1247"/>
      <c r="CUG50" s="1247"/>
      <c r="CUH50" s="1247"/>
      <c r="CUI50" s="1247"/>
      <c r="CUJ50" s="1247"/>
      <c r="CUK50" s="1247"/>
      <c r="CUL50" s="1247"/>
      <c r="CUM50" s="1247"/>
      <c r="CUN50" s="1247"/>
      <c r="CUO50" s="1247"/>
      <c r="CUP50" s="1247"/>
      <c r="CUQ50" s="1247"/>
      <c r="CUR50" s="1247"/>
      <c r="CUS50" s="1247"/>
      <c r="CUT50" s="1247"/>
      <c r="CUU50" s="1247"/>
      <c r="CUV50" s="1247"/>
      <c r="CUW50" s="1247"/>
      <c r="CUX50" s="1247"/>
      <c r="CUY50" s="1247"/>
      <c r="CUZ50" s="1247"/>
      <c r="CVA50" s="1247"/>
      <c r="CVB50" s="1247"/>
      <c r="CVC50" s="1247"/>
      <c r="CVD50" s="1247"/>
      <c r="CVE50" s="1247"/>
      <c r="CVF50" s="1247"/>
      <c r="CVG50" s="1247"/>
      <c r="CVH50" s="1247"/>
      <c r="CVI50" s="1247"/>
      <c r="CVJ50" s="1247"/>
      <c r="CVK50" s="1247"/>
      <c r="CVL50" s="1247"/>
      <c r="CVM50" s="1247"/>
      <c r="CVN50" s="1247"/>
      <c r="CVO50" s="1247"/>
      <c r="CVP50" s="1247"/>
      <c r="CVQ50" s="1247"/>
      <c r="CVR50" s="1247"/>
      <c r="CVS50" s="1247"/>
      <c r="CVT50" s="1247"/>
      <c r="CVU50" s="1247"/>
      <c r="CVV50" s="1247"/>
      <c r="CVW50" s="1247"/>
      <c r="CVX50" s="1247"/>
      <c r="CVY50" s="1247"/>
      <c r="CVZ50" s="1247"/>
      <c r="CWA50" s="1247"/>
      <c r="CWB50" s="1247"/>
      <c r="CWC50" s="1247"/>
      <c r="CWD50" s="1247"/>
      <c r="CWE50" s="1247"/>
      <c r="CWF50" s="1247"/>
      <c r="CWG50" s="1247"/>
      <c r="CWH50" s="1247"/>
      <c r="CWI50" s="1247"/>
      <c r="CWJ50" s="1247"/>
      <c r="CWK50" s="1247"/>
      <c r="CWL50" s="1247"/>
      <c r="CWM50" s="1247"/>
      <c r="CWN50" s="1247"/>
      <c r="CWO50" s="1247"/>
      <c r="CWP50" s="1247"/>
      <c r="CWQ50" s="1247"/>
      <c r="CWR50" s="1247"/>
      <c r="CWS50" s="1247"/>
      <c r="CWT50" s="1247"/>
      <c r="CWU50" s="1247"/>
      <c r="CWV50" s="1247"/>
      <c r="CWW50" s="1247"/>
      <c r="CWX50" s="1247"/>
      <c r="CWY50" s="1247"/>
      <c r="CWZ50" s="1247"/>
      <c r="CXA50" s="1247"/>
      <c r="CXB50" s="1247"/>
      <c r="CXC50" s="1247"/>
      <c r="CXD50" s="1247"/>
      <c r="CXE50" s="1247"/>
      <c r="CXF50" s="1247"/>
      <c r="CXG50" s="1247"/>
      <c r="CXH50" s="1247"/>
      <c r="CXI50" s="1247"/>
      <c r="CXJ50" s="1247"/>
      <c r="CXK50" s="1247"/>
      <c r="CXL50" s="1247"/>
      <c r="CXM50" s="1247"/>
      <c r="CXN50" s="1247"/>
      <c r="CXO50" s="1247"/>
      <c r="CXP50" s="1247"/>
      <c r="CXQ50" s="1247"/>
      <c r="CXR50" s="1247"/>
      <c r="CXS50" s="1247"/>
      <c r="CXT50" s="1247"/>
      <c r="CXU50" s="1247"/>
      <c r="CXV50" s="1247"/>
      <c r="CXW50" s="1247"/>
      <c r="CXX50" s="1247"/>
      <c r="CXY50" s="1247"/>
      <c r="CXZ50" s="1247"/>
      <c r="CYA50" s="1247"/>
      <c r="CYB50" s="1247"/>
      <c r="CYC50" s="1247"/>
      <c r="CYD50" s="1247"/>
      <c r="CYE50" s="1247"/>
      <c r="CYF50" s="1247"/>
      <c r="CYG50" s="1247"/>
      <c r="CYH50" s="1247"/>
      <c r="CYI50" s="1247"/>
      <c r="CYJ50" s="1247"/>
      <c r="CYK50" s="1247"/>
      <c r="CYL50" s="1247"/>
      <c r="CYM50" s="1247"/>
      <c r="CYN50" s="1247"/>
      <c r="CYO50" s="1247"/>
      <c r="CYP50" s="1247"/>
      <c r="CYQ50" s="1247"/>
      <c r="CYR50" s="1247"/>
      <c r="CYS50" s="1247"/>
      <c r="CYT50" s="1247"/>
      <c r="CYU50" s="1247"/>
      <c r="CYV50" s="1247"/>
      <c r="CYW50" s="1247"/>
      <c r="CYX50" s="1247"/>
      <c r="CYY50" s="1247"/>
      <c r="CYZ50" s="1247"/>
      <c r="CZA50" s="1247"/>
      <c r="CZB50" s="1247"/>
      <c r="CZC50" s="1247"/>
      <c r="CZD50" s="1247"/>
      <c r="CZE50" s="1247"/>
      <c r="CZF50" s="1247"/>
      <c r="CZG50" s="1247"/>
      <c r="CZH50" s="1247"/>
      <c r="CZI50" s="1247"/>
      <c r="CZJ50" s="1247"/>
      <c r="CZK50" s="1247"/>
      <c r="CZL50" s="1247"/>
      <c r="CZM50" s="1247"/>
      <c r="CZN50" s="1247"/>
      <c r="CZO50" s="1247"/>
      <c r="CZP50" s="1247"/>
      <c r="CZQ50" s="1247"/>
      <c r="CZR50" s="1247"/>
      <c r="CZS50" s="1247"/>
      <c r="CZT50" s="1247"/>
      <c r="CZU50" s="1247"/>
      <c r="CZV50" s="1247"/>
      <c r="CZW50" s="1247"/>
      <c r="CZX50" s="1247"/>
      <c r="CZY50" s="1247"/>
      <c r="CZZ50" s="1247"/>
      <c r="DAA50" s="1247"/>
      <c r="DAB50" s="1247"/>
      <c r="DAC50" s="1247"/>
      <c r="DAD50" s="1247"/>
      <c r="DAE50" s="1247"/>
      <c r="DAF50" s="1247"/>
      <c r="DAG50" s="1247"/>
      <c r="DAH50" s="1247"/>
      <c r="DAI50" s="1247"/>
      <c r="DAJ50" s="1247"/>
      <c r="DAK50" s="1247"/>
      <c r="DAL50" s="1247"/>
      <c r="DAM50" s="1247"/>
      <c r="DAN50" s="1247"/>
      <c r="DAO50" s="1247"/>
      <c r="DAP50" s="1247"/>
      <c r="DAQ50" s="1247"/>
      <c r="DAR50" s="1247"/>
      <c r="DAS50" s="1247"/>
      <c r="DAT50" s="1247"/>
      <c r="DAU50" s="1247"/>
      <c r="DAV50" s="1247"/>
      <c r="DAW50" s="1247"/>
      <c r="DAX50" s="1247"/>
      <c r="DAY50" s="1247"/>
      <c r="DAZ50" s="1247"/>
      <c r="DBA50" s="1247"/>
      <c r="DBB50" s="1247"/>
      <c r="DBC50" s="1247"/>
      <c r="DBD50" s="1247"/>
      <c r="DBE50" s="1247"/>
      <c r="DBF50" s="1247"/>
      <c r="DBG50" s="1247"/>
      <c r="DBH50" s="1247"/>
      <c r="DBI50" s="1247"/>
      <c r="DBJ50" s="1247"/>
      <c r="DBK50" s="1247"/>
      <c r="DBL50" s="1247"/>
      <c r="DBM50" s="1247"/>
      <c r="DBN50" s="1247"/>
      <c r="DBO50" s="1247"/>
      <c r="DBP50" s="1247"/>
      <c r="DBQ50" s="1247"/>
      <c r="DBR50" s="1247"/>
      <c r="DBS50" s="1247"/>
      <c r="DBT50" s="1247"/>
      <c r="DBU50" s="1247"/>
      <c r="DBV50" s="1247"/>
      <c r="DBW50" s="1247"/>
      <c r="DBX50" s="1247"/>
      <c r="DBY50" s="1247"/>
      <c r="DBZ50" s="1247"/>
      <c r="DCA50" s="1247"/>
      <c r="DCB50" s="1247"/>
      <c r="DCC50" s="1247"/>
      <c r="DCD50" s="1247"/>
      <c r="DCE50" s="1247"/>
      <c r="DCF50" s="1247"/>
      <c r="DCG50" s="1247"/>
      <c r="DCH50" s="1247"/>
      <c r="DCI50" s="1247"/>
      <c r="DCJ50" s="1247"/>
      <c r="DCK50" s="1247"/>
      <c r="DCL50" s="1247"/>
      <c r="DCM50" s="1247"/>
      <c r="DCN50" s="1247"/>
      <c r="DCO50" s="1247"/>
      <c r="DCP50" s="1247"/>
      <c r="DCQ50" s="1247"/>
      <c r="DCR50" s="1247"/>
      <c r="DCS50" s="1247"/>
      <c r="DCT50" s="1247"/>
      <c r="DCU50" s="1247"/>
      <c r="DCV50" s="1247"/>
      <c r="DCW50" s="1247"/>
      <c r="DCX50" s="1247"/>
      <c r="DCY50" s="1247"/>
      <c r="DCZ50" s="1247"/>
      <c r="DDA50" s="1247"/>
      <c r="DDB50" s="1247"/>
      <c r="DDC50" s="1247"/>
      <c r="DDD50" s="1247"/>
      <c r="DDE50" s="1247"/>
      <c r="DDF50" s="1247"/>
      <c r="DDG50" s="1247"/>
      <c r="DDH50" s="1247"/>
      <c r="DDI50" s="1247"/>
      <c r="DDJ50" s="1247"/>
      <c r="DDK50" s="1247"/>
      <c r="DDL50" s="1247"/>
      <c r="DDM50" s="1247"/>
      <c r="DDN50" s="1247"/>
      <c r="DDO50" s="1247"/>
      <c r="DDP50" s="1247"/>
      <c r="DDQ50" s="1247"/>
      <c r="DDR50" s="1247"/>
      <c r="DDS50" s="1247"/>
      <c r="DDT50" s="1247"/>
      <c r="DDU50" s="1247"/>
      <c r="DDV50" s="1247"/>
      <c r="DDW50" s="1247"/>
      <c r="DDX50" s="1247"/>
      <c r="DDY50" s="1247"/>
      <c r="DDZ50" s="1247"/>
      <c r="DEA50" s="1247"/>
      <c r="DEB50" s="1247"/>
      <c r="DEC50" s="1247"/>
      <c r="DED50" s="1247"/>
      <c r="DEE50" s="1247"/>
      <c r="DEF50" s="1247"/>
      <c r="DEG50" s="1247"/>
      <c r="DEH50" s="1247"/>
      <c r="DEI50" s="1247"/>
      <c r="DEJ50" s="1247"/>
      <c r="DEK50" s="1247"/>
      <c r="DEL50" s="1247"/>
      <c r="DEM50" s="1247"/>
      <c r="DEN50" s="1247"/>
      <c r="DEO50" s="1247"/>
      <c r="DEP50" s="1247"/>
      <c r="DEQ50" s="1247"/>
      <c r="DER50" s="1247"/>
      <c r="DES50" s="1247"/>
      <c r="DET50" s="1247"/>
      <c r="DEU50" s="1247"/>
      <c r="DEV50" s="1247"/>
      <c r="DEW50" s="1247"/>
      <c r="DEX50" s="1247"/>
      <c r="DEY50" s="1247"/>
      <c r="DEZ50" s="1247"/>
      <c r="DFA50" s="1247"/>
      <c r="DFB50" s="1247"/>
      <c r="DFC50" s="1247"/>
      <c r="DFD50" s="1247"/>
      <c r="DFE50" s="1247"/>
      <c r="DFF50" s="1247"/>
      <c r="DFG50" s="1247"/>
      <c r="DFH50" s="1247"/>
      <c r="DFI50" s="1247"/>
      <c r="DFJ50" s="1247"/>
      <c r="DFK50" s="1247"/>
      <c r="DFL50" s="1247"/>
      <c r="DFM50" s="1247"/>
      <c r="DFN50" s="1247"/>
      <c r="DFO50" s="1247"/>
      <c r="DFP50" s="1247"/>
      <c r="DFQ50" s="1247"/>
      <c r="DFR50" s="1247"/>
      <c r="DFS50" s="1247"/>
      <c r="DFT50" s="1247"/>
      <c r="DFU50" s="1247"/>
      <c r="DFV50" s="1247"/>
      <c r="DFW50" s="1247"/>
      <c r="DFX50" s="1247"/>
      <c r="DFY50" s="1247"/>
      <c r="DFZ50" s="1247"/>
      <c r="DGA50" s="1247"/>
      <c r="DGB50" s="1247"/>
      <c r="DGC50" s="1247"/>
      <c r="DGD50" s="1247"/>
      <c r="DGE50" s="1247"/>
      <c r="DGF50" s="1247"/>
      <c r="DGG50" s="1247"/>
      <c r="DGH50" s="1247"/>
      <c r="DGI50" s="1247"/>
      <c r="DGJ50" s="1247"/>
      <c r="DGK50" s="1247"/>
      <c r="DGL50" s="1247"/>
      <c r="DGM50" s="1247"/>
      <c r="DGN50" s="1247"/>
      <c r="DGO50" s="1247"/>
      <c r="DGP50" s="1247"/>
      <c r="DGQ50" s="1247"/>
      <c r="DGR50" s="1247"/>
      <c r="DGS50" s="1247"/>
      <c r="DGT50" s="1247"/>
      <c r="DGU50" s="1247"/>
      <c r="DGV50" s="1247"/>
      <c r="DGW50" s="1247"/>
      <c r="DGX50" s="1247"/>
      <c r="DGY50" s="1247"/>
      <c r="DGZ50" s="1247"/>
      <c r="DHA50" s="1247"/>
      <c r="DHB50" s="1247"/>
      <c r="DHC50" s="1247"/>
      <c r="DHD50" s="1247"/>
      <c r="DHE50" s="1247"/>
      <c r="DHF50" s="1247"/>
      <c r="DHG50" s="1247"/>
      <c r="DHH50" s="1247"/>
      <c r="DHI50" s="1247"/>
      <c r="DHJ50" s="1247"/>
      <c r="DHK50" s="1247"/>
      <c r="DHL50" s="1247"/>
      <c r="DHM50" s="1247"/>
      <c r="DHN50" s="1247"/>
      <c r="DHO50" s="1247"/>
      <c r="DHP50" s="1247"/>
      <c r="DHQ50" s="1247"/>
      <c r="DHR50" s="1247"/>
      <c r="DHS50" s="1247"/>
      <c r="DHT50" s="1247"/>
      <c r="DHU50" s="1247"/>
      <c r="DHV50" s="1247"/>
      <c r="DHW50" s="1247"/>
      <c r="DHX50" s="1247"/>
      <c r="DHY50" s="1247"/>
      <c r="DHZ50" s="1247"/>
      <c r="DIA50" s="1247"/>
      <c r="DIB50" s="1247"/>
      <c r="DIC50" s="1247"/>
      <c r="DID50" s="1247"/>
      <c r="DIE50" s="1247"/>
      <c r="DIF50" s="1247"/>
      <c r="DIG50" s="1247"/>
      <c r="DIH50" s="1247"/>
      <c r="DII50" s="1247"/>
      <c r="DIJ50" s="1247"/>
      <c r="DIK50" s="1247"/>
      <c r="DIL50" s="1247"/>
      <c r="DIM50" s="1247"/>
      <c r="DIN50" s="1247"/>
      <c r="DIO50" s="1247"/>
      <c r="DIP50" s="1247"/>
      <c r="DIQ50" s="1247"/>
      <c r="DIR50" s="1247"/>
      <c r="DIS50" s="1247"/>
      <c r="DIT50" s="1247"/>
      <c r="DIU50" s="1247"/>
      <c r="DIV50" s="1247"/>
      <c r="DIW50" s="1247"/>
      <c r="DIX50" s="1247"/>
      <c r="DIY50" s="1247"/>
      <c r="DIZ50" s="1247"/>
      <c r="DJA50" s="1247"/>
      <c r="DJB50" s="1247"/>
      <c r="DJC50" s="1247"/>
      <c r="DJD50" s="1247"/>
      <c r="DJE50" s="1247"/>
      <c r="DJF50" s="1247"/>
      <c r="DJG50" s="1247"/>
      <c r="DJH50" s="1247"/>
      <c r="DJI50" s="1247"/>
      <c r="DJJ50" s="1247"/>
      <c r="DJK50" s="1247"/>
      <c r="DJL50" s="1247"/>
      <c r="DJM50" s="1247"/>
      <c r="DJN50" s="1247"/>
      <c r="DJO50" s="1247"/>
      <c r="DJP50" s="1247"/>
      <c r="DJQ50" s="1247"/>
      <c r="DJR50" s="1247"/>
      <c r="DJS50" s="1247"/>
      <c r="DJT50" s="1247"/>
      <c r="DJU50" s="1247"/>
      <c r="DJV50" s="1247"/>
      <c r="DJW50" s="1247"/>
      <c r="DJX50" s="1247"/>
      <c r="DJY50" s="1247"/>
      <c r="DJZ50" s="1247"/>
      <c r="DKA50" s="1247"/>
      <c r="DKB50" s="1247"/>
      <c r="DKC50" s="1247"/>
      <c r="DKD50" s="1247"/>
      <c r="DKE50" s="1247"/>
      <c r="DKF50" s="1247"/>
      <c r="DKG50" s="1247"/>
      <c r="DKH50" s="1247"/>
      <c r="DKI50" s="1247"/>
      <c r="DKJ50" s="1247"/>
      <c r="DKK50" s="1247"/>
      <c r="DKL50" s="1247"/>
      <c r="DKM50" s="1247"/>
      <c r="DKN50" s="1247"/>
      <c r="DKO50" s="1247"/>
      <c r="DKP50" s="1247"/>
      <c r="DKQ50" s="1247"/>
      <c r="DKR50" s="1247"/>
      <c r="DKS50" s="1247"/>
      <c r="DKT50" s="1247"/>
      <c r="DKU50" s="1247"/>
      <c r="DKV50" s="1247"/>
      <c r="DKW50" s="1247"/>
      <c r="DKX50" s="1247"/>
      <c r="DKY50" s="1247"/>
      <c r="DKZ50" s="1247"/>
      <c r="DLA50" s="1247"/>
      <c r="DLB50" s="1247"/>
      <c r="DLC50" s="1247"/>
      <c r="DLD50" s="1247"/>
      <c r="DLE50" s="1247"/>
      <c r="DLF50" s="1247"/>
      <c r="DLG50" s="1247"/>
      <c r="DLH50" s="1247"/>
      <c r="DLI50" s="1247"/>
      <c r="DLJ50" s="1247"/>
      <c r="DLK50" s="1247"/>
      <c r="DLL50" s="1247"/>
      <c r="DLM50" s="1247"/>
      <c r="DLN50" s="1247"/>
      <c r="DLO50" s="1247"/>
      <c r="DLP50" s="1247"/>
      <c r="DLQ50" s="1247"/>
      <c r="DLR50" s="1247"/>
      <c r="DLS50" s="1247"/>
      <c r="DLT50" s="1247"/>
      <c r="DLU50" s="1247"/>
      <c r="DLV50" s="1247"/>
      <c r="DLW50" s="1247"/>
      <c r="DLX50" s="1247"/>
      <c r="DLY50" s="1247"/>
      <c r="DLZ50" s="1247"/>
      <c r="DMA50" s="1247"/>
      <c r="DMB50" s="1247"/>
      <c r="DMC50" s="1247"/>
      <c r="DMD50" s="1247"/>
      <c r="DME50" s="1247"/>
      <c r="DMF50" s="1247"/>
      <c r="DMG50" s="1247"/>
      <c r="DMH50" s="1247"/>
      <c r="DMI50" s="1247"/>
      <c r="DMJ50" s="1247"/>
      <c r="DMK50" s="1247"/>
      <c r="DML50" s="1247"/>
      <c r="DMM50" s="1247"/>
      <c r="DMN50" s="1247"/>
      <c r="DMO50" s="1247"/>
      <c r="DMP50" s="1247"/>
      <c r="DMQ50" s="1247"/>
      <c r="DMR50" s="1247"/>
      <c r="DMS50" s="1247"/>
      <c r="DMT50" s="1247"/>
      <c r="DMU50" s="1247"/>
      <c r="DMV50" s="1247"/>
      <c r="DMW50" s="1247"/>
      <c r="DMX50" s="1247"/>
      <c r="DMY50" s="1247"/>
      <c r="DMZ50" s="1247"/>
      <c r="DNA50" s="1247"/>
      <c r="DNB50" s="1247"/>
      <c r="DNC50" s="1247"/>
      <c r="DND50" s="1247"/>
      <c r="DNE50" s="1247"/>
      <c r="DNF50" s="1247"/>
      <c r="DNG50" s="1247"/>
      <c r="DNH50" s="1247"/>
      <c r="DNI50" s="1247"/>
      <c r="DNJ50" s="1247"/>
      <c r="DNK50" s="1247"/>
      <c r="DNL50" s="1247"/>
      <c r="DNM50" s="1247"/>
      <c r="DNN50" s="1247"/>
      <c r="DNO50" s="1247"/>
      <c r="DNP50" s="1247"/>
      <c r="DNQ50" s="1247"/>
      <c r="DNR50" s="1247"/>
      <c r="DNS50" s="1247"/>
      <c r="DNT50" s="1247"/>
      <c r="DNU50" s="1247"/>
      <c r="DNV50" s="1247"/>
      <c r="DNW50" s="1247"/>
      <c r="DNX50" s="1247"/>
      <c r="DNY50" s="1247"/>
      <c r="DNZ50" s="1247"/>
      <c r="DOA50" s="1247"/>
      <c r="DOB50" s="1247"/>
      <c r="DOC50" s="1247"/>
      <c r="DOD50" s="1247"/>
      <c r="DOE50" s="1247"/>
      <c r="DOF50" s="1247"/>
      <c r="DOG50" s="1247"/>
      <c r="DOH50" s="1247"/>
      <c r="DOI50" s="1247"/>
      <c r="DOJ50" s="1247"/>
      <c r="DOK50" s="1247"/>
      <c r="DOL50" s="1247"/>
      <c r="DOM50" s="1247"/>
      <c r="DON50" s="1247"/>
      <c r="DOO50" s="1247"/>
      <c r="DOP50" s="1247"/>
      <c r="DOQ50" s="1247"/>
      <c r="DOR50" s="1247"/>
      <c r="DOS50" s="1247"/>
      <c r="DOT50" s="1247"/>
      <c r="DOU50" s="1247"/>
      <c r="DOV50" s="1247"/>
      <c r="DOW50" s="1247"/>
      <c r="DOX50" s="1247"/>
      <c r="DOY50" s="1247"/>
      <c r="DOZ50" s="1247"/>
      <c r="DPA50" s="1247"/>
      <c r="DPB50" s="1247"/>
      <c r="DPC50" s="1247"/>
      <c r="DPD50" s="1247"/>
      <c r="DPE50" s="1247"/>
      <c r="DPF50" s="1247"/>
      <c r="DPG50" s="1247"/>
      <c r="DPH50" s="1247"/>
      <c r="DPI50" s="1247"/>
      <c r="DPJ50" s="1247"/>
      <c r="DPK50" s="1247"/>
      <c r="DPL50" s="1247"/>
      <c r="DPM50" s="1247"/>
      <c r="DPN50" s="1247"/>
      <c r="DPO50" s="1247"/>
      <c r="DPP50" s="1247"/>
      <c r="DPQ50" s="1247"/>
      <c r="DPR50" s="1247"/>
      <c r="DPS50" s="1247"/>
      <c r="DPT50" s="1247"/>
      <c r="DPU50" s="1247"/>
      <c r="DPV50" s="1247"/>
      <c r="DPW50" s="1247"/>
      <c r="DPX50" s="1247"/>
      <c r="DPY50" s="1247"/>
      <c r="DPZ50" s="1247"/>
      <c r="DQA50" s="1247"/>
      <c r="DQB50" s="1247"/>
      <c r="DQC50" s="1247"/>
      <c r="DQD50" s="1247"/>
      <c r="DQE50" s="1247"/>
      <c r="DQF50" s="1247"/>
      <c r="DQG50" s="1247"/>
      <c r="DQH50" s="1247"/>
      <c r="DQI50" s="1247"/>
      <c r="DQJ50" s="1247"/>
      <c r="DQK50" s="1247"/>
      <c r="DQL50" s="1247"/>
      <c r="DQM50" s="1247"/>
      <c r="DQN50" s="1247"/>
      <c r="DQO50" s="1247"/>
      <c r="DQP50" s="1247"/>
      <c r="DQQ50" s="1247"/>
      <c r="DQR50" s="1247"/>
      <c r="DQS50" s="1247"/>
      <c r="DQT50" s="1247"/>
      <c r="DQU50" s="1247"/>
      <c r="DQV50" s="1247"/>
      <c r="DQW50" s="1247"/>
      <c r="DQX50" s="1247"/>
      <c r="DQY50" s="1247"/>
      <c r="DQZ50" s="1247"/>
      <c r="DRA50" s="1247"/>
      <c r="DRB50" s="1247"/>
      <c r="DRC50" s="1247"/>
      <c r="DRD50" s="1247"/>
      <c r="DRE50" s="1247"/>
      <c r="DRF50" s="1247"/>
      <c r="DRG50" s="1247"/>
      <c r="DRH50" s="1247"/>
      <c r="DRI50" s="1247"/>
      <c r="DRJ50" s="1247"/>
      <c r="DRK50" s="1247"/>
      <c r="DRL50" s="1247"/>
      <c r="DRM50" s="1247"/>
      <c r="DRN50" s="1247"/>
      <c r="DRO50" s="1247"/>
      <c r="DRP50" s="1247"/>
      <c r="DRQ50" s="1247"/>
      <c r="DRR50" s="1247"/>
      <c r="DRS50" s="1247"/>
      <c r="DRT50" s="1247"/>
      <c r="DRU50" s="1247"/>
      <c r="DRV50" s="1247"/>
      <c r="DRW50" s="1247"/>
      <c r="DRX50" s="1247"/>
      <c r="DRY50" s="1247"/>
      <c r="DRZ50" s="1247"/>
      <c r="DSA50" s="1247"/>
      <c r="DSB50" s="1247"/>
      <c r="DSC50" s="1247"/>
      <c r="DSD50" s="1247"/>
      <c r="DSE50" s="1247"/>
      <c r="DSF50" s="1247"/>
      <c r="DSG50" s="1247"/>
      <c r="DSH50" s="1247"/>
      <c r="DSI50" s="1247"/>
      <c r="DSJ50" s="1247"/>
      <c r="DSK50" s="1247"/>
      <c r="DSL50" s="1247"/>
      <c r="DSM50" s="1247"/>
      <c r="DSN50" s="1247"/>
      <c r="DSO50" s="1247"/>
      <c r="DSP50" s="1247"/>
      <c r="DSQ50" s="1247"/>
      <c r="DSR50" s="1247"/>
      <c r="DSS50" s="1247"/>
      <c r="DST50" s="1247"/>
      <c r="DSU50" s="1247"/>
      <c r="DSV50" s="1247"/>
      <c r="DSW50" s="1247"/>
      <c r="DSX50" s="1247"/>
      <c r="DSY50" s="1247"/>
      <c r="DSZ50" s="1247"/>
      <c r="DTA50" s="1247"/>
      <c r="DTB50" s="1247"/>
      <c r="DTC50" s="1247"/>
      <c r="DTD50" s="1247"/>
      <c r="DTE50" s="1247"/>
      <c r="DTF50" s="1247"/>
      <c r="DTG50" s="1247"/>
      <c r="DTH50" s="1247"/>
      <c r="DTI50" s="1247"/>
      <c r="DTJ50" s="1247"/>
      <c r="DTK50" s="1247"/>
      <c r="DTL50" s="1247"/>
      <c r="DTM50" s="1247"/>
      <c r="DTN50" s="1247"/>
      <c r="DTO50" s="1247"/>
      <c r="DTP50" s="1247"/>
      <c r="DTQ50" s="1247"/>
      <c r="DTR50" s="1247"/>
      <c r="DTS50" s="1247"/>
      <c r="DTT50" s="1247"/>
      <c r="DTU50" s="1247"/>
      <c r="DTV50" s="1247"/>
      <c r="DTW50" s="1247"/>
      <c r="DTX50" s="1247"/>
      <c r="DTY50" s="1247"/>
      <c r="DTZ50" s="1247"/>
      <c r="DUA50" s="1247"/>
      <c r="DUB50" s="1247"/>
      <c r="DUC50" s="1247"/>
      <c r="DUD50" s="1247"/>
      <c r="DUE50" s="1247"/>
      <c r="DUF50" s="1247"/>
      <c r="DUG50" s="1247"/>
      <c r="DUH50" s="1247"/>
      <c r="DUI50" s="1247"/>
      <c r="DUJ50" s="1247"/>
      <c r="DUK50" s="1247"/>
      <c r="DUL50" s="1247"/>
      <c r="DUM50" s="1247"/>
      <c r="DUN50" s="1247"/>
      <c r="DUO50" s="1247"/>
      <c r="DUP50" s="1247"/>
      <c r="DUQ50" s="1247"/>
      <c r="DUR50" s="1247"/>
      <c r="DUS50" s="1247"/>
      <c r="DUT50" s="1247"/>
      <c r="DUU50" s="1247"/>
      <c r="DUV50" s="1247"/>
      <c r="DUW50" s="1247"/>
      <c r="DUX50" s="1247"/>
      <c r="DUY50" s="1247"/>
      <c r="DUZ50" s="1247"/>
      <c r="DVA50" s="1247"/>
      <c r="DVB50" s="1247"/>
      <c r="DVC50" s="1247"/>
      <c r="DVD50" s="1247"/>
      <c r="DVE50" s="1247"/>
      <c r="DVF50" s="1247"/>
      <c r="DVG50" s="1247"/>
      <c r="DVH50" s="1247"/>
      <c r="DVI50" s="1247"/>
      <c r="DVJ50" s="1247"/>
      <c r="DVK50" s="1247"/>
      <c r="DVL50" s="1247"/>
      <c r="DVM50" s="1247"/>
      <c r="DVN50" s="1247"/>
      <c r="DVO50" s="1247"/>
      <c r="DVP50" s="1247"/>
      <c r="DVQ50" s="1247"/>
      <c r="DVR50" s="1247"/>
      <c r="DVS50" s="1247"/>
      <c r="DVT50" s="1247"/>
      <c r="DVU50" s="1247"/>
      <c r="DVV50" s="1247"/>
      <c r="DVW50" s="1247"/>
      <c r="DVX50" s="1247"/>
      <c r="DVY50" s="1247"/>
      <c r="DVZ50" s="1247"/>
      <c r="DWA50" s="1247"/>
      <c r="DWB50" s="1247"/>
      <c r="DWC50" s="1247"/>
      <c r="DWD50" s="1247"/>
      <c r="DWE50" s="1247"/>
      <c r="DWF50" s="1247"/>
      <c r="DWG50" s="1247"/>
      <c r="DWH50" s="1247"/>
      <c r="DWI50" s="1247"/>
      <c r="DWJ50" s="1247"/>
      <c r="DWK50" s="1247"/>
      <c r="DWL50" s="1247"/>
      <c r="DWM50" s="1247"/>
      <c r="DWN50" s="1247"/>
      <c r="DWO50" s="1247"/>
      <c r="DWP50" s="1247"/>
      <c r="DWQ50" s="1247"/>
      <c r="DWR50" s="1247"/>
      <c r="DWS50" s="1247"/>
      <c r="DWT50" s="1247"/>
      <c r="DWU50" s="1247"/>
      <c r="DWV50" s="1247"/>
      <c r="DWW50" s="1247"/>
      <c r="DWX50" s="1247"/>
      <c r="DWY50" s="1247"/>
      <c r="DWZ50" s="1247"/>
      <c r="DXA50" s="1247"/>
      <c r="DXB50" s="1247"/>
      <c r="DXC50" s="1247"/>
      <c r="DXD50" s="1247"/>
      <c r="DXE50" s="1247"/>
      <c r="DXF50" s="1247"/>
      <c r="DXG50" s="1247"/>
      <c r="DXH50" s="1247"/>
      <c r="DXI50" s="1247"/>
      <c r="DXJ50" s="1247"/>
      <c r="DXK50" s="1247"/>
      <c r="DXL50" s="1247"/>
      <c r="DXM50" s="1247"/>
      <c r="DXN50" s="1247"/>
      <c r="DXO50" s="1247"/>
      <c r="DXP50" s="1247"/>
      <c r="DXQ50" s="1247"/>
      <c r="DXR50" s="1247"/>
      <c r="DXS50" s="1247"/>
      <c r="DXT50" s="1247"/>
      <c r="DXU50" s="1247"/>
      <c r="DXV50" s="1247"/>
      <c r="DXW50" s="1247"/>
      <c r="DXX50" s="1247"/>
      <c r="DXY50" s="1247"/>
      <c r="DXZ50" s="1247"/>
      <c r="DYA50" s="1247"/>
      <c r="DYB50" s="1247"/>
      <c r="DYC50" s="1247"/>
      <c r="DYD50" s="1247"/>
      <c r="DYE50" s="1247"/>
      <c r="DYF50" s="1247"/>
      <c r="DYG50" s="1247"/>
      <c r="DYH50" s="1247"/>
      <c r="DYI50" s="1247"/>
      <c r="DYJ50" s="1247"/>
      <c r="DYK50" s="1247"/>
      <c r="DYL50" s="1247"/>
      <c r="DYM50" s="1247"/>
      <c r="DYN50" s="1247"/>
      <c r="DYO50" s="1247"/>
      <c r="DYP50" s="1247"/>
      <c r="DYQ50" s="1247"/>
      <c r="DYR50" s="1247"/>
      <c r="DYS50" s="1247"/>
      <c r="DYT50" s="1247"/>
      <c r="DYU50" s="1247"/>
      <c r="DYV50" s="1247"/>
      <c r="DYW50" s="1247"/>
      <c r="DYX50" s="1247"/>
      <c r="DYY50" s="1247"/>
      <c r="DYZ50" s="1247"/>
      <c r="DZA50" s="1247"/>
      <c r="DZB50" s="1247"/>
      <c r="DZC50" s="1247"/>
      <c r="DZD50" s="1247"/>
      <c r="DZE50" s="1247"/>
      <c r="DZF50" s="1247"/>
      <c r="DZG50" s="1247"/>
      <c r="DZH50" s="1247"/>
      <c r="DZI50" s="1247"/>
      <c r="DZJ50" s="1247"/>
      <c r="DZK50" s="1247"/>
      <c r="DZL50" s="1247"/>
      <c r="DZM50" s="1247"/>
      <c r="DZN50" s="1247"/>
      <c r="DZO50" s="1247"/>
      <c r="DZP50" s="1247"/>
      <c r="DZQ50" s="1247"/>
      <c r="DZR50" s="1247"/>
      <c r="DZS50" s="1247"/>
      <c r="DZT50" s="1247"/>
      <c r="DZU50" s="1247"/>
      <c r="DZV50" s="1247"/>
      <c r="DZW50" s="1247"/>
      <c r="DZX50" s="1247"/>
      <c r="DZY50" s="1247"/>
      <c r="DZZ50" s="1247"/>
      <c r="EAA50" s="1247"/>
      <c r="EAB50" s="1247"/>
      <c r="EAC50" s="1247"/>
      <c r="EAD50" s="1247"/>
      <c r="EAE50" s="1247"/>
      <c r="EAF50" s="1247"/>
      <c r="EAG50" s="1247"/>
      <c r="EAH50" s="1247"/>
      <c r="EAI50" s="1247"/>
      <c r="EAJ50" s="1247"/>
      <c r="EAK50" s="1247"/>
      <c r="EAL50" s="1247"/>
      <c r="EAM50" s="1247"/>
      <c r="EAN50" s="1247"/>
      <c r="EAO50" s="1247"/>
      <c r="EAP50" s="1247"/>
      <c r="EAQ50" s="1247"/>
      <c r="EAR50" s="1247"/>
      <c r="EAS50" s="1247"/>
      <c r="EAT50" s="1247"/>
      <c r="EAU50" s="1247"/>
      <c r="EAV50" s="1247"/>
      <c r="EAW50" s="1247"/>
      <c r="EAX50" s="1247"/>
      <c r="EAY50" s="1247"/>
      <c r="EAZ50" s="1247"/>
      <c r="EBA50" s="1247"/>
      <c r="EBB50" s="1247"/>
      <c r="EBC50" s="1247"/>
      <c r="EBD50" s="1247"/>
      <c r="EBE50" s="1247"/>
      <c r="EBF50" s="1247"/>
      <c r="EBG50" s="1247"/>
      <c r="EBH50" s="1247"/>
      <c r="EBI50" s="1247"/>
      <c r="EBJ50" s="1247"/>
      <c r="EBK50" s="1247"/>
      <c r="EBL50" s="1247"/>
      <c r="EBM50" s="1247"/>
      <c r="EBN50" s="1247"/>
      <c r="EBO50" s="1247"/>
      <c r="EBP50" s="1247"/>
      <c r="EBQ50" s="1247"/>
      <c r="EBR50" s="1247"/>
      <c r="EBS50" s="1247"/>
      <c r="EBT50" s="1247"/>
      <c r="EBU50" s="1247"/>
      <c r="EBV50" s="1247"/>
      <c r="EBW50" s="1247"/>
      <c r="EBX50" s="1247"/>
      <c r="EBY50" s="1247"/>
      <c r="EBZ50" s="1247"/>
      <c r="ECA50" s="1247"/>
      <c r="ECB50" s="1247"/>
      <c r="ECC50" s="1247"/>
      <c r="ECD50" s="1247"/>
      <c r="ECE50" s="1247"/>
      <c r="ECF50" s="1247"/>
      <c r="ECG50" s="1247"/>
      <c r="ECH50" s="1247"/>
      <c r="ECI50" s="1247"/>
      <c r="ECJ50" s="1247"/>
      <c r="ECK50" s="1247"/>
      <c r="ECL50" s="1247"/>
      <c r="ECM50" s="1247"/>
      <c r="ECN50" s="1247"/>
      <c r="ECO50" s="1247"/>
    </row>
    <row r="51" spans="2:3473" s="1248" customFormat="1" ht="13" outlineLevel="1">
      <c r="B51" s="1249"/>
      <c r="C51" s="1250">
        <v>1</v>
      </c>
      <c r="D51" s="1251" t="s">
        <v>29</v>
      </c>
      <c r="E51" s="1278"/>
      <c r="F51" s="1279"/>
      <c r="G51" s="1279"/>
      <c r="H51" s="1279"/>
      <c r="I51" s="1279"/>
      <c r="J51" s="1279"/>
      <c r="K51" s="1278"/>
      <c r="L51" s="1279"/>
      <c r="M51" s="1278"/>
      <c r="N51" s="1278"/>
      <c r="O51" s="1279"/>
      <c r="P51" s="1279"/>
      <c r="Q51" s="1278"/>
      <c r="R51" s="1279"/>
      <c r="S51" s="1279"/>
      <c r="T51" s="1278"/>
      <c r="U51" s="1279"/>
      <c r="V51" s="1279"/>
      <c r="W51" s="1278"/>
      <c r="X51" s="1279"/>
      <c r="Y51" s="1279"/>
      <c r="Z51" s="1278"/>
      <c r="AA51" s="1278"/>
      <c r="AB51" s="1278"/>
      <c r="AC51" s="1278"/>
      <c r="AD51" s="1256"/>
      <c r="AE51" s="1280"/>
      <c r="AF51" s="1254"/>
      <c r="AG51" s="1255"/>
      <c r="AH51" s="1255"/>
      <c r="AI51" s="1256"/>
      <c r="AJ51" s="1256"/>
      <c r="AK51" s="1256"/>
      <c r="AL51" s="1256"/>
      <c r="AM51" s="1256"/>
      <c r="AN51" s="1256"/>
      <c r="AO51" s="1256"/>
      <c r="AP51" s="1256"/>
      <c r="AQ51" s="1256"/>
      <c r="AR51" s="1256"/>
      <c r="AS51" s="1256"/>
      <c r="AT51" s="1256"/>
      <c r="AU51" s="1256"/>
      <c r="AV51" s="1256"/>
      <c r="AW51" s="1256"/>
      <c r="AX51" s="1256"/>
      <c r="AY51" s="1256"/>
      <c r="AZ51" s="1256"/>
      <c r="BA51" s="1256"/>
      <c r="BB51" s="1256"/>
      <c r="BC51" s="1256"/>
      <c r="BD51" s="1256"/>
      <c r="BE51" s="1256"/>
      <c r="BF51" s="1256"/>
      <c r="BG51" s="1256"/>
      <c r="BH51" s="1256"/>
      <c r="BI51" s="1256"/>
      <c r="BJ51" s="1257"/>
      <c r="BK51" s="1257"/>
      <c r="BL51" s="1257"/>
      <c r="BM51" s="1262"/>
      <c r="BN51" s="1225"/>
      <c r="BO51" s="1225"/>
      <c r="BP51" s="1225"/>
      <c r="BQ51" s="1225"/>
      <c r="BR51" s="1221"/>
      <c r="BS51" s="1221"/>
      <c r="BT51" s="1221"/>
      <c r="BU51" s="1221"/>
      <c r="BV51" s="1221"/>
      <c r="BW51" s="1221"/>
      <c r="BX51" s="1221"/>
      <c r="BY51" s="1221"/>
      <c r="BZ51" s="1221"/>
      <c r="CA51" s="1221"/>
      <c r="CB51" s="1221"/>
      <c r="CC51" s="1221"/>
      <c r="CD51" s="1221"/>
      <c r="CE51" s="1221"/>
      <c r="CF51" s="1221"/>
      <c r="CG51" s="1221"/>
      <c r="CH51" s="1221"/>
      <c r="CI51" s="1221"/>
      <c r="CJ51" s="1221"/>
      <c r="CK51" s="1221"/>
      <c r="CL51" s="1221"/>
      <c r="CM51" s="1221"/>
      <c r="CN51" s="1221"/>
      <c r="CO51" s="1221"/>
      <c r="CP51" s="1221"/>
      <c r="CQ51" s="1221"/>
      <c r="CR51" s="1221"/>
      <c r="CS51" s="1221"/>
      <c r="CT51" s="1221"/>
      <c r="CU51" s="1221"/>
      <c r="CV51" s="1221"/>
      <c r="CW51" s="1221"/>
      <c r="CX51" s="1221"/>
      <c r="CY51" s="1221"/>
      <c r="CZ51" s="1221"/>
      <c r="DA51" s="1221"/>
      <c r="DB51" s="1221"/>
      <c r="DC51" s="1221"/>
      <c r="DD51" s="1221"/>
      <c r="DE51" s="1221"/>
      <c r="DF51" s="1221"/>
      <c r="DG51" s="1221"/>
      <c r="DH51" s="1221"/>
      <c r="DI51" s="1221"/>
      <c r="DJ51" s="1221"/>
      <c r="DK51" s="1221"/>
      <c r="DL51" s="1221"/>
      <c r="DM51" s="1221"/>
      <c r="DN51" s="1221"/>
      <c r="DO51" s="1221"/>
      <c r="DP51" s="1221"/>
      <c r="DQ51" s="1221"/>
      <c r="DR51" s="1221"/>
      <c r="DS51" s="1221"/>
      <c r="DT51" s="1221"/>
      <c r="DU51" s="1221"/>
      <c r="DV51" s="1221"/>
      <c r="DW51" s="1221"/>
      <c r="DX51" s="1221"/>
      <c r="DY51" s="1221"/>
      <c r="DZ51" s="1221"/>
      <c r="EA51" s="1221"/>
      <c r="EB51" s="1221"/>
      <c r="EC51" s="1221"/>
      <c r="ED51" s="1221"/>
      <c r="EE51" s="1221"/>
      <c r="EF51" s="1221"/>
      <c r="EG51" s="1221"/>
      <c r="EH51" s="1221"/>
      <c r="EI51" s="1221"/>
      <c r="EJ51" s="1221"/>
      <c r="EK51" s="1221"/>
      <c r="EL51" s="1221"/>
      <c r="EM51" s="1221"/>
      <c r="EN51" s="1221"/>
      <c r="EO51" s="1221"/>
      <c r="EP51" s="1221"/>
      <c r="EQ51" s="1221"/>
      <c r="ER51" s="1221"/>
      <c r="ES51" s="1221"/>
      <c r="ET51" s="1221"/>
      <c r="EU51" s="1221"/>
      <c r="EV51" s="1221"/>
      <c r="EW51" s="1221"/>
      <c r="EX51" s="1221"/>
      <c r="EY51" s="1221"/>
      <c r="EZ51" s="1221"/>
      <c r="FA51" s="1221"/>
      <c r="FB51" s="1221"/>
      <c r="FC51" s="1221"/>
      <c r="FD51" s="1221"/>
      <c r="FE51" s="1221"/>
      <c r="FF51" s="1221"/>
      <c r="FG51" s="1221"/>
      <c r="FH51" s="1221"/>
      <c r="FI51" s="1221"/>
      <c r="FJ51" s="1221"/>
      <c r="FK51" s="1221"/>
      <c r="FL51" s="1221"/>
      <c r="FM51" s="1221"/>
      <c r="FN51" s="1221"/>
      <c r="FO51" s="1221"/>
      <c r="FP51" s="1221"/>
      <c r="FQ51" s="1221"/>
      <c r="FR51" s="1221"/>
      <c r="FS51" s="1221"/>
      <c r="FT51" s="1221"/>
      <c r="FU51" s="1221"/>
      <c r="FV51" s="1221"/>
      <c r="FW51" s="1221"/>
      <c r="FX51" s="1221"/>
      <c r="FY51" s="1221"/>
      <c r="FZ51" s="1221"/>
      <c r="GA51" s="1221"/>
      <c r="GB51" s="1221"/>
      <c r="GC51" s="1221"/>
      <c r="GD51" s="1221"/>
      <c r="GE51" s="1221"/>
      <c r="GF51" s="1221"/>
      <c r="GG51" s="1221"/>
      <c r="GH51" s="1221"/>
      <c r="GI51" s="1221"/>
      <c r="GJ51" s="1221"/>
      <c r="GK51" s="1221"/>
      <c r="GL51" s="1221"/>
      <c r="GM51" s="1221"/>
      <c r="GN51" s="1221"/>
      <c r="GO51" s="1221"/>
      <c r="GP51" s="1221"/>
      <c r="GQ51" s="1221"/>
      <c r="GR51" s="1221"/>
      <c r="GS51" s="1221"/>
      <c r="GT51" s="1221"/>
      <c r="GU51" s="1221"/>
      <c r="GV51" s="1221"/>
      <c r="GW51" s="1221"/>
      <c r="GX51" s="1221"/>
      <c r="GY51" s="1221"/>
      <c r="GZ51" s="1221"/>
      <c r="HA51" s="1221"/>
      <c r="HB51" s="1221"/>
      <c r="HC51" s="1221"/>
      <c r="HD51" s="1221"/>
      <c r="HE51" s="1221"/>
      <c r="HF51" s="1221"/>
      <c r="HG51" s="1221"/>
      <c r="HH51" s="1221"/>
      <c r="HI51" s="1221"/>
      <c r="HJ51" s="1221"/>
      <c r="HK51" s="1221"/>
      <c r="HL51" s="1221"/>
      <c r="HM51" s="1221"/>
      <c r="HN51" s="1221"/>
      <c r="HO51" s="1221"/>
      <c r="HP51" s="1221"/>
      <c r="HQ51" s="1221"/>
      <c r="HR51" s="1221"/>
      <c r="HS51" s="1221"/>
      <c r="HT51" s="1221"/>
      <c r="HU51" s="1221"/>
      <c r="HV51" s="1221"/>
      <c r="HW51" s="1221"/>
      <c r="HX51" s="1221"/>
      <c r="HY51" s="1221"/>
      <c r="HZ51" s="1221"/>
      <c r="IA51" s="1221"/>
      <c r="IB51" s="1221"/>
      <c r="IC51" s="1221"/>
      <c r="ID51" s="1221"/>
      <c r="IE51" s="1221"/>
      <c r="IF51" s="1221"/>
      <c r="IG51" s="1221"/>
      <c r="IH51" s="1221"/>
      <c r="II51" s="1221"/>
      <c r="IJ51" s="1221"/>
      <c r="IK51" s="1221"/>
      <c r="IL51" s="1221"/>
      <c r="IM51" s="1221"/>
      <c r="IN51" s="1221"/>
      <c r="IO51" s="1221"/>
      <c r="IP51" s="1221"/>
      <c r="IQ51" s="1221"/>
      <c r="IR51" s="1221"/>
      <c r="IS51" s="1221"/>
      <c r="IT51" s="1221"/>
      <c r="IU51" s="1221"/>
      <c r="IV51" s="1221"/>
      <c r="IW51" s="1221"/>
      <c r="IX51" s="1221"/>
      <c r="IY51" s="1221"/>
      <c r="IZ51" s="1221"/>
      <c r="JA51" s="1221"/>
      <c r="JB51" s="1221"/>
      <c r="JC51" s="1221"/>
      <c r="JD51" s="1221"/>
      <c r="JE51" s="1221"/>
      <c r="JF51" s="1221"/>
      <c r="JG51" s="1221"/>
      <c r="JH51" s="1221"/>
      <c r="JI51" s="1221"/>
      <c r="JJ51" s="1221"/>
      <c r="JK51" s="1221"/>
      <c r="JL51" s="1221"/>
      <c r="JM51" s="1221"/>
      <c r="JN51" s="1221"/>
      <c r="JO51" s="1221"/>
      <c r="JP51" s="1221"/>
      <c r="JQ51" s="1221"/>
      <c r="JR51" s="1221"/>
      <c r="JS51" s="1221"/>
      <c r="JT51" s="1221"/>
      <c r="JU51" s="1221"/>
      <c r="JV51" s="1221"/>
      <c r="JW51" s="1221"/>
      <c r="JX51" s="1221"/>
      <c r="JY51" s="1221"/>
      <c r="JZ51" s="1221"/>
      <c r="KA51" s="1221"/>
      <c r="KB51" s="1221"/>
      <c r="KC51" s="1221"/>
      <c r="KD51" s="1221"/>
      <c r="KE51" s="1221"/>
      <c r="KF51" s="1221"/>
      <c r="KG51" s="1221"/>
      <c r="KH51" s="1221"/>
      <c r="KI51" s="1221"/>
      <c r="KJ51" s="1221"/>
      <c r="KK51" s="1221"/>
      <c r="KL51" s="1221"/>
      <c r="KM51" s="1221"/>
      <c r="KN51" s="1221"/>
      <c r="KO51" s="1221"/>
      <c r="KP51" s="1221"/>
      <c r="KQ51" s="1221"/>
      <c r="KR51" s="1221"/>
      <c r="KS51" s="1221"/>
      <c r="KT51" s="1221"/>
      <c r="KU51" s="1221"/>
      <c r="KV51" s="1221"/>
      <c r="KW51" s="1221"/>
      <c r="KX51" s="1221"/>
      <c r="KY51" s="1221"/>
      <c r="KZ51" s="1221"/>
      <c r="LA51" s="1221"/>
      <c r="LB51" s="1221"/>
      <c r="LC51" s="1221"/>
      <c r="LD51" s="1221"/>
      <c r="LE51" s="1221"/>
      <c r="LF51" s="1221"/>
      <c r="LG51" s="1221"/>
      <c r="LH51" s="1221"/>
      <c r="LI51" s="1221"/>
      <c r="LJ51" s="1221"/>
      <c r="LK51" s="1221"/>
      <c r="LL51" s="1221"/>
      <c r="LM51" s="1221"/>
      <c r="LN51" s="1221"/>
      <c r="LO51" s="1221"/>
      <c r="LP51" s="1221"/>
      <c r="LQ51" s="1221"/>
      <c r="LR51" s="1221"/>
      <c r="LS51" s="1221"/>
      <c r="LT51" s="1221"/>
      <c r="LU51" s="1221"/>
      <c r="LV51" s="1221"/>
      <c r="LW51" s="1221"/>
      <c r="LX51" s="1221"/>
      <c r="LY51" s="1221"/>
      <c r="LZ51" s="1221"/>
      <c r="MA51" s="1221"/>
      <c r="MB51" s="1221"/>
      <c r="MC51" s="1221"/>
      <c r="MD51" s="1221"/>
      <c r="ME51" s="1221"/>
      <c r="MF51" s="1221"/>
      <c r="MG51" s="1221"/>
      <c r="MH51" s="1221"/>
      <c r="MI51" s="1221"/>
      <c r="MJ51" s="1221"/>
      <c r="MK51" s="1221"/>
      <c r="ML51" s="1221"/>
      <c r="MM51" s="1221"/>
      <c r="MN51" s="1221"/>
      <c r="MO51" s="1221"/>
      <c r="MP51" s="1221"/>
      <c r="MQ51" s="1221"/>
      <c r="MR51" s="1221"/>
      <c r="MS51" s="1221"/>
      <c r="MT51" s="1221"/>
      <c r="MU51" s="1221"/>
      <c r="MV51" s="1221"/>
      <c r="MW51" s="1221"/>
      <c r="MX51" s="1221"/>
      <c r="MY51" s="1221"/>
      <c r="MZ51" s="1221"/>
      <c r="NA51" s="1221"/>
      <c r="NB51" s="1221"/>
      <c r="NC51" s="1221"/>
      <c r="ND51" s="1221"/>
      <c r="NE51" s="1221"/>
      <c r="NF51" s="1221"/>
      <c r="NG51" s="1221"/>
      <c r="NH51" s="1221"/>
      <c r="NI51" s="1221"/>
      <c r="NJ51" s="1221"/>
      <c r="NK51" s="1221"/>
      <c r="NL51" s="1221"/>
      <c r="NM51" s="1221"/>
      <c r="NN51" s="1221"/>
      <c r="NO51" s="1221"/>
      <c r="NP51" s="1221"/>
      <c r="NQ51" s="1221"/>
      <c r="NR51" s="1221"/>
      <c r="NS51" s="1221"/>
      <c r="NT51" s="1221"/>
      <c r="NU51" s="1221"/>
      <c r="NV51" s="1221"/>
      <c r="NW51" s="1221"/>
      <c r="NX51" s="1221"/>
      <c r="NY51" s="1221"/>
      <c r="NZ51" s="1221"/>
      <c r="OA51" s="1221"/>
      <c r="OB51" s="1221"/>
      <c r="OC51" s="1221"/>
      <c r="OD51" s="1221"/>
      <c r="OE51" s="1221"/>
      <c r="OF51" s="1221"/>
      <c r="OG51" s="1221"/>
      <c r="OH51" s="1221"/>
      <c r="OI51" s="1221"/>
      <c r="OJ51" s="1221"/>
      <c r="OK51" s="1221"/>
      <c r="OL51" s="1221"/>
      <c r="OM51" s="1221"/>
      <c r="ON51" s="1221"/>
      <c r="OO51" s="1221"/>
      <c r="OP51" s="1221"/>
      <c r="OQ51" s="1221"/>
      <c r="OR51" s="1221"/>
      <c r="OS51" s="1221"/>
      <c r="OT51" s="1221"/>
      <c r="OU51" s="1221"/>
      <c r="OV51" s="1221"/>
      <c r="OW51" s="1221"/>
      <c r="OX51" s="1221"/>
      <c r="OY51" s="1221"/>
      <c r="OZ51" s="1221"/>
      <c r="PA51" s="1221"/>
      <c r="PB51" s="1221"/>
      <c r="PC51" s="1221"/>
      <c r="PD51" s="1221"/>
      <c r="PE51" s="1221"/>
      <c r="PF51" s="1221"/>
      <c r="PG51" s="1221"/>
      <c r="PH51" s="1221"/>
      <c r="PI51" s="1221"/>
      <c r="PJ51" s="1221"/>
      <c r="PK51" s="1221"/>
      <c r="PL51" s="1221"/>
      <c r="PM51" s="1221"/>
      <c r="PN51" s="1221"/>
      <c r="PO51" s="1221"/>
      <c r="PP51" s="1221"/>
      <c r="PQ51" s="1221"/>
      <c r="PR51" s="1221"/>
      <c r="PS51" s="1221"/>
      <c r="PT51" s="1221"/>
      <c r="PU51" s="1221"/>
      <c r="PV51" s="1221"/>
      <c r="PW51" s="1221"/>
      <c r="PX51" s="1221"/>
      <c r="PY51" s="1221"/>
      <c r="PZ51" s="1221"/>
      <c r="QA51" s="1221"/>
      <c r="QB51" s="1221"/>
      <c r="QC51" s="1221"/>
      <c r="QD51" s="1221"/>
      <c r="QE51" s="1221"/>
      <c r="QF51" s="1221"/>
      <c r="QG51" s="1221"/>
      <c r="QH51" s="1221"/>
      <c r="QI51" s="1221"/>
      <c r="QJ51" s="1221"/>
      <c r="QK51" s="1221"/>
      <c r="QL51" s="1221"/>
      <c r="QM51" s="1221"/>
      <c r="QN51" s="1221"/>
      <c r="QO51" s="1221"/>
      <c r="QP51" s="1221"/>
      <c r="QQ51" s="1221"/>
      <c r="QR51" s="1221"/>
      <c r="QS51" s="1221"/>
      <c r="QT51" s="1221"/>
      <c r="QU51" s="1221"/>
      <c r="QV51" s="1221"/>
      <c r="QW51" s="1221"/>
      <c r="QX51" s="1221"/>
      <c r="QY51" s="1221"/>
      <c r="QZ51" s="1221"/>
      <c r="RA51" s="1221"/>
      <c r="RB51" s="1221"/>
      <c r="RC51" s="1221"/>
      <c r="RD51" s="1221"/>
      <c r="RE51" s="1221"/>
      <c r="RF51" s="1221"/>
      <c r="RG51" s="1221"/>
      <c r="RH51" s="1221"/>
      <c r="RI51" s="1221"/>
      <c r="RJ51" s="1221"/>
      <c r="RK51" s="1221"/>
      <c r="RL51" s="1221"/>
      <c r="RM51" s="1221"/>
      <c r="RN51" s="1221"/>
      <c r="RO51" s="1221"/>
      <c r="RP51" s="1221"/>
      <c r="RQ51" s="1221"/>
      <c r="RR51" s="1221"/>
      <c r="RS51" s="1221"/>
      <c r="RT51" s="1221"/>
      <c r="RU51" s="1221"/>
      <c r="RV51" s="1221"/>
      <c r="RW51" s="1221"/>
      <c r="RX51" s="1221"/>
      <c r="RY51" s="1221"/>
      <c r="RZ51" s="1221"/>
      <c r="SA51" s="1221"/>
      <c r="SB51" s="1221"/>
      <c r="SC51" s="1221"/>
      <c r="SD51" s="1221"/>
      <c r="SE51" s="1221"/>
      <c r="SF51" s="1221"/>
      <c r="SG51" s="1221"/>
      <c r="SH51" s="1221"/>
      <c r="SI51" s="1221"/>
      <c r="SJ51" s="1221"/>
      <c r="SK51" s="1221"/>
      <c r="SL51" s="1221"/>
      <c r="SM51" s="1221"/>
      <c r="SN51" s="1221"/>
      <c r="SO51" s="1221"/>
      <c r="SP51" s="1221"/>
      <c r="SQ51" s="1221"/>
      <c r="SR51" s="1221"/>
      <c r="SS51" s="1221"/>
      <c r="ST51" s="1221"/>
      <c r="SU51" s="1221"/>
      <c r="SV51" s="1221"/>
      <c r="SW51" s="1221"/>
      <c r="SX51" s="1221"/>
      <c r="SY51" s="1221"/>
      <c r="SZ51" s="1221"/>
      <c r="TA51" s="1221"/>
      <c r="TB51" s="1221"/>
      <c r="TC51" s="1221"/>
      <c r="TD51" s="1221"/>
      <c r="TE51" s="1221"/>
      <c r="TF51" s="1221"/>
      <c r="TG51" s="1221"/>
      <c r="TH51" s="1221"/>
      <c r="TI51" s="1221"/>
      <c r="TJ51" s="1221"/>
      <c r="TK51" s="1221"/>
      <c r="TL51" s="1221"/>
      <c r="TM51" s="1221"/>
      <c r="TN51" s="1221"/>
      <c r="TO51" s="1221"/>
      <c r="TP51" s="1221"/>
      <c r="TQ51" s="1221"/>
      <c r="TR51" s="1221"/>
      <c r="TS51" s="1221"/>
      <c r="TT51" s="1221"/>
      <c r="TU51" s="1221"/>
      <c r="TV51" s="1221"/>
      <c r="TW51" s="1221"/>
      <c r="TX51" s="1221"/>
      <c r="TY51" s="1221"/>
      <c r="TZ51" s="1221"/>
      <c r="UA51" s="1221"/>
      <c r="UB51" s="1221"/>
      <c r="UC51" s="1221"/>
      <c r="UD51" s="1221"/>
      <c r="UE51" s="1221"/>
      <c r="UF51" s="1221"/>
      <c r="UG51" s="1221"/>
      <c r="UH51" s="1221"/>
      <c r="UI51" s="1221"/>
      <c r="UJ51" s="1221"/>
      <c r="UK51" s="1221"/>
      <c r="UL51" s="1221"/>
      <c r="UM51" s="1221"/>
      <c r="UN51" s="1221"/>
      <c r="UO51" s="1221"/>
      <c r="UP51" s="1221"/>
      <c r="UQ51" s="1221"/>
      <c r="UR51" s="1221"/>
      <c r="US51" s="1221"/>
      <c r="UT51" s="1221"/>
      <c r="UU51" s="1221"/>
      <c r="UV51" s="1221"/>
      <c r="UW51" s="1221"/>
      <c r="UX51" s="1221"/>
      <c r="UY51" s="1221"/>
      <c r="UZ51" s="1221"/>
      <c r="VA51" s="1221"/>
      <c r="VB51" s="1221"/>
      <c r="VC51" s="1221"/>
      <c r="VD51" s="1221"/>
      <c r="VE51" s="1221"/>
      <c r="VF51" s="1221"/>
      <c r="VG51" s="1221"/>
      <c r="VH51" s="1221"/>
      <c r="VI51" s="1221"/>
      <c r="VJ51" s="1221"/>
      <c r="VK51" s="1221"/>
      <c r="VL51" s="1221"/>
      <c r="VM51" s="1221"/>
      <c r="VN51" s="1221"/>
      <c r="VO51" s="1221"/>
      <c r="VP51" s="1221"/>
      <c r="VQ51" s="1221"/>
      <c r="VR51" s="1221"/>
      <c r="VS51" s="1221"/>
      <c r="VT51" s="1221"/>
      <c r="VU51" s="1221"/>
      <c r="VV51" s="1221"/>
      <c r="VW51" s="1221"/>
      <c r="VX51" s="1221"/>
      <c r="VY51" s="1221"/>
      <c r="VZ51" s="1221"/>
      <c r="WA51" s="1221"/>
      <c r="WB51" s="1221"/>
      <c r="WC51" s="1221"/>
      <c r="WD51" s="1221"/>
      <c r="WE51" s="1221"/>
      <c r="WF51" s="1221"/>
      <c r="WG51" s="1221"/>
      <c r="WH51" s="1221"/>
      <c r="WI51" s="1221"/>
      <c r="WJ51" s="1221"/>
      <c r="WK51" s="1221"/>
      <c r="WL51" s="1221"/>
      <c r="WM51" s="1221"/>
      <c r="WN51" s="1221"/>
      <c r="WO51" s="1221"/>
      <c r="WP51" s="1221"/>
      <c r="WQ51" s="1221"/>
      <c r="WR51" s="1221"/>
      <c r="WS51" s="1221"/>
      <c r="WT51" s="1221"/>
      <c r="WU51" s="1221"/>
      <c r="WV51" s="1221"/>
      <c r="WW51" s="1221"/>
      <c r="WX51" s="1221"/>
      <c r="WY51" s="1221"/>
      <c r="WZ51" s="1221"/>
      <c r="XA51" s="1221"/>
      <c r="XB51" s="1221"/>
      <c r="XC51" s="1221"/>
      <c r="XD51" s="1221"/>
      <c r="XE51" s="1221"/>
      <c r="XF51" s="1221"/>
      <c r="XG51" s="1221"/>
      <c r="XH51" s="1221"/>
      <c r="XI51" s="1221"/>
      <c r="XJ51" s="1221"/>
      <c r="XK51" s="1221"/>
      <c r="XL51" s="1221"/>
      <c r="XM51" s="1221"/>
      <c r="XN51" s="1221"/>
      <c r="XO51" s="1221"/>
      <c r="XP51" s="1221"/>
      <c r="XQ51" s="1221"/>
      <c r="XR51" s="1221"/>
      <c r="XS51" s="1221"/>
      <c r="XT51" s="1221"/>
      <c r="XU51" s="1221"/>
      <c r="XV51" s="1221"/>
      <c r="XW51" s="1221"/>
      <c r="XX51" s="1221"/>
      <c r="XY51" s="1221"/>
      <c r="XZ51" s="1221"/>
      <c r="YA51" s="1221"/>
      <c r="YB51" s="1221"/>
      <c r="YC51" s="1221"/>
      <c r="YD51" s="1221"/>
      <c r="YE51" s="1221"/>
      <c r="YF51" s="1221"/>
      <c r="YG51" s="1221"/>
      <c r="YH51" s="1221"/>
      <c r="YI51" s="1221"/>
      <c r="YJ51" s="1221"/>
      <c r="YK51" s="1221"/>
      <c r="YL51" s="1221"/>
      <c r="YM51" s="1221"/>
      <c r="YN51" s="1221"/>
      <c r="YO51" s="1221"/>
      <c r="YP51" s="1221"/>
      <c r="YQ51" s="1221"/>
      <c r="YR51" s="1221"/>
      <c r="YS51" s="1221"/>
      <c r="YT51" s="1221"/>
      <c r="YU51" s="1221"/>
      <c r="YV51" s="1221"/>
      <c r="YW51" s="1221"/>
      <c r="YX51" s="1221"/>
      <c r="YY51" s="1221"/>
      <c r="YZ51" s="1221"/>
      <c r="ZA51" s="1221"/>
      <c r="ZB51" s="1221"/>
      <c r="ZC51" s="1221"/>
      <c r="ZD51" s="1221"/>
      <c r="ZE51" s="1221"/>
      <c r="ZF51" s="1221"/>
      <c r="ZG51" s="1221"/>
      <c r="ZH51" s="1221"/>
      <c r="ZI51" s="1221"/>
      <c r="ZJ51" s="1221"/>
      <c r="ZK51" s="1221"/>
      <c r="ZL51" s="1221"/>
      <c r="ZM51" s="1221"/>
      <c r="ZN51" s="1221"/>
      <c r="ZO51" s="1221"/>
      <c r="ZP51" s="1221"/>
      <c r="ZQ51" s="1221"/>
      <c r="ZR51" s="1221"/>
      <c r="ZS51" s="1221"/>
      <c r="ZT51" s="1221"/>
      <c r="ZU51" s="1221"/>
      <c r="ZV51" s="1221"/>
      <c r="ZW51" s="1221"/>
      <c r="ZX51" s="1221"/>
      <c r="ZY51" s="1221"/>
      <c r="ZZ51" s="1221"/>
      <c r="AAA51" s="1221"/>
      <c r="AAB51" s="1221"/>
      <c r="AAC51" s="1221"/>
      <c r="AAD51" s="1221"/>
      <c r="AAE51" s="1221"/>
      <c r="AAF51" s="1221"/>
      <c r="AAG51" s="1221"/>
      <c r="AAH51" s="1221"/>
      <c r="AAI51" s="1221"/>
      <c r="AAJ51" s="1221"/>
      <c r="AAK51" s="1221"/>
      <c r="AAL51" s="1221"/>
      <c r="AAM51" s="1221"/>
      <c r="AAN51" s="1221"/>
      <c r="AAO51" s="1221"/>
      <c r="AAP51" s="1221"/>
      <c r="AAQ51" s="1221"/>
      <c r="AAR51" s="1221"/>
      <c r="AAS51" s="1221"/>
      <c r="AAT51" s="1221"/>
      <c r="AAU51" s="1221"/>
      <c r="AAV51" s="1221"/>
      <c r="AAW51" s="1221"/>
      <c r="AAX51" s="1221"/>
      <c r="AAY51" s="1221"/>
      <c r="AAZ51" s="1221"/>
      <c r="ABA51" s="1221"/>
      <c r="ABB51" s="1221"/>
      <c r="ABC51" s="1221"/>
      <c r="ABD51" s="1221"/>
      <c r="ABE51" s="1221"/>
      <c r="ABF51" s="1221"/>
      <c r="ABG51" s="1221"/>
      <c r="ABH51" s="1221"/>
      <c r="ABI51" s="1221"/>
      <c r="ABJ51" s="1221"/>
      <c r="ABK51" s="1221"/>
      <c r="ABL51" s="1221"/>
      <c r="ABM51" s="1221"/>
      <c r="ABN51" s="1221"/>
      <c r="ABO51" s="1221"/>
      <c r="ABP51" s="1221"/>
      <c r="ABQ51" s="1221"/>
      <c r="ABR51" s="1221"/>
      <c r="ABS51" s="1221"/>
      <c r="ABT51" s="1221"/>
      <c r="ABU51" s="1221"/>
      <c r="ABV51" s="1221"/>
      <c r="ABW51" s="1221"/>
      <c r="ABX51" s="1221"/>
      <c r="ABY51" s="1221"/>
      <c r="ABZ51" s="1221"/>
      <c r="ACA51" s="1221"/>
      <c r="ACB51" s="1221"/>
      <c r="ACC51" s="1221"/>
      <c r="ACD51" s="1221"/>
      <c r="ACE51" s="1221"/>
      <c r="ACF51" s="1221"/>
      <c r="ACG51" s="1221"/>
      <c r="ACH51" s="1221"/>
      <c r="ACI51" s="1221"/>
      <c r="ACJ51" s="1221"/>
      <c r="ACK51" s="1221"/>
      <c r="ACL51" s="1221"/>
      <c r="ACM51" s="1221"/>
      <c r="ACN51" s="1221"/>
      <c r="ACO51" s="1221"/>
      <c r="ACP51" s="1221"/>
      <c r="ACQ51" s="1221"/>
      <c r="ACR51" s="1221"/>
      <c r="ACS51" s="1221"/>
      <c r="ACT51" s="1221"/>
      <c r="ACU51" s="1221"/>
      <c r="ACV51" s="1221"/>
      <c r="ACW51" s="1221"/>
      <c r="ACX51" s="1221"/>
      <c r="ACY51" s="1221"/>
      <c r="ACZ51" s="1221"/>
      <c r="ADA51" s="1221"/>
      <c r="ADB51" s="1221"/>
      <c r="ADC51" s="1221"/>
      <c r="ADD51" s="1221"/>
      <c r="ADE51" s="1221"/>
      <c r="ADF51" s="1221"/>
      <c r="ADG51" s="1221"/>
      <c r="ADH51" s="1221"/>
      <c r="ADI51" s="1221"/>
      <c r="ADJ51" s="1221"/>
      <c r="ADK51" s="1221"/>
      <c r="ADL51" s="1221"/>
      <c r="ADM51" s="1221"/>
      <c r="ADN51" s="1221"/>
      <c r="ADO51" s="1221"/>
      <c r="ADP51" s="1221"/>
      <c r="ADQ51" s="1221"/>
      <c r="ADR51" s="1221"/>
      <c r="ADS51" s="1221"/>
      <c r="ADT51" s="1221"/>
      <c r="ADU51" s="1221"/>
      <c r="ADV51" s="1221"/>
      <c r="ADW51" s="1221"/>
      <c r="ADX51" s="1221"/>
      <c r="ADY51" s="1221"/>
      <c r="ADZ51" s="1221"/>
      <c r="AEA51" s="1221"/>
      <c r="AEB51" s="1221"/>
      <c r="AEC51" s="1221"/>
      <c r="AED51" s="1221"/>
      <c r="AEE51" s="1221"/>
      <c r="AEF51" s="1221"/>
      <c r="AEG51" s="1221"/>
      <c r="AEH51" s="1221"/>
      <c r="AEI51" s="1221"/>
      <c r="AEJ51" s="1221"/>
      <c r="AEK51" s="1221"/>
      <c r="AEL51" s="1221"/>
      <c r="AEM51" s="1221"/>
      <c r="AEN51" s="1221"/>
      <c r="AEO51" s="1221"/>
      <c r="AEP51" s="1221"/>
      <c r="AEQ51" s="1221"/>
      <c r="AER51" s="1221"/>
      <c r="AES51" s="1221"/>
      <c r="AET51" s="1221"/>
      <c r="AEU51" s="1221"/>
      <c r="AEV51" s="1221"/>
      <c r="AEW51" s="1221"/>
      <c r="AEX51" s="1221"/>
      <c r="AEY51" s="1221"/>
      <c r="AEZ51" s="1221"/>
      <c r="AFA51" s="1221"/>
      <c r="AFB51" s="1221"/>
      <c r="AFC51" s="1221"/>
      <c r="AFD51" s="1221"/>
      <c r="AFE51" s="1221"/>
      <c r="AFF51" s="1221"/>
      <c r="AFG51" s="1221"/>
      <c r="AFH51" s="1221"/>
      <c r="AFI51" s="1221"/>
      <c r="AFJ51" s="1221"/>
      <c r="AFK51" s="1221"/>
      <c r="AFL51" s="1221"/>
      <c r="AFM51" s="1221"/>
      <c r="AFN51" s="1221"/>
      <c r="AFO51" s="1221"/>
      <c r="AFP51" s="1221"/>
      <c r="AFQ51" s="1221"/>
      <c r="AFR51" s="1221"/>
      <c r="AFS51" s="1221"/>
      <c r="AFT51" s="1221"/>
      <c r="AFU51" s="1221"/>
      <c r="AFV51" s="1221"/>
      <c r="AFW51" s="1221"/>
      <c r="AFX51" s="1221"/>
      <c r="AFY51" s="1221"/>
      <c r="AFZ51" s="1221"/>
      <c r="AGA51" s="1221"/>
      <c r="AGB51" s="1221"/>
      <c r="AGC51" s="1221"/>
      <c r="AGD51" s="1221"/>
      <c r="AGE51" s="1221"/>
      <c r="AGF51" s="1221"/>
      <c r="AGG51" s="1221"/>
      <c r="AGH51" s="1221"/>
      <c r="AGI51" s="1221"/>
      <c r="AGJ51" s="1221"/>
      <c r="AGK51" s="1221"/>
      <c r="AGL51" s="1221"/>
      <c r="AGM51" s="1221"/>
      <c r="AGN51" s="1221"/>
      <c r="AGO51" s="1221"/>
      <c r="AGP51" s="1221"/>
      <c r="AGQ51" s="1221"/>
      <c r="AGR51" s="1221"/>
      <c r="AGS51" s="1221"/>
      <c r="AGT51" s="1221"/>
      <c r="AGU51" s="1221"/>
      <c r="AGV51" s="1221"/>
      <c r="AGW51" s="1221"/>
      <c r="AGX51" s="1221"/>
      <c r="AGY51" s="1221"/>
      <c r="AGZ51" s="1221"/>
      <c r="AHA51" s="1221"/>
      <c r="AHB51" s="1221"/>
      <c r="AHC51" s="1221"/>
      <c r="AHD51" s="1221"/>
      <c r="AHE51" s="1221"/>
      <c r="AHF51" s="1221"/>
      <c r="AHG51" s="1221"/>
      <c r="AHH51" s="1221"/>
      <c r="AHI51" s="1221"/>
      <c r="AHJ51" s="1221"/>
      <c r="AHK51" s="1221"/>
      <c r="AHL51" s="1221"/>
      <c r="AHM51" s="1221"/>
      <c r="AHN51" s="1221"/>
      <c r="AHO51" s="1221"/>
      <c r="AHP51" s="1221"/>
      <c r="AHQ51" s="1221"/>
      <c r="AHR51" s="1221"/>
      <c r="AHS51" s="1221"/>
      <c r="AHT51" s="1221"/>
      <c r="AHU51" s="1221"/>
      <c r="AHV51" s="1221"/>
      <c r="AHW51" s="1221"/>
      <c r="AHX51" s="1221"/>
      <c r="AHY51" s="1221"/>
      <c r="AHZ51" s="1221"/>
      <c r="AIA51" s="1221"/>
      <c r="AIB51" s="1221"/>
      <c r="AIC51" s="1221"/>
      <c r="AID51" s="1221"/>
      <c r="AIE51" s="1221"/>
      <c r="AIF51" s="1221"/>
      <c r="AIG51" s="1221"/>
      <c r="AIH51" s="1221"/>
      <c r="AII51" s="1221"/>
      <c r="AIJ51" s="1221"/>
      <c r="AIK51" s="1221"/>
      <c r="AIL51" s="1221"/>
      <c r="AIM51" s="1221"/>
      <c r="AIN51" s="1221"/>
      <c r="AIO51" s="1221"/>
      <c r="AIP51" s="1221"/>
      <c r="AIQ51" s="1221"/>
      <c r="AIR51" s="1221"/>
      <c r="AIS51" s="1221"/>
      <c r="AIT51" s="1221"/>
      <c r="AIU51" s="1221"/>
      <c r="AIV51" s="1221"/>
      <c r="AIW51" s="1221"/>
      <c r="AIX51" s="1221"/>
      <c r="AIY51" s="1221"/>
      <c r="AIZ51" s="1221"/>
      <c r="AJA51" s="1221"/>
      <c r="AJB51" s="1221"/>
      <c r="AJC51" s="1221"/>
      <c r="AJD51" s="1221"/>
      <c r="AJE51" s="1221"/>
      <c r="AJF51" s="1221"/>
      <c r="AJG51" s="1221"/>
      <c r="AJH51" s="1221"/>
      <c r="AJI51" s="1221"/>
      <c r="AJJ51" s="1221"/>
      <c r="AJK51" s="1221"/>
      <c r="AJL51" s="1221"/>
      <c r="AJM51" s="1221"/>
      <c r="AJN51" s="1221"/>
      <c r="AJO51" s="1221"/>
      <c r="AJP51" s="1221"/>
      <c r="AJQ51" s="1221"/>
      <c r="AJR51" s="1221"/>
      <c r="AJS51" s="1221"/>
      <c r="AJT51" s="1221"/>
      <c r="AJU51" s="1221"/>
      <c r="AJV51" s="1221"/>
      <c r="AJW51" s="1221"/>
      <c r="AJX51" s="1221"/>
      <c r="AJY51" s="1221"/>
      <c r="AJZ51" s="1221"/>
      <c r="AKA51" s="1221"/>
      <c r="AKB51" s="1221"/>
      <c r="AKC51" s="1221"/>
      <c r="AKD51" s="1221"/>
      <c r="AKE51" s="1221"/>
      <c r="AKF51" s="1221"/>
      <c r="AKG51" s="1221"/>
      <c r="AKH51" s="1221"/>
      <c r="AKI51" s="1221"/>
      <c r="AKJ51" s="1221"/>
      <c r="AKK51" s="1221"/>
      <c r="AKL51" s="1221"/>
      <c r="AKM51" s="1221"/>
      <c r="AKN51" s="1221"/>
      <c r="AKO51" s="1221"/>
      <c r="AKP51" s="1221"/>
      <c r="AKQ51" s="1221"/>
      <c r="AKR51" s="1221"/>
      <c r="AKS51" s="1221"/>
      <c r="AKT51" s="1221"/>
      <c r="AKU51" s="1221"/>
      <c r="AKV51" s="1221"/>
      <c r="AKW51" s="1221"/>
      <c r="AKX51" s="1221"/>
      <c r="AKY51" s="1221"/>
      <c r="AKZ51" s="1221"/>
      <c r="ALA51" s="1221"/>
      <c r="ALB51" s="1221"/>
      <c r="ALC51" s="1221"/>
      <c r="ALD51" s="1221"/>
      <c r="ALE51" s="1221"/>
      <c r="ALF51" s="1221"/>
      <c r="ALG51" s="1221"/>
      <c r="ALH51" s="1221"/>
      <c r="ALI51" s="1221"/>
      <c r="ALJ51" s="1221"/>
      <c r="ALK51" s="1221"/>
      <c r="ALL51" s="1221"/>
      <c r="ALM51" s="1221"/>
      <c r="ALN51" s="1221"/>
      <c r="ALO51" s="1221"/>
      <c r="ALP51" s="1221"/>
      <c r="ALQ51" s="1221"/>
      <c r="ALR51" s="1221"/>
      <c r="ALS51" s="1221"/>
      <c r="ALT51" s="1221"/>
      <c r="ALU51" s="1221"/>
      <c r="ALV51" s="1221"/>
      <c r="ALW51" s="1221"/>
      <c r="ALX51" s="1221"/>
      <c r="ALY51" s="1221"/>
      <c r="ALZ51" s="1221"/>
      <c r="AMA51" s="1221"/>
      <c r="AMB51" s="1221"/>
      <c r="AMC51" s="1221"/>
      <c r="AMD51" s="1221"/>
      <c r="AME51" s="1221"/>
      <c r="AMF51" s="1221"/>
      <c r="AMG51" s="1221"/>
      <c r="AMH51" s="1221"/>
      <c r="AMI51" s="1221"/>
      <c r="AMJ51" s="1221"/>
      <c r="AMK51" s="1221"/>
      <c r="AML51" s="1221"/>
      <c r="AMM51" s="1221"/>
      <c r="AMN51" s="1221"/>
      <c r="AMO51" s="1221"/>
      <c r="AMP51" s="1221"/>
      <c r="AMQ51" s="1221"/>
      <c r="AMR51" s="1221"/>
      <c r="AMS51" s="1221"/>
      <c r="AMT51" s="1221"/>
      <c r="AMU51" s="1221"/>
      <c r="AMV51" s="1221"/>
      <c r="AMW51" s="1221"/>
      <c r="AMX51" s="1221"/>
      <c r="AMY51" s="1221"/>
      <c r="AMZ51" s="1221"/>
      <c r="ANA51" s="1221"/>
      <c r="ANB51" s="1221"/>
      <c r="ANC51" s="1221"/>
      <c r="AND51" s="1221"/>
      <c r="ANE51" s="1221"/>
      <c r="ANF51" s="1221"/>
      <c r="ANG51" s="1221"/>
      <c r="ANH51" s="1221"/>
      <c r="ANI51" s="1221"/>
      <c r="ANJ51" s="1221"/>
      <c r="ANK51" s="1221"/>
      <c r="ANL51" s="1221"/>
      <c r="ANM51" s="1221"/>
      <c r="ANN51" s="1221"/>
      <c r="ANO51" s="1221"/>
      <c r="ANP51" s="1221"/>
      <c r="ANQ51" s="1221"/>
      <c r="ANR51" s="1221"/>
      <c r="ANS51" s="1221"/>
      <c r="ANT51" s="1221"/>
      <c r="ANU51" s="1221"/>
      <c r="ANV51" s="1221"/>
      <c r="ANW51" s="1221"/>
      <c r="ANX51" s="1221"/>
      <c r="ANY51" s="1221"/>
      <c r="ANZ51" s="1221"/>
      <c r="AOA51" s="1221"/>
      <c r="AOB51" s="1221"/>
      <c r="AOC51" s="1221"/>
      <c r="AOD51" s="1221"/>
      <c r="AOE51" s="1221"/>
      <c r="AOF51" s="1221"/>
      <c r="AOG51" s="1221"/>
      <c r="AOH51" s="1221"/>
      <c r="AOI51" s="1221"/>
      <c r="AOJ51" s="1221"/>
      <c r="AOK51" s="1221"/>
      <c r="AOL51" s="1221"/>
      <c r="AOM51" s="1221"/>
      <c r="AON51" s="1221"/>
      <c r="AOO51" s="1221"/>
      <c r="AOP51" s="1221"/>
      <c r="AOQ51" s="1221"/>
      <c r="AOR51" s="1221"/>
      <c r="AOS51" s="1221"/>
      <c r="AOT51" s="1221"/>
      <c r="AOU51" s="1221"/>
      <c r="AOV51" s="1221"/>
      <c r="AOW51" s="1221"/>
      <c r="AOX51" s="1221"/>
      <c r="AOY51" s="1221"/>
      <c r="AOZ51" s="1221"/>
      <c r="APA51" s="1221"/>
      <c r="APB51" s="1221"/>
      <c r="APC51" s="1221"/>
      <c r="APD51" s="1221"/>
      <c r="APE51" s="1221"/>
      <c r="APF51" s="1221"/>
      <c r="APG51" s="1221"/>
      <c r="APH51" s="1221"/>
      <c r="API51" s="1221"/>
      <c r="APJ51" s="1221"/>
      <c r="APK51" s="1221"/>
      <c r="APL51" s="1221"/>
      <c r="APM51" s="1221"/>
      <c r="APN51" s="1221"/>
      <c r="APO51" s="1221"/>
      <c r="APP51" s="1221"/>
      <c r="APQ51" s="1221"/>
      <c r="APR51" s="1221"/>
      <c r="APS51" s="1221"/>
      <c r="APT51" s="1221"/>
      <c r="APU51" s="1221"/>
      <c r="APV51" s="1221"/>
      <c r="APW51" s="1221"/>
      <c r="APX51" s="1221"/>
      <c r="APY51" s="1221"/>
      <c r="APZ51" s="1221"/>
      <c r="AQA51" s="1221"/>
      <c r="AQB51" s="1221"/>
      <c r="AQC51" s="1221"/>
      <c r="AQD51" s="1221"/>
      <c r="AQE51" s="1221"/>
      <c r="AQF51" s="1221"/>
      <c r="AQG51" s="1221"/>
      <c r="AQH51" s="1221"/>
      <c r="AQI51" s="1221"/>
      <c r="AQJ51" s="1221"/>
      <c r="AQK51" s="1221"/>
      <c r="AQL51" s="1221"/>
      <c r="AQM51" s="1221"/>
      <c r="AQN51" s="1221"/>
      <c r="AQO51" s="1221"/>
      <c r="AQP51" s="1221"/>
      <c r="AQQ51" s="1221"/>
      <c r="AQR51" s="1221"/>
      <c r="AQS51" s="1221"/>
      <c r="AQT51" s="1221"/>
      <c r="AQU51" s="1221"/>
      <c r="AQV51" s="1221"/>
      <c r="AQW51" s="1221"/>
      <c r="AQX51" s="1221"/>
      <c r="AQY51" s="1221"/>
      <c r="AQZ51" s="1221"/>
      <c r="ARA51" s="1221"/>
      <c r="ARB51" s="1221"/>
      <c r="ARC51" s="1221"/>
      <c r="ARD51" s="1221"/>
      <c r="ARE51" s="1221"/>
      <c r="ARF51" s="1221"/>
      <c r="ARG51" s="1221"/>
      <c r="ARH51" s="1221"/>
      <c r="ARI51" s="1221"/>
      <c r="ARJ51" s="1221"/>
      <c r="ARK51" s="1221"/>
      <c r="ARL51" s="1221"/>
      <c r="ARM51" s="1221"/>
      <c r="ARN51" s="1221"/>
      <c r="ARO51" s="1221"/>
      <c r="ARP51" s="1221"/>
      <c r="ARQ51" s="1221"/>
      <c r="ARR51" s="1221"/>
      <c r="ARS51" s="1221"/>
      <c r="ART51" s="1221"/>
      <c r="ARU51" s="1221"/>
      <c r="ARV51" s="1221"/>
      <c r="ARW51" s="1221"/>
      <c r="ARX51" s="1221"/>
      <c r="ARY51" s="1221"/>
      <c r="ARZ51" s="1221"/>
      <c r="ASA51" s="1221"/>
      <c r="ASB51" s="1221"/>
      <c r="ASC51" s="1221"/>
      <c r="ASD51" s="1221"/>
      <c r="ASE51" s="1221"/>
      <c r="ASF51" s="1221"/>
      <c r="ASG51" s="1221"/>
      <c r="ASH51" s="1221"/>
      <c r="ASI51" s="1221"/>
      <c r="ASJ51" s="1221"/>
      <c r="ASK51" s="1221"/>
      <c r="ASL51" s="1221"/>
      <c r="ASM51" s="1221"/>
      <c r="ASN51" s="1221"/>
      <c r="ASO51" s="1221"/>
      <c r="ASP51" s="1221"/>
      <c r="ASQ51" s="1221"/>
      <c r="ASR51" s="1221"/>
      <c r="ASS51" s="1221"/>
      <c r="AST51" s="1221"/>
      <c r="ASU51" s="1221"/>
      <c r="ASV51" s="1221"/>
      <c r="ASW51" s="1221"/>
      <c r="ASX51" s="1221"/>
      <c r="ASY51" s="1221"/>
      <c r="ASZ51" s="1221"/>
      <c r="ATA51" s="1221"/>
      <c r="ATB51" s="1221"/>
      <c r="ATC51" s="1221"/>
      <c r="ATD51" s="1221"/>
      <c r="ATE51" s="1221"/>
      <c r="ATF51" s="1221"/>
      <c r="ATG51" s="1221"/>
      <c r="ATH51" s="1221"/>
      <c r="ATI51" s="1221"/>
      <c r="ATJ51" s="1221"/>
      <c r="ATK51" s="1221"/>
      <c r="ATL51" s="1221"/>
      <c r="ATM51" s="1221"/>
      <c r="ATN51" s="1221"/>
      <c r="ATO51" s="1221"/>
      <c r="ATP51" s="1221"/>
      <c r="ATQ51" s="1221"/>
      <c r="ATR51" s="1221"/>
      <c r="ATS51" s="1221"/>
      <c r="ATT51" s="1221"/>
      <c r="ATU51" s="1221"/>
      <c r="ATV51" s="1221"/>
      <c r="ATW51" s="1221"/>
      <c r="ATX51" s="1221"/>
      <c r="ATY51" s="1221"/>
      <c r="ATZ51" s="1221"/>
      <c r="AUA51" s="1221"/>
      <c r="AUB51" s="1221"/>
      <c r="AUC51" s="1221"/>
      <c r="AUD51" s="1221"/>
      <c r="AUE51" s="1221"/>
      <c r="AUF51" s="1221"/>
      <c r="AUG51" s="1221"/>
      <c r="AUH51" s="1221"/>
      <c r="AUI51" s="1221"/>
      <c r="AUJ51" s="1221"/>
      <c r="AUK51" s="1221"/>
      <c r="AUL51" s="1221"/>
      <c r="AUM51" s="1221"/>
      <c r="AUN51" s="1221"/>
      <c r="AUO51" s="1221"/>
      <c r="AUP51" s="1221"/>
      <c r="AUQ51" s="1221"/>
      <c r="AUR51" s="1221"/>
      <c r="AUS51" s="1221"/>
      <c r="AUT51" s="1221"/>
      <c r="AUU51" s="1221"/>
      <c r="AUV51" s="1221"/>
      <c r="AUW51" s="1221"/>
      <c r="AUX51" s="1221"/>
      <c r="AUY51" s="1221"/>
      <c r="AUZ51" s="1221"/>
      <c r="AVA51" s="1221"/>
      <c r="AVB51" s="1221"/>
      <c r="AVC51" s="1221"/>
      <c r="AVD51" s="1221"/>
      <c r="AVE51" s="1221"/>
      <c r="AVF51" s="1221"/>
      <c r="AVG51" s="1221"/>
      <c r="AVH51" s="1221"/>
      <c r="AVI51" s="1221"/>
      <c r="AVJ51" s="1221"/>
      <c r="AVK51" s="1221"/>
      <c r="AVL51" s="1221"/>
      <c r="AVM51" s="1221"/>
      <c r="AVN51" s="1221"/>
      <c r="AVO51" s="1221"/>
      <c r="AVP51" s="1221"/>
      <c r="AVQ51" s="1221"/>
      <c r="AVR51" s="1221"/>
      <c r="AVS51" s="1221"/>
      <c r="AVT51" s="1221"/>
      <c r="AVU51" s="1221"/>
      <c r="AVV51" s="1221"/>
      <c r="AVW51" s="1221"/>
      <c r="AVX51" s="1221"/>
      <c r="AVY51" s="1221"/>
      <c r="AVZ51" s="1221"/>
      <c r="AWA51" s="1221"/>
      <c r="AWB51" s="1221"/>
      <c r="AWC51" s="1221"/>
      <c r="AWD51" s="1221"/>
      <c r="AWE51" s="1221"/>
      <c r="AWF51" s="1221"/>
      <c r="AWG51" s="1221"/>
      <c r="AWH51" s="1221"/>
      <c r="AWI51" s="1221"/>
      <c r="AWJ51" s="1221"/>
      <c r="AWK51" s="1221"/>
      <c r="AWL51" s="1221"/>
      <c r="AWM51" s="1221"/>
      <c r="AWN51" s="1221"/>
      <c r="AWO51" s="1221"/>
      <c r="AWP51" s="1221"/>
      <c r="AWQ51" s="1221"/>
      <c r="AWR51" s="1221"/>
      <c r="AWS51" s="1221"/>
      <c r="AWT51" s="1221"/>
      <c r="AWU51" s="1221"/>
      <c r="AWV51" s="1221"/>
      <c r="AWW51" s="1221"/>
      <c r="AWX51" s="1221"/>
      <c r="AWY51" s="1221"/>
      <c r="AWZ51" s="1221"/>
      <c r="AXA51" s="1221"/>
      <c r="AXB51" s="1221"/>
      <c r="AXC51" s="1221"/>
      <c r="AXD51" s="1221"/>
      <c r="AXE51" s="1221"/>
      <c r="AXF51" s="1221"/>
      <c r="AXG51" s="1221"/>
      <c r="AXH51" s="1221"/>
      <c r="AXI51" s="1221"/>
      <c r="AXJ51" s="1221"/>
      <c r="AXK51" s="1221"/>
      <c r="AXL51" s="1221"/>
      <c r="AXM51" s="1221"/>
      <c r="AXN51" s="1221"/>
      <c r="AXO51" s="1221"/>
      <c r="AXP51" s="1221"/>
      <c r="AXQ51" s="1221"/>
      <c r="AXR51" s="1221"/>
      <c r="AXS51" s="1221"/>
      <c r="AXT51" s="1221"/>
      <c r="AXU51" s="1221"/>
      <c r="AXV51" s="1221"/>
      <c r="AXW51" s="1221"/>
      <c r="AXX51" s="1221"/>
      <c r="AXY51" s="1221"/>
      <c r="AXZ51" s="1221"/>
      <c r="AYA51" s="1221"/>
      <c r="AYB51" s="1221"/>
      <c r="AYC51" s="1221"/>
      <c r="AYD51" s="1221"/>
      <c r="AYE51" s="1221"/>
      <c r="AYF51" s="1221"/>
      <c r="AYG51" s="1221"/>
      <c r="AYH51" s="1221"/>
      <c r="AYI51" s="1221"/>
      <c r="AYJ51" s="1221"/>
      <c r="AYK51" s="1221"/>
      <c r="AYL51" s="1221"/>
      <c r="AYM51" s="1221"/>
      <c r="AYN51" s="1221"/>
      <c r="AYO51" s="1221"/>
      <c r="AYP51" s="1221"/>
      <c r="AYQ51" s="1221"/>
      <c r="AYR51" s="1221"/>
      <c r="AYS51" s="1221"/>
      <c r="AYT51" s="1221"/>
      <c r="AYU51" s="1221"/>
      <c r="AYV51" s="1221"/>
      <c r="AYW51" s="1221"/>
      <c r="AYX51" s="1221"/>
      <c r="AYY51" s="1221"/>
      <c r="AYZ51" s="1221"/>
      <c r="AZA51" s="1221"/>
      <c r="AZB51" s="1221"/>
      <c r="AZC51" s="1221"/>
      <c r="AZD51" s="1221"/>
      <c r="AZE51" s="1221"/>
      <c r="AZF51" s="1221"/>
      <c r="AZG51" s="1221"/>
      <c r="AZH51" s="1221"/>
      <c r="AZI51" s="1221"/>
      <c r="AZJ51" s="1221"/>
      <c r="AZK51" s="1221"/>
      <c r="AZL51" s="1221"/>
      <c r="AZM51" s="1221"/>
      <c r="AZN51" s="1221"/>
      <c r="AZO51" s="1221"/>
      <c r="AZP51" s="1221"/>
      <c r="AZQ51" s="1221"/>
      <c r="AZR51" s="1221"/>
      <c r="AZS51" s="1221"/>
      <c r="AZT51" s="1221"/>
      <c r="AZU51" s="1221"/>
      <c r="AZV51" s="1221"/>
      <c r="AZW51" s="1221"/>
      <c r="AZX51" s="1221"/>
      <c r="AZY51" s="1221"/>
      <c r="AZZ51" s="1221"/>
      <c r="BAA51" s="1221"/>
      <c r="BAB51" s="1221"/>
      <c r="BAC51" s="1221"/>
      <c r="BAD51" s="1221"/>
      <c r="BAE51" s="1221"/>
      <c r="BAF51" s="1221"/>
      <c r="BAG51" s="1221"/>
      <c r="BAH51" s="1221"/>
      <c r="BAI51" s="1221"/>
      <c r="BAJ51" s="1221"/>
      <c r="BAK51" s="1221"/>
      <c r="BAL51" s="1221"/>
      <c r="BAM51" s="1221"/>
      <c r="BAN51" s="1221"/>
      <c r="BAO51" s="1221"/>
      <c r="BAP51" s="1221"/>
      <c r="BAQ51" s="1221"/>
      <c r="BAR51" s="1221"/>
      <c r="BAS51" s="1221"/>
      <c r="BAT51" s="1221"/>
      <c r="BAU51" s="1221"/>
      <c r="BAV51" s="1221"/>
      <c r="BAW51" s="1221"/>
      <c r="BAX51" s="1221"/>
      <c r="BAY51" s="1221"/>
      <c r="BAZ51" s="1221"/>
      <c r="BBA51" s="1221"/>
      <c r="BBB51" s="1221"/>
      <c r="BBC51" s="1221"/>
      <c r="BBD51" s="1221"/>
      <c r="BBE51" s="1221"/>
      <c r="BBF51" s="1221"/>
      <c r="BBG51" s="1221"/>
      <c r="BBH51" s="1221"/>
      <c r="BBI51" s="1221"/>
      <c r="BBJ51" s="1221"/>
      <c r="BBK51" s="1221"/>
      <c r="BBL51" s="1221"/>
      <c r="BBM51" s="1221"/>
      <c r="BBN51" s="1221"/>
      <c r="BBO51" s="1221"/>
      <c r="BBP51" s="1221"/>
      <c r="BBQ51" s="1221"/>
      <c r="BBR51" s="1221"/>
      <c r="BBS51" s="1221"/>
      <c r="BBT51" s="1221"/>
      <c r="BBU51" s="1221"/>
      <c r="BBV51" s="1221"/>
      <c r="BBW51" s="1221"/>
      <c r="BBX51" s="1221"/>
      <c r="BBY51" s="1221"/>
      <c r="BBZ51" s="1221"/>
      <c r="BCA51" s="1221"/>
      <c r="BCB51" s="1221"/>
      <c r="BCC51" s="1221"/>
      <c r="BCD51" s="1221"/>
      <c r="BCE51" s="1221"/>
      <c r="BCF51" s="1221"/>
      <c r="BCG51" s="1221"/>
      <c r="BCH51" s="1221"/>
      <c r="BCI51" s="1221"/>
      <c r="BCJ51" s="1221"/>
      <c r="BCK51" s="1221"/>
      <c r="BCL51" s="1221"/>
      <c r="BCM51" s="1221"/>
      <c r="BCN51" s="1221"/>
      <c r="BCO51" s="1221"/>
      <c r="BCP51" s="1221"/>
      <c r="BCQ51" s="1221"/>
      <c r="BCR51" s="1221"/>
      <c r="BCS51" s="1221"/>
      <c r="BCT51" s="1221"/>
      <c r="BCU51" s="1221"/>
      <c r="BCV51" s="1221"/>
      <c r="BCW51" s="1221"/>
      <c r="BCX51" s="1221"/>
      <c r="BCY51" s="1221"/>
      <c r="BCZ51" s="1221"/>
      <c r="BDA51" s="1221"/>
      <c r="BDB51" s="1221"/>
      <c r="BDC51" s="1221"/>
      <c r="BDD51" s="1221"/>
      <c r="BDE51" s="1221"/>
      <c r="BDF51" s="1221"/>
      <c r="BDG51" s="1221"/>
      <c r="BDH51" s="1221"/>
      <c r="BDI51" s="1221"/>
      <c r="BDJ51" s="1221"/>
      <c r="BDK51" s="1221"/>
      <c r="BDL51" s="1221"/>
      <c r="BDM51" s="1221"/>
      <c r="BDN51" s="1221"/>
      <c r="BDO51" s="1221"/>
      <c r="BDP51" s="1221"/>
      <c r="BDQ51" s="1221"/>
      <c r="BDR51" s="1221"/>
      <c r="BDS51" s="1221"/>
      <c r="BDT51" s="1221"/>
      <c r="BDU51" s="1221"/>
      <c r="BDV51" s="1221"/>
      <c r="BDW51" s="1221"/>
      <c r="BDX51" s="1221"/>
      <c r="BDY51" s="1221"/>
      <c r="BDZ51" s="1221"/>
      <c r="BEA51" s="1221"/>
      <c r="BEB51" s="1221"/>
      <c r="BEC51" s="1221"/>
      <c r="BED51" s="1221"/>
      <c r="BEE51" s="1221"/>
      <c r="BEF51" s="1221"/>
      <c r="BEG51" s="1221"/>
      <c r="BEH51" s="1221"/>
      <c r="BEI51" s="1221"/>
      <c r="BEJ51" s="1221"/>
      <c r="BEK51" s="1221"/>
      <c r="BEL51" s="1221"/>
      <c r="BEM51" s="1221"/>
      <c r="BEN51" s="1221"/>
      <c r="BEO51" s="1221"/>
      <c r="BEP51" s="1221"/>
      <c r="BEQ51" s="1221"/>
      <c r="BER51" s="1221"/>
      <c r="BES51" s="1221"/>
      <c r="BET51" s="1221"/>
      <c r="BEU51" s="1221"/>
      <c r="BEV51" s="1221"/>
      <c r="BEW51" s="1221"/>
      <c r="BEX51" s="1221"/>
      <c r="BEY51" s="1221"/>
      <c r="BEZ51" s="1221"/>
      <c r="BFA51" s="1221"/>
      <c r="BFB51" s="1221"/>
      <c r="BFC51" s="1221"/>
      <c r="BFD51" s="1221"/>
      <c r="BFE51" s="1221"/>
      <c r="BFF51" s="1221"/>
      <c r="BFG51" s="1221"/>
      <c r="BFH51" s="1221"/>
      <c r="BFI51" s="1221"/>
      <c r="BFJ51" s="1221"/>
      <c r="BFK51" s="1221"/>
      <c r="BFL51" s="1221"/>
      <c r="BFM51" s="1221"/>
      <c r="BFN51" s="1221"/>
      <c r="BFO51" s="1221"/>
      <c r="BFP51" s="1221"/>
      <c r="BFQ51" s="1221"/>
      <c r="BFR51" s="1221"/>
      <c r="BFS51" s="1221"/>
      <c r="BFT51" s="1221"/>
      <c r="BFU51" s="1221"/>
      <c r="BFV51" s="1221"/>
      <c r="BFW51" s="1221"/>
      <c r="BFX51" s="1221"/>
      <c r="BFY51" s="1221"/>
      <c r="BFZ51" s="1221"/>
      <c r="BGA51" s="1221"/>
      <c r="BGB51" s="1221"/>
      <c r="BGC51" s="1221"/>
      <c r="BGD51" s="1221"/>
      <c r="BGE51" s="1221"/>
      <c r="BGF51" s="1221"/>
      <c r="BGG51" s="1221"/>
      <c r="BGH51" s="1221"/>
      <c r="BGI51" s="1221"/>
      <c r="BGJ51" s="1221"/>
      <c r="BGK51" s="1221"/>
      <c r="BGL51" s="1221"/>
      <c r="BGM51" s="1221"/>
      <c r="BGN51" s="1221"/>
      <c r="BGO51" s="1221"/>
      <c r="BGP51" s="1221"/>
      <c r="BGQ51" s="1221"/>
      <c r="BGR51" s="1221"/>
      <c r="BGS51" s="1221"/>
      <c r="BGT51" s="1221"/>
      <c r="BGU51" s="1221"/>
      <c r="BGV51" s="1221"/>
      <c r="BGW51" s="1221"/>
      <c r="BGX51" s="1221"/>
      <c r="BGY51" s="1221"/>
      <c r="BGZ51" s="1221"/>
      <c r="BHA51" s="1221"/>
      <c r="BHB51" s="1221"/>
      <c r="BHC51" s="1221"/>
      <c r="BHD51" s="1221"/>
      <c r="BHE51" s="1221"/>
      <c r="BHF51" s="1221"/>
      <c r="BHG51" s="1221"/>
      <c r="BHH51" s="1221"/>
      <c r="BHI51" s="1221"/>
      <c r="BHJ51" s="1221"/>
      <c r="BHK51" s="1221"/>
      <c r="BHL51" s="1221"/>
      <c r="BHM51" s="1221"/>
      <c r="BHN51" s="1221"/>
      <c r="BHO51" s="1221"/>
      <c r="BHP51" s="1221"/>
      <c r="BHQ51" s="1221"/>
      <c r="BHR51" s="1221"/>
      <c r="BHS51" s="1221"/>
      <c r="BHT51" s="1221"/>
      <c r="BHU51" s="1221"/>
      <c r="BHV51" s="1221"/>
      <c r="BHW51" s="1221"/>
      <c r="BHX51" s="1221"/>
      <c r="BHY51" s="1221"/>
      <c r="BHZ51" s="1221"/>
      <c r="BIA51" s="1221"/>
      <c r="BIB51" s="1221"/>
      <c r="BIC51" s="1221"/>
      <c r="BID51" s="1221"/>
      <c r="BIE51" s="1221"/>
      <c r="BIF51" s="1221"/>
      <c r="BIG51" s="1221"/>
      <c r="BIH51" s="1221"/>
      <c r="BII51" s="1221"/>
      <c r="BIJ51" s="1221"/>
      <c r="BIK51" s="1221"/>
      <c r="BIL51" s="1221"/>
      <c r="BIM51" s="1221"/>
      <c r="BIN51" s="1221"/>
      <c r="BIO51" s="1221"/>
      <c r="BIP51" s="1221"/>
      <c r="BIQ51" s="1221"/>
      <c r="BIR51" s="1221"/>
      <c r="BIS51" s="1221"/>
      <c r="BIT51" s="1221"/>
      <c r="BIU51" s="1221"/>
      <c r="BIV51" s="1221"/>
      <c r="BIW51" s="1221"/>
      <c r="BIX51" s="1221"/>
      <c r="BIY51" s="1221"/>
      <c r="BIZ51" s="1221"/>
      <c r="BJA51" s="1221"/>
      <c r="BJB51" s="1221"/>
      <c r="BJC51" s="1221"/>
      <c r="BJD51" s="1221"/>
      <c r="BJE51" s="1221"/>
      <c r="BJF51" s="1221"/>
      <c r="BJG51" s="1221"/>
      <c r="BJH51" s="1221"/>
      <c r="BJI51" s="1221"/>
      <c r="BJJ51" s="1221"/>
      <c r="BJK51" s="1221"/>
      <c r="BJL51" s="1221"/>
      <c r="BJM51" s="1221"/>
      <c r="BJN51" s="1221"/>
      <c r="BJO51" s="1221"/>
      <c r="BJP51" s="1221"/>
      <c r="BJQ51" s="1221"/>
      <c r="BJR51" s="1221"/>
      <c r="BJS51" s="1221"/>
      <c r="BJT51" s="1221"/>
      <c r="BJU51" s="1221"/>
      <c r="BJV51" s="1221"/>
      <c r="BJW51" s="1221"/>
      <c r="BJX51" s="1221"/>
      <c r="BJY51" s="1221"/>
      <c r="BJZ51" s="1221"/>
      <c r="BKA51" s="1221"/>
      <c r="BKB51" s="1221"/>
      <c r="BKC51" s="1221"/>
      <c r="BKD51" s="1221"/>
      <c r="BKE51" s="1221"/>
      <c r="BKF51" s="1221"/>
      <c r="BKG51" s="1221"/>
      <c r="BKH51" s="1221"/>
      <c r="BKI51" s="1221"/>
      <c r="BKJ51" s="1221"/>
      <c r="BKK51" s="1221"/>
      <c r="BKL51" s="1221"/>
      <c r="BKM51" s="1221"/>
      <c r="BKN51" s="1221"/>
      <c r="BKO51" s="1221"/>
      <c r="BKP51" s="1221"/>
      <c r="BKQ51" s="1221"/>
      <c r="BKR51" s="1221"/>
      <c r="BKS51" s="1221"/>
      <c r="BKT51" s="1221"/>
      <c r="BKU51" s="1221"/>
      <c r="BKV51" s="1221"/>
      <c r="BKW51" s="1221"/>
      <c r="BKX51" s="1221"/>
      <c r="BKY51" s="1221"/>
      <c r="BKZ51" s="1221"/>
      <c r="BLA51" s="1221"/>
      <c r="BLB51" s="1221"/>
      <c r="BLC51" s="1221"/>
      <c r="BLD51" s="1221"/>
      <c r="BLE51" s="1221"/>
      <c r="BLF51" s="1221"/>
      <c r="BLG51" s="1221"/>
      <c r="BLH51" s="1221"/>
      <c r="BLI51" s="1221"/>
      <c r="BLJ51" s="1221"/>
      <c r="BLK51" s="1221"/>
      <c r="BLL51" s="1221"/>
      <c r="BLM51" s="1221"/>
      <c r="BLN51" s="1221"/>
      <c r="BLO51" s="1221"/>
      <c r="BLP51" s="1221"/>
      <c r="BLQ51" s="1221"/>
      <c r="BLR51" s="1221"/>
      <c r="BLS51" s="1221"/>
      <c r="BLT51" s="1221"/>
      <c r="BLU51" s="1221"/>
      <c r="BLV51" s="1221"/>
      <c r="BLW51" s="1221"/>
      <c r="BLX51" s="1221"/>
      <c r="BLY51" s="1221"/>
      <c r="BLZ51" s="1221"/>
      <c r="BMA51" s="1221"/>
      <c r="BMB51" s="1221"/>
      <c r="BMC51" s="1221"/>
      <c r="BMD51" s="1221"/>
      <c r="BME51" s="1221"/>
      <c r="BMF51" s="1221"/>
      <c r="BMG51" s="1221"/>
      <c r="BMH51" s="1221"/>
      <c r="BMI51" s="1221"/>
      <c r="BMJ51" s="1221"/>
      <c r="BMK51" s="1221"/>
      <c r="BML51" s="1221"/>
      <c r="BMM51" s="1221"/>
      <c r="BMN51" s="1221"/>
      <c r="BMO51" s="1221"/>
      <c r="BMP51" s="1221"/>
      <c r="BMQ51" s="1221"/>
      <c r="BMR51" s="1221"/>
      <c r="BMS51" s="1221"/>
      <c r="BMT51" s="1221"/>
      <c r="BMU51" s="1221"/>
      <c r="BMV51" s="1221"/>
      <c r="BMW51" s="1221"/>
      <c r="BMX51" s="1221"/>
      <c r="BMY51" s="1221"/>
      <c r="BMZ51" s="1221"/>
      <c r="BNA51" s="1221"/>
      <c r="BNB51" s="1221"/>
      <c r="BNC51" s="1221"/>
      <c r="BND51" s="1221"/>
      <c r="BNE51" s="1221"/>
      <c r="BNF51" s="1221"/>
      <c r="BNG51" s="1221"/>
      <c r="BNH51" s="1221"/>
      <c r="BNI51" s="1221"/>
      <c r="BNJ51" s="1221"/>
      <c r="BNK51" s="1221"/>
      <c r="BNL51" s="1221"/>
      <c r="BNM51" s="1221"/>
      <c r="BNN51" s="1221"/>
      <c r="BNO51" s="1221"/>
      <c r="BNP51" s="1221"/>
      <c r="BNQ51" s="1221"/>
      <c r="BNR51" s="1221"/>
      <c r="BNS51" s="1221"/>
      <c r="BNT51" s="1221"/>
      <c r="BNU51" s="1221"/>
      <c r="BNV51" s="1221"/>
      <c r="BNW51" s="1221"/>
      <c r="BNX51" s="1221"/>
      <c r="BNY51" s="1221"/>
      <c r="BNZ51" s="1221"/>
      <c r="BOA51" s="1221"/>
      <c r="BOB51" s="1221"/>
      <c r="BOC51" s="1221"/>
      <c r="BOD51" s="1221"/>
      <c r="BOE51" s="1221"/>
      <c r="BOF51" s="1221"/>
      <c r="BOG51" s="1221"/>
      <c r="BOH51" s="1221"/>
      <c r="BOI51" s="1221"/>
      <c r="BOJ51" s="1221"/>
      <c r="BOK51" s="1221"/>
      <c r="BOL51" s="1221"/>
      <c r="BOM51" s="1221"/>
      <c r="BON51" s="1221"/>
      <c r="BOO51" s="1221"/>
      <c r="BOP51" s="1221"/>
      <c r="BOQ51" s="1221"/>
      <c r="BOR51" s="1221"/>
      <c r="BOS51" s="1221"/>
      <c r="BOT51" s="1221"/>
      <c r="BOU51" s="1221"/>
      <c r="BOV51" s="1221"/>
      <c r="BOW51" s="1221"/>
      <c r="BOX51" s="1221"/>
      <c r="BOY51" s="1221"/>
      <c r="BOZ51" s="1221"/>
      <c r="BPA51" s="1221"/>
      <c r="BPB51" s="1221"/>
      <c r="BPC51" s="1221"/>
      <c r="BPD51" s="1221"/>
      <c r="BPE51" s="1221"/>
      <c r="BPF51" s="1221"/>
      <c r="BPG51" s="1221"/>
      <c r="BPH51" s="1221"/>
      <c r="BPI51" s="1221"/>
      <c r="BPJ51" s="1221"/>
      <c r="BPK51" s="1221"/>
      <c r="BPL51" s="1221"/>
      <c r="BPM51" s="1221"/>
      <c r="BPN51" s="1221"/>
      <c r="BPO51" s="1221"/>
      <c r="BPP51" s="1221"/>
      <c r="BPQ51" s="1221"/>
      <c r="BPR51" s="1221"/>
      <c r="BPS51" s="1221"/>
      <c r="BPT51" s="1221"/>
      <c r="BPU51" s="1221"/>
      <c r="BPV51" s="1221"/>
      <c r="BPW51" s="1221"/>
      <c r="BPX51" s="1221"/>
      <c r="BPY51" s="1221"/>
      <c r="BPZ51" s="1221"/>
      <c r="BQA51" s="1221"/>
      <c r="BQB51" s="1221"/>
      <c r="BQC51" s="1221"/>
      <c r="BQD51" s="1221"/>
      <c r="BQE51" s="1221"/>
      <c r="BQF51" s="1221"/>
      <c r="BQG51" s="1221"/>
      <c r="BQH51" s="1221"/>
      <c r="BQI51" s="1221"/>
      <c r="BQJ51" s="1221"/>
      <c r="BQK51" s="1221"/>
      <c r="BQL51" s="1221"/>
      <c r="BQM51" s="1221"/>
      <c r="BQN51" s="1221"/>
      <c r="BQO51" s="1221"/>
      <c r="BQP51" s="1221"/>
      <c r="BQQ51" s="1221"/>
      <c r="BQR51" s="1221"/>
      <c r="BQS51" s="1221"/>
      <c r="BQT51" s="1221"/>
      <c r="BQU51" s="1221"/>
      <c r="BQV51" s="1221"/>
      <c r="BQW51" s="1221"/>
      <c r="BQX51" s="1221"/>
      <c r="BQY51" s="1221"/>
      <c r="BQZ51" s="1221"/>
      <c r="BRA51" s="1221"/>
      <c r="BRB51" s="1221"/>
      <c r="BRC51" s="1221"/>
      <c r="BRD51" s="1221"/>
      <c r="BRE51" s="1221"/>
      <c r="BRF51" s="1221"/>
      <c r="BRG51" s="1221"/>
      <c r="BRH51" s="1221"/>
      <c r="BRI51" s="1221"/>
      <c r="BRJ51" s="1221"/>
      <c r="BRK51" s="1221"/>
      <c r="BRL51" s="1221"/>
      <c r="BRM51" s="1221"/>
      <c r="BRN51" s="1221"/>
      <c r="BRO51" s="1221"/>
      <c r="BRP51" s="1221"/>
      <c r="BRQ51" s="1221"/>
      <c r="BRR51" s="1221"/>
      <c r="BRS51" s="1221"/>
      <c r="BRT51" s="1221"/>
      <c r="BRU51" s="1221"/>
      <c r="BRV51" s="1221"/>
      <c r="BRW51" s="1221"/>
      <c r="BRX51" s="1221"/>
      <c r="BRY51" s="1221"/>
      <c r="BRZ51" s="1221"/>
      <c r="BSA51" s="1221"/>
      <c r="BSB51" s="1221"/>
      <c r="BSC51" s="1221"/>
      <c r="BSD51" s="1221"/>
      <c r="BSE51" s="1221"/>
      <c r="BSF51" s="1221"/>
      <c r="BSG51" s="1221"/>
      <c r="BSH51" s="1221"/>
      <c r="BSI51" s="1221"/>
      <c r="BSJ51" s="1221"/>
      <c r="BSK51" s="1221"/>
      <c r="BSL51" s="1221"/>
      <c r="BSM51" s="1221"/>
      <c r="BSN51" s="1221"/>
      <c r="BSO51" s="1221"/>
      <c r="BSP51" s="1221"/>
      <c r="BSQ51" s="1221"/>
      <c r="BSR51" s="1221"/>
      <c r="BSS51" s="1221"/>
      <c r="BST51" s="1221"/>
      <c r="BSU51" s="1221"/>
      <c r="BSV51" s="1221"/>
      <c r="BSW51" s="1221"/>
      <c r="BSX51" s="1221"/>
      <c r="BSY51" s="1221"/>
      <c r="BSZ51" s="1221"/>
      <c r="BTA51" s="1221"/>
      <c r="BTB51" s="1221"/>
      <c r="BTC51" s="1221"/>
      <c r="BTD51" s="1221"/>
      <c r="BTE51" s="1221"/>
      <c r="BTF51" s="1221"/>
      <c r="BTG51" s="1221"/>
      <c r="BTH51" s="1221"/>
      <c r="BTI51" s="1221"/>
      <c r="BTJ51" s="1221"/>
      <c r="BTK51" s="1221"/>
      <c r="BTL51" s="1221"/>
      <c r="BTM51" s="1221"/>
      <c r="BTN51" s="1221"/>
      <c r="BTO51" s="1221"/>
      <c r="BTP51" s="1221"/>
      <c r="BTQ51" s="1221"/>
      <c r="BTR51" s="1221"/>
      <c r="BTS51" s="1221"/>
      <c r="BTT51" s="1221"/>
      <c r="BTU51" s="1221"/>
      <c r="BTV51" s="1221"/>
      <c r="BTW51" s="1221"/>
      <c r="BTX51" s="1221"/>
      <c r="BTY51" s="1221"/>
      <c r="BTZ51" s="1221"/>
      <c r="BUA51" s="1221"/>
      <c r="BUB51" s="1221"/>
      <c r="BUC51" s="1221"/>
      <c r="BUD51" s="1221"/>
      <c r="BUE51" s="1221"/>
      <c r="BUF51" s="1221"/>
      <c r="BUG51" s="1221"/>
      <c r="BUH51" s="1221"/>
      <c r="BUI51" s="1221"/>
      <c r="BUJ51" s="1221"/>
      <c r="BUK51" s="1221"/>
      <c r="BUL51" s="1221"/>
      <c r="BUM51" s="1221"/>
      <c r="BUN51" s="1221"/>
      <c r="BUO51" s="1221"/>
      <c r="BUP51" s="1221"/>
      <c r="BUQ51" s="1221"/>
      <c r="BUR51" s="1221"/>
      <c r="BUS51" s="1221"/>
      <c r="BUT51" s="1221"/>
      <c r="BUU51" s="1221"/>
      <c r="BUV51" s="1221"/>
      <c r="BUW51" s="1221"/>
      <c r="BUX51" s="1221"/>
      <c r="BUY51" s="1221"/>
      <c r="BUZ51" s="1221"/>
      <c r="BVA51" s="1221"/>
      <c r="BVB51" s="1221"/>
      <c r="BVC51" s="1221"/>
      <c r="BVD51" s="1221"/>
      <c r="BVE51" s="1221"/>
      <c r="BVF51" s="1221"/>
      <c r="BVG51" s="1221"/>
      <c r="BVH51" s="1221"/>
      <c r="BVI51" s="1221"/>
      <c r="BVJ51" s="1221"/>
      <c r="BVK51" s="1221"/>
      <c r="BVL51" s="1221"/>
      <c r="BVM51" s="1221"/>
      <c r="BVN51" s="1221"/>
      <c r="BVO51" s="1221"/>
      <c r="BVP51" s="1221"/>
      <c r="BVQ51" s="1221"/>
      <c r="BVR51" s="1221"/>
      <c r="BVS51" s="1221"/>
      <c r="BVT51" s="1221"/>
      <c r="BVU51" s="1221"/>
      <c r="BVV51" s="1221"/>
      <c r="BVW51" s="1221"/>
      <c r="BVX51" s="1221"/>
      <c r="BVY51" s="1221"/>
      <c r="BVZ51" s="1221"/>
      <c r="BWA51" s="1221"/>
      <c r="BWB51" s="1221"/>
      <c r="BWC51" s="1221"/>
      <c r="BWD51" s="1221"/>
      <c r="BWE51" s="1221"/>
      <c r="BWF51" s="1221"/>
      <c r="BWG51" s="1221"/>
      <c r="BWH51" s="1221"/>
      <c r="BWI51" s="1221"/>
      <c r="BWJ51" s="1221"/>
      <c r="BWK51" s="1221"/>
      <c r="BWL51" s="1221"/>
      <c r="BWM51" s="1221"/>
      <c r="BWN51" s="1221"/>
      <c r="BWO51" s="1221"/>
      <c r="BWP51" s="1221"/>
      <c r="BWQ51" s="1221"/>
      <c r="BWR51" s="1221"/>
      <c r="BWS51" s="1221"/>
      <c r="BWT51" s="1221"/>
      <c r="BWU51" s="1221"/>
      <c r="BWV51" s="1221"/>
      <c r="BWW51" s="1221"/>
      <c r="BWX51" s="1221"/>
      <c r="BWY51" s="1221"/>
      <c r="BWZ51" s="1221"/>
      <c r="BXA51" s="1221"/>
      <c r="BXB51" s="1221"/>
      <c r="BXC51" s="1221"/>
      <c r="BXD51" s="1221"/>
      <c r="BXE51" s="1221"/>
      <c r="BXF51" s="1221"/>
      <c r="BXG51" s="1221"/>
      <c r="BXH51" s="1221"/>
      <c r="BXI51" s="1221"/>
      <c r="BXJ51" s="1221"/>
      <c r="BXK51" s="1221"/>
      <c r="BXL51" s="1221"/>
      <c r="BXM51" s="1221"/>
      <c r="BXN51" s="1221"/>
      <c r="BXO51" s="1221"/>
      <c r="BXP51" s="1221"/>
      <c r="BXQ51" s="1221"/>
      <c r="BXR51" s="1221"/>
      <c r="BXS51" s="1221"/>
      <c r="BXT51" s="1221"/>
      <c r="BXU51" s="1221"/>
      <c r="BXV51" s="1221"/>
      <c r="BXW51" s="1221"/>
      <c r="BXX51" s="1221"/>
      <c r="BXY51" s="1221"/>
      <c r="BXZ51" s="1221"/>
      <c r="BYA51" s="1221"/>
      <c r="BYB51" s="1221"/>
      <c r="BYC51" s="1221"/>
      <c r="BYD51" s="1221"/>
      <c r="BYE51" s="1221"/>
      <c r="BYF51" s="1221"/>
      <c r="BYG51" s="1221"/>
      <c r="BYH51" s="1221"/>
      <c r="BYI51" s="1221"/>
      <c r="BYJ51" s="1221"/>
      <c r="BYK51" s="1221"/>
      <c r="BYL51" s="1221"/>
      <c r="BYM51" s="1221"/>
      <c r="BYN51" s="1221"/>
      <c r="BYO51" s="1221"/>
      <c r="BYP51" s="1221"/>
      <c r="BYQ51" s="1221"/>
      <c r="BYR51" s="1221"/>
      <c r="BYS51" s="1221"/>
      <c r="BYT51" s="1221"/>
      <c r="BYU51" s="1221"/>
      <c r="BYV51" s="1221"/>
      <c r="BYW51" s="1221"/>
      <c r="BYX51" s="1221"/>
      <c r="BYY51" s="1221"/>
      <c r="BYZ51" s="1221"/>
      <c r="BZA51" s="1221"/>
      <c r="BZB51" s="1221"/>
      <c r="BZC51" s="1221"/>
      <c r="BZD51" s="1221"/>
      <c r="BZE51" s="1221"/>
      <c r="BZF51" s="1221"/>
      <c r="BZG51" s="1221"/>
      <c r="BZH51" s="1221"/>
      <c r="BZI51" s="1221"/>
      <c r="BZJ51" s="1221"/>
      <c r="BZK51" s="1221"/>
      <c r="BZL51" s="1221"/>
      <c r="BZM51" s="1221"/>
      <c r="BZN51" s="1221"/>
      <c r="BZO51" s="1221"/>
      <c r="BZP51" s="1221"/>
      <c r="BZQ51" s="1221"/>
      <c r="BZR51" s="1221"/>
      <c r="BZS51" s="1221"/>
      <c r="BZT51" s="1221"/>
      <c r="BZU51" s="1221"/>
      <c r="BZV51" s="1221"/>
      <c r="BZW51" s="1221"/>
      <c r="BZX51" s="1221"/>
      <c r="BZY51" s="1221"/>
      <c r="BZZ51" s="1221"/>
      <c r="CAA51" s="1221"/>
      <c r="CAB51" s="1221"/>
      <c r="CAC51" s="1221"/>
      <c r="CAD51" s="1221"/>
      <c r="CAE51" s="1221"/>
      <c r="CAF51" s="1221"/>
      <c r="CAG51" s="1221"/>
      <c r="CAH51" s="1221"/>
      <c r="CAI51" s="1221"/>
      <c r="CAJ51" s="1221"/>
      <c r="CAK51" s="1221"/>
      <c r="CAL51" s="1221"/>
      <c r="CAM51" s="1221"/>
      <c r="CAN51" s="1221"/>
      <c r="CAO51" s="1221"/>
      <c r="CAP51" s="1221"/>
      <c r="CAQ51" s="1221"/>
      <c r="CAR51" s="1221"/>
      <c r="CAS51" s="1221"/>
      <c r="CAT51" s="1221"/>
      <c r="CAU51" s="1221"/>
      <c r="CAV51" s="1221"/>
      <c r="CAW51" s="1221"/>
      <c r="CAX51" s="1221"/>
      <c r="CAY51" s="1221"/>
      <c r="CAZ51" s="1221"/>
      <c r="CBA51" s="1221"/>
      <c r="CBB51" s="1221"/>
      <c r="CBC51" s="1221"/>
      <c r="CBD51" s="1221"/>
      <c r="CBE51" s="1221"/>
      <c r="CBF51" s="1221"/>
      <c r="CBG51" s="1221"/>
      <c r="CBH51" s="1221"/>
      <c r="CBI51" s="1221"/>
      <c r="CBJ51" s="1221"/>
      <c r="CBK51" s="1221"/>
      <c r="CBL51" s="1221"/>
      <c r="CBM51" s="1221"/>
      <c r="CBN51" s="1221"/>
      <c r="CBO51" s="1221"/>
      <c r="CBP51" s="1221"/>
      <c r="CBQ51" s="1221"/>
      <c r="CBR51" s="1221"/>
      <c r="CBS51" s="1221"/>
      <c r="CBT51" s="1221"/>
      <c r="CBU51" s="1221"/>
      <c r="CBV51" s="1221"/>
      <c r="CBW51" s="1221"/>
      <c r="CBX51" s="1221"/>
      <c r="CBY51" s="1221"/>
      <c r="CBZ51" s="1221"/>
      <c r="CCA51" s="1221"/>
      <c r="CCB51" s="1221"/>
      <c r="CCC51" s="1221"/>
      <c r="CCD51" s="1221"/>
      <c r="CCE51" s="1221"/>
      <c r="CCF51" s="1221"/>
      <c r="CCG51" s="1221"/>
      <c r="CCH51" s="1221"/>
      <c r="CCI51" s="1221"/>
      <c r="CCJ51" s="1221"/>
      <c r="CCK51" s="1221"/>
      <c r="CCL51" s="1221"/>
      <c r="CCM51" s="1221"/>
      <c r="CCN51" s="1221"/>
      <c r="CCO51" s="1221"/>
      <c r="CCP51" s="1221"/>
      <c r="CCQ51" s="1221"/>
      <c r="CCR51" s="1221"/>
      <c r="CCS51" s="1221"/>
      <c r="CCT51" s="1221"/>
      <c r="CCU51" s="1221"/>
      <c r="CCV51" s="1221"/>
      <c r="CCW51" s="1221"/>
      <c r="CCX51" s="1221"/>
      <c r="CCY51" s="1221"/>
      <c r="CCZ51" s="1221"/>
      <c r="CDA51" s="1221"/>
      <c r="CDB51" s="1221"/>
      <c r="CDC51" s="1221"/>
      <c r="CDD51" s="1221"/>
      <c r="CDE51" s="1221"/>
      <c r="CDF51" s="1221"/>
      <c r="CDG51" s="1221"/>
      <c r="CDH51" s="1221"/>
      <c r="CDI51" s="1221"/>
      <c r="CDJ51" s="1221"/>
      <c r="CDK51" s="1221"/>
      <c r="CDL51" s="1221"/>
      <c r="CDM51" s="1221"/>
      <c r="CDN51" s="1221"/>
      <c r="CDO51" s="1221"/>
      <c r="CDP51" s="1221"/>
      <c r="CDQ51" s="1221"/>
      <c r="CDR51" s="1221"/>
      <c r="CDS51" s="1221"/>
      <c r="CDT51" s="1221"/>
      <c r="CDU51" s="1221"/>
      <c r="CDV51" s="1221"/>
      <c r="CDW51" s="1221"/>
      <c r="CDX51" s="1221"/>
      <c r="CDY51" s="1221"/>
      <c r="CDZ51" s="1221"/>
      <c r="CEA51" s="1221"/>
      <c r="CEB51" s="1221"/>
      <c r="CEC51" s="1221"/>
      <c r="CED51" s="1221"/>
      <c r="CEE51" s="1221"/>
      <c r="CEF51" s="1221"/>
      <c r="CEG51" s="1221"/>
      <c r="CEH51" s="1221"/>
      <c r="CEI51" s="1221"/>
      <c r="CEJ51" s="1221"/>
      <c r="CEK51" s="1221"/>
      <c r="CEL51" s="1221"/>
      <c r="CEM51" s="1221"/>
      <c r="CEN51" s="1221"/>
      <c r="CEO51" s="1221"/>
      <c r="CEP51" s="1221"/>
      <c r="CEQ51" s="1221"/>
      <c r="CER51" s="1221"/>
      <c r="CES51" s="1221"/>
      <c r="CET51" s="1221"/>
      <c r="CEU51" s="1221"/>
      <c r="CEV51" s="1221"/>
      <c r="CEW51" s="1221"/>
      <c r="CEX51" s="1221"/>
      <c r="CEY51" s="1221"/>
      <c r="CEZ51" s="1221"/>
      <c r="CFA51" s="1221"/>
      <c r="CFB51" s="1221"/>
      <c r="CFC51" s="1221"/>
      <c r="CFD51" s="1221"/>
      <c r="CFE51" s="1221"/>
      <c r="CFF51" s="1221"/>
      <c r="CFG51" s="1221"/>
      <c r="CFH51" s="1221"/>
      <c r="CFI51" s="1221"/>
      <c r="CFJ51" s="1221"/>
      <c r="CFK51" s="1221"/>
      <c r="CFL51" s="1221"/>
      <c r="CFM51" s="1221"/>
      <c r="CFN51" s="1221"/>
      <c r="CFO51" s="1221"/>
      <c r="CFP51" s="1221"/>
      <c r="CFQ51" s="1221"/>
      <c r="CFR51" s="1221"/>
      <c r="CFS51" s="1221"/>
      <c r="CFT51" s="1221"/>
      <c r="CFU51" s="1221"/>
      <c r="CFV51" s="1221"/>
      <c r="CFW51" s="1221"/>
      <c r="CFX51" s="1221"/>
      <c r="CFY51" s="1221"/>
      <c r="CFZ51" s="1221"/>
      <c r="CGA51" s="1221"/>
      <c r="CGB51" s="1221"/>
      <c r="CGC51" s="1221"/>
      <c r="CGD51" s="1221"/>
      <c r="CGE51" s="1221"/>
      <c r="CGF51" s="1221"/>
      <c r="CGG51" s="1221"/>
      <c r="CGH51" s="1221"/>
      <c r="CGI51" s="1221"/>
      <c r="CGJ51" s="1221"/>
      <c r="CGK51" s="1221"/>
      <c r="CGL51" s="1221"/>
      <c r="CGM51" s="1221"/>
      <c r="CGN51" s="1221"/>
      <c r="CGO51" s="1221"/>
      <c r="CGP51" s="1221"/>
      <c r="CGQ51" s="1221"/>
      <c r="CGR51" s="1221"/>
      <c r="CGS51" s="1221"/>
      <c r="CGT51" s="1221"/>
      <c r="CGU51" s="1221"/>
      <c r="CGV51" s="1221"/>
      <c r="CGW51" s="1221"/>
      <c r="CGX51" s="1221"/>
      <c r="CGY51" s="1221"/>
      <c r="CGZ51" s="1221"/>
      <c r="CHA51" s="1221"/>
      <c r="CHB51" s="1221"/>
      <c r="CHC51" s="1221"/>
      <c r="CHD51" s="1221"/>
      <c r="CHE51" s="1221"/>
      <c r="CHF51" s="1221"/>
      <c r="CHG51" s="1221"/>
      <c r="CHH51" s="1221"/>
      <c r="CHI51" s="1221"/>
      <c r="CHJ51" s="1221"/>
      <c r="CHK51" s="1221"/>
      <c r="CHL51" s="1221"/>
      <c r="CHM51" s="1221"/>
      <c r="CHN51" s="1221"/>
      <c r="CHO51" s="1221"/>
      <c r="CHP51" s="1221"/>
      <c r="CHQ51" s="1221"/>
      <c r="CHR51" s="1221"/>
      <c r="CHS51" s="1221"/>
      <c r="CHT51" s="1221"/>
      <c r="CHU51" s="1221"/>
      <c r="CHV51" s="1221"/>
      <c r="CHW51" s="1221"/>
      <c r="CHX51" s="1221"/>
      <c r="CHY51" s="1221"/>
      <c r="CHZ51" s="1221"/>
      <c r="CIA51" s="1221"/>
      <c r="CIB51" s="1221"/>
      <c r="CIC51" s="1221"/>
      <c r="CID51" s="1221"/>
      <c r="CIE51" s="1221"/>
      <c r="CIF51" s="1221"/>
      <c r="CIG51" s="1221"/>
      <c r="CIH51" s="1221"/>
      <c r="CII51" s="1221"/>
      <c r="CIJ51" s="1221"/>
      <c r="CIK51" s="1221"/>
      <c r="CIL51" s="1221"/>
      <c r="CIM51" s="1221"/>
      <c r="CIN51" s="1221"/>
      <c r="CIO51" s="1221"/>
      <c r="CIP51" s="1221"/>
      <c r="CIQ51" s="1221"/>
      <c r="CIR51" s="1221"/>
      <c r="CIS51" s="1221"/>
      <c r="CIT51" s="1221"/>
      <c r="CIU51" s="1221"/>
      <c r="CIV51" s="1221"/>
      <c r="CIW51" s="1221"/>
      <c r="CIX51" s="1221"/>
      <c r="CIY51" s="1221"/>
      <c r="CIZ51" s="1221"/>
      <c r="CJA51" s="1221"/>
      <c r="CJB51" s="1221"/>
      <c r="CJC51" s="1221"/>
      <c r="CJD51" s="1221"/>
      <c r="CJE51" s="1221"/>
      <c r="CJF51" s="1221"/>
      <c r="CJG51" s="1221"/>
      <c r="CJH51" s="1221"/>
      <c r="CJI51" s="1221"/>
      <c r="CJJ51" s="1221"/>
      <c r="CJK51" s="1221"/>
      <c r="CJL51" s="1221"/>
      <c r="CJM51" s="1221"/>
      <c r="CJN51" s="1221"/>
      <c r="CJO51" s="1221"/>
      <c r="CJP51" s="1221"/>
      <c r="CJQ51" s="1221"/>
      <c r="CJR51" s="1221"/>
      <c r="CJS51" s="1221"/>
      <c r="CJT51" s="1221"/>
      <c r="CJU51" s="1221"/>
      <c r="CJV51" s="1221"/>
      <c r="CJW51" s="1221"/>
      <c r="CJX51" s="1221"/>
      <c r="CJY51" s="1221"/>
      <c r="CJZ51" s="1221"/>
      <c r="CKA51" s="1221"/>
      <c r="CKB51" s="1221"/>
      <c r="CKC51" s="1221"/>
      <c r="CKD51" s="1221"/>
      <c r="CKE51" s="1221"/>
      <c r="CKF51" s="1221"/>
      <c r="CKG51" s="1221"/>
      <c r="CKH51" s="1221"/>
      <c r="CKI51" s="1221"/>
      <c r="CKJ51" s="1221"/>
      <c r="CKK51" s="1221"/>
      <c r="CKL51" s="1221"/>
      <c r="CKM51" s="1221"/>
      <c r="CKN51" s="1221"/>
      <c r="CKO51" s="1221"/>
      <c r="CKP51" s="1221"/>
      <c r="CKQ51" s="1221"/>
      <c r="CKR51" s="1221"/>
      <c r="CKS51" s="1221"/>
      <c r="CKT51" s="1221"/>
      <c r="CKU51" s="1221"/>
      <c r="CKV51" s="1221"/>
      <c r="CKW51" s="1221"/>
      <c r="CKX51" s="1221"/>
      <c r="CKY51" s="1221"/>
      <c r="CKZ51" s="1221"/>
      <c r="CLA51" s="1221"/>
      <c r="CLB51" s="1221"/>
      <c r="CLC51" s="1221"/>
      <c r="CLD51" s="1221"/>
      <c r="CLE51" s="1221"/>
      <c r="CLF51" s="1221"/>
      <c r="CLG51" s="1221"/>
      <c r="CLH51" s="1221"/>
      <c r="CLI51" s="1221"/>
      <c r="CLJ51" s="1221"/>
      <c r="CLK51" s="1221"/>
      <c r="CLL51" s="1221"/>
      <c r="CLM51" s="1221"/>
      <c r="CLN51" s="1221"/>
      <c r="CLO51" s="1221"/>
      <c r="CLP51" s="1221"/>
      <c r="CLQ51" s="1221"/>
      <c r="CLR51" s="1221"/>
      <c r="CLS51" s="1221"/>
      <c r="CLT51" s="1221"/>
      <c r="CLU51" s="1221"/>
      <c r="CLV51" s="1221"/>
      <c r="CLW51" s="1221"/>
      <c r="CLX51" s="1221"/>
      <c r="CLY51" s="1221"/>
      <c r="CLZ51" s="1221"/>
      <c r="CMA51" s="1221"/>
      <c r="CMB51" s="1221"/>
      <c r="CMC51" s="1221"/>
      <c r="CMD51" s="1221"/>
      <c r="CME51" s="1221"/>
      <c r="CMF51" s="1221"/>
      <c r="CMG51" s="1221"/>
      <c r="CMH51" s="1221"/>
      <c r="CMI51" s="1221"/>
      <c r="CMJ51" s="1221"/>
      <c r="CMK51" s="1221"/>
      <c r="CML51" s="1221"/>
      <c r="CMM51" s="1221"/>
      <c r="CMN51" s="1221"/>
      <c r="CMO51" s="1221"/>
      <c r="CMP51" s="1221"/>
      <c r="CMQ51" s="1221"/>
      <c r="CMR51" s="1221"/>
      <c r="CMS51" s="1221"/>
      <c r="CMT51" s="1221"/>
      <c r="CMU51" s="1221"/>
      <c r="CMV51" s="1221"/>
      <c r="CMW51" s="1221"/>
      <c r="CMX51" s="1221"/>
      <c r="CMY51" s="1221"/>
      <c r="CMZ51" s="1221"/>
      <c r="CNA51" s="1221"/>
      <c r="CNB51" s="1221"/>
      <c r="CNC51" s="1221"/>
      <c r="CND51" s="1221"/>
      <c r="CNE51" s="1221"/>
      <c r="CNF51" s="1221"/>
      <c r="CNG51" s="1221"/>
      <c r="CNH51" s="1221"/>
      <c r="CNI51" s="1221"/>
      <c r="CNJ51" s="1221"/>
      <c r="CNK51" s="1221"/>
      <c r="CNL51" s="1221"/>
      <c r="CNM51" s="1221"/>
      <c r="CNN51" s="1221"/>
      <c r="CNO51" s="1221"/>
      <c r="CNP51" s="1221"/>
      <c r="CNQ51" s="1221"/>
      <c r="CNR51" s="1221"/>
      <c r="CNS51" s="1221"/>
      <c r="CNT51" s="1221"/>
      <c r="CNU51" s="1221"/>
      <c r="CNV51" s="1221"/>
      <c r="CNW51" s="1221"/>
      <c r="CNX51" s="1221"/>
      <c r="CNY51" s="1221"/>
      <c r="CNZ51" s="1221"/>
      <c r="COA51" s="1221"/>
      <c r="COB51" s="1221"/>
      <c r="COC51" s="1221"/>
      <c r="COD51" s="1221"/>
      <c r="COE51" s="1221"/>
      <c r="COF51" s="1221"/>
      <c r="COG51" s="1221"/>
      <c r="COH51" s="1221"/>
      <c r="COI51" s="1221"/>
      <c r="COJ51" s="1221"/>
      <c r="COK51" s="1221"/>
      <c r="COL51" s="1221"/>
      <c r="COM51" s="1221"/>
      <c r="CON51" s="1221"/>
      <c r="COO51" s="1221"/>
      <c r="COP51" s="1221"/>
      <c r="COQ51" s="1221"/>
      <c r="COR51" s="1221"/>
      <c r="COS51" s="1221"/>
      <c r="COT51" s="1221"/>
      <c r="COU51" s="1221"/>
      <c r="COV51" s="1221"/>
      <c r="COW51" s="1221"/>
      <c r="COX51" s="1221"/>
      <c r="COY51" s="1221"/>
      <c r="COZ51" s="1221"/>
      <c r="CPA51" s="1221"/>
      <c r="CPB51" s="1221"/>
      <c r="CPC51" s="1221"/>
      <c r="CPD51" s="1221"/>
      <c r="CPE51" s="1221"/>
      <c r="CPF51" s="1221"/>
      <c r="CPG51" s="1221"/>
      <c r="CPH51" s="1221"/>
      <c r="CPI51" s="1221"/>
      <c r="CPJ51" s="1221"/>
      <c r="CPK51" s="1221"/>
      <c r="CPL51" s="1221"/>
      <c r="CPM51" s="1221"/>
      <c r="CPN51" s="1221"/>
      <c r="CPO51" s="1221"/>
      <c r="CPP51" s="1221"/>
      <c r="CPQ51" s="1221"/>
      <c r="CPR51" s="1221"/>
      <c r="CPS51" s="1221"/>
      <c r="CPT51" s="1221"/>
      <c r="CPU51" s="1221"/>
      <c r="CPV51" s="1221"/>
      <c r="CPW51" s="1221"/>
      <c r="CPX51" s="1221"/>
      <c r="CPY51" s="1221"/>
      <c r="CPZ51" s="1221"/>
      <c r="CQA51" s="1221"/>
      <c r="CQB51" s="1221"/>
      <c r="CQC51" s="1221"/>
      <c r="CQD51" s="1221"/>
      <c r="CQE51" s="1221"/>
      <c r="CQF51" s="1221"/>
      <c r="CQG51" s="1221"/>
      <c r="CQH51" s="1221"/>
      <c r="CQI51" s="1221"/>
      <c r="CQJ51" s="1221"/>
      <c r="CQK51" s="1221"/>
      <c r="CQL51" s="1221"/>
      <c r="CQM51" s="1221"/>
      <c r="CQN51" s="1221"/>
      <c r="CQO51" s="1221"/>
      <c r="CQP51" s="1221"/>
      <c r="CQQ51" s="1221"/>
      <c r="CQR51" s="1221"/>
      <c r="CQS51" s="1221"/>
      <c r="CQT51" s="1221"/>
      <c r="CQU51" s="1221"/>
      <c r="CQV51" s="1221"/>
      <c r="CQW51" s="1221"/>
      <c r="CQX51" s="1221"/>
      <c r="CQY51" s="1221"/>
      <c r="CQZ51" s="1221"/>
      <c r="CRA51" s="1221"/>
      <c r="CRB51" s="1221"/>
      <c r="CRC51" s="1221"/>
      <c r="CRD51" s="1221"/>
      <c r="CRE51" s="1221"/>
      <c r="CRF51" s="1221"/>
      <c r="CRG51" s="1221"/>
      <c r="CRH51" s="1221"/>
      <c r="CRI51" s="1221"/>
      <c r="CRJ51" s="1221"/>
      <c r="CRK51" s="1221"/>
      <c r="CRL51" s="1221"/>
      <c r="CRM51" s="1221"/>
      <c r="CRN51" s="1221"/>
      <c r="CRO51" s="1221"/>
      <c r="CRP51" s="1221"/>
      <c r="CRQ51" s="1221"/>
      <c r="CRR51" s="1221"/>
      <c r="CRS51" s="1221"/>
      <c r="CRT51" s="1221"/>
      <c r="CRU51" s="1221"/>
      <c r="CRV51" s="1221"/>
      <c r="CRW51" s="1221"/>
      <c r="CRX51" s="1221"/>
      <c r="CRY51" s="1221"/>
      <c r="CRZ51" s="1221"/>
      <c r="CSA51" s="1221"/>
      <c r="CSB51" s="1221"/>
      <c r="CSC51" s="1221"/>
      <c r="CSD51" s="1221"/>
      <c r="CSE51" s="1221"/>
      <c r="CSF51" s="1221"/>
      <c r="CSG51" s="1221"/>
      <c r="CSH51" s="1221"/>
      <c r="CSI51" s="1221"/>
      <c r="CSJ51" s="1221"/>
      <c r="CSK51" s="1221"/>
      <c r="CSL51" s="1221"/>
      <c r="CSM51" s="1221"/>
      <c r="CSN51" s="1221"/>
      <c r="CSO51" s="1221"/>
      <c r="CSP51" s="1221"/>
      <c r="CSQ51" s="1221"/>
      <c r="CSR51" s="1221"/>
      <c r="CSS51" s="1221"/>
      <c r="CST51" s="1221"/>
      <c r="CSU51" s="1221"/>
      <c r="CSV51" s="1221"/>
      <c r="CSW51" s="1221"/>
      <c r="CSX51" s="1221"/>
      <c r="CSY51" s="1221"/>
      <c r="CSZ51" s="1221"/>
      <c r="CTA51" s="1221"/>
      <c r="CTB51" s="1221"/>
      <c r="CTC51" s="1221"/>
      <c r="CTD51" s="1221"/>
      <c r="CTE51" s="1221"/>
      <c r="CTF51" s="1221"/>
      <c r="CTG51" s="1221"/>
      <c r="CTH51" s="1221"/>
      <c r="CTI51" s="1221"/>
      <c r="CTJ51" s="1221"/>
      <c r="CTK51" s="1221"/>
      <c r="CTL51" s="1221"/>
      <c r="CTM51" s="1221"/>
      <c r="CTN51" s="1221"/>
      <c r="CTO51" s="1221"/>
      <c r="CTP51" s="1221"/>
      <c r="CTQ51" s="1221"/>
      <c r="CTR51" s="1221"/>
      <c r="CTS51" s="1221"/>
      <c r="CTT51" s="1221"/>
      <c r="CTU51" s="1221"/>
      <c r="CTV51" s="1221"/>
      <c r="CTW51" s="1221"/>
      <c r="CTX51" s="1221"/>
      <c r="CTY51" s="1221"/>
      <c r="CTZ51" s="1221"/>
      <c r="CUA51" s="1221"/>
      <c r="CUB51" s="1221"/>
      <c r="CUC51" s="1221"/>
      <c r="CUD51" s="1221"/>
      <c r="CUE51" s="1221"/>
      <c r="CUF51" s="1221"/>
      <c r="CUG51" s="1221"/>
      <c r="CUH51" s="1221"/>
      <c r="CUI51" s="1221"/>
      <c r="CUJ51" s="1221"/>
      <c r="CUK51" s="1221"/>
      <c r="CUL51" s="1221"/>
      <c r="CUM51" s="1221"/>
      <c r="CUN51" s="1221"/>
      <c r="CUO51" s="1221"/>
      <c r="CUP51" s="1221"/>
      <c r="CUQ51" s="1221"/>
      <c r="CUR51" s="1221"/>
      <c r="CUS51" s="1221"/>
      <c r="CUT51" s="1221"/>
      <c r="CUU51" s="1221"/>
      <c r="CUV51" s="1221"/>
      <c r="CUW51" s="1221"/>
      <c r="CUX51" s="1221"/>
      <c r="CUY51" s="1221"/>
      <c r="CUZ51" s="1221"/>
      <c r="CVA51" s="1221"/>
      <c r="CVB51" s="1221"/>
      <c r="CVC51" s="1221"/>
      <c r="CVD51" s="1221"/>
      <c r="CVE51" s="1221"/>
      <c r="CVF51" s="1221"/>
      <c r="CVG51" s="1221"/>
      <c r="CVH51" s="1221"/>
      <c r="CVI51" s="1221"/>
      <c r="CVJ51" s="1221"/>
      <c r="CVK51" s="1221"/>
      <c r="CVL51" s="1221"/>
      <c r="CVM51" s="1221"/>
      <c r="CVN51" s="1221"/>
      <c r="CVO51" s="1221"/>
      <c r="CVP51" s="1221"/>
      <c r="CVQ51" s="1221"/>
      <c r="CVR51" s="1221"/>
      <c r="CVS51" s="1221"/>
      <c r="CVT51" s="1221"/>
      <c r="CVU51" s="1221"/>
      <c r="CVV51" s="1221"/>
      <c r="CVW51" s="1221"/>
      <c r="CVX51" s="1221"/>
      <c r="CVY51" s="1221"/>
      <c r="CVZ51" s="1221"/>
      <c r="CWA51" s="1221"/>
      <c r="CWB51" s="1221"/>
      <c r="CWC51" s="1221"/>
      <c r="CWD51" s="1221"/>
      <c r="CWE51" s="1221"/>
      <c r="CWF51" s="1221"/>
      <c r="CWG51" s="1221"/>
      <c r="CWH51" s="1221"/>
      <c r="CWI51" s="1221"/>
      <c r="CWJ51" s="1221"/>
      <c r="CWK51" s="1221"/>
      <c r="CWL51" s="1221"/>
      <c r="CWM51" s="1221"/>
      <c r="CWN51" s="1221"/>
      <c r="CWO51" s="1221"/>
      <c r="CWP51" s="1221"/>
      <c r="CWQ51" s="1221"/>
      <c r="CWR51" s="1221"/>
      <c r="CWS51" s="1221"/>
      <c r="CWT51" s="1221"/>
      <c r="CWU51" s="1221"/>
      <c r="CWV51" s="1221"/>
      <c r="CWW51" s="1221"/>
      <c r="CWX51" s="1221"/>
      <c r="CWY51" s="1221"/>
      <c r="CWZ51" s="1221"/>
      <c r="CXA51" s="1221"/>
      <c r="CXB51" s="1221"/>
      <c r="CXC51" s="1221"/>
      <c r="CXD51" s="1221"/>
      <c r="CXE51" s="1221"/>
      <c r="CXF51" s="1221"/>
      <c r="CXG51" s="1221"/>
      <c r="CXH51" s="1221"/>
      <c r="CXI51" s="1221"/>
      <c r="CXJ51" s="1221"/>
      <c r="CXK51" s="1221"/>
      <c r="CXL51" s="1221"/>
      <c r="CXM51" s="1221"/>
      <c r="CXN51" s="1221"/>
      <c r="CXO51" s="1221"/>
      <c r="CXP51" s="1221"/>
      <c r="CXQ51" s="1221"/>
      <c r="CXR51" s="1221"/>
      <c r="CXS51" s="1221"/>
      <c r="CXT51" s="1221"/>
      <c r="CXU51" s="1221"/>
      <c r="CXV51" s="1221"/>
      <c r="CXW51" s="1221"/>
      <c r="CXX51" s="1221"/>
      <c r="CXY51" s="1221"/>
      <c r="CXZ51" s="1221"/>
      <c r="CYA51" s="1221"/>
      <c r="CYB51" s="1221"/>
      <c r="CYC51" s="1221"/>
      <c r="CYD51" s="1221"/>
      <c r="CYE51" s="1221"/>
      <c r="CYF51" s="1221"/>
      <c r="CYG51" s="1221"/>
      <c r="CYH51" s="1221"/>
      <c r="CYI51" s="1221"/>
      <c r="CYJ51" s="1221"/>
      <c r="CYK51" s="1221"/>
      <c r="CYL51" s="1221"/>
      <c r="CYM51" s="1221"/>
      <c r="CYN51" s="1221"/>
      <c r="CYO51" s="1221"/>
      <c r="CYP51" s="1221"/>
      <c r="CYQ51" s="1221"/>
      <c r="CYR51" s="1221"/>
      <c r="CYS51" s="1221"/>
      <c r="CYT51" s="1221"/>
      <c r="CYU51" s="1221"/>
      <c r="CYV51" s="1221"/>
      <c r="CYW51" s="1221"/>
      <c r="CYX51" s="1221"/>
      <c r="CYY51" s="1221"/>
      <c r="CYZ51" s="1221"/>
      <c r="CZA51" s="1221"/>
      <c r="CZB51" s="1221"/>
      <c r="CZC51" s="1221"/>
      <c r="CZD51" s="1221"/>
      <c r="CZE51" s="1221"/>
      <c r="CZF51" s="1221"/>
      <c r="CZG51" s="1221"/>
      <c r="CZH51" s="1221"/>
      <c r="CZI51" s="1221"/>
      <c r="CZJ51" s="1221"/>
      <c r="CZK51" s="1221"/>
      <c r="CZL51" s="1221"/>
      <c r="CZM51" s="1221"/>
      <c r="CZN51" s="1221"/>
      <c r="CZO51" s="1221"/>
      <c r="CZP51" s="1221"/>
      <c r="CZQ51" s="1221"/>
      <c r="CZR51" s="1221"/>
      <c r="CZS51" s="1221"/>
      <c r="CZT51" s="1221"/>
      <c r="CZU51" s="1221"/>
      <c r="CZV51" s="1221"/>
      <c r="CZW51" s="1221"/>
      <c r="CZX51" s="1221"/>
      <c r="CZY51" s="1221"/>
      <c r="CZZ51" s="1221"/>
      <c r="DAA51" s="1221"/>
      <c r="DAB51" s="1221"/>
      <c r="DAC51" s="1221"/>
      <c r="DAD51" s="1221"/>
      <c r="DAE51" s="1221"/>
      <c r="DAF51" s="1221"/>
      <c r="DAG51" s="1221"/>
      <c r="DAH51" s="1221"/>
      <c r="DAI51" s="1221"/>
      <c r="DAJ51" s="1221"/>
      <c r="DAK51" s="1221"/>
      <c r="DAL51" s="1221"/>
      <c r="DAM51" s="1221"/>
      <c r="DAN51" s="1221"/>
      <c r="DAO51" s="1221"/>
      <c r="DAP51" s="1221"/>
      <c r="DAQ51" s="1221"/>
      <c r="DAR51" s="1221"/>
      <c r="DAS51" s="1221"/>
      <c r="DAT51" s="1221"/>
      <c r="DAU51" s="1221"/>
      <c r="DAV51" s="1221"/>
      <c r="DAW51" s="1221"/>
      <c r="DAX51" s="1221"/>
      <c r="DAY51" s="1221"/>
      <c r="DAZ51" s="1221"/>
      <c r="DBA51" s="1221"/>
      <c r="DBB51" s="1221"/>
      <c r="DBC51" s="1221"/>
      <c r="DBD51" s="1221"/>
      <c r="DBE51" s="1221"/>
      <c r="DBF51" s="1221"/>
      <c r="DBG51" s="1221"/>
      <c r="DBH51" s="1221"/>
      <c r="DBI51" s="1221"/>
      <c r="DBJ51" s="1221"/>
      <c r="DBK51" s="1221"/>
      <c r="DBL51" s="1221"/>
      <c r="DBM51" s="1221"/>
      <c r="DBN51" s="1221"/>
      <c r="DBO51" s="1221"/>
      <c r="DBP51" s="1221"/>
      <c r="DBQ51" s="1221"/>
      <c r="DBR51" s="1221"/>
      <c r="DBS51" s="1221"/>
      <c r="DBT51" s="1221"/>
      <c r="DBU51" s="1221"/>
      <c r="DBV51" s="1221"/>
      <c r="DBW51" s="1221"/>
      <c r="DBX51" s="1221"/>
      <c r="DBY51" s="1221"/>
      <c r="DBZ51" s="1221"/>
      <c r="DCA51" s="1221"/>
      <c r="DCB51" s="1221"/>
      <c r="DCC51" s="1221"/>
      <c r="DCD51" s="1221"/>
      <c r="DCE51" s="1221"/>
      <c r="DCF51" s="1221"/>
      <c r="DCG51" s="1221"/>
      <c r="DCH51" s="1221"/>
      <c r="DCI51" s="1221"/>
      <c r="DCJ51" s="1221"/>
      <c r="DCK51" s="1221"/>
      <c r="DCL51" s="1221"/>
      <c r="DCM51" s="1221"/>
      <c r="DCN51" s="1221"/>
      <c r="DCO51" s="1221"/>
      <c r="DCP51" s="1221"/>
      <c r="DCQ51" s="1221"/>
      <c r="DCR51" s="1221"/>
      <c r="DCS51" s="1221"/>
      <c r="DCT51" s="1221"/>
      <c r="DCU51" s="1221"/>
      <c r="DCV51" s="1221"/>
      <c r="DCW51" s="1221"/>
      <c r="DCX51" s="1221"/>
      <c r="DCY51" s="1221"/>
      <c r="DCZ51" s="1221"/>
      <c r="DDA51" s="1221"/>
      <c r="DDB51" s="1221"/>
      <c r="DDC51" s="1221"/>
      <c r="DDD51" s="1221"/>
      <c r="DDE51" s="1221"/>
      <c r="DDF51" s="1221"/>
      <c r="DDG51" s="1221"/>
      <c r="DDH51" s="1221"/>
      <c r="DDI51" s="1221"/>
      <c r="DDJ51" s="1221"/>
      <c r="DDK51" s="1221"/>
      <c r="DDL51" s="1221"/>
      <c r="DDM51" s="1221"/>
      <c r="DDN51" s="1221"/>
      <c r="DDO51" s="1221"/>
      <c r="DDP51" s="1221"/>
      <c r="DDQ51" s="1221"/>
      <c r="DDR51" s="1221"/>
      <c r="DDS51" s="1221"/>
      <c r="DDT51" s="1221"/>
      <c r="DDU51" s="1221"/>
      <c r="DDV51" s="1221"/>
      <c r="DDW51" s="1221"/>
      <c r="DDX51" s="1221"/>
      <c r="DDY51" s="1221"/>
      <c r="DDZ51" s="1221"/>
      <c r="DEA51" s="1221"/>
      <c r="DEB51" s="1221"/>
      <c r="DEC51" s="1221"/>
      <c r="DED51" s="1221"/>
      <c r="DEE51" s="1221"/>
      <c r="DEF51" s="1221"/>
      <c r="DEG51" s="1221"/>
      <c r="DEH51" s="1221"/>
      <c r="DEI51" s="1221"/>
      <c r="DEJ51" s="1221"/>
      <c r="DEK51" s="1221"/>
      <c r="DEL51" s="1221"/>
      <c r="DEM51" s="1221"/>
      <c r="DEN51" s="1221"/>
      <c r="DEO51" s="1221"/>
      <c r="DEP51" s="1221"/>
      <c r="DEQ51" s="1221"/>
      <c r="DER51" s="1221"/>
      <c r="DES51" s="1221"/>
      <c r="DET51" s="1221"/>
      <c r="DEU51" s="1221"/>
      <c r="DEV51" s="1221"/>
      <c r="DEW51" s="1221"/>
      <c r="DEX51" s="1221"/>
      <c r="DEY51" s="1221"/>
      <c r="DEZ51" s="1221"/>
      <c r="DFA51" s="1221"/>
      <c r="DFB51" s="1221"/>
      <c r="DFC51" s="1221"/>
      <c r="DFD51" s="1221"/>
      <c r="DFE51" s="1221"/>
      <c r="DFF51" s="1221"/>
      <c r="DFG51" s="1221"/>
      <c r="DFH51" s="1221"/>
      <c r="DFI51" s="1221"/>
      <c r="DFJ51" s="1221"/>
      <c r="DFK51" s="1221"/>
      <c r="DFL51" s="1221"/>
      <c r="DFM51" s="1221"/>
      <c r="DFN51" s="1221"/>
      <c r="DFO51" s="1221"/>
      <c r="DFP51" s="1221"/>
      <c r="DFQ51" s="1221"/>
      <c r="DFR51" s="1221"/>
      <c r="DFS51" s="1221"/>
      <c r="DFT51" s="1221"/>
      <c r="DFU51" s="1221"/>
      <c r="DFV51" s="1221"/>
      <c r="DFW51" s="1221"/>
      <c r="DFX51" s="1221"/>
      <c r="DFY51" s="1221"/>
      <c r="DFZ51" s="1221"/>
      <c r="DGA51" s="1221"/>
      <c r="DGB51" s="1221"/>
      <c r="DGC51" s="1221"/>
      <c r="DGD51" s="1221"/>
      <c r="DGE51" s="1221"/>
      <c r="DGF51" s="1221"/>
      <c r="DGG51" s="1221"/>
      <c r="DGH51" s="1221"/>
      <c r="DGI51" s="1221"/>
      <c r="DGJ51" s="1221"/>
      <c r="DGK51" s="1221"/>
      <c r="DGL51" s="1221"/>
      <c r="DGM51" s="1221"/>
      <c r="DGN51" s="1221"/>
      <c r="DGO51" s="1221"/>
      <c r="DGP51" s="1221"/>
      <c r="DGQ51" s="1221"/>
      <c r="DGR51" s="1221"/>
      <c r="DGS51" s="1221"/>
      <c r="DGT51" s="1221"/>
      <c r="DGU51" s="1221"/>
      <c r="DGV51" s="1221"/>
      <c r="DGW51" s="1221"/>
      <c r="DGX51" s="1221"/>
      <c r="DGY51" s="1221"/>
      <c r="DGZ51" s="1221"/>
      <c r="DHA51" s="1221"/>
      <c r="DHB51" s="1221"/>
      <c r="DHC51" s="1221"/>
      <c r="DHD51" s="1221"/>
      <c r="DHE51" s="1221"/>
      <c r="DHF51" s="1221"/>
      <c r="DHG51" s="1221"/>
      <c r="DHH51" s="1221"/>
      <c r="DHI51" s="1221"/>
      <c r="DHJ51" s="1221"/>
      <c r="DHK51" s="1221"/>
      <c r="DHL51" s="1221"/>
      <c r="DHM51" s="1221"/>
      <c r="DHN51" s="1221"/>
      <c r="DHO51" s="1221"/>
      <c r="DHP51" s="1221"/>
      <c r="DHQ51" s="1221"/>
      <c r="DHR51" s="1221"/>
      <c r="DHS51" s="1221"/>
      <c r="DHT51" s="1221"/>
      <c r="DHU51" s="1221"/>
      <c r="DHV51" s="1221"/>
      <c r="DHW51" s="1221"/>
      <c r="DHX51" s="1221"/>
      <c r="DHY51" s="1221"/>
      <c r="DHZ51" s="1221"/>
      <c r="DIA51" s="1221"/>
      <c r="DIB51" s="1221"/>
      <c r="DIC51" s="1221"/>
      <c r="DID51" s="1221"/>
      <c r="DIE51" s="1221"/>
      <c r="DIF51" s="1221"/>
      <c r="DIG51" s="1221"/>
      <c r="DIH51" s="1221"/>
      <c r="DII51" s="1221"/>
      <c r="DIJ51" s="1221"/>
      <c r="DIK51" s="1221"/>
      <c r="DIL51" s="1221"/>
      <c r="DIM51" s="1221"/>
      <c r="DIN51" s="1221"/>
      <c r="DIO51" s="1221"/>
      <c r="DIP51" s="1221"/>
      <c r="DIQ51" s="1221"/>
      <c r="DIR51" s="1221"/>
      <c r="DIS51" s="1221"/>
      <c r="DIT51" s="1221"/>
      <c r="DIU51" s="1221"/>
      <c r="DIV51" s="1221"/>
      <c r="DIW51" s="1221"/>
      <c r="DIX51" s="1221"/>
      <c r="DIY51" s="1221"/>
      <c r="DIZ51" s="1221"/>
      <c r="DJA51" s="1221"/>
      <c r="DJB51" s="1221"/>
      <c r="DJC51" s="1221"/>
      <c r="DJD51" s="1221"/>
      <c r="DJE51" s="1221"/>
      <c r="DJF51" s="1221"/>
      <c r="DJG51" s="1221"/>
      <c r="DJH51" s="1221"/>
      <c r="DJI51" s="1221"/>
      <c r="DJJ51" s="1221"/>
      <c r="DJK51" s="1221"/>
      <c r="DJL51" s="1221"/>
      <c r="DJM51" s="1221"/>
      <c r="DJN51" s="1221"/>
      <c r="DJO51" s="1221"/>
      <c r="DJP51" s="1221"/>
      <c r="DJQ51" s="1221"/>
      <c r="DJR51" s="1221"/>
      <c r="DJS51" s="1221"/>
      <c r="DJT51" s="1221"/>
      <c r="DJU51" s="1221"/>
      <c r="DJV51" s="1221"/>
      <c r="DJW51" s="1221"/>
      <c r="DJX51" s="1221"/>
      <c r="DJY51" s="1221"/>
      <c r="DJZ51" s="1221"/>
      <c r="DKA51" s="1221"/>
      <c r="DKB51" s="1221"/>
      <c r="DKC51" s="1221"/>
      <c r="DKD51" s="1221"/>
      <c r="DKE51" s="1221"/>
      <c r="DKF51" s="1221"/>
      <c r="DKG51" s="1221"/>
      <c r="DKH51" s="1221"/>
      <c r="DKI51" s="1221"/>
      <c r="DKJ51" s="1221"/>
      <c r="DKK51" s="1221"/>
      <c r="DKL51" s="1221"/>
      <c r="DKM51" s="1221"/>
      <c r="DKN51" s="1221"/>
      <c r="DKO51" s="1221"/>
      <c r="DKP51" s="1221"/>
      <c r="DKQ51" s="1221"/>
      <c r="DKR51" s="1221"/>
      <c r="DKS51" s="1221"/>
      <c r="DKT51" s="1221"/>
      <c r="DKU51" s="1221"/>
      <c r="DKV51" s="1221"/>
      <c r="DKW51" s="1221"/>
      <c r="DKX51" s="1221"/>
      <c r="DKY51" s="1221"/>
      <c r="DKZ51" s="1221"/>
      <c r="DLA51" s="1221"/>
      <c r="DLB51" s="1221"/>
      <c r="DLC51" s="1221"/>
      <c r="DLD51" s="1221"/>
      <c r="DLE51" s="1221"/>
      <c r="DLF51" s="1221"/>
      <c r="DLG51" s="1221"/>
      <c r="DLH51" s="1221"/>
      <c r="DLI51" s="1221"/>
      <c r="DLJ51" s="1221"/>
      <c r="DLK51" s="1221"/>
      <c r="DLL51" s="1221"/>
      <c r="DLM51" s="1221"/>
      <c r="DLN51" s="1221"/>
      <c r="DLO51" s="1221"/>
      <c r="DLP51" s="1221"/>
      <c r="DLQ51" s="1221"/>
      <c r="DLR51" s="1221"/>
      <c r="DLS51" s="1221"/>
      <c r="DLT51" s="1221"/>
      <c r="DLU51" s="1221"/>
      <c r="DLV51" s="1221"/>
      <c r="DLW51" s="1221"/>
      <c r="DLX51" s="1221"/>
      <c r="DLY51" s="1221"/>
      <c r="DLZ51" s="1221"/>
      <c r="DMA51" s="1221"/>
      <c r="DMB51" s="1221"/>
      <c r="DMC51" s="1221"/>
      <c r="DMD51" s="1221"/>
      <c r="DME51" s="1221"/>
      <c r="DMF51" s="1221"/>
      <c r="DMG51" s="1221"/>
      <c r="DMH51" s="1221"/>
      <c r="DMI51" s="1221"/>
      <c r="DMJ51" s="1221"/>
      <c r="DMK51" s="1221"/>
      <c r="DML51" s="1221"/>
      <c r="DMM51" s="1221"/>
      <c r="DMN51" s="1221"/>
      <c r="DMO51" s="1221"/>
      <c r="DMP51" s="1221"/>
      <c r="DMQ51" s="1221"/>
      <c r="DMR51" s="1221"/>
      <c r="DMS51" s="1221"/>
      <c r="DMT51" s="1221"/>
      <c r="DMU51" s="1221"/>
      <c r="DMV51" s="1221"/>
      <c r="DMW51" s="1221"/>
      <c r="DMX51" s="1221"/>
      <c r="DMY51" s="1221"/>
      <c r="DMZ51" s="1221"/>
      <c r="DNA51" s="1221"/>
      <c r="DNB51" s="1221"/>
      <c r="DNC51" s="1221"/>
      <c r="DND51" s="1221"/>
      <c r="DNE51" s="1221"/>
      <c r="DNF51" s="1221"/>
      <c r="DNG51" s="1221"/>
      <c r="DNH51" s="1221"/>
      <c r="DNI51" s="1221"/>
      <c r="DNJ51" s="1221"/>
      <c r="DNK51" s="1221"/>
      <c r="DNL51" s="1221"/>
      <c r="DNM51" s="1221"/>
      <c r="DNN51" s="1221"/>
      <c r="DNO51" s="1221"/>
      <c r="DNP51" s="1221"/>
      <c r="DNQ51" s="1221"/>
      <c r="DNR51" s="1221"/>
      <c r="DNS51" s="1221"/>
      <c r="DNT51" s="1221"/>
      <c r="DNU51" s="1221"/>
      <c r="DNV51" s="1221"/>
      <c r="DNW51" s="1221"/>
      <c r="DNX51" s="1221"/>
      <c r="DNY51" s="1221"/>
      <c r="DNZ51" s="1221"/>
      <c r="DOA51" s="1221"/>
      <c r="DOB51" s="1221"/>
      <c r="DOC51" s="1221"/>
      <c r="DOD51" s="1221"/>
      <c r="DOE51" s="1221"/>
      <c r="DOF51" s="1221"/>
      <c r="DOG51" s="1221"/>
      <c r="DOH51" s="1221"/>
      <c r="DOI51" s="1221"/>
      <c r="DOJ51" s="1221"/>
      <c r="DOK51" s="1221"/>
      <c r="DOL51" s="1221"/>
      <c r="DOM51" s="1221"/>
      <c r="DON51" s="1221"/>
      <c r="DOO51" s="1221"/>
      <c r="DOP51" s="1221"/>
      <c r="DOQ51" s="1221"/>
      <c r="DOR51" s="1221"/>
      <c r="DOS51" s="1221"/>
      <c r="DOT51" s="1221"/>
      <c r="DOU51" s="1221"/>
      <c r="DOV51" s="1221"/>
      <c r="DOW51" s="1221"/>
      <c r="DOX51" s="1221"/>
      <c r="DOY51" s="1221"/>
      <c r="DOZ51" s="1221"/>
      <c r="DPA51" s="1221"/>
      <c r="DPB51" s="1221"/>
      <c r="DPC51" s="1221"/>
      <c r="DPD51" s="1221"/>
      <c r="DPE51" s="1221"/>
      <c r="DPF51" s="1221"/>
      <c r="DPG51" s="1221"/>
      <c r="DPH51" s="1221"/>
      <c r="DPI51" s="1221"/>
      <c r="DPJ51" s="1221"/>
      <c r="DPK51" s="1221"/>
      <c r="DPL51" s="1221"/>
      <c r="DPM51" s="1221"/>
      <c r="DPN51" s="1221"/>
      <c r="DPO51" s="1221"/>
      <c r="DPP51" s="1221"/>
      <c r="DPQ51" s="1221"/>
      <c r="DPR51" s="1221"/>
      <c r="DPS51" s="1221"/>
      <c r="DPT51" s="1221"/>
      <c r="DPU51" s="1221"/>
      <c r="DPV51" s="1221"/>
      <c r="DPW51" s="1221"/>
      <c r="DPX51" s="1221"/>
      <c r="DPY51" s="1221"/>
      <c r="DPZ51" s="1221"/>
      <c r="DQA51" s="1221"/>
      <c r="DQB51" s="1221"/>
      <c r="DQC51" s="1221"/>
      <c r="DQD51" s="1221"/>
      <c r="DQE51" s="1221"/>
      <c r="DQF51" s="1221"/>
      <c r="DQG51" s="1221"/>
      <c r="DQH51" s="1221"/>
      <c r="DQI51" s="1221"/>
      <c r="DQJ51" s="1221"/>
      <c r="DQK51" s="1221"/>
      <c r="DQL51" s="1221"/>
      <c r="DQM51" s="1221"/>
      <c r="DQN51" s="1221"/>
      <c r="DQO51" s="1221"/>
      <c r="DQP51" s="1221"/>
      <c r="DQQ51" s="1221"/>
      <c r="DQR51" s="1221"/>
      <c r="DQS51" s="1221"/>
      <c r="DQT51" s="1221"/>
      <c r="DQU51" s="1221"/>
      <c r="DQV51" s="1221"/>
      <c r="DQW51" s="1221"/>
      <c r="DQX51" s="1221"/>
      <c r="DQY51" s="1221"/>
      <c r="DQZ51" s="1221"/>
      <c r="DRA51" s="1221"/>
      <c r="DRB51" s="1221"/>
      <c r="DRC51" s="1221"/>
      <c r="DRD51" s="1221"/>
      <c r="DRE51" s="1221"/>
      <c r="DRF51" s="1221"/>
      <c r="DRG51" s="1221"/>
      <c r="DRH51" s="1221"/>
      <c r="DRI51" s="1221"/>
      <c r="DRJ51" s="1221"/>
      <c r="DRK51" s="1221"/>
      <c r="DRL51" s="1221"/>
      <c r="DRM51" s="1221"/>
      <c r="DRN51" s="1221"/>
      <c r="DRO51" s="1221"/>
      <c r="DRP51" s="1221"/>
      <c r="DRQ51" s="1221"/>
      <c r="DRR51" s="1221"/>
      <c r="DRS51" s="1221"/>
      <c r="DRT51" s="1221"/>
      <c r="DRU51" s="1221"/>
      <c r="DRV51" s="1221"/>
      <c r="DRW51" s="1221"/>
      <c r="DRX51" s="1221"/>
      <c r="DRY51" s="1221"/>
      <c r="DRZ51" s="1221"/>
      <c r="DSA51" s="1221"/>
      <c r="DSB51" s="1221"/>
      <c r="DSC51" s="1221"/>
      <c r="DSD51" s="1221"/>
      <c r="DSE51" s="1221"/>
      <c r="DSF51" s="1221"/>
      <c r="DSG51" s="1221"/>
      <c r="DSH51" s="1221"/>
      <c r="DSI51" s="1221"/>
      <c r="DSJ51" s="1221"/>
      <c r="DSK51" s="1221"/>
      <c r="DSL51" s="1221"/>
      <c r="DSM51" s="1221"/>
      <c r="DSN51" s="1221"/>
      <c r="DSO51" s="1221"/>
      <c r="DSP51" s="1221"/>
      <c r="DSQ51" s="1221"/>
      <c r="DSR51" s="1221"/>
      <c r="DSS51" s="1221"/>
      <c r="DST51" s="1221"/>
      <c r="DSU51" s="1221"/>
      <c r="DSV51" s="1221"/>
      <c r="DSW51" s="1221"/>
      <c r="DSX51" s="1221"/>
      <c r="DSY51" s="1221"/>
      <c r="DSZ51" s="1221"/>
      <c r="DTA51" s="1221"/>
      <c r="DTB51" s="1221"/>
      <c r="DTC51" s="1221"/>
      <c r="DTD51" s="1221"/>
      <c r="DTE51" s="1221"/>
      <c r="DTF51" s="1221"/>
      <c r="DTG51" s="1221"/>
      <c r="DTH51" s="1221"/>
      <c r="DTI51" s="1221"/>
      <c r="DTJ51" s="1221"/>
      <c r="DTK51" s="1221"/>
      <c r="DTL51" s="1221"/>
      <c r="DTM51" s="1221"/>
      <c r="DTN51" s="1221"/>
      <c r="DTO51" s="1221"/>
      <c r="DTP51" s="1221"/>
      <c r="DTQ51" s="1221"/>
      <c r="DTR51" s="1221"/>
      <c r="DTS51" s="1221"/>
      <c r="DTT51" s="1221"/>
      <c r="DTU51" s="1221"/>
      <c r="DTV51" s="1221"/>
      <c r="DTW51" s="1221"/>
      <c r="DTX51" s="1221"/>
      <c r="DTY51" s="1221"/>
      <c r="DTZ51" s="1221"/>
      <c r="DUA51" s="1221"/>
      <c r="DUB51" s="1221"/>
      <c r="DUC51" s="1221"/>
      <c r="DUD51" s="1221"/>
      <c r="DUE51" s="1221"/>
      <c r="DUF51" s="1221"/>
      <c r="DUG51" s="1221"/>
      <c r="DUH51" s="1221"/>
      <c r="DUI51" s="1221"/>
      <c r="DUJ51" s="1221"/>
      <c r="DUK51" s="1221"/>
      <c r="DUL51" s="1221"/>
      <c r="DUM51" s="1221"/>
      <c r="DUN51" s="1221"/>
      <c r="DUO51" s="1221"/>
      <c r="DUP51" s="1221"/>
      <c r="DUQ51" s="1221"/>
      <c r="DUR51" s="1221"/>
      <c r="DUS51" s="1221"/>
      <c r="DUT51" s="1221"/>
      <c r="DUU51" s="1221"/>
      <c r="DUV51" s="1221"/>
      <c r="DUW51" s="1221"/>
      <c r="DUX51" s="1221"/>
      <c r="DUY51" s="1221"/>
      <c r="DUZ51" s="1221"/>
      <c r="DVA51" s="1221"/>
      <c r="DVB51" s="1221"/>
      <c r="DVC51" s="1221"/>
      <c r="DVD51" s="1221"/>
      <c r="DVE51" s="1221"/>
      <c r="DVF51" s="1221"/>
      <c r="DVG51" s="1221"/>
      <c r="DVH51" s="1221"/>
      <c r="DVI51" s="1221"/>
      <c r="DVJ51" s="1221"/>
      <c r="DVK51" s="1221"/>
      <c r="DVL51" s="1221"/>
      <c r="DVM51" s="1221"/>
      <c r="DVN51" s="1221"/>
      <c r="DVO51" s="1221"/>
      <c r="DVP51" s="1221"/>
      <c r="DVQ51" s="1221"/>
      <c r="DVR51" s="1221"/>
      <c r="DVS51" s="1221"/>
      <c r="DVT51" s="1221"/>
      <c r="DVU51" s="1221"/>
      <c r="DVV51" s="1221"/>
      <c r="DVW51" s="1221"/>
      <c r="DVX51" s="1221"/>
      <c r="DVY51" s="1221"/>
      <c r="DVZ51" s="1221"/>
      <c r="DWA51" s="1221"/>
      <c r="DWB51" s="1221"/>
      <c r="DWC51" s="1221"/>
      <c r="DWD51" s="1221"/>
      <c r="DWE51" s="1221"/>
      <c r="DWF51" s="1221"/>
      <c r="DWG51" s="1221"/>
      <c r="DWH51" s="1221"/>
      <c r="DWI51" s="1221"/>
      <c r="DWJ51" s="1221"/>
      <c r="DWK51" s="1221"/>
      <c r="DWL51" s="1221"/>
      <c r="DWM51" s="1221"/>
      <c r="DWN51" s="1221"/>
      <c r="DWO51" s="1221"/>
      <c r="DWP51" s="1221"/>
      <c r="DWQ51" s="1221"/>
      <c r="DWR51" s="1221"/>
      <c r="DWS51" s="1221"/>
      <c r="DWT51" s="1221"/>
      <c r="DWU51" s="1221"/>
      <c r="DWV51" s="1221"/>
      <c r="DWW51" s="1221"/>
      <c r="DWX51" s="1221"/>
      <c r="DWY51" s="1221"/>
      <c r="DWZ51" s="1221"/>
      <c r="DXA51" s="1221"/>
      <c r="DXB51" s="1221"/>
      <c r="DXC51" s="1221"/>
      <c r="DXD51" s="1221"/>
      <c r="DXE51" s="1221"/>
      <c r="DXF51" s="1221"/>
      <c r="DXG51" s="1221"/>
      <c r="DXH51" s="1221"/>
      <c r="DXI51" s="1221"/>
      <c r="DXJ51" s="1221"/>
      <c r="DXK51" s="1221"/>
      <c r="DXL51" s="1221"/>
      <c r="DXM51" s="1221"/>
      <c r="DXN51" s="1221"/>
      <c r="DXO51" s="1221"/>
      <c r="DXP51" s="1221"/>
      <c r="DXQ51" s="1221"/>
      <c r="DXR51" s="1221"/>
      <c r="DXS51" s="1221"/>
      <c r="DXT51" s="1221"/>
      <c r="DXU51" s="1221"/>
      <c r="DXV51" s="1221"/>
      <c r="DXW51" s="1221"/>
      <c r="DXX51" s="1221"/>
      <c r="DXY51" s="1221"/>
      <c r="DXZ51" s="1221"/>
      <c r="DYA51" s="1221"/>
      <c r="DYB51" s="1221"/>
      <c r="DYC51" s="1221"/>
      <c r="DYD51" s="1221"/>
      <c r="DYE51" s="1221"/>
      <c r="DYF51" s="1221"/>
      <c r="DYG51" s="1221"/>
      <c r="DYH51" s="1221"/>
      <c r="DYI51" s="1221"/>
      <c r="DYJ51" s="1221"/>
      <c r="DYK51" s="1221"/>
      <c r="DYL51" s="1221"/>
      <c r="DYM51" s="1221"/>
      <c r="DYN51" s="1221"/>
      <c r="DYO51" s="1221"/>
      <c r="DYP51" s="1221"/>
      <c r="DYQ51" s="1221"/>
      <c r="DYR51" s="1221"/>
      <c r="DYS51" s="1221"/>
      <c r="DYT51" s="1221"/>
      <c r="DYU51" s="1221"/>
      <c r="DYV51" s="1221"/>
      <c r="DYW51" s="1221"/>
      <c r="DYX51" s="1221"/>
      <c r="DYY51" s="1221"/>
      <c r="DYZ51" s="1221"/>
      <c r="DZA51" s="1221"/>
      <c r="DZB51" s="1221"/>
      <c r="DZC51" s="1221"/>
      <c r="DZD51" s="1221"/>
      <c r="DZE51" s="1221"/>
      <c r="DZF51" s="1221"/>
      <c r="DZG51" s="1221"/>
      <c r="DZH51" s="1221"/>
      <c r="DZI51" s="1221"/>
      <c r="DZJ51" s="1221"/>
      <c r="DZK51" s="1221"/>
      <c r="DZL51" s="1221"/>
      <c r="DZM51" s="1221"/>
      <c r="DZN51" s="1221"/>
      <c r="DZO51" s="1221"/>
      <c r="DZP51" s="1221"/>
      <c r="DZQ51" s="1221"/>
      <c r="DZR51" s="1221"/>
      <c r="DZS51" s="1221"/>
      <c r="DZT51" s="1221"/>
      <c r="DZU51" s="1221"/>
      <c r="DZV51" s="1221"/>
      <c r="DZW51" s="1221"/>
      <c r="DZX51" s="1221"/>
      <c r="DZY51" s="1221"/>
      <c r="DZZ51" s="1221"/>
      <c r="EAA51" s="1221"/>
      <c r="EAB51" s="1221"/>
      <c r="EAC51" s="1221"/>
      <c r="EAD51" s="1221"/>
      <c r="EAE51" s="1221"/>
      <c r="EAF51" s="1221"/>
      <c r="EAG51" s="1221"/>
      <c r="EAH51" s="1221"/>
      <c r="EAI51" s="1221"/>
      <c r="EAJ51" s="1221"/>
      <c r="EAK51" s="1221"/>
      <c r="EAL51" s="1221"/>
      <c r="EAM51" s="1221"/>
      <c r="EAN51" s="1221"/>
      <c r="EAO51" s="1221"/>
      <c r="EAP51" s="1221"/>
      <c r="EAQ51" s="1221"/>
      <c r="EAR51" s="1221"/>
      <c r="EAS51" s="1221"/>
      <c r="EAT51" s="1221"/>
      <c r="EAU51" s="1221"/>
      <c r="EAV51" s="1221"/>
      <c r="EAW51" s="1221"/>
      <c r="EAX51" s="1221"/>
      <c r="EAY51" s="1221"/>
      <c r="EAZ51" s="1221"/>
      <c r="EBA51" s="1221"/>
      <c r="EBB51" s="1221"/>
      <c r="EBC51" s="1221"/>
      <c r="EBD51" s="1221"/>
      <c r="EBE51" s="1221"/>
      <c r="EBF51" s="1221"/>
      <c r="EBG51" s="1221"/>
      <c r="EBH51" s="1221"/>
      <c r="EBI51" s="1221"/>
      <c r="EBJ51" s="1221"/>
      <c r="EBK51" s="1221"/>
      <c r="EBL51" s="1221"/>
      <c r="EBM51" s="1221"/>
      <c r="EBN51" s="1221"/>
      <c r="EBO51" s="1221"/>
      <c r="EBP51" s="1221"/>
      <c r="EBQ51" s="1221"/>
      <c r="EBR51" s="1221"/>
      <c r="EBS51" s="1221"/>
      <c r="EBT51" s="1221"/>
      <c r="EBU51" s="1221"/>
      <c r="EBV51" s="1221"/>
      <c r="EBW51" s="1221"/>
      <c r="EBX51" s="1221"/>
      <c r="EBY51" s="1221"/>
      <c r="EBZ51" s="1221"/>
      <c r="ECA51" s="1221"/>
      <c r="ECB51" s="1221"/>
      <c r="ECC51" s="1221"/>
      <c r="ECD51" s="1221"/>
      <c r="ECE51" s="1221"/>
      <c r="ECF51" s="1221"/>
      <c r="ECG51" s="1221"/>
      <c r="ECH51" s="1221"/>
      <c r="ECI51" s="1221"/>
      <c r="ECJ51" s="1221"/>
      <c r="ECK51" s="1221"/>
      <c r="ECL51" s="1221"/>
      <c r="ECM51" s="1221"/>
      <c r="ECN51" s="1221"/>
      <c r="ECO51" s="1221"/>
    </row>
    <row r="52" spans="2:3473" s="1248" customFormat="1" ht="13" outlineLevel="1">
      <c r="B52" s="1249"/>
      <c r="C52" s="1250">
        <v>2</v>
      </c>
      <c r="D52" s="1251" t="s">
        <v>30</v>
      </c>
      <c r="E52" s="1278"/>
      <c r="F52" s="1279"/>
      <c r="G52" s="1279"/>
      <c r="H52" s="1279"/>
      <c r="I52" s="1279"/>
      <c r="J52" s="1279"/>
      <c r="K52" s="1278"/>
      <c r="L52" s="1279"/>
      <c r="M52" s="1278"/>
      <c r="N52" s="1278"/>
      <c r="O52" s="1279"/>
      <c r="P52" s="1279"/>
      <c r="Q52" s="1278"/>
      <c r="R52" s="1279"/>
      <c r="S52" s="1279"/>
      <c r="T52" s="1278"/>
      <c r="U52" s="1279"/>
      <c r="V52" s="1279"/>
      <c r="W52" s="1278"/>
      <c r="X52" s="1279"/>
      <c r="Y52" s="1279"/>
      <c r="Z52" s="1278"/>
      <c r="AA52" s="1278"/>
      <c r="AB52" s="1278"/>
      <c r="AC52" s="1278"/>
      <c r="AD52" s="1256"/>
      <c r="AE52" s="1280"/>
      <c r="AF52" s="1254"/>
      <c r="AG52" s="1255"/>
      <c r="AH52" s="1255"/>
      <c r="AI52" s="1256"/>
      <c r="AJ52" s="1256"/>
      <c r="AK52" s="1256"/>
      <c r="AL52" s="1256"/>
      <c r="AM52" s="1256"/>
      <c r="AN52" s="1256"/>
      <c r="AO52" s="1256"/>
      <c r="AP52" s="1256"/>
      <c r="AQ52" s="1256"/>
      <c r="AR52" s="1256"/>
      <c r="AS52" s="1256"/>
      <c r="AT52" s="1256"/>
      <c r="AU52" s="1256"/>
      <c r="AV52" s="1256"/>
      <c r="AW52" s="1256"/>
      <c r="AX52" s="1256"/>
      <c r="AY52" s="1256"/>
      <c r="AZ52" s="1256"/>
      <c r="BA52" s="1256"/>
      <c r="BB52" s="1256"/>
      <c r="BC52" s="1256"/>
      <c r="BD52" s="1256"/>
      <c r="BE52" s="1256"/>
      <c r="BF52" s="1256"/>
      <c r="BG52" s="1256"/>
      <c r="BH52" s="1256"/>
      <c r="BI52" s="1256"/>
      <c r="BJ52" s="1257"/>
      <c r="BK52" s="1257"/>
      <c r="BL52" s="1257"/>
      <c r="BM52" s="1262"/>
      <c r="BN52" s="1225"/>
      <c r="BO52" s="1225"/>
      <c r="BP52" s="1225"/>
      <c r="BQ52" s="1225"/>
      <c r="BR52" s="1221"/>
      <c r="BS52" s="1221"/>
      <c r="BT52" s="1221"/>
      <c r="BU52" s="1221"/>
      <c r="BV52" s="1221"/>
      <c r="BW52" s="1221"/>
      <c r="BX52" s="1221"/>
      <c r="BY52" s="1221"/>
      <c r="BZ52" s="1221"/>
      <c r="CA52" s="1221"/>
      <c r="CB52" s="1221"/>
      <c r="CC52" s="1221"/>
      <c r="CD52" s="1221"/>
      <c r="CE52" s="1221"/>
      <c r="CF52" s="1221"/>
      <c r="CG52" s="1221"/>
      <c r="CH52" s="1221"/>
      <c r="CI52" s="1221"/>
      <c r="CJ52" s="1221"/>
      <c r="CK52" s="1221"/>
      <c r="CL52" s="1221"/>
      <c r="CM52" s="1221"/>
      <c r="CN52" s="1221"/>
      <c r="CO52" s="1221"/>
      <c r="CP52" s="1221"/>
      <c r="CQ52" s="1221"/>
      <c r="CR52" s="1221"/>
      <c r="CS52" s="1221"/>
      <c r="CT52" s="1221"/>
      <c r="CU52" s="1221"/>
      <c r="CV52" s="1221"/>
      <c r="CW52" s="1221"/>
      <c r="CX52" s="1221"/>
      <c r="CY52" s="1221"/>
      <c r="CZ52" s="1221"/>
      <c r="DA52" s="1221"/>
      <c r="DB52" s="1221"/>
      <c r="DC52" s="1221"/>
      <c r="DD52" s="1221"/>
      <c r="DE52" s="1221"/>
      <c r="DF52" s="1221"/>
      <c r="DG52" s="1221"/>
      <c r="DH52" s="1221"/>
      <c r="DI52" s="1221"/>
      <c r="DJ52" s="1221"/>
      <c r="DK52" s="1221"/>
      <c r="DL52" s="1221"/>
      <c r="DM52" s="1221"/>
      <c r="DN52" s="1221"/>
      <c r="DO52" s="1221"/>
      <c r="DP52" s="1221"/>
      <c r="DQ52" s="1221"/>
      <c r="DR52" s="1221"/>
      <c r="DS52" s="1221"/>
      <c r="DT52" s="1221"/>
      <c r="DU52" s="1221"/>
      <c r="DV52" s="1221"/>
      <c r="DW52" s="1221"/>
      <c r="DX52" s="1221"/>
      <c r="DY52" s="1221"/>
      <c r="DZ52" s="1221"/>
      <c r="EA52" s="1221"/>
      <c r="EB52" s="1221"/>
      <c r="EC52" s="1221"/>
      <c r="ED52" s="1221"/>
      <c r="EE52" s="1221"/>
      <c r="EF52" s="1221"/>
      <c r="EG52" s="1221"/>
      <c r="EH52" s="1221"/>
      <c r="EI52" s="1221"/>
      <c r="EJ52" s="1221"/>
      <c r="EK52" s="1221"/>
      <c r="EL52" s="1221"/>
      <c r="EM52" s="1221"/>
      <c r="EN52" s="1221"/>
      <c r="EO52" s="1221"/>
      <c r="EP52" s="1221"/>
      <c r="EQ52" s="1221"/>
      <c r="ER52" s="1221"/>
      <c r="ES52" s="1221"/>
      <c r="ET52" s="1221"/>
      <c r="EU52" s="1221"/>
      <c r="EV52" s="1221"/>
      <c r="EW52" s="1221"/>
      <c r="EX52" s="1221"/>
      <c r="EY52" s="1221"/>
      <c r="EZ52" s="1221"/>
      <c r="FA52" s="1221"/>
      <c r="FB52" s="1221"/>
      <c r="FC52" s="1221"/>
      <c r="FD52" s="1221"/>
      <c r="FE52" s="1221"/>
      <c r="FF52" s="1221"/>
      <c r="FG52" s="1221"/>
      <c r="FH52" s="1221"/>
      <c r="FI52" s="1221"/>
      <c r="FJ52" s="1221"/>
      <c r="FK52" s="1221"/>
      <c r="FL52" s="1221"/>
      <c r="FM52" s="1221"/>
      <c r="FN52" s="1221"/>
      <c r="FO52" s="1221"/>
      <c r="FP52" s="1221"/>
      <c r="FQ52" s="1221"/>
      <c r="FR52" s="1221"/>
      <c r="FS52" s="1221"/>
      <c r="FT52" s="1221"/>
      <c r="FU52" s="1221"/>
      <c r="FV52" s="1221"/>
      <c r="FW52" s="1221"/>
      <c r="FX52" s="1221"/>
      <c r="FY52" s="1221"/>
      <c r="FZ52" s="1221"/>
      <c r="GA52" s="1221"/>
      <c r="GB52" s="1221"/>
      <c r="GC52" s="1221"/>
      <c r="GD52" s="1221"/>
      <c r="GE52" s="1221"/>
      <c r="GF52" s="1221"/>
      <c r="GG52" s="1221"/>
      <c r="GH52" s="1221"/>
      <c r="GI52" s="1221"/>
      <c r="GJ52" s="1221"/>
      <c r="GK52" s="1221"/>
      <c r="GL52" s="1221"/>
      <c r="GM52" s="1221"/>
      <c r="GN52" s="1221"/>
      <c r="GO52" s="1221"/>
      <c r="GP52" s="1221"/>
      <c r="GQ52" s="1221"/>
      <c r="GR52" s="1221"/>
      <c r="GS52" s="1221"/>
      <c r="GT52" s="1221"/>
      <c r="GU52" s="1221"/>
      <c r="GV52" s="1221"/>
      <c r="GW52" s="1221"/>
      <c r="GX52" s="1221"/>
      <c r="GY52" s="1221"/>
      <c r="GZ52" s="1221"/>
      <c r="HA52" s="1221"/>
      <c r="HB52" s="1221"/>
      <c r="HC52" s="1221"/>
      <c r="HD52" s="1221"/>
      <c r="HE52" s="1221"/>
      <c r="HF52" s="1221"/>
      <c r="HG52" s="1221"/>
      <c r="HH52" s="1221"/>
      <c r="HI52" s="1221"/>
      <c r="HJ52" s="1221"/>
      <c r="HK52" s="1221"/>
      <c r="HL52" s="1221"/>
      <c r="HM52" s="1221"/>
      <c r="HN52" s="1221"/>
      <c r="HO52" s="1221"/>
      <c r="HP52" s="1221"/>
      <c r="HQ52" s="1221"/>
      <c r="HR52" s="1221"/>
      <c r="HS52" s="1221"/>
      <c r="HT52" s="1221"/>
      <c r="HU52" s="1221"/>
      <c r="HV52" s="1221"/>
      <c r="HW52" s="1221"/>
      <c r="HX52" s="1221"/>
      <c r="HY52" s="1221"/>
      <c r="HZ52" s="1221"/>
      <c r="IA52" s="1221"/>
      <c r="IB52" s="1221"/>
      <c r="IC52" s="1221"/>
      <c r="ID52" s="1221"/>
      <c r="IE52" s="1221"/>
      <c r="IF52" s="1221"/>
      <c r="IG52" s="1221"/>
      <c r="IH52" s="1221"/>
      <c r="II52" s="1221"/>
      <c r="IJ52" s="1221"/>
      <c r="IK52" s="1221"/>
      <c r="IL52" s="1221"/>
      <c r="IM52" s="1221"/>
      <c r="IN52" s="1221"/>
      <c r="IO52" s="1221"/>
      <c r="IP52" s="1221"/>
      <c r="IQ52" s="1221"/>
      <c r="IR52" s="1221"/>
      <c r="IS52" s="1221"/>
      <c r="IT52" s="1221"/>
      <c r="IU52" s="1221"/>
      <c r="IV52" s="1221"/>
      <c r="IW52" s="1221"/>
      <c r="IX52" s="1221"/>
      <c r="IY52" s="1221"/>
      <c r="IZ52" s="1221"/>
      <c r="JA52" s="1221"/>
      <c r="JB52" s="1221"/>
      <c r="JC52" s="1221"/>
      <c r="JD52" s="1221"/>
      <c r="JE52" s="1221"/>
      <c r="JF52" s="1221"/>
      <c r="JG52" s="1221"/>
      <c r="JH52" s="1221"/>
      <c r="JI52" s="1221"/>
      <c r="JJ52" s="1221"/>
      <c r="JK52" s="1221"/>
      <c r="JL52" s="1221"/>
      <c r="JM52" s="1221"/>
      <c r="JN52" s="1221"/>
      <c r="JO52" s="1221"/>
      <c r="JP52" s="1221"/>
      <c r="JQ52" s="1221"/>
      <c r="JR52" s="1221"/>
      <c r="JS52" s="1221"/>
      <c r="JT52" s="1221"/>
      <c r="JU52" s="1221"/>
      <c r="JV52" s="1221"/>
      <c r="JW52" s="1221"/>
      <c r="JX52" s="1221"/>
      <c r="JY52" s="1221"/>
      <c r="JZ52" s="1221"/>
      <c r="KA52" s="1221"/>
      <c r="KB52" s="1221"/>
      <c r="KC52" s="1221"/>
      <c r="KD52" s="1221"/>
      <c r="KE52" s="1221"/>
      <c r="KF52" s="1221"/>
      <c r="KG52" s="1221"/>
      <c r="KH52" s="1221"/>
      <c r="KI52" s="1221"/>
      <c r="KJ52" s="1221"/>
      <c r="KK52" s="1221"/>
      <c r="KL52" s="1221"/>
      <c r="KM52" s="1221"/>
      <c r="KN52" s="1221"/>
      <c r="KO52" s="1221"/>
      <c r="KP52" s="1221"/>
      <c r="KQ52" s="1221"/>
      <c r="KR52" s="1221"/>
      <c r="KS52" s="1221"/>
      <c r="KT52" s="1221"/>
      <c r="KU52" s="1221"/>
      <c r="KV52" s="1221"/>
      <c r="KW52" s="1221"/>
      <c r="KX52" s="1221"/>
      <c r="KY52" s="1221"/>
      <c r="KZ52" s="1221"/>
      <c r="LA52" s="1221"/>
      <c r="LB52" s="1221"/>
      <c r="LC52" s="1221"/>
      <c r="LD52" s="1221"/>
      <c r="LE52" s="1221"/>
      <c r="LF52" s="1221"/>
      <c r="LG52" s="1221"/>
      <c r="LH52" s="1221"/>
      <c r="LI52" s="1221"/>
      <c r="LJ52" s="1221"/>
      <c r="LK52" s="1221"/>
      <c r="LL52" s="1221"/>
      <c r="LM52" s="1221"/>
      <c r="LN52" s="1221"/>
      <c r="LO52" s="1221"/>
      <c r="LP52" s="1221"/>
      <c r="LQ52" s="1221"/>
      <c r="LR52" s="1221"/>
      <c r="LS52" s="1221"/>
      <c r="LT52" s="1221"/>
      <c r="LU52" s="1221"/>
      <c r="LV52" s="1221"/>
      <c r="LW52" s="1221"/>
      <c r="LX52" s="1221"/>
      <c r="LY52" s="1221"/>
      <c r="LZ52" s="1221"/>
      <c r="MA52" s="1221"/>
      <c r="MB52" s="1221"/>
      <c r="MC52" s="1221"/>
      <c r="MD52" s="1221"/>
      <c r="ME52" s="1221"/>
      <c r="MF52" s="1221"/>
      <c r="MG52" s="1221"/>
      <c r="MH52" s="1221"/>
      <c r="MI52" s="1221"/>
      <c r="MJ52" s="1221"/>
      <c r="MK52" s="1221"/>
      <c r="ML52" s="1221"/>
      <c r="MM52" s="1221"/>
      <c r="MN52" s="1221"/>
      <c r="MO52" s="1221"/>
      <c r="MP52" s="1221"/>
      <c r="MQ52" s="1221"/>
      <c r="MR52" s="1221"/>
      <c r="MS52" s="1221"/>
      <c r="MT52" s="1221"/>
      <c r="MU52" s="1221"/>
      <c r="MV52" s="1221"/>
      <c r="MW52" s="1221"/>
      <c r="MX52" s="1221"/>
      <c r="MY52" s="1221"/>
      <c r="MZ52" s="1221"/>
      <c r="NA52" s="1221"/>
      <c r="NB52" s="1221"/>
      <c r="NC52" s="1221"/>
      <c r="ND52" s="1221"/>
      <c r="NE52" s="1221"/>
      <c r="NF52" s="1221"/>
      <c r="NG52" s="1221"/>
      <c r="NH52" s="1221"/>
      <c r="NI52" s="1221"/>
      <c r="NJ52" s="1221"/>
      <c r="NK52" s="1221"/>
      <c r="NL52" s="1221"/>
      <c r="NM52" s="1221"/>
      <c r="NN52" s="1221"/>
      <c r="NO52" s="1221"/>
      <c r="NP52" s="1221"/>
      <c r="NQ52" s="1221"/>
      <c r="NR52" s="1221"/>
      <c r="NS52" s="1221"/>
      <c r="NT52" s="1221"/>
      <c r="NU52" s="1221"/>
      <c r="NV52" s="1221"/>
      <c r="NW52" s="1221"/>
      <c r="NX52" s="1221"/>
      <c r="NY52" s="1221"/>
      <c r="NZ52" s="1221"/>
      <c r="OA52" s="1221"/>
      <c r="OB52" s="1221"/>
      <c r="OC52" s="1221"/>
      <c r="OD52" s="1221"/>
      <c r="OE52" s="1221"/>
      <c r="OF52" s="1221"/>
      <c r="OG52" s="1221"/>
      <c r="OH52" s="1221"/>
      <c r="OI52" s="1221"/>
      <c r="OJ52" s="1221"/>
      <c r="OK52" s="1221"/>
      <c r="OL52" s="1221"/>
      <c r="OM52" s="1221"/>
      <c r="ON52" s="1221"/>
      <c r="OO52" s="1221"/>
      <c r="OP52" s="1221"/>
      <c r="OQ52" s="1221"/>
      <c r="OR52" s="1221"/>
      <c r="OS52" s="1221"/>
      <c r="OT52" s="1221"/>
      <c r="OU52" s="1221"/>
      <c r="OV52" s="1221"/>
      <c r="OW52" s="1221"/>
      <c r="OX52" s="1221"/>
      <c r="OY52" s="1221"/>
      <c r="OZ52" s="1221"/>
      <c r="PA52" s="1221"/>
      <c r="PB52" s="1221"/>
      <c r="PC52" s="1221"/>
      <c r="PD52" s="1221"/>
      <c r="PE52" s="1221"/>
      <c r="PF52" s="1221"/>
      <c r="PG52" s="1221"/>
      <c r="PH52" s="1221"/>
      <c r="PI52" s="1221"/>
      <c r="PJ52" s="1221"/>
      <c r="PK52" s="1221"/>
      <c r="PL52" s="1221"/>
      <c r="PM52" s="1221"/>
      <c r="PN52" s="1221"/>
      <c r="PO52" s="1221"/>
      <c r="PP52" s="1221"/>
      <c r="PQ52" s="1221"/>
      <c r="PR52" s="1221"/>
      <c r="PS52" s="1221"/>
      <c r="PT52" s="1221"/>
      <c r="PU52" s="1221"/>
      <c r="PV52" s="1221"/>
      <c r="PW52" s="1221"/>
      <c r="PX52" s="1221"/>
      <c r="PY52" s="1221"/>
      <c r="PZ52" s="1221"/>
      <c r="QA52" s="1221"/>
      <c r="QB52" s="1221"/>
      <c r="QC52" s="1221"/>
      <c r="QD52" s="1221"/>
      <c r="QE52" s="1221"/>
      <c r="QF52" s="1221"/>
      <c r="QG52" s="1221"/>
      <c r="QH52" s="1221"/>
      <c r="QI52" s="1221"/>
      <c r="QJ52" s="1221"/>
      <c r="QK52" s="1221"/>
      <c r="QL52" s="1221"/>
      <c r="QM52" s="1221"/>
      <c r="QN52" s="1221"/>
      <c r="QO52" s="1221"/>
      <c r="QP52" s="1221"/>
      <c r="QQ52" s="1221"/>
      <c r="QR52" s="1221"/>
      <c r="QS52" s="1221"/>
      <c r="QT52" s="1221"/>
      <c r="QU52" s="1221"/>
      <c r="QV52" s="1221"/>
      <c r="QW52" s="1221"/>
      <c r="QX52" s="1221"/>
      <c r="QY52" s="1221"/>
      <c r="QZ52" s="1221"/>
      <c r="RA52" s="1221"/>
      <c r="RB52" s="1221"/>
      <c r="RC52" s="1221"/>
      <c r="RD52" s="1221"/>
      <c r="RE52" s="1221"/>
      <c r="RF52" s="1221"/>
      <c r="RG52" s="1221"/>
      <c r="RH52" s="1221"/>
      <c r="RI52" s="1221"/>
      <c r="RJ52" s="1221"/>
      <c r="RK52" s="1221"/>
      <c r="RL52" s="1221"/>
      <c r="RM52" s="1221"/>
      <c r="RN52" s="1221"/>
      <c r="RO52" s="1221"/>
      <c r="RP52" s="1221"/>
      <c r="RQ52" s="1221"/>
      <c r="RR52" s="1221"/>
      <c r="RS52" s="1221"/>
      <c r="RT52" s="1221"/>
      <c r="RU52" s="1221"/>
      <c r="RV52" s="1221"/>
      <c r="RW52" s="1221"/>
      <c r="RX52" s="1221"/>
      <c r="RY52" s="1221"/>
      <c r="RZ52" s="1221"/>
      <c r="SA52" s="1221"/>
      <c r="SB52" s="1221"/>
      <c r="SC52" s="1221"/>
      <c r="SD52" s="1221"/>
      <c r="SE52" s="1221"/>
      <c r="SF52" s="1221"/>
      <c r="SG52" s="1221"/>
      <c r="SH52" s="1221"/>
      <c r="SI52" s="1221"/>
      <c r="SJ52" s="1221"/>
      <c r="SK52" s="1221"/>
      <c r="SL52" s="1221"/>
      <c r="SM52" s="1221"/>
      <c r="SN52" s="1221"/>
      <c r="SO52" s="1221"/>
      <c r="SP52" s="1221"/>
      <c r="SQ52" s="1221"/>
      <c r="SR52" s="1221"/>
      <c r="SS52" s="1221"/>
      <c r="ST52" s="1221"/>
      <c r="SU52" s="1221"/>
      <c r="SV52" s="1221"/>
      <c r="SW52" s="1221"/>
      <c r="SX52" s="1221"/>
      <c r="SY52" s="1221"/>
      <c r="SZ52" s="1221"/>
      <c r="TA52" s="1221"/>
      <c r="TB52" s="1221"/>
      <c r="TC52" s="1221"/>
      <c r="TD52" s="1221"/>
      <c r="TE52" s="1221"/>
      <c r="TF52" s="1221"/>
      <c r="TG52" s="1221"/>
      <c r="TH52" s="1221"/>
      <c r="TI52" s="1221"/>
      <c r="TJ52" s="1221"/>
      <c r="TK52" s="1221"/>
      <c r="TL52" s="1221"/>
      <c r="TM52" s="1221"/>
      <c r="TN52" s="1221"/>
      <c r="TO52" s="1221"/>
      <c r="TP52" s="1221"/>
      <c r="TQ52" s="1221"/>
      <c r="TR52" s="1221"/>
      <c r="TS52" s="1221"/>
      <c r="TT52" s="1221"/>
      <c r="TU52" s="1221"/>
      <c r="TV52" s="1221"/>
      <c r="TW52" s="1221"/>
      <c r="TX52" s="1221"/>
      <c r="TY52" s="1221"/>
      <c r="TZ52" s="1221"/>
      <c r="UA52" s="1221"/>
      <c r="UB52" s="1221"/>
      <c r="UC52" s="1221"/>
      <c r="UD52" s="1221"/>
      <c r="UE52" s="1221"/>
      <c r="UF52" s="1221"/>
      <c r="UG52" s="1221"/>
      <c r="UH52" s="1221"/>
      <c r="UI52" s="1221"/>
      <c r="UJ52" s="1221"/>
      <c r="UK52" s="1221"/>
      <c r="UL52" s="1221"/>
      <c r="UM52" s="1221"/>
      <c r="UN52" s="1221"/>
      <c r="UO52" s="1221"/>
      <c r="UP52" s="1221"/>
      <c r="UQ52" s="1221"/>
      <c r="UR52" s="1221"/>
      <c r="US52" s="1221"/>
      <c r="UT52" s="1221"/>
      <c r="UU52" s="1221"/>
      <c r="UV52" s="1221"/>
      <c r="UW52" s="1221"/>
      <c r="UX52" s="1221"/>
      <c r="UY52" s="1221"/>
      <c r="UZ52" s="1221"/>
      <c r="VA52" s="1221"/>
      <c r="VB52" s="1221"/>
      <c r="VC52" s="1221"/>
      <c r="VD52" s="1221"/>
      <c r="VE52" s="1221"/>
      <c r="VF52" s="1221"/>
      <c r="VG52" s="1221"/>
      <c r="VH52" s="1221"/>
      <c r="VI52" s="1221"/>
      <c r="VJ52" s="1221"/>
      <c r="VK52" s="1221"/>
      <c r="VL52" s="1221"/>
      <c r="VM52" s="1221"/>
      <c r="VN52" s="1221"/>
      <c r="VO52" s="1221"/>
      <c r="VP52" s="1221"/>
      <c r="VQ52" s="1221"/>
      <c r="VR52" s="1221"/>
      <c r="VS52" s="1221"/>
      <c r="VT52" s="1221"/>
      <c r="VU52" s="1221"/>
      <c r="VV52" s="1221"/>
      <c r="VW52" s="1221"/>
      <c r="VX52" s="1221"/>
      <c r="VY52" s="1221"/>
      <c r="VZ52" s="1221"/>
      <c r="WA52" s="1221"/>
      <c r="WB52" s="1221"/>
      <c r="WC52" s="1221"/>
      <c r="WD52" s="1221"/>
      <c r="WE52" s="1221"/>
      <c r="WF52" s="1221"/>
      <c r="WG52" s="1221"/>
      <c r="WH52" s="1221"/>
      <c r="WI52" s="1221"/>
      <c r="WJ52" s="1221"/>
      <c r="WK52" s="1221"/>
      <c r="WL52" s="1221"/>
      <c r="WM52" s="1221"/>
      <c r="WN52" s="1221"/>
      <c r="WO52" s="1221"/>
      <c r="WP52" s="1221"/>
      <c r="WQ52" s="1221"/>
      <c r="WR52" s="1221"/>
      <c r="WS52" s="1221"/>
      <c r="WT52" s="1221"/>
      <c r="WU52" s="1221"/>
      <c r="WV52" s="1221"/>
      <c r="WW52" s="1221"/>
      <c r="WX52" s="1221"/>
      <c r="WY52" s="1221"/>
      <c r="WZ52" s="1221"/>
      <c r="XA52" s="1221"/>
      <c r="XB52" s="1221"/>
      <c r="XC52" s="1221"/>
      <c r="XD52" s="1221"/>
      <c r="XE52" s="1221"/>
      <c r="XF52" s="1221"/>
      <c r="XG52" s="1221"/>
      <c r="XH52" s="1221"/>
      <c r="XI52" s="1221"/>
      <c r="XJ52" s="1221"/>
      <c r="XK52" s="1221"/>
      <c r="XL52" s="1221"/>
      <c r="XM52" s="1221"/>
      <c r="XN52" s="1221"/>
      <c r="XO52" s="1221"/>
      <c r="XP52" s="1221"/>
      <c r="XQ52" s="1221"/>
      <c r="XR52" s="1221"/>
      <c r="XS52" s="1221"/>
      <c r="XT52" s="1221"/>
      <c r="XU52" s="1221"/>
      <c r="XV52" s="1221"/>
      <c r="XW52" s="1221"/>
      <c r="XX52" s="1221"/>
      <c r="XY52" s="1221"/>
      <c r="XZ52" s="1221"/>
      <c r="YA52" s="1221"/>
      <c r="YB52" s="1221"/>
      <c r="YC52" s="1221"/>
      <c r="YD52" s="1221"/>
      <c r="YE52" s="1221"/>
      <c r="YF52" s="1221"/>
      <c r="YG52" s="1221"/>
      <c r="YH52" s="1221"/>
      <c r="YI52" s="1221"/>
      <c r="YJ52" s="1221"/>
      <c r="YK52" s="1221"/>
      <c r="YL52" s="1221"/>
      <c r="YM52" s="1221"/>
      <c r="YN52" s="1221"/>
      <c r="YO52" s="1221"/>
      <c r="YP52" s="1221"/>
      <c r="YQ52" s="1221"/>
      <c r="YR52" s="1221"/>
      <c r="YS52" s="1221"/>
      <c r="YT52" s="1221"/>
      <c r="YU52" s="1221"/>
      <c r="YV52" s="1221"/>
      <c r="YW52" s="1221"/>
      <c r="YX52" s="1221"/>
      <c r="YY52" s="1221"/>
      <c r="YZ52" s="1221"/>
      <c r="ZA52" s="1221"/>
      <c r="ZB52" s="1221"/>
      <c r="ZC52" s="1221"/>
      <c r="ZD52" s="1221"/>
      <c r="ZE52" s="1221"/>
      <c r="ZF52" s="1221"/>
      <c r="ZG52" s="1221"/>
      <c r="ZH52" s="1221"/>
      <c r="ZI52" s="1221"/>
      <c r="ZJ52" s="1221"/>
      <c r="ZK52" s="1221"/>
      <c r="ZL52" s="1221"/>
      <c r="ZM52" s="1221"/>
      <c r="ZN52" s="1221"/>
      <c r="ZO52" s="1221"/>
      <c r="ZP52" s="1221"/>
      <c r="ZQ52" s="1221"/>
      <c r="ZR52" s="1221"/>
      <c r="ZS52" s="1221"/>
      <c r="ZT52" s="1221"/>
      <c r="ZU52" s="1221"/>
      <c r="ZV52" s="1221"/>
      <c r="ZW52" s="1221"/>
      <c r="ZX52" s="1221"/>
      <c r="ZY52" s="1221"/>
      <c r="ZZ52" s="1221"/>
      <c r="AAA52" s="1221"/>
      <c r="AAB52" s="1221"/>
      <c r="AAC52" s="1221"/>
      <c r="AAD52" s="1221"/>
      <c r="AAE52" s="1221"/>
      <c r="AAF52" s="1221"/>
      <c r="AAG52" s="1221"/>
      <c r="AAH52" s="1221"/>
      <c r="AAI52" s="1221"/>
      <c r="AAJ52" s="1221"/>
      <c r="AAK52" s="1221"/>
      <c r="AAL52" s="1221"/>
      <c r="AAM52" s="1221"/>
      <c r="AAN52" s="1221"/>
      <c r="AAO52" s="1221"/>
      <c r="AAP52" s="1221"/>
      <c r="AAQ52" s="1221"/>
      <c r="AAR52" s="1221"/>
      <c r="AAS52" s="1221"/>
      <c r="AAT52" s="1221"/>
      <c r="AAU52" s="1221"/>
      <c r="AAV52" s="1221"/>
      <c r="AAW52" s="1221"/>
      <c r="AAX52" s="1221"/>
      <c r="AAY52" s="1221"/>
      <c r="AAZ52" s="1221"/>
      <c r="ABA52" s="1221"/>
      <c r="ABB52" s="1221"/>
      <c r="ABC52" s="1221"/>
      <c r="ABD52" s="1221"/>
      <c r="ABE52" s="1221"/>
      <c r="ABF52" s="1221"/>
      <c r="ABG52" s="1221"/>
      <c r="ABH52" s="1221"/>
      <c r="ABI52" s="1221"/>
      <c r="ABJ52" s="1221"/>
      <c r="ABK52" s="1221"/>
      <c r="ABL52" s="1221"/>
      <c r="ABM52" s="1221"/>
      <c r="ABN52" s="1221"/>
      <c r="ABO52" s="1221"/>
      <c r="ABP52" s="1221"/>
      <c r="ABQ52" s="1221"/>
      <c r="ABR52" s="1221"/>
      <c r="ABS52" s="1221"/>
      <c r="ABT52" s="1221"/>
      <c r="ABU52" s="1221"/>
      <c r="ABV52" s="1221"/>
      <c r="ABW52" s="1221"/>
      <c r="ABX52" s="1221"/>
      <c r="ABY52" s="1221"/>
      <c r="ABZ52" s="1221"/>
      <c r="ACA52" s="1221"/>
      <c r="ACB52" s="1221"/>
      <c r="ACC52" s="1221"/>
      <c r="ACD52" s="1221"/>
      <c r="ACE52" s="1221"/>
      <c r="ACF52" s="1221"/>
      <c r="ACG52" s="1221"/>
      <c r="ACH52" s="1221"/>
      <c r="ACI52" s="1221"/>
      <c r="ACJ52" s="1221"/>
      <c r="ACK52" s="1221"/>
      <c r="ACL52" s="1221"/>
      <c r="ACM52" s="1221"/>
      <c r="ACN52" s="1221"/>
      <c r="ACO52" s="1221"/>
      <c r="ACP52" s="1221"/>
      <c r="ACQ52" s="1221"/>
      <c r="ACR52" s="1221"/>
      <c r="ACS52" s="1221"/>
      <c r="ACT52" s="1221"/>
      <c r="ACU52" s="1221"/>
      <c r="ACV52" s="1221"/>
      <c r="ACW52" s="1221"/>
      <c r="ACX52" s="1221"/>
      <c r="ACY52" s="1221"/>
      <c r="ACZ52" s="1221"/>
      <c r="ADA52" s="1221"/>
      <c r="ADB52" s="1221"/>
      <c r="ADC52" s="1221"/>
      <c r="ADD52" s="1221"/>
      <c r="ADE52" s="1221"/>
      <c r="ADF52" s="1221"/>
      <c r="ADG52" s="1221"/>
      <c r="ADH52" s="1221"/>
      <c r="ADI52" s="1221"/>
      <c r="ADJ52" s="1221"/>
      <c r="ADK52" s="1221"/>
      <c r="ADL52" s="1221"/>
      <c r="ADM52" s="1221"/>
      <c r="ADN52" s="1221"/>
      <c r="ADO52" s="1221"/>
      <c r="ADP52" s="1221"/>
      <c r="ADQ52" s="1221"/>
      <c r="ADR52" s="1221"/>
      <c r="ADS52" s="1221"/>
      <c r="ADT52" s="1221"/>
      <c r="ADU52" s="1221"/>
      <c r="ADV52" s="1221"/>
      <c r="ADW52" s="1221"/>
      <c r="ADX52" s="1221"/>
      <c r="ADY52" s="1221"/>
      <c r="ADZ52" s="1221"/>
      <c r="AEA52" s="1221"/>
      <c r="AEB52" s="1221"/>
      <c r="AEC52" s="1221"/>
      <c r="AED52" s="1221"/>
      <c r="AEE52" s="1221"/>
      <c r="AEF52" s="1221"/>
      <c r="AEG52" s="1221"/>
      <c r="AEH52" s="1221"/>
      <c r="AEI52" s="1221"/>
      <c r="AEJ52" s="1221"/>
      <c r="AEK52" s="1221"/>
      <c r="AEL52" s="1221"/>
      <c r="AEM52" s="1221"/>
      <c r="AEN52" s="1221"/>
      <c r="AEO52" s="1221"/>
      <c r="AEP52" s="1221"/>
      <c r="AEQ52" s="1221"/>
      <c r="AER52" s="1221"/>
      <c r="AES52" s="1221"/>
      <c r="AET52" s="1221"/>
      <c r="AEU52" s="1221"/>
      <c r="AEV52" s="1221"/>
      <c r="AEW52" s="1221"/>
      <c r="AEX52" s="1221"/>
      <c r="AEY52" s="1221"/>
      <c r="AEZ52" s="1221"/>
      <c r="AFA52" s="1221"/>
      <c r="AFB52" s="1221"/>
      <c r="AFC52" s="1221"/>
      <c r="AFD52" s="1221"/>
      <c r="AFE52" s="1221"/>
      <c r="AFF52" s="1221"/>
      <c r="AFG52" s="1221"/>
      <c r="AFH52" s="1221"/>
      <c r="AFI52" s="1221"/>
      <c r="AFJ52" s="1221"/>
      <c r="AFK52" s="1221"/>
      <c r="AFL52" s="1221"/>
      <c r="AFM52" s="1221"/>
      <c r="AFN52" s="1221"/>
      <c r="AFO52" s="1221"/>
      <c r="AFP52" s="1221"/>
      <c r="AFQ52" s="1221"/>
      <c r="AFR52" s="1221"/>
      <c r="AFS52" s="1221"/>
      <c r="AFT52" s="1221"/>
      <c r="AFU52" s="1221"/>
      <c r="AFV52" s="1221"/>
      <c r="AFW52" s="1221"/>
      <c r="AFX52" s="1221"/>
      <c r="AFY52" s="1221"/>
      <c r="AFZ52" s="1221"/>
      <c r="AGA52" s="1221"/>
      <c r="AGB52" s="1221"/>
      <c r="AGC52" s="1221"/>
      <c r="AGD52" s="1221"/>
      <c r="AGE52" s="1221"/>
      <c r="AGF52" s="1221"/>
      <c r="AGG52" s="1221"/>
      <c r="AGH52" s="1221"/>
      <c r="AGI52" s="1221"/>
      <c r="AGJ52" s="1221"/>
      <c r="AGK52" s="1221"/>
      <c r="AGL52" s="1221"/>
      <c r="AGM52" s="1221"/>
      <c r="AGN52" s="1221"/>
      <c r="AGO52" s="1221"/>
      <c r="AGP52" s="1221"/>
      <c r="AGQ52" s="1221"/>
      <c r="AGR52" s="1221"/>
      <c r="AGS52" s="1221"/>
      <c r="AGT52" s="1221"/>
      <c r="AGU52" s="1221"/>
      <c r="AGV52" s="1221"/>
      <c r="AGW52" s="1221"/>
      <c r="AGX52" s="1221"/>
      <c r="AGY52" s="1221"/>
      <c r="AGZ52" s="1221"/>
      <c r="AHA52" s="1221"/>
      <c r="AHB52" s="1221"/>
      <c r="AHC52" s="1221"/>
      <c r="AHD52" s="1221"/>
      <c r="AHE52" s="1221"/>
      <c r="AHF52" s="1221"/>
      <c r="AHG52" s="1221"/>
      <c r="AHH52" s="1221"/>
      <c r="AHI52" s="1221"/>
      <c r="AHJ52" s="1221"/>
      <c r="AHK52" s="1221"/>
      <c r="AHL52" s="1221"/>
      <c r="AHM52" s="1221"/>
      <c r="AHN52" s="1221"/>
      <c r="AHO52" s="1221"/>
      <c r="AHP52" s="1221"/>
      <c r="AHQ52" s="1221"/>
      <c r="AHR52" s="1221"/>
      <c r="AHS52" s="1221"/>
      <c r="AHT52" s="1221"/>
      <c r="AHU52" s="1221"/>
      <c r="AHV52" s="1221"/>
      <c r="AHW52" s="1221"/>
      <c r="AHX52" s="1221"/>
      <c r="AHY52" s="1221"/>
      <c r="AHZ52" s="1221"/>
      <c r="AIA52" s="1221"/>
      <c r="AIB52" s="1221"/>
      <c r="AIC52" s="1221"/>
      <c r="AID52" s="1221"/>
      <c r="AIE52" s="1221"/>
      <c r="AIF52" s="1221"/>
      <c r="AIG52" s="1221"/>
      <c r="AIH52" s="1221"/>
      <c r="AII52" s="1221"/>
      <c r="AIJ52" s="1221"/>
      <c r="AIK52" s="1221"/>
      <c r="AIL52" s="1221"/>
      <c r="AIM52" s="1221"/>
      <c r="AIN52" s="1221"/>
      <c r="AIO52" s="1221"/>
      <c r="AIP52" s="1221"/>
      <c r="AIQ52" s="1221"/>
      <c r="AIR52" s="1221"/>
      <c r="AIS52" s="1221"/>
      <c r="AIT52" s="1221"/>
      <c r="AIU52" s="1221"/>
      <c r="AIV52" s="1221"/>
      <c r="AIW52" s="1221"/>
      <c r="AIX52" s="1221"/>
      <c r="AIY52" s="1221"/>
      <c r="AIZ52" s="1221"/>
      <c r="AJA52" s="1221"/>
      <c r="AJB52" s="1221"/>
      <c r="AJC52" s="1221"/>
      <c r="AJD52" s="1221"/>
      <c r="AJE52" s="1221"/>
      <c r="AJF52" s="1221"/>
      <c r="AJG52" s="1221"/>
      <c r="AJH52" s="1221"/>
      <c r="AJI52" s="1221"/>
      <c r="AJJ52" s="1221"/>
      <c r="AJK52" s="1221"/>
      <c r="AJL52" s="1221"/>
      <c r="AJM52" s="1221"/>
      <c r="AJN52" s="1221"/>
      <c r="AJO52" s="1221"/>
      <c r="AJP52" s="1221"/>
      <c r="AJQ52" s="1221"/>
      <c r="AJR52" s="1221"/>
      <c r="AJS52" s="1221"/>
      <c r="AJT52" s="1221"/>
      <c r="AJU52" s="1221"/>
      <c r="AJV52" s="1221"/>
      <c r="AJW52" s="1221"/>
      <c r="AJX52" s="1221"/>
      <c r="AJY52" s="1221"/>
      <c r="AJZ52" s="1221"/>
      <c r="AKA52" s="1221"/>
      <c r="AKB52" s="1221"/>
      <c r="AKC52" s="1221"/>
      <c r="AKD52" s="1221"/>
      <c r="AKE52" s="1221"/>
      <c r="AKF52" s="1221"/>
      <c r="AKG52" s="1221"/>
      <c r="AKH52" s="1221"/>
      <c r="AKI52" s="1221"/>
      <c r="AKJ52" s="1221"/>
      <c r="AKK52" s="1221"/>
      <c r="AKL52" s="1221"/>
      <c r="AKM52" s="1221"/>
      <c r="AKN52" s="1221"/>
      <c r="AKO52" s="1221"/>
      <c r="AKP52" s="1221"/>
      <c r="AKQ52" s="1221"/>
      <c r="AKR52" s="1221"/>
      <c r="AKS52" s="1221"/>
      <c r="AKT52" s="1221"/>
      <c r="AKU52" s="1221"/>
      <c r="AKV52" s="1221"/>
      <c r="AKW52" s="1221"/>
      <c r="AKX52" s="1221"/>
      <c r="AKY52" s="1221"/>
      <c r="AKZ52" s="1221"/>
      <c r="ALA52" s="1221"/>
      <c r="ALB52" s="1221"/>
      <c r="ALC52" s="1221"/>
      <c r="ALD52" s="1221"/>
      <c r="ALE52" s="1221"/>
      <c r="ALF52" s="1221"/>
      <c r="ALG52" s="1221"/>
      <c r="ALH52" s="1221"/>
      <c r="ALI52" s="1221"/>
      <c r="ALJ52" s="1221"/>
      <c r="ALK52" s="1221"/>
      <c r="ALL52" s="1221"/>
      <c r="ALM52" s="1221"/>
      <c r="ALN52" s="1221"/>
      <c r="ALO52" s="1221"/>
      <c r="ALP52" s="1221"/>
      <c r="ALQ52" s="1221"/>
      <c r="ALR52" s="1221"/>
      <c r="ALS52" s="1221"/>
      <c r="ALT52" s="1221"/>
      <c r="ALU52" s="1221"/>
      <c r="ALV52" s="1221"/>
      <c r="ALW52" s="1221"/>
      <c r="ALX52" s="1221"/>
      <c r="ALY52" s="1221"/>
      <c r="ALZ52" s="1221"/>
      <c r="AMA52" s="1221"/>
      <c r="AMB52" s="1221"/>
      <c r="AMC52" s="1221"/>
      <c r="AMD52" s="1221"/>
      <c r="AME52" s="1221"/>
      <c r="AMF52" s="1221"/>
      <c r="AMG52" s="1221"/>
      <c r="AMH52" s="1221"/>
      <c r="AMI52" s="1221"/>
      <c r="AMJ52" s="1221"/>
      <c r="AMK52" s="1221"/>
      <c r="AML52" s="1221"/>
      <c r="AMM52" s="1221"/>
      <c r="AMN52" s="1221"/>
      <c r="AMO52" s="1221"/>
      <c r="AMP52" s="1221"/>
      <c r="AMQ52" s="1221"/>
      <c r="AMR52" s="1221"/>
      <c r="AMS52" s="1221"/>
      <c r="AMT52" s="1221"/>
      <c r="AMU52" s="1221"/>
      <c r="AMV52" s="1221"/>
      <c r="AMW52" s="1221"/>
      <c r="AMX52" s="1221"/>
      <c r="AMY52" s="1221"/>
      <c r="AMZ52" s="1221"/>
      <c r="ANA52" s="1221"/>
      <c r="ANB52" s="1221"/>
      <c r="ANC52" s="1221"/>
      <c r="AND52" s="1221"/>
      <c r="ANE52" s="1221"/>
      <c r="ANF52" s="1221"/>
      <c r="ANG52" s="1221"/>
      <c r="ANH52" s="1221"/>
      <c r="ANI52" s="1221"/>
      <c r="ANJ52" s="1221"/>
      <c r="ANK52" s="1221"/>
      <c r="ANL52" s="1221"/>
      <c r="ANM52" s="1221"/>
      <c r="ANN52" s="1221"/>
      <c r="ANO52" s="1221"/>
      <c r="ANP52" s="1221"/>
      <c r="ANQ52" s="1221"/>
      <c r="ANR52" s="1221"/>
      <c r="ANS52" s="1221"/>
      <c r="ANT52" s="1221"/>
      <c r="ANU52" s="1221"/>
      <c r="ANV52" s="1221"/>
      <c r="ANW52" s="1221"/>
      <c r="ANX52" s="1221"/>
      <c r="ANY52" s="1221"/>
      <c r="ANZ52" s="1221"/>
      <c r="AOA52" s="1221"/>
      <c r="AOB52" s="1221"/>
      <c r="AOC52" s="1221"/>
      <c r="AOD52" s="1221"/>
      <c r="AOE52" s="1221"/>
      <c r="AOF52" s="1221"/>
      <c r="AOG52" s="1221"/>
      <c r="AOH52" s="1221"/>
      <c r="AOI52" s="1221"/>
      <c r="AOJ52" s="1221"/>
      <c r="AOK52" s="1221"/>
      <c r="AOL52" s="1221"/>
      <c r="AOM52" s="1221"/>
      <c r="AON52" s="1221"/>
      <c r="AOO52" s="1221"/>
      <c r="AOP52" s="1221"/>
      <c r="AOQ52" s="1221"/>
      <c r="AOR52" s="1221"/>
      <c r="AOS52" s="1221"/>
      <c r="AOT52" s="1221"/>
      <c r="AOU52" s="1221"/>
      <c r="AOV52" s="1221"/>
      <c r="AOW52" s="1221"/>
      <c r="AOX52" s="1221"/>
      <c r="AOY52" s="1221"/>
      <c r="AOZ52" s="1221"/>
      <c r="APA52" s="1221"/>
      <c r="APB52" s="1221"/>
      <c r="APC52" s="1221"/>
      <c r="APD52" s="1221"/>
      <c r="APE52" s="1221"/>
      <c r="APF52" s="1221"/>
      <c r="APG52" s="1221"/>
      <c r="APH52" s="1221"/>
      <c r="API52" s="1221"/>
      <c r="APJ52" s="1221"/>
      <c r="APK52" s="1221"/>
      <c r="APL52" s="1221"/>
      <c r="APM52" s="1221"/>
      <c r="APN52" s="1221"/>
      <c r="APO52" s="1221"/>
      <c r="APP52" s="1221"/>
      <c r="APQ52" s="1221"/>
      <c r="APR52" s="1221"/>
      <c r="APS52" s="1221"/>
      <c r="APT52" s="1221"/>
      <c r="APU52" s="1221"/>
      <c r="APV52" s="1221"/>
      <c r="APW52" s="1221"/>
      <c r="APX52" s="1221"/>
      <c r="APY52" s="1221"/>
      <c r="APZ52" s="1221"/>
      <c r="AQA52" s="1221"/>
      <c r="AQB52" s="1221"/>
      <c r="AQC52" s="1221"/>
      <c r="AQD52" s="1221"/>
      <c r="AQE52" s="1221"/>
      <c r="AQF52" s="1221"/>
      <c r="AQG52" s="1221"/>
      <c r="AQH52" s="1221"/>
      <c r="AQI52" s="1221"/>
      <c r="AQJ52" s="1221"/>
      <c r="AQK52" s="1221"/>
      <c r="AQL52" s="1221"/>
      <c r="AQM52" s="1221"/>
      <c r="AQN52" s="1221"/>
      <c r="AQO52" s="1221"/>
      <c r="AQP52" s="1221"/>
      <c r="AQQ52" s="1221"/>
      <c r="AQR52" s="1221"/>
      <c r="AQS52" s="1221"/>
      <c r="AQT52" s="1221"/>
      <c r="AQU52" s="1221"/>
      <c r="AQV52" s="1221"/>
      <c r="AQW52" s="1221"/>
      <c r="AQX52" s="1221"/>
      <c r="AQY52" s="1221"/>
      <c r="AQZ52" s="1221"/>
      <c r="ARA52" s="1221"/>
      <c r="ARB52" s="1221"/>
      <c r="ARC52" s="1221"/>
      <c r="ARD52" s="1221"/>
      <c r="ARE52" s="1221"/>
      <c r="ARF52" s="1221"/>
      <c r="ARG52" s="1221"/>
      <c r="ARH52" s="1221"/>
      <c r="ARI52" s="1221"/>
      <c r="ARJ52" s="1221"/>
      <c r="ARK52" s="1221"/>
      <c r="ARL52" s="1221"/>
      <c r="ARM52" s="1221"/>
      <c r="ARN52" s="1221"/>
      <c r="ARO52" s="1221"/>
      <c r="ARP52" s="1221"/>
      <c r="ARQ52" s="1221"/>
      <c r="ARR52" s="1221"/>
      <c r="ARS52" s="1221"/>
      <c r="ART52" s="1221"/>
      <c r="ARU52" s="1221"/>
      <c r="ARV52" s="1221"/>
      <c r="ARW52" s="1221"/>
      <c r="ARX52" s="1221"/>
      <c r="ARY52" s="1221"/>
      <c r="ARZ52" s="1221"/>
      <c r="ASA52" s="1221"/>
      <c r="ASB52" s="1221"/>
      <c r="ASC52" s="1221"/>
      <c r="ASD52" s="1221"/>
      <c r="ASE52" s="1221"/>
      <c r="ASF52" s="1221"/>
      <c r="ASG52" s="1221"/>
      <c r="ASH52" s="1221"/>
      <c r="ASI52" s="1221"/>
      <c r="ASJ52" s="1221"/>
      <c r="ASK52" s="1221"/>
      <c r="ASL52" s="1221"/>
      <c r="ASM52" s="1221"/>
      <c r="ASN52" s="1221"/>
      <c r="ASO52" s="1221"/>
      <c r="ASP52" s="1221"/>
      <c r="ASQ52" s="1221"/>
      <c r="ASR52" s="1221"/>
      <c r="ASS52" s="1221"/>
      <c r="AST52" s="1221"/>
      <c r="ASU52" s="1221"/>
      <c r="ASV52" s="1221"/>
      <c r="ASW52" s="1221"/>
      <c r="ASX52" s="1221"/>
      <c r="ASY52" s="1221"/>
      <c r="ASZ52" s="1221"/>
      <c r="ATA52" s="1221"/>
      <c r="ATB52" s="1221"/>
      <c r="ATC52" s="1221"/>
      <c r="ATD52" s="1221"/>
      <c r="ATE52" s="1221"/>
      <c r="ATF52" s="1221"/>
      <c r="ATG52" s="1221"/>
      <c r="ATH52" s="1221"/>
      <c r="ATI52" s="1221"/>
      <c r="ATJ52" s="1221"/>
      <c r="ATK52" s="1221"/>
      <c r="ATL52" s="1221"/>
      <c r="ATM52" s="1221"/>
      <c r="ATN52" s="1221"/>
      <c r="ATO52" s="1221"/>
      <c r="ATP52" s="1221"/>
      <c r="ATQ52" s="1221"/>
      <c r="ATR52" s="1221"/>
      <c r="ATS52" s="1221"/>
      <c r="ATT52" s="1221"/>
      <c r="ATU52" s="1221"/>
      <c r="ATV52" s="1221"/>
      <c r="ATW52" s="1221"/>
      <c r="ATX52" s="1221"/>
      <c r="ATY52" s="1221"/>
      <c r="ATZ52" s="1221"/>
      <c r="AUA52" s="1221"/>
      <c r="AUB52" s="1221"/>
      <c r="AUC52" s="1221"/>
      <c r="AUD52" s="1221"/>
      <c r="AUE52" s="1221"/>
      <c r="AUF52" s="1221"/>
      <c r="AUG52" s="1221"/>
      <c r="AUH52" s="1221"/>
      <c r="AUI52" s="1221"/>
      <c r="AUJ52" s="1221"/>
      <c r="AUK52" s="1221"/>
      <c r="AUL52" s="1221"/>
      <c r="AUM52" s="1221"/>
      <c r="AUN52" s="1221"/>
      <c r="AUO52" s="1221"/>
      <c r="AUP52" s="1221"/>
      <c r="AUQ52" s="1221"/>
      <c r="AUR52" s="1221"/>
      <c r="AUS52" s="1221"/>
      <c r="AUT52" s="1221"/>
      <c r="AUU52" s="1221"/>
      <c r="AUV52" s="1221"/>
      <c r="AUW52" s="1221"/>
      <c r="AUX52" s="1221"/>
      <c r="AUY52" s="1221"/>
      <c r="AUZ52" s="1221"/>
      <c r="AVA52" s="1221"/>
      <c r="AVB52" s="1221"/>
      <c r="AVC52" s="1221"/>
      <c r="AVD52" s="1221"/>
      <c r="AVE52" s="1221"/>
      <c r="AVF52" s="1221"/>
      <c r="AVG52" s="1221"/>
      <c r="AVH52" s="1221"/>
      <c r="AVI52" s="1221"/>
      <c r="AVJ52" s="1221"/>
      <c r="AVK52" s="1221"/>
      <c r="AVL52" s="1221"/>
      <c r="AVM52" s="1221"/>
      <c r="AVN52" s="1221"/>
      <c r="AVO52" s="1221"/>
      <c r="AVP52" s="1221"/>
      <c r="AVQ52" s="1221"/>
      <c r="AVR52" s="1221"/>
      <c r="AVS52" s="1221"/>
      <c r="AVT52" s="1221"/>
      <c r="AVU52" s="1221"/>
      <c r="AVV52" s="1221"/>
      <c r="AVW52" s="1221"/>
      <c r="AVX52" s="1221"/>
      <c r="AVY52" s="1221"/>
      <c r="AVZ52" s="1221"/>
      <c r="AWA52" s="1221"/>
      <c r="AWB52" s="1221"/>
      <c r="AWC52" s="1221"/>
      <c r="AWD52" s="1221"/>
      <c r="AWE52" s="1221"/>
      <c r="AWF52" s="1221"/>
      <c r="AWG52" s="1221"/>
      <c r="AWH52" s="1221"/>
      <c r="AWI52" s="1221"/>
      <c r="AWJ52" s="1221"/>
      <c r="AWK52" s="1221"/>
      <c r="AWL52" s="1221"/>
      <c r="AWM52" s="1221"/>
      <c r="AWN52" s="1221"/>
      <c r="AWO52" s="1221"/>
      <c r="AWP52" s="1221"/>
      <c r="AWQ52" s="1221"/>
      <c r="AWR52" s="1221"/>
      <c r="AWS52" s="1221"/>
      <c r="AWT52" s="1221"/>
      <c r="AWU52" s="1221"/>
      <c r="AWV52" s="1221"/>
      <c r="AWW52" s="1221"/>
      <c r="AWX52" s="1221"/>
      <c r="AWY52" s="1221"/>
      <c r="AWZ52" s="1221"/>
      <c r="AXA52" s="1221"/>
      <c r="AXB52" s="1221"/>
      <c r="AXC52" s="1221"/>
      <c r="AXD52" s="1221"/>
      <c r="AXE52" s="1221"/>
      <c r="AXF52" s="1221"/>
      <c r="AXG52" s="1221"/>
      <c r="AXH52" s="1221"/>
      <c r="AXI52" s="1221"/>
      <c r="AXJ52" s="1221"/>
      <c r="AXK52" s="1221"/>
      <c r="AXL52" s="1221"/>
      <c r="AXM52" s="1221"/>
      <c r="AXN52" s="1221"/>
      <c r="AXO52" s="1221"/>
      <c r="AXP52" s="1221"/>
      <c r="AXQ52" s="1221"/>
      <c r="AXR52" s="1221"/>
      <c r="AXS52" s="1221"/>
      <c r="AXT52" s="1221"/>
      <c r="AXU52" s="1221"/>
      <c r="AXV52" s="1221"/>
      <c r="AXW52" s="1221"/>
      <c r="AXX52" s="1221"/>
      <c r="AXY52" s="1221"/>
      <c r="AXZ52" s="1221"/>
      <c r="AYA52" s="1221"/>
      <c r="AYB52" s="1221"/>
      <c r="AYC52" s="1221"/>
      <c r="AYD52" s="1221"/>
      <c r="AYE52" s="1221"/>
      <c r="AYF52" s="1221"/>
      <c r="AYG52" s="1221"/>
      <c r="AYH52" s="1221"/>
      <c r="AYI52" s="1221"/>
      <c r="AYJ52" s="1221"/>
      <c r="AYK52" s="1221"/>
      <c r="AYL52" s="1221"/>
      <c r="AYM52" s="1221"/>
      <c r="AYN52" s="1221"/>
      <c r="AYO52" s="1221"/>
      <c r="AYP52" s="1221"/>
      <c r="AYQ52" s="1221"/>
      <c r="AYR52" s="1221"/>
      <c r="AYS52" s="1221"/>
      <c r="AYT52" s="1221"/>
      <c r="AYU52" s="1221"/>
      <c r="AYV52" s="1221"/>
      <c r="AYW52" s="1221"/>
      <c r="AYX52" s="1221"/>
      <c r="AYY52" s="1221"/>
      <c r="AYZ52" s="1221"/>
      <c r="AZA52" s="1221"/>
      <c r="AZB52" s="1221"/>
      <c r="AZC52" s="1221"/>
      <c r="AZD52" s="1221"/>
      <c r="AZE52" s="1221"/>
      <c r="AZF52" s="1221"/>
      <c r="AZG52" s="1221"/>
      <c r="AZH52" s="1221"/>
      <c r="AZI52" s="1221"/>
      <c r="AZJ52" s="1221"/>
      <c r="AZK52" s="1221"/>
      <c r="AZL52" s="1221"/>
      <c r="AZM52" s="1221"/>
      <c r="AZN52" s="1221"/>
      <c r="AZO52" s="1221"/>
      <c r="AZP52" s="1221"/>
      <c r="AZQ52" s="1221"/>
      <c r="AZR52" s="1221"/>
      <c r="AZS52" s="1221"/>
      <c r="AZT52" s="1221"/>
      <c r="AZU52" s="1221"/>
      <c r="AZV52" s="1221"/>
      <c r="AZW52" s="1221"/>
      <c r="AZX52" s="1221"/>
      <c r="AZY52" s="1221"/>
      <c r="AZZ52" s="1221"/>
      <c r="BAA52" s="1221"/>
      <c r="BAB52" s="1221"/>
      <c r="BAC52" s="1221"/>
      <c r="BAD52" s="1221"/>
      <c r="BAE52" s="1221"/>
      <c r="BAF52" s="1221"/>
      <c r="BAG52" s="1221"/>
      <c r="BAH52" s="1221"/>
      <c r="BAI52" s="1221"/>
      <c r="BAJ52" s="1221"/>
      <c r="BAK52" s="1221"/>
      <c r="BAL52" s="1221"/>
      <c r="BAM52" s="1221"/>
      <c r="BAN52" s="1221"/>
      <c r="BAO52" s="1221"/>
      <c r="BAP52" s="1221"/>
      <c r="BAQ52" s="1221"/>
      <c r="BAR52" s="1221"/>
      <c r="BAS52" s="1221"/>
      <c r="BAT52" s="1221"/>
      <c r="BAU52" s="1221"/>
      <c r="BAV52" s="1221"/>
      <c r="BAW52" s="1221"/>
      <c r="BAX52" s="1221"/>
      <c r="BAY52" s="1221"/>
      <c r="BAZ52" s="1221"/>
      <c r="BBA52" s="1221"/>
      <c r="BBB52" s="1221"/>
      <c r="BBC52" s="1221"/>
      <c r="BBD52" s="1221"/>
      <c r="BBE52" s="1221"/>
      <c r="BBF52" s="1221"/>
      <c r="BBG52" s="1221"/>
      <c r="BBH52" s="1221"/>
      <c r="BBI52" s="1221"/>
      <c r="BBJ52" s="1221"/>
      <c r="BBK52" s="1221"/>
      <c r="BBL52" s="1221"/>
      <c r="BBM52" s="1221"/>
      <c r="BBN52" s="1221"/>
      <c r="BBO52" s="1221"/>
      <c r="BBP52" s="1221"/>
      <c r="BBQ52" s="1221"/>
      <c r="BBR52" s="1221"/>
      <c r="BBS52" s="1221"/>
      <c r="BBT52" s="1221"/>
      <c r="BBU52" s="1221"/>
      <c r="BBV52" s="1221"/>
      <c r="BBW52" s="1221"/>
      <c r="BBX52" s="1221"/>
      <c r="BBY52" s="1221"/>
      <c r="BBZ52" s="1221"/>
      <c r="BCA52" s="1221"/>
      <c r="BCB52" s="1221"/>
      <c r="BCC52" s="1221"/>
      <c r="BCD52" s="1221"/>
      <c r="BCE52" s="1221"/>
      <c r="BCF52" s="1221"/>
      <c r="BCG52" s="1221"/>
      <c r="BCH52" s="1221"/>
      <c r="BCI52" s="1221"/>
      <c r="BCJ52" s="1221"/>
      <c r="BCK52" s="1221"/>
      <c r="BCL52" s="1221"/>
      <c r="BCM52" s="1221"/>
      <c r="BCN52" s="1221"/>
      <c r="BCO52" s="1221"/>
      <c r="BCP52" s="1221"/>
      <c r="BCQ52" s="1221"/>
      <c r="BCR52" s="1221"/>
      <c r="BCS52" s="1221"/>
      <c r="BCT52" s="1221"/>
      <c r="BCU52" s="1221"/>
      <c r="BCV52" s="1221"/>
      <c r="BCW52" s="1221"/>
      <c r="BCX52" s="1221"/>
      <c r="BCY52" s="1221"/>
      <c r="BCZ52" s="1221"/>
      <c r="BDA52" s="1221"/>
      <c r="BDB52" s="1221"/>
      <c r="BDC52" s="1221"/>
      <c r="BDD52" s="1221"/>
      <c r="BDE52" s="1221"/>
      <c r="BDF52" s="1221"/>
      <c r="BDG52" s="1221"/>
      <c r="BDH52" s="1221"/>
      <c r="BDI52" s="1221"/>
      <c r="BDJ52" s="1221"/>
      <c r="BDK52" s="1221"/>
      <c r="BDL52" s="1221"/>
      <c r="BDM52" s="1221"/>
      <c r="BDN52" s="1221"/>
      <c r="BDO52" s="1221"/>
      <c r="BDP52" s="1221"/>
      <c r="BDQ52" s="1221"/>
      <c r="BDR52" s="1221"/>
      <c r="BDS52" s="1221"/>
      <c r="BDT52" s="1221"/>
      <c r="BDU52" s="1221"/>
      <c r="BDV52" s="1221"/>
      <c r="BDW52" s="1221"/>
      <c r="BDX52" s="1221"/>
      <c r="BDY52" s="1221"/>
      <c r="BDZ52" s="1221"/>
      <c r="BEA52" s="1221"/>
      <c r="BEB52" s="1221"/>
      <c r="BEC52" s="1221"/>
      <c r="BED52" s="1221"/>
      <c r="BEE52" s="1221"/>
      <c r="BEF52" s="1221"/>
      <c r="BEG52" s="1221"/>
      <c r="BEH52" s="1221"/>
      <c r="BEI52" s="1221"/>
      <c r="BEJ52" s="1221"/>
      <c r="BEK52" s="1221"/>
      <c r="BEL52" s="1221"/>
      <c r="BEM52" s="1221"/>
      <c r="BEN52" s="1221"/>
      <c r="BEO52" s="1221"/>
      <c r="BEP52" s="1221"/>
      <c r="BEQ52" s="1221"/>
      <c r="BER52" s="1221"/>
      <c r="BES52" s="1221"/>
      <c r="BET52" s="1221"/>
      <c r="BEU52" s="1221"/>
      <c r="BEV52" s="1221"/>
      <c r="BEW52" s="1221"/>
      <c r="BEX52" s="1221"/>
      <c r="BEY52" s="1221"/>
      <c r="BEZ52" s="1221"/>
      <c r="BFA52" s="1221"/>
      <c r="BFB52" s="1221"/>
      <c r="BFC52" s="1221"/>
      <c r="BFD52" s="1221"/>
      <c r="BFE52" s="1221"/>
      <c r="BFF52" s="1221"/>
      <c r="BFG52" s="1221"/>
      <c r="BFH52" s="1221"/>
      <c r="BFI52" s="1221"/>
      <c r="BFJ52" s="1221"/>
      <c r="BFK52" s="1221"/>
      <c r="BFL52" s="1221"/>
      <c r="BFM52" s="1221"/>
      <c r="BFN52" s="1221"/>
      <c r="BFO52" s="1221"/>
      <c r="BFP52" s="1221"/>
      <c r="BFQ52" s="1221"/>
      <c r="BFR52" s="1221"/>
      <c r="BFS52" s="1221"/>
      <c r="BFT52" s="1221"/>
      <c r="BFU52" s="1221"/>
      <c r="BFV52" s="1221"/>
      <c r="BFW52" s="1221"/>
      <c r="BFX52" s="1221"/>
      <c r="BFY52" s="1221"/>
      <c r="BFZ52" s="1221"/>
      <c r="BGA52" s="1221"/>
      <c r="BGB52" s="1221"/>
      <c r="BGC52" s="1221"/>
      <c r="BGD52" s="1221"/>
      <c r="BGE52" s="1221"/>
      <c r="BGF52" s="1221"/>
      <c r="BGG52" s="1221"/>
      <c r="BGH52" s="1221"/>
      <c r="BGI52" s="1221"/>
      <c r="BGJ52" s="1221"/>
      <c r="BGK52" s="1221"/>
      <c r="BGL52" s="1221"/>
      <c r="BGM52" s="1221"/>
      <c r="BGN52" s="1221"/>
      <c r="BGO52" s="1221"/>
      <c r="BGP52" s="1221"/>
      <c r="BGQ52" s="1221"/>
      <c r="BGR52" s="1221"/>
      <c r="BGS52" s="1221"/>
      <c r="BGT52" s="1221"/>
      <c r="BGU52" s="1221"/>
      <c r="BGV52" s="1221"/>
      <c r="BGW52" s="1221"/>
      <c r="BGX52" s="1221"/>
      <c r="BGY52" s="1221"/>
      <c r="BGZ52" s="1221"/>
      <c r="BHA52" s="1221"/>
      <c r="BHB52" s="1221"/>
      <c r="BHC52" s="1221"/>
      <c r="BHD52" s="1221"/>
      <c r="BHE52" s="1221"/>
      <c r="BHF52" s="1221"/>
      <c r="BHG52" s="1221"/>
      <c r="BHH52" s="1221"/>
      <c r="BHI52" s="1221"/>
      <c r="BHJ52" s="1221"/>
      <c r="BHK52" s="1221"/>
      <c r="BHL52" s="1221"/>
      <c r="BHM52" s="1221"/>
      <c r="BHN52" s="1221"/>
      <c r="BHO52" s="1221"/>
      <c r="BHP52" s="1221"/>
      <c r="BHQ52" s="1221"/>
      <c r="BHR52" s="1221"/>
      <c r="BHS52" s="1221"/>
      <c r="BHT52" s="1221"/>
      <c r="BHU52" s="1221"/>
      <c r="BHV52" s="1221"/>
      <c r="BHW52" s="1221"/>
      <c r="BHX52" s="1221"/>
      <c r="BHY52" s="1221"/>
      <c r="BHZ52" s="1221"/>
      <c r="BIA52" s="1221"/>
      <c r="BIB52" s="1221"/>
      <c r="BIC52" s="1221"/>
      <c r="BID52" s="1221"/>
      <c r="BIE52" s="1221"/>
      <c r="BIF52" s="1221"/>
      <c r="BIG52" s="1221"/>
      <c r="BIH52" s="1221"/>
      <c r="BII52" s="1221"/>
      <c r="BIJ52" s="1221"/>
      <c r="BIK52" s="1221"/>
      <c r="BIL52" s="1221"/>
      <c r="BIM52" s="1221"/>
      <c r="BIN52" s="1221"/>
      <c r="BIO52" s="1221"/>
      <c r="BIP52" s="1221"/>
      <c r="BIQ52" s="1221"/>
      <c r="BIR52" s="1221"/>
      <c r="BIS52" s="1221"/>
      <c r="BIT52" s="1221"/>
      <c r="BIU52" s="1221"/>
      <c r="BIV52" s="1221"/>
      <c r="BIW52" s="1221"/>
      <c r="BIX52" s="1221"/>
      <c r="BIY52" s="1221"/>
      <c r="BIZ52" s="1221"/>
      <c r="BJA52" s="1221"/>
      <c r="BJB52" s="1221"/>
      <c r="BJC52" s="1221"/>
      <c r="BJD52" s="1221"/>
      <c r="BJE52" s="1221"/>
      <c r="BJF52" s="1221"/>
      <c r="BJG52" s="1221"/>
      <c r="BJH52" s="1221"/>
      <c r="BJI52" s="1221"/>
      <c r="BJJ52" s="1221"/>
      <c r="BJK52" s="1221"/>
      <c r="BJL52" s="1221"/>
      <c r="BJM52" s="1221"/>
      <c r="BJN52" s="1221"/>
      <c r="BJO52" s="1221"/>
      <c r="BJP52" s="1221"/>
      <c r="BJQ52" s="1221"/>
      <c r="BJR52" s="1221"/>
      <c r="BJS52" s="1221"/>
      <c r="BJT52" s="1221"/>
      <c r="BJU52" s="1221"/>
      <c r="BJV52" s="1221"/>
      <c r="BJW52" s="1221"/>
      <c r="BJX52" s="1221"/>
      <c r="BJY52" s="1221"/>
      <c r="BJZ52" s="1221"/>
      <c r="BKA52" s="1221"/>
      <c r="BKB52" s="1221"/>
      <c r="BKC52" s="1221"/>
      <c r="BKD52" s="1221"/>
      <c r="BKE52" s="1221"/>
      <c r="BKF52" s="1221"/>
      <c r="BKG52" s="1221"/>
      <c r="BKH52" s="1221"/>
      <c r="BKI52" s="1221"/>
      <c r="BKJ52" s="1221"/>
      <c r="BKK52" s="1221"/>
      <c r="BKL52" s="1221"/>
      <c r="BKM52" s="1221"/>
      <c r="BKN52" s="1221"/>
      <c r="BKO52" s="1221"/>
      <c r="BKP52" s="1221"/>
      <c r="BKQ52" s="1221"/>
      <c r="BKR52" s="1221"/>
      <c r="BKS52" s="1221"/>
      <c r="BKT52" s="1221"/>
      <c r="BKU52" s="1221"/>
      <c r="BKV52" s="1221"/>
      <c r="BKW52" s="1221"/>
      <c r="BKX52" s="1221"/>
      <c r="BKY52" s="1221"/>
      <c r="BKZ52" s="1221"/>
      <c r="BLA52" s="1221"/>
      <c r="BLB52" s="1221"/>
      <c r="BLC52" s="1221"/>
      <c r="BLD52" s="1221"/>
      <c r="BLE52" s="1221"/>
      <c r="BLF52" s="1221"/>
      <c r="BLG52" s="1221"/>
      <c r="BLH52" s="1221"/>
      <c r="BLI52" s="1221"/>
      <c r="BLJ52" s="1221"/>
      <c r="BLK52" s="1221"/>
      <c r="BLL52" s="1221"/>
      <c r="BLM52" s="1221"/>
      <c r="BLN52" s="1221"/>
      <c r="BLO52" s="1221"/>
      <c r="BLP52" s="1221"/>
      <c r="BLQ52" s="1221"/>
      <c r="BLR52" s="1221"/>
      <c r="BLS52" s="1221"/>
      <c r="BLT52" s="1221"/>
      <c r="BLU52" s="1221"/>
      <c r="BLV52" s="1221"/>
      <c r="BLW52" s="1221"/>
      <c r="BLX52" s="1221"/>
      <c r="BLY52" s="1221"/>
      <c r="BLZ52" s="1221"/>
      <c r="BMA52" s="1221"/>
      <c r="BMB52" s="1221"/>
      <c r="BMC52" s="1221"/>
      <c r="BMD52" s="1221"/>
      <c r="BME52" s="1221"/>
      <c r="BMF52" s="1221"/>
      <c r="BMG52" s="1221"/>
      <c r="BMH52" s="1221"/>
      <c r="BMI52" s="1221"/>
      <c r="BMJ52" s="1221"/>
      <c r="BMK52" s="1221"/>
      <c r="BML52" s="1221"/>
      <c r="BMM52" s="1221"/>
      <c r="BMN52" s="1221"/>
      <c r="BMO52" s="1221"/>
      <c r="BMP52" s="1221"/>
      <c r="BMQ52" s="1221"/>
      <c r="BMR52" s="1221"/>
      <c r="BMS52" s="1221"/>
      <c r="BMT52" s="1221"/>
      <c r="BMU52" s="1221"/>
      <c r="BMV52" s="1221"/>
      <c r="BMW52" s="1221"/>
      <c r="BMX52" s="1221"/>
      <c r="BMY52" s="1221"/>
      <c r="BMZ52" s="1221"/>
      <c r="BNA52" s="1221"/>
      <c r="BNB52" s="1221"/>
      <c r="BNC52" s="1221"/>
      <c r="BND52" s="1221"/>
      <c r="BNE52" s="1221"/>
      <c r="BNF52" s="1221"/>
      <c r="BNG52" s="1221"/>
      <c r="BNH52" s="1221"/>
      <c r="BNI52" s="1221"/>
      <c r="BNJ52" s="1221"/>
      <c r="BNK52" s="1221"/>
      <c r="BNL52" s="1221"/>
      <c r="BNM52" s="1221"/>
      <c r="BNN52" s="1221"/>
      <c r="BNO52" s="1221"/>
      <c r="BNP52" s="1221"/>
      <c r="BNQ52" s="1221"/>
      <c r="BNR52" s="1221"/>
      <c r="BNS52" s="1221"/>
      <c r="BNT52" s="1221"/>
      <c r="BNU52" s="1221"/>
      <c r="BNV52" s="1221"/>
      <c r="BNW52" s="1221"/>
      <c r="BNX52" s="1221"/>
      <c r="BNY52" s="1221"/>
      <c r="BNZ52" s="1221"/>
      <c r="BOA52" s="1221"/>
      <c r="BOB52" s="1221"/>
      <c r="BOC52" s="1221"/>
      <c r="BOD52" s="1221"/>
      <c r="BOE52" s="1221"/>
      <c r="BOF52" s="1221"/>
      <c r="BOG52" s="1221"/>
      <c r="BOH52" s="1221"/>
      <c r="BOI52" s="1221"/>
      <c r="BOJ52" s="1221"/>
      <c r="BOK52" s="1221"/>
      <c r="BOL52" s="1221"/>
      <c r="BOM52" s="1221"/>
      <c r="BON52" s="1221"/>
      <c r="BOO52" s="1221"/>
      <c r="BOP52" s="1221"/>
      <c r="BOQ52" s="1221"/>
      <c r="BOR52" s="1221"/>
      <c r="BOS52" s="1221"/>
      <c r="BOT52" s="1221"/>
      <c r="BOU52" s="1221"/>
      <c r="BOV52" s="1221"/>
      <c r="BOW52" s="1221"/>
      <c r="BOX52" s="1221"/>
      <c r="BOY52" s="1221"/>
      <c r="BOZ52" s="1221"/>
      <c r="BPA52" s="1221"/>
      <c r="BPB52" s="1221"/>
      <c r="BPC52" s="1221"/>
      <c r="BPD52" s="1221"/>
      <c r="BPE52" s="1221"/>
      <c r="BPF52" s="1221"/>
      <c r="BPG52" s="1221"/>
      <c r="BPH52" s="1221"/>
      <c r="BPI52" s="1221"/>
      <c r="BPJ52" s="1221"/>
      <c r="BPK52" s="1221"/>
      <c r="BPL52" s="1221"/>
      <c r="BPM52" s="1221"/>
      <c r="BPN52" s="1221"/>
      <c r="BPO52" s="1221"/>
      <c r="BPP52" s="1221"/>
      <c r="BPQ52" s="1221"/>
      <c r="BPR52" s="1221"/>
      <c r="BPS52" s="1221"/>
      <c r="BPT52" s="1221"/>
      <c r="BPU52" s="1221"/>
      <c r="BPV52" s="1221"/>
      <c r="BPW52" s="1221"/>
      <c r="BPX52" s="1221"/>
      <c r="BPY52" s="1221"/>
      <c r="BPZ52" s="1221"/>
      <c r="BQA52" s="1221"/>
      <c r="BQB52" s="1221"/>
      <c r="BQC52" s="1221"/>
      <c r="BQD52" s="1221"/>
      <c r="BQE52" s="1221"/>
      <c r="BQF52" s="1221"/>
      <c r="BQG52" s="1221"/>
      <c r="BQH52" s="1221"/>
      <c r="BQI52" s="1221"/>
      <c r="BQJ52" s="1221"/>
      <c r="BQK52" s="1221"/>
      <c r="BQL52" s="1221"/>
      <c r="BQM52" s="1221"/>
      <c r="BQN52" s="1221"/>
      <c r="BQO52" s="1221"/>
      <c r="BQP52" s="1221"/>
      <c r="BQQ52" s="1221"/>
      <c r="BQR52" s="1221"/>
      <c r="BQS52" s="1221"/>
      <c r="BQT52" s="1221"/>
      <c r="BQU52" s="1221"/>
      <c r="BQV52" s="1221"/>
      <c r="BQW52" s="1221"/>
      <c r="BQX52" s="1221"/>
      <c r="BQY52" s="1221"/>
      <c r="BQZ52" s="1221"/>
      <c r="BRA52" s="1221"/>
      <c r="BRB52" s="1221"/>
      <c r="BRC52" s="1221"/>
      <c r="BRD52" s="1221"/>
      <c r="BRE52" s="1221"/>
      <c r="BRF52" s="1221"/>
      <c r="BRG52" s="1221"/>
      <c r="BRH52" s="1221"/>
      <c r="BRI52" s="1221"/>
      <c r="BRJ52" s="1221"/>
      <c r="BRK52" s="1221"/>
      <c r="BRL52" s="1221"/>
      <c r="BRM52" s="1221"/>
      <c r="BRN52" s="1221"/>
      <c r="BRO52" s="1221"/>
      <c r="BRP52" s="1221"/>
      <c r="BRQ52" s="1221"/>
      <c r="BRR52" s="1221"/>
      <c r="BRS52" s="1221"/>
      <c r="BRT52" s="1221"/>
      <c r="BRU52" s="1221"/>
      <c r="BRV52" s="1221"/>
      <c r="BRW52" s="1221"/>
      <c r="BRX52" s="1221"/>
      <c r="BRY52" s="1221"/>
      <c r="BRZ52" s="1221"/>
      <c r="BSA52" s="1221"/>
      <c r="BSB52" s="1221"/>
      <c r="BSC52" s="1221"/>
      <c r="BSD52" s="1221"/>
      <c r="BSE52" s="1221"/>
      <c r="BSF52" s="1221"/>
      <c r="BSG52" s="1221"/>
      <c r="BSH52" s="1221"/>
      <c r="BSI52" s="1221"/>
      <c r="BSJ52" s="1221"/>
      <c r="BSK52" s="1221"/>
      <c r="BSL52" s="1221"/>
      <c r="BSM52" s="1221"/>
      <c r="BSN52" s="1221"/>
      <c r="BSO52" s="1221"/>
      <c r="BSP52" s="1221"/>
      <c r="BSQ52" s="1221"/>
      <c r="BSR52" s="1221"/>
      <c r="BSS52" s="1221"/>
      <c r="BST52" s="1221"/>
      <c r="BSU52" s="1221"/>
      <c r="BSV52" s="1221"/>
      <c r="BSW52" s="1221"/>
      <c r="BSX52" s="1221"/>
      <c r="BSY52" s="1221"/>
      <c r="BSZ52" s="1221"/>
      <c r="BTA52" s="1221"/>
      <c r="BTB52" s="1221"/>
      <c r="BTC52" s="1221"/>
      <c r="BTD52" s="1221"/>
      <c r="BTE52" s="1221"/>
      <c r="BTF52" s="1221"/>
      <c r="BTG52" s="1221"/>
      <c r="BTH52" s="1221"/>
      <c r="BTI52" s="1221"/>
      <c r="BTJ52" s="1221"/>
      <c r="BTK52" s="1221"/>
      <c r="BTL52" s="1221"/>
      <c r="BTM52" s="1221"/>
      <c r="BTN52" s="1221"/>
      <c r="BTO52" s="1221"/>
      <c r="BTP52" s="1221"/>
      <c r="BTQ52" s="1221"/>
      <c r="BTR52" s="1221"/>
      <c r="BTS52" s="1221"/>
      <c r="BTT52" s="1221"/>
      <c r="BTU52" s="1221"/>
      <c r="BTV52" s="1221"/>
      <c r="BTW52" s="1221"/>
      <c r="BTX52" s="1221"/>
      <c r="BTY52" s="1221"/>
      <c r="BTZ52" s="1221"/>
      <c r="BUA52" s="1221"/>
      <c r="BUB52" s="1221"/>
      <c r="BUC52" s="1221"/>
      <c r="BUD52" s="1221"/>
      <c r="BUE52" s="1221"/>
      <c r="BUF52" s="1221"/>
      <c r="BUG52" s="1221"/>
      <c r="BUH52" s="1221"/>
      <c r="BUI52" s="1221"/>
      <c r="BUJ52" s="1221"/>
      <c r="BUK52" s="1221"/>
      <c r="BUL52" s="1221"/>
      <c r="BUM52" s="1221"/>
      <c r="BUN52" s="1221"/>
      <c r="BUO52" s="1221"/>
      <c r="BUP52" s="1221"/>
      <c r="BUQ52" s="1221"/>
      <c r="BUR52" s="1221"/>
      <c r="BUS52" s="1221"/>
      <c r="BUT52" s="1221"/>
      <c r="BUU52" s="1221"/>
      <c r="BUV52" s="1221"/>
      <c r="BUW52" s="1221"/>
      <c r="BUX52" s="1221"/>
      <c r="BUY52" s="1221"/>
      <c r="BUZ52" s="1221"/>
      <c r="BVA52" s="1221"/>
      <c r="BVB52" s="1221"/>
      <c r="BVC52" s="1221"/>
      <c r="BVD52" s="1221"/>
      <c r="BVE52" s="1221"/>
      <c r="BVF52" s="1221"/>
      <c r="BVG52" s="1221"/>
      <c r="BVH52" s="1221"/>
      <c r="BVI52" s="1221"/>
      <c r="BVJ52" s="1221"/>
      <c r="BVK52" s="1221"/>
      <c r="BVL52" s="1221"/>
      <c r="BVM52" s="1221"/>
      <c r="BVN52" s="1221"/>
      <c r="BVO52" s="1221"/>
      <c r="BVP52" s="1221"/>
      <c r="BVQ52" s="1221"/>
      <c r="BVR52" s="1221"/>
      <c r="BVS52" s="1221"/>
      <c r="BVT52" s="1221"/>
      <c r="BVU52" s="1221"/>
      <c r="BVV52" s="1221"/>
      <c r="BVW52" s="1221"/>
      <c r="BVX52" s="1221"/>
      <c r="BVY52" s="1221"/>
      <c r="BVZ52" s="1221"/>
      <c r="BWA52" s="1221"/>
      <c r="BWB52" s="1221"/>
      <c r="BWC52" s="1221"/>
      <c r="BWD52" s="1221"/>
      <c r="BWE52" s="1221"/>
      <c r="BWF52" s="1221"/>
      <c r="BWG52" s="1221"/>
      <c r="BWH52" s="1221"/>
      <c r="BWI52" s="1221"/>
      <c r="BWJ52" s="1221"/>
      <c r="BWK52" s="1221"/>
      <c r="BWL52" s="1221"/>
      <c r="BWM52" s="1221"/>
      <c r="BWN52" s="1221"/>
      <c r="BWO52" s="1221"/>
      <c r="BWP52" s="1221"/>
      <c r="BWQ52" s="1221"/>
      <c r="BWR52" s="1221"/>
      <c r="BWS52" s="1221"/>
      <c r="BWT52" s="1221"/>
      <c r="BWU52" s="1221"/>
      <c r="BWV52" s="1221"/>
      <c r="BWW52" s="1221"/>
      <c r="BWX52" s="1221"/>
      <c r="BWY52" s="1221"/>
      <c r="BWZ52" s="1221"/>
      <c r="BXA52" s="1221"/>
      <c r="BXB52" s="1221"/>
      <c r="BXC52" s="1221"/>
      <c r="BXD52" s="1221"/>
      <c r="BXE52" s="1221"/>
      <c r="BXF52" s="1221"/>
      <c r="BXG52" s="1221"/>
      <c r="BXH52" s="1221"/>
      <c r="BXI52" s="1221"/>
      <c r="BXJ52" s="1221"/>
      <c r="BXK52" s="1221"/>
      <c r="BXL52" s="1221"/>
      <c r="BXM52" s="1221"/>
      <c r="BXN52" s="1221"/>
      <c r="BXO52" s="1221"/>
      <c r="BXP52" s="1221"/>
      <c r="BXQ52" s="1221"/>
      <c r="BXR52" s="1221"/>
      <c r="BXS52" s="1221"/>
      <c r="BXT52" s="1221"/>
      <c r="BXU52" s="1221"/>
      <c r="BXV52" s="1221"/>
      <c r="BXW52" s="1221"/>
      <c r="BXX52" s="1221"/>
      <c r="BXY52" s="1221"/>
      <c r="BXZ52" s="1221"/>
      <c r="BYA52" s="1221"/>
      <c r="BYB52" s="1221"/>
      <c r="BYC52" s="1221"/>
      <c r="BYD52" s="1221"/>
      <c r="BYE52" s="1221"/>
      <c r="BYF52" s="1221"/>
      <c r="BYG52" s="1221"/>
      <c r="BYH52" s="1221"/>
      <c r="BYI52" s="1221"/>
      <c r="BYJ52" s="1221"/>
      <c r="BYK52" s="1221"/>
      <c r="BYL52" s="1221"/>
      <c r="BYM52" s="1221"/>
      <c r="BYN52" s="1221"/>
      <c r="BYO52" s="1221"/>
      <c r="BYP52" s="1221"/>
      <c r="BYQ52" s="1221"/>
      <c r="BYR52" s="1221"/>
      <c r="BYS52" s="1221"/>
      <c r="BYT52" s="1221"/>
      <c r="BYU52" s="1221"/>
      <c r="BYV52" s="1221"/>
      <c r="BYW52" s="1221"/>
      <c r="BYX52" s="1221"/>
      <c r="BYY52" s="1221"/>
      <c r="BYZ52" s="1221"/>
      <c r="BZA52" s="1221"/>
      <c r="BZB52" s="1221"/>
      <c r="BZC52" s="1221"/>
      <c r="BZD52" s="1221"/>
      <c r="BZE52" s="1221"/>
      <c r="BZF52" s="1221"/>
      <c r="BZG52" s="1221"/>
      <c r="BZH52" s="1221"/>
      <c r="BZI52" s="1221"/>
      <c r="BZJ52" s="1221"/>
      <c r="BZK52" s="1221"/>
      <c r="BZL52" s="1221"/>
      <c r="BZM52" s="1221"/>
      <c r="BZN52" s="1221"/>
      <c r="BZO52" s="1221"/>
      <c r="BZP52" s="1221"/>
      <c r="BZQ52" s="1221"/>
      <c r="BZR52" s="1221"/>
      <c r="BZS52" s="1221"/>
      <c r="BZT52" s="1221"/>
      <c r="BZU52" s="1221"/>
      <c r="BZV52" s="1221"/>
      <c r="BZW52" s="1221"/>
      <c r="BZX52" s="1221"/>
      <c r="BZY52" s="1221"/>
      <c r="BZZ52" s="1221"/>
      <c r="CAA52" s="1221"/>
      <c r="CAB52" s="1221"/>
      <c r="CAC52" s="1221"/>
      <c r="CAD52" s="1221"/>
      <c r="CAE52" s="1221"/>
      <c r="CAF52" s="1221"/>
      <c r="CAG52" s="1221"/>
      <c r="CAH52" s="1221"/>
      <c r="CAI52" s="1221"/>
      <c r="CAJ52" s="1221"/>
      <c r="CAK52" s="1221"/>
      <c r="CAL52" s="1221"/>
      <c r="CAM52" s="1221"/>
      <c r="CAN52" s="1221"/>
      <c r="CAO52" s="1221"/>
      <c r="CAP52" s="1221"/>
      <c r="CAQ52" s="1221"/>
      <c r="CAR52" s="1221"/>
      <c r="CAS52" s="1221"/>
      <c r="CAT52" s="1221"/>
      <c r="CAU52" s="1221"/>
      <c r="CAV52" s="1221"/>
      <c r="CAW52" s="1221"/>
      <c r="CAX52" s="1221"/>
      <c r="CAY52" s="1221"/>
      <c r="CAZ52" s="1221"/>
      <c r="CBA52" s="1221"/>
      <c r="CBB52" s="1221"/>
      <c r="CBC52" s="1221"/>
      <c r="CBD52" s="1221"/>
      <c r="CBE52" s="1221"/>
      <c r="CBF52" s="1221"/>
      <c r="CBG52" s="1221"/>
      <c r="CBH52" s="1221"/>
      <c r="CBI52" s="1221"/>
      <c r="CBJ52" s="1221"/>
      <c r="CBK52" s="1221"/>
      <c r="CBL52" s="1221"/>
      <c r="CBM52" s="1221"/>
      <c r="CBN52" s="1221"/>
      <c r="CBO52" s="1221"/>
      <c r="CBP52" s="1221"/>
      <c r="CBQ52" s="1221"/>
      <c r="CBR52" s="1221"/>
      <c r="CBS52" s="1221"/>
      <c r="CBT52" s="1221"/>
      <c r="CBU52" s="1221"/>
      <c r="CBV52" s="1221"/>
      <c r="CBW52" s="1221"/>
      <c r="CBX52" s="1221"/>
      <c r="CBY52" s="1221"/>
      <c r="CBZ52" s="1221"/>
      <c r="CCA52" s="1221"/>
      <c r="CCB52" s="1221"/>
      <c r="CCC52" s="1221"/>
      <c r="CCD52" s="1221"/>
      <c r="CCE52" s="1221"/>
      <c r="CCF52" s="1221"/>
      <c r="CCG52" s="1221"/>
      <c r="CCH52" s="1221"/>
      <c r="CCI52" s="1221"/>
      <c r="CCJ52" s="1221"/>
      <c r="CCK52" s="1221"/>
      <c r="CCL52" s="1221"/>
      <c r="CCM52" s="1221"/>
      <c r="CCN52" s="1221"/>
      <c r="CCO52" s="1221"/>
      <c r="CCP52" s="1221"/>
      <c r="CCQ52" s="1221"/>
      <c r="CCR52" s="1221"/>
      <c r="CCS52" s="1221"/>
      <c r="CCT52" s="1221"/>
      <c r="CCU52" s="1221"/>
      <c r="CCV52" s="1221"/>
      <c r="CCW52" s="1221"/>
      <c r="CCX52" s="1221"/>
      <c r="CCY52" s="1221"/>
      <c r="CCZ52" s="1221"/>
      <c r="CDA52" s="1221"/>
      <c r="CDB52" s="1221"/>
      <c r="CDC52" s="1221"/>
      <c r="CDD52" s="1221"/>
      <c r="CDE52" s="1221"/>
      <c r="CDF52" s="1221"/>
      <c r="CDG52" s="1221"/>
      <c r="CDH52" s="1221"/>
      <c r="CDI52" s="1221"/>
      <c r="CDJ52" s="1221"/>
      <c r="CDK52" s="1221"/>
      <c r="CDL52" s="1221"/>
      <c r="CDM52" s="1221"/>
      <c r="CDN52" s="1221"/>
      <c r="CDO52" s="1221"/>
      <c r="CDP52" s="1221"/>
      <c r="CDQ52" s="1221"/>
      <c r="CDR52" s="1221"/>
      <c r="CDS52" s="1221"/>
      <c r="CDT52" s="1221"/>
      <c r="CDU52" s="1221"/>
      <c r="CDV52" s="1221"/>
      <c r="CDW52" s="1221"/>
      <c r="CDX52" s="1221"/>
      <c r="CDY52" s="1221"/>
      <c r="CDZ52" s="1221"/>
      <c r="CEA52" s="1221"/>
      <c r="CEB52" s="1221"/>
      <c r="CEC52" s="1221"/>
      <c r="CED52" s="1221"/>
      <c r="CEE52" s="1221"/>
      <c r="CEF52" s="1221"/>
      <c r="CEG52" s="1221"/>
      <c r="CEH52" s="1221"/>
      <c r="CEI52" s="1221"/>
      <c r="CEJ52" s="1221"/>
      <c r="CEK52" s="1221"/>
      <c r="CEL52" s="1221"/>
      <c r="CEM52" s="1221"/>
      <c r="CEN52" s="1221"/>
      <c r="CEO52" s="1221"/>
      <c r="CEP52" s="1221"/>
      <c r="CEQ52" s="1221"/>
      <c r="CER52" s="1221"/>
      <c r="CES52" s="1221"/>
      <c r="CET52" s="1221"/>
      <c r="CEU52" s="1221"/>
      <c r="CEV52" s="1221"/>
      <c r="CEW52" s="1221"/>
      <c r="CEX52" s="1221"/>
      <c r="CEY52" s="1221"/>
      <c r="CEZ52" s="1221"/>
      <c r="CFA52" s="1221"/>
      <c r="CFB52" s="1221"/>
      <c r="CFC52" s="1221"/>
      <c r="CFD52" s="1221"/>
      <c r="CFE52" s="1221"/>
      <c r="CFF52" s="1221"/>
      <c r="CFG52" s="1221"/>
      <c r="CFH52" s="1221"/>
      <c r="CFI52" s="1221"/>
      <c r="CFJ52" s="1221"/>
      <c r="CFK52" s="1221"/>
      <c r="CFL52" s="1221"/>
      <c r="CFM52" s="1221"/>
      <c r="CFN52" s="1221"/>
      <c r="CFO52" s="1221"/>
      <c r="CFP52" s="1221"/>
      <c r="CFQ52" s="1221"/>
      <c r="CFR52" s="1221"/>
      <c r="CFS52" s="1221"/>
      <c r="CFT52" s="1221"/>
      <c r="CFU52" s="1221"/>
      <c r="CFV52" s="1221"/>
      <c r="CFW52" s="1221"/>
      <c r="CFX52" s="1221"/>
      <c r="CFY52" s="1221"/>
      <c r="CFZ52" s="1221"/>
      <c r="CGA52" s="1221"/>
      <c r="CGB52" s="1221"/>
      <c r="CGC52" s="1221"/>
      <c r="CGD52" s="1221"/>
      <c r="CGE52" s="1221"/>
      <c r="CGF52" s="1221"/>
      <c r="CGG52" s="1221"/>
      <c r="CGH52" s="1221"/>
      <c r="CGI52" s="1221"/>
      <c r="CGJ52" s="1221"/>
      <c r="CGK52" s="1221"/>
      <c r="CGL52" s="1221"/>
      <c r="CGM52" s="1221"/>
      <c r="CGN52" s="1221"/>
      <c r="CGO52" s="1221"/>
      <c r="CGP52" s="1221"/>
      <c r="CGQ52" s="1221"/>
      <c r="CGR52" s="1221"/>
      <c r="CGS52" s="1221"/>
      <c r="CGT52" s="1221"/>
      <c r="CGU52" s="1221"/>
      <c r="CGV52" s="1221"/>
      <c r="CGW52" s="1221"/>
      <c r="CGX52" s="1221"/>
      <c r="CGY52" s="1221"/>
      <c r="CGZ52" s="1221"/>
      <c r="CHA52" s="1221"/>
      <c r="CHB52" s="1221"/>
      <c r="CHC52" s="1221"/>
      <c r="CHD52" s="1221"/>
      <c r="CHE52" s="1221"/>
      <c r="CHF52" s="1221"/>
      <c r="CHG52" s="1221"/>
      <c r="CHH52" s="1221"/>
      <c r="CHI52" s="1221"/>
      <c r="CHJ52" s="1221"/>
      <c r="CHK52" s="1221"/>
      <c r="CHL52" s="1221"/>
      <c r="CHM52" s="1221"/>
      <c r="CHN52" s="1221"/>
      <c r="CHO52" s="1221"/>
      <c r="CHP52" s="1221"/>
      <c r="CHQ52" s="1221"/>
      <c r="CHR52" s="1221"/>
      <c r="CHS52" s="1221"/>
      <c r="CHT52" s="1221"/>
      <c r="CHU52" s="1221"/>
      <c r="CHV52" s="1221"/>
      <c r="CHW52" s="1221"/>
      <c r="CHX52" s="1221"/>
      <c r="CHY52" s="1221"/>
      <c r="CHZ52" s="1221"/>
      <c r="CIA52" s="1221"/>
      <c r="CIB52" s="1221"/>
      <c r="CIC52" s="1221"/>
      <c r="CID52" s="1221"/>
      <c r="CIE52" s="1221"/>
      <c r="CIF52" s="1221"/>
      <c r="CIG52" s="1221"/>
      <c r="CIH52" s="1221"/>
      <c r="CII52" s="1221"/>
      <c r="CIJ52" s="1221"/>
      <c r="CIK52" s="1221"/>
      <c r="CIL52" s="1221"/>
      <c r="CIM52" s="1221"/>
      <c r="CIN52" s="1221"/>
      <c r="CIO52" s="1221"/>
      <c r="CIP52" s="1221"/>
      <c r="CIQ52" s="1221"/>
      <c r="CIR52" s="1221"/>
      <c r="CIS52" s="1221"/>
      <c r="CIT52" s="1221"/>
      <c r="CIU52" s="1221"/>
      <c r="CIV52" s="1221"/>
      <c r="CIW52" s="1221"/>
      <c r="CIX52" s="1221"/>
      <c r="CIY52" s="1221"/>
      <c r="CIZ52" s="1221"/>
      <c r="CJA52" s="1221"/>
      <c r="CJB52" s="1221"/>
      <c r="CJC52" s="1221"/>
      <c r="CJD52" s="1221"/>
      <c r="CJE52" s="1221"/>
      <c r="CJF52" s="1221"/>
      <c r="CJG52" s="1221"/>
      <c r="CJH52" s="1221"/>
      <c r="CJI52" s="1221"/>
      <c r="CJJ52" s="1221"/>
      <c r="CJK52" s="1221"/>
      <c r="CJL52" s="1221"/>
      <c r="CJM52" s="1221"/>
      <c r="CJN52" s="1221"/>
      <c r="CJO52" s="1221"/>
      <c r="CJP52" s="1221"/>
      <c r="CJQ52" s="1221"/>
      <c r="CJR52" s="1221"/>
      <c r="CJS52" s="1221"/>
      <c r="CJT52" s="1221"/>
      <c r="CJU52" s="1221"/>
      <c r="CJV52" s="1221"/>
      <c r="CJW52" s="1221"/>
      <c r="CJX52" s="1221"/>
      <c r="CJY52" s="1221"/>
      <c r="CJZ52" s="1221"/>
      <c r="CKA52" s="1221"/>
      <c r="CKB52" s="1221"/>
      <c r="CKC52" s="1221"/>
      <c r="CKD52" s="1221"/>
      <c r="CKE52" s="1221"/>
      <c r="CKF52" s="1221"/>
      <c r="CKG52" s="1221"/>
      <c r="CKH52" s="1221"/>
      <c r="CKI52" s="1221"/>
      <c r="CKJ52" s="1221"/>
      <c r="CKK52" s="1221"/>
      <c r="CKL52" s="1221"/>
      <c r="CKM52" s="1221"/>
      <c r="CKN52" s="1221"/>
      <c r="CKO52" s="1221"/>
      <c r="CKP52" s="1221"/>
      <c r="CKQ52" s="1221"/>
      <c r="CKR52" s="1221"/>
      <c r="CKS52" s="1221"/>
      <c r="CKT52" s="1221"/>
      <c r="CKU52" s="1221"/>
      <c r="CKV52" s="1221"/>
      <c r="CKW52" s="1221"/>
      <c r="CKX52" s="1221"/>
      <c r="CKY52" s="1221"/>
      <c r="CKZ52" s="1221"/>
      <c r="CLA52" s="1221"/>
      <c r="CLB52" s="1221"/>
      <c r="CLC52" s="1221"/>
      <c r="CLD52" s="1221"/>
      <c r="CLE52" s="1221"/>
      <c r="CLF52" s="1221"/>
      <c r="CLG52" s="1221"/>
      <c r="CLH52" s="1221"/>
      <c r="CLI52" s="1221"/>
      <c r="CLJ52" s="1221"/>
      <c r="CLK52" s="1221"/>
      <c r="CLL52" s="1221"/>
      <c r="CLM52" s="1221"/>
      <c r="CLN52" s="1221"/>
      <c r="CLO52" s="1221"/>
      <c r="CLP52" s="1221"/>
      <c r="CLQ52" s="1221"/>
      <c r="CLR52" s="1221"/>
      <c r="CLS52" s="1221"/>
      <c r="CLT52" s="1221"/>
      <c r="CLU52" s="1221"/>
      <c r="CLV52" s="1221"/>
      <c r="CLW52" s="1221"/>
      <c r="CLX52" s="1221"/>
      <c r="CLY52" s="1221"/>
      <c r="CLZ52" s="1221"/>
      <c r="CMA52" s="1221"/>
      <c r="CMB52" s="1221"/>
      <c r="CMC52" s="1221"/>
      <c r="CMD52" s="1221"/>
      <c r="CME52" s="1221"/>
      <c r="CMF52" s="1221"/>
      <c r="CMG52" s="1221"/>
      <c r="CMH52" s="1221"/>
      <c r="CMI52" s="1221"/>
      <c r="CMJ52" s="1221"/>
      <c r="CMK52" s="1221"/>
      <c r="CML52" s="1221"/>
      <c r="CMM52" s="1221"/>
      <c r="CMN52" s="1221"/>
      <c r="CMO52" s="1221"/>
      <c r="CMP52" s="1221"/>
      <c r="CMQ52" s="1221"/>
      <c r="CMR52" s="1221"/>
      <c r="CMS52" s="1221"/>
      <c r="CMT52" s="1221"/>
      <c r="CMU52" s="1221"/>
      <c r="CMV52" s="1221"/>
      <c r="CMW52" s="1221"/>
      <c r="CMX52" s="1221"/>
      <c r="CMY52" s="1221"/>
      <c r="CMZ52" s="1221"/>
      <c r="CNA52" s="1221"/>
      <c r="CNB52" s="1221"/>
      <c r="CNC52" s="1221"/>
      <c r="CND52" s="1221"/>
      <c r="CNE52" s="1221"/>
      <c r="CNF52" s="1221"/>
      <c r="CNG52" s="1221"/>
      <c r="CNH52" s="1221"/>
      <c r="CNI52" s="1221"/>
      <c r="CNJ52" s="1221"/>
      <c r="CNK52" s="1221"/>
      <c r="CNL52" s="1221"/>
      <c r="CNM52" s="1221"/>
      <c r="CNN52" s="1221"/>
      <c r="CNO52" s="1221"/>
      <c r="CNP52" s="1221"/>
      <c r="CNQ52" s="1221"/>
      <c r="CNR52" s="1221"/>
      <c r="CNS52" s="1221"/>
      <c r="CNT52" s="1221"/>
      <c r="CNU52" s="1221"/>
      <c r="CNV52" s="1221"/>
      <c r="CNW52" s="1221"/>
      <c r="CNX52" s="1221"/>
      <c r="CNY52" s="1221"/>
      <c r="CNZ52" s="1221"/>
      <c r="COA52" s="1221"/>
      <c r="COB52" s="1221"/>
      <c r="COC52" s="1221"/>
      <c r="COD52" s="1221"/>
      <c r="COE52" s="1221"/>
      <c r="COF52" s="1221"/>
      <c r="COG52" s="1221"/>
      <c r="COH52" s="1221"/>
      <c r="COI52" s="1221"/>
      <c r="COJ52" s="1221"/>
      <c r="COK52" s="1221"/>
      <c r="COL52" s="1221"/>
      <c r="COM52" s="1221"/>
      <c r="CON52" s="1221"/>
      <c r="COO52" s="1221"/>
      <c r="COP52" s="1221"/>
      <c r="COQ52" s="1221"/>
      <c r="COR52" s="1221"/>
      <c r="COS52" s="1221"/>
      <c r="COT52" s="1221"/>
      <c r="COU52" s="1221"/>
      <c r="COV52" s="1221"/>
      <c r="COW52" s="1221"/>
      <c r="COX52" s="1221"/>
      <c r="COY52" s="1221"/>
      <c r="COZ52" s="1221"/>
      <c r="CPA52" s="1221"/>
      <c r="CPB52" s="1221"/>
      <c r="CPC52" s="1221"/>
      <c r="CPD52" s="1221"/>
      <c r="CPE52" s="1221"/>
      <c r="CPF52" s="1221"/>
      <c r="CPG52" s="1221"/>
      <c r="CPH52" s="1221"/>
      <c r="CPI52" s="1221"/>
      <c r="CPJ52" s="1221"/>
      <c r="CPK52" s="1221"/>
      <c r="CPL52" s="1221"/>
      <c r="CPM52" s="1221"/>
      <c r="CPN52" s="1221"/>
      <c r="CPO52" s="1221"/>
      <c r="CPP52" s="1221"/>
      <c r="CPQ52" s="1221"/>
      <c r="CPR52" s="1221"/>
      <c r="CPS52" s="1221"/>
      <c r="CPT52" s="1221"/>
      <c r="CPU52" s="1221"/>
      <c r="CPV52" s="1221"/>
      <c r="CPW52" s="1221"/>
      <c r="CPX52" s="1221"/>
      <c r="CPY52" s="1221"/>
      <c r="CPZ52" s="1221"/>
      <c r="CQA52" s="1221"/>
      <c r="CQB52" s="1221"/>
      <c r="CQC52" s="1221"/>
      <c r="CQD52" s="1221"/>
      <c r="CQE52" s="1221"/>
      <c r="CQF52" s="1221"/>
      <c r="CQG52" s="1221"/>
      <c r="CQH52" s="1221"/>
      <c r="CQI52" s="1221"/>
      <c r="CQJ52" s="1221"/>
      <c r="CQK52" s="1221"/>
      <c r="CQL52" s="1221"/>
      <c r="CQM52" s="1221"/>
      <c r="CQN52" s="1221"/>
      <c r="CQO52" s="1221"/>
      <c r="CQP52" s="1221"/>
      <c r="CQQ52" s="1221"/>
      <c r="CQR52" s="1221"/>
      <c r="CQS52" s="1221"/>
      <c r="CQT52" s="1221"/>
      <c r="CQU52" s="1221"/>
      <c r="CQV52" s="1221"/>
      <c r="CQW52" s="1221"/>
      <c r="CQX52" s="1221"/>
      <c r="CQY52" s="1221"/>
      <c r="CQZ52" s="1221"/>
      <c r="CRA52" s="1221"/>
      <c r="CRB52" s="1221"/>
      <c r="CRC52" s="1221"/>
      <c r="CRD52" s="1221"/>
      <c r="CRE52" s="1221"/>
      <c r="CRF52" s="1221"/>
      <c r="CRG52" s="1221"/>
      <c r="CRH52" s="1221"/>
      <c r="CRI52" s="1221"/>
      <c r="CRJ52" s="1221"/>
      <c r="CRK52" s="1221"/>
      <c r="CRL52" s="1221"/>
      <c r="CRM52" s="1221"/>
      <c r="CRN52" s="1221"/>
      <c r="CRO52" s="1221"/>
      <c r="CRP52" s="1221"/>
      <c r="CRQ52" s="1221"/>
      <c r="CRR52" s="1221"/>
      <c r="CRS52" s="1221"/>
      <c r="CRT52" s="1221"/>
      <c r="CRU52" s="1221"/>
      <c r="CRV52" s="1221"/>
      <c r="CRW52" s="1221"/>
      <c r="CRX52" s="1221"/>
      <c r="CRY52" s="1221"/>
      <c r="CRZ52" s="1221"/>
      <c r="CSA52" s="1221"/>
      <c r="CSB52" s="1221"/>
      <c r="CSC52" s="1221"/>
      <c r="CSD52" s="1221"/>
      <c r="CSE52" s="1221"/>
      <c r="CSF52" s="1221"/>
      <c r="CSG52" s="1221"/>
      <c r="CSH52" s="1221"/>
      <c r="CSI52" s="1221"/>
      <c r="CSJ52" s="1221"/>
      <c r="CSK52" s="1221"/>
      <c r="CSL52" s="1221"/>
      <c r="CSM52" s="1221"/>
      <c r="CSN52" s="1221"/>
      <c r="CSO52" s="1221"/>
      <c r="CSP52" s="1221"/>
      <c r="CSQ52" s="1221"/>
      <c r="CSR52" s="1221"/>
      <c r="CSS52" s="1221"/>
      <c r="CST52" s="1221"/>
      <c r="CSU52" s="1221"/>
      <c r="CSV52" s="1221"/>
      <c r="CSW52" s="1221"/>
      <c r="CSX52" s="1221"/>
      <c r="CSY52" s="1221"/>
      <c r="CSZ52" s="1221"/>
      <c r="CTA52" s="1221"/>
      <c r="CTB52" s="1221"/>
      <c r="CTC52" s="1221"/>
      <c r="CTD52" s="1221"/>
      <c r="CTE52" s="1221"/>
      <c r="CTF52" s="1221"/>
      <c r="CTG52" s="1221"/>
      <c r="CTH52" s="1221"/>
      <c r="CTI52" s="1221"/>
      <c r="CTJ52" s="1221"/>
      <c r="CTK52" s="1221"/>
      <c r="CTL52" s="1221"/>
      <c r="CTM52" s="1221"/>
      <c r="CTN52" s="1221"/>
      <c r="CTO52" s="1221"/>
      <c r="CTP52" s="1221"/>
      <c r="CTQ52" s="1221"/>
      <c r="CTR52" s="1221"/>
      <c r="CTS52" s="1221"/>
      <c r="CTT52" s="1221"/>
      <c r="CTU52" s="1221"/>
      <c r="CTV52" s="1221"/>
      <c r="CTW52" s="1221"/>
      <c r="CTX52" s="1221"/>
      <c r="CTY52" s="1221"/>
      <c r="CTZ52" s="1221"/>
      <c r="CUA52" s="1221"/>
      <c r="CUB52" s="1221"/>
      <c r="CUC52" s="1221"/>
      <c r="CUD52" s="1221"/>
      <c r="CUE52" s="1221"/>
      <c r="CUF52" s="1221"/>
      <c r="CUG52" s="1221"/>
      <c r="CUH52" s="1221"/>
      <c r="CUI52" s="1221"/>
      <c r="CUJ52" s="1221"/>
      <c r="CUK52" s="1221"/>
      <c r="CUL52" s="1221"/>
      <c r="CUM52" s="1221"/>
      <c r="CUN52" s="1221"/>
      <c r="CUO52" s="1221"/>
      <c r="CUP52" s="1221"/>
      <c r="CUQ52" s="1221"/>
      <c r="CUR52" s="1221"/>
      <c r="CUS52" s="1221"/>
      <c r="CUT52" s="1221"/>
      <c r="CUU52" s="1221"/>
      <c r="CUV52" s="1221"/>
      <c r="CUW52" s="1221"/>
      <c r="CUX52" s="1221"/>
      <c r="CUY52" s="1221"/>
      <c r="CUZ52" s="1221"/>
      <c r="CVA52" s="1221"/>
      <c r="CVB52" s="1221"/>
      <c r="CVC52" s="1221"/>
      <c r="CVD52" s="1221"/>
      <c r="CVE52" s="1221"/>
      <c r="CVF52" s="1221"/>
      <c r="CVG52" s="1221"/>
      <c r="CVH52" s="1221"/>
      <c r="CVI52" s="1221"/>
      <c r="CVJ52" s="1221"/>
      <c r="CVK52" s="1221"/>
      <c r="CVL52" s="1221"/>
      <c r="CVM52" s="1221"/>
      <c r="CVN52" s="1221"/>
      <c r="CVO52" s="1221"/>
      <c r="CVP52" s="1221"/>
      <c r="CVQ52" s="1221"/>
      <c r="CVR52" s="1221"/>
      <c r="CVS52" s="1221"/>
      <c r="CVT52" s="1221"/>
      <c r="CVU52" s="1221"/>
      <c r="CVV52" s="1221"/>
      <c r="CVW52" s="1221"/>
      <c r="CVX52" s="1221"/>
      <c r="CVY52" s="1221"/>
      <c r="CVZ52" s="1221"/>
      <c r="CWA52" s="1221"/>
      <c r="CWB52" s="1221"/>
      <c r="CWC52" s="1221"/>
      <c r="CWD52" s="1221"/>
      <c r="CWE52" s="1221"/>
      <c r="CWF52" s="1221"/>
      <c r="CWG52" s="1221"/>
      <c r="CWH52" s="1221"/>
      <c r="CWI52" s="1221"/>
      <c r="CWJ52" s="1221"/>
      <c r="CWK52" s="1221"/>
      <c r="CWL52" s="1221"/>
      <c r="CWM52" s="1221"/>
      <c r="CWN52" s="1221"/>
      <c r="CWO52" s="1221"/>
      <c r="CWP52" s="1221"/>
      <c r="CWQ52" s="1221"/>
      <c r="CWR52" s="1221"/>
      <c r="CWS52" s="1221"/>
      <c r="CWT52" s="1221"/>
      <c r="CWU52" s="1221"/>
      <c r="CWV52" s="1221"/>
      <c r="CWW52" s="1221"/>
      <c r="CWX52" s="1221"/>
      <c r="CWY52" s="1221"/>
      <c r="CWZ52" s="1221"/>
      <c r="CXA52" s="1221"/>
      <c r="CXB52" s="1221"/>
      <c r="CXC52" s="1221"/>
      <c r="CXD52" s="1221"/>
      <c r="CXE52" s="1221"/>
      <c r="CXF52" s="1221"/>
      <c r="CXG52" s="1221"/>
      <c r="CXH52" s="1221"/>
      <c r="CXI52" s="1221"/>
      <c r="CXJ52" s="1221"/>
      <c r="CXK52" s="1221"/>
      <c r="CXL52" s="1221"/>
      <c r="CXM52" s="1221"/>
      <c r="CXN52" s="1221"/>
      <c r="CXO52" s="1221"/>
      <c r="CXP52" s="1221"/>
      <c r="CXQ52" s="1221"/>
      <c r="CXR52" s="1221"/>
      <c r="CXS52" s="1221"/>
      <c r="CXT52" s="1221"/>
      <c r="CXU52" s="1221"/>
      <c r="CXV52" s="1221"/>
      <c r="CXW52" s="1221"/>
      <c r="CXX52" s="1221"/>
      <c r="CXY52" s="1221"/>
      <c r="CXZ52" s="1221"/>
      <c r="CYA52" s="1221"/>
      <c r="CYB52" s="1221"/>
      <c r="CYC52" s="1221"/>
      <c r="CYD52" s="1221"/>
      <c r="CYE52" s="1221"/>
      <c r="CYF52" s="1221"/>
      <c r="CYG52" s="1221"/>
      <c r="CYH52" s="1221"/>
      <c r="CYI52" s="1221"/>
      <c r="CYJ52" s="1221"/>
      <c r="CYK52" s="1221"/>
      <c r="CYL52" s="1221"/>
      <c r="CYM52" s="1221"/>
      <c r="CYN52" s="1221"/>
      <c r="CYO52" s="1221"/>
      <c r="CYP52" s="1221"/>
      <c r="CYQ52" s="1221"/>
      <c r="CYR52" s="1221"/>
      <c r="CYS52" s="1221"/>
      <c r="CYT52" s="1221"/>
      <c r="CYU52" s="1221"/>
      <c r="CYV52" s="1221"/>
      <c r="CYW52" s="1221"/>
      <c r="CYX52" s="1221"/>
      <c r="CYY52" s="1221"/>
      <c r="CYZ52" s="1221"/>
      <c r="CZA52" s="1221"/>
      <c r="CZB52" s="1221"/>
      <c r="CZC52" s="1221"/>
      <c r="CZD52" s="1221"/>
      <c r="CZE52" s="1221"/>
      <c r="CZF52" s="1221"/>
      <c r="CZG52" s="1221"/>
      <c r="CZH52" s="1221"/>
      <c r="CZI52" s="1221"/>
      <c r="CZJ52" s="1221"/>
      <c r="CZK52" s="1221"/>
      <c r="CZL52" s="1221"/>
      <c r="CZM52" s="1221"/>
      <c r="CZN52" s="1221"/>
      <c r="CZO52" s="1221"/>
      <c r="CZP52" s="1221"/>
      <c r="CZQ52" s="1221"/>
      <c r="CZR52" s="1221"/>
      <c r="CZS52" s="1221"/>
      <c r="CZT52" s="1221"/>
      <c r="CZU52" s="1221"/>
      <c r="CZV52" s="1221"/>
      <c r="CZW52" s="1221"/>
      <c r="CZX52" s="1221"/>
      <c r="CZY52" s="1221"/>
      <c r="CZZ52" s="1221"/>
      <c r="DAA52" s="1221"/>
      <c r="DAB52" s="1221"/>
      <c r="DAC52" s="1221"/>
      <c r="DAD52" s="1221"/>
      <c r="DAE52" s="1221"/>
      <c r="DAF52" s="1221"/>
      <c r="DAG52" s="1221"/>
      <c r="DAH52" s="1221"/>
      <c r="DAI52" s="1221"/>
      <c r="DAJ52" s="1221"/>
      <c r="DAK52" s="1221"/>
      <c r="DAL52" s="1221"/>
      <c r="DAM52" s="1221"/>
      <c r="DAN52" s="1221"/>
      <c r="DAO52" s="1221"/>
      <c r="DAP52" s="1221"/>
      <c r="DAQ52" s="1221"/>
      <c r="DAR52" s="1221"/>
      <c r="DAS52" s="1221"/>
      <c r="DAT52" s="1221"/>
      <c r="DAU52" s="1221"/>
      <c r="DAV52" s="1221"/>
      <c r="DAW52" s="1221"/>
      <c r="DAX52" s="1221"/>
      <c r="DAY52" s="1221"/>
      <c r="DAZ52" s="1221"/>
      <c r="DBA52" s="1221"/>
      <c r="DBB52" s="1221"/>
      <c r="DBC52" s="1221"/>
      <c r="DBD52" s="1221"/>
      <c r="DBE52" s="1221"/>
      <c r="DBF52" s="1221"/>
      <c r="DBG52" s="1221"/>
      <c r="DBH52" s="1221"/>
      <c r="DBI52" s="1221"/>
      <c r="DBJ52" s="1221"/>
      <c r="DBK52" s="1221"/>
      <c r="DBL52" s="1221"/>
      <c r="DBM52" s="1221"/>
      <c r="DBN52" s="1221"/>
      <c r="DBO52" s="1221"/>
      <c r="DBP52" s="1221"/>
      <c r="DBQ52" s="1221"/>
      <c r="DBR52" s="1221"/>
      <c r="DBS52" s="1221"/>
      <c r="DBT52" s="1221"/>
      <c r="DBU52" s="1221"/>
      <c r="DBV52" s="1221"/>
      <c r="DBW52" s="1221"/>
      <c r="DBX52" s="1221"/>
      <c r="DBY52" s="1221"/>
      <c r="DBZ52" s="1221"/>
      <c r="DCA52" s="1221"/>
      <c r="DCB52" s="1221"/>
      <c r="DCC52" s="1221"/>
      <c r="DCD52" s="1221"/>
      <c r="DCE52" s="1221"/>
      <c r="DCF52" s="1221"/>
      <c r="DCG52" s="1221"/>
      <c r="DCH52" s="1221"/>
      <c r="DCI52" s="1221"/>
      <c r="DCJ52" s="1221"/>
      <c r="DCK52" s="1221"/>
      <c r="DCL52" s="1221"/>
      <c r="DCM52" s="1221"/>
      <c r="DCN52" s="1221"/>
      <c r="DCO52" s="1221"/>
      <c r="DCP52" s="1221"/>
      <c r="DCQ52" s="1221"/>
      <c r="DCR52" s="1221"/>
      <c r="DCS52" s="1221"/>
      <c r="DCT52" s="1221"/>
      <c r="DCU52" s="1221"/>
      <c r="DCV52" s="1221"/>
      <c r="DCW52" s="1221"/>
      <c r="DCX52" s="1221"/>
      <c r="DCY52" s="1221"/>
      <c r="DCZ52" s="1221"/>
      <c r="DDA52" s="1221"/>
      <c r="DDB52" s="1221"/>
      <c r="DDC52" s="1221"/>
      <c r="DDD52" s="1221"/>
      <c r="DDE52" s="1221"/>
      <c r="DDF52" s="1221"/>
      <c r="DDG52" s="1221"/>
      <c r="DDH52" s="1221"/>
      <c r="DDI52" s="1221"/>
      <c r="DDJ52" s="1221"/>
      <c r="DDK52" s="1221"/>
      <c r="DDL52" s="1221"/>
      <c r="DDM52" s="1221"/>
      <c r="DDN52" s="1221"/>
      <c r="DDO52" s="1221"/>
      <c r="DDP52" s="1221"/>
      <c r="DDQ52" s="1221"/>
      <c r="DDR52" s="1221"/>
      <c r="DDS52" s="1221"/>
      <c r="DDT52" s="1221"/>
      <c r="DDU52" s="1221"/>
      <c r="DDV52" s="1221"/>
      <c r="DDW52" s="1221"/>
      <c r="DDX52" s="1221"/>
      <c r="DDY52" s="1221"/>
      <c r="DDZ52" s="1221"/>
      <c r="DEA52" s="1221"/>
      <c r="DEB52" s="1221"/>
      <c r="DEC52" s="1221"/>
      <c r="DED52" s="1221"/>
      <c r="DEE52" s="1221"/>
      <c r="DEF52" s="1221"/>
      <c r="DEG52" s="1221"/>
      <c r="DEH52" s="1221"/>
      <c r="DEI52" s="1221"/>
      <c r="DEJ52" s="1221"/>
      <c r="DEK52" s="1221"/>
      <c r="DEL52" s="1221"/>
      <c r="DEM52" s="1221"/>
      <c r="DEN52" s="1221"/>
      <c r="DEO52" s="1221"/>
      <c r="DEP52" s="1221"/>
      <c r="DEQ52" s="1221"/>
      <c r="DER52" s="1221"/>
      <c r="DES52" s="1221"/>
      <c r="DET52" s="1221"/>
      <c r="DEU52" s="1221"/>
      <c r="DEV52" s="1221"/>
      <c r="DEW52" s="1221"/>
      <c r="DEX52" s="1221"/>
      <c r="DEY52" s="1221"/>
      <c r="DEZ52" s="1221"/>
      <c r="DFA52" s="1221"/>
      <c r="DFB52" s="1221"/>
      <c r="DFC52" s="1221"/>
      <c r="DFD52" s="1221"/>
      <c r="DFE52" s="1221"/>
      <c r="DFF52" s="1221"/>
      <c r="DFG52" s="1221"/>
      <c r="DFH52" s="1221"/>
      <c r="DFI52" s="1221"/>
      <c r="DFJ52" s="1221"/>
      <c r="DFK52" s="1221"/>
      <c r="DFL52" s="1221"/>
      <c r="DFM52" s="1221"/>
      <c r="DFN52" s="1221"/>
      <c r="DFO52" s="1221"/>
      <c r="DFP52" s="1221"/>
      <c r="DFQ52" s="1221"/>
      <c r="DFR52" s="1221"/>
      <c r="DFS52" s="1221"/>
      <c r="DFT52" s="1221"/>
      <c r="DFU52" s="1221"/>
      <c r="DFV52" s="1221"/>
      <c r="DFW52" s="1221"/>
      <c r="DFX52" s="1221"/>
      <c r="DFY52" s="1221"/>
      <c r="DFZ52" s="1221"/>
      <c r="DGA52" s="1221"/>
      <c r="DGB52" s="1221"/>
      <c r="DGC52" s="1221"/>
      <c r="DGD52" s="1221"/>
      <c r="DGE52" s="1221"/>
      <c r="DGF52" s="1221"/>
      <c r="DGG52" s="1221"/>
      <c r="DGH52" s="1221"/>
      <c r="DGI52" s="1221"/>
      <c r="DGJ52" s="1221"/>
      <c r="DGK52" s="1221"/>
      <c r="DGL52" s="1221"/>
      <c r="DGM52" s="1221"/>
      <c r="DGN52" s="1221"/>
      <c r="DGO52" s="1221"/>
      <c r="DGP52" s="1221"/>
      <c r="DGQ52" s="1221"/>
      <c r="DGR52" s="1221"/>
      <c r="DGS52" s="1221"/>
      <c r="DGT52" s="1221"/>
      <c r="DGU52" s="1221"/>
      <c r="DGV52" s="1221"/>
      <c r="DGW52" s="1221"/>
      <c r="DGX52" s="1221"/>
      <c r="DGY52" s="1221"/>
      <c r="DGZ52" s="1221"/>
      <c r="DHA52" s="1221"/>
      <c r="DHB52" s="1221"/>
      <c r="DHC52" s="1221"/>
      <c r="DHD52" s="1221"/>
      <c r="DHE52" s="1221"/>
      <c r="DHF52" s="1221"/>
      <c r="DHG52" s="1221"/>
      <c r="DHH52" s="1221"/>
      <c r="DHI52" s="1221"/>
      <c r="DHJ52" s="1221"/>
      <c r="DHK52" s="1221"/>
      <c r="DHL52" s="1221"/>
      <c r="DHM52" s="1221"/>
      <c r="DHN52" s="1221"/>
      <c r="DHO52" s="1221"/>
      <c r="DHP52" s="1221"/>
      <c r="DHQ52" s="1221"/>
      <c r="DHR52" s="1221"/>
      <c r="DHS52" s="1221"/>
      <c r="DHT52" s="1221"/>
      <c r="DHU52" s="1221"/>
      <c r="DHV52" s="1221"/>
      <c r="DHW52" s="1221"/>
      <c r="DHX52" s="1221"/>
      <c r="DHY52" s="1221"/>
      <c r="DHZ52" s="1221"/>
      <c r="DIA52" s="1221"/>
      <c r="DIB52" s="1221"/>
      <c r="DIC52" s="1221"/>
      <c r="DID52" s="1221"/>
      <c r="DIE52" s="1221"/>
      <c r="DIF52" s="1221"/>
      <c r="DIG52" s="1221"/>
      <c r="DIH52" s="1221"/>
      <c r="DII52" s="1221"/>
      <c r="DIJ52" s="1221"/>
      <c r="DIK52" s="1221"/>
      <c r="DIL52" s="1221"/>
      <c r="DIM52" s="1221"/>
      <c r="DIN52" s="1221"/>
      <c r="DIO52" s="1221"/>
      <c r="DIP52" s="1221"/>
      <c r="DIQ52" s="1221"/>
      <c r="DIR52" s="1221"/>
      <c r="DIS52" s="1221"/>
      <c r="DIT52" s="1221"/>
      <c r="DIU52" s="1221"/>
      <c r="DIV52" s="1221"/>
      <c r="DIW52" s="1221"/>
      <c r="DIX52" s="1221"/>
      <c r="DIY52" s="1221"/>
      <c r="DIZ52" s="1221"/>
      <c r="DJA52" s="1221"/>
      <c r="DJB52" s="1221"/>
      <c r="DJC52" s="1221"/>
      <c r="DJD52" s="1221"/>
      <c r="DJE52" s="1221"/>
      <c r="DJF52" s="1221"/>
      <c r="DJG52" s="1221"/>
      <c r="DJH52" s="1221"/>
      <c r="DJI52" s="1221"/>
      <c r="DJJ52" s="1221"/>
      <c r="DJK52" s="1221"/>
      <c r="DJL52" s="1221"/>
      <c r="DJM52" s="1221"/>
      <c r="DJN52" s="1221"/>
      <c r="DJO52" s="1221"/>
      <c r="DJP52" s="1221"/>
      <c r="DJQ52" s="1221"/>
      <c r="DJR52" s="1221"/>
      <c r="DJS52" s="1221"/>
      <c r="DJT52" s="1221"/>
      <c r="DJU52" s="1221"/>
      <c r="DJV52" s="1221"/>
      <c r="DJW52" s="1221"/>
      <c r="DJX52" s="1221"/>
      <c r="DJY52" s="1221"/>
      <c r="DJZ52" s="1221"/>
      <c r="DKA52" s="1221"/>
      <c r="DKB52" s="1221"/>
      <c r="DKC52" s="1221"/>
      <c r="DKD52" s="1221"/>
      <c r="DKE52" s="1221"/>
      <c r="DKF52" s="1221"/>
      <c r="DKG52" s="1221"/>
      <c r="DKH52" s="1221"/>
      <c r="DKI52" s="1221"/>
      <c r="DKJ52" s="1221"/>
      <c r="DKK52" s="1221"/>
      <c r="DKL52" s="1221"/>
      <c r="DKM52" s="1221"/>
      <c r="DKN52" s="1221"/>
      <c r="DKO52" s="1221"/>
      <c r="DKP52" s="1221"/>
      <c r="DKQ52" s="1221"/>
      <c r="DKR52" s="1221"/>
      <c r="DKS52" s="1221"/>
      <c r="DKT52" s="1221"/>
      <c r="DKU52" s="1221"/>
      <c r="DKV52" s="1221"/>
      <c r="DKW52" s="1221"/>
      <c r="DKX52" s="1221"/>
      <c r="DKY52" s="1221"/>
      <c r="DKZ52" s="1221"/>
      <c r="DLA52" s="1221"/>
      <c r="DLB52" s="1221"/>
      <c r="DLC52" s="1221"/>
      <c r="DLD52" s="1221"/>
      <c r="DLE52" s="1221"/>
      <c r="DLF52" s="1221"/>
      <c r="DLG52" s="1221"/>
      <c r="DLH52" s="1221"/>
      <c r="DLI52" s="1221"/>
      <c r="DLJ52" s="1221"/>
      <c r="DLK52" s="1221"/>
      <c r="DLL52" s="1221"/>
      <c r="DLM52" s="1221"/>
      <c r="DLN52" s="1221"/>
      <c r="DLO52" s="1221"/>
      <c r="DLP52" s="1221"/>
      <c r="DLQ52" s="1221"/>
      <c r="DLR52" s="1221"/>
      <c r="DLS52" s="1221"/>
      <c r="DLT52" s="1221"/>
      <c r="DLU52" s="1221"/>
      <c r="DLV52" s="1221"/>
      <c r="DLW52" s="1221"/>
      <c r="DLX52" s="1221"/>
      <c r="DLY52" s="1221"/>
      <c r="DLZ52" s="1221"/>
      <c r="DMA52" s="1221"/>
      <c r="DMB52" s="1221"/>
      <c r="DMC52" s="1221"/>
      <c r="DMD52" s="1221"/>
      <c r="DME52" s="1221"/>
      <c r="DMF52" s="1221"/>
      <c r="DMG52" s="1221"/>
      <c r="DMH52" s="1221"/>
      <c r="DMI52" s="1221"/>
      <c r="DMJ52" s="1221"/>
      <c r="DMK52" s="1221"/>
      <c r="DML52" s="1221"/>
      <c r="DMM52" s="1221"/>
      <c r="DMN52" s="1221"/>
      <c r="DMO52" s="1221"/>
      <c r="DMP52" s="1221"/>
      <c r="DMQ52" s="1221"/>
      <c r="DMR52" s="1221"/>
      <c r="DMS52" s="1221"/>
      <c r="DMT52" s="1221"/>
      <c r="DMU52" s="1221"/>
      <c r="DMV52" s="1221"/>
      <c r="DMW52" s="1221"/>
      <c r="DMX52" s="1221"/>
      <c r="DMY52" s="1221"/>
      <c r="DMZ52" s="1221"/>
      <c r="DNA52" s="1221"/>
      <c r="DNB52" s="1221"/>
      <c r="DNC52" s="1221"/>
      <c r="DND52" s="1221"/>
      <c r="DNE52" s="1221"/>
      <c r="DNF52" s="1221"/>
      <c r="DNG52" s="1221"/>
      <c r="DNH52" s="1221"/>
      <c r="DNI52" s="1221"/>
      <c r="DNJ52" s="1221"/>
      <c r="DNK52" s="1221"/>
      <c r="DNL52" s="1221"/>
      <c r="DNM52" s="1221"/>
      <c r="DNN52" s="1221"/>
      <c r="DNO52" s="1221"/>
      <c r="DNP52" s="1221"/>
      <c r="DNQ52" s="1221"/>
      <c r="DNR52" s="1221"/>
      <c r="DNS52" s="1221"/>
      <c r="DNT52" s="1221"/>
      <c r="DNU52" s="1221"/>
      <c r="DNV52" s="1221"/>
      <c r="DNW52" s="1221"/>
      <c r="DNX52" s="1221"/>
      <c r="DNY52" s="1221"/>
      <c r="DNZ52" s="1221"/>
      <c r="DOA52" s="1221"/>
      <c r="DOB52" s="1221"/>
      <c r="DOC52" s="1221"/>
      <c r="DOD52" s="1221"/>
      <c r="DOE52" s="1221"/>
      <c r="DOF52" s="1221"/>
      <c r="DOG52" s="1221"/>
      <c r="DOH52" s="1221"/>
      <c r="DOI52" s="1221"/>
      <c r="DOJ52" s="1221"/>
      <c r="DOK52" s="1221"/>
      <c r="DOL52" s="1221"/>
      <c r="DOM52" s="1221"/>
      <c r="DON52" s="1221"/>
      <c r="DOO52" s="1221"/>
      <c r="DOP52" s="1221"/>
      <c r="DOQ52" s="1221"/>
      <c r="DOR52" s="1221"/>
      <c r="DOS52" s="1221"/>
      <c r="DOT52" s="1221"/>
      <c r="DOU52" s="1221"/>
      <c r="DOV52" s="1221"/>
      <c r="DOW52" s="1221"/>
      <c r="DOX52" s="1221"/>
      <c r="DOY52" s="1221"/>
      <c r="DOZ52" s="1221"/>
      <c r="DPA52" s="1221"/>
      <c r="DPB52" s="1221"/>
      <c r="DPC52" s="1221"/>
      <c r="DPD52" s="1221"/>
      <c r="DPE52" s="1221"/>
      <c r="DPF52" s="1221"/>
      <c r="DPG52" s="1221"/>
      <c r="DPH52" s="1221"/>
      <c r="DPI52" s="1221"/>
      <c r="DPJ52" s="1221"/>
      <c r="DPK52" s="1221"/>
      <c r="DPL52" s="1221"/>
      <c r="DPM52" s="1221"/>
      <c r="DPN52" s="1221"/>
      <c r="DPO52" s="1221"/>
      <c r="DPP52" s="1221"/>
      <c r="DPQ52" s="1221"/>
      <c r="DPR52" s="1221"/>
      <c r="DPS52" s="1221"/>
      <c r="DPT52" s="1221"/>
      <c r="DPU52" s="1221"/>
      <c r="DPV52" s="1221"/>
      <c r="DPW52" s="1221"/>
      <c r="DPX52" s="1221"/>
      <c r="DPY52" s="1221"/>
      <c r="DPZ52" s="1221"/>
      <c r="DQA52" s="1221"/>
      <c r="DQB52" s="1221"/>
      <c r="DQC52" s="1221"/>
      <c r="DQD52" s="1221"/>
      <c r="DQE52" s="1221"/>
      <c r="DQF52" s="1221"/>
      <c r="DQG52" s="1221"/>
      <c r="DQH52" s="1221"/>
      <c r="DQI52" s="1221"/>
      <c r="DQJ52" s="1221"/>
      <c r="DQK52" s="1221"/>
      <c r="DQL52" s="1221"/>
      <c r="DQM52" s="1221"/>
      <c r="DQN52" s="1221"/>
      <c r="DQO52" s="1221"/>
      <c r="DQP52" s="1221"/>
      <c r="DQQ52" s="1221"/>
      <c r="DQR52" s="1221"/>
      <c r="DQS52" s="1221"/>
      <c r="DQT52" s="1221"/>
      <c r="DQU52" s="1221"/>
      <c r="DQV52" s="1221"/>
      <c r="DQW52" s="1221"/>
      <c r="DQX52" s="1221"/>
      <c r="DQY52" s="1221"/>
      <c r="DQZ52" s="1221"/>
      <c r="DRA52" s="1221"/>
      <c r="DRB52" s="1221"/>
      <c r="DRC52" s="1221"/>
      <c r="DRD52" s="1221"/>
      <c r="DRE52" s="1221"/>
      <c r="DRF52" s="1221"/>
      <c r="DRG52" s="1221"/>
      <c r="DRH52" s="1221"/>
      <c r="DRI52" s="1221"/>
      <c r="DRJ52" s="1221"/>
      <c r="DRK52" s="1221"/>
      <c r="DRL52" s="1221"/>
      <c r="DRM52" s="1221"/>
      <c r="DRN52" s="1221"/>
      <c r="DRO52" s="1221"/>
      <c r="DRP52" s="1221"/>
      <c r="DRQ52" s="1221"/>
      <c r="DRR52" s="1221"/>
      <c r="DRS52" s="1221"/>
      <c r="DRT52" s="1221"/>
      <c r="DRU52" s="1221"/>
      <c r="DRV52" s="1221"/>
      <c r="DRW52" s="1221"/>
      <c r="DRX52" s="1221"/>
      <c r="DRY52" s="1221"/>
      <c r="DRZ52" s="1221"/>
      <c r="DSA52" s="1221"/>
      <c r="DSB52" s="1221"/>
      <c r="DSC52" s="1221"/>
      <c r="DSD52" s="1221"/>
      <c r="DSE52" s="1221"/>
      <c r="DSF52" s="1221"/>
      <c r="DSG52" s="1221"/>
      <c r="DSH52" s="1221"/>
      <c r="DSI52" s="1221"/>
      <c r="DSJ52" s="1221"/>
      <c r="DSK52" s="1221"/>
      <c r="DSL52" s="1221"/>
      <c r="DSM52" s="1221"/>
      <c r="DSN52" s="1221"/>
      <c r="DSO52" s="1221"/>
      <c r="DSP52" s="1221"/>
      <c r="DSQ52" s="1221"/>
      <c r="DSR52" s="1221"/>
      <c r="DSS52" s="1221"/>
      <c r="DST52" s="1221"/>
      <c r="DSU52" s="1221"/>
      <c r="DSV52" s="1221"/>
      <c r="DSW52" s="1221"/>
      <c r="DSX52" s="1221"/>
      <c r="DSY52" s="1221"/>
      <c r="DSZ52" s="1221"/>
      <c r="DTA52" s="1221"/>
      <c r="DTB52" s="1221"/>
      <c r="DTC52" s="1221"/>
      <c r="DTD52" s="1221"/>
      <c r="DTE52" s="1221"/>
      <c r="DTF52" s="1221"/>
      <c r="DTG52" s="1221"/>
      <c r="DTH52" s="1221"/>
      <c r="DTI52" s="1221"/>
      <c r="DTJ52" s="1221"/>
      <c r="DTK52" s="1221"/>
      <c r="DTL52" s="1221"/>
      <c r="DTM52" s="1221"/>
      <c r="DTN52" s="1221"/>
      <c r="DTO52" s="1221"/>
      <c r="DTP52" s="1221"/>
      <c r="DTQ52" s="1221"/>
      <c r="DTR52" s="1221"/>
      <c r="DTS52" s="1221"/>
      <c r="DTT52" s="1221"/>
      <c r="DTU52" s="1221"/>
      <c r="DTV52" s="1221"/>
      <c r="DTW52" s="1221"/>
      <c r="DTX52" s="1221"/>
      <c r="DTY52" s="1221"/>
      <c r="DTZ52" s="1221"/>
      <c r="DUA52" s="1221"/>
      <c r="DUB52" s="1221"/>
      <c r="DUC52" s="1221"/>
      <c r="DUD52" s="1221"/>
      <c r="DUE52" s="1221"/>
      <c r="DUF52" s="1221"/>
      <c r="DUG52" s="1221"/>
      <c r="DUH52" s="1221"/>
      <c r="DUI52" s="1221"/>
      <c r="DUJ52" s="1221"/>
      <c r="DUK52" s="1221"/>
      <c r="DUL52" s="1221"/>
      <c r="DUM52" s="1221"/>
      <c r="DUN52" s="1221"/>
      <c r="DUO52" s="1221"/>
      <c r="DUP52" s="1221"/>
      <c r="DUQ52" s="1221"/>
      <c r="DUR52" s="1221"/>
      <c r="DUS52" s="1221"/>
      <c r="DUT52" s="1221"/>
      <c r="DUU52" s="1221"/>
      <c r="DUV52" s="1221"/>
      <c r="DUW52" s="1221"/>
      <c r="DUX52" s="1221"/>
      <c r="DUY52" s="1221"/>
      <c r="DUZ52" s="1221"/>
      <c r="DVA52" s="1221"/>
      <c r="DVB52" s="1221"/>
      <c r="DVC52" s="1221"/>
      <c r="DVD52" s="1221"/>
      <c r="DVE52" s="1221"/>
      <c r="DVF52" s="1221"/>
      <c r="DVG52" s="1221"/>
      <c r="DVH52" s="1221"/>
      <c r="DVI52" s="1221"/>
      <c r="DVJ52" s="1221"/>
      <c r="DVK52" s="1221"/>
      <c r="DVL52" s="1221"/>
      <c r="DVM52" s="1221"/>
      <c r="DVN52" s="1221"/>
      <c r="DVO52" s="1221"/>
      <c r="DVP52" s="1221"/>
      <c r="DVQ52" s="1221"/>
      <c r="DVR52" s="1221"/>
      <c r="DVS52" s="1221"/>
      <c r="DVT52" s="1221"/>
      <c r="DVU52" s="1221"/>
      <c r="DVV52" s="1221"/>
      <c r="DVW52" s="1221"/>
      <c r="DVX52" s="1221"/>
      <c r="DVY52" s="1221"/>
      <c r="DVZ52" s="1221"/>
      <c r="DWA52" s="1221"/>
      <c r="DWB52" s="1221"/>
      <c r="DWC52" s="1221"/>
      <c r="DWD52" s="1221"/>
      <c r="DWE52" s="1221"/>
      <c r="DWF52" s="1221"/>
      <c r="DWG52" s="1221"/>
      <c r="DWH52" s="1221"/>
      <c r="DWI52" s="1221"/>
      <c r="DWJ52" s="1221"/>
      <c r="DWK52" s="1221"/>
      <c r="DWL52" s="1221"/>
      <c r="DWM52" s="1221"/>
      <c r="DWN52" s="1221"/>
      <c r="DWO52" s="1221"/>
      <c r="DWP52" s="1221"/>
      <c r="DWQ52" s="1221"/>
      <c r="DWR52" s="1221"/>
      <c r="DWS52" s="1221"/>
      <c r="DWT52" s="1221"/>
      <c r="DWU52" s="1221"/>
      <c r="DWV52" s="1221"/>
      <c r="DWW52" s="1221"/>
      <c r="DWX52" s="1221"/>
      <c r="DWY52" s="1221"/>
      <c r="DWZ52" s="1221"/>
      <c r="DXA52" s="1221"/>
      <c r="DXB52" s="1221"/>
      <c r="DXC52" s="1221"/>
      <c r="DXD52" s="1221"/>
      <c r="DXE52" s="1221"/>
      <c r="DXF52" s="1221"/>
      <c r="DXG52" s="1221"/>
      <c r="DXH52" s="1221"/>
      <c r="DXI52" s="1221"/>
      <c r="DXJ52" s="1221"/>
      <c r="DXK52" s="1221"/>
      <c r="DXL52" s="1221"/>
      <c r="DXM52" s="1221"/>
      <c r="DXN52" s="1221"/>
      <c r="DXO52" s="1221"/>
      <c r="DXP52" s="1221"/>
      <c r="DXQ52" s="1221"/>
      <c r="DXR52" s="1221"/>
      <c r="DXS52" s="1221"/>
      <c r="DXT52" s="1221"/>
      <c r="DXU52" s="1221"/>
      <c r="DXV52" s="1221"/>
      <c r="DXW52" s="1221"/>
      <c r="DXX52" s="1221"/>
      <c r="DXY52" s="1221"/>
      <c r="DXZ52" s="1221"/>
      <c r="DYA52" s="1221"/>
      <c r="DYB52" s="1221"/>
      <c r="DYC52" s="1221"/>
      <c r="DYD52" s="1221"/>
      <c r="DYE52" s="1221"/>
      <c r="DYF52" s="1221"/>
      <c r="DYG52" s="1221"/>
      <c r="DYH52" s="1221"/>
      <c r="DYI52" s="1221"/>
      <c r="DYJ52" s="1221"/>
      <c r="DYK52" s="1221"/>
      <c r="DYL52" s="1221"/>
      <c r="DYM52" s="1221"/>
      <c r="DYN52" s="1221"/>
      <c r="DYO52" s="1221"/>
      <c r="DYP52" s="1221"/>
      <c r="DYQ52" s="1221"/>
      <c r="DYR52" s="1221"/>
      <c r="DYS52" s="1221"/>
      <c r="DYT52" s="1221"/>
      <c r="DYU52" s="1221"/>
      <c r="DYV52" s="1221"/>
      <c r="DYW52" s="1221"/>
      <c r="DYX52" s="1221"/>
      <c r="DYY52" s="1221"/>
      <c r="DYZ52" s="1221"/>
      <c r="DZA52" s="1221"/>
      <c r="DZB52" s="1221"/>
      <c r="DZC52" s="1221"/>
      <c r="DZD52" s="1221"/>
      <c r="DZE52" s="1221"/>
      <c r="DZF52" s="1221"/>
      <c r="DZG52" s="1221"/>
      <c r="DZH52" s="1221"/>
      <c r="DZI52" s="1221"/>
      <c r="DZJ52" s="1221"/>
      <c r="DZK52" s="1221"/>
      <c r="DZL52" s="1221"/>
      <c r="DZM52" s="1221"/>
      <c r="DZN52" s="1221"/>
      <c r="DZO52" s="1221"/>
      <c r="DZP52" s="1221"/>
      <c r="DZQ52" s="1221"/>
      <c r="DZR52" s="1221"/>
      <c r="DZS52" s="1221"/>
      <c r="DZT52" s="1221"/>
      <c r="DZU52" s="1221"/>
      <c r="DZV52" s="1221"/>
      <c r="DZW52" s="1221"/>
      <c r="DZX52" s="1221"/>
      <c r="DZY52" s="1221"/>
      <c r="DZZ52" s="1221"/>
      <c r="EAA52" s="1221"/>
      <c r="EAB52" s="1221"/>
      <c r="EAC52" s="1221"/>
      <c r="EAD52" s="1221"/>
      <c r="EAE52" s="1221"/>
      <c r="EAF52" s="1221"/>
      <c r="EAG52" s="1221"/>
      <c r="EAH52" s="1221"/>
      <c r="EAI52" s="1221"/>
      <c r="EAJ52" s="1221"/>
      <c r="EAK52" s="1221"/>
      <c r="EAL52" s="1221"/>
      <c r="EAM52" s="1221"/>
      <c r="EAN52" s="1221"/>
      <c r="EAO52" s="1221"/>
      <c r="EAP52" s="1221"/>
      <c r="EAQ52" s="1221"/>
      <c r="EAR52" s="1221"/>
      <c r="EAS52" s="1221"/>
      <c r="EAT52" s="1221"/>
      <c r="EAU52" s="1221"/>
      <c r="EAV52" s="1221"/>
      <c r="EAW52" s="1221"/>
      <c r="EAX52" s="1221"/>
      <c r="EAY52" s="1221"/>
      <c r="EAZ52" s="1221"/>
      <c r="EBA52" s="1221"/>
      <c r="EBB52" s="1221"/>
      <c r="EBC52" s="1221"/>
      <c r="EBD52" s="1221"/>
      <c r="EBE52" s="1221"/>
      <c r="EBF52" s="1221"/>
      <c r="EBG52" s="1221"/>
      <c r="EBH52" s="1221"/>
      <c r="EBI52" s="1221"/>
      <c r="EBJ52" s="1221"/>
      <c r="EBK52" s="1221"/>
      <c r="EBL52" s="1221"/>
      <c r="EBM52" s="1221"/>
      <c r="EBN52" s="1221"/>
      <c r="EBO52" s="1221"/>
      <c r="EBP52" s="1221"/>
      <c r="EBQ52" s="1221"/>
      <c r="EBR52" s="1221"/>
      <c r="EBS52" s="1221"/>
      <c r="EBT52" s="1221"/>
      <c r="EBU52" s="1221"/>
      <c r="EBV52" s="1221"/>
      <c r="EBW52" s="1221"/>
      <c r="EBX52" s="1221"/>
      <c r="EBY52" s="1221"/>
      <c r="EBZ52" s="1221"/>
      <c r="ECA52" s="1221"/>
      <c r="ECB52" s="1221"/>
      <c r="ECC52" s="1221"/>
      <c r="ECD52" s="1221"/>
      <c r="ECE52" s="1221"/>
      <c r="ECF52" s="1221"/>
      <c r="ECG52" s="1221"/>
      <c r="ECH52" s="1221"/>
      <c r="ECI52" s="1221"/>
      <c r="ECJ52" s="1221"/>
      <c r="ECK52" s="1221"/>
      <c r="ECL52" s="1221"/>
      <c r="ECM52" s="1221"/>
      <c r="ECN52" s="1221"/>
      <c r="ECO52" s="1221"/>
    </row>
    <row r="53" spans="2:3473" s="1248" customFormat="1" ht="13" outlineLevel="1">
      <c r="B53" s="1249"/>
      <c r="C53" s="1250">
        <v>3</v>
      </c>
      <c r="D53" s="1251" t="s">
        <v>31</v>
      </c>
      <c r="E53" s="1278"/>
      <c r="F53" s="1279"/>
      <c r="G53" s="1279"/>
      <c r="H53" s="1279"/>
      <c r="I53" s="1279"/>
      <c r="J53" s="1279"/>
      <c r="K53" s="1278"/>
      <c r="L53" s="1279"/>
      <c r="M53" s="1278"/>
      <c r="N53" s="1278"/>
      <c r="O53" s="1279"/>
      <c r="P53" s="1279"/>
      <c r="Q53" s="1278"/>
      <c r="R53" s="1279"/>
      <c r="S53" s="1279"/>
      <c r="T53" s="1278"/>
      <c r="U53" s="1279"/>
      <c r="V53" s="1279"/>
      <c r="W53" s="1278"/>
      <c r="X53" s="1279"/>
      <c r="Y53" s="1279"/>
      <c r="Z53" s="1278"/>
      <c r="AA53" s="1278"/>
      <c r="AB53" s="1278"/>
      <c r="AC53" s="1278"/>
      <c r="AD53" s="1256"/>
      <c r="AE53" s="1280"/>
      <c r="AF53" s="1254"/>
      <c r="AG53" s="1255"/>
      <c r="AH53" s="1255"/>
      <c r="AI53" s="1256"/>
      <c r="AJ53" s="1256"/>
      <c r="AK53" s="1256"/>
      <c r="AL53" s="1256"/>
      <c r="AM53" s="1256"/>
      <c r="AN53" s="1256"/>
      <c r="AO53" s="1256"/>
      <c r="AP53" s="1256"/>
      <c r="AQ53" s="1256"/>
      <c r="AR53" s="1256"/>
      <c r="AS53" s="1256"/>
      <c r="AT53" s="1256"/>
      <c r="AU53" s="1256"/>
      <c r="AV53" s="1256"/>
      <c r="AW53" s="1256"/>
      <c r="AX53" s="1256"/>
      <c r="AY53" s="1256"/>
      <c r="AZ53" s="1256"/>
      <c r="BA53" s="1256"/>
      <c r="BB53" s="1256"/>
      <c r="BC53" s="1256"/>
      <c r="BD53" s="1256"/>
      <c r="BE53" s="1256"/>
      <c r="BF53" s="1256"/>
      <c r="BG53" s="1256"/>
      <c r="BH53" s="1256"/>
      <c r="BI53" s="1256"/>
      <c r="BJ53" s="1257"/>
      <c r="BK53" s="1257"/>
      <c r="BL53" s="1257"/>
      <c r="BM53" s="1262"/>
      <c r="BN53" s="1225"/>
      <c r="BO53" s="1225"/>
      <c r="BP53" s="1225"/>
      <c r="BQ53" s="1225"/>
      <c r="BR53" s="1221"/>
      <c r="BS53" s="1221"/>
      <c r="BT53" s="1221"/>
      <c r="BU53" s="1221"/>
      <c r="BV53" s="1221"/>
      <c r="BW53" s="1221"/>
      <c r="BX53" s="1221"/>
      <c r="BY53" s="1221"/>
      <c r="BZ53" s="1221"/>
      <c r="CA53" s="1221"/>
      <c r="CB53" s="1221"/>
      <c r="CC53" s="1221"/>
      <c r="CD53" s="1221"/>
      <c r="CE53" s="1221"/>
      <c r="CF53" s="1221"/>
      <c r="CG53" s="1221"/>
      <c r="CH53" s="1221"/>
      <c r="CI53" s="1221"/>
      <c r="CJ53" s="1221"/>
      <c r="CK53" s="1221"/>
      <c r="CL53" s="1221"/>
      <c r="CM53" s="1221"/>
      <c r="CN53" s="1221"/>
      <c r="CO53" s="1221"/>
      <c r="CP53" s="1221"/>
      <c r="CQ53" s="1221"/>
      <c r="CR53" s="1221"/>
      <c r="CS53" s="1221"/>
      <c r="CT53" s="1221"/>
      <c r="CU53" s="1221"/>
      <c r="CV53" s="1221"/>
      <c r="CW53" s="1221"/>
      <c r="CX53" s="1221"/>
      <c r="CY53" s="1221"/>
      <c r="CZ53" s="1221"/>
      <c r="DA53" s="1221"/>
      <c r="DB53" s="1221"/>
      <c r="DC53" s="1221"/>
      <c r="DD53" s="1221"/>
      <c r="DE53" s="1221"/>
      <c r="DF53" s="1221"/>
      <c r="DG53" s="1221"/>
      <c r="DH53" s="1221"/>
      <c r="DI53" s="1221"/>
      <c r="DJ53" s="1221"/>
      <c r="DK53" s="1221"/>
      <c r="DL53" s="1221"/>
      <c r="DM53" s="1221"/>
      <c r="DN53" s="1221"/>
      <c r="DO53" s="1221"/>
      <c r="DP53" s="1221"/>
      <c r="DQ53" s="1221"/>
      <c r="DR53" s="1221"/>
      <c r="DS53" s="1221"/>
      <c r="DT53" s="1221"/>
      <c r="DU53" s="1221"/>
      <c r="DV53" s="1221"/>
      <c r="DW53" s="1221"/>
      <c r="DX53" s="1221"/>
      <c r="DY53" s="1221"/>
      <c r="DZ53" s="1221"/>
      <c r="EA53" s="1221"/>
      <c r="EB53" s="1221"/>
      <c r="EC53" s="1221"/>
      <c r="ED53" s="1221"/>
      <c r="EE53" s="1221"/>
      <c r="EF53" s="1221"/>
      <c r="EG53" s="1221"/>
      <c r="EH53" s="1221"/>
      <c r="EI53" s="1221"/>
      <c r="EJ53" s="1221"/>
      <c r="EK53" s="1221"/>
      <c r="EL53" s="1221"/>
      <c r="EM53" s="1221"/>
      <c r="EN53" s="1221"/>
      <c r="EO53" s="1221"/>
      <c r="EP53" s="1221"/>
      <c r="EQ53" s="1221"/>
      <c r="ER53" s="1221"/>
      <c r="ES53" s="1221"/>
      <c r="ET53" s="1221"/>
      <c r="EU53" s="1221"/>
      <c r="EV53" s="1221"/>
      <c r="EW53" s="1221"/>
      <c r="EX53" s="1221"/>
      <c r="EY53" s="1221"/>
      <c r="EZ53" s="1221"/>
      <c r="FA53" s="1221"/>
      <c r="FB53" s="1221"/>
      <c r="FC53" s="1221"/>
      <c r="FD53" s="1221"/>
      <c r="FE53" s="1221"/>
      <c r="FF53" s="1221"/>
      <c r="FG53" s="1221"/>
      <c r="FH53" s="1221"/>
      <c r="FI53" s="1221"/>
      <c r="FJ53" s="1221"/>
      <c r="FK53" s="1221"/>
      <c r="FL53" s="1221"/>
      <c r="FM53" s="1221"/>
      <c r="FN53" s="1221"/>
      <c r="FO53" s="1221"/>
      <c r="FP53" s="1221"/>
      <c r="FQ53" s="1221"/>
      <c r="FR53" s="1221"/>
      <c r="FS53" s="1221"/>
      <c r="FT53" s="1221"/>
      <c r="FU53" s="1221"/>
      <c r="FV53" s="1221"/>
      <c r="FW53" s="1221"/>
      <c r="FX53" s="1221"/>
      <c r="FY53" s="1221"/>
      <c r="FZ53" s="1221"/>
      <c r="GA53" s="1221"/>
      <c r="GB53" s="1221"/>
      <c r="GC53" s="1221"/>
      <c r="GD53" s="1221"/>
      <c r="GE53" s="1221"/>
      <c r="GF53" s="1221"/>
      <c r="GG53" s="1221"/>
      <c r="GH53" s="1221"/>
      <c r="GI53" s="1221"/>
      <c r="GJ53" s="1221"/>
      <c r="GK53" s="1221"/>
      <c r="GL53" s="1221"/>
      <c r="GM53" s="1221"/>
      <c r="GN53" s="1221"/>
      <c r="GO53" s="1221"/>
      <c r="GP53" s="1221"/>
      <c r="GQ53" s="1221"/>
      <c r="GR53" s="1221"/>
      <c r="GS53" s="1221"/>
      <c r="GT53" s="1221"/>
      <c r="GU53" s="1221"/>
      <c r="GV53" s="1221"/>
      <c r="GW53" s="1221"/>
      <c r="GX53" s="1221"/>
      <c r="GY53" s="1221"/>
      <c r="GZ53" s="1221"/>
      <c r="HA53" s="1221"/>
      <c r="HB53" s="1221"/>
      <c r="HC53" s="1221"/>
      <c r="HD53" s="1221"/>
      <c r="HE53" s="1221"/>
      <c r="HF53" s="1221"/>
      <c r="HG53" s="1221"/>
      <c r="HH53" s="1221"/>
      <c r="HI53" s="1221"/>
      <c r="HJ53" s="1221"/>
      <c r="HK53" s="1221"/>
      <c r="HL53" s="1221"/>
      <c r="HM53" s="1221"/>
      <c r="HN53" s="1221"/>
      <c r="HO53" s="1221"/>
      <c r="HP53" s="1221"/>
      <c r="HQ53" s="1221"/>
      <c r="HR53" s="1221"/>
      <c r="HS53" s="1221"/>
      <c r="HT53" s="1221"/>
      <c r="HU53" s="1221"/>
      <c r="HV53" s="1221"/>
      <c r="HW53" s="1221"/>
      <c r="HX53" s="1221"/>
      <c r="HY53" s="1221"/>
      <c r="HZ53" s="1221"/>
      <c r="IA53" s="1221"/>
      <c r="IB53" s="1221"/>
      <c r="IC53" s="1221"/>
      <c r="ID53" s="1221"/>
      <c r="IE53" s="1221"/>
      <c r="IF53" s="1221"/>
      <c r="IG53" s="1221"/>
      <c r="IH53" s="1221"/>
      <c r="II53" s="1221"/>
      <c r="IJ53" s="1221"/>
      <c r="IK53" s="1221"/>
      <c r="IL53" s="1221"/>
      <c r="IM53" s="1221"/>
      <c r="IN53" s="1221"/>
      <c r="IO53" s="1221"/>
      <c r="IP53" s="1221"/>
      <c r="IQ53" s="1221"/>
      <c r="IR53" s="1221"/>
      <c r="IS53" s="1221"/>
      <c r="IT53" s="1221"/>
      <c r="IU53" s="1221"/>
      <c r="IV53" s="1221"/>
      <c r="IW53" s="1221"/>
      <c r="IX53" s="1221"/>
      <c r="IY53" s="1221"/>
      <c r="IZ53" s="1221"/>
      <c r="JA53" s="1221"/>
      <c r="JB53" s="1221"/>
      <c r="JC53" s="1221"/>
      <c r="JD53" s="1221"/>
      <c r="JE53" s="1221"/>
      <c r="JF53" s="1221"/>
      <c r="JG53" s="1221"/>
      <c r="JH53" s="1221"/>
      <c r="JI53" s="1221"/>
      <c r="JJ53" s="1221"/>
      <c r="JK53" s="1221"/>
      <c r="JL53" s="1221"/>
      <c r="JM53" s="1221"/>
      <c r="JN53" s="1221"/>
      <c r="JO53" s="1221"/>
      <c r="JP53" s="1221"/>
      <c r="JQ53" s="1221"/>
      <c r="JR53" s="1221"/>
      <c r="JS53" s="1221"/>
      <c r="JT53" s="1221"/>
      <c r="JU53" s="1221"/>
      <c r="JV53" s="1221"/>
      <c r="JW53" s="1221"/>
      <c r="JX53" s="1221"/>
      <c r="JY53" s="1221"/>
      <c r="JZ53" s="1221"/>
      <c r="KA53" s="1221"/>
      <c r="KB53" s="1221"/>
      <c r="KC53" s="1221"/>
      <c r="KD53" s="1221"/>
      <c r="KE53" s="1221"/>
      <c r="KF53" s="1221"/>
      <c r="KG53" s="1221"/>
      <c r="KH53" s="1221"/>
      <c r="KI53" s="1221"/>
      <c r="KJ53" s="1221"/>
      <c r="KK53" s="1221"/>
      <c r="KL53" s="1221"/>
      <c r="KM53" s="1221"/>
      <c r="KN53" s="1221"/>
      <c r="KO53" s="1221"/>
      <c r="KP53" s="1221"/>
      <c r="KQ53" s="1221"/>
      <c r="KR53" s="1221"/>
      <c r="KS53" s="1221"/>
      <c r="KT53" s="1221"/>
      <c r="KU53" s="1221"/>
      <c r="KV53" s="1221"/>
      <c r="KW53" s="1221"/>
      <c r="KX53" s="1221"/>
      <c r="KY53" s="1221"/>
      <c r="KZ53" s="1221"/>
      <c r="LA53" s="1221"/>
      <c r="LB53" s="1221"/>
      <c r="LC53" s="1221"/>
      <c r="LD53" s="1221"/>
      <c r="LE53" s="1221"/>
      <c r="LF53" s="1221"/>
      <c r="LG53" s="1221"/>
      <c r="LH53" s="1221"/>
      <c r="LI53" s="1221"/>
      <c r="LJ53" s="1221"/>
      <c r="LK53" s="1221"/>
      <c r="LL53" s="1221"/>
      <c r="LM53" s="1221"/>
      <c r="LN53" s="1221"/>
      <c r="LO53" s="1221"/>
      <c r="LP53" s="1221"/>
      <c r="LQ53" s="1221"/>
      <c r="LR53" s="1221"/>
      <c r="LS53" s="1221"/>
      <c r="LT53" s="1221"/>
      <c r="LU53" s="1221"/>
      <c r="LV53" s="1221"/>
      <c r="LW53" s="1221"/>
      <c r="LX53" s="1221"/>
      <c r="LY53" s="1221"/>
      <c r="LZ53" s="1221"/>
      <c r="MA53" s="1221"/>
      <c r="MB53" s="1221"/>
      <c r="MC53" s="1221"/>
      <c r="MD53" s="1221"/>
      <c r="ME53" s="1221"/>
      <c r="MF53" s="1221"/>
      <c r="MG53" s="1221"/>
      <c r="MH53" s="1221"/>
      <c r="MI53" s="1221"/>
      <c r="MJ53" s="1221"/>
      <c r="MK53" s="1221"/>
      <c r="ML53" s="1221"/>
      <c r="MM53" s="1221"/>
      <c r="MN53" s="1221"/>
      <c r="MO53" s="1221"/>
      <c r="MP53" s="1221"/>
      <c r="MQ53" s="1221"/>
      <c r="MR53" s="1221"/>
      <c r="MS53" s="1221"/>
      <c r="MT53" s="1221"/>
      <c r="MU53" s="1221"/>
      <c r="MV53" s="1221"/>
      <c r="MW53" s="1221"/>
      <c r="MX53" s="1221"/>
      <c r="MY53" s="1221"/>
      <c r="MZ53" s="1221"/>
      <c r="NA53" s="1221"/>
      <c r="NB53" s="1221"/>
      <c r="NC53" s="1221"/>
      <c r="ND53" s="1221"/>
      <c r="NE53" s="1221"/>
      <c r="NF53" s="1221"/>
      <c r="NG53" s="1221"/>
      <c r="NH53" s="1221"/>
      <c r="NI53" s="1221"/>
      <c r="NJ53" s="1221"/>
      <c r="NK53" s="1221"/>
      <c r="NL53" s="1221"/>
      <c r="NM53" s="1221"/>
      <c r="NN53" s="1221"/>
      <c r="NO53" s="1221"/>
      <c r="NP53" s="1221"/>
      <c r="NQ53" s="1221"/>
      <c r="NR53" s="1221"/>
      <c r="NS53" s="1221"/>
      <c r="NT53" s="1221"/>
      <c r="NU53" s="1221"/>
      <c r="NV53" s="1221"/>
      <c r="NW53" s="1221"/>
      <c r="NX53" s="1221"/>
      <c r="NY53" s="1221"/>
      <c r="NZ53" s="1221"/>
      <c r="OA53" s="1221"/>
      <c r="OB53" s="1221"/>
      <c r="OC53" s="1221"/>
      <c r="OD53" s="1221"/>
      <c r="OE53" s="1221"/>
      <c r="OF53" s="1221"/>
      <c r="OG53" s="1221"/>
      <c r="OH53" s="1221"/>
      <c r="OI53" s="1221"/>
      <c r="OJ53" s="1221"/>
      <c r="OK53" s="1221"/>
      <c r="OL53" s="1221"/>
      <c r="OM53" s="1221"/>
      <c r="ON53" s="1221"/>
      <c r="OO53" s="1221"/>
      <c r="OP53" s="1221"/>
      <c r="OQ53" s="1221"/>
      <c r="OR53" s="1221"/>
      <c r="OS53" s="1221"/>
      <c r="OT53" s="1221"/>
      <c r="OU53" s="1221"/>
      <c r="OV53" s="1221"/>
      <c r="OW53" s="1221"/>
      <c r="OX53" s="1221"/>
      <c r="OY53" s="1221"/>
      <c r="OZ53" s="1221"/>
      <c r="PA53" s="1221"/>
      <c r="PB53" s="1221"/>
      <c r="PC53" s="1221"/>
      <c r="PD53" s="1221"/>
      <c r="PE53" s="1221"/>
      <c r="PF53" s="1221"/>
      <c r="PG53" s="1221"/>
      <c r="PH53" s="1221"/>
      <c r="PI53" s="1221"/>
      <c r="PJ53" s="1221"/>
      <c r="PK53" s="1221"/>
      <c r="PL53" s="1221"/>
      <c r="PM53" s="1221"/>
      <c r="PN53" s="1221"/>
      <c r="PO53" s="1221"/>
      <c r="PP53" s="1221"/>
      <c r="PQ53" s="1221"/>
      <c r="PR53" s="1221"/>
      <c r="PS53" s="1221"/>
      <c r="PT53" s="1221"/>
      <c r="PU53" s="1221"/>
      <c r="PV53" s="1221"/>
      <c r="PW53" s="1221"/>
      <c r="PX53" s="1221"/>
      <c r="PY53" s="1221"/>
      <c r="PZ53" s="1221"/>
      <c r="QA53" s="1221"/>
      <c r="QB53" s="1221"/>
      <c r="QC53" s="1221"/>
      <c r="QD53" s="1221"/>
      <c r="QE53" s="1221"/>
      <c r="QF53" s="1221"/>
      <c r="QG53" s="1221"/>
      <c r="QH53" s="1221"/>
      <c r="QI53" s="1221"/>
      <c r="QJ53" s="1221"/>
      <c r="QK53" s="1221"/>
      <c r="QL53" s="1221"/>
      <c r="QM53" s="1221"/>
      <c r="QN53" s="1221"/>
      <c r="QO53" s="1221"/>
      <c r="QP53" s="1221"/>
      <c r="QQ53" s="1221"/>
      <c r="QR53" s="1221"/>
      <c r="QS53" s="1221"/>
      <c r="QT53" s="1221"/>
      <c r="QU53" s="1221"/>
      <c r="QV53" s="1221"/>
      <c r="QW53" s="1221"/>
      <c r="QX53" s="1221"/>
      <c r="QY53" s="1221"/>
      <c r="QZ53" s="1221"/>
      <c r="RA53" s="1221"/>
      <c r="RB53" s="1221"/>
      <c r="RC53" s="1221"/>
      <c r="RD53" s="1221"/>
      <c r="RE53" s="1221"/>
      <c r="RF53" s="1221"/>
      <c r="RG53" s="1221"/>
      <c r="RH53" s="1221"/>
      <c r="RI53" s="1221"/>
      <c r="RJ53" s="1221"/>
      <c r="RK53" s="1221"/>
      <c r="RL53" s="1221"/>
      <c r="RM53" s="1221"/>
      <c r="RN53" s="1221"/>
      <c r="RO53" s="1221"/>
      <c r="RP53" s="1221"/>
      <c r="RQ53" s="1221"/>
      <c r="RR53" s="1221"/>
      <c r="RS53" s="1221"/>
      <c r="RT53" s="1221"/>
      <c r="RU53" s="1221"/>
      <c r="RV53" s="1221"/>
      <c r="RW53" s="1221"/>
      <c r="RX53" s="1221"/>
      <c r="RY53" s="1221"/>
      <c r="RZ53" s="1221"/>
      <c r="SA53" s="1221"/>
      <c r="SB53" s="1221"/>
      <c r="SC53" s="1221"/>
      <c r="SD53" s="1221"/>
      <c r="SE53" s="1221"/>
      <c r="SF53" s="1221"/>
      <c r="SG53" s="1221"/>
      <c r="SH53" s="1221"/>
      <c r="SI53" s="1221"/>
      <c r="SJ53" s="1221"/>
      <c r="SK53" s="1221"/>
      <c r="SL53" s="1221"/>
      <c r="SM53" s="1221"/>
      <c r="SN53" s="1221"/>
      <c r="SO53" s="1221"/>
      <c r="SP53" s="1221"/>
      <c r="SQ53" s="1221"/>
      <c r="SR53" s="1221"/>
      <c r="SS53" s="1221"/>
      <c r="ST53" s="1221"/>
      <c r="SU53" s="1221"/>
      <c r="SV53" s="1221"/>
      <c r="SW53" s="1221"/>
      <c r="SX53" s="1221"/>
      <c r="SY53" s="1221"/>
      <c r="SZ53" s="1221"/>
      <c r="TA53" s="1221"/>
      <c r="TB53" s="1221"/>
      <c r="TC53" s="1221"/>
      <c r="TD53" s="1221"/>
      <c r="TE53" s="1221"/>
      <c r="TF53" s="1221"/>
      <c r="TG53" s="1221"/>
      <c r="TH53" s="1221"/>
      <c r="TI53" s="1221"/>
      <c r="TJ53" s="1221"/>
      <c r="TK53" s="1221"/>
      <c r="TL53" s="1221"/>
      <c r="TM53" s="1221"/>
      <c r="TN53" s="1221"/>
      <c r="TO53" s="1221"/>
      <c r="TP53" s="1221"/>
      <c r="TQ53" s="1221"/>
      <c r="TR53" s="1221"/>
      <c r="TS53" s="1221"/>
      <c r="TT53" s="1221"/>
      <c r="TU53" s="1221"/>
      <c r="TV53" s="1221"/>
      <c r="TW53" s="1221"/>
      <c r="TX53" s="1221"/>
      <c r="TY53" s="1221"/>
      <c r="TZ53" s="1221"/>
      <c r="UA53" s="1221"/>
      <c r="UB53" s="1221"/>
      <c r="UC53" s="1221"/>
      <c r="UD53" s="1221"/>
      <c r="UE53" s="1221"/>
      <c r="UF53" s="1221"/>
      <c r="UG53" s="1221"/>
      <c r="UH53" s="1221"/>
      <c r="UI53" s="1221"/>
      <c r="UJ53" s="1221"/>
      <c r="UK53" s="1221"/>
      <c r="UL53" s="1221"/>
      <c r="UM53" s="1221"/>
      <c r="UN53" s="1221"/>
      <c r="UO53" s="1221"/>
      <c r="UP53" s="1221"/>
      <c r="UQ53" s="1221"/>
      <c r="UR53" s="1221"/>
      <c r="US53" s="1221"/>
      <c r="UT53" s="1221"/>
      <c r="UU53" s="1221"/>
      <c r="UV53" s="1221"/>
      <c r="UW53" s="1221"/>
      <c r="UX53" s="1221"/>
      <c r="UY53" s="1221"/>
      <c r="UZ53" s="1221"/>
      <c r="VA53" s="1221"/>
      <c r="VB53" s="1221"/>
      <c r="VC53" s="1221"/>
      <c r="VD53" s="1221"/>
      <c r="VE53" s="1221"/>
      <c r="VF53" s="1221"/>
      <c r="VG53" s="1221"/>
      <c r="VH53" s="1221"/>
      <c r="VI53" s="1221"/>
      <c r="VJ53" s="1221"/>
      <c r="VK53" s="1221"/>
      <c r="VL53" s="1221"/>
      <c r="VM53" s="1221"/>
      <c r="VN53" s="1221"/>
      <c r="VO53" s="1221"/>
      <c r="VP53" s="1221"/>
      <c r="VQ53" s="1221"/>
      <c r="VR53" s="1221"/>
      <c r="VS53" s="1221"/>
      <c r="VT53" s="1221"/>
      <c r="VU53" s="1221"/>
      <c r="VV53" s="1221"/>
      <c r="VW53" s="1221"/>
      <c r="VX53" s="1221"/>
      <c r="VY53" s="1221"/>
      <c r="VZ53" s="1221"/>
      <c r="WA53" s="1221"/>
      <c r="WB53" s="1221"/>
      <c r="WC53" s="1221"/>
      <c r="WD53" s="1221"/>
      <c r="WE53" s="1221"/>
      <c r="WF53" s="1221"/>
      <c r="WG53" s="1221"/>
      <c r="WH53" s="1221"/>
      <c r="WI53" s="1221"/>
      <c r="WJ53" s="1221"/>
      <c r="WK53" s="1221"/>
      <c r="WL53" s="1221"/>
      <c r="WM53" s="1221"/>
      <c r="WN53" s="1221"/>
      <c r="WO53" s="1221"/>
      <c r="WP53" s="1221"/>
      <c r="WQ53" s="1221"/>
      <c r="WR53" s="1221"/>
      <c r="WS53" s="1221"/>
      <c r="WT53" s="1221"/>
      <c r="WU53" s="1221"/>
      <c r="WV53" s="1221"/>
      <c r="WW53" s="1221"/>
      <c r="WX53" s="1221"/>
      <c r="WY53" s="1221"/>
      <c r="WZ53" s="1221"/>
      <c r="XA53" s="1221"/>
      <c r="XB53" s="1221"/>
      <c r="XC53" s="1221"/>
      <c r="XD53" s="1221"/>
      <c r="XE53" s="1221"/>
      <c r="XF53" s="1221"/>
      <c r="XG53" s="1221"/>
      <c r="XH53" s="1221"/>
      <c r="XI53" s="1221"/>
      <c r="XJ53" s="1221"/>
      <c r="XK53" s="1221"/>
      <c r="XL53" s="1221"/>
      <c r="XM53" s="1221"/>
      <c r="XN53" s="1221"/>
      <c r="XO53" s="1221"/>
      <c r="XP53" s="1221"/>
      <c r="XQ53" s="1221"/>
      <c r="XR53" s="1221"/>
      <c r="XS53" s="1221"/>
      <c r="XT53" s="1221"/>
      <c r="XU53" s="1221"/>
      <c r="XV53" s="1221"/>
      <c r="XW53" s="1221"/>
      <c r="XX53" s="1221"/>
      <c r="XY53" s="1221"/>
      <c r="XZ53" s="1221"/>
      <c r="YA53" s="1221"/>
      <c r="YB53" s="1221"/>
      <c r="YC53" s="1221"/>
      <c r="YD53" s="1221"/>
      <c r="YE53" s="1221"/>
      <c r="YF53" s="1221"/>
      <c r="YG53" s="1221"/>
      <c r="YH53" s="1221"/>
      <c r="YI53" s="1221"/>
      <c r="YJ53" s="1221"/>
      <c r="YK53" s="1221"/>
      <c r="YL53" s="1221"/>
      <c r="YM53" s="1221"/>
      <c r="YN53" s="1221"/>
      <c r="YO53" s="1221"/>
      <c r="YP53" s="1221"/>
      <c r="YQ53" s="1221"/>
      <c r="YR53" s="1221"/>
      <c r="YS53" s="1221"/>
      <c r="YT53" s="1221"/>
      <c r="YU53" s="1221"/>
      <c r="YV53" s="1221"/>
      <c r="YW53" s="1221"/>
      <c r="YX53" s="1221"/>
      <c r="YY53" s="1221"/>
      <c r="YZ53" s="1221"/>
      <c r="ZA53" s="1221"/>
      <c r="ZB53" s="1221"/>
      <c r="ZC53" s="1221"/>
      <c r="ZD53" s="1221"/>
      <c r="ZE53" s="1221"/>
      <c r="ZF53" s="1221"/>
      <c r="ZG53" s="1221"/>
      <c r="ZH53" s="1221"/>
      <c r="ZI53" s="1221"/>
      <c r="ZJ53" s="1221"/>
      <c r="ZK53" s="1221"/>
      <c r="ZL53" s="1221"/>
      <c r="ZM53" s="1221"/>
      <c r="ZN53" s="1221"/>
      <c r="ZO53" s="1221"/>
      <c r="ZP53" s="1221"/>
      <c r="ZQ53" s="1221"/>
      <c r="ZR53" s="1221"/>
      <c r="ZS53" s="1221"/>
      <c r="ZT53" s="1221"/>
      <c r="ZU53" s="1221"/>
      <c r="ZV53" s="1221"/>
      <c r="ZW53" s="1221"/>
      <c r="ZX53" s="1221"/>
      <c r="ZY53" s="1221"/>
      <c r="ZZ53" s="1221"/>
      <c r="AAA53" s="1221"/>
      <c r="AAB53" s="1221"/>
      <c r="AAC53" s="1221"/>
      <c r="AAD53" s="1221"/>
      <c r="AAE53" s="1221"/>
      <c r="AAF53" s="1221"/>
      <c r="AAG53" s="1221"/>
      <c r="AAH53" s="1221"/>
      <c r="AAI53" s="1221"/>
      <c r="AAJ53" s="1221"/>
      <c r="AAK53" s="1221"/>
      <c r="AAL53" s="1221"/>
      <c r="AAM53" s="1221"/>
      <c r="AAN53" s="1221"/>
      <c r="AAO53" s="1221"/>
      <c r="AAP53" s="1221"/>
      <c r="AAQ53" s="1221"/>
      <c r="AAR53" s="1221"/>
      <c r="AAS53" s="1221"/>
      <c r="AAT53" s="1221"/>
      <c r="AAU53" s="1221"/>
      <c r="AAV53" s="1221"/>
      <c r="AAW53" s="1221"/>
      <c r="AAX53" s="1221"/>
      <c r="AAY53" s="1221"/>
      <c r="AAZ53" s="1221"/>
      <c r="ABA53" s="1221"/>
      <c r="ABB53" s="1221"/>
      <c r="ABC53" s="1221"/>
      <c r="ABD53" s="1221"/>
      <c r="ABE53" s="1221"/>
      <c r="ABF53" s="1221"/>
      <c r="ABG53" s="1221"/>
      <c r="ABH53" s="1221"/>
      <c r="ABI53" s="1221"/>
      <c r="ABJ53" s="1221"/>
      <c r="ABK53" s="1221"/>
      <c r="ABL53" s="1221"/>
      <c r="ABM53" s="1221"/>
      <c r="ABN53" s="1221"/>
      <c r="ABO53" s="1221"/>
      <c r="ABP53" s="1221"/>
      <c r="ABQ53" s="1221"/>
      <c r="ABR53" s="1221"/>
      <c r="ABS53" s="1221"/>
      <c r="ABT53" s="1221"/>
      <c r="ABU53" s="1221"/>
      <c r="ABV53" s="1221"/>
      <c r="ABW53" s="1221"/>
      <c r="ABX53" s="1221"/>
      <c r="ABY53" s="1221"/>
      <c r="ABZ53" s="1221"/>
      <c r="ACA53" s="1221"/>
      <c r="ACB53" s="1221"/>
      <c r="ACC53" s="1221"/>
      <c r="ACD53" s="1221"/>
      <c r="ACE53" s="1221"/>
      <c r="ACF53" s="1221"/>
      <c r="ACG53" s="1221"/>
      <c r="ACH53" s="1221"/>
      <c r="ACI53" s="1221"/>
      <c r="ACJ53" s="1221"/>
      <c r="ACK53" s="1221"/>
      <c r="ACL53" s="1221"/>
      <c r="ACM53" s="1221"/>
      <c r="ACN53" s="1221"/>
      <c r="ACO53" s="1221"/>
      <c r="ACP53" s="1221"/>
      <c r="ACQ53" s="1221"/>
      <c r="ACR53" s="1221"/>
      <c r="ACS53" s="1221"/>
      <c r="ACT53" s="1221"/>
      <c r="ACU53" s="1221"/>
      <c r="ACV53" s="1221"/>
      <c r="ACW53" s="1221"/>
      <c r="ACX53" s="1221"/>
      <c r="ACY53" s="1221"/>
      <c r="ACZ53" s="1221"/>
      <c r="ADA53" s="1221"/>
      <c r="ADB53" s="1221"/>
      <c r="ADC53" s="1221"/>
      <c r="ADD53" s="1221"/>
      <c r="ADE53" s="1221"/>
      <c r="ADF53" s="1221"/>
      <c r="ADG53" s="1221"/>
      <c r="ADH53" s="1221"/>
      <c r="ADI53" s="1221"/>
      <c r="ADJ53" s="1221"/>
      <c r="ADK53" s="1221"/>
      <c r="ADL53" s="1221"/>
      <c r="ADM53" s="1221"/>
      <c r="ADN53" s="1221"/>
      <c r="ADO53" s="1221"/>
      <c r="ADP53" s="1221"/>
      <c r="ADQ53" s="1221"/>
      <c r="ADR53" s="1221"/>
      <c r="ADS53" s="1221"/>
      <c r="ADT53" s="1221"/>
      <c r="ADU53" s="1221"/>
      <c r="ADV53" s="1221"/>
      <c r="ADW53" s="1221"/>
      <c r="ADX53" s="1221"/>
      <c r="ADY53" s="1221"/>
      <c r="ADZ53" s="1221"/>
      <c r="AEA53" s="1221"/>
      <c r="AEB53" s="1221"/>
      <c r="AEC53" s="1221"/>
      <c r="AED53" s="1221"/>
      <c r="AEE53" s="1221"/>
      <c r="AEF53" s="1221"/>
      <c r="AEG53" s="1221"/>
      <c r="AEH53" s="1221"/>
      <c r="AEI53" s="1221"/>
      <c r="AEJ53" s="1221"/>
      <c r="AEK53" s="1221"/>
      <c r="AEL53" s="1221"/>
      <c r="AEM53" s="1221"/>
      <c r="AEN53" s="1221"/>
      <c r="AEO53" s="1221"/>
      <c r="AEP53" s="1221"/>
      <c r="AEQ53" s="1221"/>
      <c r="AER53" s="1221"/>
      <c r="AES53" s="1221"/>
      <c r="AET53" s="1221"/>
      <c r="AEU53" s="1221"/>
      <c r="AEV53" s="1221"/>
      <c r="AEW53" s="1221"/>
      <c r="AEX53" s="1221"/>
      <c r="AEY53" s="1221"/>
      <c r="AEZ53" s="1221"/>
      <c r="AFA53" s="1221"/>
      <c r="AFB53" s="1221"/>
      <c r="AFC53" s="1221"/>
      <c r="AFD53" s="1221"/>
      <c r="AFE53" s="1221"/>
      <c r="AFF53" s="1221"/>
      <c r="AFG53" s="1221"/>
      <c r="AFH53" s="1221"/>
      <c r="AFI53" s="1221"/>
      <c r="AFJ53" s="1221"/>
      <c r="AFK53" s="1221"/>
      <c r="AFL53" s="1221"/>
      <c r="AFM53" s="1221"/>
      <c r="AFN53" s="1221"/>
      <c r="AFO53" s="1221"/>
      <c r="AFP53" s="1221"/>
      <c r="AFQ53" s="1221"/>
      <c r="AFR53" s="1221"/>
      <c r="AFS53" s="1221"/>
      <c r="AFT53" s="1221"/>
      <c r="AFU53" s="1221"/>
      <c r="AFV53" s="1221"/>
      <c r="AFW53" s="1221"/>
      <c r="AFX53" s="1221"/>
      <c r="AFY53" s="1221"/>
      <c r="AFZ53" s="1221"/>
      <c r="AGA53" s="1221"/>
      <c r="AGB53" s="1221"/>
      <c r="AGC53" s="1221"/>
      <c r="AGD53" s="1221"/>
      <c r="AGE53" s="1221"/>
      <c r="AGF53" s="1221"/>
      <c r="AGG53" s="1221"/>
      <c r="AGH53" s="1221"/>
      <c r="AGI53" s="1221"/>
      <c r="AGJ53" s="1221"/>
      <c r="AGK53" s="1221"/>
      <c r="AGL53" s="1221"/>
      <c r="AGM53" s="1221"/>
      <c r="AGN53" s="1221"/>
      <c r="AGO53" s="1221"/>
      <c r="AGP53" s="1221"/>
      <c r="AGQ53" s="1221"/>
      <c r="AGR53" s="1221"/>
      <c r="AGS53" s="1221"/>
      <c r="AGT53" s="1221"/>
      <c r="AGU53" s="1221"/>
      <c r="AGV53" s="1221"/>
      <c r="AGW53" s="1221"/>
      <c r="AGX53" s="1221"/>
      <c r="AGY53" s="1221"/>
      <c r="AGZ53" s="1221"/>
      <c r="AHA53" s="1221"/>
      <c r="AHB53" s="1221"/>
      <c r="AHC53" s="1221"/>
      <c r="AHD53" s="1221"/>
      <c r="AHE53" s="1221"/>
      <c r="AHF53" s="1221"/>
      <c r="AHG53" s="1221"/>
      <c r="AHH53" s="1221"/>
      <c r="AHI53" s="1221"/>
      <c r="AHJ53" s="1221"/>
      <c r="AHK53" s="1221"/>
      <c r="AHL53" s="1221"/>
      <c r="AHM53" s="1221"/>
      <c r="AHN53" s="1221"/>
      <c r="AHO53" s="1221"/>
      <c r="AHP53" s="1221"/>
      <c r="AHQ53" s="1221"/>
      <c r="AHR53" s="1221"/>
      <c r="AHS53" s="1221"/>
      <c r="AHT53" s="1221"/>
      <c r="AHU53" s="1221"/>
      <c r="AHV53" s="1221"/>
      <c r="AHW53" s="1221"/>
      <c r="AHX53" s="1221"/>
      <c r="AHY53" s="1221"/>
      <c r="AHZ53" s="1221"/>
      <c r="AIA53" s="1221"/>
      <c r="AIB53" s="1221"/>
      <c r="AIC53" s="1221"/>
      <c r="AID53" s="1221"/>
      <c r="AIE53" s="1221"/>
      <c r="AIF53" s="1221"/>
      <c r="AIG53" s="1221"/>
      <c r="AIH53" s="1221"/>
      <c r="AII53" s="1221"/>
      <c r="AIJ53" s="1221"/>
      <c r="AIK53" s="1221"/>
      <c r="AIL53" s="1221"/>
      <c r="AIM53" s="1221"/>
      <c r="AIN53" s="1221"/>
      <c r="AIO53" s="1221"/>
      <c r="AIP53" s="1221"/>
      <c r="AIQ53" s="1221"/>
      <c r="AIR53" s="1221"/>
      <c r="AIS53" s="1221"/>
      <c r="AIT53" s="1221"/>
      <c r="AIU53" s="1221"/>
      <c r="AIV53" s="1221"/>
      <c r="AIW53" s="1221"/>
      <c r="AIX53" s="1221"/>
      <c r="AIY53" s="1221"/>
      <c r="AIZ53" s="1221"/>
      <c r="AJA53" s="1221"/>
      <c r="AJB53" s="1221"/>
      <c r="AJC53" s="1221"/>
      <c r="AJD53" s="1221"/>
      <c r="AJE53" s="1221"/>
      <c r="AJF53" s="1221"/>
      <c r="AJG53" s="1221"/>
      <c r="AJH53" s="1221"/>
      <c r="AJI53" s="1221"/>
      <c r="AJJ53" s="1221"/>
      <c r="AJK53" s="1221"/>
      <c r="AJL53" s="1221"/>
      <c r="AJM53" s="1221"/>
      <c r="AJN53" s="1221"/>
      <c r="AJO53" s="1221"/>
      <c r="AJP53" s="1221"/>
      <c r="AJQ53" s="1221"/>
      <c r="AJR53" s="1221"/>
      <c r="AJS53" s="1221"/>
      <c r="AJT53" s="1221"/>
      <c r="AJU53" s="1221"/>
      <c r="AJV53" s="1221"/>
      <c r="AJW53" s="1221"/>
      <c r="AJX53" s="1221"/>
      <c r="AJY53" s="1221"/>
      <c r="AJZ53" s="1221"/>
      <c r="AKA53" s="1221"/>
      <c r="AKB53" s="1221"/>
      <c r="AKC53" s="1221"/>
      <c r="AKD53" s="1221"/>
      <c r="AKE53" s="1221"/>
      <c r="AKF53" s="1221"/>
      <c r="AKG53" s="1221"/>
      <c r="AKH53" s="1221"/>
      <c r="AKI53" s="1221"/>
      <c r="AKJ53" s="1221"/>
      <c r="AKK53" s="1221"/>
      <c r="AKL53" s="1221"/>
      <c r="AKM53" s="1221"/>
      <c r="AKN53" s="1221"/>
      <c r="AKO53" s="1221"/>
      <c r="AKP53" s="1221"/>
      <c r="AKQ53" s="1221"/>
      <c r="AKR53" s="1221"/>
      <c r="AKS53" s="1221"/>
      <c r="AKT53" s="1221"/>
      <c r="AKU53" s="1221"/>
      <c r="AKV53" s="1221"/>
      <c r="AKW53" s="1221"/>
      <c r="AKX53" s="1221"/>
      <c r="AKY53" s="1221"/>
      <c r="AKZ53" s="1221"/>
      <c r="ALA53" s="1221"/>
      <c r="ALB53" s="1221"/>
      <c r="ALC53" s="1221"/>
      <c r="ALD53" s="1221"/>
      <c r="ALE53" s="1221"/>
      <c r="ALF53" s="1221"/>
      <c r="ALG53" s="1221"/>
      <c r="ALH53" s="1221"/>
      <c r="ALI53" s="1221"/>
      <c r="ALJ53" s="1221"/>
      <c r="ALK53" s="1221"/>
      <c r="ALL53" s="1221"/>
      <c r="ALM53" s="1221"/>
      <c r="ALN53" s="1221"/>
      <c r="ALO53" s="1221"/>
      <c r="ALP53" s="1221"/>
      <c r="ALQ53" s="1221"/>
      <c r="ALR53" s="1221"/>
      <c r="ALS53" s="1221"/>
      <c r="ALT53" s="1221"/>
      <c r="ALU53" s="1221"/>
      <c r="ALV53" s="1221"/>
      <c r="ALW53" s="1221"/>
      <c r="ALX53" s="1221"/>
      <c r="ALY53" s="1221"/>
      <c r="ALZ53" s="1221"/>
      <c r="AMA53" s="1221"/>
      <c r="AMB53" s="1221"/>
      <c r="AMC53" s="1221"/>
      <c r="AMD53" s="1221"/>
      <c r="AME53" s="1221"/>
      <c r="AMF53" s="1221"/>
      <c r="AMG53" s="1221"/>
      <c r="AMH53" s="1221"/>
      <c r="AMI53" s="1221"/>
      <c r="AMJ53" s="1221"/>
      <c r="AMK53" s="1221"/>
      <c r="AML53" s="1221"/>
      <c r="AMM53" s="1221"/>
      <c r="AMN53" s="1221"/>
      <c r="AMO53" s="1221"/>
      <c r="AMP53" s="1221"/>
      <c r="AMQ53" s="1221"/>
      <c r="AMR53" s="1221"/>
      <c r="AMS53" s="1221"/>
      <c r="AMT53" s="1221"/>
      <c r="AMU53" s="1221"/>
      <c r="AMV53" s="1221"/>
      <c r="AMW53" s="1221"/>
      <c r="AMX53" s="1221"/>
      <c r="AMY53" s="1221"/>
      <c r="AMZ53" s="1221"/>
      <c r="ANA53" s="1221"/>
      <c r="ANB53" s="1221"/>
      <c r="ANC53" s="1221"/>
      <c r="AND53" s="1221"/>
      <c r="ANE53" s="1221"/>
      <c r="ANF53" s="1221"/>
      <c r="ANG53" s="1221"/>
      <c r="ANH53" s="1221"/>
      <c r="ANI53" s="1221"/>
      <c r="ANJ53" s="1221"/>
      <c r="ANK53" s="1221"/>
      <c r="ANL53" s="1221"/>
      <c r="ANM53" s="1221"/>
      <c r="ANN53" s="1221"/>
      <c r="ANO53" s="1221"/>
      <c r="ANP53" s="1221"/>
      <c r="ANQ53" s="1221"/>
      <c r="ANR53" s="1221"/>
      <c r="ANS53" s="1221"/>
      <c r="ANT53" s="1221"/>
      <c r="ANU53" s="1221"/>
      <c r="ANV53" s="1221"/>
      <c r="ANW53" s="1221"/>
      <c r="ANX53" s="1221"/>
      <c r="ANY53" s="1221"/>
      <c r="ANZ53" s="1221"/>
      <c r="AOA53" s="1221"/>
      <c r="AOB53" s="1221"/>
      <c r="AOC53" s="1221"/>
      <c r="AOD53" s="1221"/>
      <c r="AOE53" s="1221"/>
      <c r="AOF53" s="1221"/>
      <c r="AOG53" s="1221"/>
      <c r="AOH53" s="1221"/>
      <c r="AOI53" s="1221"/>
      <c r="AOJ53" s="1221"/>
      <c r="AOK53" s="1221"/>
      <c r="AOL53" s="1221"/>
      <c r="AOM53" s="1221"/>
      <c r="AON53" s="1221"/>
      <c r="AOO53" s="1221"/>
      <c r="AOP53" s="1221"/>
      <c r="AOQ53" s="1221"/>
      <c r="AOR53" s="1221"/>
      <c r="AOS53" s="1221"/>
      <c r="AOT53" s="1221"/>
      <c r="AOU53" s="1221"/>
      <c r="AOV53" s="1221"/>
      <c r="AOW53" s="1221"/>
      <c r="AOX53" s="1221"/>
      <c r="AOY53" s="1221"/>
      <c r="AOZ53" s="1221"/>
      <c r="APA53" s="1221"/>
      <c r="APB53" s="1221"/>
      <c r="APC53" s="1221"/>
      <c r="APD53" s="1221"/>
      <c r="APE53" s="1221"/>
      <c r="APF53" s="1221"/>
      <c r="APG53" s="1221"/>
      <c r="APH53" s="1221"/>
      <c r="API53" s="1221"/>
      <c r="APJ53" s="1221"/>
      <c r="APK53" s="1221"/>
      <c r="APL53" s="1221"/>
      <c r="APM53" s="1221"/>
      <c r="APN53" s="1221"/>
      <c r="APO53" s="1221"/>
      <c r="APP53" s="1221"/>
      <c r="APQ53" s="1221"/>
      <c r="APR53" s="1221"/>
      <c r="APS53" s="1221"/>
      <c r="APT53" s="1221"/>
      <c r="APU53" s="1221"/>
      <c r="APV53" s="1221"/>
      <c r="APW53" s="1221"/>
      <c r="APX53" s="1221"/>
      <c r="APY53" s="1221"/>
      <c r="APZ53" s="1221"/>
      <c r="AQA53" s="1221"/>
      <c r="AQB53" s="1221"/>
      <c r="AQC53" s="1221"/>
      <c r="AQD53" s="1221"/>
      <c r="AQE53" s="1221"/>
      <c r="AQF53" s="1221"/>
      <c r="AQG53" s="1221"/>
      <c r="AQH53" s="1221"/>
      <c r="AQI53" s="1221"/>
      <c r="AQJ53" s="1221"/>
      <c r="AQK53" s="1221"/>
      <c r="AQL53" s="1221"/>
      <c r="AQM53" s="1221"/>
      <c r="AQN53" s="1221"/>
      <c r="AQO53" s="1221"/>
      <c r="AQP53" s="1221"/>
      <c r="AQQ53" s="1221"/>
      <c r="AQR53" s="1221"/>
      <c r="AQS53" s="1221"/>
      <c r="AQT53" s="1221"/>
      <c r="AQU53" s="1221"/>
      <c r="AQV53" s="1221"/>
      <c r="AQW53" s="1221"/>
      <c r="AQX53" s="1221"/>
      <c r="AQY53" s="1221"/>
      <c r="AQZ53" s="1221"/>
      <c r="ARA53" s="1221"/>
      <c r="ARB53" s="1221"/>
      <c r="ARC53" s="1221"/>
      <c r="ARD53" s="1221"/>
      <c r="ARE53" s="1221"/>
      <c r="ARF53" s="1221"/>
      <c r="ARG53" s="1221"/>
      <c r="ARH53" s="1221"/>
      <c r="ARI53" s="1221"/>
      <c r="ARJ53" s="1221"/>
      <c r="ARK53" s="1221"/>
      <c r="ARL53" s="1221"/>
      <c r="ARM53" s="1221"/>
      <c r="ARN53" s="1221"/>
      <c r="ARO53" s="1221"/>
      <c r="ARP53" s="1221"/>
      <c r="ARQ53" s="1221"/>
      <c r="ARR53" s="1221"/>
      <c r="ARS53" s="1221"/>
      <c r="ART53" s="1221"/>
      <c r="ARU53" s="1221"/>
      <c r="ARV53" s="1221"/>
      <c r="ARW53" s="1221"/>
      <c r="ARX53" s="1221"/>
      <c r="ARY53" s="1221"/>
      <c r="ARZ53" s="1221"/>
      <c r="ASA53" s="1221"/>
      <c r="ASB53" s="1221"/>
      <c r="ASC53" s="1221"/>
      <c r="ASD53" s="1221"/>
      <c r="ASE53" s="1221"/>
      <c r="ASF53" s="1221"/>
      <c r="ASG53" s="1221"/>
      <c r="ASH53" s="1221"/>
      <c r="ASI53" s="1221"/>
      <c r="ASJ53" s="1221"/>
      <c r="ASK53" s="1221"/>
      <c r="ASL53" s="1221"/>
      <c r="ASM53" s="1221"/>
      <c r="ASN53" s="1221"/>
      <c r="ASO53" s="1221"/>
      <c r="ASP53" s="1221"/>
      <c r="ASQ53" s="1221"/>
      <c r="ASR53" s="1221"/>
      <c r="ASS53" s="1221"/>
      <c r="AST53" s="1221"/>
      <c r="ASU53" s="1221"/>
      <c r="ASV53" s="1221"/>
      <c r="ASW53" s="1221"/>
      <c r="ASX53" s="1221"/>
      <c r="ASY53" s="1221"/>
      <c r="ASZ53" s="1221"/>
      <c r="ATA53" s="1221"/>
      <c r="ATB53" s="1221"/>
      <c r="ATC53" s="1221"/>
      <c r="ATD53" s="1221"/>
      <c r="ATE53" s="1221"/>
      <c r="ATF53" s="1221"/>
      <c r="ATG53" s="1221"/>
      <c r="ATH53" s="1221"/>
      <c r="ATI53" s="1221"/>
      <c r="ATJ53" s="1221"/>
      <c r="ATK53" s="1221"/>
      <c r="ATL53" s="1221"/>
      <c r="ATM53" s="1221"/>
      <c r="ATN53" s="1221"/>
      <c r="ATO53" s="1221"/>
      <c r="ATP53" s="1221"/>
      <c r="ATQ53" s="1221"/>
      <c r="ATR53" s="1221"/>
      <c r="ATS53" s="1221"/>
      <c r="ATT53" s="1221"/>
      <c r="ATU53" s="1221"/>
      <c r="ATV53" s="1221"/>
      <c r="ATW53" s="1221"/>
      <c r="ATX53" s="1221"/>
      <c r="ATY53" s="1221"/>
      <c r="ATZ53" s="1221"/>
      <c r="AUA53" s="1221"/>
      <c r="AUB53" s="1221"/>
      <c r="AUC53" s="1221"/>
      <c r="AUD53" s="1221"/>
      <c r="AUE53" s="1221"/>
      <c r="AUF53" s="1221"/>
      <c r="AUG53" s="1221"/>
      <c r="AUH53" s="1221"/>
      <c r="AUI53" s="1221"/>
      <c r="AUJ53" s="1221"/>
      <c r="AUK53" s="1221"/>
      <c r="AUL53" s="1221"/>
      <c r="AUM53" s="1221"/>
      <c r="AUN53" s="1221"/>
      <c r="AUO53" s="1221"/>
      <c r="AUP53" s="1221"/>
      <c r="AUQ53" s="1221"/>
      <c r="AUR53" s="1221"/>
      <c r="AUS53" s="1221"/>
      <c r="AUT53" s="1221"/>
      <c r="AUU53" s="1221"/>
      <c r="AUV53" s="1221"/>
      <c r="AUW53" s="1221"/>
      <c r="AUX53" s="1221"/>
      <c r="AUY53" s="1221"/>
      <c r="AUZ53" s="1221"/>
      <c r="AVA53" s="1221"/>
      <c r="AVB53" s="1221"/>
      <c r="AVC53" s="1221"/>
      <c r="AVD53" s="1221"/>
      <c r="AVE53" s="1221"/>
      <c r="AVF53" s="1221"/>
      <c r="AVG53" s="1221"/>
      <c r="AVH53" s="1221"/>
      <c r="AVI53" s="1221"/>
      <c r="AVJ53" s="1221"/>
      <c r="AVK53" s="1221"/>
      <c r="AVL53" s="1221"/>
      <c r="AVM53" s="1221"/>
      <c r="AVN53" s="1221"/>
      <c r="AVO53" s="1221"/>
      <c r="AVP53" s="1221"/>
      <c r="AVQ53" s="1221"/>
      <c r="AVR53" s="1221"/>
      <c r="AVS53" s="1221"/>
      <c r="AVT53" s="1221"/>
      <c r="AVU53" s="1221"/>
      <c r="AVV53" s="1221"/>
      <c r="AVW53" s="1221"/>
      <c r="AVX53" s="1221"/>
      <c r="AVY53" s="1221"/>
      <c r="AVZ53" s="1221"/>
      <c r="AWA53" s="1221"/>
      <c r="AWB53" s="1221"/>
      <c r="AWC53" s="1221"/>
      <c r="AWD53" s="1221"/>
      <c r="AWE53" s="1221"/>
      <c r="AWF53" s="1221"/>
      <c r="AWG53" s="1221"/>
      <c r="AWH53" s="1221"/>
      <c r="AWI53" s="1221"/>
      <c r="AWJ53" s="1221"/>
      <c r="AWK53" s="1221"/>
      <c r="AWL53" s="1221"/>
      <c r="AWM53" s="1221"/>
      <c r="AWN53" s="1221"/>
      <c r="AWO53" s="1221"/>
      <c r="AWP53" s="1221"/>
      <c r="AWQ53" s="1221"/>
      <c r="AWR53" s="1221"/>
      <c r="AWS53" s="1221"/>
      <c r="AWT53" s="1221"/>
      <c r="AWU53" s="1221"/>
      <c r="AWV53" s="1221"/>
      <c r="AWW53" s="1221"/>
      <c r="AWX53" s="1221"/>
      <c r="AWY53" s="1221"/>
      <c r="AWZ53" s="1221"/>
      <c r="AXA53" s="1221"/>
      <c r="AXB53" s="1221"/>
      <c r="AXC53" s="1221"/>
      <c r="AXD53" s="1221"/>
      <c r="AXE53" s="1221"/>
      <c r="AXF53" s="1221"/>
      <c r="AXG53" s="1221"/>
      <c r="AXH53" s="1221"/>
      <c r="AXI53" s="1221"/>
      <c r="AXJ53" s="1221"/>
      <c r="AXK53" s="1221"/>
      <c r="AXL53" s="1221"/>
      <c r="AXM53" s="1221"/>
      <c r="AXN53" s="1221"/>
      <c r="AXO53" s="1221"/>
      <c r="AXP53" s="1221"/>
      <c r="AXQ53" s="1221"/>
      <c r="AXR53" s="1221"/>
      <c r="AXS53" s="1221"/>
      <c r="AXT53" s="1221"/>
      <c r="AXU53" s="1221"/>
      <c r="AXV53" s="1221"/>
      <c r="AXW53" s="1221"/>
      <c r="AXX53" s="1221"/>
      <c r="AXY53" s="1221"/>
      <c r="AXZ53" s="1221"/>
      <c r="AYA53" s="1221"/>
      <c r="AYB53" s="1221"/>
      <c r="AYC53" s="1221"/>
      <c r="AYD53" s="1221"/>
      <c r="AYE53" s="1221"/>
      <c r="AYF53" s="1221"/>
      <c r="AYG53" s="1221"/>
      <c r="AYH53" s="1221"/>
      <c r="AYI53" s="1221"/>
      <c r="AYJ53" s="1221"/>
      <c r="AYK53" s="1221"/>
      <c r="AYL53" s="1221"/>
      <c r="AYM53" s="1221"/>
      <c r="AYN53" s="1221"/>
      <c r="AYO53" s="1221"/>
      <c r="AYP53" s="1221"/>
      <c r="AYQ53" s="1221"/>
      <c r="AYR53" s="1221"/>
      <c r="AYS53" s="1221"/>
      <c r="AYT53" s="1221"/>
      <c r="AYU53" s="1221"/>
      <c r="AYV53" s="1221"/>
      <c r="AYW53" s="1221"/>
      <c r="AYX53" s="1221"/>
      <c r="AYY53" s="1221"/>
      <c r="AYZ53" s="1221"/>
      <c r="AZA53" s="1221"/>
      <c r="AZB53" s="1221"/>
      <c r="AZC53" s="1221"/>
      <c r="AZD53" s="1221"/>
      <c r="AZE53" s="1221"/>
      <c r="AZF53" s="1221"/>
      <c r="AZG53" s="1221"/>
      <c r="AZH53" s="1221"/>
      <c r="AZI53" s="1221"/>
      <c r="AZJ53" s="1221"/>
      <c r="AZK53" s="1221"/>
      <c r="AZL53" s="1221"/>
      <c r="AZM53" s="1221"/>
      <c r="AZN53" s="1221"/>
      <c r="AZO53" s="1221"/>
      <c r="AZP53" s="1221"/>
      <c r="AZQ53" s="1221"/>
      <c r="AZR53" s="1221"/>
      <c r="AZS53" s="1221"/>
      <c r="AZT53" s="1221"/>
      <c r="AZU53" s="1221"/>
      <c r="AZV53" s="1221"/>
      <c r="AZW53" s="1221"/>
      <c r="AZX53" s="1221"/>
      <c r="AZY53" s="1221"/>
      <c r="AZZ53" s="1221"/>
      <c r="BAA53" s="1221"/>
      <c r="BAB53" s="1221"/>
      <c r="BAC53" s="1221"/>
      <c r="BAD53" s="1221"/>
      <c r="BAE53" s="1221"/>
      <c r="BAF53" s="1221"/>
      <c r="BAG53" s="1221"/>
      <c r="BAH53" s="1221"/>
      <c r="BAI53" s="1221"/>
      <c r="BAJ53" s="1221"/>
      <c r="BAK53" s="1221"/>
      <c r="BAL53" s="1221"/>
      <c r="BAM53" s="1221"/>
      <c r="BAN53" s="1221"/>
      <c r="BAO53" s="1221"/>
      <c r="BAP53" s="1221"/>
      <c r="BAQ53" s="1221"/>
      <c r="BAR53" s="1221"/>
      <c r="BAS53" s="1221"/>
      <c r="BAT53" s="1221"/>
      <c r="BAU53" s="1221"/>
      <c r="BAV53" s="1221"/>
      <c r="BAW53" s="1221"/>
      <c r="BAX53" s="1221"/>
      <c r="BAY53" s="1221"/>
      <c r="BAZ53" s="1221"/>
      <c r="BBA53" s="1221"/>
      <c r="BBB53" s="1221"/>
      <c r="BBC53" s="1221"/>
      <c r="BBD53" s="1221"/>
      <c r="BBE53" s="1221"/>
      <c r="BBF53" s="1221"/>
      <c r="BBG53" s="1221"/>
      <c r="BBH53" s="1221"/>
      <c r="BBI53" s="1221"/>
      <c r="BBJ53" s="1221"/>
      <c r="BBK53" s="1221"/>
      <c r="BBL53" s="1221"/>
      <c r="BBM53" s="1221"/>
      <c r="BBN53" s="1221"/>
      <c r="BBO53" s="1221"/>
      <c r="BBP53" s="1221"/>
      <c r="BBQ53" s="1221"/>
      <c r="BBR53" s="1221"/>
      <c r="BBS53" s="1221"/>
      <c r="BBT53" s="1221"/>
      <c r="BBU53" s="1221"/>
      <c r="BBV53" s="1221"/>
      <c r="BBW53" s="1221"/>
      <c r="BBX53" s="1221"/>
      <c r="BBY53" s="1221"/>
      <c r="BBZ53" s="1221"/>
      <c r="BCA53" s="1221"/>
      <c r="BCB53" s="1221"/>
      <c r="BCC53" s="1221"/>
      <c r="BCD53" s="1221"/>
      <c r="BCE53" s="1221"/>
      <c r="BCF53" s="1221"/>
      <c r="BCG53" s="1221"/>
      <c r="BCH53" s="1221"/>
      <c r="BCI53" s="1221"/>
      <c r="BCJ53" s="1221"/>
      <c r="BCK53" s="1221"/>
      <c r="BCL53" s="1221"/>
      <c r="BCM53" s="1221"/>
      <c r="BCN53" s="1221"/>
      <c r="BCO53" s="1221"/>
      <c r="BCP53" s="1221"/>
      <c r="BCQ53" s="1221"/>
      <c r="BCR53" s="1221"/>
      <c r="BCS53" s="1221"/>
      <c r="BCT53" s="1221"/>
      <c r="BCU53" s="1221"/>
      <c r="BCV53" s="1221"/>
      <c r="BCW53" s="1221"/>
      <c r="BCX53" s="1221"/>
      <c r="BCY53" s="1221"/>
      <c r="BCZ53" s="1221"/>
      <c r="BDA53" s="1221"/>
      <c r="BDB53" s="1221"/>
      <c r="BDC53" s="1221"/>
      <c r="BDD53" s="1221"/>
      <c r="BDE53" s="1221"/>
      <c r="BDF53" s="1221"/>
      <c r="BDG53" s="1221"/>
      <c r="BDH53" s="1221"/>
      <c r="BDI53" s="1221"/>
      <c r="BDJ53" s="1221"/>
      <c r="BDK53" s="1221"/>
      <c r="BDL53" s="1221"/>
      <c r="BDM53" s="1221"/>
      <c r="BDN53" s="1221"/>
      <c r="BDO53" s="1221"/>
      <c r="BDP53" s="1221"/>
      <c r="BDQ53" s="1221"/>
      <c r="BDR53" s="1221"/>
      <c r="BDS53" s="1221"/>
      <c r="BDT53" s="1221"/>
      <c r="BDU53" s="1221"/>
      <c r="BDV53" s="1221"/>
      <c r="BDW53" s="1221"/>
      <c r="BDX53" s="1221"/>
      <c r="BDY53" s="1221"/>
      <c r="BDZ53" s="1221"/>
      <c r="BEA53" s="1221"/>
      <c r="BEB53" s="1221"/>
      <c r="BEC53" s="1221"/>
      <c r="BED53" s="1221"/>
      <c r="BEE53" s="1221"/>
      <c r="BEF53" s="1221"/>
      <c r="BEG53" s="1221"/>
      <c r="BEH53" s="1221"/>
      <c r="BEI53" s="1221"/>
      <c r="BEJ53" s="1221"/>
      <c r="BEK53" s="1221"/>
      <c r="BEL53" s="1221"/>
      <c r="BEM53" s="1221"/>
      <c r="BEN53" s="1221"/>
      <c r="BEO53" s="1221"/>
      <c r="BEP53" s="1221"/>
      <c r="BEQ53" s="1221"/>
      <c r="BER53" s="1221"/>
      <c r="BES53" s="1221"/>
      <c r="BET53" s="1221"/>
      <c r="BEU53" s="1221"/>
      <c r="BEV53" s="1221"/>
      <c r="BEW53" s="1221"/>
      <c r="BEX53" s="1221"/>
      <c r="BEY53" s="1221"/>
      <c r="BEZ53" s="1221"/>
      <c r="BFA53" s="1221"/>
      <c r="BFB53" s="1221"/>
      <c r="BFC53" s="1221"/>
      <c r="BFD53" s="1221"/>
      <c r="BFE53" s="1221"/>
      <c r="BFF53" s="1221"/>
      <c r="BFG53" s="1221"/>
      <c r="BFH53" s="1221"/>
      <c r="BFI53" s="1221"/>
      <c r="BFJ53" s="1221"/>
      <c r="BFK53" s="1221"/>
      <c r="BFL53" s="1221"/>
      <c r="BFM53" s="1221"/>
      <c r="BFN53" s="1221"/>
      <c r="BFO53" s="1221"/>
      <c r="BFP53" s="1221"/>
      <c r="BFQ53" s="1221"/>
      <c r="BFR53" s="1221"/>
      <c r="BFS53" s="1221"/>
      <c r="BFT53" s="1221"/>
      <c r="BFU53" s="1221"/>
      <c r="BFV53" s="1221"/>
      <c r="BFW53" s="1221"/>
      <c r="BFX53" s="1221"/>
      <c r="BFY53" s="1221"/>
      <c r="BFZ53" s="1221"/>
      <c r="BGA53" s="1221"/>
      <c r="BGB53" s="1221"/>
      <c r="BGC53" s="1221"/>
      <c r="BGD53" s="1221"/>
      <c r="BGE53" s="1221"/>
      <c r="BGF53" s="1221"/>
      <c r="BGG53" s="1221"/>
      <c r="BGH53" s="1221"/>
      <c r="BGI53" s="1221"/>
      <c r="BGJ53" s="1221"/>
      <c r="BGK53" s="1221"/>
      <c r="BGL53" s="1221"/>
      <c r="BGM53" s="1221"/>
      <c r="BGN53" s="1221"/>
      <c r="BGO53" s="1221"/>
      <c r="BGP53" s="1221"/>
      <c r="BGQ53" s="1221"/>
      <c r="BGR53" s="1221"/>
      <c r="BGS53" s="1221"/>
      <c r="BGT53" s="1221"/>
      <c r="BGU53" s="1221"/>
      <c r="BGV53" s="1221"/>
      <c r="BGW53" s="1221"/>
      <c r="BGX53" s="1221"/>
      <c r="BGY53" s="1221"/>
      <c r="BGZ53" s="1221"/>
      <c r="BHA53" s="1221"/>
      <c r="BHB53" s="1221"/>
      <c r="BHC53" s="1221"/>
      <c r="BHD53" s="1221"/>
      <c r="BHE53" s="1221"/>
      <c r="BHF53" s="1221"/>
      <c r="BHG53" s="1221"/>
      <c r="BHH53" s="1221"/>
      <c r="BHI53" s="1221"/>
      <c r="BHJ53" s="1221"/>
      <c r="BHK53" s="1221"/>
      <c r="BHL53" s="1221"/>
      <c r="BHM53" s="1221"/>
      <c r="BHN53" s="1221"/>
      <c r="BHO53" s="1221"/>
      <c r="BHP53" s="1221"/>
      <c r="BHQ53" s="1221"/>
      <c r="BHR53" s="1221"/>
      <c r="BHS53" s="1221"/>
      <c r="BHT53" s="1221"/>
      <c r="BHU53" s="1221"/>
      <c r="BHV53" s="1221"/>
      <c r="BHW53" s="1221"/>
      <c r="BHX53" s="1221"/>
      <c r="BHY53" s="1221"/>
      <c r="BHZ53" s="1221"/>
      <c r="BIA53" s="1221"/>
      <c r="BIB53" s="1221"/>
      <c r="BIC53" s="1221"/>
      <c r="BID53" s="1221"/>
      <c r="BIE53" s="1221"/>
      <c r="BIF53" s="1221"/>
      <c r="BIG53" s="1221"/>
      <c r="BIH53" s="1221"/>
      <c r="BII53" s="1221"/>
      <c r="BIJ53" s="1221"/>
      <c r="BIK53" s="1221"/>
      <c r="BIL53" s="1221"/>
      <c r="BIM53" s="1221"/>
      <c r="BIN53" s="1221"/>
      <c r="BIO53" s="1221"/>
      <c r="BIP53" s="1221"/>
      <c r="BIQ53" s="1221"/>
      <c r="BIR53" s="1221"/>
      <c r="BIS53" s="1221"/>
      <c r="BIT53" s="1221"/>
      <c r="BIU53" s="1221"/>
      <c r="BIV53" s="1221"/>
      <c r="BIW53" s="1221"/>
      <c r="BIX53" s="1221"/>
      <c r="BIY53" s="1221"/>
      <c r="BIZ53" s="1221"/>
      <c r="BJA53" s="1221"/>
      <c r="BJB53" s="1221"/>
      <c r="BJC53" s="1221"/>
      <c r="BJD53" s="1221"/>
      <c r="BJE53" s="1221"/>
      <c r="BJF53" s="1221"/>
      <c r="BJG53" s="1221"/>
      <c r="BJH53" s="1221"/>
      <c r="BJI53" s="1221"/>
      <c r="BJJ53" s="1221"/>
      <c r="BJK53" s="1221"/>
      <c r="BJL53" s="1221"/>
      <c r="BJM53" s="1221"/>
      <c r="BJN53" s="1221"/>
      <c r="BJO53" s="1221"/>
      <c r="BJP53" s="1221"/>
      <c r="BJQ53" s="1221"/>
      <c r="BJR53" s="1221"/>
      <c r="BJS53" s="1221"/>
      <c r="BJT53" s="1221"/>
      <c r="BJU53" s="1221"/>
      <c r="BJV53" s="1221"/>
      <c r="BJW53" s="1221"/>
      <c r="BJX53" s="1221"/>
      <c r="BJY53" s="1221"/>
      <c r="BJZ53" s="1221"/>
      <c r="BKA53" s="1221"/>
      <c r="BKB53" s="1221"/>
      <c r="BKC53" s="1221"/>
      <c r="BKD53" s="1221"/>
      <c r="BKE53" s="1221"/>
      <c r="BKF53" s="1221"/>
      <c r="BKG53" s="1221"/>
      <c r="BKH53" s="1221"/>
      <c r="BKI53" s="1221"/>
      <c r="BKJ53" s="1221"/>
      <c r="BKK53" s="1221"/>
      <c r="BKL53" s="1221"/>
      <c r="BKM53" s="1221"/>
      <c r="BKN53" s="1221"/>
      <c r="BKO53" s="1221"/>
      <c r="BKP53" s="1221"/>
      <c r="BKQ53" s="1221"/>
      <c r="BKR53" s="1221"/>
      <c r="BKS53" s="1221"/>
      <c r="BKT53" s="1221"/>
      <c r="BKU53" s="1221"/>
      <c r="BKV53" s="1221"/>
      <c r="BKW53" s="1221"/>
      <c r="BKX53" s="1221"/>
      <c r="BKY53" s="1221"/>
      <c r="BKZ53" s="1221"/>
      <c r="BLA53" s="1221"/>
      <c r="BLB53" s="1221"/>
      <c r="BLC53" s="1221"/>
      <c r="BLD53" s="1221"/>
      <c r="BLE53" s="1221"/>
      <c r="BLF53" s="1221"/>
      <c r="BLG53" s="1221"/>
      <c r="BLH53" s="1221"/>
      <c r="BLI53" s="1221"/>
      <c r="BLJ53" s="1221"/>
      <c r="BLK53" s="1221"/>
      <c r="BLL53" s="1221"/>
      <c r="BLM53" s="1221"/>
      <c r="BLN53" s="1221"/>
      <c r="BLO53" s="1221"/>
      <c r="BLP53" s="1221"/>
      <c r="BLQ53" s="1221"/>
      <c r="BLR53" s="1221"/>
      <c r="BLS53" s="1221"/>
      <c r="BLT53" s="1221"/>
      <c r="BLU53" s="1221"/>
      <c r="BLV53" s="1221"/>
      <c r="BLW53" s="1221"/>
      <c r="BLX53" s="1221"/>
      <c r="BLY53" s="1221"/>
      <c r="BLZ53" s="1221"/>
      <c r="BMA53" s="1221"/>
      <c r="BMB53" s="1221"/>
      <c r="BMC53" s="1221"/>
      <c r="BMD53" s="1221"/>
      <c r="BME53" s="1221"/>
      <c r="BMF53" s="1221"/>
      <c r="BMG53" s="1221"/>
      <c r="BMH53" s="1221"/>
      <c r="BMI53" s="1221"/>
      <c r="BMJ53" s="1221"/>
      <c r="BMK53" s="1221"/>
      <c r="BML53" s="1221"/>
      <c r="BMM53" s="1221"/>
      <c r="BMN53" s="1221"/>
      <c r="BMO53" s="1221"/>
      <c r="BMP53" s="1221"/>
      <c r="BMQ53" s="1221"/>
      <c r="BMR53" s="1221"/>
      <c r="BMS53" s="1221"/>
      <c r="BMT53" s="1221"/>
      <c r="BMU53" s="1221"/>
      <c r="BMV53" s="1221"/>
      <c r="BMW53" s="1221"/>
      <c r="BMX53" s="1221"/>
      <c r="BMY53" s="1221"/>
      <c r="BMZ53" s="1221"/>
      <c r="BNA53" s="1221"/>
      <c r="BNB53" s="1221"/>
      <c r="BNC53" s="1221"/>
      <c r="BND53" s="1221"/>
      <c r="BNE53" s="1221"/>
      <c r="BNF53" s="1221"/>
      <c r="BNG53" s="1221"/>
      <c r="BNH53" s="1221"/>
      <c r="BNI53" s="1221"/>
      <c r="BNJ53" s="1221"/>
      <c r="BNK53" s="1221"/>
      <c r="BNL53" s="1221"/>
      <c r="BNM53" s="1221"/>
      <c r="BNN53" s="1221"/>
      <c r="BNO53" s="1221"/>
      <c r="BNP53" s="1221"/>
      <c r="BNQ53" s="1221"/>
      <c r="BNR53" s="1221"/>
      <c r="BNS53" s="1221"/>
      <c r="BNT53" s="1221"/>
      <c r="BNU53" s="1221"/>
      <c r="BNV53" s="1221"/>
      <c r="BNW53" s="1221"/>
      <c r="BNX53" s="1221"/>
      <c r="BNY53" s="1221"/>
      <c r="BNZ53" s="1221"/>
      <c r="BOA53" s="1221"/>
      <c r="BOB53" s="1221"/>
      <c r="BOC53" s="1221"/>
      <c r="BOD53" s="1221"/>
      <c r="BOE53" s="1221"/>
      <c r="BOF53" s="1221"/>
      <c r="BOG53" s="1221"/>
      <c r="BOH53" s="1221"/>
      <c r="BOI53" s="1221"/>
      <c r="BOJ53" s="1221"/>
      <c r="BOK53" s="1221"/>
      <c r="BOL53" s="1221"/>
      <c r="BOM53" s="1221"/>
      <c r="BON53" s="1221"/>
      <c r="BOO53" s="1221"/>
      <c r="BOP53" s="1221"/>
      <c r="BOQ53" s="1221"/>
      <c r="BOR53" s="1221"/>
      <c r="BOS53" s="1221"/>
      <c r="BOT53" s="1221"/>
      <c r="BOU53" s="1221"/>
      <c r="BOV53" s="1221"/>
      <c r="BOW53" s="1221"/>
      <c r="BOX53" s="1221"/>
      <c r="BOY53" s="1221"/>
      <c r="BOZ53" s="1221"/>
      <c r="BPA53" s="1221"/>
      <c r="BPB53" s="1221"/>
      <c r="BPC53" s="1221"/>
      <c r="BPD53" s="1221"/>
      <c r="BPE53" s="1221"/>
      <c r="BPF53" s="1221"/>
      <c r="BPG53" s="1221"/>
      <c r="BPH53" s="1221"/>
      <c r="BPI53" s="1221"/>
      <c r="BPJ53" s="1221"/>
      <c r="BPK53" s="1221"/>
      <c r="BPL53" s="1221"/>
      <c r="BPM53" s="1221"/>
      <c r="BPN53" s="1221"/>
      <c r="BPO53" s="1221"/>
      <c r="BPP53" s="1221"/>
      <c r="BPQ53" s="1221"/>
      <c r="BPR53" s="1221"/>
      <c r="BPS53" s="1221"/>
      <c r="BPT53" s="1221"/>
      <c r="BPU53" s="1221"/>
      <c r="BPV53" s="1221"/>
      <c r="BPW53" s="1221"/>
      <c r="BPX53" s="1221"/>
      <c r="BPY53" s="1221"/>
      <c r="BPZ53" s="1221"/>
      <c r="BQA53" s="1221"/>
      <c r="BQB53" s="1221"/>
      <c r="BQC53" s="1221"/>
      <c r="BQD53" s="1221"/>
      <c r="BQE53" s="1221"/>
      <c r="BQF53" s="1221"/>
      <c r="BQG53" s="1221"/>
      <c r="BQH53" s="1221"/>
      <c r="BQI53" s="1221"/>
      <c r="BQJ53" s="1221"/>
      <c r="BQK53" s="1221"/>
      <c r="BQL53" s="1221"/>
      <c r="BQM53" s="1221"/>
      <c r="BQN53" s="1221"/>
      <c r="BQO53" s="1221"/>
      <c r="BQP53" s="1221"/>
      <c r="BQQ53" s="1221"/>
      <c r="BQR53" s="1221"/>
      <c r="BQS53" s="1221"/>
      <c r="BQT53" s="1221"/>
      <c r="BQU53" s="1221"/>
      <c r="BQV53" s="1221"/>
      <c r="BQW53" s="1221"/>
      <c r="BQX53" s="1221"/>
      <c r="BQY53" s="1221"/>
      <c r="BQZ53" s="1221"/>
      <c r="BRA53" s="1221"/>
      <c r="BRB53" s="1221"/>
      <c r="BRC53" s="1221"/>
      <c r="BRD53" s="1221"/>
      <c r="BRE53" s="1221"/>
      <c r="BRF53" s="1221"/>
      <c r="BRG53" s="1221"/>
      <c r="BRH53" s="1221"/>
      <c r="BRI53" s="1221"/>
      <c r="BRJ53" s="1221"/>
      <c r="BRK53" s="1221"/>
      <c r="BRL53" s="1221"/>
      <c r="BRM53" s="1221"/>
      <c r="BRN53" s="1221"/>
      <c r="BRO53" s="1221"/>
      <c r="BRP53" s="1221"/>
      <c r="BRQ53" s="1221"/>
      <c r="BRR53" s="1221"/>
      <c r="BRS53" s="1221"/>
      <c r="BRT53" s="1221"/>
      <c r="BRU53" s="1221"/>
      <c r="BRV53" s="1221"/>
      <c r="BRW53" s="1221"/>
      <c r="BRX53" s="1221"/>
      <c r="BRY53" s="1221"/>
      <c r="BRZ53" s="1221"/>
      <c r="BSA53" s="1221"/>
      <c r="BSB53" s="1221"/>
      <c r="BSC53" s="1221"/>
      <c r="BSD53" s="1221"/>
      <c r="BSE53" s="1221"/>
      <c r="BSF53" s="1221"/>
      <c r="BSG53" s="1221"/>
      <c r="BSH53" s="1221"/>
      <c r="BSI53" s="1221"/>
      <c r="BSJ53" s="1221"/>
      <c r="BSK53" s="1221"/>
      <c r="BSL53" s="1221"/>
      <c r="BSM53" s="1221"/>
      <c r="BSN53" s="1221"/>
      <c r="BSO53" s="1221"/>
      <c r="BSP53" s="1221"/>
      <c r="BSQ53" s="1221"/>
      <c r="BSR53" s="1221"/>
      <c r="BSS53" s="1221"/>
      <c r="BST53" s="1221"/>
      <c r="BSU53" s="1221"/>
      <c r="BSV53" s="1221"/>
      <c r="BSW53" s="1221"/>
      <c r="BSX53" s="1221"/>
      <c r="BSY53" s="1221"/>
      <c r="BSZ53" s="1221"/>
      <c r="BTA53" s="1221"/>
      <c r="BTB53" s="1221"/>
      <c r="BTC53" s="1221"/>
      <c r="BTD53" s="1221"/>
      <c r="BTE53" s="1221"/>
      <c r="BTF53" s="1221"/>
      <c r="BTG53" s="1221"/>
      <c r="BTH53" s="1221"/>
      <c r="BTI53" s="1221"/>
      <c r="BTJ53" s="1221"/>
      <c r="BTK53" s="1221"/>
      <c r="BTL53" s="1221"/>
      <c r="BTM53" s="1221"/>
      <c r="BTN53" s="1221"/>
      <c r="BTO53" s="1221"/>
      <c r="BTP53" s="1221"/>
      <c r="BTQ53" s="1221"/>
      <c r="BTR53" s="1221"/>
      <c r="BTS53" s="1221"/>
      <c r="BTT53" s="1221"/>
      <c r="BTU53" s="1221"/>
      <c r="BTV53" s="1221"/>
      <c r="BTW53" s="1221"/>
      <c r="BTX53" s="1221"/>
      <c r="BTY53" s="1221"/>
      <c r="BTZ53" s="1221"/>
      <c r="BUA53" s="1221"/>
      <c r="BUB53" s="1221"/>
      <c r="BUC53" s="1221"/>
      <c r="BUD53" s="1221"/>
      <c r="BUE53" s="1221"/>
      <c r="BUF53" s="1221"/>
      <c r="BUG53" s="1221"/>
      <c r="BUH53" s="1221"/>
      <c r="BUI53" s="1221"/>
      <c r="BUJ53" s="1221"/>
      <c r="BUK53" s="1221"/>
      <c r="BUL53" s="1221"/>
      <c r="BUM53" s="1221"/>
      <c r="BUN53" s="1221"/>
      <c r="BUO53" s="1221"/>
      <c r="BUP53" s="1221"/>
      <c r="BUQ53" s="1221"/>
      <c r="BUR53" s="1221"/>
      <c r="BUS53" s="1221"/>
      <c r="BUT53" s="1221"/>
      <c r="BUU53" s="1221"/>
      <c r="BUV53" s="1221"/>
      <c r="BUW53" s="1221"/>
      <c r="BUX53" s="1221"/>
      <c r="BUY53" s="1221"/>
      <c r="BUZ53" s="1221"/>
      <c r="BVA53" s="1221"/>
      <c r="BVB53" s="1221"/>
      <c r="BVC53" s="1221"/>
      <c r="BVD53" s="1221"/>
      <c r="BVE53" s="1221"/>
      <c r="BVF53" s="1221"/>
      <c r="BVG53" s="1221"/>
      <c r="BVH53" s="1221"/>
      <c r="BVI53" s="1221"/>
      <c r="BVJ53" s="1221"/>
      <c r="BVK53" s="1221"/>
      <c r="BVL53" s="1221"/>
      <c r="BVM53" s="1221"/>
      <c r="BVN53" s="1221"/>
      <c r="BVO53" s="1221"/>
      <c r="BVP53" s="1221"/>
      <c r="BVQ53" s="1221"/>
      <c r="BVR53" s="1221"/>
      <c r="BVS53" s="1221"/>
      <c r="BVT53" s="1221"/>
      <c r="BVU53" s="1221"/>
      <c r="BVV53" s="1221"/>
      <c r="BVW53" s="1221"/>
      <c r="BVX53" s="1221"/>
      <c r="BVY53" s="1221"/>
      <c r="BVZ53" s="1221"/>
      <c r="BWA53" s="1221"/>
      <c r="BWB53" s="1221"/>
      <c r="BWC53" s="1221"/>
      <c r="BWD53" s="1221"/>
      <c r="BWE53" s="1221"/>
      <c r="BWF53" s="1221"/>
      <c r="BWG53" s="1221"/>
      <c r="BWH53" s="1221"/>
      <c r="BWI53" s="1221"/>
      <c r="BWJ53" s="1221"/>
      <c r="BWK53" s="1221"/>
      <c r="BWL53" s="1221"/>
      <c r="BWM53" s="1221"/>
      <c r="BWN53" s="1221"/>
      <c r="BWO53" s="1221"/>
      <c r="BWP53" s="1221"/>
      <c r="BWQ53" s="1221"/>
      <c r="BWR53" s="1221"/>
      <c r="BWS53" s="1221"/>
      <c r="BWT53" s="1221"/>
      <c r="BWU53" s="1221"/>
      <c r="BWV53" s="1221"/>
      <c r="BWW53" s="1221"/>
      <c r="BWX53" s="1221"/>
      <c r="BWY53" s="1221"/>
      <c r="BWZ53" s="1221"/>
      <c r="BXA53" s="1221"/>
      <c r="BXB53" s="1221"/>
      <c r="BXC53" s="1221"/>
      <c r="BXD53" s="1221"/>
      <c r="BXE53" s="1221"/>
      <c r="BXF53" s="1221"/>
      <c r="BXG53" s="1221"/>
      <c r="BXH53" s="1221"/>
      <c r="BXI53" s="1221"/>
      <c r="BXJ53" s="1221"/>
      <c r="BXK53" s="1221"/>
      <c r="BXL53" s="1221"/>
      <c r="BXM53" s="1221"/>
      <c r="BXN53" s="1221"/>
      <c r="BXO53" s="1221"/>
      <c r="BXP53" s="1221"/>
      <c r="BXQ53" s="1221"/>
      <c r="BXR53" s="1221"/>
      <c r="BXS53" s="1221"/>
      <c r="BXT53" s="1221"/>
      <c r="BXU53" s="1221"/>
      <c r="BXV53" s="1221"/>
      <c r="BXW53" s="1221"/>
      <c r="BXX53" s="1221"/>
      <c r="BXY53" s="1221"/>
      <c r="BXZ53" s="1221"/>
      <c r="BYA53" s="1221"/>
      <c r="BYB53" s="1221"/>
      <c r="BYC53" s="1221"/>
      <c r="BYD53" s="1221"/>
      <c r="BYE53" s="1221"/>
      <c r="BYF53" s="1221"/>
      <c r="BYG53" s="1221"/>
      <c r="BYH53" s="1221"/>
      <c r="BYI53" s="1221"/>
      <c r="BYJ53" s="1221"/>
      <c r="BYK53" s="1221"/>
      <c r="BYL53" s="1221"/>
      <c r="BYM53" s="1221"/>
      <c r="BYN53" s="1221"/>
      <c r="BYO53" s="1221"/>
      <c r="BYP53" s="1221"/>
      <c r="BYQ53" s="1221"/>
      <c r="BYR53" s="1221"/>
      <c r="BYS53" s="1221"/>
      <c r="BYT53" s="1221"/>
      <c r="BYU53" s="1221"/>
      <c r="BYV53" s="1221"/>
      <c r="BYW53" s="1221"/>
      <c r="BYX53" s="1221"/>
      <c r="BYY53" s="1221"/>
      <c r="BYZ53" s="1221"/>
      <c r="BZA53" s="1221"/>
      <c r="BZB53" s="1221"/>
      <c r="BZC53" s="1221"/>
      <c r="BZD53" s="1221"/>
      <c r="BZE53" s="1221"/>
      <c r="BZF53" s="1221"/>
      <c r="BZG53" s="1221"/>
      <c r="BZH53" s="1221"/>
      <c r="BZI53" s="1221"/>
      <c r="BZJ53" s="1221"/>
      <c r="BZK53" s="1221"/>
      <c r="BZL53" s="1221"/>
      <c r="BZM53" s="1221"/>
      <c r="BZN53" s="1221"/>
      <c r="BZO53" s="1221"/>
      <c r="BZP53" s="1221"/>
      <c r="BZQ53" s="1221"/>
      <c r="BZR53" s="1221"/>
      <c r="BZS53" s="1221"/>
      <c r="BZT53" s="1221"/>
      <c r="BZU53" s="1221"/>
      <c r="BZV53" s="1221"/>
      <c r="BZW53" s="1221"/>
      <c r="BZX53" s="1221"/>
      <c r="BZY53" s="1221"/>
      <c r="BZZ53" s="1221"/>
      <c r="CAA53" s="1221"/>
      <c r="CAB53" s="1221"/>
      <c r="CAC53" s="1221"/>
      <c r="CAD53" s="1221"/>
      <c r="CAE53" s="1221"/>
      <c r="CAF53" s="1221"/>
      <c r="CAG53" s="1221"/>
      <c r="CAH53" s="1221"/>
      <c r="CAI53" s="1221"/>
      <c r="CAJ53" s="1221"/>
      <c r="CAK53" s="1221"/>
      <c r="CAL53" s="1221"/>
      <c r="CAM53" s="1221"/>
      <c r="CAN53" s="1221"/>
      <c r="CAO53" s="1221"/>
      <c r="CAP53" s="1221"/>
      <c r="CAQ53" s="1221"/>
      <c r="CAR53" s="1221"/>
      <c r="CAS53" s="1221"/>
      <c r="CAT53" s="1221"/>
      <c r="CAU53" s="1221"/>
      <c r="CAV53" s="1221"/>
      <c r="CAW53" s="1221"/>
      <c r="CAX53" s="1221"/>
      <c r="CAY53" s="1221"/>
      <c r="CAZ53" s="1221"/>
      <c r="CBA53" s="1221"/>
      <c r="CBB53" s="1221"/>
      <c r="CBC53" s="1221"/>
      <c r="CBD53" s="1221"/>
      <c r="CBE53" s="1221"/>
      <c r="CBF53" s="1221"/>
      <c r="CBG53" s="1221"/>
      <c r="CBH53" s="1221"/>
      <c r="CBI53" s="1221"/>
      <c r="CBJ53" s="1221"/>
      <c r="CBK53" s="1221"/>
      <c r="CBL53" s="1221"/>
      <c r="CBM53" s="1221"/>
      <c r="CBN53" s="1221"/>
      <c r="CBO53" s="1221"/>
      <c r="CBP53" s="1221"/>
      <c r="CBQ53" s="1221"/>
      <c r="CBR53" s="1221"/>
      <c r="CBS53" s="1221"/>
      <c r="CBT53" s="1221"/>
      <c r="CBU53" s="1221"/>
      <c r="CBV53" s="1221"/>
      <c r="CBW53" s="1221"/>
      <c r="CBX53" s="1221"/>
      <c r="CBY53" s="1221"/>
      <c r="CBZ53" s="1221"/>
      <c r="CCA53" s="1221"/>
      <c r="CCB53" s="1221"/>
      <c r="CCC53" s="1221"/>
      <c r="CCD53" s="1221"/>
      <c r="CCE53" s="1221"/>
      <c r="CCF53" s="1221"/>
      <c r="CCG53" s="1221"/>
      <c r="CCH53" s="1221"/>
      <c r="CCI53" s="1221"/>
      <c r="CCJ53" s="1221"/>
      <c r="CCK53" s="1221"/>
      <c r="CCL53" s="1221"/>
      <c r="CCM53" s="1221"/>
      <c r="CCN53" s="1221"/>
      <c r="CCO53" s="1221"/>
      <c r="CCP53" s="1221"/>
      <c r="CCQ53" s="1221"/>
      <c r="CCR53" s="1221"/>
      <c r="CCS53" s="1221"/>
      <c r="CCT53" s="1221"/>
      <c r="CCU53" s="1221"/>
      <c r="CCV53" s="1221"/>
      <c r="CCW53" s="1221"/>
      <c r="CCX53" s="1221"/>
      <c r="CCY53" s="1221"/>
      <c r="CCZ53" s="1221"/>
      <c r="CDA53" s="1221"/>
      <c r="CDB53" s="1221"/>
      <c r="CDC53" s="1221"/>
      <c r="CDD53" s="1221"/>
      <c r="CDE53" s="1221"/>
      <c r="CDF53" s="1221"/>
      <c r="CDG53" s="1221"/>
      <c r="CDH53" s="1221"/>
      <c r="CDI53" s="1221"/>
      <c r="CDJ53" s="1221"/>
      <c r="CDK53" s="1221"/>
      <c r="CDL53" s="1221"/>
      <c r="CDM53" s="1221"/>
      <c r="CDN53" s="1221"/>
      <c r="CDO53" s="1221"/>
      <c r="CDP53" s="1221"/>
      <c r="CDQ53" s="1221"/>
      <c r="CDR53" s="1221"/>
      <c r="CDS53" s="1221"/>
      <c r="CDT53" s="1221"/>
      <c r="CDU53" s="1221"/>
      <c r="CDV53" s="1221"/>
      <c r="CDW53" s="1221"/>
      <c r="CDX53" s="1221"/>
      <c r="CDY53" s="1221"/>
      <c r="CDZ53" s="1221"/>
      <c r="CEA53" s="1221"/>
      <c r="CEB53" s="1221"/>
      <c r="CEC53" s="1221"/>
      <c r="CED53" s="1221"/>
      <c r="CEE53" s="1221"/>
      <c r="CEF53" s="1221"/>
      <c r="CEG53" s="1221"/>
      <c r="CEH53" s="1221"/>
      <c r="CEI53" s="1221"/>
      <c r="CEJ53" s="1221"/>
      <c r="CEK53" s="1221"/>
      <c r="CEL53" s="1221"/>
      <c r="CEM53" s="1221"/>
      <c r="CEN53" s="1221"/>
      <c r="CEO53" s="1221"/>
      <c r="CEP53" s="1221"/>
      <c r="CEQ53" s="1221"/>
      <c r="CER53" s="1221"/>
      <c r="CES53" s="1221"/>
      <c r="CET53" s="1221"/>
      <c r="CEU53" s="1221"/>
      <c r="CEV53" s="1221"/>
      <c r="CEW53" s="1221"/>
      <c r="CEX53" s="1221"/>
      <c r="CEY53" s="1221"/>
      <c r="CEZ53" s="1221"/>
      <c r="CFA53" s="1221"/>
      <c r="CFB53" s="1221"/>
      <c r="CFC53" s="1221"/>
      <c r="CFD53" s="1221"/>
      <c r="CFE53" s="1221"/>
      <c r="CFF53" s="1221"/>
      <c r="CFG53" s="1221"/>
      <c r="CFH53" s="1221"/>
      <c r="CFI53" s="1221"/>
      <c r="CFJ53" s="1221"/>
      <c r="CFK53" s="1221"/>
      <c r="CFL53" s="1221"/>
      <c r="CFM53" s="1221"/>
      <c r="CFN53" s="1221"/>
      <c r="CFO53" s="1221"/>
      <c r="CFP53" s="1221"/>
      <c r="CFQ53" s="1221"/>
      <c r="CFR53" s="1221"/>
      <c r="CFS53" s="1221"/>
      <c r="CFT53" s="1221"/>
      <c r="CFU53" s="1221"/>
      <c r="CFV53" s="1221"/>
      <c r="CFW53" s="1221"/>
      <c r="CFX53" s="1221"/>
      <c r="CFY53" s="1221"/>
      <c r="CFZ53" s="1221"/>
      <c r="CGA53" s="1221"/>
      <c r="CGB53" s="1221"/>
      <c r="CGC53" s="1221"/>
      <c r="CGD53" s="1221"/>
      <c r="CGE53" s="1221"/>
      <c r="CGF53" s="1221"/>
      <c r="CGG53" s="1221"/>
      <c r="CGH53" s="1221"/>
      <c r="CGI53" s="1221"/>
      <c r="CGJ53" s="1221"/>
      <c r="CGK53" s="1221"/>
      <c r="CGL53" s="1221"/>
      <c r="CGM53" s="1221"/>
      <c r="CGN53" s="1221"/>
      <c r="CGO53" s="1221"/>
      <c r="CGP53" s="1221"/>
      <c r="CGQ53" s="1221"/>
      <c r="CGR53" s="1221"/>
      <c r="CGS53" s="1221"/>
      <c r="CGT53" s="1221"/>
      <c r="CGU53" s="1221"/>
      <c r="CGV53" s="1221"/>
      <c r="CGW53" s="1221"/>
      <c r="CGX53" s="1221"/>
      <c r="CGY53" s="1221"/>
      <c r="CGZ53" s="1221"/>
      <c r="CHA53" s="1221"/>
      <c r="CHB53" s="1221"/>
      <c r="CHC53" s="1221"/>
      <c r="CHD53" s="1221"/>
      <c r="CHE53" s="1221"/>
      <c r="CHF53" s="1221"/>
      <c r="CHG53" s="1221"/>
      <c r="CHH53" s="1221"/>
      <c r="CHI53" s="1221"/>
      <c r="CHJ53" s="1221"/>
      <c r="CHK53" s="1221"/>
      <c r="CHL53" s="1221"/>
      <c r="CHM53" s="1221"/>
      <c r="CHN53" s="1221"/>
      <c r="CHO53" s="1221"/>
      <c r="CHP53" s="1221"/>
      <c r="CHQ53" s="1221"/>
      <c r="CHR53" s="1221"/>
      <c r="CHS53" s="1221"/>
      <c r="CHT53" s="1221"/>
      <c r="CHU53" s="1221"/>
      <c r="CHV53" s="1221"/>
      <c r="CHW53" s="1221"/>
      <c r="CHX53" s="1221"/>
      <c r="CHY53" s="1221"/>
      <c r="CHZ53" s="1221"/>
      <c r="CIA53" s="1221"/>
      <c r="CIB53" s="1221"/>
      <c r="CIC53" s="1221"/>
      <c r="CID53" s="1221"/>
      <c r="CIE53" s="1221"/>
      <c r="CIF53" s="1221"/>
      <c r="CIG53" s="1221"/>
      <c r="CIH53" s="1221"/>
      <c r="CII53" s="1221"/>
      <c r="CIJ53" s="1221"/>
      <c r="CIK53" s="1221"/>
      <c r="CIL53" s="1221"/>
      <c r="CIM53" s="1221"/>
      <c r="CIN53" s="1221"/>
      <c r="CIO53" s="1221"/>
      <c r="CIP53" s="1221"/>
      <c r="CIQ53" s="1221"/>
      <c r="CIR53" s="1221"/>
      <c r="CIS53" s="1221"/>
      <c r="CIT53" s="1221"/>
      <c r="CIU53" s="1221"/>
      <c r="CIV53" s="1221"/>
      <c r="CIW53" s="1221"/>
      <c r="CIX53" s="1221"/>
      <c r="CIY53" s="1221"/>
      <c r="CIZ53" s="1221"/>
      <c r="CJA53" s="1221"/>
      <c r="CJB53" s="1221"/>
      <c r="CJC53" s="1221"/>
      <c r="CJD53" s="1221"/>
      <c r="CJE53" s="1221"/>
      <c r="CJF53" s="1221"/>
      <c r="CJG53" s="1221"/>
      <c r="CJH53" s="1221"/>
      <c r="CJI53" s="1221"/>
      <c r="CJJ53" s="1221"/>
      <c r="CJK53" s="1221"/>
      <c r="CJL53" s="1221"/>
      <c r="CJM53" s="1221"/>
      <c r="CJN53" s="1221"/>
      <c r="CJO53" s="1221"/>
      <c r="CJP53" s="1221"/>
      <c r="CJQ53" s="1221"/>
      <c r="CJR53" s="1221"/>
      <c r="CJS53" s="1221"/>
      <c r="CJT53" s="1221"/>
      <c r="CJU53" s="1221"/>
      <c r="CJV53" s="1221"/>
      <c r="CJW53" s="1221"/>
      <c r="CJX53" s="1221"/>
      <c r="CJY53" s="1221"/>
      <c r="CJZ53" s="1221"/>
      <c r="CKA53" s="1221"/>
      <c r="CKB53" s="1221"/>
      <c r="CKC53" s="1221"/>
      <c r="CKD53" s="1221"/>
      <c r="CKE53" s="1221"/>
      <c r="CKF53" s="1221"/>
      <c r="CKG53" s="1221"/>
      <c r="CKH53" s="1221"/>
      <c r="CKI53" s="1221"/>
      <c r="CKJ53" s="1221"/>
      <c r="CKK53" s="1221"/>
      <c r="CKL53" s="1221"/>
      <c r="CKM53" s="1221"/>
      <c r="CKN53" s="1221"/>
      <c r="CKO53" s="1221"/>
      <c r="CKP53" s="1221"/>
      <c r="CKQ53" s="1221"/>
      <c r="CKR53" s="1221"/>
      <c r="CKS53" s="1221"/>
      <c r="CKT53" s="1221"/>
      <c r="CKU53" s="1221"/>
      <c r="CKV53" s="1221"/>
      <c r="CKW53" s="1221"/>
      <c r="CKX53" s="1221"/>
      <c r="CKY53" s="1221"/>
      <c r="CKZ53" s="1221"/>
      <c r="CLA53" s="1221"/>
      <c r="CLB53" s="1221"/>
      <c r="CLC53" s="1221"/>
      <c r="CLD53" s="1221"/>
      <c r="CLE53" s="1221"/>
      <c r="CLF53" s="1221"/>
      <c r="CLG53" s="1221"/>
      <c r="CLH53" s="1221"/>
      <c r="CLI53" s="1221"/>
      <c r="CLJ53" s="1221"/>
      <c r="CLK53" s="1221"/>
      <c r="CLL53" s="1221"/>
      <c r="CLM53" s="1221"/>
      <c r="CLN53" s="1221"/>
      <c r="CLO53" s="1221"/>
      <c r="CLP53" s="1221"/>
      <c r="CLQ53" s="1221"/>
      <c r="CLR53" s="1221"/>
      <c r="CLS53" s="1221"/>
      <c r="CLT53" s="1221"/>
      <c r="CLU53" s="1221"/>
      <c r="CLV53" s="1221"/>
      <c r="CLW53" s="1221"/>
      <c r="CLX53" s="1221"/>
      <c r="CLY53" s="1221"/>
      <c r="CLZ53" s="1221"/>
      <c r="CMA53" s="1221"/>
      <c r="CMB53" s="1221"/>
      <c r="CMC53" s="1221"/>
      <c r="CMD53" s="1221"/>
      <c r="CME53" s="1221"/>
      <c r="CMF53" s="1221"/>
      <c r="CMG53" s="1221"/>
      <c r="CMH53" s="1221"/>
      <c r="CMI53" s="1221"/>
      <c r="CMJ53" s="1221"/>
      <c r="CMK53" s="1221"/>
      <c r="CML53" s="1221"/>
      <c r="CMM53" s="1221"/>
      <c r="CMN53" s="1221"/>
      <c r="CMO53" s="1221"/>
      <c r="CMP53" s="1221"/>
      <c r="CMQ53" s="1221"/>
      <c r="CMR53" s="1221"/>
      <c r="CMS53" s="1221"/>
      <c r="CMT53" s="1221"/>
      <c r="CMU53" s="1221"/>
      <c r="CMV53" s="1221"/>
      <c r="CMW53" s="1221"/>
      <c r="CMX53" s="1221"/>
      <c r="CMY53" s="1221"/>
      <c r="CMZ53" s="1221"/>
      <c r="CNA53" s="1221"/>
      <c r="CNB53" s="1221"/>
      <c r="CNC53" s="1221"/>
      <c r="CND53" s="1221"/>
      <c r="CNE53" s="1221"/>
      <c r="CNF53" s="1221"/>
      <c r="CNG53" s="1221"/>
      <c r="CNH53" s="1221"/>
      <c r="CNI53" s="1221"/>
      <c r="CNJ53" s="1221"/>
      <c r="CNK53" s="1221"/>
      <c r="CNL53" s="1221"/>
      <c r="CNM53" s="1221"/>
      <c r="CNN53" s="1221"/>
      <c r="CNO53" s="1221"/>
      <c r="CNP53" s="1221"/>
      <c r="CNQ53" s="1221"/>
      <c r="CNR53" s="1221"/>
      <c r="CNS53" s="1221"/>
      <c r="CNT53" s="1221"/>
      <c r="CNU53" s="1221"/>
      <c r="CNV53" s="1221"/>
      <c r="CNW53" s="1221"/>
      <c r="CNX53" s="1221"/>
      <c r="CNY53" s="1221"/>
      <c r="CNZ53" s="1221"/>
      <c r="COA53" s="1221"/>
      <c r="COB53" s="1221"/>
      <c r="COC53" s="1221"/>
      <c r="COD53" s="1221"/>
      <c r="COE53" s="1221"/>
      <c r="COF53" s="1221"/>
      <c r="COG53" s="1221"/>
      <c r="COH53" s="1221"/>
      <c r="COI53" s="1221"/>
      <c r="COJ53" s="1221"/>
      <c r="COK53" s="1221"/>
      <c r="COL53" s="1221"/>
      <c r="COM53" s="1221"/>
      <c r="CON53" s="1221"/>
      <c r="COO53" s="1221"/>
      <c r="COP53" s="1221"/>
      <c r="COQ53" s="1221"/>
      <c r="COR53" s="1221"/>
      <c r="COS53" s="1221"/>
      <c r="COT53" s="1221"/>
      <c r="COU53" s="1221"/>
      <c r="COV53" s="1221"/>
      <c r="COW53" s="1221"/>
      <c r="COX53" s="1221"/>
      <c r="COY53" s="1221"/>
      <c r="COZ53" s="1221"/>
      <c r="CPA53" s="1221"/>
      <c r="CPB53" s="1221"/>
      <c r="CPC53" s="1221"/>
      <c r="CPD53" s="1221"/>
      <c r="CPE53" s="1221"/>
      <c r="CPF53" s="1221"/>
      <c r="CPG53" s="1221"/>
      <c r="CPH53" s="1221"/>
      <c r="CPI53" s="1221"/>
      <c r="CPJ53" s="1221"/>
      <c r="CPK53" s="1221"/>
      <c r="CPL53" s="1221"/>
      <c r="CPM53" s="1221"/>
      <c r="CPN53" s="1221"/>
      <c r="CPO53" s="1221"/>
      <c r="CPP53" s="1221"/>
      <c r="CPQ53" s="1221"/>
      <c r="CPR53" s="1221"/>
      <c r="CPS53" s="1221"/>
      <c r="CPT53" s="1221"/>
      <c r="CPU53" s="1221"/>
      <c r="CPV53" s="1221"/>
      <c r="CPW53" s="1221"/>
      <c r="CPX53" s="1221"/>
      <c r="CPY53" s="1221"/>
      <c r="CPZ53" s="1221"/>
      <c r="CQA53" s="1221"/>
      <c r="CQB53" s="1221"/>
      <c r="CQC53" s="1221"/>
      <c r="CQD53" s="1221"/>
      <c r="CQE53" s="1221"/>
      <c r="CQF53" s="1221"/>
      <c r="CQG53" s="1221"/>
      <c r="CQH53" s="1221"/>
      <c r="CQI53" s="1221"/>
      <c r="CQJ53" s="1221"/>
      <c r="CQK53" s="1221"/>
      <c r="CQL53" s="1221"/>
      <c r="CQM53" s="1221"/>
      <c r="CQN53" s="1221"/>
      <c r="CQO53" s="1221"/>
      <c r="CQP53" s="1221"/>
      <c r="CQQ53" s="1221"/>
      <c r="CQR53" s="1221"/>
      <c r="CQS53" s="1221"/>
      <c r="CQT53" s="1221"/>
      <c r="CQU53" s="1221"/>
      <c r="CQV53" s="1221"/>
      <c r="CQW53" s="1221"/>
      <c r="CQX53" s="1221"/>
      <c r="CQY53" s="1221"/>
      <c r="CQZ53" s="1221"/>
      <c r="CRA53" s="1221"/>
      <c r="CRB53" s="1221"/>
      <c r="CRC53" s="1221"/>
      <c r="CRD53" s="1221"/>
      <c r="CRE53" s="1221"/>
      <c r="CRF53" s="1221"/>
      <c r="CRG53" s="1221"/>
      <c r="CRH53" s="1221"/>
      <c r="CRI53" s="1221"/>
      <c r="CRJ53" s="1221"/>
      <c r="CRK53" s="1221"/>
      <c r="CRL53" s="1221"/>
      <c r="CRM53" s="1221"/>
      <c r="CRN53" s="1221"/>
      <c r="CRO53" s="1221"/>
      <c r="CRP53" s="1221"/>
      <c r="CRQ53" s="1221"/>
      <c r="CRR53" s="1221"/>
      <c r="CRS53" s="1221"/>
      <c r="CRT53" s="1221"/>
      <c r="CRU53" s="1221"/>
      <c r="CRV53" s="1221"/>
      <c r="CRW53" s="1221"/>
      <c r="CRX53" s="1221"/>
      <c r="CRY53" s="1221"/>
      <c r="CRZ53" s="1221"/>
      <c r="CSA53" s="1221"/>
      <c r="CSB53" s="1221"/>
      <c r="CSC53" s="1221"/>
      <c r="CSD53" s="1221"/>
      <c r="CSE53" s="1221"/>
      <c r="CSF53" s="1221"/>
      <c r="CSG53" s="1221"/>
      <c r="CSH53" s="1221"/>
      <c r="CSI53" s="1221"/>
      <c r="CSJ53" s="1221"/>
      <c r="CSK53" s="1221"/>
      <c r="CSL53" s="1221"/>
      <c r="CSM53" s="1221"/>
      <c r="CSN53" s="1221"/>
      <c r="CSO53" s="1221"/>
      <c r="CSP53" s="1221"/>
      <c r="CSQ53" s="1221"/>
      <c r="CSR53" s="1221"/>
      <c r="CSS53" s="1221"/>
      <c r="CST53" s="1221"/>
      <c r="CSU53" s="1221"/>
      <c r="CSV53" s="1221"/>
      <c r="CSW53" s="1221"/>
      <c r="CSX53" s="1221"/>
      <c r="CSY53" s="1221"/>
      <c r="CSZ53" s="1221"/>
      <c r="CTA53" s="1221"/>
      <c r="CTB53" s="1221"/>
      <c r="CTC53" s="1221"/>
      <c r="CTD53" s="1221"/>
      <c r="CTE53" s="1221"/>
      <c r="CTF53" s="1221"/>
      <c r="CTG53" s="1221"/>
      <c r="CTH53" s="1221"/>
      <c r="CTI53" s="1221"/>
      <c r="CTJ53" s="1221"/>
      <c r="CTK53" s="1221"/>
      <c r="CTL53" s="1221"/>
      <c r="CTM53" s="1221"/>
      <c r="CTN53" s="1221"/>
      <c r="CTO53" s="1221"/>
      <c r="CTP53" s="1221"/>
      <c r="CTQ53" s="1221"/>
      <c r="CTR53" s="1221"/>
      <c r="CTS53" s="1221"/>
      <c r="CTT53" s="1221"/>
      <c r="CTU53" s="1221"/>
      <c r="CTV53" s="1221"/>
      <c r="CTW53" s="1221"/>
      <c r="CTX53" s="1221"/>
      <c r="CTY53" s="1221"/>
      <c r="CTZ53" s="1221"/>
      <c r="CUA53" s="1221"/>
      <c r="CUB53" s="1221"/>
      <c r="CUC53" s="1221"/>
      <c r="CUD53" s="1221"/>
      <c r="CUE53" s="1221"/>
      <c r="CUF53" s="1221"/>
      <c r="CUG53" s="1221"/>
      <c r="CUH53" s="1221"/>
      <c r="CUI53" s="1221"/>
      <c r="CUJ53" s="1221"/>
      <c r="CUK53" s="1221"/>
      <c r="CUL53" s="1221"/>
      <c r="CUM53" s="1221"/>
      <c r="CUN53" s="1221"/>
      <c r="CUO53" s="1221"/>
      <c r="CUP53" s="1221"/>
      <c r="CUQ53" s="1221"/>
      <c r="CUR53" s="1221"/>
      <c r="CUS53" s="1221"/>
      <c r="CUT53" s="1221"/>
      <c r="CUU53" s="1221"/>
      <c r="CUV53" s="1221"/>
      <c r="CUW53" s="1221"/>
      <c r="CUX53" s="1221"/>
      <c r="CUY53" s="1221"/>
      <c r="CUZ53" s="1221"/>
      <c r="CVA53" s="1221"/>
      <c r="CVB53" s="1221"/>
      <c r="CVC53" s="1221"/>
      <c r="CVD53" s="1221"/>
      <c r="CVE53" s="1221"/>
      <c r="CVF53" s="1221"/>
      <c r="CVG53" s="1221"/>
      <c r="CVH53" s="1221"/>
      <c r="CVI53" s="1221"/>
      <c r="CVJ53" s="1221"/>
      <c r="CVK53" s="1221"/>
      <c r="CVL53" s="1221"/>
      <c r="CVM53" s="1221"/>
      <c r="CVN53" s="1221"/>
      <c r="CVO53" s="1221"/>
      <c r="CVP53" s="1221"/>
      <c r="CVQ53" s="1221"/>
      <c r="CVR53" s="1221"/>
      <c r="CVS53" s="1221"/>
      <c r="CVT53" s="1221"/>
      <c r="CVU53" s="1221"/>
      <c r="CVV53" s="1221"/>
      <c r="CVW53" s="1221"/>
      <c r="CVX53" s="1221"/>
      <c r="CVY53" s="1221"/>
      <c r="CVZ53" s="1221"/>
      <c r="CWA53" s="1221"/>
      <c r="CWB53" s="1221"/>
      <c r="CWC53" s="1221"/>
      <c r="CWD53" s="1221"/>
      <c r="CWE53" s="1221"/>
      <c r="CWF53" s="1221"/>
      <c r="CWG53" s="1221"/>
      <c r="CWH53" s="1221"/>
      <c r="CWI53" s="1221"/>
      <c r="CWJ53" s="1221"/>
      <c r="CWK53" s="1221"/>
      <c r="CWL53" s="1221"/>
      <c r="CWM53" s="1221"/>
      <c r="CWN53" s="1221"/>
      <c r="CWO53" s="1221"/>
      <c r="CWP53" s="1221"/>
      <c r="CWQ53" s="1221"/>
      <c r="CWR53" s="1221"/>
      <c r="CWS53" s="1221"/>
      <c r="CWT53" s="1221"/>
      <c r="CWU53" s="1221"/>
      <c r="CWV53" s="1221"/>
      <c r="CWW53" s="1221"/>
      <c r="CWX53" s="1221"/>
      <c r="CWY53" s="1221"/>
      <c r="CWZ53" s="1221"/>
      <c r="CXA53" s="1221"/>
      <c r="CXB53" s="1221"/>
      <c r="CXC53" s="1221"/>
      <c r="CXD53" s="1221"/>
      <c r="CXE53" s="1221"/>
      <c r="CXF53" s="1221"/>
      <c r="CXG53" s="1221"/>
      <c r="CXH53" s="1221"/>
      <c r="CXI53" s="1221"/>
      <c r="CXJ53" s="1221"/>
      <c r="CXK53" s="1221"/>
      <c r="CXL53" s="1221"/>
      <c r="CXM53" s="1221"/>
      <c r="CXN53" s="1221"/>
      <c r="CXO53" s="1221"/>
      <c r="CXP53" s="1221"/>
      <c r="CXQ53" s="1221"/>
      <c r="CXR53" s="1221"/>
      <c r="CXS53" s="1221"/>
      <c r="CXT53" s="1221"/>
      <c r="CXU53" s="1221"/>
      <c r="CXV53" s="1221"/>
      <c r="CXW53" s="1221"/>
      <c r="CXX53" s="1221"/>
      <c r="CXY53" s="1221"/>
      <c r="CXZ53" s="1221"/>
      <c r="CYA53" s="1221"/>
      <c r="CYB53" s="1221"/>
      <c r="CYC53" s="1221"/>
      <c r="CYD53" s="1221"/>
      <c r="CYE53" s="1221"/>
      <c r="CYF53" s="1221"/>
      <c r="CYG53" s="1221"/>
      <c r="CYH53" s="1221"/>
      <c r="CYI53" s="1221"/>
      <c r="CYJ53" s="1221"/>
      <c r="CYK53" s="1221"/>
      <c r="CYL53" s="1221"/>
      <c r="CYM53" s="1221"/>
      <c r="CYN53" s="1221"/>
      <c r="CYO53" s="1221"/>
      <c r="CYP53" s="1221"/>
      <c r="CYQ53" s="1221"/>
      <c r="CYR53" s="1221"/>
      <c r="CYS53" s="1221"/>
      <c r="CYT53" s="1221"/>
      <c r="CYU53" s="1221"/>
      <c r="CYV53" s="1221"/>
      <c r="CYW53" s="1221"/>
      <c r="CYX53" s="1221"/>
      <c r="CYY53" s="1221"/>
      <c r="CYZ53" s="1221"/>
      <c r="CZA53" s="1221"/>
      <c r="CZB53" s="1221"/>
      <c r="CZC53" s="1221"/>
      <c r="CZD53" s="1221"/>
      <c r="CZE53" s="1221"/>
      <c r="CZF53" s="1221"/>
      <c r="CZG53" s="1221"/>
      <c r="CZH53" s="1221"/>
      <c r="CZI53" s="1221"/>
      <c r="CZJ53" s="1221"/>
      <c r="CZK53" s="1221"/>
      <c r="CZL53" s="1221"/>
      <c r="CZM53" s="1221"/>
      <c r="CZN53" s="1221"/>
      <c r="CZO53" s="1221"/>
      <c r="CZP53" s="1221"/>
      <c r="CZQ53" s="1221"/>
      <c r="CZR53" s="1221"/>
      <c r="CZS53" s="1221"/>
      <c r="CZT53" s="1221"/>
      <c r="CZU53" s="1221"/>
      <c r="CZV53" s="1221"/>
      <c r="CZW53" s="1221"/>
      <c r="CZX53" s="1221"/>
      <c r="CZY53" s="1221"/>
      <c r="CZZ53" s="1221"/>
      <c r="DAA53" s="1221"/>
      <c r="DAB53" s="1221"/>
      <c r="DAC53" s="1221"/>
      <c r="DAD53" s="1221"/>
      <c r="DAE53" s="1221"/>
      <c r="DAF53" s="1221"/>
      <c r="DAG53" s="1221"/>
      <c r="DAH53" s="1221"/>
      <c r="DAI53" s="1221"/>
      <c r="DAJ53" s="1221"/>
      <c r="DAK53" s="1221"/>
      <c r="DAL53" s="1221"/>
      <c r="DAM53" s="1221"/>
      <c r="DAN53" s="1221"/>
      <c r="DAO53" s="1221"/>
      <c r="DAP53" s="1221"/>
      <c r="DAQ53" s="1221"/>
      <c r="DAR53" s="1221"/>
      <c r="DAS53" s="1221"/>
      <c r="DAT53" s="1221"/>
      <c r="DAU53" s="1221"/>
      <c r="DAV53" s="1221"/>
      <c r="DAW53" s="1221"/>
      <c r="DAX53" s="1221"/>
      <c r="DAY53" s="1221"/>
      <c r="DAZ53" s="1221"/>
      <c r="DBA53" s="1221"/>
      <c r="DBB53" s="1221"/>
      <c r="DBC53" s="1221"/>
      <c r="DBD53" s="1221"/>
      <c r="DBE53" s="1221"/>
      <c r="DBF53" s="1221"/>
      <c r="DBG53" s="1221"/>
      <c r="DBH53" s="1221"/>
      <c r="DBI53" s="1221"/>
      <c r="DBJ53" s="1221"/>
      <c r="DBK53" s="1221"/>
      <c r="DBL53" s="1221"/>
      <c r="DBM53" s="1221"/>
      <c r="DBN53" s="1221"/>
      <c r="DBO53" s="1221"/>
      <c r="DBP53" s="1221"/>
      <c r="DBQ53" s="1221"/>
      <c r="DBR53" s="1221"/>
      <c r="DBS53" s="1221"/>
      <c r="DBT53" s="1221"/>
      <c r="DBU53" s="1221"/>
      <c r="DBV53" s="1221"/>
      <c r="DBW53" s="1221"/>
      <c r="DBX53" s="1221"/>
      <c r="DBY53" s="1221"/>
      <c r="DBZ53" s="1221"/>
      <c r="DCA53" s="1221"/>
      <c r="DCB53" s="1221"/>
      <c r="DCC53" s="1221"/>
      <c r="DCD53" s="1221"/>
      <c r="DCE53" s="1221"/>
      <c r="DCF53" s="1221"/>
      <c r="DCG53" s="1221"/>
      <c r="DCH53" s="1221"/>
      <c r="DCI53" s="1221"/>
      <c r="DCJ53" s="1221"/>
      <c r="DCK53" s="1221"/>
      <c r="DCL53" s="1221"/>
      <c r="DCM53" s="1221"/>
      <c r="DCN53" s="1221"/>
      <c r="DCO53" s="1221"/>
      <c r="DCP53" s="1221"/>
      <c r="DCQ53" s="1221"/>
      <c r="DCR53" s="1221"/>
      <c r="DCS53" s="1221"/>
      <c r="DCT53" s="1221"/>
      <c r="DCU53" s="1221"/>
      <c r="DCV53" s="1221"/>
      <c r="DCW53" s="1221"/>
      <c r="DCX53" s="1221"/>
      <c r="DCY53" s="1221"/>
      <c r="DCZ53" s="1221"/>
      <c r="DDA53" s="1221"/>
      <c r="DDB53" s="1221"/>
      <c r="DDC53" s="1221"/>
      <c r="DDD53" s="1221"/>
      <c r="DDE53" s="1221"/>
      <c r="DDF53" s="1221"/>
      <c r="DDG53" s="1221"/>
      <c r="DDH53" s="1221"/>
      <c r="DDI53" s="1221"/>
      <c r="DDJ53" s="1221"/>
      <c r="DDK53" s="1221"/>
      <c r="DDL53" s="1221"/>
      <c r="DDM53" s="1221"/>
      <c r="DDN53" s="1221"/>
      <c r="DDO53" s="1221"/>
      <c r="DDP53" s="1221"/>
      <c r="DDQ53" s="1221"/>
      <c r="DDR53" s="1221"/>
      <c r="DDS53" s="1221"/>
      <c r="DDT53" s="1221"/>
      <c r="DDU53" s="1221"/>
      <c r="DDV53" s="1221"/>
      <c r="DDW53" s="1221"/>
      <c r="DDX53" s="1221"/>
      <c r="DDY53" s="1221"/>
      <c r="DDZ53" s="1221"/>
      <c r="DEA53" s="1221"/>
      <c r="DEB53" s="1221"/>
      <c r="DEC53" s="1221"/>
      <c r="DED53" s="1221"/>
      <c r="DEE53" s="1221"/>
      <c r="DEF53" s="1221"/>
      <c r="DEG53" s="1221"/>
      <c r="DEH53" s="1221"/>
      <c r="DEI53" s="1221"/>
      <c r="DEJ53" s="1221"/>
      <c r="DEK53" s="1221"/>
      <c r="DEL53" s="1221"/>
      <c r="DEM53" s="1221"/>
      <c r="DEN53" s="1221"/>
      <c r="DEO53" s="1221"/>
      <c r="DEP53" s="1221"/>
      <c r="DEQ53" s="1221"/>
      <c r="DER53" s="1221"/>
      <c r="DES53" s="1221"/>
      <c r="DET53" s="1221"/>
      <c r="DEU53" s="1221"/>
      <c r="DEV53" s="1221"/>
      <c r="DEW53" s="1221"/>
      <c r="DEX53" s="1221"/>
      <c r="DEY53" s="1221"/>
      <c r="DEZ53" s="1221"/>
      <c r="DFA53" s="1221"/>
      <c r="DFB53" s="1221"/>
      <c r="DFC53" s="1221"/>
      <c r="DFD53" s="1221"/>
      <c r="DFE53" s="1221"/>
      <c r="DFF53" s="1221"/>
      <c r="DFG53" s="1221"/>
      <c r="DFH53" s="1221"/>
      <c r="DFI53" s="1221"/>
      <c r="DFJ53" s="1221"/>
      <c r="DFK53" s="1221"/>
      <c r="DFL53" s="1221"/>
      <c r="DFM53" s="1221"/>
      <c r="DFN53" s="1221"/>
      <c r="DFO53" s="1221"/>
      <c r="DFP53" s="1221"/>
      <c r="DFQ53" s="1221"/>
      <c r="DFR53" s="1221"/>
      <c r="DFS53" s="1221"/>
      <c r="DFT53" s="1221"/>
      <c r="DFU53" s="1221"/>
      <c r="DFV53" s="1221"/>
      <c r="DFW53" s="1221"/>
      <c r="DFX53" s="1221"/>
      <c r="DFY53" s="1221"/>
      <c r="DFZ53" s="1221"/>
      <c r="DGA53" s="1221"/>
      <c r="DGB53" s="1221"/>
      <c r="DGC53" s="1221"/>
      <c r="DGD53" s="1221"/>
      <c r="DGE53" s="1221"/>
      <c r="DGF53" s="1221"/>
      <c r="DGG53" s="1221"/>
      <c r="DGH53" s="1221"/>
      <c r="DGI53" s="1221"/>
      <c r="DGJ53" s="1221"/>
      <c r="DGK53" s="1221"/>
      <c r="DGL53" s="1221"/>
      <c r="DGM53" s="1221"/>
      <c r="DGN53" s="1221"/>
      <c r="DGO53" s="1221"/>
      <c r="DGP53" s="1221"/>
      <c r="DGQ53" s="1221"/>
      <c r="DGR53" s="1221"/>
      <c r="DGS53" s="1221"/>
      <c r="DGT53" s="1221"/>
      <c r="DGU53" s="1221"/>
      <c r="DGV53" s="1221"/>
      <c r="DGW53" s="1221"/>
      <c r="DGX53" s="1221"/>
      <c r="DGY53" s="1221"/>
      <c r="DGZ53" s="1221"/>
      <c r="DHA53" s="1221"/>
      <c r="DHB53" s="1221"/>
      <c r="DHC53" s="1221"/>
      <c r="DHD53" s="1221"/>
      <c r="DHE53" s="1221"/>
      <c r="DHF53" s="1221"/>
      <c r="DHG53" s="1221"/>
      <c r="DHH53" s="1221"/>
      <c r="DHI53" s="1221"/>
      <c r="DHJ53" s="1221"/>
      <c r="DHK53" s="1221"/>
      <c r="DHL53" s="1221"/>
      <c r="DHM53" s="1221"/>
      <c r="DHN53" s="1221"/>
      <c r="DHO53" s="1221"/>
      <c r="DHP53" s="1221"/>
      <c r="DHQ53" s="1221"/>
      <c r="DHR53" s="1221"/>
      <c r="DHS53" s="1221"/>
      <c r="DHT53" s="1221"/>
      <c r="DHU53" s="1221"/>
      <c r="DHV53" s="1221"/>
      <c r="DHW53" s="1221"/>
      <c r="DHX53" s="1221"/>
      <c r="DHY53" s="1221"/>
      <c r="DHZ53" s="1221"/>
      <c r="DIA53" s="1221"/>
      <c r="DIB53" s="1221"/>
      <c r="DIC53" s="1221"/>
      <c r="DID53" s="1221"/>
      <c r="DIE53" s="1221"/>
      <c r="DIF53" s="1221"/>
      <c r="DIG53" s="1221"/>
      <c r="DIH53" s="1221"/>
      <c r="DII53" s="1221"/>
      <c r="DIJ53" s="1221"/>
      <c r="DIK53" s="1221"/>
      <c r="DIL53" s="1221"/>
      <c r="DIM53" s="1221"/>
      <c r="DIN53" s="1221"/>
      <c r="DIO53" s="1221"/>
      <c r="DIP53" s="1221"/>
      <c r="DIQ53" s="1221"/>
      <c r="DIR53" s="1221"/>
      <c r="DIS53" s="1221"/>
      <c r="DIT53" s="1221"/>
      <c r="DIU53" s="1221"/>
      <c r="DIV53" s="1221"/>
      <c r="DIW53" s="1221"/>
      <c r="DIX53" s="1221"/>
      <c r="DIY53" s="1221"/>
      <c r="DIZ53" s="1221"/>
      <c r="DJA53" s="1221"/>
      <c r="DJB53" s="1221"/>
      <c r="DJC53" s="1221"/>
      <c r="DJD53" s="1221"/>
      <c r="DJE53" s="1221"/>
      <c r="DJF53" s="1221"/>
      <c r="DJG53" s="1221"/>
      <c r="DJH53" s="1221"/>
      <c r="DJI53" s="1221"/>
      <c r="DJJ53" s="1221"/>
      <c r="DJK53" s="1221"/>
      <c r="DJL53" s="1221"/>
      <c r="DJM53" s="1221"/>
      <c r="DJN53" s="1221"/>
      <c r="DJO53" s="1221"/>
      <c r="DJP53" s="1221"/>
      <c r="DJQ53" s="1221"/>
      <c r="DJR53" s="1221"/>
      <c r="DJS53" s="1221"/>
      <c r="DJT53" s="1221"/>
      <c r="DJU53" s="1221"/>
      <c r="DJV53" s="1221"/>
      <c r="DJW53" s="1221"/>
      <c r="DJX53" s="1221"/>
      <c r="DJY53" s="1221"/>
      <c r="DJZ53" s="1221"/>
      <c r="DKA53" s="1221"/>
      <c r="DKB53" s="1221"/>
      <c r="DKC53" s="1221"/>
      <c r="DKD53" s="1221"/>
      <c r="DKE53" s="1221"/>
      <c r="DKF53" s="1221"/>
      <c r="DKG53" s="1221"/>
      <c r="DKH53" s="1221"/>
      <c r="DKI53" s="1221"/>
      <c r="DKJ53" s="1221"/>
      <c r="DKK53" s="1221"/>
      <c r="DKL53" s="1221"/>
      <c r="DKM53" s="1221"/>
      <c r="DKN53" s="1221"/>
      <c r="DKO53" s="1221"/>
      <c r="DKP53" s="1221"/>
      <c r="DKQ53" s="1221"/>
      <c r="DKR53" s="1221"/>
      <c r="DKS53" s="1221"/>
      <c r="DKT53" s="1221"/>
      <c r="DKU53" s="1221"/>
      <c r="DKV53" s="1221"/>
      <c r="DKW53" s="1221"/>
      <c r="DKX53" s="1221"/>
      <c r="DKY53" s="1221"/>
      <c r="DKZ53" s="1221"/>
      <c r="DLA53" s="1221"/>
      <c r="DLB53" s="1221"/>
      <c r="DLC53" s="1221"/>
      <c r="DLD53" s="1221"/>
      <c r="DLE53" s="1221"/>
      <c r="DLF53" s="1221"/>
      <c r="DLG53" s="1221"/>
      <c r="DLH53" s="1221"/>
      <c r="DLI53" s="1221"/>
      <c r="DLJ53" s="1221"/>
      <c r="DLK53" s="1221"/>
      <c r="DLL53" s="1221"/>
      <c r="DLM53" s="1221"/>
      <c r="DLN53" s="1221"/>
      <c r="DLO53" s="1221"/>
      <c r="DLP53" s="1221"/>
      <c r="DLQ53" s="1221"/>
      <c r="DLR53" s="1221"/>
      <c r="DLS53" s="1221"/>
      <c r="DLT53" s="1221"/>
      <c r="DLU53" s="1221"/>
      <c r="DLV53" s="1221"/>
      <c r="DLW53" s="1221"/>
      <c r="DLX53" s="1221"/>
      <c r="DLY53" s="1221"/>
      <c r="DLZ53" s="1221"/>
      <c r="DMA53" s="1221"/>
      <c r="DMB53" s="1221"/>
      <c r="DMC53" s="1221"/>
      <c r="DMD53" s="1221"/>
      <c r="DME53" s="1221"/>
      <c r="DMF53" s="1221"/>
      <c r="DMG53" s="1221"/>
      <c r="DMH53" s="1221"/>
      <c r="DMI53" s="1221"/>
      <c r="DMJ53" s="1221"/>
      <c r="DMK53" s="1221"/>
      <c r="DML53" s="1221"/>
      <c r="DMM53" s="1221"/>
      <c r="DMN53" s="1221"/>
      <c r="DMO53" s="1221"/>
      <c r="DMP53" s="1221"/>
      <c r="DMQ53" s="1221"/>
      <c r="DMR53" s="1221"/>
      <c r="DMS53" s="1221"/>
      <c r="DMT53" s="1221"/>
      <c r="DMU53" s="1221"/>
      <c r="DMV53" s="1221"/>
      <c r="DMW53" s="1221"/>
      <c r="DMX53" s="1221"/>
      <c r="DMY53" s="1221"/>
      <c r="DMZ53" s="1221"/>
      <c r="DNA53" s="1221"/>
      <c r="DNB53" s="1221"/>
      <c r="DNC53" s="1221"/>
      <c r="DND53" s="1221"/>
      <c r="DNE53" s="1221"/>
      <c r="DNF53" s="1221"/>
      <c r="DNG53" s="1221"/>
      <c r="DNH53" s="1221"/>
      <c r="DNI53" s="1221"/>
      <c r="DNJ53" s="1221"/>
      <c r="DNK53" s="1221"/>
      <c r="DNL53" s="1221"/>
      <c r="DNM53" s="1221"/>
      <c r="DNN53" s="1221"/>
      <c r="DNO53" s="1221"/>
      <c r="DNP53" s="1221"/>
      <c r="DNQ53" s="1221"/>
      <c r="DNR53" s="1221"/>
      <c r="DNS53" s="1221"/>
      <c r="DNT53" s="1221"/>
      <c r="DNU53" s="1221"/>
      <c r="DNV53" s="1221"/>
      <c r="DNW53" s="1221"/>
      <c r="DNX53" s="1221"/>
      <c r="DNY53" s="1221"/>
      <c r="DNZ53" s="1221"/>
      <c r="DOA53" s="1221"/>
      <c r="DOB53" s="1221"/>
      <c r="DOC53" s="1221"/>
      <c r="DOD53" s="1221"/>
      <c r="DOE53" s="1221"/>
      <c r="DOF53" s="1221"/>
      <c r="DOG53" s="1221"/>
      <c r="DOH53" s="1221"/>
      <c r="DOI53" s="1221"/>
      <c r="DOJ53" s="1221"/>
      <c r="DOK53" s="1221"/>
      <c r="DOL53" s="1221"/>
      <c r="DOM53" s="1221"/>
      <c r="DON53" s="1221"/>
      <c r="DOO53" s="1221"/>
      <c r="DOP53" s="1221"/>
      <c r="DOQ53" s="1221"/>
      <c r="DOR53" s="1221"/>
      <c r="DOS53" s="1221"/>
      <c r="DOT53" s="1221"/>
      <c r="DOU53" s="1221"/>
      <c r="DOV53" s="1221"/>
      <c r="DOW53" s="1221"/>
      <c r="DOX53" s="1221"/>
      <c r="DOY53" s="1221"/>
      <c r="DOZ53" s="1221"/>
      <c r="DPA53" s="1221"/>
      <c r="DPB53" s="1221"/>
      <c r="DPC53" s="1221"/>
      <c r="DPD53" s="1221"/>
      <c r="DPE53" s="1221"/>
      <c r="DPF53" s="1221"/>
      <c r="DPG53" s="1221"/>
      <c r="DPH53" s="1221"/>
      <c r="DPI53" s="1221"/>
      <c r="DPJ53" s="1221"/>
      <c r="DPK53" s="1221"/>
      <c r="DPL53" s="1221"/>
      <c r="DPM53" s="1221"/>
      <c r="DPN53" s="1221"/>
      <c r="DPO53" s="1221"/>
      <c r="DPP53" s="1221"/>
      <c r="DPQ53" s="1221"/>
      <c r="DPR53" s="1221"/>
      <c r="DPS53" s="1221"/>
      <c r="DPT53" s="1221"/>
      <c r="DPU53" s="1221"/>
      <c r="DPV53" s="1221"/>
      <c r="DPW53" s="1221"/>
      <c r="DPX53" s="1221"/>
      <c r="DPY53" s="1221"/>
      <c r="DPZ53" s="1221"/>
      <c r="DQA53" s="1221"/>
      <c r="DQB53" s="1221"/>
      <c r="DQC53" s="1221"/>
      <c r="DQD53" s="1221"/>
      <c r="DQE53" s="1221"/>
      <c r="DQF53" s="1221"/>
      <c r="DQG53" s="1221"/>
      <c r="DQH53" s="1221"/>
      <c r="DQI53" s="1221"/>
      <c r="DQJ53" s="1221"/>
      <c r="DQK53" s="1221"/>
      <c r="DQL53" s="1221"/>
      <c r="DQM53" s="1221"/>
      <c r="DQN53" s="1221"/>
      <c r="DQO53" s="1221"/>
      <c r="DQP53" s="1221"/>
      <c r="DQQ53" s="1221"/>
      <c r="DQR53" s="1221"/>
      <c r="DQS53" s="1221"/>
      <c r="DQT53" s="1221"/>
      <c r="DQU53" s="1221"/>
      <c r="DQV53" s="1221"/>
      <c r="DQW53" s="1221"/>
      <c r="DQX53" s="1221"/>
      <c r="DQY53" s="1221"/>
      <c r="DQZ53" s="1221"/>
      <c r="DRA53" s="1221"/>
      <c r="DRB53" s="1221"/>
      <c r="DRC53" s="1221"/>
      <c r="DRD53" s="1221"/>
      <c r="DRE53" s="1221"/>
      <c r="DRF53" s="1221"/>
      <c r="DRG53" s="1221"/>
      <c r="DRH53" s="1221"/>
      <c r="DRI53" s="1221"/>
      <c r="DRJ53" s="1221"/>
      <c r="DRK53" s="1221"/>
      <c r="DRL53" s="1221"/>
      <c r="DRM53" s="1221"/>
      <c r="DRN53" s="1221"/>
      <c r="DRO53" s="1221"/>
      <c r="DRP53" s="1221"/>
      <c r="DRQ53" s="1221"/>
      <c r="DRR53" s="1221"/>
      <c r="DRS53" s="1221"/>
      <c r="DRT53" s="1221"/>
      <c r="DRU53" s="1221"/>
      <c r="DRV53" s="1221"/>
      <c r="DRW53" s="1221"/>
      <c r="DRX53" s="1221"/>
      <c r="DRY53" s="1221"/>
      <c r="DRZ53" s="1221"/>
      <c r="DSA53" s="1221"/>
      <c r="DSB53" s="1221"/>
      <c r="DSC53" s="1221"/>
      <c r="DSD53" s="1221"/>
      <c r="DSE53" s="1221"/>
      <c r="DSF53" s="1221"/>
      <c r="DSG53" s="1221"/>
      <c r="DSH53" s="1221"/>
      <c r="DSI53" s="1221"/>
      <c r="DSJ53" s="1221"/>
      <c r="DSK53" s="1221"/>
      <c r="DSL53" s="1221"/>
      <c r="DSM53" s="1221"/>
      <c r="DSN53" s="1221"/>
      <c r="DSO53" s="1221"/>
      <c r="DSP53" s="1221"/>
      <c r="DSQ53" s="1221"/>
      <c r="DSR53" s="1221"/>
      <c r="DSS53" s="1221"/>
      <c r="DST53" s="1221"/>
      <c r="DSU53" s="1221"/>
      <c r="DSV53" s="1221"/>
      <c r="DSW53" s="1221"/>
      <c r="DSX53" s="1221"/>
      <c r="DSY53" s="1221"/>
      <c r="DSZ53" s="1221"/>
      <c r="DTA53" s="1221"/>
      <c r="DTB53" s="1221"/>
      <c r="DTC53" s="1221"/>
      <c r="DTD53" s="1221"/>
      <c r="DTE53" s="1221"/>
      <c r="DTF53" s="1221"/>
      <c r="DTG53" s="1221"/>
      <c r="DTH53" s="1221"/>
      <c r="DTI53" s="1221"/>
      <c r="DTJ53" s="1221"/>
      <c r="DTK53" s="1221"/>
      <c r="DTL53" s="1221"/>
      <c r="DTM53" s="1221"/>
      <c r="DTN53" s="1221"/>
      <c r="DTO53" s="1221"/>
      <c r="DTP53" s="1221"/>
      <c r="DTQ53" s="1221"/>
      <c r="DTR53" s="1221"/>
      <c r="DTS53" s="1221"/>
      <c r="DTT53" s="1221"/>
      <c r="DTU53" s="1221"/>
      <c r="DTV53" s="1221"/>
      <c r="DTW53" s="1221"/>
      <c r="DTX53" s="1221"/>
      <c r="DTY53" s="1221"/>
      <c r="DTZ53" s="1221"/>
      <c r="DUA53" s="1221"/>
      <c r="DUB53" s="1221"/>
      <c r="DUC53" s="1221"/>
      <c r="DUD53" s="1221"/>
      <c r="DUE53" s="1221"/>
      <c r="DUF53" s="1221"/>
      <c r="DUG53" s="1221"/>
      <c r="DUH53" s="1221"/>
      <c r="DUI53" s="1221"/>
      <c r="DUJ53" s="1221"/>
      <c r="DUK53" s="1221"/>
      <c r="DUL53" s="1221"/>
      <c r="DUM53" s="1221"/>
      <c r="DUN53" s="1221"/>
      <c r="DUO53" s="1221"/>
      <c r="DUP53" s="1221"/>
      <c r="DUQ53" s="1221"/>
      <c r="DUR53" s="1221"/>
      <c r="DUS53" s="1221"/>
      <c r="DUT53" s="1221"/>
      <c r="DUU53" s="1221"/>
      <c r="DUV53" s="1221"/>
      <c r="DUW53" s="1221"/>
      <c r="DUX53" s="1221"/>
      <c r="DUY53" s="1221"/>
      <c r="DUZ53" s="1221"/>
      <c r="DVA53" s="1221"/>
      <c r="DVB53" s="1221"/>
      <c r="DVC53" s="1221"/>
      <c r="DVD53" s="1221"/>
      <c r="DVE53" s="1221"/>
      <c r="DVF53" s="1221"/>
      <c r="DVG53" s="1221"/>
      <c r="DVH53" s="1221"/>
      <c r="DVI53" s="1221"/>
      <c r="DVJ53" s="1221"/>
      <c r="DVK53" s="1221"/>
      <c r="DVL53" s="1221"/>
      <c r="DVM53" s="1221"/>
      <c r="DVN53" s="1221"/>
      <c r="DVO53" s="1221"/>
      <c r="DVP53" s="1221"/>
      <c r="DVQ53" s="1221"/>
      <c r="DVR53" s="1221"/>
      <c r="DVS53" s="1221"/>
      <c r="DVT53" s="1221"/>
      <c r="DVU53" s="1221"/>
      <c r="DVV53" s="1221"/>
      <c r="DVW53" s="1221"/>
      <c r="DVX53" s="1221"/>
      <c r="DVY53" s="1221"/>
      <c r="DVZ53" s="1221"/>
      <c r="DWA53" s="1221"/>
      <c r="DWB53" s="1221"/>
      <c r="DWC53" s="1221"/>
      <c r="DWD53" s="1221"/>
      <c r="DWE53" s="1221"/>
      <c r="DWF53" s="1221"/>
      <c r="DWG53" s="1221"/>
      <c r="DWH53" s="1221"/>
      <c r="DWI53" s="1221"/>
      <c r="DWJ53" s="1221"/>
      <c r="DWK53" s="1221"/>
      <c r="DWL53" s="1221"/>
      <c r="DWM53" s="1221"/>
      <c r="DWN53" s="1221"/>
      <c r="DWO53" s="1221"/>
      <c r="DWP53" s="1221"/>
      <c r="DWQ53" s="1221"/>
      <c r="DWR53" s="1221"/>
      <c r="DWS53" s="1221"/>
      <c r="DWT53" s="1221"/>
      <c r="DWU53" s="1221"/>
      <c r="DWV53" s="1221"/>
      <c r="DWW53" s="1221"/>
      <c r="DWX53" s="1221"/>
      <c r="DWY53" s="1221"/>
      <c r="DWZ53" s="1221"/>
      <c r="DXA53" s="1221"/>
      <c r="DXB53" s="1221"/>
      <c r="DXC53" s="1221"/>
      <c r="DXD53" s="1221"/>
      <c r="DXE53" s="1221"/>
      <c r="DXF53" s="1221"/>
      <c r="DXG53" s="1221"/>
      <c r="DXH53" s="1221"/>
      <c r="DXI53" s="1221"/>
      <c r="DXJ53" s="1221"/>
      <c r="DXK53" s="1221"/>
      <c r="DXL53" s="1221"/>
      <c r="DXM53" s="1221"/>
      <c r="DXN53" s="1221"/>
      <c r="DXO53" s="1221"/>
      <c r="DXP53" s="1221"/>
      <c r="DXQ53" s="1221"/>
      <c r="DXR53" s="1221"/>
      <c r="DXS53" s="1221"/>
      <c r="DXT53" s="1221"/>
      <c r="DXU53" s="1221"/>
      <c r="DXV53" s="1221"/>
      <c r="DXW53" s="1221"/>
      <c r="DXX53" s="1221"/>
      <c r="DXY53" s="1221"/>
      <c r="DXZ53" s="1221"/>
      <c r="DYA53" s="1221"/>
      <c r="DYB53" s="1221"/>
      <c r="DYC53" s="1221"/>
      <c r="DYD53" s="1221"/>
      <c r="DYE53" s="1221"/>
      <c r="DYF53" s="1221"/>
      <c r="DYG53" s="1221"/>
      <c r="DYH53" s="1221"/>
      <c r="DYI53" s="1221"/>
      <c r="DYJ53" s="1221"/>
      <c r="DYK53" s="1221"/>
      <c r="DYL53" s="1221"/>
      <c r="DYM53" s="1221"/>
      <c r="DYN53" s="1221"/>
      <c r="DYO53" s="1221"/>
      <c r="DYP53" s="1221"/>
      <c r="DYQ53" s="1221"/>
      <c r="DYR53" s="1221"/>
      <c r="DYS53" s="1221"/>
      <c r="DYT53" s="1221"/>
      <c r="DYU53" s="1221"/>
      <c r="DYV53" s="1221"/>
      <c r="DYW53" s="1221"/>
      <c r="DYX53" s="1221"/>
      <c r="DYY53" s="1221"/>
      <c r="DYZ53" s="1221"/>
      <c r="DZA53" s="1221"/>
      <c r="DZB53" s="1221"/>
      <c r="DZC53" s="1221"/>
      <c r="DZD53" s="1221"/>
      <c r="DZE53" s="1221"/>
      <c r="DZF53" s="1221"/>
      <c r="DZG53" s="1221"/>
      <c r="DZH53" s="1221"/>
      <c r="DZI53" s="1221"/>
      <c r="DZJ53" s="1221"/>
      <c r="DZK53" s="1221"/>
      <c r="DZL53" s="1221"/>
      <c r="DZM53" s="1221"/>
      <c r="DZN53" s="1221"/>
      <c r="DZO53" s="1221"/>
      <c r="DZP53" s="1221"/>
      <c r="DZQ53" s="1221"/>
      <c r="DZR53" s="1221"/>
      <c r="DZS53" s="1221"/>
      <c r="DZT53" s="1221"/>
      <c r="DZU53" s="1221"/>
      <c r="DZV53" s="1221"/>
      <c r="DZW53" s="1221"/>
      <c r="DZX53" s="1221"/>
      <c r="DZY53" s="1221"/>
      <c r="DZZ53" s="1221"/>
      <c r="EAA53" s="1221"/>
      <c r="EAB53" s="1221"/>
      <c r="EAC53" s="1221"/>
      <c r="EAD53" s="1221"/>
      <c r="EAE53" s="1221"/>
      <c r="EAF53" s="1221"/>
      <c r="EAG53" s="1221"/>
      <c r="EAH53" s="1221"/>
      <c r="EAI53" s="1221"/>
      <c r="EAJ53" s="1221"/>
      <c r="EAK53" s="1221"/>
      <c r="EAL53" s="1221"/>
      <c r="EAM53" s="1221"/>
      <c r="EAN53" s="1221"/>
      <c r="EAO53" s="1221"/>
      <c r="EAP53" s="1221"/>
      <c r="EAQ53" s="1221"/>
      <c r="EAR53" s="1221"/>
      <c r="EAS53" s="1221"/>
      <c r="EAT53" s="1221"/>
      <c r="EAU53" s="1221"/>
      <c r="EAV53" s="1221"/>
      <c r="EAW53" s="1221"/>
      <c r="EAX53" s="1221"/>
      <c r="EAY53" s="1221"/>
      <c r="EAZ53" s="1221"/>
      <c r="EBA53" s="1221"/>
      <c r="EBB53" s="1221"/>
      <c r="EBC53" s="1221"/>
      <c r="EBD53" s="1221"/>
      <c r="EBE53" s="1221"/>
      <c r="EBF53" s="1221"/>
      <c r="EBG53" s="1221"/>
      <c r="EBH53" s="1221"/>
      <c r="EBI53" s="1221"/>
      <c r="EBJ53" s="1221"/>
      <c r="EBK53" s="1221"/>
      <c r="EBL53" s="1221"/>
      <c r="EBM53" s="1221"/>
      <c r="EBN53" s="1221"/>
      <c r="EBO53" s="1221"/>
      <c r="EBP53" s="1221"/>
      <c r="EBQ53" s="1221"/>
      <c r="EBR53" s="1221"/>
      <c r="EBS53" s="1221"/>
      <c r="EBT53" s="1221"/>
      <c r="EBU53" s="1221"/>
      <c r="EBV53" s="1221"/>
      <c r="EBW53" s="1221"/>
      <c r="EBX53" s="1221"/>
      <c r="EBY53" s="1221"/>
      <c r="EBZ53" s="1221"/>
      <c r="ECA53" s="1221"/>
      <c r="ECB53" s="1221"/>
      <c r="ECC53" s="1221"/>
      <c r="ECD53" s="1221"/>
      <c r="ECE53" s="1221"/>
      <c r="ECF53" s="1221"/>
      <c r="ECG53" s="1221"/>
      <c r="ECH53" s="1221"/>
      <c r="ECI53" s="1221"/>
      <c r="ECJ53" s="1221"/>
      <c r="ECK53" s="1221"/>
      <c r="ECL53" s="1221"/>
      <c r="ECM53" s="1221"/>
      <c r="ECN53" s="1221"/>
      <c r="ECO53" s="1221"/>
    </row>
    <row r="54" spans="2:3473" s="1273" customFormat="1" ht="13.5" thickBot="1">
      <c r="B54" s="1281"/>
      <c r="C54" s="1282"/>
      <c r="D54" s="1283" t="s">
        <v>32</v>
      </c>
      <c r="E54" s="1284"/>
      <c r="F54" s="1284"/>
      <c r="G54" s="1284"/>
      <c r="H54" s="1284"/>
      <c r="I54" s="1284"/>
      <c r="J54" s="1284"/>
      <c r="K54" s="1284"/>
      <c r="L54" s="1284"/>
      <c r="M54" s="1284"/>
      <c r="N54" s="1284"/>
      <c r="O54" s="1284"/>
      <c r="P54" s="1284"/>
      <c r="Q54" s="1284"/>
      <c r="R54" s="1284"/>
      <c r="S54" s="1284"/>
      <c r="T54" s="1284"/>
      <c r="U54" s="1284"/>
      <c r="V54" s="1284"/>
      <c r="W54" s="1284"/>
      <c r="X54" s="1284"/>
      <c r="Y54" s="1284"/>
      <c r="Z54" s="1284"/>
      <c r="AA54" s="1284"/>
      <c r="AB54" s="1284"/>
      <c r="AC54" s="1284"/>
      <c r="AD54" s="1285"/>
      <c r="AE54" s="1285"/>
      <c r="AF54" s="1286"/>
      <c r="AG54" s="1285"/>
      <c r="AH54" s="1285"/>
      <c r="AI54" s="1285"/>
      <c r="AJ54" s="1285"/>
      <c r="AK54" s="1285"/>
      <c r="AL54" s="1285"/>
      <c r="AM54" s="1285"/>
      <c r="AN54" s="1285"/>
      <c r="AO54" s="1285"/>
      <c r="AP54" s="1285"/>
      <c r="AQ54" s="1285"/>
      <c r="AR54" s="1285"/>
      <c r="AS54" s="1285"/>
      <c r="AT54" s="1285"/>
      <c r="AU54" s="1285"/>
      <c r="AV54" s="1285"/>
      <c r="AW54" s="1285"/>
      <c r="AX54" s="1285"/>
      <c r="AY54" s="1285"/>
      <c r="AZ54" s="1285"/>
      <c r="BA54" s="1285"/>
      <c r="BB54" s="1285"/>
      <c r="BC54" s="1285"/>
      <c r="BD54" s="1285"/>
      <c r="BE54" s="1285"/>
      <c r="BF54" s="1285"/>
      <c r="BG54" s="1285"/>
      <c r="BH54" s="1285"/>
      <c r="BI54" s="1285"/>
      <c r="BJ54" s="1285">
        <f ca="1">BJ49-BJ44-BJ37-BJ38-BJ9</f>
        <v>66684.838027000005</v>
      </c>
      <c r="BK54" s="1285"/>
      <c r="BL54" s="1285"/>
      <c r="BM54" s="1287"/>
      <c r="BN54" s="1247"/>
      <c r="BO54" s="1247">
        <f ca="1">BK49-BK8</f>
        <v>61617.796115000005</v>
      </c>
      <c r="BP54" s="1247"/>
      <c r="BQ54" s="1247"/>
      <c r="BR54" s="1247"/>
      <c r="BS54" s="1247"/>
      <c r="BT54" s="1247"/>
      <c r="BU54" s="1247"/>
      <c r="BV54" s="1247"/>
      <c r="BW54" s="1247"/>
      <c r="BX54" s="1247"/>
      <c r="BY54" s="1247"/>
      <c r="BZ54" s="1247"/>
      <c r="CA54" s="1247"/>
      <c r="CB54" s="1247"/>
      <c r="CC54" s="1247"/>
      <c r="CD54" s="1247"/>
      <c r="CE54" s="1247"/>
      <c r="CF54" s="1247"/>
      <c r="CG54" s="1247"/>
      <c r="CH54" s="1247"/>
      <c r="CI54" s="1247"/>
      <c r="CJ54" s="1247"/>
      <c r="CK54" s="1247"/>
      <c r="CL54" s="1247"/>
      <c r="CM54" s="1247"/>
      <c r="CN54" s="1247"/>
      <c r="CO54" s="1247"/>
      <c r="CP54" s="1247"/>
      <c r="CQ54" s="1247"/>
      <c r="CR54" s="1247"/>
      <c r="CS54" s="1247"/>
      <c r="CT54" s="1247"/>
      <c r="CU54" s="1247"/>
      <c r="CV54" s="1247"/>
      <c r="CW54" s="1247"/>
      <c r="CX54" s="1247"/>
      <c r="CY54" s="1247"/>
      <c r="CZ54" s="1247"/>
      <c r="DA54" s="1247"/>
      <c r="DB54" s="1247"/>
      <c r="DC54" s="1247"/>
      <c r="DD54" s="1247"/>
      <c r="DE54" s="1247"/>
      <c r="DF54" s="1247"/>
      <c r="DG54" s="1247"/>
      <c r="DH54" s="1247"/>
      <c r="DI54" s="1247"/>
      <c r="DJ54" s="1247"/>
      <c r="DK54" s="1247"/>
      <c r="DL54" s="1247"/>
      <c r="DM54" s="1247"/>
      <c r="DN54" s="1247"/>
      <c r="DO54" s="1247"/>
      <c r="DP54" s="1247"/>
      <c r="DQ54" s="1247"/>
      <c r="DR54" s="1247"/>
      <c r="DS54" s="1247"/>
      <c r="DT54" s="1247"/>
      <c r="DU54" s="1247"/>
      <c r="DV54" s="1247"/>
      <c r="DW54" s="1247"/>
      <c r="DX54" s="1247"/>
      <c r="DY54" s="1247"/>
      <c r="DZ54" s="1247"/>
      <c r="EA54" s="1247"/>
      <c r="EB54" s="1247"/>
      <c r="EC54" s="1247"/>
      <c r="ED54" s="1247"/>
      <c r="EE54" s="1247"/>
      <c r="EF54" s="1247"/>
      <c r="EG54" s="1247"/>
      <c r="EH54" s="1247"/>
      <c r="EI54" s="1247"/>
      <c r="EJ54" s="1247"/>
      <c r="EK54" s="1247"/>
      <c r="EL54" s="1247"/>
      <c r="EM54" s="1247"/>
      <c r="EN54" s="1247"/>
      <c r="EO54" s="1247"/>
      <c r="EP54" s="1247"/>
      <c r="EQ54" s="1247"/>
      <c r="ER54" s="1247"/>
      <c r="ES54" s="1247"/>
      <c r="ET54" s="1247"/>
      <c r="EU54" s="1247"/>
      <c r="EV54" s="1247"/>
      <c r="EW54" s="1247"/>
      <c r="EX54" s="1247"/>
      <c r="EY54" s="1247"/>
      <c r="EZ54" s="1247"/>
      <c r="FA54" s="1247"/>
      <c r="FB54" s="1247"/>
      <c r="FC54" s="1247"/>
      <c r="FD54" s="1247"/>
      <c r="FE54" s="1247"/>
      <c r="FF54" s="1247"/>
      <c r="FG54" s="1247"/>
      <c r="FH54" s="1247"/>
      <c r="FI54" s="1247"/>
      <c r="FJ54" s="1247"/>
      <c r="FK54" s="1247"/>
      <c r="FL54" s="1247"/>
      <c r="FM54" s="1247"/>
      <c r="FN54" s="1247"/>
      <c r="FO54" s="1247"/>
      <c r="FP54" s="1247"/>
      <c r="FQ54" s="1247"/>
      <c r="FR54" s="1247"/>
      <c r="FS54" s="1247"/>
      <c r="FT54" s="1247"/>
      <c r="FU54" s="1247"/>
      <c r="FV54" s="1247"/>
      <c r="FW54" s="1247"/>
      <c r="FX54" s="1247"/>
      <c r="FY54" s="1247"/>
      <c r="FZ54" s="1247"/>
      <c r="GA54" s="1247"/>
      <c r="GB54" s="1247"/>
      <c r="GC54" s="1247"/>
      <c r="GD54" s="1247"/>
      <c r="GE54" s="1247"/>
      <c r="GF54" s="1247"/>
      <c r="GG54" s="1247"/>
      <c r="GH54" s="1247"/>
      <c r="GI54" s="1247"/>
      <c r="GJ54" s="1247"/>
      <c r="GK54" s="1247"/>
      <c r="GL54" s="1247"/>
      <c r="GM54" s="1247"/>
      <c r="GN54" s="1247"/>
      <c r="GO54" s="1247"/>
      <c r="GP54" s="1247"/>
      <c r="GQ54" s="1247"/>
      <c r="GR54" s="1247"/>
      <c r="GS54" s="1247"/>
      <c r="GT54" s="1247"/>
      <c r="GU54" s="1247"/>
      <c r="GV54" s="1247"/>
      <c r="GW54" s="1247"/>
      <c r="GX54" s="1247"/>
      <c r="GY54" s="1247"/>
      <c r="GZ54" s="1247"/>
      <c r="HA54" s="1247"/>
      <c r="HB54" s="1247"/>
      <c r="HC54" s="1247"/>
      <c r="HD54" s="1247"/>
      <c r="HE54" s="1247"/>
      <c r="HF54" s="1247"/>
      <c r="HG54" s="1247"/>
      <c r="HH54" s="1247"/>
      <c r="HI54" s="1247"/>
      <c r="HJ54" s="1247"/>
      <c r="HK54" s="1247"/>
      <c r="HL54" s="1247"/>
      <c r="HM54" s="1247"/>
      <c r="HN54" s="1247"/>
      <c r="HO54" s="1247"/>
      <c r="HP54" s="1247"/>
      <c r="HQ54" s="1247"/>
      <c r="HR54" s="1247"/>
      <c r="HS54" s="1247"/>
      <c r="HT54" s="1247"/>
      <c r="HU54" s="1247"/>
      <c r="HV54" s="1247"/>
      <c r="HW54" s="1247"/>
      <c r="HX54" s="1247"/>
      <c r="HY54" s="1247"/>
      <c r="HZ54" s="1247"/>
      <c r="IA54" s="1247"/>
      <c r="IB54" s="1247"/>
      <c r="IC54" s="1247"/>
      <c r="ID54" s="1247"/>
      <c r="IE54" s="1247"/>
      <c r="IF54" s="1247"/>
      <c r="IG54" s="1247"/>
      <c r="IH54" s="1247"/>
      <c r="II54" s="1247"/>
      <c r="IJ54" s="1247"/>
      <c r="IK54" s="1247"/>
      <c r="IL54" s="1247"/>
      <c r="IM54" s="1247"/>
      <c r="IN54" s="1247"/>
      <c r="IO54" s="1247"/>
      <c r="IP54" s="1247"/>
      <c r="IQ54" s="1247"/>
      <c r="IR54" s="1247"/>
      <c r="IS54" s="1247"/>
      <c r="IT54" s="1247"/>
      <c r="IU54" s="1247"/>
      <c r="IV54" s="1247"/>
      <c r="IW54" s="1247"/>
      <c r="IX54" s="1247"/>
      <c r="IY54" s="1247"/>
      <c r="IZ54" s="1247"/>
      <c r="JA54" s="1247"/>
      <c r="JB54" s="1247"/>
      <c r="JC54" s="1247"/>
      <c r="JD54" s="1247"/>
      <c r="JE54" s="1247"/>
      <c r="JF54" s="1247"/>
      <c r="JG54" s="1247"/>
      <c r="JH54" s="1247"/>
      <c r="JI54" s="1247"/>
      <c r="JJ54" s="1247"/>
      <c r="JK54" s="1247"/>
      <c r="JL54" s="1247"/>
      <c r="JM54" s="1247"/>
      <c r="JN54" s="1247"/>
      <c r="JO54" s="1247"/>
      <c r="JP54" s="1247"/>
      <c r="JQ54" s="1247"/>
      <c r="JR54" s="1247"/>
      <c r="JS54" s="1247"/>
      <c r="JT54" s="1247"/>
      <c r="JU54" s="1247"/>
      <c r="JV54" s="1247"/>
      <c r="JW54" s="1247"/>
      <c r="JX54" s="1247"/>
      <c r="JY54" s="1247"/>
      <c r="JZ54" s="1247"/>
      <c r="KA54" s="1247"/>
      <c r="KB54" s="1247"/>
      <c r="KC54" s="1247"/>
      <c r="KD54" s="1247"/>
      <c r="KE54" s="1247"/>
      <c r="KF54" s="1247"/>
      <c r="KG54" s="1247"/>
      <c r="KH54" s="1247"/>
      <c r="KI54" s="1247"/>
      <c r="KJ54" s="1247"/>
      <c r="KK54" s="1247"/>
      <c r="KL54" s="1247"/>
      <c r="KM54" s="1247"/>
      <c r="KN54" s="1247"/>
      <c r="KO54" s="1247"/>
      <c r="KP54" s="1247"/>
      <c r="KQ54" s="1247"/>
      <c r="KR54" s="1247"/>
      <c r="KS54" s="1247"/>
      <c r="KT54" s="1247"/>
      <c r="KU54" s="1247"/>
      <c r="KV54" s="1247"/>
      <c r="KW54" s="1247"/>
      <c r="KX54" s="1247"/>
      <c r="KY54" s="1247"/>
      <c r="KZ54" s="1247"/>
      <c r="LA54" s="1247"/>
      <c r="LB54" s="1247"/>
      <c r="LC54" s="1247"/>
      <c r="LD54" s="1247"/>
      <c r="LE54" s="1247"/>
      <c r="LF54" s="1247"/>
      <c r="LG54" s="1247"/>
      <c r="LH54" s="1247"/>
      <c r="LI54" s="1247"/>
      <c r="LJ54" s="1247"/>
      <c r="LK54" s="1247"/>
      <c r="LL54" s="1247"/>
      <c r="LM54" s="1247"/>
      <c r="LN54" s="1247"/>
      <c r="LO54" s="1247"/>
      <c r="LP54" s="1247"/>
      <c r="LQ54" s="1247"/>
      <c r="LR54" s="1247"/>
      <c r="LS54" s="1247"/>
      <c r="LT54" s="1247"/>
      <c r="LU54" s="1247"/>
      <c r="LV54" s="1247"/>
      <c r="LW54" s="1247"/>
      <c r="LX54" s="1247"/>
      <c r="LY54" s="1247"/>
      <c r="LZ54" s="1247"/>
      <c r="MA54" s="1247"/>
      <c r="MB54" s="1247"/>
      <c r="MC54" s="1247"/>
      <c r="MD54" s="1247"/>
      <c r="ME54" s="1247"/>
      <c r="MF54" s="1247"/>
      <c r="MG54" s="1247"/>
      <c r="MH54" s="1247"/>
      <c r="MI54" s="1247"/>
      <c r="MJ54" s="1247"/>
      <c r="MK54" s="1247"/>
      <c r="ML54" s="1247"/>
      <c r="MM54" s="1247"/>
      <c r="MN54" s="1247"/>
      <c r="MO54" s="1247"/>
      <c r="MP54" s="1247"/>
      <c r="MQ54" s="1247"/>
      <c r="MR54" s="1247"/>
      <c r="MS54" s="1247"/>
      <c r="MT54" s="1247"/>
      <c r="MU54" s="1247"/>
      <c r="MV54" s="1247"/>
      <c r="MW54" s="1247"/>
      <c r="MX54" s="1247"/>
      <c r="MY54" s="1247"/>
      <c r="MZ54" s="1247"/>
      <c r="NA54" s="1247"/>
      <c r="NB54" s="1247"/>
      <c r="NC54" s="1247"/>
      <c r="ND54" s="1247"/>
      <c r="NE54" s="1247"/>
      <c r="NF54" s="1247"/>
      <c r="NG54" s="1247"/>
      <c r="NH54" s="1247"/>
      <c r="NI54" s="1247"/>
      <c r="NJ54" s="1247"/>
      <c r="NK54" s="1247"/>
      <c r="NL54" s="1247"/>
      <c r="NM54" s="1247"/>
      <c r="NN54" s="1247"/>
      <c r="NO54" s="1247"/>
      <c r="NP54" s="1247"/>
      <c r="NQ54" s="1247"/>
      <c r="NR54" s="1247"/>
      <c r="NS54" s="1247"/>
      <c r="NT54" s="1247"/>
      <c r="NU54" s="1247"/>
      <c r="NV54" s="1247"/>
      <c r="NW54" s="1247"/>
      <c r="NX54" s="1247"/>
      <c r="NY54" s="1247"/>
      <c r="NZ54" s="1247"/>
      <c r="OA54" s="1247"/>
      <c r="OB54" s="1247"/>
      <c r="OC54" s="1247"/>
      <c r="OD54" s="1247"/>
      <c r="OE54" s="1247"/>
      <c r="OF54" s="1247"/>
      <c r="OG54" s="1247"/>
      <c r="OH54" s="1247"/>
      <c r="OI54" s="1247"/>
      <c r="OJ54" s="1247"/>
      <c r="OK54" s="1247"/>
      <c r="OL54" s="1247"/>
      <c r="OM54" s="1247"/>
      <c r="ON54" s="1247"/>
      <c r="OO54" s="1247"/>
      <c r="OP54" s="1247"/>
      <c r="OQ54" s="1247"/>
      <c r="OR54" s="1247"/>
      <c r="OS54" s="1247"/>
      <c r="OT54" s="1247"/>
      <c r="OU54" s="1247"/>
      <c r="OV54" s="1247"/>
      <c r="OW54" s="1247"/>
      <c r="OX54" s="1247"/>
      <c r="OY54" s="1247"/>
      <c r="OZ54" s="1247"/>
      <c r="PA54" s="1247"/>
      <c r="PB54" s="1247"/>
      <c r="PC54" s="1247"/>
      <c r="PD54" s="1247"/>
      <c r="PE54" s="1247"/>
      <c r="PF54" s="1247"/>
      <c r="PG54" s="1247"/>
      <c r="PH54" s="1247"/>
      <c r="PI54" s="1247"/>
      <c r="PJ54" s="1247"/>
      <c r="PK54" s="1247"/>
      <c r="PL54" s="1247"/>
      <c r="PM54" s="1247"/>
      <c r="PN54" s="1247"/>
      <c r="PO54" s="1247"/>
      <c r="PP54" s="1247"/>
      <c r="PQ54" s="1247"/>
      <c r="PR54" s="1247"/>
      <c r="PS54" s="1247"/>
      <c r="PT54" s="1247"/>
      <c r="PU54" s="1247"/>
      <c r="PV54" s="1247"/>
      <c r="PW54" s="1247"/>
      <c r="PX54" s="1247"/>
      <c r="PY54" s="1247"/>
      <c r="PZ54" s="1247"/>
      <c r="QA54" s="1247"/>
      <c r="QB54" s="1247"/>
      <c r="QC54" s="1247"/>
      <c r="QD54" s="1247"/>
      <c r="QE54" s="1247"/>
      <c r="QF54" s="1247"/>
      <c r="QG54" s="1247"/>
      <c r="QH54" s="1247"/>
      <c r="QI54" s="1247"/>
      <c r="QJ54" s="1247"/>
      <c r="QK54" s="1247"/>
      <c r="QL54" s="1247"/>
      <c r="QM54" s="1247"/>
      <c r="QN54" s="1247"/>
      <c r="QO54" s="1247"/>
      <c r="QP54" s="1247"/>
      <c r="QQ54" s="1247"/>
      <c r="QR54" s="1247"/>
      <c r="QS54" s="1247"/>
      <c r="QT54" s="1247"/>
      <c r="QU54" s="1247"/>
      <c r="QV54" s="1247"/>
      <c r="QW54" s="1247"/>
      <c r="QX54" s="1247"/>
      <c r="QY54" s="1247"/>
      <c r="QZ54" s="1247"/>
      <c r="RA54" s="1247"/>
      <c r="RB54" s="1247"/>
      <c r="RC54" s="1247"/>
      <c r="RD54" s="1247"/>
      <c r="RE54" s="1247"/>
      <c r="RF54" s="1247"/>
      <c r="RG54" s="1247"/>
      <c r="RH54" s="1247"/>
      <c r="RI54" s="1247"/>
      <c r="RJ54" s="1247"/>
      <c r="RK54" s="1247"/>
      <c r="RL54" s="1247"/>
      <c r="RM54" s="1247"/>
      <c r="RN54" s="1247"/>
      <c r="RO54" s="1247"/>
      <c r="RP54" s="1247"/>
      <c r="RQ54" s="1247"/>
      <c r="RR54" s="1247"/>
      <c r="RS54" s="1247"/>
      <c r="RT54" s="1247"/>
      <c r="RU54" s="1247"/>
      <c r="RV54" s="1247"/>
      <c r="RW54" s="1247"/>
      <c r="RX54" s="1247"/>
      <c r="RY54" s="1247"/>
      <c r="RZ54" s="1247"/>
      <c r="SA54" s="1247"/>
      <c r="SB54" s="1247"/>
      <c r="SC54" s="1247"/>
      <c r="SD54" s="1247"/>
      <c r="SE54" s="1247"/>
      <c r="SF54" s="1247"/>
      <c r="SG54" s="1247"/>
      <c r="SH54" s="1247"/>
      <c r="SI54" s="1247"/>
      <c r="SJ54" s="1247"/>
      <c r="SK54" s="1247"/>
      <c r="SL54" s="1247"/>
      <c r="SM54" s="1247"/>
      <c r="SN54" s="1247"/>
      <c r="SO54" s="1247"/>
      <c r="SP54" s="1247"/>
      <c r="SQ54" s="1247"/>
      <c r="SR54" s="1247"/>
      <c r="SS54" s="1247"/>
      <c r="ST54" s="1247"/>
      <c r="SU54" s="1247"/>
      <c r="SV54" s="1247"/>
      <c r="SW54" s="1247"/>
      <c r="SX54" s="1247"/>
      <c r="SY54" s="1247"/>
      <c r="SZ54" s="1247"/>
      <c r="TA54" s="1247"/>
      <c r="TB54" s="1247"/>
      <c r="TC54" s="1247"/>
      <c r="TD54" s="1247"/>
      <c r="TE54" s="1247"/>
      <c r="TF54" s="1247"/>
      <c r="TG54" s="1247"/>
      <c r="TH54" s="1247"/>
      <c r="TI54" s="1247"/>
      <c r="TJ54" s="1247"/>
      <c r="TK54" s="1247"/>
      <c r="TL54" s="1247"/>
      <c r="TM54" s="1247"/>
      <c r="TN54" s="1247"/>
      <c r="TO54" s="1247"/>
      <c r="TP54" s="1247"/>
      <c r="TQ54" s="1247"/>
      <c r="TR54" s="1247"/>
      <c r="TS54" s="1247"/>
      <c r="TT54" s="1247"/>
      <c r="TU54" s="1247"/>
      <c r="TV54" s="1247"/>
      <c r="TW54" s="1247"/>
      <c r="TX54" s="1247"/>
      <c r="TY54" s="1247"/>
      <c r="TZ54" s="1247"/>
      <c r="UA54" s="1247"/>
      <c r="UB54" s="1247"/>
      <c r="UC54" s="1247"/>
      <c r="UD54" s="1247"/>
      <c r="UE54" s="1247"/>
      <c r="UF54" s="1247"/>
      <c r="UG54" s="1247"/>
      <c r="UH54" s="1247"/>
      <c r="UI54" s="1247"/>
      <c r="UJ54" s="1247"/>
      <c r="UK54" s="1247"/>
      <c r="UL54" s="1247"/>
      <c r="UM54" s="1247"/>
      <c r="UN54" s="1247"/>
      <c r="UO54" s="1247"/>
      <c r="UP54" s="1247"/>
      <c r="UQ54" s="1247"/>
      <c r="UR54" s="1247"/>
      <c r="US54" s="1247"/>
      <c r="UT54" s="1247"/>
      <c r="UU54" s="1247"/>
      <c r="UV54" s="1247"/>
      <c r="UW54" s="1247"/>
      <c r="UX54" s="1247"/>
      <c r="UY54" s="1247"/>
      <c r="UZ54" s="1247"/>
      <c r="VA54" s="1247"/>
      <c r="VB54" s="1247"/>
      <c r="VC54" s="1247"/>
      <c r="VD54" s="1247"/>
      <c r="VE54" s="1247"/>
      <c r="VF54" s="1247"/>
      <c r="VG54" s="1247"/>
      <c r="VH54" s="1247"/>
      <c r="VI54" s="1247"/>
      <c r="VJ54" s="1247"/>
      <c r="VK54" s="1247"/>
      <c r="VL54" s="1247"/>
      <c r="VM54" s="1247"/>
      <c r="VN54" s="1247"/>
      <c r="VO54" s="1247"/>
      <c r="VP54" s="1247"/>
      <c r="VQ54" s="1247"/>
      <c r="VR54" s="1247"/>
      <c r="VS54" s="1247"/>
      <c r="VT54" s="1247"/>
      <c r="VU54" s="1247"/>
      <c r="VV54" s="1247"/>
      <c r="VW54" s="1247"/>
      <c r="VX54" s="1247"/>
      <c r="VY54" s="1247"/>
      <c r="VZ54" s="1247"/>
      <c r="WA54" s="1247"/>
      <c r="WB54" s="1247"/>
      <c r="WC54" s="1247"/>
      <c r="WD54" s="1247"/>
      <c r="WE54" s="1247"/>
      <c r="WF54" s="1247"/>
      <c r="WG54" s="1247"/>
      <c r="WH54" s="1247"/>
      <c r="WI54" s="1247"/>
      <c r="WJ54" s="1247"/>
      <c r="WK54" s="1247"/>
      <c r="WL54" s="1247"/>
      <c r="WM54" s="1247"/>
      <c r="WN54" s="1247"/>
      <c r="WO54" s="1247"/>
      <c r="WP54" s="1247"/>
      <c r="WQ54" s="1247"/>
      <c r="WR54" s="1247"/>
      <c r="WS54" s="1247"/>
      <c r="WT54" s="1247"/>
      <c r="WU54" s="1247"/>
      <c r="WV54" s="1247"/>
      <c r="WW54" s="1247"/>
      <c r="WX54" s="1247"/>
      <c r="WY54" s="1247"/>
      <c r="WZ54" s="1247"/>
      <c r="XA54" s="1247"/>
      <c r="XB54" s="1247"/>
      <c r="XC54" s="1247"/>
      <c r="XD54" s="1247"/>
      <c r="XE54" s="1247"/>
      <c r="XF54" s="1247"/>
      <c r="XG54" s="1247"/>
      <c r="XH54" s="1247"/>
      <c r="XI54" s="1247"/>
      <c r="XJ54" s="1247"/>
      <c r="XK54" s="1247"/>
      <c r="XL54" s="1247"/>
      <c r="XM54" s="1247"/>
      <c r="XN54" s="1247"/>
      <c r="XO54" s="1247"/>
      <c r="XP54" s="1247"/>
      <c r="XQ54" s="1247"/>
      <c r="XR54" s="1247"/>
      <c r="XS54" s="1247"/>
      <c r="XT54" s="1247"/>
      <c r="XU54" s="1247"/>
      <c r="XV54" s="1247"/>
      <c r="XW54" s="1247"/>
      <c r="XX54" s="1247"/>
      <c r="XY54" s="1247"/>
      <c r="XZ54" s="1247"/>
      <c r="YA54" s="1247"/>
      <c r="YB54" s="1247"/>
      <c r="YC54" s="1247"/>
      <c r="YD54" s="1247"/>
      <c r="YE54" s="1247"/>
      <c r="YF54" s="1247"/>
      <c r="YG54" s="1247"/>
      <c r="YH54" s="1247"/>
      <c r="YI54" s="1247"/>
      <c r="YJ54" s="1247"/>
      <c r="YK54" s="1247"/>
      <c r="YL54" s="1247"/>
      <c r="YM54" s="1247"/>
      <c r="YN54" s="1247"/>
      <c r="YO54" s="1247"/>
      <c r="YP54" s="1247"/>
      <c r="YQ54" s="1247"/>
      <c r="YR54" s="1247"/>
      <c r="YS54" s="1247"/>
      <c r="YT54" s="1247"/>
      <c r="YU54" s="1247"/>
      <c r="YV54" s="1247"/>
      <c r="YW54" s="1247"/>
      <c r="YX54" s="1247"/>
      <c r="YY54" s="1247"/>
      <c r="YZ54" s="1247"/>
      <c r="ZA54" s="1247"/>
      <c r="ZB54" s="1247"/>
      <c r="ZC54" s="1247"/>
      <c r="ZD54" s="1247"/>
      <c r="ZE54" s="1247"/>
      <c r="ZF54" s="1247"/>
      <c r="ZG54" s="1247"/>
      <c r="ZH54" s="1247"/>
      <c r="ZI54" s="1247"/>
      <c r="ZJ54" s="1247"/>
      <c r="ZK54" s="1247"/>
      <c r="ZL54" s="1247"/>
      <c r="ZM54" s="1247"/>
      <c r="ZN54" s="1247"/>
      <c r="ZO54" s="1247"/>
      <c r="ZP54" s="1247"/>
      <c r="ZQ54" s="1247"/>
      <c r="ZR54" s="1247"/>
      <c r="ZS54" s="1247"/>
      <c r="ZT54" s="1247"/>
      <c r="ZU54" s="1247"/>
      <c r="ZV54" s="1247"/>
      <c r="ZW54" s="1247"/>
      <c r="ZX54" s="1247"/>
      <c r="ZY54" s="1247"/>
      <c r="ZZ54" s="1247"/>
      <c r="AAA54" s="1247"/>
      <c r="AAB54" s="1247"/>
      <c r="AAC54" s="1247"/>
      <c r="AAD54" s="1247"/>
      <c r="AAE54" s="1247"/>
      <c r="AAF54" s="1247"/>
      <c r="AAG54" s="1247"/>
      <c r="AAH54" s="1247"/>
      <c r="AAI54" s="1247"/>
      <c r="AAJ54" s="1247"/>
      <c r="AAK54" s="1247"/>
      <c r="AAL54" s="1247"/>
      <c r="AAM54" s="1247"/>
      <c r="AAN54" s="1247"/>
      <c r="AAO54" s="1247"/>
      <c r="AAP54" s="1247"/>
      <c r="AAQ54" s="1247"/>
      <c r="AAR54" s="1247"/>
      <c r="AAS54" s="1247"/>
      <c r="AAT54" s="1247"/>
      <c r="AAU54" s="1247"/>
      <c r="AAV54" s="1247"/>
      <c r="AAW54" s="1247"/>
      <c r="AAX54" s="1247"/>
      <c r="AAY54" s="1247"/>
      <c r="AAZ54" s="1247"/>
      <c r="ABA54" s="1247"/>
      <c r="ABB54" s="1247"/>
      <c r="ABC54" s="1247"/>
      <c r="ABD54" s="1247"/>
      <c r="ABE54" s="1247"/>
      <c r="ABF54" s="1247"/>
      <c r="ABG54" s="1247"/>
      <c r="ABH54" s="1247"/>
      <c r="ABI54" s="1247"/>
      <c r="ABJ54" s="1247"/>
      <c r="ABK54" s="1247"/>
      <c r="ABL54" s="1247"/>
      <c r="ABM54" s="1247"/>
      <c r="ABN54" s="1247"/>
      <c r="ABO54" s="1247"/>
      <c r="ABP54" s="1247"/>
      <c r="ABQ54" s="1247"/>
      <c r="ABR54" s="1247"/>
      <c r="ABS54" s="1247"/>
      <c r="ABT54" s="1247"/>
      <c r="ABU54" s="1247"/>
      <c r="ABV54" s="1247"/>
      <c r="ABW54" s="1247"/>
      <c r="ABX54" s="1247"/>
      <c r="ABY54" s="1247"/>
      <c r="ABZ54" s="1247"/>
      <c r="ACA54" s="1247"/>
      <c r="ACB54" s="1247"/>
      <c r="ACC54" s="1247"/>
      <c r="ACD54" s="1247"/>
      <c r="ACE54" s="1247"/>
      <c r="ACF54" s="1247"/>
      <c r="ACG54" s="1247"/>
      <c r="ACH54" s="1247"/>
      <c r="ACI54" s="1247"/>
      <c r="ACJ54" s="1247"/>
      <c r="ACK54" s="1247"/>
      <c r="ACL54" s="1247"/>
      <c r="ACM54" s="1247"/>
      <c r="ACN54" s="1247"/>
      <c r="ACO54" s="1247"/>
      <c r="ACP54" s="1247"/>
      <c r="ACQ54" s="1247"/>
      <c r="ACR54" s="1247"/>
      <c r="ACS54" s="1247"/>
      <c r="ACT54" s="1247"/>
      <c r="ACU54" s="1247"/>
      <c r="ACV54" s="1247"/>
      <c r="ACW54" s="1247"/>
      <c r="ACX54" s="1247"/>
      <c r="ACY54" s="1247"/>
      <c r="ACZ54" s="1247"/>
      <c r="ADA54" s="1247"/>
      <c r="ADB54" s="1247"/>
      <c r="ADC54" s="1247"/>
      <c r="ADD54" s="1247"/>
      <c r="ADE54" s="1247"/>
      <c r="ADF54" s="1247"/>
      <c r="ADG54" s="1247"/>
      <c r="ADH54" s="1247"/>
      <c r="ADI54" s="1247"/>
      <c r="ADJ54" s="1247"/>
      <c r="ADK54" s="1247"/>
      <c r="ADL54" s="1247"/>
      <c r="ADM54" s="1247"/>
      <c r="ADN54" s="1247"/>
      <c r="ADO54" s="1247"/>
      <c r="ADP54" s="1247"/>
      <c r="ADQ54" s="1247"/>
      <c r="ADR54" s="1247"/>
      <c r="ADS54" s="1247"/>
      <c r="ADT54" s="1247"/>
      <c r="ADU54" s="1247"/>
      <c r="ADV54" s="1247"/>
      <c r="ADW54" s="1247"/>
      <c r="ADX54" s="1247"/>
      <c r="ADY54" s="1247"/>
      <c r="ADZ54" s="1247"/>
      <c r="AEA54" s="1247"/>
      <c r="AEB54" s="1247"/>
      <c r="AEC54" s="1247"/>
      <c r="AED54" s="1247"/>
      <c r="AEE54" s="1247"/>
      <c r="AEF54" s="1247"/>
      <c r="AEG54" s="1247"/>
      <c r="AEH54" s="1247"/>
      <c r="AEI54" s="1247"/>
      <c r="AEJ54" s="1247"/>
      <c r="AEK54" s="1247"/>
      <c r="AEL54" s="1247"/>
      <c r="AEM54" s="1247"/>
      <c r="AEN54" s="1247"/>
      <c r="AEO54" s="1247"/>
      <c r="AEP54" s="1247"/>
      <c r="AEQ54" s="1247"/>
      <c r="AER54" s="1247"/>
      <c r="AES54" s="1247"/>
      <c r="AET54" s="1247"/>
      <c r="AEU54" s="1247"/>
      <c r="AEV54" s="1247"/>
      <c r="AEW54" s="1247"/>
      <c r="AEX54" s="1247"/>
      <c r="AEY54" s="1247"/>
      <c r="AEZ54" s="1247"/>
      <c r="AFA54" s="1247"/>
      <c r="AFB54" s="1247"/>
      <c r="AFC54" s="1247"/>
      <c r="AFD54" s="1247"/>
      <c r="AFE54" s="1247"/>
      <c r="AFF54" s="1247"/>
      <c r="AFG54" s="1247"/>
      <c r="AFH54" s="1247"/>
      <c r="AFI54" s="1247"/>
      <c r="AFJ54" s="1247"/>
      <c r="AFK54" s="1247"/>
      <c r="AFL54" s="1247"/>
      <c r="AFM54" s="1247"/>
      <c r="AFN54" s="1247"/>
      <c r="AFO54" s="1247"/>
      <c r="AFP54" s="1247"/>
      <c r="AFQ54" s="1247"/>
      <c r="AFR54" s="1247"/>
      <c r="AFS54" s="1247"/>
      <c r="AFT54" s="1247"/>
      <c r="AFU54" s="1247"/>
      <c r="AFV54" s="1247"/>
      <c r="AFW54" s="1247"/>
      <c r="AFX54" s="1247"/>
      <c r="AFY54" s="1247"/>
      <c r="AFZ54" s="1247"/>
      <c r="AGA54" s="1247"/>
      <c r="AGB54" s="1247"/>
      <c r="AGC54" s="1247"/>
      <c r="AGD54" s="1247"/>
      <c r="AGE54" s="1247"/>
      <c r="AGF54" s="1247"/>
      <c r="AGG54" s="1247"/>
      <c r="AGH54" s="1247"/>
      <c r="AGI54" s="1247"/>
      <c r="AGJ54" s="1247"/>
      <c r="AGK54" s="1247"/>
      <c r="AGL54" s="1247"/>
      <c r="AGM54" s="1247"/>
      <c r="AGN54" s="1247"/>
      <c r="AGO54" s="1247"/>
      <c r="AGP54" s="1247"/>
      <c r="AGQ54" s="1247"/>
      <c r="AGR54" s="1247"/>
      <c r="AGS54" s="1247"/>
      <c r="AGT54" s="1247"/>
      <c r="AGU54" s="1247"/>
      <c r="AGV54" s="1247"/>
      <c r="AGW54" s="1247"/>
      <c r="AGX54" s="1247"/>
      <c r="AGY54" s="1247"/>
      <c r="AGZ54" s="1247"/>
      <c r="AHA54" s="1247"/>
      <c r="AHB54" s="1247"/>
      <c r="AHC54" s="1247"/>
      <c r="AHD54" s="1247"/>
      <c r="AHE54" s="1247"/>
      <c r="AHF54" s="1247"/>
      <c r="AHG54" s="1247"/>
      <c r="AHH54" s="1247"/>
      <c r="AHI54" s="1247"/>
      <c r="AHJ54" s="1247"/>
      <c r="AHK54" s="1247"/>
      <c r="AHL54" s="1247"/>
      <c r="AHM54" s="1247"/>
      <c r="AHN54" s="1247"/>
      <c r="AHO54" s="1247"/>
      <c r="AHP54" s="1247"/>
      <c r="AHQ54" s="1247"/>
      <c r="AHR54" s="1247"/>
      <c r="AHS54" s="1247"/>
      <c r="AHT54" s="1247"/>
      <c r="AHU54" s="1247"/>
      <c r="AHV54" s="1247"/>
      <c r="AHW54" s="1247"/>
      <c r="AHX54" s="1247"/>
      <c r="AHY54" s="1247"/>
      <c r="AHZ54" s="1247"/>
      <c r="AIA54" s="1247"/>
      <c r="AIB54" s="1247"/>
      <c r="AIC54" s="1247"/>
      <c r="AID54" s="1247"/>
      <c r="AIE54" s="1247"/>
      <c r="AIF54" s="1247"/>
      <c r="AIG54" s="1247"/>
      <c r="AIH54" s="1247"/>
      <c r="AII54" s="1247"/>
      <c r="AIJ54" s="1247"/>
      <c r="AIK54" s="1247"/>
      <c r="AIL54" s="1247"/>
      <c r="AIM54" s="1247"/>
      <c r="AIN54" s="1247"/>
      <c r="AIO54" s="1247"/>
      <c r="AIP54" s="1247"/>
      <c r="AIQ54" s="1247"/>
      <c r="AIR54" s="1247"/>
      <c r="AIS54" s="1247"/>
      <c r="AIT54" s="1247"/>
      <c r="AIU54" s="1247"/>
      <c r="AIV54" s="1247"/>
      <c r="AIW54" s="1247"/>
      <c r="AIX54" s="1247"/>
      <c r="AIY54" s="1247"/>
      <c r="AIZ54" s="1247"/>
      <c r="AJA54" s="1247"/>
      <c r="AJB54" s="1247"/>
      <c r="AJC54" s="1247"/>
      <c r="AJD54" s="1247"/>
      <c r="AJE54" s="1247"/>
      <c r="AJF54" s="1247"/>
      <c r="AJG54" s="1247"/>
      <c r="AJH54" s="1247"/>
      <c r="AJI54" s="1247"/>
      <c r="AJJ54" s="1247"/>
      <c r="AJK54" s="1247"/>
      <c r="AJL54" s="1247"/>
      <c r="AJM54" s="1247"/>
      <c r="AJN54" s="1247"/>
      <c r="AJO54" s="1247"/>
      <c r="AJP54" s="1247"/>
      <c r="AJQ54" s="1247"/>
      <c r="AJR54" s="1247"/>
      <c r="AJS54" s="1247"/>
      <c r="AJT54" s="1247"/>
      <c r="AJU54" s="1247"/>
      <c r="AJV54" s="1247"/>
      <c r="AJW54" s="1247"/>
      <c r="AJX54" s="1247"/>
      <c r="AJY54" s="1247"/>
      <c r="AJZ54" s="1247"/>
      <c r="AKA54" s="1247"/>
      <c r="AKB54" s="1247"/>
      <c r="AKC54" s="1247"/>
      <c r="AKD54" s="1247"/>
      <c r="AKE54" s="1247"/>
      <c r="AKF54" s="1247"/>
      <c r="AKG54" s="1247"/>
      <c r="AKH54" s="1247"/>
      <c r="AKI54" s="1247"/>
      <c r="AKJ54" s="1247"/>
      <c r="AKK54" s="1247"/>
      <c r="AKL54" s="1247"/>
      <c r="AKM54" s="1247"/>
      <c r="AKN54" s="1247"/>
      <c r="AKO54" s="1247"/>
      <c r="AKP54" s="1247"/>
      <c r="AKQ54" s="1247"/>
      <c r="AKR54" s="1247"/>
      <c r="AKS54" s="1247"/>
      <c r="AKT54" s="1247"/>
      <c r="AKU54" s="1247"/>
      <c r="AKV54" s="1247"/>
      <c r="AKW54" s="1247"/>
      <c r="AKX54" s="1247"/>
      <c r="AKY54" s="1247"/>
      <c r="AKZ54" s="1247"/>
      <c r="ALA54" s="1247"/>
      <c r="ALB54" s="1247"/>
      <c r="ALC54" s="1247"/>
      <c r="ALD54" s="1247"/>
      <c r="ALE54" s="1247"/>
      <c r="ALF54" s="1247"/>
      <c r="ALG54" s="1247"/>
      <c r="ALH54" s="1247"/>
      <c r="ALI54" s="1247"/>
      <c r="ALJ54" s="1247"/>
      <c r="ALK54" s="1247"/>
      <c r="ALL54" s="1247"/>
      <c r="ALM54" s="1247"/>
      <c r="ALN54" s="1247"/>
      <c r="ALO54" s="1247"/>
      <c r="ALP54" s="1247"/>
      <c r="ALQ54" s="1247"/>
      <c r="ALR54" s="1247"/>
      <c r="ALS54" s="1247"/>
      <c r="ALT54" s="1247"/>
      <c r="ALU54" s="1247"/>
      <c r="ALV54" s="1247"/>
      <c r="ALW54" s="1247"/>
      <c r="ALX54" s="1247"/>
      <c r="ALY54" s="1247"/>
      <c r="ALZ54" s="1247"/>
      <c r="AMA54" s="1247"/>
      <c r="AMB54" s="1247"/>
      <c r="AMC54" s="1247"/>
      <c r="AMD54" s="1247"/>
      <c r="AME54" s="1247"/>
      <c r="AMF54" s="1247"/>
      <c r="AMG54" s="1247"/>
      <c r="AMH54" s="1247"/>
      <c r="AMI54" s="1247"/>
      <c r="AMJ54" s="1247"/>
      <c r="AMK54" s="1247"/>
      <c r="AML54" s="1247"/>
      <c r="AMM54" s="1247"/>
      <c r="AMN54" s="1247"/>
      <c r="AMO54" s="1247"/>
      <c r="AMP54" s="1247"/>
      <c r="AMQ54" s="1247"/>
      <c r="AMR54" s="1247"/>
      <c r="AMS54" s="1247"/>
      <c r="AMT54" s="1247"/>
      <c r="AMU54" s="1247"/>
      <c r="AMV54" s="1247"/>
      <c r="AMW54" s="1247"/>
      <c r="AMX54" s="1247"/>
      <c r="AMY54" s="1247"/>
      <c r="AMZ54" s="1247"/>
      <c r="ANA54" s="1247"/>
      <c r="ANB54" s="1247"/>
      <c r="ANC54" s="1247"/>
      <c r="AND54" s="1247"/>
      <c r="ANE54" s="1247"/>
      <c r="ANF54" s="1247"/>
      <c r="ANG54" s="1247"/>
      <c r="ANH54" s="1247"/>
      <c r="ANI54" s="1247"/>
      <c r="ANJ54" s="1247"/>
      <c r="ANK54" s="1247"/>
      <c r="ANL54" s="1247"/>
      <c r="ANM54" s="1247"/>
      <c r="ANN54" s="1247"/>
      <c r="ANO54" s="1247"/>
      <c r="ANP54" s="1247"/>
      <c r="ANQ54" s="1247"/>
      <c r="ANR54" s="1247"/>
      <c r="ANS54" s="1247"/>
      <c r="ANT54" s="1247"/>
      <c r="ANU54" s="1247"/>
      <c r="ANV54" s="1247"/>
      <c r="ANW54" s="1247"/>
      <c r="ANX54" s="1247"/>
      <c r="ANY54" s="1247"/>
      <c r="ANZ54" s="1247"/>
      <c r="AOA54" s="1247"/>
      <c r="AOB54" s="1247"/>
      <c r="AOC54" s="1247"/>
      <c r="AOD54" s="1247"/>
      <c r="AOE54" s="1247"/>
      <c r="AOF54" s="1247"/>
      <c r="AOG54" s="1247"/>
      <c r="AOH54" s="1247"/>
      <c r="AOI54" s="1247"/>
      <c r="AOJ54" s="1247"/>
      <c r="AOK54" s="1247"/>
      <c r="AOL54" s="1247"/>
      <c r="AOM54" s="1247"/>
      <c r="AON54" s="1247"/>
      <c r="AOO54" s="1247"/>
      <c r="AOP54" s="1247"/>
      <c r="AOQ54" s="1247"/>
      <c r="AOR54" s="1247"/>
      <c r="AOS54" s="1247"/>
      <c r="AOT54" s="1247"/>
      <c r="AOU54" s="1247"/>
      <c r="AOV54" s="1247"/>
      <c r="AOW54" s="1247"/>
      <c r="AOX54" s="1247"/>
      <c r="AOY54" s="1247"/>
      <c r="AOZ54" s="1247"/>
      <c r="APA54" s="1247"/>
      <c r="APB54" s="1247"/>
      <c r="APC54" s="1247"/>
      <c r="APD54" s="1247"/>
      <c r="APE54" s="1247"/>
      <c r="APF54" s="1247"/>
      <c r="APG54" s="1247"/>
      <c r="APH54" s="1247"/>
      <c r="API54" s="1247"/>
      <c r="APJ54" s="1247"/>
      <c r="APK54" s="1247"/>
      <c r="APL54" s="1247"/>
      <c r="APM54" s="1247"/>
      <c r="APN54" s="1247"/>
      <c r="APO54" s="1247"/>
      <c r="APP54" s="1247"/>
      <c r="APQ54" s="1247"/>
      <c r="APR54" s="1247"/>
      <c r="APS54" s="1247"/>
      <c r="APT54" s="1247"/>
      <c r="APU54" s="1247"/>
      <c r="APV54" s="1247"/>
      <c r="APW54" s="1247"/>
      <c r="APX54" s="1247"/>
      <c r="APY54" s="1247"/>
      <c r="APZ54" s="1247"/>
      <c r="AQA54" s="1247"/>
      <c r="AQB54" s="1247"/>
      <c r="AQC54" s="1247"/>
      <c r="AQD54" s="1247"/>
      <c r="AQE54" s="1247"/>
      <c r="AQF54" s="1247"/>
      <c r="AQG54" s="1247"/>
      <c r="AQH54" s="1247"/>
      <c r="AQI54" s="1247"/>
      <c r="AQJ54" s="1247"/>
      <c r="AQK54" s="1247"/>
      <c r="AQL54" s="1247"/>
      <c r="AQM54" s="1247"/>
      <c r="AQN54" s="1247"/>
      <c r="AQO54" s="1247"/>
      <c r="AQP54" s="1247"/>
      <c r="AQQ54" s="1247"/>
      <c r="AQR54" s="1247"/>
      <c r="AQS54" s="1247"/>
      <c r="AQT54" s="1247"/>
      <c r="AQU54" s="1247"/>
      <c r="AQV54" s="1247"/>
      <c r="AQW54" s="1247"/>
      <c r="AQX54" s="1247"/>
      <c r="AQY54" s="1247"/>
      <c r="AQZ54" s="1247"/>
      <c r="ARA54" s="1247"/>
      <c r="ARB54" s="1247"/>
      <c r="ARC54" s="1247"/>
      <c r="ARD54" s="1247"/>
      <c r="ARE54" s="1247"/>
      <c r="ARF54" s="1247"/>
      <c r="ARG54" s="1247"/>
      <c r="ARH54" s="1247"/>
      <c r="ARI54" s="1247"/>
      <c r="ARJ54" s="1247"/>
      <c r="ARK54" s="1247"/>
      <c r="ARL54" s="1247"/>
      <c r="ARM54" s="1247"/>
      <c r="ARN54" s="1247"/>
      <c r="ARO54" s="1247"/>
      <c r="ARP54" s="1247"/>
      <c r="ARQ54" s="1247"/>
      <c r="ARR54" s="1247"/>
      <c r="ARS54" s="1247"/>
      <c r="ART54" s="1247"/>
      <c r="ARU54" s="1247"/>
      <c r="ARV54" s="1247"/>
      <c r="ARW54" s="1247"/>
      <c r="ARX54" s="1247"/>
      <c r="ARY54" s="1247"/>
      <c r="ARZ54" s="1247"/>
      <c r="ASA54" s="1247"/>
      <c r="ASB54" s="1247"/>
      <c r="ASC54" s="1247"/>
      <c r="ASD54" s="1247"/>
      <c r="ASE54" s="1247"/>
      <c r="ASF54" s="1247"/>
      <c r="ASG54" s="1247"/>
      <c r="ASH54" s="1247"/>
      <c r="ASI54" s="1247"/>
      <c r="ASJ54" s="1247"/>
      <c r="ASK54" s="1247"/>
      <c r="ASL54" s="1247"/>
      <c r="ASM54" s="1247"/>
      <c r="ASN54" s="1247"/>
      <c r="ASO54" s="1247"/>
      <c r="ASP54" s="1247"/>
      <c r="ASQ54" s="1247"/>
      <c r="ASR54" s="1247"/>
      <c r="ASS54" s="1247"/>
      <c r="AST54" s="1247"/>
      <c r="ASU54" s="1247"/>
      <c r="ASV54" s="1247"/>
      <c r="ASW54" s="1247"/>
      <c r="ASX54" s="1247"/>
      <c r="ASY54" s="1247"/>
      <c r="ASZ54" s="1247"/>
      <c r="ATA54" s="1247"/>
      <c r="ATB54" s="1247"/>
      <c r="ATC54" s="1247"/>
      <c r="ATD54" s="1247"/>
      <c r="ATE54" s="1247"/>
      <c r="ATF54" s="1247"/>
      <c r="ATG54" s="1247"/>
      <c r="ATH54" s="1247"/>
      <c r="ATI54" s="1247"/>
      <c r="ATJ54" s="1247"/>
      <c r="ATK54" s="1247"/>
      <c r="ATL54" s="1247"/>
      <c r="ATM54" s="1247"/>
      <c r="ATN54" s="1247"/>
      <c r="ATO54" s="1247"/>
      <c r="ATP54" s="1247"/>
      <c r="ATQ54" s="1247"/>
      <c r="ATR54" s="1247"/>
      <c r="ATS54" s="1247"/>
      <c r="ATT54" s="1247"/>
      <c r="ATU54" s="1247"/>
      <c r="ATV54" s="1247"/>
      <c r="ATW54" s="1247"/>
      <c r="ATX54" s="1247"/>
      <c r="ATY54" s="1247"/>
      <c r="ATZ54" s="1247"/>
      <c r="AUA54" s="1247"/>
      <c r="AUB54" s="1247"/>
      <c r="AUC54" s="1247"/>
      <c r="AUD54" s="1247"/>
      <c r="AUE54" s="1247"/>
      <c r="AUF54" s="1247"/>
      <c r="AUG54" s="1247"/>
      <c r="AUH54" s="1247"/>
      <c r="AUI54" s="1247"/>
      <c r="AUJ54" s="1247"/>
      <c r="AUK54" s="1247"/>
      <c r="AUL54" s="1247"/>
      <c r="AUM54" s="1247"/>
      <c r="AUN54" s="1247"/>
      <c r="AUO54" s="1247"/>
      <c r="AUP54" s="1247"/>
      <c r="AUQ54" s="1247"/>
      <c r="AUR54" s="1247"/>
      <c r="AUS54" s="1247"/>
      <c r="AUT54" s="1247"/>
      <c r="AUU54" s="1247"/>
      <c r="AUV54" s="1247"/>
      <c r="AUW54" s="1247"/>
      <c r="AUX54" s="1247"/>
      <c r="AUY54" s="1247"/>
      <c r="AUZ54" s="1247"/>
      <c r="AVA54" s="1247"/>
      <c r="AVB54" s="1247"/>
      <c r="AVC54" s="1247"/>
      <c r="AVD54" s="1247"/>
      <c r="AVE54" s="1247"/>
      <c r="AVF54" s="1247"/>
      <c r="AVG54" s="1247"/>
      <c r="AVH54" s="1247"/>
      <c r="AVI54" s="1247"/>
      <c r="AVJ54" s="1247"/>
      <c r="AVK54" s="1247"/>
      <c r="AVL54" s="1247"/>
      <c r="AVM54" s="1247"/>
      <c r="AVN54" s="1247"/>
      <c r="AVO54" s="1247"/>
      <c r="AVP54" s="1247"/>
      <c r="AVQ54" s="1247"/>
      <c r="AVR54" s="1247"/>
      <c r="AVS54" s="1247"/>
      <c r="AVT54" s="1247"/>
      <c r="AVU54" s="1247"/>
      <c r="AVV54" s="1247"/>
      <c r="AVW54" s="1247"/>
      <c r="AVX54" s="1247"/>
      <c r="AVY54" s="1247"/>
      <c r="AVZ54" s="1247"/>
      <c r="AWA54" s="1247"/>
      <c r="AWB54" s="1247"/>
      <c r="AWC54" s="1247"/>
      <c r="AWD54" s="1247"/>
      <c r="AWE54" s="1247"/>
      <c r="AWF54" s="1247"/>
      <c r="AWG54" s="1247"/>
      <c r="AWH54" s="1247"/>
      <c r="AWI54" s="1247"/>
      <c r="AWJ54" s="1247"/>
      <c r="AWK54" s="1247"/>
      <c r="AWL54" s="1247"/>
      <c r="AWM54" s="1247"/>
      <c r="AWN54" s="1247"/>
      <c r="AWO54" s="1247"/>
      <c r="AWP54" s="1247"/>
      <c r="AWQ54" s="1247"/>
      <c r="AWR54" s="1247"/>
      <c r="AWS54" s="1247"/>
      <c r="AWT54" s="1247"/>
      <c r="AWU54" s="1247"/>
      <c r="AWV54" s="1247"/>
      <c r="AWW54" s="1247"/>
      <c r="AWX54" s="1247"/>
      <c r="AWY54" s="1247"/>
      <c r="AWZ54" s="1247"/>
      <c r="AXA54" s="1247"/>
      <c r="AXB54" s="1247"/>
      <c r="AXC54" s="1247"/>
      <c r="AXD54" s="1247"/>
      <c r="AXE54" s="1247"/>
      <c r="AXF54" s="1247"/>
      <c r="AXG54" s="1247"/>
      <c r="AXH54" s="1247"/>
      <c r="AXI54" s="1247"/>
      <c r="AXJ54" s="1247"/>
      <c r="AXK54" s="1247"/>
      <c r="AXL54" s="1247"/>
      <c r="AXM54" s="1247"/>
      <c r="AXN54" s="1247"/>
      <c r="AXO54" s="1247"/>
      <c r="AXP54" s="1247"/>
      <c r="AXQ54" s="1247"/>
      <c r="AXR54" s="1247"/>
      <c r="AXS54" s="1247"/>
      <c r="AXT54" s="1247"/>
      <c r="AXU54" s="1247"/>
      <c r="AXV54" s="1247"/>
      <c r="AXW54" s="1247"/>
      <c r="AXX54" s="1247"/>
      <c r="AXY54" s="1247"/>
      <c r="AXZ54" s="1247"/>
      <c r="AYA54" s="1247"/>
      <c r="AYB54" s="1247"/>
      <c r="AYC54" s="1247"/>
      <c r="AYD54" s="1247"/>
      <c r="AYE54" s="1247"/>
      <c r="AYF54" s="1247"/>
      <c r="AYG54" s="1247"/>
      <c r="AYH54" s="1247"/>
      <c r="AYI54" s="1247"/>
      <c r="AYJ54" s="1247"/>
      <c r="AYK54" s="1247"/>
      <c r="AYL54" s="1247"/>
      <c r="AYM54" s="1247"/>
      <c r="AYN54" s="1247"/>
      <c r="AYO54" s="1247"/>
      <c r="AYP54" s="1247"/>
      <c r="AYQ54" s="1247"/>
      <c r="AYR54" s="1247"/>
      <c r="AYS54" s="1247"/>
      <c r="AYT54" s="1247"/>
      <c r="AYU54" s="1247"/>
      <c r="AYV54" s="1247"/>
      <c r="AYW54" s="1247"/>
      <c r="AYX54" s="1247"/>
      <c r="AYY54" s="1247"/>
      <c r="AYZ54" s="1247"/>
      <c r="AZA54" s="1247"/>
      <c r="AZB54" s="1247"/>
      <c r="AZC54" s="1247"/>
      <c r="AZD54" s="1247"/>
      <c r="AZE54" s="1247"/>
      <c r="AZF54" s="1247"/>
      <c r="AZG54" s="1247"/>
      <c r="AZH54" s="1247"/>
      <c r="AZI54" s="1247"/>
      <c r="AZJ54" s="1247"/>
      <c r="AZK54" s="1247"/>
      <c r="AZL54" s="1247"/>
      <c r="AZM54" s="1247"/>
      <c r="AZN54" s="1247"/>
      <c r="AZO54" s="1247"/>
      <c r="AZP54" s="1247"/>
      <c r="AZQ54" s="1247"/>
      <c r="AZR54" s="1247"/>
      <c r="AZS54" s="1247"/>
      <c r="AZT54" s="1247"/>
      <c r="AZU54" s="1247"/>
      <c r="AZV54" s="1247"/>
      <c r="AZW54" s="1247"/>
      <c r="AZX54" s="1247"/>
      <c r="AZY54" s="1247"/>
      <c r="AZZ54" s="1247"/>
      <c r="BAA54" s="1247"/>
      <c r="BAB54" s="1247"/>
      <c r="BAC54" s="1247"/>
      <c r="BAD54" s="1247"/>
      <c r="BAE54" s="1247"/>
      <c r="BAF54" s="1247"/>
      <c r="BAG54" s="1247"/>
      <c r="BAH54" s="1247"/>
      <c r="BAI54" s="1247"/>
      <c r="BAJ54" s="1247"/>
      <c r="BAK54" s="1247"/>
      <c r="BAL54" s="1247"/>
      <c r="BAM54" s="1247"/>
      <c r="BAN54" s="1247"/>
      <c r="BAO54" s="1247"/>
      <c r="BAP54" s="1247"/>
      <c r="BAQ54" s="1247"/>
      <c r="BAR54" s="1247"/>
      <c r="BAS54" s="1247"/>
      <c r="BAT54" s="1247"/>
      <c r="BAU54" s="1247"/>
      <c r="BAV54" s="1247"/>
      <c r="BAW54" s="1247"/>
      <c r="BAX54" s="1247"/>
      <c r="BAY54" s="1247"/>
      <c r="BAZ54" s="1247"/>
      <c r="BBA54" s="1247"/>
      <c r="BBB54" s="1247"/>
      <c r="BBC54" s="1247"/>
      <c r="BBD54" s="1247"/>
      <c r="BBE54" s="1247"/>
      <c r="BBF54" s="1247"/>
      <c r="BBG54" s="1247"/>
      <c r="BBH54" s="1247"/>
      <c r="BBI54" s="1247"/>
      <c r="BBJ54" s="1247"/>
      <c r="BBK54" s="1247"/>
      <c r="BBL54" s="1247"/>
      <c r="BBM54" s="1247"/>
      <c r="BBN54" s="1247"/>
      <c r="BBO54" s="1247"/>
      <c r="BBP54" s="1247"/>
      <c r="BBQ54" s="1247"/>
      <c r="BBR54" s="1247"/>
      <c r="BBS54" s="1247"/>
      <c r="BBT54" s="1247"/>
      <c r="BBU54" s="1247"/>
      <c r="BBV54" s="1247"/>
      <c r="BBW54" s="1247"/>
      <c r="BBX54" s="1247"/>
      <c r="BBY54" s="1247"/>
      <c r="BBZ54" s="1247"/>
      <c r="BCA54" s="1247"/>
      <c r="BCB54" s="1247"/>
      <c r="BCC54" s="1247"/>
      <c r="BCD54" s="1247"/>
      <c r="BCE54" s="1247"/>
      <c r="BCF54" s="1247"/>
      <c r="BCG54" s="1247"/>
      <c r="BCH54" s="1247"/>
      <c r="BCI54" s="1247"/>
      <c r="BCJ54" s="1247"/>
      <c r="BCK54" s="1247"/>
      <c r="BCL54" s="1247"/>
      <c r="BCM54" s="1247"/>
      <c r="BCN54" s="1247"/>
      <c r="BCO54" s="1247"/>
      <c r="BCP54" s="1247"/>
      <c r="BCQ54" s="1247"/>
      <c r="BCR54" s="1247"/>
      <c r="BCS54" s="1247"/>
      <c r="BCT54" s="1247"/>
      <c r="BCU54" s="1247"/>
      <c r="BCV54" s="1247"/>
      <c r="BCW54" s="1247"/>
      <c r="BCX54" s="1247"/>
      <c r="BCY54" s="1247"/>
      <c r="BCZ54" s="1247"/>
      <c r="BDA54" s="1247"/>
      <c r="BDB54" s="1247"/>
      <c r="BDC54" s="1247"/>
      <c r="BDD54" s="1247"/>
      <c r="BDE54" s="1247"/>
      <c r="BDF54" s="1247"/>
      <c r="BDG54" s="1247"/>
      <c r="BDH54" s="1247"/>
      <c r="BDI54" s="1247"/>
      <c r="BDJ54" s="1247"/>
      <c r="BDK54" s="1247"/>
      <c r="BDL54" s="1247"/>
      <c r="BDM54" s="1247"/>
      <c r="BDN54" s="1247"/>
      <c r="BDO54" s="1247"/>
      <c r="BDP54" s="1247"/>
      <c r="BDQ54" s="1247"/>
      <c r="BDR54" s="1247"/>
      <c r="BDS54" s="1247"/>
      <c r="BDT54" s="1247"/>
      <c r="BDU54" s="1247"/>
      <c r="BDV54" s="1247"/>
      <c r="BDW54" s="1247"/>
      <c r="BDX54" s="1247"/>
      <c r="BDY54" s="1247"/>
      <c r="BDZ54" s="1247"/>
      <c r="BEA54" s="1247"/>
      <c r="BEB54" s="1247"/>
      <c r="BEC54" s="1247"/>
      <c r="BED54" s="1247"/>
      <c r="BEE54" s="1247"/>
      <c r="BEF54" s="1247"/>
      <c r="BEG54" s="1247"/>
      <c r="BEH54" s="1247"/>
      <c r="BEI54" s="1247"/>
      <c r="BEJ54" s="1247"/>
      <c r="BEK54" s="1247"/>
      <c r="BEL54" s="1247"/>
      <c r="BEM54" s="1247"/>
      <c r="BEN54" s="1247"/>
      <c r="BEO54" s="1247"/>
      <c r="BEP54" s="1247"/>
      <c r="BEQ54" s="1247"/>
      <c r="BER54" s="1247"/>
      <c r="BES54" s="1247"/>
      <c r="BET54" s="1247"/>
      <c r="BEU54" s="1247"/>
      <c r="BEV54" s="1247"/>
      <c r="BEW54" s="1247"/>
      <c r="BEX54" s="1247"/>
      <c r="BEY54" s="1247"/>
      <c r="BEZ54" s="1247"/>
      <c r="BFA54" s="1247"/>
      <c r="BFB54" s="1247"/>
      <c r="BFC54" s="1247"/>
      <c r="BFD54" s="1247"/>
      <c r="BFE54" s="1247"/>
      <c r="BFF54" s="1247"/>
      <c r="BFG54" s="1247"/>
      <c r="BFH54" s="1247"/>
      <c r="BFI54" s="1247"/>
      <c r="BFJ54" s="1247"/>
      <c r="BFK54" s="1247"/>
      <c r="BFL54" s="1247"/>
      <c r="BFM54" s="1247"/>
      <c r="BFN54" s="1247"/>
      <c r="BFO54" s="1247"/>
      <c r="BFP54" s="1247"/>
      <c r="BFQ54" s="1247"/>
      <c r="BFR54" s="1247"/>
      <c r="BFS54" s="1247"/>
      <c r="BFT54" s="1247"/>
      <c r="BFU54" s="1247"/>
      <c r="BFV54" s="1247"/>
      <c r="BFW54" s="1247"/>
      <c r="BFX54" s="1247"/>
      <c r="BFY54" s="1247"/>
      <c r="BFZ54" s="1247"/>
      <c r="BGA54" s="1247"/>
      <c r="BGB54" s="1247"/>
      <c r="BGC54" s="1247"/>
      <c r="BGD54" s="1247"/>
      <c r="BGE54" s="1247"/>
      <c r="BGF54" s="1247"/>
      <c r="BGG54" s="1247"/>
      <c r="BGH54" s="1247"/>
      <c r="BGI54" s="1247"/>
      <c r="BGJ54" s="1247"/>
      <c r="BGK54" s="1247"/>
      <c r="BGL54" s="1247"/>
      <c r="BGM54" s="1247"/>
      <c r="BGN54" s="1247"/>
      <c r="BGO54" s="1247"/>
      <c r="BGP54" s="1247"/>
      <c r="BGQ54" s="1247"/>
      <c r="BGR54" s="1247"/>
      <c r="BGS54" s="1247"/>
      <c r="BGT54" s="1247"/>
      <c r="BGU54" s="1247"/>
      <c r="BGV54" s="1247"/>
      <c r="BGW54" s="1247"/>
      <c r="BGX54" s="1247"/>
      <c r="BGY54" s="1247"/>
      <c r="BGZ54" s="1247"/>
      <c r="BHA54" s="1247"/>
      <c r="BHB54" s="1247"/>
      <c r="BHC54" s="1247"/>
      <c r="BHD54" s="1247"/>
      <c r="BHE54" s="1247"/>
      <c r="BHF54" s="1247"/>
      <c r="BHG54" s="1247"/>
      <c r="BHH54" s="1247"/>
      <c r="BHI54" s="1247"/>
      <c r="BHJ54" s="1247"/>
      <c r="BHK54" s="1247"/>
      <c r="BHL54" s="1247"/>
      <c r="BHM54" s="1247"/>
      <c r="BHN54" s="1247"/>
      <c r="BHO54" s="1247"/>
      <c r="BHP54" s="1247"/>
      <c r="BHQ54" s="1247"/>
      <c r="BHR54" s="1247"/>
      <c r="BHS54" s="1247"/>
      <c r="BHT54" s="1247"/>
      <c r="BHU54" s="1247"/>
      <c r="BHV54" s="1247"/>
      <c r="BHW54" s="1247"/>
      <c r="BHX54" s="1247"/>
      <c r="BHY54" s="1247"/>
      <c r="BHZ54" s="1247"/>
      <c r="BIA54" s="1247"/>
      <c r="BIB54" s="1247"/>
      <c r="BIC54" s="1247"/>
      <c r="BID54" s="1247"/>
      <c r="BIE54" s="1247"/>
      <c r="BIF54" s="1247"/>
      <c r="BIG54" s="1247"/>
      <c r="BIH54" s="1247"/>
      <c r="BII54" s="1247"/>
      <c r="BIJ54" s="1247"/>
      <c r="BIK54" s="1247"/>
      <c r="BIL54" s="1247"/>
      <c r="BIM54" s="1247"/>
      <c r="BIN54" s="1247"/>
      <c r="BIO54" s="1247"/>
      <c r="BIP54" s="1247"/>
      <c r="BIQ54" s="1247"/>
      <c r="BIR54" s="1247"/>
      <c r="BIS54" s="1247"/>
      <c r="BIT54" s="1247"/>
      <c r="BIU54" s="1247"/>
      <c r="BIV54" s="1247"/>
      <c r="BIW54" s="1247"/>
      <c r="BIX54" s="1247"/>
      <c r="BIY54" s="1247"/>
      <c r="BIZ54" s="1247"/>
      <c r="BJA54" s="1247"/>
      <c r="BJB54" s="1247"/>
      <c r="BJC54" s="1247"/>
      <c r="BJD54" s="1247"/>
      <c r="BJE54" s="1247"/>
      <c r="BJF54" s="1247"/>
      <c r="BJG54" s="1247"/>
      <c r="BJH54" s="1247"/>
      <c r="BJI54" s="1247"/>
      <c r="BJJ54" s="1247"/>
      <c r="BJK54" s="1247"/>
      <c r="BJL54" s="1247"/>
      <c r="BJM54" s="1247"/>
      <c r="BJN54" s="1247"/>
      <c r="BJO54" s="1247"/>
      <c r="BJP54" s="1247"/>
      <c r="BJQ54" s="1247"/>
      <c r="BJR54" s="1247"/>
      <c r="BJS54" s="1247"/>
      <c r="BJT54" s="1247"/>
      <c r="BJU54" s="1247"/>
      <c r="BJV54" s="1247"/>
      <c r="BJW54" s="1247"/>
      <c r="BJX54" s="1247"/>
      <c r="BJY54" s="1247"/>
      <c r="BJZ54" s="1247"/>
      <c r="BKA54" s="1247"/>
      <c r="BKB54" s="1247"/>
      <c r="BKC54" s="1247"/>
      <c r="BKD54" s="1247"/>
      <c r="BKE54" s="1247"/>
      <c r="BKF54" s="1247"/>
      <c r="BKG54" s="1247"/>
      <c r="BKH54" s="1247"/>
      <c r="BKI54" s="1247"/>
      <c r="BKJ54" s="1247"/>
      <c r="BKK54" s="1247"/>
      <c r="BKL54" s="1247"/>
      <c r="BKM54" s="1247"/>
      <c r="BKN54" s="1247"/>
      <c r="BKO54" s="1247"/>
      <c r="BKP54" s="1247"/>
      <c r="BKQ54" s="1247"/>
      <c r="BKR54" s="1247"/>
      <c r="BKS54" s="1247"/>
      <c r="BKT54" s="1247"/>
      <c r="BKU54" s="1247"/>
      <c r="BKV54" s="1247"/>
      <c r="BKW54" s="1247"/>
      <c r="BKX54" s="1247"/>
      <c r="BKY54" s="1247"/>
      <c r="BKZ54" s="1247"/>
      <c r="BLA54" s="1247"/>
      <c r="BLB54" s="1247"/>
      <c r="BLC54" s="1247"/>
      <c r="BLD54" s="1247"/>
      <c r="BLE54" s="1247"/>
      <c r="BLF54" s="1247"/>
      <c r="BLG54" s="1247"/>
      <c r="BLH54" s="1247"/>
      <c r="BLI54" s="1247"/>
      <c r="BLJ54" s="1247"/>
      <c r="BLK54" s="1247"/>
      <c r="BLL54" s="1247"/>
      <c r="BLM54" s="1247"/>
      <c r="BLN54" s="1247"/>
      <c r="BLO54" s="1247"/>
      <c r="BLP54" s="1247"/>
      <c r="BLQ54" s="1247"/>
      <c r="BLR54" s="1247"/>
      <c r="BLS54" s="1247"/>
      <c r="BLT54" s="1247"/>
      <c r="BLU54" s="1247"/>
      <c r="BLV54" s="1247"/>
      <c r="BLW54" s="1247"/>
      <c r="BLX54" s="1247"/>
      <c r="BLY54" s="1247"/>
      <c r="BLZ54" s="1247"/>
      <c r="BMA54" s="1247"/>
      <c r="BMB54" s="1247"/>
      <c r="BMC54" s="1247"/>
      <c r="BMD54" s="1247"/>
      <c r="BME54" s="1247"/>
      <c r="BMF54" s="1247"/>
      <c r="BMG54" s="1247"/>
      <c r="BMH54" s="1247"/>
      <c r="BMI54" s="1247"/>
      <c r="BMJ54" s="1247"/>
      <c r="BMK54" s="1247"/>
      <c r="BML54" s="1247"/>
      <c r="BMM54" s="1247"/>
      <c r="BMN54" s="1247"/>
      <c r="BMO54" s="1247"/>
      <c r="BMP54" s="1247"/>
      <c r="BMQ54" s="1247"/>
      <c r="BMR54" s="1247"/>
      <c r="BMS54" s="1247"/>
      <c r="BMT54" s="1247"/>
      <c r="BMU54" s="1247"/>
      <c r="BMV54" s="1247"/>
      <c r="BMW54" s="1247"/>
      <c r="BMX54" s="1247"/>
      <c r="BMY54" s="1247"/>
      <c r="BMZ54" s="1247"/>
      <c r="BNA54" s="1247"/>
      <c r="BNB54" s="1247"/>
      <c r="BNC54" s="1247"/>
      <c r="BND54" s="1247"/>
      <c r="BNE54" s="1247"/>
      <c r="BNF54" s="1247"/>
      <c r="BNG54" s="1247"/>
      <c r="BNH54" s="1247"/>
      <c r="BNI54" s="1247"/>
      <c r="BNJ54" s="1247"/>
      <c r="BNK54" s="1247"/>
      <c r="BNL54" s="1247"/>
      <c r="BNM54" s="1247"/>
      <c r="BNN54" s="1247"/>
      <c r="BNO54" s="1247"/>
      <c r="BNP54" s="1247"/>
      <c r="BNQ54" s="1247"/>
      <c r="BNR54" s="1247"/>
      <c r="BNS54" s="1247"/>
      <c r="BNT54" s="1247"/>
      <c r="BNU54" s="1247"/>
      <c r="BNV54" s="1247"/>
      <c r="BNW54" s="1247"/>
      <c r="BNX54" s="1247"/>
      <c r="BNY54" s="1247"/>
      <c r="BNZ54" s="1247"/>
      <c r="BOA54" s="1247"/>
      <c r="BOB54" s="1247"/>
      <c r="BOC54" s="1247"/>
      <c r="BOD54" s="1247"/>
      <c r="BOE54" s="1247"/>
      <c r="BOF54" s="1247"/>
      <c r="BOG54" s="1247"/>
      <c r="BOH54" s="1247"/>
      <c r="BOI54" s="1247"/>
      <c r="BOJ54" s="1247"/>
      <c r="BOK54" s="1247"/>
      <c r="BOL54" s="1247"/>
      <c r="BOM54" s="1247"/>
      <c r="BON54" s="1247"/>
      <c r="BOO54" s="1247"/>
      <c r="BOP54" s="1247"/>
      <c r="BOQ54" s="1247"/>
      <c r="BOR54" s="1247"/>
      <c r="BOS54" s="1247"/>
      <c r="BOT54" s="1247"/>
      <c r="BOU54" s="1247"/>
      <c r="BOV54" s="1247"/>
      <c r="BOW54" s="1247"/>
      <c r="BOX54" s="1247"/>
      <c r="BOY54" s="1247"/>
      <c r="BOZ54" s="1247"/>
      <c r="BPA54" s="1247"/>
      <c r="BPB54" s="1247"/>
      <c r="BPC54" s="1247"/>
      <c r="BPD54" s="1247"/>
      <c r="BPE54" s="1247"/>
      <c r="BPF54" s="1247"/>
      <c r="BPG54" s="1247"/>
      <c r="BPH54" s="1247"/>
      <c r="BPI54" s="1247"/>
      <c r="BPJ54" s="1247"/>
      <c r="BPK54" s="1247"/>
      <c r="BPL54" s="1247"/>
      <c r="BPM54" s="1247"/>
      <c r="BPN54" s="1247"/>
      <c r="BPO54" s="1247"/>
      <c r="BPP54" s="1247"/>
      <c r="BPQ54" s="1247"/>
      <c r="BPR54" s="1247"/>
      <c r="BPS54" s="1247"/>
      <c r="BPT54" s="1247"/>
      <c r="BPU54" s="1247"/>
      <c r="BPV54" s="1247"/>
      <c r="BPW54" s="1247"/>
      <c r="BPX54" s="1247"/>
      <c r="BPY54" s="1247"/>
      <c r="BPZ54" s="1247"/>
      <c r="BQA54" s="1247"/>
      <c r="BQB54" s="1247"/>
      <c r="BQC54" s="1247"/>
      <c r="BQD54" s="1247"/>
      <c r="BQE54" s="1247"/>
      <c r="BQF54" s="1247"/>
      <c r="BQG54" s="1247"/>
      <c r="BQH54" s="1247"/>
      <c r="BQI54" s="1247"/>
      <c r="BQJ54" s="1247"/>
      <c r="BQK54" s="1247"/>
      <c r="BQL54" s="1247"/>
      <c r="BQM54" s="1247"/>
      <c r="BQN54" s="1247"/>
      <c r="BQO54" s="1247"/>
      <c r="BQP54" s="1247"/>
      <c r="BQQ54" s="1247"/>
      <c r="BQR54" s="1247"/>
      <c r="BQS54" s="1247"/>
      <c r="BQT54" s="1247"/>
      <c r="BQU54" s="1247"/>
      <c r="BQV54" s="1247"/>
      <c r="BQW54" s="1247"/>
      <c r="BQX54" s="1247"/>
      <c r="BQY54" s="1247"/>
      <c r="BQZ54" s="1247"/>
      <c r="BRA54" s="1247"/>
      <c r="BRB54" s="1247"/>
      <c r="BRC54" s="1247"/>
      <c r="BRD54" s="1247"/>
      <c r="BRE54" s="1247"/>
      <c r="BRF54" s="1247"/>
      <c r="BRG54" s="1247"/>
      <c r="BRH54" s="1247"/>
      <c r="BRI54" s="1247"/>
      <c r="BRJ54" s="1247"/>
      <c r="BRK54" s="1247"/>
      <c r="BRL54" s="1247"/>
      <c r="BRM54" s="1247"/>
      <c r="BRN54" s="1247"/>
      <c r="BRO54" s="1247"/>
      <c r="BRP54" s="1247"/>
      <c r="BRQ54" s="1247"/>
      <c r="BRR54" s="1247"/>
      <c r="BRS54" s="1247"/>
      <c r="BRT54" s="1247"/>
      <c r="BRU54" s="1247"/>
      <c r="BRV54" s="1247"/>
      <c r="BRW54" s="1247"/>
      <c r="BRX54" s="1247"/>
      <c r="BRY54" s="1247"/>
      <c r="BRZ54" s="1247"/>
      <c r="BSA54" s="1247"/>
      <c r="BSB54" s="1247"/>
      <c r="BSC54" s="1247"/>
      <c r="BSD54" s="1247"/>
      <c r="BSE54" s="1247"/>
      <c r="BSF54" s="1247"/>
      <c r="BSG54" s="1247"/>
      <c r="BSH54" s="1247"/>
      <c r="BSI54" s="1247"/>
      <c r="BSJ54" s="1247"/>
      <c r="BSK54" s="1247"/>
      <c r="BSL54" s="1247"/>
      <c r="BSM54" s="1247"/>
      <c r="BSN54" s="1247"/>
      <c r="BSO54" s="1247"/>
      <c r="BSP54" s="1247"/>
      <c r="BSQ54" s="1247"/>
      <c r="BSR54" s="1247"/>
      <c r="BSS54" s="1247"/>
      <c r="BST54" s="1247"/>
      <c r="BSU54" s="1247"/>
      <c r="BSV54" s="1247"/>
      <c r="BSW54" s="1247"/>
      <c r="BSX54" s="1247"/>
      <c r="BSY54" s="1247"/>
      <c r="BSZ54" s="1247"/>
      <c r="BTA54" s="1247"/>
      <c r="BTB54" s="1247"/>
      <c r="BTC54" s="1247"/>
      <c r="BTD54" s="1247"/>
      <c r="BTE54" s="1247"/>
      <c r="BTF54" s="1247"/>
      <c r="BTG54" s="1247"/>
      <c r="BTH54" s="1247"/>
      <c r="BTI54" s="1247"/>
      <c r="BTJ54" s="1247"/>
      <c r="BTK54" s="1247"/>
      <c r="BTL54" s="1247"/>
      <c r="BTM54" s="1247"/>
      <c r="BTN54" s="1247"/>
      <c r="BTO54" s="1247"/>
      <c r="BTP54" s="1247"/>
      <c r="BTQ54" s="1247"/>
      <c r="BTR54" s="1247"/>
      <c r="BTS54" s="1247"/>
      <c r="BTT54" s="1247"/>
      <c r="BTU54" s="1247"/>
      <c r="BTV54" s="1247"/>
      <c r="BTW54" s="1247"/>
      <c r="BTX54" s="1247"/>
      <c r="BTY54" s="1247"/>
      <c r="BTZ54" s="1247"/>
      <c r="BUA54" s="1247"/>
      <c r="BUB54" s="1247"/>
      <c r="BUC54" s="1247"/>
      <c r="BUD54" s="1247"/>
      <c r="BUE54" s="1247"/>
      <c r="BUF54" s="1247"/>
      <c r="BUG54" s="1247"/>
      <c r="BUH54" s="1247"/>
      <c r="BUI54" s="1247"/>
      <c r="BUJ54" s="1247"/>
      <c r="BUK54" s="1247"/>
      <c r="BUL54" s="1247"/>
      <c r="BUM54" s="1247"/>
      <c r="BUN54" s="1247"/>
      <c r="BUO54" s="1247"/>
      <c r="BUP54" s="1247"/>
      <c r="BUQ54" s="1247"/>
      <c r="BUR54" s="1247"/>
      <c r="BUS54" s="1247"/>
      <c r="BUT54" s="1247"/>
      <c r="BUU54" s="1247"/>
      <c r="BUV54" s="1247"/>
      <c r="BUW54" s="1247"/>
      <c r="BUX54" s="1247"/>
      <c r="BUY54" s="1247"/>
      <c r="BUZ54" s="1247"/>
      <c r="BVA54" s="1247"/>
      <c r="BVB54" s="1247"/>
      <c r="BVC54" s="1247"/>
      <c r="BVD54" s="1247"/>
      <c r="BVE54" s="1247"/>
      <c r="BVF54" s="1247"/>
      <c r="BVG54" s="1247"/>
      <c r="BVH54" s="1247"/>
      <c r="BVI54" s="1247"/>
      <c r="BVJ54" s="1247"/>
      <c r="BVK54" s="1247"/>
      <c r="BVL54" s="1247"/>
      <c r="BVM54" s="1247"/>
      <c r="BVN54" s="1247"/>
      <c r="BVO54" s="1247"/>
      <c r="BVP54" s="1247"/>
      <c r="BVQ54" s="1247"/>
      <c r="BVR54" s="1247"/>
      <c r="BVS54" s="1247"/>
      <c r="BVT54" s="1247"/>
      <c r="BVU54" s="1247"/>
      <c r="BVV54" s="1247"/>
      <c r="BVW54" s="1247"/>
      <c r="BVX54" s="1247"/>
      <c r="BVY54" s="1247"/>
      <c r="BVZ54" s="1247"/>
      <c r="BWA54" s="1247"/>
      <c r="BWB54" s="1247"/>
      <c r="BWC54" s="1247"/>
      <c r="BWD54" s="1247"/>
      <c r="BWE54" s="1247"/>
      <c r="BWF54" s="1247"/>
      <c r="BWG54" s="1247"/>
      <c r="BWH54" s="1247"/>
      <c r="BWI54" s="1247"/>
      <c r="BWJ54" s="1247"/>
      <c r="BWK54" s="1247"/>
      <c r="BWL54" s="1247"/>
      <c r="BWM54" s="1247"/>
      <c r="BWN54" s="1247"/>
      <c r="BWO54" s="1247"/>
      <c r="BWP54" s="1247"/>
      <c r="BWQ54" s="1247"/>
      <c r="BWR54" s="1247"/>
      <c r="BWS54" s="1247"/>
      <c r="BWT54" s="1247"/>
      <c r="BWU54" s="1247"/>
      <c r="BWV54" s="1247"/>
      <c r="BWW54" s="1247"/>
      <c r="BWX54" s="1247"/>
      <c r="BWY54" s="1247"/>
      <c r="BWZ54" s="1247"/>
      <c r="BXA54" s="1247"/>
      <c r="BXB54" s="1247"/>
      <c r="BXC54" s="1247"/>
      <c r="BXD54" s="1247"/>
      <c r="BXE54" s="1247"/>
      <c r="BXF54" s="1247"/>
      <c r="BXG54" s="1247"/>
      <c r="BXH54" s="1247"/>
      <c r="BXI54" s="1247"/>
      <c r="BXJ54" s="1247"/>
      <c r="BXK54" s="1247"/>
      <c r="BXL54" s="1247"/>
      <c r="BXM54" s="1247"/>
      <c r="BXN54" s="1247"/>
      <c r="BXO54" s="1247"/>
      <c r="BXP54" s="1247"/>
      <c r="BXQ54" s="1247"/>
      <c r="BXR54" s="1247"/>
      <c r="BXS54" s="1247"/>
      <c r="BXT54" s="1247"/>
      <c r="BXU54" s="1247"/>
      <c r="BXV54" s="1247"/>
      <c r="BXW54" s="1247"/>
      <c r="BXX54" s="1247"/>
      <c r="BXY54" s="1247"/>
      <c r="BXZ54" s="1247"/>
      <c r="BYA54" s="1247"/>
      <c r="BYB54" s="1247"/>
      <c r="BYC54" s="1247"/>
      <c r="BYD54" s="1247"/>
      <c r="BYE54" s="1247"/>
      <c r="BYF54" s="1247"/>
      <c r="BYG54" s="1247"/>
      <c r="BYH54" s="1247"/>
      <c r="BYI54" s="1247"/>
      <c r="BYJ54" s="1247"/>
      <c r="BYK54" s="1247"/>
      <c r="BYL54" s="1247"/>
      <c r="BYM54" s="1247"/>
      <c r="BYN54" s="1247"/>
      <c r="BYO54" s="1247"/>
      <c r="BYP54" s="1247"/>
      <c r="BYQ54" s="1247"/>
      <c r="BYR54" s="1247"/>
      <c r="BYS54" s="1247"/>
      <c r="BYT54" s="1247"/>
      <c r="BYU54" s="1247"/>
      <c r="BYV54" s="1247"/>
      <c r="BYW54" s="1247"/>
      <c r="BYX54" s="1247"/>
      <c r="BYY54" s="1247"/>
      <c r="BYZ54" s="1247"/>
      <c r="BZA54" s="1247"/>
      <c r="BZB54" s="1247"/>
      <c r="BZC54" s="1247"/>
      <c r="BZD54" s="1247"/>
      <c r="BZE54" s="1247"/>
      <c r="BZF54" s="1247"/>
      <c r="BZG54" s="1247"/>
      <c r="BZH54" s="1247"/>
      <c r="BZI54" s="1247"/>
      <c r="BZJ54" s="1247"/>
      <c r="BZK54" s="1247"/>
      <c r="BZL54" s="1247"/>
      <c r="BZM54" s="1247"/>
      <c r="BZN54" s="1247"/>
      <c r="BZO54" s="1247"/>
      <c r="BZP54" s="1247"/>
      <c r="BZQ54" s="1247"/>
      <c r="BZR54" s="1247"/>
      <c r="BZS54" s="1247"/>
      <c r="BZT54" s="1247"/>
      <c r="BZU54" s="1247"/>
      <c r="BZV54" s="1247"/>
      <c r="BZW54" s="1247"/>
      <c r="BZX54" s="1247"/>
      <c r="BZY54" s="1247"/>
      <c r="BZZ54" s="1247"/>
      <c r="CAA54" s="1247"/>
      <c r="CAB54" s="1247"/>
      <c r="CAC54" s="1247"/>
      <c r="CAD54" s="1247"/>
      <c r="CAE54" s="1247"/>
      <c r="CAF54" s="1247"/>
      <c r="CAG54" s="1247"/>
      <c r="CAH54" s="1247"/>
      <c r="CAI54" s="1247"/>
      <c r="CAJ54" s="1247"/>
      <c r="CAK54" s="1247"/>
      <c r="CAL54" s="1247"/>
      <c r="CAM54" s="1247"/>
      <c r="CAN54" s="1247"/>
      <c r="CAO54" s="1247"/>
      <c r="CAP54" s="1247"/>
      <c r="CAQ54" s="1247"/>
      <c r="CAR54" s="1247"/>
      <c r="CAS54" s="1247"/>
      <c r="CAT54" s="1247"/>
      <c r="CAU54" s="1247"/>
      <c r="CAV54" s="1247"/>
      <c r="CAW54" s="1247"/>
      <c r="CAX54" s="1247"/>
      <c r="CAY54" s="1247"/>
      <c r="CAZ54" s="1247"/>
      <c r="CBA54" s="1247"/>
      <c r="CBB54" s="1247"/>
      <c r="CBC54" s="1247"/>
      <c r="CBD54" s="1247"/>
      <c r="CBE54" s="1247"/>
      <c r="CBF54" s="1247"/>
      <c r="CBG54" s="1247"/>
      <c r="CBH54" s="1247"/>
      <c r="CBI54" s="1247"/>
      <c r="CBJ54" s="1247"/>
      <c r="CBK54" s="1247"/>
      <c r="CBL54" s="1247"/>
      <c r="CBM54" s="1247"/>
      <c r="CBN54" s="1247"/>
      <c r="CBO54" s="1247"/>
      <c r="CBP54" s="1247"/>
      <c r="CBQ54" s="1247"/>
      <c r="CBR54" s="1247"/>
      <c r="CBS54" s="1247"/>
      <c r="CBT54" s="1247"/>
      <c r="CBU54" s="1247"/>
      <c r="CBV54" s="1247"/>
      <c r="CBW54" s="1247"/>
      <c r="CBX54" s="1247"/>
      <c r="CBY54" s="1247"/>
      <c r="CBZ54" s="1247"/>
      <c r="CCA54" s="1247"/>
      <c r="CCB54" s="1247"/>
      <c r="CCC54" s="1247"/>
      <c r="CCD54" s="1247"/>
      <c r="CCE54" s="1247"/>
      <c r="CCF54" s="1247"/>
      <c r="CCG54" s="1247"/>
      <c r="CCH54" s="1247"/>
      <c r="CCI54" s="1247"/>
      <c r="CCJ54" s="1247"/>
      <c r="CCK54" s="1247"/>
      <c r="CCL54" s="1247"/>
      <c r="CCM54" s="1247"/>
      <c r="CCN54" s="1247"/>
      <c r="CCO54" s="1247"/>
      <c r="CCP54" s="1247"/>
      <c r="CCQ54" s="1247"/>
      <c r="CCR54" s="1247"/>
      <c r="CCS54" s="1247"/>
      <c r="CCT54" s="1247"/>
      <c r="CCU54" s="1247"/>
      <c r="CCV54" s="1247"/>
      <c r="CCW54" s="1247"/>
      <c r="CCX54" s="1247"/>
      <c r="CCY54" s="1247"/>
      <c r="CCZ54" s="1247"/>
      <c r="CDA54" s="1247"/>
      <c r="CDB54" s="1247"/>
      <c r="CDC54" s="1247"/>
      <c r="CDD54" s="1247"/>
      <c r="CDE54" s="1247"/>
      <c r="CDF54" s="1247"/>
      <c r="CDG54" s="1247"/>
      <c r="CDH54" s="1247"/>
      <c r="CDI54" s="1247"/>
      <c r="CDJ54" s="1247"/>
      <c r="CDK54" s="1247"/>
      <c r="CDL54" s="1247"/>
      <c r="CDM54" s="1247"/>
      <c r="CDN54" s="1247"/>
      <c r="CDO54" s="1247"/>
      <c r="CDP54" s="1247"/>
      <c r="CDQ54" s="1247"/>
      <c r="CDR54" s="1247"/>
      <c r="CDS54" s="1247"/>
      <c r="CDT54" s="1247"/>
      <c r="CDU54" s="1247"/>
      <c r="CDV54" s="1247"/>
      <c r="CDW54" s="1247"/>
      <c r="CDX54" s="1247"/>
      <c r="CDY54" s="1247"/>
      <c r="CDZ54" s="1247"/>
      <c r="CEA54" s="1247"/>
      <c r="CEB54" s="1247"/>
      <c r="CEC54" s="1247"/>
      <c r="CED54" s="1247"/>
      <c r="CEE54" s="1247"/>
      <c r="CEF54" s="1247"/>
      <c r="CEG54" s="1247"/>
      <c r="CEH54" s="1247"/>
      <c r="CEI54" s="1247"/>
      <c r="CEJ54" s="1247"/>
      <c r="CEK54" s="1247"/>
      <c r="CEL54" s="1247"/>
      <c r="CEM54" s="1247"/>
      <c r="CEN54" s="1247"/>
      <c r="CEO54" s="1247"/>
      <c r="CEP54" s="1247"/>
      <c r="CEQ54" s="1247"/>
      <c r="CER54" s="1247"/>
      <c r="CES54" s="1247"/>
      <c r="CET54" s="1247"/>
      <c r="CEU54" s="1247"/>
      <c r="CEV54" s="1247"/>
      <c r="CEW54" s="1247"/>
      <c r="CEX54" s="1247"/>
      <c r="CEY54" s="1247"/>
      <c r="CEZ54" s="1247"/>
      <c r="CFA54" s="1247"/>
      <c r="CFB54" s="1247"/>
      <c r="CFC54" s="1247"/>
      <c r="CFD54" s="1247"/>
      <c r="CFE54" s="1247"/>
      <c r="CFF54" s="1247"/>
      <c r="CFG54" s="1247"/>
      <c r="CFH54" s="1247"/>
      <c r="CFI54" s="1247"/>
      <c r="CFJ54" s="1247"/>
      <c r="CFK54" s="1247"/>
      <c r="CFL54" s="1247"/>
      <c r="CFM54" s="1247"/>
      <c r="CFN54" s="1247"/>
      <c r="CFO54" s="1247"/>
      <c r="CFP54" s="1247"/>
      <c r="CFQ54" s="1247"/>
      <c r="CFR54" s="1247"/>
      <c r="CFS54" s="1247"/>
      <c r="CFT54" s="1247"/>
      <c r="CFU54" s="1247"/>
      <c r="CFV54" s="1247"/>
      <c r="CFW54" s="1247"/>
      <c r="CFX54" s="1247"/>
      <c r="CFY54" s="1247"/>
      <c r="CFZ54" s="1247"/>
      <c r="CGA54" s="1247"/>
      <c r="CGB54" s="1247"/>
      <c r="CGC54" s="1247"/>
      <c r="CGD54" s="1247"/>
      <c r="CGE54" s="1247"/>
      <c r="CGF54" s="1247"/>
      <c r="CGG54" s="1247"/>
      <c r="CGH54" s="1247"/>
      <c r="CGI54" s="1247"/>
      <c r="CGJ54" s="1247"/>
      <c r="CGK54" s="1247"/>
      <c r="CGL54" s="1247"/>
      <c r="CGM54" s="1247"/>
      <c r="CGN54" s="1247"/>
      <c r="CGO54" s="1247"/>
      <c r="CGP54" s="1247"/>
      <c r="CGQ54" s="1247"/>
      <c r="CGR54" s="1247"/>
      <c r="CGS54" s="1247"/>
      <c r="CGT54" s="1247"/>
      <c r="CGU54" s="1247"/>
      <c r="CGV54" s="1247"/>
      <c r="CGW54" s="1247"/>
      <c r="CGX54" s="1247"/>
      <c r="CGY54" s="1247"/>
      <c r="CGZ54" s="1247"/>
      <c r="CHA54" s="1247"/>
      <c r="CHB54" s="1247"/>
      <c r="CHC54" s="1247"/>
      <c r="CHD54" s="1247"/>
      <c r="CHE54" s="1247"/>
      <c r="CHF54" s="1247"/>
      <c r="CHG54" s="1247"/>
      <c r="CHH54" s="1247"/>
      <c r="CHI54" s="1247"/>
      <c r="CHJ54" s="1247"/>
      <c r="CHK54" s="1247"/>
      <c r="CHL54" s="1247"/>
      <c r="CHM54" s="1247"/>
      <c r="CHN54" s="1247"/>
      <c r="CHO54" s="1247"/>
      <c r="CHP54" s="1247"/>
      <c r="CHQ54" s="1247"/>
      <c r="CHR54" s="1247"/>
      <c r="CHS54" s="1247"/>
      <c r="CHT54" s="1247"/>
      <c r="CHU54" s="1247"/>
      <c r="CHV54" s="1247"/>
      <c r="CHW54" s="1247"/>
      <c r="CHX54" s="1247"/>
      <c r="CHY54" s="1247"/>
      <c r="CHZ54" s="1247"/>
      <c r="CIA54" s="1247"/>
      <c r="CIB54" s="1247"/>
      <c r="CIC54" s="1247"/>
      <c r="CID54" s="1247"/>
      <c r="CIE54" s="1247"/>
      <c r="CIF54" s="1247"/>
      <c r="CIG54" s="1247"/>
      <c r="CIH54" s="1247"/>
      <c r="CII54" s="1247"/>
      <c r="CIJ54" s="1247"/>
      <c r="CIK54" s="1247"/>
      <c r="CIL54" s="1247"/>
      <c r="CIM54" s="1247"/>
      <c r="CIN54" s="1247"/>
      <c r="CIO54" s="1247"/>
      <c r="CIP54" s="1247"/>
      <c r="CIQ54" s="1247"/>
      <c r="CIR54" s="1247"/>
      <c r="CIS54" s="1247"/>
      <c r="CIT54" s="1247"/>
      <c r="CIU54" s="1247"/>
      <c r="CIV54" s="1247"/>
      <c r="CIW54" s="1247"/>
      <c r="CIX54" s="1247"/>
      <c r="CIY54" s="1247"/>
      <c r="CIZ54" s="1247"/>
      <c r="CJA54" s="1247"/>
      <c r="CJB54" s="1247"/>
      <c r="CJC54" s="1247"/>
      <c r="CJD54" s="1247"/>
      <c r="CJE54" s="1247"/>
      <c r="CJF54" s="1247"/>
      <c r="CJG54" s="1247"/>
      <c r="CJH54" s="1247"/>
      <c r="CJI54" s="1247"/>
      <c r="CJJ54" s="1247"/>
      <c r="CJK54" s="1247"/>
      <c r="CJL54" s="1247"/>
      <c r="CJM54" s="1247"/>
      <c r="CJN54" s="1247"/>
      <c r="CJO54" s="1247"/>
      <c r="CJP54" s="1247"/>
      <c r="CJQ54" s="1247"/>
      <c r="CJR54" s="1247"/>
      <c r="CJS54" s="1247"/>
      <c r="CJT54" s="1247"/>
      <c r="CJU54" s="1247"/>
      <c r="CJV54" s="1247"/>
      <c r="CJW54" s="1247"/>
      <c r="CJX54" s="1247"/>
      <c r="CJY54" s="1247"/>
      <c r="CJZ54" s="1247"/>
      <c r="CKA54" s="1247"/>
      <c r="CKB54" s="1247"/>
      <c r="CKC54" s="1247"/>
      <c r="CKD54" s="1247"/>
      <c r="CKE54" s="1247"/>
      <c r="CKF54" s="1247"/>
      <c r="CKG54" s="1247"/>
      <c r="CKH54" s="1247"/>
      <c r="CKI54" s="1247"/>
      <c r="CKJ54" s="1247"/>
      <c r="CKK54" s="1247"/>
      <c r="CKL54" s="1247"/>
      <c r="CKM54" s="1247"/>
      <c r="CKN54" s="1247"/>
      <c r="CKO54" s="1247"/>
      <c r="CKP54" s="1247"/>
      <c r="CKQ54" s="1247"/>
      <c r="CKR54" s="1247"/>
      <c r="CKS54" s="1247"/>
      <c r="CKT54" s="1247"/>
      <c r="CKU54" s="1247"/>
      <c r="CKV54" s="1247"/>
      <c r="CKW54" s="1247"/>
      <c r="CKX54" s="1247"/>
      <c r="CKY54" s="1247"/>
      <c r="CKZ54" s="1247"/>
      <c r="CLA54" s="1247"/>
      <c r="CLB54" s="1247"/>
      <c r="CLC54" s="1247"/>
      <c r="CLD54" s="1247"/>
      <c r="CLE54" s="1247"/>
      <c r="CLF54" s="1247"/>
      <c r="CLG54" s="1247"/>
      <c r="CLH54" s="1247"/>
      <c r="CLI54" s="1247"/>
      <c r="CLJ54" s="1247"/>
      <c r="CLK54" s="1247"/>
      <c r="CLL54" s="1247"/>
      <c r="CLM54" s="1247"/>
      <c r="CLN54" s="1247"/>
      <c r="CLO54" s="1247"/>
      <c r="CLP54" s="1247"/>
      <c r="CLQ54" s="1247"/>
      <c r="CLR54" s="1247"/>
      <c r="CLS54" s="1247"/>
      <c r="CLT54" s="1247"/>
      <c r="CLU54" s="1247"/>
      <c r="CLV54" s="1247"/>
      <c r="CLW54" s="1247"/>
      <c r="CLX54" s="1247"/>
      <c r="CLY54" s="1247"/>
      <c r="CLZ54" s="1247"/>
      <c r="CMA54" s="1247"/>
      <c r="CMB54" s="1247"/>
      <c r="CMC54" s="1247"/>
      <c r="CMD54" s="1247"/>
      <c r="CME54" s="1247"/>
      <c r="CMF54" s="1247"/>
      <c r="CMG54" s="1247"/>
      <c r="CMH54" s="1247"/>
      <c r="CMI54" s="1247"/>
      <c r="CMJ54" s="1247"/>
      <c r="CMK54" s="1247"/>
      <c r="CML54" s="1247"/>
      <c r="CMM54" s="1247"/>
      <c r="CMN54" s="1247"/>
      <c r="CMO54" s="1247"/>
      <c r="CMP54" s="1247"/>
      <c r="CMQ54" s="1247"/>
      <c r="CMR54" s="1247"/>
      <c r="CMS54" s="1247"/>
      <c r="CMT54" s="1247"/>
      <c r="CMU54" s="1247"/>
      <c r="CMV54" s="1247"/>
      <c r="CMW54" s="1247"/>
      <c r="CMX54" s="1247"/>
      <c r="CMY54" s="1247"/>
      <c r="CMZ54" s="1247"/>
      <c r="CNA54" s="1247"/>
      <c r="CNB54" s="1247"/>
      <c r="CNC54" s="1247"/>
      <c r="CND54" s="1247"/>
      <c r="CNE54" s="1247"/>
      <c r="CNF54" s="1247"/>
      <c r="CNG54" s="1247"/>
      <c r="CNH54" s="1247"/>
      <c r="CNI54" s="1247"/>
      <c r="CNJ54" s="1247"/>
      <c r="CNK54" s="1247"/>
      <c r="CNL54" s="1247"/>
      <c r="CNM54" s="1247"/>
      <c r="CNN54" s="1247"/>
      <c r="CNO54" s="1247"/>
      <c r="CNP54" s="1247"/>
      <c r="CNQ54" s="1247"/>
      <c r="CNR54" s="1247"/>
      <c r="CNS54" s="1247"/>
      <c r="CNT54" s="1247"/>
      <c r="CNU54" s="1247"/>
      <c r="CNV54" s="1247"/>
      <c r="CNW54" s="1247"/>
      <c r="CNX54" s="1247"/>
      <c r="CNY54" s="1247"/>
      <c r="CNZ54" s="1247"/>
      <c r="COA54" s="1247"/>
      <c r="COB54" s="1247"/>
      <c r="COC54" s="1247"/>
      <c r="COD54" s="1247"/>
      <c r="COE54" s="1247"/>
      <c r="COF54" s="1247"/>
      <c r="COG54" s="1247"/>
      <c r="COH54" s="1247"/>
      <c r="COI54" s="1247"/>
      <c r="COJ54" s="1247"/>
      <c r="COK54" s="1247"/>
      <c r="COL54" s="1247"/>
      <c r="COM54" s="1247"/>
      <c r="CON54" s="1247"/>
      <c r="COO54" s="1247"/>
      <c r="COP54" s="1247"/>
      <c r="COQ54" s="1247"/>
      <c r="COR54" s="1247"/>
      <c r="COS54" s="1247"/>
      <c r="COT54" s="1247"/>
      <c r="COU54" s="1247"/>
      <c r="COV54" s="1247"/>
      <c r="COW54" s="1247"/>
      <c r="COX54" s="1247"/>
      <c r="COY54" s="1247"/>
      <c r="COZ54" s="1247"/>
      <c r="CPA54" s="1247"/>
      <c r="CPB54" s="1247"/>
      <c r="CPC54" s="1247"/>
      <c r="CPD54" s="1247"/>
      <c r="CPE54" s="1247"/>
      <c r="CPF54" s="1247"/>
      <c r="CPG54" s="1247"/>
      <c r="CPH54" s="1247"/>
      <c r="CPI54" s="1247"/>
      <c r="CPJ54" s="1247"/>
      <c r="CPK54" s="1247"/>
      <c r="CPL54" s="1247"/>
      <c r="CPM54" s="1247"/>
      <c r="CPN54" s="1247"/>
      <c r="CPO54" s="1247"/>
      <c r="CPP54" s="1247"/>
      <c r="CPQ54" s="1247"/>
      <c r="CPR54" s="1247"/>
      <c r="CPS54" s="1247"/>
      <c r="CPT54" s="1247"/>
      <c r="CPU54" s="1247"/>
      <c r="CPV54" s="1247"/>
      <c r="CPW54" s="1247"/>
      <c r="CPX54" s="1247"/>
      <c r="CPY54" s="1247"/>
      <c r="CPZ54" s="1247"/>
      <c r="CQA54" s="1247"/>
      <c r="CQB54" s="1247"/>
      <c r="CQC54" s="1247"/>
      <c r="CQD54" s="1247"/>
      <c r="CQE54" s="1247"/>
      <c r="CQF54" s="1247"/>
      <c r="CQG54" s="1247"/>
      <c r="CQH54" s="1247"/>
      <c r="CQI54" s="1247"/>
      <c r="CQJ54" s="1247"/>
      <c r="CQK54" s="1247"/>
      <c r="CQL54" s="1247"/>
      <c r="CQM54" s="1247"/>
      <c r="CQN54" s="1247"/>
      <c r="CQO54" s="1247"/>
      <c r="CQP54" s="1247"/>
      <c r="CQQ54" s="1247"/>
      <c r="CQR54" s="1247"/>
      <c r="CQS54" s="1247"/>
      <c r="CQT54" s="1247"/>
      <c r="CQU54" s="1247"/>
      <c r="CQV54" s="1247"/>
      <c r="CQW54" s="1247"/>
      <c r="CQX54" s="1247"/>
      <c r="CQY54" s="1247"/>
      <c r="CQZ54" s="1247"/>
      <c r="CRA54" s="1247"/>
      <c r="CRB54" s="1247"/>
      <c r="CRC54" s="1247"/>
      <c r="CRD54" s="1247"/>
      <c r="CRE54" s="1247"/>
      <c r="CRF54" s="1247"/>
      <c r="CRG54" s="1247"/>
      <c r="CRH54" s="1247"/>
      <c r="CRI54" s="1247"/>
      <c r="CRJ54" s="1247"/>
      <c r="CRK54" s="1247"/>
      <c r="CRL54" s="1247"/>
      <c r="CRM54" s="1247"/>
      <c r="CRN54" s="1247"/>
      <c r="CRO54" s="1247"/>
      <c r="CRP54" s="1247"/>
      <c r="CRQ54" s="1247"/>
      <c r="CRR54" s="1247"/>
      <c r="CRS54" s="1247"/>
      <c r="CRT54" s="1247"/>
      <c r="CRU54" s="1247"/>
      <c r="CRV54" s="1247"/>
      <c r="CRW54" s="1247"/>
      <c r="CRX54" s="1247"/>
      <c r="CRY54" s="1247"/>
      <c r="CRZ54" s="1247"/>
      <c r="CSA54" s="1247"/>
      <c r="CSB54" s="1247"/>
      <c r="CSC54" s="1247"/>
      <c r="CSD54" s="1247"/>
      <c r="CSE54" s="1247"/>
      <c r="CSF54" s="1247"/>
      <c r="CSG54" s="1247"/>
      <c r="CSH54" s="1247"/>
      <c r="CSI54" s="1247"/>
      <c r="CSJ54" s="1247"/>
      <c r="CSK54" s="1247"/>
      <c r="CSL54" s="1247"/>
      <c r="CSM54" s="1247"/>
      <c r="CSN54" s="1247"/>
      <c r="CSO54" s="1247"/>
      <c r="CSP54" s="1247"/>
      <c r="CSQ54" s="1247"/>
      <c r="CSR54" s="1247"/>
      <c r="CSS54" s="1247"/>
      <c r="CST54" s="1247"/>
      <c r="CSU54" s="1247"/>
      <c r="CSV54" s="1247"/>
      <c r="CSW54" s="1247"/>
      <c r="CSX54" s="1247"/>
      <c r="CSY54" s="1247"/>
      <c r="CSZ54" s="1247"/>
      <c r="CTA54" s="1247"/>
      <c r="CTB54" s="1247"/>
      <c r="CTC54" s="1247"/>
      <c r="CTD54" s="1247"/>
      <c r="CTE54" s="1247"/>
      <c r="CTF54" s="1247"/>
      <c r="CTG54" s="1247"/>
      <c r="CTH54" s="1247"/>
      <c r="CTI54" s="1247"/>
      <c r="CTJ54" s="1247"/>
      <c r="CTK54" s="1247"/>
      <c r="CTL54" s="1247"/>
      <c r="CTM54" s="1247"/>
      <c r="CTN54" s="1247"/>
      <c r="CTO54" s="1247"/>
      <c r="CTP54" s="1247"/>
      <c r="CTQ54" s="1247"/>
      <c r="CTR54" s="1247"/>
      <c r="CTS54" s="1247"/>
      <c r="CTT54" s="1247"/>
      <c r="CTU54" s="1247"/>
      <c r="CTV54" s="1247"/>
      <c r="CTW54" s="1247"/>
      <c r="CTX54" s="1247"/>
      <c r="CTY54" s="1247"/>
      <c r="CTZ54" s="1247"/>
      <c r="CUA54" s="1247"/>
      <c r="CUB54" s="1247"/>
      <c r="CUC54" s="1247"/>
      <c r="CUD54" s="1247"/>
      <c r="CUE54" s="1247"/>
      <c r="CUF54" s="1247"/>
      <c r="CUG54" s="1247"/>
      <c r="CUH54" s="1247"/>
      <c r="CUI54" s="1247"/>
      <c r="CUJ54" s="1247"/>
      <c r="CUK54" s="1247"/>
      <c r="CUL54" s="1247"/>
      <c r="CUM54" s="1247"/>
      <c r="CUN54" s="1247"/>
      <c r="CUO54" s="1247"/>
      <c r="CUP54" s="1247"/>
      <c r="CUQ54" s="1247"/>
      <c r="CUR54" s="1247"/>
      <c r="CUS54" s="1247"/>
      <c r="CUT54" s="1247"/>
      <c r="CUU54" s="1247"/>
      <c r="CUV54" s="1247"/>
      <c r="CUW54" s="1247"/>
      <c r="CUX54" s="1247"/>
      <c r="CUY54" s="1247"/>
      <c r="CUZ54" s="1247"/>
      <c r="CVA54" s="1247"/>
      <c r="CVB54" s="1247"/>
      <c r="CVC54" s="1247"/>
      <c r="CVD54" s="1247"/>
      <c r="CVE54" s="1247"/>
      <c r="CVF54" s="1247"/>
      <c r="CVG54" s="1247"/>
      <c r="CVH54" s="1247"/>
      <c r="CVI54" s="1247"/>
      <c r="CVJ54" s="1247"/>
      <c r="CVK54" s="1247"/>
      <c r="CVL54" s="1247"/>
      <c r="CVM54" s="1247"/>
      <c r="CVN54" s="1247"/>
      <c r="CVO54" s="1247"/>
      <c r="CVP54" s="1247"/>
      <c r="CVQ54" s="1247"/>
      <c r="CVR54" s="1247"/>
      <c r="CVS54" s="1247"/>
      <c r="CVT54" s="1247"/>
      <c r="CVU54" s="1247"/>
      <c r="CVV54" s="1247"/>
      <c r="CVW54" s="1247"/>
      <c r="CVX54" s="1247"/>
      <c r="CVY54" s="1247"/>
      <c r="CVZ54" s="1247"/>
      <c r="CWA54" s="1247"/>
      <c r="CWB54" s="1247"/>
      <c r="CWC54" s="1247"/>
      <c r="CWD54" s="1247"/>
      <c r="CWE54" s="1247"/>
      <c r="CWF54" s="1247"/>
      <c r="CWG54" s="1247"/>
      <c r="CWH54" s="1247"/>
      <c r="CWI54" s="1247"/>
      <c r="CWJ54" s="1247"/>
      <c r="CWK54" s="1247"/>
      <c r="CWL54" s="1247"/>
      <c r="CWM54" s="1247"/>
      <c r="CWN54" s="1247"/>
      <c r="CWO54" s="1247"/>
      <c r="CWP54" s="1247"/>
      <c r="CWQ54" s="1247"/>
      <c r="CWR54" s="1247"/>
      <c r="CWS54" s="1247"/>
      <c r="CWT54" s="1247"/>
      <c r="CWU54" s="1247"/>
      <c r="CWV54" s="1247"/>
      <c r="CWW54" s="1247"/>
      <c r="CWX54" s="1247"/>
      <c r="CWY54" s="1247"/>
      <c r="CWZ54" s="1247"/>
      <c r="CXA54" s="1247"/>
      <c r="CXB54" s="1247"/>
      <c r="CXC54" s="1247"/>
      <c r="CXD54" s="1247"/>
      <c r="CXE54" s="1247"/>
      <c r="CXF54" s="1247"/>
      <c r="CXG54" s="1247"/>
      <c r="CXH54" s="1247"/>
      <c r="CXI54" s="1247"/>
      <c r="CXJ54" s="1247"/>
      <c r="CXK54" s="1247"/>
      <c r="CXL54" s="1247"/>
      <c r="CXM54" s="1247"/>
      <c r="CXN54" s="1247"/>
      <c r="CXO54" s="1247"/>
      <c r="CXP54" s="1247"/>
      <c r="CXQ54" s="1247"/>
      <c r="CXR54" s="1247"/>
      <c r="CXS54" s="1247"/>
      <c r="CXT54" s="1247"/>
      <c r="CXU54" s="1247"/>
      <c r="CXV54" s="1247"/>
      <c r="CXW54" s="1247"/>
      <c r="CXX54" s="1247"/>
      <c r="CXY54" s="1247"/>
      <c r="CXZ54" s="1247"/>
      <c r="CYA54" s="1247"/>
      <c r="CYB54" s="1247"/>
      <c r="CYC54" s="1247"/>
      <c r="CYD54" s="1247"/>
      <c r="CYE54" s="1247"/>
      <c r="CYF54" s="1247"/>
      <c r="CYG54" s="1247"/>
      <c r="CYH54" s="1247"/>
      <c r="CYI54" s="1247"/>
      <c r="CYJ54" s="1247"/>
      <c r="CYK54" s="1247"/>
      <c r="CYL54" s="1247"/>
      <c r="CYM54" s="1247"/>
      <c r="CYN54" s="1247"/>
      <c r="CYO54" s="1247"/>
      <c r="CYP54" s="1247"/>
      <c r="CYQ54" s="1247"/>
      <c r="CYR54" s="1247"/>
      <c r="CYS54" s="1247"/>
      <c r="CYT54" s="1247"/>
      <c r="CYU54" s="1247"/>
      <c r="CYV54" s="1247"/>
      <c r="CYW54" s="1247"/>
      <c r="CYX54" s="1247"/>
      <c r="CYY54" s="1247"/>
      <c r="CYZ54" s="1247"/>
      <c r="CZA54" s="1247"/>
      <c r="CZB54" s="1247"/>
      <c r="CZC54" s="1247"/>
      <c r="CZD54" s="1247"/>
      <c r="CZE54" s="1247"/>
      <c r="CZF54" s="1247"/>
      <c r="CZG54" s="1247"/>
      <c r="CZH54" s="1247"/>
      <c r="CZI54" s="1247"/>
      <c r="CZJ54" s="1247"/>
      <c r="CZK54" s="1247"/>
      <c r="CZL54" s="1247"/>
      <c r="CZM54" s="1247"/>
      <c r="CZN54" s="1247"/>
      <c r="CZO54" s="1247"/>
      <c r="CZP54" s="1247"/>
      <c r="CZQ54" s="1247"/>
      <c r="CZR54" s="1247"/>
      <c r="CZS54" s="1247"/>
      <c r="CZT54" s="1247"/>
      <c r="CZU54" s="1247"/>
      <c r="CZV54" s="1247"/>
      <c r="CZW54" s="1247"/>
      <c r="CZX54" s="1247"/>
      <c r="CZY54" s="1247"/>
      <c r="CZZ54" s="1247"/>
      <c r="DAA54" s="1247"/>
      <c r="DAB54" s="1247"/>
      <c r="DAC54" s="1247"/>
      <c r="DAD54" s="1247"/>
      <c r="DAE54" s="1247"/>
      <c r="DAF54" s="1247"/>
      <c r="DAG54" s="1247"/>
      <c r="DAH54" s="1247"/>
      <c r="DAI54" s="1247"/>
      <c r="DAJ54" s="1247"/>
      <c r="DAK54" s="1247"/>
      <c r="DAL54" s="1247"/>
      <c r="DAM54" s="1247"/>
      <c r="DAN54" s="1247"/>
      <c r="DAO54" s="1247"/>
      <c r="DAP54" s="1247"/>
      <c r="DAQ54" s="1247"/>
      <c r="DAR54" s="1247"/>
      <c r="DAS54" s="1247"/>
      <c r="DAT54" s="1247"/>
      <c r="DAU54" s="1247"/>
      <c r="DAV54" s="1247"/>
      <c r="DAW54" s="1247"/>
      <c r="DAX54" s="1247"/>
      <c r="DAY54" s="1247"/>
      <c r="DAZ54" s="1247"/>
      <c r="DBA54" s="1247"/>
      <c r="DBB54" s="1247"/>
      <c r="DBC54" s="1247"/>
      <c r="DBD54" s="1247"/>
      <c r="DBE54" s="1247"/>
      <c r="DBF54" s="1247"/>
      <c r="DBG54" s="1247"/>
      <c r="DBH54" s="1247"/>
      <c r="DBI54" s="1247"/>
      <c r="DBJ54" s="1247"/>
      <c r="DBK54" s="1247"/>
      <c r="DBL54" s="1247"/>
      <c r="DBM54" s="1247"/>
      <c r="DBN54" s="1247"/>
      <c r="DBO54" s="1247"/>
      <c r="DBP54" s="1247"/>
      <c r="DBQ54" s="1247"/>
      <c r="DBR54" s="1247"/>
      <c r="DBS54" s="1247"/>
      <c r="DBT54" s="1247"/>
      <c r="DBU54" s="1247"/>
      <c r="DBV54" s="1247"/>
      <c r="DBW54" s="1247"/>
      <c r="DBX54" s="1247"/>
      <c r="DBY54" s="1247"/>
      <c r="DBZ54" s="1247"/>
      <c r="DCA54" s="1247"/>
      <c r="DCB54" s="1247"/>
      <c r="DCC54" s="1247"/>
      <c r="DCD54" s="1247"/>
      <c r="DCE54" s="1247"/>
      <c r="DCF54" s="1247"/>
      <c r="DCG54" s="1247"/>
      <c r="DCH54" s="1247"/>
      <c r="DCI54" s="1247"/>
      <c r="DCJ54" s="1247"/>
      <c r="DCK54" s="1247"/>
      <c r="DCL54" s="1247"/>
      <c r="DCM54" s="1247"/>
      <c r="DCN54" s="1247"/>
      <c r="DCO54" s="1247"/>
      <c r="DCP54" s="1247"/>
      <c r="DCQ54" s="1247"/>
      <c r="DCR54" s="1247"/>
      <c r="DCS54" s="1247"/>
      <c r="DCT54" s="1247"/>
      <c r="DCU54" s="1247"/>
      <c r="DCV54" s="1247"/>
      <c r="DCW54" s="1247"/>
      <c r="DCX54" s="1247"/>
      <c r="DCY54" s="1247"/>
      <c r="DCZ54" s="1247"/>
      <c r="DDA54" s="1247"/>
      <c r="DDB54" s="1247"/>
      <c r="DDC54" s="1247"/>
      <c r="DDD54" s="1247"/>
      <c r="DDE54" s="1247"/>
      <c r="DDF54" s="1247"/>
      <c r="DDG54" s="1247"/>
      <c r="DDH54" s="1247"/>
      <c r="DDI54" s="1247"/>
      <c r="DDJ54" s="1247"/>
      <c r="DDK54" s="1247"/>
      <c r="DDL54" s="1247"/>
      <c r="DDM54" s="1247"/>
      <c r="DDN54" s="1247"/>
      <c r="DDO54" s="1247"/>
      <c r="DDP54" s="1247"/>
      <c r="DDQ54" s="1247"/>
      <c r="DDR54" s="1247"/>
      <c r="DDS54" s="1247"/>
      <c r="DDT54" s="1247"/>
      <c r="DDU54" s="1247"/>
      <c r="DDV54" s="1247"/>
      <c r="DDW54" s="1247"/>
      <c r="DDX54" s="1247"/>
      <c r="DDY54" s="1247"/>
      <c r="DDZ54" s="1247"/>
      <c r="DEA54" s="1247"/>
      <c r="DEB54" s="1247"/>
      <c r="DEC54" s="1247"/>
      <c r="DED54" s="1247"/>
      <c r="DEE54" s="1247"/>
      <c r="DEF54" s="1247"/>
      <c r="DEG54" s="1247"/>
      <c r="DEH54" s="1247"/>
      <c r="DEI54" s="1247"/>
      <c r="DEJ54" s="1247"/>
      <c r="DEK54" s="1247"/>
      <c r="DEL54" s="1247"/>
      <c r="DEM54" s="1247"/>
      <c r="DEN54" s="1247"/>
      <c r="DEO54" s="1247"/>
      <c r="DEP54" s="1247"/>
      <c r="DEQ54" s="1247"/>
      <c r="DER54" s="1247"/>
      <c r="DES54" s="1247"/>
      <c r="DET54" s="1247"/>
      <c r="DEU54" s="1247"/>
      <c r="DEV54" s="1247"/>
      <c r="DEW54" s="1247"/>
      <c r="DEX54" s="1247"/>
      <c r="DEY54" s="1247"/>
      <c r="DEZ54" s="1247"/>
      <c r="DFA54" s="1247"/>
      <c r="DFB54" s="1247"/>
      <c r="DFC54" s="1247"/>
      <c r="DFD54" s="1247"/>
      <c r="DFE54" s="1247"/>
      <c r="DFF54" s="1247"/>
      <c r="DFG54" s="1247"/>
      <c r="DFH54" s="1247"/>
      <c r="DFI54" s="1247"/>
      <c r="DFJ54" s="1247"/>
      <c r="DFK54" s="1247"/>
      <c r="DFL54" s="1247"/>
      <c r="DFM54" s="1247"/>
      <c r="DFN54" s="1247"/>
      <c r="DFO54" s="1247"/>
      <c r="DFP54" s="1247"/>
      <c r="DFQ54" s="1247"/>
      <c r="DFR54" s="1247"/>
      <c r="DFS54" s="1247"/>
      <c r="DFT54" s="1247"/>
      <c r="DFU54" s="1247"/>
      <c r="DFV54" s="1247"/>
      <c r="DFW54" s="1247"/>
      <c r="DFX54" s="1247"/>
      <c r="DFY54" s="1247"/>
      <c r="DFZ54" s="1247"/>
      <c r="DGA54" s="1247"/>
      <c r="DGB54" s="1247"/>
      <c r="DGC54" s="1247"/>
      <c r="DGD54" s="1247"/>
      <c r="DGE54" s="1247"/>
      <c r="DGF54" s="1247"/>
      <c r="DGG54" s="1247"/>
      <c r="DGH54" s="1247"/>
      <c r="DGI54" s="1247"/>
      <c r="DGJ54" s="1247"/>
      <c r="DGK54" s="1247"/>
      <c r="DGL54" s="1247"/>
      <c r="DGM54" s="1247"/>
      <c r="DGN54" s="1247"/>
      <c r="DGO54" s="1247"/>
      <c r="DGP54" s="1247"/>
      <c r="DGQ54" s="1247"/>
      <c r="DGR54" s="1247"/>
      <c r="DGS54" s="1247"/>
      <c r="DGT54" s="1247"/>
      <c r="DGU54" s="1247"/>
      <c r="DGV54" s="1247"/>
      <c r="DGW54" s="1247"/>
      <c r="DGX54" s="1247"/>
      <c r="DGY54" s="1247"/>
      <c r="DGZ54" s="1247"/>
      <c r="DHA54" s="1247"/>
      <c r="DHB54" s="1247"/>
      <c r="DHC54" s="1247"/>
      <c r="DHD54" s="1247"/>
      <c r="DHE54" s="1247"/>
      <c r="DHF54" s="1247"/>
      <c r="DHG54" s="1247"/>
      <c r="DHH54" s="1247"/>
      <c r="DHI54" s="1247"/>
      <c r="DHJ54" s="1247"/>
      <c r="DHK54" s="1247"/>
      <c r="DHL54" s="1247"/>
      <c r="DHM54" s="1247"/>
      <c r="DHN54" s="1247"/>
      <c r="DHO54" s="1247"/>
      <c r="DHP54" s="1247"/>
      <c r="DHQ54" s="1247"/>
      <c r="DHR54" s="1247"/>
      <c r="DHS54" s="1247"/>
      <c r="DHT54" s="1247"/>
      <c r="DHU54" s="1247"/>
      <c r="DHV54" s="1247"/>
      <c r="DHW54" s="1247"/>
      <c r="DHX54" s="1247"/>
      <c r="DHY54" s="1247"/>
      <c r="DHZ54" s="1247"/>
      <c r="DIA54" s="1247"/>
      <c r="DIB54" s="1247"/>
      <c r="DIC54" s="1247"/>
      <c r="DID54" s="1247"/>
      <c r="DIE54" s="1247"/>
      <c r="DIF54" s="1247"/>
      <c r="DIG54" s="1247"/>
      <c r="DIH54" s="1247"/>
      <c r="DII54" s="1247"/>
      <c r="DIJ54" s="1247"/>
      <c r="DIK54" s="1247"/>
      <c r="DIL54" s="1247"/>
      <c r="DIM54" s="1247"/>
      <c r="DIN54" s="1247"/>
      <c r="DIO54" s="1247"/>
      <c r="DIP54" s="1247"/>
      <c r="DIQ54" s="1247"/>
      <c r="DIR54" s="1247"/>
      <c r="DIS54" s="1247"/>
      <c r="DIT54" s="1247"/>
      <c r="DIU54" s="1247"/>
      <c r="DIV54" s="1247"/>
      <c r="DIW54" s="1247"/>
      <c r="DIX54" s="1247"/>
      <c r="DIY54" s="1247"/>
      <c r="DIZ54" s="1247"/>
      <c r="DJA54" s="1247"/>
      <c r="DJB54" s="1247"/>
      <c r="DJC54" s="1247"/>
      <c r="DJD54" s="1247"/>
      <c r="DJE54" s="1247"/>
      <c r="DJF54" s="1247"/>
      <c r="DJG54" s="1247"/>
      <c r="DJH54" s="1247"/>
      <c r="DJI54" s="1247"/>
      <c r="DJJ54" s="1247"/>
      <c r="DJK54" s="1247"/>
      <c r="DJL54" s="1247"/>
      <c r="DJM54" s="1247"/>
      <c r="DJN54" s="1247"/>
      <c r="DJO54" s="1247"/>
      <c r="DJP54" s="1247"/>
      <c r="DJQ54" s="1247"/>
      <c r="DJR54" s="1247"/>
      <c r="DJS54" s="1247"/>
      <c r="DJT54" s="1247"/>
      <c r="DJU54" s="1247"/>
      <c r="DJV54" s="1247"/>
      <c r="DJW54" s="1247"/>
      <c r="DJX54" s="1247"/>
      <c r="DJY54" s="1247"/>
      <c r="DJZ54" s="1247"/>
      <c r="DKA54" s="1247"/>
      <c r="DKB54" s="1247"/>
      <c r="DKC54" s="1247"/>
      <c r="DKD54" s="1247"/>
      <c r="DKE54" s="1247"/>
      <c r="DKF54" s="1247"/>
      <c r="DKG54" s="1247"/>
      <c r="DKH54" s="1247"/>
      <c r="DKI54" s="1247"/>
      <c r="DKJ54" s="1247"/>
      <c r="DKK54" s="1247"/>
      <c r="DKL54" s="1247"/>
      <c r="DKM54" s="1247"/>
      <c r="DKN54" s="1247"/>
      <c r="DKO54" s="1247"/>
      <c r="DKP54" s="1247"/>
      <c r="DKQ54" s="1247"/>
      <c r="DKR54" s="1247"/>
      <c r="DKS54" s="1247"/>
      <c r="DKT54" s="1247"/>
      <c r="DKU54" s="1247"/>
      <c r="DKV54" s="1247"/>
      <c r="DKW54" s="1247"/>
      <c r="DKX54" s="1247"/>
      <c r="DKY54" s="1247"/>
      <c r="DKZ54" s="1247"/>
      <c r="DLA54" s="1247"/>
      <c r="DLB54" s="1247"/>
      <c r="DLC54" s="1247"/>
      <c r="DLD54" s="1247"/>
      <c r="DLE54" s="1247"/>
      <c r="DLF54" s="1247"/>
      <c r="DLG54" s="1247"/>
      <c r="DLH54" s="1247"/>
      <c r="DLI54" s="1247"/>
      <c r="DLJ54" s="1247"/>
      <c r="DLK54" s="1247"/>
      <c r="DLL54" s="1247"/>
      <c r="DLM54" s="1247"/>
      <c r="DLN54" s="1247"/>
      <c r="DLO54" s="1247"/>
      <c r="DLP54" s="1247"/>
      <c r="DLQ54" s="1247"/>
      <c r="DLR54" s="1247"/>
      <c r="DLS54" s="1247"/>
      <c r="DLT54" s="1247"/>
      <c r="DLU54" s="1247"/>
      <c r="DLV54" s="1247"/>
      <c r="DLW54" s="1247"/>
      <c r="DLX54" s="1247"/>
      <c r="DLY54" s="1247"/>
      <c r="DLZ54" s="1247"/>
      <c r="DMA54" s="1247"/>
      <c r="DMB54" s="1247"/>
      <c r="DMC54" s="1247"/>
      <c r="DMD54" s="1247"/>
      <c r="DME54" s="1247"/>
      <c r="DMF54" s="1247"/>
      <c r="DMG54" s="1247"/>
      <c r="DMH54" s="1247"/>
      <c r="DMI54" s="1247"/>
      <c r="DMJ54" s="1247"/>
      <c r="DMK54" s="1247"/>
      <c r="DML54" s="1247"/>
      <c r="DMM54" s="1247"/>
      <c r="DMN54" s="1247"/>
      <c r="DMO54" s="1247"/>
      <c r="DMP54" s="1247"/>
      <c r="DMQ54" s="1247"/>
      <c r="DMR54" s="1247"/>
      <c r="DMS54" s="1247"/>
      <c r="DMT54" s="1247"/>
      <c r="DMU54" s="1247"/>
      <c r="DMV54" s="1247"/>
      <c r="DMW54" s="1247"/>
      <c r="DMX54" s="1247"/>
      <c r="DMY54" s="1247"/>
      <c r="DMZ54" s="1247"/>
      <c r="DNA54" s="1247"/>
      <c r="DNB54" s="1247"/>
      <c r="DNC54" s="1247"/>
      <c r="DND54" s="1247"/>
      <c r="DNE54" s="1247"/>
      <c r="DNF54" s="1247"/>
      <c r="DNG54" s="1247"/>
      <c r="DNH54" s="1247"/>
      <c r="DNI54" s="1247"/>
      <c r="DNJ54" s="1247"/>
      <c r="DNK54" s="1247"/>
      <c r="DNL54" s="1247"/>
      <c r="DNM54" s="1247"/>
      <c r="DNN54" s="1247"/>
      <c r="DNO54" s="1247"/>
      <c r="DNP54" s="1247"/>
      <c r="DNQ54" s="1247"/>
      <c r="DNR54" s="1247"/>
      <c r="DNS54" s="1247"/>
      <c r="DNT54" s="1247"/>
      <c r="DNU54" s="1247"/>
      <c r="DNV54" s="1247"/>
      <c r="DNW54" s="1247"/>
      <c r="DNX54" s="1247"/>
      <c r="DNY54" s="1247"/>
      <c r="DNZ54" s="1247"/>
      <c r="DOA54" s="1247"/>
      <c r="DOB54" s="1247"/>
      <c r="DOC54" s="1247"/>
      <c r="DOD54" s="1247"/>
      <c r="DOE54" s="1247"/>
      <c r="DOF54" s="1247"/>
      <c r="DOG54" s="1247"/>
      <c r="DOH54" s="1247"/>
      <c r="DOI54" s="1247"/>
      <c r="DOJ54" s="1247"/>
      <c r="DOK54" s="1247"/>
      <c r="DOL54" s="1247"/>
      <c r="DOM54" s="1247"/>
      <c r="DON54" s="1247"/>
      <c r="DOO54" s="1247"/>
      <c r="DOP54" s="1247"/>
      <c r="DOQ54" s="1247"/>
      <c r="DOR54" s="1247"/>
      <c r="DOS54" s="1247"/>
      <c r="DOT54" s="1247"/>
      <c r="DOU54" s="1247"/>
      <c r="DOV54" s="1247"/>
      <c r="DOW54" s="1247"/>
      <c r="DOX54" s="1247"/>
      <c r="DOY54" s="1247"/>
      <c r="DOZ54" s="1247"/>
      <c r="DPA54" s="1247"/>
      <c r="DPB54" s="1247"/>
      <c r="DPC54" s="1247"/>
      <c r="DPD54" s="1247"/>
      <c r="DPE54" s="1247"/>
      <c r="DPF54" s="1247"/>
      <c r="DPG54" s="1247"/>
      <c r="DPH54" s="1247"/>
      <c r="DPI54" s="1247"/>
      <c r="DPJ54" s="1247"/>
      <c r="DPK54" s="1247"/>
      <c r="DPL54" s="1247"/>
      <c r="DPM54" s="1247"/>
      <c r="DPN54" s="1247"/>
      <c r="DPO54" s="1247"/>
      <c r="DPP54" s="1247"/>
      <c r="DPQ54" s="1247"/>
      <c r="DPR54" s="1247"/>
      <c r="DPS54" s="1247"/>
      <c r="DPT54" s="1247"/>
      <c r="DPU54" s="1247"/>
      <c r="DPV54" s="1247"/>
      <c r="DPW54" s="1247"/>
      <c r="DPX54" s="1247"/>
      <c r="DPY54" s="1247"/>
      <c r="DPZ54" s="1247"/>
      <c r="DQA54" s="1247"/>
      <c r="DQB54" s="1247"/>
      <c r="DQC54" s="1247"/>
      <c r="DQD54" s="1247"/>
      <c r="DQE54" s="1247"/>
      <c r="DQF54" s="1247"/>
      <c r="DQG54" s="1247"/>
      <c r="DQH54" s="1247"/>
      <c r="DQI54" s="1247"/>
      <c r="DQJ54" s="1247"/>
      <c r="DQK54" s="1247"/>
      <c r="DQL54" s="1247"/>
      <c r="DQM54" s="1247"/>
      <c r="DQN54" s="1247"/>
      <c r="DQO54" s="1247"/>
      <c r="DQP54" s="1247"/>
      <c r="DQQ54" s="1247"/>
      <c r="DQR54" s="1247"/>
      <c r="DQS54" s="1247"/>
      <c r="DQT54" s="1247"/>
      <c r="DQU54" s="1247"/>
      <c r="DQV54" s="1247"/>
      <c r="DQW54" s="1247"/>
      <c r="DQX54" s="1247"/>
      <c r="DQY54" s="1247"/>
      <c r="DQZ54" s="1247"/>
      <c r="DRA54" s="1247"/>
      <c r="DRB54" s="1247"/>
      <c r="DRC54" s="1247"/>
      <c r="DRD54" s="1247"/>
      <c r="DRE54" s="1247"/>
      <c r="DRF54" s="1247"/>
      <c r="DRG54" s="1247"/>
      <c r="DRH54" s="1247"/>
      <c r="DRI54" s="1247"/>
      <c r="DRJ54" s="1247"/>
      <c r="DRK54" s="1247"/>
      <c r="DRL54" s="1247"/>
      <c r="DRM54" s="1247"/>
      <c r="DRN54" s="1247"/>
      <c r="DRO54" s="1247"/>
      <c r="DRP54" s="1247"/>
      <c r="DRQ54" s="1247"/>
      <c r="DRR54" s="1247"/>
      <c r="DRS54" s="1247"/>
      <c r="DRT54" s="1247"/>
      <c r="DRU54" s="1247"/>
      <c r="DRV54" s="1247"/>
      <c r="DRW54" s="1247"/>
      <c r="DRX54" s="1247"/>
      <c r="DRY54" s="1247"/>
      <c r="DRZ54" s="1247"/>
      <c r="DSA54" s="1247"/>
      <c r="DSB54" s="1247"/>
      <c r="DSC54" s="1247"/>
      <c r="DSD54" s="1247"/>
      <c r="DSE54" s="1247"/>
      <c r="DSF54" s="1247"/>
      <c r="DSG54" s="1247"/>
      <c r="DSH54" s="1247"/>
      <c r="DSI54" s="1247"/>
      <c r="DSJ54" s="1247"/>
      <c r="DSK54" s="1247"/>
      <c r="DSL54" s="1247"/>
      <c r="DSM54" s="1247"/>
      <c r="DSN54" s="1247"/>
      <c r="DSO54" s="1247"/>
      <c r="DSP54" s="1247"/>
      <c r="DSQ54" s="1247"/>
      <c r="DSR54" s="1247"/>
      <c r="DSS54" s="1247"/>
      <c r="DST54" s="1247"/>
      <c r="DSU54" s="1247"/>
      <c r="DSV54" s="1247"/>
      <c r="DSW54" s="1247"/>
      <c r="DSX54" s="1247"/>
      <c r="DSY54" s="1247"/>
      <c r="DSZ54" s="1247"/>
      <c r="DTA54" s="1247"/>
      <c r="DTB54" s="1247"/>
      <c r="DTC54" s="1247"/>
      <c r="DTD54" s="1247"/>
      <c r="DTE54" s="1247"/>
      <c r="DTF54" s="1247"/>
      <c r="DTG54" s="1247"/>
      <c r="DTH54" s="1247"/>
      <c r="DTI54" s="1247"/>
      <c r="DTJ54" s="1247"/>
      <c r="DTK54" s="1247"/>
      <c r="DTL54" s="1247"/>
      <c r="DTM54" s="1247"/>
      <c r="DTN54" s="1247"/>
      <c r="DTO54" s="1247"/>
      <c r="DTP54" s="1247"/>
      <c r="DTQ54" s="1247"/>
      <c r="DTR54" s="1247"/>
      <c r="DTS54" s="1247"/>
      <c r="DTT54" s="1247"/>
      <c r="DTU54" s="1247"/>
      <c r="DTV54" s="1247"/>
      <c r="DTW54" s="1247"/>
      <c r="DTX54" s="1247"/>
      <c r="DTY54" s="1247"/>
      <c r="DTZ54" s="1247"/>
      <c r="DUA54" s="1247"/>
      <c r="DUB54" s="1247"/>
      <c r="DUC54" s="1247"/>
      <c r="DUD54" s="1247"/>
      <c r="DUE54" s="1247"/>
      <c r="DUF54" s="1247"/>
      <c r="DUG54" s="1247"/>
      <c r="DUH54" s="1247"/>
      <c r="DUI54" s="1247"/>
      <c r="DUJ54" s="1247"/>
      <c r="DUK54" s="1247"/>
      <c r="DUL54" s="1247"/>
      <c r="DUM54" s="1247"/>
      <c r="DUN54" s="1247"/>
      <c r="DUO54" s="1247"/>
      <c r="DUP54" s="1247"/>
      <c r="DUQ54" s="1247"/>
      <c r="DUR54" s="1247"/>
      <c r="DUS54" s="1247"/>
      <c r="DUT54" s="1247"/>
      <c r="DUU54" s="1247"/>
      <c r="DUV54" s="1247"/>
      <c r="DUW54" s="1247"/>
      <c r="DUX54" s="1247"/>
      <c r="DUY54" s="1247"/>
      <c r="DUZ54" s="1247"/>
      <c r="DVA54" s="1247"/>
      <c r="DVB54" s="1247"/>
      <c r="DVC54" s="1247"/>
      <c r="DVD54" s="1247"/>
      <c r="DVE54" s="1247"/>
      <c r="DVF54" s="1247"/>
      <c r="DVG54" s="1247"/>
      <c r="DVH54" s="1247"/>
      <c r="DVI54" s="1247"/>
      <c r="DVJ54" s="1247"/>
      <c r="DVK54" s="1247"/>
      <c r="DVL54" s="1247"/>
      <c r="DVM54" s="1247"/>
      <c r="DVN54" s="1247"/>
      <c r="DVO54" s="1247"/>
      <c r="DVP54" s="1247"/>
      <c r="DVQ54" s="1247"/>
      <c r="DVR54" s="1247"/>
      <c r="DVS54" s="1247"/>
      <c r="DVT54" s="1247"/>
      <c r="DVU54" s="1247"/>
      <c r="DVV54" s="1247"/>
      <c r="DVW54" s="1247"/>
      <c r="DVX54" s="1247"/>
      <c r="DVY54" s="1247"/>
      <c r="DVZ54" s="1247"/>
      <c r="DWA54" s="1247"/>
      <c r="DWB54" s="1247"/>
      <c r="DWC54" s="1247"/>
      <c r="DWD54" s="1247"/>
      <c r="DWE54" s="1247"/>
      <c r="DWF54" s="1247"/>
      <c r="DWG54" s="1247"/>
      <c r="DWH54" s="1247"/>
      <c r="DWI54" s="1247"/>
      <c r="DWJ54" s="1247"/>
      <c r="DWK54" s="1247"/>
      <c r="DWL54" s="1247"/>
      <c r="DWM54" s="1247"/>
      <c r="DWN54" s="1247"/>
      <c r="DWO54" s="1247"/>
      <c r="DWP54" s="1247"/>
      <c r="DWQ54" s="1247"/>
      <c r="DWR54" s="1247"/>
      <c r="DWS54" s="1247"/>
      <c r="DWT54" s="1247"/>
      <c r="DWU54" s="1247"/>
      <c r="DWV54" s="1247"/>
      <c r="DWW54" s="1247"/>
      <c r="DWX54" s="1247"/>
      <c r="DWY54" s="1247"/>
      <c r="DWZ54" s="1247"/>
      <c r="DXA54" s="1247"/>
      <c r="DXB54" s="1247"/>
      <c r="DXC54" s="1247"/>
      <c r="DXD54" s="1247"/>
      <c r="DXE54" s="1247"/>
      <c r="DXF54" s="1247"/>
      <c r="DXG54" s="1247"/>
      <c r="DXH54" s="1247"/>
      <c r="DXI54" s="1247"/>
      <c r="DXJ54" s="1247"/>
      <c r="DXK54" s="1247"/>
      <c r="DXL54" s="1247"/>
      <c r="DXM54" s="1247"/>
      <c r="DXN54" s="1247"/>
      <c r="DXO54" s="1247"/>
      <c r="DXP54" s="1247"/>
      <c r="DXQ54" s="1247"/>
      <c r="DXR54" s="1247"/>
      <c r="DXS54" s="1247"/>
      <c r="DXT54" s="1247"/>
      <c r="DXU54" s="1247"/>
      <c r="DXV54" s="1247"/>
      <c r="DXW54" s="1247"/>
      <c r="DXX54" s="1247"/>
      <c r="DXY54" s="1247"/>
      <c r="DXZ54" s="1247"/>
      <c r="DYA54" s="1247"/>
      <c r="DYB54" s="1247"/>
      <c r="DYC54" s="1247"/>
      <c r="DYD54" s="1247"/>
      <c r="DYE54" s="1247"/>
      <c r="DYF54" s="1247"/>
      <c r="DYG54" s="1247"/>
      <c r="DYH54" s="1247"/>
      <c r="DYI54" s="1247"/>
      <c r="DYJ54" s="1247"/>
      <c r="DYK54" s="1247"/>
      <c r="DYL54" s="1247"/>
      <c r="DYM54" s="1247"/>
      <c r="DYN54" s="1247"/>
      <c r="DYO54" s="1247"/>
      <c r="DYP54" s="1247"/>
      <c r="DYQ54" s="1247"/>
      <c r="DYR54" s="1247"/>
      <c r="DYS54" s="1247"/>
      <c r="DYT54" s="1247"/>
      <c r="DYU54" s="1247"/>
      <c r="DYV54" s="1247"/>
      <c r="DYW54" s="1247"/>
      <c r="DYX54" s="1247"/>
      <c r="DYY54" s="1247"/>
      <c r="DYZ54" s="1247"/>
      <c r="DZA54" s="1247"/>
      <c r="DZB54" s="1247"/>
      <c r="DZC54" s="1247"/>
      <c r="DZD54" s="1247"/>
      <c r="DZE54" s="1247"/>
      <c r="DZF54" s="1247"/>
      <c r="DZG54" s="1247"/>
      <c r="DZH54" s="1247"/>
      <c r="DZI54" s="1247"/>
      <c r="DZJ54" s="1247"/>
      <c r="DZK54" s="1247"/>
      <c r="DZL54" s="1247"/>
      <c r="DZM54" s="1247"/>
      <c r="DZN54" s="1247"/>
      <c r="DZO54" s="1247"/>
      <c r="DZP54" s="1247"/>
      <c r="DZQ54" s="1247"/>
      <c r="DZR54" s="1247"/>
      <c r="DZS54" s="1247"/>
      <c r="DZT54" s="1247"/>
      <c r="DZU54" s="1247"/>
      <c r="DZV54" s="1247"/>
      <c r="DZW54" s="1247"/>
      <c r="DZX54" s="1247"/>
      <c r="DZY54" s="1247"/>
      <c r="DZZ54" s="1247"/>
      <c r="EAA54" s="1247"/>
      <c r="EAB54" s="1247"/>
      <c r="EAC54" s="1247"/>
      <c r="EAD54" s="1247"/>
      <c r="EAE54" s="1247"/>
      <c r="EAF54" s="1247"/>
      <c r="EAG54" s="1247"/>
      <c r="EAH54" s="1247"/>
      <c r="EAI54" s="1247"/>
      <c r="EAJ54" s="1247"/>
      <c r="EAK54" s="1247"/>
      <c r="EAL54" s="1247"/>
      <c r="EAM54" s="1247"/>
      <c r="EAN54" s="1247"/>
      <c r="EAO54" s="1247"/>
      <c r="EAP54" s="1247"/>
      <c r="EAQ54" s="1247"/>
      <c r="EAR54" s="1247"/>
      <c r="EAS54" s="1247"/>
      <c r="EAT54" s="1247"/>
      <c r="EAU54" s="1247"/>
      <c r="EAV54" s="1247"/>
      <c r="EAW54" s="1247"/>
      <c r="EAX54" s="1247"/>
      <c r="EAY54" s="1247"/>
      <c r="EAZ54" s="1247"/>
      <c r="EBA54" s="1247"/>
      <c r="EBB54" s="1247"/>
      <c r="EBC54" s="1247"/>
      <c r="EBD54" s="1247"/>
      <c r="EBE54" s="1247"/>
      <c r="EBF54" s="1247"/>
      <c r="EBG54" s="1247"/>
      <c r="EBH54" s="1247"/>
      <c r="EBI54" s="1247"/>
      <c r="EBJ54" s="1247"/>
      <c r="EBK54" s="1247"/>
      <c r="EBL54" s="1247"/>
      <c r="EBM54" s="1247"/>
      <c r="EBN54" s="1247"/>
      <c r="EBO54" s="1247"/>
      <c r="EBP54" s="1247"/>
      <c r="EBQ54" s="1247"/>
      <c r="EBR54" s="1247"/>
      <c r="EBS54" s="1247"/>
      <c r="EBT54" s="1247"/>
      <c r="EBU54" s="1247"/>
      <c r="EBV54" s="1247"/>
      <c r="EBW54" s="1247"/>
      <c r="EBX54" s="1247"/>
      <c r="EBY54" s="1247"/>
      <c r="EBZ54" s="1247"/>
      <c r="ECA54" s="1247"/>
      <c r="ECB54" s="1247"/>
      <c r="ECC54" s="1247"/>
      <c r="ECD54" s="1247"/>
      <c r="ECE54" s="1247"/>
      <c r="ECF54" s="1247"/>
      <c r="ECG54" s="1247"/>
      <c r="ECH54" s="1247"/>
      <c r="ECI54" s="1247"/>
      <c r="ECJ54" s="1247"/>
      <c r="ECK54" s="1247"/>
      <c r="ECL54" s="1247"/>
      <c r="ECM54" s="1247"/>
      <c r="ECN54" s="1247"/>
      <c r="ECO54" s="1247"/>
    </row>
    <row r="55" spans="2:3473" s="1273" customFormat="1">
      <c r="C55" s="1288"/>
      <c r="D55" s="1288"/>
      <c r="E55" s="1288"/>
      <c r="F55" s="1288"/>
      <c r="G55" s="1288"/>
      <c r="H55" s="1288"/>
      <c r="I55" s="1288"/>
      <c r="J55" s="1288"/>
      <c r="K55" s="1288"/>
      <c r="L55" s="1288"/>
      <c r="M55" s="1288"/>
      <c r="N55" s="1288"/>
      <c r="O55" s="1288"/>
      <c r="P55" s="1288"/>
      <c r="Q55" s="1288"/>
      <c r="R55" s="1288"/>
      <c r="S55" s="1288"/>
      <c r="T55" s="1288"/>
      <c r="U55" s="1288"/>
      <c r="V55" s="1288"/>
      <c r="W55" s="1288"/>
      <c r="X55" s="1288"/>
      <c r="Y55" s="1288"/>
      <c r="Z55" s="1288"/>
      <c r="AA55" s="1288"/>
      <c r="AB55" s="1288"/>
      <c r="AC55" s="1288"/>
      <c r="AD55" s="1289"/>
      <c r="AE55" s="1289"/>
      <c r="AF55" s="1288"/>
      <c r="AG55" s="1288"/>
      <c r="AH55" s="1288"/>
      <c r="AI55" s="1224"/>
      <c r="AJ55" s="1224"/>
      <c r="AK55" s="1224"/>
      <c r="AL55" s="1224"/>
      <c r="AM55" s="1224"/>
      <c r="AN55" s="1224"/>
      <c r="AO55" s="1224"/>
      <c r="AP55" s="1224"/>
      <c r="AQ55" s="1224"/>
      <c r="AR55" s="1224"/>
      <c r="AS55" s="1224"/>
      <c r="AT55" s="1224"/>
      <c r="AU55" s="1224"/>
      <c r="AV55" s="1224"/>
      <c r="AW55" s="1224"/>
      <c r="AX55" s="1224"/>
      <c r="AY55" s="1224"/>
      <c r="AZ55" s="1224"/>
      <c r="BA55" s="1224"/>
      <c r="BB55" s="1224"/>
      <c r="BC55" s="1224"/>
      <c r="BD55" s="1224"/>
      <c r="BE55" s="1224"/>
      <c r="BF55" s="1224"/>
      <c r="BG55" s="1224"/>
      <c r="BH55" s="1224"/>
      <c r="BI55" s="1224"/>
      <c r="BJ55" s="1224">
        <f ca="1">BJ49-BJ44-BJ9-BJ10-'当期公摊测算表（全期）'!U168-'当期公摊测算表（全期）'!U174</f>
        <v>63065.602831000004</v>
      </c>
      <c r="BK55" s="2184">
        <f ca="1">现金流量!B31/('成本汇总（分摊）'!BJ55*4.35%)</f>
        <v>0.78038464391318252</v>
      </c>
      <c r="BL55" s="1224"/>
      <c r="BM55" s="1224">
        <f ca="1">BJ55*0.4*0.0435</f>
        <v>1097.3414892594001</v>
      </c>
      <c r="BN55" s="1221"/>
      <c r="BO55" s="1247">
        <f ca="1">BJ49-BJ8</f>
        <v>67112.98774336715</v>
      </c>
      <c r="BP55" s="1247"/>
      <c r="BQ55" s="1247"/>
      <c r="BR55" s="1247"/>
      <c r="BS55" s="1247"/>
      <c r="BT55" s="1247"/>
      <c r="BU55" s="1247"/>
      <c r="BV55" s="1247"/>
      <c r="BW55" s="1247"/>
      <c r="BX55" s="1247"/>
      <c r="BY55" s="1247"/>
      <c r="BZ55" s="1247"/>
      <c r="CA55" s="1247"/>
      <c r="CB55" s="1247"/>
      <c r="CC55" s="1247"/>
      <c r="CD55" s="1247"/>
      <c r="CE55" s="1247"/>
      <c r="CF55" s="1247"/>
      <c r="CG55" s="1247"/>
      <c r="CH55" s="1247"/>
      <c r="CI55" s="1247"/>
      <c r="CJ55" s="1247"/>
      <c r="CK55" s="1247"/>
      <c r="CL55" s="1247"/>
      <c r="CM55" s="1247"/>
      <c r="CN55" s="1247"/>
      <c r="CO55" s="1247"/>
      <c r="CP55" s="1247"/>
      <c r="CQ55" s="1247"/>
      <c r="CR55" s="1247"/>
      <c r="CS55" s="1247"/>
      <c r="CT55" s="1247"/>
      <c r="CU55" s="1247"/>
      <c r="CV55" s="1247"/>
      <c r="CW55" s="1247"/>
      <c r="CX55" s="1247"/>
      <c r="CY55" s="1247"/>
      <c r="CZ55" s="1247"/>
      <c r="DA55" s="1247"/>
      <c r="DB55" s="1247"/>
      <c r="DC55" s="1247"/>
      <c r="DD55" s="1247"/>
      <c r="DE55" s="1247"/>
      <c r="DF55" s="1247"/>
      <c r="DG55" s="1247"/>
      <c r="DH55" s="1247"/>
      <c r="DI55" s="1247"/>
      <c r="DJ55" s="1247"/>
      <c r="DK55" s="1247"/>
      <c r="DL55" s="1247"/>
      <c r="DM55" s="1247"/>
      <c r="DN55" s="1247"/>
      <c r="DO55" s="1247"/>
      <c r="DP55" s="1247"/>
      <c r="DQ55" s="1247"/>
      <c r="DR55" s="1247"/>
      <c r="DS55" s="1247"/>
      <c r="DT55" s="1247"/>
      <c r="DU55" s="1247"/>
      <c r="DV55" s="1247"/>
      <c r="DW55" s="1247"/>
      <c r="DX55" s="1247"/>
      <c r="DY55" s="1247"/>
      <c r="DZ55" s="1247"/>
      <c r="EA55" s="1247"/>
      <c r="EB55" s="1247"/>
      <c r="EC55" s="1247"/>
      <c r="ED55" s="1247"/>
      <c r="EE55" s="1247"/>
      <c r="EF55" s="1247"/>
      <c r="EG55" s="1247"/>
      <c r="EH55" s="1247"/>
      <c r="EI55" s="1247"/>
      <c r="EJ55" s="1247"/>
      <c r="EK55" s="1247"/>
      <c r="EL55" s="1247"/>
      <c r="EM55" s="1247"/>
      <c r="EN55" s="1247"/>
      <c r="EO55" s="1247"/>
      <c r="EP55" s="1247"/>
      <c r="EQ55" s="1247"/>
      <c r="ER55" s="1247"/>
      <c r="ES55" s="1247"/>
      <c r="ET55" s="1247"/>
      <c r="EU55" s="1247"/>
      <c r="EV55" s="1247"/>
      <c r="EW55" s="1247"/>
      <c r="EX55" s="1247"/>
      <c r="EY55" s="1247"/>
      <c r="EZ55" s="1247"/>
      <c r="FA55" s="1247"/>
      <c r="FB55" s="1247"/>
      <c r="FC55" s="1247"/>
      <c r="FD55" s="1247"/>
      <c r="FE55" s="1247"/>
      <c r="FF55" s="1247"/>
      <c r="FG55" s="1247"/>
      <c r="FH55" s="1247"/>
      <c r="FI55" s="1247"/>
      <c r="FJ55" s="1247"/>
      <c r="FK55" s="1247"/>
      <c r="FL55" s="1247"/>
      <c r="FM55" s="1247"/>
      <c r="FN55" s="1247"/>
      <c r="FO55" s="1247"/>
      <c r="FP55" s="1247"/>
      <c r="FQ55" s="1247"/>
      <c r="FR55" s="1247"/>
      <c r="FS55" s="1247"/>
      <c r="FT55" s="1247"/>
      <c r="FU55" s="1247"/>
      <c r="FV55" s="1247"/>
      <c r="FW55" s="1247"/>
      <c r="FX55" s="1247"/>
      <c r="FY55" s="1247"/>
      <c r="FZ55" s="1247"/>
      <c r="GA55" s="1247"/>
      <c r="GB55" s="1247"/>
      <c r="GC55" s="1247"/>
      <c r="GD55" s="1247"/>
      <c r="GE55" s="1247"/>
      <c r="GF55" s="1247"/>
      <c r="GG55" s="1247"/>
      <c r="GH55" s="1247"/>
      <c r="GI55" s="1247"/>
      <c r="GJ55" s="1247"/>
      <c r="GK55" s="1247"/>
      <c r="GL55" s="1247"/>
      <c r="GM55" s="1247"/>
      <c r="GN55" s="1247"/>
      <c r="GO55" s="1247"/>
      <c r="GP55" s="1247"/>
      <c r="GQ55" s="1247"/>
      <c r="GR55" s="1247"/>
      <c r="GS55" s="1247"/>
      <c r="GT55" s="1247"/>
      <c r="GU55" s="1247"/>
      <c r="GV55" s="1247"/>
      <c r="GW55" s="1247"/>
      <c r="GX55" s="1247"/>
      <c r="GY55" s="1247"/>
      <c r="GZ55" s="1247"/>
      <c r="HA55" s="1247"/>
      <c r="HB55" s="1247"/>
      <c r="HC55" s="1247"/>
      <c r="HD55" s="1247"/>
      <c r="HE55" s="1247"/>
      <c r="HF55" s="1247"/>
      <c r="HG55" s="1247"/>
      <c r="HH55" s="1247"/>
      <c r="HI55" s="1247"/>
      <c r="HJ55" s="1247"/>
      <c r="HK55" s="1247"/>
      <c r="HL55" s="1247"/>
      <c r="HM55" s="1247"/>
      <c r="HN55" s="1247"/>
      <c r="HO55" s="1247"/>
      <c r="HP55" s="1247"/>
      <c r="HQ55" s="1247"/>
      <c r="HR55" s="1247"/>
      <c r="HS55" s="1247"/>
      <c r="HT55" s="1247"/>
      <c r="HU55" s="1247"/>
      <c r="HV55" s="1247"/>
      <c r="HW55" s="1247"/>
      <c r="HX55" s="1247"/>
      <c r="HY55" s="1247"/>
      <c r="HZ55" s="1247"/>
      <c r="IA55" s="1247"/>
      <c r="IB55" s="1247"/>
      <c r="IC55" s="1247"/>
      <c r="ID55" s="1247"/>
      <c r="IE55" s="1247"/>
      <c r="IF55" s="1247"/>
      <c r="IG55" s="1247"/>
      <c r="IH55" s="1247"/>
      <c r="II55" s="1247"/>
      <c r="IJ55" s="1247"/>
      <c r="IK55" s="1247"/>
      <c r="IL55" s="1247"/>
      <c r="IM55" s="1247"/>
      <c r="IN55" s="1247"/>
      <c r="IO55" s="1247"/>
      <c r="IP55" s="1247"/>
      <c r="IQ55" s="1247"/>
      <c r="IR55" s="1247"/>
      <c r="IS55" s="1247"/>
      <c r="IT55" s="1247"/>
      <c r="IU55" s="1247"/>
      <c r="IV55" s="1247"/>
      <c r="IW55" s="1247"/>
      <c r="IX55" s="1247"/>
      <c r="IY55" s="1247"/>
      <c r="IZ55" s="1247"/>
      <c r="JA55" s="1247"/>
      <c r="JB55" s="1247"/>
      <c r="JC55" s="1247"/>
      <c r="JD55" s="1247"/>
      <c r="JE55" s="1247"/>
      <c r="JF55" s="1247"/>
      <c r="JG55" s="1247"/>
      <c r="JH55" s="1247"/>
      <c r="JI55" s="1247"/>
      <c r="JJ55" s="1247"/>
      <c r="JK55" s="1247"/>
      <c r="JL55" s="1247"/>
      <c r="JM55" s="1247"/>
      <c r="JN55" s="1247"/>
      <c r="JO55" s="1247"/>
      <c r="JP55" s="1247"/>
      <c r="JQ55" s="1247"/>
      <c r="JR55" s="1247"/>
      <c r="JS55" s="1247"/>
      <c r="JT55" s="1247"/>
      <c r="JU55" s="1247"/>
      <c r="JV55" s="1247"/>
      <c r="JW55" s="1247"/>
      <c r="JX55" s="1247"/>
      <c r="JY55" s="1247"/>
      <c r="JZ55" s="1247"/>
      <c r="KA55" s="1247"/>
      <c r="KB55" s="1247"/>
      <c r="KC55" s="1247"/>
      <c r="KD55" s="1247"/>
      <c r="KE55" s="1247"/>
      <c r="KF55" s="1247"/>
      <c r="KG55" s="1247"/>
      <c r="KH55" s="1247"/>
      <c r="KI55" s="1247"/>
      <c r="KJ55" s="1247"/>
      <c r="KK55" s="1247"/>
      <c r="KL55" s="1247"/>
      <c r="KM55" s="1247"/>
      <c r="KN55" s="1247"/>
      <c r="KO55" s="1247"/>
      <c r="KP55" s="1247"/>
      <c r="KQ55" s="1247"/>
      <c r="KR55" s="1247"/>
      <c r="KS55" s="1247"/>
      <c r="KT55" s="1247"/>
      <c r="KU55" s="1247"/>
      <c r="KV55" s="1247"/>
      <c r="KW55" s="1247"/>
      <c r="KX55" s="1247"/>
      <c r="KY55" s="1247"/>
      <c r="KZ55" s="1247"/>
      <c r="LA55" s="1247"/>
      <c r="LB55" s="1247"/>
      <c r="LC55" s="1247"/>
      <c r="LD55" s="1247"/>
      <c r="LE55" s="1247"/>
      <c r="LF55" s="1247"/>
      <c r="LG55" s="1247"/>
      <c r="LH55" s="1247"/>
      <c r="LI55" s="1247"/>
      <c r="LJ55" s="1247"/>
      <c r="LK55" s="1247"/>
      <c r="LL55" s="1247"/>
      <c r="LM55" s="1247"/>
      <c r="LN55" s="1247"/>
      <c r="LO55" s="1247"/>
      <c r="LP55" s="1247"/>
      <c r="LQ55" s="1247"/>
      <c r="LR55" s="1247"/>
      <c r="LS55" s="1247"/>
      <c r="LT55" s="1247"/>
      <c r="LU55" s="1247"/>
      <c r="LV55" s="1247"/>
      <c r="LW55" s="1247"/>
      <c r="LX55" s="1247"/>
      <c r="LY55" s="1247"/>
      <c r="LZ55" s="1247"/>
      <c r="MA55" s="1247"/>
      <c r="MB55" s="1247"/>
      <c r="MC55" s="1247"/>
      <c r="MD55" s="1247"/>
      <c r="ME55" s="1247"/>
      <c r="MF55" s="1247"/>
      <c r="MG55" s="1247"/>
      <c r="MH55" s="1247"/>
      <c r="MI55" s="1247"/>
      <c r="MJ55" s="1247"/>
      <c r="MK55" s="1247"/>
      <c r="ML55" s="1247"/>
      <c r="MM55" s="1247"/>
      <c r="MN55" s="1247"/>
      <c r="MO55" s="1247"/>
      <c r="MP55" s="1247"/>
      <c r="MQ55" s="1247"/>
      <c r="MR55" s="1247"/>
      <c r="MS55" s="1247"/>
      <c r="MT55" s="1247"/>
      <c r="MU55" s="1247"/>
      <c r="MV55" s="1247"/>
      <c r="MW55" s="1247"/>
      <c r="MX55" s="1247"/>
      <c r="MY55" s="1247"/>
      <c r="MZ55" s="1247"/>
      <c r="NA55" s="1247"/>
      <c r="NB55" s="1247"/>
      <c r="NC55" s="1247"/>
      <c r="ND55" s="1247"/>
      <c r="NE55" s="1247"/>
      <c r="NF55" s="1247"/>
      <c r="NG55" s="1247"/>
      <c r="NH55" s="1247"/>
      <c r="NI55" s="1247"/>
      <c r="NJ55" s="1247"/>
      <c r="NK55" s="1247"/>
      <c r="NL55" s="1247"/>
      <c r="NM55" s="1247"/>
      <c r="NN55" s="1247"/>
      <c r="NO55" s="1247"/>
      <c r="NP55" s="1247"/>
      <c r="NQ55" s="1247"/>
      <c r="NR55" s="1247"/>
      <c r="NS55" s="1247"/>
      <c r="NT55" s="1247"/>
      <c r="NU55" s="1247"/>
      <c r="NV55" s="1247"/>
      <c r="NW55" s="1247"/>
      <c r="NX55" s="1247"/>
      <c r="NY55" s="1247"/>
      <c r="NZ55" s="1247"/>
      <c r="OA55" s="1247"/>
      <c r="OB55" s="1247"/>
      <c r="OC55" s="1247"/>
      <c r="OD55" s="1247"/>
      <c r="OE55" s="1247"/>
      <c r="OF55" s="1247"/>
      <c r="OG55" s="1247"/>
      <c r="OH55" s="1247"/>
      <c r="OI55" s="1247"/>
      <c r="OJ55" s="1247"/>
      <c r="OK55" s="1247"/>
      <c r="OL55" s="1247"/>
      <c r="OM55" s="1247"/>
      <c r="ON55" s="1247"/>
      <c r="OO55" s="1247"/>
      <c r="OP55" s="1247"/>
      <c r="OQ55" s="1247"/>
      <c r="OR55" s="1247"/>
      <c r="OS55" s="1247"/>
      <c r="OT55" s="1247"/>
      <c r="OU55" s="1247"/>
      <c r="OV55" s="1247"/>
      <c r="OW55" s="1247"/>
      <c r="OX55" s="1247"/>
      <c r="OY55" s="1247"/>
      <c r="OZ55" s="1247"/>
      <c r="PA55" s="1247"/>
      <c r="PB55" s="1247"/>
      <c r="PC55" s="1247"/>
      <c r="PD55" s="1247"/>
      <c r="PE55" s="1247"/>
      <c r="PF55" s="1247"/>
      <c r="PG55" s="1247"/>
      <c r="PH55" s="1247"/>
      <c r="PI55" s="1247"/>
      <c r="PJ55" s="1247"/>
      <c r="PK55" s="1247"/>
      <c r="PL55" s="1247"/>
      <c r="PM55" s="1247"/>
      <c r="PN55" s="1247"/>
      <c r="PO55" s="1247"/>
      <c r="PP55" s="1247"/>
      <c r="PQ55" s="1247"/>
      <c r="PR55" s="1247"/>
      <c r="PS55" s="1247"/>
      <c r="PT55" s="1247"/>
      <c r="PU55" s="1247"/>
      <c r="PV55" s="1247"/>
      <c r="PW55" s="1247"/>
      <c r="PX55" s="1247"/>
      <c r="PY55" s="1247"/>
      <c r="PZ55" s="1247"/>
      <c r="QA55" s="1247"/>
      <c r="QB55" s="1247"/>
      <c r="QC55" s="1247"/>
      <c r="QD55" s="1247"/>
      <c r="QE55" s="1247"/>
      <c r="QF55" s="1247"/>
      <c r="QG55" s="1247"/>
      <c r="QH55" s="1247"/>
      <c r="QI55" s="1247"/>
      <c r="QJ55" s="1247"/>
      <c r="QK55" s="1247"/>
      <c r="QL55" s="1247"/>
      <c r="QM55" s="1247"/>
      <c r="QN55" s="1247"/>
      <c r="QO55" s="1247"/>
      <c r="QP55" s="1247"/>
      <c r="QQ55" s="1247"/>
      <c r="QR55" s="1247"/>
      <c r="QS55" s="1247"/>
      <c r="QT55" s="1247"/>
      <c r="QU55" s="1247"/>
      <c r="QV55" s="1247"/>
      <c r="QW55" s="1247"/>
      <c r="QX55" s="1247"/>
      <c r="QY55" s="1247"/>
      <c r="QZ55" s="1247"/>
      <c r="RA55" s="1247"/>
      <c r="RB55" s="1247"/>
      <c r="RC55" s="1247"/>
      <c r="RD55" s="1247"/>
      <c r="RE55" s="1247"/>
      <c r="RF55" s="1247"/>
      <c r="RG55" s="1247"/>
      <c r="RH55" s="1247"/>
      <c r="RI55" s="1247"/>
      <c r="RJ55" s="1247"/>
      <c r="RK55" s="1247"/>
      <c r="RL55" s="1247"/>
      <c r="RM55" s="1247"/>
      <c r="RN55" s="1247"/>
      <c r="RO55" s="1247"/>
      <c r="RP55" s="1247"/>
      <c r="RQ55" s="1247"/>
      <c r="RR55" s="1247"/>
      <c r="RS55" s="1247"/>
      <c r="RT55" s="1247"/>
      <c r="RU55" s="1247"/>
      <c r="RV55" s="1247"/>
      <c r="RW55" s="1247"/>
      <c r="RX55" s="1247"/>
      <c r="RY55" s="1247"/>
      <c r="RZ55" s="1247"/>
      <c r="SA55" s="1247"/>
      <c r="SB55" s="1247"/>
      <c r="SC55" s="1247"/>
      <c r="SD55" s="1247"/>
      <c r="SE55" s="1247"/>
      <c r="SF55" s="1247"/>
      <c r="SG55" s="1247"/>
      <c r="SH55" s="1247"/>
      <c r="SI55" s="1247"/>
      <c r="SJ55" s="1247"/>
      <c r="SK55" s="1247"/>
      <c r="SL55" s="1247"/>
      <c r="SM55" s="1247"/>
      <c r="SN55" s="1247"/>
      <c r="SO55" s="1247"/>
      <c r="SP55" s="1247"/>
      <c r="SQ55" s="1247"/>
      <c r="SR55" s="1247"/>
      <c r="SS55" s="1247"/>
      <c r="ST55" s="1247"/>
      <c r="SU55" s="1247"/>
      <c r="SV55" s="1247"/>
      <c r="SW55" s="1247"/>
      <c r="SX55" s="1247"/>
      <c r="SY55" s="1247"/>
      <c r="SZ55" s="1247"/>
      <c r="TA55" s="1247"/>
      <c r="TB55" s="1247"/>
      <c r="TC55" s="1247"/>
      <c r="TD55" s="1247"/>
      <c r="TE55" s="1247"/>
      <c r="TF55" s="1247"/>
      <c r="TG55" s="1247"/>
      <c r="TH55" s="1247"/>
      <c r="TI55" s="1247"/>
      <c r="TJ55" s="1247"/>
      <c r="TK55" s="1247"/>
      <c r="TL55" s="1247"/>
      <c r="TM55" s="1247"/>
      <c r="TN55" s="1247"/>
      <c r="TO55" s="1247"/>
      <c r="TP55" s="1247"/>
      <c r="TQ55" s="1247"/>
      <c r="TR55" s="1247"/>
      <c r="TS55" s="1247"/>
      <c r="TT55" s="1247"/>
      <c r="TU55" s="1247"/>
      <c r="TV55" s="1247"/>
      <c r="TW55" s="1247"/>
      <c r="TX55" s="1247"/>
      <c r="TY55" s="1247"/>
      <c r="TZ55" s="1247"/>
      <c r="UA55" s="1247"/>
      <c r="UB55" s="1247"/>
      <c r="UC55" s="1247"/>
      <c r="UD55" s="1247"/>
      <c r="UE55" s="1247"/>
      <c r="UF55" s="1247"/>
      <c r="UG55" s="1247"/>
      <c r="UH55" s="1247"/>
      <c r="UI55" s="1247"/>
      <c r="UJ55" s="1247"/>
      <c r="UK55" s="1247"/>
      <c r="UL55" s="1247"/>
      <c r="UM55" s="1247"/>
      <c r="UN55" s="1247"/>
      <c r="UO55" s="1247"/>
      <c r="UP55" s="1247"/>
      <c r="UQ55" s="1247"/>
      <c r="UR55" s="1247"/>
      <c r="US55" s="1247"/>
      <c r="UT55" s="1247"/>
      <c r="UU55" s="1247"/>
      <c r="UV55" s="1247"/>
      <c r="UW55" s="1247"/>
      <c r="UX55" s="1247"/>
      <c r="UY55" s="1247"/>
      <c r="UZ55" s="1247"/>
      <c r="VA55" s="1247"/>
      <c r="VB55" s="1247"/>
      <c r="VC55" s="1247"/>
      <c r="VD55" s="1247"/>
      <c r="VE55" s="1247"/>
      <c r="VF55" s="1247"/>
      <c r="VG55" s="1247"/>
      <c r="VH55" s="1247"/>
      <c r="VI55" s="1247"/>
      <c r="VJ55" s="1247"/>
      <c r="VK55" s="1247"/>
      <c r="VL55" s="1247"/>
      <c r="VM55" s="1247"/>
      <c r="VN55" s="1247"/>
      <c r="VO55" s="1247"/>
      <c r="VP55" s="1247"/>
      <c r="VQ55" s="1247"/>
      <c r="VR55" s="1247"/>
      <c r="VS55" s="1247"/>
      <c r="VT55" s="1247"/>
      <c r="VU55" s="1247"/>
      <c r="VV55" s="1247"/>
      <c r="VW55" s="1247"/>
      <c r="VX55" s="1247"/>
      <c r="VY55" s="1247"/>
      <c r="VZ55" s="1247"/>
      <c r="WA55" s="1247"/>
      <c r="WB55" s="1247"/>
      <c r="WC55" s="1247"/>
      <c r="WD55" s="1247"/>
      <c r="WE55" s="1247"/>
      <c r="WF55" s="1247"/>
      <c r="WG55" s="1247"/>
      <c r="WH55" s="1247"/>
      <c r="WI55" s="1247"/>
      <c r="WJ55" s="1247"/>
      <c r="WK55" s="1247"/>
      <c r="WL55" s="1247"/>
      <c r="WM55" s="1247"/>
      <c r="WN55" s="1247"/>
      <c r="WO55" s="1247"/>
      <c r="WP55" s="1247"/>
      <c r="WQ55" s="1247"/>
      <c r="WR55" s="1247"/>
      <c r="WS55" s="1247"/>
      <c r="WT55" s="1247"/>
      <c r="WU55" s="1247"/>
      <c r="WV55" s="1247"/>
      <c r="WW55" s="1247"/>
      <c r="WX55" s="1247"/>
      <c r="WY55" s="1247"/>
      <c r="WZ55" s="1247"/>
      <c r="XA55" s="1247"/>
      <c r="XB55" s="1247"/>
      <c r="XC55" s="1247"/>
      <c r="XD55" s="1247"/>
      <c r="XE55" s="1247"/>
      <c r="XF55" s="1247"/>
      <c r="XG55" s="1247"/>
      <c r="XH55" s="1247"/>
      <c r="XI55" s="1247"/>
      <c r="XJ55" s="1247"/>
      <c r="XK55" s="1247"/>
      <c r="XL55" s="1247"/>
      <c r="XM55" s="1247"/>
      <c r="XN55" s="1247"/>
      <c r="XO55" s="1247"/>
      <c r="XP55" s="1247"/>
      <c r="XQ55" s="1247"/>
      <c r="XR55" s="1247"/>
      <c r="XS55" s="1247"/>
      <c r="XT55" s="1247"/>
      <c r="XU55" s="1247"/>
      <c r="XV55" s="1247"/>
      <c r="XW55" s="1247"/>
      <c r="XX55" s="1247"/>
      <c r="XY55" s="1247"/>
      <c r="XZ55" s="1247"/>
      <c r="YA55" s="1247"/>
      <c r="YB55" s="1247"/>
      <c r="YC55" s="1247"/>
      <c r="YD55" s="1247"/>
      <c r="YE55" s="1247"/>
      <c r="YF55" s="1247"/>
      <c r="YG55" s="1247"/>
      <c r="YH55" s="1247"/>
      <c r="YI55" s="1247"/>
      <c r="YJ55" s="1247"/>
      <c r="YK55" s="1247"/>
      <c r="YL55" s="1247"/>
      <c r="YM55" s="1247"/>
      <c r="YN55" s="1247"/>
      <c r="YO55" s="1247"/>
      <c r="YP55" s="1247"/>
      <c r="YQ55" s="1247"/>
      <c r="YR55" s="1247"/>
      <c r="YS55" s="1247"/>
      <c r="YT55" s="1247"/>
      <c r="YU55" s="1247"/>
      <c r="YV55" s="1247"/>
      <c r="YW55" s="1247"/>
      <c r="YX55" s="1247"/>
      <c r="YY55" s="1247"/>
      <c r="YZ55" s="1247"/>
      <c r="ZA55" s="1247"/>
      <c r="ZB55" s="1247"/>
      <c r="ZC55" s="1247"/>
      <c r="ZD55" s="1247"/>
      <c r="ZE55" s="1247"/>
      <c r="ZF55" s="1247"/>
      <c r="ZG55" s="1247"/>
      <c r="ZH55" s="1247"/>
      <c r="ZI55" s="1247"/>
      <c r="ZJ55" s="1247"/>
      <c r="ZK55" s="1247"/>
      <c r="ZL55" s="1247"/>
      <c r="ZM55" s="1247"/>
      <c r="ZN55" s="1247"/>
      <c r="ZO55" s="1247"/>
      <c r="ZP55" s="1247"/>
      <c r="ZQ55" s="1247"/>
      <c r="ZR55" s="1247"/>
      <c r="ZS55" s="1247"/>
      <c r="ZT55" s="1247"/>
      <c r="ZU55" s="1247"/>
      <c r="ZV55" s="1247"/>
      <c r="ZW55" s="1247"/>
      <c r="ZX55" s="1247"/>
      <c r="ZY55" s="1247"/>
      <c r="ZZ55" s="1247"/>
      <c r="AAA55" s="1247"/>
      <c r="AAB55" s="1247"/>
      <c r="AAC55" s="1247"/>
      <c r="AAD55" s="1247"/>
      <c r="AAE55" s="1247"/>
      <c r="AAF55" s="1247"/>
      <c r="AAG55" s="1247"/>
      <c r="AAH55" s="1247"/>
      <c r="AAI55" s="1247"/>
      <c r="AAJ55" s="1247"/>
      <c r="AAK55" s="1247"/>
      <c r="AAL55" s="1247"/>
      <c r="AAM55" s="1247"/>
      <c r="AAN55" s="1247"/>
      <c r="AAO55" s="1247"/>
      <c r="AAP55" s="1247"/>
      <c r="AAQ55" s="1247"/>
      <c r="AAR55" s="1247"/>
      <c r="AAS55" s="1247"/>
      <c r="AAT55" s="1247"/>
      <c r="AAU55" s="1247"/>
      <c r="AAV55" s="1247"/>
      <c r="AAW55" s="1247"/>
      <c r="AAX55" s="1247"/>
      <c r="AAY55" s="1247"/>
      <c r="AAZ55" s="1247"/>
      <c r="ABA55" s="1247"/>
      <c r="ABB55" s="1247"/>
      <c r="ABC55" s="1247"/>
      <c r="ABD55" s="1247"/>
      <c r="ABE55" s="1247"/>
      <c r="ABF55" s="1247"/>
      <c r="ABG55" s="1247"/>
      <c r="ABH55" s="1247"/>
      <c r="ABI55" s="1247"/>
      <c r="ABJ55" s="1247"/>
      <c r="ABK55" s="1247"/>
      <c r="ABL55" s="1247"/>
      <c r="ABM55" s="1247"/>
      <c r="ABN55" s="1247"/>
      <c r="ABO55" s="1247"/>
      <c r="ABP55" s="1247"/>
      <c r="ABQ55" s="1247"/>
      <c r="ABR55" s="1247"/>
      <c r="ABS55" s="1247"/>
      <c r="ABT55" s="1247"/>
      <c r="ABU55" s="1247"/>
      <c r="ABV55" s="1247"/>
      <c r="ABW55" s="1247"/>
      <c r="ABX55" s="1247"/>
      <c r="ABY55" s="1247"/>
      <c r="ABZ55" s="1247"/>
      <c r="ACA55" s="1247"/>
      <c r="ACB55" s="1247"/>
      <c r="ACC55" s="1247"/>
      <c r="ACD55" s="1247"/>
      <c r="ACE55" s="1247"/>
      <c r="ACF55" s="1247"/>
      <c r="ACG55" s="1247"/>
      <c r="ACH55" s="1247"/>
      <c r="ACI55" s="1247"/>
      <c r="ACJ55" s="1247"/>
      <c r="ACK55" s="1247"/>
      <c r="ACL55" s="1247"/>
      <c r="ACM55" s="1247"/>
      <c r="ACN55" s="1247"/>
      <c r="ACO55" s="1247"/>
      <c r="ACP55" s="1247"/>
      <c r="ACQ55" s="1247"/>
      <c r="ACR55" s="1247"/>
      <c r="ACS55" s="1247"/>
      <c r="ACT55" s="1247"/>
      <c r="ACU55" s="1247"/>
      <c r="ACV55" s="1247"/>
      <c r="ACW55" s="1247"/>
      <c r="ACX55" s="1247"/>
      <c r="ACY55" s="1247"/>
      <c r="ACZ55" s="1247"/>
      <c r="ADA55" s="1247"/>
      <c r="ADB55" s="1247"/>
      <c r="ADC55" s="1247"/>
      <c r="ADD55" s="1247"/>
      <c r="ADE55" s="1247"/>
      <c r="ADF55" s="1247"/>
      <c r="ADG55" s="1247"/>
      <c r="ADH55" s="1247"/>
      <c r="ADI55" s="1247"/>
      <c r="ADJ55" s="1247"/>
      <c r="ADK55" s="1247"/>
      <c r="ADL55" s="1247"/>
      <c r="ADM55" s="1247"/>
      <c r="ADN55" s="1247"/>
      <c r="ADO55" s="1247"/>
      <c r="ADP55" s="1247"/>
      <c r="ADQ55" s="1247"/>
      <c r="ADR55" s="1247"/>
      <c r="ADS55" s="1247"/>
      <c r="ADT55" s="1247"/>
      <c r="ADU55" s="1247"/>
      <c r="ADV55" s="1247"/>
      <c r="ADW55" s="1247"/>
      <c r="ADX55" s="1247"/>
      <c r="ADY55" s="1247"/>
      <c r="ADZ55" s="1247"/>
      <c r="AEA55" s="1247"/>
      <c r="AEB55" s="1247"/>
      <c r="AEC55" s="1247"/>
      <c r="AED55" s="1247"/>
      <c r="AEE55" s="1247"/>
      <c r="AEF55" s="1247"/>
      <c r="AEG55" s="1247"/>
      <c r="AEH55" s="1247"/>
      <c r="AEI55" s="1247"/>
      <c r="AEJ55" s="1247"/>
      <c r="AEK55" s="1247"/>
      <c r="AEL55" s="1247"/>
      <c r="AEM55" s="1247"/>
      <c r="AEN55" s="1247"/>
      <c r="AEO55" s="1247"/>
      <c r="AEP55" s="1247"/>
      <c r="AEQ55" s="1247"/>
      <c r="AER55" s="1247"/>
      <c r="AES55" s="1247"/>
      <c r="AET55" s="1247"/>
      <c r="AEU55" s="1247"/>
      <c r="AEV55" s="1247"/>
      <c r="AEW55" s="1247"/>
      <c r="AEX55" s="1247"/>
      <c r="AEY55" s="1247"/>
      <c r="AEZ55" s="1247"/>
      <c r="AFA55" s="1247"/>
      <c r="AFB55" s="1247"/>
      <c r="AFC55" s="1247"/>
      <c r="AFD55" s="1247"/>
      <c r="AFE55" s="1247"/>
      <c r="AFF55" s="1247"/>
      <c r="AFG55" s="1247"/>
      <c r="AFH55" s="1247"/>
      <c r="AFI55" s="1247"/>
      <c r="AFJ55" s="1247"/>
      <c r="AFK55" s="1247"/>
      <c r="AFL55" s="1247"/>
      <c r="AFM55" s="1247"/>
      <c r="AFN55" s="1247"/>
      <c r="AFO55" s="1247"/>
      <c r="AFP55" s="1247"/>
      <c r="AFQ55" s="1247"/>
      <c r="AFR55" s="1247"/>
      <c r="AFS55" s="1247"/>
      <c r="AFT55" s="1247"/>
      <c r="AFU55" s="1247"/>
      <c r="AFV55" s="1247"/>
      <c r="AFW55" s="1247"/>
      <c r="AFX55" s="1247"/>
      <c r="AFY55" s="1247"/>
      <c r="AFZ55" s="1247"/>
      <c r="AGA55" s="1247"/>
      <c r="AGB55" s="1247"/>
      <c r="AGC55" s="1247"/>
      <c r="AGD55" s="1247"/>
      <c r="AGE55" s="1247"/>
      <c r="AGF55" s="1247"/>
      <c r="AGG55" s="1247"/>
      <c r="AGH55" s="1247"/>
      <c r="AGI55" s="1247"/>
      <c r="AGJ55" s="1247"/>
      <c r="AGK55" s="1247"/>
      <c r="AGL55" s="1247"/>
      <c r="AGM55" s="1247"/>
      <c r="AGN55" s="1247"/>
      <c r="AGO55" s="1247"/>
      <c r="AGP55" s="1247"/>
      <c r="AGQ55" s="1247"/>
      <c r="AGR55" s="1247"/>
      <c r="AGS55" s="1247"/>
      <c r="AGT55" s="1247"/>
      <c r="AGU55" s="1247"/>
      <c r="AGV55" s="1247"/>
      <c r="AGW55" s="1247"/>
      <c r="AGX55" s="1247"/>
      <c r="AGY55" s="1247"/>
      <c r="AGZ55" s="1247"/>
      <c r="AHA55" s="1247"/>
      <c r="AHB55" s="1247"/>
      <c r="AHC55" s="1247"/>
      <c r="AHD55" s="1247"/>
      <c r="AHE55" s="1247"/>
      <c r="AHF55" s="1247"/>
      <c r="AHG55" s="1247"/>
      <c r="AHH55" s="1247"/>
      <c r="AHI55" s="1247"/>
      <c r="AHJ55" s="1247"/>
      <c r="AHK55" s="1247"/>
      <c r="AHL55" s="1247"/>
      <c r="AHM55" s="1247"/>
      <c r="AHN55" s="1247"/>
      <c r="AHO55" s="1247"/>
      <c r="AHP55" s="1247"/>
      <c r="AHQ55" s="1247"/>
      <c r="AHR55" s="1247"/>
      <c r="AHS55" s="1247"/>
      <c r="AHT55" s="1247"/>
      <c r="AHU55" s="1247"/>
      <c r="AHV55" s="1247"/>
      <c r="AHW55" s="1247"/>
      <c r="AHX55" s="1247"/>
      <c r="AHY55" s="1247"/>
      <c r="AHZ55" s="1247"/>
      <c r="AIA55" s="1247"/>
      <c r="AIB55" s="1247"/>
      <c r="AIC55" s="1247"/>
      <c r="AID55" s="1247"/>
      <c r="AIE55" s="1247"/>
      <c r="AIF55" s="1247"/>
      <c r="AIG55" s="1247"/>
      <c r="AIH55" s="1247"/>
      <c r="AII55" s="1247"/>
      <c r="AIJ55" s="1247"/>
      <c r="AIK55" s="1247"/>
      <c r="AIL55" s="1247"/>
      <c r="AIM55" s="1247"/>
      <c r="AIN55" s="1247"/>
      <c r="AIO55" s="1247"/>
      <c r="AIP55" s="1247"/>
      <c r="AIQ55" s="1247"/>
      <c r="AIR55" s="1247"/>
      <c r="AIS55" s="1247"/>
      <c r="AIT55" s="1247"/>
      <c r="AIU55" s="1247"/>
      <c r="AIV55" s="1247"/>
      <c r="AIW55" s="1247"/>
      <c r="AIX55" s="1247"/>
      <c r="AIY55" s="1247"/>
      <c r="AIZ55" s="1247"/>
      <c r="AJA55" s="1247"/>
      <c r="AJB55" s="1247"/>
      <c r="AJC55" s="1247"/>
      <c r="AJD55" s="1247"/>
      <c r="AJE55" s="1247"/>
      <c r="AJF55" s="1247"/>
      <c r="AJG55" s="1247"/>
      <c r="AJH55" s="1247"/>
      <c r="AJI55" s="1247"/>
      <c r="AJJ55" s="1247"/>
      <c r="AJK55" s="1247"/>
      <c r="AJL55" s="1247"/>
      <c r="AJM55" s="1247"/>
      <c r="AJN55" s="1247"/>
      <c r="AJO55" s="1247"/>
      <c r="AJP55" s="1247"/>
      <c r="AJQ55" s="1247"/>
      <c r="AJR55" s="1247"/>
      <c r="AJS55" s="1247"/>
      <c r="AJT55" s="1247"/>
      <c r="AJU55" s="1247"/>
      <c r="AJV55" s="1247"/>
      <c r="AJW55" s="1247"/>
      <c r="AJX55" s="1247"/>
      <c r="AJY55" s="1247"/>
      <c r="AJZ55" s="1247"/>
      <c r="AKA55" s="1247"/>
      <c r="AKB55" s="1247"/>
      <c r="AKC55" s="1247"/>
      <c r="AKD55" s="1247"/>
      <c r="AKE55" s="1247"/>
      <c r="AKF55" s="1247"/>
      <c r="AKG55" s="1247"/>
      <c r="AKH55" s="1247"/>
      <c r="AKI55" s="1247"/>
      <c r="AKJ55" s="1247"/>
      <c r="AKK55" s="1247"/>
      <c r="AKL55" s="1247"/>
      <c r="AKM55" s="1247"/>
      <c r="AKN55" s="1247"/>
      <c r="AKO55" s="1247"/>
      <c r="AKP55" s="1247"/>
      <c r="AKQ55" s="1247"/>
      <c r="AKR55" s="1247"/>
      <c r="AKS55" s="1247"/>
      <c r="AKT55" s="1247"/>
      <c r="AKU55" s="1247"/>
      <c r="AKV55" s="1247"/>
      <c r="AKW55" s="1247"/>
      <c r="AKX55" s="1247"/>
      <c r="AKY55" s="1247"/>
      <c r="AKZ55" s="1247"/>
      <c r="ALA55" s="1247"/>
      <c r="ALB55" s="1247"/>
      <c r="ALC55" s="1247"/>
      <c r="ALD55" s="1247"/>
      <c r="ALE55" s="1247"/>
      <c r="ALF55" s="1247"/>
      <c r="ALG55" s="1247"/>
      <c r="ALH55" s="1247"/>
      <c r="ALI55" s="1247"/>
      <c r="ALJ55" s="1247"/>
      <c r="ALK55" s="1247"/>
      <c r="ALL55" s="1247"/>
      <c r="ALM55" s="1247"/>
      <c r="ALN55" s="1247"/>
      <c r="ALO55" s="1247"/>
      <c r="ALP55" s="1247"/>
      <c r="ALQ55" s="1247"/>
      <c r="ALR55" s="1247"/>
      <c r="ALS55" s="1247"/>
      <c r="ALT55" s="1247"/>
      <c r="ALU55" s="1247"/>
      <c r="ALV55" s="1247"/>
      <c r="ALW55" s="1247"/>
      <c r="ALX55" s="1247"/>
      <c r="ALY55" s="1247"/>
      <c r="ALZ55" s="1247"/>
      <c r="AMA55" s="1247"/>
      <c r="AMB55" s="1247"/>
      <c r="AMC55" s="1247"/>
      <c r="AMD55" s="1247"/>
      <c r="AME55" s="1247"/>
      <c r="AMF55" s="1247"/>
      <c r="AMG55" s="1247"/>
      <c r="AMH55" s="1247"/>
      <c r="AMI55" s="1247"/>
      <c r="AMJ55" s="1247"/>
      <c r="AMK55" s="1247"/>
      <c r="AML55" s="1247"/>
      <c r="AMM55" s="1247"/>
      <c r="AMN55" s="1247"/>
      <c r="AMO55" s="1247"/>
      <c r="AMP55" s="1247"/>
      <c r="AMQ55" s="1247"/>
      <c r="AMR55" s="1247"/>
      <c r="AMS55" s="1247"/>
      <c r="AMT55" s="1247"/>
      <c r="AMU55" s="1247"/>
      <c r="AMV55" s="1247"/>
      <c r="AMW55" s="1247"/>
      <c r="AMX55" s="1247"/>
      <c r="AMY55" s="1247"/>
      <c r="AMZ55" s="1247"/>
      <c r="ANA55" s="1247"/>
      <c r="ANB55" s="1247"/>
      <c r="ANC55" s="1247"/>
      <c r="AND55" s="1247"/>
      <c r="ANE55" s="1247"/>
      <c r="ANF55" s="1247"/>
      <c r="ANG55" s="1247"/>
      <c r="ANH55" s="1247"/>
      <c r="ANI55" s="1247"/>
      <c r="ANJ55" s="1247"/>
      <c r="ANK55" s="1247"/>
      <c r="ANL55" s="1247"/>
      <c r="ANM55" s="1247"/>
      <c r="ANN55" s="1247"/>
      <c r="ANO55" s="1247"/>
      <c r="ANP55" s="1247"/>
      <c r="ANQ55" s="1247"/>
      <c r="ANR55" s="1247"/>
      <c r="ANS55" s="1247"/>
      <c r="ANT55" s="1247"/>
      <c r="ANU55" s="1247"/>
      <c r="ANV55" s="1247"/>
      <c r="ANW55" s="1247"/>
      <c r="ANX55" s="1247"/>
      <c r="ANY55" s="1247"/>
      <c r="ANZ55" s="1247"/>
      <c r="AOA55" s="1247"/>
      <c r="AOB55" s="1247"/>
      <c r="AOC55" s="1247"/>
      <c r="AOD55" s="1247"/>
      <c r="AOE55" s="1247"/>
      <c r="AOF55" s="1247"/>
      <c r="AOG55" s="1247"/>
      <c r="AOH55" s="1247"/>
      <c r="AOI55" s="1247"/>
      <c r="AOJ55" s="1247"/>
      <c r="AOK55" s="1247"/>
      <c r="AOL55" s="1247"/>
      <c r="AOM55" s="1247"/>
      <c r="AON55" s="1247"/>
      <c r="AOO55" s="1247"/>
      <c r="AOP55" s="1247"/>
      <c r="AOQ55" s="1247"/>
      <c r="AOR55" s="1247"/>
      <c r="AOS55" s="1247"/>
      <c r="AOT55" s="1247"/>
      <c r="AOU55" s="1247"/>
      <c r="AOV55" s="1247"/>
      <c r="AOW55" s="1247"/>
      <c r="AOX55" s="1247"/>
      <c r="AOY55" s="1247"/>
      <c r="AOZ55" s="1247"/>
      <c r="APA55" s="1247"/>
      <c r="APB55" s="1247"/>
      <c r="APC55" s="1247"/>
      <c r="APD55" s="1247"/>
      <c r="APE55" s="1247"/>
      <c r="APF55" s="1247"/>
      <c r="APG55" s="1247"/>
      <c r="APH55" s="1247"/>
      <c r="API55" s="1247"/>
      <c r="APJ55" s="1247"/>
      <c r="APK55" s="1247"/>
      <c r="APL55" s="1247"/>
      <c r="APM55" s="1247"/>
      <c r="APN55" s="1247"/>
      <c r="APO55" s="1247"/>
      <c r="APP55" s="1247"/>
      <c r="APQ55" s="1247"/>
      <c r="APR55" s="1247"/>
      <c r="APS55" s="1247"/>
      <c r="APT55" s="1247"/>
      <c r="APU55" s="1247"/>
      <c r="APV55" s="1247"/>
      <c r="APW55" s="1247"/>
      <c r="APX55" s="1247"/>
      <c r="APY55" s="1247"/>
      <c r="APZ55" s="1247"/>
      <c r="AQA55" s="1247"/>
      <c r="AQB55" s="1247"/>
      <c r="AQC55" s="1247"/>
      <c r="AQD55" s="1247"/>
      <c r="AQE55" s="1247"/>
      <c r="AQF55" s="1247"/>
      <c r="AQG55" s="1247"/>
      <c r="AQH55" s="1247"/>
      <c r="AQI55" s="1247"/>
      <c r="AQJ55" s="1247"/>
      <c r="AQK55" s="1247"/>
      <c r="AQL55" s="1247"/>
      <c r="AQM55" s="1247"/>
      <c r="AQN55" s="1247"/>
      <c r="AQO55" s="1247"/>
      <c r="AQP55" s="1247"/>
      <c r="AQQ55" s="1247"/>
      <c r="AQR55" s="1247"/>
      <c r="AQS55" s="1247"/>
      <c r="AQT55" s="1247"/>
      <c r="AQU55" s="1247"/>
      <c r="AQV55" s="1247"/>
      <c r="AQW55" s="1247"/>
      <c r="AQX55" s="1247"/>
      <c r="AQY55" s="1247"/>
      <c r="AQZ55" s="1247"/>
      <c r="ARA55" s="1247"/>
      <c r="ARB55" s="1247"/>
      <c r="ARC55" s="1247"/>
      <c r="ARD55" s="1247"/>
      <c r="ARE55" s="1247"/>
      <c r="ARF55" s="1247"/>
      <c r="ARG55" s="1247"/>
      <c r="ARH55" s="1247"/>
      <c r="ARI55" s="1247"/>
      <c r="ARJ55" s="1247"/>
      <c r="ARK55" s="1247"/>
      <c r="ARL55" s="1247"/>
      <c r="ARM55" s="1247"/>
      <c r="ARN55" s="1247"/>
      <c r="ARO55" s="1247"/>
      <c r="ARP55" s="1247"/>
      <c r="ARQ55" s="1247"/>
      <c r="ARR55" s="1247"/>
      <c r="ARS55" s="1247"/>
      <c r="ART55" s="1247"/>
      <c r="ARU55" s="1247"/>
      <c r="ARV55" s="1247"/>
      <c r="ARW55" s="1247"/>
      <c r="ARX55" s="1247"/>
      <c r="ARY55" s="1247"/>
      <c r="ARZ55" s="1247"/>
      <c r="ASA55" s="1247"/>
      <c r="ASB55" s="1247"/>
      <c r="ASC55" s="1247"/>
      <c r="ASD55" s="1247"/>
      <c r="ASE55" s="1247"/>
      <c r="ASF55" s="1247"/>
      <c r="ASG55" s="1247"/>
      <c r="ASH55" s="1247"/>
      <c r="ASI55" s="1247"/>
      <c r="ASJ55" s="1247"/>
      <c r="ASK55" s="1247"/>
      <c r="ASL55" s="1247"/>
      <c r="ASM55" s="1247"/>
      <c r="ASN55" s="1247"/>
      <c r="ASO55" s="1247"/>
      <c r="ASP55" s="1247"/>
      <c r="ASQ55" s="1247"/>
      <c r="ASR55" s="1247"/>
      <c r="ASS55" s="1247"/>
      <c r="AST55" s="1247"/>
      <c r="ASU55" s="1247"/>
      <c r="ASV55" s="1247"/>
      <c r="ASW55" s="1247"/>
      <c r="ASX55" s="1247"/>
      <c r="ASY55" s="1247"/>
      <c r="ASZ55" s="1247"/>
      <c r="ATA55" s="1247"/>
      <c r="ATB55" s="1247"/>
      <c r="ATC55" s="1247"/>
      <c r="ATD55" s="1247"/>
      <c r="ATE55" s="1247"/>
      <c r="ATF55" s="1247"/>
      <c r="ATG55" s="1247"/>
      <c r="ATH55" s="1247"/>
      <c r="ATI55" s="1247"/>
      <c r="ATJ55" s="1247"/>
      <c r="ATK55" s="1247"/>
      <c r="ATL55" s="1247"/>
      <c r="ATM55" s="1247"/>
      <c r="ATN55" s="1247"/>
      <c r="ATO55" s="1247"/>
      <c r="ATP55" s="1247"/>
      <c r="ATQ55" s="1247"/>
      <c r="ATR55" s="1247"/>
      <c r="ATS55" s="1247"/>
      <c r="ATT55" s="1247"/>
      <c r="ATU55" s="1247"/>
      <c r="ATV55" s="1247"/>
      <c r="ATW55" s="1247"/>
      <c r="ATX55" s="1247"/>
      <c r="ATY55" s="1247"/>
      <c r="ATZ55" s="1247"/>
      <c r="AUA55" s="1247"/>
      <c r="AUB55" s="1247"/>
      <c r="AUC55" s="1247"/>
      <c r="AUD55" s="1247"/>
      <c r="AUE55" s="1247"/>
      <c r="AUF55" s="1247"/>
      <c r="AUG55" s="1247"/>
      <c r="AUH55" s="1247"/>
      <c r="AUI55" s="1247"/>
      <c r="AUJ55" s="1247"/>
      <c r="AUK55" s="1247"/>
      <c r="AUL55" s="1247"/>
      <c r="AUM55" s="1247"/>
      <c r="AUN55" s="1247"/>
      <c r="AUO55" s="1247"/>
      <c r="AUP55" s="1247"/>
      <c r="AUQ55" s="1247"/>
      <c r="AUR55" s="1247"/>
      <c r="AUS55" s="1247"/>
      <c r="AUT55" s="1247"/>
      <c r="AUU55" s="1247"/>
      <c r="AUV55" s="1247"/>
      <c r="AUW55" s="1247"/>
      <c r="AUX55" s="1247"/>
      <c r="AUY55" s="1247"/>
      <c r="AUZ55" s="1247"/>
      <c r="AVA55" s="1247"/>
      <c r="AVB55" s="1247"/>
      <c r="AVC55" s="1247"/>
      <c r="AVD55" s="1247"/>
      <c r="AVE55" s="1247"/>
      <c r="AVF55" s="1247"/>
      <c r="AVG55" s="1247"/>
      <c r="AVH55" s="1247"/>
      <c r="AVI55" s="1247"/>
      <c r="AVJ55" s="1247"/>
      <c r="AVK55" s="1247"/>
      <c r="AVL55" s="1247"/>
      <c r="AVM55" s="1247"/>
      <c r="AVN55" s="1247"/>
      <c r="AVO55" s="1247"/>
      <c r="AVP55" s="1247"/>
      <c r="AVQ55" s="1247"/>
      <c r="AVR55" s="1247"/>
      <c r="AVS55" s="1247"/>
      <c r="AVT55" s="1247"/>
      <c r="AVU55" s="1247"/>
      <c r="AVV55" s="1247"/>
      <c r="AVW55" s="1247"/>
      <c r="AVX55" s="1247"/>
      <c r="AVY55" s="1247"/>
      <c r="AVZ55" s="1247"/>
      <c r="AWA55" s="1247"/>
      <c r="AWB55" s="1247"/>
      <c r="AWC55" s="1247"/>
      <c r="AWD55" s="1247"/>
      <c r="AWE55" s="1247"/>
      <c r="AWF55" s="1247"/>
      <c r="AWG55" s="1247"/>
      <c r="AWH55" s="1247"/>
      <c r="AWI55" s="1247"/>
      <c r="AWJ55" s="1247"/>
      <c r="AWK55" s="1247"/>
      <c r="AWL55" s="1247"/>
      <c r="AWM55" s="1247"/>
      <c r="AWN55" s="1247"/>
      <c r="AWO55" s="1247"/>
      <c r="AWP55" s="1247"/>
      <c r="AWQ55" s="1247"/>
      <c r="AWR55" s="1247"/>
      <c r="AWS55" s="1247"/>
      <c r="AWT55" s="1247"/>
      <c r="AWU55" s="1247"/>
      <c r="AWV55" s="1247"/>
      <c r="AWW55" s="1247"/>
      <c r="AWX55" s="1247"/>
      <c r="AWY55" s="1247"/>
      <c r="AWZ55" s="1247"/>
      <c r="AXA55" s="1247"/>
      <c r="AXB55" s="1247"/>
      <c r="AXC55" s="1247"/>
      <c r="AXD55" s="1247"/>
      <c r="AXE55" s="1247"/>
      <c r="AXF55" s="1247"/>
      <c r="AXG55" s="1247"/>
      <c r="AXH55" s="1247"/>
      <c r="AXI55" s="1247"/>
      <c r="AXJ55" s="1247"/>
      <c r="AXK55" s="1247"/>
      <c r="AXL55" s="1247"/>
      <c r="AXM55" s="1247"/>
      <c r="AXN55" s="1247"/>
      <c r="AXO55" s="1247"/>
      <c r="AXP55" s="1247"/>
      <c r="AXQ55" s="1247"/>
      <c r="AXR55" s="1247"/>
      <c r="AXS55" s="1247"/>
      <c r="AXT55" s="1247"/>
      <c r="AXU55" s="1247"/>
      <c r="AXV55" s="1247"/>
      <c r="AXW55" s="1247"/>
      <c r="AXX55" s="1247"/>
      <c r="AXY55" s="1247"/>
      <c r="AXZ55" s="1247"/>
      <c r="AYA55" s="1247"/>
      <c r="AYB55" s="1247"/>
      <c r="AYC55" s="1247"/>
      <c r="AYD55" s="1247"/>
      <c r="AYE55" s="1247"/>
      <c r="AYF55" s="1247"/>
      <c r="AYG55" s="1247"/>
      <c r="AYH55" s="1247"/>
      <c r="AYI55" s="1247"/>
      <c r="AYJ55" s="1247"/>
      <c r="AYK55" s="1247"/>
      <c r="AYL55" s="1247"/>
      <c r="AYM55" s="1247"/>
      <c r="AYN55" s="1247"/>
      <c r="AYO55" s="1247"/>
      <c r="AYP55" s="1247"/>
      <c r="AYQ55" s="1247"/>
      <c r="AYR55" s="1247"/>
      <c r="AYS55" s="1247"/>
      <c r="AYT55" s="1247"/>
      <c r="AYU55" s="1247"/>
      <c r="AYV55" s="1247"/>
      <c r="AYW55" s="1247"/>
      <c r="AYX55" s="1247"/>
      <c r="AYY55" s="1247"/>
      <c r="AYZ55" s="1247"/>
      <c r="AZA55" s="1247"/>
      <c r="AZB55" s="1247"/>
      <c r="AZC55" s="1247"/>
      <c r="AZD55" s="1247"/>
      <c r="AZE55" s="1247"/>
      <c r="AZF55" s="1247"/>
      <c r="AZG55" s="1247"/>
      <c r="AZH55" s="1247"/>
      <c r="AZI55" s="1247"/>
      <c r="AZJ55" s="1247"/>
      <c r="AZK55" s="1247"/>
      <c r="AZL55" s="1247"/>
      <c r="AZM55" s="1247"/>
      <c r="AZN55" s="1247"/>
      <c r="AZO55" s="1247"/>
      <c r="AZP55" s="1247"/>
      <c r="AZQ55" s="1247"/>
      <c r="AZR55" s="1247"/>
      <c r="AZS55" s="1247"/>
      <c r="AZT55" s="1247"/>
      <c r="AZU55" s="1247"/>
      <c r="AZV55" s="1247"/>
      <c r="AZW55" s="1247"/>
      <c r="AZX55" s="1247"/>
      <c r="AZY55" s="1247"/>
      <c r="AZZ55" s="1247"/>
      <c r="BAA55" s="1247"/>
      <c r="BAB55" s="1247"/>
      <c r="BAC55" s="1247"/>
      <c r="BAD55" s="1247"/>
      <c r="BAE55" s="1247"/>
      <c r="BAF55" s="1247"/>
      <c r="BAG55" s="1247"/>
      <c r="BAH55" s="1247"/>
      <c r="BAI55" s="1247"/>
      <c r="BAJ55" s="1247"/>
      <c r="BAK55" s="1247"/>
      <c r="BAL55" s="1247"/>
      <c r="BAM55" s="1247"/>
      <c r="BAN55" s="1247"/>
      <c r="BAO55" s="1247"/>
      <c r="BAP55" s="1247"/>
      <c r="BAQ55" s="1247"/>
      <c r="BAR55" s="1247"/>
      <c r="BAS55" s="1247"/>
      <c r="BAT55" s="1247"/>
      <c r="BAU55" s="1247"/>
      <c r="BAV55" s="1247"/>
      <c r="BAW55" s="1247"/>
      <c r="BAX55" s="1247"/>
      <c r="BAY55" s="1247"/>
      <c r="BAZ55" s="1247"/>
      <c r="BBA55" s="1247"/>
      <c r="BBB55" s="1247"/>
      <c r="BBC55" s="1247"/>
      <c r="BBD55" s="1247"/>
      <c r="BBE55" s="1247"/>
      <c r="BBF55" s="1247"/>
      <c r="BBG55" s="1247"/>
      <c r="BBH55" s="1247"/>
      <c r="BBI55" s="1247"/>
      <c r="BBJ55" s="1247"/>
      <c r="BBK55" s="1247"/>
      <c r="BBL55" s="1247"/>
      <c r="BBM55" s="1247"/>
      <c r="BBN55" s="1247"/>
      <c r="BBO55" s="1247"/>
      <c r="BBP55" s="1247"/>
      <c r="BBQ55" s="1247"/>
      <c r="BBR55" s="1247"/>
      <c r="BBS55" s="1247"/>
      <c r="BBT55" s="1247"/>
      <c r="BBU55" s="1247"/>
      <c r="BBV55" s="1247"/>
      <c r="BBW55" s="1247"/>
      <c r="BBX55" s="1247"/>
      <c r="BBY55" s="1247"/>
      <c r="BBZ55" s="1247"/>
      <c r="BCA55" s="1247"/>
      <c r="BCB55" s="1247"/>
      <c r="BCC55" s="1247"/>
      <c r="BCD55" s="1247"/>
      <c r="BCE55" s="1247"/>
      <c r="BCF55" s="1247"/>
      <c r="BCG55" s="1247"/>
      <c r="BCH55" s="1247"/>
      <c r="BCI55" s="1247"/>
      <c r="BCJ55" s="1247"/>
      <c r="BCK55" s="1247"/>
      <c r="BCL55" s="1247"/>
      <c r="BCM55" s="1247"/>
      <c r="BCN55" s="1247"/>
      <c r="BCO55" s="1247"/>
      <c r="BCP55" s="1247"/>
      <c r="BCQ55" s="1247"/>
      <c r="BCR55" s="1247"/>
      <c r="BCS55" s="1247"/>
      <c r="BCT55" s="1247"/>
      <c r="BCU55" s="1247"/>
      <c r="BCV55" s="1247"/>
      <c r="BCW55" s="1247"/>
      <c r="BCX55" s="1247"/>
      <c r="BCY55" s="1247"/>
      <c r="BCZ55" s="1247"/>
      <c r="BDA55" s="1247"/>
      <c r="BDB55" s="1247"/>
      <c r="BDC55" s="1247"/>
      <c r="BDD55" s="1247"/>
      <c r="BDE55" s="1247"/>
      <c r="BDF55" s="1247"/>
      <c r="BDG55" s="1247"/>
      <c r="BDH55" s="1247"/>
      <c r="BDI55" s="1247"/>
      <c r="BDJ55" s="1247"/>
      <c r="BDK55" s="1247"/>
      <c r="BDL55" s="1247"/>
      <c r="BDM55" s="1247"/>
      <c r="BDN55" s="1247"/>
      <c r="BDO55" s="1247"/>
      <c r="BDP55" s="1247"/>
      <c r="BDQ55" s="1247"/>
      <c r="BDR55" s="1247"/>
      <c r="BDS55" s="1247"/>
      <c r="BDT55" s="1247"/>
      <c r="BDU55" s="1247"/>
      <c r="BDV55" s="1247"/>
      <c r="BDW55" s="1247"/>
      <c r="BDX55" s="1247"/>
      <c r="BDY55" s="1247"/>
      <c r="BDZ55" s="1247"/>
      <c r="BEA55" s="1247"/>
      <c r="BEB55" s="1247"/>
      <c r="BEC55" s="1247"/>
      <c r="BED55" s="1247"/>
      <c r="BEE55" s="1247"/>
      <c r="BEF55" s="1247"/>
      <c r="BEG55" s="1247"/>
      <c r="BEH55" s="1247"/>
      <c r="BEI55" s="1247"/>
      <c r="BEJ55" s="1247"/>
      <c r="BEK55" s="1247"/>
      <c r="BEL55" s="1247"/>
      <c r="BEM55" s="1247"/>
      <c r="BEN55" s="1247"/>
      <c r="BEO55" s="1247"/>
      <c r="BEP55" s="1247"/>
      <c r="BEQ55" s="1247"/>
      <c r="BER55" s="1247"/>
      <c r="BES55" s="1247"/>
      <c r="BET55" s="1247"/>
      <c r="BEU55" s="1247"/>
      <c r="BEV55" s="1247"/>
      <c r="BEW55" s="1247"/>
      <c r="BEX55" s="1247"/>
      <c r="BEY55" s="1247"/>
      <c r="BEZ55" s="1247"/>
      <c r="BFA55" s="1247"/>
      <c r="BFB55" s="1247"/>
      <c r="BFC55" s="1247"/>
      <c r="BFD55" s="1247"/>
      <c r="BFE55" s="1247"/>
      <c r="BFF55" s="1247"/>
      <c r="BFG55" s="1247"/>
      <c r="BFH55" s="1247"/>
      <c r="BFI55" s="1247"/>
      <c r="BFJ55" s="1247"/>
      <c r="BFK55" s="1247"/>
      <c r="BFL55" s="1247"/>
      <c r="BFM55" s="1247"/>
      <c r="BFN55" s="1247"/>
      <c r="BFO55" s="1247"/>
      <c r="BFP55" s="1247"/>
      <c r="BFQ55" s="1247"/>
      <c r="BFR55" s="1247"/>
      <c r="BFS55" s="1247"/>
      <c r="BFT55" s="1247"/>
      <c r="BFU55" s="1247"/>
      <c r="BFV55" s="1247"/>
      <c r="BFW55" s="1247"/>
      <c r="BFX55" s="1247"/>
      <c r="BFY55" s="1247"/>
      <c r="BFZ55" s="1247"/>
      <c r="BGA55" s="1247"/>
      <c r="BGB55" s="1247"/>
      <c r="BGC55" s="1247"/>
      <c r="BGD55" s="1247"/>
      <c r="BGE55" s="1247"/>
      <c r="BGF55" s="1247"/>
      <c r="BGG55" s="1247"/>
      <c r="BGH55" s="1247"/>
      <c r="BGI55" s="1247"/>
      <c r="BGJ55" s="1247"/>
      <c r="BGK55" s="1247"/>
      <c r="BGL55" s="1247"/>
      <c r="BGM55" s="1247"/>
      <c r="BGN55" s="1247"/>
      <c r="BGO55" s="1247"/>
      <c r="BGP55" s="1247"/>
      <c r="BGQ55" s="1247"/>
      <c r="BGR55" s="1247"/>
      <c r="BGS55" s="1247"/>
      <c r="BGT55" s="1247"/>
      <c r="BGU55" s="1247"/>
      <c r="BGV55" s="1247"/>
      <c r="BGW55" s="1247"/>
      <c r="BGX55" s="1247"/>
      <c r="BGY55" s="1247"/>
      <c r="BGZ55" s="1247"/>
      <c r="BHA55" s="1247"/>
      <c r="BHB55" s="1247"/>
      <c r="BHC55" s="1247"/>
      <c r="BHD55" s="1247"/>
      <c r="BHE55" s="1247"/>
      <c r="BHF55" s="1247"/>
      <c r="BHG55" s="1247"/>
      <c r="BHH55" s="1247"/>
      <c r="BHI55" s="1247"/>
      <c r="BHJ55" s="1247"/>
      <c r="BHK55" s="1247"/>
      <c r="BHL55" s="1247"/>
      <c r="BHM55" s="1247"/>
      <c r="BHN55" s="1247"/>
      <c r="BHO55" s="1247"/>
      <c r="BHP55" s="1247"/>
      <c r="BHQ55" s="1247"/>
      <c r="BHR55" s="1247"/>
      <c r="BHS55" s="1247"/>
      <c r="BHT55" s="1247"/>
      <c r="BHU55" s="1247"/>
      <c r="BHV55" s="1247"/>
      <c r="BHW55" s="1247"/>
      <c r="BHX55" s="1247"/>
      <c r="BHY55" s="1247"/>
      <c r="BHZ55" s="1247"/>
      <c r="BIA55" s="1247"/>
      <c r="BIB55" s="1247"/>
      <c r="BIC55" s="1247"/>
      <c r="BID55" s="1247"/>
      <c r="BIE55" s="1247"/>
      <c r="BIF55" s="1247"/>
      <c r="BIG55" s="1247"/>
      <c r="BIH55" s="1247"/>
      <c r="BII55" s="1247"/>
      <c r="BIJ55" s="1247"/>
      <c r="BIK55" s="1247"/>
      <c r="BIL55" s="1247"/>
      <c r="BIM55" s="1247"/>
      <c r="BIN55" s="1247"/>
      <c r="BIO55" s="1247"/>
      <c r="BIP55" s="1247"/>
      <c r="BIQ55" s="1247"/>
      <c r="BIR55" s="1247"/>
      <c r="BIS55" s="1247"/>
      <c r="BIT55" s="1247"/>
      <c r="BIU55" s="1247"/>
      <c r="BIV55" s="1247"/>
      <c r="BIW55" s="1247"/>
      <c r="BIX55" s="1247"/>
      <c r="BIY55" s="1247"/>
      <c r="BIZ55" s="1247"/>
      <c r="BJA55" s="1247"/>
      <c r="BJB55" s="1247"/>
      <c r="BJC55" s="1247"/>
      <c r="BJD55" s="1247"/>
      <c r="BJE55" s="1247"/>
      <c r="BJF55" s="1247"/>
      <c r="BJG55" s="1247"/>
      <c r="BJH55" s="1247"/>
      <c r="BJI55" s="1247"/>
      <c r="BJJ55" s="1247"/>
      <c r="BJK55" s="1247"/>
      <c r="BJL55" s="1247"/>
      <c r="BJM55" s="1247"/>
      <c r="BJN55" s="1247"/>
      <c r="BJO55" s="1247"/>
      <c r="BJP55" s="1247"/>
      <c r="BJQ55" s="1247"/>
      <c r="BJR55" s="1247"/>
      <c r="BJS55" s="1247"/>
      <c r="BJT55" s="1247"/>
      <c r="BJU55" s="1247"/>
      <c r="BJV55" s="1247"/>
      <c r="BJW55" s="1247"/>
      <c r="BJX55" s="1247"/>
      <c r="BJY55" s="1247"/>
      <c r="BJZ55" s="1247"/>
      <c r="BKA55" s="1247"/>
      <c r="BKB55" s="1247"/>
      <c r="BKC55" s="1247"/>
      <c r="BKD55" s="1247"/>
      <c r="BKE55" s="1247"/>
      <c r="BKF55" s="1247"/>
      <c r="BKG55" s="1247"/>
      <c r="BKH55" s="1247"/>
      <c r="BKI55" s="1247"/>
      <c r="BKJ55" s="1247"/>
      <c r="BKK55" s="1247"/>
      <c r="BKL55" s="1247"/>
      <c r="BKM55" s="1247"/>
      <c r="BKN55" s="1247"/>
      <c r="BKO55" s="1247"/>
      <c r="BKP55" s="1247"/>
      <c r="BKQ55" s="1247"/>
      <c r="BKR55" s="1247"/>
      <c r="BKS55" s="1247"/>
      <c r="BKT55" s="1247"/>
      <c r="BKU55" s="1247"/>
      <c r="BKV55" s="1247"/>
      <c r="BKW55" s="1247"/>
      <c r="BKX55" s="1247"/>
      <c r="BKY55" s="1247"/>
      <c r="BKZ55" s="1247"/>
      <c r="BLA55" s="1247"/>
      <c r="BLB55" s="1247"/>
      <c r="BLC55" s="1247"/>
      <c r="BLD55" s="1247"/>
      <c r="BLE55" s="1247"/>
      <c r="BLF55" s="1247"/>
      <c r="BLG55" s="1247"/>
      <c r="BLH55" s="1247"/>
      <c r="BLI55" s="1247"/>
      <c r="BLJ55" s="1247"/>
      <c r="BLK55" s="1247"/>
      <c r="BLL55" s="1247"/>
      <c r="BLM55" s="1247"/>
      <c r="BLN55" s="1247"/>
      <c r="BLO55" s="1247"/>
      <c r="BLP55" s="1247"/>
      <c r="BLQ55" s="1247"/>
      <c r="BLR55" s="1247"/>
      <c r="BLS55" s="1247"/>
      <c r="BLT55" s="1247"/>
      <c r="BLU55" s="1247"/>
      <c r="BLV55" s="1247"/>
      <c r="BLW55" s="1247"/>
      <c r="BLX55" s="1247"/>
      <c r="BLY55" s="1247"/>
      <c r="BLZ55" s="1247"/>
      <c r="BMA55" s="1247"/>
      <c r="BMB55" s="1247"/>
      <c r="BMC55" s="1247"/>
      <c r="BMD55" s="1247"/>
      <c r="BME55" s="1247"/>
      <c r="BMF55" s="1247"/>
      <c r="BMG55" s="1247"/>
      <c r="BMH55" s="1247"/>
      <c r="BMI55" s="1247"/>
      <c r="BMJ55" s="1247"/>
      <c r="BMK55" s="1247"/>
      <c r="BML55" s="1247"/>
      <c r="BMM55" s="1247"/>
      <c r="BMN55" s="1247"/>
      <c r="BMO55" s="1247"/>
      <c r="BMP55" s="1247"/>
      <c r="BMQ55" s="1247"/>
      <c r="BMR55" s="1247"/>
      <c r="BMS55" s="1247"/>
      <c r="BMT55" s="1247"/>
      <c r="BMU55" s="1247"/>
      <c r="BMV55" s="1247"/>
      <c r="BMW55" s="1247"/>
      <c r="BMX55" s="1247"/>
      <c r="BMY55" s="1247"/>
      <c r="BMZ55" s="1247"/>
      <c r="BNA55" s="1247"/>
      <c r="BNB55" s="1247"/>
      <c r="BNC55" s="1247"/>
      <c r="BND55" s="1247"/>
      <c r="BNE55" s="1247"/>
      <c r="BNF55" s="1247"/>
      <c r="BNG55" s="1247"/>
      <c r="BNH55" s="1247"/>
      <c r="BNI55" s="1247"/>
      <c r="BNJ55" s="1247"/>
      <c r="BNK55" s="1247"/>
      <c r="BNL55" s="1247"/>
      <c r="BNM55" s="1247"/>
      <c r="BNN55" s="1247"/>
      <c r="BNO55" s="1247"/>
      <c r="BNP55" s="1247"/>
      <c r="BNQ55" s="1247"/>
      <c r="BNR55" s="1247"/>
      <c r="BNS55" s="1247"/>
      <c r="BNT55" s="1247"/>
      <c r="BNU55" s="1247"/>
      <c r="BNV55" s="1247"/>
      <c r="BNW55" s="1247"/>
      <c r="BNX55" s="1247"/>
      <c r="BNY55" s="1247"/>
      <c r="BNZ55" s="1247"/>
      <c r="BOA55" s="1247"/>
      <c r="BOB55" s="1247"/>
      <c r="BOC55" s="1247"/>
      <c r="BOD55" s="1247"/>
      <c r="BOE55" s="1247"/>
      <c r="BOF55" s="1247"/>
      <c r="BOG55" s="1247"/>
      <c r="BOH55" s="1247"/>
      <c r="BOI55" s="1247"/>
      <c r="BOJ55" s="1247"/>
      <c r="BOK55" s="1247"/>
      <c r="BOL55" s="1247"/>
      <c r="BOM55" s="1247"/>
      <c r="BON55" s="1247"/>
      <c r="BOO55" s="1247"/>
      <c r="BOP55" s="1247"/>
      <c r="BOQ55" s="1247"/>
      <c r="BOR55" s="1247"/>
      <c r="BOS55" s="1247"/>
      <c r="BOT55" s="1247"/>
      <c r="BOU55" s="1247"/>
      <c r="BOV55" s="1247"/>
      <c r="BOW55" s="1247"/>
      <c r="BOX55" s="1247"/>
      <c r="BOY55" s="1247"/>
      <c r="BOZ55" s="1247"/>
      <c r="BPA55" s="1247"/>
      <c r="BPB55" s="1247"/>
      <c r="BPC55" s="1247"/>
      <c r="BPD55" s="1247"/>
      <c r="BPE55" s="1247"/>
      <c r="BPF55" s="1247"/>
      <c r="BPG55" s="1247"/>
      <c r="BPH55" s="1247"/>
      <c r="BPI55" s="1247"/>
      <c r="BPJ55" s="1247"/>
      <c r="BPK55" s="1247"/>
      <c r="BPL55" s="1247"/>
      <c r="BPM55" s="1247"/>
      <c r="BPN55" s="1247"/>
      <c r="BPO55" s="1247"/>
      <c r="BPP55" s="1247"/>
      <c r="BPQ55" s="1247"/>
      <c r="BPR55" s="1247"/>
      <c r="BPS55" s="1247"/>
      <c r="BPT55" s="1247"/>
      <c r="BPU55" s="1247"/>
      <c r="BPV55" s="1247"/>
      <c r="BPW55" s="1247"/>
      <c r="BPX55" s="1247"/>
      <c r="BPY55" s="1247"/>
      <c r="BPZ55" s="1247"/>
      <c r="BQA55" s="1247"/>
      <c r="BQB55" s="1247"/>
      <c r="BQC55" s="1247"/>
      <c r="BQD55" s="1247"/>
      <c r="BQE55" s="1247"/>
      <c r="BQF55" s="1247"/>
      <c r="BQG55" s="1247"/>
      <c r="BQH55" s="1247"/>
      <c r="BQI55" s="1247"/>
      <c r="BQJ55" s="1247"/>
      <c r="BQK55" s="1247"/>
      <c r="BQL55" s="1247"/>
      <c r="BQM55" s="1247"/>
      <c r="BQN55" s="1247"/>
      <c r="BQO55" s="1247"/>
      <c r="BQP55" s="1247"/>
      <c r="BQQ55" s="1247"/>
      <c r="BQR55" s="1247"/>
      <c r="BQS55" s="1247"/>
      <c r="BQT55" s="1247"/>
      <c r="BQU55" s="1247"/>
      <c r="BQV55" s="1247"/>
      <c r="BQW55" s="1247"/>
      <c r="BQX55" s="1247"/>
      <c r="BQY55" s="1247"/>
      <c r="BQZ55" s="1247"/>
      <c r="BRA55" s="1247"/>
      <c r="BRB55" s="1247"/>
      <c r="BRC55" s="1247"/>
      <c r="BRD55" s="1247"/>
      <c r="BRE55" s="1247"/>
      <c r="BRF55" s="1247"/>
      <c r="BRG55" s="1247"/>
      <c r="BRH55" s="1247"/>
      <c r="BRI55" s="1247"/>
      <c r="BRJ55" s="1247"/>
      <c r="BRK55" s="1247"/>
      <c r="BRL55" s="1247"/>
      <c r="BRM55" s="1247"/>
      <c r="BRN55" s="1247"/>
      <c r="BRO55" s="1247"/>
      <c r="BRP55" s="1247"/>
      <c r="BRQ55" s="1247"/>
      <c r="BRR55" s="1247"/>
      <c r="BRS55" s="1247"/>
      <c r="BRT55" s="1247"/>
      <c r="BRU55" s="1247"/>
      <c r="BRV55" s="1247"/>
      <c r="BRW55" s="1247"/>
      <c r="BRX55" s="1247"/>
      <c r="BRY55" s="1247"/>
      <c r="BRZ55" s="1247"/>
      <c r="BSA55" s="1247"/>
      <c r="BSB55" s="1247"/>
      <c r="BSC55" s="1247"/>
      <c r="BSD55" s="1247"/>
      <c r="BSE55" s="1247"/>
      <c r="BSF55" s="1247"/>
      <c r="BSG55" s="1247"/>
      <c r="BSH55" s="1247"/>
      <c r="BSI55" s="1247"/>
      <c r="BSJ55" s="1247"/>
      <c r="BSK55" s="1247"/>
      <c r="BSL55" s="1247"/>
      <c r="BSM55" s="1247"/>
      <c r="BSN55" s="1247"/>
      <c r="BSO55" s="1247"/>
      <c r="BSP55" s="1247"/>
      <c r="BSQ55" s="1247"/>
      <c r="BSR55" s="1247"/>
      <c r="BSS55" s="1247"/>
      <c r="BST55" s="1247"/>
      <c r="BSU55" s="1247"/>
      <c r="BSV55" s="1247"/>
      <c r="BSW55" s="1247"/>
      <c r="BSX55" s="1247"/>
      <c r="BSY55" s="1247"/>
      <c r="BSZ55" s="1247"/>
      <c r="BTA55" s="1247"/>
      <c r="BTB55" s="1247"/>
      <c r="BTC55" s="1247"/>
      <c r="BTD55" s="1247"/>
      <c r="BTE55" s="1247"/>
      <c r="BTF55" s="1247"/>
      <c r="BTG55" s="1247"/>
      <c r="BTH55" s="1247"/>
      <c r="BTI55" s="1247"/>
      <c r="BTJ55" s="1247"/>
      <c r="BTK55" s="1247"/>
      <c r="BTL55" s="1247"/>
      <c r="BTM55" s="1247"/>
      <c r="BTN55" s="1247"/>
      <c r="BTO55" s="1247"/>
      <c r="BTP55" s="1247"/>
      <c r="BTQ55" s="1247"/>
      <c r="BTR55" s="1247"/>
      <c r="BTS55" s="1247"/>
      <c r="BTT55" s="1247"/>
      <c r="BTU55" s="1247"/>
      <c r="BTV55" s="1247"/>
      <c r="BTW55" s="1247"/>
      <c r="BTX55" s="1247"/>
      <c r="BTY55" s="1247"/>
      <c r="BTZ55" s="1247"/>
      <c r="BUA55" s="1247"/>
      <c r="BUB55" s="1247"/>
      <c r="BUC55" s="1247"/>
      <c r="BUD55" s="1247"/>
      <c r="BUE55" s="1247"/>
      <c r="BUF55" s="1247"/>
      <c r="BUG55" s="1247"/>
      <c r="BUH55" s="1247"/>
      <c r="BUI55" s="1247"/>
      <c r="BUJ55" s="1247"/>
      <c r="BUK55" s="1247"/>
      <c r="BUL55" s="1247"/>
      <c r="BUM55" s="1247"/>
      <c r="BUN55" s="1247"/>
      <c r="BUO55" s="1247"/>
      <c r="BUP55" s="1247"/>
      <c r="BUQ55" s="1247"/>
      <c r="BUR55" s="1247"/>
      <c r="BUS55" s="1247"/>
      <c r="BUT55" s="1247"/>
      <c r="BUU55" s="1247"/>
      <c r="BUV55" s="1247"/>
      <c r="BUW55" s="1247"/>
      <c r="BUX55" s="1247"/>
      <c r="BUY55" s="1247"/>
      <c r="BUZ55" s="1247"/>
      <c r="BVA55" s="1247"/>
      <c r="BVB55" s="1247"/>
      <c r="BVC55" s="1247"/>
      <c r="BVD55" s="1247"/>
      <c r="BVE55" s="1247"/>
      <c r="BVF55" s="1247"/>
      <c r="BVG55" s="1247"/>
      <c r="BVH55" s="1247"/>
      <c r="BVI55" s="1247"/>
      <c r="BVJ55" s="1247"/>
      <c r="BVK55" s="1247"/>
      <c r="BVL55" s="1247"/>
      <c r="BVM55" s="1247"/>
      <c r="BVN55" s="1247"/>
      <c r="BVO55" s="1247"/>
      <c r="BVP55" s="1247"/>
      <c r="BVQ55" s="1247"/>
      <c r="BVR55" s="1247"/>
      <c r="BVS55" s="1247"/>
      <c r="BVT55" s="1247"/>
      <c r="BVU55" s="1247"/>
      <c r="BVV55" s="1247"/>
      <c r="BVW55" s="1247"/>
      <c r="BVX55" s="1247"/>
      <c r="BVY55" s="1247"/>
      <c r="BVZ55" s="1247"/>
      <c r="BWA55" s="1247"/>
      <c r="BWB55" s="1247"/>
      <c r="BWC55" s="1247"/>
      <c r="BWD55" s="1247"/>
      <c r="BWE55" s="1247"/>
      <c r="BWF55" s="1247"/>
      <c r="BWG55" s="1247"/>
      <c r="BWH55" s="1247"/>
      <c r="BWI55" s="1247"/>
      <c r="BWJ55" s="1247"/>
      <c r="BWK55" s="1247"/>
      <c r="BWL55" s="1247"/>
      <c r="BWM55" s="1247"/>
      <c r="BWN55" s="1247"/>
      <c r="BWO55" s="1247"/>
      <c r="BWP55" s="1247"/>
      <c r="BWQ55" s="1247"/>
      <c r="BWR55" s="1247"/>
      <c r="BWS55" s="1247"/>
      <c r="BWT55" s="1247"/>
      <c r="BWU55" s="1247"/>
      <c r="BWV55" s="1247"/>
      <c r="BWW55" s="1247"/>
      <c r="BWX55" s="1247"/>
      <c r="BWY55" s="1247"/>
      <c r="BWZ55" s="1247"/>
      <c r="BXA55" s="1247"/>
      <c r="BXB55" s="1247"/>
      <c r="BXC55" s="1247"/>
      <c r="BXD55" s="1247"/>
      <c r="BXE55" s="1247"/>
      <c r="BXF55" s="1247"/>
      <c r="BXG55" s="1247"/>
      <c r="BXH55" s="1247"/>
      <c r="BXI55" s="1247"/>
      <c r="BXJ55" s="1247"/>
      <c r="BXK55" s="1247"/>
      <c r="BXL55" s="1247"/>
      <c r="BXM55" s="1247"/>
      <c r="BXN55" s="1247"/>
      <c r="BXO55" s="1247"/>
      <c r="BXP55" s="1247"/>
      <c r="BXQ55" s="1247"/>
      <c r="BXR55" s="1247"/>
      <c r="BXS55" s="1247"/>
      <c r="BXT55" s="1247"/>
      <c r="BXU55" s="1247"/>
      <c r="BXV55" s="1247"/>
      <c r="BXW55" s="1247"/>
      <c r="BXX55" s="1247"/>
      <c r="BXY55" s="1247"/>
      <c r="BXZ55" s="1247"/>
      <c r="BYA55" s="1247"/>
      <c r="BYB55" s="1247"/>
      <c r="BYC55" s="1247"/>
      <c r="BYD55" s="1247"/>
      <c r="BYE55" s="1247"/>
      <c r="BYF55" s="1247"/>
      <c r="BYG55" s="1247"/>
      <c r="BYH55" s="1247"/>
      <c r="BYI55" s="1247"/>
      <c r="BYJ55" s="1247"/>
      <c r="BYK55" s="1247"/>
      <c r="BYL55" s="1247"/>
      <c r="BYM55" s="1247"/>
      <c r="BYN55" s="1247"/>
      <c r="BYO55" s="1247"/>
      <c r="BYP55" s="1247"/>
      <c r="BYQ55" s="1247"/>
      <c r="BYR55" s="1247"/>
      <c r="BYS55" s="1247"/>
      <c r="BYT55" s="1247"/>
      <c r="BYU55" s="1247"/>
      <c r="BYV55" s="1247"/>
      <c r="BYW55" s="1247"/>
      <c r="BYX55" s="1247"/>
      <c r="BYY55" s="1247"/>
      <c r="BYZ55" s="1247"/>
      <c r="BZA55" s="1247"/>
      <c r="BZB55" s="1247"/>
      <c r="BZC55" s="1247"/>
      <c r="BZD55" s="1247"/>
      <c r="BZE55" s="1247"/>
      <c r="BZF55" s="1247"/>
      <c r="BZG55" s="1247"/>
      <c r="BZH55" s="1247"/>
      <c r="BZI55" s="1247"/>
      <c r="BZJ55" s="1247"/>
      <c r="BZK55" s="1247"/>
      <c r="BZL55" s="1247"/>
      <c r="BZM55" s="1247"/>
      <c r="BZN55" s="1247"/>
      <c r="BZO55" s="1247"/>
      <c r="BZP55" s="1247"/>
      <c r="BZQ55" s="1247"/>
      <c r="BZR55" s="1247"/>
      <c r="BZS55" s="1247"/>
      <c r="BZT55" s="1247"/>
      <c r="BZU55" s="1247"/>
      <c r="BZV55" s="1247"/>
      <c r="BZW55" s="1247"/>
      <c r="BZX55" s="1247"/>
      <c r="BZY55" s="1247"/>
      <c r="BZZ55" s="1247"/>
      <c r="CAA55" s="1247"/>
      <c r="CAB55" s="1247"/>
      <c r="CAC55" s="1247"/>
      <c r="CAD55" s="1247"/>
      <c r="CAE55" s="1247"/>
      <c r="CAF55" s="1247"/>
      <c r="CAG55" s="1247"/>
      <c r="CAH55" s="1247"/>
      <c r="CAI55" s="1247"/>
      <c r="CAJ55" s="1247"/>
      <c r="CAK55" s="1247"/>
      <c r="CAL55" s="1247"/>
      <c r="CAM55" s="1247"/>
      <c r="CAN55" s="1247"/>
      <c r="CAO55" s="1247"/>
      <c r="CAP55" s="1247"/>
      <c r="CAQ55" s="1247"/>
      <c r="CAR55" s="1247"/>
      <c r="CAS55" s="1247"/>
      <c r="CAT55" s="1247"/>
      <c r="CAU55" s="1247"/>
      <c r="CAV55" s="1247"/>
      <c r="CAW55" s="1247"/>
      <c r="CAX55" s="1247"/>
      <c r="CAY55" s="1247"/>
      <c r="CAZ55" s="1247"/>
      <c r="CBA55" s="1247"/>
      <c r="CBB55" s="1247"/>
      <c r="CBC55" s="1247"/>
      <c r="CBD55" s="1247"/>
      <c r="CBE55" s="1247"/>
      <c r="CBF55" s="1247"/>
      <c r="CBG55" s="1247"/>
      <c r="CBH55" s="1247"/>
      <c r="CBI55" s="1247"/>
      <c r="CBJ55" s="1247"/>
      <c r="CBK55" s="1247"/>
      <c r="CBL55" s="1247"/>
      <c r="CBM55" s="1247"/>
      <c r="CBN55" s="1247"/>
      <c r="CBO55" s="1247"/>
      <c r="CBP55" s="1247"/>
      <c r="CBQ55" s="1247"/>
      <c r="CBR55" s="1247"/>
      <c r="CBS55" s="1247"/>
      <c r="CBT55" s="1247"/>
      <c r="CBU55" s="1247"/>
      <c r="CBV55" s="1247"/>
      <c r="CBW55" s="1247"/>
      <c r="CBX55" s="1247"/>
      <c r="CBY55" s="1247"/>
      <c r="CBZ55" s="1247"/>
      <c r="CCA55" s="1247"/>
      <c r="CCB55" s="1247"/>
      <c r="CCC55" s="1247"/>
      <c r="CCD55" s="1247"/>
      <c r="CCE55" s="1247"/>
      <c r="CCF55" s="1247"/>
      <c r="CCG55" s="1247"/>
      <c r="CCH55" s="1247"/>
      <c r="CCI55" s="1247"/>
      <c r="CCJ55" s="1247"/>
      <c r="CCK55" s="1247"/>
      <c r="CCL55" s="1247"/>
      <c r="CCM55" s="1247"/>
      <c r="CCN55" s="1247"/>
      <c r="CCO55" s="1247"/>
      <c r="CCP55" s="1247"/>
      <c r="CCQ55" s="1247"/>
      <c r="CCR55" s="1247"/>
      <c r="CCS55" s="1247"/>
      <c r="CCT55" s="1247"/>
      <c r="CCU55" s="1247"/>
      <c r="CCV55" s="1247"/>
      <c r="CCW55" s="1247"/>
      <c r="CCX55" s="1247"/>
      <c r="CCY55" s="1247"/>
      <c r="CCZ55" s="1247"/>
      <c r="CDA55" s="1247"/>
      <c r="CDB55" s="1247"/>
      <c r="CDC55" s="1247"/>
      <c r="CDD55" s="1247"/>
      <c r="CDE55" s="1247"/>
      <c r="CDF55" s="1247"/>
      <c r="CDG55" s="1247"/>
      <c r="CDH55" s="1247"/>
      <c r="CDI55" s="1247"/>
      <c r="CDJ55" s="1247"/>
      <c r="CDK55" s="1247"/>
      <c r="CDL55" s="1247"/>
      <c r="CDM55" s="1247"/>
      <c r="CDN55" s="1247"/>
      <c r="CDO55" s="1247"/>
      <c r="CDP55" s="1247"/>
      <c r="CDQ55" s="1247"/>
      <c r="CDR55" s="1247"/>
      <c r="CDS55" s="1247"/>
      <c r="CDT55" s="1247"/>
      <c r="CDU55" s="1247"/>
      <c r="CDV55" s="1247"/>
      <c r="CDW55" s="1247"/>
      <c r="CDX55" s="1247"/>
      <c r="CDY55" s="1247"/>
      <c r="CDZ55" s="1247"/>
      <c r="CEA55" s="1247"/>
      <c r="CEB55" s="1247"/>
      <c r="CEC55" s="1247"/>
      <c r="CED55" s="1247"/>
      <c r="CEE55" s="1247"/>
      <c r="CEF55" s="1247"/>
      <c r="CEG55" s="1247"/>
      <c r="CEH55" s="1247"/>
      <c r="CEI55" s="1247"/>
      <c r="CEJ55" s="1247"/>
      <c r="CEK55" s="1247"/>
      <c r="CEL55" s="1247"/>
      <c r="CEM55" s="1247"/>
      <c r="CEN55" s="1247"/>
      <c r="CEO55" s="1247"/>
      <c r="CEP55" s="1247"/>
      <c r="CEQ55" s="1247"/>
      <c r="CER55" s="1247"/>
      <c r="CES55" s="1247"/>
      <c r="CET55" s="1247"/>
      <c r="CEU55" s="1247"/>
      <c r="CEV55" s="1247"/>
      <c r="CEW55" s="1247"/>
      <c r="CEX55" s="1247"/>
      <c r="CEY55" s="1247"/>
      <c r="CEZ55" s="1247"/>
      <c r="CFA55" s="1247"/>
      <c r="CFB55" s="1247"/>
      <c r="CFC55" s="1247"/>
      <c r="CFD55" s="1247"/>
      <c r="CFE55" s="1247"/>
      <c r="CFF55" s="1247"/>
      <c r="CFG55" s="1247"/>
      <c r="CFH55" s="1247"/>
      <c r="CFI55" s="1247"/>
      <c r="CFJ55" s="1247"/>
      <c r="CFK55" s="1247"/>
      <c r="CFL55" s="1247"/>
      <c r="CFM55" s="1247"/>
      <c r="CFN55" s="1247"/>
      <c r="CFO55" s="1247"/>
      <c r="CFP55" s="1247"/>
      <c r="CFQ55" s="1247"/>
      <c r="CFR55" s="1247"/>
      <c r="CFS55" s="1247"/>
      <c r="CFT55" s="1247"/>
      <c r="CFU55" s="1247"/>
      <c r="CFV55" s="1247"/>
      <c r="CFW55" s="1247"/>
      <c r="CFX55" s="1247"/>
      <c r="CFY55" s="1247"/>
      <c r="CFZ55" s="1247"/>
      <c r="CGA55" s="1247"/>
      <c r="CGB55" s="1247"/>
      <c r="CGC55" s="1247"/>
      <c r="CGD55" s="1247"/>
      <c r="CGE55" s="1247"/>
      <c r="CGF55" s="1247"/>
      <c r="CGG55" s="1247"/>
      <c r="CGH55" s="1247"/>
      <c r="CGI55" s="1247"/>
      <c r="CGJ55" s="1247"/>
      <c r="CGK55" s="1247"/>
      <c r="CGL55" s="1247"/>
      <c r="CGM55" s="1247"/>
      <c r="CGN55" s="1247"/>
      <c r="CGO55" s="1247"/>
      <c r="CGP55" s="1247"/>
      <c r="CGQ55" s="1247"/>
      <c r="CGR55" s="1247"/>
      <c r="CGS55" s="1247"/>
      <c r="CGT55" s="1247"/>
      <c r="CGU55" s="1247"/>
      <c r="CGV55" s="1247"/>
      <c r="CGW55" s="1247"/>
      <c r="CGX55" s="1247"/>
      <c r="CGY55" s="1247"/>
      <c r="CGZ55" s="1247"/>
      <c r="CHA55" s="1247"/>
      <c r="CHB55" s="1247"/>
      <c r="CHC55" s="1247"/>
      <c r="CHD55" s="1247"/>
      <c r="CHE55" s="1247"/>
      <c r="CHF55" s="1247"/>
      <c r="CHG55" s="1247"/>
      <c r="CHH55" s="1247"/>
      <c r="CHI55" s="1247"/>
      <c r="CHJ55" s="1247"/>
      <c r="CHK55" s="1247"/>
      <c r="CHL55" s="1247"/>
      <c r="CHM55" s="1247"/>
      <c r="CHN55" s="1247"/>
      <c r="CHO55" s="1247"/>
      <c r="CHP55" s="1247"/>
      <c r="CHQ55" s="1247"/>
      <c r="CHR55" s="1247"/>
      <c r="CHS55" s="1247"/>
      <c r="CHT55" s="1247"/>
      <c r="CHU55" s="1247"/>
      <c r="CHV55" s="1247"/>
      <c r="CHW55" s="1247"/>
      <c r="CHX55" s="1247"/>
      <c r="CHY55" s="1247"/>
      <c r="CHZ55" s="1247"/>
      <c r="CIA55" s="1247"/>
      <c r="CIB55" s="1247"/>
      <c r="CIC55" s="1247"/>
      <c r="CID55" s="1247"/>
      <c r="CIE55" s="1247"/>
      <c r="CIF55" s="1247"/>
      <c r="CIG55" s="1247"/>
      <c r="CIH55" s="1247"/>
      <c r="CII55" s="1247"/>
      <c r="CIJ55" s="1247"/>
      <c r="CIK55" s="1247"/>
      <c r="CIL55" s="1247"/>
      <c r="CIM55" s="1247"/>
      <c r="CIN55" s="1247"/>
      <c r="CIO55" s="1247"/>
      <c r="CIP55" s="1247"/>
      <c r="CIQ55" s="1247"/>
      <c r="CIR55" s="1247"/>
      <c r="CIS55" s="1247"/>
      <c r="CIT55" s="1247"/>
      <c r="CIU55" s="1247"/>
      <c r="CIV55" s="1247"/>
      <c r="CIW55" s="1247"/>
      <c r="CIX55" s="1247"/>
      <c r="CIY55" s="1247"/>
      <c r="CIZ55" s="1247"/>
      <c r="CJA55" s="1247"/>
      <c r="CJB55" s="1247"/>
      <c r="CJC55" s="1247"/>
      <c r="CJD55" s="1247"/>
      <c r="CJE55" s="1247"/>
      <c r="CJF55" s="1247"/>
      <c r="CJG55" s="1247"/>
      <c r="CJH55" s="1247"/>
      <c r="CJI55" s="1247"/>
      <c r="CJJ55" s="1247"/>
      <c r="CJK55" s="1247"/>
      <c r="CJL55" s="1247"/>
      <c r="CJM55" s="1247"/>
      <c r="CJN55" s="1247"/>
      <c r="CJO55" s="1247"/>
      <c r="CJP55" s="1247"/>
      <c r="CJQ55" s="1247"/>
      <c r="CJR55" s="1247"/>
      <c r="CJS55" s="1247"/>
      <c r="CJT55" s="1247"/>
      <c r="CJU55" s="1247"/>
      <c r="CJV55" s="1247"/>
      <c r="CJW55" s="1247"/>
      <c r="CJX55" s="1247"/>
      <c r="CJY55" s="1247"/>
      <c r="CJZ55" s="1247"/>
      <c r="CKA55" s="1247"/>
      <c r="CKB55" s="1247"/>
      <c r="CKC55" s="1247"/>
      <c r="CKD55" s="1247"/>
      <c r="CKE55" s="1247"/>
      <c r="CKF55" s="1247"/>
      <c r="CKG55" s="1247"/>
      <c r="CKH55" s="1247"/>
      <c r="CKI55" s="1247"/>
      <c r="CKJ55" s="1247"/>
      <c r="CKK55" s="1247"/>
      <c r="CKL55" s="1247"/>
      <c r="CKM55" s="1247"/>
      <c r="CKN55" s="1247"/>
      <c r="CKO55" s="1247"/>
      <c r="CKP55" s="1247"/>
      <c r="CKQ55" s="1247"/>
      <c r="CKR55" s="1247"/>
      <c r="CKS55" s="1247"/>
      <c r="CKT55" s="1247"/>
      <c r="CKU55" s="1247"/>
      <c r="CKV55" s="1247"/>
      <c r="CKW55" s="1247"/>
      <c r="CKX55" s="1247"/>
      <c r="CKY55" s="1247"/>
      <c r="CKZ55" s="1247"/>
      <c r="CLA55" s="1247"/>
      <c r="CLB55" s="1247"/>
      <c r="CLC55" s="1247"/>
      <c r="CLD55" s="1247"/>
      <c r="CLE55" s="1247"/>
      <c r="CLF55" s="1247"/>
      <c r="CLG55" s="1247"/>
      <c r="CLH55" s="1247"/>
      <c r="CLI55" s="1247"/>
      <c r="CLJ55" s="1247"/>
      <c r="CLK55" s="1247"/>
      <c r="CLL55" s="1247"/>
      <c r="CLM55" s="1247"/>
      <c r="CLN55" s="1247"/>
      <c r="CLO55" s="1247"/>
      <c r="CLP55" s="1247"/>
      <c r="CLQ55" s="1247"/>
      <c r="CLR55" s="1247"/>
      <c r="CLS55" s="1247"/>
      <c r="CLT55" s="1247"/>
      <c r="CLU55" s="1247"/>
      <c r="CLV55" s="1247"/>
      <c r="CLW55" s="1247"/>
      <c r="CLX55" s="1247"/>
      <c r="CLY55" s="1247"/>
      <c r="CLZ55" s="1247"/>
      <c r="CMA55" s="1247"/>
      <c r="CMB55" s="1247"/>
      <c r="CMC55" s="1247"/>
      <c r="CMD55" s="1247"/>
      <c r="CME55" s="1247"/>
      <c r="CMF55" s="1247"/>
      <c r="CMG55" s="1247"/>
      <c r="CMH55" s="1247"/>
      <c r="CMI55" s="1247"/>
      <c r="CMJ55" s="1247"/>
      <c r="CMK55" s="1247"/>
      <c r="CML55" s="1247"/>
      <c r="CMM55" s="1247"/>
      <c r="CMN55" s="1247"/>
      <c r="CMO55" s="1247"/>
      <c r="CMP55" s="1247"/>
      <c r="CMQ55" s="1247"/>
      <c r="CMR55" s="1247"/>
      <c r="CMS55" s="1247"/>
      <c r="CMT55" s="1247"/>
      <c r="CMU55" s="1247"/>
      <c r="CMV55" s="1247"/>
      <c r="CMW55" s="1247"/>
      <c r="CMX55" s="1247"/>
      <c r="CMY55" s="1247"/>
      <c r="CMZ55" s="1247"/>
      <c r="CNA55" s="1247"/>
      <c r="CNB55" s="1247"/>
      <c r="CNC55" s="1247"/>
      <c r="CND55" s="1247"/>
      <c r="CNE55" s="1247"/>
      <c r="CNF55" s="1247"/>
      <c r="CNG55" s="1247"/>
      <c r="CNH55" s="1247"/>
      <c r="CNI55" s="1247"/>
      <c r="CNJ55" s="1247"/>
      <c r="CNK55" s="1247"/>
      <c r="CNL55" s="1247"/>
      <c r="CNM55" s="1247"/>
      <c r="CNN55" s="1247"/>
      <c r="CNO55" s="1247"/>
      <c r="CNP55" s="1247"/>
      <c r="CNQ55" s="1247"/>
      <c r="CNR55" s="1247"/>
      <c r="CNS55" s="1247"/>
      <c r="CNT55" s="1247"/>
      <c r="CNU55" s="1247"/>
      <c r="CNV55" s="1247"/>
      <c r="CNW55" s="1247"/>
      <c r="CNX55" s="1247"/>
      <c r="CNY55" s="1247"/>
      <c r="CNZ55" s="1247"/>
      <c r="COA55" s="1247"/>
      <c r="COB55" s="1247"/>
      <c r="COC55" s="1247"/>
      <c r="COD55" s="1247"/>
      <c r="COE55" s="1247"/>
      <c r="COF55" s="1247"/>
      <c r="COG55" s="1247"/>
      <c r="COH55" s="1247"/>
      <c r="COI55" s="1247"/>
      <c r="COJ55" s="1247"/>
      <c r="COK55" s="1247"/>
      <c r="COL55" s="1247"/>
      <c r="COM55" s="1247"/>
      <c r="CON55" s="1247"/>
      <c r="COO55" s="1247"/>
      <c r="COP55" s="1247"/>
      <c r="COQ55" s="1247"/>
      <c r="COR55" s="1247"/>
      <c r="COS55" s="1247"/>
      <c r="COT55" s="1247"/>
      <c r="COU55" s="1247"/>
      <c r="COV55" s="1247"/>
      <c r="COW55" s="1247"/>
      <c r="COX55" s="1247"/>
      <c r="COY55" s="1247"/>
      <c r="COZ55" s="1247"/>
      <c r="CPA55" s="1247"/>
      <c r="CPB55" s="1247"/>
      <c r="CPC55" s="1247"/>
      <c r="CPD55" s="1247"/>
      <c r="CPE55" s="1247"/>
      <c r="CPF55" s="1247"/>
      <c r="CPG55" s="1247"/>
      <c r="CPH55" s="1247"/>
      <c r="CPI55" s="1247"/>
      <c r="CPJ55" s="1247"/>
      <c r="CPK55" s="1247"/>
      <c r="CPL55" s="1247"/>
      <c r="CPM55" s="1247"/>
      <c r="CPN55" s="1247"/>
      <c r="CPO55" s="1247"/>
      <c r="CPP55" s="1247"/>
      <c r="CPQ55" s="1247"/>
      <c r="CPR55" s="1247"/>
      <c r="CPS55" s="1247"/>
      <c r="CPT55" s="1247"/>
      <c r="CPU55" s="1247"/>
      <c r="CPV55" s="1247"/>
      <c r="CPW55" s="1247"/>
      <c r="CPX55" s="1247"/>
      <c r="CPY55" s="1247"/>
      <c r="CPZ55" s="1247"/>
      <c r="CQA55" s="1247"/>
      <c r="CQB55" s="1247"/>
      <c r="CQC55" s="1247"/>
      <c r="CQD55" s="1247"/>
      <c r="CQE55" s="1247"/>
      <c r="CQF55" s="1247"/>
      <c r="CQG55" s="1247"/>
      <c r="CQH55" s="1247"/>
      <c r="CQI55" s="1247"/>
      <c r="CQJ55" s="1247"/>
      <c r="CQK55" s="1247"/>
      <c r="CQL55" s="1247"/>
      <c r="CQM55" s="1247"/>
      <c r="CQN55" s="1247"/>
      <c r="CQO55" s="1247"/>
      <c r="CQP55" s="1247"/>
      <c r="CQQ55" s="1247"/>
      <c r="CQR55" s="1247"/>
      <c r="CQS55" s="1247"/>
      <c r="CQT55" s="1247"/>
      <c r="CQU55" s="1247"/>
      <c r="CQV55" s="1247"/>
      <c r="CQW55" s="1247"/>
      <c r="CQX55" s="1247"/>
      <c r="CQY55" s="1247"/>
      <c r="CQZ55" s="1247"/>
      <c r="CRA55" s="1247"/>
      <c r="CRB55" s="1247"/>
      <c r="CRC55" s="1247"/>
      <c r="CRD55" s="1247"/>
      <c r="CRE55" s="1247"/>
      <c r="CRF55" s="1247"/>
      <c r="CRG55" s="1247"/>
      <c r="CRH55" s="1247"/>
      <c r="CRI55" s="1247"/>
      <c r="CRJ55" s="1247"/>
      <c r="CRK55" s="1247"/>
      <c r="CRL55" s="1247"/>
      <c r="CRM55" s="1247"/>
      <c r="CRN55" s="1247"/>
      <c r="CRO55" s="1247"/>
      <c r="CRP55" s="1247"/>
      <c r="CRQ55" s="1247"/>
      <c r="CRR55" s="1247"/>
      <c r="CRS55" s="1247"/>
      <c r="CRT55" s="1247"/>
      <c r="CRU55" s="1247"/>
      <c r="CRV55" s="1247"/>
      <c r="CRW55" s="1247"/>
      <c r="CRX55" s="1247"/>
      <c r="CRY55" s="1247"/>
      <c r="CRZ55" s="1247"/>
      <c r="CSA55" s="1247"/>
      <c r="CSB55" s="1247"/>
      <c r="CSC55" s="1247"/>
      <c r="CSD55" s="1247"/>
      <c r="CSE55" s="1247"/>
      <c r="CSF55" s="1247"/>
      <c r="CSG55" s="1247"/>
      <c r="CSH55" s="1247"/>
      <c r="CSI55" s="1247"/>
      <c r="CSJ55" s="1247"/>
      <c r="CSK55" s="1247"/>
      <c r="CSL55" s="1247"/>
      <c r="CSM55" s="1247"/>
      <c r="CSN55" s="1247"/>
      <c r="CSO55" s="1247"/>
      <c r="CSP55" s="1247"/>
      <c r="CSQ55" s="1247"/>
      <c r="CSR55" s="1247"/>
      <c r="CSS55" s="1247"/>
      <c r="CST55" s="1247"/>
      <c r="CSU55" s="1247"/>
      <c r="CSV55" s="1247"/>
      <c r="CSW55" s="1247"/>
      <c r="CSX55" s="1247"/>
      <c r="CSY55" s="1247"/>
      <c r="CSZ55" s="1247"/>
      <c r="CTA55" s="1247"/>
      <c r="CTB55" s="1247"/>
      <c r="CTC55" s="1247"/>
      <c r="CTD55" s="1247"/>
      <c r="CTE55" s="1247"/>
      <c r="CTF55" s="1247"/>
      <c r="CTG55" s="1247"/>
      <c r="CTH55" s="1247"/>
      <c r="CTI55" s="1247"/>
      <c r="CTJ55" s="1247"/>
      <c r="CTK55" s="1247"/>
      <c r="CTL55" s="1247"/>
      <c r="CTM55" s="1247"/>
      <c r="CTN55" s="1247"/>
      <c r="CTO55" s="1247"/>
      <c r="CTP55" s="1247"/>
      <c r="CTQ55" s="1247"/>
      <c r="CTR55" s="1247"/>
      <c r="CTS55" s="1247"/>
      <c r="CTT55" s="1247"/>
      <c r="CTU55" s="1247"/>
      <c r="CTV55" s="1247"/>
      <c r="CTW55" s="1247"/>
      <c r="CTX55" s="1247"/>
      <c r="CTY55" s="1247"/>
      <c r="CTZ55" s="1247"/>
      <c r="CUA55" s="1247"/>
      <c r="CUB55" s="1247"/>
      <c r="CUC55" s="1247"/>
      <c r="CUD55" s="1247"/>
      <c r="CUE55" s="1247"/>
      <c r="CUF55" s="1247"/>
      <c r="CUG55" s="1247"/>
      <c r="CUH55" s="1247"/>
      <c r="CUI55" s="1247"/>
      <c r="CUJ55" s="1247"/>
      <c r="CUK55" s="1247"/>
      <c r="CUL55" s="1247"/>
      <c r="CUM55" s="1247"/>
      <c r="CUN55" s="1247"/>
      <c r="CUO55" s="1247"/>
      <c r="CUP55" s="1247"/>
      <c r="CUQ55" s="1247"/>
      <c r="CUR55" s="1247"/>
      <c r="CUS55" s="1247"/>
      <c r="CUT55" s="1247"/>
      <c r="CUU55" s="1247"/>
      <c r="CUV55" s="1247"/>
      <c r="CUW55" s="1247"/>
      <c r="CUX55" s="1247"/>
      <c r="CUY55" s="1247"/>
      <c r="CUZ55" s="1247"/>
      <c r="CVA55" s="1247"/>
      <c r="CVB55" s="1247"/>
      <c r="CVC55" s="1247"/>
      <c r="CVD55" s="1247"/>
      <c r="CVE55" s="1247"/>
      <c r="CVF55" s="1247"/>
      <c r="CVG55" s="1247"/>
      <c r="CVH55" s="1247"/>
      <c r="CVI55" s="1247"/>
      <c r="CVJ55" s="1247"/>
      <c r="CVK55" s="1247"/>
      <c r="CVL55" s="1247"/>
      <c r="CVM55" s="1247"/>
      <c r="CVN55" s="1247"/>
      <c r="CVO55" s="1247"/>
      <c r="CVP55" s="1247"/>
      <c r="CVQ55" s="1247"/>
      <c r="CVR55" s="1247"/>
      <c r="CVS55" s="1247"/>
      <c r="CVT55" s="1247"/>
      <c r="CVU55" s="1247"/>
      <c r="CVV55" s="1247"/>
      <c r="CVW55" s="1247"/>
      <c r="CVX55" s="1247"/>
      <c r="CVY55" s="1247"/>
      <c r="CVZ55" s="1247"/>
      <c r="CWA55" s="1247"/>
      <c r="CWB55" s="1247"/>
      <c r="CWC55" s="1247"/>
      <c r="CWD55" s="1247"/>
      <c r="CWE55" s="1247"/>
      <c r="CWF55" s="1247"/>
      <c r="CWG55" s="1247"/>
      <c r="CWH55" s="1247"/>
      <c r="CWI55" s="1247"/>
      <c r="CWJ55" s="1247"/>
      <c r="CWK55" s="1247"/>
      <c r="CWL55" s="1247"/>
      <c r="CWM55" s="1247"/>
      <c r="CWN55" s="1247"/>
      <c r="CWO55" s="1247"/>
      <c r="CWP55" s="1247"/>
      <c r="CWQ55" s="1247"/>
      <c r="CWR55" s="1247"/>
      <c r="CWS55" s="1247"/>
      <c r="CWT55" s="1247"/>
      <c r="CWU55" s="1247"/>
      <c r="CWV55" s="1247"/>
      <c r="CWW55" s="1247"/>
      <c r="CWX55" s="1247"/>
      <c r="CWY55" s="1247"/>
      <c r="CWZ55" s="1247"/>
      <c r="CXA55" s="1247"/>
      <c r="CXB55" s="1247"/>
      <c r="CXC55" s="1247"/>
      <c r="CXD55" s="1247"/>
      <c r="CXE55" s="1247"/>
      <c r="CXF55" s="1247"/>
      <c r="CXG55" s="1247"/>
      <c r="CXH55" s="1247"/>
      <c r="CXI55" s="1247"/>
      <c r="CXJ55" s="1247"/>
      <c r="CXK55" s="1247"/>
      <c r="CXL55" s="1247"/>
      <c r="CXM55" s="1247"/>
      <c r="CXN55" s="1247"/>
      <c r="CXO55" s="1247"/>
      <c r="CXP55" s="1247"/>
      <c r="CXQ55" s="1247"/>
      <c r="CXR55" s="1247"/>
      <c r="CXS55" s="1247"/>
      <c r="CXT55" s="1247"/>
      <c r="CXU55" s="1247"/>
      <c r="CXV55" s="1247"/>
      <c r="CXW55" s="1247"/>
      <c r="CXX55" s="1247"/>
      <c r="CXY55" s="1247"/>
      <c r="CXZ55" s="1247"/>
      <c r="CYA55" s="1247"/>
      <c r="CYB55" s="1247"/>
      <c r="CYC55" s="1247"/>
      <c r="CYD55" s="1247"/>
      <c r="CYE55" s="1247"/>
      <c r="CYF55" s="1247"/>
      <c r="CYG55" s="1247"/>
      <c r="CYH55" s="1247"/>
      <c r="CYI55" s="1247"/>
      <c r="CYJ55" s="1247"/>
      <c r="CYK55" s="1247"/>
      <c r="CYL55" s="1247"/>
      <c r="CYM55" s="1247"/>
      <c r="CYN55" s="1247"/>
      <c r="CYO55" s="1247"/>
      <c r="CYP55" s="1247"/>
      <c r="CYQ55" s="1247"/>
      <c r="CYR55" s="1247"/>
      <c r="CYS55" s="1247"/>
      <c r="CYT55" s="1247"/>
      <c r="CYU55" s="1247"/>
      <c r="CYV55" s="1247"/>
      <c r="CYW55" s="1247"/>
      <c r="CYX55" s="1247"/>
      <c r="CYY55" s="1247"/>
      <c r="CYZ55" s="1247"/>
      <c r="CZA55" s="1247"/>
      <c r="CZB55" s="1247"/>
      <c r="CZC55" s="1247"/>
      <c r="CZD55" s="1247"/>
      <c r="CZE55" s="1247"/>
      <c r="CZF55" s="1247"/>
      <c r="CZG55" s="1247"/>
      <c r="CZH55" s="1247"/>
      <c r="CZI55" s="1247"/>
      <c r="CZJ55" s="1247"/>
      <c r="CZK55" s="1247"/>
      <c r="CZL55" s="1247"/>
      <c r="CZM55" s="1247"/>
      <c r="CZN55" s="1247"/>
      <c r="CZO55" s="1247"/>
      <c r="CZP55" s="1247"/>
      <c r="CZQ55" s="1247"/>
      <c r="CZR55" s="1247"/>
      <c r="CZS55" s="1247"/>
      <c r="CZT55" s="1247"/>
      <c r="CZU55" s="1247"/>
      <c r="CZV55" s="1247"/>
      <c r="CZW55" s="1247"/>
      <c r="CZX55" s="1247"/>
      <c r="CZY55" s="1247"/>
      <c r="CZZ55" s="1247"/>
      <c r="DAA55" s="1247"/>
      <c r="DAB55" s="1247"/>
      <c r="DAC55" s="1247"/>
      <c r="DAD55" s="1247"/>
      <c r="DAE55" s="1247"/>
      <c r="DAF55" s="1247"/>
      <c r="DAG55" s="1247"/>
      <c r="DAH55" s="1247"/>
      <c r="DAI55" s="1247"/>
      <c r="DAJ55" s="1247"/>
      <c r="DAK55" s="1247"/>
      <c r="DAL55" s="1247"/>
      <c r="DAM55" s="1247"/>
      <c r="DAN55" s="1247"/>
      <c r="DAO55" s="1247"/>
      <c r="DAP55" s="1247"/>
      <c r="DAQ55" s="1247"/>
      <c r="DAR55" s="1247"/>
      <c r="DAS55" s="1247"/>
      <c r="DAT55" s="1247"/>
      <c r="DAU55" s="1247"/>
      <c r="DAV55" s="1247"/>
      <c r="DAW55" s="1247"/>
      <c r="DAX55" s="1247"/>
      <c r="DAY55" s="1247"/>
      <c r="DAZ55" s="1247"/>
      <c r="DBA55" s="1247"/>
      <c r="DBB55" s="1247"/>
      <c r="DBC55" s="1247"/>
      <c r="DBD55" s="1247"/>
      <c r="DBE55" s="1247"/>
      <c r="DBF55" s="1247"/>
      <c r="DBG55" s="1247"/>
      <c r="DBH55" s="1247"/>
      <c r="DBI55" s="1247"/>
      <c r="DBJ55" s="1247"/>
      <c r="DBK55" s="1247"/>
      <c r="DBL55" s="1247"/>
      <c r="DBM55" s="1247"/>
      <c r="DBN55" s="1247"/>
      <c r="DBO55" s="1247"/>
      <c r="DBP55" s="1247"/>
      <c r="DBQ55" s="1247"/>
      <c r="DBR55" s="1247"/>
      <c r="DBS55" s="1247"/>
      <c r="DBT55" s="1247"/>
      <c r="DBU55" s="1247"/>
      <c r="DBV55" s="1247"/>
      <c r="DBW55" s="1247"/>
      <c r="DBX55" s="1247"/>
      <c r="DBY55" s="1247"/>
      <c r="DBZ55" s="1247"/>
      <c r="DCA55" s="1247"/>
      <c r="DCB55" s="1247"/>
      <c r="DCC55" s="1247"/>
      <c r="DCD55" s="1247"/>
      <c r="DCE55" s="1247"/>
      <c r="DCF55" s="1247"/>
      <c r="DCG55" s="1247"/>
      <c r="DCH55" s="1247"/>
      <c r="DCI55" s="1247"/>
      <c r="DCJ55" s="1247"/>
      <c r="DCK55" s="1247"/>
      <c r="DCL55" s="1247"/>
      <c r="DCM55" s="1247"/>
      <c r="DCN55" s="1247"/>
      <c r="DCO55" s="1247"/>
      <c r="DCP55" s="1247"/>
      <c r="DCQ55" s="1247"/>
      <c r="DCR55" s="1247"/>
      <c r="DCS55" s="1247"/>
      <c r="DCT55" s="1247"/>
      <c r="DCU55" s="1247"/>
      <c r="DCV55" s="1247"/>
      <c r="DCW55" s="1247"/>
      <c r="DCX55" s="1247"/>
      <c r="DCY55" s="1247"/>
      <c r="DCZ55" s="1247"/>
      <c r="DDA55" s="1247"/>
      <c r="DDB55" s="1247"/>
      <c r="DDC55" s="1247"/>
      <c r="DDD55" s="1247"/>
      <c r="DDE55" s="1247"/>
      <c r="DDF55" s="1247"/>
      <c r="DDG55" s="1247"/>
      <c r="DDH55" s="1247"/>
      <c r="DDI55" s="1247"/>
      <c r="DDJ55" s="1247"/>
      <c r="DDK55" s="1247"/>
      <c r="DDL55" s="1247"/>
      <c r="DDM55" s="1247"/>
      <c r="DDN55" s="1247"/>
      <c r="DDO55" s="1247"/>
      <c r="DDP55" s="1247"/>
      <c r="DDQ55" s="1247"/>
      <c r="DDR55" s="1247"/>
      <c r="DDS55" s="1247"/>
      <c r="DDT55" s="1247"/>
      <c r="DDU55" s="1247"/>
      <c r="DDV55" s="1247"/>
      <c r="DDW55" s="1247"/>
      <c r="DDX55" s="1247"/>
      <c r="DDY55" s="1247"/>
      <c r="DDZ55" s="1247"/>
      <c r="DEA55" s="1247"/>
      <c r="DEB55" s="1247"/>
      <c r="DEC55" s="1247"/>
      <c r="DED55" s="1247"/>
      <c r="DEE55" s="1247"/>
      <c r="DEF55" s="1247"/>
      <c r="DEG55" s="1247"/>
      <c r="DEH55" s="1247"/>
      <c r="DEI55" s="1247"/>
      <c r="DEJ55" s="1247"/>
      <c r="DEK55" s="1247"/>
      <c r="DEL55" s="1247"/>
      <c r="DEM55" s="1247"/>
      <c r="DEN55" s="1247"/>
      <c r="DEO55" s="1247"/>
      <c r="DEP55" s="1247"/>
      <c r="DEQ55" s="1247"/>
      <c r="DER55" s="1247"/>
      <c r="DES55" s="1247"/>
      <c r="DET55" s="1247"/>
      <c r="DEU55" s="1247"/>
      <c r="DEV55" s="1247"/>
      <c r="DEW55" s="1247"/>
      <c r="DEX55" s="1247"/>
      <c r="DEY55" s="1247"/>
      <c r="DEZ55" s="1247"/>
      <c r="DFA55" s="1247"/>
      <c r="DFB55" s="1247"/>
      <c r="DFC55" s="1247"/>
      <c r="DFD55" s="1247"/>
      <c r="DFE55" s="1247"/>
      <c r="DFF55" s="1247"/>
      <c r="DFG55" s="1247"/>
      <c r="DFH55" s="1247"/>
      <c r="DFI55" s="1247"/>
      <c r="DFJ55" s="1247"/>
      <c r="DFK55" s="1247"/>
      <c r="DFL55" s="1247"/>
      <c r="DFM55" s="1247"/>
      <c r="DFN55" s="1247"/>
      <c r="DFO55" s="1247"/>
      <c r="DFP55" s="1247"/>
      <c r="DFQ55" s="1247"/>
      <c r="DFR55" s="1247"/>
      <c r="DFS55" s="1247"/>
      <c r="DFT55" s="1247"/>
      <c r="DFU55" s="1247"/>
      <c r="DFV55" s="1247"/>
      <c r="DFW55" s="1247"/>
      <c r="DFX55" s="1247"/>
      <c r="DFY55" s="1247"/>
      <c r="DFZ55" s="1247"/>
      <c r="DGA55" s="1247"/>
      <c r="DGB55" s="1247"/>
      <c r="DGC55" s="1247"/>
      <c r="DGD55" s="1247"/>
      <c r="DGE55" s="1247"/>
      <c r="DGF55" s="1247"/>
      <c r="DGG55" s="1247"/>
      <c r="DGH55" s="1247"/>
      <c r="DGI55" s="1247"/>
      <c r="DGJ55" s="1247"/>
      <c r="DGK55" s="1247"/>
      <c r="DGL55" s="1247"/>
      <c r="DGM55" s="1247"/>
      <c r="DGN55" s="1247"/>
      <c r="DGO55" s="1247"/>
      <c r="DGP55" s="1247"/>
      <c r="DGQ55" s="1247"/>
      <c r="DGR55" s="1247"/>
      <c r="DGS55" s="1247"/>
      <c r="DGT55" s="1247"/>
      <c r="DGU55" s="1247"/>
      <c r="DGV55" s="1247"/>
      <c r="DGW55" s="1247"/>
      <c r="DGX55" s="1247"/>
      <c r="DGY55" s="1247"/>
      <c r="DGZ55" s="1247"/>
      <c r="DHA55" s="1247"/>
      <c r="DHB55" s="1247"/>
      <c r="DHC55" s="1247"/>
      <c r="DHD55" s="1247"/>
      <c r="DHE55" s="1247"/>
      <c r="DHF55" s="1247"/>
      <c r="DHG55" s="1247"/>
      <c r="DHH55" s="1247"/>
      <c r="DHI55" s="1247"/>
      <c r="DHJ55" s="1247"/>
      <c r="DHK55" s="1247"/>
      <c r="DHL55" s="1247"/>
      <c r="DHM55" s="1247"/>
      <c r="DHN55" s="1247"/>
      <c r="DHO55" s="1247"/>
      <c r="DHP55" s="1247"/>
      <c r="DHQ55" s="1247"/>
      <c r="DHR55" s="1247"/>
      <c r="DHS55" s="1247"/>
      <c r="DHT55" s="1247"/>
      <c r="DHU55" s="1247"/>
      <c r="DHV55" s="1247"/>
      <c r="DHW55" s="1247"/>
      <c r="DHX55" s="1247"/>
      <c r="DHY55" s="1247"/>
      <c r="DHZ55" s="1247"/>
      <c r="DIA55" s="1247"/>
      <c r="DIB55" s="1247"/>
      <c r="DIC55" s="1247"/>
      <c r="DID55" s="1247"/>
      <c r="DIE55" s="1247"/>
      <c r="DIF55" s="1247"/>
      <c r="DIG55" s="1247"/>
      <c r="DIH55" s="1247"/>
      <c r="DII55" s="1247"/>
      <c r="DIJ55" s="1247"/>
      <c r="DIK55" s="1247"/>
      <c r="DIL55" s="1247"/>
      <c r="DIM55" s="1247"/>
      <c r="DIN55" s="1247"/>
      <c r="DIO55" s="1247"/>
      <c r="DIP55" s="1247"/>
      <c r="DIQ55" s="1247"/>
      <c r="DIR55" s="1247"/>
      <c r="DIS55" s="1247"/>
      <c r="DIT55" s="1247"/>
      <c r="DIU55" s="1247"/>
      <c r="DIV55" s="1247"/>
      <c r="DIW55" s="1247"/>
      <c r="DIX55" s="1247"/>
      <c r="DIY55" s="1247"/>
      <c r="DIZ55" s="1247"/>
      <c r="DJA55" s="1247"/>
      <c r="DJB55" s="1247"/>
      <c r="DJC55" s="1247"/>
      <c r="DJD55" s="1247"/>
      <c r="DJE55" s="1247"/>
      <c r="DJF55" s="1247"/>
      <c r="DJG55" s="1247"/>
      <c r="DJH55" s="1247"/>
      <c r="DJI55" s="1247"/>
      <c r="DJJ55" s="1247"/>
      <c r="DJK55" s="1247"/>
      <c r="DJL55" s="1247"/>
      <c r="DJM55" s="1247"/>
      <c r="DJN55" s="1247"/>
      <c r="DJO55" s="1247"/>
      <c r="DJP55" s="1247"/>
      <c r="DJQ55" s="1247"/>
      <c r="DJR55" s="1247"/>
      <c r="DJS55" s="1247"/>
      <c r="DJT55" s="1247"/>
      <c r="DJU55" s="1247"/>
      <c r="DJV55" s="1247"/>
      <c r="DJW55" s="1247"/>
      <c r="DJX55" s="1247"/>
      <c r="DJY55" s="1247"/>
      <c r="DJZ55" s="1247"/>
      <c r="DKA55" s="1247"/>
      <c r="DKB55" s="1247"/>
      <c r="DKC55" s="1247"/>
      <c r="DKD55" s="1247"/>
      <c r="DKE55" s="1247"/>
      <c r="DKF55" s="1247"/>
      <c r="DKG55" s="1247"/>
      <c r="DKH55" s="1247"/>
      <c r="DKI55" s="1247"/>
      <c r="DKJ55" s="1247"/>
      <c r="DKK55" s="1247"/>
      <c r="DKL55" s="1247"/>
      <c r="DKM55" s="1247"/>
      <c r="DKN55" s="1247"/>
      <c r="DKO55" s="1247"/>
      <c r="DKP55" s="1247"/>
      <c r="DKQ55" s="1247"/>
      <c r="DKR55" s="1247"/>
      <c r="DKS55" s="1247"/>
      <c r="DKT55" s="1247"/>
      <c r="DKU55" s="1247"/>
      <c r="DKV55" s="1247"/>
      <c r="DKW55" s="1247"/>
      <c r="DKX55" s="1247"/>
      <c r="DKY55" s="1247"/>
      <c r="DKZ55" s="1247"/>
      <c r="DLA55" s="1247"/>
      <c r="DLB55" s="1247"/>
      <c r="DLC55" s="1247"/>
      <c r="DLD55" s="1247"/>
      <c r="DLE55" s="1247"/>
      <c r="DLF55" s="1247"/>
      <c r="DLG55" s="1247"/>
      <c r="DLH55" s="1247"/>
      <c r="DLI55" s="1247"/>
      <c r="DLJ55" s="1247"/>
      <c r="DLK55" s="1247"/>
      <c r="DLL55" s="1247"/>
      <c r="DLM55" s="1247"/>
      <c r="DLN55" s="1247"/>
      <c r="DLO55" s="1247"/>
      <c r="DLP55" s="1247"/>
      <c r="DLQ55" s="1247"/>
      <c r="DLR55" s="1247"/>
      <c r="DLS55" s="1247"/>
      <c r="DLT55" s="1247"/>
      <c r="DLU55" s="1247"/>
      <c r="DLV55" s="1247"/>
      <c r="DLW55" s="1247"/>
      <c r="DLX55" s="1247"/>
      <c r="DLY55" s="1247"/>
      <c r="DLZ55" s="1247"/>
      <c r="DMA55" s="1247"/>
      <c r="DMB55" s="1247"/>
      <c r="DMC55" s="1247"/>
      <c r="DMD55" s="1247"/>
      <c r="DME55" s="1247"/>
      <c r="DMF55" s="1247"/>
      <c r="DMG55" s="1247"/>
      <c r="DMH55" s="1247"/>
      <c r="DMI55" s="1247"/>
      <c r="DMJ55" s="1247"/>
      <c r="DMK55" s="1247"/>
      <c r="DML55" s="1247"/>
      <c r="DMM55" s="1247"/>
      <c r="DMN55" s="1247"/>
      <c r="DMO55" s="1247"/>
      <c r="DMP55" s="1247"/>
      <c r="DMQ55" s="1247"/>
      <c r="DMR55" s="1247"/>
      <c r="DMS55" s="1247"/>
      <c r="DMT55" s="1247"/>
      <c r="DMU55" s="1247"/>
      <c r="DMV55" s="1247"/>
      <c r="DMW55" s="1247"/>
      <c r="DMX55" s="1247"/>
      <c r="DMY55" s="1247"/>
      <c r="DMZ55" s="1247"/>
      <c r="DNA55" s="1247"/>
      <c r="DNB55" s="1247"/>
      <c r="DNC55" s="1247"/>
      <c r="DND55" s="1247"/>
      <c r="DNE55" s="1247"/>
      <c r="DNF55" s="1247"/>
      <c r="DNG55" s="1247"/>
      <c r="DNH55" s="1247"/>
      <c r="DNI55" s="1247"/>
      <c r="DNJ55" s="1247"/>
      <c r="DNK55" s="1247"/>
      <c r="DNL55" s="1247"/>
      <c r="DNM55" s="1247"/>
      <c r="DNN55" s="1247"/>
      <c r="DNO55" s="1247"/>
      <c r="DNP55" s="1247"/>
      <c r="DNQ55" s="1247"/>
      <c r="DNR55" s="1247"/>
      <c r="DNS55" s="1247"/>
      <c r="DNT55" s="1247"/>
      <c r="DNU55" s="1247"/>
      <c r="DNV55" s="1247"/>
      <c r="DNW55" s="1247"/>
      <c r="DNX55" s="1247"/>
      <c r="DNY55" s="1247"/>
      <c r="DNZ55" s="1247"/>
      <c r="DOA55" s="1247"/>
      <c r="DOB55" s="1247"/>
      <c r="DOC55" s="1247"/>
      <c r="DOD55" s="1247"/>
      <c r="DOE55" s="1247"/>
      <c r="DOF55" s="1247"/>
      <c r="DOG55" s="1247"/>
      <c r="DOH55" s="1247"/>
      <c r="DOI55" s="1247"/>
      <c r="DOJ55" s="1247"/>
      <c r="DOK55" s="1247"/>
      <c r="DOL55" s="1247"/>
      <c r="DOM55" s="1247"/>
      <c r="DON55" s="1247"/>
      <c r="DOO55" s="1247"/>
      <c r="DOP55" s="1247"/>
      <c r="DOQ55" s="1247"/>
      <c r="DOR55" s="1247"/>
      <c r="DOS55" s="1247"/>
      <c r="DOT55" s="1247"/>
      <c r="DOU55" s="1247"/>
      <c r="DOV55" s="1247"/>
      <c r="DOW55" s="1247"/>
      <c r="DOX55" s="1247"/>
      <c r="DOY55" s="1247"/>
      <c r="DOZ55" s="1247"/>
      <c r="DPA55" s="1247"/>
      <c r="DPB55" s="1247"/>
      <c r="DPC55" s="1247"/>
      <c r="DPD55" s="1247"/>
      <c r="DPE55" s="1247"/>
      <c r="DPF55" s="1247"/>
      <c r="DPG55" s="1247"/>
      <c r="DPH55" s="1247"/>
      <c r="DPI55" s="1247"/>
      <c r="DPJ55" s="1247"/>
      <c r="DPK55" s="1247"/>
      <c r="DPL55" s="1247"/>
      <c r="DPM55" s="1247"/>
      <c r="DPN55" s="1247"/>
      <c r="DPO55" s="1247"/>
      <c r="DPP55" s="1247"/>
      <c r="DPQ55" s="1247"/>
      <c r="DPR55" s="1247"/>
      <c r="DPS55" s="1247"/>
      <c r="DPT55" s="1247"/>
      <c r="DPU55" s="1247"/>
      <c r="DPV55" s="1247"/>
      <c r="DPW55" s="1247"/>
      <c r="DPX55" s="1247"/>
      <c r="DPY55" s="1247"/>
      <c r="DPZ55" s="1247"/>
      <c r="DQA55" s="1247"/>
      <c r="DQB55" s="1247"/>
      <c r="DQC55" s="1247"/>
      <c r="DQD55" s="1247"/>
      <c r="DQE55" s="1247"/>
      <c r="DQF55" s="1247"/>
      <c r="DQG55" s="1247"/>
      <c r="DQH55" s="1247"/>
      <c r="DQI55" s="1247"/>
      <c r="DQJ55" s="1247"/>
      <c r="DQK55" s="1247"/>
      <c r="DQL55" s="1247"/>
      <c r="DQM55" s="1247"/>
      <c r="DQN55" s="1247"/>
      <c r="DQO55" s="1247"/>
      <c r="DQP55" s="1247"/>
      <c r="DQQ55" s="1247"/>
      <c r="DQR55" s="1247"/>
      <c r="DQS55" s="1247"/>
      <c r="DQT55" s="1247"/>
      <c r="DQU55" s="1247"/>
      <c r="DQV55" s="1247"/>
      <c r="DQW55" s="1247"/>
      <c r="DQX55" s="1247"/>
      <c r="DQY55" s="1247"/>
      <c r="DQZ55" s="1247"/>
      <c r="DRA55" s="1247"/>
      <c r="DRB55" s="1247"/>
      <c r="DRC55" s="1247"/>
      <c r="DRD55" s="1247"/>
      <c r="DRE55" s="1247"/>
      <c r="DRF55" s="1247"/>
      <c r="DRG55" s="1247"/>
      <c r="DRH55" s="1247"/>
      <c r="DRI55" s="1247"/>
      <c r="DRJ55" s="1247"/>
      <c r="DRK55" s="1247"/>
      <c r="DRL55" s="1247"/>
      <c r="DRM55" s="1247"/>
      <c r="DRN55" s="1247"/>
      <c r="DRO55" s="1247"/>
      <c r="DRP55" s="1247"/>
      <c r="DRQ55" s="1247"/>
      <c r="DRR55" s="1247"/>
      <c r="DRS55" s="1247"/>
      <c r="DRT55" s="1247"/>
      <c r="DRU55" s="1247"/>
      <c r="DRV55" s="1247"/>
      <c r="DRW55" s="1247"/>
      <c r="DRX55" s="1247"/>
      <c r="DRY55" s="1247"/>
      <c r="DRZ55" s="1247"/>
      <c r="DSA55" s="1247"/>
      <c r="DSB55" s="1247"/>
      <c r="DSC55" s="1247"/>
      <c r="DSD55" s="1247"/>
      <c r="DSE55" s="1247"/>
      <c r="DSF55" s="1247"/>
      <c r="DSG55" s="1247"/>
      <c r="DSH55" s="1247"/>
      <c r="DSI55" s="1247"/>
      <c r="DSJ55" s="1247"/>
      <c r="DSK55" s="1247"/>
      <c r="DSL55" s="1247"/>
      <c r="DSM55" s="1247"/>
      <c r="DSN55" s="1247"/>
      <c r="DSO55" s="1247"/>
      <c r="DSP55" s="1247"/>
      <c r="DSQ55" s="1247"/>
      <c r="DSR55" s="1247"/>
      <c r="DSS55" s="1247"/>
      <c r="DST55" s="1247"/>
      <c r="DSU55" s="1247"/>
      <c r="DSV55" s="1247"/>
      <c r="DSW55" s="1247"/>
      <c r="DSX55" s="1247"/>
      <c r="DSY55" s="1247"/>
      <c r="DSZ55" s="1247"/>
      <c r="DTA55" s="1247"/>
      <c r="DTB55" s="1247"/>
      <c r="DTC55" s="1247"/>
      <c r="DTD55" s="1247"/>
      <c r="DTE55" s="1247"/>
      <c r="DTF55" s="1247"/>
      <c r="DTG55" s="1247"/>
      <c r="DTH55" s="1247"/>
      <c r="DTI55" s="1247"/>
      <c r="DTJ55" s="1247"/>
      <c r="DTK55" s="1247"/>
      <c r="DTL55" s="1247"/>
      <c r="DTM55" s="1247"/>
      <c r="DTN55" s="1247"/>
      <c r="DTO55" s="1247"/>
      <c r="DTP55" s="1247"/>
      <c r="DTQ55" s="1247"/>
      <c r="DTR55" s="1247"/>
      <c r="DTS55" s="1247"/>
      <c r="DTT55" s="1247"/>
      <c r="DTU55" s="1247"/>
      <c r="DTV55" s="1247"/>
      <c r="DTW55" s="1247"/>
      <c r="DTX55" s="1247"/>
      <c r="DTY55" s="1247"/>
      <c r="DTZ55" s="1247"/>
      <c r="DUA55" s="1247"/>
      <c r="DUB55" s="1247"/>
      <c r="DUC55" s="1247"/>
      <c r="DUD55" s="1247"/>
      <c r="DUE55" s="1247"/>
      <c r="DUF55" s="1247"/>
      <c r="DUG55" s="1247"/>
      <c r="DUH55" s="1247"/>
      <c r="DUI55" s="1247"/>
      <c r="DUJ55" s="1247"/>
      <c r="DUK55" s="1247"/>
      <c r="DUL55" s="1247"/>
      <c r="DUM55" s="1247"/>
      <c r="DUN55" s="1247"/>
      <c r="DUO55" s="1247"/>
      <c r="DUP55" s="1247"/>
      <c r="DUQ55" s="1247"/>
      <c r="DUR55" s="1247"/>
      <c r="DUS55" s="1247"/>
      <c r="DUT55" s="1247"/>
      <c r="DUU55" s="1247"/>
      <c r="DUV55" s="1247"/>
      <c r="DUW55" s="1247"/>
      <c r="DUX55" s="1247"/>
      <c r="DUY55" s="1247"/>
      <c r="DUZ55" s="1247"/>
      <c r="DVA55" s="1247"/>
      <c r="DVB55" s="1247"/>
      <c r="DVC55" s="1247"/>
      <c r="DVD55" s="1247"/>
      <c r="DVE55" s="1247"/>
      <c r="DVF55" s="1247"/>
      <c r="DVG55" s="1247"/>
      <c r="DVH55" s="1247"/>
      <c r="DVI55" s="1247"/>
      <c r="DVJ55" s="1247"/>
      <c r="DVK55" s="1247"/>
      <c r="DVL55" s="1247"/>
      <c r="DVM55" s="1247"/>
      <c r="DVN55" s="1247"/>
      <c r="DVO55" s="1247"/>
      <c r="DVP55" s="1247"/>
      <c r="DVQ55" s="1247"/>
      <c r="DVR55" s="1247"/>
      <c r="DVS55" s="1247"/>
      <c r="DVT55" s="1247"/>
      <c r="DVU55" s="1247"/>
      <c r="DVV55" s="1247"/>
      <c r="DVW55" s="1247"/>
      <c r="DVX55" s="1247"/>
      <c r="DVY55" s="1247"/>
      <c r="DVZ55" s="1247"/>
      <c r="DWA55" s="1247"/>
      <c r="DWB55" s="1247"/>
      <c r="DWC55" s="1247"/>
      <c r="DWD55" s="1247"/>
      <c r="DWE55" s="1247"/>
      <c r="DWF55" s="1247"/>
      <c r="DWG55" s="1247"/>
      <c r="DWH55" s="1247"/>
      <c r="DWI55" s="1247"/>
      <c r="DWJ55" s="1247"/>
      <c r="DWK55" s="1247"/>
      <c r="DWL55" s="1247"/>
      <c r="DWM55" s="1247"/>
      <c r="DWN55" s="1247"/>
      <c r="DWO55" s="1247"/>
      <c r="DWP55" s="1247"/>
      <c r="DWQ55" s="1247"/>
      <c r="DWR55" s="1247"/>
      <c r="DWS55" s="1247"/>
      <c r="DWT55" s="1247"/>
      <c r="DWU55" s="1247"/>
      <c r="DWV55" s="1247"/>
      <c r="DWW55" s="1247"/>
      <c r="DWX55" s="1247"/>
      <c r="DWY55" s="1247"/>
      <c r="DWZ55" s="1247"/>
      <c r="DXA55" s="1247"/>
      <c r="DXB55" s="1247"/>
      <c r="DXC55" s="1247"/>
      <c r="DXD55" s="1247"/>
      <c r="DXE55" s="1247"/>
      <c r="DXF55" s="1247"/>
      <c r="DXG55" s="1247"/>
      <c r="DXH55" s="1247"/>
      <c r="DXI55" s="1247"/>
      <c r="DXJ55" s="1247"/>
      <c r="DXK55" s="1247"/>
      <c r="DXL55" s="1247"/>
      <c r="DXM55" s="1247"/>
      <c r="DXN55" s="1247"/>
      <c r="DXO55" s="1247"/>
      <c r="DXP55" s="1247"/>
      <c r="DXQ55" s="1247"/>
      <c r="DXR55" s="1247"/>
      <c r="DXS55" s="1247"/>
      <c r="DXT55" s="1247"/>
      <c r="DXU55" s="1247"/>
      <c r="DXV55" s="1247"/>
      <c r="DXW55" s="1247"/>
      <c r="DXX55" s="1247"/>
      <c r="DXY55" s="1247"/>
      <c r="DXZ55" s="1247"/>
      <c r="DYA55" s="1247"/>
      <c r="DYB55" s="1247"/>
      <c r="DYC55" s="1247"/>
      <c r="DYD55" s="1247"/>
      <c r="DYE55" s="1247"/>
      <c r="DYF55" s="1247"/>
      <c r="DYG55" s="1247"/>
      <c r="DYH55" s="1247"/>
      <c r="DYI55" s="1247"/>
      <c r="DYJ55" s="1247"/>
      <c r="DYK55" s="1247"/>
      <c r="DYL55" s="1247"/>
      <c r="DYM55" s="1247"/>
      <c r="DYN55" s="1247"/>
      <c r="DYO55" s="1247"/>
      <c r="DYP55" s="1247"/>
      <c r="DYQ55" s="1247"/>
      <c r="DYR55" s="1247"/>
      <c r="DYS55" s="1247"/>
      <c r="DYT55" s="1247"/>
      <c r="DYU55" s="1247"/>
      <c r="DYV55" s="1247"/>
      <c r="DYW55" s="1247"/>
      <c r="DYX55" s="1247"/>
      <c r="DYY55" s="1247"/>
      <c r="DYZ55" s="1247"/>
      <c r="DZA55" s="1247"/>
      <c r="DZB55" s="1247"/>
      <c r="DZC55" s="1247"/>
      <c r="DZD55" s="1247"/>
      <c r="DZE55" s="1247"/>
      <c r="DZF55" s="1247"/>
      <c r="DZG55" s="1247"/>
      <c r="DZH55" s="1247"/>
      <c r="DZI55" s="1247"/>
      <c r="DZJ55" s="1247"/>
      <c r="DZK55" s="1247"/>
      <c r="DZL55" s="1247"/>
      <c r="DZM55" s="1247"/>
      <c r="DZN55" s="1247"/>
      <c r="DZO55" s="1247"/>
      <c r="DZP55" s="1247"/>
      <c r="DZQ55" s="1247"/>
      <c r="DZR55" s="1247"/>
      <c r="DZS55" s="1247"/>
      <c r="DZT55" s="1247"/>
      <c r="DZU55" s="1247"/>
      <c r="DZV55" s="1247"/>
      <c r="DZW55" s="1247"/>
      <c r="DZX55" s="1247"/>
      <c r="DZY55" s="1247"/>
      <c r="DZZ55" s="1247"/>
      <c r="EAA55" s="1247"/>
      <c r="EAB55" s="1247"/>
      <c r="EAC55" s="1247"/>
      <c r="EAD55" s="1247"/>
      <c r="EAE55" s="1247"/>
      <c r="EAF55" s="1247"/>
      <c r="EAG55" s="1247"/>
      <c r="EAH55" s="1247"/>
      <c r="EAI55" s="1247"/>
      <c r="EAJ55" s="1247"/>
      <c r="EAK55" s="1247"/>
      <c r="EAL55" s="1247"/>
      <c r="EAM55" s="1247"/>
      <c r="EAN55" s="1247"/>
      <c r="EAO55" s="1247"/>
      <c r="EAP55" s="1247"/>
      <c r="EAQ55" s="1247"/>
      <c r="EAR55" s="1247"/>
      <c r="EAS55" s="1247"/>
      <c r="EAT55" s="1247"/>
      <c r="EAU55" s="1247"/>
      <c r="EAV55" s="1247"/>
      <c r="EAW55" s="1247"/>
      <c r="EAX55" s="1247"/>
      <c r="EAY55" s="1247"/>
      <c r="EAZ55" s="1247"/>
      <c r="EBA55" s="1247"/>
      <c r="EBB55" s="1247"/>
      <c r="EBC55" s="1247"/>
      <c r="EBD55" s="1247"/>
      <c r="EBE55" s="1247"/>
      <c r="EBF55" s="1247"/>
      <c r="EBG55" s="1247"/>
      <c r="EBH55" s="1247"/>
      <c r="EBI55" s="1247"/>
      <c r="EBJ55" s="1247"/>
      <c r="EBK55" s="1247"/>
      <c r="EBL55" s="1247"/>
      <c r="EBM55" s="1247"/>
      <c r="EBN55" s="1247"/>
      <c r="EBO55" s="1247"/>
      <c r="EBP55" s="1247"/>
      <c r="EBQ55" s="1247"/>
      <c r="EBR55" s="1247"/>
      <c r="EBS55" s="1247"/>
      <c r="EBT55" s="1247"/>
      <c r="EBU55" s="1247"/>
      <c r="EBV55" s="1247"/>
      <c r="EBW55" s="1247"/>
      <c r="EBX55" s="1247"/>
      <c r="EBY55" s="1247"/>
      <c r="EBZ55" s="1247"/>
      <c r="ECA55" s="1247"/>
      <c r="ECB55" s="1247"/>
      <c r="ECC55" s="1247"/>
      <c r="ECD55" s="1247"/>
      <c r="ECE55" s="1247"/>
      <c r="ECF55" s="1247"/>
      <c r="ECG55" s="1247"/>
      <c r="ECH55" s="1247"/>
      <c r="ECI55" s="1247"/>
      <c r="ECJ55" s="1247"/>
      <c r="ECK55" s="1247"/>
      <c r="ECL55" s="1247"/>
      <c r="ECM55" s="1247"/>
      <c r="ECN55" s="1247"/>
      <c r="ECO55" s="1247"/>
    </row>
    <row r="56" spans="2:3473" ht="16" thickBot="1">
      <c r="B56" s="1217"/>
      <c r="C56" s="1288"/>
      <c r="D56" s="1288"/>
      <c r="E56" s="1288"/>
      <c r="F56" s="1288"/>
      <c r="G56" s="1288"/>
      <c r="H56" s="1288"/>
      <c r="I56" s="1288"/>
      <c r="J56" s="1288"/>
      <c r="K56" s="1288"/>
      <c r="L56" s="1288"/>
      <c r="M56" s="1288"/>
      <c r="N56" s="1288"/>
      <c r="O56" s="1288"/>
      <c r="P56" s="1288"/>
      <c r="Q56" s="1288"/>
      <c r="R56" s="1288"/>
      <c r="S56" s="1288"/>
      <c r="T56" s="1288"/>
      <c r="U56" s="1288"/>
      <c r="V56" s="1288"/>
      <c r="W56" s="1288"/>
      <c r="X56" s="1288"/>
      <c r="Y56" s="1288"/>
      <c r="Z56" s="1288"/>
      <c r="AA56" s="1288"/>
      <c r="AB56" s="1288"/>
      <c r="AC56" s="1288"/>
      <c r="AD56" s="1290"/>
      <c r="AE56" s="1290"/>
      <c r="AF56" s="1288"/>
      <c r="AG56" s="1288"/>
      <c r="AH56" s="1288"/>
      <c r="AI56" s="1288"/>
      <c r="AJ56" s="1288"/>
      <c r="AK56" s="1288"/>
      <c r="AL56" s="1288"/>
      <c r="AM56" s="1288"/>
      <c r="AN56" s="1288"/>
      <c r="AO56" s="1288"/>
      <c r="AP56" s="1288"/>
      <c r="AQ56" s="1288"/>
      <c r="AR56" s="1288"/>
      <c r="AS56" s="1288"/>
      <c r="AT56" s="1288"/>
      <c r="AU56" s="1288"/>
      <c r="AV56" s="1288"/>
      <c r="AW56" s="1288"/>
      <c r="AX56" s="1288"/>
      <c r="AY56" s="1288"/>
      <c r="AZ56" s="1288"/>
      <c r="BA56" s="1288"/>
      <c r="BB56" s="1288"/>
      <c r="BC56" s="1288"/>
      <c r="BD56" s="1288"/>
      <c r="BE56" s="1288"/>
      <c r="BF56" s="1288"/>
      <c r="BG56" s="1288"/>
      <c r="BH56" s="1288"/>
      <c r="BI56" s="1288"/>
      <c r="BJ56" s="2182"/>
      <c r="BK56" s="1224"/>
      <c r="BL56" s="1224"/>
      <c r="BM56" s="1224"/>
      <c r="BN56" s="1221"/>
      <c r="BO56" s="1221"/>
      <c r="BP56" s="1221"/>
      <c r="BQ56" s="1221"/>
      <c r="BR56" s="1222"/>
      <c r="BS56" s="1222"/>
      <c r="BT56" s="1222"/>
      <c r="BU56" s="1222"/>
      <c r="BV56" s="1222"/>
      <c r="BW56" s="1222"/>
      <c r="BX56" s="1222"/>
      <c r="BY56" s="1222"/>
      <c r="BZ56" s="1222"/>
      <c r="CA56" s="1222"/>
      <c r="CB56" s="1222"/>
      <c r="CC56" s="1222"/>
      <c r="CD56" s="1222"/>
      <c r="CE56" s="1222"/>
      <c r="CF56" s="1222"/>
      <c r="CG56" s="1222"/>
      <c r="CH56" s="1222"/>
      <c r="CI56" s="1222"/>
      <c r="CJ56" s="1222"/>
      <c r="CK56" s="1222"/>
      <c r="CL56" s="1222"/>
      <c r="CM56" s="1222"/>
      <c r="CN56" s="1222"/>
      <c r="CO56" s="1222"/>
      <c r="CP56" s="1222"/>
      <c r="CQ56" s="1222"/>
      <c r="CR56" s="1222"/>
      <c r="CS56" s="1222"/>
      <c r="CT56" s="1222"/>
      <c r="CU56" s="1222"/>
      <c r="CV56" s="1222"/>
      <c r="CW56" s="1222"/>
      <c r="CX56" s="1222"/>
      <c r="CY56" s="1222"/>
      <c r="CZ56" s="1222"/>
      <c r="DA56" s="1222"/>
      <c r="DB56" s="1222"/>
      <c r="DC56" s="1222"/>
      <c r="DD56" s="1222"/>
      <c r="DE56" s="1222"/>
      <c r="DF56" s="1222"/>
      <c r="DG56" s="1222"/>
      <c r="DH56" s="1222"/>
      <c r="DI56" s="1222"/>
      <c r="DJ56" s="1222"/>
      <c r="DK56" s="1222"/>
      <c r="DL56" s="1222"/>
      <c r="DM56" s="1222"/>
      <c r="DN56" s="1222"/>
      <c r="DO56" s="1222"/>
      <c r="DP56" s="1222"/>
      <c r="DQ56" s="1222"/>
      <c r="DR56" s="1222"/>
      <c r="DS56" s="1222"/>
      <c r="DT56" s="1222"/>
      <c r="DU56" s="1222"/>
      <c r="DV56" s="1222"/>
      <c r="DW56" s="1222"/>
      <c r="DX56" s="1222"/>
      <c r="DY56" s="1222"/>
      <c r="DZ56" s="1222"/>
      <c r="EA56" s="1222"/>
      <c r="EB56" s="1222"/>
      <c r="EC56" s="1222"/>
      <c r="ED56" s="1222"/>
      <c r="EE56" s="1222"/>
      <c r="EF56" s="1222"/>
      <c r="EG56" s="1222"/>
      <c r="EH56" s="1222"/>
      <c r="EI56" s="1222"/>
      <c r="EJ56" s="1222"/>
      <c r="EK56" s="1222"/>
      <c r="EL56" s="1222"/>
      <c r="EM56" s="1222"/>
      <c r="EN56" s="1222"/>
      <c r="EO56" s="1222"/>
      <c r="EP56" s="1222"/>
      <c r="EQ56" s="1222"/>
      <c r="ER56" s="1222"/>
      <c r="ES56" s="1222"/>
      <c r="ET56" s="1222"/>
      <c r="EU56" s="1222"/>
      <c r="EV56" s="1222"/>
      <c r="EW56" s="1222"/>
      <c r="EX56" s="1222"/>
      <c r="EY56" s="1222"/>
      <c r="EZ56" s="1222"/>
      <c r="FA56" s="1222"/>
      <c r="FB56" s="1222"/>
      <c r="FC56" s="1222"/>
      <c r="FD56" s="1222"/>
      <c r="FE56" s="1222"/>
      <c r="FF56" s="1222"/>
      <c r="FG56" s="1222"/>
      <c r="FH56" s="1222"/>
      <c r="FI56" s="1222"/>
      <c r="FJ56" s="1222"/>
      <c r="FK56" s="1222"/>
      <c r="FL56" s="1222"/>
      <c r="FM56" s="1222"/>
      <c r="FN56" s="1222"/>
      <c r="FO56" s="1222"/>
      <c r="FP56" s="1222"/>
      <c r="FQ56" s="1222"/>
      <c r="FR56" s="1222"/>
      <c r="FS56" s="1222"/>
      <c r="FT56" s="1222"/>
      <c r="FU56" s="1222"/>
      <c r="FV56" s="1222"/>
      <c r="FW56" s="1222"/>
      <c r="FX56" s="1222"/>
      <c r="FY56" s="1222"/>
      <c r="FZ56" s="1222"/>
      <c r="GA56" s="1222"/>
      <c r="GB56" s="1222"/>
      <c r="GC56" s="1222"/>
      <c r="GD56" s="1222"/>
      <c r="GE56" s="1222"/>
      <c r="GF56" s="1222"/>
      <c r="GG56" s="1222"/>
      <c r="GH56" s="1222"/>
      <c r="GI56" s="1222"/>
      <c r="GJ56" s="1222"/>
      <c r="GK56" s="1222"/>
      <c r="GL56" s="1222"/>
      <c r="GM56" s="1222"/>
      <c r="GN56" s="1222"/>
      <c r="GO56" s="1222"/>
      <c r="GP56" s="1222"/>
      <c r="GQ56" s="1222"/>
      <c r="GR56" s="1222"/>
      <c r="GS56" s="1222"/>
      <c r="GT56" s="1222"/>
      <c r="GU56" s="1222"/>
      <c r="GV56" s="1222"/>
      <c r="GW56" s="1222"/>
      <c r="GX56" s="1222"/>
      <c r="GY56" s="1222"/>
      <c r="GZ56" s="1222"/>
      <c r="HA56" s="1222"/>
      <c r="HB56" s="1222"/>
      <c r="HC56" s="1222"/>
      <c r="HD56" s="1222"/>
      <c r="HE56" s="1222"/>
      <c r="HF56" s="1222"/>
      <c r="HG56" s="1222"/>
      <c r="HH56" s="1222"/>
      <c r="HI56" s="1222"/>
      <c r="HJ56" s="1222"/>
      <c r="HK56" s="1222"/>
      <c r="HL56" s="1222"/>
      <c r="HM56" s="1222"/>
      <c r="HN56" s="1222"/>
      <c r="HO56" s="1222"/>
      <c r="HP56" s="1222"/>
      <c r="HQ56" s="1222"/>
      <c r="HR56" s="1222"/>
      <c r="HS56" s="1222"/>
      <c r="HT56" s="1222"/>
      <c r="HU56" s="1222"/>
      <c r="HV56" s="1222"/>
      <c r="HW56" s="1222"/>
      <c r="HX56" s="1222"/>
      <c r="HY56" s="1222"/>
      <c r="HZ56" s="1222"/>
      <c r="IA56" s="1222"/>
      <c r="IB56" s="1222"/>
      <c r="IC56" s="1222"/>
      <c r="ID56" s="1222"/>
      <c r="IE56" s="1222"/>
      <c r="IF56" s="1222"/>
      <c r="IG56" s="1222"/>
      <c r="IH56" s="1222"/>
      <c r="II56" s="1222"/>
      <c r="IJ56" s="1222"/>
      <c r="IK56" s="1222"/>
      <c r="IL56" s="1222"/>
      <c r="IM56" s="1222"/>
      <c r="IN56" s="1222"/>
      <c r="IO56" s="1222"/>
      <c r="IP56" s="1222"/>
      <c r="IQ56" s="1222"/>
      <c r="IR56" s="1222"/>
      <c r="IS56" s="1222"/>
      <c r="IT56" s="1222"/>
      <c r="IU56" s="1222"/>
      <c r="IV56" s="1222"/>
      <c r="IW56" s="1222"/>
      <c r="IX56" s="1222"/>
      <c r="IY56" s="1222"/>
      <c r="IZ56" s="1222"/>
      <c r="JA56" s="1222"/>
      <c r="JB56" s="1222"/>
      <c r="JC56" s="1222"/>
      <c r="JD56" s="1222"/>
      <c r="JE56" s="1222"/>
      <c r="JF56" s="1222"/>
      <c r="JG56" s="1222"/>
      <c r="JH56" s="1222"/>
      <c r="JI56" s="1222"/>
      <c r="JJ56" s="1222"/>
      <c r="JK56" s="1222"/>
      <c r="JL56" s="1222"/>
      <c r="JM56" s="1222"/>
      <c r="JN56" s="1222"/>
      <c r="JO56" s="1222"/>
      <c r="JP56" s="1222"/>
      <c r="JQ56" s="1222"/>
      <c r="JR56" s="1222"/>
      <c r="JS56" s="1222"/>
      <c r="JT56" s="1222"/>
      <c r="JU56" s="1222"/>
      <c r="JV56" s="1222"/>
      <c r="JW56" s="1222"/>
      <c r="JX56" s="1222"/>
      <c r="JY56" s="1222"/>
      <c r="JZ56" s="1222"/>
      <c r="KA56" s="1222"/>
      <c r="KB56" s="1222"/>
      <c r="KC56" s="1222"/>
      <c r="KD56" s="1222"/>
      <c r="KE56" s="1222"/>
      <c r="KF56" s="1222"/>
      <c r="KG56" s="1222"/>
      <c r="KH56" s="1222"/>
      <c r="KI56" s="1222"/>
      <c r="KJ56" s="1222"/>
      <c r="KK56" s="1222"/>
      <c r="KL56" s="1222"/>
      <c r="KM56" s="1222"/>
      <c r="KN56" s="1222"/>
      <c r="KO56" s="1222"/>
      <c r="KP56" s="1222"/>
      <c r="KQ56" s="1222"/>
      <c r="KR56" s="1222"/>
      <c r="KS56" s="1222"/>
      <c r="KT56" s="1222"/>
      <c r="KU56" s="1222"/>
      <c r="KV56" s="1222"/>
      <c r="KW56" s="1222"/>
      <c r="KX56" s="1222"/>
      <c r="KY56" s="1222"/>
      <c r="KZ56" s="1222"/>
      <c r="LA56" s="1222"/>
      <c r="LB56" s="1222"/>
      <c r="LC56" s="1222"/>
      <c r="LD56" s="1222"/>
      <c r="LE56" s="1222"/>
      <c r="LF56" s="1222"/>
      <c r="LG56" s="1222"/>
      <c r="LH56" s="1222"/>
      <c r="LI56" s="1222"/>
      <c r="LJ56" s="1222"/>
      <c r="LK56" s="1222"/>
      <c r="LL56" s="1222"/>
      <c r="LM56" s="1222"/>
      <c r="LN56" s="1222"/>
      <c r="LO56" s="1222"/>
      <c r="LP56" s="1222"/>
      <c r="LQ56" s="1222"/>
      <c r="LR56" s="1222"/>
      <c r="LS56" s="1222"/>
      <c r="LT56" s="1222"/>
      <c r="LU56" s="1222"/>
      <c r="LV56" s="1222"/>
      <c r="LW56" s="1222"/>
      <c r="LX56" s="1222"/>
      <c r="LY56" s="1222"/>
      <c r="LZ56" s="1222"/>
      <c r="MA56" s="1222"/>
      <c r="MB56" s="1222"/>
      <c r="MC56" s="1222"/>
      <c r="MD56" s="1222"/>
      <c r="ME56" s="1222"/>
      <c r="MF56" s="1222"/>
      <c r="MG56" s="1222"/>
      <c r="MH56" s="1222"/>
      <c r="MI56" s="1222"/>
      <c r="MJ56" s="1222"/>
      <c r="MK56" s="1222"/>
      <c r="ML56" s="1222"/>
      <c r="MM56" s="1222"/>
      <c r="MN56" s="1222"/>
      <c r="MO56" s="1222"/>
      <c r="MP56" s="1222"/>
      <c r="MQ56" s="1222"/>
      <c r="MR56" s="1222"/>
      <c r="MS56" s="1222"/>
      <c r="MT56" s="1222"/>
      <c r="MU56" s="1222"/>
      <c r="MV56" s="1222"/>
      <c r="MW56" s="1222"/>
      <c r="MX56" s="1222"/>
      <c r="MY56" s="1222"/>
      <c r="MZ56" s="1222"/>
      <c r="NA56" s="1222"/>
      <c r="NB56" s="1222"/>
      <c r="NC56" s="1222"/>
      <c r="ND56" s="1222"/>
      <c r="NE56" s="1222"/>
      <c r="NF56" s="1222"/>
      <c r="NG56" s="1222"/>
      <c r="NH56" s="1222"/>
      <c r="NI56" s="1222"/>
      <c r="NJ56" s="1222"/>
      <c r="NK56" s="1222"/>
      <c r="NL56" s="1222"/>
      <c r="NM56" s="1222"/>
      <c r="NN56" s="1222"/>
      <c r="NO56" s="1222"/>
      <c r="NP56" s="1222"/>
      <c r="NQ56" s="1222"/>
      <c r="NR56" s="1222"/>
      <c r="NS56" s="1222"/>
      <c r="NT56" s="1222"/>
      <c r="NU56" s="1222"/>
      <c r="NV56" s="1222"/>
      <c r="NW56" s="1222"/>
      <c r="NX56" s="1222"/>
      <c r="NY56" s="1222"/>
      <c r="NZ56" s="1222"/>
      <c r="OA56" s="1222"/>
      <c r="OB56" s="1222"/>
      <c r="OC56" s="1222"/>
      <c r="OD56" s="1222"/>
      <c r="OE56" s="1222"/>
      <c r="OF56" s="1222"/>
      <c r="OG56" s="1222"/>
      <c r="OH56" s="1222"/>
      <c r="OI56" s="1222"/>
      <c r="OJ56" s="1222"/>
      <c r="OK56" s="1222"/>
      <c r="OL56" s="1222"/>
      <c r="OM56" s="1222"/>
      <c r="ON56" s="1222"/>
      <c r="OO56" s="1222"/>
      <c r="OP56" s="1222"/>
      <c r="OQ56" s="1222"/>
      <c r="OR56" s="1222"/>
      <c r="OS56" s="1222"/>
      <c r="OT56" s="1222"/>
      <c r="OU56" s="1222"/>
      <c r="OV56" s="1222"/>
      <c r="OW56" s="1222"/>
      <c r="OX56" s="1222"/>
      <c r="OY56" s="1222"/>
      <c r="OZ56" s="1222"/>
      <c r="PA56" s="1222"/>
      <c r="PB56" s="1222"/>
      <c r="PC56" s="1222"/>
      <c r="PD56" s="1222"/>
      <c r="PE56" s="1222"/>
      <c r="PF56" s="1222"/>
      <c r="PG56" s="1222"/>
      <c r="PH56" s="1222"/>
      <c r="PI56" s="1222"/>
      <c r="PJ56" s="1222"/>
      <c r="PK56" s="1222"/>
      <c r="PL56" s="1222"/>
      <c r="PM56" s="1222"/>
      <c r="PN56" s="1222"/>
      <c r="PO56" s="1222"/>
      <c r="PP56" s="1222"/>
      <c r="PQ56" s="1222"/>
      <c r="PR56" s="1222"/>
      <c r="PS56" s="1222"/>
      <c r="PT56" s="1222"/>
      <c r="PU56" s="1222"/>
      <c r="PV56" s="1222"/>
      <c r="PW56" s="1222"/>
      <c r="PX56" s="1222"/>
      <c r="PY56" s="1222"/>
      <c r="PZ56" s="1222"/>
      <c r="QA56" s="1222"/>
      <c r="QB56" s="1222"/>
      <c r="QC56" s="1222"/>
      <c r="QD56" s="1222"/>
      <c r="QE56" s="1222"/>
      <c r="QF56" s="1222"/>
      <c r="QG56" s="1222"/>
      <c r="QH56" s="1222"/>
      <c r="QI56" s="1222"/>
      <c r="QJ56" s="1222"/>
      <c r="QK56" s="1222"/>
      <c r="QL56" s="1222"/>
      <c r="QM56" s="1222"/>
      <c r="QN56" s="1222"/>
      <c r="QO56" s="1222"/>
      <c r="QP56" s="1222"/>
      <c r="QQ56" s="1222"/>
      <c r="QR56" s="1222"/>
      <c r="QS56" s="1222"/>
      <c r="QT56" s="1222"/>
      <c r="QU56" s="1222"/>
      <c r="QV56" s="1222"/>
      <c r="QW56" s="1222"/>
      <c r="QX56" s="1222"/>
      <c r="QY56" s="1222"/>
      <c r="QZ56" s="1222"/>
      <c r="RA56" s="1222"/>
      <c r="RB56" s="1222"/>
      <c r="RC56" s="1222"/>
      <c r="RD56" s="1222"/>
      <c r="RE56" s="1222"/>
      <c r="RF56" s="1222"/>
      <c r="RG56" s="1222"/>
      <c r="RH56" s="1222"/>
      <c r="RI56" s="1222"/>
      <c r="RJ56" s="1222"/>
      <c r="RK56" s="1222"/>
      <c r="RL56" s="1222"/>
      <c r="RM56" s="1222"/>
      <c r="RN56" s="1222"/>
      <c r="RO56" s="1222"/>
      <c r="RP56" s="1222"/>
      <c r="RQ56" s="1222"/>
      <c r="RR56" s="1222"/>
      <c r="RS56" s="1222"/>
      <c r="RT56" s="1222"/>
      <c r="RU56" s="1222"/>
      <c r="RV56" s="1222"/>
      <c r="RW56" s="1222"/>
      <c r="RX56" s="1222"/>
      <c r="RY56" s="1222"/>
      <c r="RZ56" s="1222"/>
      <c r="SA56" s="1222"/>
      <c r="SB56" s="1222"/>
      <c r="SC56" s="1222"/>
      <c r="SD56" s="1222"/>
      <c r="SE56" s="1222"/>
      <c r="SF56" s="1222"/>
      <c r="SG56" s="1222"/>
      <c r="SH56" s="1222"/>
      <c r="SI56" s="1222"/>
      <c r="SJ56" s="1222"/>
      <c r="SK56" s="1222"/>
      <c r="SL56" s="1222"/>
      <c r="SM56" s="1222"/>
      <c r="SN56" s="1222"/>
      <c r="SO56" s="1222"/>
      <c r="SP56" s="1222"/>
      <c r="SQ56" s="1222"/>
      <c r="SR56" s="1222"/>
      <c r="SS56" s="1222"/>
      <c r="ST56" s="1222"/>
      <c r="SU56" s="1222"/>
      <c r="SV56" s="1222"/>
      <c r="SW56" s="1222"/>
      <c r="SX56" s="1222"/>
      <c r="SY56" s="1222"/>
      <c r="SZ56" s="1222"/>
      <c r="TA56" s="1222"/>
      <c r="TB56" s="1222"/>
      <c r="TC56" s="1222"/>
      <c r="TD56" s="1222"/>
      <c r="TE56" s="1222"/>
      <c r="TF56" s="1222"/>
      <c r="TG56" s="1222"/>
      <c r="TH56" s="1222"/>
      <c r="TI56" s="1222"/>
      <c r="TJ56" s="1222"/>
      <c r="TK56" s="1222"/>
      <c r="TL56" s="1222"/>
      <c r="TM56" s="1222"/>
      <c r="TN56" s="1222"/>
      <c r="TO56" s="1222"/>
      <c r="TP56" s="1222"/>
      <c r="TQ56" s="1222"/>
      <c r="TR56" s="1222"/>
      <c r="TS56" s="1222"/>
      <c r="TT56" s="1222"/>
      <c r="TU56" s="1222"/>
      <c r="TV56" s="1222"/>
      <c r="TW56" s="1222"/>
      <c r="TX56" s="1222"/>
      <c r="TY56" s="1222"/>
      <c r="TZ56" s="1222"/>
      <c r="UA56" s="1222"/>
      <c r="UB56" s="1222"/>
      <c r="UC56" s="1222"/>
      <c r="UD56" s="1222"/>
      <c r="UE56" s="1222"/>
      <c r="UF56" s="1222"/>
      <c r="UG56" s="1222"/>
      <c r="UH56" s="1222"/>
      <c r="UI56" s="1222"/>
      <c r="UJ56" s="1222"/>
      <c r="UK56" s="1222"/>
      <c r="UL56" s="1222"/>
      <c r="UM56" s="1222"/>
      <c r="UN56" s="1222"/>
      <c r="UO56" s="1222"/>
      <c r="UP56" s="1222"/>
      <c r="UQ56" s="1222"/>
      <c r="UR56" s="1222"/>
      <c r="US56" s="1222"/>
      <c r="UT56" s="1222"/>
      <c r="UU56" s="1222"/>
      <c r="UV56" s="1222"/>
      <c r="UW56" s="1222"/>
      <c r="UX56" s="1222"/>
      <c r="UY56" s="1222"/>
      <c r="UZ56" s="1222"/>
      <c r="VA56" s="1222"/>
      <c r="VB56" s="1222"/>
      <c r="VC56" s="1222"/>
      <c r="VD56" s="1222"/>
      <c r="VE56" s="1222"/>
      <c r="VF56" s="1222"/>
      <c r="VG56" s="1222"/>
      <c r="VH56" s="1222"/>
      <c r="VI56" s="1222"/>
      <c r="VJ56" s="1222"/>
      <c r="VK56" s="1222"/>
      <c r="VL56" s="1222"/>
      <c r="VM56" s="1222"/>
      <c r="VN56" s="1222"/>
      <c r="VO56" s="1222"/>
      <c r="VP56" s="1222"/>
      <c r="VQ56" s="1222"/>
      <c r="VR56" s="1222"/>
      <c r="VS56" s="1222"/>
      <c r="VT56" s="1222"/>
      <c r="VU56" s="1222"/>
      <c r="VV56" s="1222"/>
      <c r="VW56" s="1222"/>
      <c r="VX56" s="1222"/>
      <c r="VY56" s="1222"/>
      <c r="VZ56" s="1222"/>
      <c r="WA56" s="1222"/>
      <c r="WB56" s="1222"/>
      <c r="WC56" s="1222"/>
      <c r="WD56" s="1222"/>
      <c r="WE56" s="1222"/>
      <c r="WF56" s="1222"/>
      <c r="WG56" s="1222"/>
      <c r="WH56" s="1222"/>
      <c r="WI56" s="1222"/>
      <c r="WJ56" s="1222"/>
      <c r="WK56" s="1222"/>
      <c r="WL56" s="1222"/>
      <c r="WM56" s="1222"/>
      <c r="WN56" s="1222"/>
      <c r="WO56" s="1222"/>
      <c r="WP56" s="1222"/>
      <c r="WQ56" s="1222"/>
      <c r="WR56" s="1222"/>
      <c r="WS56" s="1222"/>
      <c r="WT56" s="1222"/>
      <c r="WU56" s="1222"/>
      <c r="WV56" s="1222"/>
      <c r="WW56" s="1222"/>
      <c r="WX56" s="1222"/>
      <c r="WY56" s="1222"/>
      <c r="WZ56" s="1222"/>
      <c r="XA56" s="1222"/>
      <c r="XB56" s="1222"/>
      <c r="XC56" s="1222"/>
      <c r="XD56" s="1222"/>
      <c r="XE56" s="1222"/>
      <c r="XF56" s="1222"/>
      <c r="XG56" s="1222"/>
      <c r="XH56" s="1222"/>
      <c r="XI56" s="1222"/>
      <c r="XJ56" s="1222"/>
      <c r="XK56" s="1222"/>
      <c r="XL56" s="1222"/>
      <c r="XM56" s="1222"/>
      <c r="XN56" s="1222"/>
      <c r="XO56" s="1222"/>
      <c r="XP56" s="1222"/>
      <c r="XQ56" s="1222"/>
      <c r="XR56" s="1222"/>
      <c r="XS56" s="1222"/>
      <c r="XT56" s="1222"/>
      <c r="XU56" s="1222"/>
      <c r="XV56" s="1222"/>
      <c r="XW56" s="1222"/>
      <c r="XX56" s="1222"/>
      <c r="XY56" s="1222"/>
      <c r="XZ56" s="1222"/>
      <c r="YA56" s="1222"/>
      <c r="YB56" s="1222"/>
      <c r="YC56" s="1222"/>
      <c r="YD56" s="1222"/>
      <c r="YE56" s="1222"/>
      <c r="YF56" s="1222"/>
      <c r="YG56" s="1222"/>
      <c r="YH56" s="1222"/>
      <c r="YI56" s="1222"/>
      <c r="YJ56" s="1222"/>
      <c r="YK56" s="1222"/>
      <c r="YL56" s="1222"/>
      <c r="YM56" s="1222"/>
      <c r="YN56" s="1222"/>
      <c r="YO56" s="1222"/>
      <c r="YP56" s="1222"/>
      <c r="YQ56" s="1222"/>
      <c r="YR56" s="1222"/>
      <c r="YS56" s="1222"/>
      <c r="YT56" s="1222"/>
      <c r="YU56" s="1222"/>
      <c r="YV56" s="1222"/>
      <c r="YW56" s="1222"/>
      <c r="YX56" s="1222"/>
      <c r="YY56" s="1222"/>
      <c r="YZ56" s="1222"/>
      <c r="ZA56" s="1222"/>
      <c r="ZB56" s="1222"/>
      <c r="ZC56" s="1222"/>
      <c r="ZD56" s="1222"/>
      <c r="ZE56" s="1222"/>
      <c r="ZF56" s="1222"/>
      <c r="ZG56" s="1222"/>
      <c r="ZH56" s="1222"/>
      <c r="ZI56" s="1222"/>
      <c r="ZJ56" s="1222"/>
      <c r="ZK56" s="1222"/>
      <c r="ZL56" s="1222"/>
      <c r="ZM56" s="1222"/>
      <c r="ZN56" s="1222"/>
      <c r="ZO56" s="1222"/>
      <c r="ZP56" s="1222"/>
      <c r="ZQ56" s="1222"/>
      <c r="ZR56" s="1222"/>
      <c r="ZS56" s="1222"/>
      <c r="ZT56" s="1222"/>
      <c r="ZU56" s="1222"/>
      <c r="ZV56" s="1222"/>
      <c r="ZW56" s="1222"/>
      <c r="ZX56" s="1222"/>
      <c r="ZY56" s="1222"/>
      <c r="ZZ56" s="1222"/>
      <c r="AAA56" s="1222"/>
      <c r="AAB56" s="1222"/>
      <c r="AAC56" s="1222"/>
      <c r="AAD56" s="1222"/>
      <c r="AAE56" s="1222"/>
      <c r="AAF56" s="1222"/>
      <c r="AAG56" s="1222"/>
      <c r="AAH56" s="1222"/>
      <c r="AAI56" s="1222"/>
      <c r="AAJ56" s="1222"/>
      <c r="AAK56" s="1222"/>
      <c r="AAL56" s="1222"/>
      <c r="AAM56" s="1222"/>
      <c r="AAN56" s="1222"/>
      <c r="AAO56" s="1222"/>
      <c r="AAP56" s="1222"/>
      <c r="AAQ56" s="1222"/>
      <c r="AAR56" s="1222"/>
      <c r="AAS56" s="1222"/>
      <c r="AAT56" s="1222"/>
      <c r="AAU56" s="1222"/>
      <c r="AAV56" s="1222"/>
      <c r="AAW56" s="1222"/>
      <c r="AAX56" s="1222"/>
      <c r="AAY56" s="1222"/>
      <c r="AAZ56" s="1222"/>
      <c r="ABA56" s="1222"/>
      <c r="ABB56" s="1222"/>
      <c r="ABC56" s="1222"/>
      <c r="ABD56" s="1222"/>
      <c r="ABE56" s="1222"/>
      <c r="ABF56" s="1222"/>
      <c r="ABG56" s="1222"/>
      <c r="ABH56" s="1222"/>
      <c r="ABI56" s="1222"/>
      <c r="ABJ56" s="1222"/>
      <c r="ABK56" s="1222"/>
      <c r="ABL56" s="1222"/>
      <c r="ABM56" s="1222"/>
      <c r="ABN56" s="1222"/>
      <c r="ABO56" s="1222"/>
      <c r="ABP56" s="1222"/>
      <c r="ABQ56" s="1222"/>
      <c r="ABR56" s="1222"/>
      <c r="ABS56" s="1222"/>
      <c r="ABT56" s="1222"/>
      <c r="ABU56" s="1222"/>
      <c r="ABV56" s="1222"/>
      <c r="ABW56" s="1222"/>
      <c r="ABX56" s="1222"/>
      <c r="ABY56" s="1222"/>
      <c r="ABZ56" s="1222"/>
      <c r="ACA56" s="1222"/>
      <c r="ACB56" s="1222"/>
      <c r="ACC56" s="1222"/>
      <c r="ACD56" s="1222"/>
      <c r="ACE56" s="1222"/>
      <c r="ACF56" s="1222"/>
      <c r="ACG56" s="1222"/>
      <c r="ACH56" s="1222"/>
      <c r="ACI56" s="1222"/>
      <c r="ACJ56" s="1222"/>
      <c r="ACK56" s="1222"/>
      <c r="ACL56" s="1222"/>
      <c r="ACM56" s="1222"/>
      <c r="ACN56" s="1222"/>
      <c r="ACO56" s="1222"/>
      <c r="ACP56" s="1222"/>
      <c r="ACQ56" s="1222"/>
      <c r="ACR56" s="1222"/>
      <c r="ACS56" s="1222"/>
      <c r="ACT56" s="1222"/>
      <c r="ACU56" s="1222"/>
      <c r="ACV56" s="1222"/>
      <c r="ACW56" s="1222"/>
      <c r="ACX56" s="1222"/>
      <c r="ACY56" s="1222"/>
      <c r="ACZ56" s="1222"/>
      <c r="ADA56" s="1222"/>
      <c r="ADB56" s="1222"/>
      <c r="ADC56" s="1222"/>
      <c r="ADD56" s="1222"/>
      <c r="ADE56" s="1222"/>
      <c r="ADF56" s="1222"/>
      <c r="ADG56" s="1222"/>
      <c r="ADH56" s="1222"/>
      <c r="ADI56" s="1222"/>
      <c r="ADJ56" s="1222"/>
      <c r="ADK56" s="1222"/>
      <c r="ADL56" s="1222"/>
      <c r="ADM56" s="1222"/>
      <c r="ADN56" s="1222"/>
      <c r="ADO56" s="1222"/>
      <c r="ADP56" s="1222"/>
      <c r="ADQ56" s="1222"/>
      <c r="ADR56" s="1222"/>
      <c r="ADS56" s="1222"/>
      <c r="ADT56" s="1222"/>
      <c r="ADU56" s="1222"/>
      <c r="ADV56" s="1222"/>
      <c r="ADW56" s="1222"/>
      <c r="ADX56" s="1222"/>
      <c r="ADY56" s="1222"/>
      <c r="ADZ56" s="1222"/>
      <c r="AEA56" s="1222"/>
      <c r="AEB56" s="1222"/>
      <c r="AEC56" s="1222"/>
      <c r="AED56" s="1222"/>
      <c r="AEE56" s="1222"/>
      <c r="AEF56" s="1222"/>
      <c r="AEG56" s="1222"/>
      <c r="AEH56" s="1222"/>
      <c r="AEI56" s="1222"/>
      <c r="AEJ56" s="1222"/>
      <c r="AEK56" s="1222"/>
      <c r="AEL56" s="1222"/>
      <c r="AEM56" s="1222"/>
      <c r="AEN56" s="1222"/>
      <c r="AEO56" s="1222"/>
      <c r="AEP56" s="1222"/>
      <c r="AEQ56" s="1222"/>
      <c r="AER56" s="1222"/>
      <c r="AES56" s="1222"/>
      <c r="AET56" s="1222"/>
      <c r="AEU56" s="1222"/>
      <c r="AEV56" s="1222"/>
      <c r="AEW56" s="1222"/>
      <c r="AEX56" s="1222"/>
      <c r="AEY56" s="1222"/>
      <c r="AEZ56" s="1222"/>
      <c r="AFA56" s="1222"/>
      <c r="AFB56" s="1222"/>
      <c r="AFC56" s="1222"/>
      <c r="AFD56" s="1222"/>
      <c r="AFE56" s="1222"/>
      <c r="AFF56" s="1222"/>
      <c r="AFG56" s="1222"/>
      <c r="AFH56" s="1222"/>
      <c r="AFI56" s="1222"/>
      <c r="AFJ56" s="1222"/>
      <c r="AFK56" s="1222"/>
      <c r="AFL56" s="1222"/>
      <c r="AFM56" s="1222"/>
      <c r="AFN56" s="1222"/>
      <c r="AFO56" s="1222"/>
      <c r="AFP56" s="1222"/>
      <c r="AFQ56" s="1222"/>
      <c r="AFR56" s="1222"/>
      <c r="AFS56" s="1222"/>
      <c r="AFT56" s="1222"/>
      <c r="AFU56" s="1222"/>
      <c r="AFV56" s="1222"/>
      <c r="AFW56" s="1222"/>
      <c r="AFX56" s="1222"/>
      <c r="AFY56" s="1222"/>
      <c r="AFZ56" s="1222"/>
      <c r="AGA56" s="1222"/>
      <c r="AGB56" s="1222"/>
      <c r="AGC56" s="1222"/>
      <c r="AGD56" s="1222"/>
      <c r="AGE56" s="1222"/>
      <c r="AGF56" s="1222"/>
      <c r="AGG56" s="1222"/>
      <c r="AGH56" s="1222"/>
      <c r="AGI56" s="1222"/>
      <c r="AGJ56" s="1222"/>
      <c r="AGK56" s="1222"/>
      <c r="AGL56" s="1222"/>
      <c r="AGM56" s="1222"/>
      <c r="AGN56" s="1222"/>
      <c r="AGO56" s="1222"/>
      <c r="AGP56" s="1222"/>
      <c r="AGQ56" s="1222"/>
      <c r="AGR56" s="1222"/>
      <c r="AGS56" s="1222"/>
      <c r="AGT56" s="1222"/>
      <c r="AGU56" s="1222"/>
      <c r="AGV56" s="1222"/>
      <c r="AGW56" s="1222"/>
      <c r="AGX56" s="1222"/>
      <c r="AGY56" s="1222"/>
      <c r="AGZ56" s="1222"/>
      <c r="AHA56" s="1222"/>
      <c r="AHB56" s="1222"/>
      <c r="AHC56" s="1222"/>
      <c r="AHD56" s="1222"/>
      <c r="AHE56" s="1222"/>
      <c r="AHF56" s="1222"/>
      <c r="AHG56" s="1222"/>
      <c r="AHH56" s="1222"/>
      <c r="AHI56" s="1222"/>
      <c r="AHJ56" s="1222"/>
      <c r="AHK56" s="1222"/>
      <c r="AHL56" s="1222"/>
      <c r="AHM56" s="1222"/>
      <c r="AHN56" s="1222"/>
      <c r="AHO56" s="1222"/>
      <c r="AHP56" s="1222"/>
      <c r="AHQ56" s="1222"/>
      <c r="AHR56" s="1222"/>
      <c r="AHS56" s="1222"/>
      <c r="AHT56" s="1222"/>
      <c r="AHU56" s="1222"/>
      <c r="AHV56" s="1222"/>
      <c r="AHW56" s="1222"/>
      <c r="AHX56" s="1222"/>
      <c r="AHY56" s="1222"/>
      <c r="AHZ56" s="1222"/>
      <c r="AIA56" s="1222"/>
      <c r="AIB56" s="1222"/>
      <c r="AIC56" s="1222"/>
      <c r="AID56" s="1222"/>
      <c r="AIE56" s="1222"/>
      <c r="AIF56" s="1222"/>
      <c r="AIG56" s="1222"/>
      <c r="AIH56" s="1222"/>
      <c r="AII56" s="1222"/>
      <c r="AIJ56" s="1222"/>
      <c r="AIK56" s="1222"/>
      <c r="AIL56" s="1222"/>
      <c r="AIM56" s="1222"/>
      <c r="AIN56" s="1222"/>
      <c r="AIO56" s="1222"/>
      <c r="AIP56" s="1222"/>
      <c r="AIQ56" s="1222"/>
      <c r="AIR56" s="1222"/>
      <c r="AIS56" s="1222"/>
      <c r="AIT56" s="1222"/>
      <c r="AIU56" s="1222"/>
      <c r="AIV56" s="1222"/>
      <c r="AIW56" s="1222"/>
      <c r="AIX56" s="1222"/>
      <c r="AIY56" s="1222"/>
      <c r="AIZ56" s="1222"/>
      <c r="AJA56" s="1222"/>
      <c r="AJB56" s="1222"/>
      <c r="AJC56" s="1222"/>
      <c r="AJD56" s="1222"/>
      <c r="AJE56" s="1222"/>
      <c r="AJF56" s="1222"/>
      <c r="AJG56" s="1222"/>
      <c r="AJH56" s="1222"/>
      <c r="AJI56" s="1222"/>
      <c r="AJJ56" s="1222"/>
      <c r="AJK56" s="1222"/>
      <c r="AJL56" s="1222"/>
      <c r="AJM56" s="1222"/>
      <c r="AJN56" s="1222"/>
      <c r="AJO56" s="1222"/>
      <c r="AJP56" s="1222"/>
      <c r="AJQ56" s="1222"/>
      <c r="AJR56" s="1222"/>
      <c r="AJS56" s="1222"/>
      <c r="AJT56" s="1222"/>
      <c r="AJU56" s="1222"/>
      <c r="AJV56" s="1222"/>
      <c r="AJW56" s="1222"/>
      <c r="AJX56" s="1222"/>
      <c r="AJY56" s="1222"/>
      <c r="AJZ56" s="1222"/>
      <c r="AKA56" s="1222"/>
      <c r="AKB56" s="1222"/>
      <c r="AKC56" s="1222"/>
      <c r="AKD56" s="1222"/>
      <c r="AKE56" s="1222"/>
      <c r="AKF56" s="1222"/>
      <c r="AKG56" s="1222"/>
      <c r="AKH56" s="1222"/>
      <c r="AKI56" s="1222"/>
      <c r="AKJ56" s="1222"/>
      <c r="AKK56" s="1222"/>
      <c r="AKL56" s="1222"/>
      <c r="AKM56" s="1222"/>
      <c r="AKN56" s="1222"/>
      <c r="AKO56" s="1222"/>
      <c r="AKP56" s="1222"/>
      <c r="AKQ56" s="1222"/>
      <c r="AKR56" s="1222"/>
      <c r="AKS56" s="1222"/>
      <c r="AKT56" s="1222"/>
      <c r="AKU56" s="1222"/>
      <c r="AKV56" s="1222"/>
      <c r="AKW56" s="1222"/>
      <c r="AKX56" s="1222"/>
      <c r="AKY56" s="1222"/>
      <c r="AKZ56" s="1222"/>
      <c r="ALA56" s="1222"/>
      <c r="ALB56" s="1222"/>
      <c r="ALC56" s="1222"/>
      <c r="ALD56" s="1222"/>
      <c r="ALE56" s="1222"/>
      <c r="ALF56" s="1222"/>
      <c r="ALG56" s="1222"/>
      <c r="ALH56" s="1222"/>
      <c r="ALI56" s="1222"/>
      <c r="ALJ56" s="1222"/>
      <c r="ALK56" s="1222"/>
      <c r="ALL56" s="1222"/>
      <c r="ALM56" s="1222"/>
      <c r="ALN56" s="1222"/>
      <c r="ALO56" s="1222"/>
      <c r="ALP56" s="1222"/>
      <c r="ALQ56" s="1222"/>
      <c r="ALR56" s="1222"/>
      <c r="ALS56" s="1222"/>
      <c r="ALT56" s="1222"/>
      <c r="ALU56" s="1222"/>
      <c r="ALV56" s="1222"/>
      <c r="ALW56" s="1222"/>
      <c r="ALX56" s="1222"/>
      <c r="ALY56" s="1222"/>
      <c r="ALZ56" s="1222"/>
      <c r="AMA56" s="1222"/>
      <c r="AMB56" s="1222"/>
      <c r="AMC56" s="1222"/>
      <c r="AMD56" s="1222"/>
      <c r="AME56" s="1222"/>
      <c r="AMF56" s="1222"/>
      <c r="AMG56" s="1222"/>
      <c r="AMH56" s="1222"/>
      <c r="AMI56" s="1222"/>
      <c r="AMJ56" s="1222"/>
      <c r="AMK56" s="1222"/>
      <c r="AML56" s="1222"/>
      <c r="AMM56" s="1222"/>
      <c r="AMN56" s="1222"/>
      <c r="AMO56" s="1222"/>
      <c r="AMP56" s="1222"/>
      <c r="AMQ56" s="1222"/>
      <c r="AMR56" s="1222"/>
      <c r="AMS56" s="1222"/>
      <c r="AMT56" s="1222"/>
      <c r="AMU56" s="1222"/>
      <c r="AMV56" s="1222"/>
      <c r="AMW56" s="1222"/>
      <c r="AMX56" s="1222"/>
      <c r="AMY56" s="1222"/>
      <c r="AMZ56" s="1222"/>
      <c r="ANA56" s="1222"/>
      <c r="ANB56" s="1222"/>
      <c r="ANC56" s="1222"/>
      <c r="AND56" s="1222"/>
      <c r="ANE56" s="1222"/>
      <c r="ANF56" s="1222"/>
      <c r="ANG56" s="1222"/>
      <c r="ANH56" s="1222"/>
      <c r="ANI56" s="1222"/>
      <c r="ANJ56" s="1222"/>
      <c r="ANK56" s="1222"/>
      <c r="ANL56" s="1222"/>
      <c r="ANM56" s="1222"/>
      <c r="ANN56" s="1222"/>
      <c r="ANO56" s="1222"/>
      <c r="ANP56" s="1222"/>
      <c r="ANQ56" s="1222"/>
      <c r="ANR56" s="1222"/>
      <c r="ANS56" s="1222"/>
      <c r="ANT56" s="1222"/>
      <c r="ANU56" s="1222"/>
      <c r="ANV56" s="1222"/>
      <c r="ANW56" s="1222"/>
      <c r="ANX56" s="1222"/>
      <c r="ANY56" s="1222"/>
      <c r="ANZ56" s="1222"/>
      <c r="AOA56" s="1222"/>
      <c r="AOB56" s="1222"/>
      <c r="AOC56" s="1222"/>
      <c r="AOD56" s="1222"/>
      <c r="AOE56" s="1222"/>
      <c r="AOF56" s="1222"/>
      <c r="AOG56" s="1222"/>
      <c r="AOH56" s="1222"/>
      <c r="AOI56" s="1222"/>
      <c r="AOJ56" s="1222"/>
      <c r="AOK56" s="1222"/>
      <c r="AOL56" s="1222"/>
      <c r="AOM56" s="1222"/>
      <c r="AON56" s="1222"/>
      <c r="AOO56" s="1222"/>
      <c r="AOP56" s="1222"/>
      <c r="AOQ56" s="1222"/>
      <c r="AOR56" s="1222"/>
      <c r="AOS56" s="1222"/>
      <c r="AOT56" s="1222"/>
      <c r="AOU56" s="1222"/>
      <c r="AOV56" s="1222"/>
      <c r="AOW56" s="1222"/>
      <c r="AOX56" s="1222"/>
      <c r="AOY56" s="1222"/>
      <c r="AOZ56" s="1222"/>
      <c r="APA56" s="1222"/>
      <c r="APB56" s="1222"/>
      <c r="APC56" s="1222"/>
      <c r="APD56" s="1222"/>
      <c r="APE56" s="1222"/>
      <c r="APF56" s="1222"/>
      <c r="APG56" s="1222"/>
      <c r="APH56" s="1222"/>
      <c r="API56" s="1222"/>
      <c r="APJ56" s="1222"/>
      <c r="APK56" s="1222"/>
      <c r="APL56" s="1222"/>
      <c r="APM56" s="1222"/>
      <c r="APN56" s="1222"/>
      <c r="APO56" s="1222"/>
      <c r="APP56" s="1222"/>
      <c r="APQ56" s="1222"/>
      <c r="APR56" s="1222"/>
      <c r="APS56" s="1222"/>
      <c r="APT56" s="1222"/>
      <c r="APU56" s="1222"/>
      <c r="APV56" s="1222"/>
      <c r="APW56" s="1222"/>
      <c r="APX56" s="1222"/>
      <c r="APY56" s="1222"/>
      <c r="APZ56" s="1222"/>
      <c r="AQA56" s="1222"/>
      <c r="AQB56" s="1222"/>
      <c r="AQC56" s="1222"/>
      <c r="AQD56" s="1222"/>
      <c r="AQE56" s="1222"/>
      <c r="AQF56" s="1222"/>
      <c r="AQG56" s="1222"/>
      <c r="AQH56" s="1222"/>
      <c r="AQI56" s="1222"/>
      <c r="AQJ56" s="1222"/>
      <c r="AQK56" s="1222"/>
      <c r="AQL56" s="1222"/>
      <c r="AQM56" s="1222"/>
      <c r="AQN56" s="1222"/>
      <c r="AQO56" s="1222"/>
      <c r="AQP56" s="1222"/>
      <c r="AQQ56" s="1222"/>
      <c r="AQR56" s="1222"/>
      <c r="AQS56" s="1222"/>
      <c r="AQT56" s="1222"/>
      <c r="AQU56" s="1222"/>
      <c r="AQV56" s="1222"/>
      <c r="AQW56" s="1222"/>
      <c r="AQX56" s="1222"/>
      <c r="AQY56" s="1222"/>
      <c r="AQZ56" s="1222"/>
      <c r="ARA56" s="1222"/>
      <c r="ARB56" s="1222"/>
      <c r="ARC56" s="1222"/>
      <c r="ARD56" s="1222"/>
      <c r="ARE56" s="1222"/>
      <c r="ARF56" s="1222"/>
      <c r="ARG56" s="1222"/>
      <c r="ARH56" s="1222"/>
      <c r="ARI56" s="1222"/>
      <c r="ARJ56" s="1222"/>
      <c r="ARK56" s="1222"/>
      <c r="ARL56" s="1222"/>
      <c r="ARM56" s="1222"/>
      <c r="ARN56" s="1222"/>
      <c r="ARO56" s="1222"/>
      <c r="ARP56" s="1222"/>
      <c r="ARQ56" s="1222"/>
      <c r="ARR56" s="1222"/>
      <c r="ARS56" s="1222"/>
      <c r="ART56" s="1222"/>
      <c r="ARU56" s="1222"/>
      <c r="ARV56" s="1222"/>
      <c r="ARW56" s="1222"/>
      <c r="ARX56" s="1222"/>
      <c r="ARY56" s="1222"/>
      <c r="ARZ56" s="1222"/>
      <c r="ASA56" s="1222"/>
      <c r="ASB56" s="1222"/>
      <c r="ASC56" s="1222"/>
      <c r="ASD56" s="1222"/>
      <c r="ASE56" s="1222"/>
      <c r="ASF56" s="1222"/>
      <c r="ASG56" s="1222"/>
      <c r="ASH56" s="1222"/>
      <c r="ASI56" s="1222"/>
      <c r="ASJ56" s="1222"/>
      <c r="ASK56" s="1222"/>
      <c r="ASL56" s="1222"/>
      <c r="ASM56" s="1222"/>
      <c r="ASN56" s="1222"/>
      <c r="ASO56" s="1222"/>
      <c r="ASP56" s="1222"/>
      <c r="ASQ56" s="1222"/>
      <c r="ASR56" s="1222"/>
      <c r="ASS56" s="1222"/>
      <c r="AST56" s="1222"/>
      <c r="ASU56" s="1222"/>
      <c r="ASV56" s="1222"/>
      <c r="ASW56" s="1222"/>
      <c r="ASX56" s="1222"/>
      <c r="ASY56" s="1222"/>
      <c r="ASZ56" s="1222"/>
      <c r="ATA56" s="1222"/>
      <c r="ATB56" s="1222"/>
      <c r="ATC56" s="1222"/>
      <c r="ATD56" s="1222"/>
      <c r="ATE56" s="1222"/>
      <c r="ATF56" s="1222"/>
      <c r="ATG56" s="1222"/>
      <c r="ATH56" s="1222"/>
      <c r="ATI56" s="1222"/>
      <c r="ATJ56" s="1222"/>
      <c r="ATK56" s="1222"/>
      <c r="ATL56" s="1222"/>
      <c r="ATM56" s="1222"/>
      <c r="ATN56" s="1222"/>
      <c r="ATO56" s="1222"/>
      <c r="ATP56" s="1222"/>
      <c r="ATQ56" s="1222"/>
      <c r="ATR56" s="1222"/>
      <c r="ATS56" s="1222"/>
      <c r="ATT56" s="1222"/>
      <c r="ATU56" s="1222"/>
      <c r="ATV56" s="1222"/>
      <c r="ATW56" s="1222"/>
      <c r="ATX56" s="1222"/>
      <c r="ATY56" s="1222"/>
      <c r="ATZ56" s="1222"/>
      <c r="AUA56" s="1222"/>
      <c r="AUB56" s="1222"/>
      <c r="AUC56" s="1222"/>
      <c r="AUD56" s="1222"/>
      <c r="AUE56" s="1222"/>
      <c r="AUF56" s="1222"/>
      <c r="AUG56" s="1222"/>
      <c r="AUH56" s="1222"/>
      <c r="AUI56" s="1222"/>
      <c r="AUJ56" s="1222"/>
      <c r="AUK56" s="1222"/>
      <c r="AUL56" s="1222"/>
      <c r="AUM56" s="1222"/>
      <c r="AUN56" s="1222"/>
      <c r="AUO56" s="1222"/>
      <c r="AUP56" s="1222"/>
      <c r="AUQ56" s="1222"/>
      <c r="AUR56" s="1222"/>
      <c r="AUS56" s="1222"/>
      <c r="AUT56" s="1222"/>
      <c r="AUU56" s="1222"/>
      <c r="AUV56" s="1222"/>
      <c r="AUW56" s="1222"/>
      <c r="AUX56" s="1222"/>
      <c r="AUY56" s="1222"/>
      <c r="AUZ56" s="1222"/>
      <c r="AVA56" s="1222"/>
      <c r="AVB56" s="1222"/>
      <c r="AVC56" s="1222"/>
      <c r="AVD56" s="1222"/>
      <c r="AVE56" s="1222"/>
      <c r="AVF56" s="1222"/>
      <c r="AVG56" s="1222"/>
      <c r="AVH56" s="1222"/>
      <c r="AVI56" s="1222"/>
      <c r="AVJ56" s="1222"/>
      <c r="AVK56" s="1222"/>
      <c r="AVL56" s="1222"/>
      <c r="AVM56" s="1222"/>
      <c r="AVN56" s="1222"/>
      <c r="AVO56" s="1222"/>
      <c r="AVP56" s="1222"/>
      <c r="AVQ56" s="1222"/>
      <c r="AVR56" s="1222"/>
      <c r="AVS56" s="1222"/>
      <c r="AVT56" s="1222"/>
      <c r="AVU56" s="1222"/>
      <c r="AVV56" s="1222"/>
      <c r="AVW56" s="1222"/>
      <c r="AVX56" s="1222"/>
      <c r="AVY56" s="1222"/>
      <c r="AVZ56" s="1222"/>
      <c r="AWA56" s="1222"/>
      <c r="AWB56" s="1222"/>
      <c r="AWC56" s="1222"/>
      <c r="AWD56" s="1222"/>
      <c r="AWE56" s="1222"/>
      <c r="AWF56" s="1222"/>
      <c r="AWG56" s="1222"/>
      <c r="AWH56" s="1222"/>
      <c r="AWI56" s="1222"/>
      <c r="AWJ56" s="1222"/>
      <c r="AWK56" s="1222"/>
      <c r="AWL56" s="1222"/>
      <c r="AWM56" s="1222"/>
      <c r="AWN56" s="1222"/>
      <c r="AWO56" s="1222"/>
      <c r="AWP56" s="1222"/>
      <c r="AWQ56" s="1222"/>
      <c r="AWR56" s="1222"/>
      <c r="AWS56" s="1222"/>
      <c r="AWT56" s="1222"/>
      <c r="AWU56" s="1222"/>
      <c r="AWV56" s="1222"/>
      <c r="AWW56" s="1222"/>
      <c r="AWX56" s="1222"/>
      <c r="AWY56" s="1222"/>
      <c r="AWZ56" s="1222"/>
      <c r="AXA56" s="1222"/>
      <c r="AXB56" s="1222"/>
      <c r="AXC56" s="1222"/>
      <c r="AXD56" s="1222"/>
      <c r="AXE56" s="1222"/>
      <c r="AXF56" s="1222"/>
      <c r="AXG56" s="1222"/>
      <c r="AXH56" s="1222"/>
      <c r="AXI56" s="1222"/>
      <c r="AXJ56" s="1222"/>
      <c r="AXK56" s="1222"/>
      <c r="AXL56" s="1222"/>
      <c r="AXM56" s="1222"/>
      <c r="AXN56" s="1222"/>
      <c r="AXO56" s="1222"/>
      <c r="AXP56" s="1222"/>
      <c r="AXQ56" s="1222"/>
      <c r="AXR56" s="1222"/>
      <c r="AXS56" s="1222"/>
      <c r="AXT56" s="1222"/>
      <c r="AXU56" s="1222"/>
      <c r="AXV56" s="1222"/>
      <c r="AXW56" s="1222"/>
      <c r="AXX56" s="1222"/>
      <c r="AXY56" s="1222"/>
      <c r="AXZ56" s="1222"/>
      <c r="AYA56" s="1222"/>
      <c r="AYB56" s="1222"/>
      <c r="AYC56" s="1222"/>
      <c r="AYD56" s="1222"/>
      <c r="AYE56" s="1222"/>
      <c r="AYF56" s="1222"/>
      <c r="AYG56" s="1222"/>
      <c r="AYH56" s="1222"/>
      <c r="AYI56" s="1222"/>
      <c r="AYJ56" s="1222"/>
      <c r="AYK56" s="1222"/>
      <c r="AYL56" s="1222"/>
      <c r="AYM56" s="1222"/>
      <c r="AYN56" s="1222"/>
      <c r="AYO56" s="1222"/>
      <c r="AYP56" s="1222"/>
      <c r="AYQ56" s="1222"/>
      <c r="AYR56" s="1222"/>
      <c r="AYS56" s="1222"/>
      <c r="AYT56" s="1222"/>
      <c r="AYU56" s="1222"/>
      <c r="AYV56" s="1222"/>
      <c r="AYW56" s="1222"/>
      <c r="AYX56" s="1222"/>
      <c r="AYY56" s="1222"/>
      <c r="AYZ56" s="1222"/>
      <c r="AZA56" s="1222"/>
      <c r="AZB56" s="1222"/>
      <c r="AZC56" s="1222"/>
      <c r="AZD56" s="1222"/>
      <c r="AZE56" s="1222"/>
      <c r="AZF56" s="1222"/>
      <c r="AZG56" s="1222"/>
      <c r="AZH56" s="1222"/>
      <c r="AZI56" s="1222"/>
      <c r="AZJ56" s="1222"/>
      <c r="AZK56" s="1222"/>
      <c r="AZL56" s="1222"/>
      <c r="AZM56" s="1222"/>
      <c r="AZN56" s="1222"/>
      <c r="AZO56" s="1222"/>
      <c r="AZP56" s="1222"/>
      <c r="AZQ56" s="1222"/>
      <c r="AZR56" s="1222"/>
      <c r="AZS56" s="1222"/>
      <c r="AZT56" s="1222"/>
      <c r="AZU56" s="1222"/>
      <c r="AZV56" s="1222"/>
      <c r="AZW56" s="1222"/>
      <c r="AZX56" s="1222"/>
      <c r="AZY56" s="1222"/>
      <c r="AZZ56" s="1222"/>
      <c r="BAA56" s="1222"/>
      <c r="BAB56" s="1222"/>
      <c r="BAC56" s="1222"/>
      <c r="BAD56" s="1222"/>
      <c r="BAE56" s="1222"/>
      <c r="BAF56" s="1222"/>
      <c r="BAG56" s="1222"/>
      <c r="BAH56" s="1222"/>
      <c r="BAI56" s="1222"/>
      <c r="BAJ56" s="1222"/>
      <c r="BAK56" s="1222"/>
      <c r="BAL56" s="1222"/>
      <c r="BAM56" s="1222"/>
      <c r="BAN56" s="1222"/>
      <c r="BAO56" s="1222"/>
      <c r="BAP56" s="1222"/>
      <c r="BAQ56" s="1222"/>
      <c r="BAR56" s="1222"/>
      <c r="BAS56" s="1222"/>
      <c r="BAT56" s="1222"/>
      <c r="BAU56" s="1222"/>
      <c r="BAV56" s="1222"/>
      <c r="BAW56" s="1222"/>
      <c r="BAX56" s="1222"/>
      <c r="BAY56" s="1222"/>
      <c r="BAZ56" s="1222"/>
      <c r="BBA56" s="1222"/>
      <c r="BBB56" s="1222"/>
      <c r="BBC56" s="1222"/>
      <c r="BBD56" s="1222"/>
      <c r="BBE56" s="1222"/>
      <c r="BBF56" s="1222"/>
      <c r="BBG56" s="1222"/>
      <c r="BBH56" s="1222"/>
      <c r="BBI56" s="1222"/>
      <c r="BBJ56" s="1222"/>
      <c r="BBK56" s="1222"/>
      <c r="BBL56" s="1222"/>
      <c r="BBM56" s="1222"/>
      <c r="BBN56" s="1222"/>
      <c r="BBO56" s="1222"/>
      <c r="BBP56" s="1222"/>
      <c r="BBQ56" s="1222"/>
      <c r="BBR56" s="1222"/>
      <c r="BBS56" s="1222"/>
      <c r="BBT56" s="1222"/>
      <c r="BBU56" s="1222"/>
      <c r="BBV56" s="1222"/>
      <c r="BBW56" s="1222"/>
      <c r="BBX56" s="1222"/>
      <c r="BBY56" s="1222"/>
      <c r="BBZ56" s="1222"/>
      <c r="BCA56" s="1222"/>
      <c r="BCB56" s="1222"/>
      <c r="BCC56" s="1222"/>
      <c r="BCD56" s="1222"/>
      <c r="BCE56" s="1222"/>
      <c r="BCF56" s="1222"/>
      <c r="BCG56" s="1222"/>
      <c r="BCH56" s="1222"/>
      <c r="BCI56" s="1222"/>
      <c r="BCJ56" s="1222"/>
      <c r="BCK56" s="1222"/>
      <c r="BCL56" s="1222"/>
      <c r="BCM56" s="1222"/>
      <c r="BCN56" s="1222"/>
      <c r="BCO56" s="1222"/>
      <c r="BCP56" s="1222"/>
      <c r="BCQ56" s="1222"/>
      <c r="BCR56" s="1222"/>
      <c r="BCS56" s="1222"/>
      <c r="BCT56" s="1222"/>
      <c r="BCU56" s="1222"/>
      <c r="BCV56" s="1222"/>
      <c r="BCW56" s="1222"/>
      <c r="BCX56" s="1222"/>
      <c r="BCY56" s="1222"/>
      <c r="BCZ56" s="1222"/>
      <c r="BDA56" s="1222"/>
      <c r="BDB56" s="1222"/>
      <c r="BDC56" s="1222"/>
      <c r="BDD56" s="1222"/>
      <c r="BDE56" s="1222"/>
      <c r="BDF56" s="1222"/>
      <c r="BDG56" s="1222"/>
      <c r="BDH56" s="1222"/>
      <c r="BDI56" s="1222"/>
      <c r="BDJ56" s="1222"/>
      <c r="BDK56" s="1222"/>
      <c r="BDL56" s="1222"/>
      <c r="BDM56" s="1222"/>
      <c r="BDN56" s="1222"/>
      <c r="BDO56" s="1222"/>
      <c r="BDP56" s="1222"/>
      <c r="BDQ56" s="1222"/>
      <c r="BDR56" s="1222"/>
      <c r="BDS56" s="1222"/>
      <c r="BDT56" s="1222"/>
      <c r="BDU56" s="1222"/>
      <c r="BDV56" s="1222"/>
      <c r="BDW56" s="1222"/>
      <c r="BDX56" s="1222"/>
      <c r="BDY56" s="1222"/>
      <c r="BDZ56" s="1222"/>
      <c r="BEA56" s="1222"/>
      <c r="BEB56" s="1222"/>
      <c r="BEC56" s="1222"/>
      <c r="BED56" s="1222"/>
      <c r="BEE56" s="1222"/>
      <c r="BEF56" s="1222"/>
      <c r="BEG56" s="1222"/>
      <c r="BEH56" s="1222"/>
      <c r="BEI56" s="1222"/>
      <c r="BEJ56" s="1222"/>
      <c r="BEK56" s="1222"/>
      <c r="BEL56" s="1222"/>
      <c r="BEM56" s="1222"/>
      <c r="BEN56" s="1222"/>
      <c r="BEO56" s="1222"/>
      <c r="BEP56" s="1222"/>
      <c r="BEQ56" s="1222"/>
      <c r="BER56" s="1222"/>
      <c r="BES56" s="1222"/>
      <c r="BET56" s="1222"/>
      <c r="BEU56" s="1222"/>
      <c r="BEV56" s="1222"/>
      <c r="BEW56" s="1222"/>
      <c r="BEX56" s="1222"/>
      <c r="BEY56" s="1222"/>
      <c r="BEZ56" s="1222"/>
      <c r="BFA56" s="1222"/>
      <c r="BFB56" s="1222"/>
      <c r="BFC56" s="1222"/>
      <c r="BFD56" s="1222"/>
      <c r="BFE56" s="1222"/>
      <c r="BFF56" s="1222"/>
      <c r="BFG56" s="1222"/>
      <c r="BFH56" s="1222"/>
      <c r="BFI56" s="1222"/>
      <c r="BFJ56" s="1222"/>
      <c r="BFK56" s="1222"/>
      <c r="BFL56" s="1222"/>
      <c r="BFM56" s="1222"/>
      <c r="BFN56" s="1222"/>
      <c r="BFO56" s="1222"/>
      <c r="BFP56" s="1222"/>
      <c r="BFQ56" s="1222"/>
      <c r="BFR56" s="1222"/>
      <c r="BFS56" s="1222"/>
      <c r="BFT56" s="1222"/>
      <c r="BFU56" s="1222"/>
      <c r="BFV56" s="1222"/>
      <c r="BFW56" s="1222"/>
      <c r="BFX56" s="1222"/>
      <c r="BFY56" s="1222"/>
      <c r="BFZ56" s="1222"/>
      <c r="BGA56" s="1222"/>
      <c r="BGB56" s="1222"/>
      <c r="BGC56" s="1222"/>
      <c r="BGD56" s="1222"/>
      <c r="BGE56" s="1222"/>
      <c r="BGF56" s="1222"/>
      <c r="BGG56" s="1222"/>
      <c r="BGH56" s="1222"/>
      <c r="BGI56" s="1222"/>
      <c r="BGJ56" s="1222"/>
      <c r="BGK56" s="1222"/>
      <c r="BGL56" s="1222"/>
      <c r="BGM56" s="1222"/>
      <c r="BGN56" s="1222"/>
      <c r="BGO56" s="1222"/>
      <c r="BGP56" s="1222"/>
      <c r="BGQ56" s="1222"/>
      <c r="BGR56" s="1222"/>
      <c r="BGS56" s="1222"/>
      <c r="BGT56" s="1222"/>
      <c r="BGU56" s="1222"/>
      <c r="BGV56" s="1222"/>
      <c r="BGW56" s="1222"/>
      <c r="BGX56" s="1222"/>
      <c r="BGY56" s="1222"/>
      <c r="BGZ56" s="1222"/>
      <c r="BHA56" s="1222"/>
      <c r="BHB56" s="1222"/>
      <c r="BHC56" s="1222"/>
      <c r="BHD56" s="1222"/>
      <c r="BHE56" s="1222"/>
      <c r="BHF56" s="1222"/>
      <c r="BHG56" s="1222"/>
      <c r="BHH56" s="1222"/>
      <c r="BHI56" s="1222"/>
      <c r="BHJ56" s="1222"/>
      <c r="BHK56" s="1222"/>
      <c r="BHL56" s="1222"/>
      <c r="BHM56" s="1222"/>
      <c r="BHN56" s="1222"/>
      <c r="BHO56" s="1222"/>
      <c r="BHP56" s="1222"/>
      <c r="BHQ56" s="1222"/>
      <c r="BHR56" s="1222"/>
      <c r="BHS56" s="1222"/>
      <c r="BHT56" s="1222"/>
      <c r="BHU56" s="1222"/>
      <c r="BHV56" s="1222"/>
      <c r="BHW56" s="1222"/>
      <c r="BHX56" s="1222"/>
      <c r="BHY56" s="1222"/>
      <c r="BHZ56" s="1222"/>
      <c r="BIA56" s="1222"/>
      <c r="BIB56" s="1222"/>
      <c r="BIC56" s="1222"/>
      <c r="BID56" s="1222"/>
      <c r="BIE56" s="1222"/>
      <c r="BIF56" s="1222"/>
      <c r="BIG56" s="1222"/>
      <c r="BIH56" s="1222"/>
      <c r="BII56" s="1222"/>
      <c r="BIJ56" s="1222"/>
      <c r="BIK56" s="1222"/>
      <c r="BIL56" s="1222"/>
      <c r="BIM56" s="1222"/>
      <c r="BIN56" s="1222"/>
      <c r="BIO56" s="1222"/>
      <c r="BIP56" s="1222"/>
      <c r="BIQ56" s="1222"/>
      <c r="BIR56" s="1222"/>
      <c r="BIS56" s="1222"/>
      <c r="BIT56" s="1222"/>
      <c r="BIU56" s="1222"/>
      <c r="BIV56" s="1222"/>
      <c r="BIW56" s="1222"/>
      <c r="BIX56" s="1222"/>
      <c r="BIY56" s="1222"/>
      <c r="BIZ56" s="1222"/>
      <c r="BJA56" s="1222"/>
      <c r="BJB56" s="1222"/>
      <c r="BJC56" s="1222"/>
      <c r="BJD56" s="1222"/>
      <c r="BJE56" s="1222"/>
      <c r="BJF56" s="1222"/>
      <c r="BJG56" s="1222"/>
      <c r="BJH56" s="1222"/>
      <c r="BJI56" s="1222"/>
      <c r="BJJ56" s="1222"/>
      <c r="BJK56" s="1222"/>
      <c r="BJL56" s="1222"/>
      <c r="BJM56" s="1222"/>
      <c r="BJN56" s="1222"/>
      <c r="BJO56" s="1222"/>
      <c r="BJP56" s="1222"/>
      <c r="BJQ56" s="1222"/>
      <c r="BJR56" s="1222"/>
      <c r="BJS56" s="1222"/>
      <c r="BJT56" s="1222"/>
      <c r="BJU56" s="1222"/>
      <c r="BJV56" s="1222"/>
      <c r="BJW56" s="1222"/>
      <c r="BJX56" s="1222"/>
      <c r="BJY56" s="1222"/>
      <c r="BJZ56" s="1222"/>
      <c r="BKA56" s="1222"/>
      <c r="BKB56" s="1222"/>
      <c r="BKC56" s="1222"/>
      <c r="BKD56" s="1222"/>
      <c r="BKE56" s="1222"/>
      <c r="BKF56" s="1222"/>
      <c r="BKG56" s="1222"/>
      <c r="BKH56" s="1222"/>
      <c r="BKI56" s="1222"/>
      <c r="BKJ56" s="1222"/>
      <c r="BKK56" s="1222"/>
      <c r="BKL56" s="1222"/>
      <c r="BKM56" s="1222"/>
      <c r="BKN56" s="1222"/>
      <c r="BKO56" s="1222"/>
      <c r="BKP56" s="1222"/>
      <c r="BKQ56" s="1222"/>
      <c r="BKR56" s="1222"/>
      <c r="BKS56" s="1222"/>
      <c r="BKT56" s="1222"/>
      <c r="BKU56" s="1222"/>
      <c r="BKV56" s="1222"/>
      <c r="BKW56" s="1222"/>
      <c r="BKX56" s="1222"/>
      <c r="BKY56" s="1222"/>
      <c r="BKZ56" s="1222"/>
      <c r="BLA56" s="1222"/>
      <c r="BLB56" s="1222"/>
      <c r="BLC56" s="1222"/>
      <c r="BLD56" s="1222"/>
      <c r="BLE56" s="1222"/>
      <c r="BLF56" s="1222"/>
      <c r="BLG56" s="1222"/>
      <c r="BLH56" s="1222"/>
      <c r="BLI56" s="1222"/>
      <c r="BLJ56" s="1222"/>
      <c r="BLK56" s="1222"/>
      <c r="BLL56" s="1222"/>
      <c r="BLM56" s="1222"/>
      <c r="BLN56" s="1222"/>
      <c r="BLO56" s="1222"/>
      <c r="BLP56" s="1222"/>
      <c r="BLQ56" s="1222"/>
      <c r="BLR56" s="1222"/>
      <c r="BLS56" s="1222"/>
      <c r="BLT56" s="1222"/>
      <c r="BLU56" s="1222"/>
      <c r="BLV56" s="1222"/>
      <c r="BLW56" s="1222"/>
      <c r="BLX56" s="1222"/>
      <c r="BLY56" s="1222"/>
      <c r="BLZ56" s="1222"/>
      <c r="BMA56" s="1222"/>
      <c r="BMB56" s="1222"/>
      <c r="BMC56" s="1222"/>
      <c r="BMD56" s="1222"/>
      <c r="BME56" s="1222"/>
      <c r="BMF56" s="1222"/>
      <c r="BMG56" s="1222"/>
      <c r="BMH56" s="1222"/>
      <c r="BMI56" s="1222"/>
      <c r="BMJ56" s="1222"/>
      <c r="BMK56" s="1222"/>
      <c r="BML56" s="1222"/>
      <c r="BMM56" s="1222"/>
      <c r="BMN56" s="1222"/>
      <c r="BMO56" s="1222"/>
      <c r="BMP56" s="1222"/>
      <c r="BMQ56" s="1222"/>
      <c r="BMR56" s="1222"/>
      <c r="BMS56" s="1222"/>
      <c r="BMT56" s="1222"/>
      <c r="BMU56" s="1222"/>
      <c r="BMV56" s="1222"/>
      <c r="BMW56" s="1222"/>
      <c r="BMX56" s="1222"/>
      <c r="BMY56" s="1222"/>
      <c r="BMZ56" s="1222"/>
      <c r="BNA56" s="1222"/>
      <c r="BNB56" s="1222"/>
      <c r="BNC56" s="1222"/>
      <c r="BND56" s="1222"/>
      <c r="BNE56" s="1222"/>
      <c r="BNF56" s="1222"/>
      <c r="BNG56" s="1222"/>
      <c r="BNH56" s="1222"/>
      <c r="BNI56" s="1222"/>
      <c r="BNJ56" s="1222"/>
      <c r="BNK56" s="1222"/>
      <c r="BNL56" s="1222"/>
      <c r="BNM56" s="1222"/>
      <c r="BNN56" s="1222"/>
      <c r="BNO56" s="1222"/>
      <c r="BNP56" s="1222"/>
      <c r="BNQ56" s="1222"/>
      <c r="BNR56" s="1222"/>
      <c r="BNS56" s="1222"/>
      <c r="BNT56" s="1222"/>
      <c r="BNU56" s="1222"/>
      <c r="BNV56" s="1222"/>
      <c r="BNW56" s="1222"/>
      <c r="BNX56" s="1222"/>
      <c r="BNY56" s="1222"/>
      <c r="BNZ56" s="1222"/>
      <c r="BOA56" s="1222"/>
      <c r="BOB56" s="1222"/>
      <c r="BOC56" s="1222"/>
      <c r="BOD56" s="1222"/>
      <c r="BOE56" s="1222"/>
      <c r="BOF56" s="1222"/>
      <c r="BOG56" s="1222"/>
      <c r="BOH56" s="1222"/>
      <c r="BOI56" s="1222"/>
      <c r="BOJ56" s="1222"/>
      <c r="BOK56" s="1222"/>
      <c r="BOL56" s="1222"/>
      <c r="BOM56" s="1222"/>
      <c r="BON56" s="1222"/>
      <c r="BOO56" s="1222"/>
      <c r="BOP56" s="1222"/>
      <c r="BOQ56" s="1222"/>
      <c r="BOR56" s="1222"/>
      <c r="BOS56" s="1222"/>
      <c r="BOT56" s="1222"/>
      <c r="BOU56" s="1222"/>
      <c r="BOV56" s="1222"/>
      <c r="BOW56" s="1222"/>
      <c r="BOX56" s="1222"/>
      <c r="BOY56" s="1222"/>
      <c r="BOZ56" s="1222"/>
      <c r="BPA56" s="1222"/>
      <c r="BPB56" s="1222"/>
      <c r="BPC56" s="1222"/>
      <c r="BPD56" s="1222"/>
      <c r="BPE56" s="1222"/>
      <c r="BPF56" s="1222"/>
      <c r="BPG56" s="1222"/>
      <c r="BPH56" s="1222"/>
      <c r="BPI56" s="1222"/>
      <c r="BPJ56" s="1222"/>
      <c r="BPK56" s="1222"/>
      <c r="BPL56" s="1222"/>
      <c r="BPM56" s="1222"/>
      <c r="BPN56" s="1222"/>
      <c r="BPO56" s="1222"/>
      <c r="BPP56" s="1222"/>
      <c r="BPQ56" s="1222"/>
      <c r="BPR56" s="1222"/>
      <c r="BPS56" s="1222"/>
      <c r="BPT56" s="1222"/>
      <c r="BPU56" s="1222"/>
      <c r="BPV56" s="1222"/>
      <c r="BPW56" s="1222"/>
      <c r="BPX56" s="1222"/>
      <c r="BPY56" s="1222"/>
      <c r="BPZ56" s="1222"/>
      <c r="BQA56" s="1222"/>
      <c r="BQB56" s="1222"/>
      <c r="BQC56" s="1222"/>
      <c r="BQD56" s="1222"/>
      <c r="BQE56" s="1222"/>
      <c r="BQF56" s="1222"/>
      <c r="BQG56" s="1222"/>
      <c r="BQH56" s="1222"/>
      <c r="BQI56" s="1222"/>
      <c r="BQJ56" s="1222"/>
      <c r="BQK56" s="1222"/>
      <c r="BQL56" s="1222"/>
      <c r="BQM56" s="1222"/>
      <c r="BQN56" s="1222"/>
      <c r="BQO56" s="1222"/>
      <c r="BQP56" s="1222"/>
      <c r="BQQ56" s="1222"/>
      <c r="BQR56" s="1222"/>
      <c r="BQS56" s="1222"/>
      <c r="BQT56" s="1222"/>
      <c r="BQU56" s="1222"/>
      <c r="BQV56" s="1222"/>
      <c r="BQW56" s="1222"/>
      <c r="BQX56" s="1222"/>
      <c r="BQY56" s="1222"/>
      <c r="BQZ56" s="1222"/>
      <c r="BRA56" s="1222"/>
      <c r="BRB56" s="1222"/>
      <c r="BRC56" s="1222"/>
      <c r="BRD56" s="1222"/>
      <c r="BRE56" s="1222"/>
      <c r="BRF56" s="1222"/>
      <c r="BRG56" s="1222"/>
      <c r="BRH56" s="1222"/>
      <c r="BRI56" s="1222"/>
      <c r="BRJ56" s="1222"/>
      <c r="BRK56" s="1222"/>
      <c r="BRL56" s="1222"/>
      <c r="BRM56" s="1222"/>
      <c r="BRN56" s="1222"/>
      <c r="BRO56" s="1222"/>
      <c r="BRP56" s="1222"/>
      <c r="BRQ56" s="1222"/>
      <c r="BRR56" s="1222"/>
      <c r="BRS56" s="1222"/>
      <c r="BRT56" s="1222"/>
      <c r="BRU56" s="1222"/>
      <c r="BRV56" s="1222"/>
      <c r="BRW56" s="1222"/>
      <c r="BRX56" s="1222"/>
      <c r="BRY56" s="1222"/>
      <c r="BRZ56" s="1222"/>
      <c r="BSA56" s="1222"/>
      <c r="BSB56" s="1222"/>
      <c r="BSC56" s="1222"/>
      <c r="BSD56" s="1222"/>
      <c r="BSE56" s="1222"/>
      <c r="BSF56" s="1222"/>
      <c r="BSG56" s="1222"/>
      <c r="BSH56" s="1222"/>
      <c r="BSI56" s="1222"/>
      <c r="BSJ56" s="1222"/>
      <c r="BSK56" s="1222"/>
      <c r="BSL56" s="1222"/>
      <c r="BSM56" s="1222"/>
      <c r="BSN56" s="1222"/>
      <c r="BSO56" s="1222"/>
      <c r="BSP56" s="1222"/>
      <c r="BSQ56" s="1222"/>
      <c r="BSR56" s="1222"/>
      <c r="BSS56" s="1222"/>
      <c r="BST56" s="1222"/>
      <c r="BSU56" s="1222"/>
      <c r="BSV56" s="1222"/>
      <c r="BSW56" s="1222"/>
      <c r="BSX56" s="1222"/>
      <c r="BSY56" s="1222"/>
      <c r="BSZ56" s="1222"/>
      <c r="BTA56" s="1222"/>
      <c r="BTB56" s="1222"/>
      <c r="BTC56" s="1222"/>
      <c r="BTD56" s="1222"/>
      <c r="BTE56" s="1222"/>
      <c r="BTF56" s="1222"/>
      <c r="BTG56" s="1222"/>
      <c r="BTH56" s="1222"/>
      <c r="BTI56" s="1222"/>
      <c r="BTJ56" s="1222"/>
      <c r="BTK56" s="1222"/>
      <c r="BTL56" s="1222"/>
      <c r="BTM56" s="1222"/>
      <c r="BTN56" s="1222"/>
      <c r="BTO56" s="1222"/>
      <c r="BTP56" s="1222"/>
      <c r="BTQ56" s="1222"/>
      <c r="BTR56" s="1222"/>
      <c r="BTS56" s="1222"/>
      <c r="BTT56" s="1222"/>
      <c r="BTU56" s="1222"/>
      <c r="BTV56" s="1222"/>
      <c r="BTW56" s="1222"/>
      <c r="BTX56" s="1222"/>
      <c r="BTY56" s="1222"/>
      <c r="BTZ56" s="1222"/>
      <c r="BUA56" s="1222"/>
      <c r="BUB56" s="1222"/>
      <c r="BUC56" s="1222"/>
      <c r="BUD56" s="1222"/>
      <c r="BUE56" s="1222"/>
      <c r="BUF56" s="1222"/>
      <c r="BUG56" s="1222"/>
      <c r="BUH56" s="1222"/>
      <c r="BUI56" s="1222"/>
      <c r="BUJ56" s="1222"/>
      <c r="BUK56" s="1222"/>
      <c r="BUL56" s="1222"/>
      <c r="BUM56" s="1222"/>
      <c r="BUN56" s="1222"/>
      <c r="BUO56" s="1222"/>
      <c r="BUP56" s="1222"/>
      <c r="BUQ56" s="1222"/>
      <c r="BUR56" s="1222"/>
      <c r="BUS56" s="1222"/>
      <c r="BUT56" s="1222"/>
      <c r="BUU56" s="1222"/>
      <c r="BUV56" s="1222"/>
      <c r="BUW56" s="1222"/>
      <c r="BUX56" s="1222"/>
      <c r="BUY56" s="1222"/>
      <c r="BUZ56" s="1222"/>
      <c r="BVA56" s="1222"/>
      <c r="BVB56" s="1222"/>
      <c r="BVC56" s="1222"/>
      <c r="BVD56" s="1222"/>
      <c r="BVE56" s="1222"/>
      <c r="BVF56" s="1222"/>
      <c r="BVG56" s="1222"/>
      <c r="BVH56" s="1222"/>
      <c r="BVI56" s="1222"/>
      <c r="BVJ56" s="1222"/>
      <c r="BVK56" s="1222"/>
      <c r="BVL56" s="1222"/>
      <c r="BVM56" s="1222"/>
      <c r="BVN56" s="1222"/>
      <c r="BVO56" s="1222"/>
      <c r="BVP56" s="1222"/>
      <c r="BVQ56" s="1222"/>
      <c r="BVR56" s="1222"/>
      <c r="BVS56" s="1222"/>
      <c r="BVT56" s="1222"/>
      <c r="BVU56" s="1222"/>
      <c r="BVV56" s="1222"/>
      <c r="BVW56" s="1222"/>
      <c r="BVX56" s="1222"/>
      <c r="BVY56" s="1222"/>
      <c r="BVZ56" s="1222"/>
      <c r="BWA56" s="1222"/>
      <c r="BWB56" s="1222"/>
      <c r="BWC56" s="1222"/>
      <c r="BWD56" s="1222"/>
      <c r="BWE56" s="1222"/>
      <c r="BWF56" s="1222"/>
      <c r="BWG56" s="1222"/>
      <c r="BWH56" s="1222"/>
      <c r="BWI56" s="1222"/>
      <c r="BWJ56" s="1222"/>
      <c r="BWK56" s="1222"/>
      <c r="BWL56" s="1222"/>
      <c r="BWM56" s="1222"/>
      <c r="BWN56" s="1222"/>
      <c r="BWO56" s="1222"/>
      <c r="BWP56" s="1222"/>
      <c r="BWQ56" s="1222"/>
      <c r="BWR56" s="1222"/>
      <c r="BWS56" s="1222"/>
      <c r="BWT56" s="1222"/>
      <c r="BWU56" s="1222"/>
      <c r="BWV56" s="1222"/>
      <c r="BWW56" s="1222"/>
      <c r="BWX56" s="1222"/>
      <c r="BWY56" s="1222"/>
      <c r="BWZ56" s="1222"/>
      <c r="BXA56" s="1222"/>
      <c r="BXB56" s="1222"/>
      <c r="BXC56" s="1222"/>
      <c r="BXD56" s="1222"/>
      <c r="BXE56" s="1222"/>
      <c r="BXF56" s="1222"/>
      <c r="BXG56" s="1222"/>
      <c r="BXH56" s="1222"/>
      <c r="BXI56" s="1222"/>
      <c r="BXJ56" s="1222"/>
      <c r="BXK56" s="1222"/>
      <c r="BXL56" s="1222"/>
      <c r="BXM56" s="1222"/>
      <c r="BXN56" s="1222"/>
      <c r="BXO56" s="1222"/>
      <c r="BXP56" s="1222"/>
      <c r="BXQ56" s="1222"/>
      <c r="BXR56" s="1222"/>
      <c r="BXS56" s="1222"/>
      <c r="BXT56" s="1222"/>
      <c r="BXU56" s="1222"/>
      <c r="BXV56" s="1222"/>
      <c r="BXW56" s="1222"/>
      <c r="BXX56" s="1222"/>
      <c r="BXY56" s="1222"/>
      <c r="BXZ56" s="1222"/>
      <c r="BYA56" s="1222"/>
      <c r="BYB56" s="1222"/>
      <c r="BYC56" s="1222"/>
      <c r="BYD56" s="1222"/>
      <c r="BYE56" s="1222"/>
      <c r="BYF56" s="1222"/>
      <c r="BYG56" s="1222"/>
      <c r="BYH56" s="1222"/>
      <c r="BYI56" s="1222"/>
      <c r="BYJ56" s="1222"/>
      <c r="BYK56" s="1222"/>
      <c r="BYL56" s="1222"/>
      <c r="BYM56" s="1222"/>
      <c r="BYN56" s="1222"/>
      <c r="BYO56" s="1222"/>
      <c r="BYP56" s="1222"/>
      <c r="BYQ56" s="1222"/>
      <c r="BYR56" s="1222"/>
      <c r="BYS56" s="1222"/>
      <c r="BYT56" s="1222"/>
      <c r="BYU56" s="1222"/>
      <c r="BYV56" s="1222"/>
      <c r="BYW56" s="1222"/>
      <c r="BYX56" s="1222"/>
      <c r="BYY56" s="1222"/>
      <c r="BYZ56" s="1222"/>
      <c r="BZA56" s="1222"/>
      <c r="BZB56" s="1222"/>
      <c r="BZC56" s="1222"/>
      <c r="BZD56" s="1222"/>
      <c r="BZE56" s="1222"/>
      <c r="BZF56" s="1222"/>
      <c r="BZG56" s="1222"/>
      <c r="BZH56" s="1222"/>
      <c r="BZI56" s="1222"/>
      <c r="BZJ56" s="1222"/>
      <c r="BZK56" s="1222"/>
      <c r="BZL56" s="1222"/>
      <c r="BZM56" s="1222"/>
      <c r="BZN56" s="1222"/>
      <c r="BZO56" s="1222"/>
      <c r="BZP56" s="1222"/>
      <c r="BZQ56" s="1222"/>
      <c r="BZR56" s="1222"/>
      <c r="BZS56" s="1222"/>
      <c r="BZT56" s="1222"/>
      <c r="BZU56" s="1222"/>
      <c r="BZV56" s="1222"/>
      <c r="BZW56" s="1222"/>
      <c r="BZX56" s="1222"/>
      <c r="BZY56" s="1222"/>
      <c r="BZZ56" s="1222"/>
      <c r="CAA56" s="1222"/>
      <c r="CAB56" s="1222"/>
      <c r="CAC56" s="1222"/>
      <c r="CAD56" s="1222"/>
      <c r="CAE56" s="1222"/>
      <c r="CAF56" s="1222"/>
      <c r="CAG56" s="1222"/>
      <c r="CAH56" s="1222"/>
      <c r="CAI56" s="1222"/>
      <c r="CAJ56" s="1222"/>
      <c r="CAK56" s="1222"/>
      <c r="CAL56" s="1222"/>
      <c r="CAM56" s="1222"/>
      <c r="CAN56" s="1222"/>
      <c r="CAO56" s="1222"/>
      <c r="CAP56" s="1222"/>
      <c r="CAQ56" s="1222"/>
      <c r="CAR56" s="1222"/>
      <c r="CAS56" s="1222"/>
      <c r="CAT56" s="1222"/>
      <c r="CAU56" s="1222"/>
      <c r="CAV56" s="1222"/>
      <c r="CAW56" s="1222"/>
      <c r="CAX56" s="1222"/>
      <c r="CAY56" s="1222"/>
      <c r="CAZ56" s="1222"/>
      <c r="CBA56" s="1222"/>
      <c r="CBB56" s="1222"/>
      <c r="CBC56" s="1222"/>
      <c r="CBD56" s="1222"/>
      <c r="CBE56" s="1222"/>
      <c r="CBF56" s="1222"/>
      <c r="CBG56" s="1222"/>
      <c r="CBH56" s="1222"/>
      <c r="CBI56" s="1222"/>
      <c r="CBJ56" s="1222"/>
      <c r="CBK56" s="1222"/>
      <c r="CBL56" s="1222"/>
      <c r="CBM56" s="1222"/>
      <c r="CBN56" s="1222"/>
      <c r="CBO56" s="1222"/>
      <c r="CBP56" s="1222"/>
      <c r="CBQ56" s="1222"/>
      <c r="CBR56" s="1222"/>
      <c r="CBS56" s="1222"/>
      <c r="CBT56" s="1222"/>
      <c r="CBU56" s="1222"/>
      <c r="CBV56" s="1222"/>
      <c r="CBW56" s="1222"/>
      <c r="CBX56" s="1222"/>
      <c r="CBY56" s="1222"/>
      <c r="CBZ56" s="1222"/>
      <c r="CCA56" s="1222"/>
      <c r="CCB56" s="1222"/>
      <c r="CCC56" s="1222"/>
      <c r="CCD56" s="1222"/>
      <c r="CCE56" s="1222"/>
      <c r="CCF56" s="1222"/>
      <c r="CCG56" s="1222"/>
      <c r="CCH56" s="1222"/>
      <c r="CCI56" s="1222"/>
      <c r="CCJ56" s="1222"/>
      <c r="CCK56" s="1222"/>
      <c r="CCL56" s="1222"/>
      <c r="CCM56" s="1222"/>
      <c r="CCN56" s="1222"/>
      <c r="CCO56" s="1222"/>
      <c r="CCP56" s="1222"/>
      <c r="CCQ56" s="1222"/>
      <c r="CCR56" s="1222"/>
      <c r="CCS56" s="1222"/>
      <c r="CCT56" s="1222"/>
      <c r="CCU56" s="1222"/>
      <c r="CCV56" s="1222"/>
      <c r="CCW56" s="1222"/>
      <c r="CCX56" s="1222"/>
      <c r="CCY56" s="1222"/>
      <c r="CCZ56" s="1222"/>
      <c r="CDA56" s="1222"/>
      <c r="CDB56" s="1222"/>
      <c r="CDC56" s="1222"/>
      <c r="CDD56" s="1222"/>
      <c r="CDE56" s="1222"/>
      <c r="CDF56" s="1222"/>
      <c r="CDG56" s="1222"/>
      <c r="CDH56" s="1222"/>
      <c r="CDI56" s="1222"/>
      <c r="CDJ56" s="1222"/>
      <c r="CDK56" s="1222"/>
      <c r="CDL56" s="1222"/>
      <c r="CDM56" s="1222"/>
      <c r="CDN56" s="1222"/>
      <c r="CDO56" s="1222"/>
      <c r="CDP56" s="1222"/>
      <c r="CDQ56" s="1222"/>
      <c r="CDR56" s="1222"/>
      <c r="CDS56" s="1222"/>
      <c r="CDT56" s="1222"/>
      <c r="CDU56" s="1222"/>
      <c r="CDV56" s="1222"/>
      <c r="CDW56" s="1222"/>
      <c r="CDX56" s="1222"/>
      <c r="CDY56" s="1222"/>
      <c r="CDZ56" s="1222"/>
      <c r="CEA56" s="1222"/>
      <c r="CEB56" s="1222"/>
      <c r="CEC56" s="1222"/>
      <c r="CED56" s="1222"/>
      <c r="CEE56" s="1222"/>
      <c r="CEF56" s="1222"/>
      <c r="CEG56" s="1222"/>
      <c r="CEH56" s="1222"/>
      <c r="CEI56" s="1222"/>
      <c r="CEJ56" s="1222"/>
      <c r="CEK56" s="1222"/>
      <c r="CEL56" s="1222"/>
      <c r="CEM56" s="1222"/>
      <c r="CEN56" s="1222"/>
      <c r="CEO56" s="1222"/>
      <c r="CEP56" s="1222"/>
      <c r="CEQ56" s="1222"/>
      <c r="CER56" s="1222"/>
      <c r="CES56" s="1222"/>
      <c r="CET56" s="1222"/>
      <c r="CEU56" s="1222"/>
      <c r="CEV56" s="1222"/>
      <c r="CEW56" s="1222"/>
      <c r="CEX56" s="1222"/>
      <c r="CEY56" s="1222"/>
      <c r="CEZ56" s="1222"/>
      <c r="CFA56" s="1222"/>
      <c r="CFB56" s="1222"/>
      <c r="CFC56" s="1222"/>
      <c r="CFD56" s="1222"/>
      <c r="CFE56" s="1222"/>
      <c r="CFF56" s="1222"/>
      <c r="CFG56" s="1222"/>
      <c r="CFH56" s="1222"/>
      <c r="CFI56" s="1222"/>
      <c r="CFJ56" s="1222"/>
      <c r="CFK56" s="1222"/>
      <c r="CFL56" s="1222"/>
      <c r="CFM56" s="1222"/>
      <c r="CFN56" s="1222"/>
      <c r="CFO56" s="1222"/>
      <c r="CFP56" s="1222"/>
      <c r="CFQ56" s="1222"/>
      <c r="CFR56" s="1222"/>
      <c r="CFS56" s="1222"/>
      <c r="CFT56" s="1222"/>
      <c r="CFU56" s="1222"/>
      <c r="CFV56" s="1222"/>
      <c r="CFW56" s="1222"/>
      <c r="CFX56" s="1222"/>
      <c r="CFY56" s="1222"/>
      <c r="CFZ56" s="1222"/>
      <c r="CGA56" s="1222"/>
      <c r="CGB56" s="1222"/>
      <c r="CGC56" s="1222"/>
      <c r="CGD56" s="1222"/>
      <c r="CGE56" s="1222"/>
      <c r="CGF56" s="1222"/>
      <c r="CGG56" s="1222"/>
      <c r="CGH56" s="1222"/>
      <c r="CGI56" s="1222"/>
      <c r="CGJ56" s="1222"/>
      <c r="CGK56" s="1222"/>
      <c r="CGL56" s="1222"/>
      <c r="CGM56" s="1222"/>
      <c r="CGN56" s="1222"/>
      <c r="CGO56" s="1222"/>
      <c r="CGP56" s="1222"/>
      <c r="CGQ56" s="1222"/>
      <c r="CGR56" s="1222"/>
      <c r="CGS56" s="1222"/>
      <c r="CGT56" s="1222"/>
      <c r="CGU56" s="1222"/>
      <c r="CGV56" s="1222"/>
      <c r="CGW56" s="1222"/>
      <c r="CGX56" s="1222"/>
      <c r="CGY56" s="1222"/>
      <c r="CGZ56" s="1222"/>
      <c r="CHA56" s="1222"/>
      <c r="CHB56" s="1222"/>
      <c r="CHC56" s="1222"/>
      <c r="CHD56" s="1222"/>
      <c r="CHE56" s="1222"/>
      <c r="CHF56" s="1222"/>
      <c r="CHG56" s="1222"/>
      <c r="CHH56" s="1222"/>
      <c r="CHI56" s="1222"/>
      <c r="CHJ56" s="1222"/>
      <c r="CHK56" s="1222"/>
      <c r="CHL56" s="1222"/>
      <c r="CHM56" s="1222"/>
      <c r="CHN56" s="1222"/>
      <c r="CHO56" s="1222"/>
      <c r="CHP56" s="1222"/>
      <c r="CHQ56" s="1222"/>
      <c r="CHR56" s="1222"/>
      <c r="CHS56" s="1222"/>
      <c r="CHT56" s="1222"/>
      <c r="CHU56" s="1222"/>
      <c r="CHV56" s="1222"/>
      <c r="CHW56" s="1222"/>
      <c r="CHX56" s="1222"/>
      <c r="CHY56" s="1222"/>
      <c r="CHZ56" s="1222"/>
      <c r="CIA56" s="1222"/>
      <c r="CIB56" s="1222"/>
      <c r="CIC56" s="1222"/>
      <c r="CID56" s="1222"/>
      <c r="CIE56" s="1222"/>
      <c r="CIF56" s="1222"/>
      <c r="CIG56" s="1222"/>
      <c r="CIH56" s="1222"/>
      <c r="CII56" s="1222"/>
      <c r="CIJ56" s="1222"/>
      <c r="CIK56" s="1222"/>
      <c r="CIL56" s="1222"/>
      <c r="CIM56" s="1222"/>
      <c r="CIN56" s="1222"/>
      <c r="CIO56" s="1222"/>
      <c r="CIP56" s="1222"/>
      <c r="CIQ56" s="1222"/>
      <c r="CIR56" s="1222"/>
      <c r="CIS56" s="1222"/>
      <c r="CIT56" s="1222"/>
      <c r="CIU56" s="1222"/>
      <c r="CIV56" s="1222"/>
      <c r="CIW56" s="1222"/>
      <c r="CIX56" s="1222"/>
      <c r="CIY56" s="1222"/>
      <c r="CIZ56" s="1222"/>
      <c r="CJA56" s="1222"/>
      <c r="CJB56" s="1222"/>
      <c r="CJC56" s="1222"/>
      <c r="CJD56" s="1222"/>
      <c r="CJE56" s="1222"/>
      <c r="CJF56" s="1222"/>
      <c r="CJG56" s="1222"/>
      <c r="CJH56" s="1222"/>
      <c r="CJI56" s="1222"/>
      <c r="CJJ56" s="1222"/>
      <c r="CJK56" s="1222"/>
      <c r="CJL56" s="1222"/>
      <c r="CJM56" s="1222"/>
      <c r="CJN56" s="1222"/>
      <c r="CJO56" s="1222"/>
      <c r="CJP56" s="1222"/>
      <c r="CJQ56" s="1222"/>
      <c r="CJR56" s="1222"/>
      <c r="CJS56" s="1222"/>
      <c r="CJT56" s="1222"/>
      <c r="CJU56" s="1222"/>
      <c r="CJV56" s="1222"/>
      <c r="CJW56" s="1222"/>
      <c r="CJX56" s="1222"/>
      <c r="CJY56" s="1222"/>
      <c r="CJZ56" s="1222"/>
      <c r="CKA56" s="1222"/>
      <c r="CKB56" s="1222"/>
      <c r="CKC56" s="1222"/>
      <c r="CKD56" s="1222"/>
      <c r="CKE56" s="1222"/>
      <c r="CKF56" s="1222"/>
      <c r="CKG56" s="1222"/>
      <c r="CKH56" s="1222"/>
      <c r="CKI56" s="1222"/>
      <c r="CKJ56" s="1222"/>
      <c r="CKK56" s="1222"/>
      <c r="CKL56" s="1222"/>
      <c r="CKM56" s="1222"/>
      <c r="CKN56" s="1222"/>
      <c r="CKO56" s="1222"/>
      <c r="CKP56" s="1222"/>
      <c r="CKQ56" s="1222"/>
      <c r="CKR56" s="1222"/>
      <c r="CKS56" s="1222"/>
      <c r="CKT56" s="1222"/>
      <c r="CKU56" s="1222"/>
      <c r="CKV56" s="1222"/>
      <c r="CKW56" s="1222"/>
      <c r="CKX56" s="1222"/>
      <c r="CKY56" s="1222"/>
      <c r="CKZ56" s="1222"/>
      <c r="CLA56" s="1222"/>
      <c r="CLB56" s="1222"/>
      <c r="CLC56" s="1222"/>
      <c r="CLD56" s="1222"/>
      <c r="CLE56" s="1222"/>
      <c r="CLF56" s="1222"/>
      <c r="CLG56" s="1222"/>
      <c r="CLH56" s="1222"/>
      <c r="CLI56" s="1222"/>
      <c r="CLJ56" s="1222"/>
      <c r="CLK56" s="1222"/>
      <c r="CLL56" s="1222"/>
      <c r="CLM56" s="1222"/>
      <c r="CLN56" s="1222"/>
      <c r="CLO56" s="1222"/>
      <c r="CLP56" s="1222"/>
      <c r="CLQ56" s="1222"/>
      <c r="CLR56" s="1222"/>
      <c r="CLS56" s="1222"/>
      <c r="CLT56" s="1222"/>
      <c r="CLU56" s="1222"/>
      <c r="CLV56" s="1222"/>
      <c r="CLW56" s="1222"/>
      <c r="CLX56" s="1222"/>
      <c r="CLY56" s="1222"/>
      <c r="CLZ56" s="1222"/>
      <c r="CMA56" s="1222"/>
      <c r="CMB56" s="1222"/>
      <c r="CMC56" s="1222"/>
      <c r="CMD56" s="1222"/>
      <c r="CME56" s="1222"/>
      <c r="CMF56" s="1222"/>
      <c r="CMG56" s="1222"/>
      <c r="CMH56" s="1222"/>
      <c r="CMI56" s="1222"/>
      <c r="CMJ56" s="1222"/>
      <c r="CMK56" s="1222"/>
      <c r="CML56" s="1222"/>
      <c r="CMM56" s="1222"/>
      <c r="CMN56" s="1222"/>
      <c r="CMO56" s="1222"/>
      <c r="CMP56" s="1222"/>
      <c r="CMQ56" s="1222"/>
      <c r="CMR56" s="1222"/>
      <c r="CMS56" s="1222"/>
      <c r="CMT56" s="1222"/>
      <c r="CMU56" s="1222"/>
      <c r="CMV56" s="1222"/>
      <c r="CMW56" s="1222"/>
      <c r="CMX56" s="1222"/>
      <c r="CMY56" s="1222"/>
      <c r="CMZ56" s="1222"/>
      <c r="CNA56" s="1222"/>
      <c r="CNB56" s="1222"/>
      <c r="CNC56" s="1222"/>
      <c r="CND56" s="1222"/>
      <c r="CNE56" s="1222"/>
      <c r="CNF56" s="1222"/>
      <c r="CNG56" s="1222"/>
      <c r="CNH56" s="1222"/>
      <c r="CNI56" s="1222"/>
      <c r="CNJ56" s="1222"/>
      <c r="CNK56" s="1222"/>
      <c r="CNL56" s="1222"/>
      <c r="CNM56" s="1222"/>
      <c r="CNN56" s="1222"/>
      <c r="CNO56" s="1222"/>
      <c r="CNP56" s="1222"/>
      <c r="CNQ56" s="1222"/>
      <c r="CNR56" s="1222"/>
      <c r="CNS56" s="1222"/>
      <c r="CNT56" s="1222"/>
      <c r="CNU56" s="1222"/>
      <c r="CNV56" s="1222"/>
      <c r="CNW56" s="1222"/>
      <c r="CNX56" s="1222"/>
      <c r="CNY56" s="1222"/>
      <c r="CNZ56" s="1222"/>
      <c r="COA56" s="1222"/>
      <c r="COB56" s="1222"/>
      <c r="COC56" s="1222"/>
      <c r="COD56" s="1222"/>
      <c r="COE56" s="1222"/>
      <c r="COF56" s="1222"/>
      <c r="COG56" s="1222"/>
      <c r="COH56" s="1222"/>
      <c r="COI56" s="1222"/>
      <c r="COJ56" s="1222"/>
      <c r="COK56" s="1222"/>
      <c r="COL56" s="1222"/>
      <c r="COM56" s="1222"/>
      <c r="CON56" s="1222"/>
      <c r="COO56" s="1222"/>
      <c r="COP56" s="1222"/>
      <c r="COQ56" s="1222"/>
      <c r="COR56" s="1222"/>
      <c r="COS56" s="1222"/>
      <c r="COT56" s="1222"/>
      <c r="COU56" s="1222"/>
      <c r="COV56" s="1222"/>
      <c r="COW56" s="1222"/>
      <c r="COX56" s="1222"/>
      <c r="COY56" s="1222"/>
      <c r="COZ56" s="1222"/>
      <c r="CPA56" s="1222"/>
      <c r="CPB56" s="1222"/>
      <c r="CPC56" s="1222"/>
      <c r="CPD56" s="1222"/>
      <c r="CPE56" s="1222"/>
      <c r="CPF56" s="1222"/>
      <c r="CPG56" s="1222"/>
      <c r="CPH56" s="1222"/>
      <c r="CPI56" s="1222"/>
      <c r="CPJ56" s="1222"/>
      <c r="CPK56" s="1222"/>
      <c r="CPL56" s="1222"/>
      <c r="CPM56" s="1222"/>
      <c r="CPN56" s="1222"/>
      <c r="CPO56" s="1222"/>
      <c r="CPP56" s="1222"/>
      <c r="CPQ56" s="1222"/>
      <c r="CPR56" s="1222"/>
      <c r="CPS56" s="1222"/>
      <c r="CPT56" s="1222"/>
      <c r="CPU56" s="1222"/>
      <c r="CPV56" s="1222"/>
      <c r="CPW56" s="1222"/>
      <c r="CPX56" s="1222"/>
      <c r="CPY56" s="1222"/>
      <c r="CPZ56" s="1222"/>
      <c r="CQA56" s="1222"/>
      <c r="CQB56" s="1222"/>
      <c r="CQC56" s="1222"/>
      <c r="CQD56" s="1222"/>
      <c r="CQE56" s="1222"/>
      <c r="CQF56" s="1222"/>
      <c r="CQG56" s="1222"/>
      <c r="CQH56" s="1222"/>
      <c r="CQI56" s="1222"/>
      <c r="CQJ56" s="1222"/>
      <c r="CQK56" s="1222"/>
      <c r="CQL56" s="1222"/>
      <c r="CQM56" s="1222"/>
      <c r="CQN56" s="1222"/>
      <c r="CQO56" s="1222"/>
      <c r="CQP56" s="1222"/>
      <c r="CQQ56" s="1222"/>
      <c r="CQR56" s="1222"/>
      <c r="CQS56" s="1222"/>
      <c r="CQT56" s="1222"/>
      <c r="CQU56" s="1222"/>
      <c r="CQV56" s="1222"/>
      <c r="CQW56" s="1222"/>
      <c r="CQX56" s="1222"/>
      <c r="CQY56" s="1222"/>
      <c r="CQZ56" s="1222"/>
      <c r="CRA56" s="1222"/>
      <c r="CRB56" s="1222"/>
      <c r="CRC56" s="1222"/>
      <c r="CRD56" s="1222"/>
      <c r="CRE56" s="1222"/>
      <c r="CRF56" s="1222"/>
      <c r="CRG56" s="1222"/>
      <c r="CRH56" s="1222"/>
      <c r="CRI56" s="1222"/>
      <c r="CRJ56" s="1222"/>
      <c r="CRK56" s="1222"/>
      <c r="CRL56" s="1222"/>
      <c r="CRM56" s="1222"/>
      <c r="CRN56" s="1222"/>
      <c r="CRO56" s="1222"/>
      <c r="CRP56" s="1222"/>
      <c r="CRQ56" s="1222"/>
      <c r="CRR56" s="1222"/>
      <c r="CRS56" s="1222"/>
      <c r="CRT56" s="1222"/>
      <c r="CRU56" s="1222"/>
      <c r="CRV56" s="1222"/>
      <c r="CRW56" s="1222"/>
      <c r="CRX56" s="1222"/>
      <c r="CRY56" s="1222"/>
      <c r="CRZ56" s="1222"/>
      <c r="CSA56" s="1222"/>
      <c r="CSB56" s="1222"/>
      <c r="CSC56" s="1222"/>
      <c r="CSD56" s="1222"/>
      <c r="CSE56" s="1222"/>
      <c r="CSF56" s="1222"/>
      <c r="CSG56" s="1222"/>
      <c r="CSH56" s="1222"/>
      <c r="CSI56" s="1222"/>
      <c r="CSJ56" s="1222"/>
      <c r="CSK56" s="1222"/>
      <c r="CSL56" s="1222"/>
      <c r="CSM56" s="1222"/>
      <c r="CSN56" s="1222"/>
      <c r="CSO56" s="1222"/>
      <c r="CSP56" s="1222"/>
      <c r="CSQ56" s="1222"/>
      <c r="CSR56" s="1222"/>
      <c r="CSS56" s="1222"/>
      <c r="CST56" s="1222"/>
      <c r="CSU56" s="1222"/>
      <c r="CSV56" s="1222"/>
      <c r="CSW56" s="1222"/>
      <c r="CSX56" s="1222"/>
      <c r="CSY56" s="1222"/>
      <c r="CSZ56" s="1222"/>
      <c r="CTA56" s="1222"/>
      <c r="CTB56" s="1222"/>
      <c r="CTC56" s="1222"/>
      <c r="CTD56" s="1222"/>
      <c r="CTE56" s="1222"/>
      <c r="CTF56" s="1222"/>
      <c r="CTG56" s="1222"/>
      <c r="CTH56" s="1222"/>
      <c r="CTI56" s="1222"/>
      <c r="CTJ56" s="1222"/>
      <c r="CTK56" s="1222"/>
      <c r="CTL56" s="1222"/>
      <c r="CTM56" s="1222"/>
      <c r="CTN56" s="1222"/>
      <c r="CTO56" s="1222"/>
      <c r="CTP56" s="1222"/>
      <c r="CTQ56" s="1222"/>
      <c r="CTR56" s="1222"/>
      <c r="CTS56" s="1222"/>
      <c r="CTT56" s="1222"/>
      <c r="CTU56" s="1222"/>
      <c r="CTV56" s="1222"/>
      <c r="CTW56" s="1222"/>
      <c r="CTX56" s="1222"/>
      <c r="CTY56" s="1222"/>
      <c r="CTZ56" s="1222"/>
      <c r="CUA56" s="1222"/>
      <c r="CUB56" s="1222"/>
      <c r="CUC56" s="1222"/>
      <c r="CUD56" s="1222"/>
      <c r="CUE56" s="1222"/>
      <c r="CUF56" s="1222"/>
      <c r="CUG56" s="1222"/>
      <c r="CUH56" s="1222"/>
      <c r="CUI56" s="1222"/>
      <c r="CUJ56" s="1222"/>
      <c r="CUK56" s="1222"/>
      <c r="CUL56" s="1222"/>
      <c r="CUM56" s="1222"/>
      <c r="CUN56" s="1222"/>
      <c r="CUO56" s="1222"/>
      <c r="CUP56" s="1222"/>
      <c r="CUQ56" s="1222"/>
      <c r="CUR56" s="1222"/>
      <c r="CUS56" s="1222"/>
      <c r="CUT56" s="1222"/>
      <c r="CUU56" s="1222"/>
      <c r="CUV56" s="1222"/>
      <c r="CUW56" s="1222"/>
      <c r="CUX56" s="1222"/>
      <c r="CUY56" s="1222"/>
      <c r="CUZ56" s="1222"/>
      <c r="CVA56" s="1222"/>
      <c r="CVB56" s="1222"/>
      <c r="CVC56" s="1222"/>
      <c r="CVD56" s="1222"/>
      <c r="CVE56" s="1222"/>
      <c r="CVF56" s="1222"/>
      <c r="CVG56" s="1222"/>
      <c r="CVH56" s="1222"/>
      <c r="CVI56" s="1222"/>
      <c r="CVJ56" s="1222"/>
      <c r="CVK56" s="1222"/>
      <c r="CVL56" s="1222"/>
      <c r="CVM56" s="1222"/>
      <c r="CVN56" s="1222"/>
      <c r="CVO56" s="1222"/>
      <c r="CVP56" s="1222"/>
      <c r="CVQ56" s="1222"/>
      <c r="CVR56" s="1222"/>
      <c r="CVS56" s="1222"/>
      <c r="CVT56" s="1222"/>
      <c r="CVU56" s="1222"/>
      <c r="CVV56" s="1222"/>
      <c r="CVW56" s="1222"/>
      <c r="CVX56" s="1222"/>
      <c r="CVY56" s="1222"/>
      <c r="CVZ56" s="1222"/>
      <c r="CWA56" s="1222"/>
      <c r="CWB56" s="1222"/>
      <c r="CWC56" s="1222"/>
      <c r="CWD56" s="1222"/>
      <c r="CWE56" s="1222"/>
      <c r="CWF56" s="1222"/>
      <c r="CWG56" s="1222"/>
      <c r="CWH56" s="1222"/>
      <c r="CWI56" s="1222"/>
      <c r="CWJ56" s="1222"/>
      <c r="CWK56" s="1222"/>
      <c r="CWL56" s="1222"/>
      <c r="CWM56" s="1222"/>
      <c r="CWN56" s="1222"/>
      <c r="CWO56" s="1222"/>
      <c r="CWP56" s="1222"/>
      <c r="CWQ56" s="1222"/>
      <c r="CWR56" s="1222"/>
      <c r="CWS56" s="1222"/>
      <c r="CWT56" s="1222"/>
      <c r="CWU56" s="1222"/>
      <c r="CWV56" s="1222"/>
      <c r="CWW56" s="1222"/>
      <c r="CWX56" s="1222"/>
      <c r="CWY56" s="1222"/>
      <c r="CWZ56" s="1222"/>
      <c r="CXA56" s="1222"/>
      <c r="CXB56" s="1222"/>
      <c r="CXC56" s="1222"/>
      <c r="CXD56" s="1222"/>
      <c r="CXE56" s="1222"/>
      <c r="CXF56" s="1222"/>
      <c r="CXG56" s="1222"/>
      <c r="CXH56" s="1222"/>
      <c r="CXI56" s="1222"/>
      <c r="CXJ56" s="1222"/>
      <c r="CXK56" s="1222"/>
      <c r="CXL56" s="1222"/>
      <c r="CXM56" s="1222"/>
      <c r="CXN56" s="1222"/>
      <c r="CXO56" s="1222"/>
      <c r="CXP56" s="1222"/>
      <c r="CXQ56" s="1222"/>
      <c r="CXR56" s="1222"/>
      <c r="CXS56" s="1222"/>
      <c r="CXT56" s="1222"/>
      <c r="CXU56" s="1222"/>
      <c r="CXV56" s="1222"/>
      <c r="CXW56" s="1222"/>
      <c r="CXX56" s="1222"/>
      <c r="CXY56" s="1222"/>
      <c r="CXZ56" s="1222"/>
      <c r="CYA56" s="1222"/>
      <c r="CYB56" s="1222"/>
      <c r="CYC56" s="1222"/>
      <c r="CYD56" s="1222"/>
      <c r="CYE56" s="1222"/>
      <c r="CYF56" s="1222"/>
      <c r="CYG56" s="1222"/>
      <c r="CYH56" s="1222"/>
      <c r="CYI56" s="1222"/>
      <c r="CYJ56" s="1222"/>
      <c r="CYK56" s="1222"/>
      <c r="CYL56" s="1222"/>
      <c r="CYM56" s="1222"/>
      <c r="CYN56" s="1222"/>
      <c r="CYO56" s="1222"/>
      <c r="CYP56" s="1222"/>
      <c r="CYQ56" s="1222"/>
      <c r="CYR56" s="1222"/>
      <c r="CYS56" s="1222"/>
      <c r="CYT56" s="1222"/>
      <c r="CYU56" s="1222"/>
      <c r="CYV56" s="1222"/>
      <c r="CYW56" s="1222"/>
      <c r="CYX56" s="1222"/>
      <c r="CYY56" s="1222"/>
      <c r="CYZ56" s="1222"/>
      <c r="CZA56" s="1222"/>
      <c r="CZB56" s="1222"/>
      <c r="CZC56" s="1222"/>
      <c r="CZD56" s="1222"/>
      <c r="CZE56" s="1222"/>
      <c r="CZF56" s="1222"/>
      <c r="CZG56" s="1222"/>
      <c r="CZH56" s="1222"/>
      <c r="CZI56" s="1222"/>
      <c r="CZJ56" s="1222"/>
      <c r="CZK56" s="1222"/>
      <c r="CZL56" s="1222"/>
      <c r="CZM56" s="1222"/>
      <c r="CZN56" s="1222"/>
      <c r="CZO56" s="1222"/>
      <c r="CZP56" s="1222"/>
      <c r="CZQ56" s="1222"/>
      <c r="CZR56" s="1222"/>
      <c r="CZS56" s="1222"/>
      <c r="CZT56" s="1222"/>
      <c r="CZU56" s="1222"/>
      <c r="CZV56" s="1222"/>
      <c r="CZW56" s="1222"/>
      <c r="CZX56" s="1222"/>
      <c r="CZY56" s="1222"/>
      <c r="CZZ56" s="1222"/>
      <c r="DAA56" s="1222"/>
      <c r="DAB56" s="1222"/>
      <c r="DAC56" s="1222"/>
      <c r="DAD56" s="1222"/>
      <c r="DAE56" s="1222"/>
      <c r="DAF56" s="1222"/>
      <c r="DAG56" s="1222"/>
      <c r="DAH56" s="1222"/>
      <c r="DAI56" s="1222"/>
      <c r="DAJ56" s="1222"/>
      <c r="DAK56" s="1222"/>
      <c r="DAL56" s="1222"/>
      <c r="DAM56" s="1222"/>
      <c r="DAN56" s="1222"/>
      <c r="DAO56" s="1222"/>
      <c r="DAP56" s="1222"/>
      <c r="DAQ56" s="1222"/>
      <c r="DAR56" s="1222"/>
      <c r="DAS56" s="1222"/>
      <c r="DAT56" s="1222"/>
      <c r="DAU56" s="1222"/>
      <c r="DAV56" s="1222"/>
      <c r="DAW56" s="1222"/>
      <c r="DAX56" s="1222"/>
      <c r="DAY56" s="1222"/>
      <c r="DAZ56" s="1222"/>
      <c r="DBA56" s="1222"/>
      <c r="DBB56" s="1222"/>
      <c r="DBC56" s="1222"/>
      <c r="DBD56" s="1222"/>
      <c r="DBE56" s="1222"/>
      <c r="DBF56" s="1222"/>
      <c r="DBG56" s="1222"/>
      <c r="DBH56" s="1222"/>
      <c r="DBI56" s="1222"/>
      <c r="DBJ56" s="1222"/>
      <c r="DBK56" s="1222"/>
      <c r="DBL56" s="1222"/>
      <c r="DBM56" s="1222"/>
      <c r="DBN56" s="1222"/>
      <c r="DBO56" s="1222"/>
      <c r="DBP56" s="1222"/>
      <c r="DBQ56" s="1222"/>
      <c r="DBR56" s="1222"/>
      <c r="DBS56" s="1222"/>
      <c r="DBT56" s="1222"/>
      <c r="DBU56" s="1222"/>
      <c r="DBV56" s="1222"/>
      <c r="DBW56" s="1222"/>
      <c r="DBX56" s="1222"/>
      <c r="DBY56" s="1222"/>
      <c r="DBZ56" s="1222"/>
      <c r="DCA56" s="1222"/>
      <c r="DCB56" s="1222"/>
      <c r="DCC56" s="1222"/>
      <c r="DCD56" s="1222"/>
      <c r="DCE56" s="1222"/>
      <c r="DCF56" s="1222"/>
      <c r="DCG56" s="1222"/>
      <c r="DCH56" s="1222"/>
      <c r="DCI56" s="1222"/>
      <c r="DCJ56" s="1222"/>
      <c r="DCK56" s="1222"/>
      <c r="DCL56" s="1222"/>
      <c r="DCM56" s="1222"/>
      <c r="DCN56" s="1222"/>
      <c r="DCO56" s="1222"/>
      <c r="DCP56" s="1222"/>
      <c r="DCQ56" s="1222"/>
      <c r="DCR56" s="1222"/>
      <c r="DCS56" s="1222"/>
      <c r="DCT56" s="1222"/>
      <c r="DCU56" s="1222"/>
      <c r="DCV56" s="1222"/>
      <c r="DCW56" s="1222"/>
      <c r="DCX56" s="1222"/>
      <c r="DCY56" s="1222"/>
      <c r="DCZ56" s="1222"/>
      <c r="DDA56" s="1222"/>
      <c r="DDB56" s="1222"/>
      <c r="DDC56" s="1222"/>
      <c r="DDD56" s="1222"/>
      <c r="DDE56" s="1222"/>
      <c r="DDF56" s="1222"/>
      <c r="DDG56" s="1222"/>
      <c r="DDH56" s="1222"/>
      <c r="DDI56" s="1222"/>
      <c r="DDJ56" s="1222"/>
      <c r="DDK56" s="1222"/>
      <c r="DDL56" s="1222"/>
      <c r="DDM56" s="1222"/>
      <c r="DDN56" s="1222"/>
      <c r="DDO56" s="1222"/>
      <c r="DDP56" s="1222"/>
      <c r="DDQ56" s="1222"/>
      <c r="DDR56" s="1222"/>
      <c r="DDS56" s="1222"/>
      <c r="DDT56" s="1222"/>
      <c r="DDU56" s="1222"/>
      <c r="DDV56" s="1222"/>
      <c r="DDW56" s="1222"/>
      <c r="DDX56" s="1222"/>
      <c r="DDY56" s="1222"/>
      <c r="DDZ56" s="1222"/>
      <c r="DEA56" s="1222"/>
      <c r="DEB56" s="1222"/>
      <c r="DEC56" s="1222"/>
      <c r="DED56" s="1222"/>
      <c r="DEE56" s="1222"/>
      <c r="DEF56" s="1222"/>
      <c r="DEG56" s="1222"/>
      <c r="DEH56" s="1222"/>
      <c r="DEI56" s="1222"/>
      <c r="DEJ56" s="1222"/>
      <c r="DEK56" s="1222"/>
      <c r="DEL56" s="1222"/>
      <c r="DEM56" s="1222"/>
      <c r="DEN56" s="1222"/>
      <c r="DEO56" s="1222"/>
      <c r="DEP56" s="1222"/>
      <c r="DEQ56" s="1222"/>
      <c r="DER56" s="1222"/>
      <c r="DES56" s="1222"/>
      <c r="DET56" s="1222"/>
      <c r="DEU56" s="1222"/>
      <c r="DEV56" s="1222"/>
      <c r="DEW56" s="1222"/>
      <c r="DEX56" s="1222"/>
      <c r="DEY56" s="1222"/>
      <c r="DEZ56" s="1222"/>
      <c r="DFA56" s="1222"/>
      <c r="DFB56" s="1222"/>
      <c r="DFC56" s="1222"/>
      <c r="DFD56" s="1222"/>
      <c r="DFE56" s="1222"/>
      <c r="DFF56" s="1222"/>
      <c r="DFG56" s="1222"/>
      <c r="DFH56" s="1222"/>
      <c r="DFI56" s="1222"/>
      <c r="DFJ56" s="1222"/>
      <c r="DFK56" s="1222"/>
      <c r="DFL56" s="1222"/>
      <c r="DFM56" s="1222"/>
      <c r="DFN56" s="1222"/>
      <c r="DFO56" s="1222"/>
      <c r="DFP56" s="1222"/>
      <c r="DFQ56" s="1222"/>
      <c r="DFR56" s="1222"/>
      <c r="DFS56" s="1222"/>
      <c r="DFT56" s="1222"/>
      <c r="DFU56" s="1222"/>
      <c r="DFV56" s="1222"/>
      <c r="DFW56" s="1222"/>
      <c r="DFX56" s="1222"/>
      <c r="DFY56" s="1222"/>
      <c r="DFZ56" s="1222"/>
      <c r="DGA56" s="1222"/>
      <c r="DGB56" s="1222"/>
      <c r="DGC56" s="1222"/>
      <c r="DGD56" s="1222"/>
      <c r="DGE56" s="1222"/>
      <c r="DGF56" s="1222"/>
      <c r="DGG56" s="1222"/>
      <c r="DGH56" s="1222"/>
      <c r="DGI56" s="1222"/>
      <c r="DGJ56" s="1222"/>
      <c r="DGK56" s="1222"/>
      <c r="DGL56" s="1222"/>
      <c r="DGM56" s="1222"/>
      <c r="DGN56" s="1222"/>
      <c r="DGO56" s="1222"/>
      <c r="DGP56" s="1222"/>
      <c r="DGQ56" s="1222"/>
      <c r="DGR56" s="1222"/>
      <c r="DGS56" s="1222"/>
      <c r="DGT56" s="1222"/>
      <c r="DGU56" s="1222"/>
      <c r="DGV56" s="1222"/>
      <c r="DGW56" s="1222"/>
      <c r="DGX56" s="1222"/>
      <c r="DGY56" s="1222"/>
      <c r="DGZ56" s="1222"/>
      <c r="DHA56" s="1222"/>
      <c r="DHB56" s="1222"/>
      <c r="DHC56" s="1222"/>
      <c r="DHD56" s="1222"/>
      <c r="DHE56" s="1222"/>
      <c r="DHF56" s="1222"/>
      <c r="DHG56" s="1222"/>
      <c r="DHH56" s="1222"/>
      <c r="DHI56" s="1222"/>
      <c r="DHJ56" s="1222"/>
      <c r="DHK56" s="1222"/>
      <c r="DHL56" s="1222"/>
      <c r="DHM56" s="1222"/>
      <c r="DHN56" s="1222"/>
      <c r="DHO56" s="1222"/>
      <c r="DHP56" s="1222"/>
      <c r="DHQ56" s="1222"/>
      <c r="DHR56" s="1222"/>
      <c r="DHS56" s="1222"/>
      <c r="DHT56" s="1222"/>
      <c r="DHU56" s="1222"/>
      <c r="DHV56" s="1222"/>
      <c r="DHW56" s="1222"/>
      <c r="DHX56" s="1222"/>
      <c r="DHY56" s="1222"/>
      <c r="DHZ56" s="1222"/>
      <c r="DIA56" s="1222"/>
      <c r="DIB56" s="1222"/>
      <c r="DIC56" s="1222"/>
      <c r="DID56" s="1222"/>
      <c r="DIE56" s="1222"/>
      <c r="DIF56" s="1222"/>
      <c r="DIG56" s="1222"/>
      <c r="DIH56" s="1222"/>
      <c r="DII56" s="1222"/>
      <c r="DIJ56" s="1222"/>
      <c r="DIK56" s="1222"/>
      <c r="DIL56" s="1222"/>
      <c r="DIM56" s="1222"/>
      <c r="DIN56" s="1222"/>
      <c r="DIO56" s="1222"/>
      <c r="DIP56" s="1222"/>
      <c r="DIQ56" s="1222"/>
      <c r="DIR56" s="1222"/>
      <c r="DIS56" s="1222"/>
      <c r="DIT56" s="1222"/>
      <c r="DIU56" s="1222"/>
      <c r="DIV56" s="1222"/>
      <c r="DIW56" s="1222"/>
      <c r="DIX56" s="1222"/>
      <c r="DIY56" s="1222"/>
      <c r="DIZ56" s="1222"/>
      <c r="DJA56" s="1222"/>
      <c r="DJB56" s="1222"/>
      <c r="DJC56" s="1222"/>
      <c r="DJD56" s="1222"/>
      <c r="DJE56" s="1222"/>
      <c r="DJF56" s="1222"/>
      <c r="DJG56" s="1222"/>
      <c r="DJH56" s="1222"/>
      <c r="DJI56" s="1222"/>
      <c r="DJJ56" s="1222"/>
      <c r="DJK56" s="1222"/>
      <c r="DJL56" s="1222"/>
      <c r="DJM56" s="1222"/>
      <c r="DJN56" s="1222"/>
      <c r="DJO56" s="1222"/>
      <c r="DJP56" s="1222"/>
      <c r="DJQ56" s="1222"/>
      <c r="DJR56" s="1222"/>
      <c r="DJS56" s="1222"/>
      <c r="DJT56" s="1222"/>
      <c r="DJU56" s="1222"/>
      <c r="DJV56" s="1222"/>
      <c r="DJW56" s="1222"/>
      <c r="DJX56" s="1222"/>
      <c r="DJY56" s="1222"/>
      <c r="DJZ56" s="1222"/>
      <c r="DKA56" s="1222"/>
      <c r="DKB56" s="1222"/>
      <c r="DKC56" s="1222"/>
      <c r="DKD56" s="1222"/>
      <c r="DKE56" s="1222"/>
      <c r="DKF56" s="1222"/>
      <c r="DKG56" s="1222"/>
      <c r="DKH56" s="1222"/>
      <c r="DKI56" s="1222"/>
      <c r="DKJ56" s="1222"/>
      <c r="DKK56" s="1222"/>
      <c r="DKL56" s="1222"/>
      <c r="DKM56" s="1222"/>
      <c r="DKN56" s="1222"/>
      <c r="DKO56" s="1222"/>
      <c r="DKP56" s="1222"/>
      <c r="DKQ56" s="1222"/>
      <c r="DKR56" s="1222"/>
      <c r="DKS56" s="1222"/>
      <c r="DKT56" s="1222"/>
      <c r="DKU56" s="1222"/>
      <c r="DKV56" s="1222"/>
      <c r="DKW56" s="1222"/>
      <c r="DKX56" s="1222"/>
      <c r="DKY56" s="1222"/>
      <c r="DKZ56" s="1222"/>
      <c r="DLA56" s="1222"/>
      <c r="DLB56" s="1222"/>
      <c r="DLC56" s="1222"/>
      <c r="DLD56" s="1222"/>
      <c r="DLE56" s="1222"/>
      <c r="DLF56" s="1222"/>
      <c r="DLG56" s="1222"/>
      <c r="DLH56" s="1222"/>
      <c r="DLI56" s="1222"/>
      <c r="DLJ56" s="1222"/>
      <c r="DLK56" s="1222"/>
      <c r="DLL56" s="1222"/>
      <c r="DLM56" s="1222"/>
      <c r="DLN56" s="1222"/>
      <c r="DLO56" s="1222"/>
      <c r="DLP56" s="1222"/>
      <c r="DLQ56" s="1222"/>
      <c r="DLR56" s="1222"/>
      <c r="DLS56" s="1222"/>
      <c r="DLT56" s="1222"/>
      <c r="DLU56" s="1222"/>
      <c r="DLV56" s="1222"/>
      <c r="DLW56" s="1222"/>
      <c r="DLX56" s="1222"/>
      <c r="DLY56" s="1222"/>
      <c r="DLZ56" s="1222"/>
      <c r="DMA56" s="1222"/>
      <c r="DMB56" s="1222"/>
      <c r="DMC56" s="1222"/>
      <c r="DMD56" s="1222"/>
      <c r="DME56" s="1222"/>
      <c r="DMF56" s="1222"/>
      <c r="DMG56" s="1222"/>
      <c r="DMH56" s="1222"/>
      <c r="DMI56" s="1222"/>
      <c r="DMJ56" s="1222"/>
      <c r="DMK56" s="1222"/>
      <c r="DML56" s="1222"/>
      <c r="DMM56" s="1222"/>
      <c r="DMN56" s="1222"/>
      <c r="DMO56" s="1222"/>
      <c r="DMP56" s="1222"/>
      <c r="DMQ56" s="1222"/>
      <c r="DMR56" s="1222"/>
      <c r="DMS56" s="1222"/>
      <c r="DMT56" s="1222"/>
      <c r="DMU56" s="1222"/>
      <c r="DMV56" s="1222"/>
      <c r="DMW56" s="1222"/>
      <c r="DMX56" s="1222"/>
      <c r="DMY56" s="1222"/>
      <c r="DMZ56" s="1222"/>
      <c r="DNA56" s="1222"/>
      <c r="DNB56" s="1222"/>
      <c r="DNC56" s="1222"/>
      <c r="DND56" s="1222"/>
      <c r="DNE56" s="1222"/>
      <c r="DNF56" s="1222"/>
      <c r="DNG56" s="1222"/>
      <c r="DNH56" s="1222"/>
      <c r="DNI56" s="1222"/>
      <c r="DNJ56" s="1222"/>
      <c r="DNK56" s="1222"/>
      <c r="DNL56" s="1222"/>
      <c r="DNM56" s="1222"/>
      <c r="DNN56" s="1222"/>
      <c r="DNO56" s="1222"/>
      <c r="DNP56" s="1222"/>
      <c r="DNQ56" s="1222"/>
      <c r="DNR56" s="1222"/>
      <c r="DNS56" s="1222"/>
      <c r="DNT56" s="1222"/>
      <c r="DNU56" s="1222"/>
      <c r="DNV56" s="1222"/>
      <c r="DNW56" s="1222"/>
      <c r="DNX56" s="1222"/>
      <c r="DNY56" s="1222"/>
      <c r="DNZ56" s="1222"/>
      <c r="DOA56" s="1222"/>
      <c r="DOB56" s="1222"/>
      <c r="DOC56" s="1222"/>
      <c r="DOD56" s="1222"/>
      <c r="DOE56" s="1222"/>
      <c r="DOF56" s="1222"/>
      <c r="DOG56" s="1222"/>
      <c r="DOH56" s="1222"/>
      <c r="DOI56" s="1222"/>
      <c r="DOJ56" s="1222"/>
      <c r="DOK56" s="1222"/>
      <c r="DOL56" s="1222"/>
      <c r="DOM56" s="1222"/>
      <c r="DON56" s="1222"/>
      <c r="DOO56" s="1222"/>
      <c r="DOP56" s="1222"/>
      <c r="DOQ56" s="1222"/>
      <c r="DOR56" s="1222"/>
      <c r="DOS56" s="1222"/>
      <c r="DOT56" s="1222"/>
      <c r="DOU56" s="1222"/>
      <c r="DOV56" s="1222"/>
      <c r="DOW56" s="1222"/>
      <c r="DOX56" s="1222"/>
      <c r="DOY56" s="1222"/>
      <c r="DOZ56" s="1222"/>
      <c r="DPA56" s="1222"/>
      <c r="DPB56" s="1222"/>
      <c r="DPC56" s="1222"/>
      <c r="DPD56" s="1222"/>
      <c r="DPE56" s="1222"/>
      <c r="DPF56" s="1222"/>
      <c r="DPG56" s="1222"/>
      <c r="DPH56" s="1222"/>
      <c r="DPI56" s="1222"/>
      <c r="DPJ56" s="1222"/>
      <c r="DPK56" s="1222"/>
      <c r="DPL56" s="1222"/>
      <c r="DPM56" s="1222"/>
      <c r="DPN56" s="1222"/>
      <c r="DPO56" s="1222"/>
      <c r="DPP56" s="1222"/>
      <c r="DPQ56" s="1222"/>
      <c r="DPR56" s="1222"/>
      <c r="DPS56" s="1222"/>
      <c r="DPT56" s="1222"/>
      <c r="DPU56" s="1222"/>
      <c r="DPV56" s="1222"/>
      <c r="DPW56" s="1222"/>
      <c r="DPX56" s="1222"/>
      <c r="DPY56" s="1222"/>
      <c r="DPZ56" s="1222"/>
      <c r="DQA56" s="1222"/>
      <c r="DQB56" s="1222"/>
      <c r="DQC56" s="1222"/>
      <c r="DQD56" s="1222"/>
      <c r="DQE56" s="1222"/>
      <c r="DQF56" s="1222"/>
      <c r="DQG56" s="1222"/>
      <c r="DQH56" s="1222"/>
      <c r="DQI56" s="1222"/>
      <c r="DQJ56" s="1222"/>
      <c r="DQK56" s="1222"/>
      <c r="DQL56" s="1222"/>
      <c r="DQM56" s="1222"/>
      <c r="DQN56" s="1222"/>
      <c r="DQO56" s="1222"/>
      <c r="DQP56" s="1222"/>
      <c r="DQQ56" s="1222"/>
      <c r="DQR56" s="1222"/>
      <c r="DQS56" s="1222"/>
      <c r="DQT56" s="1222"/>
      <c r="DQU56" s="1222"/>
      <c r="DQV56" s="1222"/>
      <c r="DQW56" s="1222"/>
      <c r="DQX56" s="1222"/>
      <c r="DQY56" s="1222"/>
      <c r="DQZ56" s="1222"/>
      <c r="DRA56" s="1222"/>
      <c r="DRB56" s="1222"/>
      <c r="DRC56" s="1222"/>
      <c r="DRD56" s="1222"/>
      <c r="DRE56" s="1222"/>
      <c r="DRF56" s="1222"/>
      <c r="DRG56" s="1222"/>
      <c r="DRH56" s="1222"/>
      <c r="DRI56" s="1222"/>
      <c r="DRJ56" s="1222"/>
      <c r="DRK56" s="1222"/>
      <c r="DRL56" s="1222"/>
      <c r="DRM56" s="1222"/>
      <c r="DRN56" s="1222"/>
      <c r="DRO56" s="1222"/>
      <c r="DRP56" s="1222"/>
      <c r="DRQ56" s="1222"/>
      <c r="DRR56" s="1222"/>
      <c r="DRS56" s="1222"/>
      <c r="DRT56" s="1222"/>
      <c r="DRU56" s="1222"/>
      <c r="DRV56" s="1222"/>
      <c r="DRW56" s="1222"/>
      <c r="DRX56" s="1222"/>
      <c r="DRY56" s="1222"/>
      <c r="DRZ56" s="1222"/>
      <c r="DSA56" s="1222"/>
      <c r="DSB56" s="1222"/>
      <c r="DSC56" s="1222"/>
      <c r="DSD56" s="1222"/>
      <c r="DSE56" s="1222"/>
      <c r="DSF56" s="1222"/>
      <c r="DSG56" s="1222"/>
      <c r="DSH56" s="1222"/>
      <c r="DSI56" s="1222"/>
      <c r="DSJ56" s="1222"/>
      <c r="DSK56" s="1222"/>
      <c r="DSL56" s="1222"/>
      <c r="DSM56" s="1222"/>
      <c r="DSN56" s="1222"/>
      <c r="DSO56" s="1222"/>
      <c r="DSP56" s="1222"/>
      <c r="DSQ56" s="1222"/>
      <c r="DSR56" s="1222"/>
      <c r="DSS56" s="1222"/>
      <c r="DST56" s="1222"/>
      <c r="DSU56" s="1222"/>
      <c r="DSV56" s="1222"/>
      <c r="DSW56" s="1222"/>
      <c r="DSX56" s="1222"/>
      <c r="DSY56" s="1222"/>
      <c r="DSZ56" s="1222"/>
      <c r="DTA56" s="1222"/>
      <c r="DTB56" s="1222"/>
      <c r="DTC56" s="1222"/>
      <c r="DTD56" s="1222"/>
      <c r="DTE56" s="1222"/>
      <c r="DTF56" s="1222"/>
      <c r="DTG56" s="1222"/>
      <c r="DTH56" s="1222"/>
      <c r="DTI56" s="1222"/>
      <c r="DTJ56" s="1222"/>
      <c r="DTK56" s="1222"/>
      <c r="DTL56" s="1222"/>
      <c r="DTM56" s="1222"/>
      <c r="DTN56" s="1222"/>
      <c r="DTO56" s="1222"/>
      <c r="DTP56" s="1222"/>
      <c r="DTQ56" s="1222"/>
      <c r="DTR56" s="1222"/>
      <c r="DTS56" s="1222"/>
      <c r="DTT56" s="1222"/>
      <c r="DTU56" s="1222"/>
      <c r="DTV56" s="1222"/>
      <c r="DTW56" s="1222"/>
      <c r="DTX56" s="1222"/>
      <c r="DTY56" s="1222"/>
      <c r="DTZ56" s="1222"/>
      <c r="DUA56" s="1222"/>
      <c r="DUB56" s="1222"/>
      <c r="DUC56" s="1222"/>
      <c r="DUD56" s="1222"/>
      <c r="DUE56" s="1222"/>
      <c r="DUF56" s="1222"/>
      <c r="DUG56" s="1222"/>
      <c r="DUH56" s="1222"/>
      <c r="DUI56" s="1222"/>
      <c r="DUJ56" s="1222"/>
      <c r="DUK56" s="1222"/>
      <c r="DUL56" s="1222"/>
      <c r="DUM56" s="1222"/>
      <c r="DUN56" s="1222"/>
      <c r="DUO56" s="1222"/>
      <c r="DUP56" s="1222"/>
      <c r="DUQ56" s="1222"/>
      <c r="DUR56" s="1222"/>
      <c r="DUS56" s="1222"/>
      <c r="DUT56" s="1222"/>
      <c r="DUU56" s="1222"/>
      <c r="DUV56" s="1222"/>
      <c r="DUW56" s="1222"/>
      <c r="DUX56" s="1222"/>
      <c r="DUY56" s="1222"/>
      <c r="DUZ56" s="1222"/>
      <c r="DVA56" s="1222"/>
      <c r="DVB56" s="1222"/>
      <c r="DVC56" s="1222"/>
      <c r="DVD56" s="1222"/>
      <c r="DVE56" s="1222"/>
      <c r="DVF56" s="1222"/>
      <c r="DVG56" s="1222"/>
      <c r="DVH56" s="1222"/>
      <c r="DVI56" s="1222"/>
      <c r="DVJ56" s="1222"/>
      <c r="DVK56" s="1222"/>
      <c r="DVL56" s="1222"/>
      <c r="DVM56" s="1222"/>
      <c r="DVN56" s="1222"/>
      <c r="DVO56" s="1222"/>
      <c r="DVP56" s="1222"/>
      <c r="DVQ56" s="1222"/>
      <c r="DVR56" s="1222"/>
      <c r="DVS56" s="1222"/>
      <c r="DVT56" s="1222"/>
      <c r="DVU56" s="1222"/>
      <c r="DVV56" s="1222"/>
      <c r="DVW56" s="1222"/>
      <c r="DVX56" s="1222"/>
      <c r="DVY56" s="1222"/>
      <c r="DVZ56" s="1222"/>
      <c r="DWA56" s="1222"/>
      <c r="DWB56" s="1222"/>
      <c r="DWC56" s="1222"/>
      <c r="DWD56" s="1222"/>
      <c r="DWE56" s="1222"/>
      <c r="DWF56" s="1222"/>
      <c r="DWG56" s="1222"/>
      <c r="DWH56" s="1222"/>
      <c r="DWI56" s="1222"/>
      <c r="DWJ56" s="1222"/>
      <c r="DWK56" s="1222"/>
      <c r="DWL56" s="1222"/>
      <c r="DWM56" s="1222"/>
      <c r="DWN56" s="1222"/>
      <c r="DWO56" s="1222"/>
      <c r="DWP56" s="1222"/>
      <c r="DWQ56" s="1222"/>
      <c r="DWR56" s="1222"/>
      <c r="DWS56" s="1222"/>
      <c r="DWT56" s="1222"/>
      <c r="DWU56" s="1222"/>
      <c r="DWV56" s="1222"/>
      <c r="DWW56" s="1222"/>
      <c r="DWX56" s="1222"/>
      <c r="DWY56" s="1222"/>
      <c r="DWZ56" s="1222"/>
      <c r="DXA56" s="1222"/>
      <c r="DXB56" s="1222"/>
      <c r="DXC56" s="1222"/>
      <c r="DXD56" s="1222"/>
      <c r="DXE56" s="1222"/>
      <c r="DXF56" s="1222"/>
      <c r="DXG56" s="1222"/>
      <c r="DXH56" s="1222"/>
      <c r="DXI56" s="1222"/>
      <c r="DXJ56" s="1222"/>
      <c r="DXK56" s="1222"/>
      <c r="DXL56" s="1222"/>
      <c r="DXM56" s="1222"/>
      <c r="DXN56" s="1222"/>
      <c r="DXO56" s="1222"/>
      <c r="DXP56" s="1222"/>
      <c r="DXQ56" s="1222"/>
      <c r="DXR56" s="1222"/>
      <c r="DXS56" s="1222"/>
      <c r="DXT56" s="1222"/>
      <c r="DXU56" s="1222"/>
      <c r="DXV56" s="1222"/>
      <c r="DXW56" s="1222"/>
      <c r="DXX56" s="1222"/>
      <c r="DXY56" s="1222"/>
      <c r="DXZ56" s="1222"/>
      <c r="DYA56" s="1222"/>
      <c r="DYB56" s="1222"/>
      <c r="DYC56" s="1222"/>
      <c r="DYD56" s="1222"/>
      <c r="DYE56" s="1222"/>
      <c r="DYF56" s="1222"/>
      <c r="DYG56" s="1222"/>
      <c r="DYH56" s="1222"/>
      <c r="DYI56" s="1222"/>
      <c r="DYJ56" s="1222"/>
      <c r="DYK56" s="1222"/>
      <c r="DYL56" s="1222"/>
      <c r="DYM56" s="1222"/>
      <c r="DYN56" s="1222"/>
      <c r="DYO56" s="1222"/>
      <c r="DYP56" s="1222"/>
      <c r="DYQ56" s="1222"/>
      <c r="DYR56" s="1222"/>
      <c r="DYS56" s="1222"/>
      <c r="DYT56" s="1222"/>
      <c r="DYU56" s="1222"/>
      <c r="DYV56" s="1222"/>
      <c r="DYW56" s="1222"/>
      <c r="DYX56" s="1222"/>
      <c r="DYY56" s="1222"/>
      <c r="DYZ56" s="1222"/>
      <c r="DZA56" s="1222"/>
      <c r="DZB56" s="1222"/>
      <c r="DZC56" s="1222"/>
      <c r="DZD56" s="1222"/>
      <c r="DZE56" s="1222"/>
      <c r="DZF56" s="1222"/>
      <c r="DZG56" s="1222"/>
      <c r="DZH56" s="1222"/>
      <c r="DZI56" s="1222"/>
      <c r="DZJ56" s="1222"/>
      <c r="DZK56" s="1222"/>
      <c r="DZL56" s="1222"/>
      <c r="DZM56" s="1222"/>
      <c r="DZN56" s="1222"/>
      <c r="DZO56" s="1222"/>
      <c r="DZP56" s="1222"/>
      <c r="DZQ56" s="1222"/>
      <c r="DZR56" s="1222"/>
      <c r="DZS56" s="1222"/>
      <c r="DZT56" s="1222"/>
      <c r="DZU56" s="1222"/>
      <c r="DZV56" s="1222"/>
      <c r="DZW56" s="1222"/>
      <c r="DZX56" s="1222"/>
      <c r="DZY56" s="1222"/>
      <c r="DZZ56" s="1222"/>
      <c r="EAA56" s="1222"/>
      <c r="EAB56" s="1222"/>
      <c r="EAC56" s="1222"/>
      <c r="EAD56" s="1222"/>
      <c r="EAE56" s="1222"/>
      <c r="EAF56" s="1222"/>
      <c r="EAG56" s="1222"/>
      <c r="EAH56" s="1222"/>
      <c r="EAI56" s="1222"/>
      <c r="EAJ56" s="1222"/>
      <c r="EAK56" s="1222"/>
      <c r="EAL56" s="1222"/>
      <c r="EAM56" s="1222"/>
      <c r="EAN56" s="1222"/>
      <c r="EAO56" s="1222"/>
      <c r="EAP56" s="1222"/>
      <c r="EAQ56" s="1222"/>
      <c r="EAR56" s="1222"/>
      <c r="EAS56" s="1222"/>
      <c r="EAT56" s="1222"/>
      <c r="EAU56" s="1222"/>
      <c r="EAV56" s="1222"/>
      <c r="EAW56" s="1222"/>
      <c r="EAX56" s="1222"/>
      <c r="EAY56" s="1222"/>
      <c r="EAZ56" s="1222"/>
      <c r="EBA56" s="1222"/>
      <c r="EBB56" s="1222"/>
      <c r="EBC56" s="1222"/>
      <c r="EBD56" s="1222"/>
      <c r="EBE56" s="1222"/>
      <c r="EBF56" s="1222"/>
      <c r="EBG56" s="1222"/>
      <c r="EBH56" s="1222"/>
      <c r="EBI56" s="1222"/>
      <c r="EBJ56" s="1222"/>
      <c r="EBK56" s="1222"/>
      <c r="EBL56" s="1222"/>
      <c r="EBM56" s="1222"/>
      <c r="EBN56" s="1222"/>
      <c r="EBO56" s="1222"/>
      <c r="EBP56" s="1222"/>
      <c r="EBQ56" s="1222"/>
      <c r="EBR56" s="1222"/>
      <c r="EBS56" s="1222"/>
      <c r="EBT56" s="1222"/>
      <c r="EBU56" s="1222"/>
      <c r="EBV56" s="1222"/>
      <c r="EBW56" s="1222"/>
      <c r="EBX56" s="1222"/>
      <c r="EBY56" s="1222"/>
      <c r="EBZ56" s="1222"/>
      <c r="ECA56" s="1222"/>
      <c r="ECB56" s="1222"/>
      <c r="ECC56" s="1222"/>
      <c r="ECD56" s="1222"/>
      <c r="ECE56" s="1222"/>
      <c r="ECF56" s="1222"/>
      <c r="ECG56" s="1222"/>
      <c r="ECH56" s="1222"/>
      <c r="ECI56" s="1222"/>
      <c r="ECJ56" s="1222"/>
      <c r="ECK56" s="1222"/>
      <c r="ECL56" s="1222"/>
      <c r="ECM56" s="1222"/>
      <c r="ECN56" s="1222"/>
      <c r="ECO56" s="1222"/>
    </row>
    <row r="57" spans="2:3473">
      <c r="B57" s="1291"/>
      <c r="C57" s="2363" t="s">
        <v>3158</v>
      </c>
      <c r="D57" s="1292" t="s">
        <v>3159</v>
      </c>
      <c r="E57" s="1293">
        <f>E49-E9</f>
        <v>926.89686165830256</v>
      </c>
      <c r="F57" s="1293">
        <f t="shared" ref="F57:BJ57" si="98">F49-F9</f>
        <v>846.94635088614302</v>
      </c>
      <c r="G57" s="1293">
        <f t="shared" si="98"/>
        <v>79.950510772159561</v>
      </c>
      <c r="H57" s="1293">
        <f t="shared" ca="1" si="98"/>
        <v>6425.0592491217703</v>
      </c>
      <c r="I57" s="1293">
        <f t="shared" ca="1" si="98"/>
        <v>5932.3948125330226</v>
      </c>
      <c r="J57" s="1293">
        <f t="shared" ca="1" si="98"/>
        <v>492.6644365887459</v>
      </c>
      <c r="K57" s="1293">
        <f t="shared" si="98"/>
        <v>892.71860446826906</v>
      </c>
      <c r="L57" s="1293">
        <f t="shared" si="98"/>
        <v>815.30223751540791</v>
      </c>
      <c r="M57" s="1293">
        <f t="shared" si="98"/>
        <v>77.416366952861154</v>
      </c>
      <c r="N57" s="1293" t="e">
        <f t="shared" si="98"/>
        <v>#VALUE!</v>
      </c>
      <c r="O57" s="1293" t="e">
        <f t="shared" si="98"/>
        <v>#VALUE!</v>
      </c>
      <c r="P57" s="1293" t="e">
        <f t="shared" si="98"/>
        <v>#VALUE!</v>
      </c>
      <c r="Q57" s="1293">
        <f t="shared" ca="1" si="98"/>
        <v>6699.0168491965678</v>
      </c>
      <c r="R57" s="1293">
        <f t="shared" ca="1" si="98"/>
        <v>6183.0330676516605</v>
      </c>
      <c r="S57" s="1293">
        <f t="shared" ca="1" si="98"/>
        <v>515.98378154490683</v>
      </c>
      <c r="T57" s="1293">
        <f t="shared" ca="1" si="98"/>
        <v>7429.2792765247195</v>
      </c>
      <c r="U57" s="1293">
        <f t="shared" ca="1" si="98"/>
        <v>6877.7565177965262</v>
      </c>
      <c r="V57" s="1293">
        <f t="shared" ca="1" si="98"/>
        <v>551.52275872819462</v>
      </c>
      <c r="W57" s="1293" t="e">
        <f t="shared" si="98"/>
        <v>#VALUE!</v>
      </c>
      <c r="X57" s="1293" t="e">
        <f t="shared" si="98"/>
        <v>#VALUE!</v>
      </c>
      <c r="Y57" s="1293" t="e">
        <f t="shared" si="98"/>
        <v>#VALUE!</v>
      </c>
      <c r="Z57" s="1293">
        <f t="shared" ca="1" si="98"/>
        <v>5188.7404204265185</v>
      </c>
      <c r="AA57" s="1293">
        <f t="shared" ca="1" si="98"/>
        <v>4787.8175392859193</v>
      </c>
      <c r="AB57" s="1293">
        <f t="shared" ca="1" si="98"/>
        <v>400.92288114060079</v>
      </c>
      <c r="AC57" s="1293">
        <f t="shared" ca="1" si="98"/>
        <v>6893.5434720315716</v>
      </c>
      <c r="AD57" s="1293">
        <f t="shared" ca="1" si="98"/>
        <v>6360.8941031799895</v>
      </c>
      <c r="AE57" s="1293">
        <f t="shared" ca="1" si="98"/>
        <v>532.64936885158204</v>
      </c>
      <c r="AF57" s="1293">
        <f t="shared" si="98"/>
        <v>2277</v>
      </c>
      <c r="AG57" s="1293">
        <f t="shared" si="98"/>
        <v>2080.5948544452849</v>
      </c>
      <c r="AH57" s="1293">
        <f t="shared" si="98"/>
        <v>196.40514555471484</v>
      </c>
      <c r="AI57" s="1293">
        <f t="shared" ca="1" si="98"/>
        <v>27739.518676862081</v>
      </c>
      <c r="AJ57" s="1293">
        <f t="shared" ca="1" si="98"/>
        <v>25612.49170165601</v>
      </c>
      <c r="AK57" s="1293">
        <f t="shared" ca="1" si="98"/>
        <v>2127.0269752060685</v>
      </c>
      <c r="AL57" s="1293">
        <f t="shared" si="98"/>
        <v>839.99999999999989</v>
      </c>
      <c r="AM57" s="1293">
        <f t="shared" si="98"/>
        <v>767.15537918117298</v>
      </c>
      <c r="AN57" s="1293">
        <f t="shared" si="98"/>
        <v>72.844620818826883</v>
      </c>
      <c r="AO57" s="1293">
        <f t="shared" ca="1" si="98"/>
        <v>0</v>
      </c>
      <c r="AP57" s="1293">
        <f t="shared" ca="1" si="98"/>
        <v>0</v>
      </c>
      <c r="AQ57" s="1293">
        <f t="shared" ca="1" si="98"/>
        <v>0</v>
      </c>
      <c r="AR57" s="1293">
        <f t="shared" ca="1" si="98"/>
        <v>39641.016866076032</v>
      </c>
      <c r="AS57" s="1293">
        <f t="shared" ca="1" si="98"/>
        <v>36587.714829778502</v>
      </c>
      <c r="AT57" s="1293">
        <f t="shared" ca="1" si="98"/>
        <v>3053.3020362975303</v>
      </c>
      <c r="AU57" s="1293">
        <f t="shared" ca="1" si="98"/>
        <v>786.70867042903228</v>
      </c>
      <c r="AV57" s="1293">
        <f t="shared" ca="1" si="98"/>
        <v>728.30627093902763</v>
      </c>
      <c r="AW57" s="1293">
        <f t="shared" ca="1" si="98"/>
        <v>58.402399490004711</v>
      </c>
      <c r="AX57" s="1293">
        <f t="shared" si="98"/>
        <v>0</v>
      </c>
      <c r="AY57" s="1293">
        <f t="shared" si="98"/>
        <v>0</v>
      </c>
      <c r="AZ57" s="1293">
        <f t="shared" si="98"/>
        <v>0</v>
      </c>
      <c r="BA57" s="1293">
        <f t="shared" ca="1" si="98"/>
        <v>71284.244213367143</v>
      </c>
      <c r="BB57" s="1293">
        <f t="shared" ca="1" si="98"/>
        <v>65776.263035999989</v>
      </c>
      <c r="BC57" s="1293">
        <f t="shared" ca="1" si="98"/>
        <v>5507.9811773671454</v>
      </c>
      <c r="BD57" s="1293">
        <f t="shared" si="98"/>
        <v>0</v>
      </c>
      <c r="BE57" s="1293">
        <f t="shared" si="98"/>
        <v>0</v>
      </c>
      <c r="BF57" s="1293">
        <f t="shared" si="98"/>
        <v>0</v>
      </c>
      <c r="BG57" s="1293">
        <f t="shared" si="98"/>
        <v>0</v>
      </c>
      <c r="BH57" s="1293">
        <f t="shared" si="98"/>
        <v>0</v>
      </c>
      <c r="BI57" s="1293">
        <f t="shared" si="98"/>
        <v>0</v>
      </c>
      <c r="BJ57" s="1293">
        <f t="shared" ca="1" si="98"/>
        <v>71284.244213367143</v>
      </c>
      <c r="BK57" s="1294"/>
      <c r="BL57" s="1294"/>
      <c r="BM57" s="1295"/>
      <c r="BN57" s="1221"/>
      <c r="BO57" s="1221"/>
      <c r="BP57" s="1221"/>
      <c r="BQ57" s="1221"/>
      <c r="BR57" s="1222"/>
      <c r="BS57" s="1222"/>
      <c r="BT57" s="1222"/>
      <c r="BU57" s="1222"/>
      <c r="BV57" s="1222"/>
      <c r="BW57" s="1222"/>
      <c r="BX57" s="1222"/>
      <c r="BY57" s="1222"/>
      <c r="BZ57" s="1222"/>
      <c r="CA57" s="1222"/>
      <c r="CB57" s="1222"/>
      <c r="CC57" s="1222"/>
      <c r="CD57" s="1222"/>
      <c r="CE57" s="1222"/>
      <c r="CF57" s="1222"/>
      <c r="CG57" s="1222"/>
      <c r="CH57" s="1222"/>
      <c r="CI57" s="1222"/>
      <c r="CJ57" s="1222"/>
      <c r="CK57" s="1222"/>
      <c r="CL57" s="1222"/>
      <c r="CM57" s="1222"/>
      <c r="CN57" s="1222"/>
      <c r="CO57" s="1222"/>
      <c r="CP57" s="1222"/>
      <c r="CQ57" s="1222"/>
      <c r="CR57" s="1222"/>
      <c r="CS57" s="1222"/>
      <c r="CT57" s="1222"/>
      <c r="CU57" s="1222"/>
      <c r="CV57" s="1222"/>
      <c r="CW57" s="1222"/>
      <c r="CX57" s="1222"/>
      <c r="CY57" s="1222"/>
      <c r="CZ57" s="1222"/>
      <c r="DA57" s="1222"/>
      <c r="DB57" s="1222"/>
      <c r="DC57" s="1222"/>
      <c r="DD57" s="1222"/>
      <c r="DE57" s="1222"/>
      <c r="DF57" s="1222"/>
      <c r="DG57" s="1222"/>
      <c r="DH57" s="1222"/>
      <c r="DI57" s="1222"/>
      <c r="DJ57" s="1222"/>
      <c r="DK57" s="1222"/>
      <c r="DL57" s="1222"/>
      <c r="DM57" s="1222"/>
      <c r="DN57" s="1222"/>
      <c r="DO57" s="1222"/>
      <c r="DP57" s="1222"/>
      <c r="DQ57" s="1222"/>
      <c r="DR57" s="1222"/>
      <c r="DS57" s="1222"/>
      <c r="DT57" s="1222"/>
      <c r="DU57" s="1222"/>
      <c r="DV57" s="1222"/>
      <c r="DW57" s="1222"/>
      <c r="DX57" s="1222"/>
      <c r="DY57" s="1222"/>
      <c r="DZ57" s="1222"/>
      <c r="EA57" s="1222"/>
      <c r="EB57" s="1222"/>
      <c r="EC57" s="1222"/>
      <c r="ED57" s="1222"/>
      <c r="EE57" s="1222"/>
      <c r="EF57" s="1222"/>
      <c r="EG57" s="1222"/>
      <c r="EH57" s="1222"/>
      <c r="EI57" s="1222"/>
      <c r="EJ57" s="1222"/>
      <c r="EK57" s="1222"/>
      <c r="EL57" s="1222"/>
      <c r="EM57" s="1222"/>
      <c r="EN57" s="1222"/>
      <c r="EO57" s="1222"/>
      <c r="EP57" s="1222"/>
      <c r="EQ57" s="1222"/>
      <c r="ER57" s="1222"/>
      <c r="ES57" s="1222"/>
      <c r="ET57" s="1222"/>
      <c r="EU57" s="1222"/>
      <c r="EV57" s="1222"/>
      <c r="EW57" s="1222"/>
      <c r="EX57" s="1222"/>
      <c r="EY57" s="1222"/>
      <c r="EZ57" s="1222"/>
      <c r="FA57" s="1222"/>
      <c r="FB57" s="1222"/>
      <c r="FC57" s="1222"/>
      <c r="FD57" s="1222"/>
      <c r="FE57" s="1222"/>
      <c r="FF57" s="1222"/>
      <c r="FG57" s="1222"/>
      <c r="FH57" s="1222"/>
      <c r="FI57" s="1222"/>
      <c r="FJ57" s="1222"/>
      <c r="FK57" s="1222"/>
      <c r="FL57" s="1222"/>
      <c r="FM57" s="1222"/>
      <c r="FN57" s="1222"/>
      <c r="FO57" s="1222"/>
      <c r="FP57" s="1222"/>
      <c r="FQ57" s="1222"/>
      <c r="FR57" s="1222"/>
      <c r="FS57" s="1222"/>
      <c r="FT57" s="1222"/>
      <c r="FU57" s="1222"/>
      <c r="FV57" s="1222"/>
      <c r="FW57" s="1222"/>
      <c r="FX57" s="1222"/>
      <c r="FY57" s="1222"/>
      <c r="FZ57" s="1222"/>
      <c r="GA57" s="1222"/>
      <c r="GB57" s="1222"/>
      <c r="GC57" s="1222"/>
      <c r="GD57" s="1222"/>
      <c r="GE57" s="1222"/>
      <c r="GF57" s="1222"/>
      <c r="GG57" s="1222"/>
      <c r="GH57" s="1222"/>
      <c r="GI57" s="1222"/>
      <c r="GJ57" s="1222"/>
      <c r="GK57" s="1222"/>
      <c r="GL57" s="1222"/>
      <c r="GM57" s="1222"/>
      <c r="GN57" s="1222"/>
      <c r="GO57" s="1222"/>
      <c r="GP57" s="1222"/>
      <c r="GQ57" s="1222"/>
      <c r="GR57" s="1222"/>
      <c r="GS57" s="1222"/>
      <c r="GT57" s="1222"/>
      <c r="GU57" s="1222"/>
      <c r="GV57" s="1222"/>
      <c r="GW57" s="1222"/>
      <c r="GX57" s="1222"/>
      <c r="GY57" s="1222"/>
      <c r="GZ57" s="1222"/>
      <c r="HA57" s="1222"/>
      <c r="HB57" s="1222"/>
      <c r="HC57" s="1222"/>
      <c r="HD57" s="1222"/>
      <c r="HE57" s="1222"/>
      <c r="HF57" s="1222"/>
      <c r="HG57" s="1222"/>
      <c r="HH57" s="1222"/>
      <c r="HI57" s="1222"/>
      <c r="HJ57" s="1222"/>
      <c r="HK57" s="1222"/>
      <c r="HL57" s="1222"/>
      <c r="HM57" s="1222"/>
      <c r="HN57" s="1222"/>
      <c r="HO57" s="1222"/>
      <c r="HP57" s="1222"/>
      <c r="HQ57" s="1222"/>
      <c r="HR57" s="1222"/>
      <c r="HS57" s="1222"/>
      <c r="HT57" s="1222"/>
      <c r="HU57" s="1222"/>
      <c r="HV57" s="1222"/>
      <c r="HW57" s="1222"/>
      <c r="HX57" s="1222"/>
      <c r="HY57" s="1222"/>
      <c r="HZ57" s="1222"/>
      <c r="IA57" s="1222"/>
      <c r="IB57" s="1222"/>
      <c r="IC57" s="1222"/>
      <c r="ID57" s="1222"/>
      <c r="IE57" s="1222"/>
      <c r="IF57" s="1222"/>
      <c r="IG57" s="1222"/>
      <c r="IH57" s="1222"/>
      <c r="II57" s="1222"/>
      <c r="IJ57" s="1222"/>
      <c r="IK57" s="1222"/>
      <c r="IL57" s="1222"/>
      <c r="IM57" s="1222"/>
      <c r="IN57" s="1222"/>
      <c r="IO57" s="1222"/>
      <c r="IP57" s="1222"/>
      <c r="IQ57" s="1222"/>
      <c r="IR57" s="1222"/>
      <c r="IS57" s="1222"/>
      <c r="IT57" s="1222"/>
      <c r="IU57" s="1222"/>
      <c r="IV57" s="1222"/>
      <c r="IW57" s="1222"/>
      <c r="IX57" s="1222"/>
      <c r="IY57" s="1222"/>
      <c r="IZ57" s="1222"/>
      <c r="JA57" s="1222"/>
      <c r="JB57" s="1222"/>
      <c r="JC57" s="1222"/>
      <c r="JD57" s="1222"/>
      <c r="JE57" s="1222"/>
      <c r="JF57" s="1222"/>
      <c r="JG57" s="1222"/>
      <c r="JH57" s="1222"/>
      <c r="JI57" s="1222"/>
      <c r="JJ57" s="1222"/>
      <c r="JK57" s="1222"/>
      <c r="JL57" s="1222"/>
      <c r="JM57" s="1222"/>
      <c r="JN57" s="1222"/>
      <c r="JO57" s="1222"/>
      <c r="JP57" s="1222"/>
      <c r="JQ57" s="1222"/>
      <c r="JR57" s="1222"/>
      <c r="JS57" s="1222"/>
      <c r="JT57" s="1222"/>
      <c r="JU57" s="1222"/>
      <c r="JV57" s="1222"/>
      <c r="JW57" s="1222"/>
      <c r="JX57" s="1222"/>
      <c r="JY57" s="1222"/>
      <c r="JZ57" s="1222"/>
      <c r="KA57" s="1222"/>
      <c r="KB57" s="1222"/>
      <c r="KC57" s="1222"/>
      <c r="KD57" s="1222"/>
      <c r="KE57" s="1222"/>
      <c r="KF57" s="1222"/>
      <c r="KG57" s="1222"/>
      <c r="KH57" s="1222"/>
      <c r="KI57" s="1222"/>
      <c r="KJ57" s="1222"/>
      <c r="KK57" s="1222"/>
      <c r="KL57" s="1222"/>
      <c r="KM57" s="1222"/>
      <c r="KN57" s="1222"/>
      <c r="KO57" s="1222"/>
      <c r="KP57" s="1222"/>
      <c r="KQ57" s="1222"/>
      <c r="KR57" s="1222"/>
      <c r="KS57" s="1222"/>
      <c r="KT57" s="1222"/>
      <c r="KU57" s="1222"/>
      <c r="KV57" s="1222"/>
      <c r="KW57" s="1222"/>
      <c r="KX57" s="1222"/>
      <c r="KY57" s="1222"/>
      <c r="KZ57" s="1222"/>
      <c r="LA57" s="1222"/>
      <c r="LB57" s="1222"/>
      <c r="LC57" s="1222"/>
      <c r="LD57" s="1222"/>
      <c r="LE57" s="1222"/>
      <c r="LF57" s="1222"/>
      <c r="LG57" s="1222"/>
      <c r="LH57" s="1222"/>
      <c r="LI57" s="1222"/>
      <c r="LJ57" s="1222"/>
      <c r="LK57" s="1222"/>
      <c r="LL57" s="1222"/>
      <c r="LM57" s="1222"/>
      <c r="LN57" s="1222"/>
      <c r="LO57" s="1222"/>
      <c r="LP57" s="1222"/>
      <c r="LQ57" s="1222"/>
      <c r="LR57" s="1222"/>
      <c r="LS57" s="1222"/>
      <c r="LT57" s="1222"/>
      <c r="LU57" s="1222"/>
      <c r="LV57" s="1222"/>
      <c r="LW57" s="1222"/>
      <c r="LX57" s="1222"/>
      <c r="LY57" s="1222"/>
      <c r="LZ57" s="1222"/>
      <c r="MA57" s="1222"/>
      <c r="MB57" s="1222"/>
      <c r="MC57" s="1222"/>
      <c r="MD57" s="1222"/>
      <c r="ME57" s="1222"/>
      <c r="MF57" s="1222"/>
      <c r="MG57" s="1222"/>
      <c r="MH57" s="1222"/>
      <c r="MI57" s="1222"/>
      <c r="MJ57" s="1222"/>
      <c r="MK57" s="1222"/>
      <c r="ML57" s="1222"/>
      <c r="MM57" s="1222"/>
      <c r="MN57" s="1222"/>
      <c r="MO57" s="1222"/>
      <c r="MP57" s="1222"/>
      <c r="MQ57" s="1222"/>
      <c r="MR57" s="1222"/>
      <c r="MS57" s="1222"/>
      <c r="MT57" s="1222"/>
      <c r="MU57" s="1222"/>
      <c r="MV57" s="1222"/>
      <c r="MW57" s="1222"/>
      <c r="MX57" s="1222"/>
      <c r="MY57" s="1222"/>
      <c r="MZ57" s="1222"/>
      <c r="NA57" s="1222"/>
      <c r="NB57" s="1222"/>
      <c r="NC57" s="1222"/>
      <c r="ND57" s="1222"/>
      <c r="NE57" s="1222"/>
      <c r="NF57" s="1222"/>
      <c r="NG57" s="1222"/>
      <c r="NH57" s="1222"/>
      <c r="NI57" s="1222"/>
      <c r="NJ57" s="1222"/>
      <c r="NK57" s="1222"/>
      <c r="NL57" s="1222"/>
      <c r="NM57" s="1222"/>
      <c r="NN57" s="1222"/>
      <c r="NO57" s="1222"/>
      <c r="NP57" s="1222"/>
      <c r="NQ57" s="1222"/>
      <c r="NR57" s="1222"/>
      <c r="NS57" s="1222"/>
      <c r="NT57" s="1222"/>
      <c r="NU57" s="1222"/>
      <c r="NV57" s="1222"/>
      <c r="NW57" s="1222"/>
      <c r="NX57" s="1222"/>
      <c r="NY57" s="1222"/>
      <c r="NZ57" s="1222"/>
      <c r="OA57" s="1222"/>
      <c r="OB57" s="1222"/>
      <c r="OC57" s="1222"/>
      <c r="OD57" s="1222"/>
      <c r="OE57" s="1222"/>
      <c r="OF57" s="1222"/>
      <c r="OG57" s="1222"/>
      <c r="OH57" s="1222"/>
      <c r="OI57" s="1222"/>
      <c r="OJ57" s="1222"/>
      <c r="OK57" s="1222"/>
      <c r="OL57" s="1222"/>
      <c r="OM57" s="1222"/>
      <c r="ON57" s="1222"/>
      <c r="OO57" s="1222"/>
      <c r="OP57" s="1222"/>
      <c r="OQ57" s="1222"/>
      <c r="OR57" s="1222"/>
      <c r="OS57" s="1222"/>
      <c r="OT57" s="1222"/>
      <c r="OU57" s="1222"/>
      <c r="OV57" s="1222"/>
      <c r="OW57" s="1222"/>
      <c r="OX57" s="1222"/>
      <c r="OY57" s="1222"/>
      <c r="OZ57" s="1222"/>
      <c r="PA57" s="1222"/>
      <c r="PB57" s="1222"/>
      <c r="PC57" s="1222"/>
      <c r="PD57" s="1222"/>
      <c r="PE57" s="1222"/>
      <c r="PF57" s="1222"/>
      <c r="PG57" s="1222"/>
      <c r="PH57" s="1222"/>
      <c r="PI57" s="1222"/>
      <c r="PJ57" s="1222"/>
      <c r="PK57" s="1222"/>
      <c r="PL57" s="1222"/>
      <c r="PM57" s="1222"/>
      <c r="PN57" s="1222"/>
      <c r="PO57" s="1222"/>
      <c r="PP57" s="1222"/>
      <c r="PQ57" s="1222"/>
      <c r="PR57" s="1222"/>
      <c r="PS57" s="1222"/>
      <c r="PT57" s="1222"/>
      <c r="PU57" s="1222"/>
      <c r="PV57" s="1222"/>
      <c r="PW57" s="1222"/>
      <c r="PX57" s="1222"/>
      <c r="PY57" s="1222"/>
      <c r="PZ57" s="1222"/>
      <c r="QA57" s="1222"/>
      <c r="QB57" s="1222"/>
      <c r="QC57" s="1222"/>
      <c r="QD57" s="1222"/>
      <c r="QE57" s="1222"/>
      <c r="QF57" s="1222"/>
      <c r="QG57" s="1222"/>
      <c r="QH57" s="1222"/>
      <c r="QI57" s="1222"/>
      <c r="QJ57" s="1222"/>
      <c r="QK57" s="1222"/>
      <c r="QL57" s="1222"/>
      <c r="QM57" s="1222"/>
      <c r="QN57" s="1222"/>
      <c r="QO57" s="1222"/>
      <c r="QP57" s="1222"/>
      <c r="QQ57" s="1222"/>
      <c r="QR57" s="1222"/>
      <c r="QS57" s="1222"/>
      <c r="QT57" s="1222"/>
      <c r="QU57" s="1222"/>
      <c r="QV57" s="1222"/>
      <c r="QW57" s="1222"/>
      <c r="QX57" s="1222"/>
      <c r="QY57" s="1222"/>
      <c r="QZ57" s="1222"/>
      <c r="RA57" s="1222"/>
      <c r="RB57" s="1222"/>
      <c r="RC57" s="1222"/>
      <c r="RD57" s="1222"/>
      <c r="RE57" s="1222"/>
      <c r="RF57" s="1222"/>
      <c r="RG57" s="1222"/>
      <c r="RH57" s="1222"/>
      <c r="RI57" s="1222"/>
      <c r="RJ57" s="1222"/>
      <c r="RK57" s="1222"/>
      <c r="RL57" s="1222"/>
      <c r="RM57" s="1222"/>
      <c r="RN57" s="1222"/>
      <c r="RO57" s="1222"/>
      <c r="RP57" s="1222"/>
      <c r="RQ57" s="1222"/>
      <c r="RR57" s="1222"/>
      <c r="RS57" s="1222"/>
      <c r="RT57" s="1222"/>
      <c r="RU57" s="1222"/>
      <c r="RV57" s="1222"/>
      <c r="RW57" s="1222"/>
      <c r="RX57" s="1222"/>
      <c r="RY57" s="1222"/>
      <c r="RZ57" s="1222"/>
      <c r="SA57" s="1222"/>
      <c r="SB57" s="1222"/>
      <c r="SC57" s="1222"/>
      <c r="SD57" s="1222"/>
      <c r="SE57" s="1222"/>
      <c r="SF57" s="1222"/>
      <c r="SG57" s="1222"/>
      <c r="SH57" s="1222"/>
      <c r="SI57" s="1222"/>
      <c r="SJ57" s="1222"/>
      <c r="SK57" s="1222"/>
      <c r="SL57" s="1222"/>
      <c r="SM57" s="1222"/>
      <c r="SN57" s="1222"/>
      <c r="SO57" s="1222"/>
      <c r="SP57" s="1222"/>
      <c r="SQ57" s="1222"/>
      <c r="SR57" s="1222"/>
      <c r="SS57" s="1222"/>
      <c r="ST57" s="1222"/>
      <c r="SU57" s="1222"/>
      <c r="SV57" s="1222"/>
      <c r="SW57" s="1222"/>
      <c r="SX57" s="1222"/>
      <c r="SY57" s="1222"/>
      <c r="SZ57" s="1222"/>
      <c r="TA57" s="1222"/>
      <c r="TB57" s="1222"/>
      <c r="TC57" s="1222"/>
      <c r="TD57" s="1222"/>
      <c r="TE57" s="1222"/>
      <c r="TF57" s="1222"/>
      <c r="TG57" s="1222"/>
      <c r="TH57" s="1222"/>
      <c r="TI57" s="1222"/>
      <c r="TJ57" s="1222"/>
      <c r="TK57" s="1222"/>
      <c r="TL57" s="1222"/>
      <c r="TM57" s="1222"/>
      <c r="TN57" s="1222"/>
      <c r="TO57" s="1222"/>
      <c r="TP57" s="1222"/>
      <c r="TQ57" s="1222"/>
      <c r="TR57" s="1222"/>
      <c r="TS57" s="1222"/>
      <c r="TT57" s="1222"/>
      <c r="TU57" s="1222"/>
      <c r="TV57" s="1222"/>
      <c r="TW57" s="1222"/>
      <c r="TX57" s="1222"/>
      <c r="TY57" s="1222"/>
      <c r="TZ57" s="1222"/>
      <c r="UA57" s="1222"/>
      <c r="UB57" s="1222"/>
      <c r="UC57" s="1222"/>
      <c r="UD57" s="1222"/>
      <c r="UE57" s="1222"/>
      <c r="UF57" s="1222"/>
      <c r="UG57" s="1222"/>
      <c r="UH57" s="1222"/>
      <c r="UI57" s="1222"/>
      <c r="UJ57" s="1222"/>
      <c r="UK57" s="1222"/>
      <c r="UL57" s="1222"/>
      <c r="UM57" s="1222"/>
      <c r="UN57" s="1222"/>
      <c r="UO57" s="1222"/>
      <c r="UP57" s="1222"/>
      <c r="UQ57" s="1222"/>
      <c r="UR57" s="1222"/>
      <c r="US57" s="1222"/>
      <c r="UT57" s="1222"/>
      <c r="UU57" s="1222"/>
      <c r="UV57" s="1222"/>
      <c r="UW57" s="1222"/>
      <c r="UX57" s="1222"/>
      <c r="UY57" s="1222"/>
      <c r="UZ57" s="1222"/>
      <c r="VA57" s="1222"/>
      <c r="VB57" s="1222"/>
      <c r="VC57" s="1222"/>
      <c r="VD57" s="1222"/>
      <c r="VE57" s="1222"/>
      <c r="VF57" s="1222"/>
      <c r="VG57" s="1222"/>
      <c r="VH57" s="1222"/>
      <c r="VI57" s="1222"/>
      <c r="VJ57" s="1222"/>
      <c r="VK57" s="1222"/>
      <c r="VL57" s="1222"/>
      <c r="VM57" s="1222"/>
      <c r="VN57" s="1222"/>
      <c r="VO57" s="1222"/>
      <c r="VP57" s="1222"/>
      <c r="VQ57" s="1222"/>
      <c r="VR57" s="1222"/>
      <c r="VS57" s="1222"/>
      <c r="VT57" s="1222"/>
      <c r="VU57" s="1222"/>
      <c r="VV57" s="1222"/>
      <c r="VW57" s="1222"/>
      <c r="VX57" s="1222"/>
      <c r="VY57" s="1222"/>
      <c r="VZ57" s="1222"/>
      <c r="WA57" s="1222"/>
      <c r="WB57" s="1222"/>
      <c r="WC57" s="1222"/>
      <c r="WD57" s="1222"/>
      <c r="WE57" s="1222"/>
      <c r="WF57" s="1222"/>
      <c r="WG57" s="1222"/>
      <c r="WH57" s="1222"/>
      <c r="WI57" s="1222"/>
      <c r="WJ57" s="1222"/>
      <c r="WK57" s="1222"/>
      <c r="WL57" s="1222"/>
      <c r="WM57" s="1222"/>
      <c r="WN57" s="1222"/>
      <c r="WO57" s="1222"/>
      <c r="WP57" s="1222"/>
      <c r="WQ57" s="1222"/>
      <c r="WR57" s="1222"/>
      <c r="WS57" s="1222"/>
      <c r="WT57" s="1222"/>
      <c r="WU57" s="1222"/>
      <c r="WV57" s="1222"/>
      <c r="WW57" s="1222"/>
      <c r="WX57" s="1222"/>
      <c r="WY57" s="1222"/>
      <c r="WZ57" s="1222"/>
      <c r="XA57" s="1222"/>
      <c r="XB57" s="1222"/>
      <c r="XC57" s="1222"/>
      <c r="XD57" s="1222"/>
      <c r="XE57" s="1222"/>
      <c r="XF57" s="1222"/>
      <c r="XG57" s="1222"/>
      <c r="XH57" s="1222"/>
      <c r="XI57" s="1222"/>
      <c r="XJ57" s="1222"/>
      <c r="XK57" s="1222"/>
      <c r="XL57" s="1222"/>
      <c r="XM57" s="1222"/>
      <c r="XN57" s="1222"/>
      <c r="XO57" s="1222"/>
      <c r="XP57" s="1222"/>
      <c r="XQ57" s="1222"/>
      <c r="XR57" s="1222"/>
      <c r="XS57" s="1222"/>
      <c r="XT57" s="1222"/>
      <c r="XU57" s="1222"/>
      <c r="XV57" s="1222"/>
      <c r="XW57" s="1222"/>
      <c r="XX57" s="1222"/>
      <c r="XY57" s="1222"/>
      <c r="XZ57" s="1222"/>
      <c r="YA57" s="1222"/>
      <c r="YB57" s="1222"/>
      <c r="YC57" s="1222"/>
      <c r="YD57" s="1222"/>
      <c r="YE57" s="1222"/>
      <c r="YF57" s="1222"/>
      <c r="YG57" s="1222"/>
      <c r="YH57" s="1222"/>
      <c r="YI57" s="1222"/>
      <c r="YJ57" s="1222"/>
      <c r="YK57" s="1222"/>
      <c r="YL57" s="1222"/>
      <c r="YM57" s="1222"/>
      <c r="YN57" s="1222"/>
      <c r="YO57" s="1222"/>
      <c r="YP57" s="1222"/>
      <c r="YQ57" s="1222"/>
      <c r="YR57" s="1222"/>
      <c r="YS57" s="1222"/>
      <c r="YT57" s="1222"/>
      <c r="YU57" s="1222"/>
      <c r="YV57" s="1222"/>
      <c r="YW57" s="1222"/>
      <c r="YX57" s="1222"/>
      <c r="YY57" s="1222"/>
      <c r="YZ57" s="1222"/>
      <c r="ZA57" s="1222"/>
      <c r="ZB57" s="1222"/>
      <c r="ZC57" s="1222"/>
      <c r="ZD57" s="1222"/>
      <c r="ZE57" s="1222"/>
      <c r="ZF57" s="1222"/>
      <c r="ZG57" s="1222"/>
      <c r="ZH57" s="1222"/>
      <c r="ZI57" s="1222"/>
      <c r="ZJ57" s="1222"/>
      <c r="ZK57" s="1222"/>
      <c r="ZL57" s="1222"/>
      <c r="ZM57" s="1222"/>
      <c r="ZN57" s="1222"/>
      <c r="ZO57" s="1222"/>
      <c r="ZP57" s="1222"/>
      <c r="ZQ57" s="1222"/>
      <c r="ZR57" s="1222"/>
      <c r="ZS57" s="1222"/>
      <c r="ZT57" s="1222"/>
      <c r="ZU57" s="1222"/>
      <c r="ZV57" s="1222"/>
      <c r="ZW57" s="1222"/>
      <c r="ZX57" s="1222"/>
      <c r="ZY57" s="1222"/>
      <c r="ZZ57" s="1222"/>
      <c r="AAA57" s="1222"/>
      <c r="AAB57" s="1222"/>
      <c r="AAC57" s="1222"/>
      <c r="AAD57" s="1222"/>
      <c r="AAE57" s="1222"/>
      <c r="AAF57" s="1222"/>
      <c r="AAG57" s="1222"/>
      <c r="AAH57" s="1222"/>
      <c r="AAI57" s="1222"/>
      <c r="AAJ57" s="1222"/>
      <c r="AAK57" s="1222"/>
      <c r="AAL57" s="1222"/>
      <c r="AAM57" s="1222"/>
      <c r="AAN57" s="1222"/>
      <c r="AAO57" s="1222"/>
      <c r="AAP57" s="1222"/>
      <c r="AAQ57" s="1222"/>
      <c r="AAR57" s="1222"/>
      <c r="AAS57" s="1222"/>
      <c r="AAT57" s="1222"/>
      <c r="AAU57" s="1222"/>
      <c r="AAV57" s="1222"/>
      <c r="AAW57" s="1222"/>
      <c r="AAX57" s="1222"/>
      <c r="AAY57" s="1222"/>
      <c r="AAZ57" s="1222"/>
      <c r="ABA57" s="1222"/>
      <c r="ABB57" s="1222"/>
      <c r="ABC57" s="1222"/>
      <c r="ABD57" s="1222"/>
      <c r="ABE57" s="1222"/>
      <c r="ABF57" s="1222"/>
      <c r="ABG57" s="1222"/>
      <c r="ABH57" s="1222"/>
      <c r="ABI57" s="1222"/>
      <c r="ABJ57" s="1222"/>
      <c r="ABK57" s="1222"/>
      <c r="ABL57" s="1222"/>
      <c r="ABM57" s="1222"/>
      <c r="ABN57" s="1222"/>
      <c r="ABO57" s="1222"/>
      <c r="ABP57" s="1222"/>
      <c r="ABQ57" s="1222"/>
      <c r="ABR57" s="1222"/>
      <c r="ABS57" s="1222"/>
      <c r="ABT57" s="1222"/>
      <c r="ABU57" s="1222"/>
      <c r="ABV57" s="1222"/>
      <c r="ABW57" s="1222"/>
      <c r="ABX57" s="1222"/>
      <c r="ABY57" s="1222"/>
      <c r="ABZ57" s="1222"/>
      <c r="ACA57" s="1222"/>
      <c r="ACB57" s="1222"/>
      <c r="ACC57" s="1222"/>
      <c r="ACD57" s="1222"/>
      <c r="ACE57" s="1222"/>
      <c r="ACF57" s="1222"/>
      <c r="ACG57" s="1222"/>
      <c r="ACH57" s="1222"/>
      <c r="ACI57" s="1222"/>
      <c r="ACJ57" s="1222"/>
      <c r="ACK57" s="1222"/>
      <c r="ACL57" s="1222"/>
      <c r="ACM57" s="1222"/>
      <c r="ACN57" s="1222"/>
      <c r="ACO57" s="1222"/>
      <c r="ACP57" s="1222"/>
      <c r="ACQ57" s="1222"/>
      <c r="ACR57" s="1222"/>
      <c r="ACS57" s="1222"/>
      <c r="ACT57" s="1222"/>
      <c r="ACU57" s="1222"/>
      <c r="ACV57" s="1222"/>
      <c r="ACW57" s="1222"/>
      <c r="ACX57" s="1222"/>
      <c r="ACY57" s="1222"/>
      <c r="ACZ57" s="1222"/>
      <c r="ADA57" s="1222"/>
      <c r="ADB57" s="1222"/>
      <c r="ADC57" s="1222"/>
      <c r="ADD57" s="1222"/>
      <c r="ADE57" s="1222"/>
      <c r="ADF57" s="1222"/>
      <c r="ADG57" s="1222"/>
      <c r="ADH57" s="1222"/>
      <c r="ADI57" s="1222"/>
      <c r="ADJ57" s="1222"/>
      <c r="ADK57" s="1222"/>
      <c r="ADL57" s="1222"/>
      <c r="ADM57" s="1222"/>
      <c r="ADN57" s="1222"/>
      <c r="ADO57" s="1222"/>
      <c r="ADP57" s="1222"/>
      <c r="ADQ57" s="1222"/>
      <c r="ADR57" s="1222"/>
      <c r="ADS57" s="1222"/>
      <c r="ADT57" s="1222"/>
      <c r="ADU57" s="1222"/>
      <c r="ADV57" s="1222"/>
      <c r="ADW57" s="1222"/>
      <c r="ADX57" s="1222"/>
      <c r="ADY57" s="1222"/>
      <c r="ADZ57" s="1222"/>
      <c r="AEA57" s="1222"/>
      <c r="AEB57" s="1222"/>
      <c r="AEC57" s="1222"/>
      <c r="AED57" s="1222"/>
      <c r="AEE57" s="1222"/>
      <c r="AEF57" s="1222"/>
      <c r="AEG57" s="1222"/>
      <c r="AEH57" s="1222"/>
      <c r="AEI57" s="1222"/>
      <c r="AEJ57" s="1222"/>
      <c r="AEK57" s="1222"/>
      <c r="AEL57" s="1222"/>
      <c r="AEM57" s="1222"/>
      <c r="AEN57" s="1222"/>
      <c r="AEO57" s="1222"/>
      <c r="AEP57" s="1222"/>
      <c r="AEQ57" s="1222"/>
      <c r="AER57" s="1222"/>
      <c r="AES57" s="1222"/>
      <c r="AET57" s="1222"/>
      <c r="AEU57" s="1222"/>
      <c r="AEV57" s="1222"/>
      <c r="AEW57" s="1222"/>
      <c r="AEX57" s="1222"/>
      <c r="AEY57" s="1222"/>
      <c r="AEZ57" s="1222"/>
      <c r="AFA57" s="1222"/>
      <c r="AFB57" s="1222"/>
      <c r="AFC57" s="1222"/>
      <c r="AFD57" s="1222"/>
      <c r="AFE57" s="1222"/>
      <c r="AFF57" s="1222"/>
      <c r="AFG57" s="1222"/>
      <c r="AFH57" s="1222"/>
      <c r="AFI57" s="1222"/>
      <c r="AFJ57" s="1222"/>
      <c r="AFK57" s="1222"/>
      <c r="AFL57" s="1222"/>
      <c r="AFM57" s="1222"/>
      <c r="AFN57" s="1222"/>
      <c r="AFO57" s="1222"/>
      <c r="AFP57" s="1222"/>
      <c r="AFQ57" s="1222"/>
      <c r="AFR57" s="1222"/>
      <c r="AFS57" s="1222"/>
      <c r="AFT57" s="1222"/>
      <c r="AFU57" s="1222"/>
      <c r="AFV57" s="1222"/>
      <c r="AFW57" s="1222"/>
      <c r="AFX57" s="1222"/>
      <c r="AFY57" s="1222"/>
      <c r="AFZ57" s="1222"/>
      <c r="AGA57" s="1222"/>
      <c r="AGB57" s="1222"/>
      <c r="AGC57" s="1222"/>
      <c r="AGD57" s="1222"/>
      <c r="AGE57" s="1222"/>
      <c r="AGF57" s="1222"/>
      <c r="AGG57" s="1222"/>
      <c r="AGH57" s="1222"/>
      <c r="AGI57" s="1222"/>
      <c r="AGJ57" s="1222"/>
      <c r="AGK57" s="1222"/>
      <c r="AGL57" s="1222"/>
      <c r="AGM57" s="1222"/>
      <c r="AGN57" s="1222"/>
      <c r="AGO57" s="1222"/>
      <c r="AGP57" s="1222"/>
      <c r="AGQ57" s="1222"/>
      <c r="AGR57" s="1222"/>
      <c r="AGS57" s="1222"/>
      <c r="AGT57" s="1222"/>
      <c r="AGU57" s="1222"/>
      <c r="AGV57" s="1222"/>
      <c r="AGW57" s="1222"/>
      <c r="AGX57" s="1222"/>
      <c r="AGY57" s="1222"/>
      <c r="AGZ57" s="1222"/>
      <c r="AHA57" s="1222"/>
      <c r="AHB57" s="1222"/>
      <c r="AHC57" s="1222"/>
      <c r="AHD57" s="1222"/>
      <c r="AHE57" s="1222"/>
      <c r="AHF57" s="1222"/>
      <c r="AHG57" s="1222"/>
      <c r="AHH57" s="1222"/>
      <c r="AHI57" s="1222"/>
      <c r="AHJ57" s="1222"/>
      <c r="AHK57" s="1222"/>
      <c r="AHL57" s="1222"/>
      <c r="AHM57" s="1222"/>
      <c r="AHN57" s="1222"/>
      <c r="AHO57" s="1222"/>
      <c r="AHP57" s="1222"/>
      <c r="AHQ57" s="1222"/>
      <c r="AHR57" s="1222"/>
      <c r="AHS57" s="1222"/>
      <c r="AHT57" s="1222"/>
      <c r="AHU57" s="1222"/>
      <c r="AHV57" s="1222"/>
      <c r="AHW57" s="1222"/>
      <c r="AHX57" s="1222"/>
      <c r="AHY57" s="1222"/>
      <c r="AHZ57" s="1222"/>
      <c r="AIA57" s="1222"/>
      <c r="AIB57" s="1222"/>
      <c r="AIC57" s="1222"/>
      <c r="AID57" s="1222"/>
      <c r="AIE57" s="1222"/>
      <c r="AIF57" s="1222"/>
      <c r="AIG57" s="1222"/>
      <c r="AIH57" s="1222"/>
      <c r="AII57" s="1222"/>
      <c r="AIJ57" s="1222"/>
      <c r="AIK57" s="1222"/>
      <c r="AIL57" s="1222"/>
      <c r="AIM57" s="1222"/>
      <c r="AIN57" s="1222"/>
      <c r="AIO57" s="1222"/>
      <c r="AIP57" s="1222"/>
      <c r="AIQ57" s="1222"/>
      <c r="AIR57" s="1222"/>
      <c r="AIS57" s="1222"/>
      <c r="AIT57" s="1222"/>
      <c r="AIU57" s="1222"/>
      <c r="AIV57" s="1222"/>
      <c r="AIW57" s="1222"/>
      <c r="AIX57" s="1222"/>
      <c r="AIY57" s="1222"/>
      <c r="AIZ57" s="1222"/>
      <c r="AJA57" s="1222"/>
      <c r="AJB57" s="1222"/>
      <c r="AJC57" s="1222"/>
      <c r="AJD57" s="1222"/>
      <c r="AJE57" s="1222"/>
      <c r="AJF57" s="1222"/>
      <c r="AJG57" s="1222"/>
      <c r="AJH57" s="1222"/>
      <c r="AJI57" s="1222"/>
      <c r="AJJ57" s="1222"/>
      <c r="AJK57" s="1222"/>
      <c r="AJL57" s="1222"/>
      <c r="AJM57" s="1222"/>
      <c r="AJN57" s="1222"/>
      <c r="AJO57" s="1222"/>
      <c r="AJP57" s="1222"/>
      <c r="AJQ57" s="1222"/>
      <c r="AJR57" s="1222"/>
      <c r="AJS57" s="1222"/>
      <c r="AJT57" s="1222"/>
      <c r="AJU57" s="1222"/>
      <c r="AJV57" s="1222"/>
      <c r="AJW57" s="1222"/>
      <c r="AJX57" s="1222"/>
      <c r="AJY57" s="1222"/>
      <c r="AJZ57" s="1222"/>
      <c r="AKA57" s="1222"/>
      <c r="AKB57" s="1222"/>
      <c r="AKC57" s="1222"/>
      <c r="AKD57" s="1222"/>
      <c r="AKE57" s="1222"/>
      <c r="AKF57" s="1222"/>
      <c r="AKG57" s="1222"/>
      <c r="AKH57" s="1222"/>
      <c r="AKI57" s="1222"/>
      <c r="AKJ57" s="1222"/>
      <c r="AKK57" s="1222"/>
      <c r="AKL57" s="1222"/>
      <c r="AKM57" s="1222"/>
      <c r="AKN57" s="1222"/>
      <c r="AKO57" s="1222"/>
      <c r="AKP57" s="1222"/>
      <c r="AKQ57" s="1222"/>
      <c r="AKR57" s="1222"/>
      <c r="AKS57" s="1222"/>
      <c r="AKT57" s="1222"/>
      <c r="AKU57" s="1222"/>
      <c r="AKV57" s="1222"/>
      <c r="AKW57" s="1222"/>
      <c r="AKX57" s="1222"/>
      <c r="AKY57" s="1222"/>
      <c r="AKZ57" s="1222"/>
      <c r="ALA57" s="1222"/>
      <c r="ALB57" s="1222"/>
      <c r="ALC57" s="1222"/>
      <c r="ALD57" s="1222"/>
      <c r="ALE57" s="1222"/>
      <c r="ALF57" s="1222"/>
      <c r="ALG57" s="1222"/>
      <c r="ALH57" s="1222"/>
      <c r="ALI57" s="1222"/>
      <c r="ALJ57" s="1222"/>
      <c r="ALK57" s="1222"/>
      <c r="ALL57" s="1222"/>
      <c r="ALM57" s="1222"/>
      <c r="ALN57" s="1222"/>
      <c r="ALO57" s="1222"/>
      <c r="ALP57" s="1222"/>
      <c r="ALQ57" s="1222"/>
      <c r="ALR57" s="1222"/>
      <c r="ALS57" s="1222"/>
      <c r="ALT57" s="1222"/>
      <c r="ALU57" s="1222"/>
      <c r="ALV57" s="1222"/>
      <c r="ALW57" s="1222"/>
      <c r="ALX57" s="1222"/>
      <c r="ALY57" s="1222"/>
      <c r="ALZ57" s="1222"/>
      <c r="AMA57" s="1222"/>
      <c r="AMB57" s="1222"/>
      <c r="AMC57" s="1222"/>
      <c r="AMD57" s="1222"/>
      <c r="AME57" s="1222"/>
      <c r="AMF57" s="1222"/>
      <c r="AMG57" s="1222"/>
      <c r="AMH57" s="1222"/>
      <c r="AMI57" s="1222"/>
      <c r="AMJ57" s="1222"/>
      <c r="AMK57" s="1222"/>
      <c r="AML57" s="1222"/>
      <c r="AMM57" s="1222"/>
      <c r="AMN57" s="1222"/>
      <c r="AMO57" s="1222"/>
      <c r="AMP57" s="1222"/>
      <c r="AMQ57" s="1222"/>
      <c r="AMR57" s="1222"/>
      <c r="AMS57" s="1222"/>
      <c r="AMT57" s="1222"/>
      <c r="AMU57" s="1222"/>
      <c r="AMV57" s="1222"/>
      <c r="AMW57" s="1222"/>
      <c r="AMX57" s="1222"/>
      <c r="AMY57" s="1222"/>
      <c r="AMZ57" s="1222"/>
      <c r="ANA57" s="1222"/>
      <c r="ANB57" s="1222"/>
      <c r="ANC57" s="1222"/>
      <c r="AND57" s="1222"/>
      <c r="ANE57" s="1222"/>
      <c r="ANF57" s="1222"/>
      <c r="ANG57" s="1222"/>
      <c r="ANH57" s="1222"/>
      <c r="ANI57" s="1222"/>
      <c r="ANJ57" s="1222"/>
      <c r="ANK57" s="1222"/>
      <c r="ANL57" s="1222"/>
      <c r="ANM57" s="1222"/>
      <c r="ANN57" s="1222"/>
      <c r="ANO57" s="1222"/>
      <c r="ANP57" s="1222"/>
      <c r="ANQ57" s="1222"/>
      <c r="ANR57" s="1222"/>
      <c r="ANS57" s="1222"/>
      <c r="ANT57" s="1222"/>
      <c r="ANU57" s="1222"/>
      <c r="ANV57" s="1222"/>
      <c r="ANW57" s="1222"/>
      <c r="ANX57" s="1222"/>
      <c r="ANY57" s="1222"/>
      <c r="ANZ57" s="1222"/>
      <c r="AOA57" s="1222"/>
      <c r="AOB57" s="1222"/>
      <c r="AOC57" s="1222"/>
      <c r="AOD57" s="1222"/>
      <c r="AOE57" s="1222"/>
      <c r="AOF57" s="1222"/>
      <c r="AOG57" s="1222"/>
      <c r="AOH57" s="1222"/>
      <c r="AOI57" s="1222"/>
      <c r="AOJ57" s="1222"/>
      <c r="AOK57" s="1222"/>
      <c r="AOL57" s="1222"/>
      <c r="AOM57" s="1222"/>
      <c r="AON57" s="1222"/>
      <c r="AOO57" s="1222"/>
      <c r="AOP57" s="1222"/>
      <c r="AOQ57" s="1222"/>
      <c r="AOR57" s="1222"/>
      <c r="AOS57" s="1222"/>
      <c r="AOT57" s="1222"/>
      <c r="AOU57" s="1222"/>
      <c r="AOV57" s="1222"/>
      <c r="AOW57" s="1222"/>
      <c r="AOX57" s="1222"/>
      <c r="AOY57" s="1222"/>
      <c r="AOZ57" s="1222"/>
      <c r="APA57" s="1222"/>
      <c r="APB57" s="1222"/>
      <c r="APC57" s="1222"/>
      <c r="APD57" s="1222"/>
      <c r="APE57" s="1222"/>
      <c r="APF57" s="1222"/>
      <c r="APG57" s="1222"/>
      <c r="APH57" s="1222"/>
      <c r="API57" s="1222"/>
      <c r="APJ57" s="1222"/>
      <c r="APK57" s="1222"/>
      <c r="APL57" s="1222"/>
      <c r="APM57" s="1222"/>
      <c r="APN57" s="1222"/>
      <c r="APO57" s="1222"/>
      <c r="APP57" s="1222"/>
      <c r="APQ57" s="1222"/>
      <c r="APR57" s="1222"/>
      <c r="APS57" s="1222"/>
      <c r="APT57" s="1222"/>
      <c r="APU57" s="1222"/>
      <c r="APV57" s="1222"/>
      <c r="APW57" s="1222"/>
      <c r="APX57" s="1222"/>
      <c r="APY57" s="1222"/>
      <c r="APZ57" s="1222"/>
      <c r="AQA57" s="1222"/>
      <c r="AQB57" s="1222"/>
      <c r="AQC57" s="1222"/>
      <c r="AQD57" s="1222"/>
      <c r="AQE57" s="1222"/>
      <c r="AQF57" s="1222"/>
      <c r="AQG57" s="1222"/>
      <c r="AQH57" s="1222"/>
      <c r="AQI57" s="1222"/>
      <c r="AQJ57" s="1222"/>
      <c r="AQK57" s="1222"/>
      <c r="AQL57" s="1222"/>
      <c r="AQM57" s="1222"/>
      <c r="AQN57" s="1222"/>
      <c r="AQO57" s="1222"/>
      <c r="AQP57" s="1222"/>
      <c r="AQQ57" s="1222"/>
      <c r="AQR57" s="1222"/>
      <c r="AQS57" s="1222"/>
      <c r="AQT57" s="1222"/>
      <c r="AQU57" s="1222"/>
      <c r="AQV57" s="1222"/>
      <c r="AQW57" s="1222"/>
      <c r="AQX57" s="1222"/>
      <c r="AQY57" s="1222"/>
      <c r="AQZ57" s="1222"/>
      <c r="ARA57" s="1222"/>
      <c r="ARB57" s="1222"/>
      <c r="ARC57" s="1222"/>
      <c r="ARD57" s="1222"/>
      <c r="ARE57" s="1222"/>
      <c r="ARF57" s="1222"/>
      <c r="ARG57" s="1222"/>
      <c r="ARH57" s="1222"/>
      <c r="ARI57" s="1222"/>
      <c r="ARJ57" s="1222"/>
      <c r="ARK57" s="1222"/>
      <c r="ARL57" s="1222"/>
      <c r="ARM57" s="1222"/>
      <c r="ARN57" s="1222"/>
      <c r="ARO57" s="1222"/>
      <c r="ARP57" s="1222"/>
      <c r="ARQ57" s="1222"/>
      <c r="ARR57" s="1222"/>
      <c r="ARS57" s="1222"/>
      <c r="ART57" s="1222"/>
      <c r="ARU57" s="1222"/>
      <c r="ARV57" s="1222"/>
      <c r="ARW57" s="1222"/>
      <c r="ARX57" s="1222"/>
      <c r="ARY57" s="1222"/>
      <c r="ARZ57" s="1222"/>
      <c r="ASA57" s="1222"/>
      <c r="ASB57" s="1222"/>
      <c r="ASC57" s="1222"/>
      <c r="ASD57" s="1222"/>
      <c r="ASE57" s="1222"/>
      <c r="ASF57" s="1222"/>
      <c r="ASG57" s="1222"/>
      <c r="ASH57" s="1222"/>
      <c r="ASI57" s="1222"/>
      <c r="ASJ57" s="1222"/>
      <c r="ASK57" s="1222"/>
      <c r="ASL57" s="1222"/>
      <c r="ASM57" s="1222"/>
      <c r="ASN57" s="1222"/>
      <c r="ASO57" s="1222"/>
      <c r="ASP57" s="1222"/>
      <c r="ASQ57" s="1222"/>
      <c r="ASR57" s="1222"/>
      <c r="ASS57" s="1222"/>
      <c r="AST57" s="1222"/>
      <c r="ASU57" s="1222"/>
      <c r="ASV57" s="1222"/>
      <c r="ASW57" s="1222"/>
      <c r="ASX57" s="1222"/>
      <c r="ASY57" s="1222"/>
      <c r="ASZ57" s="1222"/>
      <c r="ATA57" s="1222"/>
      <c r="ATB57" s="1222"/>
      <c r="ATC57" s="1222"/>
      <c r="ATD57" s="1222"/>
      <c r="ATE57" s="1222"/>
      <c r="ATF57" s="1222"/>
      <c r="ATG57" s="1222"/>
      <c r="ATH57" s="1222"/>
      <c r="ATI57" s="1222"/>
      <c r="ATJ57" s="1222"/>
      <c r="ATK57" s="1222"/>
      <c r="ATL57" s="1222"/>
      <c r="ATM57" s="1222"/>
      <c r="ATN57" s="1222"/>
      <c r="ATO57" s="1222"/>
      <c r="ATP57" s="1222"/>
      <c r="ATQ57" s="1222"/>
      <c r="ATR57" s="1222"/>
      <c r="ATS57" s="1222"/>
      <c r="ATT57" s="1222"/>
      <c r="ATU57" s="1222"/>
      <c r="ATV57" s="1222"/>
      <c r="ATW57" s="1222"/>
      <c r="ATX57" s="1222"/>
      <c r="ATY57" s="1222"/>
      <c r="ATZ57" s="1222"/>
      <c r="AUA57" s="1222"/>
      <c r="AUB57" s="1222"/>
      <c r="AUC57" s="1222"/>
      <c r="AUD57" s="1222"/>
      <c r="AUE57" s="1222"/>
      <c r="AUF57" s="1222"/>
      <c r="AUG57" s="1222"/>
      <c r="AUH57" s="1222"/>
      <c r="AUI57" s="1222"/>
      <c r="AUJ57" s="1222"/>
      <c r="AUK57" s="1222"/>
      <c r="AUL57" s="1222"/>
      <c r="AUM57" s="1222"/>
      <c r="AUN57" s="1222"/>
      <c r="AUO57" s="1222"/>
      <c r="AUP57" s="1222"/>
      <c r="AUQ57" s="1222"/>
      <c r="AUR57" s="1222"/>
      <c r="AUS57" s="1222"/>
      <c r="AUT57" s="1222"/>
      <c r="AUU57" s="1222"/>
      <c r="AUV57" s="1222"/>
      <c r="AUW57" s="1222"/>
      <c r="AUX57" s="1222"/>
      <c r="AUY57" s="1222"/>
      <c r="AUZ57" s="1222"/>
      <c r="AVA57" s="1222"/>
      <c r="AVB57" s="1222"/>
      <c r="AVC57" s="1222"/>
      <c r="AVD57" s="1222"/>
      <c r="AVE57" s="1222"/>
      <c r="AVF57" s="1222"/>
      <c r="AVG57" s="1222"/>
      <c r="AVH57" s="1222"/>
      <c r="AVI57" s="1222"/>
      <c r="AVJ57" s="1222"/>
      <c r="AVK57" s="1222"/>
      <c r="AVL57" s="1222"/>
      <c r="AVM57" s="1222"/>
      <c r="AVN57" s="1222"/>
      <c r="AVO57" s="1222"/>
      <c r="AVP57" s="1222"/>
      <c r="AVQ57" s="1222"/>
      <c r="AVR57" s="1222"/>
      <c r="AVS57" s="1222"/>
      <c r="AVT57" s="1222"/>
      <c r="AVU57" s="1222"/>
      <c r="AVV57" s="1222"/>
      <c r="AVW57" s="1222"/>
      <c r="AVX57" s="1222"/>
      <c r="AVY57" s="1222"/>
      <c r="AVZ57" s="1222"/>
      <c r="AWA57" s="1222"/>
      <c r="AWB57" s="1222"/>
      <c r="AWC57" s="1222"/>
      <c r="AWD57" s="1222"/>
      <c r="AWE57" s="1222"/>
      <c r="AWF57" s="1222"/>
      <c r="AWG57" s="1222"/>
      <c r="AWH57" s="1222"/>
      <c r="AWI57" s="1222"/>
      <c r="AWJ57" s="1222"/>
      <c r="AWK57" s="1222"/>
      <c r="AWL57" s="1222"/>
      <c r="AWM57" s="1222"/>
      <c r="AWN57" s="1222"/>
      <c r="AWO57" s="1222"/>
      <c r="AWP57" s="1222"/>
      <c r="AWQ57" s="1222"/>
      <c r="AWR57" s="1222"/>
      <c r="AWS57" s="1222"/>
      <c r="AWT57" s="1222"/>
      <c r="AWU57" s="1222"/>
      <c r="AWV57" s="1222"/>
      <c r="AWW57" s="1222"/>
      <c r="AWX57" s="1222"/>
      <c r="AWY57" s="1222"/>
      <c r="AWZ57" s="1222"/>
      <c r="AXA57" s="1222"/>
      <c r="AXB57" s="1222"/>
      <c r="AXC57" s="1222"/>
      <c r="AXD57" s="1222"/>
      <c r="AXE57" s="1222"/>
      <c r="AXF57" s="1222"/>
      <c r="AXG57" s="1222"/>
      <c r="AXH57" s="1222"/>
      <c r="AXI57" s="1222"/>
      <c r="AXJ57" s="1222"/>
      <c r="AXK57" s="1222"/>
      <c r="AXL57" s="1222"/>
      <c r="AXM57" s="1222"/>
      <c r="AXN57" s="1222"/>
      <c r="AXO57" s="1222"/>
      <c r="AXP57" s="1222"/>
      <c r="AXQ57" s="1222"/>
      <c r="AXR57" s="1222"/>
      <c r="AXS57" s="1222"/>
      <c r="AXT57" s="1222"/>
      <c r="AXU57" s="1222"/>
      <c r="AXV57" s="1222"/>
      <c r="AXW57" s="1222"/>
      <c r="AXX57" s="1222"/>
      <c r="AXY57" s="1222"/>
      <c r="AXZ57" s="1222"/>
      <c r="AYA57" s="1222"/>
      <c r="AYB57" s="1222"/>
      <c r="AYC57" s="1222"/>
      <c r="AYD57" s="1222"/>
      <c r="AYE57" s="1222"/>
      <c r="AYF57" s="1222"/>
      <c r="AYG57" s="1222"/>
      <c r="AYH57" s="1222"/>
      <c r="AYI57" s="1222"/>
      <c r="AYJ57" s="1222"/>
      <c r="AYK57" s="1222"/>
      <c r="AYL57" s="1222"/>
      <c r="AYM57" s="1222"/>
      <c r="AYN57" s="1222"/>
      <c r="AYO57" s="1222"/>
      <c r="AYP57" s="1222"/>
      <c r="AYQ57" s="1222"/>
      <c r="AYR57" s="1222"/>
      <c r="AYS57" s="1222"/>
      <c r="AYT57" s="1222"/>
      <c r="AYU57" s="1222"/>
      <c r="AYV57" s="1222"/>
      <c r="AYW57" s="1222"/>
      <c r="AYX57" s="1222"/>
      <c r="AYY57" s="1222"/>
      <c r="AYZ57" s="1222"/>
      <c r="AZA57" s="1222"/>
      <c r="AZB57" s="1222"/>
      <c r="AZC57" s="1222"/>
      <c r="AZD57" s="1222"/>
      <c r="AZE57" s="1222"/>
      <c r="AZF57" s="1222"/>
      <c r="AZG57" s="1222"/>
      <c r="AZH57" s="1222"/>
      <c r="AZI57" s="1222"/>
      <c r="AZJ57" s="1222"/>
      <c r="AZK57" s="1222"/>
      <c r="AZL57" s="1222"/>
      <c r="AZM57" s="1222"/>
      <c r="AZN57" s="1222"/>
      <c r="AZO57" s="1222"/>
      <c r="AZP57" s="1222"/>
      <c r="AZQ57" s="1222"/>
      <c r="AZR57" s="1222"/>
      <c r="AZS57" s="1222"/>
      <c r="AZT57" s="1222"/>
      <c r="AZU57" s="1222"/>
      <c r="AZV57" s="1222"/>
      <c r="AZW57" s="1222"/>
      <c r="AZX57" s="1222"/>
      <c r="AZY57" s="1222"/>
      <c r="AZZ57" s="1222"/>
      <c r="BAA57" s="1222"/>
      <c r="BAB57" s="1222"/>
      <c r="BAC57" s="1222"/>
      <c r="BAD57" s="1222"/>
      <c r="BAE57" s="1222"/>
      <c r="BAF57" s="1222"/>
      <c r="BAG57" s="1222"/>
      <c r="BAH57" s="1222"/>
      <c r="BAI57" s="1222"/>
      <c r="BAJ57" s="1222"/>
      <c r="BAK57" s="1222"/>
      <c r="BAL57" s="1222"/>
      <c r="BAM57" s="1222"/>
      <c r="BAN57" s="1222"/>
      <c r="BAO57" s="1222"/>
      <c r="BAP57" s="1222"/>
      <c r="BAQ57" s="1222"/>
      <c r="BAR57" s="1222"/>
      <c r="BAS57" s="1222"/>
      <c r="BAT57" s="1222"/>
      <c r="BAU57" s="1222"/>
      <c r="BAV57" s="1222"/>
      <c r="BAW57" s="1222"/>
      <c r="BAX57" s="1222"/>
      <c r="BAY57" s="1222"/>
      <c r="BAZ57" s="1222"/>
      <c r="BBA57" s="1222"/>
      <c r="BBB57" s="1222"/>
      <c r="BBC57" s="1222"/>
      <c r="BBD57" s="1222"/>
      <c r="BBE57" s="1222"/>
      <c r="BBF57" s="1222"/>
      <c r="BBG57" s="1222"/>
      <c r="BBH57" s="1222"/>
      <c r="BBI57" s="1222"/>
      <c r="BBJ57" s="1222"/>
      <c r="BBK57" s="1222"/>
      <c r="BBL57" s="1222"/>
      <c r="BBM57" s="1222"/>
      <c r="BBN57" s="1222"/>
      <c r="BBO57" s="1222"/>
      <c r="BBP57" s="1222"/>
      <c r="BBQ57" s="1222"/>
      <c r="BBR57" s="1222"/>
      <c r="BBS57" s="1222"/>
      <c r="BBT57" s="1222"/>
      <c r="BBU57" s="1222"/>
      <c r="BBV57" s="1222"/>
      <c r="BBW57" s="1222"/>
      <c r="BBX57" s="1222"/>
      <c r="BBY57" s="1222"/>
      <c r="BBZ57" s="1222"/>
      <c r="BCA57" s="1222"/>
      <c r="BCB57" s="1222"/>
      <c r="BCC57" s="1222"/>
      <c r="BCD57" s="1222"/>
      <c r="BCE57" s="1222"/>
      <c r="BCF57" s="1222"/>
      <c r="BCG57" s="1222"/>
      <c r="BCH57" s="1222"/>
      <c r="BCI57" s="1222"/>
      <c r="BCJ57" s="1222"/>
      <c r="BCK57" s="1222"/>
      <c r="BCL57" s="1222"/>
      <c r="BCM57" s="1222"/>
      <c r="BCN57" s="1222"/>
      <c r="BCO57" s="1222"/>
      <c r="BCP57" s="1222"/>
      <c r="BCQ57" s="1222"/>
      <c r="BCR57" s="1222"/>
      <c r="BCS57" s="1222"/>
      <c r="BCT57" s="1222"/>
      <c r="BCU57" s="1222"/>
      <c r="BCV57" s="1222"/>
      <c r="BCW57" s="1222"/>
      <c r="BCX57" s="1222"/>
      <c r="BCY57" s="1222"/>
      <c r="BCZ57" s="1222"/>
      <c r="BDA57" s="1222"/>
      <c r="BDB57" s="1222"/>
      <c r="BDC57" s="1222"/>
      <c r="BDD57" s="1222"/>
      <c r="BDE57" s="1222"/>
      <c r="BDF57" s="1222"/>
      <c r="BDG57" s="1222"/>
      <c r="BDH57" s="1222"/>
      <c r="BDI57" s="1222"/>
      <c r="BDJ57" s="1222"/>
      <c r="BDK57" s="1222"/>
      <c r="BDL57" s="1222"/>
      <c r="BDM57" s="1222"/>
      <c r="BDN57" s="1222"/>
      <c r="BDO57" s="1222"/>
      <c r="BDP57" s="1222"/>
      <c r="BDQ57" s="1222"/>
      <c r="BDR57" s="1222"/>
      <c r="BDS57" s="1222"/>
      <c r="BDT57" s="1222"/>
      <c r="BDU57" s="1222"/>
      <c r="BDV57" s="1222"/>
      <c r="BDW57" s="1222"/>
      <c r="BDX57" s="1222"/>
      <c r="BDY57" s="1222"/>
      <c r="BDZ57" s="1222"/>
      <c r="BEA57" s="1222"/>
      <c r="BEB57" s="1222"/>
      <c r="BEC57" s="1222"/>
      <c r="BED57" s="1222"/>
      <c r="BEE57" s="1222"/>
      <c r="BEF57" s="1222"/>
      <c r="BEG57" s="1222"/>
      <c r="BEH57" s="1222"/>
      <c r="BEI57" s="1222"/>
      <c r="BEJ57" s="1222"/>
      <c r="BEK57" s="1222"/>
      <c r="BEL57" s="1222"/>
      <c r="BEM57" s="1222"/>
      <c r="BEN57" s="1222"/>
      <c r="BEO57" s="1222"/>
      <c r="BEP57" s="1222"/>
      <c r="BEQ57" s="1222"/>
      <c r="BER57" s="1222"/>
      <c r="BES57" s="1222"/>
      <c r="BET57" s="1222"/>
      <c r="BEU57" s="1222"/>
      <c r="BEV57" s="1222"/>
      <c r="BEW57" s="1222"/>
      <c r="BEX57" s="1222"/>
      <c r="BEY57" s="1222"/>
      <c r="BEZ57" s="1222"/>
      <c r="BFA57" s="1222"/>
      <c r="BFB57" s="1222"/>
      <c r="BFC57" s="1222"/>
      <c r="BFD57" s="1222"/>
      <c r="BFE57" s="1222"/>
      <c r="BFF57" s="1222"/>
      <c r="BFG57" s="1222"/>
      <c r="BFH57" s="1222"/>
      <c r="BFI57" s="1222"/>
      <c r="BFJ57" s="1222"/>
      <c r="BFK57" s="1222"/>
      <c r="BFL57" s="1222"/>
      <c r="BFM57" s="1222"/>
      <c r="BFN57" s="1222"/>
      <c r="BFO57" s="1222"/>
      <c r="BFP57" s="1222"/>
      <c r="BFQ57" s="1222"/>
      <c r="BFR57" s="1222"/>
      <c r="BFS57" s="1222"/>
      <c r="BFT57" s="1222"/>
      <c r="BFU57" s="1222"/>
      <c r="BFV57" s="1222"/>
      <c r="BFW57" s="1222"/>
      <c r="BFX57" s="1222"/>
      <c r="BFY57" s="1222"/>
      <c r="BFZ57" s="1222"/>
      <c r="BGA57" s="1222"/>
      <c r="BGB57" s="1222"/>
      <c r="BGC57" s="1222"/>
      <c r="BGD57" s="1222"/>
      <c r="BGE57" s="1222"/>
      <c r="BGF57" s="1222"/>
      <c r="BGG57" s="1222"/>
      <c r="BGH57" s="1222"/>
      <c r="BGI57" s="1222"/>
      <c r="BGJ57" s="1222"/>
      <c r="BGK57" s="1222"/>
      <c r="BGL57" s="1222"/>
      <c r="BGM57" s="1222"/>
      <c r="BGN57" s="1222"/>
      <c r="BGO57" s="1222"/>
      <c r="BGP57" s="1222"/>
      <c r="BGQ57" s="1222"/>
      <c r="BGR57" s="1222"/>
      <c r="BGS57" s="1222"/>
      <c r="BGT57" s="1222"/>
      <c r="BGU57" s="1222"/>
      <c r="BGV57" s="1222"/>
      <c r="BGW57" s="1222"/>
      <c r="BGX57" s="1222"/>
      <c r="BGY57" s="1222"/>
      <c r="BGZ57" s="1222"/>
      <c r="BHA57" s="1222"/>
      <c r="BHB57" s="1222"/>
      <c r="BHC57" s="1222"/>
      <c r="BHD57" s="1222"/>
      <c r="BHE57" s="1222"/>
      <c r="BHF57" s="1222"/>
      <c r="BHG57" s="1222"/>
      <c r="BHH57" s="1222"/>
      <c r="BHI57" s="1222"/>
      <c r="BHJ57" s="1222"/>
      <c r="BHK57" s="1222"/>
      <c r="BHL57" s="1222"/>
      <c r="BHM57" s="1222"/>
      <c r="BHN57" s="1222"/>
      <c r="BHO57" s="1222"/>
      <c r="BHP57" s="1222"/>
      <c r="BHQ57" s="1222"/>
      <c r="BHR57" s="1222"/>
      <c r="BHS57" s="1222"/>
      <c r="BHT57" s="1222"/>
      <c r="BHU57" s="1222"/>
      <c r="BHV57" s="1222"/>
      <c r="BHW57" s="1222"/>
      <c r="BHX57" s="1222"/>
      <c r="BHY57" s="1222"/>
      <c r="BHZ57" s="1222"/>
      <c r="BIA57" s="1222"/>
      <c r="BIB57" s="1222"/>
      <c r="BIC57" s="1222"/>
      <c r="BID57" s="1222"/>
      <c r="BIE57" s="1222"/>
      <c r="BIF57" s="1222"/>
      <c r="BIG57" s="1222"/>
      <c r="BIH57" s="1222"/>
      <c r="BII57" s="1222"/>
      <c r="BIJ57" s="1222"/>
      <c r="BIK57" s="1222"/>
      <c r="BIL57" s="1222"/>
      <c r="BIM57" s="1222"/>
      <c r="BIN57" s="1222"/>
      <c r="BIO57" s="1222"/>
      <c r="BIP57" s="1222"/>
      <c r="BIQ57" s="1222"/>
      <c r="BIR57" s="1222"/>
      <c r="BIS57" s="1222"/>
      <c r="BIT57" s="1222"/>
      <c r="BIU57" s="1222"/>
      <c r="BIV57" s="1222"/>
      <c r="BIW57" s="1222"/>
      <c r="BIX57" s="1222"/>
      <c r="BIY57" s="1222"/>
      <c r="BIZ57" s="1222"/>
      <c r="BJA57" s="1222"/>
      <c r="BJB57" s="1222"/>
      <c r="BJC57" s="1222"/>
      <c r="BJD57" s="1222"/>
      <c r="BJE57" s="1222"/>
      <c r="BJF57" s="1222"/>
      <c r="BJG57" s="1222"/>
      <c r="BJH57" s="1222"/>
      <c r="BJI57" s="1222"/>
      <c r="BJJ57" s="1222"/>
      <c r="BJK57" s="1222"/>
      <c r="BJL57" s="1222"/>
      <c r="BJM57" s="1222"/>
      <c r="BJN57" s="1222"/>
      <c r="BJO57" s="1222"/>
      <c r="BJP57" s="1222"/>
      <c r="BJQ57" s="1222"/>
      <c r="BJR57" s="1222"/>
      <c r="BJS57" s="1222"/>
      <c r="BJT57" s="1222"/>
      <c r="BJU57" s="1222"/>
      <c r="BJV57" s="1222"/>
      <c r="BJW57" s="1222"/>
      <c r="BJX57" s="1222"/>
      <c r="BJY57" s="1222"/>
      <c r="BJZ57" s="1222"/>
      <c r="BKA57" s="1222"/>
      <c r="BKB57" s="1222"/>
      <c r="BKC57" s="1222"/>
      <c r="BKD57" s="1222"/>
      <c r="BKE57" s="1222"/>
      <c r="BKF57" s="1222"/>
      <c r="BKG57" s="1222"/>
      <c r="BKH57" s="1222"/>
      <c r="BKI57" s="1222"/>
      <c r="BKJ57" s="1222"/>
      <c r="BKK57" s="1222"/>
      <c r="BKL57" s="1222"/>
      <c r="BKM57" s="1222"/>
      <c r="BKN57" s="1222"/>
      <c r="BKO57" s="1222"/>
      <c r="BKP57" s="1222"/>
      <c r="BKQ57" s="1222"/>
      <c r="BKR57" s="1222"/>
      <c r="BKS57" s="1222"/>
      <c r="BKT57" s="1222"/>
      <c r="BKU57" s="1222"/>
      <c r="BKV57" s="1222"/>
      <c r="BKW57" s="1222"/>
      <c r="BKX57" s="1222"/>
      <c r="BKY57" s="1222"/>
      <c r="BKZ57" s="1222"/>
      <c r="BLA57" s="1222"/>
      <c r="BLB57" s="1222"/>
      <c r="BLC57" s="1222"/>
      <c r="BLD57" s="1222"/>
      <c r="BLE57" s="1222"/>
      <c r="BLF57" s="1222"/>
      <c r="BLG57" s="1222"/>
      <c r="BLH57" s="1222"/>
      <c r="BLI57" s="1222"/>
      <c r="BLJ57" s="1222"/>
      <c r="BLK57" s="1222"/>
      <c r="BLL57" s="1222"/>
      <c r="BLM57" s="1222"/>
      <c r="BLN57" s="1222"/>
      <c r="BLO57" s="1222"/>
      <c r="BLP57" s="1222"/>
      <c r="BLQ57" s="1222"/>
      <c r="BLR57" s="1222"/>
      <c r="BLS57" s="1222"/>
      <c r="BLT57" s="1222"/>
      <c r="BLU57" s="1222"/>
      <c r="BLV57" s="1222"/>
      <c r="BLW57" s="1222"/>
      <c r="BLX57" s="1222"/>
      <c r="BLY57" s="1222"/>
      <c r="BLZ57" s="1222"/>
      <c r="BMA57" s="1222"/>
      <c r="BMB57" s="1222"/>
      <c r="BMC57" s="1222"/>
      <c r="BMD57" s="1222"/>
      <c r="BME57" s="1222"/>
      <c r="BMF57" s="1222"/>
      <c r="BMG57" s="1222"/>
      <c r="BMH57" s="1222"/>
      <c r="BMI57" s="1222"/>
      <c r="BMJ57" s="1222"/>
      <c r="BMK57" s="1222"/>
      <c r="BML57" s="1222"/>
      <c r="BMM57" s="1222"/>
      <c r="BMN57" s="1222"/>
      <c r="BMO57" s="1222"/>
      <c r="BMP57" s="1222"/>
      <c r="BMQ57" s="1222"/>
      <c r="BMR57" s="1222"/>
      <c r="BMS57" s="1222"/>
      <c r="BMT57" s="1222"/>
      <c r="BMU57" s="1222"/>
      <c r="BMV57" s="1222"/>
      <c r="BMW57" s="1222"/>
      <c r="BMX57" s="1222"/>
      <c r="BMY57" s="1222"/>
      <c r="BMZ57" s="1222"/>
      <c r="BNA57" s="1222"/>
      <c r="BNB57" s="1222"/>
      <c r="BNC57" s="1222"/>
      <c r="BND57" s="1222"/>
      <c r="BNE57" s="1222"/>
      <c r="BNF57" s="1222"/>
      <c r="BNG57" s="1222"/>
      <c r="BNH57" s="1222"/>
      <c r="BNI57" s="1222"/>
      <c r="BNJ57" s="1222"/>
      <c r="BNK57" s="1222"/>
      <c r="BNL57" s="1222"/>
      <c r="BNM57" s="1222"/>
      <c r="BNN57" s="1222"/>
      <c r="BNO57" s="1222"/>
      <c r="BNP57" s="1222"/>
      <c r="BNQ57" s="1222"/>
      <c r="BNR57" s="1222"/>
      <c r="BNS57" s="1222"/>
      <c r="BNT57" s="1222"/>
      <c r="BNU57" s="1222"/>
      <c r="BNV57" s="1222"/>
      <c r="BNW57" s="1222"/>
      <c r="BNX57" s="1222"/>
      <c r="BNY57" s="1222"/>
      <c r="BNZ57" s="1222"/>
      <c r="BOA57" s="1222"/>
      <c r="BOB57" s="1222"/>
      <c r="BOC57" s="1222"/>
      <c r="BOD57" s="1222"/>
      <c r="BOE57" s="1222"/>
      <c r="BOF57" s="1222"/>
      <c r="BOG57" s="1222"/>
      <c r="BOH57" s="1222"/>
      <c r="BOI57" s="1222"/>
      <c r="BOJ57" s="1222"/>
      <c r="BOK57" s="1222"/>
      <c r="BOL57" s="1222"/>
      <c r="BOM57" s="1222"/>
      <c r="BON57" s="1222"/>
      <c r="BOO57" s="1222"/>
      <c r="BOP57" s="1222"/>
      <c r="BOQ57" s="1222"/>
      <c r="BOR57" s="1222"/>
      <c r="BOS57" s="1222"/>
      <c r="BOT57" s="1222"/>
      <c r="BOU57" s="1222"/>
      <c r="BOV57" s="1222"/>
      <c r="BOW57" s="1222"/>
      <c r="BOX57" s="1222"/>
      <c r="BOY57" s="1222"/>
      <c r="BOZ57" s="1222"/>
      <c r="BPA57" s="1222"/>
      <c r="BPB57" s="1222"/>
      <c r="BPC57" s="1222"/>
      <c r="BPD57" s="1222"/>
      <c r="BPE57" s="1222"/>
      <c r="BPF57" s="1222"/>
      <c r="BPG57" s="1222"/>
      <c r="BPH57" s="1222"/>
      <c r="BPI57" s="1222"/>
      <c r="BPJ57" s="1222"/>
      <c r="BPK57" s="1222"/>
      <c r="BPL57" s="1222"/>
      <c r="BPM57" s="1222"/>
      <c r="BPN57" s="1222"/>
      <c r="BPO57" s="1222"/>
      <c r="BPP57" s="1222"/>
      <c r="BPQ57" s="1222"/>
      <c r="BPR57" s="1222"/>
      <c r="BPS57" s="1222"/>
      <c r="BPT57" s="1222"/>
      <c r="BPU57" s="1222"/>
      <c r="BPV57" s="1222"/>
      <c r="BPW57" s="1222"/>
      <c r="BPX57" s="1222"/>
      <c r="BPY57" s="1222"/>
      <c r="BPZ57" s="1222"/>
      <c r="BQA57" s="1222"/>
      <c r="BQB57" s="1222"/>
      <c r="BQC57" s="1222"/>
      <c r="BQD57" s="1222"/>
      <c r="BQE57" s="1222"/>
      <c r="BQF57" s="1222"/>
      <c r="BQG57" s="1222"/>
      <c r="BQH57" s="1222"/>
      <c r="BQI57" s="1222"/>
      <c r="BQJ57" s="1222"/>
      <c r="BQK57" s="1222"/>
      <c r="BQL57" s="1222"/>
      <c r="BQM57" s="1222"/>
      <c r="BQN57" s="1222"/>
      <c r="BQO57" s="1222"/>
      <c r="BQP57" s="1222"/>
      <c r="BQQ57" s="1222"/>
      <c r="BQR57" s="1222"/>
      <c r="BQS57" s="1222"/>
      <c r="BQT57" s="1222"/>
      <c r="BQU57" s="1222"/>
      <c r="BQV57" s="1222"/>
      <c r="BQW57" s="1222"/>
      <c r="BQX57" s="1222"/>
      <c r="BQY57" s="1222"/>
      <c r="BQZ57" s="1222"/>
      <c r="BRA57" s="1222"/>
      <c r="BRB57" s="1222"/>
      <c r="BRC57" s="1222"/>
      <c r="BRD57" s="1222"/>
      <c r="BRE57" s="1222"/>
      <c r="BRF57" s="1222"/>
      <c r="BRG57" s="1222"/>
      <c r="BRH57" s="1222"/>
      <c r="BRI57" s="1222"/>
      <c r="BRJ57" s="1222"/>
      <c r="BRK57" s="1222"/>
      <c r="BRL57" s="1222"/>
      <c r="BRM57" s="1222"/>
      <c r="BRN57" s="1222"/>
      <c r="BRO57" s="1222"/>
      <c r="BRP57" s="1222"/>
      <c r="BRQ57" s="1222"/>
      <c r="BRR57" s="1222"/>
      <c r="BRS57" s="1222"/>
      <c r="BRT57" s="1222"/>
      <c r="BRU57" s="1222"/>
      <c r="BRV57" s="1222"/>
      <c r="BRW57" s="1222"/>
      <c r="BRX57" s="1222"/>
      <c r="BRY57" s="1222"/>
      <c r="BRZ57" s="1222"/>
      <c r="BSA57" s="1222"/>
      <c r="BSB57" s="1222"/>
      <c r="BSC57" s="1222"/>
      <c r="BSD57" s="1222"/>
      <c r="BSE57" s="1222"/>
      <c r="BSF57" s="1222"/>
      <c r="BSG57" s="1222"/>
      <c r="BSH57" s="1222"/>
      <c r="BSI57" s="1222"/>
      <c r="BSJ57" s="1222"/>
      <c r="BSK57" s="1222"/>
      <c r="BSL57" s="1222"/>
      <c r="BSM57" s="1222"/>
      <c r="BSN57" s="1222"/>
      <c r="BSO57" s="1222"/>
      <c r="BSP57" s="1222"/>
      <c r="BSQ57" s="1222"/>
      <c r="BSR57" s="1222"/>
      <c r="BSS57" s="1222"/>
      <c r="BST57" s="1222"/>
      <c r="BSU57" s="1222"/>
      <c r="BSV57" s="1222"/>
      <c r="BSW57" s="1222"/>
      <c r="BSX57" s="1222"/>
      <c r="BSY57" s="1222"/>
      <c r="BSZ57" s="1222"/>
      <c r="BTA57" s="1222"/>
      <c r="BTB57" s="1222"/>
      <c r="BTC57" s="1222"/>
      <c r="BTD57" s="1222"/>
      <c r="BTE57" s="1222"/>
      <c r="BTF57" s="1222"/>
      <c r="BTG57" s="1222"/>
      <c r="BTH57" s="1222"/>
      <c r="BTI57" s="1222"/>
      <c r="BTJ57" s="1222"/>
      <c r="BTK57" s="1222"/>
      <c r="BTL57" s="1222"/>
      <c r="BTM57" s="1222"/>
      <c r="BTN57" s="1222"/>
      <c r="BTO57" s="1222"/>
      <c r="BTP57" s="1222"/>
      <c r="BTQ57" s="1222"/>
      <c r="BTR57" s="1222"/>
      <c r="BTS57" s="1222"/>
      <c r="BTT57" s="1222"/>
      <c r="BTU57" s="1222"/>
      <c r="BTV57" s="1222"/>
      <c r="BTW57" s="1222"/>
      <c r="BTX57" s="1222"/>
      <c r="BTY57" s="1222"/>
      <c r="BTZ57" s="1222"/>
      <c r="BUA57" s="1222"/>
      <c r="BUB57" s="1222"/>
      <c r="BUC57" s="1222"/>
      <c r="BUD57" s="1222"/>
      <c r="BUE57" s="1222"/>
      <c r="BUF57" s="1222"/>
      <c r="BUG57" s="1222"/>
      <c r="BUH57" s="1222"/>
      <c r="BUI57" s="1222"/>
      <c r="BUJ57" s="1222"/>
      <c r="BUK57" s="1222"/>
      <c r="BUL57" s="1222"/>
      <c r="BUM57" s="1222"/>
      <c r="BUN57" s="1222"/>
      <c r="BUO57" s="1222"/>
      <c r="BUP57" s="1222"/>
      <c r="BUQ57" s="1222"/>
      <c r="BUR57" s="1222"/>
      <c r="BUS57" s="1222"/>
      <c r="BUT57" s="1222"/>
      <c r="BUU57" s="1222"/>
      <c r="BUV57" s="1222"/>
      <c r="BUW57" s="1222"/>
      <c r="BUX57" s="1222"/>
      <c r="BUY57" s="1222"/>
      <c r="BUZ57" s="1222"/>
      <c r="BVA57" s="1222"/>
      <c r="BVB57" s="1222"/>
      <c r="BVC57" s="1222"/>
      <c r="BVD57" s="1222"/>
      <c r="BVE57" s="1222"/>
      <c r="BVF57" s="1222"/>
      <c r="BVG57" s="1222"/>
      <c r="BVH57" s="1222"/>
      <c r="BVI57" s="1222"/>
      <c r="BVJ57" s="1222"/>
      <c r="BVK57" s="1222"/>
      <c r="BVL57" s="1222"/>
      <c r="BVM57" s="1222"/>
      <c r="BVN57" s="1222"/>
      <c r="BVO57" s="1222"/>
      <c r="BVP57" s="1222"/>
      <c r="BVQ57" s="1222"/>
      <c r="BVR57" s="1222"/>
      <c r="BVS57" s="1222"/>
      <c r="BVT57" s="1222"/>
      <c r="BVU57" s="1222"/>
      <c r="BVV57" s="1222"/>
      <c r="BVW57" s="1222"/>
      <c r="BVX57" s="1222"/>
      <c r="BVY57" s="1222"/>
      <c r="BVZ57" s="1222"/>
      <c r="BWA57" s="1222"/>
      <c r="BWB57" s="1222"/>
      <c r="BWC57" s="1222"/>
      <c r="BWD57" s="1222"/>
      <c r="BWE57" s="1222"/>
      <c r="BWF57" s="1222"/>
      <c r="BWG57" s="1222"/>
      <c r="BWH57" s="1222"/>
      <c r="BWI57" s="1222"/>
      <c r="BWJ57" s="1222"/>
      <c r="BWK57" s="1222"/>
      <c r="BWL57" s="1222"/>
      <c r="BWM57" s="1222"/>
      <c r="BWN57" s="1222"/>
      <c r="BWO57" s="1222"/>
      <c r="BWP57" s="1222"/>
      <c r="BWQ57" s="1222"/>
      <c r="BWR57" s="1222"/>
      <c r="BWS57" s="1222"/>
      <c r="BWT57" s="1222"/>
      <c r="BWU57" s="1222"/>
      <c r="BWV57" s="1222"/>
      <c r="BWW57" s="1222"/>
      <c r="BWX57" s="1222"/>
      <c r="BWY57" s="1222"/>
      <c r="BWZ57" s="1222"/>
      <c r="BXA57" s="1222"/>
      <c r="BXB57" s="1222"/>
      <c r="BXC57" s="1222"/>
      <c r="BXD57" s="1222"/>
      <c r="BXE57" s="1222"/>
      <c r="BXF57" s="1222"/>
      <c r="BXG57" s="1222"/>
      <c r="BXH57" s="1222"/>
      <c r="BXI57" s="1222"/>
      <c r="BXJ57" s="1222"/>
      <c r="BXK57" s="1222"/>
      <c r="BXL57" s="1222"/>
      <c r="BXM57" s="1222"/>
      <c r="BXN57" s="1222"/>
      <c r="BXO57" s="1222"/>
      <c r="BXP57" s="1222"/>
      <c r="BXQ57" s="1222"/>
      <c r="BXR57" s="1222"/>
      <c r="BXS57" s="1222"/>
      <c r="BXT57" s="1222"/>
      <c r="BXU57" s="1222"/>
      <c r="BXV57" s="1222"/>
      <c r="BXW57" s="1222"/>
      <c r="BXX57" s="1222"/>
      <c r="BXY57" s="1222"/>
      <c r="BXZ57" s="1222"/>
      <c r="BYA57" s="1222"/>
      <c r="BYB57" s="1222"/>
      <c r="BYC57" s="1222"/>
      <c r="BYD57" s="1222"/>
      <c r="BYE57" s="1222"/>
      <c r="BYF57" s="1222"/>
      <c r="BYG57" s="1222"/>
      <c r="BYH57" s="1222"/>
      <c r="BYI57" s="1222"/>
      <c r="BYJ57" s="1222"/>
      <c r="BYK57" s="1222"/>
      <c r="BYL57" s="1222"/>
      <c r="BYM57" s="1222"/>
      <c r="BYN57" s="1222"/>
      <c r="BYO57" s="1222"/>
      <c r="BYP57" s="1222"/>
      <c r="BYQ57" s="1222"/>
      <c r="BYR57" s="1222"/>
      <c r="BYS57" s="1222"/>
      <c r="BYT57" s="1222"/>
      <c r="BYU57" s="1222"/>
      <c r="BYV57" s="1222"/>
      <c r="BYW57" s="1222"/>
      <c r="BYX57" s="1222"/>
      <c r="BYY57" s="1222"/>
      <c r="BYZ57" s="1222"/>
      <c r="BZA57" s="1222"/>
      <c r="BZB57" s="1222"/>
      <c r="BZC57" s="1222"/>
      <c r="BZD57" s="1222"/>
      <c r="BZE57" s="1222"/>
      <c r="BZF57" s="1222"/>
      <c r="BZG57" s="1222"/>
      <c r="BZH57" s="1222"/>
      <c r="BZI57" s="1222"/>
      <c r="BZJ57" s="1222"/>
      <c r="BZK57" s="1222"/>
      <c r="BZL57" s="1222"/>
      <c r="BZM57" s="1222"/>
      <c r="BZN57" s="1222"/>
      <c r="BZO57" s="1222"/>
      <c r="BZP57" s="1222"/>
      <c r="BZQ57" s="1222"/>
      <c r="BZR57" s="1222"/>
      <c r="BZS57" s="1222"/>
      <c r="BZT57" s="1222"/>
      <c r="BZU57" s="1222"/>
      <c r="BZV57" s="1222"/>
      <c r="BZW57" s="1222"/>
      <c r="BZX57" s="1222"/>
      <c r="BZY57" s="1222"/>
      <c r="BZZ57" s="1222"/>
      <c r="CAA57" s="1222"/>
      <c r="CAB57" s="1222"/>
      <c r="CAC57" s="1222"/>
      <c r="CAD57" s="1222"/>
      <c r="CAE57" s="1222"/>
      <c r="CAF57" s="1222"/>
      <c r="CAG57" s="1222"/>
      <c r="CAH57" s="1222"/>
      <c r="CAI57" s="1222"/>
      <c r="CAJ57" s="1222"/>
      <c r="CAK57" s="1222"/>
      <c r="CAL57" s="1222"/>
      <c r="CAM57" s="1222"/>
      <c r="CAN57" s="1222"/>
      <c r="CAO57" s="1222"/>
      <c r="CAP57" s="1222"/>
      <c r="CAQ57" s="1222"/>
      <c r="CAR57" s="1222"/>
      <c r="CAS57" s="1222"/>
      <c r="CAT57" s="1222"/>
      <c r="CAU57" s="1222"/>
      <c r="CAV57" s="1222"/>
      <c r="CAW57" s="1222"/>
      <c r="CAX57" s="1222"/>
      <c r="CAY57" s="1222"/>
      <c r="CAZ57" s="1222"/>
      <c r="CBA57" s="1222"/>
      <c r="CBB57" s="1222"/>
      <c r="CBC57" s="1222"/>
      <c r="CBD57" s="1222"/>
      <c r="CBE57" s="1222"/>
      <c r="CBF57" s="1222"/>
      <c r="CBG57" s="1222"/>
      <c r="CBH57" s="1222"/>
      <c r="CBI57" s="1222"/>
      <c r="CBJ57" s="1222"/>
      <c r="CBK57" s="1222"/>
      <c r="CBL57" s="1222"/>
      <c r="CBM57" s="1222"/>
      <c r="CBN57" s="1222"/>
      <c r="CBO57" s="1222"/>
      <c r="CBP57" s="1222"/>
      <c r="CBQ57" s="1222"/>
      <c r="CBR57" s="1222"/>
      <c r="CBS57" s="1222"/>
      <c r="CBT57" s="1222"/>
      <c r="CBU57" s="1222"/>
      <c r="CBV57" s="1222"/>
      <c r="CBW57" s="1222"/>
      <c r="CBX57" s="1222"/>
      <c r="CBY57" s="1222"/>
      <c r="CBZ57" s="1222"/>
      <c r="CCA57" s="1222"/>
      <c r="CCB57" s="1222"/>
      <c r="CCC57" s="1222"/>
      <c r="CCD57" s="1222"/>
      <c r="CCE57" s="1222"/>
      <c r="CCF57" s="1222"/>
      <c r="CCG57" s="1222"/>
      <c r="CCH57" s="1222"/>
      <c r="CCI57" s="1222"/>
      <c r="CCJ57" s="1222"/>
      <c r="CCK57" s="1222"/>
      <c r="CCL57" s="1222"/>
      <c r="CCM57" s="1222"/>
      <c r="CCN57" s="1222"/>
      <c r="CCO57" s="1222"/>
      <c r="CCP57" s="1222"/>
      <c r="CCQ57" s="1222"/>
      <c r="CCR57" s="1222"/>
      <c r="CCS57" s="1222"/>
      <c r="CCT57" s="1222"/>
      <c r="CCU57" s="1222"/>
      <c r="CCV57" s="1222"/>
      <c r="CCW57" s="1222"/>
      <c r="CCX57" s="1222"/>
      <c r="CCY57" s="1222"/>
      <c r="CCZ57" s="1222"/>
      <c r="CDA57" s="1222"/>
      <c r="CDB57" s="1222"/>
      <c r="CDC57" s="1222"/>
      <c r="CDD57" s="1222"/>
      <c r="CDE57" s="1222"/>
      <c r="CDF57" s="1222"/>
      <c r="CDG57" s="1222"/>
      <c r="CDH57" s="1222"/>
      <c r="CDI57" s="1222"/>
      <c r="CDJ57" s="1222"/>
      <c r="CDK57" s="1222"/>
      <c r="CDL57" s="1222"/>
      <c r="CDM57" s="1222"/>
      <c r="CDN57" s="1222"/>
      <c r="CDO57" s="1222"/>
      <c r="CDP57" s="1222"/>
      <c r="CDQ57" s="1222"/>
      <c r="CDR57" s="1222"/>
      <c r="CDS57" s="1222"/>
      <c r="CDT57" s="1222"/>
      <c r="CDU57" s="1222"/>
      <c r="CDV57" s="1222"/>
      <c r="CDW57" s="1222"/>
      <c r="CDX57" s="1222"/>
      <c r="CDY57" s="1222"/>
      <c r="CDZ57" s="1222"/>
      <c r="CEA57" s="1222"/>
      <c r="CEB57" s="1222"/>
      <c r="CEC57" s="1222"/>
      <c r="CED57" s="1222"/>
      <c r="CEE57" s="1222"/>
      <c r="CEF57" s="1222"/>
      <c r="CEG57" s="1222"/>
      <c r="CEH57" s="1222"/>
      <c r="CEI57" s="1222"/>
      <c r="CEJ57" s="1222"/>
      <c r="CEK57" s="1222"/>
      <c r="CEL57" s="1222"/>
      <c r="CEM57" s="1222"/>
      <c r="CEN57" s="1222"/>
      <c r="CEO57" s="1222"/>
      <c r="CEP57" s="1222"/>
      <c r="CEQ57" s="1222"/>
      <c r="CER57" s="1222"/>
      <c r="CES57" s="1222"/>
      <c r="CET57" s="1222"/>
      <c r="CEU57" s="1222"/>
      <c r="CEV57" s="1222"/>
      <c r="CEW57" s="1222"/>
      <c r="CEX57" s="1222"/>
      <c r="CEY57" s="1222"/>
      <c r="CEZ57" s="1222"/>
      <c r="CFA57" s="1222"/>
      <c r="CFB57" s="1222"/>
      <c r="CFC57" s="1222"/>
      <c r="CFD57" s="1222"/>
      <c r="CFE57" s="1222"/>
      <c r="CFF57" s="1222"/>
      <c r="CFG57" s="1222"/>
      <c r="CFH57" s="1222"/>
      <c r="CFI57" s="1222"/>
      <c r="CFJ57" s="1222"/>
      <c r="CFK57" s="1222"/>
      <c r="CFL57" s="1222"/>
      <c r="CFM57" s="1222"/>
      <c r="CFN57" s="1222"/>
      <c r="CFO57" s="1222"/>
      <c r="CFP57" s="1222"/>
      <c r="CFQ57" s="1222"/>
      <c r="CFR57" s="1222"/>
      <c r="CFS57" s="1222"/>
      <c r="CFT57" s="1222"/>
      <c r="CFU57" s="1222"/>
      <c r="CFV57" s="1222"/>
      <c r="CFW57" s="1222"/>
      <c r="CFX57" s="1222"/>
      <c r="CFY57" s="1222"/>
      <c r="CFZ57" s="1222"/>
      <c r="CGA57" s="1222"/>
      <c r="CGB57" s="1222"/>
      <c r="CGC57" s="1222"/>
      <c r="CGD57" s="1222"/>
      <c r="CGE57" s="1222"/>
      <c r="CGF57" s="1222"/>
      <c r="CGG57" s="1222"/>
      <c r="CGH57" s="1222"/>
      <c r="CGI57" s="1222"/>
      <c r="CGJ57" s="1222"/>
      <c r="CGK57" s="1222"/>
      <c r="CGL57" s="1222"/>
      <c r="CGM57" s="1222"/>
      <c r="CGN57" s="1222"/>
      <c r="CGO57" s="1222"/>
      <c r="CGP57" s="1222"/>
      <c r="CGQ57" s="1222"/>
      <c r="CGR57" s="1222"/>
      <c r="CGS57" s="1222"/>
      <c r="CGT57" s="1222"/>
      <c r="CGU57" s="1222"/>
      <c r="CGV57" s="1222"/>
      <c r="CGW57" s="1222"/>
      <c r="CGX57" s="1222"/>
      <c r="CGY57" s="1222"/>
      <c r="CGZ57" s="1222"/>
      <c r="CHA57" s="1222"/>
      <c r="CHB57" s="1222"/>
      <c r="CHC57" s="1222"/>
      <c r="CHD57" s="1222"/>
      <c r="CHE57" s="1222"/>
      <c r="CHF57" s="1222"/>
      <c r="CHG57" s="1222"/>
      <c r="CHH57" s="1222"/>
      <c r="CHI57" s="1222"/>
      <c r="CHJ57" s="1222"/>
      <c r="CHK57" s="1222"/>
      <c r="CHL57" s="1222"/>
      <c r="CHM57" s="1222"/>
      <c r="CHN57" s="1222"/>
      <c r="CHO57" s="1222"/>
      <c r="CHP57" s="1222"/>
      <c r="CHQ57" s="1222"/>
      <c r="CHR57" s="1222"/>
      <c r="CHS57" s="1222"/>
      <c r="CHT57" s="1222"/>
      <c r="CHU57" s="1222"/>
      <c r="CHV57" s="1222"/>
      <c r="CHW57" s="1222"/>
      <c r="CHX57" s="1222"/>
      <c r="CHY57" s="1222"/>
      <c r="CHZ57" s="1222"/>
      <c r="CIA57" s="1222"/>
      <c r="CIB57" s="1222"/>
      <c r="CIC57" s="1222"/>
      <c r="CID57" s="1222"/>
      <c r="CIE57" s="1222"/>
      <c r="CIF57" s="1222"/>
      <c r="CIG57" s="1222"/>
      <c r="CIH57" s="1222"/>
      <c r="CII57" s="1222"/>
      <c r="CIJ57" s="1222"/>
      <c r="CIK57" s="1222"/>
      <c r="CIL57" s="1222"/>
      <c r="CIM57" s="1222"/>
      <c r="CIN57" s="1222"/>
      <c r="CIO57" s="1222"/>
      <c r="CIP57" s="1222"/>
      <c r="CIQ57" s="1222"/>
      <c r="CIR57" s="1222"/>
      <c r="CIS57" s="1222"/>
      <c r="CIT57" s="1222"/>
      <c r="CIU57" s="1222"/>
      <c r="CIV57" s="1222"/>
      <c r="CIW57" s="1222"/>
      <c r="CIX57" s="1222"/>
      <c r="CIY57" s="1222"/>
      <c r="CIZ57" s="1222"/>
      <c r="CJA57" s="1222"/>
      <c r="CJB57" s="1222"/>
      <c r="CJC57" s="1222"/>
      <c r="CJD57" s="1222"/>
      <c r="CJE57" s="1222"/>
      <c r="CJF57" s="1222"/>
      <c r="CJG57" s="1222"/>
      <c r="CJH57" s="1222"/>
      <c r="CJI57" s="1222"/>
      <c r="CJJ57" s="1222"/>
      <c r="CJK57" s="1222"/>
      <c r="CJL57" s="1222"/>
      <c r="CJM57" s="1222"/>
      <c r="CJN57" s="1222"/>
      <c r="CJO57" s="1222"/>
      <c r="CJP57" s="1222"/>
      <c r="CJQ57" s="1222"/>
      <c r="CJR57" s="1222"/>
      <c r="CJS57" s="1222"/>
      <c r="CJT57" s="1222"/>
      <c r="CJU57" s="1222"/>
      <c r="CJV57" s="1222"/>
      <c r="CJW57" s="1222"/>
      <c r="CJX57" s="1222"/>
      <c r="CJY57" s="1222"/>
      <c r="CJZ57" s="1222"/>
      <c r="CKA57" s="1222"/>
      <c r="CKB57" s="1222"/>
      <c r="CKC57" s="1222"/>
      <c r="CKD57" s="1222"/>
      <c r="CKE57" s="1222"/>
      <c r="CKF57" s="1222"/>
      <c r="CKG57" s="1222"/>
      <c r="CKH57" s="1222"/>
      <c r="CKI57" s="1222"/>
      <c r="CKJ57" s="1222"/>
      <c r="CKK57" s="1222"/>
      <c r="CKL57" s="1222"/>
      <c r="CKM57" s="1222"/>
      <c r="CKN57" s="1222"/>
      <c r="CKO57" s="1222"/>
      <c r="CKP57" s="1222"/>
      <c r="CKQ57" s="1222"/>
      <c r="CKR57" s="1222"/>
      <c r="CKS57" s="1222"/>
      <c r="CKT57" s="1222"/>
      <c r="CKU57" s="1222"/>
      <c r="CKV57" s="1222"/>
      <c r="CKW57" s="1222"/>
      <c r="CKX57" s="1222"/>
      <c r="CKY57" s="1222"/>
      <c r="CKZ57" s="1222"/>
      <c r="CLA57" s="1222"/>
      <c r="CLB57" s="1222"/>
      <c r="CLC57" s="1222"/>
      <c r="CLD57" s="1222"/>
      <c r="CLE57" s="1222"/>
      <c r="CLF57" s="1222"/>
      <c r="CLG57" s="1222"/>
      <c r="CLH57" s="1222"/>
      <c r="CLI57" s="1222"/>
      <c r="CLJ57" s="1222"/>
      <c r="CLK57" s="1222"/>
      <c r="CLL57" s="1222"/>
      <c r="CLM57" s="1222"/>
      <c r="CLN57" s="1222"/>
      <c r="CLO57" s="1222"/>
      <c r="CLP57" s="1222"/>
      <c r="CLQ57" s="1222"/>
      <c r="CLR57" s="1222"/>
      <c r="CLS57" s="1222"/>
      <c r="CLT57" s="1222"/>
      <c r="CLU57" s="1222"/>
      <c r="CLV57" s="1222"/>
      <c r="CLW57" s="1222"/>
      <c r="CLX57" s="1222"/>
      <c r="CLY57" s="1222"/>
      <c r="CLZ57" s="1222"/>
      <c r="CMA57" s="1222"/>
      <c r="CMB57" s="1222"/>
      <c r="CMC57" s="1222"/>
      <c r="CMD57" s="1222"/>
      <c r="CME57" s="1222"/>
      <c r="CMF57" s="1222"/>
      <c r="CMG57" s="1222"/>
      <c r="CMH57" s="1222"/>
      <c r="CMI57" s="1222"/>
      <c r="CMJ57" s="1222"/>
      <c r="CMK57" s="1222"/>
      <c r="CML57" s="1222"/>
      <c r="CMM57" s="1222"/>
      <c r="CMN57" s="1222"/>
      <c r="CMO57" s="1222"/>
      <c r="CMP57" s="1222"/>
      <c r="CMQ57" s="1222"/>
      <c r="CMR57" s="1222"/>
      <c r="CMS57" s="1222"/>
      <c r="CMT57" s="1222"/>
      <c r="CMU57" s="1222"/>
      <c r="CMV57" s="1222"/>
      <c r="CMW57" s="1222"/>
      <c r="CMX57" s="1222"/>
      <c r="CMY57" s="1222"/>
      <c r="CMZ57" s="1222"/>
      <c r="CNA57" s="1222"/>
      <c r="CNB57" s="1222"/>
      <c r="CNC57" s="1222"/>
      <c r="CND57" s="1222"/>
      <c r="CNE57" s="1222"/>
      <c r="CNF57" s="1222"/>
      <c r="CNG57" s="1222"/>
      <c r="CNH57" s="1222"/>
      <c r="CNI57" s="1222"/>
      <c r="CNJ57" s="1222"/>
      <c r="CNK57" s="1222"/>
      <c r="CNL57" s="1222"/>
      <c r="CNM57" s="1222"/>
      <c r="CNN57" s="1222"/>
      <c r="CNO57" s="1222"/>
      <c r="CNP57" s="1222"/>
      <c r="CNQ57" s="1222"/>
      <c r="CNR57" s="1222"/>
      <c r="CNS57" s="1222"/>
      <c r="CNT57" s="1222"/>
      <c r="CNU57" s="1222"/>
      <c r="CNV57" s="1222"/>
      <c r="CNW57" s="1222"/>
      <c r="CNX57" s="1222"/>
      <c r="CNY57" s="1222"/>
      <c r="CNZ57" s="1222"/>
      <c r="COA57" s="1222"/>
      <c r="COB57" s="1222"/>
      <c r="COC57" s="1222"/>
      <c r="COD57" s="1222"/>
      <c r="COE57" s="1222"/>
      <c r="COF57" s="1222"/>
      <c r="COG57" s="1222"/>
      <c r="COH57" s="1222"/>
      <c r="COI57" s="1222"/>
      <c r="COJ57" s="1222"/>
      <c r="COK57" s="1222"/>
      <c r="COL57" s="1222"/>
      <c r="COM57" s="1222"/>
      <c r="CON57" s="1222"/>
      <c r="COO57" s="1222"/>
      <c r="COP57" s="1222"/>
      <c r="COQ57" s="1222"/>
      <c r="COR57" s="1222"/>
      <c r="COS57" s="1222"/>
      <c r="COT57" s="1222"/>
      <c r="COU57" s="1222"/>
      <c r="COV57" s="1222"/>
      <c r="COW57" s="1222"/>
      <c r="COX57" s="1222"/>
      <c r="COY57" s="1222"/>
      <c r="COZ57" s="1222"/>
      <c r="CPA57" s="1222"/>
      <c r="CPB57" s="1222"/>
      <c r="CPC57" s="1222"/>
      <c r="CPD57" s="1222"/>
      <c r="CPE57" s="1222"/>
      <c r="CPF57" s="1222"/>
      <c r="CPG57" s="1222"/>
      <c r="CPH57" s="1222"/>
      <c r="CPI57" s="1222"/>
      <c r="CPJ57" s="1222"/>
      <c r="CPK57" s="1222"/>
      <c r="CPL57" s="1222"/>
      <c r="CPM57" s="1222"/>
      <c r="CPN57" s="1222"/>
      <c r="CPO57" s="1222"/>
      <c r="CPP57" s="1222"/>
      <c r="CPQ57" s="1222"/>
      <c r="CPR57" s="1222"/>
      <c r="CPS57" s="1222"/>
      <c r="CPT57" s="1222"/>
      <c r="CPU57" s="1222"/>
      <c r="CPV57" s="1222"/>
      <c r="CPW57" s="1222"/>
      <c r="CPX57" s="1222"/>
      <c r="CPY57" s="1222"/>
      <c r="CPZ57" s="1222"/>
      <c r="CQA57" s="1222"/>
      <c r="CQB57" s="1222"/>
      <c r="CQC57" s="1222"/>
      <c r="CQD57" s="1222"/>
      <c r="CQE57" s="1222"/>
      <c r="CQF57" s="1222"/>
      <c r="CQG57" s="1222"/>
      <c r="CQH57" s="1222"/>
      <c r="CQI57" s="1222"/>
      <c r="CQJ57" s="1222"/>
      <c r="CQK57" s="1222"/>
      <c r="CQL57" s="1222"/>
      <c r="CQM57" s="1222"/>
      <c r="CQN57" s="1222"/>
      <c r="CQO57" s="1222"/>
      <c r="CQP57" s="1222"/>
      <c r="CQQ57" s="1222"/>
      <c r="CQR57" s="1222"/>
      <c r="CQS57" s="1222"/>
      <c r="CQT57" s="1222"/>
      <c r="CQU57" s="1222"/>
      <c r="CQV57" s="1222"/>
      <c r="CQW57" s="1222"/>
      <c r="CQX57" s="1222"/>
      <c r="CQY57" s="1222"/>
      <c r="CQZ57" s="1222"/>
      <c r="CRA57" s="1222"/>
      <c r="CRB57" s="1222"/>
      <c r="CRC57" s="1222"/>
      <c r="CRD57" s="1222"/>
      <c r="CRE57" s="1222"/>
      <c r="CRF57" s="1222"/>
      <c r="CRG57" s="1222"/>
      <c r="CRH57" s="1222"/>
      <c r="CRI57" s="1222"/>
      <c r="CRJ57" s="1222"/>
      <c r="CRK57" s="1222"/>
      <c r="CRL57" s="1222"/>
      <c r="CRM57" s="1222"/>
      <c r="CRN57" s="1222"/>
      <c r="CRO57" s="1222"/>
      <c r="CRP57" s="1222"/>
      <c r="CRQ57" s="1222"/>
      <c r="CRR57" s="1222"/>
      <c r="CRS57" s="1222"/>
      <c r="CRT57" s="1222"/>
      <c r="CRU57" s="1222"/>
      <c r="CRV57" s="1222"/>
      <c r="CRW57" s="1222"/>
      <c r="CRX57" s="1222"/>
      <c r="CRY57" s="1222"/>
      <c r="CRZ57" s="1222"/>
      <c r="CSA57" s="1222"/>
      <c r="CSB57" s="1222"/>
      <c r="CSC57" s="1222"/>
      <c r="CSD57" s="1222"/>
      <c r="CSE57" s="1222"/>
      <c r="CSF57" s="1222"/>
      <c r="CSG57" s="1222"/>
      <c r="CSH57" s="1222"/>
      <c r="CSI57" s="1222"/>
      <c r="CSJ57" s="1222"/>
      <c r="CSK57" s="1222"/>
      <c r="CSL57" s="1222"/>
      <c r="CSM57" s="1222"/>
      <c r="CSN57" s="1222"/>
      <c r="CSO57" s="1222"/>
      <c r="CSP57" s="1222"/>
      <c r="CSQ57" s="1222"/>
      <c r="CSR57" s="1222"/>
      <c r="CSS57" s="1222"/>
      <c r="CST57" s="1222"/>
      <c r="CSU57" s="1222"/>
      <c r="CSV57" s="1222"/>
      <c r="CSW57" s="1222"/>
      <c r="CSX57" s="1222"/>
      <c r="CSY57" s="1222"/>
      <c r="CSZ57" s="1222"/>
      <c r="CTA57" s="1222"/>
      <c r="CTB57" s="1222"/>
      <c r="CTC57" s="1222"/>
      <c r="CTD57" s="1222"/>
      <c r="CTE57" s="1222"/>
      <c r="CTF57" s="1222"/>
      <c r="CTG57" s="1222"/>
      <c r="CTH57" s="1222"/>
      <c r="CTI57" s="1222"/>
      <c r="CTJ57" s="1222"/>
      <c r="CTK57" s="1222"/>
      <c r="CTL57" s="1222"/>
      <c r="CTM57" s="1222"/>
      <c r="CTN57" s="1222"/>
      <c r="CTO57" s="1222"/>
      <c r="CTP57" s="1222"/>
      <c r="CTQ57" s="1222"/>
      <c r="CTR57" s="1222"/>
      <c r="CTS57" s="1222"/>
      <c r="CTT57" s="1222"/>
      <c r="CTU57" s="1222"/>
      <c r="CTV57" s="1222"/>
      <c r="CTW57" s="1222"/>
      <c r="CTX57" s="1222"/>
      <c r="CTY57" s="1222"/>
      <c r="CTZ57" s="1222"/>
      <c r="CUA57" s="1222"/>
      <c r="CUB57" s="1222"/>
      <c r="CUC57" s="1222"/>
      <c r="CUD57" s="1222"/>
      <c r="CUE57" s="1222"/>
      <c r="CUF57" s="1222"/>
      <c r="CUG57" s="1222"/>
      <c r="CUH57" s="1222"/>
      <c r="CUI57" s="1222"/>
      <c r="CUJ57" s="1222"/>
      <c r="CUK57" s="1222"/>
      <c r="CUL57" s="1222"/>
      <c r="CUM57" s="1222"/>
      <c r="CUN57" s="1222"/>
      <c r="CUO57" s="1222"/>
      <c r="CUP57" s="1222"/>
      <c r="CUQ57" s="1222"/>
      <c r="CUR57" s="1222"/>
      <c r="CUS57" s="1222"/>
      <c r="CUT57" s="1222"/>
      <c r="CUU57" s="1222"/>
      <c r="CUV57" s="1222"/>
      <c r="CUW57" s="1222"/>
      <c r="CUX57" s="1222"/>
      <c r="CUY57" s="1222"/>
      <c r="CUZ57" s="1222"/>
      <c r="CVA57" s="1222"/>
      <c r="CVB57" s="1222"/>
      <c r="CVC57" s="1222"/>
      <c r="CVD57" s="1222"/>
      <c r="CVE57" s="1222"/>
      <c r="CVF57" s="1222"/>
      <c r="CVG57" s="1222"/>
      <c r="CVH57" s="1222"/>
      <c r="CVI57" s="1222"/>
      <c r="CVJ57" s="1222"/>
      <c r="CVK57" s="1222"/>
      <c r="CVL57" s="1222"/>
      <c r="CVM57" s="1222"/>
      <c r="CVN57" s="1222"/>
      <c r="CVO57" s="1222"/>
      <c r="CVP57" s="1222"/>
      <c r="CVQ57" s="1222"/>
      <c r="CVR57" s="1222"/>
      <c r="CVS57" s="1222"/>
      <c r="CVT57" s="1222"/>
      <c r="CVU57" s="1222"/>
      <c r="CVV57" s="1222"/>
      <c r="CVW57" s="1222"/>
      <c r="CVX57" s="1222"/>
      <c r="CVY57" s="1222"/>
      <c r="CVZ57" s="1222"/>
      <c r="CWA57" s="1222"/>
      <c r="CWB57" s="1222"/>
      <c r="CWC57" s="1222"/>
      <c r="CWD57" s="1222"/>
      <c r="CWE57" s="1222"/>
      <c r="CWF57" s="1222"/>
      <c r="CWG57" s="1222"/>
      <c r="CWH57" s="1222"/>
      <c r="CWI57" s="1222"/>
      <c r="CWJ57" s="1222"/>
      <c r="CWK57" s="1222"/>
      <c r="CWL57" s="1222"/>
      <c r="CWM57" s="1222"/>
      <c r="CWN57" s="1222"/>
      <c r="CWO57" s="1222"/>
      <c r="CWP57" s="1222"/>
      <c r="CWQ57" s="1222"/>
      <c r="CWR57" s="1222"/>
      <c r="CWS57" s="1222"/>
      <c r="CWT57" s="1222"/>
      <c r="CWU57" s="1222"/>
      <c r="CWV57" s="1222"/>
      <c r="CWW57" s="1222"/>
      <c r="CWX57" s="1222"/>
      <c r="CWY57" s="1222"/>
      <c r="CWZ57" s="1222"/>
      <c r="CXA57" s="1222"/>
      <c r="CXB57" s="1222"/>
      <c r="CXC57" s="1222"/>
      <c r="CXD57" s="1222"/>
      <c r="CXE57" s="1222"/>
      <c r="CXF57" s="1222"/>
      <c r="CXG57" s="1222"/>
      <c r="CXH57" s="1222"/>
      <c r="CXI57" s="1222"/>
      <c r="CXJ57" s="1222"/>
      <c r="CXK57" s="1222"/>
      <c r="CXL57" s="1222"/>
      <c r="CXM57" s="1222"/>
      <c r="CXN57" s="1222"/>
      <c r="CXO57" s="1222"/>
      <c r="CXP57" s="1222"/>
      <c r="CXQ57" s="1222"/>
      <c r="CXR57" s="1222"/>
      <c r="CXS57" s="1222"/>
      <c r="CXT57" s="1222"/>
      <c r="CXU57" s="1222"/>
      <c r="CXV57" s="1222"/>
      <c r="CXW57" s="1222"/>
      <c r="CXX57" s="1222"/>
      <c r="CXY57" s="1222"/>
      <c r="CXZ57" s="1222"/>
      <c r="CYA57" s="1222"/>
      <c r="CYB57" s="1222"/>
      <c r="CYC57" s="1222"/>
      <c r="CYD57" s="1222"/>
      <c r="CYE57" s="1222"/>
      <c r="CYF57" s="1222"/>
      <c r="CYG57" s="1222"/>
      <c r="CYH57" s="1222"/>
      <c r="CYI57" s="1222"/>
      <c r="CYJ57" s="1222"/>
      <c r="CYK57" s="1222"/>
      <c r="CYL57" s="1222"/>
      <c r="CYM57" s="1222"/>
      <c r="CYN57" s="1222"/>
      <c r="CYO57" s="1222"/>
      <c r="CYP57" s="1222"/>
      <c r="CYQ57" s="1222"/>
      <c r="CYR57" s="1222"/>
      <c r="CYS57" s="1222"/>
      <c r="CYT57" s="1222"/>
      <c r="CYU57" s="1222"/>
      <c r="CYV57" s="1222"/>
      <c r="CYW57" s="1222"/>
      <c r="CYX57" s="1222"/>
      <c r="CYY57" s="1222"/>
      <c r="CYZ57" s="1222"/>
      <c r="CZA57" s="1222"/>
      <c r="CZB57" s="1222"/>
      <c r="CZC57" s="1222"/>
      <c r="CZD57" s="1222"/>
      <c r="CZE57" s="1222"/>
      <c r="CZF57" s="1222"/>
      <c r="CZG57" s="1222"/>
      <c r="CZH57" s="1222"/>
      <c r="CZI57" s="1222"/>
      <c r="CZJ57" s="1222"/>
      <c r="CZK57" s="1222"/>
      <c r="CZL57" s="1222"/>
      <c r="CZM57" s="1222"/>
      <c r="CZN57" s="1222"/>
      <c r="CZO57" s="1222"/>
      <c r="CZP57" s="1222"/>
      <c r="CZQ57" s="1222"/>
      <c r="CZR57" s="1222"/>
      <c r="CZS57" s="1222"/>
      <c r="CZT57" s="1222"/>
      <c r="CZU57" s="1222"/>
      <c r="CZV57" s="1222"/>
      <c r="CZW57" s="1222"/>
      <c r="CZX57" s="1222"/>
      <c r="CZY57" s="1222"/>
      <c r="CZZ57" s="1222"/>
      <c r="DAA57" s="1222"/>
      <c r="DAB57" s="1222"/>
      <c r="DAC57" s="1222"/>
      <c r="DAD57" s="1222"/>
      <c r="DAE57" s="1222"/>
      <c r="DAF57" s="1222"/>
      <c r="DAG57" s="1222"/>
      <c r="DAH57" s="1222"/>
      <c r="DAI57" s="1222"/>
      <c r="DAJ57" s="1222"/>
      <c r="DAK57" s="1222"/>
      <c r="DAL57" s="1222"/>
      <c r="DAM57" s="1222"/>
      <c r="DAN57" s="1222"/>
      <c r="DAO57" s="1222"/>
      <c r="DAP57" s="1222"/>
      <c r="DAQ57" s="1222"/>
      <c r="DAR57" s="1222"/>
      <c r="DAS57" s="1222"/>
      <c r="DAT57" s="1222"/>
      <c r="DAU57" s="1222"/>
      <c r="DAV57" s="1222"/>
      <c r="DAW57" s="1222"/>
      <c r="DAX57" s="1222"/>
      <c r="DAY57" s="1222"/>
      <c r="DAZ57" s="1222"/>
      <c r="DBA57" s="1222"/>
      <c r="DBB57" s="1222"/>
      <c r="DBC57" s="1222"/>
      <c r="DBD57" s="1222"/>
      <c r="DBE57" s="1222"/>
      <c r="DBF57" s="1222"/>
      <c r="DBG57" s="1222"/>
      <c r="DBH57" s="1222"/>
      <c r="DBI57" s="1222"/>
      <c r="DBJ57" s="1222"/>
      <c r="DBK57" s="1222"/>
      <c r="DBL57" s="1222"/>
      <c r="DBM57" s="1222"/>
      <c r="DBN57" s="1222"/>
      <c r="DBO57" s="1222"/>
      <c r="DBP57" s="1222"/>
      <c r="DBQ57" s="1222"/>
      <c r="DBR57" s="1222"/>
      <c r="DBS57" s="1222"/>
      <c r="DBT57" s="1222"/>
      <c r="DBU57" s="1222"/>
      <c r="DBV57" s="1222"/>
      <c r="DBW57" s="1222"/>
      <c r="DBX57" s="1222"/>
      <c r="DBY57" s="1222"/>
      <c r="DBZ57" s="1222"/>
      <c r="DCA57" s="1222"/>
      <c r="DCB57" s="1222"/>
      <c r="DCC57" s="1222"/>
      <c r="DCD57" s="1222"/>
      <c r="DCE57" s="1222"/>
      <c r="DCF57" s="1222"/>
      <c r="DCG57" s="1222"/>
      <c r="DCH57" s="1222"/>
      <c r="DCI57" s="1222"/>
      <c r="DCJ57" s="1222"/>
      <c r="DCK57" s="1222"/>
      <c r="DCL57" s="1222"/>
      <c r="DCM57" s="1222"/>
      <c r="DCN57" s="1222"/>
      <c r="DCO57" s="1222"/>
      <c r="DCP57" s="1222"/>
      <c r="DCQ57" s="1222"/>
      <c r="DCR57" s="1222"/>
      <c r="DCS57" s="1222"/>
      <c r="DCT57" s="1222"/>
      <c r="DCU57" s="1222"/>
      <c r="DCV57" s="1222"/>
      <c r="DCW57" s="1222"/>
      <c r="DCX57" s="1222"/>
      <c r="DCY57" s="1222"/>
      <c r="DCZ57" s="1222"/>
      <c r="DDA57" s="1222"/>
      <c r="DDB57" s="1222"/>
      <c r="DDC57" s="1222"/>
      <c r="DDD57" s="1222"/>
      <c r="DDE57" s="1222"/>
      <c r="DDF57" s="1222"/>
      <c r="DDG57" s="1222"/>
      <c r="DDH57" s="1222"/>
      <c r="DDI57" s="1222"/>
      <c r="DDJ57" s="1222"/>
      <c r="DDK57" s="1222"/>
      <c r="DDL57" s="1222"/>
      <c r="DDM57" s="1222"/>
      <c r="DDN57" s="1222"/>
      <c r="DDO57" s="1222"/>
      <c r="DDP57" s="1222"/>
      <c r="DDQ57" s="1222"/>
      <c r="DDR57" s="1222"/>
      <c r="DDS57" s="1222"/>
      <c r="DDT57" s="1222"/>
      <c r="DDU57" s="1222"/>
      <c r="DDV57" s="1222"/>
      <c r="DDW57" s="1222"/>
      <c r="DDX57" s="1222"/>
      <c r="DDY57" s="1222"/>
      <c r="DDZ57" s="1222"/>
      <c r="DEA57" s="1222"/>
      <c r="DEB57" s="1222"/>
      <c r="DEC57" s="1222"/>
      <c r="DED57" s="1222"/>
      <c r="DEE57" s="1222"/>
      <c r="DEF57" s="1222"/>
      <c r="DEG57" s="1222"/>
      <c r="DEH57" s="1222"/>
      <c r="DEI57" s="1222"/>
      <c r="DEJ57" s="1222"/>
      <c r="DEK57" s="1222"/>
      <c r="DEL57" s="1222"/>
      <c r="DEM57" s="1222"/>
      <c r="DEN57" s="1222"/>
      <c r="DEO57" s="1222"/>
      <c r="DEP57" s="1222"/>
      <c r="DEQ57" s="1222"/>
      <c r="DER57" s="1222"/>
      <c r="DES57" s="1222"/>
      <c r="DET57" s="1222"/>
      <c r="DEU57" s="1222"/>
      <c r="DEV57" s="1222"/>
      <c r="DEW57" s="1222"/>
      <c r="DEX57" s="1222"/>
      <c r="DEY57" s="1222"/>
      <c r="DEZ57" s="1222"/>
      <c r="DFA57" s="1222"/>
      <c r="DFB57" s="1222"/>
      <c r="DFC57" s="1222"/>
      <c r="DFD57" s="1222"/>
      <c r="DFE57" s="1222"/>
      <c r="DFF57" s="1222"/>
      <c r="DFG57" s="1222"/>
      <c r="DFH57" s="1222"/>
      <c r="DFI57" s="1222"/>
      <c r="DFJ57" s="1222"/>
      <c r="DFK57" s="1222"/>
      <c r="DFL57" s="1222"/>
      <c r="DFM57" s="1222"/>
      <c r="DFN57" s="1222"/>
      <c r="DFO57" s="1222"/>
      <c r="DFP57" s="1222"/>
      <c r="DFQ57" s="1222"/>
      <c r="DFR57" s="1222"/>
      <c r="DFS57" s="1222"/>
      <c r="DFT57" s="1222"/>
      <c r="DFU57" s="1222"/>
      <c r="DFV57" s="1222"/>
      <c r="DFW57" s="1222"/>
      <c r="DFX57" s="1222"/>
      <c r="DFY57" s="1222"/>
      <c r="DFZ57" s="1222"/>
      <c r="DGA57" s="1222"/>
      <c r="DGB57" s="1222"/>
      <c r="DGC57" s="1222"/>
      <c r="DGD57" s="1222"/>
      <c r="DGE57" s="1222"/>
      <c r="DGF57" s="1222"/>
      <c r="DGG57" s="1222"/>
      <c r="DGH57" s="1222"/>
      <c r="DGI57" s="1222"/>
      <c r="DGJ57" s="1222"/>
      <c r="DGK57" s="1222"/>
      <c r="DGL57" s="1222"/>
      <c r="DGM57" s="1222"/>
      <c r="DGN57" s="1222"/>
      <c r="DGO57" s="1222"/>
      <c r="DGP57" s="1222"/>
      <c r="DGQ57" s="1222"/>
      <c r="DGR57" s="1222"/>
      <c r="DGS57" s="1222"/>
      <c r="DGT57" s="1222"/>
      <c r="DGU57" s="1222"/>
      <c r="DGV57" s="1222"/>
      <c r="DGW57" s="1222"/>
      <c r="DGX57" s="1222"/>
      <c r="DGY57" s="1222"/>
      <c r="DGZ57" s="1222"/>
      <c r="DHA57" s="1222"/>
      <c r="DHB57" s="1222"/>
      <c r="DHC57" s="1222"/>
      <c r="DHD57" s="1222"/>
      <c r="DHE57" s="1222"/>
      <c r="DHF57" s="1222"/>
      <c r="DHG57" s="1222"/>
      <c r="DHH57" s="1222"/>
      <c r="DHI57" s="1222"/>
      <c r="DHJ57" s="1222"/>
      <c r="DHK57" s="1222"/>
      <c r="DHL57" s="1222"/>
      <c r="DHM57" s="1222"/>
      <c r="DHN57" s="1222"/>
      <c r="DHO57" s="1222"/>
      <c r="DHP57" s="1222"/>
      <c r="DHQ57" s="1222"/>
      <c r="DHR57" s="1222"/>
      <c r="DHS57" s="1222"/>
      <c r="DHT57" s="1222"/>
      <c r="DHU57" s="1222"/>
      <c r="DHV57" s="1222"/>
      <c r="DHW57" s="1222"/>
      <c r="DHX57" s="1222"/>
      <c r="DHY57" s="1222"/>
      <c r="DHZ57" s="1222"/>
      <c r="DIA57" s="1222"/>
      <c r="DIB57" s="1222"/>
      <c r="DIC57" s="1222"/>
      <c r="DID57" s="1222"/>
      <c r="DIE57" s="1222"/>
      <c r="DIF57" s="1222"/>
      <c r="DIG57" s="1222"/>
      <c r="DIH57" s="1222"/>
      <c r="DII57" s="1222"/>
      <c r="DIJ57" s="1222"/>
      <c r="DIK57" s="1222"/>
      <c r="DIL57" s="1222"/>
      <c r="DIM57" s="1222"/>
      <c r="DIN57" s="1222"/>
      <c r="DIO57" s="1222"/>
      <c r="DIP57" s="1222"/>
      <c r="DIQ57" s="1222"/>
      <c r="DIR57" s="1222"/>
      <c r="DIS57" s="1222"/>
      <c r="DIT57" s="1222"/>
      <c r="DIU57" s="1222"/>
      <c r="DIV57" s="1222"/>
      <c r="DIW57" s="1222"/>
      <c r="DIX57" s="1222"/>
      <c r="DIY57" s="1222"/>
      <c r="DIZ57" s="1222"/>
      <c r="DJA57" s="1222"/>
      <c r="DJB57" s="1222"/>
      <c r="DJC57" s="1222"/>
      <c r="DJD57" s="1222"/>
      <c r="DJE57" s="1222"/>
      <c r="DJF57" s="1222"/>
      <c r="DJG57" s="1222"/>
      <c r="DJH57" s="1222"/>
      <c r="DJI57" s="1222"/>
      <c r="DJJ57" s="1222"/>
      <c r="DJK57" s="1222"/>
      <c r="DJL57" s="1222"/>
      <c r="DJM57" s="1222"/>
      <c r="DJN57" s="1222"/>
      <c r="DJO57" s="1222"/>
      <c r="DJP57" s="1222"/>
      <c r="DJQ57" s="1222"/>
      <c r="DJR57" s="1222"/>
      <c r="DJS57" s="1222"/>
      <c r="DJT57" s="1222"/>
      <c r="DJU57" s="1222"/>
      <c r="DJV57" s="1222"/>
      <c r="DJW57" s="1222"/>
      <c r="DJX57" s="1222"/>
      <c r="DJY57" s="1222"/>
      <c r="DJZ57" s="1222"/>
      <c r="DKA57" s="1222"/>
      <c r="DKB57" s="1222"/>
      <c r="DKC57" s="1222"/>
      <c r="DKD57" s="1222"/>
      <c r="DKE57" s="1222"/>
      <c r="DKF57" s="1222"/>
      <c r="DKG57" s="1222"/>
      <c r="DKH57" s="1222"/>
      <c r="DKI57" s="1222"/>
      <c r="DKJ57" s="1222"/>
      <c r="DKK57" s="1222"/>
      <c r="DKL57" s="1222"/>
      <c r="DKM57" s="1222"/>
      <c r="DKN57" s="1222"/>
      <c r="DKO57" s="1222"/>
      <c r="DKP57" s="1222"/>
      <c r="DKQ57" s="1222"/>
      <c r="DKR57" s="1222"/>
      <c r="DKS57" s="1222"/>
      <c r="DKT57" s="1222"/>
      <c r="DKU57" s="1222"/>
      <c r="DKV57" s="1222"/>
      <c r="DKW57" s="1222"/>
      <c r="DKX57" s="1222"/>
      <c r="DKY57" s="1222"/>
      <c r="DKZ57" s="1222"/>
      <c r="DLA57" s="1222"/>
      <c r="DLB57" s="1222"/>
      <c r="DLC57" s="1222"/>
      <c r="DLD57" s="1222"/>
      <c r="DLE57" s="1222"/>
      <c r="DLF57" s="1222"/>
      <c r="DLG57" s="1222"/>
      <c r="DLH57" s="1222"/>
      <c r="DLI57" s="1222"/>
      <c r="DLJ57" s="1222"/>
      <c r="DLK57" s="1222"/>
      <c r="DLL57" s="1222"/>
      <c r="DLM57" s="1222"/>
      <c r="DLN57" s="1222"/>
      <c r="DLO57" s="1222"/>
      <c r="DLP57" s="1222"/>
      <c r="DLQ57" s="1222"/>
      <c r="DLR57" s="1222"/>
      <c r="DLS57" s="1222"/>
      <c r="DLT57" s="1222"/>
      <c r="DLU57" s="1222"/>
      <c r="DLV57" s="1222"/>
      <c r="DLW57" s="1222"/>
      <c r="DLX57" s="1222"/>
      <c r="DLY57" s="1222"/>
      <c r="DLZ57" s="1222"/>
      <c r="DMA57" s="1222"/>
      <c r="DMB57" s="1222"/>
      <c r="DMC57" s="1222"/>
      <c r="DMD57" s="1222"/>
      <c r="DME57" s="1222"/>
      <c r="DMF57" s="1222"/>
      <c r="DMG57" s="1222"/>
      <c r="DMH57" s="1222"/>
      <c r="DMI57" s="1222"/>
      <c r="DMJ57" s="1222"/>
      <c r="DMK57" s="1222"/>
      <c r="DML57" s="1222"/>
      <c r="DMM57" s="1222"/>
      <c r="DMN57" s="1222"/>
      <c r="DMO57" s="1222"/>
      <c r="DMP57" s="1222"/>
      <c r="DMQ57" s="1222"/>
      <c r="DMR57" s="1222"/>
      <c r="DMS57" s="1222"/>
      <c r="DMT57" s="1222"/>
      <c r="DMU57" s="1222"/>
      <c r="DMV57" s="1222"/>
      <c r="DMW57" s="1222"/>
      <c r="DMX57" s="1222"/>
      <c r="DMY57" s="1222"/>
      <c r="DMZ57" s="1222"/>
      <c r="DNA57" s="1222"/>
      <c r="DNB57" s="1222"/>
      <c r="DNC57" s="1222"/>
      <c r="DND57" s="1222"/>
      <c r="DNE57" s="1222"/>
      <c r="DNF57" s="1222"/>
      <c r="DNG57" s="1222"/>
      <c r="DNH57" s="1222"/>
      <c r="DNI57" s="1222"/>
      <c r="DNJ57" s="1222"/>
      <c r="DNK57" s="1222"/>
      <c r="DNL57" s="1222"/>
      <c r="DNM57" s="1222"/>
      <c r="DNN57" s="1222"/>
      <c r="DNO57" s="1222"/>
      <c r="DNP57" s="1222"/>
      <c r="DNQ57" s="1222"/>
      <c r="DNR57" s="1222"/>
      <c r="DNS57" s="1222"/>
      <c r="DNT57" s="1222"/>
      <c r="DNU57" s="1222"/>
      <c r="DNV57" s="1222"/>
      <c r="DNW57" s="1222"/>
      <c r="DNX57" s="1222"/>
      <c r="DNY57" s="1222"/>
      <c r="DNZ57" s="1222"/>
      <c r="DOA57" s="1222"/>
      <c r="DOB57" s="1222"/>
      <c r="DOC57" s="1222"/>
      <c r="DOD57" s="1222"/>
      <c r="DOE57" s="1222"/>
      <c r="DOF57" s="1222"/>
      <c r="DOG57" s="1222"/>
      <c r="DOH57" s="1222"/>
      <c r="DOI57" s="1222"/>
      <c r="DOJ57" s="1222"/>
      <c r="DOK57" s="1222"/>
      <c r="DOL57" s="1222"/>
      <c r="DOM57" s="1222"/>
      <c r="DON57" s="1222"/>
      <c r="DOO57" s="1222"/>
      <c r="DOP57" s="1222"/>
      <c r="DOQ57" s="1222"/>
      <c r="DOR57" s="1222"/>
      <c r="DOS57" s="1222"/>
      <c r="DOT57" s="1222"/>
      <c r="DOU57" s="1222"/>
      <c r="DOV57" s="1222"/>
      <c r="DOW57" s="1222"/>
      <c r="DOX57" s="1222"/>
      <c r="DOY57" s="1222"/>
      <c r="DOZ57" s="1222"/>
      <c r="DPA57" s="1222"/>
      <c r="DPB57" s="1222"/>
      <c r="DPC57" s="1222"/>
      <c r="DPD57" s="1222"/>
      <c r="DPE57" s="1222"/>
      <c r="DPF57" s="1222"/>
      <c r="DPG57" s="1222"/>
      <c r="DPH57" s="1222"/>
      <c r="DPI57" s="1222"/>
      <c r="DPJ57" s="1222"/>
      <c r="DPK57" s="1222"/>
      <c r="DPL57" s="1222"/>
      <c r="DPM57" s="1222"/>
      <c r="DPN57" s="1222"/>
      <c r="DPO57" s="1222"/>
      <c r="DPP57" s="1222"/>
      <c r="DPQ57" s="1222"/>
      <c r="DPR57" s="1222"/>
      <c r="DPS57" s="1222"/>
      <c r="DPT57" s="1222"/>
      <c r="DPU57" s="1222"/>
      <c r="DPV57" s="1222"/>
      <c r="DPW57" s="1222"/>
      <c r="DPX57" s="1222"/>
      <c r="DPY57" s="1222"/>
      <c r="DPZ57" s="1222"/>
      <c r="DQA57" s="1222"/>
      <c r="DQB57" s="1222"/>
      <c r="DQC57" s="1222"/>
      <c r="DQD57" s="1222"/>
      <c r="DQE57" s="1222"/>
      <c r="DQF57" s="1222"/>
      <c r="DQG57" s="1222"/>
      <c r="DQH57" s="1222"/>
      <c r="DQI57" s="1222"/>
      <c r="DQJ57" s="1222"/>
      <c r="DQK57" s="1222"/>
      <c r="DQL57" s="1222"/>
      <c r="DQM57" s="1222"/>
      <c r="DQN57" s="1222"/>
      <c r="DQO57" s="1222"/>
      <c r="DQP57" s="1222"/>
      <c r="DQQ57" s="1222"/>
      <c r="DQR57" s="1222"/>
      <c r="DQS57" s="1222"/>
      <c r="DQT57" s="1222"/>
      <c r="DQU57" s="1222"/>
      <c r="DQV57" s="1222"/>
      <c r="DQW57" s="1222"/>
      <c r="DQX57" s="1222"/>
      <c r="DQY57" s="1222"/>
      <c r="DQZ57" s="1222"/>
      <c r="DRA57" s="1222"/>
      <c r="DRB57" s="1222"/>
      <c r="DRC57" s="1222"/>
      <c r="DRD57" s="1222"/>
      <c r="DRE57" s="1222"/>
      <c r="DRF57" s="1222"/>
      <c r="DRG57" s="1222"/>
      <c r="DRH57" s="1222"/>
      <c r="DRI57" s="1222"/>
      <c r="DRJ57" s="1222"/>
      <c r="DRK57" s="1222"/>
      <c r="DRL57" s="1222"/>
      <c r="DRM57" s="1222"/>
      <c r="DRN57" s="1222"/>
      <c r="DRO57" s="1222"/>
      <c r="DRP57" s="1222"/>
      <c r="DRQ57" s="1222"/>
      <c r="DRR57" s="1222"/>
      <c r="DRS57" s="1222"/>
      <c r="DRT57" s="1222"/>
      <c r="DRU57" s="1222"/>
      <c r="DRV57" s="1222"/>
      <c r="DRW57" s="1222"/>
      <c r="DRX57" s="1222"/>
      <c r="DRY57" s="1222"/>
      <c r="DRZ57" s="1222"/>
      <c r="DSA57" s="1222"/>
      <c r="DSB57" s="1222"/>
      <c r="DSC57" s="1222"/>
      <c r="DSD57" s="1222"/>
      <c r="DSE57" s="1222"/>
      <c r="DSF57" s="1222"/>
      <c r="DSG57" s="1222"/>
      <c r="DSH57" s="1222"/>
      <c r="DSI57" s="1222"/>
      <c r="DSJ57" s="1222"/>
      <c r="DSK57" s="1222"/>
      <c r="DSL57" s="1222"/>
      <c r="DSM57" s="1222"/>
      <c r="DSN57" s="1222"/>
      <c r="DSO57" s="1222"/>
      <c r="DSP57" s="1222"/>
      <c r="DSQ57" s="1222"/>
      <c r="DSR57" s="1222"/>
      <c r="DSS57" s="1222"/>
      <c r="DST57" s="1222"/>
      <c r="DSU57" s="1222"/>
      <c r="DSV57" s="1222"/>
      <c r="DSW57" s="1222"/>
      <c r="DSX57" s="1222"/>
      <c r="DSY57" s="1222"/>
      <c r="DSZ57" s="1222"/>
      <c r="DTA57" s="1222"/>
      <c r="DTB57" s="1222"/>
      <c r="DTC57" s="1222"/>
      <c r="DTD57" s="1222"/>
      <c r="DTE57" s="1222"/>
      <c r="DTF57" s="1222"/>
      <c r="DTG57" s="1222"/>
      <c r="DTH57" s="1222"/>
      <c r="DTI57" s="1222"/>
      <c r="DTJ57" s="1222"/>
      <c r="DTK57" s="1222"/>
      <c r="DTL57" s="1222"/>
      <c r="DTM57" s="1222"/>
      <c r="DTN57" s="1222"/>
      <c r="DTO57" s="1222"/>
      <c r="DTP57" s="1222"/>
      <c r="DTQ57" s="1222"/>
      <c r="DTR57" s="1222"/>
      <c r="DTS57" s="1222"/>
      <c r="DTT57" s="1222"/>
      <c r="DTU57" s="1222"/>
      <c r="DTV57" s="1222"/>
      <c r="DTW57" s="1222"/>
      <c r="DTX57" s="1222"/>
      <c r="DTY57" s="1222"/>
      <c r="DTZ57" s="1222"/>
      <c r="DUA57" s="1222"/>
      <c r="DUB57" s="1222"/>
      <c r="DUC57" s="1222"/>
      <c r="DUD57" s="1222"/>
      <c r="DUE57" s="1222"/>
      <c r="DUF57" s="1222"/>
      <c r="DUG57" s="1222"/>
      <c r="DUH57" s="1222"/>
      <c r="DUI57" s="1222"/>
      <c r="DUJ57" s="1222"/>
      <c r="DUK57" s="1222"/>
      <c r="DUL57" s="1222"/>
      <c r="DUM57" s="1222"/>
      <c r="DUN57" s="1222"/>
      <c r="DUO57" s="1222"/>
      <c r="DUP57" s="1222"/>
      <c r="DUQ57" s="1222"/>
      <c r="DUR57" s="1222"/>
      <c r="DUS57" s="1222"/>
      <c r="DUT57" s="1222"/>
      <c r="DUU57" s="1222"/>
      <c r="DUV57" s="1222"/>
      <c r="DUW57" s="1222"/>
      <c r="DUX57" s="1222"/>
      <c r="DUY57" s="1222"/>
      <c r="DUZ57" s="1222"/>
      <c r="DVA57" s="1222"/>
      <c r="DVB57" s="1222"/>
      <c r="DVC57" s="1222"/>
      <c r="DVD57" s="1222"/>
      <c r="DVE57" s="1222"/>
      <c r="DVF57" s="1222"/>
      <c r="DVG57" s="1222"/>
      <c r="DVH57" s="1222"/>
      <c r="DVI57" s="1222"/>
      <c r="DVJ57" s="1222"/>
      <c r="DVK57" s="1222"/>
      <c r="DVL57" s="1222"/>
      <c r="DVM57" s="1222"/>
      <c r="DVN57" s="1222"/>
      <c r="DVO57" s="1222"/>
      <c r="DVP57" s="1222"/>
      <c r="DVQ57" s="1222"/>
      <c r="DVR57" s="1222"/>
      <c r="DVS57" s="1222"/>
      <c r="DVT57" s="1222"/>
      <c r="DVU57" s="1222"/>
      <c r="DVV57" s="1222"/>
      <c r="DVW57" s="1222"/>
      <c r="DVX57" s="1222"/>
      <c r="DVY57" s="1222"/>
      <c r="DVZ57" s="1222"/>
      <c r="DWA57" s="1222"/>
      <c r="DWB57" s="1222"/>
      <c r="DWC57" s="1222"/>
      <c r="DWD57" s="1222"/>
      <c r="DWE57" s="1222"/>
      <c r="DWF57" s="1222"/>
      <c r="DWG57" s="1222"/>
      <c r="DWH57" s="1222"/>
      <c r="DWI57" s="1222"/>
      <c r="DWJ57" s="1222"/>
      <c r="DWK57" s="1222"/>
      <c r="DWL57" s="1222"/>
      <c r="DWM57" s="1222"/>
      <c r="DWN57" s="1222"/>
      <c r="DWO57" s="1222"/>
      <c r="DWP57" s="1222"/>
      <c r="DWQ57" s="1222"/>
      <c r="DWR57" s="1222"/>
      <c r="DWS57" s="1222"/>
      <c r="DWT57" s="1222"/>
      <c r="DWU57" s="1222"/>
      <c r="DWV57" s="1222"/>
      <c r="DWW57" s="1222"/>
      <c r="DWX57" s="1222"/>
      <c r="DWY57" s="1222"/>
      <c r="DWZ57" s="1222"/>
      <c r="DXA57" s="1222"/>
      <c r="DXB57" s="1222"/>
      <c r="DXC57" s="1222"/>
      <c r="DXD57" s="1222"/>
      <c r="DXE57" s="1222"/>
      <c r="DXF57" s="1222"/>
      <c r="DXG57" s="1222"/>
      <c r="DXH57" s="1222"/>
      <c r="DXI57" s="1222"/>
      <c r="DXJ57" s="1222"/>
      <c r="DXK57" s="1222"/>
      <c r="DXL57" s="1222"/>
      <c r="DXM57" s="1222"/>
      <c r="DXN57" s="1222"/>
      <c r="DXO57" s="1222"/>
      <c r="DXP57" s="1222"/>
      <c r="DXQ57" s="1222"/>
      <c r="DXR57" s="1222"/>
      <c r="DXS57" s="1222"/>
      <c r="DXT57" s="1222"/>
      <c r="DXU57" s="1222"/>
      <c r="DXV57" s="1222"/>
      <c r="DXW57" s="1222"/>
      <c r="DXX57" s="1222"/>
      <c r="DXY57" s="1222"/>
      <c r="DXZ57" s="1222"/>
      <c r="DYA57" s="1222"/>
      <c r="DYB57" s="1222"/>
      <c r="DYC57" s="1222"/>
      <c r="DYD57" s="1222"/>
      <c r="DYE57" s="1222"/>
      <c r="DYF57" s="1222"/>
      <c r="DYG57" s="1222"/>
      <c r="DYH57" s="1222"/>
      <c r="DYI57" s="1222"/>
      <c r="DYJ57" s="1222"/>
      <c r="DYK57" s="1222"/>
      <c r="DYL57" s="1222"/>
      <c r="DYM57" s="1222"/>
      <c r="DYN57" s="1222"/>
      <c r="DYO57" s="1222"/>
      <c r="DYP57" s="1222"/>
      <c r="DYQ57" s="1222"/>
      <c r="DYR57" s="1222"/>
      <c r="DYS57" s="1222"/>
      <c r="DYT57" s="1222"/>
      <c r="DYU57" s="1222"/>
      <c r="DYV57" s="1222"/>
      <c r="DYW57" s="1222"/>
      <c r="DYX57" s="1222"/>
      <c r="DYY57" s="1222"/>
      <c r="DYZ57" s="1222"/>
      <c r="DZA57" s="1222"/>
      <c r="DZB57" s="1222"/>
      <c r="DZC57" s="1222"/>
      <c r="DZD57" s="1222"/>
      <c r="DZE57" s="1222"/>
      <c r="DZF57" s="1222"/>
      <c r="DZG57" s="1222"/>
      <c r="DZH57" s="1222"/>
      <c r="DZI57" s="1222"/>
      <c r="DZJ57" s="1222"/>
      <c r="DZK57" s="1222"/>
      <c r="DZL57" s="1222"/>
      <c r="DZM57" s="1222"/>
      <c r="DZN57" s="1222"/>
      <c r="DZO57" s="1222"/>
      <c r="DZP57" s="1222"/>
      <c r="DZQ57" s="1222"/>
      <c r="DZR57" s="1222"/>
      <c r="DZS57" s="1222"/>
      <c r="DZT57" s="1222"/>
      <c r="DZU57" s="1222"/>
      <c r="DZV57" s="1222"/>
      <c r="DZW57" s="1222"/>
      <c r="DZX57" s="1222"/>
      <c r="DZY57" s="1222"/>
      <c r="DZZ57" s="1222"/>
      <c r="EAA57" s="1222"/>
      <c r="EAB57" s="1222"/>
      <c r="EAC57" s="1222"/>
      <c r="EAD57" s="1222"/>
      <c r="EAE57" s="1222"/>
      <c r="EAF57" s="1222"/>
      <c r="EAG57" s="1222"/>
      <c r="EAH57" s="1222"/>
      <c r="EAI57" s="1222"/>
      <c r="EAJ57" s="1222"/>
      <c r="EAK57" s="1222"/>
      <c r="EAL57" s="1222"/>
      <c r="EAM57" s="1222"/>
      <c r="EAN57" s="1222"/>
      <c r="EAO57" s="1222"/>
      <c r="EAP57" s="1222"/>
      <c r="EAQ57" s="1222"/>
      <c r="EAR57" s="1222"/>
      <c r="EAS57" s="1222"/>
      <c r="EAT57" s="1222"/>
      <c r="EAU57" s="1222"/>
      <c r="EAV57" s="1222"/>
      <c r="EAW57" s="1222"/>
      <c r="EAX57" s="1222"/>
      <c r="EAY57" s="1222"/>
      <c r="EAZ57" s="1222"/>
      <c r="EBA57" s="1222"/>
      <c r="EBB57" s="1222"/>
      <c r="EBC57" s="1222"/>
      <c r="EBD57" s="1222"/>
      <c r="EBE57" s="1222"/>
      <c r="EBF57" s="1222"/>
      <c r="EBG57" s="1222"/>
      <c r="EBH57" s="1222"/>
      <c r="EBI57" s="1222"/>
      <c r="EBJ57" s="1222"/>
      <c r="EBK57" s="1222"/>
      <c r="EBL57" s="1222"/>
      <c r="EBM57" s="1222"/>
      <c r="EBN57" s="1222"/>
      <c r="EBO57" s="1222"/>
      <c r="EBP57" s="1222"/>
      <c r="EBQ57" s="1222"/>
      <c r="EBR57" s="1222"/>
      <c r="EBS57" s="1222"/>
      <c r="EBT57" s="1222"/>
      <c r="EBU57" s="1222"/>
      <c r="EBV57" s="1222"/>
      <c r="EBW57" s="1222"/>
      <c r="EBX57" s="1222"/>
      <c r="EBY57" s="1222"/>
      <c r="EBZ57" s="1222"/>
      <c r="ECA57" s="1222"/>
      <c r="ECB57" s="1222"/>
      <c r="ECC57" s="1222"/>
      <c r="ECD57" s="1222"/>
      <c r="ECE57" s="1222"/>
      <c r="ECF57" s="1222"/>
      <c r="ECG57" s="1222"/>
      <c r="ECH57" s="1222"/>
      <c r="ECI57" s="1222"/>
      <c r="ECJ57" s="1222"/>
      <c r="ECK57" s="1222"/>
      <c r="ECL57" s="1222"/>
      <c r="ECM57" s="1222"/>
      <c r="ECN57" s="1222"/>
      <c r="ECO57" s="1222"/>
    </row>
    <row r="58" spans="2:3473" ht="27.5" customHeight="1">
      <c r="B58" s="1296"/>
      <c r="C58" s="2363"/>
      <c r="D58" s="1297" t="s">
        <v>3160</v>
      </c>
      <c r="E58" s="1298">
        <f>E49-E44-E9</f>
        <v>926.89686165830256</v>
      </c>
      <c r="F58" s="1298">
        <f>F49-F44-F9</f>
        <v>846.94635088614302</v>
      </c>
      <c r="G58" s="1298">
        <f>G49-G44-G9</f>
        <v>79.950510772159561</v>
      </c>
      <c r="H58" s="1298">
        <f ca="1">H49-H44-H9-'当期公摊测算表（全期）'!Y174</f>
        <v>6089.6522217653592</v>
      </c>
      <c r="I58" s="1298">
        <f ca="1">I49-I44-I9-'当期公摊测算表（全期）'!AC174</f>
        <v>5725.3618519846041</v>
      </c>
      <c r="J58" s="1298">
        <f ca="1">J49-J44-J9-'当期公摊测算表（全期）'!AD174</f>
        <v>492.66443655324105</v>
      </c>
      <c r="K58" s="1298">
        <f>K49-K44-K9</f>
        <v>892.71860446826906</v>
      </c>
      <c r="L58" s="1298">
        <f>L49-L44-L9-'当期公摊测算表（全期）'!AF174</f>
        <v>815.30223751540791</v>
      </c>
      <c r="M58" s="1298">
        <f>M49-M44-M9-'当期公摊测算表（全期）'!AG174</f>
        <v>77.416366952861154</v>
      </c>
      <c r="N58" s="1298" t="e">
        <f>N49-N44-N9-'当期公摊测算表（全期）'!Y174</f>
        <v>#VALUE!</v>
      </c>
      <c r="O58" s="1298" t="e">
        <f>O49-O44-O9-'当期公摊测算表（全期）'!AI174</f>
        <v>#VALUE!</v>
      </c>
      <c r="P58" s="1298" t="e">
        <f>P49-P44-P9-'当期公摊测算表（全期）'!AJ174</f>
        <v>#VALUE!</v>
      </c>
      <c r="Q58" s="1298">
        <f ca="1">Q49-Q44-Q9-'当期公摊测算表（全期）'!Y174</f>
        <v>6363.6098218401567</v>
      </c>
      <c r="R58" s="1298">
        <f t="shared" ref="R58:BJ58" ca="1" si="99">R49-R44-R9</f>
        <v>5976.000107103242</v>
      </c>
      <c r="S58" s="1298">
        <f t="shared" ca="1" si="99"/>
        <v>515.98378150940198</v>
      </c>
      <c r="T58" s="1298">
        <f ca="1">T49-T44-T9-'当期公摊测算表（全期）'!AB174</f>
        <v>7222.2463159407962</v>
      </c>
      <c r="U58" s="1298">
        <f t="shared" ref="U58:V58" ca="1" si="100">U49-U44-U9</f>
        <v>6670.7235572481077</v>
      </c>
      <c r="V58" s="1298">
        <f t="shared" ca="1" si="100"/>
        <v>551.52275869268976</v>
      </c>
      <c r="W58" s="1298" t="e">
        <f t="shared" si="99"/>
        <v>#VALUE!</v>
      </c>
      <c r="X58" s="1298" t="e">
        <f t="shared" si="99"/>
        <v>#VALUE!</v>
      </c>
      <c r="Y58" s="1298" t="e">
        <f t="shared" si="99"/>
        <v>#VALUE!</v>
      </c>
      <c r="Z58" s="1298">
        <f ca="1">Z49-Z44-Z9-'当期公摊测算表（全期）'!U174/'当期公摊测算表（全期）'!E3</f>
        <v>5032.8980215023475</v>
      </c>
      <c r="AA58" s="1298">
        <f t="shared" ca="1" si="99"/>
        <v>4631.984723388472</v>
      </c>
      <c r="AB58" s="1298">
        <f t="shared" ca="1" si="99"/>
        <v>400.92288111387643</v>
      </c>
      <c r="AC58" s="1298">
        <f ca="1">AC49-AC44-AC9-'当期公摊测算表（全期）'!Y174</f>
        <v>6558.1364446751604</v>
      </c>
      <c r="AD58" s="1298">
        <f t="shared" ca="1" si="99"/>
        <v>6153.8611426315711</v>
      </c>
      <c r="AE58" s="1298">
        <f t="shared" ca="1" si="99"/>
        <v>532.64936881607719</v>
      </c>
      <c r="AF58" s="1298">
        <f t="shared" si="99"/>
        <v>2277</v>
      </c>
      <c r="AG58" s="1298">
        <f t="shared" si="99"/>
        <v>2080.5948544452849</v>
      </c>
      <c r="AH58" s="1298">
        <f t="shared" si="99"/>
        <v>196.40514555471484</v>
      </c>
      <c r="AI58" s="1298">
        <f t="shared" ca="1" si="99"/>
        <v>26845.675608001857</v>
      </c>
      <c r="AJ58" s="1298">
        <f t="shared" ca="1" si="99"/>
        <v>24718.648632949076</v>
      </c>
      <c r="AK58" s="1298">
        <f t="shared" ca="1" si="99"/>
        <v>2127.02697505278</v>
      </c>
      <c r="AL58" s="1298">
        <f t="shared" si="99"/>
        <v>839.99999999999989</v>
      </c>
      <c r="AM58" s="1298">
        <f t="shared" si="99"/>
        <v>767.15537918117298</v>
      </c>
      <c r="AN58" s="1298">
        <f t="shared" si="99"/>
        <v>72.844620818826883</v>
      </c>
      <c r="AO58" s="1298">
        <f t="shared" ca="1" si="99"/>
        <v>0</v>
      </c>
      <c r="AP58" s="1298">
        <f t="shared" ca="1" si="99"/>
        <v>0</v>
      </c>
      <c r="AQ58" s="1298">
        <f t="shared" ca="1" si="99"/>
        <v>0</v>
      </c>
      <c r="AR58" s="1298">
        <f t="shared" ca="1" si="99"/>
        <v>38415.912157864223</v>
      </c>
      <c r="AS58" s="1298">
        <f t="shared" ca="1" si="99"/>
        <v>35362.610121776794</v>
      </c>
      <c r="AT58" s="1298">
        <f t="shared" ca="1" si="99"/>
        <v>3053.3020360874325</v>
      </c>
      <c r="AU58" s="1298">
        <f t="shared" ca="1" si="99"/>
        <v>764.78532913391905</v>
      </c>
      <c r="AV58" s="1298">
        <f t="shared" ca="1" si="99"/>
        <v>706.38292964767402</v>
      </c>
      <c r="AW58" s="1298">
        <f t="shared" ca="1" si="99"/>
        <v>58.402399486245002</v>
      </c>
      <c r="AX58" s="1298">
        <f t="shared" si="99"/>
        <v>0</v>
      </c>
      <c r="AY58" s="1298">
        <f t="shared" si="99"/>
        <v>0</v>
      </c>
      <c r="AZ58" s="1298">
        <f t="shared" si="99"/>
        <v>0</v>
      </c>
      <c r="BA58" s="1298">
        <f t="shared" ca="1" si="99"/>
        <v>69143.373095000003</v>
      </c>
      <c r="BB58" s="1298">
        <f t="shared" ca="1" si="99"/>
        <v>63635.391917999994</v>
      </c>
      <c r="BC58" s="1298">
        <f t="shared" ca="1" si="99"/>
        <v>5507.9811770000006</v>
      </c>
      <c r="BD58" s="1298">
        <f t="shared" si="99"/>
        <v>0</v>
      </c>
      <c r="BE58" s="1298">
        <f t="shared" si="99"/>
        <v>0</v>
      </c>
      <c r="BF58" s="1298">
        <f t="shared" si="99"/>
        <v>0</v>
      </c>
      <c r="BG58" s="1298">
        <f t="shared" si="99"/>
        <v>0</v>
      </c>
      <c r="BH58" s="1298">
        <f t="shared" si="99"/>
        <v>0</v>
      </c>
      <c r="BI58" s="1298">
        <f t="shared" si="99"/>
        <v>0</v>
      </c>
      <c r="BJ58" s="1298">
        <f t="shared" ca="1" si="99"/>
        <v>69143.373095000003</v>
      </c>
      <c r="BK58" s="1299"/>
      <c r="BL58" s="1299"/>
      <c r="BM58" s="1300"/>
      <c r="BN58" s="1221"/>
      <c r="BO58" s="1221"/>
      <c r="BP58" s="1221"/>
      <c r="BQ58" s="1221"/>
      <c r="BR58" s="1222"/>
      <c r="BS58" s="1222"/>
      <c r="BT58" s="1222"/>
      <c r="BU58" s="1222"/>
      <c r="BV58" s="1222"/>
      <c r="BW58" s="1222"/>
      <c r="BX58" s="1222"/>
      <c r="BY58" s="1222"/>
      <c r="BZ58" s="1222"/>
      <c r="CA58" s="1222"/>
      <c r="CB58" s="1222"/>
      <c r="CC58" s="1222"/>
      <c r="CD58" s="1222"/>
      <c r="CE58" s="1222"/>
      <c r="CF58" s="1222"/>
      <c r="CG58" s="1222"/>
      <c r="CH58" s="1222"/>
      <c r="CI58" s="1222"/>
      <c r="CJ58" s="1222"/>
      <c r="CK58" s="1222"/>
      <c r="CL58" s="1222"/>
      <c r="CM58" s="1222"/>
      <c r="CN58" s="1222"/>
      <c r="CO58" s="1222"/>
      <c r="CP58" s="1222"/>
      <c r="CQ58" s="1222"/>
      <c r="CR58" s="1222"/>
      <c r="CS58" s="1222"/>
      <c r="CT58" s="1222"/>
      <c r="CU58" s="1222"/>
      <c r="CV58" s="1222"/>
      <c r="CW58" s="1222"/>
      <c r="CX58" s="1222"/>
      <c r="CY58" s="1222"/>
      <c r="CZ58" s="1222"/>
      <c r="DA58" s="1222"/>
      <c r="DB58" s="1222"/>
      <c r="DC58" s="1222"/>
      <c r="DD58" s="1222"/>
      <c r="DE58" s="1222"/>
      <c r="DF58" s="1222"/>
      <c r="DG58" s="1222"/>
      <c r="DH58" s="1222"/>
      <c r="DI58" s="1222"/>
      <c r="DJ58" s="1222"/>
      <c r="DK58" s="1222"/>
      <c r="DL58" s="1222"/>
      <c r="DM58" s="1222"/>
      <c r="DN58" s="1222"/>
      <c r="DO58" s="1222"/>
      <c r="DP58" s="1222"/>
      <c r="DQ58" s="1222"/>
      <c r="DR58" s="1222"/>
      <c r="DS58" s="1222"/>
      <c r="DT58" s="1222"/>
      <c r="DU58" s="1222"/>
      <c r="DV58" s="1222"/>
      <c r="DW58" s="1222"/>
      <c r="DX58" s="1222"/>
      <c r="DY58" s="1222"/>
      <c r="DZ58" s="1222"/>
      <c r="EA58" s="1222"/>
      <c r="EB58" s="1222"/>
      <c r="EC58" s="1222"/>
      <c r="ED58" s="1222"/>
      <c r="EE58" s="1222"/>
      <c r="EF58" s="1222"/>
      <c r="EG58" s="1222"/>
      <c r="EH58" s="1222"/>
      <c r="EI58" s="1222"/>
      <c r="EJ58" s="1222"/>
      <c r="EK58" s="1222"/>
      <c r="EL58" s="1222"/>
      <c r="EM58" s="1222"/>
      <c r="EN58" s="1222"/>
      <c r="EO58" s="1222"/>
      <c r="EP58" s="1222"/>
      <c r="EQ58" s="1222"/>
      <c r="ER58" s="1222"/>
      <c r="ES58" s="1222"/>
      <c r="ET58" s="1222"/>
      <c r="EU58" s="1222"/>
      <c r="EV58" s="1222"/>
      <c r="EW58" s="1222"/>
      <c r="EX58" s="1222"/>
      <c r="EY58" s="1222"/>
      <c r="EZ58" s="1222"/>
      <c r="FA58" s="1222"/>
      <c r="FB58" s="1222"/>
      <c r="FC58" s="1222"/>
      <c r="FD58" s="1222"/>
      <c r="FE58" s="1222"/>
      <c r="FF58" s="1222"/>
      <c r="FG58" s="1222"/>
      <c r="FH58" s="1222"/>
      <c r="FI58" s="1222"/>
      <c r="FJ58" s="1222"/>
      <c r="FK58" s="1222"/>
      <c r="FL58" s="1222"/>
      <c r="FM58" s="1222"/>
      <c r="FN58" s="1222"/>
      <c r="FO58" s="1222"/>
      <c r="FP58" s="1222"/>
      <c r="FQ58" s="1222"/>
      <c r="FR58" s="1222"/>
      <c r="FS58" s="1222"/>
      <c r="FT58" s="1222"/>
      <c r="FU58" s="1222"/>
      <c r="FV58" s="1222"/>
      <c r="FW58" s="1222"/>
      <c r="FX58" s="1222"/>
      <c r="FY58" s="1222"/>
      <c r="FZ58" s="1222"/>
      <c r="GA58" s="1222"/>
      <c r="GB58" s="1222"/>
      <c r="GC58" s="1222"/>
      <c r="GD58" s="1222"/>
      <c r="GE58" s="1222"/>
      <c r="GF58" s="1222"/>
      <c r="GG58" s="1222"/>
      <c r="GH58" s="1222"/>
      <c r="GI58" s="1222"/>
      <c r="GJ58" s="1222"/>
      <c r="GK58" s="1222"/>
      <c r="GL58" s="1222"/>
      <c r="GM58" s="1222"/>
      <c r="GN58" s="1222"/>
      <c r="GO58" s="1222"/>
      <c r="GP58" s="1222"/>
      <c r="GQ58" s="1222"/>
      <c r="GR58" s="1222"/>
      <c r="GS58" s="1222"/>
      <c r="GT58" s="1222"/>
      <c r="GU58" s="1222"/>
      <c r="GV58" s="1222"/>
      <c r="GW58" s="1222"/>
      <c r="GX58" s="1222"/>
      <c r="GY58" s="1222"/>
      <c r="GZ58" s="1222"/>
      <c r="HA58" s="1222"/>
      <c r="HB58" s="1222"/>
      <c r="HC58" s="1222"/>
      <c r="HD58" s="1222"/>
      <c r="HE58" s="1222"/>
      <c r="HF58" s="1222"/>
      <c r="HG58" s="1222"/>
      <c r="HH58" s="1222"/>
      <c r="HI58" s="1222"/>
      <c r="HJ58" s="1222"/>
      <c r="HK58" s="1222"/>
      <c r="HL58" s="1222"/>
      <c r="HM58" s="1222"/>
      <c r="HN58" s="1222"/>
      <c r="HO58" s="1222"/>
      <c r="HP58" s="1222"/>
      <c r="HQ58" s="1222"/>
      <c r="HR58" s="1222"/>
      <c r="HS58" s="1222"/>
      <c r="HT58" s="1222"/>
      <c r="HU58" s="1222"/>
      <c r="HV58" s="1222"/>
      <c r="HW58" s="1222"/>
      <c r="HX58" s="1222"/>
      <c r="HY58" s="1222"/>
      <c r="HZ58" s="1222"/>
      <c r="IA58" s="1222"/>
      <c r="IB58" s="1222"/>
      <c r="IC58" s="1222"/>
      <c r="ID58" s="1222"/>
      <c r="IE58" s="1222"/>
      <c r="IF58" s="1222"/>
      <c r="IG58" s="1222"/>
      <c r="IH58" s="1222"/>
      <c r="II58" s="1222"/>
      <c r="IJ58" s="1222"/>
      <c r="IK58" s="1222"/>
      <c r="IL58" s="1222"/>
      <c r="IM58" s="1222"/>
      <c r="IN58" s="1222"/>
      <c r="IO58" s="1222"/>
      <c r="IP58" s="1222"/>
      <c r="IQ58" s="1222"/>
      <c r="IR58" s="1222"/>
      <c r="IS58" s="1222"/>
      <c r="IT58" s="1222"/>
      <c r="IU58" s="1222"/>
      <c r="IV58" s="1222"/>
      <c r="IW58" s="1222"/>
      <c r="IX58" s="1222"/>
      <c r="IY58" s="1222"/>
      <c r="IZ58" s="1222"/>
      <c r="JA58" s="1222"/>
      <c r="JB58" s="1222"/>
      <c r="JC58" s="1222"/>
      <c r="JD58" s="1222"/>
      <c r="JE58" s="1222"/>
      <c r="JF58" s="1222"/>
      <c r="JG58" s="1222"/>
      <c r="JH58" s="1222"/>
      <c r="JI58" s="1222"/>
      <c r="JJ58" s="1222"/>
      <c r="JK58" s="1222"/>
      <c r="JL58" s="1222"/>
      <c r="JM58" s="1222"/>
      <c r="JN58" s="1222"/>
      <c r="JO58" s="1222"/>
      <c r="JP58" s="1222"/>
      <c r="JQ58" s="1222"/>
      <c r="JR58" s="1222"/>
      <c r="JS58" s="1222"/>
      <c r="JT58" s="1222"/>
      <c r="JU58" s="1222"/>
      <c r="JV58" s="1222"/>
      <c r="JW58" s="1222"/>
      <c r="JX58" s="1222"/>
      <c r="JY58" s="1222"/>
      <c r="JZ58" s="1222"/>
      <c r="KA58" s="1222"/>
      <c r="KB58" s="1222"/>
      <c r="KC58" s="1222"/>
      <c r="KD58" s="1222"/>
      <c r="KE58" s="1222"/>
      <c r="KF58" s="1222"/>
      <c r="KG58" s="1222"/>
      <c r="KH58" s="1222"/>
      <c r="KI58" s="1222"/>
      <c r="KJ58" s="1222"/>
      <c r="KK58" s="1222"/>
      <c r="KL58" s="1222"/>
      <c r="KM58" s="1222"/>
      <c r="KN58" s="1222"/>
      <c r="KO58" s="1222"/>
      <c r="KP58" s="1222"/>
      <c r="KQ58" s="1222"/>
      <c r="KR58" s="1222"/>
      <c r="KS58" s="1222"/>
      <c r="KT58" s="1222"/>
      <c r="KU58" s="1222"/>
      <c r="KV58" s="1222"/>
      <c r="KW58" s="1222"/>
      <c r="KX58" s="1222"/>
      <c r="KY58" s="1222"/>
      <c r="KZ58" s="1222"/>
      <c r="LA58" s="1222"/>
      <c r="LB58" s="1222"/>
      <c r="LC58" s="1222"/>
      <c r="LD58" s="1222"/>
      <c r="LE58" s="1222"/>
      <c r="LF58" s="1222"/>
      <c r="LG58" s="1222"/>
      <c r="LH58" s="1222"/>
      <c r="LI58" s="1222"/>
      <c r="LJ58" s="1222"/>
      <c r="LK58" s="1222"/>
      <c r="LL58" s="1222"/>
      <c r="LM58" s="1222"/>
      <c r="LN58" s="1222"/>
      <c r="LO58" s="1222"/>
      <c r="LP58" s="1222"/>
      <c r="LQ58" s="1222"/>
      <c r="LR58" s="1222"/>
      <c r="LS58" s="1222"/>
      <c r="LT58" s="1222"/>
      <c r="LU58" s="1222"/>
      <c r="LV58" s="1222"/>
      <c r="LW58" s="1222"/>
      <c r="LX58" s="1222"/>
      <c r="LY58" s="1222"/>
      <c r="LZ58" s="1222"/>
      <c r="MA58" s="1222"/>
      <c r="MB58" s="1222"/>
      <c r="MC58" s="1222"/>
      <c r="MD58" s="1222"/>
      <c r="ME58" s="1222"/>
      <c r="MF58" s="1222"/>
      <c r="MG58" s="1222"/>
      <c r="MH58" s="1222"/>
      <c r="MI58" s="1222"/>
      <c r="MJ58" s="1222"/>
      <c r="MK58" s="1222"/>
      <c r="ML58" s="1222"/>
      <c r="MM58" s="1222"/>
      <c r="MN58" s="1222"/>
      <c r="MO58" s="1222"/>
      <c r="MP58" s="1222"/>
      <c r="MQ58" s="1222"/>
      <c r="MR58" s="1222"/>
      <c r="MS58" s="1222"/>
      <c r="MT58" s="1222"/>
      <c r="MU58" s="1222"/>
      <c r="MV58" s="1222"/>
      <c r="MW58" s="1222"/>
      <c r="MX58" s="1222"/>
      <c r="MY58" s="1222"/>
      <c r="MZ58" s="1222"/>
      <c r="NA58" s="1222"/>
      <c r="NB58" s="1222"/>
      <c r="NC58" s="1222"/>
      <c r="ND58" s="1222"/>
      <c r="NE58" s="1222"/>
      <c r="NF58" s="1222"/>
      <c r="NG58" s="1222"/>
      <c r="NH58" s="1222"/>
      <c r="NI58" s="1222"/>
      <c r="NJ58" s="1222"/>
      <c r="NK58" s="1222"/>
      <c r="NL58" s="1222"/>
      <c r="NM58" s="1222"/>
      <c r="NN58" s="1222"/>
      <c r="NO58" s="1222"/>
      <c r="NP58" s="1222"/>
      <c r="NQ58" s="1222"/>
      <c r="NR58" s="1222"/>
      <c r="NS58" s="1222"/>
      <c r="NT58" s="1222"/>
      <c r="NU58" s="1222"/>
      <c r="NV58" s="1222"/>
      <c r="NW58" s="1222"/>
      <c r="NX58" s="1222"/>
      <c r="NY58" s="1222"/>
      <c r="NZ58" s="1222"/>
      <c r="OA58" s="1222"/>
      <c r="OB58" s="1222"/>
      <c r="OC58" s="1222"/>
      <c r="OD58" s="1222"/>
      <c r="OE58" s="1222"/>
      <c r="OF58" s="1222"/>
      <c r="OG58" s="1222"/>
      <c r="OH58" s="1222"/>
      <c r="OI58" s="1222"/>
      <c r="OJ58" s="1222"/>
      <c r="OK58" s="1222"/>
      <c r="OL58" s="1222"/>
      <c r="OM58" s="1222"/>
      <c r="ON58" s="1222"/>
      <c r="OO58" s="1222"/>
      <c r="OP58" s="1222"/>
      <c r="OQ58" s="1222"/>
      <c r="OR58" s="1222"/>
      <c r="OS58" s="1222"/>
      <c r="OT58" s="1222"/>
      <c r="OU58" s="1222"/>
      <c r="OV58" s="1222"/>
      <c r="OW58" s="1222"/>
      <c r="OX58" s="1222"/>
      <c r="OY58" s="1222"/>
      <c r="OZ58" s="1222"/>
      <c r="PA58" s="1222"/>
      <c r="PB58" s="1222"/>
      <c r="PC58" s="1222"/>
      <c r="PD58" s="1222"/>
      <c r="PE58" s="1222"/>
      <c r="PF58" s="1222"/>
      <c r="PG58" s="1222"/>
      <c r="PH58" s="1222"/>
      <c r="PI58" s="1222"/>
      <c r="PJ58" s="1222"/>
      <c r="PK58" s="1222"/>
      <c r="PL58" s="1222"/>
      <c r="PM58" s="1222"/>
      <c r="PN58" s="1222"/>
      <c r="PO58" s="1222"/>
      <c r="PP58" s="1222"/>
      <c r="PQ58" s="1222"/>
      <c r="PR58" s="1222"/>
      <c r="PS58" s="1222"/>
      <c r="PT58" s="1222"/>
      <c r="PU58" s="1222"/>
      <c r="PV58" s="1222"/>
      <c r="PW58" s="1222"/>
      <c r="PX58" s="1222"/>
      <c r="PY58" s="1222"/>
      <c r="PZ58" s="1222"/>
      <c r="QA58" s="1222"/>
      <c r="QB58" s="1222"/>
      <c r="QC58" s="1222"/>
      <c r="QD58" s="1222"/>
      <c r="QE58" s="1222"/>
      <c r="QF58" s="1222"/>
      <c r="QG58" s="1222"/>
      <c r="QH58" s="1222"/>
      <c r="QI58" s="1222"/>
      <c r="QJ58" s="1222"/>
      <c r="QK58" s="1222"/>
      <c r="QL58" s="1222"/>
      <c r="QM58" s="1222"/>
      <c r="QN58" s="1222"/>
      <c r="QO58" s="1222"/>
      <c r="QP58" s="1222"/>
      <c r="QQ58" s="1222"/>
      <c r="QR58" s="1222"/>
      <c r="QS58" s="1222"/>
      <c r="QT58" s="1222"/>
      <c r="QU58" s="1222"/>
      <c r="QV58" s="1222"/>
      <c r="QW58" s="1222"/>
      <c r="QX58" s="1222"/>
      <c r="QY58" s="1222"/>
      <c r="QZ58" s="1222"/>
      <c r="RA58" s="1222"/>
      <c r="RB58" s="1222"/>
      <c r="RC58" s="1222"/>
      <c r="RD58" s="1222"/>
      <c r="RE58" s="1222"/>
      <c r="RF58" s="1222"/>
      <c r="RG58" s="1222"/>
      <c r="RH58" s="1222"/>
      <c r="RI58" s="1222"/>
      <c r="RJ58" s="1222"/>
      <c r="RK58" s="1222"/>
      <c r="RL58" s="1222"/>
      <c r="RM58" s="1222"/>
      <c r="RN58" s="1222"/>
      <c r="RO58" s="1222"/>
      <c r="RP58" s="1222"/>
      <c r="RQ58" s="1222"/>
      <c r="RR58" s="1222"/>
      <c r="RS58" s="1222"/>
      <c r="RT58" s="1222"/>
      <c r="RU58" s="1222"/>
      <c r="RV58" s="1222"/>
      <c r="RW58" s="1222"/>
      <c r="RX58" s="1222"/>
      <c r="RY58" s="1222"/>
      <c r="RZ58" s="1222"/>
      <c r="SA58" s="1222"/>
      <c r="SB58" s="1222"/>
      <c r="SC58" s="1222"/>
      <c r="SD58" s="1222"/>
      <c r="SE58" s="1222"/>
      <c r="SF58" s="1222"/>
      <c r="SG58" s="1222"/>
      <c r="SH58" s="1222"/>
      <c r="SI58" s="1222"/>
      <c r="SJ58" s="1222"/>
      <c r="SK58" s="1222"/>
      <c r="SL58" s="1222"/>
      <c r="SM58" s="1222"/>
      <c r="SN58" s="1222"/>
      <c r="SO58" s="1222"/>
      <c r="SP58" s="1222"/>
      <c r="SQ58" s="1222"/>
      <c r="SR58" s="1222"/>
      <c r="SS58" s="1222"/>
      <c r="ST58" s="1222"/>
      <c r="SU58" s="1222"/>
      <c r="SV58" s="1222"/>
      <c r="SW58" s="1222"/>
      <c r="SX58" s="1222"/>
      <c r="SY58" s="1222"/>
      <c r="SZ58" s="1222"/>
      <c r="TA58" s="1222"/>
      <c r="TB58" s="1222"/>
      <c r="TC58" s="1222"/>
      <c r="TD58" s="1222"/>
      <c r="TE58" s="1222"/>
      <c r="TF58" s="1222"/>
      <c r="TG58" s="1222"/>
      <c r="TH58" s="1222"/>
      <c r="TI58" s="1222"/>
      <c r="TJ58" s="1222"/>
      <c r="TK58" s="1222"/>
      <c r="TL58" s="1222"/>
      <c r="TM58" s="1222"/>
      <c r="TN58" s="1222"/>
      <c r="TO58" s="1222"/>
      <c r="TP58" s="1222"/>
      <c r="TQ58" s="1222"/>
      <c r="TR58" s="1222"/>
      <c r="TS58" s="1222"/>
      <c r="TT58" s="1222"/>
      <c r="TU58" s="1222"/>
      <c r="TV58" s="1222"/>
      <c r="TW58" s="1222"/>
      <c r="TX58" s="1222"/>
      <c r="TY58" s="1222"/>
      <c r="TZ58" s="1222"/>
      <c r="UA58" s="1222"/>
      <c r="UB58" s="1222"/>
      <c r="UC58" s="1222"/>
      <c r="UD58" s="1222"/>
      <c r="UE58" s="1222"/>
      <c r="UF58" s="1222"/>
      <c r="UG58" s="1222"/>
      <c r="UH58" s="1222"/>
      <c r="UI58" s="1222"/>
      <c r="UJ58" s="1222"/>
      <c r="UK58" s="1222"/>
      <c r="UL58" s="1222"/>
      <c r="UM58" s="1222"/>
      <c r="UN58" s="1222"/>
      <c r="UO58" s="1222"/>
      <c r="UP58" s="1222"/>
      <c r="UQ58" s="1222"/>
      <c r="UR58" s="1222"/>
      <c r="US58" s="1222"/>
      <c r="UT58" s="1222"/>
      <c r="UU58" s="1222"/>
      <c r="UV58" s="1222"/>
      <c r="UW58" s="1222"/>
      <c r="UX58" s="1222"/>
      <c r="UY58" s="1222"/>
      <c r="UZ58" s="1222"/>
      <c r="VA58" s="1222"/>
      <c r="VB58" s="1222"/>
      <c r="VC58" s="1222"/>
      <c r="VD58" s="1222"/>
      <c r="VE58" s="1222"/>
      <c r="VF58" s="1222"/>
      <c r="VG58" s="1222"/>
      <c r="VH58" s="1222"/>
      <c r="VI58" s="1222"/>
      <c r="VJ58" s="1222"/>
      <c r="VK58" s="1222"/>
      <c r="VL58" s="1222"/>
      <c r="VM58" s="1222"/>
      <c r="VN58" s="1222"/>
      <c r="VO58" s="1222"/>
      <c r="VP58" s="1222"/>
      <c r="VQ58" s="1222"/>
      <c r="VR58" s="1222"/>
      <c r="VS58" s="1222"/>
      <c r="VT58" s="1222"/>
      <c r="VU58" s="1222"/>
      <c r="VV58" s="1222"/>
      <c r="VW58" s="1222"/>
      <c r="VX58" s="1222"/>
      <c r="VY58" s="1222"/>
      <c r="VZ58" s="1222"/>
      <c r="WA58" s="1222"/>
      <c r="WB58" s="1222"/>
      <c r="WC58" s="1222"/>
      <c r="WD58" s="1222"/>
      <c r="WE58" s="1222"/>
      <c r="WF58" s="1222"/>
      <c r="WG58" s="1222"/>
      <c r="WH58" s="1222"/>
      <c r="WI58" s="1222"/>
      <c r="WJ58" s="1222"/>
      <c r="WK58" s="1222"/>
      <c r="WL58" s="1222"/>
      <c r="WM58" s="1222"/>
      <c r="WN58" s="1222"/>
      <c r="WO58" s="1222"/>
      <c r="WP58" s="1222"/>
      <c r="WQ58" s="1222"/>
      <c r="WR58" s="1222"/>
      <c r="WS58" s="1222"/>
      <c r="WT58" s="1222"/>
      <c r="WU58" s="1222"/>
      <c r="WV58" s="1222"/>
      <c r="WW58" s="1222"/>
      <c r="WX58" s="1222"/>
      <c r="WY58" s="1222"/>
      <c r="WZ58" s="1222"/>
      <c r="XA58" s="1222"/>
      <c r="XB58" s="1222"/>
      <c r="XC58" s="1222"/>
      <c r="XD58" s="1222"/>
      <c r="XE58" s="1222"/>
      <c r="XF58" s="1222"/>
      <c r="XG58" s="1222"/>
      <c r="XH58" s="1222"/>
      <c r="XI58" s="1222"/>
      <c r="XJ58" s="1222"/>
      <c r="XK58" s="1222"/>
      <c r="XL58" s="1222"/>
      <c r="XM58" s="1222"/>
      <c r="XN58" s="1222"/>
      <c r="XO58" s="1222"/>
      <c r="XP58" s="1222"/>
      <c r="XQ58" s="1222"/>
      <c r="XR58" s="1222"/>
      <c r="XS58" s="1222"/>
      <c r="XT58" s="1222"/>
      <c r="XU58" s="1222"/>
      <c r="XV58" s="1222"/>
      <c r="XW58" s="1222"/>
      <c r="XX58" s="1222"/>
      <c r="XY58" s="1222"/>
      <c r="XZ58" s="1222"/>
      <c r="YA58" s="1222"/>
      <c r="YB58" s="1222"/>
      <c r="YC58" s="1222"/>
      <c r="YD58" s="1222"/>
      <c r="YE58" s="1222"/>
      <c r="YF58" s="1222"/>
      <c r="YG58" s="1222"/>
      <c r="YH58" s="1222"/>
      <c r="YI58" s="1222"/>
      <c r="YJ58" s="1222"/>
      <c r="YK58" s="1222"/>
      <c r="YL58" s="1222"/>
      <c r="YM58" s="1222"/>
      <c r="YN58" s="1222"/>
      <c r="YO58" s="1222"/>
      <c r="YP58" s="1222"/>
      <c r="YQ58" s="1222"/>
      <c r="YR58" s="1222"/>
      <c r="YS58" s="1222"/>
      <c r="YT58" s="1222"/>
      <c r="YU58" s="1222"/>
      <c r="YV58" s="1222"/>
      <c r="YW58" s="1222"/>
      <c r="YX58" s="1222"/>
      <c r="YY58" s="1222"/>
      <c r="YZ58" s="1222"/>
      <c r="ZA58" s="1222"/>
      <c r="ZB58" s="1222"/>
      <c r="ZC58" s="1222"/>
      <c r="ZD58" s="1222"/>
      <c r="ZE58" s="1222"/>
      <c r="ZF58" s="1222"/>
      <c r="ZG58" s="1222"/>
      <c r="ZH58" s="1222"/>
      <c r="ZI58" s="1222"/>
      <c r="ZJ58" s="1222"/>
      <c r="ZK58" s="1222"/>
      <c r="ZL58" s="1222"/>
      <c r="ZM58" s="1222"/>
      <c r="ZN58" s="1222"/>
      <c r="ZO58" s="1222"/>
      <c r="ZP58" s="1222"/>
      <c r="ZQ58" s="1222"/>
      <c r="ZR58" s="1222"/>
      <c r="ZS58" s="1222"/>
      <c r="ZT58" s="1222"/>
      <c r="ZU58" s="1222"/>
      <c r="ZV58" s="1222"/>
      <c r="ZW58" s="1222"/>
      <c r="ZX58" s="1222"/>
      <c r="ZY58" s="1222"/>
      <c r="ZZ58" s="1222"/>
      <c r="AAA58" s="1222"/>
      <c r="AAB58" s="1222"/>
      <c r="AAC58" s="1222"/>
      <c r="AAD58" s="1222"/>
      <c r="AAE58" s="1222"/>
      <c r="AAF58" s="1222"/>
      <c r="AAG58" s="1222"/>
      <c r="AAH58" s="1222"/>
      <c r="AAI58" s="1222"/>
      <c r="AAJ58" s="1222"/>
      <c r="AAK58" s="1222"/>
      <c r="AAL58" s="1222"/>
      <c r="AAM58" s="1222"/>
      <c r="AAN58" s="1222"/>
      <c r="AAO58" s="1222"/>
      <c r="AAP58" s="1222"/>
      <c r="AAQ58" s="1222"/>
      <c r="AAR58" s="1222"/>
      <c r="AAS58" s="1222"/>
      <c r="AAT58" s="1222"/>
      <c r="AAU58" s="1222"/>
      <c r="AAV58" s="1222"/>
      <c r="AAW58" s="1222"/>
      <c r="AAX58" s="1222"/>
      <c r="AAY58" s="1222"/>
      <c r="AAZ58" s="1222"/>
      <c r="ABA58" s="1222"/>
      <c r="ABB58" s="1222"/>
      <c r="ABC58" s="1222"/>
      <c r="ABD58" s="1222"/>
      <c r="ABE58" s="1222"/>
      <c r="ABF58" s="1222"/>
      <c r="ABG58" s="1222"/>
      <c r="ABH58" s="1222"/>
      <c r="ABI58" s="1222"/>
      <c r="ABJ58" s="1222"/>
      <c r="ABK58" s="1222"/>
      <c r="ABL58" s="1222"/>
      <c r="ABM58" s="1222"/>
      <c r="ABN58" s="1222"/>
      <c r="ABO58" s="1222"/>
      <c r="ABP58" s="1222"/>
      <c r="ABQ58" s="1222"/>
      <c r="ABR58" s="1222"/>
      <c r="ABS58" s="1222"/>
      <c r="ABT58" s="1222"/>
      <c r="ABU58" s="1222"/>
      <c r="ABV58" s="1222"/>
      <c r="ABW58" s="1222"/>
      <c r="ABX58" s="1222"/>
      <c r="ABY58" s="1222"/>
      <c r="ABZ58" s="1222"/>
      <c r="ACA58" s="1222"/>
      <c r="ACB58" s="1222"/>
      <c r="ACC58" s="1222"/>
      <c r="ACD58" s="1222"/>
      <c r="ACE58" s="1222"/>
      <c r="ACF58" s="1222"/>
      <c r="ACG58" s="1222"/>
      <c r="ACH58" s="1222"/>
      <c r="ACI58" s="1222"/>
      <c r="ACJ58" s="1222"/>
      <c r="ACK58" s="1222"/>
      <c r="ACL58" s="1222"/>
      <c r="ACM58" s="1222"/>
      <c r="ACN58" s="1222"/>
      <c r="ACO58" s="1222"/>
      <c r="ACP58" s="1222"/>
      <c r="ACQ58" s="1222"/>
      <c r="ACR58" s="1222"/>
      <c r="ACS58" s="1222"/>
      <c r="ACT58" s="1222"/>
      <c r="ACU58" s="1222"/>
      <c r="ACV58" s="1222"/>
      <c r="ACW58" s="1222"/>
      <c r="ACX58" s="1222"/>
      <c r="ACY58" s="1222"/>
      <c r="ACZ58" s="1222"/>
      <c r="ADA58" s="1222"/>
      <c r="ADB58" s="1222"/>
      <c r="ADC58" s="1222"/>
      <c r="ADD58" s="1222"/>
      <c r="ADE58" s="1222"/>
      <c r="ADF58" s="1222"/>
      <c r="ADG58" s="1222"/>
      <c r="ADH58" s="1222"/>
      <c r="ADI58" s="1222"/>
      <c r="ADJ58" s="1222"/>
      <c r="ADK58" s="1222"/>
      <c r="ADL58" s="1222"/>
      <c r="ADM58" s="1222"/>
      <c r="ADN58" s="1222"/>
      <c r="ADO58" s="1222"/>
      <c r="ADP58" s="1222"/>
      <c r="ADQ58" s="1222"/>
      <c r="ADR58" s="1222"/>
      <c r="ADS58" s="1222"/>
      <c r="ADT58" s="1222"/>
      <c r="ADU58" s="1222"/>
      <c r="ADV58" s="1222"/>
      <c r="ADW58" s="1222"/>
      <c r="ADX58" s="1222"/>
      <c r="ADY58" s="1222"/>
      <c r="ADZ58" s="1222"/>
      <c r="AEA58" s="1222"/>
      <c r="AEB58" s="1222"/>
      <c r="AEC58" s="1222"/>
      <c r="AED58" s="1222"/>
      <c r="AEE58" s="1222"/>
      <c r="AEF58" s="1222"/>
      <c r="AEG58" s="1222"/>
      <c r="AEH58" s="1222"/>
      <c r="AEI58" s="1222"/>
      <c r="AEJ58" s="1222"/>
      <c r="AEK58" s="1222"/>
      <c r="AEL58" s="1222"/>
      <c r="AEM58" s="1222"/>
      <c r="AEN58" s="1222"/>
      <c r="AEO58" s="1222"/>
      <c r="AEP58" s="1222"/>
      <c r="AEQ58" s="1222"/>
      <c r="AER58" s="1222"/>
      <c r="AES58" s="1222"/>
      <c r="AET58" s="1222"/>
      <c r="AEU58" s="1222"/>
      <c r="AEV58" s="1222"/>
      <c r="AEW58" s="1222"/>
      <c r="AEX58" s="1222"/>
      <c r="AEY58" s="1222"/>
      <c r="AEZ58" s="1222"/>
      <c r="AFA58" s="1222"/>
      <c r="AFB58" s="1222"/>
      <c r="AFC58" s="1222"/>
      <c r="AFD58" s="1222"/>
      <c r="AFE58" s="1222"/>
      <c r="AFF58" s="1222"/>
      <c r="AFG58" s="1222"/>
      <c r="AFH58" s="1222"/>
      <c r="AFI58" s="1222"/>
      <c r="AFJ58" s="1222"/>
      <c r="AFK58" s="1222"/>
      <c r="AFL58" s="1222"/>
      <c r="AFM58" s="1222"/>
      <c r="AFN58" s="1222"/>
      <c r="AFO58" s="1222"/>
      <c r="AFP58" s="1222"/>
      <c r="AFQ58" s="1222"/>
      <c r="AFR58" s="1222"/>
      <c r="AFS58" s="1222"/>
      <c r="AFT58" s="1222"/>
      <c r="AFU58" s="1222"/>
      <c r="AFV58" s="1222"/>
      <c r="AFW58" s="1222"/>
      <c r="AFX58" s="1222"/>
      <c r="AFY58" s="1222"/>
      <c r="AFZ58" s="1222"/>
      <c r="AGA58" s="1222"/>
      <c r="AGB58" s="1222"/>
      <c r="AGC58" s="1222"/>
      <c r="AGD58" s="1222"/>
      <c r="AGE58" s="1222"/>
      <c r="AGF58" s="1222"/>
      <c r="AGG58" s="1222"/>
      <c r="AGH58" s="1222"/>
      <c r="AGI58" s="1222"/>
      <c r="AGJ58" s="1222"/>
      <c r="AGK58" s="1222"/>
      <c r="AGL58" s="1222"/>
      <c r="AGM58" s="1222"/>
      <c r="AGN58" s="1222"/>
      <c r="AGO58" s="1222"/>
      <c r="AGP58" s="1222"/>
      <c r="AGQ58" s="1222"/>
      <c r="AGR58" s="1222"/>
      <c r="AGS58" s="1222"/>
      <c r="AGT58" s="1222"/>
      <c r="AGU58" s="1222"/>
      <c r="AGV58" s="1222"/>
      <c r="AGW58" s="1222"/>
      <c r="AGX58" s="1222"/>
      <c r="AGY58" s="1222"/>
      <c r="AGZ58" s="1222"/>
      <c r="AHA58" s="1222"/>
      <c r="AHB58" s="1222"/>
      <c r="AHC58" s="1222"/>
      <c r="AHD58" s="1222"/>
      <c r="AHE58" s="1222"/>
      <c r="AHF58" s="1222"/>
      <c r="AHG58" s="1222"/>
      <c r="AHH58" s="1222"/>
      <c r="AHI58" s="1222"/>
      <c r="AHJ58" s="1222"/>
      <c r="AHK58" s="1222"/>
      <c r="AHL58" s="1222"/>
      <c r="AHM58" s="1222"/>
      <c r="AHN58" s="1222"/>
      <c r="AHO58" s="1222"/>
      <c r="AHP58" s="1222"/>
      <c r="AHQ58" s="1222"/>
      <c r="AHR58" s="1222"/>
      <c r="AHS58" s="1222"/>
      <c r="AHT58" s="1222"/>
      <c r="AHU58" s="1222"/>
      <c r="AHV58" s="1222"/>
      <c r="AHW58" s="1222"/>
      <c r="AHX58" s="1222"/>
      <c r="AHY58" s="1222"/>
      <c r="AHZ58" s="1222"/>
      <c r="AIA58" s="1222"/>
      <c r="AIB58" s="1222"/>
      <c r="AIC58" s="1222"/>
      <c r="AID58" s="1222"/>
      <c r="AIE58" s="1222"/>
      <c r="AIF58" s="1222"/>
      <c r="AIG58" s="1222"/>
      <c r="AIH58" s="1222"/>
      <c r="AII58" s="1222"/>
      <c r="AIJ58" s="1222"/>
      <c r="AIK58" s="1222"/>
      <c r="AIL58" s="1222"/>
      <c r="AIM58" s="1222"/>
      <c r="AIN58" s="1222"/>
      <c r="AIO58" s="1222"/>
      <c r="AIP58" s="1222"/>
      <c r="AIQ58" s="1222"/>
      <c r="AIR58" s="1222"/>
      <c r="AIS58" s="1222"/>
      <c r="AIT58" s="1222"/>
      <c r="AIU58" s="1222"/>
      <c r="AIV58" s="1222"/>
      <c r="AIW58" s="1222"/>
      <c r="AIX58" s="1222"/>
      <c r="AIY58" s="1222"/>
      <c r="AIZ58" s="1222"/>
      <c r="AJA58" s="1222"/>
      <c r="AJB58" s="1222"/>
      <c r="AJC58" s="1222"/>
      <c r="AJD58" s="1222"/>
      <c r="AJE58" s="1222"/>
      <c r="AJF58" s="1222"/>
      <c r="AJG58" s="1222"/>
      <c r="AJH58" s="1222"/>
      <c r="AJI58" s="1222"/>
      <c r="AJJ58" s="1222"/>
      <c r="AJK58" s="1222"/>
      <c r="AJL58" s="1222"/>
      <c r="AJM58" s="1222"/>
      <c r="AJN58" s="1222"/>
      <c r="AJO58" s="1222"/>
      <c r="AJP58" s="1222"/>
      <c r="AJQ58" s="1222"/>
      <c r="AJR58" s="1222"/>
      <c r="AJS58" s="1222"/>
      <c r="AJT58" s="1222"/>
      <c r="AJU58" s="1222"/>
      <c r="AJV58" s="1222"/>
      <c r="AJW58" s="1222"/>
      <c r="AJX58" s="1222"/>
      <c r="AJY58" s="1222"/>
      <c r="AJZ58" s="1222"/>
      <c r="AKA58" s="1222"/>
      <c r="AKB58" s="1222"/>
      <c r="AKC58" s="1222"/>
      <c r="AKD58" s="1222"/>
      <c r="AKE58" s="1222"/>
      <c r="AKF58" s="1222"/>
      <c r="AKG58" s="1222"/>
      <c r="AKH58" s="1222"/>
      <c r="AKI58" s="1222"/>
      <c r="AKJ58" s="1222"/>
      <c r="AKK58" s="1222"/>
      <c r="AKL58" s="1222"/>
      <c r="AKM58" s="1222"/>
      <c r="AKN58" s="1222"/>
      <c r="AKO58" s="1222"/>
      <c r="AKP58" s="1222"/>
      <c r="AKQ58" s="1222"/>
      <c r="AKR58" s="1222"/>
      <c r="AKS58" s="1222"/>
      <c r="AKT58" s="1222"/>
      <c r="AKU58" s="1222"/>
      <c r="AKV58" s="1222"/>
      <c r="AKW58" s="1222"/>
      <c r="AKX58" s="1222"/>
      <c r="AKY58" s="1222"/>
      <c r="AKZ58" s="1222"/>
      <c r="ALA58" s="1222"/>
      <c r="ALB58" s="1222"/>
      <c r="ALC58" s="1222"/>
      <c r="ALD58" s="1222"/>
      <c r="ALE58" s="1222"/>
      <c r="ALF58" s="1222"/>
      <c r="ALG58" s="1222"/>
      <c r="ALH58" s="1222"/>
      <c r="ALI58" s="1222"/>
      <c r="ALJ58" s="1222"/>
      <c r="ALK58" s="1222"/>
      <c r="ALL58" s="1222"/>
      <c r="ALM58" s="1222"/>
      <c r="ALN58" s="1222"/>
      <c r="ALO58" s="1222"/>
      <c r="ALP58" s="1222"/>
      <c r="ALQ58" s="1222"/>
      <c r="ALR58" s="1222"/>
      <c r="ALS58" s="1222"/>
      <c r="ALT58" s="1222"/>
      <c r="ALU58" s="1222"/>
      <c r="ALV58" s="1222"/>
      <c r="ALW58" s="1222"/>
      <c r="ALX58" s="1222"/>
      <c r="ALY58" s="1222"/>
      <c r="ALZ58" s="1222"/>
      <c r="AMA58" s="1222"/>
      <c r="AMB58" s="1222"/>
      <c r="AMC58" s="1222"/>
      <c r="AMD58" s="1222"/>
      <c r="AME58" s="1222"/>
      <c r="AMF58" s="1222"/>
      <c r="AMG58" s="1222"/>
      <c r="AMH58" s="1222"/>
      <c r="AMI58" s="1222"/>
      <c r="AMJ58" s="1222"/>
      <c r="AMK58" s="1222"/>
      <c r="AML58" s="1222"/>
      <c r="AMM58" s="1222"/>
      <c r="AMN58" s="1222"/>
      <c r="AMO58" s="1222"/>
      <c r="AMP58" s="1222"/>
      <c r="AMQ58" s="1222"/>
      <c r="AMR58" s="1222"/>
      <c r="AMS58" s="1222"/>
      <c r="AMT58" s="1222"/>
      <c r="AMU58" s="1222"/>
      <c r="AMV58" s="1222"/>
      <c r="AMW58" s="1222"/>
      <c r="AMX58" s="1222"/>
      <c r="AMY58" s="1222"/>
      <c r="AMZ58" s="1222"/>
      <c r="ANA58" s="1222"/>
      <c r="ANB58" s="1222"/>
      <c r="ANC58" s="1222"/>
      <c r="AND58" s="1222"/>
      <c r="ANE58" s="1222"/>
      <c r="ANF58" s="1222"/>
      <c r="ANG58" s="1222"/>
      <c r="ANH58" s="1222"/>
      <c r="ANI58" s="1222"/>
      <c r="ANJ58" s="1222"/>
      <c r="ANK58" s="1222"/>
      <c r="ANL58" s="1222"/>
      <c r="ANM58" s="1222"/>
      <c r="ANN58" s="1222"/>
      <c r="ANO58" s="1222"/>
      <c r="ANP58" s="1222"/>
      <c r="ANQ58" s="1222"/>
      <c r="ANR58" s="1222"/>
      <c r="ANS58" s="1222"/>
      <c r="ANT58" s="1222"/>
      <c r="ANU58" s="1222"/>
      <c r="ANV58" s="1222"/>
      <c r="ANW58" s="1222"/>
      <c r="ANX58" s="1222"/>
      <c r="ANY58" s="1222"/>
      <c r="ANZ58" s="1222"/>
      <c r="AOA58" s="1222"/>
      <c r="AOB58" s="1222"/>
      <c r="AOC58" s="1222"/>
      <c r="AOD58" s="1222"/>
      <c r="AOE58" s="1222"/>
      <c r="AOF58" s="1222"/>
      <c r="AOG58" s="1222"/>
      <c r="AOH58" s="1222"/>
      <c r="AOI58" s="1222"/>
      <c r="AOJ58" s="1222"/>
      <c r="AOK58" s="1222"/>
      <c r="AOL58" s="1222"/>
      <c r="AOM58" s="1222"/>
      <c r="AON58" s="1222"/>
      <c r="AOO58" s="1222"/>
      <c r="AOP58" s="1222"/>
      <c r="AOQ58" s="1222"/>
      <c r="AOR58" s="1222"/>
      <c r="AOS58" s="1222"/>
      <c r="AOT58" s="1222"/>
      <c r="AOU58" s="1222"/>
      <c r="AOV58" s="1222"/>
      <c r="AOW58" s="1222"/>
      <c r="AOX58" s="1222"/>
      <c r="AOY58" s="1222"/>
      <c r="AOZ58" s="1222"/>
      <c r="APA58" s="1222"/>
      <c r="APB58" s="1222"/>
      <c r="APC58" s="1222"/>
      <c r="APD58" s="1222"/>
      <c r="APE58" s="1222"/>
      <c r="APF58" s="1222"/>
      <c r="APG58" s="1222"/>
      <c r="APH58" s="1222"/>
      <c r="API58" s="1222"/>
      <c r="APJ58" s="1222"/>
      <c r="APK58" s="1222"/>
      <c r="APL58" s="1222"/>
      <c r="APM58" s="1222"/>
      <c r="APN58" s="1222"/>
      <c r="APO58" s="1222"/>
      <c r="APP58" s="1222"/>
      <c r="APQ58" s="1222"/>
      <c r="APR58" s="1222"/>
      <c r="APS58" s="1222"/>
      <c r="APT58" s="1222"/>
      <c r="APU58" s="1222"/>
      <c r="APV58" s="1222"/>
      <c r="APW58" s="1222"/>
      <c r="APX58" s="1222"/>
      <c r="APY58" s="1222"/>
      <c r="APZ58" s="1222"/>
      <c r="AQA58" s="1222"/>
      <c r="AQB58" s="1222"/>
      <c r="AQC58" s="1222"/>
      <c r="AQD58" s="1222"/>
      <c r="AQE58" s="1222"/>
      <c r="AQF58" s="1222"/>
      <c r="AQG58" s="1222"/>
      <c r="AQH58" s="1222"/>
      <c r="AQI58" s="1222"/>
      <c r="AQJ58" s="1222"/>
      <c r="AQK58" s="1222"/>
      <c r="AQL58" s="1222"/>
      <c r="AQM58" s="1222"/>
      <c r="AQN58" s="1222"/>
      <c r="AQO58" s="1222"/>
      <c r="AQP58" s="1222"/>
      <c r="AQQ58" s="1222"/>
      <c r="AQR58" s="1222"/>
      <c r="AQS58" s="1222"/>
      <c r="AQT58" s="1222"/>
      <c r="AQU58" s="1222"/>
      <c r="AQV58" s="1222"/>
      <c r="AQW58" s="1222"/>
      <c r="AQX58" s="1222"/>
      <c r="AQY58" s="1222"/>
      <c r="AQZ58" s="1222"/>
      <c r="ARA58" s="1222"/>
      <c r="ARB58" s="1222"/>
      <c r="ARC58" s="1222"/>
      <c r="ARD58" s="1222"/>
      <c r="ARE58" s="1222"/>
      <c r="ARF58" s="1222"/>
      <c r="ARG58" s="1222"/>
      <c r="ARH58" s="1222"/>
      <c r="ARI58" s="1222"/>
      <c r="ARJ58" s="1222"/>
      <c r="ARK58" s="1222"/>
      <c r="ARL58" s="1222"/>
      <c r="ARM58" s="1222"/>
      <c r="ARN58" s="1222"/>
      <c r="ARO58" s="1222"/>
      <c r="ARP58" s="1222"/>
      <c r="ARQ58" s="1222"/>
      <c r="ARR58" s="1222"/>
      <c r="ARS58" s="1222"/>
      <c r="ART58" s="1222"/>
      <c r="ARU58" s="1222"/>
      <c r="ARV58" s="1222"/>
      <c r="ARW58" s="1222"/>
      <c r="ARX58" s="1222"/>
      <c r="ARY58" s="1222"/>
      <c r="ARZ58" s="1222"/>
      <c r="ASA58" s="1222"/>
      <c r="ASB58" s="1222"/>
      <c r="ASC58" s="1222"/>
      <c r="ASD58" s="1222"/>
      <c r="ASE58" s="1222"/>
      <c r="ASF58" s="1222"/>
      <c r="ASG58" s="1222"/>
      <c r="ASH58" s="1222"/>
      <c r="ASI58" s="1222"/>
      <c r="ASJ58" s="1222"/>
      <c r="ASK58" s="1222"/>
      <c r="ASL58" s="1222"/>
      <c r="ASM58" s="1222"/>
      <c r="ASN58" s="1222"/>
      <c r="ASO58" s="1222"/>
      <c r="ASP58" s="1222"/>
      <c r="ASQ58" s="1222"/>
      <c r="ASR58" s="1222"/>
      <c r="ASS58" s="1222"/>
      <c r="AST58" s="1222"/>
      <c r="ASU58" s="1222"/>
      <c r="ASV58" s="1222"/>
      <c r="ASW58" s="1222"/>
      <c r="ASX58" s="1222"/>
      <c r="ASY58" s="1222"/>
      <c r="ASZ58" s="1222"/>
      <c r="ATA58" s="1222"/>
      <c r="ATB58" s="1222"/>
      <c r="ATC58" s="1222"/>
      <c r="ATD58" s="1222"/>
      <c r="ATE58" s="1222"/>
      <c r="ATF58" s="1222"/>
      <c r="ATG58" s="1222"/>
      <c r="ATH58" s="1222"/>
      <c r="ATI58" s="1222"/>
      <c r="ATJ58" s="1222"/>
      <c r="ATK58" s="1222"/>
      <c r="ATL58" s="1222"/>
      <c r="ATM58" s="1222"/>
      <c r="ATN58" s="1222"/>
      <c r="ATO58" s="1222"/>
      <c r="ATP58" s="1222"/>
      <c r="ATQ58" s="1222"/>
      <c r="ATR58" s="1222"/>
      <c r="ATS58" s="1222"/>
      <c r="ATT58" s="1222"/>
      <c r="ATU58" s="1222"/>
      <c r="ATV58" s="1222"/>
      <c r="ATW58" s="1222"/>
      <c r="ATX58" s="1222"/>
      <c r="ATY58" s="1222"/>
      <c r="ATZ58" s="1222"/>
      <c r="AUA58" s="1222"/>
      <c r="AUB58" s="1222"/>
      <c r="AUC58" s="1222"/>
      <c r="AUD58" s="1222"/>
      <c r="AUE58" s="1222"/>
      <c r="AUF58" s="1222"/>
      <c r="AUG58" s="1222"/>
      <c r="AUH58" s="1222"/>
      <c r="AUI58" s="1222"/>
      <c r="AUJ58" s="1222"/>
      <c r="AUK58" s="1222"/>
      <c r="AUL58" s="1222"/>
      <c r="AUM58" s="1222"/>
      <c r="AUN58" s="1222"/>
      <c r="AUO58" s="1222"/>
      <c r="AUP58" s="1222"/>
      <c r="AUQ58" s="1222"/>
      <c r="AUR58" s="1222"/>
      <c r="AUS58" s="1222"/>
      <c r="AUT58" s="1222"/>
      <c r="AUU58" s="1222"/>
      <c r="AUV58" s="1222"/>
      <c r="AUW58" s="1222"/>
      <c r="AUX58" s="1222"/>
      <c r="AUY58" s="1222"/>
      <c r="AUZ58" s="1222"/>
      <c r="AVA58" s="1222"/>
      <c r="AVB58" s="1222"/>
      <c r="AVC58" s="1222"/>
      <c r="AVD58" s="1222"/>
      <c r="AVE58" s="1222"/>
      <c r="AVF58" s="1222"/>
      <c r="AVG58" s="1222"/>
      <c r="AVH58" s="1222"/>
      <c r="AVI58" s="1222"/>
      <c r="AVJ58" s="1222"/>
      <c r="AVK58" s="1222"/>
      <c r="AVL58" s="1222"/>
      <c r="AVM58" s="1222"/>
      <c r="AVN58" s="1222"/>
      <c r="AVO58" s="1222"/>
      <c r="AVP58" s="1222"/>
      <c r="AVQ58" s="1222"/>
      <c r="AVR58" s="1222"/>
      <c r="AVS58" s="1222"/>
      <c r="AVT58" s="1222"/>
      <c r="AVU58" s="1222"/>
      <c r="AVV58" s="1222"/>
      <c r="AVW58" s="1222"/>
      <c r="AVX58" s="1222"/>
      <c r="AVY58" s="1222"/>
      <c r="AVZ58" s="1222"/>
      <c r="AWA58" s="1222"/>
      <c r="AWB58" s="1222"/>
      <c r="AWC58" s="1222"/>
      <c r="AWD58" s="1222"/>
      <c r="AWE58" s="1222"/>
      <c r="AWF58" s="1222"/>
      <c r="AWG58" s="1222"/>
      <c r="AWH58" s="1222"/>
      <c r="AWI58" s="1222"/>
      <c r="AWJ58" s="1222"/>
      <c r="AWK58" s="1222"/>
      <c r="AWL58" s="1222"/>
      <c r="AWM58" s="1222"/>
      <c r="AWN58" s="1222"/>
      <c r="AWO58" s="1222"/>
      <c r="AWP58" s="1222"/>
      <c r="AWQ58" s="1222"/>
      <c r="AWR58" s="1222"/>
      <c r="AWS58" s="1222"/>
      <c r="AWT58" s="1222"/>
      <c r="AWU58" s="1222"/>
      <c r="AWV58" s="1222"/>
      <c r="AWW58" s="1222"/>
      <c r="AWX58" s="1222"/>
      <c r="AWY58" s="1222"/>
      <c r="AWZ58" s="1222"/>
      <c r="AXA58" s="1222"/>
      <c r="AXB58" s="1222"/>
      <c r="AXC58" s="1222"/>
      <c r="AXD58" s="1222"/>
      <c r="AXE58" s="1222"/>
      <c r="AXF58" s="1222"/>
      <c r="AXG58" s="1222"/>
      <c r="AXH58" s="1222"/>
      <c r="AXI58" s="1222"/>
      <c r="AXJ58" s="1222"/>
      <c r="AXK58" s="1222"/>
      <c r="AXL58" s="1222"/>
      <c r="AXM58" s="1222"/>
      <c r="AXN58" s="1222"/>
      <c r="AXO58" s="1222"/>
      <c r="AXP58" s="1222"/>
      <c r="AXQ58" s="1222"/>
      <c r="AXR58" s="1222"/>
      <c r="AXS58" s="1222"/>
      <c r="AXT58" s="1222"/>
      <c r="AXU58" s="1222"/>
      <c r="AXV58" s="1222"/>
      <c r="AXW58" s="1222"/>
      <c r="AXX58" s="1222"/>
      <c r="AXY58" s="1222"/>
      <c r="AXZ58" s="1222"/>
      <c r="AYA58" s="1222"/>
      <c r="AYB58" s="1222"/>
      <c r="AYC58" s="1222"/>
      <c r="AYD58" s="1222"/>
      <c r="AYE58" s="1222"/>
      <c r="AYF58" s="1222"/>
      <c r="AYG58" s="1222"/>
      <c r="AYH58" s="1222"/>
      <c r="AYI58" s="1222"/>
      <c r="AYJ58" s="1222"/>
      <c r="AYK58" s="1222"/>
      <c r="AYL58" s="1222"/>
      <c r="AYM58" s="1222"/>
      <c r="AYN58" s="1222"/>
      <c r="AYO58" s="1222"/>
      <c r="AYP58" s="1222"/>
      <c r="AYQ58" s="1222"/>
      <c r="AYR58" s="1222"/>
      <c r="AYS58" s="1222"/>
      <c r="AYT58" s="1222"/>
      <c r="AYU58" s="1222"/>
      <c r="AYV58" s="1222"/>
      <c r="AYW58" s="1222"/>
      <c r="AYX58" s="1222"/>
      <c r="AYY58" s="1222"/>
      <c r="AYZ58" s="1222"/>
      <c r="AZA58" s="1222"/>
      <c r="AZB58" s="1222"/>
      <c r="AZC58" s="1222"/>
      <c r="AZD58" s="1222"/>
      <c r="AZE58" s="1222"/>
      <c r="AZF58" s="1222"/>
      <c r="AZG58" s="1222"/>
      <c r="AZH58" s="1222"/>
      <c r="AZI58" s="1222"/>
      <c r="AZJ58" s="1222"/>
      <c r="AZK58" s="1222"/>
      <c r="AZL58" s="1222"/>
      <c r="AZM58" s="1222"/>
      <c r="AZN58" s="1222"/>
      <c r="AZO58" s="1222"/>
      <c r="AZP58" s="1222"/>
      <c r="AZQ58" s="1222"/>
      <c r="AZR58" s="1222"/>
      <c r="AZS58" s="1222"/>
      <c r="AZT58" s="1222"/>
      <c r="AZU58" s="1222"/>
      <c r="AZV58" s="1222"/>
      <c r="AZW58" s="1222"/>
      <c r="AZX58" s="1222"/>
      <c r="AZY58" s="1222"/>
      <c r="AZZ58" s="1222"/>
      <c r="BAA58" s="1222"/>
      <c r="BAB58" s="1222"/>
      <c r="BAC58" s="1222"/>
      <c r="BAD58" s="1222"/>
      <c r="BAE58" s="1222"/>
      <c r="BAF58" s="1222"/>
      <c r="BAG58" s="1222"/>
      <c r="BAH58" s="1222"/>
      <c r="BAI58" s="1222"/>
      <c r="BAJ58" s="1222"/>
      <c r="BAK58" s="1222"/>
      <c r="BAL58" s="1222"/>
      <c r="BAM58" s="1222"/>
      <c r="BAN58" s="1222"/>
      <c r="BAO58" s="1222"/>
      <c r="BAP58" s="1222"/>
      <c r="BAQ58" s="1222"/>
      <c r="BAR58" s="1222"/>
      <c r="BAS58" s="1222"/>
      <c r="BAT58" s="1222"/>
      <c r="BAU58" s="1222"/>
      <c r="BAV58" s="1222"/>
      <c r="BAW58" s="1222"/>
      <c r="BAX58" s="1222"/>
      <c r="BAY58" s="1222"/>
      <c r="BAZ58" s="1222"/>
      <c r="BBA58" s="1222"/>
      <c r="BBB58" s="1222"/>
      <c r="BBC58" s="1222"/>
      <c r="BBD58" s="1222"/>
      <c r="BBE58" s="1222"/>
      <c r="BBF58" s="1222"/>
      <c r="BBG58" s="1222"/>
      <c r="BBH58" s="1222"/>
      <c r="BBI58" s="1222"/>
      <c r="BBJ58" s="1222"/>
      <c r="BBK58" s="1222"/>
      <c r="BBL58" s="1222"/>
      <c r="BBM58" s="1222"/>
      <c r="BBN58" s="1222"/>
      <c r="BBO58" s="1222"/>
      <c r="BBP58" s="1222"/>
      <c r="BBQ58" s="1222"/>
      <c r="BBR58" s="1222"/>
      <c r="BBS58" s="1222"/>
      <c r="BBT58" s="1222"/>
      <c r="BBU58" s="1222"/>
      <c r="BBV58" s="1222"/>
      <c r="BBW58" s="1222"/>
      <c r="BBX58" s="1222"/>
      <c r="BBY58" s="1222"/>
      <c r="BBZ58" s="1222"/>
      <c r="BCA58" s="1222"/>
      <c r="BCB58" s="1222"/>
      <c r="BCC58" s="1222"/>
      <c r="BCD58" s="1222"/>
      <c r="BCE58" s="1222"/>
      <c r="BCF58" s="1222"/>
      <c r="BCG58" s="1222"/>
      <c r="BCH58" s="1222"/>
      <c r="BCI58" s="1222"/>
      <c r="BCJ58" s="1222"/>
      <c r="BCK58" s="1222"/>
      <c r="BCL58" s="1222"/>
      <c r="BCM58" s="1222"/>
      <c r="BCN58" s="1222"/>
      <c r="BCO58" s="1222"/>
      <c r="BCP58" s="1222"/>
      <c r="BCQ58" s="1222"/>
      <c r="BCR58" s="1222"/>
      <c r="BCS58" s="1222"/>
      <c r="BCT58" s="1222"/>
      <c r="BCU58" s="1222"/>
      <c r="BCV58" s="1222"/>
      <c r="BCW58" s="1222"/>
      <c r="BCX58" s="1222"/>
      <c r="BCY58" s="1222"/>
      <c r="BCZ58" s="1222"/>
      <c r="BDA58" s="1222"/>
      <c r="BDB58" s="1222"/>
      <c r="BDC58" s="1222"/>
      <c r="BDD58" s="1222"/>
      <c r="BDE58" s="1222"/>
      <c r="BDF58" s="1222"/>
      <c r="BDG58" s="1222"/>
      <c r="BDH58" s="1222"/>
      <c r="BDI58" s="1222"/>
      <c r="BDJ58" s="1222"/>
      <c r="BDK58" s="1222"/>
      <c r="BDL58" s="1222"/>
      <c r="BDM58" s="1222"/>
      <c r="BDN58" s="1222"/>
      <c r="BDO58" s="1222"/>
      <c r="BDP58" s="1222"/>
      <c r="BDQ58" s="1222"/>
      <c r="BDR58" s="1222"/>
      <c r="BDS58" s="1222"/>
      <c r="BDT58" s="1222"/>
      <c r="BDU58" s="1222"/>
      <c r="BDV58" s="1222"/>
      <c r="BDW58" s="1222"/>
      <c r="BDX58" s="1222"/>
      <c r="BDY58" s="1222"/>
      <c r="BDZ58" s="1222"/>
      <c r="BEA58" s="1222"/>
      <c r="BEB58" s="1222"/>
      <c r="BEC58" s="1222"/>
      <c r="BED58" s="1222"/>
      <c r="BEE58" s="1222"/>
      <c r="BEF58" s="1222"/>
      <c r="BEG58" s="1222"/>
      <c r="BEH58" s="1222"/>
      <c r="BEI58" s="1222"/>
      <c r="BEJ58" s="1222"/>
      <c r="BEK58" s="1222"/>
      <c r="BEL58" s="1222"/>
      <c r="BEM58" s="1222"/>
      <c r="BEN58" s="1222"/>
      <c r="BEO58" s="1222"/>
      <c r="BEP58" s="1222"/>
      <c r="BEQ58" s="1222"/>
      <c r="BER58" s="1222"/>
      <c r="BES58" s="1222"/>
      <c r="BET58" s="1222"/>
      <c r="BEU58" s="1222"/>
      <c r="BEV58" s="1222"/>
      <c r="BEW58" s="1222"/>
      <c r="BEX58" s="1222"/>
      <c r="BEY58" s="1222"/>
      <c r="BEZ58" s="1222"/>
      <c r="BFA58" s="1222"/>
      <c r="BFB58" s="1222"/>
      <c r="BFC58" s="1222"/>
      <c r="BFD58" s="1222"/>
      <c r="BFE58" s="1222"/>
      <c r="BFF58" s="1222"/>
      <c r="BFG58" s="1222"/>
      <c r="BFH58" s="1222"/>
      <c r="BFI58" s="1222"/>
      <c r="BFJ58" s="1222"/>
      <c r="BFK58" s="1222"/>
      <c r="BFL58" s="1222"/>
      <c r="BFM58" s="1222"/>
      <c r="BFN58" s="1222"/>
      <c r="BFO58" s="1222"/>
      <c r="BFP58" s="1222"/>
      <c r="BFQ58" s="1222"/>
      <c r="BFR58" s="1222"/>
      <c r="BFS58" s="1222"/>
      <c r="BFT58" s="1222"/>
      <c r="BFU58" s="1222"/>
      <c r="BFV58" s="1222"/>
      <c r="BFW58" s="1222"/>
      <c r="BFX58" s="1222"/>
      <c r="BFY58" s="1222"/>
      <c r="BFZ58" s="1222"/>
      <c r="BGA58" s="1222"/>
      <c r="BGB58" s="1222"/>
      <c r="BGC58" s="1222"/>
      <c r="BGD58" s="1222"/>
      <c r="BGE58" s="1222"/>
      <c r="BGF58" s="1222"/>
      <c r="BGG58" s="1222"/>
      <c r="BGH58" s="1222"/>
      <c r="BGI58" s="1222"/>
      <c r="BGJ58" s="1222"/>
      <c r="BGK58" s="1222"/>
      <c r="BGL58" s="1222"/>
      <c r="BGM58" s="1222"/>
      <c r="BGN58" s="1222"/>
      <c r="BGO58" s="1222"/>
      <c r="BGP58" s="1222"/>
      <c r="BGQ58" s="1222"/>
      <c r="BGR58" s="1222"/>
      <c r="BGS58" s="1222"/>
      <c r="BGT58" s="1222"/>
      <c r="BGU58" s="1222"/>
      <c r="BGV58" s="1222"/>
      <c r="BGW58" s="1222"/>
      <c r="BGX58" s="1222"/>
      <c r="BGY58" s="1222"/>
      <c r="BGZ58" s="1222"/>
      <c r="BHA58" s="1222"/>
      <c r="BHB58" s="1222"/>
      <c r="BHC58" s="1222"/>
      <c r="BHD58" s="1222"/>
      <c r="BHE58" s="1222"/>
      <c r="BHF58" s="1222"/>
      <c r="BHG58" s="1222"/>
      <c r="BHH58" s="1222"/>
      <c r="BHI58" s="1222"/>
      <c r="BHJ58" s="1222"/>
      <c r="BHK58" s="1222"/>
      <c r="BHL58" s="1222"/>
      <c r="BHM58" s="1222"/>
      <c r="BHN58" s="1222"/>
      <c r="BHO58" s="1222"/>
      <c r="BHP58" s="1222"/>
      <c r="BHQ58" s="1222"/>
      <c r="BHR58" s="1222"/>
      <c r="BHS58" s="1222"/>
      <c r="BHT58" s="1222"/>
      <c r="BHU58" s="1222"/>
      <c r="BHV58" s="1222"/>
      <c r="BHW58" s="1222"/>
      <c r="BHX58" s="1222"/>
      <c r="BHY58" s="1222"/>
      <c r="BHZ58" s="1222"/>
      <c r="BIA58" s="1222"/>
      <c r="BIB58" s="1222"/>
      <c r="BIC58" s="1222"/>
      <c r="BID58" s="1222"/>
      <c r="BIE58" s="1222"/>
      <c r="BIF58" s="1222"/>
      <c r="BIG58" s="1222"/>
      <c r="BIH58" s="1222"/>
      <c r="BII58" s="1222"/>
      <c r="BIJ58" s="1222"/>
      <c r="BIK58" s="1222"/>
      <c r="BIL58" s="1222"/>
      <c r="BIM58" s="1222"/>
      <c r="BIN58" s="1222"/>
      <c r="BIO58" s="1222"/>
      <c r="BIP58" s="1222"/>
      <c r="BIQ58" s="1222"/>
      <c r="BIR58" s="1222"/>
      <c r="BIS58" s="1222"/>
      <c r="BIT58" s="1222"/>
      <c r="BIU58" s="1222"/>
      <c r="BIV58" s="1222"/>
      <c r="BIW58" s="1222"/>
      <c r="BIX58" s="1222"/>
      <c r="BIY58" s="1222"/>
      <c r="BIZ58" s="1222"/>
      <c r="BJA58" s="1222"/>
      <c r="BJB58" s="1222"/>
      <c r="BJC58" s="1222"/>
      <c r="BJD58" s="1222"/>
      <c r="BJE58" s="1222"/>
      <c r="BJF58" s="1222"/>
      <c r="BJG58" s="1222"/>
      <c r="BJH58" s="1222"/>
      <c r="BJI58" s="1222"/>
      <c r="BJJ58" s="1222"/>
      <c r="BJK58" s="1222"/>
      <c r="BJL58" s="1222"/>
      <c r="BJM58" s="1222"/>
      <c r="BJN58" s="1222"/>
      <c r="BJO58" s="1222"/>
      <c r="BJP58" s="1222"/>
      <c r="BJQ58" s="1222"/>
      <c r="BJR58" s="1222"/>
      <c r="BJS58" s="1222"/>
      <c r="BJT58" s="1222"/>
      <c r="BJU58" s="1222"/>
      <c r="BJV58" s="1222"/>
      <c r="BJW58" s="1222"/>
      <c r="BJX58" s="1222"/>
      <c r="BJY58" s="1222"/>
      <c r="BJZ58" s="1222"/>
      <c r="BKA58" s="1222"/>
      <c r="BKB58" s="1222"/>
      <c r="BKC58" s="1222"/>
      <c r="BKD58" s="1222"/>
      <c r="BKE58" s="1222"/>
      <c r="BKF58" s="1222"/>
      <c r="BKG58" s="1222"/>
      <c r="BKH58" s="1222"/>
      <c r="BKI58" s="1222"/>
      <c r="BKJ58" s="1222"/>
      <c r="BKK58" s="1222"/>
      <c r="BKL58" s="1222"/>
      <c r="BKM58" s="1222"/>
      <c r="BKN58" s="1222"/>
      <c r="BKO58" s="1222"/>
      <c r="BKP58" s="1222"/>
      <c r="BKQ58" s="1222"/>
      <c r="BKR58" s="1222"/>
      <c r="BKS58" s="1222"/>
      <c r="BKT58" s="1222"/>
      <c r="BKU58" s="1222"/>
      <c r="BKV58" s="1222"/>
      <c r="BKW58" s="1222"/>
      <c r="BKX58" s="1222"/>
      <c r="BKY58" s="1222"/>
      <c r="BKZ58" s="1222"/>
      <c r="BLA58" s="1222"/>
      <c r="BLB58" s="1222"/>
      <c r="BLC58" s="1222"/>
      <c r="BLD58" s="1222"/>
      <c r="BLE58" s="1222"/>
      <c r="BLF58" s="1222"/>
      <c r="BLG58" s="1222"/>
      <c r="BLH58" s="1222"/>
      <c r="BLI58" s="1222"/>
      <c r="BLJ58" s="1222"/>
      <c r="BLK58" s="1222"/>
      <c r="BLL58" s="1222"/>
      <c r="BLM58" s="1222"/>
      <c r="BLN58" s="1222"/>
      <c r="BLO58" s="1222"/>
      <c r="BLP58" s="1222"/>
      <c r="BLQ58" s="1222"/>
      <c r="BLR58" s="1222"/>
      <c r="BLS58" s="1222"/>
      <c r="BLT58" s="1222"/>
      <c r="BLU58" s="1222"/>
      <c r="BLV58" s="1222"/>
      <c r="BLW58" s="1222"/>
      <c r="BLX58" s="1222"/>
      <c r="BLY58" s="1222"/>
      <c r="BLZ58" s="1222"/>
      <c r="BMA58" s="1222"/>
      <c r="BMB58" s="1222"/>
      <c r="BMC58" s="1222"/>
      <c r="BMD58" s="1222"/>
      <c r="BME58" s="1222"/>
      <c r="BMF58" s="1222"/>
      <c r="BMG58" s="1222"/>
      <c r="BMH58" s="1222"/>
      <c r="BMI58" s="1222"/>
      <c r="BMJ58" s="1222"/>
      <c r="BMK58" s="1222"/>
      <c r="BML58" s="1222"/>
      <c r="BMM58" s="1222"/>
      <c r="BMN58" s="1222"/>
      <c r="BMO58" s="1222"/>
      <c r="BMP58" s="1222"/>
      <c r="BMQ58" s="1222"/>
      <c r="BMR58" s="1222"/>
      <c r="BMS58" s="1222"/>
      <c r="BMT58" s="1222"/>
      <c r="BMU58" s="1222"/>
      <c r="BMV58" s="1222"/>
      <c r="BMW58" s="1222"/>
      <c r="BMX58" s="1222"/>
      <c r="BMY58" s="1222"/>
      <c r="BMZ58" s="1222"/>
      <c r="BNA58" s="1222"/>
      <c r="BNB58" s="1222"/>
      <c r="BNC58" s="1222"/>
      <c r="BND58" s="1222"/>
      <c r="BNE58" s="1222"/>
      <c r="BNF58" s="1222"/>
      <c r="BNG58" s="1222"/>
      <c r="BNH58" s="1222"/>
      <c r="BNI58" s="1222"/>
      <c r="BNJ58" s="1222"/>
      <c r="BNK58" s="1222"/>
      <c r="BNL58" s="1222"/>
      <c r="BNM58" s="1222"/>
      <c r="BNN58" s="1222"/>
      <c r="BNO58" s="1222"/>
      <c r="BNP58" s="1222"/>
      <c r="BNQ58" s="1222"/>
      <c r="BNR58" s="1222"/>
      <c r="BNS58" s="1222"/>
      <c r="BNT58" s="1222"/>
      <c r="BNU58" s="1222"/>
      <c r="BNV58" s="1222"/>
      <c r="BNW58" s="1222"/>
      <c r="BNX58" s="1222"/>
      <c r="BNY58" s="1222"/>
      <c r="BNZ58" s="1222"/>
      <c r="BOA58" s="1222"/>
      <c r="BOB58" s="1222"/>
      <c r="BOC58" s="1222"/>
      <c r="BOD58" s="1222"/>
      <c r="BOE58" s="1222"/>
      <c r="BOF58" s="1222"/>
      <c r="BOG58" s="1222"/>
      <c r="BOH58" s="1222"/>
      <c r="BOI58" s="1222"/>
      <c r="BOJ58" s="1222"/>
      <c r="BOK58" s="1222"/>
      <c r="BOL58" s="1222"/>
      <c r="BOM58" s="1222"/>
      <c r="BON58" s="1222"/>
      <c r="BOO58" s="1222"/>
      <c r="BOP58" s="1222"/>
      <c r="BOQ58" s="1222"/>
      <c r="BOR58" s="1222"/>
      <c r="BOS58" s="1222"/>
      <c r="BOT58" s="1222"/>
      <c r="BOU58" s="1222"/>
      <c r="BOV58" s="1222"/>
      <c r="BOW58" s="1222"/>
      <c r="BOX58" s="1222"/>
      <c r="BOY58" s="1222"/>
      <c r="BOZ58" s="1222"/>
      <c r="BPA58" s="1222"/>
      <c r="BPB58" s="1222"/>
      <c r="BPC58" s="1222"/>
      <c r="BPD58" s="1222"/>
      <c r="BPE58" s="1222"/>
      <c r="BPF58" s="1222"/>
      <c r="BPG58" s="1222"/>
      <c r="BPH58" s="1222"/>
      <c r="BPI58" s="1222"/>
      <c r="BPJ58" s="1222"/>
      <c r="BPK58" s="1222"/>
      <c r="BPL58" s="1222"/>
      <c r="BPM58" s="1222"/>
      <c r="BPN58" s="1222"/>
      <c r="BPO58" s="1222"/>
      <c r="BPP58" s="1222"/>
      <c r="BPQ58" s="1222"/>
      <c r="BPR58" s="1222"/>
      <c r="BPS58" s="1222"/>
      <c r="BPT58" s="1222"/>
      <c r="BPU58" s="1222"/>
      <c r="BPV58" s="1222"/>
      <c r="BPW58" s="1222"/>
      <c r="BPX58" s="1222"/>
      <c r="BPY58" s="1222"/>
      <c r="BPZ58" s="1222"/>
      <c r="BQA58" s="1222"/>
      <c r="BQB58" s="1222"/>
      <c r="BQC58" s="1222"/>
      <c r="BQD58" s="1222"/>
      <c r="BQE58" s="1222"/>
      <c r="BQF58" s="1222"/>
      <c r="BQG58" s="1222"/>
      <c r="BQH58" s="1222"/>
      <c r="BQI58" s="1222"/>
      <c r="BQJ58" s="1222"/>
      <c r="BQK58" s="1222"/>
      <c r="BQL58" s="1222"/>
      <c r="BQM58" s="1222"/>
      <c r="BQN58" s="1222"/>
      <c r="BQO58" s="1222"/>
      <c r="BQP58" s="1222"/>
      <c r="BQQ58" s="1222"/>
      <c r="BQR58" s="1222"/>
      <c r="BQS58" s="1222"/>
      <c r="BQT58" s="1222"/>
      <c r="BQU58" s="1222"/>
      <c r="BQV58" s="1222"/>
      <c r="BQW58" s="1222"/>
      <c r="BQX58" s="1222"/>
      <c r="BQY58" s="1222"/>
      <c r="BQZ58" s="1222"/>
      <c r="BRA58" s="1222"/>
      <c r="BRB58" s="1222"/>
      <c r="BRC58" s="1222"/>
      <c r="BRD58" s="1222"/>
      <c r="BRE58" s="1222"/>
      <c r="BRF58" s="1222"/>
      <c r="BRG58" s="1222"/>
      <c r="BRH58" s="1222"/>
      <c r="BRI58" s="1222"/>
      <c r="BRJ58" s="1222"/>
      <c r="BRK58" s="1222"/>
      <c r="BRL58" s="1222"/>
      <c r="BRM58" s="1222"/>
      <c r="BRN58" s="1222"/>
      <c r="BRO58" s="1222"/>
      <c r="BRP58" s="1222"/>
      <c r="BRQ58" s="1222"/>
      <c r="BRR58" s="1222"/>
      <c r="BRS58" s="1222"/>
      <c r="BRT58" s="1222"/>
      <c r="BRU58" s="1222"/>
      <c r="BRV58" s="1222"/>
      <c r="BRW58" s="1222"/>
      <c r="BRX58" s="1222"/>
      <c r="BRY58" s="1222"/>
      <c r="BRZ58" s="1222"/>
      <c r="BSA58" s="1222"/>
      <c r="BSB58" s="1222"/>
      <c r="BSC58" s="1222"/>
      <c r="BSD58" s="1222"/>
      <c r="BSE58" s="1222"/>
      <c r="BSF58" s="1222"/>
      <c r="BSG58" s="1222"/>
      <c r="BSH58" s="1222"/>
      <c r="BSI58" s="1222"/>
      <c r="BSJ58" s="1222"/>
      <c r="BSK58" s="1222"/>
      <c r="BSL58" s="1222"/>
      <c r="BSM58" s="1222"/>
      <c r="BSN58" s="1222"/>
      <c r="BSO58" s="1222"/>
      <c r="BSP58" s="1222"/>
      <c r="BSQ58" s="1222"/>
      <c r="BSR58" s="1222"/>
      <c r="BSS58" s="1222"/>
      <c r="BST58" s="1222"/>
      <c r="BSU58" s="1222"/>
      <c r="BSV58" s="1222"/>
      <c r="BSW58" s="1222"/>
      <c r="BSX58" s="1222"/>
      <c r="BSY58" s="1222"/>
      <c r="BSZ58" s="1222"/>
      <c r="BTA58" s="1222"/>
      <c r="BTB58" s="1222"/>
      <c r="BTC58" s="1222"/>
      <c r="BTD58" s="1222"/>
      <c r="BTE58" s="1222"/>
      <c r="BTF58" s="1222"/>
      <c r="BTG58" s="1222"/>
      <c r="BTH58" s="1222"/>
      <c r="BTI58" s="1222"/>
      <c r="BTJ58" s="1222"/>
      <c r="BTK58" s="1222"/>
      <c r="BTL58" s="1222"/>
      <c r="BTM58" s="1222"/>
      <c r="BTN58" s="1222"/>
      <c r="BTO58" s="1222"/>
      <c r="BTP58" s="1222"/>
      <c r="BTQ58" s="1222"/>
      <c r="BTR58" s="1222"/>
      <c r="BTS58" s="1222"/>
      <c r="BTT58" s="1222"/>
      <c r="BTU58" s="1222"/>
      <c r="BTV58" s="1222"/>
      <c r="BTW58" s="1222"/>
      <c r="BTX58" s="1222"/>
      <c r="BTY58" s="1222"/>
      <c r="BTZ58" s="1222"/>
      <c r="BUA58" s="1222"/>
      <c r="BUB58" s="1222"/>
      <c r="BUC58" s="1222"/>
      <c r="BUD58" s="1222"/>
      <c r="BUE58" s="1222"/>
      <c r="BUF58" s="1222"/>
      <c r="BUG58" s="1222"/>
      <c r="BUH58" s="1222"/>
      <c r="BUI58" s="1222"/>
      <c r="BUJ58" s="1222"/>
      <c r="BUK58" s="1222"/>
      <c r="BUL58" s="1222"/>
      <c r="BUM58" s="1222"/>
      <c r="BUN58" s="1222"/>
      <c r="BUO58" s="1222"/>
      <c r="BUP58" s="1222"/>
      <c r="BUQ58" s="1222"/>
      <c r="BUR58" s="1222"/>
      <c r="BUS58" s="1222"/>
      <c r="BUT58" s="1222"/>
      <c r="BUU58" s="1222"/>
      <c r="BUV58" s="1222"/>
      <c r="BUW58" s="1222"/>
      <c r="BUX58" s="1222"/>
      <c r="BUY58" s="1222"/>
      <c r="BUZ58" s="1222"/>
      <c r="BVA58" s="1222"/>
      <c r="BVB58" s="1222"/>
      <c r="BVC58" s="1222"/>
      <c r="BVD58" s="1222"/>
      <c r="BVE58" s="1222"/>
      <c r="BVF58" s="1222"/>
      <c r="BVG58" s="1222"/>
      <c r="BVH58" s="1222"/>
      <c r="BVI58" s="1222"/>
      <c r="BVJ58" s="1222"/>
      <c r="BVK58" s="1222"/>
      <c r="BVL58" s="1222"/>
      <c r="BVM58" s="1222"/>
      <c r="BVN58" s="1222"/>
      <c r="BVO58" s="1222"/>
      <c r="BVP58" s="1222"/>
      <c r="BVQ58" s="1222"/>
      <c r="BVR58" s="1222"/>
      <c r="BVS58" s="1222"/>
      <c r="BVT58" s="1222"/>
      <c r="BVU58" s="1222"/>
      <c r="BVV58" s="1222"/>
      <c r="BVW58" s="1222"/>
      <c r="BVX58" s="1222"/>
      <c r="BVY58" s="1222"/>
      <c r="BVZ58" s="1222"/>
      <c r="BWA58" s="1222"/>
      <c r="BWB58" s="1222"/>
      <c r="BWC58" s="1222"/>
      <c r="BWD58" s="1222"/>
      <c r="BWE58" s="1222"/>
      <c r="BWF58" s="1222"/>
      <c r="BWG58" s="1222"/>
      <c r="BWH58" s="1222"/>
      <c r="BWI58" s="1222"/>
      <c r="BWJ58" s="1222"/>
      <c r="BWK58" s="1222"/>
      <c r="BWL58" s="1222"/>
      <c r="BWM58" s="1222"/>
      <c r="BWN58" s="1222"/>
      <c r="BWO58" s="1222"/>
      <c r="BWP58" s="1222"/>
      <c r="BWQ58" s="1222"/>
      <c r="BWR58" s="1222"/>
      <c r="BWS58" s="1222"/>
      <c r="BWT58" s="1222"/>
      <c r="BWU58" s="1222"/>
      <c r="BWV58" s="1222"/>
      <c r="BWW58" s="1222"/>
      <c r="BWX58" s="1222"/>
      <c r="BWY58" s="1222"/>
      <c r="BWZ58" s="1222"/>
      <c r="BXA58" s="1222"/>
      <c r="BXB58" s="1222"/>
      <c r="BXC58" s="1222"/>
      <c r="BXD58" s="1222"/>
      <c r="BXE58" s="1222"/>
      <c r="BXF58" s="1222"/>
      <c r="BXG58" s="1222"/>
      <c r="BXH58" s="1222"/>
      <c r="BXI58" s="1222"/>
      <c r="BXJ58" s="1222"/>
      <c r="BXK58" s="1222"/>
      <c r="BXL58" s="1222"/>
      <c r="BXM58" s="1222"/>
      <c r="BXN58" s="1222"/>
      <c r="BXO58" s="1222"/>
      <c r="BXP58" s="1222"/>
      <c r="BXQ58" s="1222"/>
      <c r="BXR58" s="1222"/>
      <c r="BXS58" s="1222"/>
      <c r="BXT58" s="1222"/>
      <c r="BXU58" s="1222"/>
      <c r="BXV58" s="1222"/>
      <c r="BXW58" s="1222"/>
      <c r="BXX58" s="1222"/>
      <c r="BXY58" s="1222"/>
      <c r="BXZ58" s="1222"/>
      <c r="BYA58" s="1222"/>
      <c r="BYB58" s="1222"/>
      <c r="BYC58" s="1222"/>
      <c r="BYD58" s="1222"/>
      <c r="BYE58" s="1222"/>
      <c r="BYF58" s="1222"/>
      <c r="BYG58" s="1222"/>
      <c r="BYH58" s="1222"/>
      <c r="BYI58" s="1222"/>
      <c r="BYJ58" s="1222"/>
      <c r="BYK58" s="1222"/>
      <c r="BYL58" s="1222"/>
      <c r="BYM58" s="1222"/>
      <c r="BYN58" s="1222"/>
      <c r="BYO58" s="1222"/>
      <c r="BYP58" s="1222"/>
      <c r="BYQ58" s="1222"/>
      <c r="BYR58" s="1222"/>
      <c r="BYS58" s="1222"/>
      <c r="BYT58" s="1222"/>
      <c r="BYU58" s="1222"/>
      <c r="BYV58" s="1222"/>
      <c r="BYW58" s="1222"/>
      <c r="BYX58" s="1222"/>
      <c r="BYY58" s="1222"/>
      <c r="BYZ58" s="1222"/>
      <c r="BZA58" s="1222"/>
      <c r="BZB58" s="1222"/>
      <c r="BZC58" s="1222"/>
      <c r="BZD58" s="1222"/>
      <c r="BZE58" s="1222"/>
      <c r="BZF58" s="1222"/>
      <c r="BZG58" s="1222"/>
      <c r="BZH58" s="1222"/>
      <c r="BZI58" s="1222"/>
      <c r="BZJ58" s="1222"/>
      <c r="BZK58" s="1222"/>
      <c r="BZL58" s="1222"/>
      <c r="BZM58" s="1222"/>
      <c r="BZN58" s="1222"/>
      <c r="BZO58" s="1222"/>
      <c r="BZP58" s="1222"/>
      <c r="BZQ58" s="1222"/>
      <c r="BZR58" s="1222"/>
      <c r="BZS58" s="1222"/>
      <c r="BZT58" s="1222"/>
      <c r="BZU58" s="1222"/>
      <c r="BZV58" s="1222"/>
      <c r="BZW58" s="1222"/>
      <c r="BZX58" s="1222"/>
      <c r="BZY58" s="1222"/>
      <c r="BZZ58" s="1222"/>
      <c r="CAA58" s="1222"/>
      <c r="CAB58" s="1222"/>
      <c r="CAC58" s="1222"/>
      <c r="CAD58" s="1222"/>
      <c r="CAE58" s="1222"/>
      <c r="CAF58" s="1222"/>
      <c r="CAG58" s="1222"/>
      <c r="CAH58" s="1222"/>
      <c r="CAI58" s="1222"/>
      <c r="CAJ58" s="1222"/>
      <c r="CAK58" s="1222"/>
      <c r="CAL58" s="1222"/>
      <c r="CAM58" s="1222"/>
      <c r="CAN58" s="1222"/>
      <c r="CAO58" s="1222"/>
      <c r="CAP58" s="1222"/>
      <c r="CAQ58" s="1222"/>
      <c r="CAR58" s="1222"/>
      <c r="CAS58" s="1222"/>
      <c r="CAT58" s="1222"/>
      <c r="CAU58" s="1222"/>
      <c r="CAV58" s="1222"/>
      <c r="CAW58" s="1222"/>
      <c r="CAX58" s="1222"/>
      <c r="CAY58" s="1222"/>
      <c r="CAZ58" s="1222"/>
      <c r="CBA58" s="1222"/>
      <c r="CBB58" s="1222"/>
      <c r="CBC58" s="1222"/>
      <c r="CBD58" s="1222"/>
      <c r="CBE58" s="1222"/>
      <c r="CBF58" s="1222"/>
      <c r="CBG58" s="1222"/>
      <c r="CBH58" s="1222"/>
      <c r="CBI58" s="1222"/>
      <c r="CBJ58" s="1222"/>
      <c r="CBK58" s="1222"/>
      <c r="CBL58" s="1222"/>
      <c r="CBM58" s="1222"/>
      <c r="CBN58" s="1222"/>
      <c r="CBO58" s="1222"/>
      <c r="CBP58" s="1222"/>
      <c r="CBQ58" s="1222"/>
      <c r="CBR58" s="1222"/>
      <c r="CBS58" s="1222"/>
      <c r="CBT58" s="1222"/>
      <c r="CBU58" s="1222"/>
      <c r="CBV58" s="1222"/>
      <c r="CBW58" s="1222"/>
      <c r="CBX58" s="1222"/>
      <c r="CBY58" s="1222"/>
      <c r="CBZ58" s="1222"/>
      <c r="CCA58" s="1222"/>
      <c r="CCB58" s="1222"/>
      <c r="CCC58" s="1222"/>
      <c r="CCD58" s="1222"/>
      <c r="CCE58" s="1222"/>
      <c r="CCF58" s="1222"/>
      <c r="CCG58" s="1222"/>
      <c r="CCH58" s="1222"/>
      <c r="CCI58" s="1222"/>
      <c r="CCJ58" s="1222"/>
      <c r="CCK58" s="1222"/>
      <c r="CCL58" s="1222"/>
      <c r="CCM58" s="1222"/>
      <c r="CCN58" s="1222"/>
      <c r="CCO58" s="1222"/>
      <c r="CCP58" s="1222"/>
      <c r="CCQ58" s="1222"/>
      <c r="CCR58" s="1222"/>
      <c r="CCS58" s="1222"/>
      <c r="CCT58" s="1222"/>
      <c r="CCU58" s="1222"/>
      <c r="CCV58" s="1222"/>
      <c r="CCW58" s="1222"/>
      <c r="CCX58" s="1222"/>
      <c r="CCY58" s="1222"/>
      <c r="CCZ58" s="1222"/>
      <c r="CDA58" s="1222"/>
      <c r="CDB58" s="1222"/>
      <c r="CDC58" s="1222"/>
      <c r="CDD58" s="1222"/>
      <c r="CDE58" s="1222"/>
      <c r="CDF58" s="1222"/>
      <c r="CDG58" s="1222"/>
      <c r="CDH58" s="1222"/>
      <c r="CDI58" s="1222"/>
      <c r="CDJ58" s="1222"/>
      <c r="CDK58" s="1222"/>
      <c r="CDL58" s="1222"/>
      <c r="CDM58" s="1222"/>
      <c r="CDN58" s="1222"/>
      <c r="CDO58" s="1222"/>
      <c r="CDP58" s="1222"/>
      <c r="CDQ58" s="1222"/>
      <c r="CDR58" s="1222"/>
      <c r="CDS58" s="1222"/>
      <c r="CDT58" s="1222"/>
      <c r="CDU58" s="1222"/>
      <c r="CDV58" s="1222"/>
      <c r="CDW58" s="1222"/>
      <c r="CDX58" s="1222"/>
      <c r="CDY58" s="1222"/>
      <c r="CDZ58" s="1222"/>
      <c r="CEA58" s="1222"/>
      <c r="CEB58" s="1222"/>
      <c r="CEC58" s="1222"/>
      <c r="CED58" s="1222"/>
      <c r="CEE58" s="1222"/>
      <c r="CEF58" s="1222"/>
      <c r="CEG58" s="1222"/>
      <c r="CEH58" s="1222"/>
      <c r="CEI58" s="1222"/>
      <c r="CEJ58" s="1222"/>
      <c r="CEK58" s="1222"/>
      <c r="CEL58" s="1222"/>
      <c r="CEM58" s="1222"/>
      <c r="CEN58" s="1222"/>
      <c r="CEO58" s="1222"/>
      <c r="CEP58" s="1222"/>
      <c r="CEQ58" s="1222"/>
      <c r="CER58" s="1222"/>
      <c r="CES58" s="1222"/>
      <c r="CET58" s="1222"/>
      <c r="CEU58" s="1222"/>
      <c r="CEV58" s="1222"/>
      <c r="CEW58" s="1222"/>
      <c r="CEX58" s="1222"/>
      <c r="CEY58" s="1222"/>
      <c r="CEZ58" s="1222"/>
      <c r="CFA58" s="1222"/>
      <c r="CFB58" s="1222"/>
      <c r="CFC58" s="1222"/>
      <c r="CFD58" s="1222"/>
      <c r="CFE58" s="1222"/>
      <c r="CFF58" s="1222"/>
      <c r="CFG58" s="1222"/>
      <c r="CFH58" s="1222"/>
      <c r="CFI58" s="1222"/>
      <c r="CFJ58" s="1222"/>
      <c r="CFK58" s="1222"/>
      <c r="CFL58" s="1222"/>
      <c r="CFM58" s="1222"/>
      <c r="CFN58" s="1222"/>
      <c r="CFO58" s="1222"/>
      <c r="CFP58" s="1222"/>
      <c r="CFQ58" s="1222"/>
      <c r="CFR58" s="1222"/>
      <c r="CFS58" s="1222"/>
      <c r="CFT58" s="1222"/>
      <c r="CFU58" s="1222"/>
      <c r="CFV58" s="1222"/>
      <c r="CFW58" s="1222"/>
      <c r="CFX58" s="1222"/>
      <c r="CFY58" s="1222"/>
      <c r="CFZ58" s="1222"/>
      <c r="CGA58" s="1222"/>
      <c r="CGB58" s="1222"/>
      <c r="CGC58" s="1222"/>
      <c r="CGD58" s="1222"/>
      <c r="CGE58" s="1222"/>
      <c r="CGF58" s="1222"/>
      <c r="CGG58" s="1222"/>
      <c r="CGH58" s="1222"/>
      <c r="CGI58" s="1222"/>
      <c r="CGJ58" s="1222"/>
      <c r="CGK58" s="1222"/>
      <c r="CGL58" s="1222"/>
      <c r="CGM58" s="1222"/>
      <c r="CGN58" s="1222"/>
      <c r="CGO58" s="1222"/>
      <c r="CGP58" s="1222"/>
      <c r="CGQ58" s="1222"/>
      <c r="CGR58" s="1222"/>
      <c r="CGS58" s="1222"/>
      <c r="CGT58" s="1222"/>
      <c r="CGU58" s="1222"/>
      <c r="CGV58" s="1222"/>
      <c r="CGW58" s="1222"/>
      <c r="CGX58" s="1222"/>
      <c r="CGY58" s="1222"/>
      <c r="CGZ58" s="1222"/>
      <c r="CHA58" s="1222"/>
      <c r="CHB58" s="1222"/>
      <c r="CHC58" s="1222"/>
      <c r="CHD58" s="1222"/>
      <c r="CHE58" s="1222"/>
      <c r="CHF58" s="1222"/>
      <c r="CHG58" s="1222"/>
      <c r="CHH58" s="1222"/>
      <c r="CHI58" s="1222"/>
      <c r="CHJ58" s="1222"/>
      <c r="CHK58" s="1222"/>
      <c r="CHL58" s="1222"/>
      <c r="CHM58" s="1222"/>
      <c r="CHN58" s="1222"/>
      <c r="CHO58" s="1222"/>
      <c r="CHP58" s="1222"/>
      <c r="CHQ58" s="1222"/>
      <c r="CHR58" s="1222"/>
      <c r="CHS58" s="1222"/>
      <c r="CHT58" s="1222"/>
      <c r="CHU58" s="1222"/>
      <c r="CHV58" s="1222"/>
      <c r="CHW58" s="1222"/>
      <c r="CHX58" s="1222"/>
      <c r="CHY58" s="1222"/>
      <c r="CHZ58" s="1222"/>
      <c r="CIA58" s="1222"/>
      <c r="CIB58" s="1222"/>
      <c r="CIC58" s="1222"/>
      <c r="CID58" s="1222"/>
      <c r="CIE58" s="1222"/>
      <c r="CIF58" s="1222"/>
      <c r="CIG58" s="1222"/>
      <c r="CIH58" s="1222"/>
      <c r="CII58" s="1222"/>
      <c r="CIJ58" s="1222"/>
      <c r="CIK58" s="1222"/>
      <c r="CIL58" s="1222"/>
      <c r="CIM58" s="1222"/>
      <c r="CIN58" s="1222"/>
      <c r="CIO58" s="1222"/>
      <c r="CIP58" s="1222"/>
      <c r="CIQ58" s="1222"/>
      <c r="CIR58" s="1222"/>
      <c r="CIS58" s="1222"/>
      <c r="CIT58" s="1222"/>
      <c r="CIU58" s="1222"/>
      <c r="CIV58" s="1222"/>
      <c r="CIW58" s="1222"/>
      <c r="CIX58" s="1222"/>
      <c r="CIY58" s="1222"/>
      <c r="CIZ58" s="1222"/>
      <c r="CJA58" s="1222"/>
      <c r="CJB58" s="1222"/>
      <c r="CJC58" s="1222"/>
      <c r="CJD58" s="1222"/>
      <c r="CJE58" s="1222"/>
      <c r="CJF58" s="1222"/>
      <c r="CJG58" s="1222"/>
      <c r="CJH58" s="1222"/>
      <c r="CJI58" s="1222"/>
      <c r="CJJ58" s="1222"/>
      <c r="CJK58" s="1222"/>
      <c r="CJL58" s="1222"/>
      <c r="CJM58" s="1222"/>
      <c r="CJN58" s="1222"/>
      <c r="CJO58" s="1222"/>
      <c r="CJP58" s="1222"/>
      <c r="CJQ58" s="1222"/>
      <c r="CJR58" s="1222"/>
      <c r="CJS58" s="1222"/>
      <c r="CJT58" s="1222"/>
      <c r="CJU58" s="1222"/>
      <c r="CJV58" s="1222"/>
      <c r="CJW58" s="1222"/>
      <c r="CJX58" s="1222"/>
      <c r="CJY58" s="1222"/>
      <c r="CJZ58" s="1222"/>
      <c r="CKA58" s="1222"/>
      <c r="CKB58" s="1222"/>
      <c r="CKC58" s="1222"/>
      <c r="CKD58" s="1222"/>
      <c r="CKE58" s="1222"/>
      <c r="CKF58" s="1222"/>
      <c r="CKG58" s="1222"/>
      <c r="CKH58" s="1222"/>
      <c r="CKI58" s="1222"/>
      <c r="CKJ58" s="1222"/>
      <c r="CKK58" s="1222"/>
      <c r="CKL58" s="1222"/>
      <c r="CKM58" s="1222"/>
      <c r="CKN58" s="1222"/>
      <c r="CKO58" s="1222"/>
      <c r="CKP58" s="1222"/>
      <c r="CKQ58" s="1222"/>
      <c r="CKR58" s="1222"/>
      <c r="CKS58" s="1222"/>
      <c r="CKT58" s="1222"/>
      <c r="CKU58" s="1222"/>
      <c r="CKV58" s="1222"/>
      <c r="CKW58" s="1222"/>
      <c r="CKX58" s="1222"/>
      <c r="CKY58" s="1222"/>
      <c r="CKZ58" s="1222"/>
      <c r="CLA58" s="1222"/>
      <c r="CLB58" s="1222"/>
      <c r="CLC58" s="1222"/>
      <c r="CLD58" s="1222"/>
      <c r="CLE58" s="1222"/>
      <c r="CLF58" s="1222"/>
      <c r="CLG58" s="1222"/>
      <c r="CLH58" s="1222"/>
      <c r="CLI58" s="1222"/>
      <c r="CLJ58" s="1222"/>
      <c r="CLK58" s="1222"/>
      <c r="CLL58" s="1222"/>
      <c r="CLM58" s="1222"/>
      <c r="CLN58" s="1222"/>
      <c r="CLO58" s="1222"/>
      <c r="CLP58" s="1222"/>
      <c r="CLQ58" s="1222"/>
      <c r="CLR58" s="1222"/>
      <c r="CLS58" s="1222"/>
      <c r="CLT58" s="1222"/>
      <c r="CLU58" s="1222"/>
      <c r="CLV58" s="1222"/>
      <c r="CLW58" s="1222"/>
      <c r="CLX58" s="1222"/>
      <c r="CLY58" s="1222"/>
      <c r="CLZ58" s="1222"/>
      <c r="CMA58" s="1222"/>
      <c r="CMB58" s="1222"/>
      <c r="CMC58" s="1222"/>
      <c r="CMD58" s="1222"/>
      <c r="CME58" s="1222"/>
      <c r="CMF58" s="1222"/>
      <c r="CMG58" s="1222"/>
      <c r="CMH58" s="1222"/>
      <c r="CMI58" s="1222"/>
      <c r="CMJ58" s="1222"/>
      <c r="CMK58" s="1222"/>
      <c r="CML58" s="1222"/>
      <c r="CMM58" s="1222"/>
      <c r="CMN58" s="1222"/>
      <c r="CMO58" s="1222"/>
      <c r="CMP58" s="1222"/>
      <c r="CMQ58" s="1222"/>
      <c r="CMR58" s="1222"/>
      <c r="CMS58" s="1222"/>
      <c r="CMT58" s="1222"/>
      <c r="CMU58" s="1222"/>
      <c r="CMV58" s="1222"/>
      <c r="CMW58" s="1222"/>
      <c r="CMX58" s="1222"/>
      <c r="CMY58" s="1222"/>
      <c r="CMZ58" s="1222"/>
      <c r="CNA58" s="1222"/>
      <c r="CNB58" s="1222"/>
      <c r="CNC58" s="1222"/>
      <c r="CND58" s="1222"/>
      <c r="CNE58" s="1222"/>
      <c r="CNF58" s="1222"/>
      <c r="CNG58" s="1222"/>
      <c r="CNH58" s="1222"/>
      <c r="CNI58" s="1222"/>
      <c r="CNJ58" s="1222"/>
      <c r="CNK58" s="1222"/>
      <c r="CNL58" s="1222"/>
      <c r="CNM58" s="1222"/>
      <c r="CNN58" s="1222"/>
      <c r="CNO58" s="1222"/>
      <c r="CNP58" s="1222"/>
      <c r="CNQ58" s="1222"/>
      <c r="CNR58" s="1222"/>
      <c r="CNS58" s="1222"/>
      <c r="CNT58" s="1222"/>
      <c r="CNU58" s="1222"/>
      <c r="CNV58" s="1222"/>
      <c r="CNW58" s="1222"/>
      <c r="CNX58" s="1222"/>
      <c r="CNY58" s="1222"/>
      <c r="CNZ58" s="1222"/>
      <c r="COA58" s="1222"/>
      <c r="COB58" s="1222"/>
      <c r="COC58" s="1222"/>
      <c r="COD58" s="1222"/>
      <c r="COE58" s="1222"/>
      <c r="COF58" s="1222"/>
      <c r="COG58" s="1222"/>
      <c r="COH58" s="1222"/>
      <c r="COI58" s="1222"/>
      <c r="COJ58" s="1222"/>
      <c r="COK58" s="1222"/>
      <c r="COL58" s="1222"/>
      <c r="COM58" s="1222"/>
      <c r="CON58" s="1222"/>
      <c r="COO58" s="1222"/>
      <c r="COP58" s="1222"/>
      <c r="COQ58" s="1222"/>
      <c r="COR58" s="1222"/>
      <c r="COS58" s="1222"/>
      <c r="COT58" s="1222"/>
      <c r="COU58" s="1222"/>
      <c r="COV58" s="1222"/>
      <c r="COW58" s="1222"/>
      <c r="COX58" s="1222"/>
      <c r="COY58" s="1222"/>
      <c r="COZ58" s="1222"/>
      <c r="CPA58" s="1222"/>
      <c r="CPB58" s="1222"/>
      <c r="CPC58" s="1222"/>
      <c r="CPD58" s="1222"/>
      <c r="CPE58" s="1222"/>
      <c r="CPF58" s="1222"/>
      <c r="CPG58" s="1222"/>
      <c r="CPH58" s="1222"/>
      <c r="CPI58" s="1222"/>
      <c r="CPJ58" s="1222"/>
      <c r="CPK58" s="1222"/>
      <c r="CPL58" s="1222"/>
      <c r="CPM58" s="1222"/>
      <c r="CPN58" s="1222"/>
      <c r="CPO58" s="1222"/>
      <c r="CPP58" s="1222"/>
      <c r="CPQ58" s="1222"/>
      <c r="CPR58" s="1222"/>
      <c r="CPS58" s="1222"/>
      <c r="CPT58" s="1222"/>
      <c r="CPU58" s="1222"/>
      <c r="CPV58" s="1222"/>
      <c r="CPW58" s="1222"/>
      <c r="CPX58" s="1222"/>
      <c r="CPY58" s="1222"/>
      <c r="CPZ58" s="1222"/>
      <c r="CQA58" s="1222"/>
      <c r="CQB58" s="1222"/>
      <c r="CQC58" s="1222"/>
      <c r="CQD58" s="1222"/>
      <c r="CQE58" s="1222"/>
      <c r="CQF58" s="1222"/>
      <c r="CQG58" s="1222"/>
      <c r="CQH58" s="1222"/>
      <c r="CQI58" s="1222"/>
      <c r="CQJ58" s="1222"/>
      <c r="CQK58" s="1222"/>
      <c r="CQL58" s="1222"/>
      <c r="CQM58" s="1222"/>
      <c r="CQN58" s="1222"/>
      <c r="CQO58" s="1222"/>
      <c r="CQP58" s="1222"/>
      <c r="CQQ58" s="1222"/>
      <c r="CQR58" s="1222"/>
      <c r="CQS58" s="1222"/>
      <c r="CQT58" s="1222"/>
      <c r="CQU58" s="1222"/>
      <c r="CQV58" s="1222"/>
      <c r="CQW58" s="1222"/>
      <c r="CQX58" s="1222"/>
      <c r="CQY58" s="1222"/>
      <c r="CQZ58" s="1222"/>
      <c r="CRA58" s="1222"/>
      <c r="CRB58" s="1222"/>
      <c r="CRC58" s="1222"/>
      <c r="CRD58" s="1222"/>
      <c r="CRE58" s="1222"/>
      <c r="CRF58" s="1222"/>
      <c r="CRG58" s="1222"/>
      <c r="CRH58" s="1222"/>
      <c r="CRI58" s="1222"/>
      <c r="CRJ58" s="1222"/>
      <c r="CRK58" s="1222"/>
      <c r="CRL58" s="1222"/>
      <c r="CRM58" s="1222"/>
      <c r="CRN58" s="1222"/>
      <c r="CRO58" s="1222"/>
      <c r="CRP58" s="1222"/>
      <c r="CRQ58" s="1222"/>
      <c r="CRR58" s="1222"/>
      <c r="CRS58" s="1222"/>
      <c r="CRT58" s="1222"/>
      <c r="CRU58" s="1222"/>
      <c r="CRV58" s="1222"/>
      <c r="CRW58" s="1222"/>
      <c r="CRX58" s="1222"/>
      <c r="CRY58" s="1222"/>
      <c r="CRZ58" s="1222"/>
      <c r="CSA58" s="1222"/>
      <c r="CSB58" s="1222"/>
      <c r="CSC58" s="1222"/>
      <c r="CSD58" s="1222"/>
      <c r="CSE58" s="1222"/>
      <c r="CSF58" s="1222"/>
      <c r="CSG58" s="1222"/>
      <c r="CSH58" s="1222"/>
      <c r="CSI58" s="1222"/>
      <c r="CSJ58" s="1222"/>
      <c r="CSK58" s="1222"/>
      <c r="CSL58" s="1222"/>
      <c r="CSM58" s="1222"/>
      <c r="CSN58" s="1222"/>
      <c r="CSO58" s="1222"/>
      <c r="CSP58" s="1222"/>
      <c r="CSQ58" s="1222"/>
      <c r="CSR58" s="1222"/>
      <c r="CSS58" s="1222"/>
      <c r="CST58" s="1222"/>
      <c r="CSU58" s="1222"/>
      <c r="CSV58" s="1222"/>
      <c r="CSW58" s="1222"/>
      <c r="CSX58" s="1222"/>
      <c r="CSY58" s="1222"/>
      <c r="CSZ58" s="1222"/>
      <c r="CTA58" s="1222"/>
      <c r="CTB58" s="1222"/>
      <c r="CTC58" s="1222"/>
      <c r="CTD58" s="1222"/>
      <c r="CTE58" s="1222"/>
      <c r="CTF58" s="1222"/>
      <c r="CTG58" s="1222"/>
      <c r="CTH58" s="1222"/>
      <c r="CTI58" s="1222"/>
      <c r="CTJ58" s="1222"/>
      <c r="CTK58" s="1222"/>
      <c r="CTL58" s="1222"/>
      <c r="CTM58" s="1222"/>
      <c r="CTN58" s="1222"/>
      <c r="CTO58" s="1222"/>
      <c r="CTP58" s="1222"/>
      <c r="CTQ58" s="1222"/>
      <c r="CTR58" s="1222"/>
      <c r="CTS58" s="1222"/>
      <c r="CTT58" s="1222"/>
      <c r="CTU58" s="1222"/>
      <c r="CTV58" s="1222"/>
      <c r="CTW58" s="1222"/>
      <c r="CTX58" s="1222"/>
      <c r="CTY58" s="1222"/>
      <c r="CTZ58" s="1222"/>
      <c r="CUA58" s="1222"/>
      <c r="CUB58" s="1222"/>
      <c r="CUC58" s="1222"/>
      <c r="CUD58" s="1222"/>
      <c r="CUE58" s="1222"/>
      <c r="CUF58" s="1222"/>
      <c r="CUG58" s="1222"/>
      <c r="CUH58" s="1222"/>
      <c r="CUI58" s="1222"/>
      <c r="CUJ58" s="1222"/>
      <c r="CUK58" s="1222"/>
      <c r="CUL58" s="1222"/>
      <c r="CUM58" s="1222"/>
      <c r="CUN58" s="1222"/>
      <c r="CUO58" s="1222"/>
      <c r="CUP58" s="1222"/>
      <c r="CUQ58" s="1222"/>
      <c r="CUR58" s="1222"/>
      <c r="CUS58" s="1222"/>
      <c r="CUT58" s="1222"/>
      <c r="CUU58" s="1222"/>
      <c r="CUV58" s="1222"/>
      <c r="CUW58" s="1222"/>
      <c r="CUX58" s="1222"/>
      <c r="CUY58" s="1222"/>
      <c r="CUZ58" s="1222"/>
      <c r="CVA58" s="1222"/>
      <c r="CVB58" s="1222"/>
      <c r="CVC58" s="1222"/>
      <c r="CVD58" s="1222"/>
      <c r="CVE58" s="1222"/>
      <c r="CVF58" s="1222"/>
      <c r="CVG58" s="1222"/>
      <c r="CVH58" s="1222"/>
      <c r="CVI58" s="1222"/>
      <c r="CVJ58" s="1222"/>
      <c r="CVK58" s="1222"/>
      <c r="CVL58" s="1222"/>
      <c r="CVM58" s="1222"/>
      <c r="CVN58" s="1222"/>
      <c r="CVO58" s="1222"/>
      <c r="CVP58" s="1222"/>
      <c r="CVQ58" s="1222"/>
      <c r="CVR58" s="1222"/>
      <c r="CVS58" s="1222"/>
      <c r="CVT58" s="1222"/>
      <c r="CVU58" s="1222"/>
      <c r="CVV58" s="1222"/>
      <c r="CVW58" s="1222"/>
      <c r="CVX58" s="1222"/>
      <c r="CVY58" s="1222"/>
      <c r="CVZ58" s="1222"/>
      <c r="CWA58" s="1222"/>
      <c r="CWB58" s="1222"/>
      <c r="CWC58" s="1222"/>
      <c r="CWD58" s="1222"/>
      <c r="CWE58" s="1222"/>
      <c r="CWF58" s="1222"/>
      <c r="CWG58" s="1222"/>
      <c r="CWH58" s="1222"/>
      <c r="CWI58" s="1222"/>
      <c r="CWJ58" s="1222"/>
      <c r="CWK58" s="1222"/>
      <c r="CWL58" s="1222"/>
      <c r="CWM58" s="1222"/>
      <c r="CWN58" s="1222"/>
      <c r="CWO58" s="1222"/>
      <c r="CWP58" s="1222"/>
      <c r="CWQ58" s="1222"/>
      <c r="CWR58" s="1222"/>
      <c r="CWS58" s="1222"/>
      <c r="CWT58" s="1222"/>
      <c r="CWU58" s="1222"/>
      <c r="CWV58" s="1222"/>
      <c r="CWW58" s="1222"/>
      <c r="CWX58" s="1222"/>
      <c r="CWY58" s="1222"/>
      <c r="CWZ58" s="1222"/>
      <c r="CXA58" s="1222"/>
      <c r="CXB58" s="1222"/>
      <c r="CXC58" s="1222"/>
      <c r="CXD58" s="1222"/>
      <c r="CXE58" s="1222"/>
      <c r="CXF58" s="1222"/>
      <c r="CXG58" s="1222"/>
      <c r="CXH58" s="1222"/>
      <c r="CXI58" s="1222"/>
      <c r="CXJ58" s="1222"/>
      <c r="CXK58" s="1222"/>
      <c r="CXL58" s="1222"/>
      <c r="CXM58" s="1222"/>
      <c r="CXN58" s="1222"/>
      <c r="CXO58" s="1222"/>
      <c r="CXP58" s="1222"/>
      <c r="CXQ58" s="1222"/>
      <c r="CXR58" s="1222"/>
      <c r="CXS58" s="1222"/>
      <c r="CXT58" s="1222"/>
      <c r="CXU58" s="1222"/>
      <c r="CXV58" s="1222"/>
      <c r="CXW58" s="1222"/>
      <c r="CXX58" s="1222"/>
      <c r="CXY58" s="1222"/>
      <c r="CXZ58" s="1222"/>
      <c r="CYA58" s="1222"/>
      <c r="CYB58" s="1222"/>
      <c r="CYC58" s="1222"/>
      <c r="CYD58" s="1222"/>
      <c r="CYE58" s="1222"/>
      <c r="CYF58" s="1222"/>
      <c r="CYG58" s="1222"/>
      <c r="CYH58" s="1222"/>
      <c r="CYI58" s="1222"/>
      <c r="CYJ58" s="1222"/>
      <c r="CYK58" s="1222"/>
      <c r="CYL58" s="1222"/>
      <c r="CYM58" s="1222"/>
      <c r="CYN58" s="1222"/>
      <c r="CYO58" s="1222"/>
      <c r="CYP58" s="1222"/>
      <c r="CYQ58" s="1222"/>
      <c r="CYR58" s="1222"/>
      <c r="CYS58" s="1222"/>
      <c r="CYT58" s="1222"/>
      <c r="CYU58" s="1222"/>
      <c r="CYV58" s="1222"/>
      <c r="CYW58" s="1222"/>
      <c r="CYX58" s="1222"/>
      <c r="CYY58" s="1222"/>
      <c r="CYZ58" s="1222"/>
      <c r="CZA58" s="1222"/>
      <c r="CZB58" s="1222"/>
      <c r="CZC58" s="1222"/>
      <c r="CZD58" s="1222"/>
      <c r="CZE58" s="1222"/>
      <c r="CZF58" s="1222"/>
      <c r="CZG58" s="1222"/>
      <c r="CZH58" s="1222"/>
      <c r="CZI58" s="1222"/>
      <c r="CZJ58" s="1222"/>
      <c r="CZK58" s="1222"/>
      <c r="CZL58" s="1222"/>
      <c r="CZM58" s="1222"/>
      <c r="CZN58" s="1222"/>
      <c r="CZO58" s="1222"/>
      <c r="CZP58" s="1222"/>
      <c r="CZQ58" s="1222"/>
      <c r="CZR58" s="1222"/>
      <c r="CZS58" s="1222"/>
      <c r="CZT58" s="1222"/>
      <c r="CZU58" s="1222"/>
      <c r="CZV58" s="1222"/>
      <c r="CZW58" s="1222"/>
      <c r="CZX58" s="1222"/>
      <c r="CZY58" s="1222"/>
      <c r="CZZ58" s="1222"/>
      <c r="DAA58" s="1222"/>
      <c r="DAB58" s="1222"/>
      <c r="DAC58" s="1222"/>
      <c r="DAD58" s="1222"/>
      <c r="DAE58" s="1222"/>
      <c r="DAF58" s="1222"/>
      <c r="DAG58" s="1222"/>
      <c r="DAH58" s="1222"/>
      <c r="DAI58" s="1222"/>
      <c r="DAJ58" s="1222"/>
      <c r="DAK58" s="1222"/>
      <c r="DAL58" s="1222"/>
      <c r="DAM58" s="1222"/>
      <c r="DAN58" s="1222"/>
      <c r="DAO58" s="1222"/>
      <c r="DAP58" s="1222"/>
      <c r="DAQ58" s="1222"/>
      <c r="DAR58" s="1222"/>
      <c r="DAS58" s="1222"/>
      <c r="DAT58" s="1222"/>
      <c r="DAU58" s="1222"/>
      <c r="DAV58" s="1222"/>
      <c r="DAW58" s="1222"/>
      <c r="DAX58" s="1222"/>
      <c r="DAY58" s="1222"/>
      <c r="DAZ58" s="1222"/>
      <c r="DBA58" s="1222"/>
      <c r="DBB58" s="1222"/>
      <c r="DBC58" s="1222"/>
      <c r="DBD58" s="1222"/>
      <c r="DBE58" s="1222"/>
      <c r="DBF58" s="1222"/>
      <c r="DBG58" s="1222"/>
      <c r="DBH58" s="1222"/>
      <c r="DBI58" s="1222"/>
      <c r="DBJ58" s="1222"/>
      <c r="DBK58" s="1222"/>
      <c r="DBL58" s="1222"/>
      <c r="DBM58" s="1222"/>
      <c r="DBN58" s="1222"/>
      <c r="DBO58" s="1222"/>
      <c r="DBP58" s="1222"/>
      <c r="DBQ58" s="1222"/>
      <c r="DBR58" s="1222"/>
      <c r="DBS58" s="1222"/>
      <c r="DBT58" s="1222"/>
      <c r="DBU58" s="1222"/>
      <c r="DBV58" s="1222"/>
      <c r="DBW58" s="1222"/>
      <c r="DBX58" s="1222"/>
      <c r="DBY58" s="1222"/>
      <c r="DBZ58" s="1222"/>
      <c r="DCA58" s="1222"/>
      <c r="DCB58" s="1222"/>
      <c r="DCC58" s="1222"/>
      <c r="DCD58" s="1222"/>
      <c r="DCE58" s="1222"/>
      <c r="DCF58" s="1222"/>
      <c r="DCG58" s="1222"/>
      <c r="DCH58" s="1222"/>
      <c r="DCI58" s="1222"/>
      <c r="DCJ58" s="1222"/>
      <c r="DCK58" s="1222"/>
      <c r="DCL58" s="1222"/>
      <c r="DCM58" s="1222"/>
      <c r="DCN58" s="1222"/>
      <c r="DCO58" s="1222"/>
      <c r="DCP58" s="1222"/>
      <c r="DCQ58" s="1222"/>
      <c r="DCR58" s="1222"/>
      <c r="DCS58" s="1222"/>
      <c r="DCT58" s="1222"/>
      <c r="DCU58" s="1222"/>
      <c r="DCV58" s="1222"/>
      <c r="DCW58" s="1222"/>
      <c r="DCX58" s="1222"/>
      <c r="DCY58" s="1222"/>
      <c r="DCZ58" s="1222"/>
      <c r="DDA58" s="1222"/>
      <c r="DDB58" s="1222"/>
      <c r="DDC58" s="1222"/>
      <c r="DDD58" s="1222"/>
      <c r="DDE58" s="1222"/>
      <c r="DDF58" s="1222"/>
      <c r="DDG58" s="1222"/>
      <c r="DDH58" s="1222"/>
      <c r="DDI58" s="1222"/>
      <c r="DDJ58" s="1222"/>
      <c r="DDK58" s="1222"/>
      <c r="DDL58" s="1222"/>
      <c r="DDM58" s="1222"/>
      <c r="DDN58" s="1222"/>
      <c r="DDO58" s="1222"/>
      <c r="DDP58" s="1222"/>
      <c r="DDQ58" s="1222"/>
      <c r="DDR58" s="1222"/>
      <c r="DDS58" s="1222"/>
      <c r="DDT58" s="1222"/>
      <c r="DDU58" s="1222"/>
      <c r="DDV58" s="1222"/>
      <c r="DDW58" s="1222"/>
      <c r="DDX58" s="1222"/>
      <c r="DDY58" s="1222"/>
      <c r="DDZ58" s="1222"/>
      <c r="DEA58" s="1222"/>
      <c r="DEB58" s="1222"/>
      <c r="DEC58" s="1222"/>
      <c r="DED58" s="1222"/>
      <c r="DEE58" s="1222"/>
      <c r="DEF58" s="1222"/>
      <c r="DEG58" s="1222"/>
      <c r="DEH58" s="1222"/>
      <c r="DEI58" s="1222"/>
      <c r="DEJ58" s="1222"/>
      <c r="DEK58" s="1222"/>
      <c r="DEL58" s="1222"/>
      <c r="DEM58" s="1222"/>
      <c r="DEN58" s="1222"/>
      <c r="DEO58" s="1222"/>
      <c r="DEP58" s="1222"/>
      <c r="DEQ58" s="1222"/>
      <c r="DER58" s="1222"/>
      <c r="DES58" s="1222"/>
      <c r="DET58" s="1222"/>
      <c r="DEU58" s="1222"/>
      <c r="DEV58" s="1222"/>
      <c r="DEW58" s="1222"/>
      <c r="DEX58" s="1222"/>
      <c r="DEY58" s="1222"/>
      <c r="DEZ58" s="1222"/>
      <c r="DFA58" s="1222"/>
      <c r="DFB58" s="1222"/>
      <c r="DFC58" s="1222"/>
      <c r="DFD58" s="1222"/>
      <c r="DFE58" s="1222"/>
      <c r="DFF58" s="1222"/>
      <c r="DFG58" s="1222"/>
      <c r="DFH58" s="1222"/>
      <c r="DFI58" s="1222"/>
      <c r="DFJ58" s="1222"/>
      <c r="DFK58" s="1222"/>
      <c r="DFL58" s="1222"/>
      <c r="DFM58" s="1222"/>
      <c r="DFN58" s="1222"/>
      <c r="DFO58" s="1222"/>
      <c r="DFP58" s="1222"/>
      <c r="DFQ58" s="1222"/>
      <c r="DFR58" s="1222"/>
      <c r="DFS58" s="1222"/>
      <c r="DFT58" s="1222"/>
      <c r="DFU58" s="1222"/>
      <c r="DFV58" s="1222"/>
      <c r="DFW58" s="1222"/>
      <c r="DFX58" s="1222"/>
      <c r="DFY58" s="1222"/>
      <c r="DFZ58" s="1222"/>
      <c r="DGA58" s="1222"/>
      <c r="DGB58" s="1222"/>
      <c r="DGC58" s="1222"/>
      <c r="DGD58" s="1222"/>
      <c r="DGE58" s="1222"/>
      <c r="DGF58" s="1222"/>
      <c r="DGG58" s="1222"/>
      <c r="DGH58" s="1222"/>
      <c r="DGI58" s="1222"/>
      <c r="DGJ58" s="1222"/>
      <c r="DGK58" s="1222"/>
      <c r="DGL58" s="1222"/>
      <c r="DGM58" s="1222"/>
      <c r="DGN58" s="1222"/>
      <c r="DGO58" s="1222"/>
      <c r="DGP58" s="1222"/>
      <c r="DGQ58" s="1222"/>
      <c r="DGR58" s="1222"/>
      <c r="DGS58" s="1222"/>
      <c r="DGT58" s="1222"/>
      <c r="DGU58" s="1222"/>
      <c r="DGV58" s="1222"/>
      <c r="DGW58" s="1222"/>
      <c r="DGX58" s="1222"/>
      <c r="DGY58" s="1222"/>
      <c r="DGZ58" s="1222"/>
      <c r="DHA58" s="1222"/>
      <c r="DHB58" s="1222"/>
      <c r="DHC58" s="1222"/>
      <c r="DHD58" s="1222"/>
      <c r="DHE58" s="1222"/>
      <c r="DHF58" s="1222"/>
      <c r="DHG58" s="1222"/>
      <c r="DHH58" s="1222"/>
      <c r="DHI58" s="1222"/>
      <c r="DHJ58" s="1222"/>
      <c r="DHK58" s="1222"/>
      <c r="DHL58" s="1222"/>
      <c r="DHM58" s="1222"/>
      <c r="DHN58" s="1222"/>
      <c r="DHO58" s="1222"/>
      <c r="DHP58" s="1222"/>
      <c r="DHQ58" s="1222"/>
      <c r="DHR58" s="1222"/>
      <c r="DHS58" s="1222"/>
      <c r="DHT58" s="1222"/>
      <c r="DHU58" s="1222"/>
      <c r="DHV58" s="1222"/>
      <c r="DHW58" s="1222"/>
      <c r="DHX58" s="1222"/>
      <c r="DHY58" s="1222"/>
      <c r="DHZ58" s="1222"/>
      <c r="DIA58" s="1222"/>
      <c r="DIB58" s="1222"/>
      <c r="DIC58" s="1222"/>
      <c r="DID58" s="1222"/>
      <c r="DIE58" s="1222"/>
      <c r="DIF58" s="1222"/>
      <c r="DIG58" s="1222"/>
      <c r="DIH58" s="1222"/>
      <c r="DII58" s="1222"/>
      <c r="DIJ58" s="1222"/>
      <c r="DIK58" s="1222"/>
      <c r="DIL58" s="1222"/>
      <c r="DIM58" s="1222"/>
      <c r="DIN58" s="1222"/>
      <c r="DIO58" s="1222"/>
      <c r="DIP58" s="1222"/>
      <c r="DIQ58" s="1222"/>
      <c r="DIR58" s="1222"/>
      <c r="DIS58" s="1222"/>
      <c r="DIT58" s="1222"/>
      <c r="DIU58" s="1222"/>
      <c r="DIV58" s="1222"/>
      <c r="DIW58" s="1222"/>
      <c r="DIX58" s="1222"/>
      <c r="DIY58" s="1222"/>
      <c r="DIZ58" s="1222"/>
      <c r="DJA58" s="1222"/>
      <c r="DJB58" s="1222"/>
      <c r="DJC58" s="1222"/>
      <c r="DJD58" s="1222"/>
      <c r="DJE58" s="1222"/>
      <c r="DJF58" s="1222"/>
      <c r="DJG58" s="1222"/>
      <c r="DJH58" s="1222"/>
      <c r="DJI58" s="1222"/>
      <c r="DJJ58" s="1222"/>
      <c r="DJK58" s="1222"/>
      <c r="DJL58" s="1222"/>
      <c r="DJM58" s="1222"/>
      <c r="DJN58" s="1222"/>
      <c r="DJO58" s="1222"/>
      <c r="DJP58" s="1222"/>
      <c r="DJQ58" s="1222"/>
      <c r="DJR58" s="1222"/>
      <c r="DJS58" s="1222"/>
      <c r="DJT58" s="1222"/>
      <c r="DJU58" s="1222"/>
      <c r="DJV58" s="1222"/>
      <c r="DJW58" s="1222"/>
      <c r="DJX58" s="1222"/>
      <c r="DJY58" s="1222"/>
      <c r="DJZ58" s="1222"/>
      <c r="DKA58" s="1222"/>
      <c r="DKB58" s="1222"/>
      <c r="DKC58" s="1222"/>
      <c r="DKD58" s="1222"/>
      <c r="DKE58" s="1222"/>
      <c r="DKF58" s="1222"/>
      <c r="DKG58" s="1222"/>
      <c r="DKH58" s="1222"/>
      <c r="DKI58" s="1222"/>
      <c r="DKJ58" s="1222"/>
      <c r="DKK58" s="1222"/>
      <c r="DKL58" s="1222"/>
      <c r="DKM58" s="1222"/>
      <c r="DKN58" s="1222"/>
      <c r="DKO58" s="1222"/>
      <c r="DKP58" s="1222"/>
      <c r="DKQ58" s="1222"/>
      <c r="DKR58" s="1222"/>
      <c r="DKS58" s="1222"/>
      <c r="DKT58" s="1222"/>
      <c r="DKU58" s="1222"/>
      <c r="DKV58" s="1222"/>
      <c r="DKW58" s="1222"/>
      <c r="DKX58" s="1222"/>
      <c r="DKY58" s="1222"/>
      <c r="DKZ58" s="1222"/>
      <c r="DLA58" s="1222"/>
      <c r="DLB58" s="1222"/>
      <c r="DLC58" s="1222"/>
      <c r="DLD58" s="1222"/>
      <c r="DLE58" s="1222"/>
      <c r="DLF58" s="1222"/>
      <c r="DLG58" s="1222"/>
      <c r="DLH58" s="1222"/>
      <c r="DLI58" s="1222"/>
      <c r="DLJ58" s="1222"/>
      <c r="DLK58" s="1222"/>
      <c r="DLL58" s="1222"/>
      <c r="DLM58" s="1222"/>
      <c r="DLN58" s="1222"/>
      <c r="DLO58" s="1222"/>
      <c r="DLP58" s="1222"/>
      <c r="DLQ58" s="1222"/>
      <c r="DLR58" s="1222"/>
      <c r="DLS58" s="1222"/>
      <c r="DLT58" s="1222"/>
      <c r="DLU58" s="1222"/>
      <c r="DLV58" s="1222"/>
      <c r="DLW58" s="1222"/>
      <c r="DLX58" s="1222"/>
      <c r="DLY58" s="1222"/>
      <c r="DLZ58" s="1222"/>
      <c r="DMA58" s="1222"/>
      <c r="DMB58" s="1222"/>
      <c r="DMC58" s="1222"/>
      <c r="DMD58" s="1222"/>
      <c r="DME58" s="1222"/>
      <c r="DMF58" s="1222"/>
      <c r="DMG58" s="1222"/>
      <c r="DMH58" s="1222"/>
      <c r="DMI58" s="1222"/>
      <c r="DMJ58" s="1222"/>
      <c r="DMK58" s="1222"/>
      <c r="DML58" s="1222"/>
      <c r="DMM58" s="1222"/>
      <c r="DMN58" s="1222"/>
      <c r="DMO58" s="1222"/>
      <c r="DMP58" s="1222"/>
      <c r="DMQ58" s="1222"/>
      <c r="DMR58" s="1222"/>
      <c r="DMS58" s="1222"/>
      <c r="DMT58" s="1222"/>
      <c r="DMU58" s="1222"/>
      <c r="DMV58" s="1222"/>
      <c r="DMW58" s="1222"/>
      <c r="DMX58" s="1222"/>
      <c r="DMY58" s="1222"/>
      <c r="DMZ58" s="1222"/>
      <c r="DNA58" s="1222"/>
      <c r="DNB58" s="1222"/>
      <c r="DNC58" s="1222"/>
      <c r="DND58" s="1222"/>
      <c r="DNE58" s="1222"/>
      <c r="DNF58" s="1222"/>
      <c r="DNG58" s="1222"/>
      <c r="DNH58" s="1222"/>
      <c r="DNI58" s="1222"/>
      <c r="DNJ58" s="1222"/>
      <c r="DNK58" s="1222"/>
      <c r="DNL58" s="1222"/>
      <c r="DNM58" s="1222"/>
      <c r="DNN58" s="1222"/>
      <c r="DNO58" s="1222"/>
      <c r="DNP58" s="1222"/>
      <c r="DNQ58" s="1222"/>
      <c r="DNR58" s="1222"/>
      <c r="DNS58" s="1222"/>
      <c r="DNT58" s="1222"/>
      <c r="DNU58" s="1222"/>
      <c r="DNV58" s="1222"/>
      <c r="DNW58" s="1222"/>
      <c r="DNX58" s="1222"/>
      <c r="DNY58" s="1222"/>
      <c r="DNZ58" s="1222"/>
      <c r="DOA58" s="1222"/>
      <c r="DOB58" s="1222"/>
      <c r="DOC58" s="1222"/>
      <c r="DOD58" s="1222"/>
      <c r="DOE58" s="1222"/>
      <c r="DOF58" s="1222"/>
      <c r="DOG58" s="1222"/>
      <c r="DOH58" s="1222"/>
      <c r="DOI58" s="1222"/>
      <c r="DOJ58" s="1222"/>
      <c r="DOK58" s="1222"/>
      <c r="DOL58" s="1222"/>
      <c r="DOM58" s="1222"/>
      <c r="DON58" s="1222"/>
      <c r="DOO58" s="1222"/>
      <c r="DOP58" s="1222"/>
      <c r="DOQ58" s="1222"/>
      <c r="DOR58" s="1222"/>
      <c r="DOS58" s="1222"/>
      <c r="DOT58" s="1222"/>
      <c r="DOU58" s="1222"/>
      <c r="DOV58" s="1222"/>
      <c r="DOW58" s="1222"/>
      <c r="DOX58" s="1222"/>
      <c r="DOY58" s="1222"/>
      <c r="DOZ58" s="1222"/>
      <c r="DPA58" s="1222"/>
      <c r="DPB58" s="1222"/>
      <c r="DPC58" s="1222"/>
      <c r="DPD58" s="1222"/>
      <c r="DPE58" s="1222"/>
      <c r="DPF58" s="1222"/>
      <c r="DPG58" s="1222"/>
      <c r="DPH58" s="1222"/>
      <c r="DPI58" s="1222"/>
      <c r="DPJ58" s="1222"/>
      <c r="DPK58" s="1222"/>
      <c r="DPL58" s="1222"/>
      <c r="DPM58" s="1222"/>
      <c r="DPN58" s="1222"/>
      <c r="DPO58" s="1222"/>
      <c r="DPP58" s="1222"/>
      <c r="DPQ58" s="1222"/>
      <c r="DPR58" s="1222"/>
      <c r="DPS58" s="1222"/>
      <c r="DPT58" s="1222"/>
      <c r="DPU58" s="1222"/>
      <c r="DPV58" s="1222"/>
      <c r="DPW58" s="1222"/>
      <c r="DPX58" s="1222"/>
      <c r="DPY58" s="1222"/>
      <c r="DPZ58" s="1222"/>
      <c r="DQA58" s="1222"/>
      <c r="DQB58" s="1222"/>
      <c r="DQC58" s="1222"/>
      <c r="DQD58" s="1222"/>
      <c r="DQE58" s="1222"/>
      <c r="DQF58" s="1222"/>
      <c r="DQG58" s="1222"/>
      <c r="DQH58" s="1222"/>
      <c r="DQI58" s="1222"/>
      <c r="DQJ58" s="1222"/>
      <c r="DQK58" s="1222"/>
      <c r="DQL58" s="1222"/>
      <c r="DQM58" s="1222"/>
      <c r="DQN58" s="1222"/>
      <c r="DQO58" s="1222"/>
      <c r="DQP58" s="1222"/>
      <c r="DQQ58" s="1222"/>
      <c r="DQR58" s="1222"/>
      <c r="DQS58" s="1222"/>
      <c r="DQT58" s="1222"/>
      <c r="DQU58" s="1222"/>
      <c r="DQV58" s="1222"/>
      <c r="DQW58" s="1222"/>
      <c r="DQX58" s="1222"/>
      <c r="DQY58" s="1222"/>
      <c r="DQZ58" s="1222"/>
      <c r="DRA58" s="1222"/>
      <c r="DRB58" s="1222"/>
      <c r="DRC58" s="1222"/>
      <c r="DRD58" s="1222"/>
      <c r="DRE58" s="1222"/>
      <c r="DRF58" s="1222"/>
      <c r="DRG58" s="1222"/>
      <c r="DRH58" s="1222"/>
      <c r="DRI58" s="1222"/>
      <c r="DRJ58" s="1222"/>
      <c r="DRK58" s="1222"/>
      <c r="DRL58" s="1222"/>
      <c r="DRM58" s="1222"/>
      <c r="DRN58" s="1222"/>
      <c r="DRO58" s="1222"/>
      <c r="DRP58" s="1222"/>
      <c r="DRQ58" s="1222"/>
      <c r="DRR58" s="1222"/>
      <c r="DRS58" s="1222"/>
      <c r="DRT58" s="1222"/>
      <c r="DRU58" s="1222"/>
      <c r="DRV58" s="1222"/>
      <c r="DRW58" s="1222"/>
      <c r="DRX58" s="1222"/>
      <c r="DRY58" s="1222"/>
      <c r="DRZ58" s="1222"/>
      <c r="DSA58" s="1222"/>
      <c r="DSB58" s="1222"/>
      <c r="DSC58" s="1222"/>
      <c r="DSD58" s="1222"/>
      <c r="DSE58" s="1222"/>
      <c r="DSF58" s="1222"/>
      <c r="DSG58" s="1222"/>
      <c r="DSH58" s="1222"/>
      <c r="DSI58" s="1222"/>
      <c r="DSJ58" s="1222"/>
      <c r="DSK58" s="1222"/>
      <c r="DSL58" s="1222"/>
      <c r="DSM58" s="1222"/>
      <c r="DSN58" s="1222"/>
      <c r="DSO58" s="1222"/>
      <c r="DSP58" s="1222"/>
      <c r="DSQ58" s="1222"/>
      <c r="DSR58" s="1222"/>
      <c r="DSS58" s="1222"/>
      <c r="DST58" s="1222"/>
      <c r="DSU58" s="1222"/>
      <c r="DSV58" s="1222"/>
      <c r="DSW58" s="1222"/>
      <c r="DSX58" s="1222"/>
      <c r="DSY58" s="1222"/>
      <c r="DSZ58" s="1222"/>
      <c r="DTA58" s="1222"/>
      <c r="DTB58" s="1222"/>
      <c r="DTC58" s="1222"/>
      <c r="DTD58" s="1222"/>
      <c r="DTE58" s="1222"/>
      <c r="DTF58" s="1222"/>
      <c r="DTG58" s="1222"/>
      <c r="DTH58" s="1222"/>
      <c r="DTI58" s="1222"/>
      <c r="DTJ58" s="1222"/>
      <c r="DTK58" s="1222"/>
      <c r="DTL58" s="1222"/>
      <c r="DTM58" s="1222"/>
      <c r="DTN58" s="1222"/>
      <c r="DTO58" s="1222"/>
      <c r="DTP58" s="1222"/>
      <c r="DTQ58" s="1222"/>
      <c r="DTR58" s="1222"/>
      <c r="DTS58" s="1222"/>
      <c r="DTT58" s="1222"/>
      <c r="DTU58" s="1222"/>
      <c r="DTV58" s="1222"/>
      <c r="DTW58" s="1222"/>
      <c r="DTX58" s="1222"/>
      <c r="DTY58" s="1222"/>
      <c r="DTZ58" s="1222"/>
      <c r="DUA58" s="1222"/>
      <c r="DUB58" s="1222"/>
      <c r="DUC58" s="1222"/>
      <c r="DUD58" s="1222"/>
      <c r="DUE58" s="1222"/>
      <c r="DUF58" s="1222"/>
      <c r="DUG58" s="1222"/>
      <c r="DUH58" s="1222"/>
      <c r="DUI58" s="1222"/>
      <c r="DUJ58" s="1222"/>
      <c r="DUK58" s="1222"/>
      <c r="DUL58" s="1222"/>
      <c r="DUM58" s="1222"/>
      <c r="DUN58" s="1222"/>
      <c r="DUO58" s="1222"/>
      <c r="DUP58" s="1222"/>
      <c r="DUQ58" s="1222"/>
      <c r="DUR58" s="1222"/>
      <c r="DUS58" s="1222"/>
      <c r="DUT58" s="1222"/>
      <c r="DUU58" s="1222"/>
      <c r="DUV58" s="1222"/>
      <c r="DUW58" s="1222"/>
      <c r="DUX58" s="1222"/>
      <c r="DUY58" s="1222"/>
      <c r="DUZ58" s="1222"/>
      <c r="DVA58" s="1222"/>
      <c r="DVB58" s="1222"/>
      <c r="DVC58" s="1222"/>
      <c r="DVD58" s="1222"/>
      <c r="DVE58" s="1222"/>
      <c r="DVF58" s="1222"/>
      <c r="DVG58" s="1222"/>
      <c r="DVH58" s="1222"/>
      <c r="DVI58" s="1222"/>
      <c r="DVJ58" s="1222"/>
      <c r="DVK58" s="1222"/>
      <c r="DVL58" s="1222"/>
      <c r="DVM58" s="1222"/>
      <c r="DVN58" s="1222"/>
      <c r="DVO58" s="1222"/>
      <c r="DVP58" s="1222"/>
      <c r="DVQ58" s="1222"/>
      <c r="DVR58" s="1222"/>
      <c r="DVS58" s="1222"/>
      <c r="DVT58" s="1222"/>
      <c r="DVU58" s="1222"/>
      <c r="DVV58" s="1222"/>
      <c r="DVW58" s="1222"/>
      <c r="DVX58" s="1222"/>
      <c r="DVY58" s="1222"/>
      <c r="DVZ58" s="1222"/>
      <c r="DWA58" s="1222"/>
      <c r="DWB58" s="1222"/>
      <c r="DWC58" s="1222"/>
      <c r="DWD58" s="1222"/>
      <c r="DWE58" s="1222"/>
      <c r="DWF58" s="1222"/>
      <c r="DWG58" s="1222"/>
      <c r="DWH58" s="1222"/>
      <c r="DWI58" s="1222"/>
      <c r="DWJ58" s="1222"/>
      <c r="DWK58" s="1222"/>
      <c r="DWL58" s="1222"/>
      <c r="DWM58" s="1222"/>
      <c r="DWN58" s="1222"/>
      <c r="DWO58" s="1222"/>
      <c r="DWP58" s="1222"/>
      <c r="DWQ58" s="1222"/>
      <c r="DWR58" s="1222"/>
      <c r="DWS58" s="1222"/>
      <c r="DWT58" s="1222"/>
      <c r="DWU58" s="1222"/>
      <c r="DWV58" s="1222"/>
      <c r="DWW58" s="1222"/>
      <c r="DWX58" s="1222"/>
      <c r="DWY58" s="1222"/>
      <c r="DWZ58" s="1222"/>
      <c r="DXA58" s="1222"/>
      <c r="DXB58" s="1222"/>
      <c r="DXC58" s="1222"/>
      <c r="DXD58" s="1222"/>
      <c r="DXE58" s="1222"/>
      <c r="DXF58" s="1222"/>
      <c r="DXG58" s="1222"/>
      <c r="DXH58" s="1222"/>
      <c r="DXI58" s="1222"/>
      <c r="DXJ58" s="1222"/>
      <c r="DXK58" s="1222"/>
      <c r="DXL58" s="1222"/>
      <c r="DXM58" s="1222"/>
      <c r="DXN58" s="1222"/>
      <c r="DXO58" s="1222"/>
      <c r="DXP58" s="1222"/>
      <c r="DXQ58" s="1222"/>
      <c r="DXR58" s="1222"/>
      <c r="DXS58" s="1222"/>
      <c r="DXT58" s="1222"/>
      <c r="DXU58" s="1222"/>
      <c r="DXV58" s="1222"/>
      <c r="DXW58" s="1222"/>
      <c r="DXX58" s="1222"/>
      <c r="DXY58" s="1222"/>
      <c r="DXZ58" s="1222"/>
      <c r="DYA58" s="1222"/>
      <c r="DYB58" s="1222"/>
      <c r="DYC58" s="1222"/>
      <c r="DYD58" s="1222"/>
      <c r="DYE58" s="1222"/>
      <c r="DYF58" s="1222"/>
      <c r="DYG58" s="1222"/>
      <c r="DYH58" s="1222"/>
      <c r="DYI58" s="1222"/>
      <c r="DYJ58" s="1222"/>
      <c r="DYK58" s="1222"/>
      <c r="DYL58" s="1222"/>
      <c r="DYM58" s="1222"/>
      <c r="DYN58" s="1222"/>
      <c r="DYO58" s="1222"/>
      <c r="DYP58" s="1222"/>
      <c r="DYQ58" s="1222"/>
      <c r="DYR58" s="1222"/>
      <c r="DYS58" s="1222"/>
      <c r="DYT58" s="1222"/>
      <c r="DYU58" s="1222"/>
      <c r="DYV58" s="1222"/>
      <c r="DYW58" s="1222"/>
      <c r="DYX58" s="1222"/>
      <c r="DYY58" s="1222"/>
      <c r="DYZ58" s="1222"/>
      <c r="DZA58" s="1222"/>
      <c r="DZB58" s="1222"/>
      <c r="DZC58" s="1222"/>
      <c r="DZD58" s="1222"/>
      <c r="DZE58" s="1222"/>
      <c r="DZF58" s="1222"/>
      <c r="DZG58" s="1222"/>
      <c r="DZH58" s="1222"/>
      <c r="DZI58" s="1222"/>
      <c r="DZJ58" s="1222"/>
      <c r="DZK58" s="1222"/>
      <c r="DZL58" s="1222"/>
      <c r="DZM58" s="1222"/>
      <c r="DZN58" s="1222"/>
      <c r="DZO58" s="1222"/>
      <c r="DZP58" s="1222"/>
      <c r="DZQ58" s="1222"/>
      <c r="DZR58" s="1222"/>
      <c r="DZS58" s="1222"/>
      <c r="DZT58" s="1222"/>
      <c r="DZU58" s="1222"/>
      <c r="DZV58" s="1222"/>
      <c r="DZW58" s="1222"/>
      <c r="DZX58" s="1222"/>
      <c r="DZY58" s="1222"/>
      <c r="DZZ58" s="1222"/>
      <c r="EAA58" s="1222"/>
      <c r="EAB58" s="1222"/>
      <c r="EAC58" s="1222"/>
      <c r="EAD58" s="1222"/>
      <c r="EAE58" s="1222"/>
      <c r="EAF58" s="1222"/>
      <c r="EAG58" s="1222"/>
      <c r="EAH58" s="1222"/>
      <c r="EAI58" s="1222"/>
      <c r="EAJ58" s="1222"/>
      <c r="EAK58" s="1222"/>
      <c r="EAL58" s="1222"/>
      <c r="EAM58" s="1222"/>
      <c r="EAN58" s="1222"/>
      <c r="EAO58" s="1222"/>
      <c r="EAP58" s="1222"/>
      <c r="EAQ58" s="1222"/>
      <c r="EAR58" s="1222"/>
      <c r="EAS58" s="1222"/>
      <c r="EAT58" s="1222"/>
      <c r="EAU58" s="1222"/>
      <c r="EAV58" s="1222"/>
      <c r="EAW58" s="1222"/>
      <c r="EAX58" s="1222"/>
      <c r="EAY58" s="1222"/>
      <c r="EAZ58" s="1222"/>
      <c r="EBA58" s="1222"/>
      <c r="EBB58" s="1222"/>
      <c r="EBC58" s="1222"/>
      <c r="EBD58" s="1222"/>
      <c r="EBE58" s="1222"/>
      <c r="EBF58" s="1222"/>
      <c r="EBG58" s="1222"/>
      <c r="EBH58" s="1222"/>
      <c r="EBI58" s="1222"/>
      <c r="EBJ58" s="1222"/>
      <c r="EBK58" s="1222"/>
      <c r="EBL58" s="1222"/>
      <c r="EBM58" s="1222"/>
      <c r="EBN58" s="1222"/>
      <c r="EBO58" s="1222"/>
      <c r="EBP58" s="1222"/>
      <c r="EBQ58" s="1222"/>
      <c r="EBR58" s="1222"/>
      <c r="EBS58" s="1222"/>
      <c r="EBT58" s="1222"/>
      <c r="EBU58" s="1222"/>
      <c r="EBV58" s="1222"/>
      <c r="EBW58" s="1222"/>
      <c r="EBX58" s="1222"/>
      <c r="EBY58" s="1222"/>
      <c r="EBZ58" s="1222"/>
      <c r="ECA58" s="1222"/>
      <c r="ECB58" s="1222"/>
      <c r="ECC58" s="1222"/>
      <c r="ECD58" s="1222"/>
      <c r="ECE58" s="1222"/>
      <c r="ECF58" s="1222"/>
      <c r="ECG58" s="1222"/>
      <c r="ECH58" s="1222"/>
      <c r="ECI58" s="1222"/>
      <c r="ECJ58" s="1222"/>
      <c r="ECK58" s="1222"/>
      <c r="ECL58" s="1222"/>
      <c r="ECM58" s="1222"/>
      <c r="ECN58" s="1222"/>
      <c r="ECO58" s="1222"/>
    </row>
    <row r="59" spans="2:3473" ht="36" hidden="1">
      <c r="B59" s="1296"/>
      <c r="C59" s="2363"/>
      <c r="D59" s="1297" t="s">
        <v>3161</v>
      </c>
      <c r="E59" s="1298">
        <f>+E49-E9-E44-E21-E13-E12-E32</f>
        <v>926.89686165830256</v>
      </c>
      <c r="F59" s="1298">
        <f t="shared" ref="F59:BJ59" si="101">+F49-F9-F44-F21-F13-F12-F32</f>
        <v>846.94635088614302</v>
      </c>
      <c r="G59" s="1298">
        <f t="shared" si="101"/>
        <v>79.950510772159561</v>
      </c>
      <c r="H59" s="1298">
        <f t="shared" ca="1" si="101"/>
        <v>4620.3126929534628</v>
      </c>
      <c r="I59" s="1298">
        <f t="shared" ca="1" si="101"/>
        <v>4273.0946414503878</v>
      </c>
      <c r="J59" s="1298">
        <f t="shared" ca="1" si="101"/>
        <v>347.21805150307381</v>
      </c>
      <c r="K59" s="1298">
        <f t="shared" si="101"/>
        <v>857.01585277686502</v>
      </c>
      <c r="L59" s="1298">
        <f t="shared" si="101"/>
        <v>783.70688198888467</v>
      </c>
      <c r="M59" s="1298">
        <f t="shared" si="101"/>
        <v>73.308970787980371</v>
      </c>
      <c r="N59" s="1298" t="e">
        <f t="shared" si="101"/>
        <v>#VALUE!</v>
      </c>
      <c r="O59" s="1298" t="e">
        <f t="shared" si="101"/>
        <v>#VALUE!</v>
      </c>
      <c r="P59" s="1298" t="e">
        <f t="shared" si="101"/>
        <v>#VALUE!</v>
      </c>
      <c r="Q59" s="1298">
        <f t="shared" ca="1" si="101"/>
        <v>4724.3502935635215</v>
      </c>
      <c r="R59" s="1298">
        <f t="shared" ca="1" si="101"/>
        <v>4371.4519840891307</v>
      </c>
      <c r="S59" s="1298">
        <f t="shared" ca="1" si="101"/>
        <v>352.89830947439026</v>
      </c>
      <c r="T59" s="1298">
        <f ca="1">+T49-T9-T44-T21-T13-T12-T32</f>
        <v>6242.2227206922626</v>
      </c>
      <c r="U59" s="1298">
        <f ca="1">+U49-U9-U44-U21-U13-U12-U32</f>
        <v>5775.1874500759877</v>
      </c>
      <c r="V59" s="1298">
        <f ca="1">+V49-V9-V44-V21-V13-V12-V32</f>
        <v>467.03527061627636</v>
      </c>
      <c r="W59" s="1298" t="e">
        <f t="shared" si="101"/>
        <v>#VALUE!</v>
      </c>
      <c r="X59" s="1298" t="e">
        <f t="shared" si="101"/>
        <v>#VALUE!</v>
      </c>
      <c r="Y59" s="1298" t="e">
        <f t="shared" si="101"/>
        <v>#VALUE!</v>
      </c>
      <c r="Z59" s="1298">
        <f t="shared" ca="1" si="101"/>
        <v>3759.4421155499631</v>
      </c>
      <c r="AA59" s="1298">
        <f t="shared" ca="1" si="101"/>
        <v>3475.405186817396</v>
      </c>
      <c r="AB59" s="1298">
        <f t="shared" ca="1" si="101"/>
        <v>284.03692873256853</v>
      </c>
      <c r="AC59" s="1298">
        <f t="shared" ca="1" si="101"/>
        <v>4994.63753324544</v>
      </c>
      <c r="AD59" s="1298">
        <f t="shared" ca="1" si="101"/>
        <v>4617.2779512990874</v>
      </c>
      <c r="AE59" s="1298">
        <f t="shared" ca="1" si="101"/>
        <v>377.35958194635276</v>
      </c>
      <c r="AF59" s="1298">
        <f t="shared" si="101"/>
        <v>2277</v>
      </c>
      <c r="AG59" s="1298">
        <f t="shared" si="101"/>
        <v>2080.5948544452849</v>
      </c>
      <c r="AH59" s="1298">
        <f t="shared" si="101"/>
        <v>196.40514555471484</v>
      </c>
      <c r="AI59" s="1298">
        <f t="shared" ca="1" si="101"/>
        <v>19947.71491899381</v>
      </c>
      <c r="AJ59" s="1298">
        <f t="shared" ca="1" si="101"/>
        <v>18448.637439524697</v>
      </c>
      <c r="AK59" s="1298">
        <f t="shared" ca="1" si="101"/>
        <v>1499.0774794691131</v>
      </c>
      <c r="AL59" s="1298">
        <f t="shared" si="101"/>
        <v>806.40563860698001</v>
      </c>
      <c r="AM59" s="1298">
        <f t="shared" si="101"/>
        <v>737.42585577991304</v>
      </c>
      <c r="AN59" s="1298">
        <f t="shared" si="101"/>
        <v>68.97978282706697</v>
      </c>
      <c r="AO59" s="1298">
        <f t="shared" ca="1" si="101"/>
        <v>0</v>
      </c>
      <c r="AP59" s="1298">
        <f t="shared" ca="1" si="101"/>
        <v>0</v>
      </c>
      <c r="AQ59" s="1298">
        <f t="shared" ca="1" si="101"/>
        <v>0</v>
      </c>
      <c r="AR59" s="1298">
        <f t="shared" ca="1" si="101"/>
        <v>27956.049952443926</v>
      </c>
      <c r="AS59" s="1298">
        <f t="shared" ca="1" si="101"/>
        <v>25867.796085824415</v>
      </c>
      <c r="AT59" s="1298">
        <f t="shared" ca="1" si="101"/>
        <v>2088.2538666195169</v>
      </c>
      <c r="AU59" s="1298">
        <f t="shared" ca="1" si="101"/>
        <v>661.00769056226579</v>
      </c>
      <c r="AV59" s="1298">
        <f t="shared" ca="1" si="101"/>
        <v>611.55192465089658</v>
      </c>
      <c r="AW59" s="1298">
        <f t="shared" ca="1" si="101"/>
        <v>49.455765911369348</v>
      </c>
      <c r="AX59" s="1298">
        <f t="shared" si="101"/>
        <v>0</v>
      </c>
      <c r="AY59" s="1298">
        <f t="shared" si="101"/>
        <v>0</v>
      </c>
      <c r="AZ59" s="1298">
        <f t="shared" si="101"/>
        <v>0</v>
      </c>
      <c r="BA59" s="1298">
        <f t="shared" ca="1" si="101"/>
        <v>51648.178200606984</v>
      </c>
      <c r="BB59" s="1298">
        <f t="shared" ca="1" si="101"/>
        <v>47746.006160225188</v>
      </c>
      <c r="BC59" s="1298">
        <f t="shared" ca="1" si="101"/>
        <v>3902.1720403817817</v>
      </c>
      <c r="BD59" s="1298">
        <f t="shared" si="101"/>
        <v>0</v>
      </c>
      <c r="BE59" s="1298">
        <f t="shared" si="101"/>
        <v>0</v>
      </c>
      <c r="BF59" s="1298">
        <f t="shared" si="101"/>
        <v>0</v>
      </c>
      <c r="BG59" s="1298">
        <f t="shared" si="101"/>
        <v>0</v>
      </c>
      <c r="BH59" s="1298">
        <f t="shared" si="101"/>
        <v>0</v>
      </c>
      <c r="BI59" s="1298">
        <f t="shared" si="101"/>
        <v>0</v>
      </c>
      <c r="BJ59" s="1298">
        <f t="shared" ca="1" si="101"/>
        <v>51648.178200606984</v>
      </c>
      <c r="BK59" s="1299"/>
      <c r="BL59" s="1299"/>
      <c r="BM59" s="1300"/>
      <c r="BN59" s="1221"/>
      <c r="BO59" s="1221"/>
      <c r="BP59" s="1221"/>
      <c r="BQ59" s="1221"/>
      <c r="BR59" s="1222"/>
      <c r="BS59" s="1222"/>
      <c r="BT59" s="1222"/>
      <c r="BU59" s="1222"/>
      <c r="BV59" s="1222"/>
      <c r="BW59" s="1222"/>
      <c r="BX59" s="1222"/>
      <c r="BY59" s="1222"/>
      <c r="BZ59" s="1222"/>
      <c r="CA59" s="1222"/>
      <c r="CB59" s="1222"/>
      <c r="CC59" s="1222"/>
      <c r="CD59" s="1222"/>
      <c r="CE59" s="1222"/>
      <c r="CF59" s="1222"/>
      <c r="CG59" s="1222"/>
      <c r="CH59" s="1222"/>
      <c r="CI59" s="1222"/>
      <c r="CJ59" s="1222"/>
      <c r="CK59" s="1222"/>
      <c r="CL59" s="1222"/>
      <c r="CM59" s="1222"/>
      <c r="CN59" s="1222"/>
      <c r="CO59" s="1222"/>
      <c r="CP59" s="1222"/>
      <c r="CQ59" s="1222"/>
      <c r="CR59" s="1222"/>
      <c r="CS59" s="1222"/>
      <c r="CT59" s="1222"/>
      <c r="CU59" s="1222"/>
      <c r="CV59" s="1222"/>
      <c r="CW59" s="1222"/>
      <c r="CX59" s="1222"/>
      <c r="CY59" s="1222"/>
      <c r="CZ59" s="1222"/>
      <c r="DA59" s="1222"/>
      <c r="DB59" s="1222"/>
      <c r="DC59" s="1222"/>
      <c r="DD59" s="1222"/>
      <c r="DE59" s="1222"/>
      <c r="DF59" s="1222"/>
      <c r="DG59" s="1222"/>
      <c r="DH59" s="1222"/>
      <c r="DI59" s="1222"/>
      <c r="DJ59" s="1222"/>
      <c r="DK59" s="1222"/>
      <c r="DL59" s="1222"/>
      <c r="DM59" s="1222"/>
      <c r="DN59" s="1222"/>
      <c r="DO59" s="1222"/>
      <c r="DP59" s="1222"/>
      <c r="DQ59" s="1222"/>
      <c r="DR59" s="1222"/>
      <c r="DS59" s="1222"/>
      <c r="DT59" s="1222"/>
      <c r="DU59" s="1222"/>
      <c r="DV59" s="1222"/>
      <c r="DW59" s="1222"/>
      <c r="DX59" s="1222"/>
      <c r="DY59" s="1222"/>
      <c r="DZ59" s="1222"/>
      <c r="EA59" s="1222"/>
      <c r="EB59" s="1222"/>
      <c r="EC59" s="1222"/>
      <c r="ED59" s="1222"/>
      <c r="EE59" s="1222"/>
      <c r="EF59" s="1222"/>
      <c r="EG59" s="1222"/>
      <c r="EH59" s="1222"/>
      <c r="EI59" s="1222"/>
      <c r="EJ59" s="1222"/>
      <c r="EK59" s="1222"/>
      <c r="EL59" s="1222"/>
      <c r="EM59" s="1222"/>
      <c r="EN59" s="1222"/>
      <c r="EO59" s="1222"/>
      <c r="EP59" s="1222"/>
      <c r="EQ59" s="1222"/>
      <c r="ER59" s="1222"/>
      <c r="ES59" s="1222"/>
      <c r="ET59" s="1222"/>
      <c r="EU59" s="1222"/>
      <c r="EV59" s="1222"/>
      <c r="EW59" s="1222"/>
      <c r="EX59" s="1222"/>
      <c r="EY59" s="1222"/>
      <c r="EZ59" s="1222"/>
      <c r="FA59" s="1222"/>
      <c r="FB59" s="1222"/>
      <c r="FC59" s="1222"/>
      <c r="FD59" s="1222"/>
      <c r="FE59" s="1222"/>
      <c r="FF59" s="1222"/>
      <c r="FG59" s="1222"/>
      <c r="FH59" s="1222"/>
      <c r="FI59" s="1222"/>
      <c r="FJ59" s="1222"/>
      <c r="FK59" s="1222"/>
      <c r="FL59" s="1222"/>
      <c r="FM59" s="1222"/>
      <c r="FN59" s="1222"/>
      <c r="FO59" s="1222"/>
      <c r="FP59" s="1222"/>
      <c r="FQ59" s="1222"/>
      <c r="FR59" s="1222"/>
      <c r="FS59" s="1222"/>
      <c r="FT59" s="1222"/>
      <c r="FU59" s="1222"/>
      <c r="FV59" s="1222"/>
      <c r="FW59" s="1222"/>
      <c r="FX59" s="1222"/>
      <c r="FY59" s="1222"/>
      <c r="FZ59" s="1222"/>
      <c r="GA59" s="1222"/>
      <c r="GB59" s="1222"/>
      <c r="GC59" s="1222"/>
      <c r="GD59" s="1222"/>
      <c r="GE59" s="1222"/>
      <c r="GF59" s="1222"/>
      <c r="GG59" s="1222"/>
      <c r="GH59" s="1222"/>
      <c r="GI59" s="1222"/>
      <c r="GJ59" s="1222"/>
      <c r="GK59" s="1222"/>
      <c r="GL59" s="1222"/>
      <c r="GM59" s="1222"/>
      <c r="GN59" s="1222"/>
      <c r="GO59" s="1222"/>
      <c r="GP59" s="1222"/>
      <c r="GQ59" s="1222"/>
      <c r="GR59" s="1222"/>
      <c r="GS59" s="1222"/>
      <c r="GT59" s="1222"/>
      <c r="GU59" s="1222"/>
      <c r="GV59" s="1222"/>
      <c r="GW59" s="1222"/>
      <c r="GX59" s="1222"/>
      <c r="GY59" s="1222"/>
      <c r="GZ59" s="1222"/>
      <c r="HA59" s="1222"/>
      <c r="HB59" s="1222"/>
      <c r="HC59" s="1222"/>
      <c r="HD59" s="1222"/>
      <c r="HE59" s="1222"/>
      <c r="HF59" s="1222"/>
      <c r="HG59" s="1222"/>
      <c r="HH59" s="1222"/>
      <c r="HI59" s="1222"/>
      <c r="HJ59" s="1222"/>
      <c r="HK59" s="1222"/>
      <c r="HL59" s="1222"/>
      <c r="HM59" s="1222"/>
      <c r="HN59" s="1222"/>
      <c r="HO59" s="1222"/>
      <c r="HP59" s="1222"/>
      <c r="HQ59" s="1222"/>
      <c r="HR59" s="1222"/>
      <c r="HS59" s="1222"/>
      <c r="HT59" s="1222"/>
      <c r="HU59" s="1222"/>
      <c r="HV59" s="1222"/>
      <c r="HW59" s="1222"/>
      <c r="HX59" s="1222"/>
      <c r="HY59" s="1222"/>
      <c r="HZ59" s="1222"/>
      <c r="IA59" s="1222"/>
      <c r="IB59" s="1222"/>
      <c r="IC59" s="1222"/>
      <c r="ID59" s="1222"/>
      <c r="IE59" s="1222"/>
      <c r="IF59" s="1222"/>
      <c r="IG59" s="1222"/>
      <c r="IH59" s="1222"/>
      <c r="II59" s="1222"/>
      <c r="IJ59" s="1222"/>
      <c r="IK59" s="1222"/>
      <c r="IL59" s="1222"/>
      <c r="IM59" s="1222"/>
      <c r="IN59" s="1222"/>
      <c r="IO59" s="1222"/>
      <c r="IP59" s="1222"/>
      <c r="IQ59" s="1222"/>
      <c r="IR59" s="1222"/>
      <c r="IS59" s="1222"/>
      <c r="IT59" s="1222"/>
      <c r="IU59" s="1222"/>
      <c r="IV59" s="1222"/>
      <c r="IW59" s="1222"/>
      <c r="IX59" s="1222"/>
      <c r="IY59" s="1222"/>
      <c r="IZ59" s="1222"/>
      <c r="JA59" s="1222"/>
      <c r="JB59" s="1222"/>
      <c r="JC59" s="1222"/>
      <c r="JD59" s="1222"/>
      <c r="JE59" s="1222"/>
      <c r="JF59" s="1222"/>
      <c r="JG59" s="1222"/>
      <c r="JH59" s="1222"/>
      <c r="JI59" s="1222"/>
      <c r="JJ59" s="1222"/>
      <c r="JK59" s="1222"/>
      <c r="JL59" s="1222"/>
      <c r="JM59" s="1222"/>
      <c r="JN59" s="1222"/>
      <c r="JO59" s="1222"/>
      <c r="JP59" s="1222"/>
      <c r="JQ59" s="1222"/>
      <c r="JR59" s="1222"/>
      <c r="JS59" s="1222"/>
      <c r="JT59" s="1222"/>
      <c r="JU59" s="1222"/>
      <c r="JV59" s="1222"/>
      <c r="JW59" s="1222"/>
      <c r="JX59" s="1222"/>
      <c r="JY59" s="1222"/>
      <c r="JZ59" s="1222"/>
      <c r="KA59" s="1222"/>
      <c r="KB59" s="1222"/>
      <c r="KC59" s="1222"/>
      <c r="KD59" s="1222"/>
      <c r="KE59" s="1222"/>
      <c r="KF59" s="1222"/>
      <c r="KG59" s="1222"/>
      <c r="KH59" s="1222"/>
      <c r="KI59" s="1222"/>
      <c r="KJ59" s="1222"/>
      <c r="KK59" s="1222"/>
      <c r="KL59" s="1222"/>
      <c r="KM59" s="1222"/>
      <c r="KN59" s="1222"/>
      <c r="KO59" s="1222"/>
      <c r="KP59" s="1222"/>
      <c r="KQ59" s="1222"/>
      <c r="KR59" s="1222"/>
      <c r="KS59" s="1222"/>
      <c r="KT59" s="1222"/>
      <c r="KU59" s="1222"/>
      <c r="KV59" s="1222"/>
      <c r="KW59" s="1222"/>
      <c r="KX59" s="1222"/>
      <c r="KY59" s="1222"/>
      <c r="KZ59" s="1222"/>
      <c r="LA59" s="1222"/>
      <c r="LB59" s="1222"/>
      <c r="LC59" s="1222"/>
      <c r="LD59" s="1222"/>
      <c r="LE59" s="1222"/>
      <c r="LF59" s="1222"/>
      <c r="LG59" s="1222"/>
      <c r="LH59" s="1222"/>
      <c r="LI59" s="1222"/>
      <c r="LJ59" s="1222"/>
      <c r="LK59" s="1222"/>
      <c r="LL59" s="1222"/>
      <c r="LM59" s="1222"/>
      <c r="LN59" s="1222"/>
      <c r="LO59" s="1222"/>
      <c r="LP59" s="1222"/>
      <c r="LQ59" s="1222"/>
      <c r="LR59" s="1222"/>
      <c r="LS59" s="1222"/>
      <c r="LT59" s="1222"/>
      <c r="LU59" s="1222"/>
      <c r="LV59" s="1222"/>
      <c r="LW59" s="1222"/>
      <c r="LX59" s="1222"/>
      <c r="LY59" s="1222"/>
      <c r="LZ59" s="1222"/>
      <c r="MA59" s="1222"/>
      <c r="MB59" s="1222"/>
      <c r="MC59" s="1222"/>
      <c r="MD59" s="1222"/>
      <c r="ME59" s="1222"/>
      <c r="MF59" s="1222"/>
      <c r="MG59" s="1222"/>
      <c r="MH59" s="1222"/>
      <c r="MI59" s="1222"/>
      <c r="MJ59" s="1222"/>
      <c r="MK59" s="1222"/>
      <c r="ML59" s="1222"/>
      <c r="MM59" s="1222"/>
      <c r="MN59" s="1222"/>
      <c r="MO59" s="1222"/>
      <c r="MP59" s="1222"/>
      <c r="MQ59" s="1222"/>
      <c r="MR59" s="1222"/>
      <c r="MS59" s="1222"/>
      <c r="MT59" s="1222"/>
      <c r="MU59" s="1222"/>
      <c r="MV59" s="1222"/>
      <c r="MW59" s="1222"/>
      <c r="MX59" s="1222"/>
      <c r="MY59" s="1222"/>
      <c r="MZ59" s="1222"/>
      <c r="NA59" s="1222"/>
      <c r="NB59" s="1222"/>
      <c r="NC59" s="1222"/>
      <c r="ND59" s="1222"/>
      <c r="NE59" s="1222"/>
      <c r="NF59" s="1222"/>
      <c r="NG59" s="1222"/>
      <c r="NH59" s="1222"/>
      <c r="NI59" s="1222"/>
      <c r="NJ59" s="1222"/>
      <c r="NK59" s="1222"/>
      <c r="NL59" s="1222"/>
      <c r="NM59" s="1222"/>
      <c r="NN59" s="1222"/>
      <c r="NO59" s="1222"/>
      <c r="NP59" s="1222"/>
      <c r="NQ59" s="1222"/>
      <c r="NR59" s="1222"/>
      <c r="NS59" s="1222"/>
      <c r="NT59" s="1222"/>
      <c r="NU59" s="1222"/>
      <c r="NV59" s="1222"/>
      <c r="NW59" s="1222"/>
      <c r="NX59" s="1222"/>
      <c r="NY59" s="1222"/>
      <c r="NZ59" s="1222"/>
      <c r="OA59" s="1222"/>
      <c r="OB59" s="1222"/>
      <c r="OC59" s="1222"/>
      <c r="OD59" s="1222"/>
      <c r="OE59" s="1222"/>
      <c r="OF59" s="1222"/>
      <c r="OG59" s="1222"/>
      <c r="OH59" s="1222"/>
      <c r="OI59" s="1222"/>
      <c r="OJ59" s="1222"/>
      <c r="OK59" s="1222"/>
      <c r="OL59" s="1222"/>
      <c r="OM59" s="1222"/>
      <c r="ON59" s="1222"/>
      <c r="OO59" s="1222"/>
      <c r="OP59" s="1222"/>
      <c r="OQ59" s="1222"/>
      <c r="OR59" s="1222"/>
      <c r="OS59" s="1222"/>
      <c r="OT59" s="1222"/>
      <c r="OU59" s="1222"/>
      <c r="OV59" s="1222"/>
      <c r="OW59" s="1222"/>
      <c r="OX59" s="1222"/>
      <c r="OY59" s="1222"/>
      <c r="OZ59" s="1222"/>
      <c r="PA59" s="1222"/>
      <c r="PB59" s="1222"/>
      <c r="PC59" s="1222"/>
      <c r="PD59" s="1222"/>
      <c r="PE59" s="1222"/>
      <c r="PF59" s="1222"/>
      <c r="PG59" s="1222"/>
      <c r="PH59" s="1222"/>
      <c r="PI59" s="1222"/>
      <c r="PJ59" s="1222"/>
      <c r="PK59" s="1222"/>
      <c r="PL59" s="1222"/>
      <c r="PM59" s="1222"/>
      <c r="PN59" s="1222"/>
      <c r="PO59" s="1222"/>
      <c r="PP59" s="1222"/>
      <c r="PQ59" s="1222"/>
      <c r="PR59" s="1222"/>
      <c r="PS59" s="1222"/>
      <c r="PT59" s="1222"/>
      <c r="PU59" s="1222"/>
      <c r="PV59" s="1222"/>
      <c r="PW59" s="1222"/>
      <c r="PX59" s="1222"/>
      <c r="PY59" s="1222"/>
      <c r="PZ59" s="1222"/>
      <c r="QA59" s="1222"/>
      <c r="QB59" s="1222"/>
      <c r="QC59" s="1222"/>
      <c r="QD59" s="1222"/>
      <c r="QE59" s="1222"/>
      <c r="QF59" s="1222"/>
      <c r="QG59" s="1222"/>
      <c r="QH59" s="1222"/>
      <c r="QI59" s="1222"/>
      <c r="QJ59" s="1222"/>
      <c r="QK59" s="1222"/>
      <c r="QL59" s="1222"/>
      <c r="QM59" s="1222"/>
      <c r="QN59" s="1222"/>
      <c r="QO59" s="1222"/>
      <c r="QP59" s="1222"/>
      <c r="QQ59" s="1222"/>
      <c r="QR59" s="1222"/>
      <c r="QS59" s="1222"/>
      <c r="QT59" s="1222"/>
      <c r="QU59" s="1222"/>
      <c r="QV59" s="1222"/>
      <c r="QW59" s="1222"/>
      <c r="QX59" s="1222"/>
      <c r="QY59" s="1222"/>
      <c r="QZ59" s="1222"/>
      <c r="RA59" s="1222"/>
      <c r="RB59" s="1222"/>
      <c r="RC59" s="1222"/>
      <c r="RD59" s="1222"/>
      <c r="RE59" s="1222"/>
      <c r="RF59" s="1222"/>
      <c r="RG59" s="1222"/>
      <c r="RH59" s="1222"/>
      <c r="RI59" s="1222"/>
      <c r="RJ59" s="1222"/>
      <c r="RK59" s="1222"/>
      <c r="RL59" s="1222"/>
      <c r="RM59" s="1222"/>
      <c r="RN59" s="1222"/>
      <c r="RO59" s="1222"/>
      <c r="RP59" s="1222"/>
      <c r="RQ59" s="1222"/>
      <c r="RR59" s="1222"/>
      <c r="RS59" s="1222"/>
      <c r="RT59" s="1222"/>
      <c r="RU59" s="1222"/>
      <c r="RV59" s="1222"/>
      <c r="RW59" s="1222"/>
      <c r="RX59" s="1222"/>
      <c r="RY59" s="1222"/>
      <c r="RZ59" s="1222"/>
      <c r="SA59" s="1222"/>
      <c r="SB59" s="1222"/>
      <c r="SC59" s="1222"/>
      <c r="SD59" s="1222"/>
      <c r="SE59" s="1222"/>
      <c r="SF59" s="1222"/>
      <c r="SG59" s="1222"/>
      <c r="SH59" s="1222"/>
      <c r="SI59" s="1222"/>
      <c r="SJ59" s="1222"/>
      <c r="SK59" s="1222"/>
      <c r="SL59" s="1222"/>
      <c r="SM59" s="1222"/>
      <c r="SN59" s="1222"/>
      <c r="SO59" s="1222"/>
      <c r="SP59" s="1222"/>
      <c r="SQ59" s="1222"/>
      <c r="SR59" s="1222"/>
      <c r="SS59" s="1222"/>
      <c r="ST59" s="1222"/>
      <c r="SU59" s="1222"/>
      <c r="SV59" s="1222"/>
      <c r="SW59" s="1222"/>
      <c r="SX59" s="1222"/>
      <c r="SY59" s="1222"/>
      <c r="SZ59" s="1222"/>
      <c r="TA59" s="1222"/>
      <c r="TB59" s="1222"/>
      <c r="TC59" s="1222"/>
      <c r="TD59" s="1222"/>
      <c r="TE59" s="1222"/>
      <c r="TF59" s="1222"/>
      <c r="TG59" s="1222"/>
      <c r="TH59" s="1222"/>
      <c r="TI59" s="1222"/>
      <c r="TJ59" s="1222"/>
      <c r="TK59" s="1222"/>
      <c r="TL59" s="1222"/>
      <c r="TM59" s="1222"/>
      <c r="TN59" s="1222"/>
      <c r="TO59" s="1222"/>
      <c r="TP59" s="1222"/>
      <c r="TQ59" s="1222"/>
      <c r="TR59" s="1222"/>
      <c r="TS59" s="1222"/>
      <c r="TT59" s="1222"/>
      <c r="TU59" s="1222"/>
      <c r="TV59" s="1222"/>
      <c r="TW59" s="1222"/>
      <c r="TX59" s="1222"/>
      <c r="TY59" s="1222"/>
      <c r="TZ59" s="1222"/>
      <c r="UA59" s="1222"/>
      <c r="UB59" s="1222"/>
      <c r="UC59" s="1222"/>
      <c r="UD59" s="1222"/>
      <c r="UE59" s="1222"/>
      <c r="UF59" s="1222"/>
      <c r="UG59" s="1222"/>
      <c r="UH59" s="1222"/>
      <c r="UI59" s="1222"/>
      <c r="UJ59" s="1222"/>
      <c r="UK59" s="1222"/>
      <c r="UL59" s="1222"/>
      <c r="UM59" s="1222"/>
      <c r="UN59" s="1222"/>
      <c r="UO59" s="1222"/>
      <c r="UP59" s="1222"/>
      <c r="UQ59" s="1222"/>
      <c r="UR59" s="1222"/>
      <c r="US59" s="1222"/>
      <c r="UT59" s="1222"/>
      <c r="UU59" s="1222"/>
      <c r="UV59" s="1222"/>
      <c r="UW59" s="1222"/>
      <c r="UX59" s="1222"/>
      <c r="UY59" s="1222"/>
      <c r="UZ59" s="1222"/>
      <c r="VA59" s="1222"/>
      <c r="VB59" s="1222"/>
      <c r="VC59" s="1222"/>
      <c r="VD59" s="1222"/>
      <c r="VE59" s="1222"/>
      <c r="VF59" s="1222"/>
      <c r="VG59" s="1222"/>
      <c r="VH59" s="1222"/>
      <c r="VI59" s="1222"/>
      <c r="VJ59" s="1222"/>
      <c r="VK59" s="1222"/>
      <c r="VL59" s="1222"/>
      <c r="VM59" s="1222"/>
      <c r="VN59" s="1222"/>
      <c r="VO59" s="1222"/>
      <c r="VP59" s="1222"/>
      <c r="VQ59" s="1222"/>
      <c r="VR59" s="1222"/>
      <c r="VS59" s="1222"/>
      <c r="VT59" s="1222"/>
      <c r="VU59" s="1222"/>
      <c r="VV59" s="1222"/>
      <c r="VW59" s="1222"/>
      <c r="VX59" s="1222"/>
      <c r="VY59" s="1222"/>
      <c r="VZ59" s="1222"/>
      <c r="WA59" s="1222"/>
      <c r="WB59" s="1222"/>
      <c r="WC59" s="1222"/>
      <c r="WD59" s="1222"/>
      <c r="WE59" s="1222"/>
      <c r="WF59" s="1222"/>
      <c r="WG59" s="1222"/>
      <c r="WH59" s="1222"/>
      <c r="WI59" s="1222"/>
      <c r="WJ59" s="1222"/>
      <c r="WK59" s="1222"/>
      <c r="WL59" s="1222"/>
      <c r="WM59" s="1222"/>
      <c r="WN59" s="1222"/>
      <c r="WO59" s="1222"/>
      <c r="WP59" s="1222"/>
      <c r="WQ59" s="1222"/>
      <c r="WR59" s="1222"/>
      <c r="WS59" s="1222"/>
      <c r="WT59" s="1222"/>
      <c r="WU59" s="1222"/>
      <c r="WV59" s="1222"/>
      <c r="WW59" s="1222"/>
      <c r="WX59" s="1222"/>
      <c r="WY59" s="1222"/>
      <c r="WZ59" s="1222"/>
      <c r="XA59" s="1222"/>
      <c r="XB59" s="1222"/>
      <c r="XC59" s="1222"/>
      <c r="XD59" s="1222"/>
      <c r="XE59" s="1222"/>
      <c r="XF59" s="1222"/>
      <c r="XG59" s="1222"/>
      <c r="XH59" s="1222"/>
      <c r="XI59" s="1222"/>
      <c r="XJ59" s="1222"/>
      <c r="XK59" s="1222"/>
      <c r="XL59" s="1222"/>
      <c r="XM59" s="1222"/>
      <c r="XN59" s="1222"/>
      <c r="XO59" s="1222"/>
      <c r="XP59" s="1222"/>
      <c r="XQ59" s="1222"/>
      <c r="XR59" s="1222"/>
      <c r="XS59" s="1222"/>
      <c r="XT59" s="1222"/>
      <c r="XU59" s="1222"/>
      <c r="XV59" s="1222"/>
      <c r="XW59" s="1222"/>
      <c r="XX59" s="1222"/>
      <c r="XY59" s="1222"/>
      <c r="XZ59" s="1222"/>
      <c r="YA59" s="1222"/>
      <c r="YB59" s="1222"/>
      <c r="YC59" s="1222"/>
      <c r="YD59" s="1222"/>
      <c r="YE59" s="1222"/>
      <c r="YF59" s="1222"/>
      <c r="YG59" s="1222"/>
      <c r="YH59" s="1222"/>
      <c r="YI59" s="1222"/>
      <c r="YJ59" s="1222"/>
      <c r="YK59" s="1222"/>
      <c r="YL59" s="1222"/>
      <c r="YM59" s="1222"/>
      <c r="YN59" s="1222"/>
      <c r="YO59" s="1222"/>
      <c r="YP59" s="1222"/>
      <c r="YQ59" s="1222"/>
      <c r="YR59" s="1222"/>
      <c r="YS59" s="1222"/>
      <c r="YT59" s="1222"/>
      <c r="YU59" s="1222"/>
      <c r="YV59" s="1222"/>
      <c r="YW59" s="1222"/>
      <c r="YX59" s="1222"/>
      <c r="YY59" s="1222"/>
      <c r="YZ59" s="1222"/>
      <c r="ZA59" s="1222"/>
      <c r="ZB59" s="1222"/>
      <c r="ZC59" s="1222"/>
      <c r="ZD59" s="1222"/>
      <c r="ZE59" s="1222"/>
      <c r="ZF59" s="1222"/>
      <c r="ZG59" s="1222"/>
      <c r="ZH59" s="1222"/>
      <c r="ZI59" s="1222"/>
      <c r="ZJ59" s="1222"/>
      <c r="ZK59" s="1222"/>
      <c r="ZL59" s="1222"/>
      <c r="ZM59" s="1222"/>
      <c r="ZN59" s="1222"/>
      <c r="ZO59" s="1222"/>
      <c r="ZP59" s="1222"/>
      <c r="ZQ59" s="1222"/>
      <c r="ZR59" s="1222"/>
      <c r="ZS59" s="1222"/>
      <c r="ZT59" s="1222"/>
      <c r="ZU59" s="1222"/>
      <c r="ZV59" s="1222"/>
      <c r="ZW59" s="1222"/>
      <c r="ZX59" s="1222"/>
      <c r="ZY59" s="1222"/>
      <c r="ZZ59" s="1222"/>
      <c r="AAA59" s="1222"/>
      <c r="AAB59" s="1222"/>
      <c r="AAC59" s="1222"/>
      <c r="AAD59" s="1222"/>
      <c r="AAE59" s="1222"/>
      <c r="AAF59" s="1222"/>
      <c r="AAG59" s="1222"/>
      <c r="AAH59" s="1222"/>
      <c r="AAI59" s="1222"/>
      <c r="AAJ59" s="1222"/>
      <c r="AAK59" s="1222"/>
      <c r="AAL59" s="1222"/>
      <c r="AAM59" s="1222"/>
      <c r="AAN59" s="1222"/>
      <c r="AAO59" s="1222"/>
      <c r="AAP59" s="1222"/>
      <c r="AAQ59" s="1222"/>
      <c r="AAR59" s="1222"/>
      <c r="AAS59" s="1222"/>
      <c r="AAT59" s="1222"/>
      <c r="AAU59" s="1222"/>
      <c r="AAV59" s="1222"/>
      <c r="AAW59" s="1222"/>
      <c r="AAX59" s="1222"/>
      <c r="AAY59" s="1222"/>
      <c r="AAZ59" s="1222"/>
      <c r="ABA59" s="1222"/>
      <c r="ABB59" s="1222"/>
      <c r="ABC59" s="1222"/>
      <c r="ABD59" s="1222"/>
      <c r="ABE59" s="1222"/>
      <c r="ABF59" s="1222"/>
      <c r="ABG59" s="1222"/>
      <c r="ABH59" s="1222"/>
      <c r="ABI59" s="1222"/>
      <c r="ABJ59" s="1222"/>
      <c r="ABK59" s="1222"/>
      <c r="ABL59" s="1222"/>
      <c r="ABM59" s="1222"/>
      <c r="ABN59" s="1222"/>
      <c r="ABO59" s="1222"/>
      <c r="ABP59" s="1222"/>
      <c r="ABQ59" s="1222"/>
      <c r="ABR59" s="1222"/>
      <c r="ABS59" s="1222"/>
      <c r="ABT59" s="1222"/>
      <c r="ABU59" s="1222"/>
      <c r="ABV59" s="1222"/>
      <c r="ABW59" s="1222"/>
      <c r="ABX59" s="1222"/>
      <c r="ABY59" s="1222"/>
      <c r="ABZ59" s="1222"/>
      <c r="ACA59" s="1222"/>
      <c r="ACB59" s="1222"/>
      <c r="ACC59" s="1222"/>
      <c r="ACD59" s="1222"/>
      <c r="ACE59" s="1222"/>
      <c r="ACF59" s="1222"/>
      <c r="ACG59" s="1222"/>
      <c r="ACH59" s="1222"/>
      <c r="ACI59" s="1222"/>
      <c r="ACJ59" s="1222"/>
      <c r="ACK59" s="1222"/>
      <c r="ACL59" s="1222"/>
      <c r="ACM59" s="1222"/>
      <c r="ACN59" s="1222"/>
      <c r="ACO59" s="1222"/>
      <c r="ACP59" s="1222"/>
      <c r="ACQ59" s="1222"/>
      <c r="ACR59" s="1222"/>
      <c r="ACS59" s="1222"/>
      <c r="ACT59" s="1222"/>
      <c r="ACU59" s="1222"/>
      <c r="ACV59" s="1222"/>
      <c r="ACW59" s="1222"/>
      <c r="ACX59" s="1222"/>
      <c r="ACY59" s="1222"/>
      <c r="ACZ59" s="1222"/>
      <c r="ADA59" s="1222"/>
      <c r="ADB59" s="1222"/>
      <c r="ADC59" s="1222"/>
      <c r="ADD59" s="1222"/>
      <c r="ADE59" s="1222"/>
      <c r="ADF59" s="1222"/>
      <c r="ADG59" s="1222"/>
      <c r="ADH59" s="1222"/>
      <c r="ADI59" s="1222"/>
      <c r="ADJ59" s="1222"/>
      <c r="ADK59" s="1222"/>
      <c r="ADL59" s="1222"/>
      <c r="ADM59" s="1222"/>
      <c r="ADN59" s="1222"/>
      <c r="ADO59" s="1222"/>
      <c r="ADP59" s="1222"/>
      <c r="ADQ59" s="1222"/>
      <c r="ADR59" s="1222"/>
      <c r="ADS59" s="1222"/>
      <c r="ADT59" s="1222"/>
      <c r="ADU59" s="1222"/>
      <c r="ADV59" s="1222"/>
      <c r="ADW59" s="1222"/>
      <c r="ADX59" s="1222"/>
      <c r="ADY59" s="1222"/>
      <c r="ADZ59" s="1222"/>
      <c r="AEA59" s="1222"/>
      <c r="AEB59" s="1222"/>
      <c r="AEC59" s="1222"/>
      <c r="AED59" s="1222"/>
      <c r="AEE59" s="1222"/>
      <c r="AEF59" s="1222"/>
      <c r="AEG59" s="1222"/>
      <c r="AEH59" s="1222"/>
      <c r="AEI59" s="1222"/>
      <c r="AEJ59" s="1222"/>
      <c r="AEK59" s="1222"/>
      <c r="AEL59" s="1222"/>
      <c r="AEM59" s="1222"/>
      <c r="AEN59" s="1222"/>
      <c r="AEO59" s="1222"/>
      <c r="AEP59" s="1222"/>
      <c r="AEQ59" s="1222"/>
      <c r="AER59" s="1222"/>
      <c r="AES59" s="1222"/>
      <c r="AET59" s="1222"/>
      <c r="AEU59" s="1222"/>
      <c r="AEV59" s="1222"/>
      <c r="AEW59" s="1222"/>
      <c r="AEX59" s="1222"/>
      <c r="AEY59" s="1222"/>
      <c r="AEZ59" s="1222"/>
      <c r="AFA59" s="1222"/>
      <c r="AFB59" s="1222"/>
      <c r="AFC59" s="1222"/>
      <c r="AFD59" s="1222"/>
      <c r="AFE59" s="1222"/>
      <c r="AFF59" s="1222"/>
      <c r="AFG59" s="1222"/>
      <c r="AFH59" s="1222"/>
      <c r="AFI59" s="1222"/>
      <c r="AFJ59" s="1222"/>
      <c r="AFK59" s="1222"/>
      <c r="AFL59" s="1222"/>
      <c r="AFM59" s="1222"/>
      <c r="AFN59" s="1222"/>
      <c r="AFO59" s="1222"/>
      <c r="AFP59" s="1222"/>
      <c r="AFQ59" s="1222"/>
      <c r="AFR59" s="1222"/>
      <c r="AFS59" s="1222"/>
      <c r="AFT59" s="1222"/>
      <c r="AFU59" s="1222"/>
      <c r="AFV59" s="1222"/>
      <c r="AFW59" s="1222"/>
      <c r="AFX59" s="1222"/>
      <c r="AFY59" s="1222"/>
      <c r="AFZ59" s="1222"/>
      <c r="AGA59" s="1222"/>
      <c r="AGB59" s="1222"/>
      <c r="AGC59" s="1222"/>
      <c r="AGD59" s="1222"/>
      <c r="AGE59" s="1222"/>
      <c r="AGF59" s="1222"/>
      <c r="AGG59" s="1222"/>
      <c r="AGH59" s="1222"/>
      <c r="AGI59" s="1222"/>
      <c r="AGJ59" s="1222"/>
      <c r="AGK59" s="1222"/>
      <c r="AGL59" s="1222"/>
      <c r="AGM59" s="1222"/>
      <c r="AGN59" s="1222"/>
      <c r="AGO59" s="1222"/>
      <c r="AGP59" s="1222"/>
      <c r="AGQ59" s="1222"/>
      <c r="AGR59" s="1222"/>
      <c r="AGS59" s="1222"/>
      <c r="AGT59" s="1222"/>
      <c r="AGU59" s="1222"/>
      <c r="AGV59" s="1222"/>
      <c r="AGW59" s="1222"/>
      <c r="AGX59" s="1222"/>
      <c r="AGY59" s="1222"/>
      <c r="AGZ59" s="1222"/>
      <c r="AHA59" s="1222"/>
      <c r="AHB59" s="1222"/>
      <c r="AHC59" s="1222"/>
      <c r="AHD59" s="1222"/>
      <c r="AHE59" s="1222"/>
      <c r="AHF59" s="1222"/>
      <c r="AHG59" s="1222"/>
      <c r="AHH59" s="1222"/>
      <c r="AHI59" s="1222"/>
      <c r="AHJ59" s="1222"/>
      <c r="AHK59" s="1222"/>
      <c r="AHL59" s="1222"/>
      <c r="AHM59" s="1222"/>
      <c r="AHN59" s="1222"/>
      <c r="AHO59" s="1222"/>
      <c r="AHP59" s="1222"/>
      <c r="AHQ59" s="1222"/>
      <c r="AHR59" s="1222"/>
      <c r="AHS59" s="1222"/>
      <c r="AHT59" s="1222"/>
      <c r="AHU59" s="1222"/>
      <c r="AHV59" s="1222"/>
      <c r="AHW59" s="1222"/>
      <c r="AHX59" s="1222"/>
      <c r="AHY59" s="1222"/>
      <c r="AHZ59" s="1222"/>
      <c r="AIA59" s="1222"/>
      <c r="AIB59" s="1222"/>
      <c r="AIC59" s="1222"/>
      <c r="AID59" s="1222"/>
      <c r="AIE59" s="1222"/>
      <c r="AIF59" s="1222"/>
      <c r="AIG59" s="1222"/>
      <c r="AIH59" s="1222"/>
      <c r="AII59" s="1222"/>
      <c r="AIJ59" s="1222"/>
      <c r="AIK59" s="1222"/>
      <c r="AIL59" s="1222"/>
      <c r="AIM59" s="1222"/>
      <c r="AIN59" s="1222"/>
      <c r="AIO59" s="1222"/>
      <c r="AIP59" s="1222"/>
      <c r="AIQ59" s="1222"/>
      <c r="AIR59" s="1222"/>
      <c r="AIS59" s="1222"/>
      <c r="AIT59" s="1222"/>
      <c r="AIU59" s="1222"/>
      <c r="AIV59" s="1222"/>
      <c r="AIW59" s="1222"/>
      <c r="AIX59" s="1222"/>
      <c r="AIY59" s="1222"/>
      <c r="AIZ59" s="1222"/>
      <c r="AJA59" s="1222"/>
      <c r="AJB59" s="1222"/>
      <c r="AJC59" s="1222"/>
      <c r="AJD59" s="1222"/>
      <c r="AJE59" s="1222"/>
      <c r="AJF59" s="1222"/>
      <c r="AJG59" s="1222"/>
      <c r="AJH59" s="1222"/>
      <c r="AJI59" s="1222"/>
      <c r="AJJ59" s="1222"/>
      <c r="AJK59" s="1222"/>
      <c r="AJL59" s="1222"/>
      <c r="AJM59" s="1222"/>
      <c r="AJN59" s="1222"/>
      <c r="AJO59" s="1222"/>
      <c r="AJP59" s="1222"/>
      <c r="AJQ59" s="1222"/>
      <c r="AJR59" s="1222"/>
      <c r="AJS59" s="1222"/>
      <c r="AJT59" s="1222"/>
      <c r="AJU59" s="1222"/>
      <c r="AJV59" s="1222"/>
      <c r="AJW59" s="1222"/>
      <c r="AJX59" s="1222"/>
      <c r="AJY59" s="1222"/>
      <c r="AJZ59" s="1222"/>
      <c r="AKA59" s="1222"/>
      <c r="AKB59" s="1222"/>
      <c r="AKC59" s="1222"/>
      <c r="AKD59" s="1222"/>
      <c r="AKE59" s="1222"/>
      <c r="AKF59" s="1222"/>
      <c r="AKG59" s="1222"/>
      <c r="AKH59" s="1222"/>
      <c r="AKI59" s="1222"/>
      <c r="AKJ59" s="1222"/>
      <c r="AKK59" s="1222"/>
      <c r="AKL59" s="1222"/>
      <c r="AKM59" s="1222"/>
      <c r="AKN59" s="1222"/>
      <c r="AKO59" s="1222"/>
      <c r="AKP59" s="1222"/>
      <c r="AKQ59" s="1222"/>
      <c r="AKR59" s="1222"/>
      <c r="AKS59" s="1222"/>
      <c r="AKT59" s="1222"/>
      <c r="AKU59" s="1222"/>
      <c r="AKV59" s="1222"/>
      <c r="AKW59" s="1222"/>
      <c r="AKX59" s="1222"/>
      <c r="AKY59" s="1222"/>
      <c r="AKZ59" s="1222"/>
      <c r="ALA59" s="1222"/>
      <c r="ALB59" s="1222"/>
      <c r="ALC59" s="1222"/>
      <c r="ALD59" s="1222"/>
      <c r="ALE59" s="1222"/>
      <c r="ALF59" s="1222"/>
      <c r="ALG59" s="1222"/>
      <c r="ALH59" s="1222"/>
      <c r="ALI59" s="1222"/>
      <c r="ALJ59" s="1222"/>
      <c r="ALK59" s="1222"/>
      <c r="ALL59" s="1222"/>
      <c r="ALM59" s="1222"/>
      <c r="ALN59" s="1222"/>
      <c r="ALO59" s="1222"/>
      <c r="ALP59" s="1222"/>
      <c r="ALQ59" s="1222"/>
      <c r="ALR59" s="1222"/>
      <c r="ALS59" s="1222"/>
      <c r="ALT59" s="1222"/>
      <c r="ALU59" s="1222"/>
      <c r="ALV59" s="1222"/>
      <c r="ALW59" s="1222"/>
      <c r="ALX59" s="1222"/>
      <c r="ALY59" s="1222"/>
      <c r="ALZ59" s="1222"/>
      <c r="AMA59" s="1222"/>
      <c r="AMB59" s="1222"/>
      <c r="AMC59" s="1222"/>
      <c r="AMD59" s="1222"/>
      <c r="AME59" s="1222"/>
      <c r="AMF59" s="1222"/>
      <c r="AMG59" s="1222"/>
      <c r="AMH59" s="1222"/>
      <c r="AMI59" s="1222"/>
      <c r="AMJ59" s="1222"/>
      <c r="AMK59" s="1222"/>
      <c r="AML59" s="1222"/>
      <c r="AMM59" s="1222"/>
      <c r="AMN59" s="1222"/>
      <c r="AMO59" s="1222"/>
      <c r="AMP59" s="1222"/>
      <c r="AMQ59" s="1222"/>
      <c r="AMR59" s="1222"/>
      <c r="AMS59" s="1222"/>
      <c r="AMT59" s="1222"/>
      <c r="AMU59" s="1222"/>
      <c r="AMV59" s="1222"/>
      <c r="AMW59" s="1222"/>
      <c r="AMX59" s="1222"/>
      <c r="AMY59" s="1222"/>
      <c r="AMZ59" s="1222"/>
      <c r="ANA59" s="1222"/>
      <c r="ANB59" s="1222"/>
      <c r="ANC59" s="1222"/>
      <c r="AND59" s="1222"/>
      <c r="ANE59" s="1222"/>
      <c r="ANF59" s="1222"/>
      <c r="ANG59" s="1222"/>
      <c r="ANH59" s="1222"/>
      <c r="ANI59" s="1222"/>
      <c r="ANJ59" s="1222"/>
      <c r="ANK59" s="1222"/>
      <c r="ANL59" s="1222"/>
      <c r="ANM59" s="1222"/>
      <c r="ANN59" s="1222"/>
      <c r="ANO59" s="1222"/>
      <c r="ANP59" s="1222"/>
      <c r="ANQ59" s="1222"/>
      <c r="ANR59" s="1222"/>
      <c r="ANS59" s="1222"/>
      <c r="ANT59" s="1222"/>
      <c r="ANU59" s="1222"/>
      <c r="ANV59" s="1222"/>
      <c r="ANW59" s="1222"/>
      <c r="ANX59" s="1222"/>
      <c r="ANY59" s="1222"/>
      <c r="ANZ59" s="1222"/>
      <c r="AOA59" s="1222"/>
      <c r="AOB59" s="1222"/>
      <c r="AOC59" s="1222"/>
      <c r="AOD59" s="1222"/>
      <c r="AOE59" s="1222"/>
      <c r="AOF59" s="1222"/>
      <c r="AOG59" s="1222"/>
      <c r="AOH59" s="1222"/>
      <c r="AOI59" s="1222"/>
      <c r="AOJ59" s="1222"/>
      <c r="AOK59" s="1222"/>
      <c r="AOL59" s="1222"/>
      <c r="AOM59" s="1222"/>
      <c r="AON59" s="1222"/>
      <c r="AOO59" s="1222"/>
      <c r="AOP59" s="1222"/>
      <c r="AOQ59" s="1222"/>
      <c r="AOR59" s="1222"/>
      <c r="AOS59" s="1222"/>
      <c r="AOT59" s="1222"/>
      <c r="AOU59" s="1222"/>
      <c r="AOV59" s="1222"/>
      <c r="AOW59" s="1222"/>
      <c r="AOX59" s="1222"/>
      <c r="AOY59" s="1222"/>
      <c r="AOZ59" s="1222"/>
      <c r="APA59" s="1222"/>
      <c r="APB59" s="1222"/>
      <c r="APC59" s="1222"/>
      <c r="APD59" s="1222"/>
      <c r="APE59" s="1222"/>
      <c r="APF59" s="1222"/>
      <c r="APG59" s="1222"/>
      <c r="APH59" s="1222"/>
      <c r="API59" s="1222"/>
      <c r="APJ59" s="1222"/>
      <c r="APK59" s="1222"/>
      <c r="APL59" s="1222"/>
      <c r="APM59" s="1222"/>
      <c r="APN59" s="1222"/>
      <c r="APO59" s="1222"/>
      <c r="APP59" s="1222"/>
      <c r="APQ59" s="1222"/>
      <c r="APR59" s="1222"/>
      <c r="APS59" s="1222"/>
      <c r="APT59" s="1222"/>
      <c r="APU59" s="1222"/>
      <c r="APV59" s="1222"/>
      <c r="APW59" s="1222"/>
      <c r="APX59" s="1222"/>
      <c r="APY59" s="1222"/>
      <c r="APZ59" s="1222"/>
      <c r="AQA59" s="1222"/>
      <c r="AQB59" s="1222"/>
      <c r="AQC59" s="1222"/>
      <c r="AQD59" s="1222"/>
      <c r="AQE59" s="1222"/>
      <c r="AQF59" s="1222"/>
      <c r="AQG59" s="1222"/>
      <c r="AQH59" s="1222"/>
      <c r="AQI59" s="1222"/>
      <c r="AQJ59" s="1222"/>
      <c r="AQK59" s="1222"/>
      <c r="AQL59" s="1222"/>
      <c r="AQM59" s="1222"/>
      <c r="AQN59" s="1222"/>
      <c r="AQO59" s="1222"/>
      <c r="AQP59" s="1222"/>
      <c r="AQQ59" s="1222"/>
      <c r="AQR59" s="1222"/>
      <c r="AQS59" s="1222"/>
      <c r="AQT59" s="1222"/>
      <c r="AQU59" s="1222"/>
      <c r="AQV59" s="1222"/>
      <c r="AQW59" s="1222"/>
      <c r="AQX59" s="1222"/>
      <c r="AQY59" s="1222"/>
      <c r="AQZ59" s="1222"/>
      <c r="ARA59" s="1222"/>
      <c r="ARB59" s="1222"/>
      <c r="ARC59" s="1222"/>
      <c r="ARD59" s="1222"/>
      <c r="ARE59" s="1222"/>
      <c r="ARF59" s="1222"/>
      <c r="ARG59" s="1222"/>
      <c r="ARH59" s="1222"/>
      <c r="ARI59" s="1222"/>
      <c r="ARJ59" s="1222"/>
      <c r="ARK59" s="1222"/>
      <c r="ARL59" s="1222"/>
      <c r="ARM59" s="1222"/>
      <c r="ARN59" s="1222"/>
      <c r="ARO59" s="1222"/>
      <c r="ARP59" s="1222"/>
      <c r="ARQ59" s="1222"/>
      <c r="ARR59" s="1222"/>
      <c r="ARS59" s="1222"/>
      <c r="ART59" s="1222"/>
      <c r="ARU59" s="1222"/>
      <c r="ARV59" s="1222"/>
      <c r="ARW59" s="1222"/>
      <c r="ARX59" s="1222"/>
      <c r="ARY59" s="1222"/>
      <c r="ARZ59" s="1222"/>
      <c r="ASA59" s="1222"/>
      <c r="ASB59" s="1222"/>
      <c r="ASC59" s="1222"/>
      <c r="ASD59" s="1222"/>
      <c r="ASE59" s="1222"/>
      <c r="ASF59" s="1222"/>
      <c r="ASG59" s="1222"/>
      <c r="ASH59" s="1222"/>
      <c r="ASI59" s="1222"/>
      <c r="ASJ59" s="1222"/>
      <c r="ASK59" s="1222"/>
      <c r="ASL59" s="1222"/>
      <c r="ASM59" s="1222"/>
      <c r="ASN59" s="1222"/>
      <c r="ASO59" s="1222"/>
      <c r="ASP59" s="1222"/>
      <c r="ASQ59" s="1222"/>
      <c r="ASR59" s="1222"/>
      <c r="ASS59" s="1222"/>
      <c r="AST59" s="1222"/>
      <c r="ASU59" s="1222"/>
      <c r="ASV59" s="1222"/>
      <c r="ASW59" s="1222"/>
      <c r="ASX59" s="1222"/>
      <c r="ASY59" s="1222"/>
      <c r="ASZ59" s="1222"/>
      <c r="ATA59" s="1222"/>
      <c r="ATB59" s="1222"/>
      <c r="ATC59" s="1222"/>
      <c r="ATD59" s="1222"/>
      <c r="ATE59" s="1222"/>
      <c r="ATF59" s="1222"/>
      <c r="ATG59" s="1222"/>
      <c r="ATH59" s="1222"/>
      <c r="ATI59" s="1222"/>
      <c r="ATJ59" s="1222"/>
      <c r="ATK59" s="1222"/>
      <c r="ATL59" s="1222"/>
      <c r="ATM59" s="1222"/>
      <c r="ATN59" s="1222"/>
      <c r="ATO59" s="1222"/>
      <c r="ATP59" s="1222"/>
      <c r="ATQ59" s="1222"/>
      <c r="ATR59" s="1222"/>
      <c r="ATS59" s="1222"/>
      <c r="ATT59" s="1222"/>
      <c r="ATU59" s="1222"/>
      <c r="ATV59" s="1222"/>
      <c r="ATW59" s="1222"/>
      <c r="ATX59" s="1222"/>
      <c r="ATY59" s="1222"/>
      <c r="ATZ59" s="1222"/>
      <c r="AUA59" s="1222"/>
      <c r="AUB59" s="1222"/>
      <c r="AUC59" s="1222"/>
      <c r="AUD59" s="1222"/>
      <c r="AUE59" s="1222"/>
      <c r="AUF59" s="1222"/>
      <c r="AUG59" s="1222"/>
      <c r="AUH59" s="1222"/>
      <c r="AUI59" s="1222"/>
      <c r="AUJ59" s="1222"/>
      <c r="AUK59" s="1222"/>
      <c r="AUL59" s="1222"/>
      <c r="AUM59" s="1222"/>
      <c r="AUN59" s="1222"/>
      <c r="AUO59" s="1222"/>
      <c r="AUP59" s="1222"/>
      <c r="AUQ59" s="1222"/>
      <c r="AUR59" s="1222"/>
      <c r="AUS59" s="1222"/>
      <c r="AUT59" s="1222"/>
      <c r="AUU59" s="1222"/>
      <c r="AUV59" s="1222"/>
      <c r="AUW59" s="1222"/>
      <c r="AUX59" s="1222"/>
      <c r="AUY59" s="1222"/>
      <c r="AUZ59" s="1222"/>
      <c r="AVA59" s="1222"/>
      <c r="AVB59" s="1222"/>
      <c r="AVC59" s="1222"/>
      <c r="AVD59" s="1222"/>
      <c r="AVE59" s="1222"/>
      <c r="AVF59" s="1222"/>
      <c r="AVG59" s="1222"/>
      <c r="AVH59" s="1222"/>
      <c r="AVI59" s="1222"/>
      <c r="AVJ59" s="1222"/>
      <c r="AVK59" s="1222"/>
      <c r="AVL59" s="1222"/>
      <c r="AVM59" s="1222"/>
      <c r="AVN59" s="1222"/>
      <c r="AVO59" s="1222"/>
      <c r="AVP59" s="1222"/>
      <c r="AVQ59" s="1222"/>
      <c r="AVR59" s="1222"/>
      <c r="AVS59" s="1222"/>
      <c r="AVT59" s="1222"/>
      <c r="AVU59" s="1222"/>
      <c r="AVV59" s="1222"/>
      <c r="AVW59" s="1222"/>
      <c r="AVX59" s="1222"/>
      <c r="AVY59" s="1222"/>
      <c r="AVZ59" s="1222"/>
      <c r="AWA59" s="1222"/>
      <c r="AWB59" s="1222"/>
      <c r="AWC59" s="1222"/>
      <c r="AWD59" s="1222"/>
      <c r="AWE59" s="1222"/>
      <c r="AWF59" s="1222"/>
      <c r="AWG59" s="1222"/>
      <c r="AWH59" s="1222"/>
      <c r="AWI59" s="1222"/>
      <c r="AWJ59" s="1222"/>
      <c r="AWK59" s="1222"/>
      <c r="AWL59" s="1222"/>
      <c r="AWM59" s="1222"/>
      <c r="AWN59" s="1222"/>
      <c r="AWO59" s="1222"/>
      <c r="AWP59" s="1222"/>
      <c r="AWQ59" s="1222"/>
      <c r="AWR59" s="1222"/>
      <c r="AWS59" s="1222"/>
      <c r="AWT59" s="1222"/>
      <c r="AWU59" s="1222"/>
      <c r="AWV59" s="1222"/>
      <c r="AWW59" s="1222"/>
      <c r="AWX59" s="1222"/>
      <c r="AWY59" s="1222"/>
      <c r="AWZ59" s="1222"/>
      <c r="AXA59" s="1222"/>
      <c r="AXB59" s="1222"/>
      <c r="AXC59" s="1222"/>
      <c r="AXD59" s="1222"/>
      <c r="AXE59" s="1222"/>
      <c r="AXF59" s="1222"/>
      <c r="AXG59" s="1222"/>
      <c r="AXH59" s="1222"/>
      <c r="AXI59" s="1222"/>
      <c r="AXJ59" s="1222"/>
      <c r="AXK59" s="1222"/>
      <c r="AXL59" s="1222"/>
      <c r="AXM59" s="1222"/>
      <c r="AXN59" s="1222"/>
      <c r="AXO59" s="1222"/>
      <c r="AXP59" s="1222"/>
      <c r="AXQ59" s="1222"/>
      <c r="AXR59" s="1222"/>
      <c r="AXS59" s="1222"/>
      <c r="AXT59" s="1222"/>
      <c r="AXU59" s="1222"/>
      <c r="AXV59" s="1222"/>
      <c r="AXW59" s="1222"/>
      <c r="AXX59" s="1222"/>
      <c r="AXY59" s="1222"/>
      <c r="AXZ59" s="1222"/>
      <c r="AYA59" s="1222"/>
      <c r="AYB59" s="1222"/>
      <c r="AYC59" s="1222"/>
      <c r="AYD59" s="1222"/>
      <c r="AYE59" s="1222"/>
      <c r="AYF59" s="1222"/>
      <c r="AYG59" s="1222"/>
      <c r="AYH59" s="1222"/>
      <c r="AYI59" s="1222"/>
      <c r="AYJ59" s="1222"/>
      <c r="AYK59" s="1222"/>
      <c r="AYL59" s="1222"/>
      <c r="AYM59" s="1222"/>
      <c r="AYN59" s="1222"/>
      <c r="AYO59" s="1222"/>
      <c r="AYP59" s="1222"/>
      <c r="AYQ59" s="1222"/>
      <c r="AYR59" s="1222"/>
      <c r="AYS59" s="1222"/>
      <c r="AYT59" s="1222"/>
      <c r="AYU59" s="1222"/>
      <c r="AYV59" s="1222"/>
      <c r="AYW59" s="1222"/>
      <c r="AYX59" s="1222"/>
      <c r="AYY59" s="1222"/>
      <c r="AYZ59" s="1222"/>
      <c r="AZA59" s="1222"/>
      <c r="AZB59" s="1222"/>
      <c r="AZC59" s="1222"/>
      <c r="AZD59" s="1222"/>
      <c r="AZE59" s="1222"/>
      <c r="AZF59" s="1222"/>
      <c r="AZG59" s="1222"/>
      <c r="AZH59" s="1222"/>
      <c r="AZI59" s="1222"/>
      <c r="AZJ59" s="1222"/>
      <c r="AZK59" s="1222"/>
      <c r="AZL59" s="1222"/>
      <c r="AZM59" s="1222"/>
      <c r="AZN59" s="1222"/>
      <c r="AZO59" s="1222"/>
      <c r="AZP59" s="1222"/>
      <c r="AZQ59" s="1222"/>
      <c r="AZR59" s="1222"/>
      <c r="AZS59" s="1222"/>
      <c r="AZT59" s="1222"/>
      <c r="AZU59" s="1222"/>
      <c r="AZV59" s="1222"/>
      <c r="AZW59" s="1222"/>
      <c r="AZX59" s="1222"/>
      <c r="AZY59" s="1222"/>
      <c r="AZZ59" s="1222"/>
      <c r="BAA59" s="1222"/>
      <c r="BAB59" s="1222"/>
      <c r="BAC59" s="1222"/>
      <c r="BAD59" s="1222"/>
      <c r="BAE59" s="1222"/>
      <c r="BAF59" s="1222"/>
      <c r="BAG59" s="1222"/>
      <c r="BAH59" s="1222"/>
      <c r="BAI59" s="1222"/>
      <c r="BAJ59" s="1222"/>
      <c r="BAK59" s="1222"/>
      <c r="BAL59" s="1222"/>
      <c r="BAM59" s="1222"/>
      <c r="BAN59" s="1222"/>
      <c r="BAO59" s="1222"/>
      <c r="BAP59" s="1222"/>
      <c r="BAQ59" s="1222"/>
      <c r="BAR59" s="1222"/>
      <c r="BAS59" s="1222"/>
      <c r="BAT59" s="1222"/>
      <c r="BAU59" s="1222"/>
      <c r="BAV59" s="1222"/>
      <c r="BAW59" s="1222"/>
      <c r="BAX59" s="1222"/>
      <c r="BAY59" s="1222"/>
      <c r="BAZ59" s="1222"/>
      <c r="BBA59" s="1222"/>
      <c r="BBB59" s="1222"/>
      <c r="BBC59" s="1222"/>
      <c r="BBD59" s="1222"/>
      <c r="BBE59" s="1222"/>
      <c r="BBF59" s="1222"/>
      <c r="BBG59" s="1222"/>
      <c r="BBH59" s="1222"/>
      <c r="BBI59" s="1222"/>
      <c r="BBJ59" s="1222"/>
      <c r="BBK59" s="1222"/>
      <c r="BBL59" s="1222"/>
      <c r="BBM59" s="1222"/>
      <c r="BBN59" s="1222"/>
      <c r="BBO59" s="1222"/>
      <c r="BBP59" s="1222"/>
      <c r="BBQ59" s="1222"/>
      <c r="BBR59" s="1222"/>
      <c r="BBS59" s="1222"/>
      <c r="BBT59" s="1222"/>
      <c r="BBU59" s="1222"/>
      <c r="BBV59" s="1222"/>
      <c r="BBW59" s="1222"/>
      <c r="BBX59" s="1222"/>
      <c r="BBY59" s="1222"/>
      <c r="BBZ59" s="1222"/>
      <c r="BCA59" s="1222"/>
      <c r="BCB59" s="1222"/>
      <c r="BCC59" s="1222"/>
      <c r="BCD59" s="1222"/>
      <c r="BCE59" s="1222"/>
      <c r="BCF59" s="1222"/>
      <c r="BCG59" s="1222"/>
      <c r="BCH59" s="1222"/>
      <c r="BCI59" s="1222"/>
      <c r="BCJ59" s="1222"/>
      <c r="BCK59" s="1222"/>
      <c r="BCL59" s="1222"/>
      <c r="BCM59" s="1222"/>
      <c r="BCN59" s="1222"/>
      <c r="BCO59" s="1222"/>
      <c r="BCP59" s="1222"/>
      <c r="BCQ59" s="1222"/>
      <c r="BCR59" s="1222"/>
      <c r="BCS59" s="1222"/>
      <c r="BCT59" s="1222"/>
      <c r="BCU59" s="1222"/>
      <c r="BCV59" s="1222"/>
      <c r="BCW59" s="1222"/>
      <c r="BCX59" s="1222"/>
      <c r="BCY59" s="1222"/>
      <c r="BCZ59" s="1222"/>
      <c r="BDA59" s="1222"/>
      <c r="BDB59" s="1222"/>
      <c r="BDC59" s="1222"/>
      <c r="BDD59" s="1222"/>
      <c r="BDE59" s="1222"/>
      <c r="BDF59" s="1222"/>
      <c r="BDG59" s="1222"/>
      <c r="BDH59" s="1222"/>
      <c r="BDI59" s="1222"/>
      <c r="BDJ59" s="1222"/>
      <c r="BDK59" s="1222"/>
      <c r="BDL59" s="1222"/>
      <c r="BDM59" s="1222"/>
      <c r="BDN59" s="1222"/>
      <c r="BDO59" s="1222"/>
      <c r="BDP59" s="1222"/>
      <c r="BDQ59" s="1222"/>
      <c r="BDR59" s="1222"/>
      <c r="BDS59" s="1222"/>
      <c r="BDT59" s="1222"/>
      <c r="BDU59" s="1222"/>
      <c r="BDV59" s="1222"/>
      <c r="BDW59" s="1222"/>
      <c r="BDX59" s="1222"/>
      <c r="BDY59" s="1222"/>
      <c r="BDZ59" s="1222"/>
      <c r="BEA59" s="1222"/>
      <c r="BEB59" s="1222"/>
      <c r="BEC59" s="1222"/>
      <c r="BED59" s="1222"/>
      <c r="BEE59" s="1222"/>
      <c r="BEF59" s="1222"/>
      <c r="BEG59" s="1222"/>
      <c r="BEH59" s="1222"/>
      <c r="BEI59" s="1222"/>
      <c r="BEJ59" s="1222"/>
      <c r="BEK59" s="1222"/>
      <c r="BEL59" s="1222"/>
      <c r="BEM59" s="1222"/>
      <c r="BEN59" s="1222"/>
      <c r="BEO59" s="1222"/>
      <c r="BEP59" s="1222"/>
      <c r="BEQ59" s="1222"/>
      <c r="BER59" s="1222"/>
      <c r="BES59" s="1222"/>
      <c r="BET59" s="1222"/>
      <c r="BEU59" s="1222"/>
      <c r="BEV59" s="1222"/>
      <c r="BEW59" s="1222"/>
      <c r="BEX59" s="1222"/>
      <c r="BEY59" s="1222"/>
      <c r="BEZ59" s="1222"/>
      <c r="BFA59" s="1222"/>
      <c r="BFB59" s="1222"/>
      <c r="BFC59" s="1222"/>
      <c r="BFD59" s="1222"/>
      <c r="BFE59" s="1222"/>
      <c r="BFF59" s="1222"/>
      <c r="BFG59" s="1222"/>
      <c r="BFH59" s="1222"/>
      <c r="BFI59" s="1222"/>
      <c r="BFJ59" s="1222"/>
      <c r="BFK59" s="1222"/>
      <c r="BFL59" s="1222"/>
      <c r="BFM59" s="1222"/>
      <c r="BFN59" s="1222"/>
      <c r="BFO59" s="1222"/>
      <c r="BFP59" s="1222"/>
      <c r="BFQ59" s="1222"/>
      <c r="BFR59" s="1222"/>
      <c r="BFS59" s="1222"/>
      <c r="BFT59" s="1222"/>
      <c r="BFU59" s="1222"/>
      <c r="BFV59" s="1222"/>
      <c r="BFW59" s="1222"/>
      <c r="BFX59" s="1222"/>
      <c r="BFY59" s="1222"/>
      <c r="BFZ59" s="1222"/>
      <c r="BGA59" s="1222"/>
      <c r="BGB59" s="1222"/>
      <c r="BGC59" s="1222"/>
      <c r="BGD59" s="1222"/>
      <c r="BGE59" s="1222"/>
      <c r="BGF59" s="1222"/>
      <c r="BGG59" s="1222"/>
      <c r="BGH59" s="1222"/>
      <c r="BGI59" s="1222"/>
      <c r="BGJ59" s="1222"/>
      <c r="BGK59" s="1222"/>
      <c r="BGL59" s="1222"/>
      <c r="BGM59" s="1222"/>
      <c r="BGN59" s="1222"/>
      <c r="BGO59" s="1222"/>
      <c r="BGP59" s="1222"/>
      <c r="BGQ59" s="1222"/>
      <c r="BGR59" s="1222"/>
      <c r="BGS59" s="1222"/>
      <c r="BGT59" s="1222"/>
      <c r="BGU59" s="1222"/>
      <c r="BGV59" s="1222"/>
      <c r="BGW59" s="1222"/>
      <c r="BGX59" s="1222"/>
      <c r="BGY59" s="1222"/>
      <c r="BGZ59" s="1222"/>
      <c r="BHA59" s="1222"/>
      <c r="BHB59" s="1222"/>
      <c r="BHC59" s="1222"/>
      <c r="BHD59" s="1222"/>
      <c r="BHE59" s="1222"/>
      <c r="BHF59" s="1222"/>
      <c r="BHG59" s="1222"/>
      <c r="BHH59" s="1222"/>
      <c r="BHI59" s="1222"/>
      <c r="BHJ59" s="1222"/>
      <c r="BHK59" s="1222"/>
      <c r="BHL59" s="1222"/>
      <c r="BHM59" s="1222"/>
      <c r="BHN59" s="1222"/>
      <c r="BHO59" s="1222"/>
      <c r="BHP59" s="1222"/>
      <c r="BHQ59" s="1222"/>
      <c r="BHR59" s="1222"/>
      <c r="BHS59" s="1222"/>
      <c r="BHT59" s="1222"/>
      <c r="BHU59" s="1222"/>
      <c r="BHV59" s="1222"/>
      <c r="BHW59" s="1222"/>
      <c r="BHX59" s="1222"/>
      <c r="BHY59" s="1222"/>
      <c r="BHZ59" s="1222"/>
      <c r="BIA59" s="1222"/>
      <c r="BIB59" s="1222"/>
      <c r="BIC59" s="1222"/>
      <c r="BID59" s="1222"/>
      <c r="BIE59" s="1222"/>
      <c r="BIF59" s="1222"/>
      <c r="BIG59" s="1222"/>
      <c r="BIH59" s="1222"/>
      <c r="BII59" s="1222"/>
      <c r="BIJ59" s="1222"/>
      <c r="BIK59" s="1222"/>
      <c r="BIL59" s="1222"/>
      <c r="BIM59" s="1222"/>
      <c r="BIN59" s="1222"/>
      <c r="BIO59" s="1222"/>
      <c r="BIP59" s="1222"/>
      <c r="BIQ59" s="1222"/>
      <c r="BIR59" s="1222"/>
      <c r="BIS59" s="1222"/>
      <c r="BIT59" s="1222"/>
      <c r="BIU59" s="1222"/>
      <c r="BIV59" s="1222"/>
      <c r="BIW59" s="1222"/>
      <c r="BIX59" s="1222"/>
      <c r="BIY59" s="1222"/>
      <c r="BIZ59" s="1222"/>
      <c r="BJA59" s="1222"/>
      <c r="BJB59" s="1222"/>
      <c r="BJC59" s="1222"/>
      <c r="BJD59" s="1222"/>
      <c r="BJE59" s="1222"/>
      <c r="BJF59" s="1222"/>
      <c r="BJG59" s="1222"/>
      <c r="BJH59" s="1222"/>
      <c r="BJI59" s="1222"/>
      <c r="BJJ59" s="1222"/>
      <c r="BJK59" s="1222"/>
      <c r="BJL59" s="1222"/>
      <c r="BJM59" s="1222"/>
      <c r="BJN59" s="1222"/>
      <c r="BJO59" s="1222"/>
      <c r="BJP59" s="1222"/>
      <c r="BJQ59" s="1222"/>
      <c r="BJR59" s="1222"/>
      <c r="BJS59" s="1222"/>
      <c r="BJT59" s="1222"/>
      <c r="BJU59" s="1222"/>
      <c r="BJV59" s="1222"/>
      <c r="BJW59" s="1222"/>
      <c r="BJX59" s="1222"/>
      <c r="BJY59" s="1222"/>
      <c r="BJZ59" s="1222"/>
      <c r="BKA59" s="1222"/>
      <c r="BKB59" s="1222"/>
      <c r="BKC59" s="1222"/>
      <c r="BKD59" s="1222"/>
      <c r="BKE59" s="1222"/>
      <c r="BKF59" s="1222"/>
      <c r="BKG59" s="1222"/>
      <c r="BKH59" s="1222"/>
      <c r="BKI59" s="1222"/>
      <c r="BKJ59" s="1222"/>
      <c r="BKK59" s="1222"/>
      <c r="BKL59" s="1222"/>
      <c r="BKM59" s="1222"/>
      <c r="BKN59" s="1222"/>
      <c r="BKO59" s="1222"/>
      <c r="BKP59" s="1222"/>
      <c r="BKQ59" s="1222"/>
      <c r="BKR59" s="1222"/>
      <c r="BKS59" s="1222"/>
      <c r="BKT59" s="1222"/>
      <c r="BKU59" s="1222"/>
      <c r="BKV59" s="1222"/>
      <c r="BKW59" s="1222"/>
      <c r="BKX59" s="1222"/>
      <c r="BKY59" s="1222"/>
      <c r="BKZ59" s="1222"/>
      <c r="BLA59" s="1222"/>
      <c r="BLB59" s="1222"/>
      <c r="BLC59" s="1222"/>
      <c r="BLD59" s="1222"/>
      <c r="BLE59" s="1222"/>
      <c r="BLF59" s="1222"/>
      <c r="BLG59" s="1222"/>
      <c r="BLH59" s="1222"/>
      <c r="BLI59" s="1222"/>
      <c r="BLJ59" s="1222"/>
      <c r="BLK59" s="1222"/>
      <c r="BLL59" s="1222"/>
      <c r="BLM59" s="1222"/>
      <c r="BLN59" s="1222"/>
      <c r="BLO59" s="1222"/>
      <c r="BLP59" s="1222"/>
      <c r="BLQ59" s="1222"/>
      <c r="BLR59" s="1222"/>
      <c r="BLS59" s="1222"/>
      <c r="BLT59" s="1222"/>
      <c r="BLU59" s="1222"/>
      <c r="BLV59" s="1222"/>
      <c r="BLW59" s="1222"/>
      <c r="BLX59" s="1222"/>
      <c r="BLY59" s="1222"/>
      <c r="BLZ59" s="1222"/>
      <c r="BMA59" s="1222"/>
      <c r="BMB59" s="1222"/>
      <c r="BMC59" s="1222"/>
      <c r="BMD59" s="1222"/>
      <c r="BME59" s="1222"/>
      <c r="BMF59" s="1222"/>
      <c r="BMG59" s="1222"/>
      <c r="BMH59" s="1222"/>
      <c r="BMI59" s="1222"/>
      <c r="BMJ59" s="1222"/>
      <c r="BMK59" s="1222"/>
      <c r="BML59" s="1222"/>
      <c r="BMM59" s="1222"/>
      <c r="BMN59" s="1222"/>
      <c r="BMO59" s="1222"/>
      <c r="BMP59" s="1222"/>
      <c r="BMQ59" s="1222"/>
      <c r="BMR59" s="1222"/>
      <c r="BMS59" s="1222"/>
      <c r="BMT59" s="1222"/>
      <c r="BMU59" s="1222"/>
      <c r="BMV59" s="1222"/>
      <c r="BMW59" s="1222"/>
      <c r="BMX59" s="1222"/>
      <c r="BMY59" s="1222"/>
      <c r="BMZ59" s="1222"/>
      <c r="BNA59" s="1222"/>
      <c r="BNB59" s="1222"/>
      <c r="BNC59" s="1222"/>
      <c r="BND59" s="1222"/>
      <c r="BNE59" s="1222"/>
      <c r="BNF59" s="1222"/>
      <c r="BNG59" s="1222"/>
      <c r="BNH59" s="1222"/>
      <c r="BNI59" s="1222"/>
      <c r="BNJ59" s="1222"/>
      <c r="BNK59" s="1222"/>
      <c r="BNL59" s="1222"/>
      <c r="BNM59" s="1222"/>
      <c r="BNN59" s="1222"/>
      <c r="BNO59" s="1222"/>
      <c r="BNP59" s="1222"/>
      <c r="BNQ59" s="1222"/>
      <c r="BNR59" s="1222"/>
      <c r="BNS59" s="1222"/>
      <c r="BNT59" s="1222"/>
      <c r="BNU59" s="1222"/>
      <c r="BNV59" s="1222"/>
      <c r="BNW59" s="1222"/>
      <c r="BNX59" s="1222"/>
      <c r="BNY59" s="1222"/>
      <c r="BNZ59" s="1222"/>
      <c r="BOA59" s="1222"/>
      <c r="BOB59" s="1222"/>
      <c r="BOC59" s="1222"/>
      <c r="BOD59" s="1222"/>
      <c r="BOE59" s="1222"/>
      <c r="BOF59" s="1222"/>
      <c r="BOG59" s="1222"/>
      <c r="BOH59" s="1222"/>
      <c r="BOI59" s="1222"/>
      <c r="BOJ59" s="1222"/>
      <c r="BOK59" s="1222"/>
      <c r="BOL59" s="1222"/>
      <c r="BOM59" s="1222"/>
      <c r="BON59" s="1222"/>
      <c r="BOO59" s="1222"/>
      <c r="BOP59" s="1222"/>
      <c r="BOQ59" s="1222"/>
      <c r="BOR59" s="1222"/>
      <c r="BOS59" s="1222"/>
      <c r="BOT59" s="1222"/>
      <c r="BOU59" s="1222"/>
      <c r="BOV59" s="1222"/>
      <c r="BOW59" s="1222"/>
      <c r="BOX59" s="1222"/>
      <c r="BOY59" s="1222"/>
      <c r="BOZ59" s="1222"/>
      <c r="BPA59" s="1222"/>
      <c r="BPB59" s="1222"/>
      <c r="BPC59" s="1222"/>
      <c r="BPD59" s="1222"/>
      <c r="BPE59" s="1222"/>
      <c r="BPF59" s="1222"/>
      <c r="BPG59" s="1222"/>
      <c r="BPH59" s="1222"/>
      <c r="BPI59" s="1222"/>
      <c r="BPJ59" s="1222"/>
      <c r="BPK59" s="1222"/>
      <c r="BPL59" s="1222"/>
      <c r="BPM59" s="1222"/>
      <c r="BPN59" s="1222"/>
      <c r="BPO59" s="1222"/>
      <c r="BPP59" s="1222"/>
      <c r="BPQ59" s="1222"/>
      <c r="BPR59" s="1222"/>
      <c r="BPS59" s="1222"/>
      <c r="BPT59" s="1222"/>
      <c r="BPU59" s="1222"/>
      <c r="BPV59" s="1222"/>
      <c r="BPW59" s="1222"/>
      <c r="BPX59" s="1222"/>
      <c r="BPY59" s="1222"/>
      <c r="BPZ59" s="1222"/>
      <c r="BQA59" s="1222"/>
      <c r="BQB59" s="1222"/>
      <c r="BQC59" s="1222"/>
      <c r="BQD59" s="1222"/>
      <c r="BQE59" s="1222"/>
      <c r="BQF59" s="1222"/>
      <c r="BQG59" s="1222"/>
      <c r="BQH59" s="1222"/>
      <c r="BQI59" s="1222"/>
      <c r="BQJ59" s="1222"/>
      <c r="BQK59" s="1222"/>
      <c r="BQL59" s="1222"/>
      <c r="BQM59" s="1222"/>
      <c r="BQN59" s="1222"/>
      <c r="BQO59" s="1222"/>
      <c r="BQP59" s="1222"/>
      <c r="BQQ59" s="1222"/>
      <c r="BQR59" s="1222"/>
      <c r="BQS59" s="1222"/>
      <c r="BQT59" s="1222"/>
      <c r="BQU59" s="1222"/>
      <c r="BQV59" s="1222"/>
      <c r="BQW59" s="1222"/>
      <c r="BQX59" s="1222"/>
      <c r="BQY59" s="1222"/>
      <c r="BQZ59" s="1222"/>
      <c r="BRA59" s="1222"/>
      <c r="BRB59" s="1222"/>
      <c r="BRC59" s="1222"/>
      <c r="BRD59" s="1222"/>
      <c r="BRE59" s="1222"/>
      <c r="BRF59" s="1222"/>
      <c r="BRG59" s="1222"/>
      <c r="BRH59" s="1222"/>
      <c r="BRI59" s="1222"/>
      <c r="BRJ59" s="1222"/>
      <c r="BRK59" s="1222"/>
      <c r="BRL59" s="1222"/>
      <c r="BRM59" s="1222"/>
      <c r="BRN59" s="1222"/>
      <c r="BRO59" s="1222"/>
      <c r="BRP59" s="1222"/>
      <c r="BRQ59" s="1222"/>
      <c r="BRR59" s="1222"/>
      <c r="BRS59" s="1222"/>
      <c r="BRT59" s="1222"/>
      <c r="BRU59" s="1222"/>
      <c r="BRV59" s="1222"/>
      <c r="BRW59" s="1222"/>
      <c r="BRX59" s="1222"/>
      <c r="BRY59" s="1222"/>
      <c r="BRZ59" s="1222"/>
      <c r="BSA59" s="1222"/>
      <c r="BSB59" s="1222"/>
      <c r="BSC59" s="1222"/>
      <c r="BSD59" s="1222"/>
      <c r="BSE59" s="1222"/>
      <c r="BSF59" s="1222"/>
      <c r="BSG59" s="1222"/>
      <c r="BSH59" s="1222"/>
      <c r="BSI59" s="1222"/>
      <c r="BSJ59" s="1222"/>
      <c r="BSK59" s="1222"/>
      <c r="BSL59" s="1222"/>
      <c r="BSM59" s="1222"/>
      <c r="BSN59" s="1222"/>
      <c r="BSO59" s="1222"/>
      <c r="BSP59" s="1222"/>
      <c r="BSQ59" s="1222"/>
      <c r="BSR59" s="1222"/>
      <c r="BSS59" s="1222"/>
      <c r="BST59" s="1222"/>
      <c r="BSU59" s="1222"/>
      <c r="BSV59" s="1222"/>
      <c r="BSW59" s="1222"/>
      <c r="BSX59" s="1222"/>
      <c r="BSY59" s="1222"/>
      <c r="BSZ59" s="1222"/>
      <c r="BTA59" s="1222"/>
      <c r="BTB59" s="1222"/>
      <c r="BTC59" s="1222"/>
      <c r="BTD59" s="1222"/>
      <c r="BTE59" s="1222"/>
      <c r="BTF59" s="1222"/>
      <c r="BTG59" s="1222"/>
      <c r="BTH59" s="1222"/>
      <c r="BTI59" s="1222"/>
      <c r="BTJ59" s="1222"/>
      <c r="BTK59" s="1222"/>
      <c r="BTL59" s="1222"/>
      <c r="BTM59" s="1222"/>
      <c r="BTN59" s="1222"/>
      <c r="BTO59" s="1222"/>
      <c r="BTP59" s="1222"/>
      <c r="BTQ59" s="1222"/>
      <c r="BTR59" s="1222"/>
      <c r="BTS59" s="1222"/>
      <c r="BTT59" s="1222"/>
      <c r="BTU59" s="1222"/>
      <c r="BTV59" s="1222"/>
      <c r="BTW59" s="1222"/>
      <c r="BTX59" s="1222"/>
      <c r="BTY59" s="1222"/>
      <c r="BTZ59" s="1222"/>
      <c r="BUA59" s="1222"/>
      <c r="BUB59" s="1222"/>
      <c r="BUC59" s="1222"/>
      <c r="BUD59" s="1222"/>
      <c r="BUE59" s="1222"/>
      <c r="BUF59" s="1222"/>
      <c r="BUG59" s="1222"/>
      <c r="BUH59" s="1222"/>
      <c r="BUI59" s="1222"/>
      <c r="BUJ59" s="1222"/>
      <c r="BUK59" s="1222"/>
      <c r="BUL59" s="1222"/>
      <c r="BUM59" s="1222"/>
      <c r="BUN59" s="1222"/>
      <c r="BUO59" s="1222"/>
      <c r="BUP59" s="1222"/>
      <c r="BUQ59" s="1222"/>
      <c r="BUR59" s="1222"/>
      <c r="BUS59" s="1222"/>
      <c r="BUT59" s="1222"/>
      <c r="BUU59" s="1222"/>
      <c r="BUV59" s="1222"/>
      <c r="BUW59" s="1222"/>
      <c r="BUX59" s="1222"/>
      <c r="BUY59" s="1222"/>
      <c r="BUZ59" s="1222"/>
      <c r="BVA59" s="1222"/>
      <c r="BVB59" s="1222"/>
      <c r="BVC59" s="1222"/>
      <c r="BVD59" s="1222"/>
      <c r="BVE59" s="1222"/>
      <c r="BVF59" s="1222"/>
      <c r="BVG59" s="1222"/>
      <c r="BVH59" s="1222"/>
      <c r="BVI59" s="1222"/>
      <c r="BVJ59" s="1222"/>
      <c r="BVK59" s="1222"/>
      <c r="BVL59" s="1222"/>
      <c r="BVM59" s="1222"/>
      <c r="BVN59" s="1222"/>
      <c r="BVO59" s="1222"/>
      <c r="BVP59" s="1222"/>
      <c r="BVQ59" s="1222"/>
      <c r="BVR59" s="1222"/>
      <c r="BVS59" s="1222"/>
      <c r="BVT59" s="1222"/>
      <c r="BVU59" s="1222"/>
      <c r="BVV59" s="1222"/>
      <c r="BVW59" s="1222"/>
      <c r="BVX59" s="1222"/>
      <c r="BVY59" s="1222"/>
      <c r="BVZ59" s="1222"/>
      <c r="BWA59" s="1222"/>
      <c r="BWB59" s="1222"/>
      <c r="BWC59" s="1222"/>
      <c r="BWD59" s="1222"/>
      <c r="BWE59" s="1222"/>
      <c r="BWF59" s="1222"/>
      <c r="BWG59" s="1222"/>
      <c r="BWH59" s="1222"/>
      <c r="BWI59" s="1222"/>
      <c r="BWJ59" s="1222"/>
      <c r="BWK59" s="1222"/>
      <c r="BWL59" s="1222"/>
      <c r="BWM59" s="1222"/>
      <c r="BWN59" s="1222"/>
      <c r="BWO59" s="1222"/>
      <c r="BWP59" s="1222"/>
      <c r="BWQ59" s="1222"/>
      <c r="BWR59" s="1222"/>
      <c r="BWS59" s="1222"/>
      <c r="BWT59" s="1222"/>
      <c r="BWU59" s="1222"/>
      <c r="BWV59" s="1222"/>
      <c r="BWW59" s="1222"/>
      <c r="BWX59" s="1222"/>
      <c r="BWY59" s="1222"/>
      <c r="BWZ59" s="1222"/>
      <c r="BXA59" s="1222"/>
      <c r="BXB59" s="1222"/>
      <c r="BXC59" s="1222"/>
      <c r="BXD59" s="1222"/>
      <c r="BXE59" s="1222"/>
      <c r="BXF59" s="1222"/>
      <c r="BXG59" s="1222"/>
      <c r="BXH59" s="1222"/>
      <c r="BXI59" s="1222"/>
      <c r="BXJ59" s="1222"/>
      <c r="BXK59" s="1222"/>
      <c r="BXL59" s="1222"/>
      <c r="BXM59" s="1222"/>
      <c r="BXN59" s="1222"/>
      <c r="BXO59" s="1222"/>
      <c r="BXP59" s="1222"/>
      <c r="BXQ59" s="1222"/>
      <c r="BXR59" s="1222"/>
      <c r="BXS59" s="1222"/>
      <c r="BXT59" s="1222"/>
      <c r="BXU59" s="1222"/>
      <c r="BXV59" s="1222"/>
      <c r="BXW59" s="1222"/>
      <c r="BXX59" s="1222"/>
      <c r="BXY59" s="1222"/>
      <c r="BXZ59" s="1222"/>
      <c r="BYA59" s="1222"/>
      <c r="BYB59" s="1222"/>
      <c r="BYC59" s="1222"/>
      <c r="BYD59" s="1222"/>
      <c r="BYE59" s="1222"/>
      <c r="BYF59" s="1222"/>
      <c r="BYG59" s="1222"/>
      <c r="BYH59" s="1222"/>
      <c r="BYI59" s="1222"/>
      <c r="BYJ59" s="1222"/>
      <c r="BYK59" s="1222"/>
      <c r="BYL59" s="1222"/>
      <c r="BYM59" s="1222"/>
      <c r="BYN59" s="1222"/>
      <c r="BYO59" s="1222"/>
      <c r="BYP59" s="1222"/>
      <c r="BYQ59" s="1222"/>
      <c r="BYR59" s="1222"/>
      <c r="BYS59" s="1222"/>
      <c r="BYT59" s="1222"/>
      <c r="BYU59" s="1222"/>
      <c r="BYV59" s="1222"/>
      <c r="BYW59" s="1222"/>
      <c r="BYX59" s="1222"/>
      <c r="BYY59" s="1222"/>
      <c r="BYZ59" s="1222"/>
      <c r="BZA59" s="1222"/>
      <c r="BZB59" s="1222"/>
      <c r="BZC59" s="1222"/>
      <c r="BZD59" s="1222"/>
      <c r="BZE59" s="1222"/>
      <c r="BZF59" s="1222"/>
      <c r="BZG59" s="1222"/>
      <c r="BZH59" s="1222"/>
      <c r="BZI59" s="1222"/>
      <c r="BZJ59" s="1222"/>
      <c r="BZK59" s="1222"/>
      <c r="BZL59" s="1222"/>
      <c r="BZM59" s="1222"/>
      <c r="BZN59" s="1222"/>
      <c r="BZO59" s="1222"/>
      <c r="BZP59" s="1222"/>
      <c r="BZQ59" s="1222"/>
      <c r="BZR59" s="1222"/>
      <c r="BZS59" s="1222"/>
      <c r="BZT59" s="1222"/>
      <c r="BZU59" s="1222"/>
      <c r="BZV59" s="1222"/>
      <c r="BZW59" s="1222"/>
      <c r="BZX59" s="1222"/>
      <c r="BZY59" s="1222"/>
      <c r="BZZ59" s="1222"/>
      <c r="CAA59" s="1222"/>
      <c r="CAB59" s="1222"/>
      <c r="CAC59" s="1222"/>
      <c r="CAD59" s="1222"/>
      <c r="CAE59" s="1222"/>
      <c r="CAF59" s="1222"/>
      <c r="CAG59" s="1222"/>
      <c r="CAH59" s="1222"/>
      <c r="CAI59" s="1222"/>
      <c r="CAJ59" s="1222"/>
      <c r="CAK59" s="1222"/>
      <c r="CAL59" s="1222"/>
      <c r="CAM59" s="1222"/>
      <c r="CAN59" s="1222"/>
      <c r="CAO59" s="1222"/>
      <c r="CAP59" s="1222"/>
      <c r="CAQ59" s="1222"/>
      <c r="CAR59" s="1222"/>
      <c r="CAS59" s="1222"/>
      <c r="CAT59" s="1222"/>
      <c r="CAU59" s="1222"/>
      <c r="CAV59" s="1222"/>
      <c r="CAW59" s="1222"/>
      <c r="CAX59" s="1222"/>
      <c r="CAY59" s="1222"/>
      <c r="CAZ59" s="1222"/>
      <c r="CBA59" s="1222"/>
      <c r="CBB59" s="1222"/>
      <c r="CBC59" s="1222"/>
      <c r="CBD59" s="1222"/>
      <c r="CBE59" s="1222"/>
      <c r="CBF59" s="1222"/>
      <c r="CBG59" s="1222"/>
      <c r="CBH59" s="1222"/>
      <c r="CBI59" s="1222"/>
      <c r="CBJ59" s="1222"/>
      <c r="CBK59" s="1222"/>
      <c r="CBL59" s="1222"/>
      <c r="CBM59" s="1222"/>
      <c r="CBN59" s="1222"/>
      <c r="CBO59" s="1222"/>
      <c r="CBP59" s="1222"/>
      <c r="CBQ59" s="1222"/>
      <c r="CBR59" s="1222"/>
      <c r="CBS59" s="1222"/>
      <c r="CBT59" s="1222"/>
      <c r="CBU59" s="1222"/>
      <c r="CBV59" s="1222"/>
      <c r="CBW59" s="1222"/>
      <c r="CBX59" s="1222"/>
      <c r="CBY59" s="1222"/>
      <c r="CBZ59" s="1222"/>
      <c r="CCA59" s="1222"/>
      <c r="CCB59" s="1222"/>
      <c r="CCC59" s="1222"/>
      <c r="CCD59" s="1222"/>
      <c r="CCE59" s="1222"/>
      <c r="CCF59" s="1222"/>
      <c r="CCG59" s="1222"/>
      <c r="CCH59" s="1222"/>
      <c r="CCI59" s="1222"/>
      <c r="CCJ59" s="1222"/>
      <c r="CCK59" s="1222"/>
      <c r="CCL59" s="1222"/>
      <c r="CCM59" s="1222"/>
      <c r="CCN59" s="1222"/>
      <c r="CCO59" s="1222"/>
      <c r="CCP59" s="1222"/>
      <c r="CCQ59" s="1222"/>
      <c r="CCR59" s="1222"/>
      <c r="CCS59" s="1222"/>
      <c r="CCT59" s="1222"/>
      <c r="CCU59" s="1222"/>
      <c r="CCV59" s="1222"/>
      <c r="CCW59" s="1222"/>
      <c r="CCX59" s="1222"/>
      <c r="CCY59" s="1222"/>
      <c r="CCZ59" s="1222"/>
      <c r="CDA59" s="1222"/>
      <c r="CDB59" s="1222"/>
      <c r="CDC59" s="1222"/>
      <c r="CDD59" s="1222"/>
      <c r="CDE59" s="1222"/>
      <c r="CDF59" s="1222"/>
      <c r="CDG59" s="1222"/>
      <c r="CDH59" s="1222"/>
      <c r="CDI59" s="1222"/>
      <c r="CDJ59" s="1222"/>
      <c r="CDK59" s="1222"/>
      <c r="CDL59" s="1222"/>
      <c r="CDM59" s="1222"/>
      <c r="CDN59" s="1222"/>
      <c r="CDO59" s="1222"/>
      <c r="CDP59" s="1222"/>
      <c r="CDQ59" s="1222"/>
      <c r="CDR59" s="1222"/>
      <c r="CDS59" s="1222"/>
      <c r="CDT59" s="1222"/>
      <c r="CDU59" s="1222"/>
      <c r="CDV59" s="1222"/>
      <c r="CDW59" s="1222"/>
      <c r="CDX59" s="1222"/>
      <c r="CDY59" s="1222"/>
      <c r="CDZ59" s="1222"/>
      <c r="CEA59" s="1222"/>
      <c r="CEB59" s="1222"/>
      <c r="CEC59" s="1222"/>
      <c r="CED59" s="1222"/>
      <c r="CEE59" s="1222"/>
      <c r="CEF59" s="1222"/>
      <c r="CEG59" s="1222"/>
      <c r="CEH59" s="1222"/>
      <c r="CEI59" s="1222"/>
      <c r="CEJ59" s="1222"/>
      <c r="CEK59" s="1222"/>
      <c r="CEL59" s="1222"/>
      <c r="CEM59" s="1222"/>
      <c r="CEN59" s="1222"/>
      <c r="CEO59" s="1222"/>
      <c r="CEP59" s="1222"/>
      <c r="CEQ59" s="1222"/>
      <c r="CER59" s="1222"/>
      <c r="CES59" s="1222"/>
      <c r="CET59" s="1222"/>
      <c r="CEU59" s="1222"/>
      <c r="CEV59" s="1222"/>
      <c r="CEW59" s="1222"/>
      <c r="CEX59" s="1222"/>
      <c r="CEY59" s="1222"/>
      <c r="CEZ59" s="1222"/>
      <c r="CFA59" s="1222"/>
      <c r="CFB59" s="1222"/>
      <c r="CFC59" s="1222"/>
      <c r="CFD59" s="1222"/>
      <c r="CFE59" s="1222"/>
      <c r="CFF59" s="1222"/>
      <c r="CFG59" s="1222"/>
      <c r="CFH59" s="1222"/>
      <c r="CFI59" s="1222"/>
      <c r="CFJ59" s="1222"/>
      <c r="CFK59" s="1222"/>
      <c r="CFL59" s="1222"/>
      <c r="CFM59" s="1222"/>
      <c r="CFN59" s="1222"/>
      <c r="CFO59" s="1222"/>
      <c r="CFP59" s="1222"/>
      <c r="CFQ59" s="1222"/>
      <c r="CFR59" s="1222"/>
      <c r="CFS59" s="1222"/>
      <c r="CFT59" s="1222"/>
      <c r="CFU59" s="1222"/>
      <c r="CFV59" s="1222"/>
      <c r="CFW59" s="1222"/>
      <c r="CFX59" s="1222"/>
      <c r="CFY59" s="1222"/>
      <c r="CFZ59" s="1222"/>
      <c r="CGA59" s="1222"/>
      <c r="CGB59" s="1222"/>
      <c r="CGC59" s="1222"/>
      <c r="CGD59" s="1222"/>
      <c r="CGE59" s="1222"/>
      <c r="CGF59" s="1222"/>
      <c r="CGG59" s="1222"/>
      <c r="CGH59" s="1222"/>
      <c r="CGI59" s="1222"/>
      <c r="CGJ59" s="1222"/>
      <c r="CGK59" s="1222"/>
      <c r="CGL59" s="1222"/>
      <c r="CGM59" s="1222"/>
      <c r="CGN59" s="1222"/>
      <c r="CGO59" s="1222"/>
      <c r="CGP59" s="1222"/>
      <c r="CGQ59" s="1222"/>
      <c r="CGR59" s="1222"/>
      <c r="CGS59" s="1222"/>
      <c r="CGT59" s="1222"/>
      <c r="CGU59" s="1222"/>
      <c r="CGV59" s="1222"/>
      <c r="CGW59" s="1222"/>
      <c r="CGX59" s="1222"/>
      <c r="CGY59" s="1222"/>
      <c r="CGZ59" s="1222"/>
      <c r="CHA59" s="1222"/>
      <c r="CHB59" s="1222"/>
      <c r="CHC59" s="1222"/>
      <c r="CHD59" s="1222"/>
      <c r="CHE59" s="1222"/>
      <c r="CHF59" s="1222"/>
      <c r="CHG59" s="1222"/>
      <c r="CHH59" s="1222"/>
      <c r="CHI59" s="1222"/>
      <c r="CHJ59" s="1222"/>
      <c r="CHK59" s="1222"/>
      <c r="CHL59" s="1222"/>
      <c r="CHM59" s="1222"/>
      <c r="CHN59" s="1222"/>
      <c r="CHO59" s="1222"/>
      <c r="CHP59" s="1222"/>
      <c r="CHQ59" s="1222"/>
      <c r="CHR59" s="1222"/>
      <c r="CHS59" s="1222"/>
      <c r="CHT59" s="1222"/>
      <c r="CHU59" s="1222"/>
      <c r="CHV59" s="1222"/>
      <c r="CHW59" s="1222"/>
      <c r="CHX59" s="1222"/>
      <c r="CHY59" s="1222"/>
      <c r="CHZ59" s="1222"/>
      <c r="CIA59" s="1222"/>
      <c r="CIB59" s="1222"/>
      <c r="CIC59" s="1222"/>
      <c r="CID59" s="1222"/>
      <c r="CIE59" s="1222"/>
      <c r="CIF59" s="1222"/>
      <c r="CIG59" s="1222"/>
      <c r="CIH59" s="1222"/>
      <c r="CII59" s="1222"/>
      <c r="CIJ59" s="1222"/>
      <c r="CIK59" s="1222"/>
      <c r="CIL59" s="1222"/>
      <c r="CIM59" s="1222"/>
      <c r="CIN59" s="1222"/>
      <c r="CIO59" s="1222"/>
      <c r="CIP59" s="1222"/>
      <c r="CIQ59" s="1222"/>
      <c r="CIR59" s="1222"/>
      <c r="CIS59" s="1222"/>
      <c r="CIT59" s="1222"/>
      <c r="CIU59" s="1222"/>
      <c r="CIV59" s="1222"/>
      <c r="CIW59" s="1222"/>
      <c r="CIX59" s="1222"/>
      <c r="CIY59" s="1222"/>
      <c r="CIZ59" s="1222"/>
      <c r="CJA59" s="1222"/>
      <c r="CJB59" s="1222"/>
      <c r="CJC59" s="1222"/>
      <c r="CJD59" s="1222"/>
      <c r="CJE59" s="1222"/>
      <c r="CJF59" s="1222"/>
      <c r="CJG59" s="1222"/>
      <c r="CJH59" s="1222"/>
      <c r="CJI59" s="1222"/>
      <c r="CJJ59" s="1222"/>
      <c r="CJK59" s="1222"/>
      <c r="CJL59" s="1222"/>
      <c r="CJM59" s="1222"/>
      <c r="CJN59" s="1222"/>
      <c r="CJO59" s="1222"/>
      <c r="CJP59" s="1222"/>
      <c r="CJQ59" s="1222"/>
      <c r="CJR59" s="1222"/>
      <c r="CJS59" s="1222"/>
      <c r="CJT59" s="1222"/>
      <c r="CJU59" s="1222"/>
      <c r="CJV59" s="1222"/>
      <c r="CJW59" s="1222"/>
      <c r="CJX59" s="1222"/>
      <c r="CJY59" s="1222"/>
      <c r="CJZ59" s="1222"/>
      <c r="CKA59" s="1222"/>
      <c r="CKB59" s="1222"/>
      <c r="CKC59" s="1222"/>
      <c r="CKD59" s="1222"/>
      <c r="CKE59" s="1222"/>
      <c r="CKF59" s="1222"/>
      <c r="CKG59" s="1222"/>
      <c r="CKH59" s="1222"/>
      <c r="CKI59" s="1222"/>
      <c r="CKJ59" s="1222"/>
      <c r="CKK59" s="1222"/>
      <c r="CKL59" s="1222"/>
      <c r="CKM59" s="1222"/>
      <c r="CKN59" s="1222"/>
      <c r="CKO59" s="1222"/>
      <c r="CKP59" s="1222"/>
      <c r="CKQ59" s="1222"/>
      <c r="CKR59" s="1222"/>
      <c r="CKS59" s="1222"/>
      <c r="CKT59" s="1222"/>
      <c r="CKU59" s="1222"/>
      <c r="CKV59" s="1222"/>
      <c r="CKW59" s="1222"/>
      <c r="CKX59" s="1222"/>
      <c r="CKY59" s="1222"/>
      <c r="CKZ59" s="1222"/>
      <c r="CLA59" s="1222"/>
      <c r="CLB59" s="1222"/>
      <c r="CLC59" s="1222"/>
      <c r="CLD59" s="1222"/>
      <c r="CLE59" s="1222"/>
      <c r="CLF59" s="1222"/>
      <c r="CLG59" s="1222"/>
      <c r="CLH59" s="1222"/>
      <c r="CLI59" s="1222"/>
      <c r="CLJ59" s="1222"/>
      <c r="CLK59" s="1222"/>
      <c r="CLL59" s="1222"/>
      <c r="CLM59" s="1222"/>
      <c r="CLN59" s="1222"/>
      <c r="CLO59" s="1222"/>
      <c r="CLP59" s="1222"/>
      <c r="CLQ59" s="1222"/>
      <c r="CLR59" s="1222"/>
      <c r="CLS59" s="1222"/>
      <c r="CLT59" s="1222"/>
      <c r="CLU59" s="1222"/>
      <c r="CLV59" s="1222"/>
      <c r="CLW59" s="1222"/>
      <c r="CLX59" s="1222"/>
      <c r="CLY59" s="1222"/>
      <c r="CLZ59" s="1222"/>
      <c r="CMA59" s="1222"/>
      <c r="CMB59" s="1222"/>
      <c r="CMC59" s="1222"/>
      <c r="CMD59" s="1222"/>
      <c r="CME59" s="1222"/>
      <c r="CMF59" s="1222"/>
      <c r="CMG59" s="1222"/>
      <c r="CMH59" s="1222"/>
      <c r="CMI59" s="1222"/>
      <c r="CMJ59" s="1222"/>
      <c r="CMK59" s="1222"/>
      <c r="CML59" s="1222"/>
      <c r="CMM59" s="1222"/>
      <c r="CMN59" s="1222"/>
      <c r="CMO59" s="1222"/>
      <c r="CMP59" s="1222"/>
      <c r="CMQ59" s="1222"/>
      <c r="CMR59" s="1222"/>
      <c r="CMS59" s="1222"/>
      <c r="CMT59" s="1222"/>
      <c r="CMU59" s="1222"/>
      <c r="CMV59" s="1222"/>
      <c r="CMW59" s="1222"/>
      <c r="CMX59" s="1222"/>
      <c r="CMY59" s="1222"/>
      <c r="CMZ59" s="1222"/>
      <c r="CNA59" s="1222"/>
      <c r="CNB59" s="1222"/>
      <c r="CNC59" s="1222"/>
      <c r="CND59" s="1222"/>
      <c r="CNE59" s="1222"/>
      <c r="CNF59" s="1222"/>
      <c r="CNG59" s="1222"/>
      <c r="CNH59" s="1222"/>
      <c r="CNI59" s="1222"/>
      <c r="CNJ59" s="1222"/>
      <c r="CNK59" s="1222"/>
      <c r="CNL59" s="1222"/>
      <c r="CNM59" s="1222"/>
      <c r="CNN59" s="1222"/>
      <c r="CNO59" s="1222"/>
      <c r="CNP59" s="1222"/>
      <c r="CNQ59" s="1222"/>
      <c r="CNR59" s="1222"/>
      <c r="CNS59" s="1222"/>
      <c r="CNT59" s="1222"/>
      <c r="CNU59" s="1222"/>
      <c r="CNV59" s="1222"/>
      <c r="CNW59" s="1222"/>
      <c r="CNX59" s="1222"/>
      <c r="CNY59" s="1222"/>
      <c r="CNZ59" s="1222"/>
      <c r="COA59" s="1222"/>
      <c r="COB59" s="1222"/>
      <c r="COC59" s="1222"/>
      <c r="COD59" s="1222"/>
      <c r="COE59" s="1222"/>
      <c r="COF59" s="1222"/>
      <c r="COG59" s="1222"/>
      <c r="COH59" s="1222"/>
      <c r="COI59" s="1222"/>
      <c r="COJ59" s="1222"/>
      <c r="COK59" s="1222"/>
      <c r="COL59" s="1222"/>
      <c r="COM59" s="1222"/>
      <c r="CON59" s="1222"/>
      <c r="COO59" s="1222"/>
      <c r="COP59" s="1222"/>
      <c r="COQ59" s="1222"/>
      <c r="COR59" s="1222"/>
      <c r="COS59" s="1222"/>
      <c r="COT59" s="1222"/>
      <c r="COU59" s="1222"/>
      <c r="COV59" s="1222"/>
      <c r="COW59" s="1222"/>
      <c r="COX59" s="1222"/>
      <c r="COY59" s="1222"/>
      <c r="COZ59" s="1222"/>
      <c r="CPA59" s="1222"/>
      <c r="CPB59" s="1222"/>
      <c r="CPC59" s="1222"/>
      <c r="CPD59" s="1222"/>
      <c r="CPE59" s="1222"/>
      <c r="CPF59" s="1222"/>
      <c r="CPG59" s="1222"/>
      <c r="CPH59" s="1222"/>
      <c r="CPI59" s="1222"/>
      <c r="CPJ59" s="1222"/>
      <c r="CPK59" s="1222"/>
      <c r="CPL59" s="1222"/>
      <c r="CPM59" s="1222"/>
      <c r="CPN59" s="1222"/>
      <c r="CPO59" s="1222"/>
      <c r="CPP59" s="1222"/>
      <c r="CPQ59" s="1222"/>
      <c r="CPR59" s="1222"/>
      <c r="CPS59" s="1222"/>
      <c r="CPT59" s="1222"/>
      <c r="CPU59" s="1222"/>
      <c r="CPV59" s="1222"/>
      <c r="CPW59" s="1222"/>
      <c r="CPX59" s="1222"/>
      <c r="CPY59" s="1222"/>
      <c r="CPZ59" s="1222"/>
      <c r="CQA59" s="1222"/>
      <c r="CQB59" s="1222"/>
      <c r="CQC59" s="1222"/>
      <c r="CQD59" s="1222"/>
      <c r="CQE59" s="1222"/>
      <c r="CQF59" s="1222"/>
      <c r="CQG59" s="1222"/>
      <c r="CQH59" s="1222"/>
      <c r="CQI59" s="1222"/>
      <c r="CQJ59" s="1222"/>
      <c r="CQK59" s="1222"/>
      <c r="CQL59" s="1222"/>
      <c r="CQM59" s="1222"/>
      <c r="CQN59" s="1222"/>
      <c r="CQO59" s="1222"/>
      <c r="CQP59" s="1222"/>
      <c r="CQQ59" s="1222"/>
      <c r="CQR59" s="1222"/>
      <c r="CQS59" s="1222"/>
      <c r="CQT59" s="1222"/>
      <c r="CQU59" s="1222"/>
      <c r="CQV59" s="1222"/>
      <c r="CQW59" s="1222"/>
      <c r="CQX59" s="1222"/>
      <c r="CQY59" s="1222"/>
      <c r="CQZ59" s="1222"/>
      <c r="CRA59" s="1222"/>
      <c r="CRB59" s="1222"/>
      <c r="CRC59" s="1222"/>
      <c r="CRD59" s="1222"/>
      <c r="CRE59" s="1222"/>
      <c r="CRF59" s="1222"/>
      <c r="CRG59" s="1222"/>
      <c r="CRH59" s="1222"/>
      <c r="CRI59" s="1222"/>
      <c r="CRJ59" s="1222"/>
      <c r="CRK59" s="1222"/>
      <c r="CRL59" s="1222"/>
      <c r="CRM59" s="1222"/>
      <c r="CRN59" s="1222"/>
      <c r="CRO59" s="1222"/>
      <c r="CRP59" s="1222"/>
      <c r="CRQ59" s="1222"/>
      <c r="CRR59" s="1222"/>
      <c r="CRS59" s="1222"/>
      <c r="CRT59" s="1222"/>
      <c r="CRU59" s="1222"/>
      <c r="CRV59" s="1222"/>
      <c r="CRW59" s="1222"/>
      <c r="CRX59" s="1222"/>
      <c r="CRY59" s="1222"/>
      <c r="CRZ59" s="1222"/>
      <c r="CSA59" s="1222"/>
      <c r="CSB59" s="1222"/>
      <c r="CSC59" s="1222"/>
      <c r="CSD59" s="1222"/>
      <c r="CSE59" s="1222"/>
      <c r="CSF59" s="1222"/>
      <c r="CSG59" s="1222"/>
      <c r="CSH59" s="1222"/>
      <c r="CSI59" s="1222"/>
      <c r="CSJ59" s="1222"/>
      <c r="CSK59" s="1222"/>
      <c r="CSL59" s="1222"/>
      <c r="CSM59" s="1222"/>
      <c r="CSN59" s="1222"/>
      <c r="CSO59" s="1222"/>
      <c r="CSP59" s="1222"/>
      <c r="CSQ59" s="1222"/>
      <c r="CSR59" s="1222"/>
      <c r="CSS59" s="1222"/>
      <c r="CST59" s="1222"/>
      <c r="CSU59" s="1222"/>
      <c r="CSV59" s="1222"/>
      <c r="CSW59" s="1222"/>
      <c r="CSX59" s="1222"/>
      <c r="CSY59" s="1222"/>
      <c r="CSZ59" s="1222"/>
      <c r="CTA59" s="1222"/>
      <c r="CTB59" s="1222"/>
      <c r="CTC59" s="1222"/>
      <c r="CTD59" s="1222"/>
      <c r="CTE59" s="1222"/>
      <c r="CTF59" s="1222"/>
      <c r="CTG59" s="1222"/>
      <c r="CTH59" s="1222"/>
      <c r="CTI59" s="1222"/>
      <c r="CTJ59" s="1222"/>
      <c r="CTK59" s="1222"/>
      <c r="CTL59" s="1222"/>
      <c r="CTM59" s="1222"/>
      <c r="CTN59" s="1222"/>
      <c r="CTO59" s="1222"/>
      <c r="CTP59" s="1222"/>
      <c r="CTQ59" s="1222"/>
      <c r="CTR59" s="1222"/>
      <c r="CTS59" s="1222"/>
      <c r="CTT59" s="1222"/>
      <c r="CTU59" s="1222"/>
      <c r="CTV59" s="1222"/>
      <c r="CTW59" s="1222"/>
      <c r="CTX59" s="1222"/>
      <c r="CTY59" s="1222"/>
      <c r="CTZ59" s="1222"/>
      <c r="CUA59" s="1222"/>
      <c r="CUB59" s="1222"/>
      <c r="CUC59" s="1222"/>
      <c r="CUD59" s="1222"/>
      <c r="CUE59" s="1222"/>
      <c r="CUF59" s="1222"/>
      <c r="CUG59" s="1222"/>
      <c r="CUH59" s="1222"/>
      <c r="CUI59" s="1222"/>
      <c r="CUJ59" s="1222"/>
      <c r="CUK59" s="1222"/>
      <c r="CUL59" s="1222"/>
      <c r="CUM59" s="1222"/>
      <c r="CUN59" s="1222"/>
      <c r="CUO59" s="1222"/>
      <c r="CUP59" s="1222"/>
      <c r="CUQ59" s="1222"/>
      <c r="CUR59" s="1222"/>
      <c r="CUS59" s="1222"/>
      <c r="CUT59" s="1222"/>
      <c r="CUU59" s="1222"/>
      <c r="CUV59" s="1222"/>
      <c r="CUW59" s="1222"/>
      <c r="CUX59" s="1222"/>
      <c r="CUY59" s="1222"/>
      <c r="CUZ59" s="1222"/>
      <c r="CVA59" s="1222"/>
      <c r="CVB59" s="1222"/>
      <c r="CVC59" s="1222"/>
      <c r="CVD59" s="1222"/>
      <c r="CVE59" s="1222"/>
      <c r="CVF59" s="1222"/>
      <c r="CVG59" s="1222"/>
      <c r="CVH59" s="1222"/>
      <c r="CVI59" s="1222"/>
      <c r="CVJ59" s="1222"/>
      <c r="CVK59" s="1222"/>
      <c r="CVL59" s="1222"/>
      <c r="CVM59" s="1222"/>
      <c r="CVN59" s="1222"/>
      <c r="CVO59" s="1222"/>
      <c r="CVP59" s="1222"/>
      <c r="CVQ59" s="1222"/>
      <c r="CVR59" s="1222"/>
      <c r="CVS59" s="1222"/>
      <c r="CVT59" s="1222"/>
      <c r="CVU59" s="1222"/>
      <c r="CVV59" s="1222"/>
      <c r="CVW59" s="1222"/>
      <c r="CVX59" s="1222"/>
      <c r="CVY59" s="1222"/>
      <c r="CVZ59" s="1222"/>
      <c r="CWA59" s="1222"/>
      <c r="CWB59" s="1222"/>
      <c r="CWC59" s="1222"/>
      <c r="CWD59" s="1222"/>
      <c r="CWE59" s="1222"/>
      <c r="CWF59" s="1222"/>
      <c r="CWG59" s="1222"/>
      <c r="CWH59" s="1222"/>
      <c r="CWI59" s="1222"/>
      <c r="CWJ59" s="1222"/>
      <c r="CWK59" s="1222"/>
      <c r="CWL59" s="1222"/>
      <c r="CWM59" s="1222"/>
      <c r="CWN59" s="1222"/>
      <c r="CWO59" s="1222"/>
      <c r="CWP59" s="1222"/>
      <c r="CWQ59" s="1222"/>
      <c r="CWR59" s="1222"/>
      <c r="CWS59" s="1222"/>
      <c r="CWT59" s="1222"/>
      <c r="CWU59" s="1222"/>
      <c r="CWV59" s="1222"/>
      <c r="CWW59" s="1222"/>
      <c r="CWX59" s="1222"/>
      <c r="CWY59" s="1222"/>
      <c r="CWZ59" s="1222"/>
      <c r="CXA59" s="1222"/>
      <c r="CXB59" s="1222"/>
      <c r="CXC59" s="1222"/>
      <c r="CXD59" s="1222"/>
      <c r="CXE59" s="1222"/>
      <c r="CXF59" s="1222"/>
      <c r="CXG59" s="1222"/>
      <c r="CXH59" s="1222"/>
      <c r="CXI59" s="1222"/>
      <c r="CXJ59" s="1222"/>
      <c r="CXK59" s="1222"/>
      <c r="CXL59" s="1222"/>
      <c r="CXM59" s="1222"/>
      <c r="CXN59" s="1222"/>
      <c r="CXO59" s="1222"/>
      <c r="CXP59" s="1222"/>
      <c r="CXQ59" s="1222"/>
      <c r="CXR59" s="1222"/>
      <c r="CXS59" s="1222"/>
      <c r="CXT59" s="1222"/>
      <c r="CXU59" s="1222"/>
      <c r="CXV59" s="1222"/>
      <c r="CXW59" s="1222"/>
      <c r="CXX59" s="1222"/>
      <c r="CXY59" s="1222"/>
      <c r="CXZ59" s="1222"/>
      <c r="CYA59" s="1222"/>
      <c r="CYB59" s="1222"/>
      <c r="CYC59" s="1222"/>
      <c r="CYD59" s="1222"/>
      <c r="CYE59" s="1222"/>
      <c r="CYF59" s="1222"/>
      <c r="CYG59" s="1222"/>
      <c r="CYH59" s="1222"/>
      <c r="CYI59" s="1222"/>
      <c r="CYJ59" s="1222"/>
      <c r="CYK59" s="1222"/>
      <c r="CYL59" s="1222"/>
      <c r="CYM59" s="1222"/>
      <c r="CYN59" s="1222"/>
      <c r="CYO59" s="1222"/>
      <c r="CYP59" s="1222"/>
      <c r="CYQ59" s="1222"/>
      <c r="CYR59" s="1222"/>
      <c r="CYS59" s="1222"/>
      <c r="CYT59" s="1222"/>
      <c r="CYU59" s="1222"/>
      <c r="CYV59" s="1222"/>
      <c r="CYW59" s="1222"/>
      <c r="CYX59" s="1222"/>
      <c r="CYY59" s="1222"/>
      <c r="CYZ59" s="1222"/>
      <c r="CZA59" s="1222"/>
      <c r="CZB59" s="1222"/>
      <c r="CZC59" s="1222"/>
      <c r="CZD59" s="1222"/>
      <c r="CZE59" s="1222"/>
      <c r="CZF59" s="1222"/>
      <c r="CZG59" s="1222"/>
      <c r="CZH59" s="1222"/>
      <c r="CZI59" s="1222"/>
      <c r="CZJ59" s="1222"/>
      <c r="CZK59" s="1222"/>
      <c r="CZL59" s="1222"/>
      <c r="CZM59" s="1222"/>
      <c r="CZN59" s="1222"/>
      <c r="CZO59" s="1222"/>
      <c r="CZP59" s="1222"/>
      <c r="CZQ59" s="1222"/>
      <c r="CZR59" s="1222"/>
      <c r="CZS59" s="1222"/>
      <c r="CZT59" s="1222"/>
      <c r="CZU59" s="1222"/>
      <c r="CZV59" s="1222"/>
      <c r="CZW59" s="1222"/>
      <c r="CZX59" s="1222"/>
      <c r="CZY59" s="1222"/>
      <c r="CZZ59" s="1222"/>
      <c r="DAA59" s="1222"/>
      <c r="DAB59" s="1222"/>
      <c r="DAC59" s="1222"/>
      <c r="DAD59" s="1222"/>
      <c r="DAE59" s="1222"/>
      <c r="DAF59" s="1222"/>
      <c r="DAG59" s="1222"/>
      <c r="DAH59" s="1222"/>
      <c r="DAI59" s="1222"/>
      <c r="DAJ59" s="1222"/>
      <c r="DAK59" s="1222"/>
      <c r="DAL59" s="1222"/>
      <c r="DAM59" s="1222"/>
      <c r="DAN59" s="1222"/>
      <c r="DAO59" s="1222"/>
      <c r="DAP59" s="1222"/>
      <c r="DAQ59" s="1222"/>
      <c r="DAR59" s="1222"/>
      <c r="DAS59" s="1222"/>
      <c r="DAT59" s="1222"/>
      <c r="DAU59" s="1222"/>
      <c r="DAV59" s="1222"/>
      <c r="DAW59" s="1222"/>
      <c r="DAX59" s="1222"/>
      <c r="DAY59" s="1222"/>
      <c r="DAZ59" s="1222"/>
      <c r="DBA59" s="1222"/>
      <c r="DBB59" s="1222"/>
      <c r="DBC59" s="1222"/>
      <c r="DBD59" s="1222"/>
      <c r="DBE59" s="1222"/>
      <c r="DBF59" s="1222"/>
      <c r="DBG59" s="1222"/>
      <c r="DBH59" s="1222"/>
      <c r="DBI59" s="1222"/>
      <c r="DBJ59" s="1222"/>
      <c r="DBK59" s="1222"/>
      <c r="DBL59" s="1222"/>
      <c r="DBM59" s="1222"/>
      <c r="DBN59" s="1222"/>
      <c r="DBO59" s="1222"/>
      <c r="DBP59" s="1222"/>
      <c r="DBQ59" s="1222"/>
      <c r="DBR59" s="1222"/>
      <c r="DBS59" s="1222"/>
      <c r="DBT59" s="1222"/>
      <c r="DBU59" s="1222"/>
      <c r="DBV59" s="1222"/>
      <c r="DBW59" s="1222"/>
      <c r="DBX59" s="1222"/>
      <c r="DBY59" s="1222"/>
      <c r="DBZ59" s="1222"/>
      <c r="DCA59" s="1222"/>
      <c r="DCB59" s="1222"/>
      <c r="DCC59" s="1222"/>
      <c r="DCD59" s="1222"/>
      <c r="DCE59" s="1222"/>
      <c r="DCF59" s="1222"/>
      <c r="DCG59" s="1222"/>
      <c r="DCH59" s="1222"/>
      <c r="DCI59" s="1222"/>
      <c r="DCJ59" s="1222"/>
      <c r="DCK59" s="1222"/>
      <c r="DCL59" s="1222"/>
      <c r="DCM59" s="1222"/>
      <c r="DCN59" s="1222"/>
      <c r="DCO59" s="1222"/>
      <c r="DCP59" s="1222"/>
      <c r="DCQ59" s="1222"/>
      <c r="DCR59" s="1222"/>
      <c r="DCS59" s="1222"/>
      <c r="DCT59" s="1222"/>
      <c r="DCU59" s="1222"/>
      <c r="DCV59" s="1222"/>
      <c r="DCW59" s="1222"/>
      <c r="DCX59" s="1222"/>
      <c r="DCY59" s="1222"/>
      <c r="DCZ59" s="1222"/>
      <c r="DDA59" s="1222"/>
      <c r="DDB59" s="1222"/>
      <c r="DDC59" s="1222"/>
      <c r="DDD59" s="1222"/>
      <c r="DDE59" s="1222"/>
      <c r="DDF59" s="1222"/>
      <c r="DDG59" s="1222"/>
      <c r="DDH59" s="1222"/>
      <c r="DDI59" s="1222"/>
      <c r="DDJ59" s="1222"/>
      <c r="DDK59" s="1222"/>
      <c r="DDL59" s="1222"/>
      <c r="DDM59" s="1222"/>
      <c r="DDN59" s="1222"/>
      <c r="DDO59" s="1222"/>
      <c r="DDP59" s="1222"/>
      <c r="DDQ59" s="1222"/>
      <c r="DDR59" s="1222"/>
      <c r="DDS59" s="1222"/>
      <c r="DDT59" s="1222"/>
      <c r="DDU59" s="1222"/>
      <c r="DDV59" s="1222"/>
      <c r="DDW59" s="1222"/>
      <c r="DDX59" s="1222"/>
      <c r="DDY59" s="1222"/>
      <c r="DDZ59" s="1222"/>
      <c r="DEA59" s="1222"/>
      <c r="DEB59" s="1222"/>
      <c r="DEC59" s="1222"/>
      <c r="DED59" s="1222"/>
      <c r="DEE59" s="1222"/>
      <c r="DEF59" s="1222"/>
      <c r="DEG59" s="1222"/>
      <c r="DEH59" s="1222"/>
      <c r="DEI59" s="1222"/>
      <c r="DEJ59" s="1222"/>
      <c r="DEK59" s="1222"/>
      <c r="DEL59" s="1222"/>
      <c r="DEM59" s="1222"/>
      <c r="DEN59" s="1222"/>
      <c r="DEO59" s="1222"/>
      <c r="DEP59" s="1222"/>
      <c r="DEQ59" s="1222"/>
      <c r="DER59" s="1222"/>
      <c r="DES59" s="1222"/>
      <c r="DET59" s="1222"/>
      <c r="DEU59" s="1222"/>
      <c r="DEV59" s="1222"/>
      <c r="DEW59" s="1222"/>
      <c r="DEX59" s="1222"/>
      <c r="DEY59" s="1222"/>
      <c r="DEZ59" s="1222"/>
      <c r="DFA59" s="1222"/>
      <c r="DFB59" s="1222"/>
      <c r="DFC59" s="1222"/>
      <c r="DFD59" s="1222"/>
      <c r="DFE59" s="1222"/>
      <c r="DFF59" s="1222"/>
      <c r="DFG59" s="1222"/>
      <c r="DFH59" s="1222"/>
      <c r="DFI59" s="1222"/>
      <c r="DFJ59" s="1222"/>
      <c r="DFK59" s="1222"/>
      <c r="DFL59" s="1222"/>
      <c r="DFM59" s="1222"/>
      <c r="DFN59" s="1222"/>
      <c r="DFO59" s="1222"/>
      <c r="DFP59" s="1222"/>
      <c r="DFQ59" s="1222"/>
      <c r="DFR59" s="1222"/>
      <c r="DFS59" s="1222"/>
      <c r="DFT59" s="1222"/>
      <c r="DFU59" s="1222"/>
      <c r="DFV59" s="1222"/>
      <c r="DFW59" s="1222"/>
      <c r="DFX59" s="1222"/>
      <c r="DFY59" s="1222"/>
      <c r="DFZ59" s="1222"/>
      <c r="DGA59" s="1222"/>
      <c r="DGB59" s="1222"/>
      <c r="DGC59" s="1222"/>
      <c r="DGD59" s="1222"/>
      <c r="DGE59" s="1222"/>
      <c r="DGF59" s="1222"/>
      <c r="DGG59" s="1222"/>
      <c r="DGH59" s="1222"/>
      <c r="DGI59" s="1222"/>
      <c r="DGJ59" s="1222"/>
      <c r="DGK59" s="1222"/>
      <c r="DGL59" s="1222"/>
      <c r="DGM59" s="1222"/>
      <c r="DGN59" s="1222"/>
      <c r="DGO59" s="1222"/>
      <c r="DGP59" s="1222"/>
      <c r="DGQ59" s="1222"/>
      <c r="DGR59" s="1222"/>
      <c r="DGS59" s="1222"/>
      <c r="DGT59" s="1222"/>
      <c r="DGU59" s="1222"/>
      <c r="DGV59" s="1222"/>
      <c r="DGW59" s="1222"/>
      <c r="DGX59" s="1222"/>
      <c r="DGY59" s="1222"/>
      <c r="DGZ59" s="1222"/>
      <c r="DHA59" s="1222"/>
      <c r="DHB59" s="1222"/>
      <c r="DHC59" s="1222"/>
      <c r="DHD59" s="1222"/>
      <c r="DHE59" s="1222"/>
      <c r="DHF59" s="1222"/>
      <c r="DHG59" s="1222"/>
      <c r="DHH59" s="1222"/>
      <c r="DHI59" s="1222"/>
      <c r="DHJ59" s="1222"/>
      <c r="DHK59" s="1222"/>
      <c r="DHL59" s="1222"/>
      <c r="DHM59" s="1222"/>
      <c r="DHN59" s="1222"/>
      <c r="DHO59" s="1222"/>
      <c r="DHP59" s="1222"/>
      <c r="DHQ59" s="1222"/>
      <c r="DHR59" s="1222"/>
      <c r="DHS59" s="1222"/>
      <c r="DHT59" s="1222"/>
      <c r="DHU59" s="1222"/>
      <c r="DHV59" s="1222"/>
      <c r="DHW59" s="1222"/>
      <c r="DHX59" s="1222"/>
      <c r="DHY59" s="1222"/>
      <c r="DHZ59" s="1222"/>
      <c r="DIA59" s="1222"/>
      <c r="DIB59" s="1222"/>
      <c r="DIC59" s="1222"/>
      <c r="DID59" s="1222"/>
      <c r="DIE59" s="1222"/>
      <c r="DIF59" s="1222"/>
      <c r="DIG59" s="1222"/>
      <c r="DIH59" s="1222"/>
      <c r="DII59" s="1222"/>
      <c r="DIJ59" s="1222"/>
      <c r="DIK59" s="1222"/>
      <c r="DIL59" s="1222"/>
      <c r="DIM59" s="1222"/>
      <c r="DIN59" s="1222"/>
      <c r="DIO59" s="1222"/>
      <c r="DIP59" s="1222"/>
      <c r="DIQ59" s="1222"/>
      <c r="DIR59" s="1222"/>
      <c r="DIS59" s="1222"/>
      <c r="DIT59" s="1222"/>
      <c r="DIU59" s="1222"/>
      <c r="DIV59" s="1222"/>
      <c r="DIW59" s="1222"/>
      <c r="DIX59" s="1222"/>
      <c r="DIY59" s="1222"/>
      <c r="DIZ59" s="1222"/>
      <c r="DJA59" s="1222"/>
      <c r="DJB59" s="1222"/>
      <c r="DJC59" s="1222"/>
      <c r="DJD59" s="1222"/>
      <c r="DJE59" s="1222"/>
      <c r="DJF59" s="1222"/>
      <c r="DJG59" s="1222"/>
      <c r="DJH59" s="1222"/>
      <c r="DJI59" s="1222"/>
      <c r="DJJ59" s="1222"/>
      <c r="DJK59" s="1222"/>
      <c r="DJL59" s="1222"/>
      <c r="DJM59" s="1222"/>
      <c r="DJN59" s="1222"/>
      <c r="DJO59" s="1222"/>
      <c r="DJP59" s="1222"/>
      <c r="DJQ59" s="1222"/>
      <c r="DJR59" s="1222"/>
      <c r="DJS59" s="1222"/>
      <c r="DJT59" s="1222"/>
      <c r="DJU59" s="1222"/>
      <c r="DJV59" s="1222"/>
      <c r="DJW59" s="1222"/>
      <c r="DJX59" s="1222"/>
      <c r="DJY59" s="1222"/>
      <c r="DJZ59" s="1222"/>
      <c r="DKA59" s="1222"/>
      <c r="DKB59" s="1222"/>
      <c r="DKC59" s="1222"/>
      <c r="DKD59" s="1222"/>
      <c r="DKE59" s="1222"/>
      <c r="DKF59" s="1222"/>
      <c r="DKG59" s="1222"/>
      <c r="DKH59" s="1222"/>
      <c r="DKI59" s="1222"/>
      <c r="DKJ59" s="1222"/>
      <c r="DKK59" s="1222"/>
      <c r="DKL59" s="1222"/>
      <c r="DKM59" s="1222"/>
      <c r="DKN59" s="1222"/>
      <c r="DKO59" s="1222"/>
      <c r="DKP59" s="1222"/>
      <c r="DKQ59" s="1222"/>
      <c r="DKR59" s="1222"/>
      <c r="DKS59" s="1222"/>
      <c r="DKT59" s="1222"/>
      <c r="DKU59" s="1222"/>
      <c r="DKV59" s="1222"/>
      <c r="DKW59" s="1222"/>
      <c r="DKX59" s="1222"/>
      <c r="DKY59" s="1222"/>
      <c r="DKZ59" s="1222"/>
      <c r="DLA59" s="1222"/>
      <c r="DLB59" s="1222"/>
      <c r="DLC59" s="1222"/>
      <c r="DLD59" s="1222"/>
      <c r="DLE59" s="1222"/>
      <c r="DLF59" s="1222"/>
      <c r="DLG59" s="1222"/>
      <c r="DLH59" s="1222"/>
      <c r="DLI59" s="1222"/>
      <c r="DLJ59" s="1222"/>
      <c r="DLK59" s="1222"/>
      <c r="DLL59" s="1222"/>
      <c r="DLM59" s="1222"/>
      <c r="DLN59" s="1222"/>
      <c r="DLO59" s="1222"/>
      <c r="DLP59" s="1222"/>
      <c r="DLQ59" s="1222"/>
      <c r="DLR59" s="1222"/>
      <c r="DLS59" s="1222"/>
      <c r="DLT59" s="1222"/>
      <c r="DLU59" s="1222"/>
      <c r="DLV59" s="1222"/>
      <c r="DLW59" s="1222"/>
      <c r="DLX59" s="1222"/>
      <c r="DLY59" s="1222"/>
      <c r="DLZ59" s="1222"/>
      <c r="DMA59" s="1222"/>
      <c r="DMB59" s="1222"/>
      <c r="DMC59" s="1222"/>
      <c r="DMD59" s="1222"/>
      <c r="DME59" s="1222"/>
      <c r="DMF59" s="1222"/>
      <c r="DMG59" s="1222"/>
      <c r="DMH59" s="1222"/>
      <c r="DMI59" s="1222"/>
      <c r="DMJ59" s="1222"/>
      <c r="DMK59" s="1222"/>
      <c r="DML59" s="1222"/>
      <c r="DMM59" s="1222"/>
      <c r="DMN59" s="1222"/>
      <c r="DMO59" s="1222"/>
      <c r="DMP59" s="1222"/>
      <c r="DMQ59" s="1222"/>
      <c r="DMR59" s="1222"/>
      <c r="DMS59" s="1222"/>
      <c r="DMT59" s="1222"/>
      <c r="DMU59" s="1222"/>
      <c r="DMV59" s="1222"/>
      <c r="DMW59" s="1222"/>
      <c r="DMX59" s="1222"/>
      <c r="DMY59" s="1222"/>
      <c r="DMZ59" s="1222"/>
      <c r="DNA59" s="1222"/>
      <c r="DNB59" s="1222"/>
      <c r="DNC59" s="1222"/>
      <c r="DND59" s="1222"/>
      <c r="DNE59" s="1222"/>
      <c r="DNF59" s="1222"/>
      <c r="DNG59" s="1222"/>
      <c r="DNH59" s="1222"/>
      <c r="DNI59" s="1222"/>
      <c r="DNJ59" s="1222"/>
      <c r="DNK59" s="1222"/>
      <c r="DNL59" s="1222"/>
      <c r="DNM59" s="1222"/>
      <c r="DNN59" s="1222"/>
      <c r="DNO59" s="1222"/>
      <c r="DNP59" s="1222"/>
      <c r="DNQ59" s="1222"/>
      <c r="DNR59" s="1222"/>
      <c r="DNS59" s="1222"/>
      <c r="DNT59" s="1222"/>
      <c r="DNU59" s="1222"/>
      <c r="DNV59" s="1222"/>
      <c r="DNW59" s="1222"/>
      <c r="DNX59" s="1222"/>
      <c r="DNY59" s="1222"/>
      <c r="DNZ59" s="1222"/>
      <c r="DOA59" s="1222"/>
      <c r="DOB59" s="1222"/>
      <c r="DOC59" s="1222"/>
      <c r="DOD59" s="1222"/>
      <c r="DOE59" s="1222"/>
      <c r="DOF59" s="1222"/>
      <c r="DOG59" s="1222"/>
      <c r="DOH59" s="1222"/>
      <c r="DOI59" s="1222"/>
      <c r="DOJ59" s="1222"/>
      <c r="DOK59" s="1222"/>
      <c r="DOL59" s="1222"/>
      <c r="DOM59" s="1222"/>
      <c r="DON59" s="1222"/>
      <c r="DOO59" s="1222"/>
      <c r="DOP59" s="1222"/>
      <c r="DOQ59" s="1222"/>
      <c r="DOR59" s="1222"/>
      <c r="DOS59" s="1222"/>
      <c r="DOT59" s="1222"/>
      <c r="DOU59" s="1222"/>
      <c r="DOV59" s="1222"/>
      <c r="DOW59" s="1222"/>
      <c r="DOX59" s="1222"/>
      <c r="DOY59" s="1222"/>
      <c r="DOZ59" s="1222"/>
      <c r="DPA59" s="1222"/>
      <c r="DPB59" s="1222"/>
      <c r="DPC59" s="1222"/>
      <c r="DPD59" s="1222"/>
      <c r="DPE59" s="1222"/>
      <c r="DPF59" s="1222"/>
      <c r="DPG59" s="1222"/>
      <c r="DPH59" s="1222"/>
      <c r="DPI59" s="1222"/>
      <c r="DPJ59" s="1222"/>
      <c r="DPK59" s="1222"/>
      <c r="DPL59" s="1222"/>
      <c r="DPM59" s="1222"/>
      <c r="DPN59" s="1222"/>
      <c r="DPO59" s="1222"/>
      <c r="DPP59" s="1222"/>
      <c r="DPQ59" s="1222"/>
      <c r="DPR59" s="1222"/>
      <c r="DPS59" s="1222"/>
      <c r="DPT59" s="1222"/>
      <c r="DPU59" s="1222"/>
      <c r="DPV59" s="1222"/>
      <c r="DPW59" s="1222"/>
      <c r="DPX59" s="1222"/>
      <c r="DPY59" s="1222"/>
      <c r="DPZ59" s="1222"/>
      <c r="DQA59" s="1222"/>
      <c r="DQB59" s="1222"/>
      <c r="DQC59" s="1222"/>
      <c r="DQD59" s="1222"/>
      <c r="DQE59" s="1222"/>
      <c r="DQF59" s="1222"/>
      <c r="DQG59" s="1222"/>
      <c r="DQH59" s="1222"/>
      <c r="DQI59" s="1222"/>
      <c r="DQJ59" s="1222"/>
      <c r="DQK59" s="1222"/>
      <c r="DQL59" s="1222"/>
      <c r="DQM59" s="1222"/>
      <c r="DQN59" s="1222"/>
      <c r="DQO59" s="1222"/>
      <c r="DQP59" s="1222"/>
      <c r="DQQ59" s="1222"/>
      <c r="DQR59" s="1222"/>
      <c r="DQS59" s="1222"/>
      <c r="DQT59" s="1222"/>
      <c r="DQU59" s="1222"/>
      <c r="DQV59" s="1222"/>
      <c r="DQW59" s="1222"/>
      <c r="DQX59" s="1222"/>
      <c r="DQY59" s="1222"/>
      <c r="DQZ59" s="1222"/>
      <c r="DRA59" s="1222"/>
      <c r="DRB59" s="1222"/>
      <c r="DRC59" s="1222"/>
      <c r="DRD59" s="1222"/>
      <c r="DRE59" s="1222"/>
      <c r="DRF59" s="1222"/>
      <c r="DRG59" s="1222"/>
      <c r="DRH59" s="1222"/>
      <c r="DRI59" s="1222"/>
      <c r="DRJ59" s="1222"/>
      <c r="DRK59" s="1222"/>
      <c r="DRL59" s="1222"/>
      <c r="DRM59" s="1222"/>
      <c r="DRN59" s="1222"/>
      <c r="DRO59" s="1222"/>
      <c r="DRP59" s="1222"/>
      <c r="DRQ59" s="1222"/>
      <c r="DRR59" s="1222"/>
      <c r="DRS59" s="1222"/>
      <c r="DRT59" s="1222"/>
      <c r="DRU59" s="1222"/>
      <c r="DRV59" s="1222"/>
      <c r="DRW59" s="1222"/>
      <c r="DRX59" s="1222"/>
      <c r="DRY59" s="1222"/>
      <c r="DRZ59" s="1222"/>
      <c r="DSA59" s="1222"/>
      <c r="DSB59" s="1222"/>
      <c r="DSC59" s="1222"/>
      <c r="DSD59" s="1222"/>
      <c r="DSE59" s="1222"/>
      <c r="DSF59" s="1222"/>
      <c r="DSG59" s="1222"/>
      <c r="DSH59" s="1222"/>
      <c r="DSI59" s="1222"/>
      <c r="DSJ59" s="1222"/>
      <c r="DSK59" s="1222"/>
      <c r="DSL59" s="1222"/>
      <c r="DSM59" s="1222"/>
      <c r="DSN59" s="1222"/>
      <c r="DSO59" s="1222"/>
      <c r="DSP59" s="1222"/>
      <c r="DSQ59" s="1222"/>
      <c r="DSR59" s="1222"/>
      <c r="DSS59" s="1222"/>
      <c r="DST59" s="1222"/>
      <c r="DSU59" s="1222"/>
      <c r="DSV59" s="1222"/>
      <c r="DSW59" s="1222"/>
      <c r="DSX59" s="1222"/>
      <c r="DSY59" s="1222"/>
      <c r="DSZ59" s="1222"/>
      <c r="DTA59" s="1222"/>
      <c r="DTB59" s="1222"/>
      <c r="DTC59" s="1222"/>
      <c r="DTD59" s="1222"/>
      <c r="DTE59" s="1222"/>
      <c r="DTF59" s="1222"/>
      <c r="DTG59" s="1222"/>
      <c r="DTH59" s="1222"/>
      <c r="DTI59" s="1222"/>
      <c r="DTJ59" s="1222"/>
      <c r="DTK59" s="1222"/>
      <c r="DTL59" s="1222"/>
      <c r="DTM59" s="1222"/>
      <c r="DTN59" s="1222"/>
      <c r="DTO59" s="1222"/>
      <c r="DTP59" s="1222"/>
      <c r="DTQ59" s="1222"/>
      <c r="DTR59" s="1222"/>
      <c r="DTS59" s="1222"/>
      <c r="DTT59" s="1222"/>
      <c r="DTU59" s="1222"/>
      <c r="DTV59" s="1222"/>
      <c r="DTW59" s="1222"/>
      <c r="DTX59" s="1222"/>
      <c r="DTY59" s="1222"/>
      <c r="DTZ59" s="1222"/>
      <c r="DUA59" s="1222"/>
      <c r="DUB59" s="1222"/>
      <c r="DUC59" s="1222"/>
      <c r="DUD59" s="1222"/>
      <c r="DUE59" s="1222"/>
      <c r="DUF59" s="1222"/>
      <c r="DUG59" s="1222"/>
      <c r="DUH59" s="1222"/>
      <c r="DUI59" s="1222"/>
      <c r="DUJ59" s="1222"/>
      <c r="DUK59" s="1222"/>
      <c r="DUL59" s="1222"/>
      <c r="DUM59" s="1222"/>
      <c r="DUN59" s="1222"/>
      <c r="DUO59" s="1222"/>
      <c r="DUP59" s="1222"/>
      <c r="DUQ59" s="1222"/>
      <c r="DUR59" s="1222"/>
      <c r="DUS59" s="1222"/>
      <c r="DUT59" s="1222"/>
      <c r="DUU59" s="1222"/>
      <c r="DUV59" s="1222"/>
      <c r="DUW59" s="1222"/>
      <c r="DUX59" s="1222"/>
      <c r="DUY59" s="1222"/>
      <c r="DUZ59" s="1222"/>
      <c r="DVA59" s="1222"/>
      <c r="DVB59" s="1222"/>
      <c r="DVC59" s="1222"/>
      <c r="DVD59" s="1222"/>
      <c r="DVE59" s="1222"/>
      <c r="DVF59" s="1222"/>
      <c r="DVG59" s="1222"/>
      <c r="DVH59" s="1222"/>
      <c r="DVI59" s="1222"/>
      <c r="DVJ59" s="1222"/>
      <c r="DVK59" s="1222"/>
      <c r="DVL59" s="1222"/>
      <c r="DVM59" s="1222"/>
      <c r="DVN59" s="1222"/>
      <c r="DVO59" s="1222"/>
      <c r="DVP59" s="1222"/>
      <c r="DVQ59" s="1222"/>
      <c r="DVR59" s="1222"/>
      <c r="DVS59" s="1222"/>
      <c r="DVT59" s="1222"/>
      <c r="DVU59" s="1222"/>
      <c r="DVV59" s="1222"/>
      <c r="DVW59" s="1222"/>
      <c r="DVX59" s="1222"/>
      <c r="DVY59" s="1222"/>
      <c r="DVZ59" s="1222"/>
      <c r="DWA59" s="1222"/>
      <c r="DWB59" s="1222"/>
      <c r="DWC59" s="1222"/>
      <c r="DWD59" s="1222"/>
      <c r="DWE59" s="1222"/>
      <c r="DWF59" s="1222"/>
      <c r="DWG59" s="1222"/>
      <c r="DWH59" s="1222"/>
      <c r="DWI59" s="1222"/>
      <c r="DWJ59" s="1222"/>
      <c r="DWK59" s="1222"/>
      <c r="DWL59" s="1222"/>
      <c r="DWM59" s="1222"/>
      <c r="DWN59" s="1222"/>
      <c r="DWO59" s="1222"/>
      <c r="DWP59" s="1222"/>
      <c r="DWQ59" s="1222"/>
      <c r="DWR59" s="1222"/>
      <c r="DWS59" s="1222"/>
      <c r="DWT59" s="1222"/>
      <c r="DWU59" s="1222"/>
      <c r="DWV59" s="1222"/>
      <c r="DWW59" s="1222"/>
      <c r="DWX59" s="1222"/>
      <c r="DWY59" s="1222"/>
      <c r="DWZ59" s="1222"/>
      <c r="DXA59" s="1222"/>
      <c r="DXB59" s="1222"/>
      <c r="DXC59" s="1222"/>
      <c r="DXD59" s="1222"/>
      <c r="DXE59" s="1222"/>
      <c r="DXF59" s="1222"/>
      <c r="DXG59" s="1222"/>
      <c r="DXH59" s="1222"/>
      <c r="DXI59" s="1222"/>
      <c r="DXJ59" s="1222"/>
      <c r="DXK59" s="1222"/>
      <c r="DXL59" s="1222"/>
      <c r="DXM59" s="1222"/>
      <c r="DXN59" s="1222"/>
      <c r="DXO59" s="1222"/>
      <c r="DXP59" s="1222"/>
      <c r="DXQ59" s="1222"/>
      <c r="DXR59" s="1222"/>
      <c r="DXS59" s="1222"/>
      <c r="DXT59" s="1222"/>
      <c r="DXU59" s="1222"/>
      <c r="DXV59" s="1222"/>
      <c r="DXW59" s="1222"/>
      <c r="DXX59" s="1222"/>
      <c r="DXY59" s="1222"/>
      <c r="DXZ59" s="1222"/>
      <c r="DYA59" s="1222"/>
      <c r="DYB59" s="1222"/>
      <c r="DYC59" s="1222"/>
      <c r="DYD59" s="1222"/>
      <c r="DYE59" s="1222"/>
      <c r="DYF59" s="1222"/>
      <c r="DYG59" s="1222"/>
      <c r="DYH59" s="1222"/>
      <c r="DYI59" s="1222"/>
      <c r="DYJ59" s="1222"/>
      <c r="DYK59" s="1222"/>
      <c r="DYL59" s="1222"/>
      <c r="DYM59" s="1222"/>
      <c r="DYN59" s="1222"/>
      <c r="DYO59" s="1222"/>
      <c r="DYP59" s="1222"/>
      <c r="DYQ59" s="1222"/>
      <c r="DYR59" s="1222"/>
      <c r="DYS59" s="1222"/>
      <c r="DYT59" s="1222"/>
      <c r="DYU59" s="1222"/>
      <c r="DYV59" s="1222"/>
      <c r="DYW59" s="1222"/>
      <c r="DYX59" s="1222"/>
      <c r="DYY59" s="1222"/>
      <c r="DYZ59" s="1222"/>
      <c r="DZA59" s="1222"/>
      <c r="DZB59" s="1222"/>
      <c r="DZC59" s="1222"/>
      <c r="DZD59" s="1222"/>
      <c r="DZE59" s="1222"/>
      <c r="DZF59" s="1222"/>
      <c r="DZG59" s="1222"/>
      <c r="DZH59" s="1222"/>
      <c r="DZI59" s="1222"/>
      <c r="DZJ59" s="1222"/>
      <c r="DZK59" s="1222"/>
      <c r="DZL59" s="1222"/>
      <c r="DZM59" s="1222"/>
      <c r="DZN59" s="1222"/>
      <c r="DZO59" s="1222"/>
      <c r="DZP59" s="1222"/>
      <c r="DZQ59" s="1222"/>
      <c r="DZR59" s="1222"/>
      <c r="DZS59" s="1222"/>
      <c r="DZT59" s="1222"/>
      <c r="DZU59" s="1222"/>
      <c r="DZV59" s="1222"/>
      <c r="DZW59" s="1222"/>
      <c r="DZX59" s="1222"/>
      <c r="DZY59" s="1222"/>
      <c r="DZZ59" s="1222"/>
      <c r="EAA59" s="1222"/>
      <c r="EAB59" s="1222"/>
      <c r="EAC59" s="1222"/>
      <c r="EAD59" s="1222"/>
      <c r="EAE59" s="1222"/>
      <c r="EAF59" s="1222"/>
      <c r="EAG59" s="1222"/>
      <c r="EAH59" s="1222"/>
      <c r="EAI59" s="1222"/>
      <c r="EAJ59" s="1222"/>
      <c r="EAK59" s="1222"/>
      <c r="EAL59" s="1222"/>
      <c r="EAM59" s="1222"/>
      <c r="EAN59" s="1222"/>
      <c r="EAO59" s="1222"/>
      <c r="EAP59" s="1222"/>
      <c r="EAQ59" s="1222"/>
      <c r="EAR59" s="1222"/>
      <c r="EAS59" s="1222"/>
      <c r="EAT59" s="1222"/>
      <c r="EAU59" s="1222"/>
      <c r="EAV59" s="1222"/>
      <c r="EAW59" s="1222"/>
      <c r="EAX59" s="1222"/>
      <c r="EAY59" s="1222"/>
      <c r="EAZ59" s="1222"/>
      <c r="EBA59" s="1222"/>
      <c r="EBB59" s="1222"/>
      <c r="EBC59" s="1222"/>
      <c r="EBD59" s="1222"/>
      <c r="EBE59" s="1222"/>
      <c r="EBF59" s="1222"/>
      <c r="EBG59" s="1222"/>
      <c r="EBH59" s="1222"/>
      <c r="EBI59" s="1222"/>
      <c r="EBJ59" s="1222"/>
      <c r="EBK59" s="1222"/>
      <c r="EBL59" s="1222"/>
      <c r="EBM59" s="1222"/>
      <c r="EBN59" s="1222"/>
      <c r="EBO59" s="1222"/>
      <c r="EBP59" s="1222"/>
      <c r="EBQ59" s="1222"/>
      <c r="EBR59" s="1222"/>
      <c r="EBS59" s="1222"/>
      <c r="EBT59" s="1222"/>
      <c r="EBU59" s="1222"/>
      <c r="EBV59" s="1222"/>
      <c r="EBW59" s="1222"/>
      <c r="EBX59" s="1222"/>
      <c r="EBY59" s="1222"/>
      <c r="EBZ59" s="1222"/>
      <c r="ECA59" s="1222"/>
      <c r="ECB59" s="1222"/>
      <c r="ECC59" s="1222"/>
      <c r="ECD59" s="1222"/>
      <c r="ECE59" s="1222"/>
      <c r="ECF59" s="1222"/>
      <c r="ECG59" s="1222"/>
      <c r="ECH59" s="1222"/>
      <c r="ECI59" s="1222"/>
      <c r="ECJ59" s="1222"/>
      <c r="ECK59" s="1222"/>
      <c r="ECL59" s="1222"/>
      <c r="ECM59" s="1222"/>
      <c r="ECN59" s="1222"/>
      <c r="ECO59" s="1222"/>
    </row>
    <row r="60" spans="2:3473" ht="16" hidden="1" thickBot="1">
      <c r="B60" s="1301"/>
      <c r="C60" s="2363"/>
      <c r="D60" s="1302" t="s">
        <v>3162</v>
      </c>
      <c r="E60" s="1303"/>
      <c r="F60" s="1303"/>
      <c r="G60" s="1303"/>
      <c r="H60" s="1303"/>
      <c r="I60" s="1303"/>
      <c r="J60" s="1303"/>
      <c r="K60" s="1303"/>
      <c r="L60" s="1303"/>
      <c r="M60" s="1303"/>
      <c r="N60" s="1303"/>
      <c r="O60" s="1303"/>
      <c r="P60" s="1303"/>
      <c r="Q60" s="1303"/>
      <c r="R60" s="1303"/>
      <c r="S60" s="1303"/>
      <c r="T60" s="1303"/>
      <c r="U60" s="1303"/>
      <c r="V60" s="1303"/>
      <c r="W60" s="1303"/>
      <c r="X60" s="1303"/>
      <c r="Y60" s="1303"/>
      <c r="Z60" s="1303"/>
      <c r="AA60" s="1303"/>
      <c r="AB60" s="1303"/>
      <c r="AC60" s="1303"/>
      <c r="AD60" s="1303"/>
      <c r="AE60" s="1303"/>
      <c r="AF60" s="1304"/>
      <c r="AG60" s="1305"/>
      <c r="AH60" s="1305"/>
      <c r="AI60" s="1305"/>
      <c r="AJ60" s="1305"/>
      <c r="AK60" s="1305"/>
      <c r="AL60" s="1305"/>
      <c r="AM60" s="1305"/>
      <c r="AN60" s="1305"/>
      <c r="AO60" s="1305"/>
      <c r="AP60" s="1305"/>
      <c r="AQ60" s="1305"/>
      <c r="AR60" s="1305"/>
      <c r="AS60" s="1305"/>
      <c r="AT60" s="1305"/>
      <c r="AU60" s="1305"/>
      <c r="AV60" s="1305"/>
      <c r="AW60" s="1305"/>
      <c r="AX60" s="1305"/>
      <c r="AY60" s="1305"/>
      <c r="AZ60" s="1305"/>
      <c r="BA60" s="1305"/>
      <c r="BB60" s="1305"/>
      <c r="BC60" s="1305"/>
      <c r="BD60" s="1305"/>
      <c r="BE60" s="1305"/>
      <c r="BF60" s="1305"/>
      <c r="BG60" s="1305"/>
      <c r="BH60" s="1305"/>
      <c r="BI60" s="1305"/>
      <c r="BJ60" s="1306"/>
      <c r="BK60" s="1306"/>
      <c r="BL60" s="1306"/>
      <c r="BM60" s="1307"/>
      <c r="BN60" s="1221"/>
      <c r="BO60" s="1221"/>
      <c r="BP60" s="1221"/>
      <c r="BQ60" s="1221"/>
      <c r="BR60" s="1222"/>
      <c r="BS60" s="1222"/>
      <c r="BT60" s="1222"/>
      <c r="BU60" s="1222"/>
      <c r="BV60" s="1222"/>
      <c r="BW60" s="1222"/>
      <c r="BX60" s="1222"/>
      <c r="BY60" s="1222"/>
      <c r="BZ60" s="1222"/>
      <c r="CA60" s="1222"/>
      <c r="CB60" s="1222"/>
      <c r="CC60" s="1222"/>
      <c r="CD60" s="1222"/>
      <c r="CE60" s="1222"/>
      <c r="CF60" s="1222"/>
      <c r="CG60" s="1222"/>
      <c r="CH60" s="1222"/>
      <c r="CI60" s="1222"/>
      <c r="CJ60" s="1222"/>
      <c r="CK60" s="1222"/>
      <c r="CL60" s="1222"/>
      <c r="CM60" s="1222"/>
      <c r="CN60" s="1222"/>
      <c r="CO60" s="1222"/>
      <c r="CP60" s="1222"/>
      <c r="CQ60" s="1222"/>
      <c r="CR60" s="1222"/>
      <c r="CS60" s="1222"/>
      <c r="CT60" s="1222"/>
      <c r="CU60" s="1222"/>
      <c r="CV60" s="1222"/>
      <c r="CW60" s="1222"/>
      <c r="CX60" s="1222"/>
      <c r="CY60" s="1222"/>
      <c r="CZ60" s="1222"/>
      <c r="DA60" s="1222"/>
      <c r="DB60" s="1222"/>
      <c r="DC60" s="1222"/>
      <c r="DD60" s="1222"/>
      <c r="DE60" s="1222"/>
      <c r="DF60" s="1222"/>
      <c r="DG60" s="1222"/>
      <c r="DH60" s="1222"/>
      <c r="DI60" s="1222"/>
      <c r="DJ60" s="1222"/>
      <c r="DK60" s="1222"/>
      <c r="DL60" s="1222"/>
      <c r="DM60" s="1222"/>
      <c r="DN60" s="1222"/>
      <c r="DO60" s="1222"/>
      <c r="DP60" s="1222"/>
      <c r="DQ60" s="1222"/>
      <c r="DR60" s="1222"/>
      <c r="DS60" s="1222"/>
      <c r="DT60" s="1222"/>
      <c r="DU60" s="1222"/>
      <c r="DV60" s="1222"/>
      <c r="DW60" s="1222"/>
      <c r="DX60" s="1222"/>
      <c r="DY60" s="1222"/>
      <c r="DZ60" s="1222"/>
      <c r="EA60" s="1222"/>
      <c r="EB60" s="1222"/>
      <c r="EC60" s="1222"/>
      <c r="ED60" s="1222"/>
      <c r="EE60" s="1222"/>
      <c r="EF60" s="1222"/>
      <c r="EG60" s="1222"/>
      <c r="EH60" s="1222"/>
      <c r="EI60" s="1222"/>
      <c r="EJ60" s="1222"/>
      <c r="EK60" s="1222"/>
      <c r="EL60" s="1222"/>
      <c r="EM60" s="1222"/>
      <c r="EN60" s="1222"/>
      <c r="EO60" s="1222"/>
      <c r="EP60" s="1222"/>
      <c r="EQ60" s="1222"/>
      <c r="ER60" s="1222"/>
      <c r="ES60" s="1222"/>
      <c r="ET60" s="1222"/>
      <c r="EU60" s="1222"/>
      <c r="EV60" s="1222"/>
      <c r="EW60" s="1222"/>
      <c r="EX60" s="1222"/>
      <c r="EY60" s="1222"/>
      <c r="EZ60" s="1222"/>
      <c r="FA60" s="1222"/>
      <c r="FB60" s="1222"/>
      <c r="FC60" s="1222"/>
      <c r="FD60" s="1222"/>
      <c r="FE60" s="1222"/>
      <c r="FF60" s="1222"/>
      <c r="FG60" s="1222"/>
      <c r="FH60" s="1222"/>
      <c r="FI60" s="1222"/>
      <c r="FJ60" s="1222"/>
      <c r="FK60" s="1222"/>
      <c r="FL60" s="1222"/>
      <c r="FM60" s="1222"/>
      <c r="FN60" s="1222"/>
      <c r="FO60" s="1222"/>
      <c r="FP60" s="1222"/>
      <c r="FQ60" s="1222"/>
      <c r="FR60" s="1222"/>
      <c r="FS60" s="1222"/>
      <c r="FT60" s="1222"/>
      <c r="FU60" s="1222"/>
      <c r="FV60" s="1222"/>
      <c r="FW60" s="1222"/>
      <c r="FX60" s="1222"/>
      <c r="FY60" s="1222"/>
      <c r="FZ60" s="1222"/>
      <c r="GA60" s="1222"/>
      <c r="GB60" s="1222"/>
      <c r="GC60" s="1222"/>
      <c r="GD60" s="1222"/>
      <c r="GE60" s="1222"/>
      <c r="GF60" s="1222"/>
      <c r="GG60" s="1222"/>
      <c r="GH60" s="1222"/>
      <c r="GI60" s="1222"/>
      <c r="GJ60" s="1222"/>
      <c r="GK60" s="1222"/>
      <c r="GL60" s="1222"/>
      <c r="GM60" s="1222"/>
      <c r="GN60" s="1222"/>
      <c r="GO60" s="1222"/>
      <c r="GP60" s="1222"/>
      <c r="GQ60" s="1222"/>
      <c r="GR60" s="1222"/>
      <c r="GS60" s="1222"/>
      <c r="GT60" s="1222"/>
      <c r="GU60" s="1222"/>
      <c r="GV60" s="1222"/>
      <c r="GW60" s="1222"/>
      <c r="GX60" s="1222"/>
      <c r="GY60" s="1222"/>
      <c r="GZ60" s="1222"/>
      <c r="HA60" s="1222"/>
      <c r="HB60" s="1222"/>
      <c r="HC60" s="1222"/>
      <c r="HD60" s="1222"/>
      <c r="HE60" s="1222"/>
      <c r="HF60" s="1222"/>
      <c r="HG60" s="1222"/>
      <c r="HH60" s="1222"/>
      <c r="HI60" s="1222"/>
      <c r="HJ60" s="1222"/>
      <c r="HK60" s="1222"/>
      <c r="HL60" s="1222"/>
      <c r="HM60" s="1222"/>
      <c r="HN60" s="1222"/>
      <c r="HO60" s="1222"/>
      <c r="HP60" s="1222"/>
      <c r="HQ60" s="1222"/>
      <c r="HR60" s="1222"/>
      <c r="HS60" s="1222"/>
      <c r="HT60" s="1222"/>
      <c r="HU60" s="1222"/>
      <c r="HV60" s="1222"/>
      <c r="HW60" s="1222"/>
      <c r="HX60" s="1222"/>
      <c r="HY60" s="1222"/>
      <c r="HZ60" s="1222"/>
      <c r="IA60" s="1222"/>
      <c r="IB60" s="1222"/>
      <c r="IC60" s="1222"/>
      <c r="ID60" s="1222"/>
      <c r="IE60" s="1222"/>
      <c r="IF60" s="1222"/>
      <c r="IG60" s="1222"/>
      <c r="IH60" s="1222"/>
      <c r="II60" s="1222"/>
      <c r="IJ60" s="1222"/>
      <c r="IK60" s="1222"/>
      <c r="IL60" s="1222"/>
      <c r="IM60" s="1222"/>
      <c r="IN60" s="1222"/>
      <c r="IO60" s="1222"/>
      <c r="IP60" s="1222"/>
      <c r="IQ60" s="1222"/>
      <c r="IR60" s="1222"/>
      <c r="IS60" s="1222"/>
      <c r="IT60" s="1222"/>
      <c r="IU60" s="1222"/>
      <c r="IV60" s="1222"/>
      <c r="IW60" s="1222"/>
      <c r="IX60" s="1222"/>
      <c r="IY60" s="1222"/>
      <c r="IZ60" s="1222"/>
      <c r="JA60" s="1222"/>
      <c r="JB60" s="1222"/>
      <c r="JC60" s="1222"/>
      <c r="JD60" s="1222"/>
      <c r="JE60" s="1222"/>
      <c r="JF60" s="1222"/>
      <c r="JG60" s="1222"/>
      <c r="JH60" s="1222"/>
      <c r="JI60" s="1222"/>
      <c r="JJ60" s="1222"/>
      <c r="JK60" s="1222"/>
      <c r="JL60" s="1222"/>
      <c r="JM60" s="1222"/>
      <c r="JN60" s="1222"/>
      <c r="JO60" s="1222"/>
      <c r="JP60" s="1222"/>
      <c r="JQ60" s="1222"/>
      <c r="JR60" s="1222"/>
      <c r="JS60" s="1222"/>
      <c r="JT60" s="1222"/>
      <c r="JU60" s="1222"/>
      <c r="JV60" s="1222"/>
      <c r="JW60" s="1222"/>
      <c r="JX60" s="1222"/>
      <c r="JY60" s="1222"/>
      <c r="JZ60" s="1222"/>
      <c r="KA60" s="1222"/>
      <c r="KB60" s="1222"/>
      <c r="KC60" s="1222"/>
      <c r="KD60" s="1222"/>
      <c r="KE60" s="1222"/>
      <c r="KF60" s="1222"/>
      <c r="KG60" s="1222"/>
      <c r="KH60" s="1222"/>
      <c r="KI60" s="1222"/>
      <c r="KJ60" s="1222"/>
      <c r="KK60" s="1222"/>
      <c r="KL60" s="1222"/>
      <c r="KM60" s="1222"/>
      <c r="KN60" s="1222"/>
      <c r="KO60" s="1222"/>
      <c r="KP60" s="1222"/>
      <c r="KQ60" s="1222"/>
      <c r="KR60" s="1222"/>
      <c r="KS60" s="1222"/>
      <c r="KT60" s="1222"/>
      <c r="KU60" s="1222"/>
      <c r="KV60" s="1222"/>
      <c r="KW60" s="1222"/>
      <c r="KX60" s="1222"/>
      <c r="KY60" s="1222"/>
      <c r="KZ60" s="1222"/>
      <c r="LA60" s="1222"/>
      <c r="LB60" s="1222"/>
      <c r="LC60" s="1222"/>
      <c r="LD60" s="1222"/>
      <c r="LE60" s="1222"/>
      <c r="LF60" s="1222"/>
      <c r="LG60" s="1222"/>
      <c r="LH60" s="1222"/>
      <c r="LI60" s="1222"/>
      <c r="LJ60" s="1222"/>
      <c r="LK60" s="1222"/>
      <c r="LL60" s="1222"/>
      <c r="LM60" s="1222"/>
      <c r="LN60" s="1222"/>
      <c r="LO60" s="1222"/>
      <c r="LP60" s="1222"/>
      <c r="LQ60" s="1222"/>
      <c r="LR60" s="1222"/>
      <c r="LS60" s="1222"/>
      <c r="LT60" s="1222"/>
      <c r="LU60" s="1222"/>
      <c r="LV60" s="1222"/>
      <c r="LW60" s="1222"/>
      <c r="LX60" s="1222"/>
      <c r="LY60" s="1222"/>
      <c r="LZ60" s="1222"/>
      <c r="MA60" s="1222"/>
      <c r="MB60" s="1222"/>
      <c r="MC60" s="1222"/>
      <c r="MD60" s="1222"/>
      <c r="ME60" s="1222"/>
      <c r="MF60" s="1222"/>
      <c r="MG60" s="1222"/>
      <c r="MH60" s="1222"/>
      <c r="MI60" s="1222"/>
      <c r="MJ60" s="1222"/>
      <c r="MK60" s="1222"/>
      <c r="ML60" s="1222"/>
      <c r="MM60" s="1222"/>
      <c r="MN60" s="1222"/>
      <c r="MO60" s="1222"/>
      <c r="MP60" s="1222"/>
      <c r="MQ60" s="1222"/>
      <c r="MR60" s="1222"/>
      <c r="MS60" s="1222"/>
      <c r="MT60" s="1222"/>
      <c r="MU60" s="1222"/>
      <c r="MV60" s="1222"/>
      <c r="MW60" s="1222"/>
      <c r="MX60" s="1222"/>
      <c r="MY60" s="1222"/>
      <c r="MZ60" s="1222"/>
      <c r="NA60" s="1222"/>
      <c r="NB60" s="1222"/>
      <c r="NC60" s="1222"/>
      <c r="ND60" s="1222"/>
      <c r="NE60" s="1222"/>
      <c r="NF60" s="1222"/>
      <c r="NG60" s="1222"/>
      <c r="NH60" s="1222"/>
      <c r="NI60" s="1222"/>
      <c r="NJ60" s="1222"/>
      <c r="NK60" s="1222"/>
      <c r="NL60" s="1222"/>
      <c r="NM60" s="1222"/>
      <c r="NN60" s="1222"/>
      <c r="NO60" s="1222"/>
      <c r="NP60" s="1222"/>
      <c r="NQ60" s="1222"/>
      <c r="NR60" s="1222"/>
      <c r="NS60" s="1222"/>
      <c r="NT60" s="1222"/>
      <c r="NU60" s="1222"/>
      <c r="NV60" s="1222"/>
      <c r="NW60" s="1222"/>
      <c r="NX60" s="1222"/>
      <c r="NY60" s="1222"/>
      <c r="NZ60" s="1222"/>
      <c r="OA60" s="1222"/>
      <c r="OB60" s="1222"/>
      <c r="OC60" s="1222"/>
      <c r="OD60" s="1222"/>
      <c r="OE60" s="1222"/>
      <c r="OF60" s="1222"/>
      <c r="OG60" s="1222"/>
      <c r="OH60" s="1222"/>
      <c r="OI60" s="1222"/>
      <c r="OJ60" s="1222"/>
      <c r="OK60" s="1222"/>
      <c r="OL60" s="1222"/>
      <c r="OM60" s="1222"/>
      <c r="ON60" s="1222"/>
      <c r="OO60" s="1222"/>
      <c r="OP60" s="1222"/>
      <c r="OQ60" s="1222"/>
      <c r="OR60" s="1222"/>
      <c r="OS60" s="1222"/>
      <c r="OT60" s="1222"/>
      <c r="OU60" s="1222"/>
      <c r="OV60" s="1222"/>
      <c r="OW60" s="1222"/>
      <c r="OX60" s="1222"/>
      <c r="OY60" s="1222"/>
      <c r="OZ60" s="1222"/>
      <c r="PA60" s="1222"/>
      <c r="PB60" s="1222"/>
      <c r="PC60" s="1222"/>
      <c r="PD60" s="1222"/>
      <c r="PE60" s="1222"/>
      <c r="PF60" s="1222"/>
      <c r="PG60" s="1222"/>
      <c r="PH60" s="1222"/>
      <c r="PI60" s="1222"/>
      <c r="PJ60" s="1222"/>
      <c r="PK60" s="1222"/>
      <c r="PL60" s="1222"/>
      <c r="PM60" s="1222"/>
      <c r="PN60" s="1222"/>
      <c r="PO60" s="1222"/>
      <c r="PP60" s="1222"/>
      <c r="PQ60" s="1222"/>
      <c r="PR60" s="1222"/>
      <c r="PS60" s="1222"/>
      <c r="PT60" s="1222"/>
      <c r="PU60" s="1222"/>
      <c r="PV60" s="1222"/>
      <c r="PW60" s="1222"/>
      <c r="PX60" s="1222"/>
      <c r="PY60" s="1222"/>
      <c r="PZ60" s="1222"/>
      <c r="QA60" s="1222"/>
      <c r="QB60" s="1222"/>
      <c r="QC60" s="1222"/>
      <c r="QD60" s="1222"/>
      <c r="QE60" s="1222"/>
      <c r="QF60" s="1222"/>
      <c r="QG60" s="1222"/>
      <c r="QH60" s="1222"/>
      <c r="QI60" s="1222"/>
      <c r="QJ60" s="1222"/>
      <c r="QK60" s="1222"/>
      <c r="QL60" s="1222"/>
      <c r="QM60" s="1222"/>
      <c r="QN60" s="1222"/>
      <c r="QO60" s="1222"/>
      <c r="QP60" s="1222"/>
      <c r="QQ60" s="1222"/>
      <c r="QR60" s="1222"/>
      <c r="QS60" s="1222"/>
      <c r="QT60" s="1222"/>
      <c r="QU60" s="1222"/>
      <c r="QV60" s="1222"/>
      <c r="QW60" s="1222"/>
      <c r="QX60" s="1222"/>
      <c r="QY60" s="1222"/>
      <c r="QZ60" s="1222"/>
      <c r="RA60" s="1222"/>
      <c r="RB60" s="1222"/>
      <c r="RC60" s="1222"/>
      <c r="RD60" s="1222"/>
      <c r="RE60" s="1222"/>
      <c r="RF60" s="1222"/>
      <c r="RG60" s="1222"/>
      <c r="RH60" s="1222"/>
      <c r="RI60" s="1222"/>
      <c r="RJ60" s="1222"/>
      <c r="RK60" s="1222"/>
      <c r="RL60" s="1222"/>
      <c r="RM60" s="1222"/>
      <c r="RN60" s="1222"/>
      <c r="RO60" s="1222"/>
      <c r="RP60" s="1222"/>
      <c r="RQ60" s="1222"/>
      <c r="RR60" s="1222"/>
      <c r="RS60" s="1222"/>
      <c r="RT60" s="1222"/>
      <c r="RU60" s="1222"/>
      <c r="RV60" s="1222"/>
      <c r="RW60" s="1222"/>
      <c r="RX60" s="1222"/>
      <c r="RY60" s="1222"/>
      <c r="RZ60" s="1222"/>
      <c r="SA60" s="1222"/>
      <c r="SB60" s="1222"/>
      <c r="SC60" s="1222"/>
      <c r="SD60" s="1222"/>
      <c r="SE60" s="1222"/>
      <c r="SF60" s="1222"/>
      <c r="SG60" s="1222"/>
      <c r="SH60" s="1222"/>
      <c r="SI60" s="1222"/>
      <c r="SJ60" s="1222"/>
      <c r="SK60" s="1222"/>
      <c r="SL60" s="1222"/>
      <c r="SM60" s="1222"/>
      <c r="SN60" s="1222"/>
      <c r="SO60" s="1222"/>
      <c r="SP60" s="1222"/>
      <c r="SQ60" s="1222"/>
      <c r="SR60" s="1222"/>
      <c r="SS60" s="1222"/>
      <c r="ST60" s="1222"/>
      <c r="SU60" s="1222"/>
      <c r="SV60" s="1222"/>
      <c r="SW60" s="1222"/>
      <c r="SX60" s="1222"/>
      <c r="SY60" s="1222"/>
      <c r="SZ60" s="1222"/>
      <c r="TA60" s="1222"/>
      <c r="TB60" s="1222"/>
      <c r="TC60" s="1222"/>
      <c r="TD60" s="1222"/>
      <c r="TE60" s="1222"/>
      <c r="TF60" s="1222"/>
      <c r="TG60" s="1222"/>
      <c r="TH60" s="1222"/>
      <c r="TI60" s="1222"/>
      <c r="TJ60" s="1222"/>
      <c r="TK60" s="1222"/>
      <c r="TL60" s="1222"/>
      <c r="TM60" s="1222"/>
      <c r="TN60" s="1222"/>
      <c r="TO60" s="1222"/>
      <c r="TP60" s="1222"/>
      <c r="TQ60" s="1222"/>
      <c r="TR60" s="1222"/>
      <c r="TS60" s="1222"/>
      <c r="TT60" s="1222"/>
      <c r="TU60" s="1222"/>
      <c r="TV60" s="1222"/>
      <c r="TW60" s="1222"/>
      <c r="TX60" s="1222"/>
      <c r="TY60" s="1222"/>
      <c r="TZ60" s="1222"/>
      <c r="UA60" s="1222"/>
      <c r="UB60" s="1222"/>
      <c r="UC60" s="1222"/>
      <c r="UD60" s="1222"/>
      <c r="UE60" s="1222"/>
      <c r="UF60" s="1222"/>
      <c r="UG60" s="1222"/>
      <c r="UH60" s="1222"/>
      <c r="UI60" s="1222"/>
      <c r="UJ60" s="1222"/>
      <c r="UK60" s="1222"/>
      <c r="UL60" s="1222"/>
      <c r="UM60" s="1222"/>
      <c r="UN60" s="1222"/>
      <c r="UO60" s="1222"/>
      <c r="UP60" s="1222"/>
      <c r="UQ60" s="1222"/>
      <c r="UR60" s="1222"/>
      <c r="US60" s="1222"/>
      <c r="UT60" s="1222"/>
      <c r="UU60" s="1222"/>
      <c r="UV60" s="1222"/>
      <c r="UW60" s="1222"/>
      <c r="UX60" s="1222"/>
      <c r="UY60" s="1222"/>
      <c r="UZ60" s="1222"/>
      <c r="VA60" s="1222"/>
      <c r="VB60" s="1222"/>
      <c r="VC60" s="1222"/>
      <c r="VD60" s="1222"/>
      <c r="VE60" s="1222"/>
      <c r="VF60" s="1222"/>
      <c r="VG60" s="1222"/>
      <c r="VH60" s="1222"/>
      <c r="VI60" s="1222"/>
      <c r="VJ60" s="1222"/>
      <c r="VK60" s="1222"/>
      <c r="VL60" s="1222"/>
      <c r="VM60" s="1222"/>
      <c r="VN60" s="1222"/>
      <c r="VO60" s="1222"/>
      <c r="VP60" s="1222"/>
      <c r="VQ60" s="1222"/>
      <c r="VR60" s="1222"/>
      <c r="VS60" s="1222"/>
      <c r="VT60" s="1222"/>
      <c r="VU60" s="1222"/>
      <c r="VV60" s="1222"/>
      <c r="VW60" s="1222"/>
      <c r="VX60" s="1222"/>
      <c r="VY60" s="1222"/>
      <c r="VZ60" s="1222"/>
      <c r="WA60" s="1222"/>
      <c r="WB60" s="1222"/>
      <c r="WC60" s="1222"/>
      <c r="WD60" s="1222"/>
      <c r="WE60" s="1222"/>
      <c r="WF60" s="1222"/>
      <c r="WG60" s="1222"/>
      <c r="WH60" s="1222"/>
      <c r="WI60" s="1222"/>
      <c r="WJ60" s="1222"/>
      <c r="WK60" s="1222"/>
      <c r="WL60" s="1222"/>
      <c r="WM60" s="1222"/>
      <c r="WN60" s="1222"/>
      <c r="WO60" s="1222"/>
      <c r="WP60" s="1222"/>
      <c r="WQ60" s="1222"/>
      <c r="WR60" s="1222"/>
      <c r="WS60" s="1222"/>
      <c r="WT60" s="1222"/>
      <c r="WU60" s="1222"/>
      <c r="WV60" s="1222"/>
      <c r="WW60" s="1222"/>
      <c r="WX60" s="1222"/>
      <c r="WY60" s="1222"/>
      <c r="WZ60" s="1222"/>
      <c r="XA60" s="1222"/>
      <c r="XB60" s="1222"/>
      <c r="XC60" s="1222"/>
      <c r="XD60" s="1222"/>
      <c r="XE60" s="1222"/>
      <c r="XF60" s="1222"/>
      <c r="XG60" s="1222"/>
      <c r="XH60" s="1222"/>
      <c r="XI60" s="1222"/>
      <c r="XJ60" s="1222"/>
      <c r="XK60" s="1222"/>
      <c r="XL60" s="1222"/>
      <c r="XM60" s="1222"/>
      <c r="XN60" s="1222"/>
      <c r="XO60" s="1222"/>
      <c r="XP60" s="1222"/>
      <c r="XQ60" s="1222"/>
      <c r="XR60" s="1222"/>
      <c r="XS60" s="1222"/>
      <c r="XT60" s="1222"/>
      <c r="XU60" s="1222"/>
      <c r="XV60" s="1222"/>
      <c r="XW60" s="1222"/>
      <c r="XX60" s="1222"/>
      <c r="XY60" s="1222"/>
      <c r="XZ60" s="1222"/>
      <c r="YA60" s="1222"/>
      <c r="YB60" s="1222"/>
      <c r="YC60" s="1222"/>
      <c r="YD60" s="1222"/>
      <c r="YE60" s="1222"/>
      <c r="YF60" s="1222"/>
      <c r="YG60" s="1222"/>
      <c r="YH60" s="1222"/>
      <c r="YI60" s="1222"/>
      <c r="YJ60" s="1222"/>
      <c r="YK60" s="1222"/>
      <c r="YL60" s="1222"/>
      <c r="YM60" s="1222"/>
      <c r="YN60" s="1222"/>
      <c r="YO60" s="1222"/>
      <c r="YP60" s="1222"/>
      <c r="YQ60" s="1222"/>
      <c r="YR60" s="1222"/>
      <c r="YS60" s="1222"/>
      <c r="YT60" s="1222"/>
      <c r="YU60" s="1222"/>
      <c r="YV60" s="1222"/>
      <c r="YW60" s="1222"/>
      <c r="YX60" s="1222"/>
      <c r="YY60" s="1222"/>
      <c r="YZ60" s="1222"/>
      <c r="ZA60" s="1222"/>
      <c r="ZB60" s="1222"/>
      <c r="ZC60" s="1222"/>
      <c r="ZD60" s="1222"/>
      <c r="ZE60" s="1222"/>
      <c r="ZF60" s="1222"/>
      <c r="ZG60" s="1222"/>
      <c r="ZH60" s="1222"/>
      <c r="ZI60" s="1222"/>
      <c r="ZJ60" s="1222"/>
      <c r="ZK60" s="1222"/>
      <c r="ZL60" s="1222"/>
      <c r="ZM60" s="1222"/>
      <c r="ZN60" s="1222"/>
      <c r="ZO60" s="1222"/>
      <c r="ZP60" s="1222"/>
      <c r="ZQ60" s="1222"/>
      <c r="ZR60" s="1222"/>
      <c r="ZS60" s="1222"/>
      <c r="ZT60" s="1222"/>
      <c r="ZU60" s="1222"/>
      <c r="ZV60" s="1222"/>
      <c r="ZW60" s="1222"/>
      <c r="ZX60" s="1222"/>
      <c r="ZY60" s="1222"/>
      <c r="ZZ60" s="1222"/>
      <c r="AAA60" s="1222"/>
      <c r="AAB60" s="1222"/>
      <c r="AAC60" s="1222"/>
      <c r="AAD60" s="1222"/>
      <c r="AAE60" s="1222"/>
      <c r="AAF60" s="1222"/>
      <c r="AAG60" s="1222"/>
      <c r="AAH60" s="1222"/>
      <c r="AAI60" s="1222"/>
      <c r="AAJ60" s="1222"/>
      <c r="AAK60" s="1222"/>
      <c r="AAL60" s="1222"/>
      <c r="AAM60" s="1222"/>
      <c r="AAN60" s="1222"/>
      <c r="AAO60" s="1222"/>
      <c r="AAP60" s="1222"/>
      <c r="AAQ60" s="1222"/>
      <c r="AAR60" s="1222"/>
      <c r="AAS60" s="1222"/>
      <c r="AAT60" s="1222"/>
      <c r="AAU60" s="1222"/>
      <c r="AAV60" s="1222"/>
      <c r="AAW60" s="1222"/>
      <c r="AAX60" s="1222"/>
      <c r="AAY60" s="1222"/>
      <c r="AAZ60" s="1222"/>
      <c r="ABA60" s="1222"/>
      <c r="ABB60" s="1222"/>
      <c r="ABC60" s="1222"/>
      <c r="ABD60" s="1222"/>
      <c r="ABE60" s="1222"/>
      <c r="ABF60" s="1222"/>
      <c r="ABG60" s="1222"/>
      <c r="ABH60" s="1222"/>
      <c r="ABI60" s="1222"/>
      <c r="ABJ60" s="1222"/>
      <c r="ABK60" s="1222"/>
      <c r="ABL60" s="1222"/>
      <c r="ABM60" s="1222"/>
      <c r="ABN60" s="1222"/>
      <c r="ABO60" s="1222"/>
      <c r="ABP60" s="1222"/>
      <c r="ABQ60" s="1222"/>
      <c r="ABR60" s="1222"/>
      <c r="ABS60" s="1222"/>
      <c r="ABT60" s="1222"/>
      <c r="ABU60" s="1222"/>
      <c r="ABV60" s="1222"/>
      <c r="ABW60" s="1222"/>
      <c r="ABX60" s="1222"/>
      <c r="ABY60" s="1222"/>
      <c r="ABZ60" s="1222"/>
      <c r="ACA60" s="1222"/>
      <c r="ACB60" s="1222"/>
      <c r="ACC60" s="1222"/>
      <c r="ACD60" s="1222"/>
      <c r="ACE60" s="1222"/>
      <c r="ACF60" s="1222"/>
      <c r="ACG60" s="1222"/>
      <c r="ACH60" s="1222"/>
      <c r="ACI60" s="1222"/>
      <c r="ACJ60" s="1222"/>
      <c r="ACK60" s="1222"/>
      <c r="ACL60" s="1222"/>
      <c r="ACM60" s="1222"/>
      <c r="ACN60" s="1222"/>
      <c r="ACO60" s="1222"/>
      <c r="ACP60" s="1222"/>
      <c r="ACQ60" s="1222"/>
      <c r="ACR60" s="1222"/>
      <c r="ACS60" s="1222"/>
      <c r="ACT60" s="1222"/>
      <c r="ACU60" s="1222"/>
      <c r="ACV60" s="1222"/>
      <c r="ACW60" s="1222"/>
      <c r="ACX60" s="1222"/>
      <c r="ACY60" s="1222"/>
      <c r="ACZ60" s="1222"/>
      <c r="ADA60" s="1222"/>
      <c r="ADB60" s="1222"/>
      <c r="ADC60" s="1222"/>
      <c r="ADD60" s="1222"/>
      <c r="ADE60" s="1222"/>
      <c r="ADF60" s="1222"/>
      <c r="ADG60" s="1222"/>
      <c r="ADH60" s="1222"/>
      <c r="ADI60" s="1222"/>
      <c r="ADJ60" s="1222"/>
      <c r="ADK60" s="1222"/>
      <c r="ADL60" s="1222"/>
      <c r="ADM60" s="1222"/>
      <c r="ADN60" s="1222"/>
      <c r="ADO60" s="1222"/>
      <c r="ADP60" s="1222"/>
      <c r="ADQ60" s="1222"/>
      <c r="ADR60" s="1222"/>
      <c r="ADS60" s="1222"/>
      <c r="ADT60" s="1222"/>
      <c r="ADU60" s="1222"/>
      <c r="ADV60" s="1222"/>
      <c r="ADW60" s="1222"/>
      <c r="ADX60" s="1222"/>
      <c r="ADY60" s="1222"/>
      <c r="ADZ60" s="1222"/>
      <c r="AEA60" s="1222"/>
      <c r="AEB60" s="1222"/>
      <c r="AEC60" s="1222"/>
      <c r="AED60" s="1222"/>
      <c r="AEE60" s="1222"/>
      <c r="AEF60" s="1222"/>
      <c r="AEG60" s="1222"/>
      <c r="AEH60" s="1222"/>
      <c r="AEI60" s="1222"/>
      <c r="AEJ60" s="1222"/>
      <c r="AEK60" s="1222"/>
      <c r="AEL60" s="1222"/>
      <c r="AEM60" s="1222"/>
      <c r="AEN60" s="1222"/>
      <c r="AEO60" s="1222"/>
      <c r="AEP60" s="1222"/>
      <c r="AEQ60" s="1222"/>
      <c r="AER60" s="1222"/>
      <c r="AES60" s="1222"/>
      <c r="AET60" s="1222"/>
      <c r="AEU60" s="1222"/>
      <c r="AEV60" s="1222"/>
      <c r="AEW60" s="1222"/>
      <c r="AEX60" s="1222"/>
      <c r="AEY60" s="1222"/>
      <c r="AEZ60" s="1222"/>
      <c r="AFA60" s="1222"/>
      <c r="AFB60" s="1222"/>
      <c r="AFC60" s="1222"/>
      <c r="AFD60" s="1222"/>
      <c r="AFE60" s="1222"/>
      <c r="AFF60" s="1222"/>
      <c r="AFG60" s="1222"/>
      <c r="AFH60" s="1222"/>
      <c r="AFI60" s="1222"/>
      <c r="AFJ60" s="1222"/>
      <c r="AFK60" s="1222"/>
      <c r="AFL60" s="1222"/>
      <c r="AFM60" s="1222"/>
      <c r="AFN60" s="1222"/>
      <c r="AFO60" s="1222"/>
      <c r="AFP60" s="1222"/>
      <c r="AFQ60" s="1222"/>
      <c r="AFR60" s="1222"/>
      <c r="AFS60" s="1222"/>
      <c r="AFT60" s="1222"/>
      <c r="AFU60" s="1222"/>
      <c r="AFV60" s="1222"/>
      <c r="AFW60" s="1222"/>
      <c r="AFX60" s="1222"/>
      <c r="AFY60" s="1222"/>
      <c r="AFZ60" s="1222"/>
      <c r="AGA60" s="1222"/>
      <c r="AGB60" s="1222"/>
      <c r="AGC60" s="1222"/>
      <c r="AGD60" s="1222"/>
      <c r="AGE60" s="1222"/>
      <c r="AGF60" s="1222"/>
      <c r="AGG60" s="1222"/>
      <c r="AGH60" s="1222"/>
      <c r="AGI60" s="1222"/>
      <c r="AGJ60" s="1222"/>
      <c r="AGK60" s="1222"/>
      <c r="AGL60" s="1222"/>
      <c r="AGM60" s="1222"/>
      <c r="AGN60" s="1222"/>
      <c r="AGO60" s="1222"/>
      <c r="AGP60" s="1222"/>
      <c r="AGQ60" s="1222"/>
      <c r="AGR60" s="1222"/>
      <c r="AGS60" s="1222"/>
      <c r="AGT60" s="1222"/>
      <c r="AGU60" s="1222"/>
      <c r="AGV60" s="1222"/>
      <c r="AGW60" s="1222"/>
      <c r="AGX60" s="1222"/>
      <c r="AGY60" s="1222"/>
      <c r="AGZ60" s="1222"/>
      <c r="AHA60" s="1222"/>
      <c r="AHB60" s="1222"/>
      <c r="AHC60" s="1222"/>
      <c r="AHD60" s="1222"/>
      <c r="AHE60" s="1222"/>
      <c r="AHF60" s="1222"/>
      <c r="AHG60" s="1222"/>
      <c r="AHH60" s="1222"/>
      <c r="AHI60" s="1222"/>
      <c r="AHJ60" s="1222"/>
      <c r="AHK60" s="1222"/>
      <c r="AHL60" s="1222"/>
      <c r="AHM60" s="1222"/>
      <c r="AHN60" s="1222"/>
      <c r="AHO60" s="1222"/>
      <c r="AHP60" s="1222"/>
      <c r="AHQ60" s="1222"/>
      <c r="AHR60" s="1222"/>
      <c r="AHS60" s="1222"/>
      <c r="AHT60" s="1222"/>
      <c r="AHU60" s="1222"/>
      <c r="AHV60" s="1222"/>
      <c r="AHW60" s="1222"/>
      <c r="AHX60" s="1222"/>
      <c r="AHY60" s="1222"/>
      <c r="AHZ60" s="1222"/>
      <c r="AIA60" s="1222"/>
      <c r="AIB60" s="1222"/>
      <c r="AIC60" s="1222"/>
      <c r="AID60" s="1222"/>
      <c r="AIE60" s="1222"/>
      <c r="AIF60" s="1222"/>
      <c r="AIG60" s="1222"/>
      <c r="AIH60" s="1222"/>
      <c r="AII60" s="1222"/>
      <c r="AIJ60" s="1222"/>
      <c r="AIK60" s="1222"/>
      <c r="AIL60" s="1222"/>
      <c r="AIM60" s="1222"/>
      <c r="AIN60" s="1222"/>
      <c r="AIO60" s="1222"/>
      <c r="AIP60" s="1222"/>
      <c r="AIQ60" s="1222"/>
      <c r="AIR60" s="1222"/>
      <c r="AIS60" s="1222"/>
      <c r="AIT60" s="1222"/>
      <c r="AIU60" s="1222"/>
      <c r="AIV60" s="1222"/>
      <c r="AIW60" s="1222"/>
      <c r="AIX60" s="1222"/>
      <c r="AIY60" s="1222"/>
      <c r="AIZ60" s="1222"/>
      <c r="AJA60" s="1222"/>
      <c r="AJB60" s="1222"/>
      <c r="AJC60" s="1222"/>
      <c r="AJD60" s="1222"/>
      <c r="AJE60" s="1222"/>
      <c r="AJF60" s="1222"/>
      <c r="AJG60" s="1222"/>
      <c r="AJH60" s="1222"/>
      <c r="AJI60" s="1222"/>
      <c r="AJJ60" s="1222"/>
      <c r="AJK60" s="1222"/>
      <c r="AJL60" s="1222"/>
      <c r="AJM60" s="1222"/>
      <c r="AJN60" s="1222"/>
      <c r="AJO60" s="1222"/>
      <c r="AJP60" s="1222"/>
      <c r="AJQ60" s="1222"/>
      <c r="AJR60" s="1222"/>
      <c r="AJS60" s="1222"/>
      <c r="AJT60" s="1222"/>
      <c r="AJU60" s="1222"/>
      <c r="AJV60" s="1222"/>
      <c r="AJW60" s="1222"/>
      <c r="AJX60" s="1222"/>
      <c r="AJY60" s="1222"/>
      <c r="AJZ60" s="1222"/>
      <c r="AKA60" s="1222"/>
      <c r="AKB60" s="1222"/>
      <c r="AKC60" s="1222"/>
      <c r="AKD60" s="1222"/>
      <c r="AKE60" s="1222"/>
      <c r="AKF60" s="1222"/>
      <c r="AKG60" s="1222"/>
      <c r="AKH60" s="1222"/>
      <c r="AKI60" s="1222"/>
      <c r="AKJ60" s="1222"/>
      <c r="AKK60" s="1222"/>
      <c r="AKL60" s="1222"/>
      <c r="AKM60" s="1222"/>
      <c r="AKN60" s="1222"/>
      <c r="AKO60" s="1222"/>
      <c r="AKP60" s="1222"/>
      <c r="AKQ60" s="1222"/>
      <c r="AKR60" s="1222"/>
      <c r="AKS60" s="1222"/>
      <c r="AKT60" s="1222"/>
      <c r="AKU60" s="1222"/>
      <c r="AKV60" s="1222"/>
      <c r="AKW60" s="1222"/>
      <c r="AKX60" s="1222"/>
      <c r="AKY60" s="1222"/>
      <c r="AKZ60" s="1222"/>
      <c r="ALA60" s="1222"/>
      <c r="ALB60" s="1222"/>
      <c r="ALC60" s="1222"/>
      <c r="ALD60" s="1222"/>
      <c r="ALE60" s="1222"/>
      <c r="ALF60" s="1222"/>
      <c r="ALG60" s="1222"/>
      <c r="ALH60" s="1222"/>
      <c r="ALI60" s="1222"/>
      <c r="ALJ60" s="1222"/>
      <c r="ALK60" s="1222"/>
      <c r="ALL60" s="1222"/>
      <c r="ALM60" s="1222"/>
      <c r="ALN60" s="1222"/>
      <c r="ALO60" s="1222"/>
      <c r="ALP60" s="1222"/>
      <c r="ALQ60" s="1222"/>
      <c r="ALR60" s="1222"/>
      <c r="ALS60" s="1222"/>
      <c r="ALT60" s="1222"/>
      <c r="ALU60" s="1222"/>
      <c r="ALV60" s="1222"/>
      <c r="ALW60" s="1222"/>
      <c r="ALX60" s="1222"/>
      <c r="ALY60" s="1222"/>
      <c r="ALZ60" s="1222"/>
      <c r="AMA60" s="1222"/>
      <c r="AMB60" s="1222"/>
      <c r="AMC60" s="1222"/>
      <c r="AMD60" s="1222"/>
      <c r="AME60" s="1222"/>
      <c r="AMF60" s="1222"/>
      <c r="AMG60" s="1222"/>
      <c r="AMH60" s="1222"/>
      <c r="AMI60" s="1222"/>
      <c r="AMJ60" s="1222"/>
      <c r="AMK60" s="1222"/>
      <c r="AML60" s="1222"/>
      <c r="AMM60" s="1222"/>
      <c r="AMN60" s="1222"/>
      <c r="AMO60" s="1222"/>
      <c r="AMP60" s="1222"/>
      <c r="AMQ60" s="1222"/>
      <c r="AMR60" s="1222"/>
      <c r="AMS60" s="1222"/>
      <c r="AMT60" s="1222"/>
      <c r="AMU60" s="1222"/>
      <c r="AMV60" s="1222"/>
      <c r="AMW60" s="1222"/>
      <c r="AMX60" s="1222"/>
      <c r="AMY60" s="1222"/>
      <c r="AMZ60" s="1222"/>
      <c r="ANA60" s="1222"/>
      <c r="ANB60" s="1222"/>
      <c r="ANC60" s="1222"/>
      <c r="AND60" s="1222"/>
      <c r="ANE60" s="1222"/>
      <c r="ANF60" s="1222"/>
      <c r="ANG60" s="1222"/>
      <c r="ANH60" s="1222"/>
      <c r="ANI60" s="1222"/>
      <c r="ANJ60" s="1222"/>
      <c r="ANK60" s="1222"/>
      <c r="ANL60" s="1222"/>
      <c r="ANM60" s="1222"/>
      <c r="ANN60" s="1222"/>
      <c r="ANO60" s="1222"/>
      <c r="ANP60" s="1222"/>
      <c r="ANQ60" s="1222"/>
      <c r="ANR60" s="1222"/>
      <c r="ANS60" s="1222"/>
      <c r="ANT60" s="1222"/>
      <c r="ANU60" s="1222"/>
      <c r="ANV60" s="1222"/>
      <c r="ANW60" s="1222"/>
      <c r="ANX60" s="1222"/>
      <c r="ANY60" s="1222"/>
      <c r="ANZ60" s="1222"/>
      <c r="AOA60" s="1222"/>
      <c r="AOB60" s="1222"/>
      <c r="AOC60" s="1222"/>
      <c r="AOD60" s="1222"/>
      <c r="AOE60" s="1222"/>
      <c r="AOF60" s="1222"/>
      <c r="AOG60" s="1222"/>
      <c r="AOH60" s="1222"/>
      <c r="AOI60" s="1222"/>
      <c r="AOJ60" s="1222"/>
      <c r="AOK60" s="1222"/>
      <c r="AOL60" s="1222"/>
      <c r="AOM60" s="1222"/>
      <c r="AON60" s="1222"/>
      <c r="AOO60" s="1222"/>
      <c r="AOP60" s="1222"/>
      <c r="AOQ60" s="1222"/>
      <c r="AOR60" s="1222"/>
      <c r="AOS60" s="1222"/>
      <c r="AOT60" s="1222"/>
      <c r="AOU60" s="1222"/>
      <c r="AOV60" s="1222"/>
      <c r="AOW60" s="1222"/>
      <c r="AOX60" s="1222"/>
      <c r="AOY60" s="1222"/>
      <c r="AOZ60" s="1222"/>
      <c r="APA60" s="1222"/>
      <c r="APB60" s="1222"/>
      <c r="APC60" s="1222"/>
      <c r="APD60" s="1222"/>
      <c r="APE60" s="1222"/>
      <c r="APF60" s="1222"/>
      <c r="APG60" s="1222"/>
      <c r="APH60" s="1222"/>
      <c r="API60" s="1222"/>
      <c r="APJ60" s="1222"/>
      <c r="APK60" s="1222"/>
      <c r="APL60" s="1222"/>
      <c r="APM60" s="1222"/>
      <c r="APN60" s="1222"/>
      <c r="APO60" s="1222"/>
      <c r="APP60" s="1222"/>
      <c r="APQ60" s="1222"/>
      <c r="APR60" s="1222"/>
      <c r="APS60" s="1222"/>
      <c r="APT60" s="1222"/>
      <c r="APU60" s="1222"/>
      <c r="APV60" s="1222"/>
      <c r="APW60" s="1222"/>
      <c r="APX60" s="1222"/>
      <c r="APY60" s="1222"/>
      <c r="APZ60" s="1222"/>
      <c r="AQA60" s="1222"/>
      <c r="AQB60" s="1222"/>
      <c r="AQC60" s="1222"/>
      <c r="AQD60" s="1222"/>
      <c r="AQE60" s="1222"/>
      <c r="AQF60" s="1222"/>
      <c r="AQG60" s="1222"/>
      <c r="AQH60" s="1222"/>
      <c r="AQI60" s="1222"/>
      <c r="AQJ60" s="1222"/>
      <c r="AQK60" s="1222"/>
      <c r="AQL60" s="1222"/>
      <c r="AQM60" s="1222"/>
      <c r="AQN60" s="1222"/>
      <c r="AQO60" s="1222"/>
      <c r="AQP60" s="1222"/>
      <c r="AQQ60" s="1222"/>
      <c r="AQR60" s="1222"/>
      <c r="AQS60" s="1222"/>
      <c r="AQT60" s="1222"/>
      <c r="AQU60" s="1222"/>
      <c r="AQV60" s="1222"/>
      <c r="AQW60" s="1222"/>
      <c r="AQX60" s="1222"/>
      <c r="AQY60" s="1222"/>
      <c r="AQZ60" s="1222"/>
      <c r="ARA60" s="1222"/>
      <c r="ARB60" s="1222"/>
      <c r="ARC60" s="1222"/>
      <c r="ARD60" s="1222"/>
      <c r="ARE60" s="1222"/>
      <c r="ARF60" s="1222"/>
      <c r="ARG60" s="1222"/>
      <c r="ARH60" s="1222"/>
      <c r="ARI60" s="1222"/>
      <c r="ARJ60" s="1222"/>
      <c r="ARK60" s="1222"/>
      <c r="ARL60" s="1222"/>
      <c r="ARM60" s="1222"/>
      <c r="ARN60" s="1222"/>
      <c r="ARO60" s="1222"/>
      <c r="ARP60" s="1222"/>
      <c r="ARQ60" s="1222"/>
      <c r="ARR60" s="1222"/>
      <c r="ARS60" s="1222"/>
      <c r="ART60" s="1222"/>
      <c r="ARU60" s="1222"/>
      <c r="ARV60" s="1222"/>
      <c r="ARW60" s="1222"/>
      <c r="ARX60" s="1222"/>
      <c r="ARY60" s="1222"/>
      <c r="ARZ60" s="1222"/>
      <c r="ASA60" s="1222"/>
      <c r="ASB60" s="1222"/>
      <c r="ASC60" s="1222"/>
      <c r="ASD60" s="1222"/>
      <c r="ASE60" s="1222"/>
      <c r="ASF60" s="1222"/>
      <c r="ASG60" s="1222"/>
      <c r="ASH60" s="1222"/>
      <c r="ASI60" s="1222"/>
      <c r="ASJ60" s="1222"/>
      <c r="ASK60" s="1222"/>
      <c r="ASL60" s="1222"/>
      <c r="ASM60" s="1222"/>
      <c r="ASN60" s="1222"/>
      <c r="ASO60" s="1222"/>
      <c r="ASP60" s="1222"/>
      <c r="ASQ60" s="1222"/>
      <c r="ASR60" s="1222"/>
      <c r="ASS60" s="1222"/>
      <c r="AST60" s="1222"/>
      <c r="ASU60" s="1222"/>
      <c r="ASV60" s="1222"/>
      <c r="ASW60" s="1222"/>
      <c r="ASX60" s="1222"/>
      <c r="ASY60" s="1222"/>
      <c r="ASZ60" s="1222"/>
      <c r="ATA60" s="1222"/>
      <c r="ATB60" s="1222"/>
      <c r="ATC60" s="1222"/>
      <c r="ATD60" s="1222"/>
      <c r="ATE60" s="1222"/>
      <c r="ATF60" s="1222"/>
      <c r="ATG60" s="1222"/>
      <c r="ATH60" s="1222"/>
      <c r="ATI60" s="1222"/>
      <c r="ATJ60" s="1222"/>
      <c r="ATK60" s="1222"/>
      <c r="ATL60" s="1222"/>
      <c r="ATM60" s="1222"/>
      <c r="ATN60" s="1222"/>
      <c r="ATO60" s="1222"/>
      <c r="ATP60" s="1222"/>
      <c r="ATQ60" s="1222"/>
      <c r="ATR60" s="1222"/>
      <c r="ATS60" s="1222"/>
      <c r="ATT60" s="1222"/>
      <c r="ATU60" s="1222"/>
      <c r="ATV60" s="1222"/>
      <c r="ATW60" s="1222"/>
      <c r="ATX60" s="1222"/>
      <c r="ATY60" s="1222"/>
      <c r="ATZ60" s="1222"/>
      <c r="AUA60" s="1222"/>
      <c r="AUB60" s="1222"/>
      <c r="AUC60" s="1222"/>
      <c r="AUD60" s="1222"/>
      <c r="AUE60" s="1222"/>
      <c r="AUF60" s="1222"/>
      <c r="AUG60" s="1222"/>
      <c r="AUH60" s="1222"/>
      <c r="AUI60" s="1222"/>
      <c r="AUJ60" s="1222"/>
      <c r="AUK60" s="1222"/>
      <c r="AUL60" s="1222"/>
      <c r="AUM60" s="1222"/>
      <c r="AUN60" s="1222"/>
      <c r="AUO60" s="1222"/>
      <c r="AUP60" s="1222"/>
      <c r="AUQ60" s="1222"/>
      <c r="AUR60" s="1222"/>
      <c r="AUS60" s="1222"/>
      <c r="AUT60" s="1222"/>
      <c r="AUU60" s="1222"/>
      <c r="AUV60" s="1222"/>
      <c r="AUW60" s="1222"/>
      <c r="AUX60" s="1222"/>
      <c r="AUY60" s="1222"/>
      <c r="AUZ60" s="1222"/>
      <c r="AVA60" s="1222"/>
      <c r="AVB60" s="1222"/>
      <c r="AVC60" s="1222"/>
      <c r="AVD60" s="1222"/>
      <c r="AVE60" s="1222"/>
      <c r="AVF60" s="1222"/>
      <c r="AVG60" s="1222"/>
      <c r="AVH60" s="1222"/>
      <c r="AVI60" s="1222"/>
      <c r="AVJ60" s="1222"/>
      <c r="AVK60" s="1222"/>
      <c r="AVL60" s="1222"/>
      <c r="AVM60" s="1222"/>
      <c r="AVN60" s="1222"/>
      <c r="AVO60" s="1222"/>
      <c r="AVP60" s="1222"/>
      <c r="AVQ60" s="1222"/>
      <c r="AVR60" s="1222"/>
      <c r="AVS60" s="1222"/>
      <c r="AVT60" s="1222"/>
      <c r="AVU60" s="1222"/>
      <c r="AVV60" s="1222"/>
      <c r="AVW60" s="1222"/>
      <c r="AVX60" s="1222"/>
      <c r="AVY60" s="1222"/>
      <c r="AVZ60" s="1222"/>
      <c r="AWA60" s="1222"/>
      <c r="AWB60" s="1222"/>
      <c r="AWC60" s="1222"/>
      <c r="AWD60" s="1222"/>
      <c r="AWE60" s="1222"/>
      <c r="AWF60" s="1222"/>
      <c r="AWG60" s="1222"/>
      <c r="AWH60" s="1222"/>
      <c r="AWI60" s="1222"/>
      <c r="AWJ60" s="1222"/>
      <c r="AWK60" s="1222"/>
      <c r="AWL60" s="1222"/>
      <c r="AWM60" s="1222"/>
      <c r="AWN60" s="1222"/>
      <c r="AWO60" s="1222"/>
      <c r="AWP60" s="1222"/>
      <c r="AWQ60" s="1222"/>
      <c r="AWR60" s="1222"/>
      <c r="AWS60" s="1222"/>
      <c r="AWT60" s="1222"/>
      <c r="AWU60" s="1222"/>
      <c r="AWV60" s="1222"/>
      <c r="AWW60" s="1222"/>
      <c r="AWX60" s="1222"/>
      <c r="AWY60" s="1222"/>
      <c r="AWZ60" s="1222"/>
      <c r="AXA60" s="1222"/>
      <c r="AXB60" s="1222"/>
      <c r="AXC60" s="1222"/>
      <c r="AXD60" s="1222"/>
      <c r="AXE60" s="1222"/>
      <c r="AXF60" s="1222"/>
      <c r="AXG60" s="1222"/>
      <c r="AXH60" s="1222"/>
      <c r="AXI60" s="1222"/>
      <c r="AXJ60" s="1222"/>
      <c r="AXK60" s="1222"/>
      <c r="AXL60" s="1222"/>
      <c r="AXM60" s="1222"/>
      <c r="AXN60" s="1222"/>
      <c r="AXO60" s="1222"/>
      <c r="AXP60" s="1222"/>
      <c r="AXQ60" s="1222"/>
      <c r="AXR60" s="1222"/>
      <c r="AXS60" s="1222"/>
      <c r="AXT60" s="1222"/>
      <c r="AXU60" s="1222"/>
      <c r="AXV60" s="1222"/>
      <c r="AXW60" s="1222"/>
      <c r="AXX60" s="1222"/>
      <c r="AXY60" s="1222"/>
      <c r="AXZ60" s="1222"/>
      <c r="AYA60" s="1222"/>
      <c r="AYB60" s="1222"/>
      <c r="AYC60" s="1222"/>
      <c r="AYD60" s="1222"/>
      <c r="AYE60" s="1222"/>
      <c r="AYF60" s="1222"/>
      <c r="AYG60" s="1222"/>
      <c r="AYH60" s="1222"/>
      <c r="AYI60" s="1222"/>
      <c r="AYJ60" s="1222"/>
      <c r="AYK60" s="1222"/>
      <c r="AYL60" s="1222"/>
      <c r="AYM60" s="1222"/>
      <c r="AYN60" s="1222"/>
      <c r="AYO60" s="1222"/>
      <c r="AYP60" s="1222"/>
      <c r="AYQ60" s="1222"/>
      <c r="AYR60" s="1222"/>
      <c r="AYS60" s="1222"/>
      <c r="AYT60" s="1222"/>
      <c r="AYU60" s="1222"/>
      <c r="AYV60" s="1222"/>
      <c r="AYW60" s="1222"/>
      <c r="AYX60" s="1222"/>
      <c r="AYY60" s="1222"/>
      <c r="AYZ60" s="1222"/>
      <c r="AZA60" s="1222"/>
      <c r="AZB60" s="1222"/>
      <c r="AZC60" s="1222"/>
      <c r="AZD60" s="1222"/>
      <c r="AZE60" s="1222"/>
      <c r="AZF60" s="1222"/>
      <c r="AZG60" s="1222"/>
      <c r="AZH60" s="1222"/>
      <c r="AZI60" s="1222"/>
      <c r="AZJ60" s="1222"/>
      <c r="AZK60" s="1222"/>
      <c r="AZL60" s="1222"/>
      <c r="AZM60" s="1222"/>
      <c r="AZN60" s="1222"/>
      <c r="AZO60" s="1222"/>
      <c r="AZP60" s="1222"/>
      <c r="AZQ60" s="1222"/>
      <c r="AZR60" s="1222"/>
      <c r="AZS60" s="1222"/>
      <c r="AZT60" s="1222"/>
      <c r="AZU60" s="1222"/>
      <c r="AZV60" s="1222"/>
      <c r="AZW60" s="1222"/>
      <c r="AZX60" s="1222"/>
      <c r="AZY60" s="1222"/>
      <c r="AZZ60" s="1222"/>
      <c r="BAA60" s="1222"/>
      <c r="BAB60" s="1222"/>
      <c r="BAC60" s="1222"/>
      <c r="BAD60" s="1222"/>
      <c r="BAE60" s="1222"/>
      <c r="BAF60" s="1222"/>
      <c r="BAG60" s="1222"/>
      <c r="BAH60" s="1222"/>
      <c r="BAI60" s="1222"/>
      <c r="BAJ60" s="1222"/>
      <c r="BAK60" s="1222"/>
      <c r="BAL60" s="1222"/>
      <c r="BAM60" s="1222"/>
      <c r="BAN60" s="1222"/>
      <c r="BAO60" s="1222"/>
      <c r="BAP60" s="1222"/>
      <c r="BAQ60" s="1222"/>
      <c r="BAR60" s="1222"/>
      <c r="BAS60" s="1222"/>
      <c r="BAT60" s="1222"/>
      <c r="BAU60" s="1222"/>
      <c r="BAV60" s="1222"/>
      <c r="BAW60" s="1222"/>
      <c r="BAX60" s="1222"/>
      <c r="BAY60" s="1222"/>
      <c r="BAZ60" s="1222"/>
      <c r="BBA60" s="1222"/>
      <c r="BBB60" s="1222"/>
      <c r="BBC60" s="1222"/>
      <c r="BBD60" s="1222"/>
      <c r="BBE60" s="1222"/>
      <c r="BBF60" s="1222"/>
      <c r="BBG60" s="1222"/>
      <c r="BBH60" s="1222"/>
      <c r="BBI60" s="1222"/>
      <c r="BBJ60" s="1222"/>
      <c r="BBK60" s="1222"/>
      <c r="BBL60" s="1222"/>
      <c r="BBM60" s="1222"/>
      <c r="BBN60" s="1222"/>
      <c r="BBO60" s="1222"/>
      <c r="BBP60" s="1222"/>
      <c r="BBQ60" s="1222"/>
      <c r="BBR60" s="1222"/>
      <c r="BBS60" s="1222"/>
      <c r="BBT60" s="1222"/>
      <c r="BBU60" s="1222"/>
      <c r="BBV60" s="1222"/>
      <c r="BBW60" s="1222"/>
      <c r="BBX60" s="1222"/>
      <c r="BBY60" s="1222"/>
      <c r="BBZ60" s="1222"/>
      <c r="BCA60" s="1222"/>
      <c r="BCB60" s="1222"/>
      <c r="BCC60" s="1222"/>
      <c r="BCD60" s="1222"/>
      <c r="BCE60" s="1222"/>
      <c r="BCF60" s="1222"/>
      <c r="BCG60" s="1222"/>
      <c r="BCH60" s="1222"/>
      <c r="BCI60" s="1222"/>
      <c r="BCJ60" s="1222"/>
      <c r="BCK60" s="1222"/>
      <c r="BCL60" s="1222"/>
      <c r="BCM60" s="1222"/>
      <c r="BCN60" s="1222"/>
      <c r="BCO60" s="1222"/>
      <c r="BCP60" s="1222"/>
      <c r="BCQ60" s="1222"/>
      <c r="BCR60" s="1222"/>
      <c r="BCS60" s="1222"/>
      <c r="BCT60" s="1222"/>
      <c r="BCU60" s="1222"/>
      <c r="BCV60" s="1222"/>
      <c r="BCW60" s="1222"/>
      <c r="BCX60" s="1222"/>
      <c r="BCY60" s="1222"/>
      <c r="BCZ60" s="1222"/>
      <c r="BDA60" s="1222"/>
      <c r="BDB60" s="1222"/>
      <c r="BDC60" s="1222"/>
      <c r="BDD60" s="1222"/>
      <c r="BDE60" s="1222"/>
      <c r="BDF60" s="1222"/>
      <c r="BDG60" s="1222"/>
      <c r="BDH60" s="1222"/>
      <c r="BDI60" s="1222"/>
      <c r="BDJ60" s="1222"/>
      <c r="BDK60" s="1222"/>
      <c r="BDL60" s="1222"/>
      <c r="BDM60" s="1222"/>
      <c r="BDN60" s="1222"/>
      <c r="BDO60" s="1222"/>
      <c r="BDP60" s="1222"/>
      <c r="BDQ60" s="1222"/>
      <c r="BDR60" s="1222"/>
      <c r="BDS60" s="1222"/>
      <c r="BDT60" s="1222"/>
      <c r="BDU60" s="1222"/>
      <c r="BDV60" s="1222"/>
      <c r="BDW60" s="1222"/>
      <c r="BDX60" s="1222"/>
      <c r="BDY60" s="1222"/>
      <c r="BDZ60" s="1222"/>
      <c r="BEA60" s="1222"/>
      <c r="BEB60" s="1222"/>
      <c r="BEC60" s="1222"/>
      <c r="BED60" s="1222"/>
      <c r="BEE60" s="1222"/>
      <c r="BEF60" s="1222"/>
      <c r="BEG60" s="1222"/>
      <c r="BEH60" s="1222"/>
      <c r="BEI60" s="1222"/>
      <c r="BEJ60" s="1222"/>
      <c r="BEK60" s="1222"/>
      <c r="BEL60" s="1222"/>
      <c r="BEM60" s="1222"/>
      <c r="BEN60" s="1222"/>
      <c r="BEO60" s="1222"/>
      <c r="BEP60" s="1222"/>
      <c r="BEQ60" s="1222"/>
      <c r="BER60" s="1222"/>
      <c r="BES60" s="1222"/>
      <c r="BET60" s="1222"/>
      <c r="BEU60" s="1222"/>
      <c r="BEV60" s="1222"/>
      <c r="BEW60" s="1222"/>
      <c r="BEX60" s="1222"/>
      <c r="BEY60" s="1222"/>
      <c r="BEZ60" s="1222"/>
      <c r="BFA60" s="1222"/>
      <c r="BFB60" s="1222"/>
      <c r="BFC60" s="1222"/>
      <c r="BFD60" s="1222"/>
      <c r="BFE60" s="1222"/>
      <c r="BFF60" s="1222"/>
      <c r="BFG60" s="1222"/>
      <c r="BFH60" s="1222"/>
      <c r="BFI60" s="1222"/>
      <c r="BFJ60" s="1222"/>
      <c r="BFK60" s="1222"/>
      <c r="BFL60" s="1222"/>
      <c r="BFM60" s="1222"/>
      <c r="BFN60" s="1222"/>
      <c r="BFO60" s="1222"/>
      <c r="BFP60" s="1222"/>
      <c r="BFQ60" s="1222"/>
      <c r="BFR60" s="1222"/>
      <c r="BFS60" s="1222"/>
      <c r="BFT60" s="1222"/>
      <c r="BFU60" s="1222"/>
      <c r="BFV60" s="1222"/>
      <c r="BFW60" s="1222"/>
      <c r="BFX60" s="1222"/>
      <c r="BFY60" s="1222"/>
      <c r="BFZ60" s="1222"/>
      <c r="BGA60" s="1222"/>
      <c r="BGB60" s="1222"/>
      <c r="BGC60" s="1222"/>
      <c r="BGD60" s="1222"/>
      <c r="BGE60" s="1222"/>
      <c r="BGF60" s="1222"/>
      <c r="BGG60" s="1222"/>
      <c r="BGH60" s="1222"/>
      <c r="BGI60" s="1222"/>
      <c r="BGJ60" s="1222"/>
      <c r="BGK60" s="1222"/>
      <c r="BGL60" s="1222"/>
      <c r="BGM60" s="1222"/>
      <c r="BGN60" s="1222"/>
      <c r="BGO60" s="1222"/>
      <c r="BGP60" s="1222"/>
      <c r="BGQ60" s="1222"/>
      <c r="BGR60" s="1222"/>
      <c r="BGS60" s="1222"/>
      <c r="BGT60" s="1222"/>
      <c r="BGU60" s="1222"/>
      <c r="BGV60" s="1222"/>
      <c r="BGW60" s="1222"/>
      <c r="BGX60" s="1222"/>
      <c r="BGY60" s="1222"/>
      <c r="BGZ60" s="1222"/>
      <c r="BHA60" s="1222"/>
      <c r="BHB60" s="1222"/>
      <c r="BHC60" s="1222"/>
      <c r="BHD60" s="1222"/>
      <c r="BHE60" s="1222"/>
      <c r="BHF60" s="1222"/>
      <c r="BHG60" s="1222"/>
      <c r="BHH60" s="1222"/>
      <c r="BHI60" s="1222"/>
      <c r="BHJ60" s="1222"/>
      <c r="BHK60" s="1222"/>
      <c r="BHL60" s="1222"/>
      <c r="BHM60" s="1222"/>
      <c r="BHN60" s="1222"/>
      <c r="BHO60" s="1222"/>
      <c r="BHP60" s="1222"/>
      <c r="BHQ60" s="1222"/>
      <c r="BHR60" s="1222"/>
      <c r="BHS60" s="1222"/>
      <c r="BHT60" s="1222"/>
      <c r="BHU60" s="1222"/>
      <c r="BHV60" s="1222"/>
      <c r="BHW60" s="1222"/>
      <c r="BHX60" s="1222"/>
      <c r="BHY60" s="1222"/>
      <c r="BHZ60" s="1222"/>
      <c r="BIA60" s="1222"/>
      <c r="BIB60" s="1222"/>
      <c r="BIC60" s="1222"/>
      <c r="BID60" s="1222"/>
      <c r="BIE60" s="1222"/>
      <c r="BIF60" s="1222"/>
      <c r="BIG60" s="1222"/>
      <c r="BIH60" s="1222"/>
      <c r="BII60" s="1222"/>
      <c r="BIJ60" s="1222"/>
      <c r="BIK60" s="1222"/>
      <c r="BIL60" s="1222"/>
      <c r="BIM60" s="1222"/>
      <c r="BIN60" s="1222"/>
      <c r="BIO60" s="1222"/>
      <c r="BIP60" s="1222"/>
      <c r="BIQ60" s="1222"/>
      <c r="BIR60" s="1222"/>
      <c r="BIS60" s="1222"/>
      <c r="BIT60" s="1222"/>
      <c r="BIU60" s="1222"/>
      <c r="BIV60" s="1222"/>
      <c r="BIW60" s="1222"/>
      <c r="BIX60" s="1222"/>
      <c r="BIY60" s="1222"/>
      <c r="BIZ60" s="1222"/>
      <c r="BJA60" s="1222"/>
      <c r="BJB60" s="1222"/>
      <c r="BJC60" s="1222"/>
      <c r="BJD60" s="1222"/>
      <c r="BJE60" s="1222"/>
      <c r="BJF60" s="1222"/>
      <c r="BJG60" s="1222"/>
      <c r="BJH60" s="1222"/>
      <c r="BJI60" s="1222"/>
      <c r="BJJ60" s="1222"/>
      <c r="BJK60" s="1222"/>
      <c r="BJL60" s="1222"/>
      <c r="BJM60" s="1222"/>
      <c r="BJN60" s="1222"/>
      <c r="BJO60" s="1222"/>
      <c r="BJP60" s="1222"/>
      <c r="BJQ60" s="1222"/>
      <c r="BJR60" s="1222"/>
      <c r="BJS60" s="1222"/>
      <c r="BJT60" s="1222"/>
      <c r="BJU60" s="1222"/>
      <c r="BJV60" s="1222"/>
      <c r="BJW60" s="1222"/>
      <c r="BJX60" s="1222"/>
      <c r="BJY60" s="1222"/>
      <c r="BJZ60" s="1222"/>
      <c r="BKA60" s="1222"/>
      <c r="BKB60" s="1222"/>
      <c r="BKC60" s="1222"/>
      <c r="BKD60" s="1222"/>
      <c r="BKE60" s="1222"/>
      <c r="BKF60" s="1222"/>
      <c r="BKG60" s="1222"/>
      <c r="BKH60" s="1222"/>
      <c r="BKI60" s="1222"/>
      <c r="BKJ60" s="1222"/>
      <c r="BKK60" s="1222"/>
      <c r="BKL60" s="1222"/>
      <c r="BKM60" s="1222"/>
      <c r="BKN60" s="1222"/>
      <c r="BKO60" s="1222"/>
      <c r="BKP60" s="1222"/>
      <c r="BKQ60" s="1222"/>
      <c r="BKR60" s="1222"/>
      <c r="BKS60" s="1222"/>
      <c r="BKT60" s="1222"/>
      <c r="BKU60" s="1222"/>
      <c r="BKV60" s="1222"/>
      <c r="BKW60" s="1222"/>
      <c r="BKX60" s="1222"/>
      <c r="BKY60" s="1222"/>
      <c r="BKZ60" s="1222"/>
      <c r="BLA60" s="1222"/>
      <c r="BLB60" s="1222"/>
      <c r="BLC60" s="1222"/>
      <c r="BLD60" s="1222"/>
      <c r="BLE60" s="1222"/>
      <c r="BLF60" s="1222"/>
      <c r="BLG60" s="1222"/>
      <c r="BLH60" s="1222"/>
      <c r="BLI60" s="1222"/>
      <c r="BLJ60" s="1222"/>
      <c r="BLK60" s="1222"/>
      <c r="BLL60" s="1222"/>
      <c r="BLM60" s="1222"/>
      <c r="BLN60" s="1222"/>
      <c r="BLO60" s="1222"/>
      <c r="BLP60" s="1222"/>
      <c r="BLQ60" s="1222"/>
      <c r="BLR60" s="1222"/>
      <c r="BLS60" s="1222"/>
      <c r="BLT60" s="1222"/>
      <c r="BLU60" s="1222"/>
      <c r="BLV60" s="1222"/>
      <c r="BLW60" s="1222"/>
      <c r="BLX60" s="1222"/>
      <c r="BLY60" s="1222"/>
      <c r="BLZ60" s="1222"/>
      <c r="BMA60" s="1222"/>
      <c r="BMB60" s="1222"/>
      <c r="BMC60" s="1222"/>
      <c r="BMD60" s="1222"/>
      <c r="BME60" s="1222"/>
      <c r="BMF60" s="1222"/>
      <c r="BMG60" s="1222"/>
      <c r="BMH60" s="1222"/>
      <c r="BMI60" s="1222"/>
      <c r="BMJ60" s="1222"/>
      <c r="BMK60" s="1222"/>
      <c r="BML60" s="1222"/>
      <c r="BMM60" s="1222"/>
      <c r="BMN60" s="1222"/>
      <c r="BMO60" s="1222"/>
      <c r="BMP60" s="1222"/>
      <c r="BMQ60" s="1222"/>
      <c r="BMR60" s="1222"/>
      <c r="BMS60" s="1222"/>
      <c r="BMT60" s="1222"/>
      <c r="BMU60" s="1222"/>
      <c r="BMV60" s="1222"/>
      <c r="BMW60" s="1222"/>
      <c r="BMX60" s="1222"/>
      <c r="BMY60" s="1222"/>
      <c r="BMZ60" s="1222"/>
      <c r="BNA60" s="1222"/>
      <c r="BNB60" s="1222"/>
      <c r="BNC60" s="1222"/>
      <c r="BND60" s="1222"/>
      <c r="BNE60" s="1222"/>
      <c r="BNF60" s="1222"/>
      <c r="BNG60" s="1222"/>
      <c r="BNH60" s="1222"/>
      <c r="BNI60" s="1222"/>
      <c r="BNJ60" s="1222"/>
      <c r="BNK60" s="1222"/>
      <c r="BNL60" s="1222"/>
      <c r="BNM60" s="1222"/>
      <c r="BNN60" s="1222"/>
      <c r="BNO60" s="1222"/>
      <c r="BNP60" s="1222"/>
      <c r="BNQ60" s="1222"/>
      <c r="BNR60" s="1222"/>
      <c r="BNS60" s="1222"/>
      <c r="BNT60" s="1222"/>
      <c r="BNU60" s="1222"/>
      <c r="BNV60" s="1222"/>
      <c r="BNW60" s="1222"/>
      <c r="BNX60" s="1222"/>
      <c r="BNY60" s="1222"/>
      <c r="BNZ60" s="1222"/>
      <c r="BOA60" s="1222"/>
      <c r="BOB60" s="1222"/>
      <c r="BOC60" s="1222"/>
      <c r="BOD60" s="1222"/>
      <c r="BOE60" s="1222"/>
      <c r="BOF60" s="1222"/>
      <c r="BOG60" s="1222"/>
      <c r="BOH60" s="1222"/>
      <c r="BOI60" s="1222"/>
      <c r="BOJ60" s="1222"/>
      <c r="BOK60" s="1222"/>
      <c r="BOL60" s="1222"/>
      <c r="BOM60" s="1222"/>
      <c r="BON60" s="1222"/>
      <c r="BOO60" s="1222"/>
      <c r="BOP60" s="1222"/>
      <c r="BOQ60" s="1222"/>
      <c r="BOR60" s="1222"/>
      <c r="BOS60" s="1222"/>
      <c r="BOT60" s="1222"/>
      <c r="BOU60" s="1222"/>
      <c r="BOV60" s="1222"/>
      <c r="BOW60" s="1222"/>
      <c r="BOX60" s="1222"/>
      <c r="BOY60" s="1222"/>
      <c r="BOZ60" s="1222"/>
      <c r="BPA60" s="1222"/>
      <c r="BPB60" s="1222"/>
      <c r="BPC60" s="1222"/>
      <c r="BPD60" s="1222"/>
      <c r="BPE60" s="1222"/>
      <c r="BPF60" s="1222"/>
      <c r="BPG60" s="1222"/>
      <c r="BPH60" s="1222"/>
      <c r="BPI60" s="1222"/>
      <c r="BPJ60" s="1222"/>
      <c r="BPK60" s="1222"/>
      <c r="BPL60" s="1222"/>
      <c r="BPM60" s="1222"/>
      <c r="BPN60" s="1222"/>
      <c r="BPO60" s="1222"/>
      <c r="BPP60" s="1222"/>
      <c r="BPQ60" s="1222"/>
      <c r="BPR60" s="1222"/>
      <c r="BPS60" s="1222"/>
      <c r="BPT60" s="1222"/>
      <c r="BPU60" s="1222"/>
      <c r="BPV60" s="1222"/>
      <c r="BPW60" s="1222"/>
      <c r="BPX60" s="1222"/>
      <c r="BPY60" s="1222"/>
      <c r="BPZ60" s="1222"/>
      <c r="BQA60" s="1222"/>
      <c r="BQB60" s="1222"/>
      <c r="BQC60" s="1222"/>
      <c r="BQD60" s="1222"/>
      <c r="BQE60" s="1222"/>
      <c r="BQF60" s="1222"/>
      <c r="BQG60" s="1222"/>
      <c r="BQH60" s="1222"/>
      <c r="BQI60" s="1222"/>
      <c r="BQJ60" s="1222"/>
      <c r="BQK60" s="1222"/>
      <c r="BQL60" s="1222"/>
      <c r="BQM60" s="1222"/>
      <c r="BQN60" s="1222"/>
      <c r="BQO60" s="1222"/>
      <c r="BQP60" s="1222"/>
      <c r="BQQ60" s="1222"/>
      <c r="BQR60" s="1222"/>
      <c r="BQS60" s="1222"/>
      <c r="BQT60" s="1222"/>
      <c r="BQU60" s="1222"/>
      <c r="BQV60" s="1222"/>
      <c r="BQW60" s="1222"/>
      <c r="BQX60" s="1222"/>
      <c r="BQY60" s="1222"/>
      <c r="BQZ60" s="1222"/>
      <c r="BRA60" s="1222"/>
      <c r="BRB60" s="1222"/>
      <c r="BRC60" s="1222"/>
      <c r="BRD60" s="1222"/>
      <c r="BRE60" s="1222"/>
      <c r="BRF60" s="1222"/>
      <c r="BRG60" s="1222"/>
      <c r="BRH60" s="1222"/>
      <c r="BRI60" s="1222"/>
      <c r="BRJ60" s="1222"/>
      <c r="BRK60" s="1222"/>
      <c r="BRL60" s="1222"/>
      <c r="BRM60" s="1222"/>
      <c r="BRN60" s="1222"/>
      <c r="BRO60" s="1222"/>
      <c r="BRP60" s="1222"/>
      <c r="BRQ60" s="1222"/>
      <c r="BRR60" s="1222"/>
      <c r="BRS60" s="1222"/>
      <c r="BRT60" s="1222"/>
      <c r="BRU60" s="1222"/>
      <c r="BRV60" s="1222"/>
      <c r="BRW60" s="1222"/>
      <c r="BRX60" s="1222"/>
      <c r="BRY60" s="1222"/>
      <c r="BRZ60" s="1222"/>
      <c r="BSA60" s="1222"/>
      <c r="BSB60" s="1222"/>
      <c r="BSC60" s="1222"/>
      <c r="BSD60" s="1222"/>
      <c r="BSE60" s="1222"/>
      <c r="BSF60" s="1222"/>
      <c r="BSG60" s="1222"/>
      <c r="BSH60" s="1222"/>
      <c r="BSI60" s="1222"/>
      <c r="BSJ60" s="1222"/>
      <c r="BSK60" s="1222"/>
      <c r="BSL60" s="1222"/>
      <c r="BSM60" s="1222"/>
      <c r="BSN60" s="1222"/>
      <c r="BSO60" s="1222"/>
      <c r="BSP60" s="1222"/>
      <c r="BSQ60" s="1222"/>
      <c r="BSR60" s="1222"/>
      <c r="BSS60" s="1222"/>
      <c r="BST60" s="1222"/>
      <c r="BSU60" s="1222"/>
      <c r="BSV60" s="1222"/>
      <c r="BSW60" s="1222"/>
      <c r="BSX60" s="1222"/>
      <c r="BSY60" s="1222"/>
      <c r="BSZ60" s="1222"/>
      <c r="BTA60" s="1222"/>
      <c r="BTB60" s="1222"/>
      <c r="BTC60" s="1222"/>
      <c r="BTD60" s="1222"/>
      <c r="BTE60" s="1222"/>
      <c r="BTF60" s="1222"/>
      <c r="BTG60" s="1222"/>
      <c r="BTH60" s="1222"/>
      <c r="BTI60" s="1222"/>
      <c r="BTJ60" s="1222"/>
      <c r="BTK60" s="1222"/>
      <c r="BTL60" s="1222"/>
      <c r="BTM60" s="1222"/>
      <c r="BTN60" s="1222"/>
      <c r="BTO60" s="1222"/>
      <c r="BTP60" s="1222"/>
      <c r="BTQ60" s="1222"/>
      <c r="BTR60" s="1222"/>
      <c r="BTS60" s="1222"/>
      <c r="BTT60" s="1222"/>
      <c r="BTU60" s="1222"/>
      <c r="BTV60" s="1222"/>
      <c r="BTW60" s="1222"/>
      <c r="BTX60" s="1222"/>
      <c r="BTY60" s="1222"/>
      <c r="BTZ60" s="1222"/>
      <c r="BUA60" s="1222"/>
      <c r="BUB60" s="1222"/>
      <c r="BUC60" s="1222"/>
      <c r="BUD60" s="1222"/>
      <c r="BUE60" s="1222"/>
      <c r="BUF60" s="1222"/>
      <c r="BUG60" s="1222"/>
      <c r="BUH60" s="1222"/>
      <c r="BUI60" s="1222"/>
      <c r="BUJ60" s="1222"/>
      <c r="BUK60" s="1222"/>
      <c r="BUL60" s="1222"/>
      <c r="BUM60" s="1222"/>
      <c r="BUN60" s="1222"/>
      <c r="BUO60" s="1222"/>
      <c r="BUP60" s="1222"/>
      <c r="BUQ60" s="1222"/>
      <c r="BUR60" s="1222"/>
      <c r="BUS60" s="1222"/>
      <c r="BUT60" s="1222"/>
      <c r="BUU60" s="1222"/>
      <c r="BUV60" s="1222"/>
      <c r="BUW60" s="1222"/>
      <c r="BUX60" s="1222"/>
      <c r="BUY60" s="1222"/>
      <c r="BUZ60" s="1222"/>
      <c r="BVA60" s="1222"/>
      <c r="BVB60" s="1222"/>
      <c r="BVC60" s="1222"/>
      <c r="BVD60" s="1222"/>
      <c r="BVE60" s="1222"/>
      <c r="BVF60" s="1222"/>
      <c r="BVG60" s="1222"/>
      <c r="BVH60" s="1222"/>
      <c r="BVI60" s="1222"/>
      <c r="BVJ60" s="1222"/>
      <c r="BVK60" s="1222"/>
      <c r="BVL60" s="1222"/>
      <c r="BVM60" s="1222"/>
      <c r="BVN60" s="1222"/>
      <c r="BVO60" s="1222"/>
      <c r="BVP60" s="1222"/>
      <c r="BVQ60" s="1222"/>
      <c r="BVR60" s="1222"/>
      <c r="BVS60" s="1222"/>
      <c r="BVT60" s="1222"/>
      <c r="BVU60" s="1222"/>
      <c r="BVV60" s="1222"/>
      <c r="BVW60" s="1222"/>
      <c r="BVX60" s="1222"/>
      <c r="BVY60" s="1222"/>
      <c r="BVZ60" s="1222"/>
      <c r="BWA60" s="1222"/>
      <c r="BWB60" s="1222"/>
      <c r="BWC60" s="1222"/>
      <c r="BWD60" s="1222"/>
      <c r="BWE60" s="1222"/>
      <c r="BWF60" s="1222"/>
      <c r="BWG60" s="1222"/>
      <c r="BWH60" s="1222"/>
      <c r="BWI60" s="1222"/>
      <c r="BWJ60" s="1222"/>
      <c r="BWK60" s="1222"/>
      <c r="BWL60" s="1222"/>
      <c r="BWM60" s="1222"/>
      <c r="BWN60" s="1222"/>
      <c r="BWO60" s="1222"/>
      <c r="BWP60" s="1222"/>
      <c r="BWQ60" s="1222"/>
      <c r="BWR60" s="1222"/>
      <c r="BWS60" s="1222"/>
      <c r="BWT60" s="1222"/>
      <c r="BWU60" s="1222"/>
      <c r="BWV60" s="1222"/>
      <c r="BWW60" s="1222"/>
      <c r="BWX60" s="1222"/>
      <c r="BWY60" s="1222"/>
      <c r="BWZ60" s="1222"/>
      <c r="BXA60" s="1222"/>
      <c r="BXB60" s="1222"/>
      <c r="BXC60" s="1222"/>
      <c r="BXD60" s="1222"/>
      <c r="BXE60" s="1222"/>
      <c r="BXF60" s="1222"/>
      <c r="BXG60" s="1222"/>
      <c r="BXH60" s="1222"/>
      <c r="BXI60" s="1222"/>
      <c r="BXJ60" s="1222"/>
      <c r="BXK60" s="1222"/>
      <c r="BXL60" s="1222"/>
      <c r="BXM60" s="1222"/>
      <c r="BXN60" s="1222"/>
      <c r="BXO60" s="1222"/>
      <c r="BXP60" s="1222"/>
      <c r="BXQ60" s="1222"/>
      <c r="BXR60" s="1222"/>
      <c r="BXS60" s="1222"/>
      <c r="BXT60" s="1222"/>
      <c r="BXU60" s="1222"/>
      <c r="BXV60" s="1222"/>
      <c r="BXW60" s="1222"/>
      <c r="BXX60" s="1222"/>
      <c r="BXY60" s="1222"/>
      <c r="BXZ60" s="1222"/>
      <c r="BYA60" s="1222"/>
      <c r="BYB60" s="1222"/>
      <c r="BYC60" s="1222"/>
      <c r="BYD60" s="1222"/>
      <c r="BYE60" s="1222"/>
      <c r="BYF60" s="1222"/>
      <c r="BYG60" s="1222"/>
      <c r="BYH60" s="1222"/>
      <c r="BYI60" s="1222"/>
      <c r="BYJ60" s="1222"/>
      <c r="BYK60" s="1222"/>
      <c r="BYL60" s="1222"/>
      <c r="BYM60" s="1222"/>
      <c r="BYN60" s="1222"/>
      <c r="BYO60" s="1222"/>
      <c r="BYP60" s="1222"/>
      <c r="BYQ60" s="1222"/>
      <c r="BYR60" s="1222"/>
      <c r="BYS60" s="1222"/>
      <c r="BYT60" s="1222"/>
      <c r="BYU60" s="1222"/>
      <c r="BYV60" s="1222"/>
      <c r="BYW60" s="1222"/>
      <c r="BYX60" s="1222"/>
      <c r="BYY60" s="1222"/>
      <c r="BYZ60" s="1222"/>
      <c r="BZA60" s="1222"/>
      <c r="BZB60" s="1222"/>
      <c r="BZC60" s="1222"/>
      <c r="BZD60" s="1222"/>
      <c r="BZE60" s="1222"/>
      <c r="BZF60" s="1222"/>
      <c r="BZG60" s="1222"/>
      <c r="BZH60" s="1222"/>
      <c r="BZI60" s="1222"/>
      <c r="BZJ60" s="1222"/>
      <c r="BZK60" s="1222"/>
      <c r="BZL60" s="1222"/>
      <c r="BZM60" s="1222"/>
      <c r="BZN60" s="1222"/>
      <c r="BZO60" s="1222"/>
      <c r="BZP60" s="1222"/>
      <c r="BZQ60" s="1222"/>
      <c r="BZR60" s="1222"/>
      <c r="BZS60" s="1222"/>
      <c r="BZT60" s="1222"/>
      <c r="BZU60" s="1222"/>
      <c r="BZV60" s="1222"/>
      <c r="BZW60" s="1222"/>
      <c r="BZX60" s="1222"/>
      <c r="BZY60" s="1222"/>
      <c r="BZZ60" s="1222"/>
      <c r="CAA60" s="1222"/>
      <c r="CAB60" s="1222"/>
      <c r="CAC60" s="1222"/>
      <c r="CAD60" s="1222"/>
      <c r="CAE60" s="1222"/>
      <c r="CAF60" s="1222"/>
      <c r="CAG60" s="1222"/>
      <c r="CAH60" s="1222"/>
      <c r="CAI60" s="1222"/>
      <c r="CAJ60" s="1222"/>
      <c r="CAK60" s="1222"/>
      <c r="CAL60" s="1222"/>
      <c r="CAM60" s="1222"/>
      <c r="CAN60" s="1222"/>
      <c r="CAO60" s="1222"/>
      <c r="CAP60" s="1222"/>
      <c r="CAQ60" s="1222"/>
      <c r="CAR60" s="1222"/>
      <c r="CAS60" s="1222"/>
      <c r="CAT60" s="1222"/>
      <c r="CAU60" s="1222"/>
      <c r="CAV60" s="1222"/>
      <c r="CAW60" s="1222"/>
      <c r="CAX60" s="1222"/>
      <c r="CAY60" s="1222"/>
      <c r="CAZ60" s="1222"/>
      <c r="CBA60" s="1222"/>
      <c r="CBB60" s="1222"/>
      <c r="CBC60" s="1222"/>
      <c r="CBD60" s="1222"/>
      <c r="CBE60" s="1222"/>
      <c r="CBF60" s="1222"/>
      <c r="CBG60" s="1222"/>
      <c r="CBH60" s="1222"/>
      <c r="CBI60" s="1222"/>
      <c r="CBJ60" s="1222"/>
      <c r="CBK60" s="1222"/>
      <c r="CBL60" s="1222"/>
      <c r="CBM60" s="1222"/>
      <c r="CBN60" s="1222"/>
      <c r="CBO60" s="1222"/>
      <c r="CBP60" s="1222"/>
      <c r="CBQ60" s="1222"/>
      <c r="CBR60" s="1222"/>
      <c r="CBS60" s="1222"/>
      <c r="CBT60" s="1222"/>
      <c r="CBU60" s="1222"/>
      <c r="CBV60" s="1222"/>
      <c r="CBW60" s="1222"/>
      <c r="CBX60" s="1222"/>
      <c r="CBY60" s="1222"/>
      <c r="CBZ60" s="1222"/>
      <c r="CCA60" s="1222"/>
      <c r="CCB60" s="1222"/>
      <c r="CCC60" s="1222"/>
      <c r="CCD60" s="1222"/>
      <c r="CCE60" s="1222"/>
      <c r="CCF60" s="1222"/>
      <c r="CCG60" s="1222"/>
      <c r="CCH60" s="1222"/>
      <c r="CCI60" s="1222"/>
      <c r="CCJ60" s="1222"/>
      <c r="CCK60" s="1222"/>
      <c r="CCL60" s="1222"/>
      <c r="CCM60" s="1222"/>
      <c r="CCN60" s="1222"/>
      <c r="CCO60" s="1222"/>
      <c r="CCP60" s="1222"/>
      <c r="CCQ60" s="1222"/>
      <c r="CCR60" s="1222"/>
      <c r="CCS60" s="1222"/>
      <c r="CCT60" s="1222"/>
      <c r="CCU60" s="1222"/>
      <c r="CCV60" s="1222"/>
      <c r="CCW60" s="1222"/>
      <c r="CCX60" s="1222"/>
      <c r="CCY60" s="1222"/>
      <c r="CCZ60" s="1222"/>
      <c r="CDA60" s="1222"/>
      <c r="CDB60" s="1222"/>
      <c r="CDC60" s="1222"/>
      <c r="CDD60" s="1222"/>
      <c r="CDE60" s="1222"/>
      <c r="CDF60" s="1222"/>
      <c r="CDG60" s="1222"/>
      <c r="CDH60" s="1222"/>
      <c r="CDI60" s="1222"/>
      <c r="CDJ60" s="1222"/>
      <c r="CDK60" s="1222"/>
      <c r="CDL60" s="1222"/>
      <c r="CDM60" s="1222"/>
      <c r="CDN60" s="1222"/>
      <c r="CDO60" s="1222"/>
      <c r="CDP60" s="1222"/>
      <c r="CDQ60" s="1222"/>
      <c r="CDR60" s="1222"/>
      <c r="CDS60" s="1222"/>
      <c r="CDT60" s="1222"/>
      <c r="CDU60" s="1222"/>
      <c r="CDV60" s="1222"/>
      <c r="CDW60" s="1222"/>
      <c r="CDX60" s="1222"/>
      <c r="CDY60" s="1222"/>
      <c r="CDZ60" s="1222"/>
      <c r="CEA60" s="1222"/>
      <c r="CEB60" s="1222"/>
      <c r="CEC60" s="1222"/>
      <c r="CED60" s="1222"/>
      <c r="CEE60" s="1222"/>
      <c r="CEF60" s="1222"/>
      <c r="CEG60" s="1222"/>
      <c r="CEH60" s="1222"/>
      <c r="CEI60" s="1222"/>
      <c r="CEJ60" s="1222"/>
      <c r="CEK60" s="1222"/>
      <c r="CEL60" s="1222"/>
      <c r="CEM60" s="1222"/>
      <c r="CEN60" s="1222"/>
      <c r="CEO60" s="1222"/>
      <c r="CEP60" s="1222"/>
      <c r="CEQ60" s="1222"/>
      <c r="CER60" s="1222"/>
      <c r="CES60" s="1222"/>
      <c r="CET60" s="1222"/>
      <c r="CEU60" s="1222"/>
      <c r="CEV60" s="1222"/>
      <c r="CEW60" s="1222"/>
      <c r="CEX60" s="1222"/>
      <c r="CEY60" s="1222"/>
      <c r="CEZ60" s="1222"/>
      <c r="CFA60" s="1222"/>
      <c r="CFB60" s="1222"/>
      <c r="CFC60" s="1222"/>
      <c r="CFD60" s="1222"/>
      <c r="CFE60" s="1222"/>
      <c r="CFF60" s="1222"/>
      <c r="CFG60" s="1222"/>
      <c r="CFH60" s="1222"/>
      <c r="CFI60" s="1222"/>
      <c r="CFJ60" s="1222"/>
      <c r="CFK60" s="1222"/>
      <c r="CFL60" s="1222"/>
      <c r="CFM60" s="1222"/>
      <c r="CFN60" s="1222"/>
      <c r="CFO60" s="1222"/>
      <c r="CFP60" s="1222"/>
      <c r="CFQ60" s="1222"/>
      <c r="CFR60" s="1222"/>
      <c r="CFS60" s="1222"/>
      <c r="CFT60" s="1222"/>
      <c r="CFU60" s="1222"/>
      <c r="CFV60" s="1222"/>
      <c r="CFW60" s="1222"/>
      <c r="CFX60" s="1222"/>
      <c r="CFY60" s="1222"/>
      <c r="CFZ60" s="1222"/>
      <c r="CGA60" s="1222"/>
      <c r="CGB60" s="1222"/>
      <c r="CGC60" s="1222"/>
      <c r="CGD60" s="1222"/>
      <c r="CGE60" s="1222"/>
      <c r="CGF60" s="1222"/>
      <c r="CGG60" s="1222"/>
      <c r="CGH60" s="1222"/>
      <c r="CGI60" s="1222"/>
      <c r="CGJ60" s="1222"/>
      <c r="CGK60" s="1222"/>
      <c r="CGL60" s="1222"/>
      <c r="CGM60" s="1222"/>
      <c r="CGN60" s="1222"/>
      <c r="CGO60" s="1222"/>
      <c r="CGP60" s="1222"/>
      <c r="CGQ60" s="1222"/>
      <c r="CGR60" s="1222"/>
      <c r="CGS60" s="1222"/>
      <c r="CGT60" s="1222"/>
      <c r="CGU60" s="1222"/>
      <c r="CGV60" s="1222"/>
      <c r="CGW60" s="1222"/>
      <c r="CGX60" s="1222"/>
      <c r="CGY60" s="1222"/>
      <c r="CGZ60" s="1222"/>
      <c r="CHA60" s="1222"/>
      <c r="CHB60" s="1222"/>
      <c r="CHC60" s="1222"/>
      <c r="CHD60" s="1222"/>
      <c r="CHE60" s="1222"/>
      <c r="CHF60" s="1222"/>
      <c r="CHG60" s="1222"/>
      <c r="CHH60" s="1222"/>
      <c r="CHI60" s="1222"/>
      <c r="CHJ60" s="1222"/>
      <c r="CHK60" s="1222"/>
      <c r="CHL60" s="1222"/>
      <c r="CHM60" s="1222"/>
      <c r="CHN60" s="1222"/>
      <c r="CHO60" s="1222"/>
      <c r="CHP60" s="1222"/>
      <c r="CHQ60" s="1222"/>
      <c r="CHR60" s="1222"/>
      <c r="CHS60" s="1222"/>
      <c r="CHT60" s="1222"/>
      <c r="CHU60" s="1222"/>
      <c r="CHV60" s="1222"/>
      <c r="CHW60" s="1222"/>
      <c r="CHX60" s="1222"/>
      <c r="CHY60" s="1222"/>
      <c r="CHZ60" s="1222"/>
      <c r="CIA60" s="1222"/>
      <c r="CIB60" s="1222"/>
      <c r="CIC60" s="1222"/>
      <c r="CID60" s="1222"/>
      <c r="CIE60" s="1222"/>
      <c r="CIF60" s="1222"/>
      <c r="CIG60" s="1222"/>
      <c r="CIH60" s="1222"/>
      <c r="CII60" s="1222"/>
      <c r="CIJ60" s="1222"/>
      <c r="CIK60" s="1222"/>
      <c r="CIL60" s="1222"/>
      <c r="CIM60" s="1222"/>
      <c r="CIN60" s="1222"/>
      <c r="CIO60" s="1222"/>
      <c r="CIP60" s="1222"/>
      <c r="CIQ60" s="1222"/>
      <c r="CIR60" s="1222"/>
      <c r="CIS60" s="1222"/>
      <c r="CIT60" s="1222"/>
      <c r="CIU60" s="1222"/>
      <c r="CIV60" s="1222"/>
      <c r="CIW60" s="1222"/>
      <c r="CIX60" s="1222"/>
      <c r="CIY60" s="1222"/>
      <c r="CIZ60" s="1222"/>
      <c r="CJA60" s="1222"/>
      <c r="CJB60" s="1222"/>
      <c r="CJC60" s="1222"/>
      <c r="CJD60" s="1222"/>
      <c r="CJE60" s="1222"/>
      <c r="CJF60" s="1222"/>
      <c r="CJG60" s="1222"/>
      <c r="CJH60" s="1222"/>
      <c r="CJI60" s="1222"/>
      <c r="CJJ60" s="1222"/>
      <c r="CJK60" s="1222"/>
      <c r="CJL60" s="1222"/>
      <c r="CJM60" s="1222"/>
      <c r="CJN60" s="1222"/>
      <c r="CJO60" s="1222"/>
      <c r="CJP60" s="1222"/>
      <c r="CJQ60" s="1222"/>
      <c r="CJR60" s="1222"/>
      <c r="CJS60" s="1222"/>
      <c r="CJT60" s="1222"/>
      <c r="CJU60" s="1222"/>
      <c r="CJV60" s="1222"/>
      <c r="CJW60" s="1222"/>
      <c r="CJX60" s="1222"/>
      <c r="CJY60" s="1222"/>
      <c r="CJZ60" s="1222"/>
      <c r="CKA60" s="1222"/>
      <c r="CKB60" s="1222"/>
      <c r="CKC60" s="1222"/>
      <c r="CKD60" s="1222"/>
      <c r="CKE60" s="1222"/>
      <c r="CKF60" s="1222"/>
      <c r="CKG60" s="1222"/>
      <c r="CKH60" s="1222"/>
      <c r="CKI60" s="1222"/>
      <c r="CKJ60" s="1222"/>
      <c r="CKK60" s="1222"/>
      <c r="CKL60" s="1222"/>
      <c r="CKM60" s="1222"/>
      <c r="CKN60" s="1222"/>
      <c r="CKO60" s="1222"/>
      <c r="CKP60" s="1222"/>
      <c r="CKQ60" s="1222"/>
      <c r="CKR60" s="1222"/>
      <c r="CKS60" s="1222"/>
      <c r="CKT60" s="1222"/>
      <c r="CKU60" s="1222"/>
      <c r="CKV60" s="1222"/>
      <c r="CKW60" s="1222"/>
      <c r="CKX60" s="1222"/>
      <c r="CKY60" s="1222"/>
      <c r="CKZ60" s="1222"/>
      <c r="CLA60" s="1222"/>
      <c r="CLB60" s="1222"/>
      <c r="CLC60" s="1222"/>
      <c r="CLD60" s="1222"/>
      <c r="CLE60" s="1222"/>
      <c r="CLF60" s="1222"/>
      <c r="CLG60" s="1222"/>
      <c r="CLH60" s="1222"/>
      <c r="CLI60" s="1222"/>
      <c r="CLJ60" s="1222"/>
      <c r="CLK60" s="1222"/>
      <c r="CLL60" s="1222"/>
      <c r="CLM60" s="1222"/>
      <c r="CLN60" s="1222"/>
      <c r="CLO60" s="1222"/>
      <c r="CLP60" s="1222"/>
      <c r="CLQ60" s="1222"/>
      <c r="CLR60" s="1222"/>
      <c r="CLS60" s="1222"/>
      <c r="CLT60" s="1222"/>
      <c r="CLU60" s="1222"/>
      <c r="CLV60" s="1222"/>
      <c r="CLW60" s="1222"/>
      <c r="CLX60" s="1222"/>
      <c r="CLY60" s="1222"/>
      <c r="CLZ60" s="1222"/>
      <c r="CMA60" s="1222"/>
      <c r="CMB60" s="1222"/>
      <c r="CMC60" s="1222"/>
      <c r="CMD60" s="1222"/>
      <c r="CME60" s="1222"/>
      <c r="CMF60" s="1222"/>
      <c r="CMG60" s="1222"/>
      <c r="CMH60" s="1222"/>
      <c r="CMI60" s="1222"/>
      <c r="CMJ60" s="1222"/>
      <c r="CMK60" s="1222"/>
      <c r="CML60" s="1222"/>
      <c r="CMM60" s="1222"/>
      <c r="CMN60" s="1222"/>
      <c r="CMO60" s="1222"/>
      <c r="CMP60" s="1222"/>
      <c r="CMQ60" s="1222"/>
      <c r="CMR60" s="1222"/>
      <c r="CMS60" s="1222"/>
      <c r="CMT60" s="1222"/>
      <c r="CMU60" s="1222"/>
      <c r="CMV60" s="1222"/>
      <c r="CMW60" s="1222"/>
      <c r="CMX60" s="1222"/>
      <c r="CMY60" s="1222"/>
      <c r="CMZ60" s="1222"/>
      <c r="CNA60" s="1222"/>
      <c r="CNB60" s="1222"/>
      <c r="CNC60" s="1222"/>
      <c r="CND60" s="1222"/>
      <c r="CNE60" s="1222"/>
      <c r="CNF60" s="1222"/>
      <c r="CNG60" s="1222"/>
      <c r="CNH60" s="1222"/>
      <c r="CNI60" s="1222"/>
      <c r="CNJ60" s="1222"/>
      <c r="CNK60" s="1222"/>
      <c r="CNL60" s="1222"/>
      <c r="CNM60" s="1222"/>
      <c r="CNN60" s="1222"/>
      <c r="CNO60" s="1222"/>
      <c r="CNP60" s="1222"/>
      <c r="CNQ60" s="1222"/>
      <c r="CNR60" s="1222"/>
      <c r="CNS60" s="1222"/>
      <c r="CNT60" s="1222"/>
      <c r="CNU60" s="1222"/>
      <c r="CNV60" s="1222"/>
      <c r="CNW60" s="1222"/>
      <c r="CNX60" s="1222"/>
      <c r="CNY60" s="1222"/>
      <c r="CNZ60" s="1222"/>
      <c r="COA60" s="1222"/>
      <c r="COB60" s="1222"/>
      <c r="COC60" s="1222"/>
      <c r="COD60" s="1222"/>
      <c r="COE60" s="1222"/>
      <c r="COF60" s="1222"/>
      <c r="COG60" s="1222"/>
      <c r="COH60" s="1222"/>
      <c r="COI60" s="1222"/>
      <c r="COJ60" s="1222"/>
      <c r="COK60" s="1222"/>
      <c r="COL60" s="1222"/>
      <c r="COM60" s="1222"/>
      <c r="CON60" s="1222"/>
      <c r="COO60" s="1222"/>
      <c r="COP60" s="1222"/>
      <c r="COQ60" s="1222"/>
      <c r="COR60" s="1222"/>
      <c r="COS60" s="1222"/>
      <c r="COT60" s="1222"/>
      <c r="COU60" s="1222"/>
      <c r="COV60" s="1222"/>
      <c r="COW60" s="1222"/>
      <c r="COX60" s="1222"/>
      <c r="COY60" s="1222"/>
      <c r="COZ60" s="1222"/>
      <c r="CPA60" s="1222"/>
      <c r="CPB60" s="1222"/>
      <c r="CPC60" s="1222"/>
      <c r="CPD60" s="1222"/>
      <c r="CPE60" s="1222"/>
      <c r="CPF60" s="1222"/>
      <c r="CPG60" s="1222"/>
      <c r="CPH60" s="1222"/>
      <c r="CPI60" s="1222"/>
      <c r="CPJ60" s="1222"/>
      <c r="CPK60" s="1222"/>
      <c r="CPL60" s="1222"/>
      <c r="CPM60" s="1222"/>
      <c r="CPN60" s="1222"/>
      <c r="CPO60" s="1222"/>
      <c r="CPP60" s="1222"/>
      <c r="CPQ60" s="1222"/>
      <c r="CPR60" s="1222"/>
      <c r="CPS60" s="1222"/>
      <c r="CPT60" s="1222"/>
      <c r="CPU60" s="1222"/>
      <c r="CPV60" s="1222"/>
      <c r="CPW60" s="1222"/>
      <c r="CPX60" s="1222"/>
      <c r="CPY60" s="1222"/>
      <c r="CPZ60" s="1222"/>
      <c r="CQA60" s="1222"/>
      <c r="CQB60" s="1222"/>
      <c r="CQC60" s="1222"/>
      <c r="CQD60" s="1222"/>
      <c r="CQE60" s="1222"/>
      <c r="CQF60" s="1222"/>
      <c r="CQG60" s="1222"/>
      <c r="CQH60" s="1222"/>
      <c r="CQI60" s="1222"/>
      <c r="CQJ60" s="1222"/>
      <c r="CQK60" s="1222"/>
      <c r="CQL60" s="1222"/>
      <c r="CQM60" s="1222"/>
      <c r="CQN60" s="1222"/>
      <c r="CQO60" s="1222"/>
      <c r="CQP60" s="1222"/>
      <c r="CQQ60" s="1222"/>
      <c r="CQR60" s="1222"/>
      <c r="CQS60" s="1222"/>
      <c r="CQT60" s="1222"/>
      <c r="CQU60" s="1222"/>
      <c r="CQV60" s="1222"/>
      <c r="CQW60" s="1222"/>
      <c r="CQX60" s="1222"/>
      <c r="CQY60" s="1222"/>
      <c r="CQZ60" s="1222"/>
      <c r="CRA60" s="1222"/>
      <c r="CRB60" s="1222"/>
      <c r="CRC60" s="1222"/>
      <c r="CRD60" s="1222"/>
      <c r="CRE60" s="1222"/>
      <c r="CRF60" s="1222"/>
      <c r="CRG60" s="1222"/>
      <c r="CRH60" s="1222"/>
      <c r="CRI60" s="1222"/>
      <c r="CRJ60" s="1222"/>
      <c r="CRK60" s="1222"/>
      <c r="CRL60" s="1222"/>
      <c r="CRM60" s="1222"/>
      <c r="CRN60" s="1222"/>
      <c r="CRO60" s="1222"/>
      <c r="CRP60" s="1222"/>
      <c r="CRQ60" s="1222"/>
      <c r="CRR60" s="1222"/>
      <c r="CRS60" s="1222"/>
      <c r="CRT60" s="1222"/>
      <c r="CRU60" s="1222"/>
      <c r="CRV60" s="1222"/>
      <c r="CRW60" s="1222"/>
      <c r="CRX60" s="1222"/>
      <c r="CRY60" s="1222"/>
      <c r="CRZ60" s="1222"/>
      <c r="CSA60" s="1222"/>
      <c r="CSB60" s="1222"/>
      <c r="CSC60" s="1222"/>
      <c r="CSD60" s="1222"/>
      <c r="CSE60" s="1222"/>
      <c r="CSF60" s="1222"/>
      <c r="CSG60" s="1222"/>
      <c r="CSH60" s="1222"/>
      <c r="CSI60" s="1222"/>
      <c r="CSJ60" s="1222"/>
      <c r="CSK60" s="1222"/>
      <c r="CSL60" s="1222"/>
      <c r="CSM60" s="1222"/>
      <c r="CSN60" s="1222"/>
      <c r="CSO60" s="1222"/>
      <c r="CSP60" s="1222"/>
      <c r="CSQ60" s="1222"/>
      <c r="CSR60" s="1222"/>
      <c r="CSS60" s="1222"/>
      <c r="CST60" s="1222"/>
      <c r="CSU60" s="1222"/>
      <c r="CSV60" s="1222"/>
      <c r="CSW60" s="1222"/>
      <c r="CSX60" s="1222"/>
      <c r="CSY60" s="1222"/>
      <c r="CSZ60" s="1222"/>
      <c r="CTA60" s="1222"/>
      <c r="CTB60" s="1222"/>
      <c r="CTC60" s="1222"/>
      <c r="CTD60" s="1222"/>
      <c r="CTE60" s="1222"/>
      <c r="CTF60" s="1222"/>
      <c r="CTG60" s="1222"/>
      <c r="CTH60" s="1222"/>
      <c r="CTI60" s="1222"/>
      <c r="CTJ60" s="1222"/>
      <c r="CTK60" s="1222"/>
      <c r="CTL60" s="1222"/>
      <c r="CTM60" s="1222"/>
      <c r="CTN60" s="1222"/>
      <c r="CTO60" s="1222"/>
      <c r="CTP60" s="1222"/>
      <c r="CTQ60" s="1222"/>
      <c r="CTR60" s="1222"/>
      <c r="CTS60" s="1222"/>
      <c r="CTT60" s="1222"/>
      <c r="CTU60" s="1222"/>
      <c r="CTV60" s="1222"/>
      <c r="CTW60" s="1222"/>
      <c r="CTX60" s="1222"/>
      <c r="CTY60" s="1222"/>
      <c r="CTZ60" s="1222"/>
      <c r="CUA60" s="1222"/>
      <c r="CUB60" s="1222"/>
      <c r="CUC60" s="1222"/>
      <c r="CUD60" s="1222"/>
      <c r="CUE60" s="1222"/>
      <c r="CUF60" s="1222"/>
      <c r="CUG60" s="1222"/>
      <c r="CUH60" s="1222"/>
      <c r="CUI60" s="1222"/>
      <c r="CUJ60" s="1222"/>
      <c r="CUK60" s="1222"/>
      <c r="CUL60" s="1222"/>
      <c r="CUM60" s="1222"/>
      <c r="CUN60" s="1222"/>
      <c r="CUO60" s="1222"/>
      <c r="CUP60" s="1222"/>
      <c r="CUQ60" s="1222"/>
      <c r="CUR60" s="1222"/>
      <c r="CUS60" s="1222"/>
      <c r="CUT60" s="1222"/>
      <c r="CUU60" s="1222"/>
      <c r="CUV60" s="1222"/>
      <c r="CUW60" s="1222"/>
      <c r="CUX60" s="1222"/>
      <c r="CUY60" s="1222"/>
      <c r="CUZ60" s="1222"/>
      <c r="CVA60" s="1222"/>
      <c r="CVB60" s="1222"/>
      <c r="CVC60" s="1222"/>
      <c r="CVD60" s="1222"/>
      <c r="CVE60" s="1222"/>
      <c r="CVF60" s="1222"/>
      <c r="CVG60" s="1222"/>
      <c r="CVH60" s="1222"/>
      <c r="CVI60" s="1222"/>
      <c r="CVJ60" s="1222"/>
      <c r="CVK60" s="1222"/>
      <c r="CVL60" s="1222"/>
      <c r="CVM60" s="1222"/>
      <c r="CVN60" s="1222"/>
      <c r="CVO60" s="1222"/>
      <c r="CVP60" s="1222"/>
      <c r="CVQ60" s="1222"/>
      <c r="CVR60" s="1222"/>
      <c r="CVS60" s="1222"/>
      <c r="CVT60" s="1222"/>
      <c r="CVU60" s="1222"/>
      <c r="CVV60" s="1222"/>
      <c r="CVW60" s="1222"/>
      <c r="CVX60" s="1222"/>
      <c r="CVY60" s="1222"/>
      <c r="CVZ60" s="1222"/>
      <c r="CWA60" s="1222"/>
      <c r="CWB60" s="1222"/>
      <c r="CWC60" s="1222"/>
      <c r="CWD60" s="1222"/>
      <c r="CWE60" s="1222"/>
      <c r="CWF60" s="1222"/>
      <c r="CWG60" s="1222"/>
      <c r="CWH60" s="1222"/>
      <c r="CWI60" s="1222"/>
      <c r="CWJ60" s="1222"/>
      <c r="CWK60" s="1222"/>
      <c r="CWL60" s="1222"/>
      <c r="CWM60" s="1222"/>
      <c r="CWN60" s="1222"/>
      <c r="CWO60" s="1222"/>
      <c r="CWP60" s="1222"/>
      <c r="CWQ60" s="1222"/>
      <c r="CWR60" s="1222"/>
      <c r="CWS60" s="1222"/>
      <c r="CWT60" s="1222"/>
      <c r="CWU60" s="1222"/>
      <c r="CWV60" s="1222"/>
      <c r="CWW60" s="1222"/>
      <c r="CWX60" s="1222"/>
      <c r="CWY60" s="1222"/>
      <c r="CWZ60" s="1222"/>
      <c r="CXA60" s="1222"/>
      <c r="CXB60" s="1222"/>
      <c r="CXC60" s="1222"/>
      <c r="CXD60" s="1222"/>
      <c r="CXE60" s="1222"/>
      <c r="CXF60" s="1222"/>
      <c r="CXG60" s="1222"/>
      <c r="CXH60" s="1222"/>
      <c r="CXI60" s="1222"/>
      <c r="CXJ60" s="1222"/>
      <c r="CXK60" s="1222"/>
      <c r="CXL60" s="1222"/>
      <c r="CXM60" s="1222"/>
      <c r="CXN60" s="1222"/>
      <c r="CXO60" s="1222"/>
      <c r="CXP60" s="1222"/>
      <c r="CXQ60" s="1222"/>
      <c r="CXR60" s="1222"/>
      <c r="CXS60" s="1222"/>
      <c r="CXT60" s="1222"/>
      <c r="CXU60" s="1222"/>
      <c r="CXV60" s="1222"/>
      <c r="CXW60" s="1222"/>
      <c r="CXX60" s="1222"/>
      <c r="CXY60" s="1222"/>
      <c r="CXZ60" s="1222"/>
      <c r="CYA60" s="1222"/>
      <c r="CYB60" s="1222"/>
      <c r="CYC60" s="1222"/>
      <c r="CYD60" s="1222"/>
      <c r="CYE60" s="1222"/>
      <c r="CYF60" s="1222"/>
      <c r="CYG60" s="1222"/>
      <c r="CYH60" s="1222"/>
      <c r="CYI60" s="1222"/>
      <c r="CYJ60" s="1222"/>
      <c r="CYK60" s="1222"/>
      <c r="CYL60" s="1222"/>
      <c r="CYM60" s="1222"/>
      <c r="CYN60" s="1222"/>
      <c r="CYO60" s="1222"/>
      <c r="CYP60" s="1222"/>
      <c r="CYQ60" s="1222"/>
      <c r="CYR60" s="1222"/>
      <c r="CYS60" s="1222"/>
      <c r="CYT60" s="1222"/>
      <c r="CYU60" s="1222"/>
      <c r="CYV60" s="1222"/>
      <c r="CYW60" s="1222"/>
      <c r="CYX60" s="1222"/>
      <c r="CYY60" s="1222"/>
      <c r="CYZ60" s="1222"/>
      <c r="CZA60" s="1222"/>
      <c r="CZB60" s="1222"/>
      <c r="CZC60" s="1222"/>
      <c r="CZD60" s="1222"/>
      <c r="CZE60" s="1222"/>
      <c r="CZF60" s="1222"/>
      <c r="CZG60" s="1222"/>
      <c r="CZH60" s="1222"/>
      <c r="CZI60" s="1222"/>
      <c r="CZJ60" s="1222"/>
      <c r="CZK60" s="1222"/>
      <c r="CZL60" s="1222"/>
      <c r="CZM60" s="1222"/>
      <c r="CZN60" s="1222"/>
      <c r="CZO60" s="1222"/>
      <c r="CZP60" s="1222"/>
      <c r="CZQ60" s="1222"/>
      <c r="CZR60" s="1222"/>
      <c r="CZS60" s="1222"/>
      <c r="CZT60" s="1222"/>
      <c r="CZU60" s="1222"/>
      <c r="CZV60" s="1222"/>
      <c r="CZW60" s="1222"/>
      <c r="CZX60" s="1222"/>
      <c r="CZY60" s="1222"/>
      <c r="CZZ60" s="1222"/>
      <c r="DAA60" s="1222"/>
      <c r="DAB60" s="1222"/>
      <c r="DAC60" s="1222"/>
      <c r="DAD60" s="1222"/>
      <c r="DAE60" s="1222"/>
      <c r="DAF60" s="1222"/>
      <c r="DAG60" s="1222"/>
      <c r="DAH60" s="1222"/>
      <c r="DAI60" s="1222"/>
      <c r="DAJ60" s="1222"/>
      <c r="DAK60" s="1222"/>
      <c r="DAL60" s="1222"/>
      <c r="DAM60" s="1222"/>
      <c r="DAN60" s="1222"/>
      <c r="DAO60" s="1222"/>
      <c r="DAP60" s="1222"/>
      <c r="DAQ60" s="1222"/>
      <c r="DAR60" s="1222"/>
      <c r="DAS60" s="1222"/>
      <c r="DAT60" s="1222"/>
      <c r="DAU60" s="1222"/>
      <c r="DAV60" s="1222"/>
      <c r="DAW60" s="1222"/>
      <c r="DAX60" s="1222"/>
      <c r="DAY60" s="1222"/>
      <c r="DAZ60" s="1222"/>
      <c r="DBA60" s="1222"/>
      <c r="DBB60" s="1222"/>
      <c r="DBC60" s="1222"/>
      <c r="DBD60" s="1222"/>
      <c r="DBE60" s="1222"/>
      <c r="DBF60" s="1222"/>
      <c r="DBG60" s="1222"/>
      <c r="DBH60" s="1222"/>
      <c r="DBI60" s="1222"/>
      <c r="DBJ60" s="1222"/>
      <c r="DBK60" s="1222"/>
      <c r="DBL60" s="1222"/>
      <c r="DBM60" s="1222"/>
      <c r="DBN60" s="1222"/>
      <c r="DBO60" s="1222"/>
      <c r="DBP60" s="1222"/>
      <c r="DBQ60" s="1222"/>
      <c r="DBR60" s="1222"/>
      <c r="DBS60" s="1222"/>
      <c r="DBT60" s="1222"/>
      <c r="DBU60" s="1222"/>
      <c r="DBV60" s="1222"/>
      <c r="DBW60" s="1222"/>
      <c r="DBX60" s="1222"/>
      <c r="DBY60" s="1222"/>
      <c r="DBZ60" s="1222"/>
      <c r="DCA60" s="1222"/>
      <c r="DCB60" s="1222"/>
      <c r="DCC60" s="1222"/>
      <c r="DCD60" s="1222"/>
      <c r="DCE60" s="1222"/>
      <c r="DCF60" s="1222"/>
      <c r="DCG60" s="1222"/>
      <c r="DCH60" s="1222"/>
      <c r="DCI60" s="1222"/>
      <c r="DCJ60" s="1222"/>
      <c r="DCK60" s="1222"/>
      <c r="DCL60" s="1222"/>
      <c r="DCM60" s="1222"/>
      <c r="DCN60" s="1222"/>
      <c r="DCO60" s="1222"/>
      <c r="DCP60" s="1222"/>
      <c r="DCQ60" s="1222"/>
      <c r="DCR60" s="1222"/>
      <c r="DCS60" s="1222"/>
      <c r="DCT60" s="1222"/>
      <c r="DCU60" s="1222"/>
      <c r="DCV60" s="1222"/>
      <c r="DCW60" s="1222"/>
      <c r="DCX60" s="1222"/>
      <c r="DCY60" s="1222"/>
      <c r="DCZ60" s="1222"/>
      <c r="DDA60" s="1222"/>
      <c r="DDB60" s="1222"/>
      <c r="DDC60" s="1222"/>
      <c r="DDD60" s="1222"/>
      <c r="DDE60" s="1222"/>
      <c r="DDF60" s="1222"/>
      <c r="DDG60" s="1222"/>
      <c r="DDH60" s="1222"/>
      <c r="DDI60" s="1222"/>
      <c r="DDJ60" s="1222"/>
      <c r="DDK60" s="1222"/>
      <c r="DDL60" s="1222"/>
      <c r="DDM60" s="1222"/>
      <c r="DDN60" s="1222"/>
      <c r="DDO60" s="1222"/>
      <c r="DDP60" s="1222"/>
      <c r="DDQ60" s="1222"/>
      <c r="DDR60" s="1222"/>
      <c r="DDS60" s="1222"/>
      <c r="DDT60" s="1222"/>
      <c r="DDU60" s="1222"/>
      <c r="DDV60" s="1222"/>
      <c r="DDW60" s="1222"/>
      <c r="DDX60" s="1222"/>
      <c r="DDY60" s="1222"/>
      <c r="DDZ60" s="1222"/>
      <c r="DEA60" s="1222"/>
      <c r="DEB60" s="1222"/>
      <c r="DEC60" s="1222"/>
      <c r="DED60" s="1222"/>
      <c r="DEE60" s="1222"/>
      <c r="DEF60" s="1222"/>
      <c r="DEG60" s="1222"/>
      <c r="DEH60" s="1222"/>
      <c r="DEI60" s="1222"/>
      <c r="DEJ60" s="1222"/>
      <c r="DEK60" s="1222"/>
      <c r="DEL60" s="1222"/>
      <c r="DEM60" s="1222"/>
      <c r="DEN60" s="1222"/>
      <c r="DEO60" s="1222"/>
      <c r="DEP60" s="1222"/>
      <c r="DEQ60" s="1222"/>
      <c r="DER60" s="1222"/>
      <c r="DES60" s="1222"/>
      <c r="DET60" s="1222"/>
      <c r="DEU60" s="1222"/>
      <c r="DEV60" s="1222"/>
      <c r="DEW60" s="1222"/>
      <c r="DEX60" s="1222"/>
      <c r="DEY60" s="1222"/>
      <c r="DEZ60" s="1222"/>
      <c r="DFA60" s="1222"/>
      <c r="DFB60" s="1222"/>
      <c r="DFC60" s="1222"/>
      <c r="DFD60" s="1222"/>
      <c r="DFE60" s="1222"/>
      <c r="DFF60" s="1222"/>
      <c r="DFG60" s="1222"/>
      <c r="DFH60" s="1222"/>
      <c r="DFI60" s="1222"/>
      <c r="DFJ60" s="1222"/>
      <c r="DFK60" s="1222"/>
      <c r="DFL60" s="1222"/>
      <c r="DFM60" s="1222"/>
      <c r="DFN60" s="1222"/>
      <c r="DFO60" s="1222"/>
      <c r="DFP60" s="1222"/>
      <c r="DFQ60" s="1222"/>
      <c r="DFR60" s="1222"/>
      <c r="DFS60" s="1222"/>
      <c r="DFT60" s="1222"/>
      <c r="DFU60" s="1222"/>
      <c r="DFV60" s="1222"/>
      <c r="DFW60" s="1222"/>
      <c r="DFX60" s="1222"/>
      <c r="DFY60" s="1222"/>
      <c r="DFZ60" s="1222"/>
      <c r="DGA60" s="1222"/>
      <c r="DGB60" s="1222"/>
      <c r="DGC60" s="1222"/>
      <c r="DGD60" s="1222"/>
      <c r="DGE60" s="1222"/>
      <c r="DGF60" s="1222"/>
      <c r="DGG60" s="1222"/>
      <c r="DGH60" s="1222"/>
      <c r="DGI60" s="1222"/>
      <c r="DGJ60" s="1222"/>
      <c r="DGK60" s="1222"/>
      <c r="DGL60" s="1222"/>
      <c r="DGM60" s="1222"/>
      <c r="DGN60" s="1222"/>
      <c r="DGO60" s="1222"/>
      <c r="DGP60" s="1222"/>
      <c r="DGQ60" s="1222"/>
      <c r="DGR60" s="1222"/>
      <c r="DGS60" s="1222"/>
      <c r="DGT60" s="1222"/>
      <c r="DGU60" s="1222"/>
      <c r="DGV60" s="1222"/>
      <c r="DGW60" s="1222"/>
      <c r="DGX60" s="1222"/>
      <c r="DGY60" s="1222"/>
      <c r="DGZ60" s="1222"/>
      <c r="DHA60" s="1222"/>
      <c r="DHB60" s="1222"/>
      <c r="DHC60" s="1222"/>
      <c r="DHD60" s="1222"/>
      <c r="DHE60" s="1222"/>
      <c r="DHF60" s="1222"/>
      <c r="DHG60" s="1222"/>
      <c r="DHH60" s="1222"/>
      <c r="DHI60" s="1222"/>
      <c r="DHJ60" s="1222"/>
      <c r="DHK60" s="1222"/>
      <c r="DHL60" s="1222"/>
      <c r="DHM60" s="1222"/>
      <c r="DHN60" s="1222"/>
      <c r="DHO60" s="1222"/>
      <c r="DHP60" s="1222"/>
      <c r="DHQ60" s="1222"/>
      <c r="DHR60" s="1222"/>
      <c r="DHS60" s="1222"/>
      <c r="DHT60" s="1222"/>
      <c r="DHU60" s="1222"/>
      <c r="DHV60" s="1222"/>
      <c r="DHW60" s="1222"/>
      <c r="DHX60" s="1222"/>
      <c r="DHY60" s="1222"/>
      <c r="DHZ60" s="1222"/>
      <c r="DIA60" s="1222"/>
      <c r="DIB60" s="1222"/>
      <c r="DIC60" s="1222"/>
      <c r="DID60" s="1222"/>
      <c r="DIE60" s="1222"/>
      <c r="DIF60" s="1222"/>
      <c r="DIG60" s="1222"/>
      <c r="DIH60" s="1222"/>
      <c r="DII60" s="1222"/>
      <c r="DIJ60" s="1222"/>
      <c r="DIK60" s="1222"/>
      <c r="DIL60" s="1222"/>
      <c r="DIM60" s="1222"/>
      <c r="DIN60" s="1222"/>
      <c r="DIO60" s="1222"/>
      <c r="DIP60" s="1222"/>
      <c r="DIQ60" s="1222"/>
      <c r="DIR60" s="1222"/>
      <c r="DIS60" s="1222"/>
      <c r="DIT60" s="1222"/>
      <c r="DIU60" s="1222"/>
      <c r="DIV60" s="1222"/>
      <c r="DIW60" s="1222"/>
      <c r="DIX60" s="1222"/>
      <c r="DIY60" s="1222"/>
      <c r="DIZ60" s="1222"/>
      <c r="DJA60" s="1222"/>
      <c r="DJB60" s="1222"/>
      <c r="DJC60" s="1222"/>
      <c r="DJD60" s="1222"/>
      <c r="DJE60" s="1222"/>
      <c r="DJF60" s="1222"/>
      <c r="DJG60" s="1222"/>
      <c r="DJH60" s="1222"/>
      <c r="DJI60" s="1222"/>
      <c r="DJJ60" s="1222"/>
      <c r="DJK60" s="1222"/>
      <c r="DJL60" s="1222"/>
      <c r="DJM60" s="1222"/>
      <c r="DJN60" s="1222"/>
      <c r="DJO60" s="1222"/>
      <c r="DJP60" s="1222"/>
      <c r="DJQ60" s="1222"/>
      <c r="DJR60" s="1222"/>
      <c r="DJS60" s="1222"/>
      <c r="DJT60" s="1222"/>
      <c r="DJU60" s="1222"/>
      <c r="DJV60" s="1222"/>
      <c r="DJW60" s="1222"/>
      <c r="DJX60" s="1222"/>
      <c r="DJY60" s="1222"/>
      <c r="DJZ60" s="1222"/>
      <c r="DKA60" s="1222"/>
      <c r="DKB60" s="1222"/>
      <c r="DKC60" s="1222"/>
      <c r="DKD60" s="1222"/>
      <c r="DKE60" s="1222"/>
      <c r="DKF60" s="1222"/>
      <c r="DKG60" s="1222"/>
      <c r="DKH60" s="1222"/>
      <c r="DKI60" s="1222"/>
      <c r="DKJ60" s="1222"/>
      <c r="DKK60" s="1222"/>
      <c r="DKL60" s="1222"/>
      <c r="DKM60" s="1222"/>
      <c r="DKN60" s="1222"/>
      <c r="DKO60" s="1222"/>
      <c r="DKP60" s="1222"/>
      <c r="DKQ60" s="1222"/>
      <c r="DKR60" s="1222"/>
      <c r="DKS60" s="1222"/>
      <c r="DKT60" s="1222"/>
      <c r="DKU60" s="1222"/>
      <c r="DKV60" s="1222"/>
      <c r="DKW60" s="1222"/>
      <c r="DKX60" s="1222"/>
      <c r="DKY60" s="1222"/>
      <c r="DKZ60" s="1222"/>
      <c r="DLA60" s="1222"/>
      <c r="DLB60" s="1222"/>
      <c r="DLC60" s="1222"/>
      <c r="DLD60" s="1222"/>
      <c r="DLE60" s="1222"/>
      <c r="DLF60" s="1222"/>
      <c r="DLG60" s="1222"/>
      <c r="DLH60" s="1222"/>
      <c r="DLI60" s="1222"/>
      <c r="DLJ60" s="1222"/>
      <c r="DLK60" s="1222"/>
      <c r="DLL60" s="1222"/>
      <c r="DLM60" s="1222"/>
      <c r="DLN60" s="1222"/>
      <c r="DLO60" s="1222"/>
      <c r="DLP60" s="1222"/>
      <c r="DLQ60" s="1222"/>
      <c r="DLR60" s="1222"/>
      <c r="DLS60" s="1222"/>
      <c r="DLT60" s="1222"/>
      <c r="DLU60" s="1222"/>
      <c r="DLV60" s="1222"/>
      <c r="DLW60" s="1222"/>
      <c r="DLX60" s="1222"/>
      <c r="DLY60" s="1222"/>
      <c r="DLZ60" s="1222"/>
      <c r="DMA60" s="1222"/>
      <c r="DMB60" s="1222"/>
      <c r="DMC60" s="1222"/>
      <c r="DMD60" s="1222"/>
      <c r="DME60" s="1222"/>
      <c r="DMF60" s="1222"/>
      <c r="DMG60" s="1222"/>
      <c r="DMH60" s="1222"/>
      <c r="DMI60" s="1222"/>
      <c r="DMJ60" s="1222"/>
      <c r="DMK60" s="1222"/>
      <c r="DML60" s="1222"/>
      <c r="DMM60" s="1222"/>
      <c r="DMN60" s="1222"/>
      <c r="DMO60" s="1222"/>
      <c r="DMP60" s="1222"/>
      <c r="DMQ60" s="1222"/>
      <c r="DMR60" s="1222"/>
      <c r="DMS60" s="1222"/>
      <c r="DMT60" s="1222"/>
      <c r="DMU60" s="1222"/>
      <c r="DMV60" s="1222"/>
      <c r="DMW60" s="1222"/>
      <c r="DMX60" s="1222"/>
      <c r="DMY60" s="1222"/>
      <c r="DMZ60" s="1222"/>
      <c r="DNA60" s="1222"/>
      <c r="DNB60" s="1222"/>
      <c r="DNC60" s="1222"/>
      <c r="DND60" s="1222"/>
      <c r="DNE60" s="1222"/>
      <c r="DNF60" s="1222"/>
      <c r="DNG60" s="1222"/>
      <c r="DNH60" s="1222"/>
      <c r="DNI60" s="1222"/>
      <c r="DNJ60" s="1222"/>
      <c r="DNK60" s="1222"/>
      <c r="DNL60" s="1222"/>
      <c r="DNM60" s="1222"/>
      <c r="DNN60" s="1222"/>
      <c r="DNO60" s="1222"/>
      <c r="DNP60" s="1222"/>
      <c r="DNQ60" s="1222"/>
      <c r="DNR60" s="1222"/>
      <c r="DNS60" s="1222"/>
      <c r="DNT60" s="1222"/>
      <c r="DNU60" s="1222"/>
      <c r="DNV60" s="1222"/>
      <c r="DNW60" s="1222"/>
      <c r="DNX60" s="1222"/>
      <c r="DNY60" s="1222"/>
      <c r="DNZ60" s="1222"/>
      <c r="DOA60" s="1222"/>
      <c r="DOB60" s="1222"/>
      <c r="DOC60" s="1222"/>
      <c r="DOD60" s="1222"/>
      <c r="DOE60" s="1222"/>
      <c r="DOF60" s="1222"/>
      <c r="DOG60" s="1222"/>
      <c r="DOH60" s="1222"/>
      <c r="DOI60" s="1222"/>
      <c r="DOJ60" s="1222"/>
      <c r="DOK60" s="1222"/>
      <c r="DOL60" s="1222"/>
      <c r="DOM60" s="1222"/>
      <c r="DON60" s="1222"/>
      <c r="DOO60" s="1222"/>
      <c r="DOP60" s="1222"/>
      <c r="DOQ60" s="1222"/>
      <c r="DOR60" s="1222"/>
      <c r="DOS60" s="1222"/>
      <c r="DOT60" s="1222"/>
      <c r="DOU60" s="1222"/>
      <c r="DOV60" s="1222"/>
      <c r="DOW60" s="1222"/>
      <c r="DOX60" s="1222"/>
      <c r="DOY60" s="1222"/>
      <c r="DOZ60" s="1222"/>
      <c r="DPA60" s="1222"/>
      <c r="DPB60" s="1222"/>
      <c r="DPC60" s="1222"/>
      <c r="DPD60" s="1222"/>
      <c r="DPE60" s="1222"/>
      <c r="DPF60" s="1222"/>
      <c r="DPG60" s="1222"/>
      <c r="DPH60" s="1222"/>
      <c r="DPI60" s="1222"/>
      <c r="DPJ60" s="1222"/>
      <c r="DPK60" s="1222"/>
      <c r="DPL60" s="1222"/>
      <c r="DPM60" s="1222"/>
      <c r="DPN60" s="1222"/>
      <c r="DPO60" s="1222"/>
      <c r="DPP60" s="1222"/>
      <c r="DPQ60" s="1222"/>
      <c r="DPR60" s="1222"/>
      <c r="DPS60" s="1222"/>
      <c r="DPT60" s="1222"/>
      <c r="DPU60" s="1222"/>
      <c r="DPV60" s="1222"/>
      <c r="DPW60" s="1222"/>
      <c r="DPX60" s="1222"/>
      <c r="DPY60" s="1222"/>
      <c r="DPZ60" s="1222"/>
      <c r="DQA60" s="1222"/>
      <c r="DQB60" s="1222"/>
      <c r="DQC60" s="1222"/>
      <c r="DQD60" s="1222"/>
      <c r="DQE60" s="1222"/>
      <c r="DQF60" s="1222"/>
      <c r="DQG60" s="1222"/>
      <c r="DQH60" s="1222"/>
      <c r="DQI60" s="1222"/>
      <c r="DQJ60" s="1222"/>
      <c r="DQK60" s="1222"/>
      <c r="DQL60" s="1222"/>
      <c r="DQM60" s="1222"/>
      <c r="DQN60" s="1222"/>
      <c r="DQO60" s="1222"/>
      <c r="DQP60" s="1222"/>
      <c r="DQQ60" s="1222"/>
      <c r="DQR60" s="1222"/>
      <c r="DQS60" s="1222"/>
      <c r="DQT60" s="1222"/>
      <c r="DQU60" s="1222"/>
      <c r="DQV60" s="1222"/>
      <c r="DQW60" s="1222"/>
      <c r="DQX60" s="1222"/>
      <c r="DQY60" s="1222"/>
      <c r="DQZ60" s="1222"/>
      <c r="DRA60" s="1222"/>
      <c r="DRB60" s="1222"/>
      <c r="DRC60" s="1222"/>
      <c r="DRD60" s="1222"/>
      <c r="DRE60" s="1222"/>
      <c r="DRF60" s="1222"/>
      <c r="DRG60" s="1222"/>
      <c r="DRH60" s="1222"/>
      <c r="DRI60" s="1222"/>
      <c r="DRJ60" s="1222"/>
      <c r="DRK60" s="1222"/>
      <c r="DRL60" s="1222"/>
      <c r="DRM60" s="1222"/>
      <c r="DRN60" s="1222"/>
      <c r="DRO60" s="1222"/>
      <c r="DRP60" s="1222"/>
      <c r="DRQ60" s="1222"/>
      <c r="DRR60" s="1222"/>
      <c r="DRS60" s="1222"/>
      <c r="DRT60" s="1222"/>
      <c r="DRU60" s="1222"/>
      <c r="DRV60" s="1222"/>
      <c r="DRW60" s="1222"/>
      <c r="DRX60" s="1222"/>
      <c r="DRY60" s="1222"/>
      <c r="DRZ60" s="1222"/>
      <c r="DSA60" s="1222"/>
      <c r="DSB60" s="1222"/>
      <c r="DSC60" s="1222"/>
      <c r="DSD60" s="1222"/>
      <c r="DSE60" s="1222"/>
      <c r="DSF60" s="1222"/>
      <c r="DSG60" s="1222"/>
      <c r="DSH60" s="1222"/>
      <c r="DSI60" s="1222"/>
      <c r="DSJ60" s="1222"/>
      <c r="DSK60" s="1222"/>
      <c r="DSL60" s="1222"/>
      <c r="DSM60" s="1222"/>
      <c r="DSN60" s="1222"/>
      <c r="DSO60" s="1222"/>
      <c r="DSP60" s="1222"/>
      <c r="DSQ60" s="1222"/>
      <c r="DSR60" s="1222"/>
      <c r="DSS60" s="1222"/>
      <c r="DST60" s="1222"/>
      <c r="DSU60" s="1222"/>
      <c r="DSV60" s="1222"/>
      <c r="DSW60" s="1222"/>
      <c r="DSX60" s="1222"/>
      <c r="DSY60" s="1222"/>
      <c r="DSZ60" s="1222"/>
      <c r="DTA60" s="1222"/>
      <c r="DTB60" s="1222"/>
      <c r="DTC60" s="1222"/>
      <c r="DTD60" s="1222"/>
      <c r="DTE60" s="1222"/>
      <c r="DTF60" s="1222"/>
      <c r="DTG60" s="1222"/>
      <c r="DTH60" s="1222"/>
      <c r="DTI60" s="1222"/>
      <c r="DTJ60" s="1222"/>
      <c r="DTK60" s="1222"/>
      <c r="DTL60" s="1222"/>
      <c r="DTM60" s="1222"/>
      <c r="DTN60" s="1222"/>
      <c r="DTO60" s="1222"/>
      <c r="DTP60" s="1222"/>
      <c r="DTQ60" s="1222"/>
      <c r="DTR60" s="1222"/>
      <c r="DTS60" s="1222"/>
      <c r="DTT60" s="1222"/>
      <c r="DTU60" s="1222"/>
      <c r="DTV60" s="1222"/>
      <c r="DTW60" s="1222"/>
      <c r="DTX60" s="1222"/>
      <c r="DTY60" s="1222"/>
      <c r="DTZ60" s="1222"/>
      <c r="DUA60" s="1222"/>
      <c r="DUB60" s="1222"/>
      <c r="DUC60" s="1222"/>
      <c r="DUD60" s="1222"/>
      <c r="DUE60" s="1222"/>
      <c r="DUF60" s="1222"/>
      <c r="DUG60" s="1222"/>
      <c r="DUH60" s="1222"/>
      <c r="DUI60" s="1222"/>
      <c r="DUJ60" s="1222"/>
      <c r="DUK60" s="1222"/>
      <c r="DUL60" s="1222"/>
      <c r="DUM60" s="1222"/>
      <c r="DUN60" s="1222"/>
      <c r="DUO60" s="1222"/>
      <c r="DUP60" s="1222"/>
      <c r="DUQ60" s="1222"/>
      <c r="DUR60" s="1222"/>
      <c r="DUS60" s="1222"/>
      <c r="DUT60" s="1222"/>
      <c r="DUU60" s="1222"/>
      <c r="DUV60" s="1222"/>
      <c r="DUW60" s="1222"/>
      <c r="DUX60" s="1222"/>
      <c r="DUY60" s="1222"/>
      <c r="DUZ60" s="1222"/>
      <c r="DVA60" s="1222"/>
      <c r="DVB60" s="1222"/>
      <c r="DVC60" s="1222"/>
      <c r="DVD60" s="1222"/>
      <c r="DVE60" s="1222"/>
      <c r="DVF60" s="1222"/>
      <c r="DVG60" s="1222"/>
      <c r="DVH60" s="1222"/>
      <c r="DVI60" s="1222"/>
      <c r="DVJ60" s="1222"/>
      <c r="DVK60" s="1222"/>
      <c r="DVL60" s="1222"/>
      <c r="DVM60" s="1222"/>
      <c r="DVN60" s="1222"/>
      <c r="DVO60" s="1222"/>
      <c r="DVP60" s="1222"/>
      <c r="DVQ60" s="1222"/>
      <c r="DVR60" s="1222"/>
      <c r="DVS60" s="1222"/>
      <c r="DVT60" s="1222"/>
      <c r="DVU60" s="1222"/>
      <c r="DVV60" s="1222"/>
      <c r="DVW60" s="1222"/>
      <c r="DVX60" s="1222"/>
      <c r="DVY60" s="1222"/>
      <c r="DVZ60" s="1222"/>
      <c r="DWA60" s="1222"/>
      <c r="DWB60" s="1222"/>
      <c r="DWC60" s="1222"/>
      <c r="DWD60" s="1222"/>
      <c r="DWE60" s="1222"/>
      <c r="DWF60" s="1222"/>
      <c r="DWG60" s="1222"/>
      <c r="DWH60" s="1222"/>
      <c r="DWI60" s="1222"/>
      <c r="DWJ60" s="1222"/>
      <c r="DWK60" s="1222"/>
      <c r="DWL60" s="1222"/>
      <c r="DWM60" s="1222"/>
      <c r="DWN60" s="1222"/>
      <c r="DWO60" s="1222"/>
      <c r="DWP60" s="1222"/>
      <c r="DWQ60" s="1222"/>
      <c r="DWR60" s="1222"/>
      <c r="DWS60" s="1222"/>
      <c r="DWT60" s="1222"/>
      <c r="DWU60" s="1222"/>
      <c r="DWV60" s="1222"/>
      <c r="DWW60" s="1222"/>
      <c r="DWX60" s="1222"/>
      <c r="DWY60" s="1222"/>
      <c r="DWZ60" s="1222"/>
      <c r="DXA60" s="1222"/>
      <c r="DXB60" s="1222"/>
      <c r="DXC60" s="1222"/>
      <c r="DXD60" s="1222"/>
      <c r="DXE60" s="1222"/>
      <c r="DXF60" s="1222"/>
      <c r="DXG60" s="1222"/>
      <c r="DXH60" s="1222"/>
      <c r="DXI60" s="1222"/>
      <c r="DXJ60" s="1222"/>
      <c r="DXK60" s="1222"/>
      <c r="DXL60" s="1222"/>
      <c r="DXM60" s="1222"/>
      <c r="DXN60" s="1222"/>
      <c r="DXO60" s="1222"/>
      <c r="DXP60" s="1222"/>
      <c r="DXQ60" s="1222"/>
      <c r="DXR60" s="1222"/>
      <c r="DXS60" s="1222"/>
      <c r="DXT60" s="1222"/>
      <c r="DXU60" s="1222"/>
      <c r="DXV60" s="1222"/>
      <c r="DXW60" s="1222"/>
      <c r="DXX60" s="1222"/>
      <c r="DXY60" s="1222"/>
      <c r="DXZ60" s="1222"/>
      <c r="DYA60" s="1222"/>
      <c r="DYB60" s="1222"/>
      <c r="DYC60" s="1222"/>
      <c r="DYD60" s="1222"/>
      <c r="DYE60" s="1222"/>
      <c r="DYF60" s="1222"/>
      <c r="DYG60" s="1222"/>
      <c r="DYH60" s="1222"/>
      <c r="DYI60" s="1222"/>
      <c r="DYJ60" s="1222"/>
      <c r="DYK60" s="1222"/>
      <c r="DYL60" s="1222"/>
      <c r="DYM60" s="1222"/>
      <c r="DYN60" s="1222"/>
      <c r="DYO60" s="1222"/>
      <c r="DYP60" s="1222"/>
      <c r="DYQ60" s="1222"/>
      <c r="DYR60" s="1222"/>
      <c r="DYS60" s="1222"/>
      <c r="DYT60" s="1222"/>
      <c r="DYU60" s="1222"/>
      <c r="DYV60" s="1222"/>
      <c r="DYW60" s="1222"/>
      <c r="DYX60" s="1222"/>
      <c r="DYY60" s="1222"/>
      <c r="DYZ60" s="1222"/>
      <c r="DZA60" s="1222"/>
      <c r="DZB60" s="1222"/>
      <c r="DZC60" s="1222"/>
      <c r="DZD60" s="1222"/>
      <c r="DZE60" s="1222"/>
      <c r="DZF60" s="1222"/>
      <c r="DZG60" s="1222"/>
      <c r="DZH60" s="1222"/>
      <c r="DZI60" s="1222"/>
      <c r="DZJ60" s="1222"/>
      <c r="DZK60" s="1222"/>
      <c r="DZL60" s="1222"/>
      <c r="DZM60" s="1222"/>
      <c r="DZN60" s="1222"/>
      <c r="DZO60" s="1222"/>
      <c r="DZP60" s="1222"/>
      <c r="DZQ60" s="1222"/>
      <c r="DZR60" s="1222"/>
      <c r="DZS60" s="1222"/>
      <c r="DZT60" s="1222"/>
      <c r="DZU60" s="1222"/>
      <c r="DZV60" s="1222"/>
      <c r="DZW60" s="1222"/>
      <c r="DZX60" s="1222"/>
      <c r="DZY60" s="1222"/>
      <c r="DZZ60" s="1222"/>
      <c r="EAA60" s="1222"/>
      <c r="EAB60" s="1222"/>
      <c r="EAC60" s="1222"/>
      <c r="EAD60" s="1222"/>
      <c r="EAE60" s="1222"/>
      <c r="EAF60" s="1222"/>
      <c r="EAG60" s="1222"/>
      <c r="EAH60" s="1222"/>
      <c r="EAI60" s="1222"/>
      <c r="EAJ60" s="1222"/>
      <c r="EAK60" s="1222"/>
      <c r="EAL60" s="1222"/>
      <c r="EAM60" s="1222"/>
      <c r="EAN60" s="1222"/>
      <c r="EAO60" s="1222"/>
      <c r="EAP60" s="1222"/>
      <c r="EAQ60" s="1222"/>
      <c r="EAR60" s="1222"/>
      <c r="EAS60" s="1222"/>
      <c r="EAT60" s="1222"/>
      <c r="EAU60" s="1222"/>
      <c r="EAV60" s="1222"/>
      <c r="EAW60" s="1222"/>
      <c r="EAX60" s="1222"/>
      <c r="EAY60" s="1222"/>
      <c r="EAZ60" s="1222"/>
      <c r="EBA60" s="1222"/>
      <c r="EBB60" s="1222"/>
      <c r="EBC60" s="1222"/>
      <c r="EBD60" s="1222"/>
      <c r="EBE60" s="1222"/>
      <c r="EBF60" s="1222"/>
      <c r="EBG60" s="1222"/>
      <c r="EBH60" s="1222"/>
      <c r="EBI60" s="1222"/>
      <c r="EBJ60" s="1222"/>
      <c r="EBK60" s="1222"/>
      <c r="EBL60" s="1222"/>
      <c r="EBM60" s="1222"/>
      <c r="EBN60" s="1222"/>
      <c r="EBO60" s="1222"/>
      <c r="EBP60" s="1222"/>
      <c r="EBQ60" s="1222"/>
      <c r="EBR60" s="1222"/>
      <c r="EBS60" s="1222"/>
      <c r="EBT60" s="1222"/>
      <c r="EBU60" s="1222"/>
      <c r="EBV60" s="1222"/>
      <c r="EBW60" s="1222"/>
      <c r="EBX60" s="1222"/>
      <c r="EBY60" s="1222"/>
      <c r="EBZ60" s="1222"/>
      <c r="ECA60" s="1222"/>
      <c r="ECB60" s="1222"/>
      <c r="ECC60" s="1222"/>
      <c r="ECD60" s="1222"/>
      <c r="ECE60" s="1222"/>
      <c r="ECF60" s="1222"/>
      <c r="ECG60" s="1222"/>
      <c r="ECH60" s="1222"/>
      <c r="ECI60" s="1222"/>
      <c r="ECJ60" s="1222"/>
      <c r="ECK60" s="1222"/>
      <c r="ECL60" s="1222"/>
      <c r="ECM60" s="1222"/>
      <c r="ECN60" s="1222"/>
      <c r="ECO60" s="1222"/>
    </row>
    <row r="61" spans="2:3473" ht="16" thickBot="1">
      <c r="B61" s="1308"/>
      <c r="C61" s="1309"/>
      <c r="D61" s="1310"/>
      <c r="E61" s="1311"/>
      <c r="F61" s="1311"/>
      <c r="G61" s="1311"/>
      <c r="H61" s="1311">
        <v>6628.8246257944602</v>
      </c>
      <c r="I61" s="1311"/>
      <c r="J61" s="1311"/>
      <c r="K61" s="1311"/>
      <c r="L61" s="1311"/>
      <c r="M61" s="1311"/>
      <c r="N61" s="1311"/>
      <c r="O61" s="1311"/>
      <c r="P61" s="1311"/>
      <c r="Q61" s="1311"/>
      <c r="R61" s="1311"/>
      <c r="S61" s="1311"/>
      <c r="T61" s="1311"/>
      <c r="U61" s="1311"/>
      <c r="V61" s="1311"/>
      <c r="W61" s="1311"/>
      <c r="X61" s="1311"/>
      <c r="Y61" s="1311"/>
      <c r="Z61" s="1311"/>
      <c r="AA61" s="1311"/>
      <c r="AB61" s="1311"/>
      <c r="AC61" s="1311"/>
      <c r="AD61" s="1312"/>
      <c r="AE61" s="1312"/>
      <c r="AF61" s="1288"/>
      <c r="AG61" s="1288"/>
      <c r="AH61" s="1288"/>
      <c r="AI61" s="1288"/>
      <c r="AJ61" s="1288"/>
      <c r="AK61" s="1288"/>
      <c r="AL61" s="1288"/>
      <c r="AM61" s="1288"/>
      <c r="AN61" s="1288"/>
      <c r="AO61" s="1288"/>
      <c r="AP61" s="1288"/>
      <c r="AQ61" s="1288"/>
      <c r="AR61" s="1288"/>
      <c r="AS61" s="1288"/>
      <c r="AT61" s="1288"/>
      <c r="AU61" s="1288"/>
      <c r="AV61" s="1288"/>
      <c r="AW61" s="1288"/>
      <c r="AX61" s="1288"/>
      <c r="AY61" s="1288"/>
      <c r="AZ61" s="1288"/>
      <c r="BA61" s="1288"/>
      <c r="BB61" s="1288"/>
      <c r="BC61" s="1288"/>
      <c r="BD61" s="1288"/>
      <c r="BE61" s="1288"/>
      <c r="BF61" s="1288"/>
      <c r="BG61" s="1288"/>
      <c r="BH61" s="1288"/>
      <c r="BI61" s="1288"/>
      <c r="BJ61" s="1308"/>
      <c r="BK61" s="1308">
        <f ca="1">BJ55*0.6*0.0435</f>
        <v>1646.0122338890999</v>
      </c>
      <c r="BL61" s="1308"/>
      <c r="BM61" s="1308"/>
      <c r="BN61" s="1221"/>
      <c r="BO61" s="1221"/>
      <c r="BP61" s="1221"/>
      <c r="BQ61" s="1221"/>
      <c r="BR61" s="1222"/>
      <c r="BS61" s="1222"/>
      <c r="BT61" s="1222"/>
      <c r="BU61" s="1222"/>
      <c r="BV61" s="1222"/>
      <c r="BW61" s="1222"/>
      <c r="BX61" s="1222"/>
      <c r="BY61" s="1222"/>
      <c r="BZ61" s="1222"/>
      <c r="CA61" s="1222"/>
      <c r="CB61" s="1222"/>
      <c r="CC61" s="1222"/>
      <c r="CD61" s="1222"/>
      <c r="CE61" s="1222"/>
      <c r="CF61" s="1222"/>
      <c r="CG61" s="1222"/>
      <c r="CH61" s="1222"/>
      <c r="CI61" s="1222"/>
      <c r="CJ61" s="1222"/>
      <c r="CK61" s="1222"/>
      <c r="CL61" s="1222"/>
      <c r="CM61" s="1222"/>
      <c r="CN61" s="1222"/>
      <c r="CO61" s="1222"/>
      <c r="CP61" s="1222"/>
      <c r="CQ61" s="1222"/>
      <c r="CR61" s="1222"/>
      <c r="CS61" s="1222"/>
      <c r="CT61" s="1222"/>
      <c r="CU61" s="1222"/>
      <c r="CV61" s="1222"/>
      <c r="CW61" s="1222"/>
      <c r="CX61" s="1222"/>
      <c r="CY61" s="1222"/>
      <c r="CZ61" s="1222"/>
      <c r="DA61" s="1222"/>
      <c r="DB61" s="1222"/>
      <c r="DC61" s="1222"/>
      <c r="DD61" s="1222"/>
      <c r="DE61" s="1222"/>
      <c r="DF61" s="1222"/>
      <c r="DG61" s="1222"/>
      <c r="DH61" s="1222"/>
      <c r="DI61" s="1222"/>
      <c r="DJ61" s="1222"/>
      <c r="DK61" s="1222"/>
      <c r="DL61" s="1222"/>
      <c r="DM61" s="1222"/>
      <c r="DN61" s="1222"/>
      <c r="DO61" s="1222"/>
      <c r="DP61" s="1222"/>
      <c r="DQ61" s="1222"/>
      <c r="DR61" s="1222"/>
      <c r="DS61" s="1222"/>
      <c r="DT61" s="1222"/>
      <c r="DU61" s="1222"/>
      <c r="DV61" s="1222"/>
      <c r="DW61" s="1222"/>
      <c r="DX61" s="1222"/>
      <c r="DY61" s="1222"/>
      <c r="DZ61" s="1222"/>
      <c r="EA61" s="1222"/>
      <c r="EB61" s="1222"/>
      <c r="EC61" s="1222"/>
      <c r="ED61" s="1222"/>
      <c r="EE61" s="1222"/>
      <c r="EF61" s="1222"/>
      <c r="EG61" s="1222"/>
      <c r="EH61" s="1222"/>
      <c r="EI61" s="1222"/>
      <c r="EJ61" s="1222"/>
      <c r="EK61" s="1222"/>
      <c r="EL61" s="1222"/>
      <c r="EM61" s="1222"/>
      <c r="EN61" s="1222"/>
      <c r="EO61" s="1222"/>
      <c r="EP61" s="1222"/>
      <c r="EQ61" s="1222"/>
      <c r="ER61" s="1222"/>
      <c r="ES61" s="1222"/>
      <c r="ET61" s="1222"/>
      <c r="EU61" s="1222"/>
      <c r="EV61" s="1222"/>
      <c r="EW61" s="1222"/>
      <c r="EX61" s="1222"/>
      <c r="EY61" s="1222"/>
      <c r="EZ61" s="1222"/>
      <c r="FA61" s="1222"/>
      <c r="FB61" s="1222"/>
      <c r="FC61" s="1222"/>
      <c r="FD61" s="1222"/>
      <c r="FE61" s="1222"/>
      <c r="FF61" s="1222"/>
      <c r="FG61" s="1222"/>
      <c r="FH61" s="1222"/>
      <c r="FI61" s="1222"/>
      <c r="FJ61" s="1222"/>
      <c r="FK61" s="1222"/>
      <c r="FL61" s="1222"/>
      <c r="FM61" s="1222"/>
      <c r="FN61" s="1222"/>
      <c r="FO61" s="1222"/>
      <c r="FP61" s="1222"/>
      <c r="FQ61" s="1222"/>
      <c r="FR61" s="1222"/>
      <c r="FS61" s="1222"/>
      <c r="FT61" s="1222"/>
      <c r="FU61" s="1222"/>
      <c r="FV61" s="1222"/>
      <c r="FW61" s="1222"/>
      <c r="FX61" s="1222"/>
      <c r="FY61" s="1222"/>
      <c r="FZ61" s="1222"/>
      <c r="GA61" s="1222"/>
      <c r="GB61" s="1222"/>
      <c r="GC61" s="1222"/>
      <c r="GD61" s="1222"/>
      <c r="GE61" s="1222"/>
      <c r="GF61" s="1222"/>
      <c r="GG61" s="1222"/>
      <c r="GH61" s="1222"/>
      <c r="GI61" s="1222"/>
      <c r="GJ61" s="1222"/>
      <c r="GK61" s="1222"/>
      <c r="GL61" s="1222"/>
      <c r="GM61" s="1222"/>
      <c r="GN61" s="1222"/>
      <c r="GO61" s="1222"/>
      <c r="GP61" s="1222"/>
      <c r="GQ61" s="1222"/>
      <c r="GR61" s="1222"/>
      <c r="GS61" s="1222"/>
      <c r="GT61" s="1222"/>
      <c r="GU61" s="1222"/>
      <c r="GV61" s="1222"/>
      <c r="GW61" s="1222"/>
      <c r="GX61" s="1222"/>
      <c r="GY61" s="1222"/>
      <c r="GZ61" s="1222"/>
      <c r="HA61" s="1222"/>
      <c r="HB61" s="1222"/>
      <c r="HC61" s="1222"/>
      <c r="HD61" s="1222"/>
      <c r="HE61" s="1222"/>
      <c r="HF61" s="1222"/>
      <c r="HG61" s="1222"/>
      <c r="HH61" s="1222"/>
      <c r="HI61" s="1222"/>
      <c r="HJ61" s="1222"/>
      <c r="HK61" s="1222"/>
      <c r="HL61" s="1222"/>
      <c r="HM61" s="1222"/>
      <c r="HN61" s="1222"/>
      <c r="HO61" s="1222"/>
      <c r="HP61" s="1222"/>
      <c r="HQ61" s="1222"/>
      <c r="HR61" s="1222"/>
      <c r="HS61" s="1222"/>
      <c r="HT61" s="1222"/>
      <c r="HU61" s="1222"/>
      <c r="HV61" s="1222"/>
      <c r="HW61" s="1222"/>
      <c r="HX61" s="1222"/>
      <c r="HY61" s="1222"/>
      <c r="HZ61" s="1222"/>
      <c r="IA61" s="1222"/>
      <c r="IB61" s="1222"/>
      <c r="IC61" s="1222"/>
      <c r="ID61" s="1222"/>
      <c r="IE61" s="1222"/>
      <c r="IF61" s="1222"/>
      <c r="IG61" s="1222"/>
      <c r="IH61" s="1222"/>
      <c r="II61" s="1222"/>
      <c r="IJ61" s="1222"/>
      <c r="IK61" s="1222"/>
      <c r="IL61" s="1222"/>
      <c r="IM61" s="1222"/>
      <c r="IN61" s="1222"/>
      <c r="IO61" s="1222"/>
      <c r="IP61" s="1222"/>
      <c r="IQ61" s="1222"/>
      <c r="IR61" s="1222"/>
      <c r="IS61" s="1222"/>
      <c r="IT61" s="1222"/>
      <c r="IU61" s="1222"/>
      <c r="IV61" s="1222"/>
      <c r="IW61" s="1222"/>
      <c r="IX61" s="1222"/>
      <c r="IY61" s="1222"/>
      <c r="IZ61" s="1222"/>
      <c r="JA61" s="1222"/>
      <c r="JB61" s="1222"/>
      <c r="JC61" s="1222"/>
      <c r="JD61" s="1222"/>
      <c r="JE61" s="1222"/>
      <c r="JF61" s="1222"/>
      <c r="JG61" s="1222"/>
      <c r="JH61" s="1222"/>
      <c r="JI61" s="1222"/>
      <c r="JJ61" s="1222"/>
      <c r="JK61" s="1222"/>
      <c r="JL61" s="1222"/>
      <c r="JM61" s="1222"/>
      <c r="JN61" s="1222"/>
      <c r="JO61" s="1222"/>
      <c r="JP61" s="1222"/>
      <c r="JQ61" s="1222"/>
      <c r="JR61" s="1222"/>
      <c r="JS61" s="1222"/>
      <c r="JT61" s="1222"/>
      <c r="JU61" s="1222"/>
      <c r="JV61" s="1222"/>
      <c r="JW61" s="1222"/>
      <c r="JX61" s="1222"/>
      <c r="JY61" s="1222"/>
      <c r="JZ61" s="1222"/>
      <c r="KA61" s="1222"/>
      <c r="KB61" s="1222"/>
      <c r="KC61" s="1222"/>
      <c r="KD61" s="1222"/>
      <c r="KE61" s="1222"/>
      <c r="KF61" s="1222"/>
      <c r="KG61" s="1222"/>
      <c r="KH61" s="1222"/>
      <c r="KI61" s="1222"/>
      <c r="KJ61" s="1222"/>
      <c r="KK61" s="1222"/>
      <c r="KL61" s="1222"/>
      <c r="KM61" s="1222"/>
      <c r="KN61" s="1222"/>
      <c r="KO61" s="1222"/>
      <c r="KP61" s="1222"/>
      <c r="KQ61" s="1222"/>
      <c r="KR61" s="1222"/>
      <c r="KS61" s="1222"/>
      <c r="KT61" s="1222"/>
      <c r="KU61" s="1222"/>
      <c r="KV61" s="1222"/>
      <c r="KW61" s="1222"/>
      <c r="KX61" s="1222"/>
      <c r="KY61" s="1222"/>
      <c r="KZ61" s="1222"/>
      <c r="LA61" s="1222"/>
      <c r="LB61" s="1222"/>
      <c r="LC61" s="1222"/>
      <c r="LD61" s="1222"/>
      <c r="LE61" s="1222"/>
      <c r="LF61" s="1222"/>
      <c r="LG61" s="1222"/>
      <c r="LH61" s="1222"/>
      <c r="LI61" s="1222"/>
      <c r="LJ61" s="1222"/>
      <c r="LK61" s="1222"/>
      <c r="LL61" s="1222"/>
      <c r="LM61" s="1222"/>
      <c r="LN61" s="1222"/>
      <c r="LO61" s="1222"/>
      <c r="LP61" s="1222"/>
      <c r="LQ61" s="1222"/>
      <c r="LR61" s="1222"/>
      <c r="LS61" s="1222"/>
      <c r="LT61" s="1222"/>
      <c r="LU61" s="1222"/>
      <c r="LV61" s="1222"/>
      <c r="LW61" s="1222"/>
      <c r="LX61" s="1222"/>
      <c r="LY61" s="1222"/>
      <c r="LZ61" s="1222"/>
      <c r="MA61" s="1222"/>
      <c r="MB61" s="1222"/>
      <c r="MC61" s="1222"/>
      <c r="MD61" s="1222"/>
      <c r="ME61" s="1222"/>
      <c r="MF61" s="1222"/>
      <c r="MG61" s="1222"/>
      <c r="MH61" s="1222"/>
      <c r="MI61" s="1222"/>
      <c r="MJ61" s="1222"/>
      <c r="MK61" s="1222"/>
      <c r="ML61" s="1222"/>
      <c r="MM61" s="1222"/>
      <c r="MN61" s="1222"/>
      <c r="MO61" s="1222"/>
      <c r="MP61" s="1222"/>
      <c r="MQ61" s="1222"/>
      <c r="MR61" s="1222"/>
      <c r="MS61" s="1222"/>
      <c r="MT61" s="1222"/>
      <c r="MU61" s="1222"/>
      <c r="MV61" s="1222"/>
      <c r="MW61" s="1222"/>
      <c r="MX61" s="1222"/>
      <c r="MY61" s="1222"/>
      <c r="MZ61" s="1222"/>
      <c r="NA61" s="1222"/>
      <c r="NB61" s="1222"/>
      <c r="NC61" s="1222"/>
      <c r="ND61" s="1222"/>
      <c r="NE61" s="1222"/>
      <c r="NF61" s="1222"/>
      <c r="NG61" s="1222"/>
      <c r="NH61" s="1222"/>
      <c r="NI61" s="1222"/>
      <c r="NJ61" s="1222"/>
      <c r="NK61" s="1222"/>
      <c r="NL61" s="1222"/>
      <c r="NM61" s="1222"/>
      <c r="NN61" s="1222"/>
      <c r="NO61" s="1222"/>
      <c r="NP61" s="1222"/>
      <c r="NQ61" s="1222"/>
      <c r="NR61" s="1222"/>
      <c r="NS61" s="1222"/>
      <c r="NT61" s="1222"/>
      <c r="NU61" s="1222"/>
      <c r="NV61" s="1222"/>
      <c r="NW61" s="1222"/>
      <c r="NX61" s="1222"/>
      <c r="NY61" s="1222"/>
      <c r="NZ61" s="1222"/>
      <c r="OA61" s="1222"/>
      <c r="OB61" s="1222"/>
      <c r="OC61" s="1222"/>
      <c r="OD61" s="1222"/>
      <c r="OE61" s="1222"/>
      <c r="OF61" s="1222"/>
      <c r="OG61" s="1222"/>
      <c r="OH61" s="1222"/>
      <c r="OI61" s="1222"/>
      <c r="OJ61" s="1222"/>
      <c r="OK61" s="1222"/>
      <c r="OL61" s="1222"/>
      <c r="OM61" s="1222"/>
      <c r="ON61" s="1222"/>
      <c r="OO61" s="1222"/>
      <c r="OP61" s="1222"/>
      <c r="OQ61" s="1222"/>
      <c r="OR61" s="1222"/>
      <c r="OS61" s="1222"/>
      <c r="OT61" s="1222"/>
      <c r="OU61" s="1222"/>
      <c r="OV61" s="1222"/>
      <c r="OW61" s="1222"/>
      <c r="OX61" s="1222"/>
      <c r="OY61" s="1222"/>
      <c r="OZ61" s="1222"/>
      <c r="PA61" s="1222"/>
      <c r="PB61" s="1222"/>
      <c r="PC61" s="1222"/>
      <c r="PD61" s="1222"/>
      <c r="PE61" s="1222"/>
      <c r="PF61" s="1222"/>
      <c r="PG61" s="1222"/>
      <c r="PH61" s="1222"/>
      <c r="PI61" s="1222"/>
      <c r="PJ61" s="1222"/>
      <c r="PK61" s="1222"/>
      <c r="PL61" s="1222"/>
      <c r="PM61" s="1222"/>
      <c r="PN61" s="1222"/>
      <c r="PO61" s="1222"/>
      <c r="PP61" s="1222"/>
      <c r="PQ61" s="1222"/>
      <c r="PR61" s="1222"/>
      <c r="PS61" s="1222"/>
      <c r="PT61" s="1222"/>
      <c r="PU61" s="1222"/>
      <c r="PV61" s="1222"/>
      <c r="PW61" s="1222"/>
      <c r="PX61" s="1222"/>
      <c r="PY61" s="1222"/>
      <c r="PZ61" s="1222"/>
      <c r="QA61" s="1222"/>
      <c r="QB61" s="1222"/>
      <c r="QC61" s="1222"/>
      <c r="QD61" s="1222"/>
      <c r="QE61" s="1222"/>
      <c r="QF61" s="1222"/>
      <c r="QG61" s="1222"/>
      <c r="QH61" s="1222"/>
      <c r="QI61" s="1222"/>
      <c r="QJ61" s="1222"/>
      <c r="QK61" s="1222"/>
      <c r="QL61" s="1222"/>
      <c r="QM61" s="1222"/>
      <c r="QN61" s="1222"/>
      <c r="QO61" s="1222"/>
      <c r="QP61" s="1222"/>
      <c r="QQ61" s="1222"/>
      <c r="QR61" s="1222"/>
      <c r="QS61" s="1222"/>
      <c r="QT61" s="1222"/>
      <c r="QU61" s="1222"/>
      <c r="QV61" s="1222"/>
      <c r="QW61" s="1222"/>
      <c r="QX61" s="1222"/>
      <c r="QY61" s="1222"/>
      <c r="QZ61" s="1222"/>
      <c r="RA61" s="1222"/>
      <c r="RB61" s="1222"/>
      <c r="RC61" s="1222"/>
      <c r="RD61" s="1222"/>
      <c r="RE61" s="1222"/>
      <c r="RF61" s="1222"/>
      <c r="RG61" s="1222"/>
      <c r="RH61" s="1222"/>
      <c r="RI61" s="1222"/>
      <c r="RJ61" s="1222"/>
      <c r="RK61" s="1222"/>
      <c r="RL61" s="1222"/>
      <c r="RM61" s="1222"/>
      <c r="RN61" s="1222"/>
      <c r="RO61" s="1222"/>
      <c r="RP61" s="1222"/>
      <c r="RQ61" s="1222"/>
      <c r="RR61" s="1222"/>
      <c r="RS61" s="1222"/>
      <c r="RT61" s="1222"/>
      <c r="RU61" s="1222"/>
      <c r="RV61" s="1222"/>
      <c r="RW61" s="1222"/>
      <c r="RX61" s="1222"/>
      <c r="RY61" s="1222"/>
      <c r="RZ61" s="1222"/>
      <c r="SA61" s="1222"/>
      <c r="SB61" s="1222"/>
      <c r="SC61" s="1222"/>
      <c r="SD61" s="1222"/>
      <c r="SE61" s="1222"/>
      <c r="SF61" s="1222"/>
      <c r="SG61" s="1222"/>
      <c r="SH61" s="1222"/>
      <c r="SI61" s="1222"/>
      <c r="SJ61" s="1222"/>
      <c r="SK61" s="1222"/>
      <c r="SL61" s="1222"/>
      <c r="SM61" s="1222"/>
      <c r="SN61" s="1222"/>
      <c r="SO61" s="1222"/>
      <c r="SP61" s="1222"/>
      <c r="SQ61" s="1222"/>
      <c r="SR61" s="1222"/>
      <c r="SS61" s="1222"/>
      <c r="ST61" s="1222"/>
      <c r="SU61" s="1222"/>
      <c r="SV61" s="1222"/>
      <c r="SW61" s="1222"/>
      <c r="SX61" s="1222"/>
      <c r="SY61" s="1222"/>
      <c r="SZ61" s="1222"/>
      <c r="TA61" s="1222"/>
      <c r="TB61" s="1222"/>
      <c r="TC61" s="1222"/>
      <c r="TD61" s="1222"/>
      <c r="TE61" s="1222"/>
      <c r="TF61" s="1222"/>
      <c r="TG61" s="1222"/>
      <c r="TH61" s="1222"/>
      <c r="TI61" s="1222"/>
      <c r="TJ61" s="1222"/>
      <c r="TK61" s="1222"/>
      <c r="TL61" s="1222"/>
      <c r="TM61" s="1222"/>
      <c r="TN61" s="1222"/>
      <c r="TO61" s="1222"/>
      <c r="TP61" s="1222"/>
      <c r="TQ61" s="1222"/>
      <c r="TR61" s="1222"/>
      <c r="TS61" s="1222"/>
      <c r="TT61" s="1222"/>
      <c r="TU61" s="1222"/>
      <c r="TV61" s="1222"/>
      <c r="TW61" s="1222"/>
      <c r="TX61" s="1222"/>
      <c r="TY61" s="1222"/>
      <c r="TZ61" s="1222"/>
      <c r="UA61" s="1222"/>
      <c r="UB61" s="1222"/>
      <c r="UC61" s="1222"/>
      <c r="UD61" s="1222"/>
      <c r="UE61" s="1222"/>
      <c r="UF61" s="1222"/>
      <c r="UG61" s="1222"/>
      <c r="UH61" s="1222"/>
      <c r="UI61" s="1222"/>
      <c r="UJ61" s="1222"/>
      <c r="UK61" s="1222"/>
      <c r="UL61" s="1222"/>
      <c r="UM61" s="1222"/>
      <c r="UN61" s="1222"/>
      <c r="UO61" s="1222"/>
      <c r="UP61" s="1222"/>
      <c r="UQ61" s="1222"/>
      <c r="UR61" s="1222"/>
      <c r="US61" s="1222"/>
      <c r="UT61" s="1222"/>
      <c r="UU61" s="1222"/>
      <c r="UV61" s="1222"/>
      <c r="UW61" s="1222"/>
      <c r="UX61" s="1222"/>
      <c r="UY61" s="1222"/>
      <c r="UZ61" s="1222"/>
      <c r="VA61" s="1222"/>
      <c r="VB61" s="1222"/>
      <c r="VC61" s="1222"/>
      <c r="VD61" s="1222"/>
      <c r="VE61" s="1222"/>
      <c r="VF61" s="1222"/>
      <c r="VG61" s="1222"/>
      <c r="VH61" s="1222"/>
      <c r="VI61" s="1222"/>
      <c r="VJ61" s="1222"/>
      <c r="VK61" s="1222"/>
      <c r="VL61" s="1222"/>
      <c r="VM61" s="1222"/>
      <c r="VN61" s="1222"/>
      <c r="VO61" s="1222"/>
      <c r="VP61" s="1222"/>
      <c r="VQ61" s="1222"/>
      <c r="VR61" s="1222"/>
      <c r="VS61" s="1222"/>
      <c r="VT61" s="1222"/>
      <c r="VU61" s="1222"/>
      <c r="VV61" s="1222"/>
      <c r="VW61" s="1222"/>
      <c r="VX61" s="1222"/>
      <c r="VY61" s="1222"/>
      <c r="VZ61" s="1222"/>
      <c r="WA61" s="1222"/>
      <c r="WB61" s="1222"/>
      <c r="WC61" s="1222"/>
      <c r="WD61" s="1222"/>
      <c r="WE61" s="1222"/>
      <c r="WF61" s="1222"/>
      <c r="WG61" s="1222"/>
      <c r="WH61" s="1222"/>
      <c r="WI61" s="1222"/>
      <c r="WJ61" s="1222"/>
      <c r="WK61" s="1222"/>
      <c r="WL61" s="1222"/>
      <c r="WM61" s="1222"/>
      <c r="WN61" s="1222"/>
      <c r="WO61" s="1222"/>
      <c r="WP61" s="1222"/>
      <c r="WQ61" s="1222"/>
      <c r="WR61" s="1222"/>
      <c r="WS61" s="1222"/>
      <c r="WT61" s="1222"/>
      <c r="WU61" s="1222"/>
      <c r="WV61" s="1222"/>
      <c r="WW61" s="1222"/>
      <c r="WX61" s="1222"/>
      <c r="WY61" s="1222"/>
      <c r="WZ61" s="1222"/>
      <c r="XA61" s="1222"/>
      <c r="XB61" s="1222"/>
      <c r="XC61" s="1222"/>
      <c r="XD61" s="1222"/>
      <c r="XE61" s="1222"/>
      <c r="XF61" s="1222"/>
      <c r="XG61" s="1222"/>
      <c r="XH61" s="1222"/>
      <c r="XI61" s="1222"/>
      <c r="XJ61" s="1222"/>
      <c r="XK61" s="1222"/>
      <c r="XL61" s="1222"/>
      <c r="XM61" s="1222"/>
      <c r="XN61" s="1222"/>
      <c r="XO61" s="1222"/>
      <c r="XP61" s="1222"/>
      <c r="XQ61" s="1222"/>
      <c r="XR61" s="1222"/>
      <c r="XS61" s="1222"/>
      <c r="XT61" s="1222"/>
      <c r="XU61" s="1222"/>
      <c r="XV61" s="1222"/>
      <c r="XW61" s="1222"/>
      <c r="XX61" s="1222"/>
      <c r="XY61" s="1222"/>
      <c r="XZ61" s="1222"/>
      <c r="YA61" s="1222"/>
      <c r="YB61" s="1222"/>
      <c r="YC61" s="1222"/>
      <c r="YD61" s="1222"/>
      <c r="YE61" s="1222"/>
      <c r="YF61" s="1222"/>
      <c r="YG61" s="1222"/>
      <c r="YH61" s="1222"/>
      <c r="YI61" s="1222"/>
      <c r="YJ61" s="1222"/>
      <c r="YK61" s="1222"/>
      <c r="YL61" s="1222"/>
      <c r="YM61" s="1222"/>
      <c r="YN61" s="1222"/>
      <c r="YO61" s="1222"/>
      <c r="YP61" s="1222"/>
      <c r="YQ61" s="1222"/>
      <c r="YR61" s="1222"/>
      <c r="YS61" s="1222"/>
      <c r="YT61" s="1222"/>
      <c r="YU61" s="1222"/>
      <c r="YV61" s="1222"/>
      <c r="YW61" s="1222"/>
      <c r="YX61" s="1222"/>
      <c r="YY61" s="1222"/>
      <c r="YZ61" s="1222"/>
      <c r="ZA61" s="1222"/>
      <c r="ZB61" s="1222"/>
      <c r="ZC61" s="1222"/>
      <c r="ZD61" s="1222"/>
      <c r="ZE61" s="1222"/>
      <c r="ZF61" s="1222"/>
      <c r="ZG61" s="1222"/>
      <c r="ZH61" s="1222"/>
      <c r="ZI61" s="1222"/>
      <c r="ZJ61" s="1222"/>
      <c r="ZK61" s="1222"/>
      <c r="ZL61" s="1222"/>
      <c r="ZM61" s="1222"/>
      <c r="ZN61" s="1222"/>
      <c r="ZO61" s="1222"/>
      <c r="ZP61" s="1222"/>
      <c r="ZQ61" s="1222"/>
      <c r="ZR61" s="1222"/>
      <c r="ZS61" s="1222"/>
      <c r="ZT61" s="1222"/>
      <c r="ZU61" s="1222"/>
      <c r="ZV61" s="1222"/>
      <c r="ZW61" s="1222"/>
      <c r="ZX61" s="1222"/>
      <c r="ZY61" s="1222"/>
      <c r="ZZ61" s="1222"/>
      <c r="AAA61" s="1222"/>
      <c r="AAB61" s="1222"/>
      <c r="AAC61" s="1222"/>
      <c r="AAD61" s="1222"/>
      <c r="AAE61" s="1222"/>
      <c r="AAF61" s="1222"/>
      <c r="AAG61" s="1222"/>
      <c r="AAH61" s="1222"/>
      <c r="AAI61" s="1222"/>
      <c r="AAJ61" s="1222"/>
      <c r="AAK61" s="1222"/>
      <c r="AAL61" s="1222"/>
      <c r="AAM61" s="1222"/>
      <c r="AAN61" s="1222"/>
      <c r="AAO61" s="1222"/>
      <c r="AAP61" s="1222"/>
      <c r="AAQ61" s="1222"/>
      <c r="AAR61" s="1222"/>
      <c r="AAS61" s="1222"/>
      <c r="AAT61" s="1222"/>
      <c r="AAU61" s="1222"/>
      <c r="AAV61" s="1222"/>
      <c r="AAW61" s="1222"/>
      <c r="AAX61" s="1222"/>
      <c r="AAY61" s="1222"/>
      <c r="AAZ61" s="1222"/>
      <c r="ABA61" s="1222"/>
      <c r="ABB61" s="1222"/>
      <c r="ABC61" s="1222"/>
      <c r="ABD61" s="1222"/>
      <c r="ABE61" s="1222"/>
      <c r="ABF61" s="1222"/>
      <c r="ABG61" s="1222"/>
      <c r="ABH61" s="1222"/>
      <c r="ABI61" s="1222"/>
      <c r="ABJ61" s="1222"/>
      <c r="ABK61" s="1222"/>
      <c r="ABL61" s="1222"/>
      <c r="ABM61" s="1222"/>
      <c r="ABN61" s="1222"/>
      <c r="ABO61" s="1222"/>
      <c r="ABP61" s="1222"/>
      <c r="ABQ61" s="1222"/>
      <c r="ABR61" s="1222"/>
      <c r="ABS61" s="1222"/>
      <c r="ABT61" s="1222"/>
      <c r="ABU61" s="1222"/>
      <c r="ABV61" s="1222"/>
      <c r="ABW61" s="1222"/>
      <c r="ABX61" s="1222"/>
      <c r="ABY61" s="1222"/>
      <c r="ABZ61" s="1222"/>
      <c r="ACA61" s="1222"/>
      <c r="ACB61" s="1222"/>
      <c r="ACC61" s="1222"/>
      <c r="ACD61" s="1222"/>
      <c r="ACE61" s="1222"/>
      <c r="ACF61" s="1222"/>
      <c r="ACG61" s="1222"/>
      <c r="ACH61" s="1222"/>
      <c r="ACI61" s="1222"/>
      <c r="ACJ61" s="1222"/>
      <c r="ACK61" s="1222"/>
      <c r="ACL61" s="1222"/>
      <c r="ACM61" s="1222"/>
      <c r="ACN61" s="1222"/>
      <c r="ACO61" s="1222"/>
      <c r="ACP61" s="1222"/>
      <c r="ACQ61" s="1222"/>
      <c r="ACR61" s="1222"/>
      <c r="ACS61" s="1222"/>
      <c r="ACT61" s="1222"/>
      <c r="ACU61" s="1222"/>
      <c r="ACV61" s="1222"/>
      <c r="ACW61" s="1222"/>
      <c r="ACX61" s="1222"/>
      <c r="ACY61" s="1222"/>
      <c r="ACZ61" s="1222"/>
      <c r="ADA61" s="1222"/>
      <c r="ADB61" s="1222"/>
      <c r="ADC61" s="1222"/>
      <c r="ADD61" s="1222"/>
      <c r="ADE61" s="1222"/>
      <c r="ADF61" s="1222"/>
      <c r="ADG61" s="1222"/>
      <c r="ADH61" s="1222"/>
      <c r="ADI61" s="1222"/>
      <c r="ADJ61" s="1222"/>
      <c r="ADK61" s="1222"/>
      <c r="ADL61" s="1222"/>
      <c r="ADM61" s="1222"/>
      <c r="ADN61" s="1222"/>
      <c r="ADO61" s="1222"/>
      <c r="ADP61" s="1222"/>
      <c r="ADQ61" s="1222"/>
      <c r="ADR61" s="1222"/>
      <c r="ADS61" s="1222"/>
      <c r="ADT61" s="1222"/>
      <c r="ADU61" s="1222"/>
      <c r="ADV61" s="1222"/>
      <c r="ADW61" s="1222"/>
      <c r="ADX61" s="1222"/>
      <c r="ADY61" s="1222"/>
      <c r="ADZ61" s="1222"/>
      <c r="AEA61" s="1222"/>
      <c r="AEB61" s="1222"/>
      <c r="AEC61" s="1222"/>
      <c r="AED61" s="1222"/>
      <c r="AEE61" s="1222"/>
      <c r="AEF61" s="1222"/>
      <c r="AEG61" s="1222"/>
      <c r="AEH61" s="1222"/>
      <c r="AEI61" s="1222"/>
      <c r="AEJ61" s="1222"/>
      <c r="AEK61" s="1222"/>
      <c r="AEL61" s="1222"/>
      <c r="AEM61" s="1222"/>
      <c r="AEN61" s="1222"/>
      <c r="AEO61" s="1222"/>
      <c r="AEP61" s="1222"/>
      <c r="AEQ61" s="1222"/>
      <c r="AER61" s="1222"/>
      <c r="AES61" s="1222"/>
      <c r="AET61" s="1222"/>
      <c r="AEU61" s="1222"/>
      <c r="AEV61" s="1222"/>
      <c r="AEW61" s="1222"/>
      <c r="AEX61" s="1222"/>
      <c r="AEY61" s="1222"/>
      <c r="AEZ61" s="1222"/>
      <c r="AFA61" s="1222"/>
      <c r="AFB61" s="1222"/>
      <c r="AFC61" s="1222"/>
      <c r="AFD61" s="1222"/>
      <c r="AFE61" s="1222"/>
      <c r="AFF61" s="1222"/>
      <c r="AFG61" s="1222"/>
      <c r="AFH61" s="1222"/>
      <c r="AFI61" s="1222"/>
      <c r="AFJ61" s="1222"/>
      <c r="AFK61" s="1222"/>
      <c r="AFL61" s="1222"/>
      <c r="AFM61" s="1222"/>
      <c r="AFN61" s="1222"/>
      <c r="AFO61" s="1222"/>
      <c r="AFP61" s="1222"/>
      <c r="AFQ61" s="1222"/>
      <c r="AFR61" s="1222"/>
      <c r="AFS61" s="1222"/>
      <c r="AFT61" s="1222"/>
      <c r="AFU61" s="1222"/>
      <c r="AFV61" s="1222"/>
      <c r="AFW61" s="1222"/>
      <c r="AFX61" s="1222"/>
      <c r="AFY61" s="1222"/>
      <c r="AFZ61" s="1222"/>
      <c r="AGA61" s="1222"/>
      <c r="AGB61" s="1222"/>
      <c r="AGC61" s="1222"/>
      <c r="AGD61" s="1222"/>
      <c r="AGE61" s="1222"/>
      <c r="AGF61" s="1222"/>
      <c r="AGG61" s="1222"/>
      <c r="AGH61" s="1222"/>
      <c r="AGI61" s="1222"/>
      <c r="AGJ61" s="1222"/>
      <c r="AGK61" s="1222"/>
      <c r="AGL61" s="1222"/>
      <c r="AGM61" s="1222"/>
      <c r="AGN61" s="1222"/>
      <c r="AGO61" s="1222"/>
      <c r="AGP61" s="1222"/>
      <c r="AGQ61" s="1222"/>
      <c r="AGR61" s="1222"/>
      <c r="AGS61" s="1222"/>
      <c r="AGT61" s="1222"/>
      <c r="AGU61" s="1222"/>
      <c r="AGV61" s="1222"/>
      <c r="AGW61" s="1222"/>
      <c r="AGX61" s="1222"/>
      <c r="AGY61" s="1222"/>
      <c r="AGZ61" s="1222"/>
      <c r="AHA61" s="1222"/>
      <c r="AHB61" s="1222"/>
      <c r="AHC61" s="1222"/>
      <c r="AHD61" s="1222"/>
      <c r="AHE61" s="1222"/>
      <c r="AHF61" s="1222"/>
      <c r="AHG61" s="1222"/>
      <c r="AHH61" s="1222"/>
      <c r="AHI61" s="1222"/>
      <c r="AHJ61" s="1222"/>
      <c r="AHK61" s="1222"/>
      <c r="AHL61" s="1222"/>
      <c r="AHM61" s="1222"/>
      <c r="AHN61" s="1222"/>
      <c r="AHO61" s="1222"/>
      <c r="AHP61" s="1222"/>
      <c r="AHQ61" s="1222"/>
      <c r="AHR61" s="1222"/>
      <c r="AHS61" s="1222"/>
      <c r="AHT61" s="1222"/>
      <c r="AHU61" s="1222"/>
      <c r="AHV61" s="1222"/>
      <c r="AHW61" s="1222"/>
      <c r="AHX61" s="1222"/>
      <c r="AHY61" s="1222"/>
      <c r="AHZ61" s="1222"/>
      <c r="AIA61" s="1222"/>
      <c r="AIB61" s="1222"/>
      <c r="AIC61" s="1222"/>
      <c r="AID61" s="1222"/>
      <c r="AIE61" s="1222"/>
      <c r="AIF61" s="1222"/>
      <c r="AIG61" s="1222"/>
      <c r="AIH61" s="1222"/>
      <c r="AII61" s="1222"/>
      <c r="AIJ61" s="1222"/>
      <c r="AIK61" s="1222"/>
      <c r="AIL61" s="1222"/>
      <c r="AIM61" s="1222"/>
      <c r="AIN61" s="1222"/>
      <c r="AIO61" s="1222"/>
      <c r="AIP61" s="1222"/>
      <c r="AIQ61" s="1222"/>
      <c r="AIR61" s="1222"/>
      <c r="AIS61" s="1222"/>
      <c r="AIT61" s="1222"/>
      <c r="AIU61" s="1222"/>
      <c r="AIV61" s="1222"/>
      <c r="AIW61" s="1222"/>
      <c r="AIX61" s="1222"/>
      <c r="AIY61" s="1222"/>
      <c r="AIZ61" s="1222"/>
      <c r="AJA61" s="1222"/>
      <c r="AJB61" s="1222"/>
      <c r="AJC61" s="1222"/>
      <c r="AJD61" s="1222"/>
      <c r="AJE61" s="1222"/>
      <c r="AJF61" s="1222"/>
      <c r="AJG61" s="1222"/>
      <c r="AJH61" s="1222"/>
      <c r="AJI61" s="1222"/>
      <c r="AJJ61" s="1222"/>
      <c r="AJK61" s="1222"/>
      <c r="AJL61" s="1222"/>
      <c r="AJM61" s="1222"/>
      <c r="AJN61" s="1222"/>
      <c r="AJO61" s="1222"/>
      <c r="AJP61" s="1222"/>
      <c r="AJQ61" s="1222"/>
      <c r="AJR61" s="1222"/>
      <c r="AJS61" s="1222"/>
      <c r="AJT61" s="1222"/>
      <c r="AJU61" s="1222"/>
      <c r="AJV61" s="1222"/>
      <c r="AJW61" s="1222"/>
      <c r="AJX61" s="1222"/>
      <c r="AJY61" s="1222"/>
      <c r="AJZ61" s="1222"/>
      <c r="AKA61" s="1222"/>
      <c r="AKB61" s="1222"/>
      <c r="AKC61" s="1222"/>
      <c r="AKD61" s="1222"/>
      <c r="AKE61" s="1222"/>
      <c r="AKF61" s="1222"/>
      <c r="AKG61" s="1222"/>
      <c r="AKH61" s="1222"/>
      <c r="AKI61" s="1222"/>
      <c r="AKJ61" s="1222"/>
      <c r="AKK61" s="1222"/>
      <c r="AKL61" s="1222"/>
      <c r="AKM61" s="1222"/>
      <c r="AKN61" s="1222"/>
      <c r="AKO61" s="1222"/>
      <c r="AKP61" s="1222"/>
      <c r="AKQ61" s="1222"/>
      <c r="AKR61" s="1222"/>
      <c r="AKS61" s="1222"/>
      <c r="AKT61" s="1222"/>
      <c r="AKU61" s="1222"/>
      <c r="AKV61" s="1222"/>
      <c r="AKW61" s="1222"/>
      <c r="AKX61" s="1222"/>
      <c r="AKY61" s="1222"/>
      <c r="AKZ61" s="1222"/>
      <c r="ALA61" s="1222"/>
      <c r="ALB61" s="1222"/>
      <c r="ALC61" s="1222"/>
      <c r="ALD61" s="1222"/>
      <c r="ALE61" s="1222"/>
      <c r="ALF61" s="1222"/>
      <c r="ALG61" s="1222"/>
      <c r="ALH61" s="1222"/>
      <c r="ALI61" s="1222"/>
      <c r="ALJ61" s="1222"/>
      <c r="ALK61" s="1222"/>
      <c r="ALL61" s="1222"/>
      <c r="ALM61" s="1222"/>
      <c r="ALN61" s="1222"/>
      <c r="ALO61" s="1222"/>
      <c r="ALP61" s="1222"/>
      <c r="ALQ61" s="1222"/>
      <c r="ALR61" s="1222"/>
      <c r="ALS61" s="1222"/>
      <c r="ALT61" s="1222"/>
      <c r="ALU61" s="1222"/>
      <c r="ALV61" s="1222"/>
      <c r="ALW61" s="1222"/>
      <c r="ALX61" s="1222"/>
      <c r="ALY61" s="1222"/>
      <c r="ALZ61" s="1222"/>
      <c r="AMA61" s="1222"/>
      <c r="AMB61" s="1222"/>
      <c r="AMC61" s="1222"/>
      <c r="AMD61" s="1222"/>
      <c r="AME61" s="1222"/>
      <c r="AMF61" s="1222"/>
      <c r="AMG61" s="1222"/>
      <c r="AMH61" s="1222"/>
      <c r="AMI61" s="1222"/>
      <c r="AMJ61" s="1222"/>
      <c r="AMK61" s="1222"/>
      <c r="AML61" s="1222"/>
      <c r="AMM61" s="1222"/>
      <c r="AMN61" s="1222"/>
      <c r="AMO61" s="1222"/>
      <c r="AMP61" s="1222"/>
      <c r="AMQ61" s="1222"/>
      <c r="AMR61" s="1222"/>
      <c r="AMS61" s="1222"/>
      <c r="AMT61" s="1222"/>
      <c r="AMU61" s="1222"/>
      <c r="AMV61" s="1222"/>
      <c r="AMW61" s="1222"/>
      <c r="AMX61" s="1222"/>
      <c r="AMY61" s="1222"/>
      <c r="AMZ61" s="1222"/>
      <c r="ANA61" s="1222"/>
      <c r="ANB61" s="1222"/>
      <c r="ANC61" s="1222"/>
      <c r="AND61" s="1222"/>
      <c r="ANE61" s="1222"/>
      <c r="ANF61" s="1222"/>
      <c r="ANG61" s="1222"/>
      <c r="ANH61" s="1222"/>
      <c r="ANI61" s="1222"/>
      <c r="ANJ61" s="1222"/>
      <c r="ANK61" s="1222"/>
      <c r="ANL61" s="1222"/>
      <c r="ANM61" s="1222"/>
      <c r="ANN61" s="1222"/>
      <c r="ANO61" s="1222"/>
      <c r="ANP61" s="1222"/>
      <c r="ANQ61" s="1222"/>
      <c r="ANR61" s="1222"/>
      <c r="ANS61" s="1222"/>
      <c r="ANT61" s="1222"/>
      <c r="ANU61" s="1222"/>
      <c r="ANV61" s="1222"/>
      <c r="ANW61" s="1222"/>
      <c r="ANX61" s="1222"/>
      <c r="ANY61" s="1222"/>
      <c r="ANZ61" s="1222"/>
      <c r="AOA61" s="1222"/>
      <c r="AOB61" s="1222"/>
      <c r="AOC61" s="1222"/>
      <c r="AOD61" s="1222"/>
      <c r="AOE61" s="1222"/>
      <c r="AOF61" s="1222"/>
      <c r="AOG61" s="1222"/>
      <c r="AOH61" s="1222"/>
      <c r="AOI61" s="1222"/>
      <c r="AOJ61" s="1222"/>
      <c r="AOK61" s="1222"/>
      <c r="AOL61" s="1222"/>
      <c r="AOM61" s="1222"/>
      <c r="AON61" s="1222"/>
      <c r="AOO61" s="1222"/>
      <c r="AOP61" s="1222"/>
      <c r="AOQ61" s="1222"/>
      <c r="AOR61" s="1222"/>
      <c r="AOS61" s="1222"/>
      <c r="AOT61" s="1222"/>
      <c r="AOU61" s="1222"/>
      <c r="AOV61" s="1222"/>
      <c r="AOW61" s="1222"/>
      <c r="AOX61" s="1222"/>
      <c r="AOY61" s="1222"/>
      <c r="AOZ61" s="1222"/>
      <c r="APA61" s="1222"/>
      <c r="APB61" s="1222"/>
      <c r="APC61" s="1222"/>
      <c r="APD61" s="1222"/>
      <c r="APE61" s="1222"/>
      <c r="APF61" s="1222"/>
      <c r="APG61" s="1222"/>
      <c r="APH61" s="1222"/>
      <c r="API61" s="1222"/>
      <c r="APJ61" s="1222"/>
      <c r="APK61" s="1222"/>
      <c r="APL61" s="1222"/>
      <c r="APM61" s="1222"/>
      <c r="APN61" s="1222"/>
      <c r="APO61" s="1222"/>
      <c r="APP61" s="1222"/>
      <c r="APQ61" s="1222"/>
      <c r="APR61" s="1222"/>
      <c r="APS61" s="1222"/>
      <c r="APT61" s="1222"/>
      <c r="APU61" s="1222"/>
      <c r="APV61" s="1222"/>
      <c r="APW61" s="1222"/>
      <c r="APX61" s="1222"/>
      <c r="APY61" s="1222"/>
      <c r="APZ61" s="1222"/>
      <c r="AQA61" s="1222"/>
      <c r="AQB61" s="1222"/>
      <c r="AQC61" s="1222"/>
      <c r="AQD61" s="1222"/>
      <c r="AQE61" s="1222"/>
      <c r="AQF61" s="1222"/>
      <c r="AQG61" s="1222"/>
      <c r="AQH61" s="1222"/>
      <c r="AQI61" s="1222"/>
      <c r="AQJ61" s="1222"/>
      <c r="AQK61" s="1222"/>
      <c r="AQL61" s="1222"/>
      <c r="AQM61" s="1222"/>
      <c r="AQN61" s="1222"/>
      <c r="AQO61" s="1222"/>
      <c r="AQP61" s="1222"/>
      <c r="AQQ61" s="1222"/>
      <c r="AQR61" s="1222"/>
      <c r="AQS61" s="1222"/>
      <c r="AQT61" s="1222"/>
      <c r="AQU61" s="1222"/>
      <c r="AQV61" s="1222"/>
      <c r="AQW61" s="1222"/>
      <c r="AQX61" s="1222"/>
      <c r="AQY61" s="1222"/>
      <c r="AQZ61" s="1222"/>
      <c r="ARA61" s="1222"/>
      <c r="ARB61" s="1222"/>
      <c r="ARC61" s="1222"/>
      <c r="ARD61" s="1222"/>
      <c r="ARE61" s="1222"/>
      <c r="ARF61" s="1222"/>
      <c r="ARG61" s="1222"/>
      <c r="ARH61" s="1222"/>
      <c r="ARI61" s="1222"/>
      <c r="ARJ61" s="1222"/>
      <c r="ARK61" s="1222"/>
      <c r="ARL61" s="1222"/>
      <c r="ARM61" s="1222"/>
      <c r="ARN61" s="1222"/>
      <c r="ARO61" s="1222"/>
      <c r="ARP61" s="1222"/>
      <c r="ARQ61" s="1222"/>
      <c r="ARR61" s="1222"/>
      <c r="ARS61" s="1222"/>
      <c r="ART61" s="1222"/>
      <c r="ARU61" s="1222"/>
      <c r="ARV61" s="1222"/>
      <c r="ARW61" s="1222"/>
      <c r="ARX61" s="1222"/>
      <c r="ARY61" s="1222"/>
      <c r="ARZ61" s="1222"/>
      <c r="ASA61" s="1222"/>
      <c r="ASB61" s="1222"/>
      <c r="ASC61" s="1222"/>
      <c r="ASD61" s="1222"/>
      <c r="ASE61" s="1222"/>
      <c r="ASF61" s="1222"/>
      <c r="ASG61" s="1222"/>
      <c r="ASH61" s="1222"/>
      <c r="ASI61" s="1222"/>
      <c r="ASJ61" s="1222"/>
      <c r="ASK61" s="1222"/>
      <c r="ASL61" s="1222"/>
      <c r="ASM61" s="1222"/>
      <c r="ASN61" s="1222"/>
      <c r="ASO61" s="1222"/>
      <c r="ASP61" s="1222"/>
      <c r="ASQ61" s="1222"/>
      <c r="ASR61" s="1222"/>
      <c r="ASS61" s="1222"/>
      <c r="AST61" s="1222"/>
      <c r="ASU61" s="1222"/>
      <c r="ASV61" s="1222"/>
      <c r="ASW61" s="1222"/>
      <c r="ASX61" s="1222"/>
      <c r="ASY61" s="1222"/>
      <c r="ASZ61" s="1222"/>
      <c r="ATA61" s="1222"/>
      <c r="ATB61" s="1222"/>
      <c r="ATC61" s="1222"/>
      <c r="ATD61" s="1222"/>
      <c r="ATE61" s="1222"/>
      <c r="ATF61" s="1222"/>
      <c r="ATG61" s="1222"/>
      <c r="ATH61" s="1222"/>
      <c r="ATI61" s="1222"/>
      <c r="ATJ61" s="1222"/>
      <c r="ATK61" s="1222"/>
      <c r="ATL61" s="1222"/>
      <c r="ATM61" s="1222"/>
      <c r="ATN61" s="1222"/>
      <c r="ATO61" s="1222"/>
      <c r="ATP61" s="1222"/>
      <c r="ATQ61" s="1222"/>
      <c r="ATR61" s="1222"/>
      <c r="ATS61" s="1222"/>
      <c r="ATT61" s="1222"/>
      <c r="ATU61" s="1222"/>
      <c r="ATV61" s="1222"/>
      <c r="ATW61" s="1222"/>
      <c r="ATX61" s="1222"/>
      <c r="ATY61" s="1222"/>
      <c r="ATZ61" s="1222"/>
      <c r="AUA61" s="1222"/>
      <c r="AUB61" s="1222"/>
      <c r="AUC61" s="1222"/>
      <c r="AUD61" s="1222"/>
      <c r="AUE61" s="1222"/>
      <c r="AUF61" s="1222"/>
      <c r="AUG61" s="1222"/>
      <c r="AUH61" s="1222"/>
      <c r="AUI61" s="1222"/>
      <c r="AUJ61" s="1222"/>
      <c r="AUK61" s="1222"/>
      <c r="AUL61" s="1222"/>
      <c r="AUM61" s="1222"/>
      <c r="AUN61" s="1222"/>
      <c r="AUO61" s="1222"/>
      <c r="AUP61" s="1222"/>
      <c r="AUQ61" s="1222"/>
      <c r="AUR61" s="1222"/>
      <c r="AUS61" s="1222"/>
      <c r="AUT61" s="1222"/>
      <c r="AUU61" s="1222"/>
      <c r="AUV61" s="1222"/>
      <c r="AUW61" s="1222"/>
      <c r="AUX61" s="1222"/>
      <c r="AUY61" s="1222"/>
      <c r="AUZ61" s="1222"/>
      <c r="AVA61" s="1222"/>
      <c r="AVB61" s="1222"/>
      <c r="AVC61" s="1222"/>
      <c r="AVD61" s="1222"/>
      <c r="AVE61" s="1222"/>
      <c r="AVF61" s="1222"/>
      <c r="AVG61" s="1222"/>
      <c r="AVH61" s="1222"/>
      <c r="AVI61" s="1222"/>
      <c r="AVJ61" s="1222"/>
      <c r="AVK61" s="1222"/>
      <c r="AVL61" s="1222"/>
      <c r="AVM61" s="1222"/>
      <c r="AVN61" s="1222"/>
      <c r="AVO61" s="1222"/>
      <c r="AVP61" s="1222"/>
      <c r="AVQ61" s="1222"/>
      <c r="AVR61" s="1222"/>
      <c r="AVS61" s="1222"/>
      <c r="AVT61" s="1222"/>
      <c r="AVU61" s="1222"/>
      <c r="AVV61" s="1222"/>
      <c r="AVW61" s="1222"/>
      <c r="AVX61" s="1222"/>
      <c r="AVY61" s="1222"/>
      <c r="AVZ61" s="1222"/>
      <c r="AWA61" s="1222"/>
      <c r="AWB61" s="1222"/>
      <c r="AWC61" s="1222"/>
      <c r="AWD61" s="1222"/>
      <c r="AWE61" s="1222"/>
      <c r="AWF61" s="1222"/>
      <c r="AWG61" s="1222"/>
      <c r="AWH61" s="1222"/>
      <c r="AWI61" s="1222"/>
      <c r="AWJ61" s="1222"/>
      <c r="AWK61" s="1222"/>
      <c r="AWL61" s="1222"/>
      <c r="AWM61" s="1222"/>
      <c r="AWN61" s="1222"/>
      <c r="AWO61" s="1222"/>
      <c r="AWP61" s="1222"/>
      <c r="AWQ61" s="1222"/>
      <c r="AWR61" s="1222"/>
      <c r="AWS61" s="1222"/>
      <c r="AWT61" s="1222"/>
      <c r="AWU61" s="1222"/>
      <c r="AWV61" s="1222"/>
      <c r="AWW61" s="1222"/>
      <c r="AWX61" s="1222"/>
      <c r="AWY61" s="1222"/>
      <c r="AWZ61" s="1222"/>
      <c r="AXA61" s="1222"/>
      <c r="AXB61" s="1222"/>
      <c r="AXC61" s="1222"/>
      <c r="AXD61" s="1222"/>
      <c r="AXE61" s="1222"/>
      <c r="AXF61" s="1222"/>
      <c r="AXG61" s="1222"/>
      <c r="AXH61" s="1222"/>
      <c r="AXI61" s="1222"/>
      <c r="AXJ61" s="1222"/>
      <c r="AXK61" s="1222"/>
      <c r="AXL61" s="1222"/>
      <c r="AXM61" s="1222"/>
      <c r="AXN61" s="1222"/>
      <c r="AXO61" s="1222"/>
      <c r="AXP61" s="1222"/>
      <c r="AXQ61" s="1222"/>
      <c r="AXR61" s="1222"/>
      <c r="AXS61" s="1222"/>
      <c r="AXT61" s="1222"/>
      <c r="AXU61" s="1222"/>
      <c r="AXV61" s="1222"/>
      <c r="AXW61" s="1222"/>
      <c r="AXX61" s="1222"/>
      <c r="AXY61" s="1222"/>
      <c r="AXZ61" s="1222"/>
      <c r="AYA61" s="1222"/>
      <c r="AYB61" s="1222"/>
      <c r="AYC61" s="1222"/>
      <c r="AYD61" s="1222"/>
      <c r="AYE61" s="1222"/>
      <c r="AYF61" s="1222"/>
      <c r="AYG61" s="1222"/>
      <c r="AYH61" s="1222"/>
      <c r="AYI61" s="1222"/>
      <c r="AYJ61" s="1222"/>
      <c r="AYK61" s="1222"/>
      <c r="AYL61" s="1222"/>
      <c r="AYM61" s="1222"/>
      <c r="AYN61" s="1222"/>
      <c r="AYO61" s="1222"/>
      <c r="AYP61" s="1222"/>
      <c r="AYQ61" s="1222"/>
      <c r="AYR61" s="1222"/>
      <c r="AYS61" s="1222"/>
      <c r="AYT61" s="1222"/>
      <c r="AYU61" s="1222"/>
      <c r="AYV61" s="1222"/>
      <c r="AYW61" s="1222"/>
      <c r="AYX61" s="1222"/>
      <c r="AYY61" s="1222"/>
      <c r="AYZ61" s="1222"/>
      <c r="AZA61" s="1222"/>
      <c r="AZB61" s="1222"/>
      <c r="AZC61" s="1222"/>
      <c r="AZD61" s="1222"/>
      <c r="AZE61" s="1222"/>
      <c r="AZF61" s="1222"/>
      <c r="AZG61" s="1222"/>
      <c r="AZH61" s="1222"/>
      <c r="AZI61" s="1222"/>
      <c r="AZJ61" s="1222"/>
      <c r="AZK61" s="1222"/>
      <c r="AZL61" s="1222"/>
      <c r="AZM61" s="1222"/>
      <c r="AZN61" s="1222"/>
      <c r="AZO61" s="1222"/>
      <c r="AZP61" s="1222"/>
      <c r="AZQ61" s="1222"/>
      <c r="AZR61" s="1222"/>
      <c r="AZS61" s="1222"/>
      <c r="AZT61" s="1222"/>
      <c r="AZU61" s="1222"/>
      <c r="AZV61" s="1222"/>
      <c r="AZW61" s="1222"/>
      <c r="AZX61" s="1222"/>
      <c r="AZY61" s="1222"/>
      <c r="AZZ61" s="1222"/>
      <c r="BAA61" s="1222"/>
      <c r="BAB61" s="1222"/>
      <c r="BAC61" s="1222"/>
      <c r="BAD61" s="1222"/>
      <c r="BAE61" s="1222"/>
      <c r="BAF61" s="1222"/>
      <c r="BAG61" s="1222"/>
      <c r="BAH61" s="1222"/>
      <c r="BAI61" s="1222"/>
      <c r="BAJ61" s="1222"/>
      <c r="BAK61" s="1222"/>
      <c r="BAL61" s="1222"/>
      <c r="BAM61" s="1222"/>
      <c r="BAN61" s="1222"/>
      <c r="BAO61" s="1222"/>
      <c r="BAP61" s="1222"/>
      <c r="BAQ61" s="1222"/>
      <c r="BAR61" s="1222"/>
      <c r="BAS61" s="1222"/>
      <c r="BAT61" s="1222"/>
      <c r="BAU61" s="1222"/>
      <c r="BAV61" s="1222"/>
      <c r="BAW61" s="1222"/>
      <c r="BAX61" s="1222"/>
      <c r="BAY61" s="1222"/>
      <c r="BAZ61" s="1222"/>
      <c r="BBA61" s="1222"/>
      <c r="BBB61" s="1222"/>
      <c r="BBC61" s="1222"/>
      <c r="BBD61" s="1222"/>
      <c r="BBE61" s="1222"/>
      <c r="BBF61" s="1222"/>
      <c r="BBG61" s="1222"/>
      <c r="BBH61" s="1222"/>
      <c r="BBI61" s="1222"/>
      <c r="BBJ61" s="1222"/>
      <c r="BBK61" s="1222"/>
      <c r="BBL61" s="1222"/>
      <c r="BBM61" s="1222"/>
      <c r="BBN61" s="1222"/>
      <c r="BBO61" s="1222"/>
      <c r="BBP61" s="1222"/>
      <c r="BBQ61" s="1222"/>
      <c r="BBR61" s="1222"/>
      <c r="BBS61" s="1222"/>
      <c r="BBT61" s="1222"/>
      <c r="BBU61" s="1222"/>
      <c r="BBV61" s="1222"/>
      <c r="BBW61" s="1222"/>
      <c r="BBX61" s="1222"/>
      <c r="BBY61" s="1222"/>
      <c r="BBZ61" s="1222"/>
      <c r="BCA61" s="1222"/>
      <c r="BCB61" s="1222"/>
      <c r="BCC61" s="1222"/>
      <c r="BCD61" s="1222"/>
      <c r="BCE61" s="1222"/>
      <c r="BCF61" s="1222"/>
      <c r="BCG61" s="1222"/>
      <c r="BCH61" s="1222"/>
      <c r="BCI61" s="1222"/>
      <c r="BCJ61" s="1222"/>
      <c r="BCK61" s="1222"/>
      <c r="BCL61" s="1222"/>
      <c r="BCM61" s="1222"/>
      <c r="BCN61" s="1222"/>
      <c r="BCO61" s="1222"/>
      <c r="BCP61" s="1222"/>
      <c r="BCQ61" s="1222"/>
      <c r="BCR61" s="1222"/>
      <c r="BCS61" s="1222"/>
      <c r="BCT61" s="1222"/>
      <c r="BCU61" s="1222"/>
      <c r="BCV61" s="1222"/>
      <c r="BCW61" s="1222"/>
      <c r="BCX61" s="1222"/>
      <c r="BCY61" s="1222"/>
      <c r="BCZ61" s="1222"/>
      <c r="BDA61" s="1222"/>
      <c r="BDB61" s="1222"/>
      <c r="BDC61" s="1222"/>
      <c r="BDD61" s="1222"/>
      <c r="BDE61" s="1222"/>
      <c r="BDF61" s="1222"/>
      <c r="BDG61" s="1222"/>
      <c r="BDH61" s="1222"/>
      <c r="BDI61" s="1222"/>
      <c r="BDJ61" s="1222"/>
      <c r="BDK61" s="1222"/>
      <c r="BDL61" s="1222"/>
      <c r="BDM61" s="1222"/>
      <c r="BDN61" s="1222"/>
      <c r="BDO61" s="1222"/>
      <c r="BDP61" s="1222"/>
      <c r="BDQ61" s="1222"/>
      <c r="BDR61" s="1222"/>
      <c r="BDS61" s="1222"/>
      <c r="BDT61" s="1222"/>
      <c r="BDU61" s="1222"/>
      <c r="BDV61" s="1222"/>
      <c r="BDW61" s="1222"/>
      <c r="BDX61" s="1222"/>
      <c r="BDY61" s="1222"/>
      <c r="BDZ61" s="1222"/>
      <c r="BEA61" s="1222"/>
      <c r="BEB61" s="1222"/>
      <c r="BEC61" s="1222"/>
      <c r="BED61" s="1222"/>
      <c r="BEE61" s="1222"/>
      <c r="BEF61" s="1222"/>
      <c r="BEG61" s="1222"/>
      <c r="BEH61" s="1222"/>
      <c r="BEI61" s="1222"/>
      <c r="BEJ61" s="1222"/>
      <c r="BEK61" s="1222"/>
      <c r="BEL61" s="1222"/>
      <c r="BEM61" s="1222"/>
      <c r="BEN61" s="1222"/>
      <c r="BEO61" s="1222"/>
      <c r="BEP61" s="1222"/>
      <c r="BEQ61" s="1222"/>
      <c r="BER61" s="1222"/>
      <c r="BES61" s="1222"/>
      <c r="BET61" s="1222"/>
      <c r="BEU61" s="1222"/>
      <c r="BEV61" s="1222"/>
      <c r="BEW61" s="1222"/>
      <c r="BEX61" s="1222"/>
      <c r="BEY61" s="1222"/>
      <c r="BEZ61" s="1222"/>
      <c r="BFA61" s="1222"/>
      <c r="BFB61" s="1222"/>
      <c r="BFC61" s="1222"/>
      <c r="BFD61" s="1222"/>
      <c r="BFE61" s="1222"/>
      <c r="BFF61" s="1222"/>
      <c r="BFG61" s="1222"/>
      <c r="BFH61" s="1222"/>
      <c r="BFI61" s="1222"/>
      <c r="BFJ61" s="1222"/>
      <c r="BFK61" s="1222"/>
      <c r="BFL61" s="1222"/>
      <c r="BFM61" s="1222"/>
      <c r="BFN61" s="1222"/>
      <c r="BFO61" s="1222"/>
      <c r="BFP61" s="1222"/>
      <c r="BFQ61" s="1222"/>
      <c r="BFR61" s="1222"/>
      <c r="BFS61" s="1222"/>
      <c r="BFT61" s="1222"/>
      <c r="BFU61" s="1222"/>
      <c r="BFV61" s="1222"/>
      <c r="BFW61" s="1222"/>
      <c r="BFX61" s="1222"/>
      <c r="BFY61" s="1222"/>
      <c r="BFZ61" s="1222"/>
      <c r="BGA61" s="1222"/>
      <c r="BGB61" s="1222"/>
      <c r="BGC61" s="1222"/>
      <c r="BGD61" s="1222"/>
      <c r="BGE61" s="1222"/>
      <c r="BGF61" s="1222"/>
      <c r="BGG61" s="1222"/>
      <c r="BGH61" s="1222"/>
      <c r="BGI61" s="1222"/>
      <c r="BGJ61" s="1222"/>
      <c r="BGK61" s="1222"/>
      <c r="BGL61" s="1222"/>
      <c r="BGM61" s="1222"/>
      <c r="BGN61" s="1222"/>
      <c r="BGO61" s="1222"/>
      <c r="BGP61" s="1222"/>
      <c r="BGQ61" s="1222"/>
      <c r="BGR61" s="1222"/>
      <c r="BGS61" s="1222"/>
      <c r="BGT61" s="1222"/>
      <c r="BGU61" s="1222"/>
      <c r="BGV61" s="1222"/>
      <c r="BGW61" s="1222"/>
      <c r="BGX61" s="1222"/>
      <c r="BGY61" s="1222"/>
      <c r="BGZ61" s="1222"/>
      <c r="BHA61" s="1222"/>
      <c r="BHB61" s="1222"/>
      <c r="BHC61" s="1222"/>
      <c r="BHD61" s="1222"/>
      <c r="BHE61" s="1222"/>
      <c r="BHF61" s="1222"/>
      <c r="BHG61" s="1222"/>
      <c r="BHH61" s="1222"/>
      <c r="BHI61" s="1222"/>
      <c r="BHJ61" s="1222"/>
      <c r="BHK61" s="1222"/>
      <c r="BHL61" s="1222"/>
      <c r="BHM61" s="1222"/>
      <c r="BHN61" s="1222"/>
      <c r="BHO61" s="1222"/>
      <c r="BHP61" s="1222"/>
      <c r="BHQ61" s="1222"/>
      <c r="BHR61" s="1222"/>
      <c r="BHS61" s="1222"/>
      <c r="BHT61" s="1222"/>
      <c r="BHU61" s="1222"/>
      <c r="BHV61" s="1222"/>
      <c r="BHW61" s="1222"/>
      <c r="BHX61" s="1222"/>
      <c r="BHY61" s="1222"/>
      <c r="BHZ61" s="1222"/>
      <c r="BIA61" s="1222"/>
      <c r="BIB61" s="1222"/>
      <c r="BIC61" s="1222"/>
      <c r="BID61" s="1222"/>
      <c r="BIE61" s="1222"/>
      <c r="BIF61" s="1222"/>
      <c r="BIG61" s="1222"/>
      <c r="BIH61" s="1222"/>
      <c r="BII61" s="1222"/>
      <c r="BIJ61" s="1222"/>
      <c r="BIK61" s="1222"/>
      <c r="BIL61" s="1222"/>
      <c r="BIM61" s="1222"/>
      <c r="BIN61" s="1222"/>
      <c r="BIO61" s="1222"/>
      <c r="BIP61" s="1222"/>
      <c r="BIQ61" s="1222"/>
      <c r="BIR61" s="1222"/>
      <c r="BIS61" s="1222"/>
      <c r="BIT61" s="1222"/>
      <c r="BIU61" s="1222"/>
      <c r="BIV61" s="1222"/>
      <c r="BIW61" s="1222"/>
      <c r="BIX61" s="1222"/>
      <c r="BIY61" s="1222"/>
      <c r="BIZ61" s="1222"/>
      <c r="BJA61" s="1222"/>
      <c r="BJB61" s="1222"/>
      <c r="BJC61" s="1222"/>
      <c r="BJD61" s="1222"/>
      <c r="BJE61" s="1222"/>
      <c r="BJF61" s="1222"/>
      <c r="BJG61" s="1222"/>
      <c r="BJH61" s="1222"/>
      <c r="BJI61" s="1222"/>
      <c r="BJJ61" s="1222"/>
      <c r="BJK61" s="1222"/>
      <c r="BJL61" s="1222"/>
      <c r="BJM61" s="1222"/>
      <c r="BJN61" s="1222"/>
      <c r="BJO61" s="1222"/>
      <c r="BJP61" s="1222"/>
      <c r="BJQ61" s="1222"/>
      <c r="BJR61" s="1222"/>
      <c r="BJS61" s="1222"/>
      <c r="BJT61" s="1222"/>
      <c r="BJU61" s="1222"/>
      <c r="BJV61" s="1222"/>
      <c r="BJW61" s="1222"/>
      <c r="BJX61" s="1222"/>
      <c r="BJY61" s="1222"/>
      <c r="BJZ61" s="1222"/>
      <c r="BKA61" s="1222"/>
      <c r="BKB61" s="1222"/>
      <c r="BKC61" s="1222"/>
      <c r="BKD61" s="1222"/>
      <c r="BKE61" s="1222"/>
      <c r="BKF61" s="1222"/>
      <c r="BKG61" s="1222"/>
      <c r="BKH61" s="1222"/>
      <c r="BKI61" s="1222"/>
      <c r="BKJ61" s="1222"/>
      <c r="BKK61" s="1222"/>
      <c r="BKL61" s="1222"/>
      <c r="BKM61" s="1222"/>
      <c r="BKN61" s="1222"/>
      <c r="BKO61" s="1222"/>
      <c r="BKP61" s="1222"/>
      <c r="BKQ61" s="1222"/>
      <c r="BKR61" s="1222"/>
      <c r="BKS61" s="1222"/>
      <c r="BKT61" s="1222"/>
      <c r="BKU61" s="1222"/>
      <c r="BKV61" s="1222"/>
      <c r="BKW61" s="1222"/>
      <c r="BKX61" s="1222"/>
      <c r="BKY61" s="1222"/>
      <c r="BKZ61" s="1222"/>
      <c r="BLA61" s="1222"/>
      <c r="BLB61" s="1222"/>
      <c r="BLC61" s="1222"/>
      <c r="BLD61" s="1222"/>
      <c r="BLE61" s="1222"/>
      <c r="BLF61" s="1222"/>
      <c r="BLG61" s="1222"/>
      <c r="BLH61" s="1222"/>
      <c r="BLI61" s="1222"/>
      <c r="BLJ61" s="1222"/>
      <c r="BLK61" s="1222"/>
      <c r="BLL61" s="1222"/>
      <c r="BLM61" s="1222"/>
      <c r="BLN61" s="1222"/>
      <c r="BLO61" s="1222"/>
      <c r="BLP61" s="1222"/>
      <c r="BLQ61" s="1222"/>
      <c r="BLR61" s="1222"/>
      <c r="BLS61" s="1222"/>
      <c r="BLT61" s="1222"/>
      <c r="BLU61" s="1222"/>
      <c r="BLV61" s="1222"/>
      <c r="BLW61" s="1222"/>
      <c r="BLX61" s="1222"/>
      <c r="BLY61" s="1222"/>
      <c r="BLZ61" s="1222"/>
      <c r="BMA61" s="1222"/>
      <c r="BMB61" s="1222"/>
      <c r="BMC61" s="1222"/>
      <c r="BMD61" s="1222"/>
      <c r="BME61" s="1222"/>
      <c r="BMF61" s="1222"/>
      <c r="BMG61" s="1222"/>
      <c r="BMH61" s="1222"/>
      <c r="BMI61" s="1222"/>
      <c r="BMJ61" s="1222"/>
      <c r="BMK61" s="1222"/>
      <c r="BML61" s="1222"/>
      <c r="BMM61" s="1222"/>
      <c r="BMN61" s="1222"/>
      <c r="BMO61" s="1222"/>
      <c r="BMP61" s="1222"/>
      <c r="BMQ61" s="1222"/>
      <c r="BMR61" s="1222"/>
      <c r="BMS61" s="1222"/>
      <c r="BMT61" s="1222"/>
      <c r="BMU61" s="1222"/>
      <c r="BMV61" s="1222"/>
      <c r="BMW61" s="1222"/>
      <c r="BMX61" s="1222"/>
      <c r="BMY61" s="1222"/>
      <c r="BMZ61" s="1222"/>
      <c r="BNA61" s="1222"/>
      <c r="BNB61" s="1222"/>
      <c r="BNC61" s="1222"/>
      <c r="BND61" s="1222"/>
      <c r="BNE61" s="1222"/>
      <c r="BNF61" s="1222"/>
      <c r="BNG61" s="1222"/>
      <c r="BNH61" s="1222"/>
      <c r="BNI61" s="1222"/>
      <c r="BNJ61" s="1222"/>
      <c r="BNK61" s="1222"/>
      <c r="BNL61" s="1222"/>
      <c r="BNM61" s="1222"/>
      <c r="BNN61" s="1222"/>
      <c r="BNO61" s="1222"/>
      <c r="BNP61" s="1222"/>
      <c r="BNQ61" s="1222"/>
      <c r="BNR61" s="1222"/>
      <c r="BNS61" s="1222"/>
      <c r="BNT61" s="1222"/>
      <c r="BNU61" s="1222"/>
      <c r="BNV61" s="1222"/>
      <c r="BNW61" s="1222"/>
      <c r="BNX61" s="1222"/>
      <c r="BNY61" s="1222"/>
      <c r="BNZ61" s="1222"/>
      <c r="BOA61" s="1222"/>
      <c r="BOB61" s="1222"/>
      <c r="BOC61" s="1222"/>
      <c r="BOD61" s="1222"/>
      <c r="BOE61" s="1222"/>
      <c r="BOF61" s="1222"/>
      <c r="BOG61" s="1222"/>
      <c r="BOH61" s="1222"/>
      <c r="BOI61" s="1222"/>
      <c r="BOJ61" s="1222"/>
      <c r="BOK61" s="1222"/>
      <c r="BOL61" s="1222"/>
      <c r="BOM61" s="1222"/>
      <c r="BON61" s="1222"/>
      <c r="BOO61" s="1222"/>
      <c r="BOP61" s="1222"/>
      <c r="BOQ61" s="1222"/>
      <c r="BOR61" s="1222"/>
      <c r="BOS61" s="1222"/>
      <c r="BOT61" s="1222"/>
      <c r="BOU61" s="1222"/>
      <c r="BOV61" s="1222"/>
      <c r="BOW61" s="1222"/>
      <c r="BOX61" s="1222"/>
      <c r="BOY61" s="1222"/>
      <c r="BOZ61" s="1222"/>
      <c r="BPA61" s="1222"/>
      <c r="BPB61" s="1222"/>
      <c r="BPC61" s="1222"/>
      <c r="BPD61" s="1222"/>
      <c r="BPE61" s="1222"/>
      <c r="BPF61" s="1222"/>
      <c r="BPG61" s="1222"/>
      <c r="BPH61" s="1222"/>
      <c r="BPI61" s="1222"/>
      <c r="BPJ61" s="1222"/>
      <c r="BPK61" s="1222"/>
      <c r="BPL61" s="1222"/>
      <c r="BPM61" s="1222"/>
      <c r="BPN61" s="1222"/>
      <c r="BPO61" s="1222"/>
      <c r="BPP61" s="1222"/>
      <c r="BPQ61" s="1222"/>
      <c r="BPR61" s="1222"/>
      <c r="BPS61" s="1222"/>
      <c r="BPT61" s="1222"/>
      <c r="BPU61" s="1222"/>
      <c r="BPV61" s="1222"/>
      <c r="BPW61" s="1222"/>
      <c r="BPX61" s="1222"/>
      <c r="BPY61" s="1222"/>
      <c r="BPZ61" s="1222"/>
      <c r="BQA61" s="1222"/>
      <c r="BQB61" s="1222"/>
      <c r="BQC61" s="1222"/>
      <c r="BQD61" s="1222"/>
      <c r="BQE61" s="1222"/>
      <c r="BQF61" s="1222"/>
      <c r="BQG61" s="1222"/>
      <c r="BQH61" s="1222"/>
      <c r="BQI61" s="1222"/>
      <c r="BQJ61" s="1222"/>
      <c r="BQK61" s="1222"/>
      <c r="BQL61" s="1222"/>
      <c r="BQM61" s="1222"/>
      <c r="BQN61" s="1222"/>
      <c r="BQO61" s="1222"/>
      <c r="BQP61" s="1222"/>
      <c r="BQQ61" s="1222"/>
      <c r="BQR61" s="1222"/>
      <c r="BQS61" s="1222"/>
      <c r="BQT61" s="1222"/>
      <c r="BQU61" s="1222"/>
      <c r="BQV61" s="1222"/>
      <c r="BQW61" s="1222"/>
      <c r="BQX61" s="1222"/>
      <c r="BQY61" s="1222"/>
      <c r="BQZ61" s="1222"/>
      <c r="BRA61" s="1222"/>
      <c r="BRB61" s="1222"/>
      <c r="BRC61" s="1222"/>
      <c r="BRD61" s="1222"/>
      <c r="BRE61" s="1222"/>
      <c r="BRF61" s="1222"/>
      <c r="BRG61" s="1222"/>
      <c r="BRH61" s="1222"/>
      <c r="BRI61" s="1222"/>
      <c r="BRJ61" s="1222"/>
      <c r="BRK61" s="1222"/>
      <c r="BRL61" s="1222"/>
      <c r="BRM61" s="1222"/>
      <c r="BRN61" s="1222"/>
      <c r="BRO61" s="1222"/>
      <c r="BRP61" s="1222"/>
      <c r="BRQ61" s="1222"/>
      <c r="BRR61" s="1222"/>
      <c r="BRS61" s="1222"/>
      <c r="BRT61" s="1222"/>
      <c r="BRU61" s="1222"/>
      <c r="BRV61" s="1222"/>
      <c r="BRW61" s="1222"/>
      <c r="BRX61" s="1222"/>
      <c r="BRY61" s="1222"/>
      <c r="BRZ61" s="1222"/>
      <c r="BSA61" s="1222"/>
      <c r="BSB61" s="1222"/>
      <c r="BSC61" s="1222"/>
      <c r="BSD61" s="1222"/>
      <c r="BSE61" s="1222"/>
      <c r="BSF61" s="1222"/>
      <c r="BSG61" s="1222"/>
      <c r="BSH61" s="1222"/>
      <c r="BSI61" s="1222"/>
      <c r="BSJ61" s="1222"/>
      <c r="BSK61" s="1222"/>
      <c r="BSL61" s="1222"/>
      <c r="BSM61" s="1222"/>
      <c r="BSN61" s="1222"/>
      <c r="BSO61" s="1222"/>
      <c r="BSP61" s="1222"/>
      <c r="BSQ61" s="1222"/>
      <c r="BSR61" s="1222"/>
      <c r="BSS61" s="1222"/>
      <c r="BST61" s="1222"/>
      <c r="BSU61" s="1222"/>
      <c r="BSV61" s="1222"/>
      <c r="BSW61" s="1222"/>
      <c r="BSX61" s="1222"/>
      <c r="BSY61" s="1222"/>
      <c r="BSZ61" s="1222"/>
      <c r="BTA61" s="1222"/>
      <c r="BTB61" s="1222"/>
      <c r="BTC61" s="1222"/>
      <c r="BTD61" s="1222"/>
      <c r="BTE61" s="1222"/>
      <c r="BTF61" s="1222"/>
      <c r="BTG61" s="1222"/>
      <c r="BTH61" s="1222"/>
      <c r="BTI61" s="1222"/>
      <c r="BTJ61" s="1222"/>
      <c r="BTK61" s="1222"/>
      <c r="BTL61" s="1222"/>
      <c r="BTM61" s="1222"/>
      <c r="BTN61" s="1222"/>
      <c r="BTO61" s="1222"/>
      <c r="BTP61" s="1222"/>
      <c r="BTQ61" s="1222"/>
      <c r="BTR61" s="1222"/>
      <c r="BTS61" s="1222"/>
      <c r="BTT61" s="1222"/>
      <c r="BTU61" s="1222"/>
      <c r="BTV61" s="1222"/>
      <c r="BTW61" s="1222"/>
      <c r="BTX61" s="1222"/>
      <c r="BTY61" s="1222"/>
      <c r="BTZ61" s="1222"/>
      <c r="BUA61" s="1222"/>
      <c r="BUB61" s="1222"/>
      <c r="BUC61" s="1222"/>
      <c r="BUD61" s="1222"/>
      <c r="BUE61" s="1222"/>
      <c r="BUF61" s="1222"/>
      <c r="BUG61" s="1222"/>
      <c r="BUH61" s="1222"/>
      <c r="BUI61" s="1222"/>
      <c r="BUJ61" s="1222"/>
      <c r="BUK61" s="1222"/>
      <c r="BUL61" s="1222"/>
      <c r="BUM61" s="1222"/>
      <c r="BUN61" s="1222"/>
      <c r="BUO61" s="1222"/>
      <c r="BUP61" s="1222"/>
      <c r="BUQ61" s="1222"/>
      <c r="BUR61" s="1222"/>
      <c r="BUS61" s="1222"/>
      <c r="BUT61" s="1222"/>
      <c r="BUU61" s="1222"/>
      <c r="BUV61" s="1222"/>
      <c r="BUW61" s="1222"/>
      <c r="BUX61" s="1222"/>
      <c r="BUY61" s="1222"/>
      <c r="BUZ61" s="1222"/>
      <c r="BVA61" s="1222"/>
      <c r="BVB61" s="1222"/>
      <c r="BVC61" s="1222"/>
      <c r="BVD61" s="1222"/>
      <c r="BVE61" s="1222"/>
      <c r="BVF61" s="1222"/>
      <c r="BVG61" s="1222"/>
      <c r="BVH61" s="1222"/>
      <c r="BVI61" s="1222"/>
      <c r="BVJ61" s="1222"/>
      <c r="BVK61" s="1222"/>
      <c r="BVL61" s="1222"/>
      <c r="BVM61" s="1222"/>
      <c r="BVN61" s="1222"/>
      <c r="BVO61" s="1222"/>
      <c r="BVP61" s="1222"/>
      <c r="BVQ61" s="1222"/>
      <c r="BVR61" s="1222"/>
      <c r="BVS61" s="1222"/>
      <c r="BVT61" s="1222"/>
      <c r="BVU61" s="1222"/>
      <c r="BVV61" s="1222"/>
      <c r="BVW61" s="1222"/>
      <c r="BVX61" s="1222"/>
      <c r="BVY61" s="1222"/>
      <c r="BVZ61" s="1222"/>
      <c r="BWA61" s="1222"/>
      <c r="BWB61" s="1222"/>
      <c r="BWC61" s="1222"/>
      <c r="BWD61" s="1222"/>
      <c r="BWE61" s="1222"/>
      <c r="BWF61" s="1222"/>
      <c r="BWG61" s="1222"/>
      <c r="BWH61" s="1222"/>
      <c r="BWI61" s="1222"/>
      <c r="BWJ61" s="1222"/>
      <c r="BWK61" s="1222"/>
      <c r="BWL61" s="1222"/>
      <c r="BWM61" s="1222"/>
      <c r="BWN61" s="1222"/>
      <c r="BWO61" s="1222"/>
      <c r="BWP61" s="1222"/>
      <c r="BWQ61" s="1222"/>
      <c r="BWR61" s="1222"/>
      <c r="BWS61" s="1222"/>
      <c r="BWT61" s="1222"/>
      <c r="BWU61" s="1222"/>
      <c r="BWV61" s="1222"/>
      <c r="BWW61" s="1222"/>
      <c r="BWX61" s="1222"/>
      <c r="BWY61" s="1222"/>
      <c r="BWZ61" s="1222"/>
      <c r="BXA61" s="1222"/>
      <c r="BXB61" s="1222"/>
      <c r="BXC61" s="1222"/>
      <c r="BXD61" s="1222"/>
      <c r="BXE61" s="1222"/>
      <c r="BXF61" s="1222"/>
      <c r="BXG61" s="1222"/>
      <c r="BXH61" s="1222"/>
      <c r="BXI61" s="1222"/>
      <c r="BXJ61" s="1222"/>
      <c r="BXK61" s="1222"/>
      <c r="BXL61" s="1222"/>
      <c r="BXM61" s="1222"/>
      <c r="BXN61" s="1222"/>
      <c r="BXO61" s="1222"/>
      <c r="BXP61" s="1222"/>
      <c r="BXQ61" s="1222"/>
      <c r="BXR61" s="1222"/>
      <c r="BXS61" s="1222"/>
      <c r="BXT61" s="1222"/>
      <c r="BXU61" s="1222"/>
      <c r="BXV61" s="1222"/>
      <c r="BXW61" s="1222"/>
      <c r="BXX61" s="1222"/>
      <c r="BXY61" s="1222"/>
      <c r="BXZ61" s="1222"/>
      <c r="BYA61" s="1222"/>
      <c r="BYB61" s="1222"/>
      <c r="BYC61" s="1222"/>
      <c r="BYD61" s="1222"/>
      <c r="BYE61" s="1222"/>
      <c r="BYF61" s="1222"/>
      <c r="BYG61" s="1222"/>
      <c r="BYH61" s="1222"/>
      <c r="BYI61" s="1222"/>
      <c r="BYJ61" s="1222"/>
      <c r="BYK61" s="1222"/>
      <c r="BYL61" s="1222"/>
      <c r="BYM61" s="1222"/>
      <c r="BYN61" s="1222"/>
      <c r="BYO61" s="1222"/>
      <c r="BYP61" s="1222"/>
      <c r="BYQ61" s="1222"/>
      <c r="BYR61" s="1222"/>
      <c r="BYS61" s="1222"/>
      <c r="BYT61" s="1222"/>
      <c r="BYU61" s="1222"/>
      <c r="BYV61" s="1222"/>
      <c r="BYW61" s="1222"/>
      <c r="BYX61" s="1222"/>
      <c r="BYY61" s="1222"/>
      <c r="BYZ61" s="1222"/>
      <c r="BZA61" s="1222"/>
      <c r="BZB61" s="1222"/>
      <c r="BZC61" s="1222"/>
      <c r="BZD61" s="1222"/>
      <c r="BZE61" s="1222"/>
      <c r="BZF61" s="1222"/>
      <c r="BZG61" s="1222"/>
      <c r="BZH61" s="1222"/>
      <c r="BZI61" s="1222"/>
      <c r="BZJ61" s="1222"/>
      <c r="BZK61" s="1222"/>
      <c r="BZL61" s="1222"/>
      <c r="BZM61" s="1222"/>
      <c r="BZN61" s="1222"/>
      <c r="BZO61" s="1222"/>
      <c r="BZP61" s="1222"/>
      <c r="BZQ61" s="1222"/>
      <c r="BZR61" s="1222"/>
      <c r="BZS61" s="1222"/>
      <c r="BZT61" s="1222"/>
      <c r="BZU61" s="1222"/>
      <c r="BZV61" s="1222"/>
      <c r="BZW61" s="1222"/>
      <c r="BZX61" s="1222"/>
      <c r="BZY61" s="1222"/>
      <c r="BZZ61" s="1222"/>
      <c r="CAA61" s="1222"/>
      <c r="CAB61" s="1222"/>
      <c r="CAC61" s="1222"/>
      <c r="CAD61" s="1222"/>
      <c r="CAE61" s="1222"/>
      <c r="CAF61" s="1222"/>
      <c r="CAG61" s="1222"/>
      <c r="CAH61" s="1222"/>
      <c r="CAI61" s="1222"/>
      <c r="CAJ61" s="1222"/>
      <c r="CAK61" s="1222"/>
      <c r="CAL61" s="1222"/>
      <c r="CAM61" s="1222"/>
      <c r="CAN61" s="1222"/>
      <c r="CAO61" s="1222"/>
      <c r="CAP61" s="1222"/>
      <c r="CAQ61" s="1222"/>
      <c r="CAR61" s="1222"/>
      <c r="CAS61" s="1222"/>
      <c r="CAT61" s="1222"/>
      <c r="CAU61" s="1222"/>
      <c r="CAV61" s="1222"/>
      <c r="CAW61" s="1222"/>
      <c r="CAX61" s="1222"/>
      <c r="CAY61" s="1222"/>
      <c r="CAZ61" s="1222"/>
      <c r="CBA61" s="1222"/>
      <c r="CBB61" s="1222"/>
      <c r="CBC61" s="1222"/>
      <c r="CBD61" s="1222"/>
      <c r="CBE61" s="1222"/>
      <c r="CBF61" s="1222"/>
      <c r="CBG61" s="1222"/>
      <c r="CBH61" s="1222"/>
      <c r="CBI61" s="1222"/>
      <c r="CBJ61" s="1222"/>
      <c r="CBK61" s="1222"/>
      <c r="CBL61" s="1222"/>
      <c r="CBM61" s="1222"/>
      <c r="CBN61" s="1222"/>
      <c r="CBO61" s="1222"/>
      <c r="CBP61" s="1222"/>
      <c r="CBQ61" s="1222"/>
      <c r="CBR61" s="1222"/>
      <c r="CBS61" s="1222"/>
      <c r="CBT61" s="1222"/>
      <c r="CBU61" s="1222"/>
      <c r="CBV61" s="1222"/>
      <c r="CBW61" s="1222"/>
      <c r="CBX61" s="1222"/>
      <c r="CBY61" s="1222"/>
      <c r="CBZ61" s="1222"/>
      <c r="CCA61" s="1222"/>
      <c r="CCB61" s="1222"/>
      <c r="CCC61" s="1222"/>
      <c r="CCD61" s="1222"/>
      <c r="CCE61" s="1222"/>
      <c r="CCF61" s="1222"/>
      <c r="CCG61" s="1222"/>
      <c r="CCH61" s="1222"/>
      <c r="CCI61" s="1222"/>
      <c r="CCJ61" s="1222"/>
      <c r="CCK61" s="1222"/>
      <c r="CCL61" s="1222"/>
      <c r="CCM61" s="1222"/>
      <c r="CCN61" s="1222"/>
      <c r="CCO61" s="1222"/>
      <c r="CCP61" s="1222"/>
      <c r="CCQ61" s="1222"/>
      <c r="CCR61" s="1222"/>
      <c r="CCS61" s="1222"/>
      <c r="CCT61" s="1222"/>
      <c r="CCU61" s="1222"/>
      <c r="CCV61" s="1222"/>
      <c r="CCW61" s="1222"/>
      <c r="CCX61" s="1222"/>
      <c r="CCY61" s="1222"/>
      <c r="CCZ61" s="1222"/>
      <c r="CDA61" s="1222"/>
      <c r="CDB61" s="1222"/>
      <c r="CDC61" s="1222"/>
      <c r="CDD61" s="1222"/>
      <c r="CDE61" s="1222"/>
      <c r="CDF61" s="1222"/>
      <c r="CDG61" s="1222"/>
      <c r="CDH61" s="1222"/>
      <c r="CDI61" s="1222"/>
      <c r="CDJ61" s="1222"/>
      <c r="CDK61" s="1222"/>
      <c r="CDL61" s="1222"/>
      <c r="CDM61" s="1222"/>
      <c r="CDN61" s="1222"/>
      <c r="CDO61" s="1222"/>
      <c r="CDP61" s="1222"/>
      <c r="CDQ61" s="1222"/>
      <c r="CDR61" s="1222"/>
      <c r="CDS61" s="1222"/>
      <c r="CDT61" s="1222"/>
      <c r="CDU61" s="1222"/>
      <c r="CDV61" s="1222"/>
      <c r="CDW61" s="1222"/>
      <c r="CDX61" s="1222"/>
      <c r="CDY61" s="1222"/>
      <c r="CDZ61" s="1222"/>
      <c r="CEA61" s="1222"/>
      <c r="CEB61" s="1222"/>
      <c r="CEC61" s="1222"/>
      <c r="CED61" s="1222"/>
      <c r="CEE61" s="1222"/>
      <c r="CEF61" s="1222"/>
      <c r="CEG61" s="1222"/>
      <c r="CEH61" s="1222"/>
      <c r="CEI61" s="1222"/>
      <c r="CEJ61" s="1222"/>
      <c r="CEK61" s="1222"/>
      <c r="CEL61" s="1222"/>
      <c r="CEM61" s="1222"/>
      <c r="CEN61" s="1222"/>
      <c r="CEO61" s="1222"/>
      <c r="CEP61" s="1222"/>
      <c r="CEQ61" s="1222"/>
      <c r="CER61" s="1222"/>
      <c r="CES61" s="1222"/>
      <c r="CET61" s="1222"/>
      <c r="CEU61" s="1222"/>
      <c r="CEV61" s="1222"/>
      <c r="CEW61" s="1222"/>
      <c r="CEX61" s="1222"/>
      <c r="CEY61" s="1222"/>
      <c r="CEZ61" s="1222"/>
      <c r="CFA61" s="1222"/>
      <c r="CFB61" s="1222"/>
      <c r="CFC61" s="1222"/>
      <c r="CFD61" s="1222"/>
      <c r="CFE61" s="1222"/>
      <c r="CFF61" s="1222"/>
      <c r="CFG61" s="1222"/>
      <c r="CFH61" s="1222"/>
      <c r="CFI61" s="1222"/>
      <c r="CFJ61" s="1222"/>
      <c r="CFK61" s="1222"/>
      <c r="CFL61" s="1222"/>
      <c r="CFM61" s="1222"/>
      <c r="CFN61" s="1222"/>
      <c r="CFO61" s="1222"/>
      <c r="CFP61" s="1222"/>
      <c r="CFQ61" s="1222"/>
      <c r="CFR61" s="1222"/>
      <c r="CFS61" s="1222"/>
      <c r="CFT61" s="1222"/>
      <c r="CFU61" s="1222"/>
      <c r="CFV61" s="1222"/>
      <c r="CFW61" s="1222"/>
      <c r="CFX61" s="1222"/>
      <c r="CFY61" s="1222"/>
      <c r="CFZ61" s="1222"/>
      <c r="CGA61" s="1222"/>
      <c r="CGB61" s="1222"/>
      <c r="CGC61" s="1222"/>
      <c r="CGD61" s="1222"/>
      <c r="CGE61" s="1222"/>
      <c r="CGF61" s="1222"/>
      <c r="CGG61" s="1222"/>
      <c r="CGH61" s="1222"/>
      <c r="CGI61" s="1222"/>
      <c r="CGJ61" s="1222"/>
      <c r="CGK61" s="1222"/>
      <c r="CGL61" s="1222"/>
      <c r="CGM61" s="1222"/>
      <c r="CGN61" s="1222"/>
      <c r="CGO61" s="1222"/>
      <c r="CGP61" s="1222"/>
      <c r="CGQ61" s="1222"/>
      <c r="CGR61" s="1222"/>
      <c r="CGS61" s="1222"/>
      <c r="CGT61" s="1222"/>
      <c r="CGU61" s="1222"/>
      <c r="CGV61" s="1222"/>
      <c r="CGW61" s="1222"/>
      <c r="CGX61" s="1222"/>
      <c r="CGY61" s="1222"/>
      <c r="CGZ61" s="1222"/>
      <c r="CHA61" s="1222"/>
      <c r="CHB61" s="1222"/>
      <c r="CHC61" s="1222"/>
      <c r="CHD61" s="1222"/>
      <c r="CHE61" s="1222"/>
      <c r="CHF61" s="1222"/>
      <c r="CHG61" s="1222"/>
      <c r="CHH61" s="1222"/>
      <c r="CHI61" s="1222"/>
      <c r="CHJ61" s="1222"/>
      <c r="CHK61" s="1222"/>
      <c r="CHL61" s="1222"/>
      <c r="CHM61" s="1222"/>
      <c r="CHN61" s="1222"/>
      <c r="CHO61" s="1222"/>
      <c r="CHP61" s="1222"/>
      <c r="CHQ61" s="1222"/>
      <c r="CHR61" s="1222"/>
      <c r="CHS61" s="1222"/>
      <c r="CHT61" s="1222"/>
      <c r="CHU61" s="1222"/>
      <c r="CHV61" s="1222"/>
      <c r="CHW61" s="1222"/>
      <c r="CHX61" s="1222"/>
      <c r="CHY61" s="1222"/>
      <c r="CHZ61" s="1222"/>
      <c r="CIA61" s="1222"/>
      <c r="CIB61" s="1222"/>
      <c r="CIC61" s="1222"/>
      <c r="CID61" s="1222"/>
      <c r="CIE61" s="1222"/>
      <c r="CIF61" s="1222"/>
      <c r="CIG61" s="1222"/>
      <c r="CIH61" s="1222"/>
      <c r="CII61" s="1222"/>
      <c r="CIJ61" s="1222"/>
      <c r="CIK61" s="1222"/>
      <c r="CIL61" s="1222"/>
      <c r="CIM61" s="1222"/>
      <c r="CIN61" s="1222"/>
      <c r="CIO61" s="1222"/>
      <c r="CIP61" s="1222"/>
      <c r="CIQ61" s="1222"/>
      <c r="CIR61" s="1222"/>
      <c r="CIS61" s="1222"/>
      <c r="CIT61" s="1222"/>
      <c r="CIU61" s="1222"/>
      <c r="CIV61" s="1222"/>
      <c r="CIW61" s="1222"/>
      <c r="CIX61" s="1222"/>
      <c r="CIY61" s="1222"/>
      <c r="CIZ61" s="1222"/>
      <c r="CJA61" s="1222"/>
      <c r="CJB61" s="1222"/>
      <c r="CJC61" s="1222"/>
      <c r="CJD61" s="1222"/>
      <c r="CJE61" s="1222"/>
      <c r="CJF61" s="1222"/>
      <c r="CJG61" s="1222"/>
      <c r="CJH61" s="1222"/>
      <c r="CJI61" s="1222"/>
      <c r="CJJ61" s="1222"/>
      <c r="CJK61" s="1222"/>
      <c r="CJL61" s="1222"/>
      <c r="CJM61" s="1222"/>
      <c r="CJN61" s="1222"/>
      <c r="CJO61" s="1222"/>
      <c r="CJP61" s="1222"/>
      <c r="CJQ61" s="1222"/>
      <c r="CJR61" s="1222"/>
      <c r="CJS61" s="1222"/>
      <c r="CJT61" s="1222"/>
      <c r="CJU61" s="1222"/>
      <c r="CJV61" s="1222"/>
      <c r="CJW61" s="1222"/>
      <c r="CJX61" s="1222"/>
      <c r="CJY61" s="1222"/>
      <c r="CJZ61" s="1222"/>
      <c r="CKA61" s="1222"/>
      <c r="CKB61" s="1222"/>
      <c r="CKC61" s="1222"/>
      <c r="CKD61" s="1222"/>
      <c r="CKE61" s="1222"/>
      <c r="CKF61" s="1222"/>
      <c r="CKG61" s="1222"/>
      <c r="CKH61" s="1222"/>
      <c r="CKI61" s="1222"/>
      <c r="CKJ61" s="1222"/>
      <c r="CKK61" s="1222"/>
      <c r="CKL61" s="1222"/>
      <c r="CKM61" s="1222"/>
      <c r="CKN61" s="1222"/>
      <c r="CKO61" s="1222"/>
      <c r="CKP61" s="1222"/>
      <c r="CKQ61" s="1222"/>
      <c r="CKR61" s="1222"/>
      <c r="CKS61" s="1222"/>
      <c r="CKT61" s="1222"/>
      <c r="CKU61" s="1222"/>
      <c r="CKV61" s="1222"/>
      <c r="CKW61" s="1222"/>
      <c r="CKX61" s="1222"/>
      <c r="CKY61" s="1222"/>
      <c r="CKZ61" s="1222"/>
      <c r="CLA61" s="1222"/>
      <c r="CLB61" s="1222"/>
      <c r="CLC61" s="1222"/>
      <c r="CLD61" s="1222"/>
      <c r="CLE61" s="1222"/>
      <c r="CLF61" s="1222"/>
      <c r="CLG61" s="1222"/>
      <c r="CLH61" s="1222"/>
      <c r="CLI61" s="1222"/>
      <c r="CLJ61" s="1222"/>
      <c r="CLK61" s="1222"/>
      <c r="CLL61" s="1222"/>
      <c r="CLM61" s="1222"/>
      <c r="CLN61" s="1222"/>
      <c r="CLO61" s="1222"/>
      <c r="CLP61" s="1222"/>
      <c r="CLQ61" s="1222"/>
      <c r="CLR61" s="1222"/>
      <c r="CLS61" s="1222"/>
      <c r="CLT61" s="1222"/>
      <c r="CLU61" s="1222"/>
      <c r="CLV61" s="1222"/>
      <c r="CLW61" s="1222"/>
      <c r="CLX61" s="1222"/>
      <c r="CLY61" s="1222"/>
      <c r="CLZ61" s="1222"/>
      <c r="CMA61" s="1222"/>
      <c r="CMB61" s="1222"/>
      <c r="CMC61" s="1222"/>
      <c r="CMD61" s="1222"/>
      <c r="CME61" s="1222"/>
      <c r="CMF61" s="1222"/>
      <c r="CMG61" s="1222"/>
      <c r="CMH61" s="1222"/>
      <c r="CMI61" s="1222"/>
      <c r="CMJ61" s="1222"/>
      <c r="CMK61" s="1222"/>
      <c r="CML61" s="1222"/>
      <c r="CMM61" s="1222"/>
      <c r="CMN61" s="1222"/>
      <c r="CMO61" s="1222"/>
      <c r="CMP61" s="1222"/>
      <c r="CMQ61" s="1222"/>
      <c r="CMR61" s="1222"/>
      <c r="CMS61" s="1222"/>
      <c r="CMT61" s="1222"/>
      <c r="CMU61" s="1222"/>
      <c r="CMV61" s="1222"/>
      <c r="CMW61" s="1222"/>
      <c r="CMX61" s="1222"/>
      <c r="CMY61" s="1222"/>
      <c r="CMZ61" s="1222"/>
      <c r="CNA61" s="1222"/>
      <c r="CNB61" s="1222"/>
      <c r="CNC61" s="1222"/>
      <c r="CND61" s="1222"/>
      <c r="CNE61" s="1222"/>
      <c r="CNF61" s="1222"/>
      <c r="CNG61" s="1222"/>
      <c r="CNH61" s="1222"/>
      <c r="CNI61" s="1222"/>
      <c r="CNJ61" s="1222"/>
      <c r="CNK61" s="1222"/>
      <c r="CNL61" s="1222"/>
      <c r="CNM61" s="1222"/>
      <c r="CNN61" s="1222"/>
      <c r="CNO61" s="1222"/>
      <c r="CNP61" s="1222"/>
      <c r="CNQ61" s="1222"/>
      <c r="CNR61" s="1222"/>
      <c r="CNS61" s="1222"/>
      <c r="CNT61" s="1222"/>
      <c r="CNU61" s="1222"/>
      <c r="CNV61" s="1222"/>
      <c r="CNW61" s="1222"/>
      <c r="CNX61" s="1222"/>
      <c r="CNY61" s="1222"/>
      <c r="CNZ61" s="1222"/>
      <c r="COA61" s="1222"/>
      <c r="COB61" s="1222"/>
      <c r="COC61" s="1222"/>
      <c r="COD61" s="1222"/>
      <c r="COE61" s="1222"/>
      <c r="COF61" s="1222"/>
      <c r="COG61" s="1222"/>
      <c r="COH61" s="1222"/>
      <c r="COI61" s="1222"/>
      <c r="COJ61" s="1222"/>
      <c r="COK61" s="1222"/>
      <c r="COL61" s="1222"/>
      <c r="COM61" s="1222"/>
      <c r="CON61" s="1222"/>
      <c r="COO61" s="1222"/>
      <c r="COP61" s="1222"/>
      <c r="COQ61" s="1222"/>
      <c r="COR61" s="1222"/>
      <c r="COS61" s="1222"/>
      <c r="COT61" s="1222"/>
      <c r="COU61" s="1222"/>
      <c r="COV61" s="1222"/>
      <c r="COW61" s="1222"/>
      <c r="COX61" s="1222"/>
      <c r="COY61" s="1222"/>
      <c r="COZ61" s="1222"/>
      <c r="CPA61" s="1222"/>
      <c r="CPB61" s="1222"/>
      <c r="CPC61" s="1222"/>
      <c r="CPD61" s="1222"/>
      <c r="CPE61" s="1222"/>
      <c r="CPF61" s="1222"/>
      <c r="CPG61" s="1222"/>
      <c r="CPH61" s="1222"/>
      <c r="CPI61" s="1222"/>
      <c r="CPJ61" s="1222"/>
      <c r="CPK61" s="1222"/>
      <c r="CPL61" s="1222"/>
      <c r="CPM61" s="1222"/>
      <c r="CPN61" s="1222"/>
      <c r="CPO61" s="1222"/>
      <c r="CPP61" s="1222"/>
      <c r="CPQ61" s="1222"/>
      <c r="CPR61" s="1222"/>
      <c r="CPS61" s="1222"/>
      <c r="CPT61" s="1222"/>
      <c r="CPU61" s="1222"/>
      <c r="CPV61" s="1222"/>
      <c r="CPW61" s="1222"/>
      <c r="CPX61" s="1222"/>
      <c r="CPY61" s="1222"/>
      <c r="CPZ61" s="1222"/>
      <c r="CQA61" s="1222"/>
      <c r="CQB61" s="1222"/>
      <c r="CQC61" s="1222"/>
      <c r="CQD61" s="1222"/>
      <c r="CQE61" s="1222"/>
      <c r="CQF61" s="1222"/>
      <c r="CQG61" s="1222"/>
      <c r="CQH61" s="1222"/>
      <c r="CQI61" s="1222"/>
      <c r="CQJ61" s="1222"/>
      <c r="CQK61" s="1222"/>
      <c r="CQL61" s="1222"/>
      <c r="CQM61" s="1222"/>
      <c r="CQN61" s="1222"/>
      <c r="CQO61" s="1222"/>
      <c r="CQP61" s="1222"/>
      <c r="CQQ61" s="1222"/>
      <c r="CQR61" s="1222"/>
      <c r="CQS61" s="1222"/>
      <c r="CQT61" s="1222"/>
      <c r="CQU61" s="1222"/>
      <c r="CQV61" s="1222"/>
      <c r="CQW61" s="1222"/>
      <c r="CQX61" s="1222"/>
      <c r="CQY61" s="1222"/>
      <c r="CQZ61" s="1222"/>
      <c r="CRA61" s="1222"/>
      <c r="CRB61" s="1222"/>
      <c r="CRC61" s="1222"/>
      <c r="CRD61" s="1222"/>
      <c r="CRE61" s="1222"/>
      <c r="CRF61" s="1222"/>
      <c r="CRG61" s="1222"/>
      <c r="CRH61" s="1222"/>
      <c r="CRI61" s="1222"/>
      <c r="CRJ61" s="1222"/>
      <c r="CRK61" s="1222"/>
      <c r="CRL61" s="1222"/>
      <c r="CRM61" s="1222"/>
      <c r="CRN61" s="1222"/>
      <c r="CRO61" s="1222"/>
      <c r="CRP61" s="1222"/>
      <c r="CRQ61" s="1222"/>
      <c r="CRR61" s="1222"/>
      <c r="CRS61" s="1222"/>
      <c r="CRT61" s="1222"/>
      <c r="CRU61" s="1222"/>
      <c r="CRV61" s="1222"/>
      <c r="CRW61" s="1222"/>
      <c r="CRX61" s="1222"/>
      <c r="CRY61" s="1222"/>
      <c r="CRZ61" s="1222"/>
      <c r="CSA61" s="1222"/>
      <c r="CSB61" s="1222"/>
      <c r="CSC61" s="1222"/>
      <c r="CSD61" s="1222"/>
      <c r="CSE61" s="1222"/>
      <c r="CSF61" s="1222"/>
      <c r="CSG61" s="1222"/>
      <c r="CSH61" s="1222"/>
      <c r="CSI61" s="1222"/>
      <c r="CSJ61" s="1222"/>
      <c r="CSK61" s="1222"/>
      <c r="CSL61" s="1222"/>
      <c r="CSM61" s="1222"/>
      <c r="CSN61" s="1222"/>
      <c r="CSO61" s="1222"/>
      <c r="CSP61" s="1222"/>
      <c r="CSQ61" s="1222"/>
      <c r="CSR61" s="1222"/>
      <c r="CSS61" s="1222"/>
      <c r="CST61" s="1222"/>
      <c r="CSU61" s="1222"/>
      <c r="CSV61" s="1222"/>
      <c r="CSW61" s="1222"/>
      <c r="CSX61" s="1222"/>
      <c r="CSY61" s="1222"/>
      <c r="CSZ61" s="1222"/>
      <c r="CTA61" s="1222"/>
      <c r="CTB61" s="1222"/>
      <c r="CTC61" s="1222"/>
      <c r="CTD61" s="1222"/>
      <c r="CTE61" s="1222"/>
      <c r="CTF61" s="1222"/>
      <c r="CTG61" s="1222"/>
      <c r="CTH61" s="1222"/>
      <c r="CTI61" s="1222"/>
      <c r="CTJ61" s="1222"/>
      <c r="CTK61" s="1222"/>
      <c r="CTL61" s="1222"/>
      <c r="CTM61" s="1222"/>
      <c r="CTN61" s="1222"/>
      <c r="CTO61" s="1222"/>
      <c r="CTP61" s="1222"/>
      <c r="CTQ61" s="1222"/>
      <c r="CTR61" s="1222"/>
      <c r="CTS61" s="1222"/>
      <c r="CTT61" s="1222"/>
      <c r="CTU61" s="1222"/>
      <c r="CTV61" s="1222"/>
      <c r="CTW61" s="1222"/>
      <c r="CTX61" s="1222"/>
      <c r="CTY61" s="1222"/>
      <c r="CTZ61" s="1222"/>
      <c r="CUA61" s="1222"/>
      <c r="CUB61" s="1222"/>
      <c r="CUC61" s="1222"/>
      <c r="CUD61" s="1222"/>
      <c r="CUE61" s="1222"/>
      <c r="CUF61" s="1222"/>
      <c r="CUG61" s="1222"/>
      <c r="CUH61" s="1222"/>
      <c r="CUI61" s="1222"/>
      <c r="CUJ61" s="1222"/>
      <c r="CUK61" s="1222"/>
      <c r="CUL61" s="1222"/>
      <c r="CUM61" s="1222"/>
      <c r="CUN61" s="1222"/>
      <c r="CUO61" s="1222"/>
      <c r="CUP61" s="1222"/>
      <c r="CUQ61" s="1222"/>
      <c r="CUR61" s="1222"/>
      <c r="CUS61" s="1222"/>
      <c r="CUT61" s="1222"/>
      <c r="CUU61" s="1222"/>
      <c r="CUV61" s="1222"/>
      <c r="CUW61" s="1222"/>
      <c r="CUX61" s="1222"/>
      <c r="CUY61" s="1222"/>
      <c r="CUZ61" s="1222"/>
      <c r="CVA61" s="1222"/>
      <c r="CVB61" s="1222"/>
      <c r="CVC61" s="1222"/>
      <c r="CVD61" s="1222"/>
      <c r="CVE61" s="1222"/>
      <c r="CVF61" s="1222"/>
      <c r="CVG61" s="1222"/>
      <c r="CVH61" s="1222"/>
      <c r="CVI61" s="1222"/>
      <c r="CVJ61" s="1222"/>
      <c r="CVK61" s="1222"/>
      <c r="CVL61" s="1222"/>
      <c r="CVM61" s="1222"/>
      <c r="CVN61" s="1222"/>
      <c r="CVO61" s="1222"/>
      <c r="CVP61" s="1222"/>
      <c r="CVQ61" s="1222"/>
      <c r="CVR61" s="1222"/>
      <c r="CVS61" s="1222"/>
      <c r="CVT61" s="1222"/>
      <c r="CVU61" s="1222"/>
      <c r="CVV61" s="1222"/>
      <c r="CVW61" s="1222"/>
      <c r="CVX61" s="1222"/>
      <c r="CVY61" s="1222"/>
      <c r="CVZ61" s="1222"/>
      <c r="CWA61" s="1222"/>
      <c r="CWB61" s="1222"/>
      <c r="CWC61" s="1222"/>
      <c r="CWD61" s="1222"/>
      <c r="CWE61" s="1222"/>
      <c r="CWF61" s="1222"/>
      <c r="CWG61" s="1222"/>
      <c r="CWH61" s="1222"/>
      <c r="CWI61" s="1222"/>
      <c r="CWJ61" s="1222"/>
      <c r="CWK61" s="1222"/>
      <c r="CWL61" s="1222"/>
      <c r="CWM61" s="1222"/>
      <c r="CWN61" s="1222"/>
      <c r="CWO61" s="1222"/>
      <c r="CWP61" s="1222"/>
      <c r="CWQ61" s="1222"/>
      <c r="CWR61" s="1222"/>
      <c r="CWS61" s="1222"/>
      <c r="CWT61" s="1222"/>
      <c r="CWU61" s="1222"/>
      <c r="CWV61" s="1222"/>
      <c r="CWW61" s="1222"/>
      <c r="CWX61" s="1222"/>
      <c r="CWY61" s="1222"/>
      <c r="CWZ61" s="1222"/>
      <c r="CXA61" s="1222"/>
      <c r="CXB61" s="1222"/>
      <c r="CXC61" s="1222"/>
      <c r="CXD61" s="1222"/>
      <c r="CXE61" s="1222"/>
      <c r="CXF61" s="1222"/>
      <c r="CXG61" s="1222"/>
      <c r="CXH61" s="1222"/>
      <c r="CXI61" s="1222"/>
      <c r="CXJ61" s="1222"/>
      <c r="CXK61" s="1222"/>
      <c r="CXL61" s="1222"/>
      <c r="CXM61" s="1222"/>
      <c r="CXN61" s="1222"/>
      <c r="CXO61" s="1222"/>
      <c r="CXP61" s="1222"/>
      <c r="CXQ61" s="1222"/>
      <c r="CXR61" s="1222"/>
      <c r="CXS61" s="1222"/>
      <c r="CXT61" s="1222"/>
      <c r="CXU61" s="1222"/>
      <c r="CXV61" s="1222"/>
      <c r="CXW61" s="1222"/>
      <c r="CXX61" s="1222"/>
      <c r="CXY61" s="1222"/>
      <c r="CXZ61" s="1222"/>
      <c r="CYA61" s="1222"/>
      <c r="CYB61" s="1222"/>
      <c r="CYC61" s="1222"/>
      <c r="CYD61" s="1222"/>
      <c r="CYE61" s="1222"/>
      <c r="CYF61" s="1222"/>
      <c r="CYG61" s="1222"/>
      <c r="CYH61" s="1222"/>
      <c r="CYI61" s="1222"/>
      <c r="CYJ61" s="1222"/>
      <c r="CYK61" s="1222"/>
      <c r="CYL61" s="1222"/>
      <c r="CYM61" s="1222"/>
      <c r="CYN61" s="1222"/>
      <c r="CYO61" s="1222"/>
      <c r="CYP61" s="1222"/>
      <c r="CYQ61" s="1222"/>
      <c r="CYR61" s="1222"/>
      <c r="CYS61" s="1222"/>
      <c r="CYT61" s="1222"/>
      <c r="CYU61" s="1222"/>
      <c r="CYV61" s="1222"/>
      <c r="CYW61" s="1222"/>
      <c r="CYX61" s="1222"/>
      <c r="CYY61" s="1222"/>
      <c r="CYZ61" s="1222"/>
      <c r="CZA61" s="1222"/>
      <c r="CZB61" s="1222"/>
      <c r="CZC61" s="1222"/>
      <c r="CZD61" s="1222"/>
      <c r="CZE61" s="1222"/>
      <c r="CZF61" s="1222"/>
      <c r="CZG61" s="1222"/>
      <c r="CZH61" s="1222"/>
      <c r="CZI61" s="1222"/>
      <c r="CZJ61" s="1222"/>
      <c r="CZK61" s="1222"/>
      <c r="CZL61" s="1222"/>
      <c r="CZM61" s="1222"/>
      <c r="CZN61" s="1222"/>
      <c r="CZO61" s="1222"/>
      <c r="CZP61" s="1222"/>
      <c r="CZQ61" s="1222"/>
      <c r="CZR61" s="1222"/>
      <c r="CZS61" s="1222"/>
      <c r="CZT61" s="1222"/>
      <c r="CZU61" s="1222"/>
      <c r="CZV61" s="1222"/>
      <c r="CZW61" s="1222"/>
      <c r="CZX61" s="1222"/>
      <c r="CZY61" s="1222"/>
      <c r="CZZ61" s="1222"/>
      <c r="DAA61" s="1222"/>
      <c r="DAB61" s="1222"/>
      <c r="DAC61" s="1222"/>
      <c r="DAD61" s="1222"/>
      <c r="DAE61" s="1222"/>
      <c r="DAF61" s="1222"/>
      <c r="DAG61" s="1222"/>
      <c r="DAH61" s="1222"/>
      <c r="DAI61" s="1222"/>
      <c r="DAJ61" s="1222"/>
      <c r="DAK61" s="1222"/>
      <c r="DAL61" s="1222"/>
      <c r="DAM61" s="1222"/>
      <c r="DAN61" s="1222"/>
      <c r="DAO61" s="1222"/>
      <c r="DAP61" s="1222"/>
      <c r="DAQ61" s="1222"/>
      <c r="DAR61" s="1222"/>
      <c r="DAS61" s="1222"/>
      <c r="DAT61" s="1222"/>
      <c r="DAU61" s="1222"/>
      <c r="DAV61" s="1222"/>
      <c r="DAW61" s="1222"/>
      <c r="DAX61" s="1222"/>
      <c r="DAY61" s="1222"/>
      <c r="DAZ61" s="1222"/>
      <c r="DBA61" s="1222"/>
      <c r="DBB61" s="1222"/>
      <c r="DBC61" s="1222"/>
      <c r="DBD61" s="1222"/>
      <c r="DBE61" s="1222"/>
      <c r="DBF61" s="1222"/>
      <c r="DBG61" s="1222"/>
      <c r="DBH61" s="1222"/>
      <c r="DBI61" s="1222"/>
      <c r="DBJ61" s="1222"/>
      <c r="DBK61" s="1222"/>
      <c r="DBL61" s="1222"/>
      <c r="DBM61" s="1222"/>
      <c r="DBN61" s="1222"/>
      <c r="DBO61" s="1222"/>
      <c r="DBP61" s="1222"/>
      <c r="DBQ61" s="1222"/>
      <c r="DBR61" s="1222"/>
      <c r="DBS61" s="1222"/>
      <c r="DBT61" s="1222"/>
      <c r="DBU61" s="1222"/>
      <c r="DBV61" s="1222"/>
      <c r="DBW61" s="1222"/>
      <c r="DBX61" s="1222"/>
      <c r="DBY61" s="1222"/>
      <c r="DBZ61" s="1222"/>
      <c r="DCA61" s="1222"/>
      <c r="DCB61" s="1222"/>
      <c r="DCC61" s="1222"/>
      <c r="DCD61" s="1222"/>
      <c r="DCE61" s="1222"/>
      <c r="DCF61" s="1222"/>
      <c r="DCG61" s="1222"/>
      <c r="DCH61" s="1222"/>
      <c r="DCI61" s="1222"/>
      <c r="DCJ61" s="1222"/>
      <c r="DCK61" s="1222"/>
      <c r="DCL61" s="1222"/>
      <c r="DCM61" s="1222"/>
      <c r="DCN61" s="1222"/>
      <c r="DCO61" s="1222"/>
      <c r="DCP61" s="1222"/>
      <c r="DCQ61" s="1222"/>
      <c r="DCR61" s="1222"/>
      <c r="DCS61" s="1222"/>
      <c r="DCT61" s="1222"/>
      <c r="DCU61" s="1222"/>
      <c r="DCV61" s="1222"/>
      <c r="DCW61" s="1222"/>
      <c r="DCX61" s="1222"/>
      <c r="DCY61" s="1222"/>
      <c r="DCZ61" s="1222"/>
      <c r="DDA61" s="1222"/>
      <c r="DDB61" s="1222"/>
      <c r="DDC61" s="1222"/>
      <c r="DDD61" s="1222"/>
      <c r="DDE61" s="1222"/>
      <c r="DDF61" s="1222"/>
      <c r="DDG61" s="1222"/>
      <c r="DDH61" s="1222"/>
      <c r="DDI61" s="1222"/>
      <c r="DDJ61" s="1222"/>
      <c r="DDK61" s="1222"/>
      <c r="DDL61" s="1222"/>
      <c r="DDM61" s="1222"/>
      <c r="DDN61" s="1222"/>
      <c r="DDO61" s="1222"/>
      <c r="DDP61" s="1222"/>
      <c r="DDQ61" s="1222"/>
      <c r="DDR61" s="1222"/>
      <c r="DDS61" s="1222"/>
      <c r="DDT61" s="1222"/>
      <c r="DDU61" s="1222"/>
      <c r="DDV61" s="1222"/>
      <c r="DDW61" s="1222"/>
      <c r="DDX61" s="1222"/>
      <c r="DDY61" s="1222"/>
      <c r="DDZ61" s="1222"/>
      <c r="DEA61" s="1222"/>
      <c r="DEB61" s="1222"/>
      <c r="DEC61" s="1222"/>
      <c r="DED61" s="1222"/>
      <c r="DEE61" s="1222"/>
      <c r="DEF61" s="1222"/>
      <c r="DEG61" s="1222"/>
      <c r="DEH61" s="1222"/>
      <c r="DEI61" s="1222"/>
      <c r="DEJ61" s="1222"/>
      <c r="DEK61" s="1222"/>
      <c r="DEL61" s="1222"/>
      <c r="DEM61" s="1222"/>
      <c r="DEN61" s="1222"/>
      <c r="DEO61" s="1222"/>
      <c r="DEP61" s="1222"/>
      <c r="DEQ61" s="1222"/>
      <c r="DER61" s="1222"/>
      <c r="DES61" s="1222"/>
      <c r="DET61" s="1222"/>
      <c r="DEU61" s="1222"/>
      <c r="DEV61" s="1222"/>
      <c r="DEW61" s="1222"/>
      <c r="DEX61" s="1222"/>
      <c r="DEY61" s="1222"/>
      <c r="DEZ61" s="1222"/>
      <c r="DFA61" s="1222"/>
      <c r="DFB61" s="1222"/>
      <c r="DFC61" s="1222"/>
      <c r="DFD61" s="1222"/>
      <c r="DFE61" s="1222"/>
      <c r="DFF61" s="1222"/>
      <c r="DFG61" s="1222"/>
      <c r="DFH61" s="1222"/>
      <c r="DFI61" s="1222"/>
      <c r="DFJ61" s="1222"/>
      <c r="DFK61" s="1222"/>
      <c r="DFL61" s="1222"/>
      <c r="DFM61" s="1222"/>
      <c r="DFN61" s="1222"/>
      <c r="DFO61" s="1222"/>
      <c r="DFP61" s="1222"/>
      <c r="DFQ61" s="1222"/>
      <c r="DFR61" s="1222"/>
      <c r="DFS61" s="1222"/>
      <c r="DFT61" s="1222"/>
      <c r="DFU61" s="1222"/>
      <c r="DFV61" s="1222"/>
      <c r="DFW61" s="1222"/>
      <c r="DFX61" s="1222"/>
      <c r="DFY61" s="1222"/>
      <c r="DFZ61" s="1222"/>
      <c r="DGA61" s="1222"/>
      <c r="DGB61" s="1222"/>
      <c r="DGC61" s="1222"/>
      <c r="DGD61" s="1222"/>
      <c r="DGE61" s="1222"/>
      <c r="DGF61" s="1222"/>
      <c r="DGG61" s="1222"/>
      <c r="DGH61" s="1222"/>
      <c r="DGI61" s="1222"/>
      <c r="DGJ61" s="1222"/>
      <c r="DGK61" s="1222"/>
      <c r="DGL61" s="1222"/>
      <c r="DGM61" s="1222"/>
      <c r="DGN61" s="1222"/>
      <c r="DGO61" s="1222"/>
      <c r="DGP61" s="1222"/>
      <c r="DGQ61" s="1222"/>
      <c r="DGR61" s="1222"/>
      <c r="DGS61" s="1222"/>
      <c r="DGT61" s="1222"/>
      <c r="DGU61" s="1222"/>
      <c r="DGV61" s="1222"/>
      <c r="DGW61" s="1222"/>
      <c r="DGX61" s="1222"/>
      <c r="DGY61" s="1222"/>
      <c r="DGZ61" s="1222"/>
      <c r="DHA61" s="1222"/>
      <c r="DHB61" s="1222"/>
      <c r="DHC61" s="1222"/>
      <c r="DHD61" s="1222"/>
      <c r="DHE61" s="1222"/>
      <c r="DHF61" s="1222"/>
      <c r="DHG61" s="1222"/>
      <c r="DHH61" s="1222"/>
      <c r="DHI61" s="1222"/>
      <c r="DHJ61" s="1222"/>
      <c r="DHK61" s="1222"/>
      <c r="DHL61" s="1222"/>
      <c r="DHM61" s="1222"/>
      <c r="DHN61" s="1222"/>
      <c r="DHO61" s="1222"/>
      <c r="DHP61" s="1222"/>
      <c r="DHQ61" s="1222"/>
      <c r="DHR61" s="1222"/>
      <c r="DHS61" s="1222"/>
      <c r="DHT61" s="1222"/>
      <c r="DHU61" s="1222"/>
      <c r="DHV61" s="1222"/>
      <c r="DHW61" s="1222"/>
      <c r="DHX61" s="1222"/>
      <c r="DHY61" s="1222"/>
      <c r="DHZ61" s="1222"/>
      <c r="DIA61" s="1222"/>
      <c r="DIB61" s="1222"/>
      <c r="DIC61" s="1222"/>
      <c r="DID61" s="1222"/>
      <c r="DIE61" s="1222"/>
      <c r="DIF61" s="1222"/>
      <c r="DIG61" s="1222"/>
      <c r="DIH61" s="1222"/>
      <c r="DII61" s="1222"/>
      <c r="DIJ61" s="1222"/>
      <c r="DIK61" s="1222"/>
      <c r="DIL61" s="1222"/>
      <c r="DIM61" s="1222"/>
      <c r="DIN61" s="1222"/>
      <c r="DIO61" s="1222"/>
      <c r="DIP61" s="1222"/>
      <c r="DIQ61" s="1222"/>
      <c r="DIR61" s="1222"/>
      <c r="DIS61" s="1222"/>
      <c r="DIT61" s="1222"/>
      <c r="DIU61" s="1222"/>
      <c r="DIV61" s="1222"/>
      <c r="DIW61" s="1222"/>
      <c r="DIX61" s="1222"/>
      <c r="DIY61" s="1222"/>
      <c r="DIZ61" s="1222"/>
      <c r="DJA61" s="1222"/>
      <c r="DJB61" s="1222"/>
      <c r="DJC61" s="1222"/>
      <c r="DJD61" s="1222"/>
      <c r="DJE61" s="1222"/>
      <c r="DJF61" s="1222"/>
      <c r="DJG61" s="1222"/>
      <c r="DJH61" s="1222"/>
      <c r="DJI61" s="1222"/>
      <c r="DJJ61" s="1222"/>
      <c r="DJK61" s="1222"/>
      <c r="DJL61" s="1222"/>
      <c r="DJM61" s="1222"/>
      <c r="DJN61" s="1222"/>
      <c r="DJO61" s="1222"/>
      <c r="DJP61" s="1222"/>
      <c r="DJQ61" s="1222"/>
      <c r="DJR61" s="1222"/>
      <c r="DJS61" s="1222"/>
      <c r="DJT61" s="1222"/>
      <c r="DJU61" s="1222"/>
      <c r="DJV61" s="1222"/>
      <c r="DJW61" s="1222"/>
      <c r="DJX61" s="1222"/>
      <c r="DJY61" s="1222"/>
      <c r="DJZ61" s="1222"/>
      <c r="DKA61" s="1222"/>
      <c r="DKB61" s="1222"/>
      <c r="DKC61" s="1222"/>
      <c r="DKD61" s="1222"/>
      <c r="DKE61" s="1222"/>
      <c r="DKF61" s="1222"/>
      <c r="DKG61" s="1222"/>
      <c r="DKH61" s="1222"/>
      <c r="DKI61" s="1222"/>
      <c r="DKJ61" s="1222"/>
      <c r="DKK61" s="1222"/>
      <c r="DKL61" s="1222"/>
      <c r="DKM61" s="1222"/>
      <c r="DKN61" s="1222"/>
      <c r="DKO61" s="1222"/>
      <c r="DKP61" s="1222"/>
      <c r="DKQ61" s="1222"/>
      <c r="DKR61" s="1222"/>
      <c r="DKS61" s="1222"/>
      <c r="DKT61" s="1222"/>
      <c r="DKU61" s="1222"/>
      <c r="DKV61" s="1222"/>
      <c r="DKW61" s="1222"/>
      <c r="DKX61" s="1222"/>
      <c r="DKY61" s="1222"/>
      <c r="DKZ61" s="1222"/>
      <c r="DLA61" s="1222"/>
      <c r="DLB61" s="1222"/>
      <c r="DLC61" s="1222"/>
      <c r="DLD61" s="1222"/>
      <c r="DLE61" s="1222"/>
      <c r="DLF61" s="1222"/>
      <c r="DLG61" s="1222"/>
      <c r="DLH61" s="1222"/>
      <c r="DLI61" s="1222"/>
      <c r="DLJ61" s="1222"/>
      <c r="DLK61" s="1222"/>
      <c r="DLL61" s="1222"/>
      <c r="DLM61" s="1222"/>
      <c r="DLN61" s="1222"/>
      <c r="DLO61" s="1222"/>
      <c r="DLP61" s="1222"/>
      <c r="DLQ61" s="1222"/>
      <c r="DLR61" s="1222"/>
      <c r="DLS61" s="1222"/>
      <c r="DLT61" s="1222"/>
      <c r="DLU61" s="1222"/>
      <c r="DLV61" s="1222"/>
      <c r="DLW61" s="1222"/>
      <c r="DLX61" s="1222"/>
      <c r="DLY61" s="1222"/>
      <c r="DLZ61" s="1222"/>
      <c r="DMA61" s="1222"/>
      <c r="DMB61" s="1222"/>
      <c r="DMC61" s="1222"/>
      <c r="DMD61" s="1222"/>
      <c r="DME61" s="1222"/>
      <c r="DMF61" s="1222"/>
      <c r="DMG61" s="1222"/>
      <c r="DMH61" s="1222"/>
      <c r="DMI61" s="1222"/>
      <c r="DMJ61" s="1222"/>
      <c r="DMK61" s="1222"/>
      <c r="DML61" s="1222"/>
      <c r="DMM61" s="1222"/>
      <c r="DMN61" s="1222"/>
      <c r="DMO61" s="1222"/>
      <c r="DMP61" s="1222"/>
      <c r="DMQ61" s="1222"/>
      <c r="DMR61" s="1222"/>
      <c r="DMS61" s="1222"/>
      <c r="DMT61" s="1222"/>
      <c r="DMU61" s="1222"/>
      <c r="DMV61" s="1222"/>
      <c r="DMW61" s="1222"/>
      <c r="DMX61" s="1222"/>
      <c r="DMY61" s="1222"/>
      <c r="DMZ61" s="1222"/>
      <c r="DNA61" s="1222"/>
      <c r="DNB61" s="1222"/>
      <c r="DNC61" s="1222"/>
      <c r="DND61" s="1222"/>
      <c r="DNE61" s="1222"/>
      <c r="DNF61" s="1222"/>
      <c r="DNG61" s="1222"/>
      <c r="DNH61" s="1222"/>
      <c r="DNI61" s="1222"/>
      <c r="DNJ61" s="1222"/>
      <c r="DNK61" s="1222"/>
      <c r="DNL61" s="1222"/>
      <c r="DNM61" s="1222"/>
      <c r="DNN61" s="1222"/>
      <c r="DNO61" s="1222"/>
      <c r="DNP61" s="1222"/>
      <c r="DNQ61" s="1222"/>
      <c r="DNR61" s="1222"/>
      <c r="DNS61" s="1222"/>
      <c r="DNT61" s="1222"/>
      <c r="DNU61" s="1222"/>
      <c r="DNV61" s="1222"/>
      <c r="DNW61" s="1222"/>
      <c r="DNX61" s="1222"/>
      <c r="DNY61" s="1222"/>
      <c r="DNZ61" s="1222"/>
      <c r="DOA61" s="1222"/>
      <c r="DOB61" s="1222"/>
      <c r="DOC61" s="1222"/>
      <c r="DOD61" s="1222"/>
      <c r="DOE61" s="1222"/>
      <c r="DOF61" s="1222"/>
      <c r="DOG61" s="1222"/>
      <c r="DOH61" s="1222"/>
      <c r="DOI61" s="1222"/>
      <c r="DOJ61" s="1222"/>
      <c r="DOK61" s="1222"/>
      <c r="DOL61" s="1222"/>
      <c r="DOM61" s="1222"/>
      <c r="DON61" s="1222"/>
      <c r="DOO61" s="1222"/>
      <c r="DOP61" s="1222"/>
      <c r="DOQ61" s="1222"/>
      <c r="DOR61" s="1222"/>
      <c r="DOS61" s="1222"/>
      <c r="DOT61" s="1222"/>
      <c r="DOU61" s="1222"/>
      <c r="DOV61" s="1222"/>
      <c r="DOW61" s="1222"/>
      <c r="DOX61" s="1222"/>
      <c r="DOY61" s="1222"/>
      <c r="DOZ61" s="1222"/>
      <c r="DPA61" s="1222"/>
      <c r="DPB61" s="1222"/>
      <c r="DPC61" s="1222"/>
      <c r="DPD61" s="1222"/>
      <c r="DPE61" s="1222"/>
      <c r="DPF61" s="1222"/>
      <c r="DPG61" s="1222"/>
      <c r="DPH61" s="1222"/>
      <c r="DPI61" s="1222"/>
      <c r="DPJ61" s="1222"/>
      <c r="DPK61" s="1222"/>
      <c r="DPL61" s="1222"/>
      <c r="DPM61" s="1222"/>
      <c r="DPN61" s="1222"/>
      <c r="DPO61" s="1222"/>
      <c r="DPP61" s="1222"/>
      <c r="DPQ61" s="1222"/>
      <c r="DPR61" s="1222"/>
      <c r="DPS61" s="1222"/>
      <c r="DPT61" s="1222"/>
      <c r="DPU61" s="1222"/>
      <c r="DPV61" s="1222"/>
      <c r="DPW61" s="1222"/>
      <c r="DPX61" s="1222"/>
      <c r="DPY61" s="1222"/>
      <c r="DPZ61" s="1222"/>
      <c r="DQA61" s="1222"/>
      <c r="DQB61" s="1222"/>
      <c r="DQC61" s="1222"/>
      <c r="DQD61" s="1222"/>
      <c r="DQE61" s="1222"/>
      <c r="DQF61" s="1222"/>
      <c r="DQG61" s="1222"/>
      <c r="DQH61" s="1222"/>
      <c r="DQI61" s="1222"/>
      <c r="DQJ61" s="1222"/>
      <c r="DQK61" s="1222"/>
      <c r="DQL61" s="1222"/>
      <c r="DQM61" s="1222"/>
      <c r="DQN61" s="1222"/>
      <c r="DQO61" s="1222"/>
      <c r="DQP61" s="1222"/>
      <c r="DQQ61" s="1222"/>
      <c r="DQR61" s="1222"/>
      <c r="DQS61" s="1222"/>
      <c r="DQT61" s="1222"/>
      <c r="DQU61" s="1222"/>
      <c r="DQV61" s="1222"/>
      <c r="DQW61" s="1222"/>
      <c r="DQX61" s="1222"/>
      <c r="DQY61" s="1222"/>
      <c r="DQZ61" s="1222"/>
      <c r="DRA61" s="1222"/>
      <c r="DRB61" s="1222"/>
      <c r="DRC61" s="1222"/>
      <c r="DRD61" s="1222"/>
      <c r="DRE61" s="1222"/>
      <c r="DRF61" s="1222"/>
      <c r="DRG61" s="1222"/>
      <c r="DRH61" s="1222"/>
      <c r="DRI61" s="1222"/>
      <c r="DRJ61" s="1222"/>
      <c r="DRK61" s="1222"/>
      <c r="DRL61" s="1222"/>
      <c r="DRM61" s="1222"/>
      <c r="DRN61" s="1222"/>
      <c r="DRO61" s="1222"/>
      <c r="DRP61" s="1222"/>
      <c r="DRQ61" s="1222"/>
      <c r="DRR61" s="1222"/>
      <c r="DRS61" s="1222"/>
      <c r="DRT61" s="1222"/>
      <c r="DRU61" s="1222"/>
      <c r="DRV61" s="1222"/>
      <c r="DRW61" s="1222"/>
      <c r="DRX61" s="1222"/>
      <c r="DRY61" s="1222"/>
      <c r="DRZ61" s="1222"/>
      <c r="DSA61" s="1222"/>
      <c r="DSB61" s="1222"/>
      <c r="DSC61" s="1222"/>
      <c r="DSD61" s="1222"/>
      <c r="DSE61" s="1222"/>
      <c r="DSF61" s="1222"/>
      <c r="DSG61" s="1222"/>
      <c r="DSH61" s="1222"/>
      <c r="DSI61" s="1222"/>
      <c r="DSJ61" s="1222"/>
      <c r="DSK61" s="1222"/>
      <c r="DSL61" s="1222"/>
      <c r="DSM61" s="1222"/>
      <c r="DSN61" s="1222"/>
      <c r="DSO61" s="1222"/>
      <c r="DSP61" s="1222"/>
      <c r="DSQ61" s="1222"/>
      <c r="DSR61" s="1222"/>
      <c r="DSS61" s="1222"/>
      <c r="DST61" s="1222"/>
      <c r="DSU61" s="1222"/>
      <c r="DSV61" s="1222"/>
      <c r="DSW61" s="1222"/>
      <c r="DSX61" s="1222"/>
      <c r="DSY61" s="1222"/>
      <c r="DSZ61" s="1222"/>
      <c r="DTA61" s="1222"/>
      <c r="DTB61" s="1222"/>
      <c r="DTC61" s="1222"/>
      <c r="DTD61" s="1222"/>
      <c r="DTE61" s="1222"/>
      <c r="DTF61" s="1222"/>
      <c r="DTG61" s="1222"/>
      <c r="DTH61" s="1222"/>
      <c r="DTI61" s="1222"/>
      <c r="DTJ61" s="1222"/>
      <c r="DTK61" s="1222"/>
      <c r="DTL61" s="1222"/>
      <c r="DTM61" s="1222"/>
      <c r="DTN61" s="1222"/>
      <c r="DTO61" s="1222"/>
      <c r="DTP61" s="1222"/>
      <c r="DTQ61" s="1222"/>
      <c r="DTR61" s="1222"/>
      <c r="DTS61" s="1222"/>
      <c r="DTT61" s="1222"/>
      <c r="DTU61" s="1222"/>
      <c r="DTV61" s="1222"/>
      <c r="DTW61" s="1222"/>
      <c r="DTX61" s="1222"/>
      <c r="DTY61" s="1222"/>
      <c r="DTZ61" s="1222"/>
      <c r="DUA61" s="1222"/>
      <c r="DUB61" s="1222"/>
      <c r="DUC61" s="1222"/>
      <c r="DUD61" s="1222"/>
      <c r="DUE61" s="1222"/>
      <c r="DUF61" s="1222"/>
      <c r="DUG61" s="1222"/>
      <c r="DUH61" s="1222"/>
      <c r="DUI61" s="1222"/>
      <c r="DUJ61" s="1222"/>
      <c r="DUK61" s="1222"/>
      <c r="DUL61" s="1222"/>
      <c r="DUM61" s="1222"/>
      <c r="DUN61" s="1222"/>
      <c r="DUO61" s="1222"/>
      <c r="DUP61" s="1222"/>
      <c r="DUQ61" s="1222"/>
      <c r="DUR61" s="1222"/>
      <c r="DUS61" s="1222"/>
      <c r="DUT61" s="1222"/>
      <c r="DUU61" s="1222"/>
      <c r="DUV61" s="1222"/>
      <c r="DUW61" s="1222"/>
      <c r="DUX61" s="1222"/>
      <c r="DUY61" s="1222"/>
      <c r="DUZ61" s="1222"/>
      <c r="DVA61" s="1222"/>
      <c r="DVB61" s="1222"/>
      <c r="DVC61" s="1222"/>
      <c r="DVD61" s="1222"/>
      <c r="DVE61" s="1222"/>
      <c r="DVF61" s="1222"/>
      <c r="DVG61" s="1222"/>
      <c r="DVH61" s="1222"/>
      <c r="DVI61" s="1222"/>
      <c r="DVJ61" s="1222"/>
      <c r="DVK61" s="1222"/>
      <c r="DVL61" s="1222"/>
      <c r="DVM61" s="1222"/>
      <c r="DVN61" s="1222"/>
      <c r="DVO61" s="1222"/>
      <c r="DVP61" s="1222"/>
      <c r="DVQ61" s="1222"/>
      <c r="DVR61" s="1222"/>
      <c r="DVS61" s="1222"/>
      <c r="DVT61" s="1222"/>
      <c r="DVU61" s="1222"/>
      <c r="DVV61" s="1222"/>
      <c r="DVW61" s="1222"/>
      <c r="DVX61" s="1222"/>
      <c r="DVY61" s="1222"/>
      <c r="DVZ61" s="1222"/>
      <c r="DWA61" s="1222"/>
      <c r="DWB61" s="1222"/>
      <c r="DWC61" s="1222"/>
      <c r="DWD61" s="1222"/>
      <c r="DWE61" s="1222"/>
      <c r="DWF61" s="1222"/>
      <c r="DWG61" s="1222"/>
      <c r="DWH61" s="1222"/>
      <c r="DWI61" s="1222"/>
      <c r="DWJ61" s="1222"/>
      <c r="DWK61" s="1222"/>
      <c r="DWL61" s="1222"/>
      <c r="DWM61" s="1222"/>
      <c r="DWN61" s="1222"/>
      <c r="DWO61" s="1222"/>
      <c r="DWP61" s="1222"/>
      <c r="DWQ61" s="1222"/>
      <c r="DWR61" s="1222"/>
      <c r="DWS61" s="1222"/>
      <c r="DWT61" s="1222"/>
      <c r="DWU61" s="1222"/>
      <c r="DWV61" s="1222"/>
      <c r="DWW61" s="1222"/>
      <c r="DWX61" s="1222"/>
      <c r="DWY61" s="1222"/>
      <c r="DWZ61" s="1222"/>
      <c r="DXA61" s="1222"/>
      <c r="DXB61" s="1222"/>
      <c r="DXC61" s="1222"/>
      <c r="DXD61" s="1222"/>
      <c r="DXE61" s="1222"/>
      <c r="DXF61" s="1222"/>
      <c r="DXG61" s="1222"/>
      <c r="DXH61" s="1222"/>
      <c r="DXI61" s="1222"/>
      <c r="DXJ61" s="1222"/>
      <c r="DXK61" s="1222"/>
      <c r="DXL61" s="1222"/>
      <c r="DXM61" s="1222"/>
      <c r="DXN61" s="1222"/>
      <c r="DXO61" s="1222"/>
      <c r="DXP61" s="1222"/>
      <c r="DXQ61" s="1222"/>
      <c r="DXR61" s="1222"/>
      <c r="DXS61" s="1222"/>
      <c r="DXT61" s="1222"/>
      <c r="DXU61" s="1222"/>
      <c r="DXV61" s="1222"/>
      <c r="DXW61" s="1222"/>
      <c r="DXX61" s="1222"/>
      <c r="DXY61" s="1222"/>
      <c r="DXZ61" s="1222"/>
      <c r="DYA61" s="1222"/>
      <c r="DYB61" s="1222"/>
      <c r="DYC61" s="1222"/>
      <c r="DYD61" s="1222"/>
      <c r="DYE61" s="1222"/>
      <c r="DYF61" s="1222"/>
      <c r="DYG61" s="1222"/>
      <c r="DYH61" s="1222"/>
      <c r="DYI61" s="1222"/>
      <c r="DYJ61" s="1222"/>
      <c r="DYK61" s="1222"/>
      <c r="DYL61" s="1222"/>
      <c r="DYM61" s="1222"/>
      <c r="DYN61" s="1222"/>
      <c r="DYO61" s="1222"/>
      <c r="DYP61" s="1222"/>
      <c r="DYQ61" s="1222"/>
      <c r="DYR61" s="1222"/>
      <c r="DYS61" s="1222"/>
      <c r="DYT61" s="1222"/>
      <c r="DYU61" s="1222"/>
      <c r="DYV61" s="1222"/>
      <c r="DYW61" s="1222"/>
      <c r="DYX61" s="1222"/>
      <c r="DYY61" s="1222"/>
      <c r="DYZ61" s="1222"/>
      <c r="DZA61" s="1222"/>
      <c r="DZB61" s="1222"/>
      <c r="DZC61" s="1222"/>
      <c r="DZD61" s="1222"/>
      <c r="DZE61" s="1222"/>
      <c r="DZF61" s="1222"/>
      <c r="DZG61" s="1222"/>
      <c r="DZH61" s="1222"/>
      <c r="DZI61" s="1222"/>
      <c r="DZJ61" s="1222"/>
      <c r="DZK61" s="1222"/>
      <c r="DZL61" s="1222"/>
      <c r="DZM61" s="1222"/>
      <c r="DZN61" s="1222"/>
      <c r="DZO61" s="1222"/>
      <c r="DZP61" s="1222"/>
      <c r="DZQ61" s="1222"/>
      <c r="DZR61" s="1222"/>
      <c r="DZS61" s="1222"/>
      <c r="DZT61" s="1222"/>
      <c r="DZU61" s="1222"/>
      <c r="DZV61" s="1222"/>
      <c r="DZW61" s="1222"/>
      <c r="DZX61" s="1222"/>
      <c r="DZY61" s="1222"/>
      <c r="DZZ61" s="1222"/>
      <c r="EAA61" s="1222"/>
      <c r="EAB61" s="1222"/>
      <c r="EAC61" s="1222"/>
      <c r="EAD61" s="1222"/>
      <c r="EAE61" s="1222"/>
      <c r="EAF61" s="1222"/>
      <c r="EAG61" s="1222"/>
      <c r="EAH61" s="1222"/>
      <c r="EAI61" s="1222"/>
      <c r="EAJ61" s="1222"/>
      <c r="EAK61" s="1222"/>
      <c r="EAL61" s="1222"/>
      <c r="EAM61" s="1222"/>
      <c r="EAN61" s="1222"/>
      <c r="EAO61" s="1222"/>
      <c r="EAP61" s="1222"/>
      <c r="EAQ61" s="1222"/>
      <c r="EAR61" s="1222"/>
      <c r="EAS61" s="1222"/>
      <c r="EAT61" s="1222"/>
      <c r="EAU61" s="1222"/>
      <c r="EAV61" s="1222"/>
      <c r="EAW61" s="1222"/>
      <c r="EAX61" s="1222"/>
      <c r="EAY61" s="1222"/>
      <c r="EAZ61" s="1222"/>
      <c r="EBA61" s="1222"/>
      <c r="EBB61" s="1222"/>
      <c r="EBC61" s="1222"/>
      <c r="EBD61" s="1222"/>
      <c r="EBE61" s="1222"/>
      <c r="EBF61" s="1222"/>
      <c r="EBG61" s="1222"/>
      <c r="EBH61" s="1222"/>
      <c r="EBI61" s="1222"/>
      <c r="EBJ61" s="1222"/>
      <c r="EBK61" s="1222"/>
      <c r="EBL61" s="1222"/>
      <c r="EBM61" s="1222"/>
      <c r="EBN61" s="1222"/>
      <c r="EBO61" s="1222"/>
      <c r="EBP61" s="1222"/>
      <c r="EBQ61" s="1222"/>
      <c r="EBR61" s="1222"/>
      <c r="EBS61" s="1222"/>
      <c r="EBT61" s="1222"/>
      <c r="EBU61" s="1222"/>
      <c r="EBV61" s="1222"/>
      <c r="EBW61" s="1222"/>
      <c r="EBX61" s="1222"/>
      <c r="EBY61" s="1222"/>
      <c r="EBZ61" s="1222"/>
      <c r="ECA61" s="1222"/>
      <c r="ECB61" s="1222"/>
      <c r="ECC61" s="1222"/>
      <c r="ECD61" s="1222"/>
      <c r="ECE61" s="1222"/>
      <c r="ECF61" s="1222"/>
      <c r="ECG61" s="1222"/>
      <c r="ECH61" s="1222"/>
      <c r="ECI61" s="1222"/>
      <c r="ECJ61" s="1222"/>
      <c r="ECK61" s="1222"/>
      <c r="ECL61" s="1222"/>
      <c r="ECM61" s="1222"/>
      <c r="ECN61" s="1222"/>
      <c r="ECO61" s="1222"/>
    </row>
    <row r="62" spans="2:3473" ht="16" thickBot="1">
      <c r="B62" s="1308"/>
      <c r="C62" s="1309"/>
      <c r="D62" s="1310"/>
      <c r="E62" s="1311"/>
      <c r="F62" s="1311"/>
      <c r="G62" s="1311"/>
      <c r="H62" s="1311">
        <f ca="1">+H58-H61</f>
        <v>-539.17240402910102</v>
      </c>
      <c r="I62" s="1311"/>
      <c r="J62" s="1311"/>
      <c r="K62" s="1311"/>
      <c r="L62" s="1311"/>
      <c r="M62" s="1311"/>
      <c r="N62" s="1311"/>
      <c r="O62" s="1311"/>
      <c r="P62" s="1311"/>
      <c r="Q62" s="1311"/>
      <c r="R62" s="1311"/>
      <c r="S62" s="1311"/>
      <c r="T62" s="1311"/>
      <c r="U62" s="1311"/>
      <c r="V62" s="1311"/>
      <c r="W62" s="1311"/>
      <c r="X62" s="1311"/>
      <c r="Y62" s="1311"/>
      <c r="Z62" s="1311"/>
      <c r="AA62" s="1311"/>
      <c r="AB62" s="1311"/>
      <c r="AC62" s="1311"/>
      <c r="AD62" s="1312"/>
      <c r="AE62" s="1312"/>
      <c r="AF62" s="1288"/>
      <c r="AG62" s="1288"/>
      <c r="AH62" s="1288"/>
      <c r="AI62" s="1288"/>
      <c r="AJ62" s="1288"/>
      <c r="AK62" s="1288"/>
      <c r="AL62" s="1288"/>
      <c r="AM62" s="1288"/>
      <c r="AN62" s="1288"/>
      <c r="AO62" s="1288"/>
      <c r="AP62" s="1288"/>
      <c r="AQ62" s="1288"/>
      <c r="AR62" s="1288"/>
      <c r="AS62" s="1288"/>
      <c r="AT62" s="1288"/>
      <c r="AU62" s="1288"/>
      <c r="AV62" s="1288"/>
      <c r="AW62" s="1288"/>
      <c r="AX62" s="1288"/>
      <c r="AY62" s="1288"/>
      <c r="AZ62" s="1288"/>
      <c r="BA62" s="1288"/>
      <c r="BB62" s="1288"/>
      <c r="BC62" s="1288"/>
      <c r="BD62" s="1288"/>
      <c r="BE62" s="1288"/>
      <c r="BF62" s="1288"/>
      <c r="BG62" s="1288"/>
      <c r="BH62" s="1288"/>
      <c r="BI62" s="1288"/>
      <c r="BJ62" s="1308"/>
      <c r="BK62" s="1308"/>
      <c r="BL62" s="1308"/>
      <c r="BM62" s="1308"/>
      <c r="BN62" s="1221"/>
      <c r="BO62" s="1221"/>
      <c r="BP62" s="1221"/>
      <c r="BQ62" s="1221"/>
      <c r="BR62" s="1222"/>
      <c r="BS62" s="1222"/>
      <c r="BT62" s="1222"/>
      <c r="BU62" s="1222"/>
      <c r="BV62" s="1222"/>
      <c r="BW62" s="1222"/>
      <c r="BX62" s="1222"/>
      <c r="BY62" s="1222"/>
      <c r="BZ62" s="1222"/>
      <c r="CA62" s="1222"/>
      <c r="CB62" s="1222"/>
      <c r="CC62" s="1222"/>
      <c r="CD62" s="1222"/>
      <c r="CE62" s="1222"/>
      <c r="CF62" s="1222"/>
      <c r="CG62" s="1222"/>
      <c r="CH62" s="1222"/>
      <c r="CI62" s="1222"/>
      <c r="CJ62" s="1222"/>
      <c r="CK62" s="1222"/>
      <c r="CL62" s="1222"/>
      <c r="CM62" s="1222"/>
      <c r="CN62" s="1222"/>
      <c r="CO62" s="1222"/>
      <c r="CP62" s="1222"/>
      <c r="CQ62" s="1222"/>
      <c r="CR62" s="1222"/>
      <c r="CS62" s="1222"/>
      <c r="CT62" s="1222"/>
      <c r="CU62" s="1222"/>
      <c r="CV62" s="1222"/>
      <c r="CW62" s="1222"/>
      <c r="CX62" s="1222"/>
      <c r="CY62" s="1222"/>
      <c r="CZ62" s="1222"/>
      <c r="DA62" s="1222"/>
      <c r="DB62" s="1222"/>
      <c r="DC62" s="1222"/>
      <c r="DD62" s="1222"/>
      <c r="DE62" s="1222"/>
      <c r="DF62" s="1222"/>
      <c r="DG62" s="1222"/>
      <c r="DH62" s="1222"/>
      <c r="DI62" s="1222"/>
      <c r="DJ62" s="1222"/>
      <c r="DK62" s="1222"/>
      <c r="DL62" s="1222"/>
      <c r="DM62" s="1222"/>
      <c r="DN62" s="1222"/>
      <c r="DO62" s="1222"/>
      <c r="DP62" s="1222"/>
      <c r="DQ62" s="1222"/>
      <c r="DR62" s="1222"/>
      <c r="DS62" s="1222"/>
      <c r="DT62" s="1222"/>
      <c r="DU62" s="1222"/>
      <c r="DV62" s="1222"/>
      <c r="DW62" s="1222"/>
      <c r="DX62" s="1222"/>
      <c r="DY62" s="1222"/>
      <c r="DZ62" s="1222"/>
      <c r="EA62" s="1222"/>
      <c r="EB62" s="1222"/>
      <c r="EC62" s="1222"/>
      <c r="ED62" s="1222"/>
      <c r="EE62" s="1222"/>
      <c r="EF62" s="1222"/>
      <c r="EG62" s="1222"/>
      <c r="EH62" s="1222"/>
      <c r="EI62" s="1222"/>
      <c r="EJ62" s="1222"/>
      <c r="EK62" s="1222"/>
      <c r="EL62" s="1222"/>
      <c r="EM62" s="1222"/>
      <c r="EN62" s="1222"/>
      <c r="EO62" s="1222"/>
      <c r="EP62" s="1222"/>
      <c r="EQ62" s="1222"/>
      <c r="ER62" s="1222"/>
      <c r="ES62" s="1222"/>
      <c r="ET62" s="1222"/>
      <c r="EU62" s="1222"/>
      <c r="EV62" s="1222"/>
      <c r="EW62" s="1222"/>
      <c r="EX62" s="1222"/>
      <c r="EY62" s="1222"/>
      <c r="EZ62" s="1222"/>
      <c r="FA62" s="1222"/>
      <c r="FB62" s="1222"/>
      <c r="FC62" s="1222"/>
      <c r="FD62" s="1222"/>
      <c r="FE62" s="1222"/>
      <c r="FF62" s="1222"/>
      <c r="FG62" s="1222"/>
      <c r="FH62" s="1222"/>
      <c r="FI62" s="1222"/>
      <c r="FJ62" s="1222"/>
      <c r="FK62" s="1222"/>
      <c r="FL62" s="1222"/>
      <c r="FM62" s="1222"/>
      <c r="FN62" s="1222"/>
      <c r="FO62" s="1222"/>
      <c r="FP62" s="1222"/>
      <c r="FQ62" s="1222"/>
      <c r="FR62" s="1222"/>
      <c r="FS62" s="1222"/>
      <c r="FT62" s="1222"/>
      <c r="FU62" s="1222"/>
      <c r="FV62" s="1222"/>
      <c r="FW62" s="1222"/>
      <c r="FX62" s="1222"/>
      <c r="FY62" s="1222"/>
      <c r="FZ62" s="1222"/>
      <c r="GA62" s="1222"/>
      <c r="GB62" s="1222"/>
      <c r="GC62" s="1222"/>
      <c r="GD62" s="1222"/>
      <c r="GE62" s="1222"/>
      <c r="GF62" s="1222"/>
      <c r="GG62" s="1222"/>
      <c r="GH62" s="1222"/>
      <c r="GI62" s="1222"/>
      <c r="GJ62" s="1222"/>
      <c r="GK62" s="1222"/>
      <c r="GL62" s="1222"/>
      <c r="GM62" s="1222"/>
      <c r="GN62" s="1222"/>
      <c r="GO62" s="1222"/>
      <c r="GP62" s="1222"/>
      <c r="GQ62" s="1222"/>
      <c r="GR62" s="1222"/>
      <c r="GS62" s="1222"/>
      <c r="GT62" s="1222"/>
      <c r="GU62" s="1222"/>
      <c r="GV62" s="1222"/>
      <c r="GW62" s="1222"/>
      <c r="GX62" s="1222"/>
      <c r="GY62" s="1222"/>
      <c r="GZ62" s="1222"/>
      <c r="HA62" s="1222"/>
      <c r="HB62" s="1222"/>
      <c r="HC62" s="1222"/>
      <c r="HD62" s="1222"/>
      <c r="HE62" s="1222"/>
      <c r="HF62" s="1222"/>
      <c r="HG62" s="1222"/>
      <c r="HH62" s="1222"/>
      <c r="HI62" s="1222"/>
      <c r="HJ62" s="1222"/>
      <c r="HK62" s="1222"/>
      <c r="HL62" s="1222"/>
      <c r="HM62" s="1222"/>
      <c r="HN62" s="1222"/>
      <c r="HO62" s="1222"/>
      <c r="HP62" s="1222"/>
      <c r="HQ62" s="1222"/>
      <c r="HR62" s="1222"/>
      <c r="HS62" s="1222"/>
      <c r="HT62" s="1222"/>
      <c r="HU62" s="1222"/>
      <c r="HV62" s="1222"/>
      <c r="HW62" s="1222"/>
      <c r="HX62" s="1222"/>
      <c r="HY62" s="1222"/>
      <c r="HZ62" s="1222"/>
      <c r="IA62" s="1222"/>
      <c r="IB62" s="1222"/>
      <c r="IC62" s="1222"/>
      <c r="ID62" s="1222"/>
      <c r="IE62" s="1222"/>
      <c r="IF62" s="1222"/>
      <c r="IG62" s="1222"/>
      <c r="IH62" s="1222"/>
      <c r="II62" s="1222"/>
      <c r="IJ62" s="1222"/>
      <c r="IK62" s="1222"/>
      <c r="IL62" s="1222"/>
      <c r="IM62" s="1222"/>
      <c r="IN62" s="1222"/>
      <c r="IO62" s="1222"/>
      <c r="IP62" s="1222"/>
      <c r="IQ62" s="1222"/>
      <c r="IR62" s="1222"/>
      <c r="IS62" s="1222"/>
      <c r="IT62" s="1222"/>
      <c r="IU62" s="1222"/>
      <c r="IV62" s="1222"/>
      <c r="IW62" s="1222"/>
      <c r="IX62" s="1222"/>
      <c r="IY62" s="1222"/>
      <c r="IZ62" s="1222"/>
      <c r="JA62" s="1222"/>
      <c r="JB62" s="1222"/>
      <c r="JC62" s="1222"/>
      <c r="JD62" s="1222"/>
      <c r="JE62" s="1222"/>
      <c r="JF62" s="1222"/>
      <c r="JG62" s="1222"/>
      <c r="JH62" s="1222"/>
      <c r="JI62" s="1222"/>
      <c r="JJ62" s="1222"/>
      <c r="JK62" s="1222"/>
      <c r="JL62" s="1222"/>
      <c r="JM62" s="1222"/>
      <c r="JN62" s="1222"/>
      <c r="JO62" s="1222"/>
      <c r="JP62" s="1222"/>
      <c r="JQ62" s="1222"/>
      <c r="JR62" s="1222"/>
      <c r="JS62" s="1222"/>
      <c r="JT62" s="1222"/>
      <c r="JU62" s="1222"/>
      <c r="JV62" s="1222"/>
      <c r="JW62" s="1222"/>
      <c r="JX62" s="1222"/>
      <c r="JY62" s="1222"/>
      <c r="JZ62" s="1222"/>
      <c r="KA62" s="1222"/>
      <c r="KB62" s="1222"/>
      <c r="KC62" s="1222"/>
      <c r="KD62" s="1222"/>
      <c r="KE62" s="1222"/>
      <c r="KF62" s="1222"/>
      <c r="KG62" s="1222"/>
      <c r="KH62" s="1222"/>
      <c r="KI62" s="1222"/>
      <c r="KJ62" s="1222"/>
      <c r="KK62" s="1222"/>
      <c r="KL62" s="1222"/>
      <c r="KM62" s="1222"/>
      <c r="KN62" s="1222"/>
      <c r="KO62" s="1222"/>
      <c r="KP62" s="1222"/>
      <c r="KQ62" s="1222"/>
      <c r="KR62" s="1222"/>
      <c r="KS62" s="1222"/>
      <c r="KT62" s="1222"/>
      <c r="KU62" s="1222"/>
      <c r="KV62" s="1222"/>
      <c r="KW62" s="1222"/>
      <c r="KX62" s="1222"/>
      <c r="KY62" s="1222"/>
      <c r="KZ62" s="1222"/>
      <c r="LA62" s="1222"/>
      <c r="LB62" s="1222"/>
      <c r="LC62" s="1222"/>
      <c r="LD62" s="1222"/>
      <c r="LE62" s="1222"/>
      <c r="LF62" s="1222"/>
      <c r="LG62" s="1222"/>
      <c r="LH62" s="1222"/>
      <c r="LI62" s="1222"/>
      <c r="LJ62" s="1222"/>
      <c r="LK62" s="1222"/>
      <c r="LL62" s="1222"/>
      <c r="LM62" s="1222"/>
      <c r="LN62" s="1222"/>
      <c r="LO62" s="1222"/>
      <c r="LP62" s="1222"/>
      <c r="LQ62" s="1222"/>
      <c r="LR62" s="1222"/>
      <c r="LS62" s="1222"/>
      <c r="LT62" s="1222"/>
      <c r="LU62" s="1222"/>
      <c r="LV62" s="1222"/>
      <c r="LW62" s="1222"/>
      <c r="LX62" s="1222"/>
      <c r="LY62" s="1222"/>
      <c r="LZ62" s="1222"/>
      <c r="MA62" s="1222"/>
      <c r="MB62" s="1222"/>
      <c r="MC62" s="1222"/>
      <c r="MD62" s="1222"/>
      <c r="ME62" s="1222"/>
      <c r="MF62" s="1222"/>
      <c r="MG62" s="1222"/>
      <c r="MH62" s="1222"/>
      <c r="MI62" s="1222"/>
      <c r="MJ62" s="1222"/>
      <c r="MK62" s="1222"/>
      <c r="ML62" s="1222"/>
      <c r="MM62" s="1222"/>
      <c r="MN62" s="1222"/>
      <c r="MO62" s="1222"/>
      <c r="MP62" s="1222"/>
      <c r="MQ62" s="1222"/>
      <c r="MR62" s="1222"/>
      <c r="MS62" s="1222"/>
      <c r="MT62" s="1222"/>
      <c r="MU62" s="1222"/>
      <c r="MV62" s="1222"/>
      <c r="MW62" s="1222"/>
      <c r="MX62" s="1222"/>
      <c r="MY62" s="1222"/>
      <c r="MZ62" s="1222"/>
      <c r="NA62" s="1222"/>
      <c r="NB62" s="1222"/>
      <c r="NC62" s="1222"/>
      <c r="ND62" s="1222"/>
      <c r="NE62" s="1222"/>
      <c r="NF62" s="1222"/>
      <c r="NG62" s="1222"/>
      <c r="NH62" s="1222"/>
      <c r="NI62" s="1222"/>
      <c r="NJ62" s="1222"/>
      <c r="NK62" s="1222"/>
      <c r="NL62" s="1222"/>
      <c r="NM62" s="1222"/>
      <c r="NN62" s="1222"/>
      <c r="NO62" s="1222"/>
      <c r="NP62" s="1222"/>
      <c r="NQ62" s="1222"/>
      <c r="NR62" s="1222"/>
      <c r="NS62" s="1222"/>
      <c r="NT62" s="1222"/>
      <c r="NU62" s="1222"/>
      <c r="NV62" s="1222"/>
      <c r="NW62" s="1222"/>
      <c r="NX62" s="1222"/>
      <c r="NY62" s="1222"/>
      <c r="NZ62" s="1222"/>
      <c r="OA62" s="1222"/>
      <c r="OB62" s="1222"/>
      <c r="OC62" s="1222"/>
      <c r="OD62" s="1222"/>
      <c r="OE62" s="1222"/>
      <c r="OF62" s="1222"/>
      <c r="OG62" s="1222"/>
      <c r="OH62" s="1222"/>
      <c r="OI62" s="1222"/>
      <c r="OJ62" s="1222"/>
      <c r="OK62" s="1222"/>
      <c r="OL62" s="1222"/>
      <c r="OM62" s="1222"/>
      <c r="ON62" s="1222"/>
      <c r="OO62" s="1222"/>
      <c r="OP62" s="1222"/>
      <c r="OQ62" s="1222"/>
      <c r="OR62" s="1222"/>
      <c r="OS62" s="1222"/>
      <c r="OT62" s="1222"/>
      <c r="OU62" s="1222"/>
      <c r="OV62" s="1222"/>
      <c r="OW62" s="1222"/>
      <c r="OX62" s="1222"/>
      <c r="OY62" s="1222"/>
      <c r="OZ62" s="1222"/>
      <c r="PA62" s="1222"/>
      <c r="PB62" s="1222"/>
      <c r="PC62" s="1222"/>
      <c r="PD62" s="1222"/>
      <c r="PE62" s="1222"/>
      <c r="PF62" s="1222"/>
      <c r="PG62" s="1222"/>
      <c r="PH62" s="1222"/>
      <c r="PI62" s="1222"/>
      <c r="PJ62" s="1222"/>
      <c r="PK62" s="1222"/>
      <c r="PL62" s="1222"/>
      <c r="PM62" s="1222"/>
      <c r="PN62" s="1222"/>
      <c r="PO62" s="1222"/>
      <c r="PP62" s="1222"/>
      <c r="PQ62" s="1222"/>
      <c r="PR62" s="1222"/>
      <c r="PS62" s="1222"/>
      <c r="PT62" s="1222"/>
      <c r="PU62" s="1222"/>
      <c r="PV62" s="1222"/>
      <c r="PW62" s="1222"/>
      <c r="PX62" s="1222"/>
      <c r="PY62" s="1222"/>
      <c r="PZ62" s="1222"/>
      <c r="QA62" s="1222"/>
      <c r="QB62" s="1222"/>
      <c r="QC62" s="1222"/>
      <c r="QD62" s="1222"/>
      <c r="QE62" s="1222"/>
      <c r="QF62" s="1222"/>
      <c r="QG62" s="1222"/>
      <c r="QH62" s="1222"/>
      <c r="QI62" s="1222"/>
      <c r="QJ62" s="1222"/>
      <c r="QK62" s="1222"/>
      <c r="QL62" s="1222"/>
      <c r="QM62" s="1222"/>
      <c r="QN62" s="1222"/>
      <c r="QO62" s="1222"/>
      <c r="QP62" s="1222"/>
      <c r="QQ62" s="1222"/>
      <c r="QR62" s="1222"/>
      <c r="QS62" s="1222"/>
      <c r="QT62" s="1222"/>
      <c r="QU62" s="1222"/>
      <c r="QV62" s="1222"/>
      <c r="QW62" s="1222"/>
      <c r="QX62" s="1222"/>
      <c r="QY62" s="1222"/>
      <c r="QZ62" s="1222"/>
      <c r="RA62" s="1222"/>
      <c r="RB62" s="1222"/>
      <c r="RC62" s="1222"/>
      <c r="RD62" s="1222"/>
      <c r="RE62" s="1222"/>
      <c r="RF62" s="1222"/>
      <c r="RG62" s="1222"/>
      <c r="RH62" s="1222"/>
      <c r="RI62" s="1222"/>
      <c r="RJ62" s="1222"/>
      <c r="RK62" s="1222"/>
      <c r="RL62" s="1222"/>
      <c r="RM62" s="1222"/>
      <c r="RN62" s="1222"/>
      <c r="RO62" s="1222"/>
      <c r="RP62" s="1222"/>
      <c r="RQ62" s="1222"/>
      <c r="RR62" s="1222"/>
      <c r="RS62" s="1222"/>
      <c r="RT62" s="1222"/>
      <c r="RU62" s="1222"/>
      <c r="RV62" s="1222"/>
      <c r="RW62" s="1222"/>
      <c r="RX62" s="1222"/>
      <c r="RY62" s="1222"/>
      <c r="RZ62" s="1222"/>
      <c r="SA62" s="1222"/>
      <c r="SB62" s="1222"/>
      <c r="SC62" s="1222"/>
      <c r="SD62" s="1222"/>
      <c r="SE62" s="1222"/>
      <c r="SF62" s="1222"/>
      <c r="SG62" s="1222"/>
      <c r="SH62" s="1222"/>
      <c r="SI62" s="1222"/>
      <c r="SJ62" s="1222"/>
      <c r="SK62" s="1222"/>
      <c r="SL62" s="1222"/>
      <c r="SM62" s="1222"/>
      <c r="SN62" s="1222"/>
      <c r="SO62" s="1222"/>
      <c r="SP62" s="1222"/>
      <c r="SQ62" s="1222"/>
      <c r="SR62" s="1222"/>
      <c r="SS62" s="1222"/>
      <c r="ST62" s="1222"/>
      <c r="SU62" s="1222"/>
      <c r="SV62" s="1222"/>
      <c r="SW62" s="1222"/>
      <c r="SX62" s="1222"/>
      <c r="SY62" s="1222"/>
      <c r="SZ62" s="1222"/>
      <c r="TA62" s="1222"/>
      <c r="TB62" s="1222"/>
      <c r="TC62" s="1222"/>
      <c r="TD62" s="1222"/>
      <c r="TE62" s="1222"/>
      <c r="TF62" s="1222"/>
      <c r="TG62" s="1222"/>
      <c r="TH62" s="1222"/>
      <c r="TI62" s="1222"/>
      <c r="TJ62" s="1222"/>
      <c r="TK62" s="1222"/>
      <c r="TL62" s="1222"/>
      <c r="TM62" s="1222"/>
      <c r="TN62" s="1222"/>
      <c r="TO62" s="1222"/>
      <c r="TP62" s="1222"/>
      <c r="TQ62" s="1222"/>
      <c r="TR62" s="1222"/>
      <c r="TS62" s="1222"/>
      <c r="TT62" s="1222"/>
      <c r="TU62" s="1222"/>
      <c r="TV62" s="1222"/>
      <c r="TW62" s="1222"/>
      <c r="TX62" s="1222"/>
      <c r="TY62" s="1222"/>
      <c r="TZ62" s="1222"/>
      <c r="UA62" s="1222"/>
      <c r="UB62" s="1222"/>
      <c r="UC62" s="1222"/>
      <c r="UD62" s="1222"/>
      <c r="UE62" s="1222"/>
      <c r="UF62" s="1222"/>
      <c r="UG62" s="1222"/>
      <c r="UH62" s="1222"/>
      <c r="UI62" s="1222"/>
      <c r="UJ62" s="1222"/>
      <c r="UK62" s="1222"/>
      <c r="UL62" s="1222"/>
      <c r="UM62" s="1222"/>
      <c r="UN62" s="1222"/>
      <c r="UO62" s="1222"/>
      <c r="UP62" s="1222"/>
      <c r="UQ62" s="1222"/>
      <c r="UR62" s="1222"/>
      <c r="US62" s="1222"/>
      <c r="UT62" s="1222"/>
      <c r="UU62" s="1222"/>
      <c r="UV62" s="1222"/>
      <c r="UW62" s="1222"/>
      <c r="UX62" s="1222"/>
      <c r="UY62" s="1222"/>
      <c r="UZ62" s="1222"/>
      <c r="VA62" s="1222"/>
      <c r="VB62" s="1222"/>
      <c r="VC62" s="1222"/>
      <c r="VD62" s="1222"/>
      <c r="VE62" s="1222"/>
      <c r="VF62" s="1222"/>
      <c r="VG62" s="1222"/>
      <c r="VH62" s="1222"/>
      <c r="VI62" s="1222"/>
      <c r="VJ62" s="1222"/>
      <c r="VK62" s="1222"/>
      <c r="VL62" s="1222"/>
      <c r="VM62" s="1222"/>
      <c r="VN62" s="1222"/>
      <c r="VO62" s="1222"/>
      <c r="VP62" s="1222"/>
      <c r="VQ62" s="1222"/>
      <c r="VR62" s="1222"/>
      <c r="VS62" s="1222"/>
      <c r="VT62" s="1222"/>
      <c r="VU62" s="1222"/>
      <c r="VV62" s="1222"/>
      <c r="VW62" s="1222"/>
      <c r="VX62" s="1222"/>
      <c r="VY62" s="1222"/>
      <c r="VZ62" s="1222"/>
      <c r="WA62" s="1222"/>
      <c r="WB62" s="1222"/>
      <c r="WC62" s="1222"/>
      <c r="WD62" s="1222"/>
      <c r="WE62" s="1222"/>
      <c r="WF62" s="1222"/>
      <c r="WG62" s="1222"/>
      <c r="WH62" s="1222"/>
      <c r="WI62" s="1222"/>
      <c r="WJ62" s="1222"/>
      <c r="WK62" s="1222"/>
      <c r="WL62" s="1222"/>
      <c r="WM62" s="1222"/>
      <c r="WN62" s="1222"/>
      <c r="WO62" s="1222"/>
      <c r="WP62" s="1222"/>
      <c r="WQ62" s="1222"/>
      <c r="WR62" s="1222"/>
      <c r="WS62" s="1222"/>
      <c r="WT62" s="1222"/>
      <c r="WU62" s="1222"/>
      <c r="WV62" s="1222"/>
      <c r="WW62" s="1222"/>
      <c r="WX62" s="1222"/>
      <c r="WY62" s="1222"/>
      <c r="WZ62" s="1222"/>
      <c r="XA62" s="1222"/>
      <c r="XB62" s="1222"/>
      <c r="XC62" s="1222"/>
      <c r="XD62" s="1222"/>
      <c r="XE62" s="1222"/>
      <c r="XF62" s="1222"/>
      <c r="XG62" s="1222"/>
      <c r="XH62" s="1222"/>
      <c r="XI62" s="1222"/>
      <c r="XJ62" s="1222"/>
      <c r="XK62" s="1222"/>
      <c r="XL62" s="1222"/>
      <c r="XM62" s="1222"/>
      <c r="XN62" s="1222"/>
      <c r="XO62" s="1222"/>
      <c r="XP62" s="1222"/>
      <c r="XQ62" s="1222"/>
      <c r="XR62" s="1222"/>
      <c r="XS62" s="1222"/>
      <c r="XT62" s="1222"/>
      <c r="XU62" s="1222"/>
      <c r="XV62" s="1222"/>
      <c r="XW62" s="1222"/>
      <c r="XX62" s="1222"/>
      <c r="XY62" s="1222"/>
      <c r="XZ62" s="1222"/>
      <c r="YA62" s="1222"/>
      <c r="YB62" s="1222"/>
      <c r="YC62" s="1222"/>
      <c r="YD62" s="1222"/>
      <c r="YE62" s="1222"/>
      <c r="YF62" s="1222"/>
      <c r="YG62" s="1222"/>
      <c r="YH62" s="1222"/>
      <c r="YI62" s="1222"/>
      <c r="YJ62" s="1222"/>
      <c r="YK62" s="1222"/>
      <c r="YL62" s="1222"/>
      <c r="YM62" s="1222"/>
      <c r="YN62" s="1222"/>
      <c r="YO62" s="1222"/>
      <c r="YP62" s="1222"/>
      <c r="YQ62" s="1222"/>
      <c r="YR62" s="1222"/>
      <c r="YS62" s="1222"/>
      <c r="YT62" s="1222"/>
      <c r="YU62" s="1222"/>
      <c r="YV62" s="1222"/>
      <c r="YW62" s="1222"/>
      <c r="YX62" s="1222"/>
      <c r="YY62" s="1222"/>
      <c r="YZ62" s="1222"/>
      <c r="ZA62" s="1222"/>
      <c r="ZB62" s="1222"/>
      <c r="ZC62" s="1222"/>
      <c r="ZD62" s="1222"/>
      <c r="ZE62" s="1222"/>
      <c r="ZF62" s="1222"/>
      <c r="ZG62" s="1222"/>
      <c r="ZH62" s="1222"/>
      <c r="ZI62" s="1222"/>
      <c r="ZJ62" s="1222"/>
      <c r="ZK62" s="1222"/>
      <c r="ZL62" s="1222"/>
      <c r="ZM62" s="1222"/>
      <c r="ZN62" s="1222"/>
      <c r="ZO62" s="1222"/>
      <c r="ZP62" s="1222"/>
      <c r="ZQ62" s="1222"/>
      <c r="ZR62" s="1222"/>
      <c r="ZS62" s="1222"/>
      <c r="ZT62" s="1222"/>
      <c r="ZU62" s="1222"/>
      <c r="ZV62" s="1222"/>
      <c r="ZW62" s="1222"/>
      <c r="ZX62" s="1222"/>
      <c r="ZY62" s="1222"/>
      <c r="ZZ62" s="1222"/>
      <c r="AAA62" s="1222"/>
      <c r="AAB62" s="1222"/>
      <c r="AAC62" s="1222"/>
      <c r="AAD62" s="1222"/>
      <c r="AAE62" s="1222"/>
      <c r="AAF62" s="1222"/>
      <c r="AAG62" s="1222"/>
      <c r="AAH62" s="1222"/>
      <c r="AAI62" s="1222"/>
      <c r="AAJ62" s="1222"/>
      <c r="AAK62" s="1222"/>
      <c r="AAL62" s="1222"/>
      <c r="AAM62" s="1222"/>
      <c r="AAN62" s="1222"/>
      <c r="AAO62" s="1222"/>
      <c r="AAP62" s="1222"/>
      <c r="AAQ62" s="1222"/>
      <c r="AAR62" s="1222"/>
      <c r="AAS62" s="1222"/>
      <c r="AAT62" s="1222"/>
      <c r="AAU62" s="1222"/>
      <c r="AAV62" s="1222"/>
      <c r="AAW62" s="1222"/>
      <c r="AAX62" s="1222"/>
      <c r="AAY62" s="1222"/>
      <c r="AAZ62" s="1222"/>
      <c r="ABA62" s="1222"/>
      <c r="ABB62" s="1222"/>
      <c r="ABC62" s="1222"/>
      <c r="ABD62" s="1222"/>
      <c r="ABE62" s="1222"/>
      <c r="ABF62" s="1222"/>
      <c r="ABG62" s="1222"/>
      <c r="ABH62" s="1222"/>
      <c r="ABI62" s="1222"/>
      <c r="ABJ62" s="1222"/>
      <c r="ABK62" s="1222"/>
      <c r="ABL62" s="1222"/>
      <c r="ABM62" s="1222"/>
      <c r="ABN62" s="1222"/>
      <c r="ABO62" s="1222"/>
      <c r="ABP62" s="1222"/>
      <c r="ABQ62" s="1222"/>
      <c r="ABR62" s="1222"/>
      <c r="ABS62" s="1222"/>
      <c r="ABT62" s="1222"/>
      <c r="ABU62" s="1222"/>
      <c r="ABV62" s="1222"/>
      <c r="ABW62" s="1222"/>
      <c r="ABX62" s="1222"/>
      <c r="ABY62" s="1222"/>
      <c r="ABZ62" s="1222"/>
      <c r="ACA62" s="1222"/>
      <c r="ACB62" s="1222"/>
      <c r="ACC62" s="1222"/>
      <c r="ACD62" s="1222"/>
      <c r="ACE62" s="1222"/>
      <c r="ACF62" s="1222"/>
      <c r="ACG62" s="1222"/>
      <c r="ACH62" s="1222"/>
      <c r="ACI62" s="1222"/>
      <c r="ACJ62" s="1222"/>
      <c r="ACK62" s="1222"/>
      <c r="ACL62" s="1222"/>
      <c r="ACM62" s="1222"/>
      <c r="ACN62" s="1222"/>
      <c r="ACO62" s="1222"/>
      <c r="ACP62" s="1222"/>
      <c r="ACQ62" s="1222"/>
      <c r="ACR62" s="1222"/>
      <c r="ACS62" s="1222"/>
      <c r="ACT62" s="1222"/>
      <c r="ACU62" s="1222"/>
      <c r="ACV62" s="1222"/>
      <c r="ACW62" s="1222"/>
      <c r="ACX62" s="1222"/>
      <c r="ACY62" s="1222"/>
      <c r="ACZ62" s="1222"/>
      <c r="ADA62" s="1222"/>
      <c r="ADB62" s="1222"/>
      <c r="ADC62" s="1222"/>
      <c r="ADD62" s="1222"/>
      <c r="ADE62" s="1222"/>
      <c r="ADF62" s="1222"/>
      <c r="ADG62" s="1222"/>
      <c r="ADH62" s="1222"/>
      <c r="ADI62" s="1222"/>
      <c r="ADJ62" s="1222"/>
      <c r="ADK62" s="1222"/>
      <c r="ADL62" s="1222"/>
      <c r="ADM62" s="1222"/>
      <c r="ADN62" s="1222"/>
      <c r="ADO62" s="1222"/>
      <c r="ADP62" s="1222"/>
      <c r="ADQ62" s="1222"/>
      <c r="ADR62" s="1222"/>
      <c r="ADS62" s="1222"/>
      <c r="ADT62" s="1222"/>
      <c r="ADU62" s="1222"/>
      <c r="ADV62" s="1222"/>
      <c r="ADW62" s="1222"/>
      <c r="ADX62" s="1222"/>
      <c r="ADY62" s="1222"/>
      <c r="ADZ62" s="1222"/>
      <c r="AEA62" s="1222"/>
      <c r="AEB62" s="1222"/>
      <c r="AEC62" s="1222"/>
      <c r="AED62" s="1222"/>
      <c r="AEE62" s="1222"/>
      <c r="AEF62" s="1222"/>
      <c r="AEG62" s="1222"/>
      <c r="AEH62" s="1222"/>
      <c r="AEI62" s="1222"/>
      <c r="AEJ62" s="1222"/>
      <c r="AEK62" s="1222"/>
      <c r="AEL62" s="1222"/>
      <c r="AEM62" s="1222"/>
      <c r="AEN62" s="1222"/>
      <c r="AEO62" s="1222"/>
      <c r="AEP62" s="1222"/>
      <c r="AEQ62" s="1222"/>
      <c r="AER62" s="1222"/>
      <c r="AES62" s="1222"/>
      <c r="AET62" s="1222"/>
      <c r="AEU62" s="1222"/>
      <c r="AEV62" s="1222"/>
      <c r="AEW62" s="1222"/>
      <c r="AEX62" s="1222"/>
      <c r="AEY62" s="1222"/>
      <c r="AEZ62" s="1222"/>
      <c r="AFA62" s="1222"/>
      <c r="AFB62" s="1222"/>
      <c r="AFC62" s="1222"/>
      <c r="AFD62" s="1222"/>
      <c r="AFE62" s="1222"/>
      <c r="AFF62" s="1222"/>
      <c r="AFG62" s="1222"/>
      <c r="AFH62" s="1222"/>
      <c r="AFI62" s="1222"/>
      <c r="AFJ62" s="1222"/>
      <c r="AFK62" s="1222"/>
      <c r="AFL62" s="1222"/>
      <c r="AFM62" s="1222"/>
      <c r="AFN62" s="1222"/>
      <c r="AFO62" s="1222"/>
      <c r="AFP62" s="1222"/>
      <c r="AFQ62" s="1222"/>
      <c r="AFR62" s="1222"/>
      <c r="AFS62" s="1222"/>
      <c r="AFT62" s="1222"/>
      <c r="AFU62" s="1222"/>
      <c r="AFV62" s="1222"/>
      <c r="AFW62" s="1222"/>
      <c r="AFX62" s="1222"/>
      <c r="AFY62" s="1222"/>
      <c r="AFZ62" s="1222"/>
      <c r="AGA62" s="1222"/>
      <c r="AGB62" s="1222"/>
      <c r="AGC62" s="1222"/>
      <c r="AGD62" s="1222"/>
      <c r="AGE62" s="1222"/>
      <c r="AGF62" s="1222"/>
      <c r="AGG62" s="1222"/>
      <c r="AGH62" s="1222"/>
      <c r="AGI62" s="1222"/>
      <c r="AGJ62" s="1222"/>
      <c r="AGK62" s="1222"/>
      <c r="AGL62" s="1222"/>
      <c r="AGM62" s="1222"/>
      <c r="AGN62" s="1222"/>
      <c r="AGO62" s="1222"/>
      <c r="AGP62" s="1222"/>
      <c r="AGQ62" s="1222"/>
      <c r="AGR62" s="1222"/>
      <c r="AGS62" s="1222"/>
      <c r="AGT62" s="1222"/>
      <c r="AGU62" s="1222"/>
      <c r="AGV62" s="1222"/>
      <c r="AGW62" s="1222"/>
      <c r="AGX62" s="1222"/>
      <c r="AGY62" s="1222"/>
      <c r="AGZ62" s="1222"/>
      <c r="AHA62" s="1222"/>
      <c r="AHB62" s="1222"/>
      <c r="AHC62" s="1222"/>
      <c r="AHD62" s="1222"/>
      <c r="AHE62" s="1222"/>
      <c r="AHF62" s="1222"/>
      <c r="AHG62" s="1222"/>
      <c r="AHH62" s="1222"/>
      <c r="AHI62" s="1222"/>
      <c r="AHJ62" s="1222"/>
      <c r="AHK62" s="1222"/>
      <c r="AHL62" s="1222"/>
      <c r="AHM62" s="1222"/>
      <c r="AHN62" s="1222"/>
      <c r="AHO62" s="1222"/>
      <c r="AHP62" s="1222"/>
      <c r="AHQ62" s="1222"/>
      <c r="AHR62" s="1222"/>
      <c r="AHS62" s="1222"/>
      <c r="AHT62" s="1222"/>
      <c r="AHU62" s="1222"/>
      <c r="AHV62" s="1222"/>
      <c r="AHW62" s="1222"/>
      <c r="AHX62" s="1222"/>
      <c r="AHY62" s="1222"/>
      <c r="AHZ62" s="1222"/>
      <c r="AIA62" s="1222"/>
      <c r="AIB62" s="1222"/>
      <c r="AIC62" s="1222"/>
      <c r="AID62" s="1222"/>
      <c r="AIE62" s="1222"/>
      <c r="AIF62" s="1222"/>
      <c r="AIG62" s="1222"/>
      <c r="AIH62" s="1222"/>
      <c r="AII62" s="1222"/>
      <c r="AIJ62" s="1222"/>
      <c r="AIK62" s="1222"/>
      <c r="AIL62" s="1222"/>
      <c r="AIM62" s="1222"/>
      <c r="AIN62" s="1222"/>
      <c r="AIO62" s="1222"/>
      <c r="AIP62" s="1222"/>
      <c r="AIQ62" s="1222"/>
      <c r="AIR62" s="1222"/>
      <c r="AIS62" s="1222"/>
      <c r="AIT62" s="1222"/>
      <c r="AIU62" s="1222"/>
      <c r="AIV62" s="1222"/>
      <c r="AIW62" s="1222"/>
      <c r="AIX62" s="1222"/>
      <c r="AIY62" s="1222"/>
      <c r="AIZ62" s="1222"/>
      <c r="AJA62" s="1222"/>
      <c r="AJB62" s="1222"/>
      <c r="AJC62" s="1222"/>
      <c r="AJD62" s="1222"/>
      <c r="AJE62" s="1222"/>
      <c r="AJF62" s="1222"/>
      <c r="AJG62" s="1222"/>
      <c r="AJH62" s="1222"/>
      <c r="AJI62" s="1222"/>
      <c r="AJJ62" s="1222"/>
      <c r="AJK62" s="1222"/>
      <c r="AJL62" s="1222"/>
      <c r="AJM62" s="1222"/>
      <c r="AJN62" s="1222"/>
      <c r="AJO62" s="1222"/>
      <c r="AJP62" s="1222"/>
      <c r="AJQ62" s="1222"/>
      <c r="AJR62" s="1222"/>
      <c r="AJS62" s="1222"/>
      <c r="AJT62" s="1222"/>
      <c r="AJU62" s="1222"/>
      <c r="AJV62" s="1222"/>
      <c r="AJW62" s="1222"/>
      <c r="AJX62" s="1222"/>
      <c r="AJY62" s="1222"/>
      <c r="AJZ62" s="1222"/>
      <c r="AKA62" s="1222"/>
      <c r="AKB62" s="1222"/>
      <c r="AKC62" s="1222"/>
      <c r="AKD62" s="1222"/>
      <c r="AKE62" s="1222"/>
      <c r="AKF62" s="1222"/>
      <c r="AKG62" s="1222"/>
      <c r="AKH62" s="1222"/>
      <c r="AKI62" s="1222"/>
      <c r="AKJ62" s="1222"/>
      <c r="AKK62" s="1222"/>
      <c r="AKL62" s="1222"/>
      <c r="AKM62" s="1222"/>
      <c r="AKN62" s="1222"/>
      <c r="AKO62" s="1222"/>
      <c r="AKP62" s="1222"/>
      <c r="AKQ62" s="1222"/>
      <c r="AKR62" s="1222"/>
      <c r="AKS62" s="1222"/>
      <c r="AKT62" s="1222"/>
      <c r="AKU62" s="1222"/>
      <c r="AKV62" s="1222"/>
      <c r="AKW62" s="1222"/>
      <c r="AKX62" s="1222"/>
      <c r="AKY62" s="1222"/>
      <c r="AKZ62" s="1222"/>
      <c r="ALA62" s="1222"/>
      <c r="ALB62" s="1222"/>
      <c r="ALC62" s="1222"/>
      <c r="ALD62" s="1222"/>
      <c r="ALE62" s="1222"/>
      <c r="ALF62" s="1222"/>
      <c r="ALG62" s="1222"/>
      <c r="ALH62" s="1222"/>
      <c r="ALI62" s="1222"/>
      <c r="ALJ62" s="1222"/>
      <c r="ALK62" s="1222"/>
      <c r="ALL62" s="1222"/>
      <c r="ALM62" s="1222"/>
      <c r="ALN62" s="1222"/>
      <c r="ALO62" s="1222"/>
      <c r="ALP62" s="1222"/>
      <c r="ALQ62" s="1222"/>
      <c r="ALR62" s="1222"/>
      <c r="ALS62" s="1222"/>
      <c r="ALT62" s="1222"/>
      <c r="ALU62" s="1222"/>
      <c r="ALV62" s="1222"/>
      <c r="ALW62" s="1222"/>
      <c r="ALX62" s="1222"/>
      <c r="ALY62" s="1222"/>
      <c r="ALZ62" s="1222"/>
      <c r="AMA62" s="1222"/>
      <c r="AMB62" s="1222"/>
      <c r="AMC62" s="1222"/>
      <c r="AMD62" s="1222"/>
      <c r="AME62" s="1222"/>
      <c r="AMF62" s="1222"/>
      <c r="AMG62" s="1222"/>
      <c r="AMH62" s="1222"/>
      <c r="AMI62" s="1222"/>
      <c r="AMJ62" s="1222"/>
      <c r="AMK62" s="1222"/>
      <c r="AML62" s="1222"/>
      <c r="AMM62" s="1222"/>
      <c r="AMN62" s="1222"/>
      <c r="AMO62" s="1222"/>
      <c r="AMP62" s="1222"/>
      <c r="AMQ62" s="1222"/>
      <c r="AMR62" s="1222"/>
      <c r="AMS62" s="1222"/>
      <c r="AMT62" s="1222"/>
      <c r="AMU62" s="1222"/>
      <c r="AMV62" s="1222"/>
      <c r="AMW62" s="1222"/>
      <c r="AMX62" s="1222"/>
      <c r="AMY62" s="1222"/>
      <c r="AMZ62" s="1222"/>
      <c r="ANA62" s="1222"/>
      <c r="ANB62" s="1222"/>
      <c r="ANC62" s="1222"/>
      <c r="AND62" s="1222"/>
      <c r="ANE62" s="1222"/>
      <c r="ANF62" s="1222"/>
      <c r="ANG62" s="1222"/>
      <c r="ANH62" s="1222"/>
      <c r="ANI62" s="1222"/>
      <c r="ANJ62" s="1222"/>
      <c r="ANK62" s="1222"/>
      <c r="ANL62" s="1222"/>
      <c r="ANM62" s="1222"/>
      <c r="ANN62" s="1222"/>
      <c r="ANO62" s="1222"/>
      <c r="ANP62" s="1222"/>
      <c r="ANQ62" s="1222"/>
      <c r="ANR62" s="1222"/>
      <c r="ANS62" s="1222"/>
      <c r="ANT62" s="1222"/>
      <c r="ANU62" s="1222"/>
      <c r="ANV62" s="1222"/>
      <c r="ANW62" s="1222"/>
      <c r="ANX62" s="1222"/>
      <c r="ANY62" s="1222"/>
      <c r="ANZ62" s="1222"/>
      <c r="AOA62" s="1222"/>
      <c r="AOB62" s="1222"/>
      <c r="AOC62" s="1222"/>
      <c r="AOD62" s="1222"/>
      <c r="AOE62" s="1222"/>
      <c r="AOF62" s="1222"/>
      <c r="AOG62" s="1222"/>
      <c r="AOH62" s="1222"/>
      <c r="AOI62" s="1222"/>
      <c r="AOJ62" s="1222"/>
      <c r="AOK62" s="1222"/>
      <c r="AOL62" s="1222"/>
      <c r="AOM62" s="1222"/>
      <c r="AON62" s="1222"/>
      <c r="AOO62" s="1222"/>
      <c r="AOP62" s="1222"/>
      <c r="AOQ62" s="1222"/>
      <c r="AOR62" s="1222"/>
      <c r="AOS62" s="1222"/>
      <c r="AOT62" s="1222"/>
      <c r="AOU62" s="1222"/>
      <c r="AOV62" s="1222"/>
      <c r="AOW62" s="1222"/>
      <c r="AOX62" s="1222"/>
      <c r="AOY62" s="1222"/>
      <c r="AOZ62" s="1222"/>
      <c r="APA62" s="1222"/>
      <c r="APB62" s="1222"/>
      <c r="APC62" s="1222"/>
      <c r="APD62" s="1222"/>
      <c r="APE62" s="1222"/>
      <c r="APF62" s="1222"/>
      <c r="APG62" s="1222"/>
      <c r="APH62" s="1222"/>
      <c r="API62" s="1222"/>
      <c r="APJ62" s="1222"/>
      <c r="APK62" s="1222"/>
      <c r="APL62" s="1222"/>
      <c r="APM62" s="1222"/>
      <c r="APN62" s="1222"/>
      <c r="APO62" s="1222"/>
      <c r="APP62" s="1222"/>
      <c r="APQ62" s="1222"/>
      <c r="APR62" s="1222"/>
      <c r="APS62" s="1222"/>
      <c r="APT62" s="1222"/>
      <c r="APU62" s="1222"/>
      <c r="APV62" s="1222"/>
      <c r="APW62" s="1222"/>
      <c r="APX62" s="1222"/>
      <c r="APY62" s="1222"/>
      <c r="APZ62" s="1222"/>
      <c r="AQA62" s="1222"/>
      <c r="AQB62" s="1222"/>
      <c r="AQC62" s="1222"/>
      <c r="AQD62" s="1222"/>
      <c r="AQE62" s="1222"/>
      <c r="AQF62" s="1222"/>
      <c r="AQG62" s="1222"/>
      <c r="AQH62" s="1222"/>
      <c r="AQI62" s="1222"/>
      <c r="AQJ62" s="1222"/>
      <c r="AQK62" s="1222"/>
      <c r="AQL62" s="1222"/>
      <c r="AQM62" s="1222"/>
      <c r="AQN62" s="1222"/>
      <c r="AQO62" s="1222"/>
      <c r="AQP62" s="1222"/>
      <c r="AQQ62" s="1222"/>
      <c r="AQR62" s="1222"/>
      <c r="AQS62" s="1222"/>
      <c r="AQT62" s="1222"/>
      <c r="AQU62" s="1222"/>
      <c r="AQV62" s="1222"/>
      <c r="AQW62" s="1222"/>
      <c r="AQX62" s="1222"/>
      <c r="AQY62" s="1222"/>
      <c r="AQZ62" s="1222"/>
      <c r="ARA62" s="1222"/>
      <c r="ARB62" s="1222"/>
      <c r="ARC62" s="1222"/>
      <c r="ARD62" s="1222"/>
      <c r="ARE62" s="1222"/>
      <c r="ARF62" s="1222"/>
      <c r="ARG62" s="1222"/>
      <c r="ARH62" s="1222"/>
      <c r="ARI62" s="1222"/>
      <c r="ARJ62" s="1222"/>
      <c r="ARK62" s="1222"/>
      <c r="ARL62" s="1222"/>
      <c r="ARM62" s="1222"/>
      <c r="ARN62" s="1222"/>
      <c r="ARO62" s="1222"/>
      <c r="ARP62" s="1222"/>
      <c r="ARQ62" s="1222"/>
      <c r="ARR62" s="1222"/>
      <c r="ARS62" s="1222"/>
      <c r="ART62" s="1222"/>
      <c r="ARU62" s="1222"/>
      <c r="ARV62" s="1222"/>
      <c r="ARW62" s="1222"/>
      <c r="ARX62" s="1222"/>
      <c r="ARY62" s="1222"/>
      <c r="ARZ62" s="1222"/>
      <c r="ASA62" s="1222"/>
      <c r="ASB62" s="1222"/>
      <c r="ASC62" s="1222"/>
      <c r="ASD62" s="1222"/>
      <c r="ASE62" s="1222"/>
      <c r="ASF62" s="1222"/>
      <c r="ASG62" s="1222"/>
      <c r="ASH62" s="1222"/>
      <c r="ASI62" s="1222"/>
      <c r="ASJ62" s="1222"/>
      <c r="ASK62" s="1222"/>
      <c r="ASL62" s="1222"/>
      <c r="ASM62" s="1222"/>
      <c r="ASN62" s="1222"/>
      <c r="ASO62" s="1222"/>
      <c r="ASP62" s="1222"/>
      <c r="ASQ62" s="1222"/>
      <c r="ASR62" s="1222"/>
      <c r="ASS62" s="1222"/>
      <c r="AST62" s="1222"/>
      <c r="ASU62" s="1222"/>
      <c r="ASV62" s="1222"/>
      <c r="ASW62" s="1222"/>
      <c r="ASX62" s="1222"/>
      <c r="ASY62" s="1222"/>
      <c r="ASZ62" s="1222"/>
      <c r="ATA62" s="1222"/>
      <c r="ATB62" s="1222"/>
      <c r="ATC62" s="1222"/>
      <c r="ATD62" s="1222"/>
      <c r="ATE62" s="1222"/>
      <c r="ATF62" s="1222"/>
      <c r="ATG62" s="1222"/>
      <c r="ATH62" s="1222"/>
      <c r="ATI62" s="1222"/>
      <c r="ATJ62" s="1222"/>
      <c r="ATK62" s="1222"/>
      <c r="ATL62" s="1222"/>
      <c r="ATM62" s="1222"/>
      <c r="ATN62" s="1222"/>
      <c r="ATO62" s="1222"/>
      <c r="ATP62" s="1222"/>
      <c r="ATQ62" s="1222"/>
      <c r="ATR62" s="1222"/>
      <c r="ATS62" s="1222"/>
      <c r="ATT62" s="1222"/>
      <c r="ATU62" s="1222"/>
      <c r="ATV62" s="1222"/>
      <c r="ATW62" s="1222"/>
      <c r="ATX62" s="1222"/>
      <c r="ATY62" s="1222"/>
      <c r="ATZ62" s="1222"/>
      <c r="AUA62" s="1222"/>
      <c r="AUB62" s="1222"/>
      <c r="AUC62" s="1222"/>
      <c r="AUD62" s="1222"/>
      <c r="AUE62" s="1222"/>
      <c r="AUF62" s="1222"/>
      <c r="AUG62" s="1222"/>
      <c r="AUH62" s="1222"/>
      <c r="AUI62" s="1222"/>
      <c r="AUJ62" s="1222"/>
      <c r="AUK62" s="1222"/>
      <c r="AUL62" s="1222"/>
      <c r="AUM62" s="1222"/>
      <c r="AUN62" s="1222"/>
      <c r="AUO62" s="1222"/>
      <c r="AUP62" s="1222"/>
      <c r="AUQ62" s="1222"/>
      <c r="AUR62" s="1222"/>
      <c r="AUS62" s="1222"/>
      <c r="AUT62" s="1222"/>
      <c r="AUU62" s="1222"/>
      <c r="AUV62" s="1222"/>
      <c r="AUW62" s="1222"/>
      <c r="AUX62" s="1222"/>
      <c r="AUY62" s="1222"/>
      <c r="AUZ62" s="1222"/>
      <c r="AVA62" s="1222"/>
      <c r="AVB62" s="1222"/>
      <c r="AVC62" s="1222"/>
      <c r="AVD62" s="1222"/>
      <c r="AVE62" s="1222"/>
      <c r="AVF62" s="1222"/>
      <c r="AVG62" s="1222"/>
      <c r="AVH62" s="1222"/>
      <c r="AVI62" s="1222"/>
      <c r="AVJ62" s="1222"/>
      <c r="AVK62" s="1222"/>
      <c r="AVL62" s="1222"/>
      <c r="AVM62" s="1222"/>
      <c r="AVN62" s="1222"/>
      <c r="AVO62" s="1222"/>
      <c r="AVP62" s="1222"/>
      <c r="AVQ62" s="1222"/>
      <c r="AVR62" s="1222"/>
      <c r="AVS62" s="1222"/>
      <c r="AVT62" s="1222"/>
      <c r="AVU62" s="1222"/>
      <c r="AVV62" s="1222"/>
      <c r="AVW62" s="1222"/>
      <c r="AVX62" s="1222"/>
      <c r="AVY62" s="1222"/>
      <c r="AVZ62" s="1222"/>
      <c r="AWA62" s="1222"/>
      <c r="AWB62" s="1222"/>
      <c r="AWC62" s="1222"/>
      <c r="AWD62" s="1222"/>
      <c r="AWE62" s="1222"/>
      <c r="AWF62" s="1222"/>
      <c r="AWG62" s="1222"/>
      <c r="AWH62" s="1222"/>
      <c r="AWI62" s="1222"/>
      <c r="AWJ62" s="1222"/>
      <c r="AWK62" s="1222"/>
      <c r="AWL62" s="1222"/>
      <c r="AWM62" s="1222"/>
      <c r="AWN62" s="1222"/>
      <c r="AWO62" s="1222"/>
      <c r="AWP62" s="1222"/>
      <c r="AWQ62" s="1222"/>
      <c r="AWR62" s="1222"/>
      <c r="AWS62" s="1222"/>
      <c r="AWT62" s="1222"/>
      <c r="AWU62" s="1222"/>
      <c r="AWV62" s="1222"/>
      <c r="AWW62" s="1222"/>
      <c r="AWX62" s="1222"/>
      <c r="AWY62" s="1222"/>
      <c r="AWZ62" s="1222"/>
      <c r="AXA62" s="1222"/>
      <c r="AXB62" s="1222"/>
      <c r="AXC62" s="1222"/>
      <c r="AXD62" s="1222"/>
      <c r="AXE62" s="1222"/>
      <c r="AXF62" s="1222"/>
      <c r="AXG62" s="1222"/>
      <c r="AXH62" s="1222"/>
      <c r="AXI62" s="1222"/>
      <c r="AXJ62" s="1222"/>
      <c r="AXK62" s="1222"/>
      <c r="AXL62" s="1222"/>
      <c r="AXM62" s="1222"/>
      <c r="AXN62" s="1222"/>
      <c r="AXO62" s="1222"/>
      <c r="AXP62" s="1222"/>
      <c r="AXQ62" s="1222"/>
      <c r="AXR62" s="1222"/>
      <c r="AXS62" s="1222"/>
      <c r="AXT62" s="1222"/>
      <c r="AXU62" s="1222"/>
      <c r="AXV62" s="1222"/>
      <c r="AXW62" s="1222"/>
      <c r="AXX62" s="1222"/>
      <c r="AXY62" s="1222"/>
      <c r="AXZ62" s="1222"/>
      <c r="AYA62" s="1222"/>
      <c r="AYB62" s="1222"/>
      <c r="AYC62" s="1222"/>
      <c r="AYD62" s="1222"/>
      <c r="AYE62" s="1222"/>
      <c r="AYF62" s="1222"/>
      <c r="AYG62" s="1222"/>
      <c r="AYH62" s="1222"/>
      <c r="AYI62" s="1222"/>
      <c r="AYJ62" s="1222"/>
      <c r="AYK62" s="1222"/>
      <c r="AYL62" s="1222"/>
      <c r="AYM62" s="1222"/>
      <c r="AYN62" s="1222"/>
      <c r="AYO62" s="1222"/>
      <c r="AYP62" s="1222"/>
      <c r="AYQ62" s="1222"/>
      <c r="AYR62" s="1222"/>
      <c r="AYS62" s="1222"/>
      <c r="AYT62" s="1222"/>
      <c r="AYU62" s="1222"/>
      <c r="AYV62" s="1222"/>
      <c r="AYW62" s="1222"/>
      <c r="AYX62" s="1222"/>
      <c r="AYY62" s="1222"/>
      <c r="AYZ62" s="1222"/>
      <c r="AZA62" s="1222"/>
      <c r="AZB62" s="1222"/>
      <c r="AZC62" s="1222"/>
      <c r="AZD62" s="1222"/>
      <c r="AZE62" s="1222"/>
      <c r="AZF62" s="1222"/>
      <c r="AZG62" s="1222"/>
      <c r="AZH62" s="1222"/>
      <c r="AZI62" s="1222"/>
      <c r="AZJ62" s="1222"/>
      <c r="AZK62" s="1222"/>
      <c r="AZL62" s="1222"/>
      <c r="AZM62" s="1222"/>
      <c r="AZN62" s="1222"/>
      <c r="AZO62" s="1222"/>
      <c r="AZP62" s="1222"/>
      <c r="AZQ62" s="1222"/>
      <c r="AZR62" s="1222"/>
      <c r="AZS62" s="1222"/>
      <c r="AZT62" s="1222"/>
      <c r="AZU62" s="1222"/>
      <c r="AZV62" s="1222"/>
      <c r="AZW62" s="1222"/>
      <c r="AZX62" s="1222"/>
      <c r="AZY62" s="1222"/>
      <c r="AZZ62" s="1222"/>
      <c r="BAA62" s="1222"/>
      <c r="BAB62" s="1222"/>
      <c r="BAC62" s="1222"/>
      <c r="BAD62" s="1222"/>
      <c r="BAE62" s="1222"/>
      <c r="BAF62" s="1222"/>
      <c r="BAG62" s="1222"/>
      <c r="BAH62" s="1222"/>
      <c r="BAI62" s="1222"/>
      <c r="BAJ62" s="1222"/>
      <c r="BAK62" s="1222"/>
      <c r="BAL62" s="1222"/>
      <c r="BAM62" s="1222"/>
      <c r="BAN62" s="1222"/>
      <c r="BAO62" s="1222"/>
      <c r="BAP62" s="1222"/>
      <c r="BAQ62" s="1222"/>
      <c r="BAR62" s="1222"/>
      <c r="BAS62" s="1222"/>
      <c r="BAT62" s="1222"/>
      <c r="BAU62" s="1222"/>
      <c r="BAV62" s="1222"/>
      <c r="BAW62" s="1222"/>
      <c r="BAX62" s="1222"/>
      <c r="BAY62" s="1222"/>
      <c r="BAZ62" s="1222"/>
      <c r="BBA62" s="1222"/>
      <c r="BBB62" s="1222"/>
      <c r="BBC62" s="1222"/>
      <c r="BBD62" s="1222"/>
      <c r="BBE62" s="1222"/>
      <c r="BBF62" s="1222"/>
      <c r="BBG62" s="1222"/>
      <c r="BBH62" s="1222"/>
      <c r="BBI62" s="1222"/>
      <c r="BBJ62" s="1222"/>
      <c r="BBK62" s="1222"/>
      <c r="BBL62" s="1222"/>
      <c r="BBM62" s="1222"/>
      <c r="BBN62" s="1222"/>
      <c r="BBO62" s="1222"/>
      <c r="BBP62" s="1222"/>
      <c r="BBQ62" s="1222"/>
      <c r="BBR62" s="1222"/>
      <c r="BBS62" s="1222"/>
      <c r="BBT62" s="1222"/>
      <c r="BBU62" s="1222"/>
      <c r="BBV62" s="1222"/>
      <c r="BBW62" s="1222"/>
      <c r="BBX62" s="1222"/>
      <c r="BBY62" s="1222"/>
      <c r="BBZ62" s="1222"/>
      <c r="BCA62" s="1222"/>
      <c r="BCB62" s="1222"/>
      <c r="BCC62" s="1222"/>
      <c r="BCD62" s="1222"/>
      <c r="BCE62" s="1222"/>
      <c r="BCF62" s="1222"/>
      <c r="BCG62" s="1222"/>
      <c r="BCH62" s="1222"/>
      <c r="BCI62" s="1222"/>
      <c r="BCJ62" s="1222"/>
      <c r="BCK62" s="1222"/>
      <c r="BCL62" s="1222"/>
      <c r="BCM62" s="1222"/>
      <c r="BCN62" s="1222"/>
      <c r="BCO62" s="1222"/>
      <c r="BCP62" s="1222"/>
      <c r="BCQ62" s="1222"/>
      <c r="BCR62" s="1222"/>
      <c r="BCS62" s="1222"/>
      <c r="BCT62" s="1222"/>
      <c r="BCU62" s="1222"/>
      <c r="BCV62" s="1222"/>
      <c r="BCW62" s="1222"/>
      <c r="BCX62" s="1222"/>
      <c r="BCY62" s="1222"/>
      <c r="BCZ62" s="1222"/>
      <c r="BDA62" s="1222"/>
      <c r="BDB62" s="1222"/>
      <c r="BDC62" s="1222"/>
      <c r="BDD62" s="1222"/>
      <c r="BDE62" s="1222"/>
      <c r="BDF62" s="1222"/>
      <c r="BDG62" s="1222"/>
      <c r="BDH62" s="1222"/>
      <c r="BDI62" s="1222"/>
      <c r="BDJ62" s="1222"/>
      <c r="BDK62" s="1222"/>
      <c r="BDL62" s="1222"/>
      <c r="BDM62" s="1222"/>
      <c r="BDN62" s="1222"/>
      <c r="BDO62" s="1222"/>
      <c r="BDP62" s="1222"/>
      <c r="BDQ62" s="1222"/>
      <c r="BDR62" s="1222"/>
      <c r="BDS62" s="1222"/>
      <c r="BDT62" s="1222"/>
      <c r="BDU62" s="1222"/>
      <c r="BDV62" s="1222"/>
      <c r="BDW62" s="1222"/>
      <c r="BDX62" s="1222"/>
      <c r="BDY62" s="1222"/>
      <c r="BDZ62" s="1222"/>
      <c r="BEA62" s="1222"/>
      <c r="BEB62" s="1222"/>
      <c r="BEC62" s="1222"/>
      <c r="BED62" s="1222"/>
      <c r="BEE62" s="1222"/>
      <c r="BEF62" s="1222"/>
      <c r="BEG62" s="1222"/>
      <c r="BEH62" s="1222"/>
      <c r="BEI62" s="1222"/>
      <c r="BEJ62" s="1222"/>
      <c r="BEK62" s="1222"/>
      <c r="BEL62" s="1222"/>
      <c r="BEM62" s="1222"/>
      <c r="BEN62" s="1222"/>
      <c r="BEO62" s="1222"/>
      <c r="BEP62" s="1222"/>
      <c r="BEQ62" s="1222"/>
      <c r="BER62" s="1222"/>
      <c r="BES62" s="1222"/>
      <c r="BET62" s="1222"/>
      <c r="BEU62" s="1222"/>
      <c r="BEV62" s="1222"/>
      <c r="BEW62" s="1222"/>
      <c r="BEX62" s="1222"/>
      <c r="BEY62" s="1222"/>
      <c r="BEZ62" s="1222"/>
      <c r="BFA62" s="1222"/>
      <c r="BFB62" s="1222"/>
      <c r="BFC62" s="1222"/>
      <c r="BFD62" s="1222"/>
      <c r="BFE62" s="1222"/>
      <c r="BFF62" s="1222"/>
      <c r="BFG62" s="1222"/>
      <c r="BFH62" s="1222"/>
      <c r="BFI62" s="1222"/>
      <c r="BFJ62" s="1222"/>
      <c r="BFK62" s="1222"/>
      <c r="BFL62" s="1222"/>
      <c r="BFM62" s="1222"/>
      <c r="BFN62" s="1222"/>
      <c r="BFO62" s="1222"/>
      <c r="BFP62" s="1222"/>
      <c r="BFQ62" s="1222"/>
      <c r="BFR62" s="1222"/>
      <c r="BFS62" s="1222"/>
      <c r="BFT62" s="1222"/>
      <c r="BFU62" s="1222"/>
      <c r="BFV62" s="1222"/>
      <c r="BFW62" s="1222"/>
      <c r="BFX62" s="1222"/>
      <c r="BFY62" s="1222"/>
      <c r="BFZ62" s="1222"/>
      <c r="BGA62" s="1222"/>
      <c r="BGB62" s="1222"/>
      <c r="BGC62" s="1222"/>
      <c r="BGD62" s="1222"/>
      <c r="BGE62" s="1222"/>
      <c r="BGF62" s="1222"/>
      <c r="BGG62" s="1222"/>
      <c r="BGH62" s="1222"/>
      <c r="BGI62" s="1222"/>
      <c r="BGJ62" s="1222"/>
      <c r="BGK62" s="1222"/>
      <c r="BGL62" s="1222"/>
      <c r="BGM62" s="1222"/>
      <c r="BGN62" s="1222"/>
      <c r="BGO62" s="1222"/>
      <c r="BGP62" s="1222"/>
      <c r="BGQ62" s="1222"/>
      <c r="BGR62" s="1222"/>
      <c r="BGS62" s="1222"/>
      <c r="BGT62" s="1222"/>
      <c r="BGU62" s="1222"/>
      <c r="BGV62" s="1222"/>
      <c r="BGW62" s="1222"/>
      <c r="BGX62" s="1222"/>
      <c r="BGY62" s="1222"/>
      <c r="BGZ62" s="1222"/>
      <c r="BHA62" s="1222"/>
      <c r="BHB62" s="1222"/>
      <c r="BHC62" s="1222"/>
      <c r="BHD62" s="1222"/>
      <c r="BHE62" s="1222"/>
      <c r="BHF62" s="1222"/>
      <c r="BHG62" s="1222"/>
      <c r="BHH62" s="1222"/>
      <c r="BHI62" s="1222"/>
      <c r="BHJ62" s="1222"/>
      <c r="BHK62" s="1222"/>
      <c r="BHL62" s="1222"/>
      <c r="BHM62" s="1222"/>
      <c r="BHN62" s="1222"/>
      <c r="BHO62" s="1222"/>
      <c r="BHP62" s="1222"/>
      <c r="BHQ62" s="1222"/>
      <c r="BHR62" s="1222"/>
      <c r="BHS62" s="1222"/>
      <c r="BHT62" s="1222"/>
      <c r="BHU62" s="1222"/>
      <c r="BHV62" s="1222"/>
      <c r="BHW62" s="1222"/>
      <c r="BHX62" s="1222"/>
      <c r="BHY62" s="1222"/>
      <c r="BHZ62" s="1222"/>
      <c r="BIA62" s="1222"/>
      <c r="BIB62" s="1222"/>
      <c r="BIC62" s="1222"/>
      <c r="BID62" s="1222"/>
      <c r="BIE62" s="1222"/>
      <c r="BIF62" s="1222"/>
      <c r="BIG62" s="1222"/>
      <c r="BIH62" s="1222"/>
      <c r="BII62" s="1222"/>
      <c r="BIJ62" s="1222"/>
      <c r="BIK62" s="1222"/>
      <c r="BIL62" s="1222"/>
      <c r="BIM62" s="1222"/>
      <c r="BIN62" s="1222"/>
      <c r="BIO62" s="1222"/>
      <c r="BIP62" s="1222"/>
      <c r="BIQ62" s="1222"/>
      <c r="BIR62" s="1222"/>
      <c r="BIS62" s="1222"/>
      <c r="BIT62" s="1222"/>
      <c r="BIU62" s="1222"/>
      <c r="BIV62" s="1222"/>
      <c r="BIW62" s="1222"/>
      <c r="BIX62" s="1222"/>
      <c r="BIY62" s="1222"/>
      <c r="BIZ62" s="1222"/>
      <c r="BJA62" s="1222"/>
      <c r="BJB62" s="1222"/>
      <c r="BJC62" s="1222"/>
      <c r="BJD62" s="1222"/>
      <c r="BJE62" s="1222"/>
      <c r="BJF62" s="1222"/>
      <c r="BJG62" s="1222"/>
      <c r="BJH62" s="1222"/>
      <c r="BJI62" s="1222"/>
      <c r="BJJ62" s="1222"/>
      <c r="BJK62" s="1222"/>
      <c r="BJL62" s="1222"/>
      <c r="BJM62" s="1222"/>
      <c r="BJN62" s="1222"/>
      <c r="BJO62" s="1222"/>
      <c r="BJP62" s="1222"/>
      <c r="BJQ62" s="1222"/>
      <c r="BJR62" s="1222"/>
      <c r="BJS62" s="1222"/>
      <c r="BJT62" s="1222"/>
      <c r="BJU62" s="1222"/>
      <c r="BJV62" s="1222"/>
      <c r="BJW62" s="1222"/>
      <c r="BJX62" s="1222"/>
      <c r="BJY62" s="1222"/>
      <c r="BJZ62" s="1222"/>
      <c r="BKA62" s="1222"/>
      <c r="BKB62" s="1222"/>
      <c r="BKC62" s="1222"/>
      <c r="BKD62" s="1222"/>
      <c r="BKE62" s="1222"/>
      <c r="BKF62" s="1222"/>
      <c r="BKG62" s="1222"/>
      <c r="BKH62" s="1222"/>
      <c r="BKI62" s="1222"/>
      <c r="BKJ62" s="1222"/>
      <c r="BKK62" s="1222"/>
      <c r="BKL62" s="1222"/>
      <c r="BKM62" s="1222"/>
      <c r="BKN62" s="1222"/>
      <c r="BKO62" s="1222"/>
      <c r="BKP62" s="1222"/>
      <c r="BKQ62" s="1222"/>
      <c r="BKR62" s="1222"/>
      <c r="BKS62" s="1222"/>
      <c r="BKT62" s="1222"/>
      <c r="BKU62" s="1222"/>
      <c r="BKV62" s="1222"/>
      <c r="BKW62" s="1222"/>
      <c r="BKX62" s="1222"/>
      <c r="BKY62" s="1222"/>
      <c r="BKZ62" s="1222"/>
      <c r="BLA62" s="1222"/>
      <c r="BLB62" s="1222"/>
      <c r="BLC62" s="1222"/>
      <c r="BLD62" s="1222"/>
      <c r="BLE62" s="1222"/>
      <c r="BLF62" s="1222"/>
      <c r="BLG62" s="1222"/>
      <c r="BLH62" s="1222"/>
      <c r="BLI62" s="1222"/>
      <c r="BLJ62" s="1222"/>
      <c r="BLK62" s="1222"/>
      <c r="BLL62" s="1222"/>
      <c r="BLM62" s="1222"/>
      <c r="BLN62" s="1222"/>
      <c r="BLO62" s="1222"/>
      <c r="BLP62" s="1222"/>
      <c r="BLQ62" s="1222"/>
      <c r="BLR62" s="1222"/>
      <c r="BLS62" s="1222"/>
      <c r="BLT62" s="1222"/>
      <c r="BLU62" s="1222"/>
      <c r="BLV62" s="1222"/>
      <c r="BLW62" s="1222"/>
      <c r="BLX62" s="1222"/>
      <c r="BLY62" s="1222"/>
      <c r="BLZ62" s="1222"/>
      <c r="BMA62" s="1222"/>
      <c r="BMB62" s="1222"/>
      <c r="BMC62" s="1222"/>
      <c r="BMD62" s="1222"/>
      <c r="BME62" s="1222"/>
      <c r="BMF62" s="1222"/>
      <c r="BMG62" s="1222"/>
      <c r="BMH62" s="1222"/>
      <c r="BMI62" s="1222"/>
      <c r="BMJ62" s="1222"/>
      <c r="BMK62" s="1222"/>
      <c r="BML62" s="1222"/>
      <c r="BMM62" s="1222"/>
      <c r="BMN62" s="1222"/>
      <c r="BMO62" s="1222"/>
      <c r="BMP62" s="1222"/>
      <c r="BMQ62" s="1222"/>
      <c r="BMR62" s="1222"/>
      <c r="BMS62" s="1222"/>
      <c r="BMT62" s="1222"/>
      <c r="BMU62" s="1222"/>
      <c r="BMV62" s="1222"/>
      <c r="BMW62" s="1222"/>
      <c r="BMX62" s="1222"/>
      <c r="BMY62" s="1222"/>
      <c r="BMZ62" s="1222"/>
      <c r="BNA62" s="1222"/>
      <c r="BNB62" s="1222"/>
      <c r="BNC62" s="1222"/>
      <c r="BND62" s="1222"/>
      <c r="BNE62" s="1222"/>
      <c r="BNF62" s="1222"/>
      <c r="BNG62" s="1222"/>
      <c r="BNH62" s="1222"/>
      <c r="BNI62" s="1222"/>
      <c r="BNJ62" s="1222"/>
      <c r="BNK62" s="1222"/>
      <c r="BNL62" s="1222"/>
      <c r="BNM62" s="1222"/>
      <c r="BNN62" s="1222"/>
      <c r="BNO62" s="1222"/>
      <c r="BNP62" s="1222"/>
      <c r="BNQ62" s="1222"/>
      <c r="BNR62" s="1222"/>
      <c r="BNS62" s="1222"/>
      <c r="BNT62" s="1222"/>
      <c r="BNU62" s="1222"/>
      <c r="BNV62" s="1222"/>
      <c r="BNW62" s="1222"/>
      <c r="BNX62" s="1222"/>
      <c r="BNY62" s="1222"/>
      <c r="BNZ62" s="1222"/>
      <c r="BOA62" s="1222"/>
      <c r="BOB62" s="1222"/>
      <c r="BOC62" s="1222"/>
      <c r="BOD62" s="1222"/>
      <c r="BOE62" s="1222"/>
      <c r="BOF62" s="1222"/>
      <c r="BOG62" s="1222"/>
      <c r="BOH62" s="1222"/>
      <c r="BOI62" s="1222"/>
      <c r="BOJ62" s="1222"/>
      <c r="BOK62" s="1222"/>
      <c r="BOL62" s="1222"/>
      <c r="BOM62" s="1222"/>
      <c r="BON62" s="1222"/>
      <c r="BOO62" s="1222"/>
      <c r="BOP62" s="1222"/>
      <c r="BOQ62" s="1222"/>
      <c r="BOR62" s="1222"/>
      <c r="BOS62" s="1222"/>
      <c r="BOT62" s="1222"/>
      <c r="BOU62" s="1222"/>
      <c r="BOV62" s="1222"/>
      <c r="BOW62" s="1222"/>
      <c r="BOX62" s="1222"/>
      <c r="BOY62" s="1222"/>
      <c r="BOZ62" s="1222"/>
      <c r="BPA62" s="1222"/>
      <c r="BPB62" s="1222"/>
      <c r="BPC62" s="1222"/>
      <c r="BPD62" s="1222"/>
      <c r="BPE62" s="1222"/>
      <c r="BPF62" s="1222"/>
      <c r="BPG62" s="1222"/>
      <c r="BPH62" s="1222"/>
      <c r="BPI62" s="1222"/>
      <c r="BPJ62" s="1222"/>
      <c r="BPK62" s="1222"/>
      <c r="BPL62" s="1222"/>
      <c r="BPM62" s="1222"/>
      <c r="BPN62" s="1222"/>
      <c r="BPO62" s="1222"/>
      <c r="BPP62" s="1222"/>
      <c r="BPQ62" s="1222"/>
      <c r="BPR62" s="1222"/>
      <c r="BPS62" s="1222"/>
      <c r="BPT62" s="1222"/>
      <c r="BPU62" s="1222"/>
      <c r="BPV62" s="1222"/>
      <c r="BPW62" s="1222"/>
      <c r="BPX62" s="1222"/>
      <c r="BPY62" s="1222"/>
      <c r="BPZ62" s="1222"/>
      <c r="BQA62" s="1222"/>
      <c r="BQB62" s="1222"/>
      <c r="BQC62" s="1222"/>
      <c r="BQD62" s="1222"/>
      <c r="BQE62" s="1222"/>
      <c r="BQF62" s="1222"/>
      <c r="BQG62" s="1222"/>
      <c r="BQH62" s="1222"/>
      <c r="BQI62" s="1222"/>
      <c r="BQJ62" s="1222"/>
      <c r="BQK62" s="1222"/>
      <c r="BQL62" s="1222"/>
      <c r="BQM62" s="1222"/>
      <c r="BQN62" s="1222"/>
      <c r="BQO62" s="1222"/>
      <c r="BQP62" s="1222"/>
      <c r="BQQ62" s="1222"/>
      <c r="BQR62" s="1222"/>
      <c r="BQS62" s="1222"/>
      <c r="BQT62" s="1222"/>
      <c r="BQU62" s="1222"/>
      <c r="BQV62" s="1222"/>
      <c r="BQW62" s="1222"/>
      <c r="BQX62" s="1222"/>
      <c r="BQY62" s="1222"/>
      <c r="BQZ62" s="1222"/>
      <c r="BRA62" s="1222"/>
      <c r="BRB62" s="1222"/>
      <c r="BRC62" s="1222"/>
      <c r="BRD62" s="1222"/>
      <c r="BRE62" s="1222"/>
      <c r="BRF62" s="1222"/>
      <c r="BRG62" s="1222"/>
      <c r="BRH62" s="1222"/>
      <c r="BRI62" s="1222"/>
      <c r="BRJ62" s="1222"/>
      <c r="BRK62" s="1222"/>
      <c r="BRL62" s="1222"/>
      <c r="BRM62" s="1222"/>
      <c r="BRN62" s="1222"/>
      <c r="BRO62" s="1222"/>
      <c r="BRP62" s="1222"/>
      <c r="BRQ62" s="1222"/>
      <c r="BRR62" s="1222"/>
      <c r="BRS62" s="1222"/>
      <c r="BRT62" s="1222"/>
      <c r="BRU62" s="1222"/>
      <c r="BRV62" s="1222"/>
      <c r="BRW62" s="1222"/>
      <c r="BRX62" s="1222"/>
      <c r="BRY62" s="1222"/>
      <c r="BRZ62" s="1222"/>
      <c r="BSA62" s="1222"/>
      <c r="BSB62" s="1222"/>
      <c r="BSC62" s="1222"/>
      <c r="BSD62" s="1222"/>
      <c r="BSE62" s="1222"/>
      <c r="BSF62" s="1222"/>
      <c r="BSG62" s="1222"/>
      <c r="BSH62" s="1222"/>
      <c r="BSI62" s="1222"/>
      <c r="BSJ62" s="1222"/>
      <c r="BSK62" s="1222"/>
      <c r="BSL62" s="1222"/>
      <c r="BSM62" s="1222"/>
      <c r="BSN62" s="1222"/>
      <c r="BSO62" s="1222"/>
      <c r="BSP62" s="1222"/>
      <c r="BSQ62" s="1222"/>
      <c r="BSR62" s="1222"/>
      <c r="BSS62" s="1222"/>
      <c r="BST62" s="1222"/>
      <c r="BSU62" s="1222"/>
      <c r="BSV62" s="1222"/>
      <c r="BSW62" s="1222"/>
      <c r="BSX62" s="1222"/>
      <c r="BSY62" s="1222"/>
      <c r="BSZ62" s="1222"/>
      <c r="BTA62" s="1222"/>
      <c r="BTB62" s="1222"/>
      <c r="BTC62" s="1222"/>
      <c r="BTD62" s="1222"/>
      <c r="BTE62" s="1222"/>
      <c r="BTF62" s="1222"/>
      <c r="BTG62" s="1222"/>
      <c r="BTH62" s="1222"/>
      <c r="BTI62" s="1222"/>
      <c r="BTJ62" s="1222"/>
      <c r="BTK62" s="1222"/>
      <c r="BTL62" s="1222"/>
      <c r="BTM62" s="1222"/>
      <c r="BTN62" s="1222"/>
      <c r="BTO62" s="1222"/>
      <c r="BTP62" s="1222"/>
      <c r="BTQ62" s="1222"/>
      <c r="BTR62" s="1222"/>
      <c r="BTS62" s="1222"/>
      <c r="BTT62" s="1222"/>
      <c r="BTU62" s="1222"/>
      <c r="BTV62" s="1222"/>
      <c r="BTW62" s="1222"/>
      <c r="BTX62" s="1222"/>
      <c r="BTY62" s="1222"/>
      <c r="BTZ62" s="1222"/>
      <c r="BUA62" s="1222"/>
      <c r="BUB62" s="1222"/>
      <c r="BUC62" s="1222"/>
      <c r="BUD62" s="1222"/>
      <c r="BUE62" s="1222"/>
      <c r="BUF62" s="1222"/>
      <c r="BUG62" s="1222"/>
      <c r="BUH62" s="1222"/>
      <c r="BUI62" s="1222"/>
      <c r="BUJ62" s="1222"/>
      <c r="BUK62" s="1222"/>
      <c r="BUL62" s="1222"/>
      <c r="BUM62" s="1222"/>
      <c r="BUN62" s="1222"/>
      <c r="BUO62" s="1222"/>
      <c r="BUP62" s="1222"/>
      <c r="BUQ62" s="1222"/>
      <c r="BUR62" s="1222"/>
      <c r="BUS62" s="1222"/>
      <c r="BUT62" s="1222"/>
      <c r="BUU62" s="1222"/>
      <c r="BUV62" s="1222"/>
      <c r="BUW62" s="1222"/>
      <c r="BUX62" s="1222"/>
      <c r="BUY62" s="1222"/>
      <c r="BUZ62" s="1222"/>
      <c r="BVA62" s="1222"/>
      <c r="BVB62" s="1222"/>
      <c r="BVC62" s="1222"/>
      <c r="BVD62" s="1222"/>
      <c r="BVE62" s="1222"/>
      <c r="BVF62" s="1222"/>
      <c r="BVG62" s="1222"/>
      <c r="BVH62" s="1222"/>
      <c r="BVI62" s="1222"/>
      <c r="BVJ62" s="1222"/>
      <c r="BVK62" s="1222"/>
      <c r="BVL62" s="1222"/>
      <c r="BVM62" s="1222"/>
      <c r="BVN62" s="1222"/>
      <c r="BVO62" s="1222"/>
      <c r="BVP62" s="1222"/>
      <c r="BVQ62" s="1222"/>
      <c r="BVR62" s="1222"/>
      <c r="BVS62" s="1222"/>
      <c r="BVT62" s="1222"/>
      <c r="BVU62" s="1222"/>
      <c r="BVV62" s="1222"/>
      <c r="BVW62" s="1222"/>
      <c r="BVX62" s="1222"/>
      <c r="BVY62" s="1222"/>
      <c r="BVZ62" s="1222"/>
      <c r="BWA62" s="1222"/>
      <c r="BWB62" s="1222"/>
      <c r="BWC62" s="1222"/>
      <c r="BWD62" s="1222"/>
      <c r="BWE62" s="1222"/>
      <c r="BWF62" s="1222"/>
      <c r="BWG62" s="1222"/>
      <c r="BWH62" s="1222"/>
      <c r="BWI62" s="1222"/>
      <c r="BWJ62" s="1222"/>
      <c r="BWK62" s="1222"/>
      <c r="BWL62" s="1222"/>
      <c r="BWM62" s="1222"/>
      <c r="BWN62" s="1222"/>
      <c r="BWO62" s="1222"/>
      <c r="BWP62" s="1222"/>
      <c r="BWQ62" s="1222"/>
      <c r="BWR62" s="1222"/>
      <c r="BWS62" s="1222"/>
      <c r="BWT62" s="1222"/>
      <c r="BWU62" s="1222"/>
      <c r="BWV62" s="1222"/>
      <c r="BWW62" s="1222"/>
      <c r="BWX62" s="1222"/>
      <c r="BWY62" s="1222"/>
      <c r="BWZ62" s="1222"/>
      <c r="BXA62" s="1222"/>
      <c r="BXB62" s="1222"/>
      <c r="BXC62" s="1222"/>
      <c r="BXD62" s="1222"/>
      <c r="BXE62" s="1222"/>
      <c r="BXF62" s="1222"/>
      <c r="BXG62" s="1222"/>
      <c r="BXH62" s="1222"/>
      <c r="BXI62" s="1222"/>
      <c r="BXJ62" s="1222"/>
      <c r="BXK62" s="1222"/>
      <c r="BXL62" s="1222"/>
      <c r="BXM62" s="1222"/>
      <c r="BXN62" s="1222"/>
      <c r="BXO62" s="1222"/>
      <c r="BXP62" s="1222"/>
      <c r="BXQ62" s="1222"/>
      <c r="BXR62" s="1222"/>
      <c r="BXS62" s="1222"/>
      <c r="BXT62" s="1222"/>
      <c r="BXU62" s="1222"/>
      <c r="BXV62" s="1222"/>
      <c r="BXW62" s="1222"/>
      <c r="BXX62" s="1222"/>
      <c r="BXY62" s="1222"/>
      <c r="BXZ62" s="1222"/>
      <c r="BYA62" s="1222"/>
      <c r="BYB62" s="1222"/>
      <c r="BYC62" s="1222"/>
      <c r="BYD62" s="1222"/>
      <c r="BYE62" s="1222"/>
      <c r="BYF62" s="1222"/>
      <c r="BYG62" s="1222"/>
      <c r="BYH62" s="1222"/>
      <c r="BYI62" s="1222"/>
      <c r="BYJ62" s="1222"/>
      <c r="BYK62" s="1222"/>
      <c r="BYL62" s="1222"/>
      <c r="BYM62" s="1222"/>
      <c r="BYN62" s="1222"/>
      <c r="BYO62" s="1222"/>
      <c r="BYP62" s="1222"/>
      <c r="BYQ62" s="1222"/>
      <c r="BYR62" s="1222"/>
      <c r="BYS62" s="1222"/>
      <c r="BYT62" s="1222"/>
      <c r="BYU62" s="1222"/>
      <c r="BYV62" s="1222"/>
      <c r="BYW62" s="1222"/>
      <c r="BYX62" s="1222"/>
      <c r="BYY62" s="1222"/>
      <c r="BYZ62" s="1222"/>
      <c r="BZA62" s="1222"/>
      <c r="BZB62" s="1222"/>
      <c r="BZC62" s="1222"/>
      <c r="BZD62" s="1222"/>
      <c r="BZE62" s="1222"/>
      <c r="BZF62" s="1222"/>
      <c r="BZG62" s="1222"/>
      <c r="BZH62" s="1222"/>
      <c r="BZI62" s="1222"/>
      <c r="BZJ62" s="1222"/>
      <c r="BZK62" s="1222"/>
      <c r="BZL62" s="1222"/>
      <c r="BZM62" s="1222"/>
      <c r="BZN62" s="1222"/>
      <c r="BZO62" s="1222"/>
      <c r="BZP62" s="1222"/>
      <c r="BZQ62" s="1222"/>
      <c r="BZR62" s="1222"/>
      <c r="BZS62" s="1222"/>
      <c r="BZT62" s="1222"/>
      <c r="BZU62" s="1222"/>
      <c r="BZV62" s="1222"/>
      <c r="BZW62" s="1222"/>
      <c r="BZX62" s="1222"/>
      <c r="BZY62" s="1222"/>
      <c r="BZZ62" s="1222"/>
      <c r="CAA62" s="1222"/>
      <c r="CAB62" s="1222"/>
      <c r="CAC62" s="1222"/>
      <c r="CAD62" s="1222"/>
      <c r="CAE62" s="1222"/>
      <c r="CAF62" s="1222"/>
      <c r="CAG62" s="1222"/>
      <c r="CAH62" s="1222"/>
      <c r="CAI62" s="1222"/>
      <c r="CAJ62" s="1222"/>
      <c r="CAK62" s="1222"/>
      <c r="CAL62" s="1222"/>
      <c r="CAM62" s="1222"/>
      <c r="CAN62" s="1222"/>
      <c r="CAO62" s="1222"/>
      <c r="CAP62" s="1222"/>
      <c r="CAQ62" s="1222"/>
      <c r="CAR62" s="1222"/>
      <c r="CAS62" s="1222"/>
      <c r="CAT62" s="1222"/>
      <c r="CAU62" s="1222"/>
      <c r="CAV62" s="1222"/>
      <c r="CAW62" s="1222"/>
      <c r="CAX62" s="1222"/>
      <c r="CAY62" s="1222"/>
      <c r="CAZ62" s="1222"/>
      <c r="CBA62" s="1222"/>
      <c r="CBB62" s="1222"/>
      <c r="CBC62" s="1222"/>
      <c r="CBD62" s="1222"/>
      <c r="CBE62" s="1222"/>
      <c r="CBF62" s="1222"/>
      <c r="CBG62" s="1222"/>
      <c r="CBH62" s="1222"/>
      <c r="CBI62" s="1222"/>
      <c r="CBJ62" s="1222"/>
      <c r="CBK62" s="1222"/>
      <c r="CBL62" s="1222"/>
      <c r="CBM62" s="1222"/>
      <c r="CBN62" s="1222"/>
      <c r="CBO62" s="1222"/>
      <c r="CBP62" s="1222"/>
      <c r="CBQ62" s="1222"/>
      <c r="CBR62" s="1222"/>
      <c r="CBS62" s="1222"/>
      <c r="CBT62" s="1222"/>
      <c r="CBU62" s="1222"/>
      <c r="CBV62" s="1222"/>
      <c r="CBW62" s="1222"/>
      <c r="CBX62" s="1222"/>
      <c r="CBY62" s="1222"/>
      <c r="CBZ62" s="1222"/>
      <c r="CCA62" s="1222"/>
      <c r="CCB62" s="1222"/>
      <c r="CCC62" s="1222"/>
      <c r="CCD62" s="1222"/>
      <c r="CCE62" s="1222"/>
      <c r="CCF62" s="1222"/>
      <c r="CCG62" s="1222"/>
      <c r="CCH62" s="1222"/>
      <c r="CCI62" s="1222"/>
      <c r="CCJ62" s="1222"/>
      <c r="CCK62" s="1222"/>
      <c r="CCL62" s="1222"/>
      <c r="CCM62" s="1222"/>
      <c r="CCN62" s="1222"/>
      <c r="CCO62" s="1222"/>
      <c r="CCP62" s="1222"/>
      <c r="CCQ62" s="1222"/>
      <c r="CCR62" s="1222"/>
      <c r="CCS62" s="1222"/>
      <c r="CCT62" s="1222"/>
      <c r="CCU62" s="1222"/>
      <c r="CCV62" s="1222"/>
      <c r="CCW62" s="1222"/>
      <c r="CCX62" s="1222"/>
      <c r="CCY62" s="1222"/>
      <c r="CCZ62" s="1222"/>
      <c r="CDA62" s="1222"/>
      <c r="CDB62" s="1222"/>
      <c r="CDC62" s="1222"/>
      <c r="CDD62" s="1222"/>
      <c r="CDE62" s="1222"/>
      <c r="CDF62" s="1222"/>
      <c r="CDG62" s="1222"/>
      <c r="CDH62" s="1222"/>
      <c r="CDI62" s="1222"/>
      <c r="CDJ62" s="1222"/>
      <c r="CDK62" s="1222"/>
      <c r="CDL62" s="1222"/>
      <c r="CDM62" s="1222"/>
      <c r="CDN62" s="1222"/>
      <c r="CDO62" s="1222"/>
      <c r="CDP62" s="1222"/>
      <c r="CDQ62" s="1222"/>
      <c r="CDR62" s="1222"/>
      <c r="CDS62" s="1222"/>
      <c r="CDT62" s="1222"/>
      <c r="CDU62" s="1222"/>
      <c r="CDV62" s="1222"/>
      <c r="CDW62" s="1222"/>
      <c r="CDX62" s="1222"/>
      <c r="CDY62" s="1222"/>
      <c r="CDZ62" s="1222"/>
      <c r="CEA62" s="1222"/>
      <c r="CEB62" s="1222"/>
      <c r="CEC62" s="1222"/>
      <c r="CED62" s="1222"/>
      <c r="CEE62" s="1222"/>
      <c r="CEF62" s="1222"/>
      <c r="CEG62" s="1222"/>
      <c r="CEH62" s="1222"/>
      <c r="CEI62" s="1222"/>
      <c r="CEJ62" s="1222"/>
      <c r="CEK62" s="1222"/>
      <c r="CEL62" s="1222"/>
      <c r="CEM62" s="1222"/>
      <c r="CEN62" s="1222"/>
      <c r="CEO62" s="1222"/>
      <c r="CEP62" s="1222"/>
      <c r="CEQ62" s="1222"/>
      <c r="CER62" s="1222"/>
      <c r="CES62" s="1222"/>
      <c r="CET62" s="1222"/>
      <c r="CEU62" s="1222"/>
      <c r="CEV62" s="1222"/>
      <c r="CEW62" s="1222"/>
      <c r="CEX62" s="1222"/>
      <c r="CEY62" s="1222"/>
      <c r="CEZ62" s="1222"/>
      <c r="CFA62" s="1222"/>
      <c r="CFB62" s="1222"/>
      <c r="CFC62" s="1222"/>
      <c r="CFD62" s="1222"/>
      <c r="CFE62" s="1222"/>
      <c r="CFF62" s="1222"/>
      <c r="CFG62" s="1222"/>
      <c r="CFH62" s="1222"/>
      <c r="CFI62" s="1222"/>
      <c r="CFJ62" s="1222"/>
      <c r="CFK62" s="1222"/>
      <c r="CFL62" s="1222"/>
      <c r="CFM62" s="1222"/>
      <c r="CFN62" s="1222"/>
      <c r="CFO62" s="1222"/>
      <c r="CFP62" s="1222"/>
      <c r="CFQ62" s="1222"/>
      <c r="CFR62" s="1222"/>
      <c r="CFS62" s="1222"/>
      <c r="CFT62" s="1222"/>
      <c r="CFU62" s="1222"/>
      <c r="CFV62" s="1222"/>
      <c r="CFW62" s="1222"/>
      <c r="CFX62" s="1222"/>
      <c r="CFY62" s="1222"/>
      <c r="CFZ62" s="1222"/>
      <c r="CGA62" s="1222"/>
      <c r="CGB62" s="1222"/>
      <c r="CGC62" s="1222"/>
      <c r="CGD62" s="1222"/>
      <c r="CGE62" s="1222"/>
      <c r="CGF62" s="1222"/>
      <c r="CGG62" s="1222"/>
      <c r="CGH62" s="1222"/>
      <c r="CGI62" s="1222"/>
      <c r="CGJ62" s="1222"/>
      <c r="CGK62" s="1222"/>
      <c r="CGL62" s="1222"/>
      <c r="CGM62" s="1222"/>
      <c r="CGN62" s="1222"/>
      <c r="CGO62" s="1222"/>
      <c r="CGP62" s="1222"/>
      <c r="CGQ62" s="1222"/>
      <c r="CGR62" s="1222"/>
      <c r="CGS62" s="1222"/>
      <c r="CGT62" s="1222"/>
      <c r="CGU62" s="1222"/>
      <c r="CGV62" s="1222"/>
      <c r="CGW62" s="1222"/>
      <c r="CGX62" s="1222"/>
      <c r="CGY62" s="1222"/>
      <c r="CGZ62" s="1222"/>
      <c r="CHA62" s="1222"/>
      <c r="CHB62" s="1222"/>
      <c r="CHC62" s="1222"/>
      <c r="CHD62" s="1222"/>
      <c r="CHE62" s="1222"/>
      <c r="CHF62" s="1222"/>
      <c r="CHG62" s="1222"/>
      <c r="CHH62" s="1222"/>
      <c r="CHI62" s="1222"/>
      <c r="CHJ62" s="1222"/>
      <c r="CHK62" s="1222"/>
      <c r="CHL62" s="1222"/>
      <c r="CHM62" s="1222"/>
      <c r="CHN62" s="1222"/>
      <c r="CHO62" s="1222"/>
      <c r="CHP62" s="1222"/>
      <c r="CHQ62" s="1222"/>
      <c r="CHR62" s="1222"/>
      <c r="CHS62" s="1222"/>
      <c r="CHT62" s="1222"/>
      <c r="CHU62" s="1222"/>
      <c r="CHV62" s="1222"/>
      <c r="CHW62" s="1222"/>
      <c r="CHX62" s="1222"/>
      <c r="CHY62" s="1222"/>
      <c r="CHZ62" s="1222"/>
      <c r="CIA62" s="1222"/>
      <c r="CIB62" s="1222"/>
      <c r="CIC62" s="1222"/>
      <c r="CID62" s="1222"/>
      <c r="CIE62" s="1222"/>
      <c r="CIF62" s="1222"/>
      <c r="CIG62" s="1222"/>
      <c r="CIH62" s="1222"/>
      <c r="CII62" s="1222"/>
      <c r="CIJ62" s="1222"/>
      <c r="CIK62" s="1222"/>
      <c r="CIL62" s="1222"/>
      <c r="CIM62" s="1222"/>
      <c r="CIN62" s="1222"/>
      <c r="CIO62" s="1222"/>
      <c r="CIP62" s="1222"/>
      <c r="CIQ62" s="1222"/>
      <c r="CIR62" s="1222"/>
      <c r="CIS62" s="1222"/>
      <c r="CIT62" s="1222"/>
      <c r="CIU62" s="1222"/>
      <c r="CIV62" s="1222"/>
      <c r="CIW62" s="1222"/>
      <c r="CIX62" s="1222"/>
      <c r="CIY62" s="1222"/>
      <c r="CIZ62" s="1222"/>
      <c r="CJA62" s="1222"/>
      <c r="CJB62" s="1222"/>
      <c r="CJC62" s="1222"/>
      <c r="CJD62" s="1222"/>
      <c r="CJE62" s="1222"/>
      <c r="CJF62" s="1222"/>
      <c r="CJG62" s="1222"/>
      <c r="CJH62" s="1222"/>
      <c r="CJI62" s="1222"/>
      <c r="CJJ62" s="1222"/>
      <c r="CJK62" s="1222"/>
      <c r="CJL62" s="1222"/>
      <c r="CJM62" s="1222"/>
      <c r="CJN62" s="1222"/>
      <c r="CJO62" s="1222"/>
      <c r="CJP62" s="1222"/>
      <c r="CJQ62" s="1222"/>
      <c r="CJR62" s="1222"/>
      <c r="CJS62" s="1222"/>
      <c r="CJT62" s="1222"/>
      <c r="CJU62" s="1222"/>
      <c r="CJV62" s="1222"/>
      <c r="CJW62" s="1222"/>
      <c r="CJX62" s="1222"/>
      <c r="CJY62" s="1222"/>
      <c r="CJZ62" s="1222"/>
      <c r="CKA62" s="1222"/>
      <c r="CKB62" s="1222"/>
      <c r="CKC62" s="1222"/>
      <c r="CKD62" s="1222"/>
      <c r="CKE62" s="1222"/>
      <c r="CKF62" s="1222"/>
      <c r="CKG62" s="1222"/>
      <c r="CKH62" s="1222"/>
      <c r="CKI62" s="1222"/>
      <c r="CKJ62" s="1222"/>
      <c r="CKK62" s="1222"/>
      <c r="CKL62" s="1222"/>
      <c r="CKM62" s="1222"/>
      <c r="CKN62" s="1222"/>
      <c r="CKO62" s="1222"/>
      <c r="CKP62" s="1222"/>
      <c r="CKQ62" s="1222"/>
      <c r="CKR62" s="1222"/>
      <c r="CKS62" s="1222"/>
      <c r="CKT62" s="1222"/>
      <c r="CKU62" s="1222"/>
      <c r="CKV62" s="1222"/>
      <c r="CKW62" s="1222"/>
      <c r="CKX62" s="1222"/>
      <c r="CKY62" s="1222"/>
      <c r="CKZ62" s="1222"/>
      <c r="CLA62" s="1222"/>
      <c r="CLB62" s="1222"/>
      <c r="CLC62" s="1222"/>
      <c r="CLD62" s="1222"/>
      <c r="CLE62" s="1222"/>
      <c r="CLF62" s="1222"/>
      <c r="CLG62" s="1222"/>
      <c r="CLH62" s="1222"/>
      <c r="CLI62" s="1222"/>
      <c r="CLJ62" s="1222"/>
      <c r="CLK62" s="1222"/>
      <c r="CLL62" s="1222"/>
      <c r="CLM62" s="1222"/>
      <c r="CLN62" s="1222"/>
      <c r="CLO62" s="1222"/>
      <c r="CLP62" s="1222"/>
      <c r="CLQ62" s="1222"/>
      <c r="CLR62" s="1222"/>
      <c r="CLS62" s="1222"/>
      <c r="CLT62" s="1222"/>
      <c r="CLU62" s="1222"/>
      <c r="CLV62" s="1222"/>
      <c r="CLW62" s="1222"/>
      <c r="CLX62" s="1222"/>
      <c r="CLY62" s="1222"/>
      <c r="CLZ62" s="1222"/>
      <c r="CMA62" s="1222"/>
      <c r="CMB62" s="1222"/>
      <c r="CMC62" s="1222"/>
      <c r="CMD62" s="1222"/>
      <c r="CME62" s="1222"/>
      <c r="CMF62" s="1222"/>
      <c r="CMG62" s="1222"/>
      <c r="CMH62" s="1222"/>
      <c r="CMI62" s="1222"/>
      <c r="CMJ62" s="1222"/>
      <c r="CMK62" s="1222"/>
      <c r="CML62" s="1222"/>
      <c r="CMM62" s="1222"/>
      <c r="CMN62" s="1222"/>
      <c r="CMO62" s="1222"/>
      <c r="CMP62" s="1222"/>
      <c r="CMQ62" s="1222"/>
      <c r="CMR62" s="1222"/>
      <c r="CMS62" s="1222"/>
      <c r="CMT62" s="1222"/>
      <c r="CMU62" s="1222"/>
      <c r="CMV62" s="1222"/>
      <c r="CMW62" s="1222"/>
      <c r="CMX62" s="1222"/>
      <c r="CMY62" s="1222"/>
      <c r="CMZ62" s="1222"/>
      <c r="CNA62" s="1222"/>
      <c r="CNB62" s="1222"/>
      <c r="CNC62" s="1222"/>
      <c r="CND62" s="1222"/>
      <c r="CNE62" s="1222"/>
      <c r="CNF62" s="1222"/>
      <c r="CNG62" s="1222"/>
      <c r="CNH62" s="1222"/>
      <c r="CNI62" s="1222"/>
      <c r="CNJ62" s="1222"/>
      <c r="CNK62" s="1222"/>
      <c r="CNL62" s="1222"/>
      <c r="CNM62" s="1222"/>
      <c r="CNN62" s="1222"/>
      <c r="CNO62" s="1222"/>
      <c r="CNP62" s="1222"/>
      <c r="CNQ62" s="1222"/>
      <c r="CNR62" s="1222"/>
      <c r="CNS62" s="1222"/>
      <c r="CNT62" s="1222"/>
      <c r="CNU62" s="1222"/>
      <c r="CNV62" s="1222"/>
      <c r="CNW62" s="1222"/>
      <c r="CNX62" s="1222"/>
      <c r="CNY62" s="1222"/>
      <c r="CNZ62" s="1222"/>
      <c r="COA62" s="1222"/>
      <c r="COB62" s="1222"/>
      <c r="COC62" s="1222"/>
      <c r="COD62" s="1222"/>
      <c r="COE62" s="1222"/>
      <c r="COF62" s="1222"/>
      <c r="COG62" s="1222"/>
      <c r="COH62" s="1222"/>
      <c r="COI62" s="1222"/>
      <c r="COJ62" s="1222"/>
      <c r="COK62" s="1222"/>
      <c r="COL62" s="1222"/>
      <c r="COM62" s="1222"/>
      <c r="CON62" s="1222"/>
      <c r="COO62" s="1222"/>
      <c r="COP62" s="1222"/>
      <c r="COQ62" s="1222"/>
      <c r="COR62" s="1222"/>
      <c r="COS62" s="1222"/>
      <c r="COT62" s="1222"/>
      <c r="COU62" s="1222"/>
      <c r="COV62" s="1222"/>
      <c r="COW62" s="1222"/>
      <c r="COX62" s="1222"/>
      <c r="COY62" s="1222"/>
      <c r="COZ62" s="1222"/>
      <c r="CPA62" s="1222"/>
      <c r="CPB62" s="1222"/>
      <c r="CPC62" s="1222"/>
      <c r="CPD62" s="1222"/>
      <c r="CPE62" s="1222"/>
      <c r="CPF62" s="1222"/>
      <c r="CPG62" s="1222"/>
      <c r="CPH62" s="1222"/>
      <c r="CPI62" s="1222"/>
      <c r="CPJ62" s="1222"/>
      <c r="CPK62" s="1222"/>
      <c r="CPL62" s="1222"/>
      <c r="CPM62" s="1222"/>
      <c r="CPN62" s="1222"/>
      <c r="CPO62" s="1222"/>
      <c r="CPP62" s="1222"/>
      <c r="CPQ62" s="1222"/>
      <c r="CPR62" s="1222"/>
      <c r="CPS62" s="1222"/>
      <c r="CPT62" s="1222"/>
      <c r="CPU62" s="1222"/>
      <c r="CPV62" s="1222"/>
      <c r="CPW62" s="1222"/>
      <c r="CPX62" s="1222"/>
      <c r="CPY62" s="1222"/>
      <c r="CPZ62" s="1222"/>
      <c r="CQA62" s="1222"/>
      <c r="CQB62" s="1222"/>
      <c r="CQC62" s="1222"/>
      <c r="CQD62" s="1222"/>
      <c r="CQE62" s="1222"/>
      <c r="CQF62" s="1222"/>
      <c r="CQG62" s="1222"/>
      <c r="CQH62" s="1222"/>
      <c r="CQI62" s="1222"/>
      <c r="CQJ62" s="1222"/>
      <c r="CQK62" s="1222"/>
      <c r="CQL62" s="1222"/>
      <c r="CQM62" s="1222"/>
      <c r="CQN62" s="1222"/>
      <c r="CQO62" s="1222"/>
      <c r="CQP62" s="1222"/>
      <c r="CQQ62" s="1222"/>
      <c r="CQR62" s="1222"/>
      <c r="CQS62" s="1222"/>
      <c r="CQT62" s="1222"/>
      <c r="CQU62" s="1222"/>
      <c r="CQV62" s="1222"/>
      <c r="CQW62" s="1222"/>
      <c r="CQX62" s="1222"/>
      <c r="CQY62" s="1222"/>
      <c r="CQZ62" s="1222"/>
      <c r="CRA62" s="1222"/>
      <c r="CRB62" s="1222"/>
      <c r="CRC62" s="1222"/>
      <c r="CRD62" s="1222"/>
      <c r="CRE62" s="1222"/>
      <c r="CRF62" s="1222"/>
      <c r="CRG62" s="1222"/>
      <c r="CRH62" s="1222"/>
      <c r="CRI62" s="1222"/>
      <c r="CRJ62" s="1222"/>
      <c r="CRK62" s="1222"/>
      <c r="CRL62" s="1222"/>
      <c r="CRM62" s="1222"/>
      <c r="CRN62" s="1222"/>
      <c r="CRO62" s="1222"/>
      <c r="CRP62" s="1222"/>
      <c r="CRQ62" s="1222"/>
      <c r="CRR62" s="1222"/>
      <c r="CRS62" s="1222"/>
      <c r="CRT62" s="1222"/>
      <c r="CRU62" s="1222"/>
      <c r="CRV62" s="1222"/>
      <c r="CRW62" s="1222"/>
      <c r="CRX62" s="1222"/>
      <c r="CRY62" s="1222"/>
      <c r="CRZ62" s="1222"/>
      <c r="CSA62" s="1222"/>
      <c r="CSB62" s="1222"/>
      <c r="CSC62" s="1222"/>
      <c r="CSD62" s="1222"/>
      <c r="CSE62" s="1222"/>
      <c r="CSF62" s="1222"/>
      <c r="CSG62" s="1222"/>
      <c r="CSH62" s="1222"/>
      <c r="CSI62" s="1222"/>
      <c r="CSJ62" s="1222"/>
      <c r="CSK62" s="1222"/>
      <c r="CSL62" s="1222"/>
      <c r="CSM62" s="1222"/>
      <c r="CSN62" s="1222"/>
      <c r="CSO62" s="1222"/>
      <c r="CSP62" s="1222"/>
      <c r="CSQ62" s="1222"/>
      <c r="CSR62" s="1222"/>
      <c r="CSS62" s="1222"/>
      <c r="CST62" s="1222"/>
      <c r="CSU62" s="1222"/>
      <c r="CSV62" s="1222"/>
      <c r="CSW62" s="1222"/>
      <c r="CSX62" s="1222"/>
      <c r="CSY62" s="1222"/>
      <c r="CSZ62" s="1222"/>
      <c r="CTA62" s="1222"/>
      <c r="CTB62" s="1222"/>
      <c r="CTC62" s="1222"/>
      <c r="CTD62" s="1222"/>
      <c r="CTE62" s="1222"/>
      <c r="CTF62" s="1222"/>
      <c r="CTG62" s="1222"/>
      <c r="CTH62" s="1222"/>
      <c r="CTI62" s="1222"/>
      <c r="CTJ62" s="1222"/>
      <c r="CTK62" s="1222"/>
      <c r="CTL62" s="1222"/>
      <c r="CTM62" s="1222"/>
      <c r="CTN62" s="1222"/>
      <c r="CTO62" s="1222"/>
      <c r="CTP62" s="1222"/>
      <c r="CTQ62" s="1222"/>
      <c r="CTR62" s="1222"/>
      <c r="CTS62" s="1222"/>
      <c r="CTT62" s="1222"/>
      <c r="CTU62" s="1222"/>
      <c r="CTV62" s="1222"/>
      <c r="CTW62" s="1222"/>
      <c r="CTX62" s="1222"/>
      <c r="CTY62" s="1222"/>
      <c r="CTZ62" s="1222"/>
      <c r="CUA62" s="1222"/>
      <c r="CUB62" s="1222"/>
      <c r="CUC62" s="1222"/>
      <c r="CUD62" s="1222"/>
      <c r="CUE62" s="1222"/>
      <c r="CUF62" s="1222"/>
      <c r="CUG62" s="1222"/>
      <c r="CUH62" s="1222"/>
      <c r="CUI62" s="1222"/>
      <c r="CUJ62" s="1222"/>
      <c r="CUK62" s="1222"/>
      <c r="CUL62" s="1222"/>
      <c r="CUM62" s="1222"/>
      <c r="CUN62" s="1222"/>
      <c r="CUO62" s="1222"/>
      <c r="CUP62" s="1222"/>
      <c r="CUQ62" s="1222"/>
      <c r="CUR62" s="1222"/>
      <c r="CUS62" s="1222"/>
      <c r="CUT62" s="1222"/>
      <c r="CUU62" s="1222"/>
      <c r="CUV62" s="1222"/>
      <c r="CUW62" s="1222"/>
      <c r="CUX62" s="1222"/>
      <c r="CUY62" s="1222"/>
      <c r="CUZ62" s="1222"/>
      <c r="CVA62" s="1222"/>
      <c r="CVB62" s="1222"/>
      <c r="CVC62" s="1222"/>
      <c r="CVD62" s="1222"/>
      <c r="CVE62" s="1222"/>
      <c r="CVF62" s="1222"/>
      <c r="CVG62" s="1222"/>
      <c r="CVH62" s="1222"/>
      <c r="CVI62" s="1222"/>
      <c r="CVJ62" s="1222"/>
      <c r="CVK62" s="1222"/>
      <c r="CVL62" s="1222"/>
      <c r="CVM62" s="1222"/>
      <c r="CVN62" s="1222"/>
      <c r="CVO62" s="1222"/>
      <c r="CVP62" s="1222"/>
      <c r="CVQ62" s="1222"/>
      <c r="CVR62" s="1222"/>
      <c r="CVS62" s="1222"/>
      <c r="CVT62" s="1222"/>
      <c r="CVU62" s="1222"/>
      <c r="CVV62" s="1222"/>
      <c r="CVW62" s="1222"/>
      <c r="CVX62" s="1222"/>
      <c r="CVY62" s="1222"/>
      <c r="CVZ62" s="1222"/>
      <c r="CWA62" s="1222"/>
      <c r="CWB62" s="1222"/>
      <c r="CWC62" s="1222"/>
      <c r="CWD62" s="1222"/>
      <c r="CWE62" s="1222"/>
      <c r="CWF62" s="1222"/>
      <c r="CWG62" s="1222"/>
      <c r="CWH62" s="1222"/>
      <c r="CWI62" s="1222"/>
      <c r="CWJ62" s="1222"/>
      <c r="CWK62" s="1222"/>
      <c r="CWL62" s="1222"/>
      <c r="CWM62" s="1222"/>
      <c r="CWN62" s="1222"/>
      <c r="CWO62" s="1222"/>
      <c r="CWP62" s="1222"/>
      <c r="CWQ62" s="1222"/>
      <c r="CWR62" s="1222"/>
      <c r="CWS62" s="1222"/>
      <c r="CWT62" s="1222"/>
      <c r="CWU62" s="1222"/>
      <c r="CWV62" s="1222"/>
      <c r="CWW62" s="1222"/>
      <c r="CWX62" s="1222"/>
      <c r="CWY62" s="1222"/>
      <c r="CWZ62" s="1222"/>
      <c r="CXA62" s="1222"/>
      <c r="CXB62" s="1222"/>
      <c r="CXC62" s="1222"/>
      <c r="CXD62" s="1222"/>
      <c r="CXE62" s="1222"/>
      <c r="CXF62" s="1222"/>
      <c r="CXG62" s="1222"/>
      <c r="CXH62" s="1222"/>
      <c r="CXI62" s="1222"/>
      <c r="CXJ62" s="1222"/>
      <c r="CXK62" s="1222"/>
      <c r="CXL62" s="1222"/>
      <c r="CXM62" s="1222"/>
      <c r="CXN62" s="1222"/>
      <c r="CXO62" s="1222"/>
      <c r="CXP62" s="1222"/>
      <c r="CXQ62" s="1222"/>
      <c r="CXR62" s="1222"/>
      <c r="CXS62" s="1222"/>
      <c r="CXT62" s="1222"/>
      <c r="CXU62" s="1222"/>
      <c r="CXV62" s="1222"/>
      <c r="CXW62" s="1222"/>
      <c r="CXX62" s="1222"/>
      <c r="CXY62" s="1222"/>
      <c r="CXZ62" s="1222"/>
      <c r="CYA62" s="1222"/>
      <c r="CYB62" s="1222"/>
      <c r="CYC62" s="1222"/>
      <c r="CYD62" s="1222"/>
      <c r="CYE62" s="1222"/>
      <c r="CYF62" s="1222"/>
      <c r="CYG62" s="1222"/>
      <c r="CYH62" s="1222"/>
      <c r="CYI62" s="1222"/>
      <c r="CYJ62" s="1222"/>
      <c r="CYK62" s="1222"/>
      <c r="CYL62" s="1222"/>
      <c r="CYM62" s="1222"/>
      <c r="CYN62" s="1222"/>
      <c r="CYO62" s="1222"/>
      <c r="CYP62" s="1222"/>
      <c r="CYQ62" s="1222"/>
      <c r="CYR62" s="1222"/>
      <c r="CYS62" s="1222"/>
      <c r="CYT62" s="1222"/>
      <c r="CYU62" s="1222"/>
      <c r="CYV62" s="1222"/>
      <c r="CYW62" s="1222"/>
      <c r="CYX62" s="1222"/>
      <c r="CYY62" s="1222"/>
      <c r="CYZ62" s="1222"/>
      <c r="CZA62" s="1222"/>
      <c r="CZB62" s="1222"/>
      <c r="CZC62" s="1222"/>
      <c r="CZD62" s="1222"/>
      <c r="CZE62" s="1222"/>
      <c r="CZF62" s="1222"/>
      <c r="CZG62" s="1222"/>
      <c r="CZH62" s="1222"/>
      <c r="CZI62" s="1222"/>
      <c r="CZJ62" s="1222"/>
      <c r="CZK62" s="1222"/>
      <c r="CZL62" s="1222"/>
      <c r="CZM62" s="1222"/>
      <c r="CZN62" s="1222"/>
      <c r="CZO62" s="1222"/>
      <c r="CZP62" s="1222"/>
      <c r="CZQ62" s="1222"/>
      <c r="CZR62" s="1222"/>
      <c r="CZS62" s="1222"/>
      <c r="CZT62" s="1222"/>
      <c r="CZU62" s="1222"/>
      <c r="CZV62" s="1222"/>
      <c r="CZW62" s="1222"/>
      <c r="CZX62" s="1222"/>
      <c r="CZY62" s="1222"/>
      <c r="CZZ62" s="1222"/>
      <c r="DAA62" s="1222"/>
      <c r="DAB62" s="1222"/>
      <c r="DAC62" s="1222"/>
      <c r="DAD62" s="1222"/>
      <c r="DAE62" s="1222"/>
      <c r="DAF62" s="1222"/>
      <c r="DAG62" s="1222"/>
      <c r="DAH62" s="1222"/>
      <c r="DAI62" s="1222"/>
      <c r="DAJ62" s="1222"/>
      <c r="DAK62" s="1222"/>
      <c r="DAL62" s="1222"/>
      <c r="DAM62" s="1222"/>
      <c r="DAN62" s="1222"/>
      <c r="DAO62" s="1222"/>
      <c r="DAP62" s="1222"/>
      <c r="DAQ62" s="1222"/>
      <c r="DAR62" s="1222"/>
      <c r="DAS62" s="1222"/>
      <c r="DAT62" s="1222"/>
      <c r="DAU62" s="1222"/>
      <c r="DAV62" s="1222"/>
      <c r="DAW62" s="1222"/>
      <c r="DAX62" s="1222"/>
      <c r="DAY62" s="1222"/>
      <c r="DAZ62" s="1222"/>
      <c r="DBA62" s="1222"/>
      <c r="DBB62" s="1222"/>
      <c r="DBC62" s="1222"/>
      <c r="DBD62" s="1222"/>
      <c r="DBE62" s="1222"/>
      <c r="DBF62" s="1222"/>
      <c r="DBG62" s="1222"/>
      <c r="DBH62" s="1222"/>
      <c r="DBI62" s="1222"/>
      <c r="DBJ62" s="1222"/>
      <c r="DBK62" s="1222"/>
      <c r="DBL62" s="1222"/>
      <c r="DBM62" s="1222"/>
      <c r="DBN62" s="1222"/>
      <c r="DBO62" s="1222"/>
      <c r="DBP62" s="1222"/>
      <c r="DBQ62" s="1222"/>
      <c r="DBR62" s="1222"/>
      <c r="DBS62" s="1222"/>
      <c r="DBT62" s="1222"/>
      <c r="DBU62" s="1222"/>
      <c r="DBV62" s="1222"/>
      <c r="DBW62" s="1222"/>
      <c r="DBX62" s="1222"/>
      <c r="DBY62" s="1222"/>
      <c r="DBZ62" s="1222"/>
      <c r="DCA62" s="1222"/>
      <c r="DCB62" s="1222"/>
      <c r="DCC62" s="1222"/>
      <c r="DCD62" s="1222"/>
      <c r="DCE62" s="1222"/>
      <c r="DCF62" s="1222"/>
      <c r="DCG62" s="1222"/>
      <c r="DCH62" s="1222"/>
      <c r="DCI62" s="1222"/>
      <c r="DCJ62" s="1222"/>
      <c r="DCK62" s="1222"/>
      <c r="DCL62" s="1222"/>
      <c r="DCM62" s="1222"/>
      <c r="DCN62" s="1222"/>
      <c r="DCO62" s="1222"/>
      <c r="DCP62" s="1222"/>
      <c r="DCQ62" s="1222"/>
      <c r="DCR62" s="1222"/>
      <c r="DCS62" s="1222"/>
      <c r="DCT62" s="1222"/>
      <c r="DCU62" s="1222"/>
      <c r="DCV62" s="1222"/>
      <c r="DCW62" s="1222"/>
      <c r="DCX62" s="1222"/>
      <c r="DCY62" s="1222"/>
      <c r="DCZ62" s="1222"/>
      <c r="DDA62" s="1222"/>
      <c r="DDB62" s="1222"/>
      <c r="DDC62" s="1222"/>
      <c r="DDD62" s="1222"/>
      <c r="DDE62" s="1222"/>
      <c r="DDF62" s="1222"/>
      <c r="DDG62" s="1222"/>
      <c r="DDH62" s="1222"/>
      <c r="DDI62" s="1222"/>
      <c r="DDJ62" s="1222"/>
      <c r="DDK62" s="1222"/>
      <c r="DDL62" s="1222"/>
      <c r="DDM62" s="1222"/>
      <c r="DDN62" s="1222"/>
      <c r="DDO62" s="1222"/>
      <c r="DDP62" s="1222"/>
      <c r="DDQ62" s="1222"/>
      <c r="DDR62" s="1222"/>
      <c r="DDS62" s="1222"/>
      <c r="DDT62" s="1222"/>
      <c r="DDU62" s="1222"/>
      <c r="DDV62" s="1222"/>
      <c r="DDW62" s="1222"/>
      <c r="DDX62" s="1222"/>
      <c r="DDY62" s="1222"/>
      <c r="DDZ62" s="1222"/>
      <c r="DEA62" s="1222"/>
      <c r="DEB62" s="1222"/>
      <c r="DEC62" s="1222"/>
      <c r="DED62" s="1222"/>
      <c r="DEE62" s="1222"/>
      <c r="DEF62" s="1222"/>
      <c r="DEG62" s="1222"/>
      <c r="DEH62" s="1222"/>
      <c r="DEI62" s="1222"/>
      <c r="DEJ62" s="1222"/>
      <c r="DEK62" s="1222"/>
      <c r="DEL62" s="1222"/>
      <c r="DEM62" s="1222"/>
      <c r="DEN62" s="1222"/>
      <c r="DEO62" s="1222"/>
      <c r="DEP62" s="1222"/>
      <c r="DEQ62" s="1222"/>
      <c r="DER62" s="1222"/>
      <c r="DES62" s="1222"/>
      <c r="DET62" s="1222"/>
      <c r="DEU62" s="1222"/>
      <c r="DEV62" s="1222"/>
      <c r="DEW62" s="1222"/>
      <c r="DEX62" s="1222"/>
      <c r="DEY62" s="1222"/>
      <c r="DEZ62" s="1222"/>
      <c r="DFA62" s="1222"/>
      <c r="DFB62" s="1222"/>
      <c r="DFC62" s="1222"/>
      <c r="DFD62" s="1222"/>
      <c r="DFE62" s="1222"/>
      <c r="DFF62" s="1222"/>
      <c r="DFG62" s="1222"/>
      <c r="DFH62" s="1222"/>
      <c r="DFI62" s="1222"/>
      <c r="DFJ62" s="1222"/>
      <c r="DFK62" s="1222"/>
      <c r="DFL62" s="1222"/>
      <c r="DFM62" s="1222"/>
      <c r="DFN62" s="1222"/>
      <c r="DFO62" s="1222"/>
      <c r="DFP62" s="1222"/>
      <c r="DFQ62" s="1222"/>
      <c r="DFR62" s="1222"/>
      <c r="DFS62" s="1222"/>
      <c r="DFT62" s="1222"/>
      <c r="DFU62" s="1222"/>
      <c r="DFV62" s="1222"/>
      <c r="DFW62" s="1222"/>
      <c r="DFX62" s="1222"/>
      <c r="DFY62" s="1222"/>
      <c r="DFZ62" s="1222"/>
      <c r="DGA62" s="1222"/>
      <c r="DGB62" s="1222"/>
      <c r="DGC62" s="1222"/>
      <c r="DGD62" s="1222"/>
      <c r="DGE62" s="1222"/>
      <c r="DGF62" s="1222"/>
      <c r="DGG62" s="1222"/>
      <c r="DGH62" s="1222"/>
      <c r="DGI62" s="1222"/>
      <c r="DGJ62" s="1222"/>
      <c r="DGK62" s="1222"/>
      <c r="DGL62" s="1222"/>
      <c r="DGM62" s="1222"/>
      <c r="DGN62" s="1222"/>
      <c r="DGO62" s="1222"/>
      <c r="DGP62" s="1222"/>
      <c r="DGQ62" s="1222"/>
      <c r="DGR62" s="1222"/>
      <c r="DGS62" s="1222"/>
      <c r="DGT62" s="1222"/>
      <c r="DGU62" s="1222"/>
      <c r="DGV62" s="1222"/>
      <c r="DGW62" s="1222"/>
      <c r="DGX62" s="1222"/>
      <c r="DGY62" s="1222"/>
      <c r="DGZ62" s="1222"/>
      <c r="DHA62" s="1222"/>
      <c r="DHB62" s="1222"/>
      <c r="DHC62" s="1222"/>
      <c r="DHD62" s="1222"/>
      <c r="DHE62" s="1222"/>
      <c r="DHF62" s="1222"/>
      <c r="DHG62" s="1222"/>
      <c r="DHH62" s="1222"/>
      <c r="DHI62" s="1222"/>
      <c r="DHJ62" s="1222"/>
      <c r="DHK62" s="1222"/>
      <c r="DHL62" s="1222"/>
      <c r="DHM62" s="1222"/>
      <c r="DHN62" s="1222"/>
      <c r="DHO62" s="1222"/>
      <c r="DHP62" s="1222"/>
      <c r="DHQ62" s="1222"/>
      <c r="DHR62" s="1222"/>
      <c r="DHS62" s="1222"/>
      <c r="DHT62" s="1222"/>
      <c r="DHU62" s="1222"/>
      <c r="DHV62" s="1222"/>
      <c r="DHW62" s="1222"/>
      <c r="DHX62" s="1222"/>
      <c r="DHY62" s="1222"/>
      <c r="DHZ62" s="1222"/>
      <c r="DIA62" s="1222"/>
      <c r="DIB62" s="1222"/>
      <c r="DIC62" s="1222"/>
      <c r="DID62" s="1222"/>
      <c r="DIE62" s="1222"/>
      <c r="DIF62" s="1222"/>
      <c r="DIG62" s="1222"/>
      <c r="DIH62" s="1222"/>
      <c r="DII62" s="1222"/>
      <c r="DIJ62" s="1222"/>
      <c r="DIK62" s="1222"/>
      <c r="DIL62" s="1222"/>
      <c r="DIM62" s="1222"/>
      <c r="DIN62" s="1222"/>
      <c r="DIO62" s="1222"/>
      <c r="DIP62" s="1222"/>
      <c r="DIQ62" s="1222"/>
      <c r="DIR62" s="1222"/>
      <c r="DIS62" s="1222"/>
      <c r="DIT62" s="1222"/>
      <c r="DIU62" s="1222"/>
      <c r="DIV62" s="1222"/>
      <c r="DIW62" s="1222"/>
      <c r="DIX62" s="1222"/>
      <c r="DIY62" s="1222"/>
      <c r="DIZ62" s="1222"/>
      <c r="DJA62" s="1222"/>
      <c r="DJB62" s="1222"/>
      <c r="DJC62" s="1222"/>
      <c r="DJD62" s="1222"/>
      <c r="DJE62" s="1222"/>
      <c r="DJF62" s="1222"/>
      <c r="DJG62" s="1222"/>
      <c r="DJH62" s="1222"/>
      <c r="DJI62" s="1222"/>
      <c r="DJJ62" s="1222"/>
      <c r="DJK62" s="1222"/>
      <c r="DJL62" s="1222"/>
      <c r="DJM62" s="1222"/>
      <c r="DJN62" s="1222"/>
      <c r="DJO62" s="1222"/>
      <c r="DJP62" s="1222"/>
      <c r="DJQ62" s="1222"/>
      <c r="DJR62" s="1222"/>
      <c r="DJS62" s="1222"/>
      <c r="DJT62" s="1222"/>
      <c r="DJU62" s="1222"/>
      <c r="DJV62" s="1222"/>
      <c r="DJW62" s="1222"/>
      <c r="DJX62" s="1222"/>
      <c r="DJY62" s="1222"/>
      <c r="DJZ62" s="1222"/>
      <c r="DKA62" s="1222"/>
      <c r="DKB62" s="1222"/>
      <c r="DKC62" s="1222"/>
      <c r="DKD62" s="1222"/>
      <c r="DKE62" s="1222"/>
      <c r="DKF62" s="1222"/>
      <c r="DKG62" s="1222"/>
      <c r="DKH62" s="1222"/>
      <c r="DKI62" s="1222"/>
      <c r="DKJ62" s="1222"/>
      <c r="DKK62" s="1222"/>
      <c r="DKL62" s="1222"/>
      <c r="DKM62" s="1222"/>
      <c r="DKN62" s="1222"/>
      <c r="DKO62" s="1222"/>
      <c r="DKP62" s="1222"/>
      <c r="DKQ62" s="1222"/>
      <c r="DKR62" s="1222"/>
      <c r="DKS62" s="1222"/>
      <c r="DKT62" s="1222"/>
      <c r="DKU62" s="1222"/>
      <c r="DKV62" s="1222"/>
      <c r="DKW62" s="1222"/>
      <c r="DKX62" s="1222"/>
      <c r="DKY62" s="1222"/>
      <c r="DKZ62" s="1222"/>
      <c r="DLA62" s="1222"/>
      <c r="DLB62" s="1222"/>
      <c r="DLC62" s="1222"/>
      <c r="DLD62" s="1222"/>
      <c r="DLE62" s="1222"/>
      <c r="DLF62" s="1222"/>
      <c r="DLG62" s="1222"/>
      <c r="DLH62" s="1222"/>
      <c r="DLI62" s="1222"/>
      <c r="DLJ62" s="1222"/>
      <c r="DLK62" s="1222"/>
      <c r="DLL62" s="1222"/>
      <c r="DLM62" s="1222"/>
      <c r="DLN62" s="1222"/>
      <c r="DLO62" s="1222"/>
      <c r="DLP62" s="1222"/>
      <c r="DLQ62" s="1222"/>
      <c r="DLR62" s="1222"/>
      <c r="DLS62" s="1222"/>
      <c r="DLT62" s="1222"/>
      <c r="DLU62" s="1222"/>
      <c r="DLV62" s="1222"/>
      <c r="DLW62" s="1222"/>
      <c r="DLX62" s="1222"/>
      <c r="DLY62" s="1222"/>
      <c r="DLZ62" s="1222"/>
      <c r="DMA62" s="1222"/>
      <c r="DMB62" s="1222"/>
      <c r="DMC62" s="1222"/>
      <c r="DMD62" s="1222"/>
      <c r="DME62" s="1222"/>
      <c r="DMF62" s="1222"/>
      <c r="DMG62" s="1222"/>
      <c r="DMH62" s="1222"/>
      <c r="DMI62" s="1222"/>
      <c r="DMJ62" s="1222"/>
      <c r="DMK62" s="1222"/>
      <c r="DML62" s="1222"/>
      <c r="DMM62" s="1222"/>
      <c r="DMN62" s="1222"/>
      <c r="DMO62" s="1222"/>
      <c r="DMP62" s="1222"/>
      <c r="DMQ62" s="1222"/>
      <c r="DMR62" s="1222"/>
      <c r="DMS62" s="1222"/>
      <c r="DMT62" s="1222"/>
      <c r="DMU62" s="1222"/>
      <c r="DMV62" s="1222"/>
      <c r="DMW62" s="1222"/>
      <c r="DMX62" s="1222"/>
      <c r="DMY62" s="1222"/>
      <c r="DMZ62" s="1222"/>
      <c r="DNA62" s="1222"/>
      <c r="DNB62" s="1222"/>
      <c r="DNC62" s="1222"/>
      <c r="DND62" s="1222"/>
      <c r="DNE62" s="1222"/>
      <c r="DNF62" s="1222"/>
      <c r="DNG62" s="1222"/>
      <c r="DNH62" s="1222"/>
      <c r="DNI62" s="1222"/>
      <c r="DNJ62" s="1222"/>
      <c r="DNK62" s="1222"/>
      <c r="DNL62" s="1222"/>
      <c r="DNM62" s="1222"/>
      <c r="DNN62" s="1222"/>
      <c r="DNO62" s="1222"/>
      <c r="DNP62" s="1222"/>
      <c r="DNQ62" s="1222"/>
      <c r="DNR62" s="1222"/>
      <c r="DNS62" s="1222"/>
      <c r="DNT62" s="1222"/>
      <c r="DNU62" s="1222"/>
      <c r="DNV62" s="1222"/>
      <c r="DNW62" s="1222"/>
      <c r="DNX62" s="1222"/>
      <c r="DNY62" s="1222"/>
      <c r="DNZ62" s="1222"/>
      <c r="DOA62" s="1222"/>
      <c r="DOB62" s="1222"/>
      <c r="DOC62" s="1222"/>
      <c r="DOD62" s="1222"/>
      <c r="DOE62" s="1222"/>
      <c r="DOF62" s="1222"/>
      <c r="DOG62" s="1222"/>
      <c r="DOH62" s="1222"/>
      <c r="DOI62" s="1222"/>
      <c r="DOJ62" s="1222"/>
      <c r="DOK62" s="1222"/>
      <c r="DOL62" s="1222"/>
      <c r="DOM62" s="1222"/>
      <c r="DON62" s="1222"/>
      <c r="DOO62" s="1222"/>
      <c r="DOP62" s="1222"/>
      <c r="DOQ62" s="1222"/>
      <c r="DOR62" s="1222"/>
      <c r="DOS62" s="1222"/>
      <c r="DOT62" s="1222"/>
      <c r="DOU62" s="1222"/>
      <c r="DOV62" s="1222"/>
      <c r="DOW62" s="1222"/>
      <c r="DOX62" s="1222"/>
      <c r="DOY62" s="1222"/>
      <c r="DOZ62" s="1222"/>
      <c r="DPA62" s="1222"/>
      <c r="DPB62" s="1222"/>
      <c r="DPC62" s="1222"/>
      <c r="DPD62" s="1222"/>
      <c r="DPE62" s="1222"/>
      <c r="DPF62" s="1222"/>
      <c r="DPG62" s="1222"/>
      <c r="DPH62" s="1222"/>
      <c r="DPI62" s="1222"/>
      <c r="DPJ62" s="1222"/>
      <c r="DPK62" s="1222"/>
      <c r="DPL62" s="1222"/>
      <c r="DPM62" s="1222"/>
      <c r="DPN62" s="1222"/>
      <c r="DPO62" s="1222"/>
      <c r="DPP62" s="1222"/>
      <c r="DPQ62" s="1222"/>
      <c r="DPR62" s="1222"/>
      <c r="DPS62" s="1222"/>
      <c r="DPT62" s="1222"/>
      <c r="DPU62" s="1222"/>
      <c r="DPV62" s="1222"/>
      <c r="DPW62" s="1222"/>
      <c r="DPX62" s="1222"/>
      <c r="DPY62" s="1222"/>
      <c r="DPZ62" s="1222"/>
      <c r="DQA62" s="1222"/>
      <c r="DQB62" s="1222"/>
      <c r="DQC62" s="1222"/>
      <c r="DQD62" s="1222"/>
      <c r="DQE62" s="1222"/>
      <c r="DQF62" s="1222"/>
      <c r="DQG62" s="1222"/>
      <c r="DQH62" s="1222"/>
      <c r="DQI62" s="1222"/>
      <c r="DQJ62" s="1222"/>
      <c r="DQK62" s="1222"/>
      <c r="DQL62" s="1222"/>
      <c r="DQM62" s="1222"/>
      <c r="DQN62" s="1222"/>
      <c r="DQO62" s="1222"/>
      <c r="DQP62" s="1222"/>
      <c r="DQQ62" s="1222"/>
      <c r="DQR62" s="1222"/>
      <c r="DQS62" s="1222"/>
      <c r="DQT62" s="1222"/>
      <c r="DQU62" s="1222"/>
      <c r="DQV62" s="1222"/>
      <c r="DQW62" s="1222"/>
      <c r="DQX62" s="1222"/>
      <c r="DQY62" s="1222"/>
      <c r="DQZ62" s="1222"/>
      <c r="DRA62" s="1222"/>
      <c r="DRB62" s="1222"/>
      <c r="DRC62" s="1222"/>
      <c r="DRD62" s="1222"/>
      <c r="DRE62" s="1222"/>
      <c r="DRF62" s="1222"/>
      <c r="DRG62" s="1222"/>
      <c r="DRH62" s="1222"/>
      <c r="DRI62" s="1222"/>
      <c r="DRJ62" s="1222"/>
      <c r="DRK62" s="1222"/>
      <c r="DRL62" s="1222"/>
      <c r="DRM62" s="1222"/>
      <c r="DRN62" s="1222"/>
      <c r="DRO62" s="1222"/>
      <c r="DRP62" s="1222"/>
      <c r="DRQ62" s="1222"/>
      <c r="DRR62" s="1222"/>
      <c r="DRS62" s="1222"/>
      <c r="DRT62" s="1222"/>
      <c r="DRU62" s="1222"/>
      <c r="DRV62" s="1222"/>
      <c r="DRW62" s="1222"/>
      <c r="DRX62" s="1222"/>
      <c r="DRY62" s="1222"/>
      <c r="DRZ62" s="1222"/>
      <c r="DSA62" s="1222"/>
      <c r="DSB62" s="1222"/>
      <c r="DSC62" s="1222"/>
      <c r="DSD62" s="1222"/>
      <c r="DSE62" s="1222"/>
      <c r="DSF62" s="1222"/>
      <c r="DSG62" s="1222"/>
      <c r="DSH62" s="1222"/>
      <c r="DSI62" s="1222"/>
      <c r="DSJ62" s="1222"/>
      <c r="DSK62" s="1222"/>
      <c r="DSL62" s="1222"/>
      <c r="DSM62" s="1222"/>
      <c r="DSN62" s="1222"/>
      <c r="DSO62" s="1222"/>
      <c r="DSP62" s="1222"/>
      <c r="DSQ62" s="1222"/>
      <c r="DSR62" s="1222"/>
      <c r="DSS62" s="1222"/>
      <c r="DST62" s="1222"/>
      <c r="DSU62" s="1222"/>
      <c r="DSV62" s="1222"/>
      <c r="DSW62" s="1222"/>
      <c r="DSX62" s="1222"/>
      <c r="DSY62" s="1222"/>
      <c r="DSZ62" s="1222"/>
      <c r="DTA62" s="1222"/>
      <c r="DTB62" s="1222"/>
      <c r="DTC62" s="1222"/>
      <c r="DTD62" s="1222"/>
      <c r="DTE62" s="1222"/>
      <c r="DTF62" s="1222"/>
      <c r="DTG62" s="1222"/>
      <c r="DTH62" s="1222"/>
      <c r="DTI62" s="1222"/>
      <c r="DTJ62" s="1222"/>
      <c r="DTK62" s="1222"/>
      <c r="DTL62" s="1222"/>
      <c r="DTM62" s="1222"/>
      <c r="DTN62" s="1222"/>
      <c r="DTO62" s="1222"/>
      <c r="DTP62" s="1222"/>
      <c r="DTQ62" s="1222"/>
      <c r="DTR62" s="1222"/>
      <c r="DTS62" s="1222"/>
      <c r="DTT62" s="1222"/>
      <c r="DTU62" s="1222"/>
      <c r="DTV62" s="1222"/>
      <c r="DTW62" s="1222"/>
      <c r="DTX62" s="1222"/>
      <c r="DTY62" s="1222"/>
      <c r="DTZ62" s="1222"/>
      <c r="DUA62" s="1222"/>
      <c r="DUB62" s="1222"/>
      <c r="DUC62" s="1222"/>
      <c r="DUD62" s="1222"/>
      <c r="DUE62" s="1222"/>
      <c r="DUF62" s="1222"/>
      <c r="DUG62" s="1222"/>
      <c r="DUH62" s="1222"/>
      <c r="DUI62" s="1222"/>
      <c r="DUJ62" s="1222"/>
      <c r="DUK62" s="1222"/>
      <c r="DUL62" s="1222"/>
      <c r="DUM62" s="1222"/>
      <c r="DUN62" s="1222"/>
      <c r="DUO62" s="1222"/>
      <c r="DUP62" s="1222"/>
      <c r="DUQ62" s="1222"/>
      <c r="DUR62" s="1222"/>
      <c r="DUS62" s="1222"/>
      <c r="DUT62" s="1222"/>
      <c r="DUU62" s="1222"/>
      <c r="DUV62" s="1222"/>
      <c r="DUW62" s="1222"/>
      <c r="DUX62" s="1222"/>
      <c r="DUY62" s="1222"/>
      <c r="DUZ62" s="1222"/>
      <c r="DVA62" s="1222"/>
      <c r="DVB62" s="1222"/>
      <c r="DVC62" s="1222"/>
      <c r="DVD62" s="1222"/>
      <c r="DVE62" s="1222"/>
      <c r="DVF62" s="1222"/>
      <c r="DVG62" s="1222"/>
      <c r="DVH62" s="1222"/>
      <c r="DVI62" s="1222"/>
      <c r="DVJ62" s="1222"/>
      <c r="DVK62" s="1222"/>
      <c r="DVL62" s="1222"/>
      <c r="DVM62" s="1222"/>
      <c r="DVN62" s="1222"/>
      <c r="DVO62" s="1222"/>
      <c r="DVP62" s="1222"/>
      <c r="DVQ62" s="1222"/>
      <c r="DVR62" s="1222"/>
      <c r="DVS62" s="1222"/>
      <c r="DVT62" s="1222"/>
      <c r="DVU62" s="1222"/>
      <c r="DVV62" s="1222"/>
      <c r="DVW62" s="1222"/>
      <c r="DVX62" s="1222"/>
      <c r="DVY62" s="1222"/>
      <c r="DVZ62" s="1222"/>
      <c r="DWA62" s="1222"/>
      <c r="DWB62" s="1222"/>
      <c r="DWC62" s="1222"/>
      <c r="DWD62" s="1222"/>
      <c r="DWE62" s="1222"/>
      <c r="DWF62" s="1222"/>
      <c r="DWG62" s="1222"/>
      <c r="DWH62" s="1222"/>
      <c r="DWI62" s="1222"/>
      <c r="DWJ62" s="1222"/>
      <c r="DWK62" s="1222"/>
      <c r="DWL62" s="1222"/>
      <c r="DWM62" s="1222"/>
      <c r="DWN62" s="1222"/>
      <c r="DWO62" s="1222"/>
      <c r="DWP62" s="1222"/>
      <c r="DWQ62" s="1222"/>
      <c r="DWR62" s="1222"/>
      <c r="DWS62" s="1222"/>
      <c r="DWT62" s="1222"/>
      <c r="DWU62" s="1222"/>
      <c r="DWV62" s="1222"/>
      <c r="DWW62" s="1222"/>
      <c r="DWX62" s="1222"/>
      <c r="DWY62" s="1222"/>
      <c r="DWZ62" s="1222"/>
      <c r="DXA62" s="1222"/>
      <c r="DXB62" s="1222"/>
      <c r="DXC62" s="1222"/>
      <c r="DXD62" s="1222"/>
      <c r="DXE62" s="1222"/>
      <c r="DXF62" s="1222"/>
      <c r="DXG62" s="1222"/>
      <c r="DXH62" s="1222"/>
      <c r="DXI62" s="1222"/>
      <c r="DXJ62" s="1222"/>
      <c r="DXK62" s="1222"/>
      <c r="DXL62" s="1222"/>
      <c r="DXM62" s="1222"/>
      <c r="DXN62" s="1222"/>
      <c r="DXO62" s="1222"/>
      <c r="DXP62" s="1222"/>
      <c r="DXQ62" s="1222"/>
      <c r="DXR62" s="1222"/>
      <c r="DXS62" s="1222"/>
      <c r="DXT62" s="1222"/>
      <c r="DXU62" s="1222"/>
      <c r="DXV62" s="1222"/>
      <c r="DXW62" s="1222"/>
      <c r="DXX62" s="1222"/>
      <c r="DXY62" s="1222"/>
      <c r="DXZ62" s="1222"/>
      <c r="DYA62" s="1222"/>
      <c r="DYB62" s="1222"/>
      <c r="DYC62" s="1222"/>
      <c r="DYD62" s="1222"/>
      <c r="DYE62" s="1222"/>
      <c r="DYF62" s="1222"/>
      <c r="DYG62" s="1222"/>
      <c r="DYH62" s="1222"/>
      <c r="DYI62" s="1222"/>
      <c r="DYJ62" s="1222"/>
      <c r="DYK62" s="1222"/>
      <c r="DYL62" s="1222"/>
      <c r="DYM62" s="1222"/>
      <c r="DYN62" s="1222"/>
      <c r="DYO62" s="1222"/>
      <c r="DYP62" s="1222"/>
      <c r="DYQ62" s="1222"/>
      <c r="DYR62" s="1222"/>
      <c r="DYS62" s="1222"/>
      <c r="DYT62" s="1222"/>
      <c r="DYU62" s="1222"/>
      <c r="DYV62" s="1222"/>
      <c r="DYW62" s="1222"/>
      <c r="DYX62" s="1222"/>
      <c r="DYY62" s="1222"/>
      <c r="DYZ62" s="1222"/>
      <c r="DZA62" s="1222"/>
      <c r="DZB62" s="1222"/>
      <c r="DZC62" s="1222"/>
      <c r="DZD62" s="1222"/>
      <c r="DZE62" s="1222"/>
      <c r="DZF62" s="1222"/>
      <c r="DZG62" s="1222"/>
      <c r="DZH62" s="1222"/>
      <c r="DZI62" s="1222"/>
      <c r="DZJ62" s="1222"/>
      <c r="DZK62" s="1222"/>
      <c r="DZL62" s="1222"/>
      <c r="DZM62" s="1222"/>
      <c r="DZN62" s="1222"/>
      <c r="DZO62" s="1222"/>
      <c r="DZP62" s="1222"/>
      <c r="DZQ62" s="1222"/>
      <c r="DZR62" s="1222"/>
      <c r="DZS62" s="1222"/>
      <c r="DZT62" s="1222"/>
      <c r="DZU62" s="1222"/>
      <c r="DZV62" s="1222"/>
      <c r="DZW62" s="1222"/>
      <c r="DZX62" s="1222"/>
      <c r="DZY62" s="1222"/>
      <c r="DZZ62" s="1222"/>
      <c r="EAA62" s="1222"/>
      <c r="EAB62" s="1222"/>
      <c r="EAC62" s="1222"/>
      <c r="EAD62" s="1222"/>
      <c r="EAE62" s="1222"/>
      <c r="EAF62" s="1222"/>
      <c r="EAG62" s="1222"/>
      <c r="EAH62" s="1222"/>
      <c r="EAI62" s="1222"/>
      <c r="EAJ62" s="1222"/>
      <c r="EAK62" s="1222"/>
      <c r="EAL62" s="1222"/>
      <c r="EAM62" s="1222"/>
      <c r="EAN62" s="1222"/>
      <c r="EAO62" s="1222"/>
      <c r="EAP62" s="1222"/>
      <c r="EAQ62" s="1222"/>
      <c r="EAR62" s="1222"/>
      <c r="EAS62" s="1222"/>
      <c r="EAT62" s="1222"/>
      <c r="EAU62" s="1222"/>
      <c r="EAV62" s="1222"/>
      <c r="EAW62" s="1222"/>
      <c r="EAX62" s="1222"/>
      <c r="EAY62" s="1222"/>
      <c r="EAZ62" s="1222"/>
      <c r="EBA62" s="1222"/>
      <c r="EBB62" s="1222"/>
      <c r="EBC62" s="1222"/>
      <c r="EBD62" s="1222"/>
      <c r="EBE62" s="1222"/>
      <c r="EBF62" s="1222"/>
      <c r="EBG62" s="1222"/>
      <c r="EBH62" s="1222"/>
      <c r="EBI62" s="1222"/>
      <c r="EBJ62" s="1222"/>
      <c r="EBK62" s="1222"/>
      <c r="EBL62" s="1222"/>
      <c r="EBM62" s="1222"/>
      <c r="EBN62" s="1222"/>
      <c r="EBO62" s="1222"/>
      <c r="EBP62" s="1222"/>
      <c r="EBQ62" s="1222"/>
      <c r="EBR62" s="1222"/>
      <c r="EBS62" s="1222"/>
      <c r="EBT62" s="1222"/>
      <c r="EBU62" s="1222"/>
      <c r="EBV62" s="1222"/>
      <c r="EBW62" s="1222"/>
      <c r="EBX62" s="1222"/>
      <c r="EBY62" s="1222"/>
      <c r="EBZ62" s="1222"/>
      <c r="ECA62" s="1222"/>
      <c r="ECB62" s="1222"/>
      <c r="ECC62" s="1222"/>
      <c r="ECD62" s="1222"/>
      <c r="ECE62" s="1222"/>
      <c r="ECF62" s="1222"/>
      <c r="ECG62" s="1222"/>
      <c r="ECH62" s="1222"/>
      <c r="ECI62" s="1222"/>
      <c r="ECJ62" s="1222"/>
      <c r="ECK62" s="1222"/>
      <c r="ECL62" s="1222"/>
      <c r="ECM62" s="1222"/>
      <c r="ECN62" s="1222"/>
      <c r="ECO62" s="1222"/>
    </row>
    <row r="63" spans="2:3473" ht="16" thickBot="1">
      <c r="B63" s="1217"/>
      <c r="C63" s="1313"/>
      <c r="D63" s="1313"/>
      <c r="E63" s="1313"/>
      <c r="F63" s="1313"/>
      <c r="G63" s="1313"/>
      <c r="H63" s="1313"/>
      <c r="I63" s="1313"/>
      <c r="J63" s="1313"/>
      <c r="K63" s="1313"/>
      <c r="L63" s="1313"/>
      <c r="M63" s="1313"/>
      <c r="N63" s="1313"/>
      <c r="O63" s="1313"/>
      <c r="P63" s="1313"/>
      <c r="Q63" s="1313"/>
      <c r="R63" s="1313"/>
      <c r="S63" s="1313"/>
      <c r="T63" s="1313"/>
      <c r="U63" s="1313"/>
      <c r="V63" s="1313"/>
      <c r="W63" s="1313"/>
      <c r="X63" s="1313"/>
      <c r="Y63" s="1313"/>
      <c r="Z63" s="1313"/>
      <c r="AA63" s="1313"/>
      <c r="AB63" s="1313"/>
      <c r="AC63" s="1313"/>
      <c r="AD63" s="1314"/>
      <c r="AE63" s="1314"/>
      <c r="AF63" s="1315"/>
      <c r="AG63" s="1315"/>
      <c r="AH63" s="1315"/>
      <c r="AI63" s="1315"/>
      <c r="AJ63" s="1315"/>
      <c r="AK63" s="1315"/>
      <c r="AL63" s="1315"/>
      <c r="AM63" s="1315"/>
      <c r="AN63" s="1315"/>
      <c r="AO63" s="1315"/>
      <c r="AP63" s="1315"/>
      <c r="AQ63" s="1315"/>
      <c r="AR63" s="1315"/>
      <c r="AS63" s="1315"/>
      <c r="AT63" s="1315"/>
      <c r="AU63" s="1315"/>
      <c r="AV63" s="1315"/>
      <c r="AW63" s="1315"/>
      <c r="AX63" s="1315"/>
      <c r="AY63" s="1315"/>
      <c r="AZ63" s="1315"/>
      <c r="BA63" s="1315"/>
      <c r="BB63" s="1315"/>
      <c r="BC63" s="1315"/>
      <c r="BD63" s="1315"/>
      <c r="BE63" s="1315"/>
      <c r="BF63" s="1315"/>
      <c r="BG63" s="1315"/>
      <c r="BH63" s="1315"/>
      <c r="BI63" s="1315"/>
      <c r="BJ63" s="1217"/>
      <c r="BK63" s="1217"/>
      <c r="BL63" s="1217"/>
      <c r="BM63" s="1217"/>
      <c r="BN63" s="1221"/>
      <c r="BO63" s="1221"/>
      <c r="BP63" s="1221"/>
      <c r="BQ63" s="1221"/>
      <c r="BR63" s="1222"/>
      <c r="BS63" s="1222"/>
      <c r="BT63" s="1222"/>
      <c r="BU63" s="1222"/>
      <c r="BV63" s="1222"/>
      <c r="BW63" s="1222"/>
      <c r="BX63" s="1222"/>
      <c r="BY63" s="1222"/>
      <c r="BZ63" s="1222"/>
      <c r="CA63" s="1222"/>
      <c r="CB63" s="1222"/>
      <c r="CC63" s="1222"/>
      <c r="CD63" s="1222"/>
      <c r="CE63" s="1222"/>
      <c r="CF63" s="1222"/>
      <c r="CG63" s="1222"/>
      <c r="CH63" s="1222"/>
      <c r="CI63" s="1222"/>
      <c r="CJ63" s="1222"/>
      <c r="CK63" s="1222"/>
      <c r="CL63" s="1222"/>
      <c r="CM63" s="1222"/>
      <c r="CN63" s="1222"/>
      <c r="CO63" s="1222"/>
      <c r="CP63" s="1222"/>
      <c r="CQ63" s="1222"/>
      <c r="CR63" s="1222"/>
      <c r="CS63" s="1222"/>
      <c r="CT63" s="1222"/>
      <c r="CU63" s="1222"/>
      <c r="CV63" s="1222"/>
      <c r="CW63" s="1222"/>
      <c r="CX63" s="1222"/>
      <c r="CY63" s="1222"/>
      <c r="CZ63" s="1222"/>
      <c r="DA63" s="1222"/>
      <c r="DB63" s="1222"/>
      <c r="DC63" s="1222"/>
      <c r="DD63" s="1222"/>
      <c r="DE63" s="1222"/>
      <c r="DF63" s="1222"/>
      <c r="DG63" s="1222"/>
      <c r="DH63" s="1222"/>
      <c r="DI63" s="1222"/>
      <c r="DJ63" s="1222"/>
      <c r="DK63" s="1222"/>
      <c r="DL63" s="1222"/>
      <c r="DM63" s="1222"/>
      <c r="DN63" s="1222"/>
      <c r="DO63" s="1222"/>
      <c r="DP63" s="1222"/>
      <c r="DQ63" s="1222"/>
      <c r="DR63" s="1222"/>
      <c r="DS63" s="1222"/>
      <c r="DT63" s="1222"/>
      <c r="DU63" s="1222"/>
      <c r="DV63" s="1222"/>
      <c r="DW63" s="1222"/>
      <c r="DX63" s="1222"/>
      <c r="DY63" s="1222"/>
      <c r="DZ63" s="1222"/>
      <c r="EA63" s="1222"/>
      <c r="EB63" s="1222"/>
      <c r="EC63" s="1222"/>
      <c r="ED63" s="1222"/>
      <c r="EE63" s="1222"/>
      <c r="EF63" s="1222"/>
      <c r="EG63" s="1222"/>
      <c r="EH63" s="1222"/>
      <c r="EI63" s="1222"/>
      <c r="EJ63" s="1222"/>
      <c r="EK63" s="1222"/>
      <c r="EL63" s="1222"/>
      <c r="EM63" s="1222"/>
      <c r="EN63" s="1222"/>
      <c r="EO63" s="1222"/>
      <c r="EP63" s="1222"/>
      <c r="EQ63" s="1222"/>
      <c r="ER63" s="1222"/>
      <c r="ES63" s="1222"/>
      <c r="ET63" s="1222"/>
      <c r="EU63" s="1222"/>
      <c r="EV63" s="1222"/>
      <c r="EW63" s="1222"/>
      <c r="EX63" s="1222"/>
      <c r="EY63" s="1222"/>
      <c r="EZ63" s="1222"/>
      <c r="FA63" s="1222"/>
      <c r="FB63" s="1222"/>
      <c r="FC63" s="1222"/>
      <c r="FD63" s="1222"/>
      <c r="FE63" s="1222"/>
      <c r="FF63" s="1222"/>
      <c r="FG63" s="1222"/>
      <c r="FH63" s="1222"/>
      <c r="FI63" s="1222"/>
      <c r="FJ63" s="1222"/>
      <c r="FK63" s="1222"/>
      <c r="FL63" s="1222"/>
      <c r="FM63" s="1222"/>
      <c r="FN63" s="1222"/>
      <c r="FO63" s="1222"/>
      <c r="FP63" s="1222"/>
      <c r="FQ63" s="1222"/>
      <c r="FR63" s="1222"/>
      <c r="FS63" s="1222"/>
      <c r="FT63" s="1222"/>
      <c r="FU63" s="1222"/>
      <c r="FV63" s="1222"/>
      <c r="FW63" s="1222"/>
      <c r="FX63" s="1222"/>
      <c r="FY63" s="1222"/>
      <c r="FZ63" s="1222"/>
      <c r="GA63" s="1222"/>
      <c r="GB63" s="1222"/>
      <c r="GC63" s="1222"/>
      <c r="GD63" s="1222"/>
      <c r="GE63" s="1222"/>
      <c r="GF63" s="1222"/>
      <c r="GG63" s="1222"/>
      <c r="GH63" s="1222"/>
      <c r="GI63" s="1222"/>
      <c r="GJ63" s="1222"/>
      <c r="GK63" s="1222"/>
      <c r="GL63" s="1222"/>
      <c r="GM63" s="1222"/>
      <c r="GN63" s="1222"/>
      <c r="GO63" s="1222"/>
      <c r="GP63" s="1222"/>
      <c r="GQ63" s="1222"/>
      <c r="GR63" s="1222"/>
      <c r="GS63" s="1222"/>
      <c r="GT63" s="1222"/>
      <c r="GU63" s="1222"/>
      <c r="GV63" s="1222"/>
      <c r="GW63" s="1222"/>
      <c r="GX63" s="1222"/>
      <c r="GY63" s="1222"/>
      <c r="GZ63" s="1222"/>
      <c r="HA63" s="1222"/>
      <c r="HB63" s="1222"/>
      <c r="HC63" s="1222"/>
      <c r="HD63" s="1222"/>
      <c r="HE63" s="1222"/>
      <c r="HF63" s="1222"/>
      <c r="HG63" s="1222"/>
      <c r="HH63" s="1222"/>
      <c r="HI63" s="1222"/>
      <c r="HJ63" s="1222"/>
      <c r="HK63" s="1222"/>
      <c r="HL63" s="1222"/>
      <c r="HM63" s="1222"/>
      <c r="HN63" s="1222"/>
      <c r="HO63" s="1222"/>
      <c r="HP63" s="1222"/>
      <c r="HQ63" s="1222"/>
      <c r="HR63" s="1222"/>
      <c r="HS63" s="1222"/>
      <c r="HT63" s="1222"/>
      <c r="HU63" s="1222"/>
      <c r="HV63" s="1222"/>
      <c r="HW63" s="1222"/>
      <c r="HX63" s="1222"/>
      <c r="HY63" s="1222"/>
      <c r="HZ63" s="1222"/>
      <c r="IA63" s="1222"/>
      <c r="IB63" s="1222"/>
      <c r="IC63" s="1222"/>
      <c r="ID63" s="1222"/>
      <c r="IE63" s="1222"/>
      <c r="IF63" s="1222"/>
      <c r="IG63" s="1222"/>
      <c r="IH63" s="1222"/>
      <c r="II63" s="1222"/>
      <c r="IJ63" s="1222"/>
      <c r="IK63" s="1222"/>
      <c r="IL63" s="1222"/>
      <c r="IM63" s="1222"/>
      <c r="IN63" s="1222"/>
      <c r="IO63" s="1222"/>
      <c r="IP63" s="1222"/>
      <c r="IQ63" s="1222"/>
      <c r="IR63" s="1222"/>
      <c r="IS63" s="1222"/>
      <c r="IT63" s="1222"/>
      <c r="IU63" s="1222"/>
      <c r="IV63" s="1222"/>
      <c r="IW63" s="1222"/>
      <c r="IX63" s="1222"/>
      <c r="IY63" s="1222"/>
      <c r="IZ63" s="1222"/>
      <c r="JA63" s="1222"/>
      <c r="JB63" s="1222"/>
      <c r="JC63" s="1222"/>
      <c r="JD63" s="1222"/>
      <c r="JE63" s="1222"/>
      <c r="JF63" s="1222"/>
      <c r="JG63" s="1222"/>
      <c r="JH63" s="1222"/>
      <c r="JI63" s="1222"/>
      <c r="JJ63" s="1222"/>
      <c r="JK63" s="1222"/>
      <c r="JL63" s="1222"/>
      <c r="JM63" s="1222"/>
      <c r="JN63" s="1222"/>
      <c r="JO63" s="1222"/>
      <c r="JP63" s="1222"/>
      <c r="JQ63" s="1222"/>
      <c r="JR63" s="1222"/>
      <c r="JS63" s="1222"/>
      <c r="JT63" s="1222"/>
      <c r="JU63" s="1222"/>
      <c r="JV63" s="1222"/>
      <c r="JW63" s="1222"/>
      <c r="JX63" s="1222"/>
      <c r="JY63" s="1222"/>
      <c r="JZ63" s="1222"/>
      <c r="KA63" s="1222"/>
      <c r="KB63" s="1222"/>
      <c r="KC63" s="1222"/>
      <c r="KD63" s="1222"/>
      <c r="KE63" s="1222"/>
      <c r="KF63" s="1222"/>
      <c r="KG63" s="1222"/>
      <c r="KH63" s="1222"/>
      <c r="KI63" s="1222"/>
      <c r="KJ63" s="1222"/>
      <c r="KK63" s="1222"/>
      <c r="KL63" s="1222"/>
      <c r="KM63" s="1222"/>
      <c r="KN63" s="1222"/>
      <c r="KO63" s="1222"/>
      <c r="KP63" s="1222"/>
      <c r="KQ63" s="1222"/>
      <c r="KR63" s="1222"/>
      <c r="KS63" s="1222"/>
      <c r="KT63" s="1222"/>
      <c r="KU63" s="1222"/>
      <c r="KV63" s="1222"/>
      <c r="KW63" s="1222"/>
      <c r="KX63" s="1222"/>
      <c r="KY63" s="1222"/>
      <c r="KZ63" s="1222"/>
      <c r="LA63" s="1222"/>
      <c r="LB63" s="1222"/>
      <c r="LC63" s="1222"/>
      <c r="LD63" s="1222"/>
      <c r="LE63" s="1222"/>
      <c r="LF63" s="1222"/>
      <c r="LG63" s="1222"/>
      <c r="LH63" s="1222"/>
      <c r="LI63" s="1222"/>
      <c r="LJ63" s="1222"/>
      <c r="LK63" s="1222"/>
      <c r="LL63" s="1222"/>
      <c r="LM63" s="1222"/>
      <c r="LN63" s="1222"/>
      <c r="LO63" s="1222"/>
      <c r="LP63" s="1222"/>
      <c r="LQ63" s="1222"/>
      <c r="LR63" s="1222"/>
      <c r="LS63" s="1222"/>
      <c r="LT63" s="1222"/>
      <c r="LU63" s="1222"/>
      <c r="LV63" s="1222"/>
      <c r="LW63" s="1222"/>
      <c r="LX63" s="1222"/>
      <c r="LY63" s="1222"/>
      <c r="LZ63" s="1222"/>
      <c r="MA63" s="1222"/>
      <c r="MB63" s="1222"/>
      <c r="MC63" s="1222"/>
      <c r="MD63" s="1222"/>
      <c r="ME63" s="1222"/>
      <c r="MF63" s="1222"/>
      <c r="MG63" s="1222"/>
      <c r="MH63" s="1222"/>
      <c r="MI63" s="1222"/>
      <c r="MJ63" s="1222"/>
      <c r="MK63" s="1222"/>
      <c r="ML63" s="1222"/>
      <c r="MM63" s="1222"/>
      <c r="MN63" s="1222"/>
      <c r="MO63" s="1222"/>
      <c r="MP63" s="1222"/>
      <c r="MQ63" s="1222"/>
      <c r="MR63" s="1222"/>
      <c r="MS63" s="1222"/>
      <c r="MT63" s="1222"/>
      <c r="MU63" s="1222"/>
      <c r="MV63" s="1222"/>
      <c r="MW63" s="1222"/>
      <c r="MX63" s="1222"/>
      <c r="MY63" s="1222"/>
      <c r="MZ63" s="1222"/>
      <c r="NA63" s="1222"/>
      <c r="NB63" s="1222"/>
      <c r="NC63" s="1222"/>
      <c r="ND63" s="1222"/>
      <c r="NE63" s="1222"/>
      <c r="NF63" s="1222"/>
      <c r="NG63" s="1222"/>
      <c r="NH63" s="1222"/>
      <c r="NI63" s="1222"/>
      <c r="NJ63" s="1222"/>
      <c r="NK63" s="1222"/>
      <c r="NL63" s="1222"/>
      <c r="NM63" s="1222"/>
      <c r="NN63" s="1222"/>
      <c r="NO63" s="1222"/>
      <c r="NP63" s="1222"/>
      <c r="NQ63" s="1222"/>
      <c r="NR63" s="1222"/>
      <c r="NS63" s="1222"/>
      <c r="NT63" s="1222"/>
      <c r="NU63" s="1222"/>
      <c r="NV63" s="1222"/>
      <c r="NW63" s="1222"/>
      <c r="NX63" s="1222"/>
      <c r="NY63" s="1222"/>
      <c r="NZ63" s="1222"/>
      <c r="OA63" s="1222"/>
      <c r="OB63" s="1222"/>
      <c r="OC63" s="1222"/>
      <c r="OD63" s="1222"/>
      <c r="OE63" s="1222"/>
      <c r="OF63" s="1222"/>
      <c r="OG63" s="1222"/>
      <c r="OH63" s="1222"/>
      <c r="OI63" s="1222"/>
      <c r="OJ63" s="1222"/>
      <c r="OK63" s="1222"/>
      <c r="OL63" s="1222"/>
      <c r="OM63" s="1222"/>
      <c r="ON63" s="1222"/>
      <c r="OO63" s="1222"/>
      <c r="OP63" s="1222"/>
      <c r="OQ63" s="1222"/>
      <c r="OR63" s="1222"/>
      <c r="OS63" s="1222"/>
      <c r="OT63" s="1222"/>
      <c r="OU63" s="1222"/>
      <c r="OV63" s="1222"/>
      <c r="OW63" s="1222"/>
      <c r="OX63" s="1222"/>
      <c r="OY63" s="1222"/>
      <c r="OZ63" s="1222"/>
      <c r="PA63" s="1222"/>
      <c r="PB63" s="1222"/>
      <c r="PC63" s="1222"/>
      <c r="PD63" s="1222"/>
      <c r="PE63" s="1222"/>
      <c r="PF63" s="1222"/>
      <c r="PG63" s="1222"/>
      <c r="PH63" s="1222"/>
      <c r="PI63" s="1222"/>
      <c r="PJ63" s="1222"/>
      <c r="PK63" s="1222"/>
      <c r="PL63" s="1222"/>
      <c r="PM63" s="1222"/>
      <c r="PN63" s="1222"/>
      <c r="PO63" s="1222"/>
      <c r="PP63" s="1222"/>
      <c r="PQ63" s="1222"/>
      <c r="PR63" s="1222"/>
      <c r="PS63" s="1222"/>
      <c r="PT63" s="1222"/>
      <c r="PU63" s="1222"/>
      <c r="PV63" s="1222"/>
      <c r="PW63" s="1222"/>
      <c r="PX63" s="1222"/>
      <c r="PY63" s="1222"/>
      <c r="PZ63" s="1222"/>
      <c r="QA63" s="1222"/>
      <c r="QB63" s="1222"/>
      <c r="QC63" s="1222"/>
      <c r="QD63" s="1222"/>
      <c r="QE63" s="1222"/>
      <c r="QF63" s="1222"/>
      <c r="QG63" s="1222"/>
      <c r="QH63" s="1222"/>
      <c r="QI63" s="1222"/>
      <c r="QJ63" s="1222"/>
      <c r="QK63" s="1222"/>
      <c r="QL63" s="1222"/>
      <c r="QM63" s="1222"/>
      <c r="QN63" s="1222"/>
      <c r="QO63" s="1222"/>
      <c r="QP63" s="1222"/>
      <c r="QQ63" s="1222"/>
      <c r="QR63" s="1222"/>
      <c r="QS63" s="1222"/>
      <c r="QT63" s="1222"/>
      <c r="QU63" s="1222"/>
      <c r="QV63" s="1222"/>
      <c r="QW63" s="1222"/>
      <c r="QX63" s="1222"/>
      <c r="QY63" s="1222"/>
      <c r="QZ63" s="1222"/>
      <c r="RA63" s="1222"/>
      <c r="RB63" s="1222"/>
      <c r="RC63" s="1222"/>
      <c r="RD63" s="1222"/>
      <c r="RE63" s="1222"/>
      <c r="RF63" s="1222"/>
      <c r="RG63" s="1222"/>
      <c r="RH63" s="1222"/>
      <c r="RI63" s="1222"/>
      <c r="RJ63" s="1222"/>
      <c r="RK63" s="1222"/>
      <c r="RL63" s="1222"/>
      <c r="RM63" s="1222"/>
      <c r="RN63" s="1222"/>
      <c r="RO63" s="1222"/>
      <c r="RP63" s="1222"/>
      <c r="RQ63" s="1222"/>
      <c r="RR63" s="1222"/>
      <c r="RS63" s="1222"/>
      <c r="RT63" s="1222"/>
      <c r="RU63" s="1222"/>
      <c r="RV63" s="1222"/>
      <c r="RW63" s="1222"/>
      <c r="RX63" s="1222"/>
      <c r="RY63" s="1222"/>
      <c r="RZ63" s="1222"/>
      <c r="SA63" s="1222"/>
      <c r="SB63" s="1222"/>
      <c r="SC63" s="1222"/>
      <c r="SD63" s="1222"/>
      <c r="SE63" s="1222"/>
      <c r="SF63" s="1222"/>
      <c r="SG63" s="1222"/>
      <c r="SH63" s="1222"/>
      <c r="SI63" s="1222"/>
      <c r="SJ63" s="1222"/>
      <c r="SK63" s="1222"/>
      <c r="SL63" s="1222"/>
      <c r="SM63" s="1222"/>
      <c r="SN63" s="1222"/>
      <c r="SO63" s="1222"/>
      <c r="SP63" s="1222"/>
      <c r="SQ63" s="1222"/>
      <c r="SR63" s="1222"/>
      <c r="SS63" s="1222"/>
      <c r="ST63" s="1222"/>
      <c r="SU63" s="1222"/>
      <c r="SV63" s="1222"/>
      <c r="SW63" s="1222"/>
      <c r="SX63" s="1222"/>
      <c r="SY63" s="1222"/>
      <c r="SZ63" s="1222"/>
      <c r="TA63" s="1222"/>
      <c r="TB63" s="1222"/>
      <c r="TC63" s="1222"/>
      <c r="TD63" s="1222"/>
      <c r="TE63" s="1222"/>
      <c r="TF63" s="1222"/>
      <c r="TG63" s="1222"/>
      <c r="TH63" s="1222"/>
      <c r="TI63" s="1222"/>
      <c r="TJ63" s="1222"/>
      <c r="TK63" s="1222"/>
      <c r="TL63" s="1222"/>
      <c r="TM63" s="1222"/>
      <c r="TN63" s="1222"/>
      <c r="TO63" s="1222"/>
      <c r="TP63" s="1222"/>
      <c r="TQ63" s="1222"/>
      <c r="TR63" s="1222"/>
      <c r="TS63" s="1222"/>
      <c r="TT63" s="1222"/>
      <c r="TU63" s="1222"/>
      <c r="TV63" s="1222"/>
      <c r="TW63" s="1222"/>
      <c r="TX63" s="1222"/>
      <c r="TY63" s="1222"/>
      <c r="TZ63" s="1222"/>
      <c r="UA63" s="1222"/>
      <c r="UB63" s="1222"/>
      <c r="UC63" s="1222"/>
      <c r="UD63" s="1222"/>
      <c r="UE63" s="1222"/>
      <c r="UF63" s="1222"/>
      <c r="UG63" s="1222"/>
      <c r="UH63" s="1222"/>
      <c r="UI63" s="1222"/>
      <c r="UJ63" s="1222"/>
      <c r="UK63" s="1222"/>
      <c r="UL63" s="1222"/>
      <c r="UM63" s="1222"/>
      <c r="UN63" s="1222"/>
      <c r="UO63" s="1222"/>
      <c r="UP63" s="1222"/>
      <c r="UQ63" s="1222"/>
      <c r="UR63" s="1222"/>
      <c r="US63" s="1222"/>
      <c r="UT63" s="1222"/>
      <c r="UU63" s="1222"/>
      <c r="UV63" s="1222"/>
      <c r="UW63" s="1222"/>
      <c r="UX63" s="1222"/>
      <c r="UY63" s="1222"/>
      <c r="UZ63" s="1222"/>
      <c r="VA63" s="1222"/>
      <c r="VB63" s="1222"/>
      <c r="VC63" s="1222"/>
      <c r="VD63" s="1222"/>
      <c r="VE63" s="1222"/>
      <c r="VF63" s="1222"/>
      <c r="VG63" s="1222"/>
      <c r="VH63" s="1222"/>
      <c r="VI63" s="1222"/>
      <c r="VJ63" s="1222"/>
      <c r="VK63" s="1222"/>
      <c r="VL63" s="1222"/>
      <c r="VM63" s="1222"/>
      <c r="VN63" s="1222"/>
      <c r="VO63" s="1222"/>
      <c r="VP63" s="1222"/>
      <c r="VQ63" s="1222"/>
      <c r="VR63" s="1222"/>
      <c r="VS63" s="1222"/>
      <c r="VT63" s="1222"/>
      <c r="VU63" s="1222"/>
      <c r="VV63" s="1222"/>
      <c r="VW63" s="1222"/>
      <c r="VX63" s="1222"/>
      <c r="VY63" s="1222"/>
      <c r="VZ63" s="1222"/>
      <c r="WA63" s="1222"/>
      <c r="WB63" s="1222"/>
      <c r="WC63" s="1222"/>
      <c r="WD63" s="1222"/>
      <c r="WE63" s="1222"/>
      <c r="WF63" s="1222"/>
      <c r="WG63" s="1222"/>
      <c r="WH63" s="1222"/>
      <c r="WI63" s="1222"/>
      <c r="WJ63" s="1222"/>
      <c r="WK63" s="1222"/>
      <c r="WL63" s="1222"/>
      <c r="WM63" s="1222"/>
      <c r="WN63" s="1222"/>
      <c r="WO63" s="1222"/>
      <c r="WP63" s="1222"/>
      <c r="WQ63" s="1222"/>
      <c r="WR63" s="1222"/>
      <c r="WS63" s="1222"/>
      <c r="WT63" s="1222"/>
      <c r="WU63" s="1222"/>
      <c r="WV63" s="1222"/>
      <c r="WW63" s="1222"/>
      <c r="WX63" s="1222"/>
      <c r="WY63" s="1222"/>
      <c r="WZ63" s="1222"/>
      <c r="XA63" s="1222"/>
      <c r="XB63" s="1222"/>
      <c r="XC63" s="1222"/>
      <c r="XD63" s="1222"/>
      <c r="XE63" s="1222"/>
      <c r="XF63" s="1222"/>
      <c r="XG63" s="1222"/>
      <c r="XH63" s="1222"/>
      <c r="XI63" s="1222"/>
      <c r="XJ63" s="1222"/>
      <c r="XK63" s="1222"/>
      <c r="XL63" s="1222"/>
      <c r="XM63" s="1222"/>
      <c r="XN63" s="1222"/>
      <c r="XO63" s="1222"/>
      <c r="XP63" s="1222"/>
      <c r="XQ63" s="1222"/>
      <c r="XR63" s="1222"/>
      <c r="XS63" s="1222"/>
      <c r="XT63" s="1222"/>
      <c r="XU63" s="1222"/>
      <c r="XV63" s="1222"/>
      <c r="XW63" s="1222"/>
      <c r="XX63" s="1222"/>
      <c r="XY63" s="1222"/>
      <c r="XZ63" s="1222"/>
      <c r="YA63" s="1222"/>
      <c r="YB63" s="1222"/>
      <c r="YC63" s="1222"/>
      <c r="YD63" s="1222"/>
      <c r="YE63" s="1222"/>
      <c r="YF63" s="1222"/>
      <c r="YG63" s="1222"/>
      <c r="YH63" s="1222"/>
      <c r="YI63" s="1222"/>
      <c r="YJ63" s="1222"/>
      <c r="YK63" s="1222"/>
      <c r="YL63" s="1222"/>
      <c r="YM63" s="1222"/>
      <c r="YN63" s="1222"/>
      <c r="YO63" s="1222"/>
      <c r="YP63" s="1222"/>
      <c r="YQ63" s="1222"/>
      <c r="YR63" s="1222"/>
      <c r="YS63" s="1222"/>
      <c r="YT63" s="1222"/>
      <c r="YU63" s="1222"/>
      <c r="YV63" s="1222"/>
      <c r="YW63" s="1222"/>
      <c r="YX63" s="1222"/>
      <c r="YY63" s="1222"/>
      <c r="YZ63" s="1222"/>
      <c r="ZA63" s="1222"/>
      <c r="ZB63" s="1222"/>
      <c r="ZC63" s="1222"/>
      <c r="ZD63" s="1222"/>
      <c r="ZE63" s="1222"/>
      <c r="ZF63" s="1222"/>
      <c r="ZG63" s="1222"/>
      <c r="ZH63" s="1222"/>
      <c r="ZI63" s="1222"/>
      <c r="ZJ63" s="1222"/>
      <c r="ZK63" s="1222"/>
      <c r="ZL63" s="1222"/>
      <c r="ZM63" s="1222"/>
      <c r="ZN63" s="1222"/>
      <c r="ZO63" s="1222"/>
      <c r="ZP63" s="1222"/>
      <c r="ZQ63" s="1222"/>
      <c r="ZR63" s="1222"/>
      <c r="ZS63" s="1222"/>
      <c r="ZT63" s="1222"/>
      <c r="ZU63" s="1222"/>
      <c r="ZV63" s="1222"/>
      <c r="ZW63" s="1222"/>
      <c r="ZX63" s="1222"/>
      <c r="ZY63" s="1222"/>
      <c r="ZZ63" s="1222"/>
      <c r="AAA63" s="1222"/>
      <c r="AAB63" s="1222"/>
      <c r="AAC63" s="1222"/>
      <c r="AAD63" s="1222"/>
      <c r="AAE63" s="1222"/>
      <c r="AAF63" s="1222"/>
      <c r="AAG63" s="1222"/>
      <c r="AAH63" s="1222"/>
      <c r="AAI63" s="1222"/>
      <c r="AAJ63" s="1222"/>
      <c r="AAK63" s="1222"/>
      <c r="AAL63" s="1222"/>
      <c r="AAM63" s="1222"/>
      <c r="AAN63" s="1222"/>
      <c r="AAO63" s="1222"/>
      <c r="AAP63" s="1222"/>
      <c r="AAQ63" s="1222"/>
      <c r="AAR63" s="1222"/>
      <c r="AAS63" s="1222"/>
      <c r="AAT63" s="1222"/>
      <c r="AAU63" s="1222"/>
      <c r="AAV63" s="1222"/>
      <c r="AAW63" s="1222"/>
      <c r="AAX63" s="1222"/>
      <c r="AAY63" s="1222"/>
      <c r="AAZ63" s="1222"/>
      <c r="ABA63" s="1222"/>
      <c r="ABB63" s="1222"/>
      <c r="ABC63" s="1222"/>
      <c r="ABD63" s="1222"/>
      <c r="ABE63" s="1222"/>
      <c r="ABF63" s="1222"/>
      <c r="ABG63" s="1222"/>
      <c r="ABH63" s="1222"/>
      <c r="ABI63" s="1222"/>
      <c r="ABJ63" s="1222"/>
      <c r="ABK63" s="1222"/>
      <c r="ABL63" s="1222"/>
      <c r="ABM63" s="1222"/>
      <c r="ABN63" s="1222"/>
      <c r="ABO63" s="1222"/>
      <c r="ABP63" s="1222"/>
      <c r="ABQ63" s="1222"/>
      <c r="ABR63" s="1222"/>
      <c r="ABS63" s="1222"/>
      <c r="ABT63" s="1222"/>
      <c r="ABU63" s="1222"/>
      <c r="ABV63" s="1222"/>
      <c r="ABW63" s="1222"/>
      <c r="ABX63" s="1222"/>
      <c r="ABY63" s="1222"/>
      <c r="ABZ63" s="1222"/>
      <c r="ACA63" s="1222"/>
      <c r="ACB63" s="1222"/>
      <c r="ACC63" s="1222"/>
      <c r="ACD63" s="1222"/>
      <c r="ACE63" s="1222"/>
      <c r="ACF63" s="1222"/>
      <c r="ACG63" s="1222"/>
      <c r="ACH63" s="1222"/>
      <c r="ACI63" s="1222"/>
      <c r="ACJ63" s="1222"/>
      <c r="ACK63" s="1222"/>
      <c r="ACL63" s="1222"/>
      <c r="ACM63" s="1222"/>
      <c r="ACN63" s="1222"/>
      <c r="ACO63" s="1222"/>
      <c r="ACP63" s="1222"/>
      <c r="ACQ63" s="1222"/>
      <c r="ACR63" s="1222"/>
      <c r="ACS63" s="1222"/>
      <c r="ACT63" s="1222"/>
      <c r="ACU63" s="1222"/>
      <c r="ACV63" s="1222"/>
      <c r="ACW63" s="1222"/>
      <c r="ACX63" s="1222"/>
      <c r="ACY63" s="1222"/>
      <c r="ACZ63" s="1222"/>
      <c r="ADA63" s="1222"/>
      <c r="ADB63" s="1222"/>
      <c r="ADC63" s="1222"/>
      <c r="ADD63" s="1222"/>
      <c r="ADE63" s="1222"/>
      <c r="ADF63" s="1222"/>
      <c r="ADG63" s="1222"/>
      <c r="ADH63" s="1222"/>
      <c r="ADI63" s="1222"/>
      <c r="ADJ63" s="1222"/>
      <c r="ADK63" s="1222"/>
      <c r="ADL63" s="1222"/>
      <c r="ADM63" s="1222"/>
      <c r="ADN63" s="1222"/>
      <c r="ADO63" s="1222"/>
      <c r="ADP63" s="1222"/>
      <c r="ADQ63" s="1222"/>
      <c r="ADR63" s="1222"/>
      <c r="ADS63" s="1222"/>
      <c r="ADT63" s="1222"/>
      <c r="ADU63" s="1222"/>
      <c r="ADV63" s="1222"/>
      <c r="ADW63" s="1222"/>
      <c r="ADX63" s="1222"/>
      <c r="ADY63" s="1222"/>
      <c r="ADZ63" s="1222"/>
      <c r="AEA63" s="1222"/>
      <c r="AEB63" s="1222"/>
      <c r="AEC63" s="1222"/>
      <c r="AED63" s="1222"/>
      <c r="AEE63" s="1222"/>
      <c r="AEF63" s="1222"/>
      <c r="AEG63" s="1222"/>
      <c r="AEH63" s="1222"/>
      <c r="AEI63" s="1222"/>
      <c r="AEJ63" s="1222"/>
      <c r="AEK63" s="1222"/>
      <c r="AEL63" s="1222"/>
      <c r="AEM63" s="1222"/>
      <c r="AEN63" s="1222"/>
      <c r="AEO63" s="1222"/>
      <c r="AEP63" s="1222"/>
      <c r="AEQ63" s="1222"/>
      <c r="AER63" s="1222"/>
      <c r="AES63" s="1222"/>
      <c r="AET63" s="1222"/>
      <c r="AEU63" s="1222"/>
      <c r="AEV63" s="1222"/>
      <c r="AEW63" s="1222"/>
      <c r="AEX63" s="1222"/>
      <c r="AEY63" s="1222"/>
      <c r="AEZ63" s="1222"/>
      <c r="AFA63" s="1222"/>
      <c r="AFB63" s="1222"/>
      <c r="AFC63" s="1222"/>
      <c r="AFD63" s="1222"/>
      <c r="AFE63" s="1222"/>
      <c r="AFF63" s="1222"/>
      <c r="AFG63" s="1222"/>
      <c r="AFH63" s="1222"/>
      <c r="AFI63" s="1222"/>
      <c r="AFJ63" s="1222"/>
      <c r="AFK63" s="1222"/>
      <c r="AFL63" s="1222"/>
      <c r="AFM63" s="1222"/>
      <c r="AFN63" s="1222"/>
      <c r="AFO63" s="1222"/>
      <c r="AFP63" s="1222"/>
      <c r="AFQ63" s="1222"/>
      <c r="AFR63" s="1222"/>
      <c r="AFS63" s="1222"/>
      <c r="AFT63" s="1222"/>
      <c r="AFU63" s="1222"/>
      <c r="AFV63" s="1222"/>
      <c r="AFW63" s="1222"/>
      <c r="AFX63" s="1222"/>
      <c r="AFY63" s="1222"/>
      <c r="AFZ63" s="1222"/>
      <c r="AGA63" s="1222"/>
      <c r="AGB63" s="1222"/>
      <c r="AGC63" s="1222"/>
      <c r="AGD63" s="1222"/>
      <c r="AGE63" s="1222"/>
      <c r="AGF63" s="1222"/>
      <c r="AGG63" s="1222"/>
      <c r="AGH63" s="1222"/>
      <c r="AGI63" s="1222"/>
      <c r="AGJ63" s="1222"/>
      <c r="AGK63" s="1222"/>
      <c r="AGL63" s="1222"/>
      <c r="AGM63" s="1222"/>
      <c r="AGN63" s="1222"/>
      <c r="AGO63" s="1222"/>
      <c r="AGP63" s="1222"/>
      <c r="AGQ63" s="1222"/>
      <c r="AGR63" s="1222"/>
      <c r="AGS63" s="1222"/>
      <c r="AGT63" s="1222"/>
      <c r="AGU63" s="1222"/>
      <c r="AGV63" s="1222"/>
      <c r="AGW63" s="1222"/>
      <c r="AGX63" s="1222"/>
      <c r="AGY63" s="1222"/>
      <c r="AGZ63" s="1222"/>
      <c r="AHA63" s="1222"/>
      <c r="AHB63" s="1222"/>
      <c r="AHC63" s="1222"/>
      <c r="AHD63" s="1222"/>
      <c r="AHE63" s="1222"/>
      <c r="AHF63" s="1222"/>
      <c r="AHG63" s="1222"/>
      <c r="AHH63" s="1222"/>
      <c r="AHI63" s="1222"/>
      <c r="AHJ63" s="1222"/>
      <c r="AHK63" s="1222"/>
      <c r="AHL63" s="1222"/>
      <c r="AHM63" s="1222"/>
      <c r="AHN63" s="1222"/>
      <c r="AHO63" s="1222"/>
      <c r="AHP63" s="1222"/>
      <c r="AHQ63" s="1222"/>
      <c r="AHR63" s="1222"/>
      <c r="AHS63" s="1222"/>
      <c r="AHT63" s="1222"/>
      <c r="AHU63" s="1222"/>
      <c r="AHV63" s="1222"/>
      <c r="AHW63" s="1222"/>
      <c r="AHX63" s="1222"/>
      <c r="AHY63" s="1222"/>
      <c r="AHZ63" s="1222"/>
      <c r="AIA63" s="1222"/>
      <c r="AIB63" s="1222"/>
      <c r="AIC63" s="1222"/>
      <c r="AID63" s="1222"/>
      <c r="AIE63" s="1222"/>
      <c r="AIF63" s="1222"/>
      <c r="AIG63" s="1222"/>
      <c r="AIH63" s="1222"/>
      <c r="AII63" s="1222"/>
      <c r="AIJ63" s="1222"/>
      <c r="AIK63" s="1222"/>
      <c r="AIL63" s="1222"/>
      <c r="AIM63" s="1222"/>
      <c r="AIN63" s="1222"/>
      <c r="AIO63" s="1222"/>
      <c r="AIP63" s="1222"/>
      <c r="AIQ63" s="1222"/>
      <c r="AIR63" s="1222"/>
      <c r="AIS63" s="1222"/>
      <c r="AIT63" s="1222"/>
      <c r="AIU63" s="1222"/>
      <c r="AIV63" s="1222"/>
      <c r="AIW63" s="1222"/>
      <c r="AIX63" s="1222"/>
      <c r="AIY63" s="1222"/>
      <c r="AIZ63" s="1222"/>
      <c r="AJA63" s="1222"/>
      <c r="AJB63" s="1222"/>
      <c r="AJC63" s="1222"/>
      <c r="AJD63" s="1222"/>
      <c r="AJE63" s="1222"/>
      <c r="AJF63" s="1222"/>
      <c r="AJG63" s="1222"/>
      <c r="AJH63" s="1222"/>
      <c r="AJI63" s="1222"/>
      <c r="AJJ63" s="1222"/>
      <c r="AJK63" s="1222"/>
      <c r="AJL63" s="1222"/>
      <c r="AJM63" s="1222"/>
      <c r="AJN63" s="1222"/>
      <c r="AJO63" s="1222"/>
      <c r="AJP63" s="1222"/>
      <c r="AJQ63" s="1222"/>
      <c r="AJR63" s="1222"/>
      <c r="AJS63" s="1222"/>
      <c r="AJT63" s="1222"/>
      <c r="AJU63" s="1222"/>
      <c r="AJV63" s="1222"/>
      <c r="AJW63" s="1222"/>
      <c r="AJX63" s="1222"/>
      <c r="AJY63" s="1222"/>
      <c r="AJZ63" s="1222"/>
      <c r="AKA63" s="1222"/>
      <c r="AKB63" s="1222"/>
      <c r="AKC63" s="1222"/>
      <c r="AKD63" s="1222"/>
      <c r="AKE63" s="1222"/>
      <c r="AKF63" s="1222"/>
      <c r="AKG63" s="1222"/>
      <c r="AKH63" s="1222"/>
      <c r="AKI63" s="1222"/>
      <c r="AKJ63" s="1222"/>
      <c r="AKK63" s="1222"/>
      <c r="AKL63" s="1222"/>
      <c r="AKM63" s="1222"/>
      <c r="AKN63" s="1222"/>
      <c r="AKO63" s="1222"/>
      <c r="AKP63" s="1222"/>
      <c r="AKQ63" s="1222"/>
      <c r="AKR63" s="1222"/>
      <c r="AKS63" s="1222"/>
      <c r="AKT63" s="1222"/>
      <c r="AKU63" s="1222"/>
      <c r="AKV63" s="1222"/>
      <c r="AKW63" s="1222"/>
      <c r="AKX63" s="1222"/>
      <c r="AKY63" s="1222"/>
      <c r="AKZ63" s="1222"/>
      <c r="ALA63" s="1222"/>
      <c r="ALB63" s="1222"/>
      <c r="ALC63" s="1222"/>
      <c r="ALD63" s="1222"/>
      <c r="ALE63" s="1222"/>
      <c r="ALF63" s="1222"/>
      <c r="ALG63" s="1222"/>
      <c r="ALH63" s="1222"/>
      <c r="ALI63" s="1222"/>
      <c r="ALJ63" s="1222"/>
      <c r="ALK63" s="1222"/>
      <c r="ALL63" s="1222"/>
      <c r="ALM63" s="1222"/>
      <c r="ALN63" s="1222"/>
      <c r="ALO63" s="1222"/>
      <c r="ALP63" s="1222"/>
      <c r="ALQ63" s="1222"/>
      <c r="ALR63" s="1222"/>
      <c r="ALS63" s="1222"/>
      <c r="ALT63" s="1222"/>
      <c r="ALU63" s="1222"/>
      <c r="ALV63" s="1222"/>
      <c r="ALW63" s="1222"/>
      <c r="ALX63" s="1222"/>
      <c r="ALY63" s="1222"/>
      <c r="ALZ63" s="1222"/>
      <c r="AMA63" s="1222"/>
      <c r="AMB63" s="1222"/>
      <c r="AMC63" s="1222"/>
      <c r="AMD63" s="1222"/>
      <c r="AME63" s="1222"/>
      <c r="AMF63" s="1222"/>
      <c r="AMG63" s="1222"/>
      <c r="AMH63" s="1222"/>
      <c r="AMI63" s="1222"/>
      <c r="AMJ63" s="1222"/>
      <c r="AMK63" s="1222"/>
      <c r="AML63" s="1222"/>
      <c r="AMM63" s="1222"/>
      <c r="AMN63" s="1222"/>
      <c r="AMO63" s="1222"/>
      <c r="AMP63" s="1222"/>
      <c r="AMQ63" s="1222"/>
      <c r="AMR63" s="1222"/>
      <c r="AMS63" s="1222"/>
      <c r="AMT63" s="1222"/>
      <c r="AMU63" s="1222"/>
      <c r="AMV63" s="1222"/>
      <c r="AMW63" s="1222"/>
      <c r="AMX63" s="1222"/>
      <c r="AMY63" s="1222"/>
      <c r="AMZ63" s="1222"/>
      <c r="ANA63" s="1222"/>
      <c r="ANB63" s="1222"/>
      <c r="ANC63" s="1222"/>
      <c r="AND63" s="1222"/>
      <c r="ANE63" s="1222"/>
      <c r="ANF63" s="1222"/>
      <c r="ANG63" s="1222"/>
      <c r="ANH63" s="1222"/>
      <c r="ANI63" s="1222"/>
      <c r="ANJ63" s="1222"/>
      <c r="ANK63" s="1222"/>
      <c r="ANL63" s="1222"/>
      <c r="ANM63" s="1222"/>
      <c r="ANN63" s="1222"/>
      <c r="ANO63" s="1222"/>
      <c r="ANP63" s="1222"/>
      <c r="ANQ63" s="1222"/>
      <c r="ANR63" s="1222"/>
      <c r="ANS63" s="1222"/>
      <c r="ANT63" s="1222"/>
      <c r="ANU63" s="1222"/>
      <c r="ANV63" s="1222"/>
      <c r="ANW63" s="1222"/>
      <c r="ANX63" s="1222"/>
      <c r="ANY63" s="1222"/>
      <c r="ANZ63" s="1222"/>
      <c r="AOA63" s="1222"/>
      <c r="AOB63" s="1222"/>
      <c r="AOC63" s="1222"/>
      <c r="AOD63" s="1222"/>
      <c r="AOE63" s="1222"/>
      <c r="AOF63" s="1222"/>
      <c r="AOG63" s="1222"/>
      <c r="AOH63" s="1222"/>
      <c r="AOI63" s="1222"/>
      <c r="AOJ63" s="1222"/>
      <c r="AOK63" s="1222"/>
      <c r="AOL63" s="1222"/>
      <c r="AOM63" s="1222"/>
      <c r="AON63" s="1222"/>
      <c r="AOO63" s="1222"/>
      <c r="AOP63" s="1222"/>
      <c r="AOQ63" s="1222"/>
      <c r="AOR63" s="1222"/>
      <c r="AOS63" s="1222"/>
      <c r="AOT63" s="1222"/>
      <c r="AOU63" s="1222"/>
      <c r="AOV63" s="1222"/>
      <c r="AOW63" s="1222"/>
      <c r="AOX63" s="1222"/>
      <c r="AOY63" s="1222"/>
      <c r="AOZ63" s="1222"/>
      <c r="APA63" s="1222"/>
      <c r="APB63" s="1222"/>
      <c r="APC63" s="1222"/>
      <c r="APD63" s="1222"/>
      <c r="APE63" s="1222"/>
      <c r="APF63" s="1222"/>
      <c r="APG63" s="1222"/>
      <c r="APH63" s="1222"/>
      <c r="API63" s="1222"/>
      <c r="APJ63" s="1222"/>
      <c r="APK63" s="1222"/>
      <c r="APL63" s="1222"/>
      <c r="APM63" s="1222"/>
      <c r="APN63" s="1222"/>
      <c r="APO63" s="1222"/>
      <c r="APP63" s="1222"/>
      <c r="APQ63" s="1222"/>
      <c r="APR63" s="1222"/>
      <c r="APS63" s="1222"/>
      <c r="APT63" s="1222"/>
      <c r="APU63" s="1222"/>
      <c r="APV63" s="1222"/>
      <c r="APW63" s="1222"/>
      <c r="APX63" s="1222"/>
      <c r="APY63" s="1222"/>
      <c r="APZ63" s="1222"/>
      <c r="AQA63" s="1222"/>
      <c r="AQB63" s="1222"/>
      <c r="AQC63" s="1222"/>
      <c r="AQD63" s="1222"/>
      <c r="AQE63" s="1222"/>
      <c r="AQF63" s="1222"/>
      <c r="AQG63" s="1222"/>
      <c r="AQH63" s="1222"/>
      <c r="AQI63" s="1222"/>
      <c r="AQJ63" s="1222"/>
      <c r="AQK63" s="1222"/>
      <c r="AQL63" s="1222"/>
      <c r="AQM63" s="1222"/>
      <c r="AQN63" s="1222"/>
      <c r="AQO63" s="1222"/>
      <c r="AQP63" s="1222"/>
      <c r="AQQ63" s="1222"/>
      <c r="AQR63" s="1222"/>
      <c r="AQS63" s="1222"/>
      <c r="AQT63" s="1222"/>
      <c r="AQU63" s="1222"/>
      <c r="AQV63" s="1222"/>
      <c r="AQW63" s="1222"/>
      <c r="AQX63" s="1222"/>
      <c r="AQY63" s="1222"/>
      <c r="AQZ63" s="1222"/>
      <c r="ARA63" s="1222"/>
      <c r="ARB63" s="1222"/>
      <c r="ARC63" s="1222"/>
      <c r="ARD63" s="1222"/>
      <c r="ARE63" s="1222"/>
      <c r="ARF63" s="1222"/>
      <c r="ARG63" s="1222"/>
      <c r="ARH63" s="1222"/>
      <c r="ARI63" s="1222"/>
      <c r="ARJ63" s="1222"/>
      <c r="ARK63" s="1222"/>
      <c r="ARL63" s="1222"/>
      <c r="ARM63" s="1222"/>
      <c r="ARN63" s="1222"/>
      <c r="ARO63" s="1222"/>
      <c r="ARP63" s="1222"/>
      <c r="ARQ63" s="1222"/>
      <c r="ARR63" s="1222"/>
      <c r="ARS63" s="1222"/>
      <c r="ART63" s="1222"/>
      <c r="ARU63" s="1222"/>
      <c r="ARV63" s="1222"/>
      <c r="ARW63" s="1222"/>
      <c r="ARX63" s="1222"/>
      <c r="ARY63" s="1222"/>
      <c r="ARZ63" s="1222"/>
      <c r="ASA63" s="1222"/>
      <c r="ASB63" s="1222"/>
      <c r="ASC63" s="1222"/>
      <c r="ASD63" s="1222"/>
      <c r="ASE63" s="1222"/>
      <c r="ASF63" s="1222"/>
      <c r="ASG63" s="1222"/>
      <c r="ASH63" s="1222"/>
      <c r="ASI63" s="1222"/>
      <c r="ASJ63" s="1222"/>
      <c r="ASK63" s="1222"/>
      <c r="ASL63" s="1222"/>
      <c r="ASM63" s="1222"/>
      <c r="ASN63" s="1222"/>
      <c r="ASO63" s="1222"/>
      <c r="ASP63" s="1222"/>
      <c r="ASQ63" s="1222"/>
      <c r="ASR63" s="1222"/>
      <c r="ASS63" s="1222"/>
      <c r="AST63" s="1222"/>
      <c r="ASU63" s="1222"/>
      <c r="ASV63" s="1222"/>
      <c r="ASW63" s="1222"/>
      <c r="ASX63" s="1222"/>
      <c r="ASY63" s="1222"/>
      <c r="ASZ63" s="1222"/>
      <c r="ATA63" s="1222"/>
      <c r="ATB63" s="1222"/>
      <c r="ATC63" s="1222"/>
      <c r="ATD63" s="1222"/>
      <c r="ATE63" s="1222"/>
      <c r="ATF63" s="1222"/>
      <c r="ATG63" s="1222"/>
      <c r="ATH63" s="1222"/>
      <c r="ATI63" s="1222"/>
      <c r="ATJ63" s="1222"/>
      <c r="ATK63" s="1222"/>
      <c r="ATL63" s="1222"/>
      <c r="ATM63" s="1222"/>
      <c r="ATN63" s="1222"/>
      <c r="ATO63" s="1222"/>
      <c r="ATP63" s="1222"/>
      <c r="ATQ63" s="1222"/>
      <c r="ATR63" s="1222"/>
      <c r="ATS63" s="1222"/>
      <c r="ATT63" s="1222"/>
      <c r="ATU63" s="1222"/>
      <c r="ATV63" s="1222"/>
      <c r="ATW63" s="1222"/>
      <c r="ATX63" s="1222"/>
      <c r="ATY63" s="1222"/>
      <c r="ATZ63" s="1222"/>
      <c r="AUA63" s="1222"/>
      <c r="AUB63" s="1222"/>
      <c r="AUC63" s="1222"/>
      <c r="AUD63" s="1222"/>
      <c r="AUE63" s="1222"/>
      <c r="AUF63" s="1222"/>
      <c r="AUG63" s="1222"/>
      <c r="AUH63" s="1222"/>
      <c r="AUI63" s="1222"/>
      <c r="AUJ63" s="1222"/>
      <c r="AUK63" s="1222"/>
      <c r="AUL63" s="1222"/>
      <c r="AUM63" s="1222"/>
      <c r="AUN63" s="1222"/>
      <c r="AUO63" s="1222"/>
      <c r="AUP63" s="1222"/>
      <c r="AUQ63" s="1222"/>
      <c r="AUR63" s="1222"/>
      <c r="AUS63" s="1222"/>
      <c r="AUT63" s="1222"/>
      <c r="AUU63" s="1222"/>
      <c r="AUV63" s="1222"/>
      <c r="AUW63" s="1222"/>
      <c r="AUX63" s="1222"/>
      <c r="AUY63" s="1222"/>
      <c r="AUZ63" s="1222"/>
      <c r="AVA63" s="1222"/>
      <c r="AVB63" s="1222"/>
      <c r="AVC63" s="1222"/>
      <c r="AVD63" s="1222"/>
      <c r="AVE63" s="1222"/>
      <c r="AVF63" s="1222"/>
      <c r="AVG63" s="1222"/>
      <c r="AVH63" s="1222"/>
      <c r="AVI63" s="1222"/>
      <c r="AVJ63" s="1222"/>
      <c r="AVK63" s="1222"/>
      <c r="AVL63" s="1222"/>
      <c r="AVM63" s="1222"/>
      <c r="AVN63" s="1222"/>
      <c r="AVO63" s="1222"/>
      <c r="AVP63" s="1222"/>
      <c r="AVQ63" s="1222"/>
      <c r="AVR63" s="1222"/>
      <c r="AVS63" s="1222"/>
      <c r="AVT63" s="1222"/>
      <c r="AVU63" s="1222"/>
      <c r="AVV63" s="1222"/>
      <c r="AVW63" s="1222"/>
      <c r="AVX63" s="1222"/>
      <c r="AVY63" s="1222"/>
      <c r="AVZ63" s="1222"/>
      <c r="AWA63" s="1222"/>
      <c r="AWB63" s="1222"/>
      <c r="AWC63" s="1222"/>
      <c r="AWD63" s="1222"/>
      <c r="AWE63" s="1222"/>
      <c r="AWF63" s="1222"/>
      <c r="AWG63" s="1222"/>
      <c r="AWH63" s="1222"/>
      <c r="AWI63" s="1222"/>
      <c r="AWJ63" s="1222"/>
      <c r="AWK63" s="1222"/>
      <c r="AWL63" s="1222"/>
      <c r="AWM63" s="1222"/>
      <c r="AWN63" s="1222"/>
      <c r="AWO63" s="1222"/>
      <c r="AWP63" s="1222"/>
      <c r="AWQ63" s="1222"/>
      <c r="AWR63" s="1222"/>
      <c r="AWS63" s="1222"/>
      <c r="AWT63" s="1222"/>
      <c r="AWU63" s="1222"/>
      <c r="AWV63" s="1222"/>
      <c r="AWW63" s="1222"/>
      <c r="AWX63" s="1222"/>
      <c r="AWY63" s="1222"/>
      <c r="AWZ63" s="1222"/>
      <c r="AXA63" s="1222"/>
      <c r="AXB63" s="1222"/>
      <c r="AXC63" s="1222"/>
      <c r="AXD63" s="1222"/>
      <c r="AXE63" s="1222"/>
      <c r="AXF63" s="1222"/>
      <c r="AXG63" s="1222"/>
      <c r="AXH63" s="1222"/>
      <c r="AXI63" s="1222"/>
      <c r="AXJ63" s="1222"/>
      <c r="AXK63" s="1222"/>
      <c r="AXL63" s="1222"/>
      <c r="AXM63" s="1222"/>
      <c r="AXN63" s="1222"/>
      <c r="AXO63" s="1222"/>
      <c r="AXP63" s="1222"/>
      <c r="AXQ63" s="1222"/>
      <c r="AXR63" s="1222"/>
      <c r="AXS63" s="1222"/>
      <c r="AXT63" s="1222"/>
      <c r="AXU63" s="1222"/>
      <c r="AXV63" s="1222"/>
      <c r="AXW63" s="1222"/>
      <c r="AXX63" s="1222"/>
      <c r="AXY63" s="1222"/>
      <c r="AXZ63" s="1222"/>
      <c r="AYA63" s="1222"/>
      <c r="AYB63" s="1222"/>
      <c r="AYC63" s="1222"/>
      <c r="AYD63" s="1222"/>
      <c r="AYE63" s="1222"/>
      <c r="AYF63" s="1222"/>
      <c r="AYG63" s="1222"/>
      <c r="AYH63" s="1222"/>
      <c r="AYI63" s="1222"/>
      <c r="AYJ63" s="1222"/>
      <c r="AYK63" s="1222"/>
      <c r="AYL63" s="1222"/>
      <c r="AYM63" s="1222"/>
      <c r="AYN63" s="1222"/>
      <c r="AYO63" s="1222"/>
      <c r="AYP63" s="1222"/>
      <c r="AYQ63" s="1222"/>
      <c r="AYR63" s="1222"/>
      <c r="AYS63" s="1222"/>
      <c r="AYT63" s="1222"/>
      <c r="AYU63" s="1222"/>
      <c r="AYV63" s="1222"/>
      <c r="AYW63" s="1222"/>
      <c r="AYX63" s="1222"/>
      <c r="AYY63" s="1222"/>
      <c r="AYZ63" s="1222"/>
      <c r="AZA63" s="1222"/>
      <c r="AZB63" s="1222"/>
      <c r="AZC63" s="1222"/>
      <c r="AZD63" s="1222"/>
      <c r="AZE63" s="1222"/>
      <c r="AZF63" s="1222"/>
      <c r="AZG63" s="1222"/>
      <c r="AZH63" s="1222"/>
      <c r="AZI63" s="1222"/>
      <c r="AZJ63" s="1222"/>
      <c r="AZK63" s="1222"/>
      <c r="AZL63" s="1222"/>
      <c r="AZM63" s="1222"/>
      <c r="AZN63" s="1222"/>
      <c r="AZO63" s="1222"/>
      <c r="AZP63" s="1222"/>
      <c r="AZQ63" s="1222"/>
      <c r="AZR63" s="1222"/>
      <c r="AZS63" s="1222"/>
      <c r="AZT63" s="1222"/>
      <c r="AZU63" s="1222"/>
      <c r="AZV63" s="1222"/>
      <c r="AZW63" s="1222"/>
      <c r="AZX63" s="1222"/>
      <c r="AZY63" s="1222"/>
      <c r="AZZ63" s="1222"/>
      <c r="BAA63" s="1222"/>
      <c r="BAB63" s="1222"/>
      <c r="BAC63" s="1222"/>
      <c r="BAD63" s="1222"/>
      <c r="BAE63" s="1222"/>
      <c r="BAF63" s="1222"/>
      <c r="BAG63" s="1222"/>
      <c r="BAH63" s="1222"/>
      <c r="BAI63" s="1222"/>
      <c r="BAJ63" s="1222"/>
      <c r="BAK63" s="1222"/>
      <c r="BAL63" s="1222"/>
      <c r="BAM63" s="1222"/>
      <c r="BAN63" s="1222"/>
      <c r="BAO63" s="1222"/>
      <c r="BAP63" s="1222"/>
      <c r="BAQ63" s="1222"/>
      <c r="BAR63" s="1222"/>
      <c r="BAS63" s="1222"/>
      <c r="BAT63" s="1222"/>
      <c r="BAU63" s="1222"/>
      <c r="BAV63" s="1222"/>
      <c r="BAW63" s="1222"/>
      <c r="BAX63" s="1222"/>
      <c r="BAY63" s="1222"/>
      <c r="BAZ63" s="1222"/>
      <c r="BBA63" s="1222"/>
      <c r="BBB63" s="1222"/>
      <c r="BBC63" s="1222"/>
      <c r="BBD63" s="1222"/>
      <c r="BBE63" s="1222"/>
      <c r="BBF63" s="1222"/>
      <c r="BBG63" s="1222"/>
      <c r="BBH63" s="1222"/>
      <c r="BBI63" s="1222"/>
      <c r="BBJ63" s="1222"/>
      <c r="BBK63" s="1222"/>
      <c r="BBL63" s="1222"/>
      <c r="BBM63" s="1222"/>
      <c r="BBN63" s="1222"/>
      <c r="BBO63" s="1222"/>
      <c r="BBP63" s="1222"/>
      <c r="BBQ63" s="1222"/>
      <c r="BBR63" s="1222"/>
      <c r="BBS63" s="1222"/>
      <c r="BBT63" s="1222"/>
      <c r="BBU63" s="1222"/>
      <c r="BBV63" s="1222"/>
      <c r="BBW63" s="1222"/>
      <c r="BBX63" s="1222"/>
      <c r="BBY63" s="1222"/>
      <c r="BBZ63" s="1222"/>
      <c r="BCA63" s="1222"/>
      <c r="BCB63" s="1222"/>
      <c r="BCC63" s="1222"/>
      <c r="BCD63" s="1222"/>
      <c r="BCE63" s="1222"/>
      <c r="BCF63" s="1222"/>
      <c r="BCG63" s="1222"/>
      <c r="BCH63" s="1222"/>
      <c r="BCI63" s="1222"/>
      <c r="BCJ63" s="1222"/>
      <c r="BCK63" s="1222"/>
      <c r="BCL63" s="1222"/>
      <c r="BCM63" s="1222"/>
      <c r="BCN63" s="1222"/>
      <c r="BCO63" s="1222"/>
      <c r="BCP63" s="1222"/>
      <c r="BCQ63" s="1222"/>
      <c r="BCR63" s="1222"/>
      <c r="BCS63" s="1222"/>
      <c r="BCT63" s="1222"/>
      <c r="BCU63" s="1222"/>
      <c r="BCV63" s="1222"/>
      <c r="BCW63" s="1222"/>
      <c r="BCX63" s="1222"/>
      <c r="BCY63" s="1222"/>
      <c r="BCZ63" s="1222"/>
      <c r="BDA63" s="1222"/>
      <c r="BDB63" s="1222"/>
      <c r="BDC63" s="1222"/>
      <c r="BDD63" s="1222"/>
      <c r="BDE63" s="1222"/>
      <c r="BDF63" s="1222"/>
      <c r="BDG63" s="1222"/>
      <c r="BDH63" s="1222"/>
      <c r="BDI63" s="1222"/>
      <c r="BDJ63" s="1222"/>
      <c r="BDK63" s="1222"/>
      <c r="BDL63" s="1222"/>
      <c r="BDM63" s="1222"/>
      <c r="BDN63" s="1222"/>
      <c r="BDO63" s="1222"/>
      <c r="BDP63" s="1222"/>
      <c r="BDQ63" s="1222"/>
      <c r="BDR63" s="1222"/>
      <c r="BDS63" s="1222"/>
      <c r="BDT63" s="1222"/>
      <c r="BDU63" s="1222"/>
      <c r="BDV63" s="1222"/>
      <c r="BDW63" s="1222"/>
      <c r="BDX63" s="1222"/>
      <c r="BDY63" s="1222"/>
      <c r="BDZ63" s="1222"/>
      <c r="BEA63" s="1222"/>
      <c r="BEB63" s="1222"/>
      <c r="BEC63" s="1222"/>
      <c r="BED63" s="1222"/>
      <c r="BEE63" s="1222"/>
      <c r="BEF63" s="1222"/>
      <c r="BEG63" s="1222"/>
      <c r="BEH63" s="1222"/>
      <c r="BEI63" s="1222"/>
      <c r="BEJ63" s="1222"/>
      <c r="BEK63" s="1222"/>
      <c r="BEL63" s="1222"/>
      <c r="BEM63" s="1222"/>
      <c r="BEN63" s="1222"/>
      <c r="BEO63" s="1222"/>
      <c r="BEP63" s="1222"/>
      <c r="BEQ63" s="1222"/>
      <c r="BER63" s="1222"/>
      <c r="BES63" s="1222"/>
      <c r="BET63" s="1222"/>
      <c r="BEU63" s="1222"/>
      <c r="BEV63" s="1222"/>
      <c r="BEW63" s="1222"/>
      <c r="BEX63" s="1222"/>
      <c r="BEY63" s="1222"/>
      <c r="BEZ63" s="1222"/>
      <c r="BFA63" s="1222"/>
      <c r="BFB63" s="1222"/>
      <c r="BFC63" s="1222"/>
      <c r="BFD63" s="1222"/>
      <c r="BFE63" s="1222"/>
      <c r="BFF63" s="1222"/>
      <c r="BFG63" s="1222"/>
      <c r="BFH63" s="1222"/>
      <c r="BFI63" s="1222"/>
      <c r="BFJ63" s="1222"/>
      <c r="BFK63" s="1222"/>
      <c r="BFL63" s="1222"/>
      <c r="BFM63" s="1222"/>
      <c r="BFN63" s="1222"/>
      <c r="BFO63" s="1222"/>
      <c r="BFP63" s="1222"/>
      <c r="BFQ63" s="1222"/>
      <c r="BFR63" s="1222"/>
      <c r="BFS63" s="1222"/>
      <c r="BFT63" s="1222"/>
      <c r="BFU63" s="1222"/>
      <c r="BFV63" s="1222"/>
      <c r="BFW63" s="1222"/>
      <c r="BFX63" s="1222"/>
      <c r="BFY63" s="1222"/>
      <c r="BFZ63" s="1222"/>
      <c r="BGA63" s="1222"/>
      <c r="BGB63" s="1222"/>
      <c r="BGC63" s="1222"/>
      <c r="BGD63" s="1222"/>
      <c r="BGE63" s="1222"/>
      <c r="BGF63" s="1222"/>
      <c r="BGG63" s="1222"/>
      <c r="BGH63" s="1222"/>
      <c r="BGI63" s="1222"/>
      <c r="BGJ63" s="1222"/>
      <c r="BGK63" s="1222"/>
      <c r="BGL63" s="1222"/>
      <c r="BGM63" s="1222"/>
      <c r="BGN63" s="1222"/>
      <c r="BGO63" s="1222"/>
      <c r="BGP63" s="1222"/>
      <c r="BGQ63" s="1222"/>
      <c r="BGR63" s="1222"/>
      <c r="BGS63" s="1222"/>
      <c r="BGT63" s="1222"/>
      <c r="BGU63" s="1222"/>
      <c r="BGV63" s="1222"/>
      <c r="BGW63" s="1222"/>
      <c r="BGX63" s="1222"/>
      <c r="BGY63" s="1222"/>
      <c r="BGZ63" s="1222"/>
      <c r="BHA63" s="1222"/>
      <c r="BHB63" s="1222"/>
      <c r="BHC63" s="1222"/>
      <c r="BHD63" s="1222"/>
      <c r="BHE63" s="1222"/>
      <c r="BHF63" s="1222"/>
      <c r="BHG63" s="1222"/>
      <c r="BHH63" s="1222"/>
      <c r="BHI63" s="1222"/>
      <c r="BHJ63" s="1222"/>
      <c r="BHK63" s="1222"/>
      <c r="BHL63" s="1222"/>
      <c r="BHM63" s="1222"/>
      <c r="BHN63" s="1222"/>
      <c r="BHO63" s="1222"/>
      <c r="BHP63" s="1222"/>
      <c r="BHQ63" s="1222"/>
      <c r="BHR63" s="1222"/>
      <c r="BHS63" s="1222"/>
      <c r="BHT63" s="1222"/>
      <c r="BHU63" s="1222"/>
      <c r="BHV63" s="1222"/>
      <c r="BHW63" s="1222"/>
      <c r="BHX63" s="1222"/>
      <c r="BHY63" s="1222"/>
      <c r="BHZ63" s="1222"/>
      <c r="BIA63" s="1222"/>
      <c r="BIB63" s="1222"/>
      <c r="BIC63" s="1222"/>
      <c r="BID63" s="1222"/>
      <c r="BIE63" s="1222"/>
      <c r="BIF63" s="1222"/>
      <c r="BIG63" s="1222"/>
      <c r="BIH63" s="1222"/>
      <c r="BII63" s="1222"/>
      <c r="BIJ63" s="1222"/>
      <c r="BIK63" s="1222"/>
      <c r="BIL63" s="1222"/>
      <c r="BIM63" s="1222"/>
      <c r="BIN63" s="1222"/>
      <c r="BIO63" s="1222"/>
      <c r="BIP63" s="1222"/>
      <c r="BIQ63" s="1222"/>
      <c r="BIR63" s="1222"/>
      <c r="BIS63" s="1222"/>
      <c r="BIT63" s="1222"/>
      <c r="BIU63" s="1222"/>
      <c r="BIV63" s="1222"/>
      <c r="BIW63" s="1222"/>
      <c r="BIX63" s="1222"/>
      <c r="BIY63" s="1222"/>
      <c r="BIZ63" s="1222"/>
      <c r="BJA63" s="1222"/>
      <c r="BJB63" s="1222"/>
      <c r="BJC63" s="1222"/>
      <c r="BJD63" s="1222"/>
      <c r="BJE63" s="1222"/>
      <c r="BJF63" s="1222"/>
      <c r="BJG63" s="1222"/>
      <c r="BJH63" s="1222"/>
      <c r="BJI63" s="1222"/>
      <c r="BJJ63" s="1222"/>
      <c r="BJK63" s="1222"/>
      <c r="BJL63" s="1222"/>
      <c r="BJM63" s="1222"/>
      <c r="BJN63" s="1222"/>
      <c r="BJO63" s="1222"/>
      <c r="BJP63" s="1222"/>
      <c r="BJQ63" s="1222"/>
      <c r="BJR63" s="1222"/>
      <c r="BJS63" s="1222"/>
      <c r="BJT63" s="1222"/>
      <c r="BJU63" s="1222"/>
      <c r="BJV63" s="1222"/>
      <c r="BJW63" s="1222"/>
      <c r="BJX63" s="1222"/>
      <c r="BJY63" s="1222"/>
      <c r="BJZ63" s="1222"/>
      <c r="BKA63" s="1222"/>
      <c r="BKB63" s="1222"/>
      <c r="BKC63" s="1222"/>
      <c r="BKD63" s="1222"/>
      <c r="BKE63" s="1222"/>
      <c r="BKF63" s="1222"/>
      <c r="BKG63" s="1222"/>
      <c r="BKH63" s="1222"/>
      <c r="BKI63" s="1222"/>
      <c r="BKJ63" s="1222"/>
      <c r="BKK63" s="1222"/>
      <c r="BKL63" s="1222"/>
      <c r="BKM63" s="1222"/>
      <c r="BKN63" s="1222"/>
      <c r="BKO63" s="1222"/>
      <c r="BKP63" s="1222"/>
      <c r="BKQ63" s="1222"/>
      <c r="BKR63" s="1222"/>
      <c r="BKS63" s="1222"/>
      <c r="BKT63" s="1222"/>
      <c r="BKU63" s="1222"/>
      <c r="BKV63" s="1222"/>
      <c r="BKW63" s="1222"/>
      <c r="BKX63" s="1222"/>
      <c r="BKY63" s="1222"/>
      <c r="BKZ63" s="1222"/>
      <c r="BLA63" s="1222"/>
      <c r="BLB63" s="1222"/>
      <c r="BLC63" s="1222"/>
      <c r="BLD63" s="1222"/>
      <c r="BLE63" s="1222"/>
      <c r="BLF63" s="1222"/>
      <c r="BLG63" s="1222"/>
      <c r="BLH63" s="1222"/>
      <c r="BLI63" s="1222"/>
      <c r="BLJ63" s="1222"/>
      <c r="BLK63" s="1222"/>
      <c r="BLL63" s="1222"/>
      <c r="BLM63" s="1222"/>
      <c r="BLN63" s="1222"/>
      <c r="BLO63" s="1222"/>
      <c r="BLP63" s="1222"/>
      <c r="BLQ63" s="1222"/>
      <c r="BLR63" s="1222"/>
      <c r="BLS63" s="1222"/>
      <c r="BLT63" s="1222"/>
      <c r="BLU63" s="1222"/>
      <c r="BLV63" s="1222"/>
      <c r="BLW63" s="1222"/>
      <c r="BLX63" s="1222"/>
      <c r="BLY63" s="1222"/>
      <c r="BLZ63" s="1222"/>
      <c r="BMA63" s="1222"/>
      <c r="BMB63" s="1222"/>
      <c r="BMC63" s="1222"/>
      <c r="BMD63" s="1222"/>
      <c r="BME63" s="1222"/>
      <c r="BMF63" s="1222"/>
      <c r="BMG63" s="1222"/>
      <c r="BMH63" s="1222"/>
      <c r="BMI63" s="1222"/>
      <c r="BMJ63" s="1222"/>
      <c r="BMK63" s="1222"/>
      <c r="BML63" s="1222"/>
      <c r="BMM63" s="1222"/>
      <c r="BMN63" s="1222"/>
      <c r="BMO63" s="1222"/>
      <c r="BMP63" s="1222"/>
      <c r="BMQ63" s="1222"/>
      <c r="BMR63" s="1222"/>
      <c r="BMS63" s="1222"/>
      <c r="BMT63" s="1222"/>
      <c r="BMU63" s="1222"/>
      <c r="BMV63" s="1222"/>
      <c r="BMW63" s="1222"/>
      <c r="BMX63" s="1222"/>
      <c r="BMY63" s="1222"/>
      <c r="BMZ63" s="1222"/>
      <c r="BNA63" s="1222"/>
      <c r="BNB63" s="1222"/>
      <c r="BNC63" s="1222"/>
      <c r="BND63" s="1222"/>
      <c r="BNE63" s="1222"/>
      <c r="BNF63" s="1222"/>
      <c r="BNG63" s="1222"/>
      <c r="BNH63" s="1222"/>
      <c r="BNI63" s="1222"/>
      <c r="BNJ63" s="1222"/>
      <c r="BNK63" s="1222"/>
      <c r="BNL63" s="1222"/>
      <c r="BNM63" s="1222"/>
      <c r="BNN63" s="1222"/>
      <c r="BNO63" s="1222"/>
      <c r="BNP63" s="1222"/>
      <c r="BNQ63" s="1222"/>
      <c r="BNR63" s="1222"/>
      <c r="BNS63" s="1222"/>
      <c r="BNT63" s="1222"/>
      <c r="BNU63" s="1222"/>
      <c r="BNV63" s="1222"/>
      <c r="BNW63" s="1222"/>
      <c r="BNX63" s="1222"/>
      <c r="BNY63" s="1222"/>
      <c r="BNZ63" s="1222"/>
      <c r="BOA63" s="1222"/>
      <c r="BOB63" s="1222"/>
      <c r="BOC63" s="1222"/>
      <c r="BOD63" s="1222"/>
      <c r="BOE63" s="1222"/>
      <c r="BOF63" s="1222"/>
      <c r="BOG63" s="1222"/>
      <c r="BOH63" s="1222"/>
      <c r="BOI63" s="1222"/>
      <c r="BOJ63" s="1222"/>
      <c r="BOK63" s="1222"/>
      <c r="BOL63" s="1222"/>
      <c r="BOM63" s="1222"/>
      <c r="BON63" s="1222"/>
      <c r="BOO63" s="1222"/>
      <c r="BOP63" s="1222"/>
      <c r="BOQ63" s="1222"/>
      <c r="BOR63" s="1222"/>
      <c r="BOS63" s="1222"/>
      <c r="BOT63" s="1222"/>
      <c r="BOU63" s="1222"/>
      <c r="BOV63" s="1222"/>
      <c r="BOW63" s="1222"/>
      <c r="BOX63" s="1222"/>
      <c r="BOY63" s="1222"/>
      <c r="BOZ63" s="1222"/>
      <c r="BPA63" s="1222"/>
      <c r="BPB63" s="1222"/>
      <c r="BPC63" s="1222"/>
      <c r="BPD63" s="1222"/>
      <c r="BPE63" s="1222"/>
      <c r="BPF63" s="1222"/>
      <c r="BPG63" s="1222"/>
      <c r="BPH63" s="1222"/>
      <c r="BPI63" s="1222"/>
      <c r="BPJ63" s="1222"/>
      <c r="BPK63" s="1222"/>
      <c r="BPL63" s="1222"/>
      <c r="BPM63" s="1222"/>
      <c r="BPN63" s="1222"/>
      <c r="BPO63" s="1222"/>
      <c r="BPP63" s="1222"/>
      <c r="BPQ63" s="1222"/>
      <c r="BPR63" s="1222"/>
      <c r="BPS63" s="1222"/>
      <c r="BPT63" s="1222"/>
      <c r="BPU63" s="1222"/>
      <c r="BPV63" s="1222"/>
      <c r="BPW63" s="1222"/>
      <c r="BPX63" s="1222"/>
      <c r="BPY63" s="1222"/>
      <c r="BPZ63" s="1222"/>
      <c r="BQA63" s="1222"/>
      <c r="BQB63" s="1222"/>
      <c r="BQC63" s="1222"/>
      <c r="BQD63" s="1222"/>
      <c r="BQE63" s="1222"/>
      <c r="BQF63" s="1222"/>
      <c r="BQG63" s="1222"/>
      <c r="BQH63" s="1222"/>
      <c r="BQI63" s="1222"/>
      <c r="BQJ63" s="1222"/>
      <c r="BQK63" s="1222"/>
      <c r="BQL63" s="1222"/>
      <c r="BQM63" s="1222"/>
      <c r="BQN63" s="1222"/>
      <c r="BQO63" s="1222"/>
      <c r="BQP63" s="1222"/>
      <c r="BQQ63" s="1222"/>
      <c r="BQR63" s="1222"/>
      <c r="BQS63" s="1222"/>
      <c r="BQT63" s="1222"/>
      <c r="BQU63" s="1222"/>
      <c r="BQV63" s="1222"/>
      <c r="BQW63" s="1222"/>
      <c r="BQX63" s="1222"/>
      <c r="BQY63" s="1222"/>
      <c r="BQZ63" s="1222"/>
      <c r="BRA63" s="1222"/>
      <c r="BRB63" s="1222"/>
      <c r="BRC63" s="1222"/>
      <c r="BRD63" s="1222"/>
      <c r="BRE63" s="1222"/>
      <c r="BRF63" s="1222"/>
      <c r="BRG63" s="1222"/>
      <c r="BRH63" s="1222"/>
      <c r="BRI63" s="1222"/>
      <c r="BRJ63" s="1222"/>
      <c r="BRK63" s="1222"/>
      <c r="BRL63" s="1222"/>
      <c r="BRM63" s="1222"/>
      <c r="BRN63" s="1222"/>
      <c r="BRO63" s="1222"/>
      <c r="BRP63" s="1222"/>
      <c r="BRQ63" s="1222"/>
      <c r="BRR63" s="1222"/>
      <c r="BRS63" s="1222"/>
      <c r="BRT63" s="1222"/>
      <c r="BRU63" s="1222"/>
      <c r="BRV63" s="1222"/>
      <c r="BRW63" s="1222"/>
      <c r="BRX63" s="1222"/>
      <c r="BRY63" s="1222"/>
      <c r="BRZ63" s="1222"/>
      <c r="BSA63" s="1222"/>
      <c r="BSB63" s="1222"/>
      <c r="BSC63" s="1222"/>
      <c r="BSD63" s="1222"/>
      <c r="BSE63" s="1222"/>
      <c r="BSF63" s="1222"/>
      <c r="BSG63" s="1222"/>
      <c r="BSH63" s="1222"/>
      <c r="BSI63" s="1222"/>
      <c r="BSJ63" s="1222"/>
      <c r="BSK63" s="1222"/>
      <c r="BSL63" s="1222"/>
      <c r="BSM63" s="1222"/>
      <c r="BSN63" s="1222"/>
      <c r="BSO63" s="1222"/>
      <c r="BSP63" s="1222"/>
      <c r="BSQ63" s="1222"/>
      <c r="BSR63" s="1222"/>
      <c r="BSS63" s="1222"/>
      <c r="BST63" s="1222"/>
      <c r="BSU63" s="1222"/>
      <c r="BSV63" s="1222"/>
      <c r="BSW63" s="1222"/>
      <c r="BSX63" s="1222"/>
      <c r="BSY63" s="1222"/>
      <c r="BSZ63" s="1222"/>
      <c r="BTA63" s="1222"/>
      <c r="BTB63" s="1222"/>
      <c r="BTC63" s="1222"/>
      <c r="BTD63" s="1222"/>
      <c r="BTE63" s="1222"/>
      <c r="BTF63" s="1222"/>
      <c r="BTG63" s="1222"/>
      <c r="BTH63" s="1222"/>
      <c r="BTI63" s="1222"/>
      <c r="BTJ63" s="1222"/>
      <c r="BTK63" s="1222"/>
      <c r="BTL63" s="1222"/>
      <c r="BTM63" s="1222"/>
      <c r="BTN63" s="1222"/>
      <c r="BTO63" s="1222"/>
      <c r="BTP63" s="1222"/>
      <c r="BTQ63" s="1222"/>
      <c r="BTR63" s="1222"/>
      <c r="BTS63" s="1222"/>
      <c r="BTT63" s="1222"/>
      <c r="BTU63" s="1222"/>
      <c r="BTV63" s="1222"/>
      <c r="BTW63" s="1222"/>
      <c r="BTX63" s="1222"/>
      <c r="BTY63" s="1222"/>
      <c r="BTZ63" s="1222"/>
      <c r="BUA63" s="1222"/>
      <c r="BUB63" s="1222"/>
      <c r="BUC63" s="1222"/>
      <c r="BUD63" s="1222"/>
      <c r="BUE63" s="1222"/>
      <c r="BUF63" s="1222"/>
      <c r="BUG63" s="1222"/>
      <c r="BUH63" s="1222"/>
      <c r="BUI63" s="1222"/>
      <c r="BUJ63" s="1222"/>
      <c r="BUK63" s="1222"/>
      <c r="BUL63" s="1222"/>
      <c r="BUM63" s="1222"/>
      <c r="BUN63" s="1222"/>
      <c r="BUO63" s="1222"/>
      <c r="BUP63" s="1222"/>
      <c r="BUQ63" s="1222"/>
      <c r="BUR63" s="1222"/>
      <c r="BUS63" s="1222"/>
      <c r="BUT63" s="1222"/>
      <c r="BUU63" s="1222"/>
      <c r="BUV63" s="1222"/>
      <c r="BUW63" s="1222"/>
      <c r="BUX63" s="1222"/>
      <c r="BUY63" s="1222"/>
      <c r="BUZ63" s="1222"/>
      <c r="BVA63" s="1222"/>
      <c r="BVB63" s="1222"/>
      <c r="BVC63" s="1222"/>
      <c r="BVD63" s="1222"/>
      <c r="BVE63" s="1222"/>
      <c r="BVF63" s="1222"/>
      <c r="BVG63" s="1222"/>
      <c r="BVH63" s="1222"/>
      <c r="BVI63" s="1222"/>
      <c r="BVJ63" s="1222"/>
      <c r="BVK63" s="1222"/>
      <c r="BVL63" s="1222"/>
      <c r="BVM63" s="1222"/>
      <c r="BVN63" s="1222"/>
      <c r="BVO63" s="1222"/>
      <c r="BVP63" s="1222"/>
      <c r="BVQ63" s="1222"/>
      <c r="BVR63" s="1222"/>
      <c r="BVS63" s="1222"/>
      <c r="BVT63" s="1222"/>
      <c r="BVU63" s="1222"/>
      <c r="BVV63" s="1222"/>
      <c r="BVW63" s="1222"/>
      <c r="BVX63" s="1222"/>
      <c r="BVY63" s="1222"/>
      <c r="BVZ63" s="1222"/>
      <c r="BWA63" s="1222"/>
      <c r="BWB63" s="1222"/>
      <c r="BWC63" s="1222"/>
      <c r="BWD63" s="1222"/>
      <c r="BWE63" s="1222"/>
      <c r="BWF63" s="1222"/>
      <c r="BWG63" s="1222"/>
      <c r="BWH63" s="1222"/>
      <c r="BWI63" s="1222"/>
      <c r="BWJ63" s="1222"/>
      <c r="BWK63" s="1222"/>
      <c r="BWL63" s="1222"/>
      <c r="BWM63" s="1222"/>
      <c r="BWN63" s="1222"/>
      <c r="BWO63" s="1222"/>
      <c r="BWP63" s="1222"/>
      <c r="BWQ63" s="1222"/>
      <c r="BWR63" s="1222"/>
      <c r="BWS63" s="1222"/>
      <c r="BWT63" s="1222"/>
      <c r="BWU63" s="1222"/>
      <c r="BWV63" s="1222"/>
      <c r="BWW63" s="1222"/>
      <c r="BWX63" s="1222"/>
      <c r="BWY63" s="1222"/>
      <c r="BWZ63" s="1222"/>
      <c r="BXA63" s="1222"/>
      <c r="BXB63" s="1222"/>
      <c r="BXC63" s="1222"/>
      <c r="BXD63" s="1222"/>
      <c r="BXE63" s="1222"/>
      <c r="BXF63" s="1222"/>
      <c r="BXG63" s="1222"/>
      <c r="BXH63" s="1222"/>
      <c r="BXI63" s="1222"/>
      <c r="BXJ63" s="1222"/>
      <c r="BXK63" s="1222"/>
      <c r="BXL63" s="1222"/>
      <c r="BXM63" s="1222"/>
      <c r="BXN63" s="1222"/>
      <c r="BXO63" s="1222"/>
      <c r="BXP63" s="1222"/>
      <c r="BXQ63" s="1222"/>
      <c r="BXR63" s="1222"/>
      <c r="BXS63" s="1222"/>
      <c r="BXT63" s="1222"/>
      <c r="BXU63" s="1222"/>
      <c r="BXV63" s="1222"/>
      <c r="BXW63" s="1222"/>
      <c r="BXX63" s="1222"/>
      <c r="BXY63" s="1222"/>
      <c r="BXZ63" s="1222"/>
      <c r="BYA63" s="1222"/>
      <c r="BYB63" s="1222"/>
      <c r="BYC63" s="1222"/>
      <c r="BYD63" s="1222"/>
      <c r="BYE63" s="1222"/>
      <c r="BYF63" s="1222"/>
      <c r="BYG63" s="1222"/>
      <c r="BYH63" s="1222"/>
      <c r="BYI63" s="1222"/>
      <c r="BYJ63" s="1222"/>
      <c r="BYK63" s="1222"/>
      <c r="BYL63" s="1222"/>
      <c r="BYM63" s="1222"/>
      <c r="BYN63" s="1222"/>
      <c r="BYO63" s="1222"/>
      <c r="BYP63" s="1222"/>
      <c r="BYQ63" s="1222"/>
      <c r="BYR63" s="1222"/>
      <c r="BYS63" s="1222"/>
      <c r="BYT63" s="1222"/>
      <c r="BYU63" s="1222"/>
      <c r="BYV63" s="1222"/>
      <c r="BYW63" s="1222"/>
      <c r="BYX63" s="1222"/>
      <c r="BYY63" s="1222"/>
      <c r="BYZ63" s="1222"/>
      <c r="BZA63" s="1222"/>
      <c r="BZB63" s="1222"/>
      <c r="BZC63" s="1222"/>
      <c r="BZD63" s="1222"/>
      <c r="BZE63" s="1222"/>
      <c r="BZF63" s="1222"/>
      <c r="BZG63" s="1222"/>
      <c r="BZH63" s="1222"/>
      <c r="BZI63" s="1222"/>
      <c r="BZJ63" s="1222"/>
      <c r="BZK63" s="1222"/>
      <c r="BZL63" s="1222"/>
      <c r="BZM63" s="1222"/>
      <c r="BZN63" s="1222"/>
      <c r="BZO63" s="1222"/>
      <c r="BZP63" s="1222"/>
      <c r="BZQ63" s="1222"/>
      <c r="BZR63" s="1222"/>
      <c r="BZS63" s="1222"/>
      <c r="BZT63" s="1222"/>
      <c r="BZU63" s="1222"/>
      <c r="BZV63" s="1222"/>
      <c r="BZW63" s="1222"/>
      <c r="BZX63" s="1222"/>
      <c r="BZY63" s="1222"/>
      <c r="BZZ63" s="1222"/>
      <c r="CAA63" s="1222"/>
      <c r="CAB63" s="1222"/>
      <c r="CAC63" s="1222"/>
      <c r="CAD63" s="1222"/>
      <c r="CAE63" s="1222"/>
      <c r="CAF63" s="1222"/>
      <c r="CAG63" s="1222"/>
      <c r="CAH63" s="1222"/>
      <c r="CAI63" s="1222"/>
      <c r="CAJ63" s="1222"/>
      <c r="CAK63" s="1222"/>
      <c r="CAL63" s="1222"/>
      <c r="CAM63" s="1222"/>
      <c r="CAN63" s="1222"/>
      <c r="CAO63" s="1222"/>
      <c r="CAP63" s="1222"/>
      <c r="CAQ63" s="1222"/>
      <c r="CAR63" s="1222"/>
      <c r="CAS63" s="1222"/>
      <c r="CAT63" s="1222"/>
      <c r="CAU63" s="1222"/>
      <c r="CAV63" s="1222"/>
      <c r="CAW63" s="1222"/>
      <c r="CAX63" s="1222"/>
      <c r="CAY63" s="1222"/>
      <c r="CAZ63" s="1222"/>
      <c r="CBA63" s="1222"/>
      <c r="CBB63" s="1222"/>
      <c r="CBC63" s="1222"/>
      <c r="CBD63" s="1222"/>
      <c r="CBE63" s="1222"/>
      <c r="CBF63" s="1222"/>
      <c r="CBG63" s="1222"/>
      <c r="CBH63" s="1222"/>
      <c r="CBI63" s="1222"/>
      <c r="CBJ63" s="1222"/>
      <c r="CBK63" s="1222"/>
      <c r="CBL63" s="1222"/>
      <c r="CBM63" s="1222"/>
      <c r="CBN63" s="1222"/>
      <c r="CBO63" s="1222"/>
      <c r="CBP63" s="1222"/>
      <c r="CBQ63" s="1222"/>
      <c r="CBR63" s="1222"/>
      <c r="CBS63" s="1222"/>
      <c r="CBT63" s="1222"/>
      <c r="CBU63" s="1222"/>
      <c r="CBV63" s="1222"/>
      <c r="CBW63" s="1222"/>
      <c r="CBX63" s="1222"/>
      <c r="CBY63" s="1222"/>
      <c r="CBZ63" s="1222"/>
      <c r="CCA63" s="1222"/>
      <c r="CCB63" s="1222"/>
      <c r="CCC63" s="1222"/>
      <c r="CCD63" s="1222"/>
      <c r="CCE63" s="1222"/>
      <c r="CCF63" s="1222"/>
      <c r="CCG63" s="1222"/>
      <c r="CCH63" s="1222"/>
      <c r="CCI63" s="1222"/>
      <c r="CCJ63" s="1222"/>
      <c r="CCK63" s="1222"/>
      <c r="CCL63" s="1222"/>
      <c r="CCM63" s="1222"/>
      <c r="CCN63" s="1222"/>
      <c r="CCO63" s="1222"/>
      <c r="CCP63" s="1222"/>
      <c r="CCQ63" s="1222"/>
      <c r="CCR63" s="1222"/>
      <c r="CCS63" s="1222"/>
      <c r="CCT63" s="1222"/>
      <c r="CCU63" s="1222"/>
      <c r="CCV63" s="1222"/>
      <c r="CCW63" s="1222"/>
      <c r="CCX63" s="1222"/>
      <c r="CCY63" s="1222"/>
      <c r="CCZ63" s="1222"/>
      <c r="CDA63" s="1222"/>
      <c r="CDB63" s="1222"/>
      <c r="CDC63" s="1222"/>
      <c r="CDD63" s="1222"/>
      <c r="CDE63" s="1222"/>
      <c r="CDF63" s="1222"/>
      <c r="CDG63" s="1222"/>
      <c r="CDH63" s="1222"/>
      <c r="CDI63" s="1222"/>
      <c r="CDJ63" s="1222"/>
      <c r="CDK63" s="1222"/>
      <c r="CDL63" s="1222"/>
      <c r="CDM63" s="1222"/>
      <c r="CDN63" s="1222"/>
      <c r="CDO63" s="1222"/>
      <c r="CDP63" s="1222"/>
      <c r="CDQ63" s="1222"/>
      <c r="CDR63" s="1222"/>
      <c r="CDS63" s="1222"/>
      <c r="CDT63" s="1222"/>
      <c r="CDU63" s="1222"/>
      <c r="CDV63" s="1222"/>
      <c r="CDW63" s="1222"/>
      <c r="CDX63" s="1222"/>
      <c r="CDY63" s="1222"/>
      <c r="CDZ63" s="1222"/>
      <c r="CEA63" s="1222"/>
      <c r="CEB63" s="1222"/>
      <c r="CEC63" s="1222"/>
      <c r="CED63" s="1222"/>
      <c r="CEE63" s="1222"/>
      <c r="CEF63" s="1222"/>
      <c r="CEG63" s="1222"/>
      <c r="CEH63" s="1222"/>
      <c r="CEI63" s="1222"/>
      <c r="CEJ63" s="1222"/>
      <c r="CEK63" s="1222"/>
      <c r="CEL63" s="1222"/>
      <c r="CEM63" s="1222"/>
      <c r="CEN63" s="1222"/>
      <c r="CEO63" s="1222"/>
      <c r="CEP63" s="1222"/>
      <c r="CEQ63" s="1222"/>
      <c r="CER63" s="1222"/>
      <c r="CES63" s="1222"/>
      <c r="CET63" s="1222"/>
      <c r="CEU63" s="1222"/>
      <c r="CEV63" s="1222"/>
      <c r="CEW63" s="1222"/>
      <c r="CEX63" s="1222"/>
      <c r="CEY63" s="1222"/>
      <c r="CEZ63" s="1222"/>
      <c r="CFA63" s="1222"/>
      <c r="CFB63" s="1222"/>
      <c r="CFC63" s="1222"/>
      <c r="CFD63" s="1222"/>
      <c r="CFE63" s="1222"/>
      <c r="CFF63" s="1222"/>
      <c r="CFG63" s="1222"/>
      <c r="CFH63" s="1222"/>
      <c r="CFI63" s="1222"/>
      <c r="CFJ63" s="1222"/>
      <c r="CFK63" s="1222"/>
      <c r="CFL63" s="1222"/>
      <c r="CFM63" s="1222"/>
      <c r="CFN63" s="1222"/>
      <c r="CFO63" s="1222"/>
      <c r="CFP63" s="1222"/>
      <c r="CFQ63" s="1222"/>
      <c r="CFR63" s="1222"/>
      <c r="CFS63" s="1222"/>
      <c r="CFT63" s="1222"/>
      <c r="CFU63" s="1222"/>
      <c r="CFV63" s="1222"/>
      <c r="CFW63" s="1222"/>
      <c r="CFX63" s="1222"/>
      <c r="CFY63" s="1222"/>
      <c r="CFZ63" s="1222"/>
      <c r="CGA63" s="1222"/>
      <c r="CGB63" s="1222"/>
      <c r="CGC63" s="1222"/>
      <c r="CGD63" s="1222"/>
      <c r="CGE63" s="1222"/>
      <c r="CGF63" s="1222"/>
      <c r="CGG63" s="1222"/>
      <c r="CGH63" s="1222"/>
      <c r="CGI63" s="1222"/>
      <c r="CGJ63" s="1222"/>
      <c r="CGK63" s="1222"/>
      <c r="CGL63" s="1222"/>
      <c r="CGM63" s="1222"/>
      <c r="CGN63" s="1222"/>
      <c r="CGO63" s="1222"/>
      <c r="CGP63" s="1222"/>
      <c r="CGQ63" s="1222"/>
      <c r="CGR63" s="1222"/>
      <c r="CGS63" s="1222"/>
      <c r="CGT63" s="1222"/>
      <c r="CGU63" s="1222"/>
      <c r="CGV63" s="1222"/>
      <c r="CGW63" s="1222"/>
      <c r="CGX63" s="1222"/>
      <c r="CGY63" s="1222"/>
      <c r="CGZ63" s="1222"/>
      <c r="CHA63" s="1222"/>
      <c r="CHB63" s="1222"/>
      <c r="CHC63" s="1222"/>
      <c r="CHD63" s="1222"/>
      <c r="CHE63" s="1222"/>
      <c r="CHF63" s="1222"/>
      <c r="CHG63" s="1222"/>
      <c r="CHH63" s="1222"/>
      <c r="CHI63" s="1222"/>
      <c r="CHJ63" s="1222"/>
      <c r="CHK63" s="1222"/>
      <c r="CHL63" s="1222"/>
      <c r="CHM63" s="1222"/>
      <c r="CHN63" s="1222"/>
      <c r="CHO63" s="1222"/>
      <c r="CHP63" s="1222"/>
      <c r="CHQ63" s="1222"/>
      <c r="CHR63" s="1222"/>
      <c r="CHS63" s="1222"/>
      <c r="CHT63" s="1222"/>
      <c r="CHU63" s="1222"/>
      <c r="CHV63" s="1222"/>
      <c r="CHW63" s="1222"/>
      <c r="CHX63" s="1222"/>
      <c r="CHY63" s="1222"/>
      <c r="CHZ63" s="1222"/>
      <c r="CIA63" s="1222"/>
      <c r="CIB63" s="1222"/>
      <c r="CIC63" s="1222"/>
      <c r="CID63" s="1222"/>
      <c r="CIE63" s="1222"/>
      <c r="CIF63" s="1222"/>
      <c r="CIG63" s="1222"/>
      <c r="CIH63" s="1222"/>
      <c r="CII63" s="1222"/>
      <c r="CIJ63" s="1222"/>
      <c r="CIK63" s="1222"/>
      <c r="CIL63" s="1222"/>
      <c r="CIM63" s="1222"/>
      <c r="CIN63" s="1222"/>
      <c r="CIO63" s="1222"/>
      <c r="CIP63" s="1222"/>
      <c r="CIQ63" s="1222"/>
      <c r="CIR63" s="1222"/>
      <c r="CIS63" s="1222"/>
      <c r="CIT63" s="1222"/>
      <c r="CIU63" s="1222"/>
      <c r="CIV63" s="1222"/>
      <c r="CIW63" s="1222"/>
      <c r="CIX63" s="1222"/>
      <c r="CIY63" s="1222"/>
      <c r="CIZ63" s="1222"/>
      <c r="CJA63" s="1222"/>
      <c r="CJB63" s="1222"/>
      <c r="CJC63" s="1222"/>
      <c r="CJD63" s="1222"/>
      <c r="CJE63" s="1222"/>
      <c r="CJF63" s="1222"/>
      <c r="CJG63" s="1222"/>
      <c r="CJH63" s="1222"/>
      <c r="CJI63" s="1222"/>
      <c r="CJJ63" s="1222"/>
      <c r="CJK63" s="1222"/>
      <c r="CJL63" s="1222"/>
      <c r="CJM63" s="1222"/>
      <c r="CJN63" s="1222"/>
      <c r="CJO63" s="1222"/>
      <c r="CJP63" s="1222"/>
      <c r="CJQ63" s="1222"/>
      <c r="CJR63" s="1222"/>
      <c r="CJS63" s="1222"/>
      <c r="CJT63" s="1222"/>
      <c r="CJU63" s="1222"/>
      <c r="CJV63" s="1222"/>
      <c r="CJW63" s="1222"/>
      <c r="CJX63" s="1222"/>
      <c r="CJY63" s="1222"/>
      <c r="CJZ63" s="1222"/>
      <c r="CKA63" s="1222"/>
      <c r="CKB63" s="1222"/>
      <c r="CKC63" s="1222"/>
      <c r="CKD63" s="1222"/>
      <c r="CKE63" s="1222"/>
      <c r="CKF63" s="1222"/>
      <c r="CKG63" s="1222"/>
      <c r="CKH63" s="1222"/>
      <c r="CKI63" s="1222"/>
      <c r="CKJ63" s="1222"/>
      <c r="CKK63" s="1222"/>
      <c r="CKL63" s="1222"/>
      <c r="CKM63" s="1222"/>
      <c r="CKN63" s="1222"/>
      <c r="CKO63" s="1222"/>
      <c r="CKP63" s="1222"/>
      <c r="CKQ63" s="1222"/>
      <c r="CKR63" s="1222"/>
      <c r="CKS63" s="1222"/>
      <c r="CKT63" s="1222"/>
      <c r="CKU63" s="1222"/>
      <c r="CKV63" s="1222"/>
      <c r="CKW63" s="1222"/>
      <c r="CKX63" s="1222"/>
      <c r="CKY63" s="1222"/>
      <c r="CKZ63" s="1222"/>
      <c r="CLA63" s="1222"/>
      <c r="CLB63" s="1222"/>
      <c r="CLC63" s="1222"/>
      <c r="CLD63" s="1222"/>
      <c r="CLE63" s="1222"/>
      <c r="CLF63" s="1222"/>
      <c r="CLG63" s="1222"/>
      <c r="CLH63" s="1222"/>
      <c r="CLI63" s="1222"/>
      <c r="CLJ63" s="1222"/>
      <c r="CLK63" s="1222"/>
      <c r="CLL63" s="1222"/>
      <c r="CLM63" s="1222"/>
      <c r="CLN63" s="1222"/>
      <c r="CLO63" s="1222"/>
      <c r="CLP63" s="1222"/>
      <c r="CLQ63" s="1222"/>
      <c r="CLR63" s="1222"/>
      <c r="CLS63" s="1222"/>
      <c r="CLT63" s="1222"/>
      <c r="CLU63" s="1222"/>
      <c r="CLV63" s="1222"/>
      <c r="CLW63" s="1222"/>
      <c r="CLX63" s="1222"/>
      <c r="CLY63" s="1222"/>
      <c r="CLZ63" s="1222"/>
      <c r="CMA63" s="1222"/>
      <c r="CMB63" s="1222"/>
      <c r="CMC63" s="1222"/>
      <c r="CMD63" s="1222"/>
      <c r="CME63" s="1222"/>
      <c r="CMF63" s="1222"/>
      <c r="CMG63" s="1222"/>
      <c r="CMH63" s="1222"/>
      <c r="CMI63" s="1222"/>
      <c r="CMJ63" s="1222"/>
      <c r="CMK63" s="1222"/>
      <c r="CML63" s="1222"/>
      <c r="CMM63" s="1222"/>
      <c r="CMN63" s="1222"/>
      <c r="CMO63" s="1222"/>
      <c r="CMP63" s="1222"/>
      <c r="CMQ63" s="1222"/>
      <c r="CMR63" s="1222"/>
      <c r="CMS63" s="1222"/>
      <c r="CMT63" s="1222"/>
      <c r="CMU63" s="1222"/>
      <c r="CMV63" s="1222"/>
      <c r="CMW63" s="1222"/>
      <c r="CMX63" s="1222"/>
      <c r="CMY63" s="1222"/>
      <c r="CMZ63" s="1222"/>
      <c r="CNA63" s="1222"/>
      <c r="CNB63" s="1222"/>
      <c r="CNC63" s="1222"/>
      <c r="CND63" s="1222"/>
      <c r="CNE63" s="1222"/>
      <c r="CNF63" s="1222"/>
      <c r="CNG63" s="1222"/>
      <c r="CNH63" s="1222"/>
      <c r="CNI63" s="1222"/>
      <c r="CNJ63" s="1222"/>
      <c r="CNK63" s="1222"/>
      <c r="CNL63" s="1222"/>
      <c r="CNM63" s="1222"/>
      <c r="CNN63" s="1222"/>
      <c r="CNO63" s="1222"/>
      <c r="CNP63" s="1222"/>
      <c r="CNQ63" s="1222"/>
      <c r="CNR63" s="1222"/>
      <c r="CNS63" s="1222"/>
      <c r="CNT63" s="1222"/>
      <c r="CNU63" s="1222"/>
      <c r="CNV63" s="1222"/>
      <c r="CNW63" s="1222"/>
      <c r="CNX63" s="1222"/>
      <c r="CNY63" s="1222"/>
      <c r="CNZ63" s="1222"/>
      <c r="COA63" s="1222"/>
      <c r="COB63" s="1222"/>
      <c r="COC63" s="1222"/>
      <c r="COD63" s="1222"/>
      <c r="COE63" s="1222"/>
      <c r="COF63" s="1222"/>
      <c r="COG63" s="1222"/>
      <c r="COH63" s="1222"/>
      <c r="COI63" s="1222"/>
      <c r="COJ63" s="1222"/>
      <c r="COK63" s="1222"/>
      <c r="COL63" s="1222"/>
      <c r="COM63" s="1222"/>
      <c r="CON63" s="1222"/>
      <c r="COO63" s="1222"/>
      <c r="COP63" s="1222"/>
      <c r="COQ63" s="1222"/>
      <c r="COR63" s="1222"/>
      <c r="COS63" s="1222"/>
      <c r="COT63" s="1222"/>
      <c r="COU63" s="1222"/>
      <c r="COV63" s="1222"/>
      <c r="COW63" s="1222"/>
      <c r="COX63" s="1222"/>
      <c r="COY63" s="1222"/>
      <c r="COZ63" s="1222"/>
      <c r="CPA63" s="1222"/>
      <c r="CPB63" s="1222"/>
      <c r="CPC63" s="1222"/>
      <c r="CPD63" s="1222"/>
      <c r="CPE63" s="1222"/>
      <c r="CPF63" s="1222"/>
      <c r="CPG63" s="1222"/>
      <c r="CPH63" s="1222"/>
      <c r="CPI63" s="1222"/>
      <c r="CPJ63" s="1222"/>
      <c r="CPK63" s="1222"/>
      <c r="CPL63" s="1222"/>
      <c r="CPM63" s="1222"/>
      <c r="CPN63" s="1222"/>
      <c r="CPO63" s="1222"/>
      <c r="CPP63" s="1222"/>
      <c r="CPQ63" s="1222"/>
      <c r="CPR63" s="1222"/>
      <c r="CPS63" s="1222"/>
      <c r="CPT63" s="1222"/>
      <c r="CPU63" s="1222"/>
      <c r="CPV63" s="1222"/>
      <c r="CPW63" s="1222"/>
      <c r="CPX63" s="1222"/>
      <c r="CPY63" s="1222"/>
      <c r="CPZ63" s="1222"/>
      <c r="CQA63" s="1222"/>
      <c r="CQB63" s="1222"/>
      <c r="CQC63" s="1222"/>
      <c r="CQD63" s="1222"/>
      <c r="CQE63" s="1222"/>
      <c r="CQF63" s="1222"/>
      <c r="CQG63" s="1222"/>
      <c r="CQH63" s="1222"/>
      <c r="CQI63" s="1222"/>
      <c r="CQJ63" s="1222"/>
      <c r="CQK63" s="1222"/>
      <c r="CQL63" s="1222"/>
      <c r="CQM63" s="1222"/>
      <c r="CQN63" s="1222"/>
      <c r="CQO63" s="1222"/>
      <c r="CQP63" s="1222"/>
      <c r="CQQ63" s="1222"/>
      <c r="CQR63" s="1222"/>
      <c r="CQS63" s="1222"/>
      <c r="CQT63" s="1222"/>
      <c r="CQU63" s="1222"/>
      <c r="CQV63" s="1222"/>
      <c r="CQW63" s="1222"/>
      <c r="CQX63" s="1222"/>
      <c r="CQY63" s="1222"/>
      <c r="CQZ63" s="1222"/>
      <c r="CRA63" s="1222"/>
      <c r="CRB63" s="1222"/>
      <c r="CRC63" s="1222"/>
      <c r="CRD63" s="1222"/>
      <c r="CRE63" s="1222"/>
      <c r="CRF63" s="1222"/>
      <c r="CRG63" s="1222"/>
      <c r="CRH63" s="1222"/>
      <c r="CRI63" s="1222"/>
      <c r="CRJ63" s="1222"/>
      <c r="CRK63" s="1222"/>
      <c r="CRL63" s="1222"/>
      <c r="CRM63" s="1222"/>
      <c r="CRN63" s="1222"/>
      <c r="CRO63" s="1222"/>
      <c r="CRP63" s="1222"/>
      <c r="CRQ63" s="1222"/>
      <c r="CRR63" s="1222"/>
      <c r="CRS63" s="1222"/>
      <c r="CRT63" s="1222"/>
      <c r="CRU63" s="1222"/>
      <c r="CRV63" s="1222"/>
      <c r="CRW63" s="1222"/>
      <c r="CRX63" s="1222"/>
      <c r="CRY63" s="1222"/>
      <c r="CRZ63" s="1222"/>
      <c r="CSA63" s="1222"/>
      <c r="CSB63" s="1222"/>
      <c r="CSC63" s="1222"/>
      <c r="CSD63" s="1222"/>
      <c r="CSE63" s="1222"/>
      <c r="CSF63" s="1222"/>
      <c r="CSG63" s="1222"/>
      <c r="CSH63" s="1222"/>
      <c r="CSI63" s="1222"/>
      <c r="CSJ63" s="1222"/>
      <c r="CSK63" s="1222"/>
      <c r="CSL63" s="1222"/>
      <c r="CSM63" s="1222"/>
      <c r="CSN63" s="1222"/>
      <c r="CSO63" s="1222"/>
      <c r="CSP63" s="1222"/>
      <c r="CSQ63" s="1222"/>
      <c r="CSR63" s="1222"/>
      <c r="CSS63" s="1222"/>
      <c r="CST63" s="1222"/>
      <c r="CSU63" s="1222"/>
      <c r="CSV63" s="1222"/>
      <c r="CSW63" s="1222"/>
      <c r="CSX63" s="1222"/>
      <c r="CSY63" s="1222"/>
      <c r="CSZ63" s="1222"/>
      <c r="CTA63" s="1222"/>
      <c r="CTB63" s="1222"/>
      <c r="CTC63" s="1222"/>
      <c r="CTD63" s="1222"/>
      <c r="CTE63" s="1222"/>
      <c r="CTF63" s="1222"/>
      <c r="CTG63" s="1222"/>
      <c r="CTH63" s="1222"/>
      <c r="CTI63" s="1222"/>
      <c r="CTJ63" s="1222"/>
      <c r="CTK63" s="1222"/>
      <c r="CTL63" s="1222"/>
      <c r="CTM63" s="1222"/>
      <c r="CTN63" s="1222"/>
      <c r="CTO63" s="1222"/>
      <c r="CTP63" s="1222"/>
      <c r="CTQ63" s="1222"/>
      <c r="CTR63" s="1222"/>
      <c r="CTS63" s="1222"/>
      <c r="CTT63" s="1222"/>
      <c r="CTU63" s="1222"/>
      <c r="CTV63" s="1222"/>
      <c r="CTW63" s="1222"/>
      <c r="CTX63" s="1222"/>
      <c r="CTY63" s="1222"/>
      <c r="CTZ63" s="1222"/>
      <c r="CUA63" s="1222"/>
      <c r="CUB63" s="1222"/>
      <c r="CUC63" s="1222"/>
      <c r="CUD63" s="1222"/>
      <c r="CUE63" s="1222"/>
      <c r="CUF63" s="1222"/>
      <c r="CUG63" s="1222"/>
      <c r="CUH63" s="1222"/>
      <c r="CUI63" s="1222"/>
      <c r="CUJ63" s="1222"/>
      <c r="CUK63" s="1222"/>
      <c r="CUL63" s="1222"/>
      <c r="CUM63" s="1222"/>
      <c r="CUN63" s="1222"/>
      <c r="CUO63" s="1222"/>
      <c r="CUP63" s="1222"/>
      <c r="CUQ63" s="1222"/>
      <c r="CUR63" s="1222"/>
      <c r="CUS63" s="1222"/>
      <c r="CUT63" s="1222"/>
      <c r="CUU63" s="1222"/>
      <c r="CUV63" s="1222"/>
      <c r="CUW63" s="1222"/>
      <c r="CUX63" s="1222"/>
      <c r="CUY63" s="1222"/>
      <c r="CUZ63" s="1222"/>
      <c r="CVA63" s="1222"/>
      <c r="CVB63" s="1222"/>
      <c r="CVC63" s="1222"/>
      <c r="CVD63" s="1222"/>
      <c r="CVE63" s="1222"/>
      <c r="CVF63" s="1222"/>
      <c r="CVG63" s="1222"/>
      <c r="CVH63" s="1222"/>
      <c r="CVI63" s="1222"/>
      <c r="CVJ63" s="1222"/>
      <c r="CVK63" s="1222"/>
      <c r="CVL63" s="1222"/>
      <c r="CVM63" s="1222"/>
      <c r="CVN63" s="1222"/>
      <c r="CVO63" s="1222"/>
      <c r="CVP63" s="1222"/>
      <c r="CVQ63" s="1222"/>
      <c r="CVR63" s="1222"/>
      <c r="CVS63" s="1222"/>
      <c r="CVT63" s="1222"/>
      <c r="CVU63" s="1222"/>
      <c r="CVV63" s="1222"/>
      <c r="CVW63" s="1222"/>
      <c r="CVX63" s="1222"/>
      <c r="CVY63" s="1222"/>
      <c r="CVZ63" s="1222"/>
      <c r="CWA63" s="1222"/>
      <c r="CWB63" s="1222"/>
      <c r="CWC63" s="1222"/>
      <c r="CWD63" s="1222"/>
      <c r="CWE63" s="1222"/>
      <c r="CWF63" s="1222"/>
      <c r="CWG63" s="1222"/>
      <c r="CWH63" s="1222"/>
      <c r="CWI63" s="1222"/>
      <c r="CWJ63" s="1222"/>
      <c r="CWK63" s="1222"/>
      <c r="CWL63" s="1222"/>
      <c r="CWM63" s="1222"/>
      <c r="CWN63" s="1222"/>
      <c r="CWO63" s="1222"/>
      <c r="CWP63" s="1222"/>
      <c r="CWQ63" s="1222"/>
      <c r="CWR63" s="1222"/>
      <c r="CWS63" s="1222"/>
      <c r="CWT63" s="1222"/>
      <c r="CWU63" s="1222"/>
      <c r="CWV63" s="1222"/>
      <c r="CWW63" s="1222"/>
      <c r="CWX63" s="1222"/>
      <c r="CWY63" s="1222"/>
      <c r="CWZ63" s="1222"/>
      <c r="CXA63" s="1222"/>
      <c r="CXB63" s="1222"/>
      <c r="CXC63" s="1222"/>
      <c r="CXD63" s="1222"/>
      <c r="CXE63" s="1222"/>
      <c r="CXF63" s="1222"/>
      <c r="CXG63" s="1222"/>
      <c r="CXH63" s="1222"/>
      <c r="CXI63" s="1222"/>
      <c r="CXJ63" s="1222"/>
      <c r="CXK63" s="1222"/>
      <c r="CXL63" s="1222"/>
      <c r="CXM63" s="1222"/>
      <c r="CXN63" s="1222"/>
      <c r="CXO63" s="1222"/>
      <c r="CXP63" s="1222"/>
      <c r="CXQ63" s="1222"/>
      <c r="CXR63" s="1222"/>
      <c r="CXS63" s="1222"/>
      <c r="CXT63" s="1222"/>
      <c r="CXU63" s="1222"/>
      <c r="CXV63" s="1222"/>
      <c r="CXW63" s="1222"/>
      <c r="CXX63" s="1222"/>
      <c r="CXY63" s="1222"/>
      <c r="CXZ63" s="1222"/>
      <c r="CYA63" s="1222"/>
      <c r="CYB63" s="1222"/>
      <c r="CYC63" s="1222"/>
      <c r="CYD63" s="1222"/>
      <c r="CYE63" s="1222"/>
      <c r="CYF63" s="1222"/>
      <c r="CYG63" s="1222"/>
      <c r="CYH63" s="1222"/>
      <c r="CYI63" s="1222"/>
      <c r="CYJ63" s="1222"/>
      <c r="CYK63" s="1222"/>
      <c r="CYL63" s="1222"/>
      <c r="CYM63" s="1222"/>
      <c r="CYN63" s="1222"/>
      <c r="CYO63" s="1222"/>
      <c r="CYP63" s="1222"/>
      <c r="CYQ63" s="1222"/>
      <c r="CYR63" s="1222"/>
      <c r="CYS63" s="1222"/>
      <c r="CYT63" s="1222"/>
      <c r="CYU63" s="1222"/>
      <c r="CYV63" s="1222"/>
      <c r="CYW63" s="1222"/>
      <c r="CYX63" s="1222"/>
      <c r="CYY63" s="1222"/>
      <c r="CYZ63" s="1222"/>
      <c r="CZA63" s="1222"/>
      <c r="CZB63" s="1222"/>
      <c r="CZC63" s="1222"/>
      <c r="CZD63" s="1222"/>
      <c r="CZE63" s="1222"/>
      <c r="CZF63" s="1222"/>
      <c r="CZG63" s="1222"/>
      <c r="CZH63" s="1222"/>
      <c r="CZI63" s="1222"/>
      <c r="CZJ63" s="1222"/>
      <c r="CZK63" s="1222"/>
      <c r="CZL63" s="1222"/>
      <c r="CZM63" s="1222"/>
      <c r="CZN63" s="1222"/>
      <c r="CZO63" s="1222"/>
      <c r="CZP63" s="1222"/>
      <c r="CZQ63" s="1222"/>
      <c r="CZR63" s="1222"/>
      <c r="CZS63" s="1222"/>
      <c r="CZT63" s="1222"/>
      <c r="CZU63" s="1222"/>
      <c r="CZV63" s="1222"/>
      <c r="CZW63" s="1222"/>
      <c r="CZX63" s="1222"/>
      <c r="CZY63" s="1222"/>
      <c r="CZZ63" s="1222"/>
      <c r="DAA63" s="1222"/>
      <c r="DAB63" s="1222"/>
      <c r="DAC63" s="1222"/>
      <c r="DAD63" s="1222"/>
      <c r="DAE63" s="1222"/>
      <c r="DAF63" s="1222"/>
      <c r="DAG63" s="1222"/>
      <c r="DAH63" s="1222"/>
      <c r="DAI63" s="1222"/>
      <c r="DAJ63" s="1222"/>
      <c r="DAK63" s="1222"/>
      <c r="DAL63" s="1222"/>
      <c r="DAM63" s="1222"/>
      <c r="DAN63" s="1222"/>
      <c r="DAO63" s="1222"/>
      <c r="DAP63" s="1222"/>
      <c r="DAQ63" s="1222"/>
      <c r="DAR63" s="1222"/>
      <c r="DAS63" s="1222"/>
      <c r="DAT63" s="1222"/>
      <c r="DAU63" s="1222"/>
      <c r="DAV63" s="1222"/>
      <c r="DAW63" s="1222"/>
      <c r="DAX63" s="1222"/>
      <c r="DAY63" s="1222"/>
      <c r="DAZ63" s="1222"/>
      <c r="DBA63" s="1222"/>
      <c r="DBB63" s="1222"/>
      <c r="DBC63" s="1222"/>
      <c r="DBD63" s="1222"/>
      <c r="DBE63" s="1222"/>
      <c r="DBF63" s="1222"/>
      <c r="DBG63" s="1222"/>
      <c r="DBH63" s="1222"/>
      <c r="DBI63" s="1222"/>
      <c r="DBJ63" s="1222"/>
      <c r="DBK63" s="1222"/>
      <c r="DBL63" s="1222"/>
      <c r="DBM63" s="1222"/>
      <c r="DBN63" s="1222"/>
      <c r="DBO63" s="1222"/>
      <c r="DBP63" s="1222"/>
      <c r="DBQ63" s="1222"/>
      <c r="DBR63" s="1222"/>
      <c r="DBS63" s="1222"/>
      <c r="DBT63" s="1222"/>
      <c r="DBU63" s="1222"/>
      <c r="DBV63" s="1222"/>
      <c r="DBW63" s="1222"/>
      <c r="DBX63" s="1222"/>
      <c r="DBY63" s="1222"/>
      <c r="DBZ63" s="1222"/>
      <c r="DCA63" s="1222"/>
      <c r="DCB63" s="1222"/>
      <c r="DCC63" s="1222"/>
      <c r="DCD63" s="1222"/>
      <c r="DCE63" s="1222"/>
      <c r="DCF63" s="1222"/>
      <c r="DCG63" s="1222"/>
      <c r="DCH63" s="1222"/>
      <c r="DCI63" s="1222"/>
      <c r="DCJ63" s="1222"/>
      <c r="DCK63" s="1222"/>
      <c r="DCL63" s="1222"/>
      <c r="DCM63" s="1222"/>
      <c r="DCN63" s="1222"/>
      <c r="DCO63" s="1222"/>
      <c r="DCP63" s="1222"/>
      <c r="DCQ63" s="1222"/>
      <c r="DCR63" s="1222"/>
      <c r="DCS63" s="1222"/>
      <c r="DCT63" s="1222"/>
      <c r="DCU63" s="1222"/>
      <c r="DCV63" s="1222"/>
      <c r="DCW63" s="1222"/>
      <c r="DCX63" s="1222"/>
      <c r="DCY63" s="1222"/>
      <c r="DCZ63" s="1222"/>
      <c r="DDA63" s="1222"/>
      <c r="DDB63" s="1222"/>
      <c r="DDC63" s="1222"/>
      <c r="DDD63" s="1222"/>
      <c r="DDE63" s="1222"/>
      <c r="DDF63" s="1222"/>
      <c r="DDG63" s="1222"/>
      <c r="DDH63" s="1222"/>
      <c r="DDI63" s="1222"/>
      <c r="DDJ63" s="1222"/>
      <c r="DDK63" s="1222"/>
      <c r="DDL63" s="1222"/>
      <c r="DDM63" s="1222"/>
      <c r="DDN63" s="1222"/>
      <c r="DDO63" s="1222"/>
      <c r="DDP63" s="1222"/>
      <c r="DDQ63" s="1222"/>
      <c r="DDR63" s="1222"/>
      <c r="DDS63" s="1222"/>
      <c r="DDT63" s="1222"/>
      <c r="DDU63" s="1222"/>
      <c r="DDV63" s="1222"/>
      <c r="DDW63" s="1222"/>
      <c r="DDX63" s="1222"/>
      <c r="DDY63" s="1222"/>
      <c r="DDZ63" s="1222"/>
      <c r="DEA63" s="1222"/>
      <c r="DEB63" s="1222"/>
      <c r="DEC63" s="1222"/>
      <c r="DED63" s="1222"/>
      <c r="DEE63" s="1222"/>
      <c r="DEF63" s="1222"/>
      <c r="DEG63" s="1222"/>
      <c r="DEH63" s="1222"/>
      <c r="DEI63" s="1222"/>
      <c r="DEJ63" s="1222"/>
      <c r="DEK63" s="1222"/>
      <c r="DEL63" s="1222"/>
      <c r="DEM63" s="1222"/>
      <c r="DEN63" s="1222"/>
      <c r="DEO63" s="1222"/>
      <c r="DEP63" s="1222"/>
      <c r="DEQ63" s="1222"/>
      <c r="DER63" s="1222"/>
      <c r="DES63" s="1222"/>
      <c r="DET63" s="1222"/>
      <c r="DEU63" s="1222"/>
      <c r="DEV63" s="1222"/>
      <c r="DEW63" s="1222"/>
      <c r="DEX63" s="1222"/>
      <c r="DEY63" s="1222"/>
      <c r="DEZ63" s="1222"/>
      <c r="DFA63" s="1222"/>
      <c r="DFB63" s="1222"/>
      <c r="DFC63" s="1222"/>
      <c r="DFD63" s="1222"/>
      <c r="DFE63" s="1222"/>
      <c r="DFF63" s="1222"/>
      <c r="DFG63" s="1222"/>
      <c r="DFH63" s="1222"/>
      <c r="DFI63" s="1222"/>
      <c r="DFJ63" s="1222"/>
      <c r="DFK63" s="1222"/>
      <c r="DFL63" s="1222"/>
      <c r="DFM63" s="1222"/>
      <c r="DFN63" s="1222"/>
      <c r="DFO63" s="1222"/>
      <c r="DFP63" s="1222"/>
      <c r="DFQ63" s="1222"/>
      <c r="DFR63" s="1222"/>
      <c r="DFS63" s="1222"/>
      <c r="DFT63" s="1222"/>
      <c r="DFU63" s="1222"/>
      <c r="DFV63" s="1222"/>
      <c r="DFW63" s="1222"/>
      <c r="DFX63" s="1222"/>
      <c r="DFY63" s="1222"/>
      <c r="DFZ63" s="1222"/>
      <c r="DGA63" s="1222"/>
      <c r="DGB63" s="1222"/>
      <c r="DGC63" s="1222"/>
      <c r="DGD63" s="1222"/>
      <c r="DGE63" s="1222"/>
      <c r="DGF63" s="1222"/>
      <c r="DGG63" s="1222"/>
      <c r="DGH63" s="1222"/>
      <c r="DGI63" s="1222"/>
      <c r="DGJ63" s="1222"/>
      <c r="DGK63" s="1222"/>
      <c r="DGL63" s="1222"/>
      <c r="DGM63" s="1222"/>
      <c r="DGN63" s="1222"/>
      <c r="DGO63" s="1222"/>
      <c r="DGP63" s="1222"/>
      <c r="DGQ63" s="1222"/>
      <c r="DGR63" s="1222"/>
      <c r="DGS63" s="1222"/>
      <c r="DGT63" s="1222"/>
      <c r="DGU63" s="1222"/>
      <c r="DGV63" s="1222"/>
      <c r="DGW63" s="1222"/>
      <c r="DGX63" s="1222"/>
      <c r="DGY63" s="1222"/>
      <c r="DGZ63" s="1222"/>
      <c r="DHA63" s="1222"/>
      <c r="DHB63" s="1222"/>
      <c r="DHC63" s="1222"/>
      <c r="DHD63" s="1222"/>
      <c r="DHE63" s="1222"/>
      <c r="DHF63" s="1222"/>
      <c r="DHG63" s="1222"/>
      <c r="DHH63" s="1222"/>
      <c r="DHI63" s="1222"/>
      <c r="DHJ63" s="1222"/>
      <c r="DHK63" s="1222"/>
      <c r="DHL63" s="1222"/>
      <c r="DHM63" s="1222"/>
      <c r="DHN63" s="1222"/>
      <c r="DHO63" s="1222"/>
      <c r="DHP63" s="1222"/>
      <c r="DHQ63" s="1222"/>
      <c r="DHR63" s="1222"/>
      <c r="DHS63" s="1222"/>
      <c r="DHT63" s="1222"/>
      <c r="DHU63" s="1222"/>
      <c r="DHV63" s="1222"/>
      <c r="DHW63" s="1222"/>
      <c r="DHX63" s="1222"/>
      <c r="DHY63" s="1222"/>
      <c r="DHZ63" s="1222"/>
      <c r="DIA63" s="1222"/>
      <c r="DIB63" s="1222"/>
      <c r="DIC63" s="1222"/>
      <c r="DID63" s="1222"/>
      <c r="DIE63" s="1222"/>
      <c r="DIF63" s="1222"/>
      <c r="DIG63" s="1222"/>
      <c r="DIH63" s="1222"/>
      <c r="DII63" s="1222"/>
      <c r="DIJ63" s="1222"/>
      <c r="DIK63" s="1222"/>
      <c r="DIL63" s="1222"/>
      <c r="DIM63" s="1222"/>
      <c r="DIN63" s="1222"/>
      <c r="DIO63" s="1222"/>
      <c r="DIP63" s="1222"/>
      <c r="DIQ63" s="1222"/>
      <c r="DIR63" s="1222"/>
      <c r="DIS63" s="1222"/>
      <c r="DIT63" s="1222"/>
      <c r="DIU63" s="1222"/>
      <c r="DIV63" s="1222"/>
      <c r="DIW63" s="1222"/>
      <c r="DIX63" s="1222"/>
      <c r="DIY63" s="1222"/>
      <c r="DIZ63" s="1222"/>
      <c r="DJA63" s="1222"/>
      <c r="DJB63" s="1222"/>
      <c r="DJC63" s="1222"/>
      <c r="DJD63" s="1222"/>
      <c r="DJE63" s="1222"/>
      <c r="DJF63" s="1222"/>
      <c r="DJG63" s="1222"/>
      <c r="DJH63" s="1222"/>
      <c r="DJI63" s="1222"/>
      <c r="DJJ63" s="1222"/>
      <c r="DJK63" s="1222"/>
      <c r="DJL63" s="1222"/>
      <c r="DJM63" s="1222"/>
      <c r="DJN63" s="1222"/>
      <c r="DJO63" s="1222"/>
      <c r="DJP63" s="1222"/>
      <c r="DJQ63" s="1222"/>
      <c r="DJR63" s="1222"/>
      <c r="DJS63" s="1222"/>
      <c r="DJT63" s="1222"/>
      <c r="DJU63" s="1222"/>
      <c r="DJV63" s="1222"/>
      <c r="DJW63" s="1222"/>
      <c r="DJX63" s="1222"/>
      <c r="DJY63" s="1222"/>
      <c r="DJZ63" s="1222"/>
      <c r="DKA63" s="1222"/>
      <c r="DKB63" s="1222"/>
      <c r="DKC63" s="1222"/>
      <c r="DKD63" s="1222"/>
      <c r="DKE63" s="1222"/>
      <c r="DKF63" s="1222"/>
      <c r="DKG63" s="1222"/>
      <c r="DKH63" s="1222"/>
      <c r="DKI63" s="1222"/>
      <c r="DKJ63" s="1222"/>
      <c r="DKK63" s="1222"/>
      <c r="DKL63" s="1222"/>
      <c r="DKM63" s="1222"/>
      <c r="DKN63" s="1222"/>
      <c r="DKO63" s="1222"/>
      <c r="DKP63" s="1222"/>
      <c r="DKQ63" s="1222"/>
      <c r="DKR63" s="1222"/>
      <c r="DKS63" s="1222"/>
      <c r="DKT63" s="1222"/>
      <c r="DKU63" s="1222"/>
      <c r="DKV63" s="1222"/>
      <c r="DKW63" s="1222"/>
      <c r="DKX63" s="1222"/>
      <c r="DKY63" s="1222"/>
      <c r="DKZ63" s="1222"/>
      <c r="DLA63" s="1222"/>
      <c r="DLB63" s="1222"/>
      <c r="DLC63" s="1222"/>
      <c r="DLD63" s="1222"/>
      <c r="DLE63" s="1222"/>
      <c r="DLF63" s="1222"/>
      <c r="DLG63" s="1222"/>
      <c r="DLH63" s="1222"/>
      <c r="DLI63" s="1222"/>
      <c r="DLJ63" s="1222"/>
      <c r="DLK63" s="1222"/>
      <c r="DLL63" s="1222"/>
      <c r="DLM63" s="1222"/>
      <c r="DLN63" s="1222"/>
      <c r="DLO63" s="1222"/>
      <c r="DLP63" s="1222"/>
      <c r="DLQ63" s="1222"/>
      <c r="DLR63" s="1222"/>
      <c r="DLS63" s="1222"/>
      <c r="DLT63" s="1222"/>
      <c r="DLU63" s="1222"/>
      <c r="DLV63" s="1222"/>
      <c r="DLW63" s="1222"/>
      <c r="DLX63" s="1222"/>
      <c r="DLY63" s="1222"/>
      <c r="DLZ63" s="1222"/>
      <c r="DMA63" s="1222"/>
      <c r="DMB63" s="1222"/>
      <c r="DMC63" s="1222"/>
      <c r="DMD63" s="1222"/>
      <c r="DME63" s="1222"/>
      <c r="DMF63" s="1222"/>
      <c r="DMG63" s="1222"/>
      <c r="DMH63" s="1222"/>
      <c r="DMI63" s="1222"/>
      <c r="DMJ63" s="1222"/>
      <c r="DMK63" s="1222"/>
      <c r="DML63" s="1222"/>
      <c r="DMM63" s="1222"/>
      <c r="DMN63" s="1222"/>
      <c r="DMO63" s="1222"/>
      <c r="DMP63" s="1222"/>
      <c r="DMQ63" s="1222"/>
      <c r="DMR63" s="1222"/>
      <c r="DMS63" s="1222"/>
      <c r="DMT63" s="1222"/>
      <c r="DMU63" s="1222"/>
      <c r="DMV63" s="1222"/>
      <c r="DMW63" s="1222"/>
      <c r="DMX63" s="1222"/>
      <c r="DMY63" s="1222"/>
      <c r="DMZ63" s="1222"/>
      <c r="DNA63" s="1222"/>
      <c r="DNB63" s="1222"/>
      <c r="DNC63" s="1222"/>
      <c r="DND63" s="1222"/>
      <c r="DNE63" s="1222"/>
      <c r="DNF63" s="1222"/>
      <c r="DNG63" s="1222"/>
      <c r="DNH63" s="1222"/>
      <c r="DNI63" s="1222"/>
      <c r="DNJ63" s="1222"/>
      <c r="DNK63" s="1222"/>
      <c r="DNL63" s="1222"/>
      <c r="DNM63" s="1222"/>
      <c r="DNN63" s="1222"/>
      <c r="DNO63" s="1222"/>
      <c r="DNP63" s="1222"/>
      <c r="DNQ63" s="1222"/>
      <c r="DNR63" s="1222"/>
      <c r="DNS63" s="1222"/>
      <c r="DNT63" s="1222"/>
      <c r="DNU63" s="1222"/>
      <c r="DNV63" s="1222"/>
      <c r="DNW63" s="1222"/>
      <c r="DNX63" s="1222"/>
      <c r="DNY63" s="1222"/>
      <c r="DNZ63" s="1222"/>
      <c r="DOA63" s="1222"/>
      <c r="DOB63" s="1222"/>
      <c r="DOC63" s="1222"/>
      <c r="DOD63" s="1222"/>
      <c r="DOE63" s="1222"/>
      <c r="DOF63" s="1222"/>
      <c r="DOG63" s="1222"/>
      <c r="DOH63" s="1222"/>
      <c r="DOI63" s="1222"/>
      <c r="DOJ63" s="1222"/>
      <c r="DOK63" s="1222"/>
      <c r="DOL63" s="1222"/>
      <c r="DOM63" s="1222"/>
      <c r="DON63" s="1222"/>
      <c r="DOO63" s="1222"/>
      <c r="DOP63" s="1222"/>
      <c r="DOQ63" s="1222"/>
      <c r="DOR63" s="1222"/>
      <c r="DOS63" s="1222"/>
      <c r="DOT63" s="1222"/>
      <c r="DOU63" s="1222"/>
      <c r="DOV63" s="1222"/>
      <c r="DOW63" s="1222"/>
      <c r="DOX63" s="1222"/>
      <c r="DOY63" s="1222"/>
      <c r="DOZ63" s="1222"/>
      <c r="DPA63" s="1222"/>
      <c r="DPB63" s="1222"/>
      <c r="DPC63" s="1222"/>
      <c r="DPD63" s="1222"/>
      <c r="DPE63" s="1222"/>
      <c r="DPF63" s="1222"/>
      <c r="DPG63" s="1222"/>
      <c r="DPH63" s="1222"/>
      <c r="DPI63" s="1222"/>
      <c r="DPJ63" s="1222"/>
      <c r="DPK63" s="1222"/>
      <c r="DPL63" s="1222"/>
      <c r="DPM63" s="1222"/>
      <c r="DPN63" s="1222"/>
      <c r="DPO63" s="1222"/>
      <c r="DPP63" s="1222"/>
      <c r="DPQ63" s="1222"/>
      <c r="DPR63" s="1222"/>
      <c r="DPS63" s="1222"/>
      <c r="DPT63" s="1222"/>
      <c r="DPU63" s="1222"/>
      <c r="DPV63" s="1222"/>
      <c r="DPW63" s="1222"/>
      <c r="DPX63" s="1222"/>
      <c r="DPY63" s="1222"/>
      <c r="DPZ63" s="1222"/>
      <c r="DQA63" s="1222"/>
      <c r="DQB63" s="1222"/>
      <c r="DQC63" s="1222"/>
      <c r="DQD63" s="1222"/>
      <c r="DQE63" s="1222"/>
      <c r="DQF63" s="1222"/>
      <c r="DQG63" s="1222"/>
      <c r="DQH63" s="1222"/>
      <c r="DQI63" s="1222"/>
      <c r="DQJ63" s="1222"/>
      <c r="DQK63" s="1222"/>
      <c r="DQL63" s="1222"/>
      <c r="DQM63" s="1222"/>
      <c r="DQN63" s="1222"/>
      <c r="DQO63" s="1222"/>
      <c r="DQP63" s="1222"/>
      <c r="DQQ63" s="1222"/>
      <c r="DQR63" s="1222"/>
      <c r="DQS63" s="1222"/>
      <c r="DQT63" s="1222"/>
      <c r="DQU63" s="1222"/>
      <c r="DQV63" s="1222"/>
      <c r="DQW63" s="1222"/>
      <c r="DQX63" s="1222"/>
      <c r="DQY63" s="1222"/>
      <c r="DQZ63" s="1222"/>
      <c r="DRA63" s="1222"/>
      <c r="DRB63" s="1222"/>
      <c r="DRC63" s="1222"/>
      <c r="DRD63" s="1222"/>
      <c r="DRE63" s="1222"/>
      <c r="DRF63" s="1222"/>
      <c r="DRG63" s="1222"/>
      <c r="DRH63" s="1222"/>
      <c r="DRI63" s="1222"/>
      <c r="DRJ63" s="1222"/>
      <c r="DRK63" s="1222"/>
      <c r="DRL63" s="1222"/>
      <c r="DRM63" s="1222"/>
      <c r="DRN63" s="1222"/>
      <c r="DRO63" s="1222"/>
      <c r="DRP63" s="1222"/>
      <c r="DRQ63" s="1222"/>
      <c r="DRR63" s="1222"/>
      <c r="DRS63" s="1222"/>
      <c r="DRT63" s="1222"/>
      <c r="DRU63" s="1222"/>
      <c r="DRV63" s="1222"/>
      <c r="DRW63" s="1222"/>
      <c r="DRX63" s="1222"/>
      <c r="DRY63" s="1222"/>
      <c r="DRZ63" s="1222"/>
      <c r="DSA63" s="1222"/>
      <c r="DSB63" s="1222"/>
      <c r="DSC63" s="1222"/>
      <c r="DSD63" s="1222"/>
      <c r="DSE63" s="1222"/>
      <c r="DSF63" s="1222"/>
      <c r="DSG63" s="1222"/>
      <c r="DSH63" s="1222"/>
      <c r="DSI63" s="1222"/>
      <c r="DSJ63" s="1222"/>
      <c r="DSK63" s="1222"/>
      <c r="DSL63" s="1222"/>
      <c r="DSM63" s="1222"/>
      <c r="DSN63" s="1222"/>
      <c r="DSO63" s="1222"/>
      <c r="DSP63" s="1222"/>
      <c r="DSQ63" s="1222"/>
      <c r="DSR63" s="1222"/>
      <c r="DSS63" s="1222"/>
      <c r="DST63" s="1222"/>
      <c r="DSU63" s="1222"/>
      <c r="DSV63" s="1222"/>
      <c r="DSW63" s="1222"/>
      <c r="DSX63" s="1222"/>
      <c r="DSY63" s="1222"/>
      <c r="DSZ63" s="1222"/>
      <c r="DTA63" s="1222"/>
      <c r="DTB63" s="1222"/>
      <c r="DTC63" s="1222"/>
      <c r="DTD63" s="1222"/>
      <c r="DTE63" s="1222"/>
      <c r="DTF63" s="1222"/>
      <c r="DTG63" s="1222"/>
      <c r="DTH63" s="1222"/>
      <c r="DTI63" s="1222"/>
      <c r="DTJ63" s="1222"/>
      <c r="DTK63" s="1222"/>
      <c r="DTL63" s="1222"/>
      <c r="DTM63" s="1222"/>
      <c r="DTN63" s="1222"/>
      <c r="DTO63" s="1222"/>
      <c r="DTP63" s="1222"/>
      <c r="DTQ63" s="1222"/>
      <c r="DTR63" s="1222"/>
      <c r="DTS63" s="1222"/>
      <c r="DTT63" s="1222"/>
      <c r="DTU63" s="1222"/>
      <c r="DTV63" s="1222"/>
      <c r="DTW63" s="1222"/>
      <c r="DTX63" s="1222"/>
      <c r="DTY63" s="1222"/>
      <c r="DTZ63" s="1222"/>
      <c r="DUA63" s="1222"/>
      <c r="DUB63" s="1222"/>
      <c r="DUC63" s="1222"/>
      <c r="DUD63" s="1222"/>
      <c r="DUE63" s="1222"/>
      <c r="DUF63" s="1222"/>
      <c r="DUG63" s="1222"/>
      <c r="DUH63" s="1222"/>
      <c r="DUI63" s="1222"/>
      <c r="DUJ63" s="1222"/>
      <c r="DUK63" s="1222"/>
      <c r="DUL63" s="1222"/>
      <c r="DUM63" s="1222"/>
      <c r="DUN63" s="1222"/>
      <c r="DUO63" s="1222"/>
      <c r="DUP63" s="1222"/>
      <c r="DUQ63" s="1222"/>
      <c r="DUR63" s="1222"/>
      <c r="DUS63" s="1222"/>
      <c r="DUT63" s="1222"/>
      <c r="DUU63" s="1222"/>
      <c r="DUV63" s="1222"/>
      <c r="DUW63" s="1222"/>
      <c r="DUX63" s="1222"/>
      <c r="DUY63" s="1222"/>
      <c r="DUZ63" s="1222"/>
      <c r="DVA63" s="1222"/>
      <c r="DVB63" s="1222"/>
      <c r="DVC63" s="1222"/>
      <c r="DVD63" s="1222"/>
      <c r="DVE63" s="1222"/>
      <c r="DVF63" s="1222"/>
      <c r="DVG63" s="1222"/>
      <c r="DVH63" s="1222"/>
      <c r="DVI63" s="1222"/>
      <c r="DVJ63" s="1222"/>
      <c r="DVK63" s="1222"/>
      <c r="DVL63" s="1222"/>
      <c r="DVM63" s="1222"/>
      <c r="DVN63" s="1222"/>
      <c r="DVO63" s="1222"/>
      <c r="DVP63" s="1222"/>
      <c r="DVQ63" s="1222"/>
      <c r="DVR63" s="1222"/>
      <c r="DVS63" s="1222"/>
      <c r="DVT63" s="1222"/>
      <c r="DVU63" s="1222"/>
      <c r="DVV63" s="1222"/>
      <c r="DVW63" s="1222"/>
      <c r="DVX63" s="1222"/>
      <c r="DVY63" s="1222"/>
      <c r="DVZ63" s="1222"/>
      <c r="DWA63" s="1222"/>
      <c r="DWB63" s="1222"/>
      <c r="DWC63" s="1222"/>
      <c r="DWD63" s="1222"/>
      <c r="DWE63" s="1222"/>
      <c r="DWF63" s="1222"/>
      <c r="DWG63" s="1222"/>
      <c r="DWH63" s="1222"/>
      <c r="DWI63" s="1222"/>
      <c r="DWJ63" s="1222"/>
      <c r="DWK63" s="1222"/>
      <c r="DWL63" s="1222"/>
      <c r="DWM63" s="1222"/>
      <c r="DWN63" s="1222"/>
      <c r="DWO63" s="1222"/>
      <c r="DWP63" s="1222"/>
      <c r="DWQ63" s="1222"/>
      <c r="DWR63" s="1222"/>
      <c r="DWS63" s="1222"/>
      <c r="DWT63" s="1222"/>
      <c r="DWU63" s="1222"/>
      <c r="DWV63" s="1222"/>
      <c r="DWW63" s="1222"/>
      <c r="DWX63" s="1222"/>
      <c r="DWY63" s="1222"/>
      <c r="DWZ63" s="1222"/>
      <c r="DXA63" s="1222"/>
      <c r="DXB63" s="1222"/>
      <c r="DXC63" s="1222"/>
      <c r="DXD63" s="1222"/>
      <c r="DXE63" s="1222"/>
      <c r="DXF63" s="1222"/>
      <c r="DXG63" s="1222"/>
      <c r="DXH63" s="1222"/>
      <c r="DXI63" s="1222"/>
      <c r="DXJ63" s="1222"/>
      <c r="DXK63" s="1222"/>
      <c r="DXL63" s="1222"/>
      <c r="DXM63" s="1222"/>
      <c r="DXN63" s="1222"/>
      <c r="DXO63" s="1222"/>
      <c r="DXP63" s="1222"/>
      <c r="DXQ63" s="1222"/>
      <c r="DXR63" s="1222"/>
      <c r="DXS63" s="1222"/>
      <c r="DXT63" s="1222"/>
      <c r="DXU63" s="1222"/>
      <c r="DXV63" s="1222"/>
      <c r="DXW63" s="1222"/>
      <c r="DXX63" s="1222"/>
      <c r="DXY63" s="1222"/>
      <c r="DXZ63" s="1222"/>
      <c r="DYA63" s="1222"/>
      <c r="DYB63" s="1222"/>
      <c r="DYC63" s="1222"/>
      <c r="DYD63" s="1222"/>
      <c r="DYE63" s="1222"/>
      <c r="DYF63" s="1222"/>
      <c r="DYG63" s="1222"/>
      <c r="DYH63" s="1222"/>
      <c r="DYI63" s="1222"/>
      <c r="DYJ63" s="1222"/>
      <c r="DYK63" s="1222"/>
      <c r="DYL63" s="1222"/>
      <c r="DYM63" s="1222"/>
      <c r="DYN63" s="1222"/>
      <c r="DYO63" s="1222"/>
      <c r="DYP63" s="1222"/>
      <c r="DYQ63" s="1222"/>
      <c r="DYR63" s="1222"/>
      <c r="DYS63" s="1222"/>
      <c r="DYT63" s="1222"/>
      <c r="DYU63" s="1222"/>
      <c r="DYV63" s="1222"/>
      <c r="DYW63" s="1222"/>
      <c r="DYX63" s="1222"/>
      <c r="DYY63" s="1222"/>
      <c r="DYZ63" s="1222"/>
      <c r="DZA63" s="1222"/>
      <c r="DZB63" s="1222"/>
      <c r="DZC63" s="1222"/>
      <c r="DZD63" s="1222"/>
      <c r="DZE63" s="1222"/>
      <c r="DZF63" s="1222"/>
      <c r="DZG63" s="1222"/>
      <c r="DZH63" s="1222"/>
      <c r="DZI63" s="1222"/>
      <c r="DZJ63" s="1222"/>
      <c r="DZK63" s="1222"/>
      <c r="DZL63" s="1222"/>
      <c r="DZM63" s="1222"/>
      <c r="DZN63" s="1222"/>
      <c r="DZO63" s="1222"/>
      <c r="DZP63" s="1222"/>
      <c r="DZQ63" s="1222"/>
      <c r="DZR63" s="1222"/>
      <c r="DZS63" s="1222"/>
      <c r="DZT63" s="1222"/>
      <c r="DZU63" s="1222"/>
      <c r="DZV63" s="1222"/>
      <c r="DZW63" s="1222"/>
      <c r="DZX63" s="1222"/>
      <c r="DZY63" s="1222"/>
      <c r="DZZ63" s="1222"/>
      <c r="EAA63" s="1222"/>
      <c r="EAB63" s="1222"/>
      <c r="EAC63" s="1222"/>
      <c r="EAD63" s="1222"/>
      <c r="EAE63" s="1222"/>
      <c r="EAF63" s="1222"/>
      <c r="EAG63" s="1222"/>
      <c r="EAH63" s="1222"/>
      <c r="EAI63" s="1222"/>
      <c r="EAJ63" s="1222"/>
      <c r="EAK63" s="1222"/>
      <c r="EAL63" s="1222"/>
      <c r="EAM63" s="1222"/>
      <c r="EAN63" s="1222"/>
      <c r="EAO63" s="1222"/>
      <c r="EAP63" s="1222"/>
      <c r="EAQ63" s="1222"/>
      <c r="EAR63" s="1222"/>
      <c r="EAS63" s="1222"/>
      <c r="EAT63" s="1222"/>
      <c r="EAU63" s="1222"/>
      <c r="EAV63" s="1222"/>
      <c r="EAW63" s="1222"/>
      <c r="EAX63" s="1222"/>
      <c r="EAY63" s="1222"/>
      <c r="EAZ63" s="1222"/>
      <c r="EBA63" s="1222"/>
      <c r="EBB63" s="1222"/>
      <c r="EBC63" s="1222"/>
      <c r="EBD63" s="1222"/>
      <c r="EBE63" s="1222"/>
      <c r="EBF63" s="1222"/>
      <c r="EBG63" s="1222"/>
      <c r="EBH63" s="1222"/>
      <c r="EBI63" s="1222"/>
      <c r="EBJ63" s="1222"/>
      <c r="EBK63" s="1222"/>
      <c r="EBL63" s="1222"/>
      <c r="EBM63" s="1222"/>
      <c r="EBN63" s="1222"/>
      <c r="EBO63" s="1222"/>
      <c r="EBP63" s="1222"/>
      <c r="EBQ63" s="1222"/>
      <c r="EBR63" s="1222"/>
      <c r="EBS63" s="1222"/>
      <c r="EBT63" s="1222"/>
      <c r="EBU63" s="1222"/>
      <c r="EBV63" s="1222"/>
      <c r="EBW63" s="1222"/>
      <c r="EBX63" s="1222"/>
      <c r="EBY63" s="1222"/>
      <c r="EBZ63" s="1222"/>
      <c r="ECA63" s="1222"/>
      <c r="ECB63" s="1222"/>
      <c r="ECC63" s="1222"/>
      <c r="ECD63" s="1222"/>
      <c r="ECE63" s="1222"/>
      <c r="ECF63" s="1222"/>
      <c r="ECG63" s="1222"/>
      <c r="ECH63" s="1222"/>
      <c r="ECI63" s="1222"/>
      <c r="ECJ63" s="1222"/>
      <c r="ECK63" s="1222"/>
      <c r="ECL63" s="1222"/>
      <c r="ECM63" s="1222"/>
      <c r="ECN63" s="1222"/>
      <c r="ECO63" s="1222"/>
    </row>
    <row r="64" spans="2:3473">
      <c r="B64" s="1217"/>
      <c r="C64" s="2357" t="s">
        <v>3163</v>
      </c>
      <c r="D64" s="1292" t="s">
        <v>3164</v>
      </c>
      <c r="E64" s="1316">
        <v>2000</v>
      </c>
      <c r="F64" s="1316"/>
      <c r="G64" s="1316"/>
      <c r="H64" s="1316">
        <v>11500</v>
      </c>
      <c r="I64" s="1316"/>
      <c r="J64" s="1316"/>
      <c r="K64" s="1316"/>
      <c r="L64" s="1316"/>
      <c r="M64" s="1316"/>
      <c r="N64" s="1316">
        <v>9000</v>
      </c>
      <c r="O64" s="1316"/>
      <c r="P64" s="1316"/>
      <c r="Q64" s="1316">
        <v>11000</v>
      </c>
      <c r="R64" s="1316"/>
      <c r="S64" s="1316"/>
      <c r="T64" s="1316">
        <v>9200</v>
      </c>
      <c r="U64" s="1316"/>
      <c r="V64" s="1316"/>
      <c r="W64" s="1316">
        <v>13500</v>
      </c>
      <c r="X64" s="1316"/>
      <c r="Y64" s="1316"/>
      <c r="Z64" s="1316"/>
      <c r="AA64" s="1317"/>
      <c r="AB64" s="1317"/>
      <c r="AC64" s="1318"/>
      <c r="AD64" s="1312"/>
      <c r="AE64" s="1312"/>
      <c r="AF64" s="1315"/>
      <c r="AG64" s="1315"/>
      <c r="AH64" s="1315"/>
      <c r="AI64" s="1315"/>
      <c r="AJ64" s="1315"/>
      <c r="AK64" s="1315"/>
      <c r="AL64" s="1315"/>
      <c r="AM64" s="1315"/>
      <c r="AN64" s="1315"/>
      <c r="AO64" s="1315"/>
      <c r="AP64" s="1315"/>
      <c r="AQ64" s="1315"/>
      <c r="AR64" s="1315"/>
      <c r="AS64" s="1315"/>
      <c r="AT64" s="1315"/>
      <c r="AU64" s="1315"/>
      <c r="AV64" s="1315"/>
      <c r="AW64" s="1315"/>
      <c r="AX64" s="1315"/>
      <c r="AY64" s="1315"/>
      <c r="AZ64" s="1315"/>
      <c r="BA64" s="1315"/>
      <c r="BB64" s="1315"/>
      <c r="BC64" s="1315"/>
      <c r="BD64" s="1315"/>
      <c r="BE64" s="1315"/>
      <c r="BF64" s="1315"/>
      <c r="BG64" s="1315"/>
      <c r="BH64" s="1315"/>
      <c r="BI64" s="1315"/>
      <c r="BJ64" s="1217">
        <v>105951.627668</v>
      </c>
      <c r="BK64" s="1217"/>
      <c r="BL64" s="1217"/>
      <c r="BM64" s="1217"/>
      <c r="BN64" s="1221"/>
      <c r="BO64" s="1221"/>
      <c r="BP64" s="1221"/>
      <c r="BQ64" s="1221"/>
      <c r="BR64" s="1222"/>
      <c r="BS64" s="1222"/>
      <c r="BT64" s="1222"/>
      <c r="BU64" s="1222"/>
      <c r="BV64" s="1222"/>
      <c r="BW64" s="1222"/>
      <c r="BX64" s="1222"/>
      <c r="BY64" s="1222"/>
      <c r="BZ64" s="1222"/>
      <c r="CA64" s="1222"/>
      <c r="CB64" s="1222"/>
      <c r="CC64" s="1222"/>
      <c r="CD64" s="1222"/>
      <c r="CE64" s="1222"/>
      <c r="CF64" s="1222"/>
      <c r="CG64" s="1222"/>
      <c r="CH64" s="1222"/>
      <c r="CI64" s="1222"/>
      <c r="CJ64" s="1222"/>
      <c r="CK64" s="1222"/>
      <c r="CL64" s="1222"/>
      <c r="CM64" s="1222"/>
      <c r="CN64" s="1222"/>
      <c r="CO64" s="1222"/>
      <c r="CP64" s="1222"/>
      <c r="CQ64" s="1222"/>
      <c r="CR64" s="1222"/>
      <c r="CS64" s="1222"/>
      <c r="CT64" s="1222"/>
      <c r="CU64" s="1222"/>
      <c r="CV64" s="1222"/>
      <c r="CW64" s="1222"/>
      <c r="CX64" s="1222"/>
      <c r="CY64" s="1222"/>
      <c r="CZ64" s="1222"/>
      <c r="DA64" s="1222"/>
      <c r="DB64" s="1222"/>
      <c r="DC64" s="1222"/>
      <c r="DD64" s="1222"/>
      <c r="DE64" s="1222"/>
      <c r="DF64" s="1222"/>
      <c r="DG64" s="1222"/>
      <c r="DH64" s="1222"/>
      <c r="DI64" s="1222"/>
      <c r="DJ64" s="1222"/>
      <c r="DK64" s="1222"/>
      <c r="DL64" s="1222"/>
      <c r="DM64" s="1222"/>
      <c r="DN64" s="1222"/>
      <c r="DO64" s="1222"/>
      <c r="DP64" s="1222"/>
      <c r="DQ64" s="1222"/>
      <c r="DR64" s="1222"/>
      <c r="DS64" s="1222"/>
      <c r="DT64" s="1222"/>
      <c r="DU64" s="1222"/>
      <c r="DV64" s="1222"/>
      <c r="DW64" s="1222"/>
      <c r="DX64" s="1222"/>
      <c r="DY64" s="1222"/>
      <c r="DZ64" s="1222"/>
      <c r="EA64" s="1222"/>
      <c r="EB64" s="1222"/>
      <c r="EC64" s="1222"/>
      <c r="ED64" s="1222"/>
      <c r="EE64" s="1222"/>
      <c r="EF64" s="1222"/>
      <c r="EG64" s="1222"/>
      <c r="EH64" s="1222"/>
      <c r="EI64" s="1222"/>
      <c r="EJ64" s="1222"/>
      <c r="EK64" s="1222"/>
      <c r="EL64" s="1222"/>
      <c r="EM64" s="1222"/>
      <c r="EN64" s="1222"/>
      <c r="EO64" s="1222"/>
      <c r="EP64" s="1222"/>
      <c r="EQ64" s="1222"/>
      <c r="ER64" s="1222"/>
      <c r="ES64" s="1222"/>
      <c r="ET64" s="1222"/>
      <c r="EU64" s="1222"/>
      <c r="EV64" s="1222"/>
      <c r="EW64" s="1222"/>
      <c r="EX64" s="1222"/>
      <c r="EY64" s="1222"/>
      <c r="EZ64" s="1222"/>
      <c r="FA64" s="1222"/>
      <c r="FB64" s="1222"/>
      <c r="FC64" s="1222"/>
      <c r="FD64" s="1222"/>
      <c r="FE64" s="1222"/>
      <c r="FF64" s="1222"/>
      <c r="FG64" s="1222"/>
      <c r="FH64" s="1222"/>
      <c r="FI64" s="1222"/>
      <c r="FJ64" s="1222"/>
      <c r="FK64" s="1222"/>
      <c r="FL64" s="1222"/>
      <c r="FM64" s="1222"/>
      <c r="FN64" s="1222"/>
      <c r="FO64" s="1222"/>
      <c r="FP64" s="1222"/>
      <c r="FQ64" s="1222"/>
      <c r="FR64" s="1222"/>
      <c r="FS64" s="1222"/>
      <c r="FT64" s="1222"/>
      <c r="FU64" s="1222"/>
      <c r="FV64" s="1222"/>
      <c r="FW64" s="1222"/>
      <c r="FX64" s="1222"/>
      <c r="FY64" s="1222"/>
      <c r="FZ64" s="1222"/>
      <c r="GA64" s="1222"/>
      <c r="GB64" s="1222"/>
      <c r="GC64" s="1222"/>
      <c r="GD64" s="1222"/>
      <c r="GE64" s="1222"/>
      <c r="GF64" s="1222"/>
      <c r="GG64" s="1222"/>
      <c r="GH64" s="1222"/>
      <c r="GI64" s="1222"/>
      <c r="GJ64" s="1222"/>
      <c r="GK64" s="1222"/>
      <c r="GL64" s="1222"/>
      <c r="GM64" s="1222"/>
      <c r="GN64" s="1222"/>
      <c r="GO64" s="1222"/>
      <c r="GP64" s="1222"/>
      <c r="GQ64" s="1222"/>
      <c r="GR64" s="1222"/>
      <c r="GS64" s="1222"/>
      <c r="GT64" s="1222"/>
      <c r="GU64" s="1222"/>
      <c r="GV64" s="1222"/>
      <c r="GW64" s="1222"/>
      <c r="GX64" s="1222"/>
      <c r="GY64" s="1222"/>
      <c r="GZ64" s="1222"/>
      <c r="HA64" s="1222"/>
      <c r="HB64" s="1222"/>
      <c r="HC64" s="1222"/>
      <c r="HD64" s="1222"/>
      <c r="HE64" s="1222"/>
      <c r="HF64" s="1222"/>
      <c r="HG64" s="1222"/>
      <c r="HH64" s="1222"/>
      <c r="HI64" s="1222"/>
      <c r="HJ64" s="1222"/>
      <c r="HK64" s="1222"/>
      <c r="HL64" s="1222"/>
      <c r="HM64" s="1222"/>
      <c r="HN64" s="1222"/>
      <c r="HO64" s="1222"/>
      <c r="HP64" s="1222"/>
      <c r="HQ64" s="1222"/>
      <c r="HR64" s="1222"/>
      <c r="HS64" s="1222"/>
      <c r="HT64" s="1222"/>
      <c r="HU64" s="1222"/>
      <c r="HV64" s="1222"/>
      <c r="HW64" s="1222"/>
      <c r="HX64" s="1222"/>
      <c r="HY64" s="1222"/>
      <c r="HZ64" s="1222"/>
      <c r="IA64" s="1222"/>
      <c r="IB64" s="1222"/>
      <c r="IC64" s="1222"/>
      <c r="ID64" s="1222"/>
      <c r="IE64" s="1222"/>
      <c r="IF64" s="1222"/>
      <c r="IG64" s="1222"/>
      <c r="IH64" s="1222"/>
      <c r="II64" s="1222"/>
      <c r="IJ64" s="1222"/>
      <c r="IK64" s="1222"/>
      <c r="IL64" s="1222"/>
      <c r="IM64" s="1222"/>
      <c r="IN64" s="1222"/>
      <c r="IO64" s="1222"/>
      <c r="IP64" s="1222"/>
      <c r="IQ64" s="1222"/>
      <c r="IR64" s="1222"/>
      <c r="IS64" s="1222"/>
      <c r="IT64" s="1222"/>
      <c r="IU64" s="1222"/>
      <c r="IV64" s="1222"/>
      <c r="IW64" s="1222"/>
      <c r="IX64" s="1222"/>
      <c r="IY64" s="1222"/>
      <c r="IZ64" s="1222"/>
      <c r="JA64" s="1222"/>
      <c r="JB64" s="1222"/>
      <c r="JC64" s="1222"/>
      <c r="JD64" s="1222"/>
      <c r="JE64" s="1222"/>
      <c r="JF64" s="1222"/>
      <c r="JG64" s="1222"/>
      <c r="JH64" s="1222"/>
      <c r="JI64" s="1222"/>
      <c r="JJ64" s="1222"/>
      <c r="JK64" s="1222"/>
      <c r="JL64" s="1222"/>
      <c r="JM64" s="1222"/>
      <c r="JN64" s="1222"/>
      <c r="JO64" s="1222"/>
      <c r="JP64" s="1222"/>
      <c r="JQ64" s="1222"/>
      <c r="JR64" s="1222"/>
      <c r="JS64" s="1222"/>
      <c r="JT64" s="1222"/>
      <c r="JU64" s="1222"/>
      <c r="JV64" s="1222"/>
      <c r="JW64" s="1222"/>
      <c r="JX64" s="1222"/>
      <c r="JY64" s="1222"/>
      <c r="JZ64" s="1222"/>
      <c r="KA64" s="1222"/>
      <c r="KB64" s="1222"/>
      <c r="KC64" s="1222"/>
      <c r="KD64" s="1222"/>
      <c r="KE64" s="1222"/>
      <c r="KF64" s="1222"/>
      <c r="KG64" s="1222"/>
      <c r="KH64" s="1222"/>
      <c r="KI64" s="1222"/>
      <c r="KJ64" s="1222"/>
      <c r="KK64" s="1222"/>
      <c r="KL64" s="1222"/>
      <c r="KM64" s="1222"/>
      <c r="KN64" s="1222"/>
      <c r="KO64" s="1222"/>
      <c r="KP64" s="1222"/>
      <c r="KQ64" s="1222"/>
      <c r="KR64" s="1222"/>
      <c r="KS64" s="1222"/>
      <c r="KT64" s="1222"/>
      <c r="KU64" s="1222"/>
      <c r="KV64" s="1222"/>
      <c r="KW64" s="1222"/>
      <c r="KX64" s="1222"/>
      <c r="KY64" s="1222"/>
      <c r="KZ64" s="1222"/>
      <c r="LA64" s="1222"/>
      <c r="LB64" s="1222"/>
      <c r="LC64" s="1222"/>
      <c r="LD64" s="1222"/>
      <c r="LE64" s="1222"/>
      <c r="LF64" s="1222"/>
      <c r="LG64" s="1222"/>
      <c r="LH64" s="1222"/>
      <c r="LI64" s="1222"/>
      <c r="LJ64" s="1222"/>
      <c r="LK64" s="1222"/>
      <c r="LL64" s="1222"/>
      <c r="LM64" s="1222"/>
      <c r="LN64" s="1222"/>
      <c r="LO64" s="1222"/>
      <c r="LP64" s="1222"/>
      <c r="LQ64" s="1222"/>
      <c r="LR64" s="1222"/>
      <c r="LS64" s="1222"/>
      <c r="LT64" s="1222"/>
      <c r="LU64" s="1222"/>
      <c r="LV64" s="1222"/>
      <c r="LW64" s="1222"/>
      <c r="LX64" s="1222"/>
      <c r="LY64" s="1222"/>
      <c r="LZ64" s="1222"/>
      <c r="MA64" s="1222"/>
      <c r="MB64" s="1222"/>
      <c r="MC64" s="1222"/>
      <c r="MD64" s="1222"/>
      <c r="ME64" s="1222"/>
      <c r="MF64" s="1222"/>
      <c r="MG64" s="1222"/>
      <c r="MH64" s="1222"/>
      <c r="MI64" s="1222"/>
      <c r="MJ64" s="1222"/>
      <c r="MK64" s="1222"/>
      <c r="ML64" s="1222"/>
      <c r="MM64" s="1222"/>
      <c r="MN64" s="1222"/>
      <c r="MO64" s="1222"/>
      <c r="MP64" s="1222"/>
      <c r="MQ64" s="1222"/>
      <c r="MR64" s="1222"/>
      <c r="MS64" s="1222"/>
      <c r="MT64" s="1222"/>
      <c r="MU64" s="1222"/>
      <c r="MV64" s="1222"/>
      <c r="MW64" s="1222"/>
      <c r="MX64" s="1222"/>
      <c r="MY64" s="1222"/>
      <c r="MZ64" s="1222"/>
      <c r="NA64" s="1222"/>
      <c r="NB64" s="1222"/>
      <c r="NC64" s="1222"/>
      <c r="ND64" s="1222"/>
      <c r="NE64" s="1222"/>
      <c r="NF64" s="1222"/>
      <c r="NG64" s="1222"/>
      <c r="NH64" s="1222"/>
      <c r="NI64" s="1222"/>
      <c r="NJ64" s="1222"/>
      <c r="NK64" s="1222"/>
      <c r="NL64" s="1222"/>
      <c r="NM64" s="1222"/>
      <c r="NN64" s="1222"/>
      <c r="NO64" s="1222"/>
      <c r="NP64" s="1222"/>
      <c r="NQ64" s="1222"/>
      <c r="NR64" s="1222"/>
      <c r="NS64" s="1222"/>
      <c r="NT64" s="1222"/>
      <c r="NU64" s="1222"/>
      <c r="NV64" s="1222"/>
      <c r="NW64" s="1222"/>
      <c r="NX64" s="1222"/>
      <c r="NY64" s="1222"/>
      <c r="NZ64" s="1222"/>
      <c r="OA64" s="1222"/>
      <c r="OB64" s="1222"/>
      <c r="OC64" s="1222"/>
      <c r="OD64" s="1222"/>
      <c r="OE64" s="1222"/>
      <c r="OF64" s="1222"/>
      <c r="OG64" s="1222"/>
      <c r="OH64" s="1222"/>
      <c r="OI64" s="1222"/>
      <c r="OJ64" s="1222"/>
      <c r="OK64" s="1222"/>
      <c r="OL64" s="1222"/>
      <c r="OM64" s="1222"/>
      <c r="ON64" s="1222"/>
      <c r="OO64" s="1222"/>
      <c r="OP64" s="1222"/>
      <c r="OQ64" s="1222"/>
      <c r="OR64" s="1222"/>
      <c r="OS64" s="1222"/>
      <c r="OT64" s="1222"/>
      <c r="OU64" s="1222"/>
      <c r="OV64" s="1222"/>
      <c r="OW64" s="1222"/>
      <c r="OX64" s="1222"/>
      <c r="OY64" s="1222"/>
      <c r="OZ64" s="1222"/>
      <c r="PA64" s="1222"/>
      <c r="PB64" s="1222"/>
      <c r="PC64" s="1222"/>
      <c r="PD64" s="1222"/>
      <c r="PE64" s="1222"/>
      <c r="PF64" s="1222"/>
      <c r="PG64" s="1222"/>
      <c r="PH64" s="1222"/>
      <c r="PI64" s="1222"/>
      <c r="PJ64" s="1222"/>
      <c r="PK64" s="1222"/>
      <c r="PL64" s="1222"/>
      <c r="PM64" s="1222"/>
      <c r="PN64" s="1222"/>
      <c r="PO64" s="1222"/>
      <c r="PP64" s="1222"/>
      <c r="PQ64" s="1222"/>
      <c r="PR64" s="1222"/>
      <c r="PS64" s="1222"/>
      <c r="PT64" s="1222"/>
      <c r="PU64" s="1222"/>
      <c r="PV64" s="1222"/>
      <c r="PW64" s="1222"/>
      <c r="PX64" s="1222"/>
      <c r="PY64" s="1222"/>
      <c r="PZ64" s="1222"/>
      <c r="QA64" s="1222"/>
      <c r="QB64" s="1222"/>
      <c r="QC64" s="1222"/>
      <c r="QD64" s="1222"/>
      <c r="QE64" s="1222"/>
      <c r="QF64" s="1222"/>
      <c r="QG64" s="1222"/>
      <c r="QH64" s="1222"/>
      <c r="QI64" s="1222"/>
      <c r="QJ64" s="1222"/>
      <c r="QK64" s="1222"/>
      <c r="QL64" s="1222"/>
      <c r="QM64" s="1222"/>
      <c r="QN64" s="1222"/>
      <c r="QO64" s="1222"/>
      <c r="QP64" s="1222"/>
      <c r="QQ64" s="1222"/>
      <c r="QR64" s="1222"/>
      <c r="QS64" s="1222"/>
      <c r="QT64" s="1222"/>
      <c r="QU64" s="1222"/>
      <c r="QV64" s="1222"/>
      <c r="QW64" s="1222"/>
      <c r="QX64" s="1222"/>
      <c r="QY64" s="1222"/>
      <c r="QZ64" s="1222"/>
      <c r="RA64" s="1222"/>
      <c r="RB64" s="1222"/>
      <c r="RC64" s="1222"/>
      <c r="RD64" s="1222"/>
      <c r="RE64" s="1222"/>
      <c r="RF64" s="1222"/>
      <c r="RG64" s="1222"/>
      <c r="RH64" s="1222"/>
      <c r="RI64" s="1222"/>
      <c r="RJ64" s="1222"/>
      <c r="RK64" s="1222"/>
      <c r="RL64" s="1222"/>
      <c r="RM64" s="1222"/>
      <c r="RN64" s="1222"/>
      <c r="RO64" s="1222"/>
      <c r="RP64" s="1222"/>
      <c r="RQ64" s="1222"/>
      <c r="RR64" s="1222"/>
      <c r="RS64" s="1222"/>
      <c r="RT64" s="1222"/>
      <c r="RU64" s="1222"/>
      <c r="RV64" s="1222"/>
      <c r="RW64" s="1222"/>
      <c r="RX64" s="1222"/>
      <c r="RY64" s="1222"/>
      <c r="RZ64" s="1222"/>
      <c r="SA64" s="1222"/>
      <c r="SB64" s="1222"/>
      <c r="SC64" s="1222"/>
      <c r="SD64" s="1222"/>
      <c r="SE64" s="1222"/>
      <c r="SF64" s="1222"/>
      <c r="SG64" s="1222"/>
      <c r="SH64" s="1222"/>
      <c r="SI64" s="1222"/>
      <c r="SJ64" s="1222"/>
      <c r="SK64" s="1222"/>
      <c r="SL64" s="1222"/>
      <c r="SM64" s="1222"/>
      <c r="SN64" s="1222"/>
      <c r="SO64" s="1222"/>
      <c r="SP64" s="1222"/>
      <c r="SQ64" s="1222"/>
      <c r="SR64" s="1222"/>
      <c r="SS64" s="1222"/>
      <c r="ST64" s="1222"/>
      <c r="SU64" s="1222"/>
      <c r="SV64" s="1222"/>
      <c r="SW64" s="1222"/>
      <c r="SX64" s="1222"/>
      <c r="SY64" s="1222"/>
      <c r="SZ64" s="1222"/>
      <c r="TA64" s="1222"/>
      <c r="TB64" s="1222"/>
      <c r="TC64" s="1222"/>
      <c r="TD64" s="1222"/>
      <c r="TE64" s="1222"/>
      <c r="TF64" s="1222"/>
      <c r="TG64" s="1222"/>
      <c r="TH64" s="1222"/>
      <c r="TI64" s="1222"/>
      <c r="TJ64" s="1222"/>
      <c r="TK64" s="1222"/>
      <c r="TL64" s="1222"/>
      <c r="TM64" s="1222"/>
      <c r="TN64" s="1222"/>
      <c r="TO64" s="1222"/>
      <c r="TP64" s="1222"/>
      <c r="TQ64" s="1222"/>
      <c r="TR64" s="1222"/>
      <c r="TS64" s="1222"/>
      <c r="TT64" s="1222"/>
      <c r="TU64" s="1222"/>
      <c r="TV64" s="1222"/>
      <c r="TW64" s="1222"/>
      <c r="TX64" s="1222"/>
      <c r="TY64" s="1222"/>
      <c r="TZ64" s="1222"/>
      <c r="UA64" s="1222"/>
      <c r="UB64" s="1222"/>
      <c r="UC64" s="1222"/>
      <c r="UD64" s="1222"/>
      <c r="UE64" s="1222"/>
      <c r="UF64" s="1222"/>
      <c r="UG64" s="1222"/>
      <c r="UH64" s="1222"/>
      <c r="UI64" s="1222"/>
      <c r="UJ64" s="1222"/>
      <c r="UK64" s="1222"/>
      <c r="UL64" s="1222"/>
      <c r="UM64" s="1222"/>
      <c r="UN64" s="1222"/>
      <c r="UO64" s="1222"/>
      <c r="UP64" s="1222"/>
      <c r="UQ64" s="1222"/>
      <c r="UR64" s="1222"/>
      <c r="US64" s="1222"/>
      <c r="UT64" s="1222"/>
      <c r="UU64" s="1222"/>
      <c r="UV64" s="1222"/>
      <c r="UW64" s="1222"/>
      <c r="UX64" s="1222"/>
      <c r="UY64" s="1222"/>
      <c r="UZ64" s="1222"/>
      <c r="VA64" s="1222"/>
      <c r="VB64" s="1222"/>
      <c r="VC64" s="1222"/>
      <c r="VD64" s="1222"/>
      <c r="VE64" s="1222"/>
      <c r="VF64" s="1222"/>
      <c r="VG64" s="1222"/>
      <c r="VH64" s="1222"/>
      <c r="VI64" s="1222"/>
      <c r="VJ64" s="1222"/>
      <c r="VK64" s="1222"/>
      <c r="VL64" s="1222"/>
      <c r="VM64" s="1222"/>
      <c r="VN64" s="1222"/>
      <c r="VO64" s="1222"/>
      <c r="VP64" s="1222"/>
      <c r="VQ64" s="1222"/>
      <c r="VR64" s="1222"/>
      <c r="VS64" s="1222"/>
      <c r="VT64" s="1222"/>
      <c r="VU64" s="1222"/>
      <c r="VV64" s="1222"/>
      <c r="VW64" s="1222"/>
      <c r="VX64" s="1222"/>
      <c r="VY64" s="1222"/>
      <c r="VZ64" s="1222"/>
      <c r="WA64" s="1222"/>
      <c r="WB64" s="1222"/>
      <c r="WC64" s="1222"/>
      <c r="WD64" s="1222"/>
      <c r="WE64" s="1222"/>
      <c r="WF64" s="1222"/>
      <c r="WG64" s="1222"/>
      <c r="WH64" s="1222"/>
      <c r="WI64" s="1222"/>
      <c r="WJ64" s="1222"/>
      <c r="WK64" s="1222"/>
      <c r="WL64" s="1222"/>
      <c r="WM64" s="1222"/>
      <c r="WN64" s="1222"/>
      <c r="WO64" s="1222"/>
      <c r="WP64" s="1222"/>
      <c r="WQ64" s="1222"/>
      <c r="WR64" s="1222"/>
      <c r="WS64" s="1222"/>
      <c r="WT64" s="1222"/>
      <c r="WU64" s="1222"/>
      <c r="WV64" s="1222"/>
      <c r="WW64" s="1222"/>
      <c r="WX64" s="1222"/>
      <c r="WY64" s="1222"/>
      <c r="WZ64" s="1222"/>
      <c r="XA64" s="1222"/>
      <c r="XB64" s="1222"/>
      <c r="XC64" s="1222"/>
      <c r="XD64" s="1222"/>
      <c r="XE64" s="1222"/>
      <c r="XF64" s="1222"/>
      <c r="XG64" s="1222"/>
      <c r="XH64" s="1222"/>
      <c r="XI64" s="1222"/>
      <c r="XJ64" s="1222"/>
      <c r="XK64" s="1222"/>
      <c r="XL64" s="1222"/>
      <c r="XM64" s="1222"/>
      <c r="XN64" s="1222"/>
      <c r="XO64" s="1222"/>
      <c r="XP64" s="1222"/>
      <c r="XQ64" s="1222"/>
      <c r="XR64" s="1222"/>
      <c r="XS64" s="1222"/>
      <c r="XT64" s="1222"/>
      <c r="XU64" s="1222"/>
      <c r="XV64" s="1222"/>
      <c r="XW64" s="1222"/>
      <c r="XX64" s="1222"/>
      <c r="XY64" s="1222"/>
      <c r="XZ64" s="1222"/>
      <c r="YA64" s="1222"/>
      <c r="YB64" s="1222"/>
      <c r="YC64" s="1222"/>
      <c r="YD64" s="1222"/>
      <c r="YE64" s="1222"/>
      <c r="YF64" s="1222"/>
      <c r="YG64" s="1222"/>
      <c r="YH64" s="1222"/>
      <c r="YI64" s="1222"/>
      <c r="YJ64" s="1222"/>
      <c r="YK64" s="1222"/>
      <c r="YL64" s="1222"/>
      <c r="YM64" s="1222"/>
      <c r="YN64" s="1222"/>
      <c r="YO64" s="1222"/>
      <c r="YP64" s="1222"/>
      <c r="YQ64" s="1222"/>
      <c r="YR64" s="1222"/>
      <c r="YS64" s="1222"/>
      <c r="YT64" s="1222"/>
      <c r="YU64" s="1222"/>
      <c r="YV64" s="1222"/>
      <c r="YW64" s="1222"/>
      <c r="YX64" s="1222"/>
      <c r="YY64" s="1222"/>
      <c r="YZ64" s="1222"/>
      <c r="ZA64" s="1222"/>
      <c r="ZB64" s="1222"/>
      <c r="ZC64" s="1222"/>
      <c r="ZD64" s="1222"/>
      <c r="ZE64" s="1222"/>
      <c r="ZF64" s="1222"/>
      <c r="ZG64" s="1222"/>
      <c r="ZH64" s="1222"/>
      <c r="ZI64" s="1222"/>
      <c r="ZJ64" s="1222"/>
      <c r="ZK64" s="1222"/>
      <c r="ZL64" s="1222"/>
      <c r="ZM64" s="1222"/>
      <c r="ZN64" s="1222"/>
      <c r="ZO64" s="1222"/>
      <c r="ZP64" s="1222"/>
      <c r="ZQ64" s="1222"/>
      <c r="ZR64" s="1222"/>
      <c r="ZS64" s="1222"/>
      <c r="ZT64" s="1222"/>
      <c r="ZU64" s="1222"/>
      <c r="ZV64" s="1222"/>
      <c r="ZW64" s="1222"/>
      <c r="ZX64" s="1222"/>
      <c r="ZY64" s="1222"/>
      <c r="ZZ64" s="1222"/>
      <c r="AAA64" s="1222"/>
      <c r="AAB64" s="1222"/>
      <c r="AAC64" s="1222"/>
      <c r="AAD64" s="1222"/>
      <c r="AAE64" s="1222"/>
      <c r="AAF64" s="1222"/>
      <c r="AAG64" s="1222"/>
      <c r="AAH64" s="1222"/>
      <c r="AAI64" s="1222"/>
      <c r="AAJ64" s="1222"/>
      <c r="AAK64" s="1222"/>
      <c r="AAL64" s="1222"/>
      <c r="AAM64" s="1222"/>
      <c r="AAN64" s="1222"/>
      <c r="AAO64" s="1222"/>
      <c r="AAP64" s="1222"/>
      <c r="AAQ64" s="1222"/>
      <c r="AAR64" s="1222"/>
      <c r="AAS64" s="1222"/>
      <c r="AAT64" s="1222"/>
      <c r="AAU64" s="1222"/>
      <c r="AAV64" s="1222"/>
      <c r="AAW64" s="1222"/>
      <c r="AAX64" s="1222"/>
      <c r="AAY64" s="1222"/>
      <c r="AAZ64" s="1222"/>
      <c r="ABA64" s="1222"/>
      <c r="ABB64" s="1222"/>
      <c r="ABC64" s="1222"/>
      <c r="ABD64" s="1222"/>
      <c r="ABE64" s="1222"/>
      <c r="ABF64" s="1222"/>
      <c r="ABG64" s="1222"/>
      <c r="ABH64" s="1222"/>
      <c r="ABI64" s="1222"/>
      <c r="ABJ64" s="1222"/>
      <c r="ABK64" s="1222"/>
      <c r="ABL64" s="1222"/>
      <c r="ABM64" s="1222"/>
      <c r="ABN64" s="1222"/>
      <c r="ABO64" s="1222"/>
      <c r="ABP64" s="1222"/>
      <c r="ABQ64" s="1222"/>
      <c r="ABR64" s="1222"/>
      <c r="ABS64" s="1222"/>
      <c r="ABT64" s="1222"/>
      <c r="ABU64" s="1222"/>
      <c r="ABV64" s="1222"/>
      <c r="ABW64" s="1222"/>
      <c r="ABX64" s="1222"/>
      <c r="ABY64" s="1222"/>
      <c r="ABZ64" s="1222"/>
      <c r="ACA64" s="1222"/>
      <c r="ACB64" s="1222"/>
      <c r="ACC64" s="1222"/>
      <c r="ACD64" s="1222"/>
      <c r="ACE64" s="1222"/>
      <c r="ACF64" s="1222"/>
      <c r="ACG64" s="1222"/>
      <c r="ACH64" s="1222"/>
      <c r="ACI64" s="1222"/>
      <c r="ACJ64" s="1222"/>
      <c r="ACK64" s="1222"/>
      <c r="ACL64" s="1222"/>
      <c r="ACM64" s="1222"/>
      <c r="ACN64" s="1222"/>
      <c r="ACO64" s="1222"/>
      <c r="ACP64" s="1222"/>
      <c r="ACQ64" s="1222"/>
      <c r="ACR64" s="1222"/>
      <c r="ACS64" s="1222"/>
      <c r="ACT64" s="1222"/>
      <c r="ACU64" s="1222"/>
      <c r="ACV64" s="1222"/>
      <c r="ACW64" s="1222"/>
      <c r="ACX64" s="1222"/>
      <c r="ACY64" s="1222"/>
      <c r="ACZ64" s="1222"/>
      <c r="ADA64" s="1222"/>
      <c r="ADB64" s="1222"/>
      <c r="ADC64" s="1222"/>
      <c r="ADD64" s="1222"/>
      <c r="ADE64" s="1222"/>
      <c r="ADF64" s="1222"/>
      <c r="ADG64" s="1222"/>
      <c r="ADH64" s="1222"/>
      <c r="ADI64" s="1222"/>
      <c r="ADJ64" s="1222"/>
      <c r="ADK64" s="1222"/>
      <c r="ADL64" s="1222"/>
      <c r="ADM64" s="1222"/>
      <c r="ADN64" s="1222"/>
      <c r="ADO64" s="1222"/>
      <c r="ADP64" s="1222"/>
      <c r="ADQ64" s="1222"/>
      <c r="ADR64" s="1222"/>
      <c r="ADS64" s="1222"/>
      <c r="ADT64" s="1222"/>
      <c r="ADU64" s="1222"/>
      <c r="ADV64" s="1222"/>
      <c r="ADW64" s="1222"/>
      <c r="ADX64" s="1222"/>
      <c r="ADY64" s="1222"/>
      <c r="ADZ64" s="1222"/>
      <c r="AEA64" s="1222"/>
      <c r="AEB64" s="1222"/>
      <c r="AEC64" s="1222"/>
      <c r="AED64" s="1222"/>
      <c r="AEE64" s="1222"/>
      <c r="AEF64" s="1222"/>
      <c r="AEG64" s="1222"/>
      <c r="AEH64" s="1222"/>
      <c r="AEI64" s="1222"/>
      <c r="AEJ64" s="1222"/>
      <c r="AEK64" s="1222"/>
      <c r="AEL64" s="1222"/>
      <c r="AEM64" s="1222"/>
      <c r="AEN64" s="1222"/>
      <c r="AEO64" s="1222"/>
      <c r="AEP64" s="1222"/>
      <c r="AEQ64" s="1222"/>
      <c r="AER64" s="1222"/>
      <c r="AES64" s="1222"/>
      <c r="AET64" s="1222"/>
      <c r="AEU64" s="1222"/>
      <c r="AEV64" s="1222"/>
      <c r="AEW64" s="1222"/>
      <c r="AEX64" s="1222"/>
      <c r="AEY64" s="1222"/>
      <c r="AEZ64" s="1222"/>
      <c r="AFA64" s="1222"/>
      <c r="AFB64" s="1222"/>
      <c r="AFC64" s="1222"/>
      <c r="AFD64" s="1222"/>
      <c r="AFE64" s="1222"/>
      <c r="AFF64" s="1222"/>
      <c r="AFG64" s="1222"/>
      <c r="AFH64" s="1222"/>
      <c r="AFI64" s="1222"/>
      <c r="AFJ64" s="1222"/>
      <c r="AFK64" s="1222"/>
      <c r="AFL64" s="1222"/>
      <c r="AFM64" s="1222"/>
      <c r="AFN64" s="1222"/>
      <c r="AFO64" s="1222"/>
      <c r="AFP64" s="1222"/>
      <c r="AFQ64" s="1222"/>
      <c r="AFR64" s="1222"/>
      <c r="AFS64" s="1222"/>
      <c r="AFT64" s="1222"/>
      <c r="AFU64" s="1222"/>
      <c r="AFV64" s="1222"/>
      <c r="AFW64" s="1222"/>
      <c r="AFX64" s="1222"/>
      <c r="AFY64" s="1222"/>
      <c r="AFZ64" s="1222"/>
      <c r="AGA64" s="1222"/>
      <c r="AGB64" s="1222"/>
      <c r="AGC64" s="1222"/>
      <c r="AGD64" s="1222"/>
      <c r="AGE64" s="1222"/>
      <c r="AGF64" s="1222"/>
      <c r="AGG64" s="1222"/>
      <c r="AGH64" s="1222"/>
      <c r="AGI64" s="1222"/>
      <c r="AGJ64" s="1222"/>
      <c r="AGK64" s="1222"/>
      <c r="AGL64" s="1222"/>
      <c r="AGM64" s="1222"/>
      <c r="AGN64" s="1222"/>
      <c r="AGO64" s="1222"/>
      <c r="AGP64" s="1222"/>
      <c r="AGQ64" s="1222"/>
      <c r="AGR64" s="1222"/>
      <c r="AGS64" s="1222"/>
      <c r="AGT64" s="1222"/>
      <c r="AGU64" s="1222"/>
      <c r="AGV64" s="1222"/>
      <c r="AGW64" s="1222"/>
      <c r="AGX64" s="1222"/>
      <c r="AGY64" s="1222"/>
      <c r="AGZ64" s="1222"/>
      <c r="AHA64" s="1222"/>
      <c r="AHB64" s="1222"/>
      <c r="AHC64" s="1222"/>
      <c r="AHD64" s="1222"/>
      <c r="AHE64" s="1222"/>
      <c r="AHF64" s="1222"/>
      <c r="AHG64" s="1222"/>
      <c r="AHH64" s="1222"/>
      <c r="AHI64" s="1222"/>
      <c r="AHJ64" s="1222"/>
      <c r="AHK64" s="1222"/>
      <c r="AHL64" s="1222"/>
      <c r="AHM64" s="1222"/>
      <c r="AHN64" s="1222"/>
      <c r="AHO64" s="1222"/>
      <c r="AHP64" s="1222"/>
      <c r="AHQ64" s="1222"/>
      <c r="AHR64" s="1222"/>
      <c r="AHS64" s="1222"/>
      <c r="AHT64" s="1222"/>
      <c r="AHU64" s="1222"/>
      <c r="AHV64" s="1222"/>
      <c r="AHW64" s="1222"/>
      <c r="AHX64" s="1222"/>
      <c r="AHY64" s="1222"/>
      <c r="AHZ64" s="1222"/>
      <c r="AIA64" s="1222"/>
      <c r="AIB64" s="1222"/>
      <c r="AIC64" s="1222"/>
      <c r="AID64" s="1222"/>
      <c r="AIE64" s="1222"/>
      <c r="AIF64" s="1222"/>
      <c r="AIG64" s="1222"/>
      <c r="AIH64" s="1222"/>
      <c r="AII64" s="1222"/>
      <c r="AIJ64" s="1222"/>
      <c r="AIK64" s="1222"/>
      <c r="AIL64" s="1222"/>
      <c r="AIM64" s="1222"/>
      <c r="AIN64" s="1222"/>
      <c r="AIO64" s="1222"/>
      <c r="AIP64" s="1222"/>
      <c r="AIQ64" s="1222"/>
      <c r="AIR64" s="1222"/>
      <c r="AIS64" s="1222"/>
      <c r="AIT64" s="1222"/>
      <c r="AIU64" s="1222"/>
      <c r="AIV64" s="1222"/>
      <c r="AIW64" s="1222"/>
      <c r="AIX64" s="1222"/>
      <c r="AIY64" s="1222"/>
      <c r="AIZ64" s="1222"/>
      <c r="AJA64" s="1222"/>
      <c r="AJB64" s="1222"/>
      <c r="AJC64" s="1222"/>
      <c r="AJD64" s="1222"/>
      <c r="AJE64" s="1222"/>
      <c r="AJF64" s="1222"/>
      <c r="AJG64" s="1222"/>
      <c r="AJH64" s="1222"/>
      <c r="AJI64" s="1222"/>
      <c r="AJJ64" s="1222"/>
      <c r="AJK64" s="1222"/>
      <c r="AJL64" s="1222"/>
      <c r="AJM64" s="1222"/>
      <c r="AJN64" s="1222"/>
      <c r="AJO64" s="1222"/>
      <c r="AJP64" s="1222"/>
      <c r="AJQ64" s="1222"/>
      <c r="AJR64" s="1222"/>
      <c r="AJS64" s="1222"/>
      <c r="AJT64" s="1222"/>
      <c r="AJU64" s="1222"/>
      <c r="AJV64" s="1222"/>
      <c r="AJW64" s="1222"/>
      <c r="AJX64" s="1222"/>
      <c r="AJY64" s="1222"/>
      <c r="AJZ64" s="1222"/>
      <c r="AKA64" s="1222"/>
      <c r="AKB64" s="1222"/>
      <c r="AKC64" s="1222"/>
      <c r="AKD64" s="1222"/>
      <c r="AKE64" s="1222"/>
      <c r="AKF64" s="1222"/>
      <c r="AKG64" s="1222"/>
      <c r="AKH64" s="1222"/>
      <c r="AKI64" s="1222"/>
      <c r="AKJ64" s="1222"/>
      <c r="AKK64" s="1222"/>
      <c r="AKL64" s="1222"/>
      <c r="AKM64" s="1222"/>
      <c r="AKN64" s="1222"/>
      <c r="AKO64" s="1222"/>
      <c r="AKP64" s="1222"/>
      <c r="AKQ64" s="1222"/>
      <c r="AKR64" s="1222"/>
      <c r="AKS64" s="1222"/>
      <c r="AKT64" s="1222"/>
      <c r="AKU64" s="1222"/>
      <c r="AKV64" s="1222"/>
      <c r="AKW64" s="1222"/>
      <c r="AKX64" s="1222"/>
      <c r="AKY64" s="1222"/>
      <c r="AKZ64" s="1222"/>
      <c r="ALA64" s="1222"/>
      <c r="ALB64" s="1222"/>
      <c r="ALC64" s="1222"/>
      <c r="ALD64" s="1222"/>
      <c r="ALE64" s="1222"/>
      <c r="ALF64" s="1222"/>
      <c r="ALG64" s="1222"/>
      <c r="ALH64" s="1222"/>
      <c r="ALI64" s="1222"/>
      <c r="ALJ64" s="1222"/>
      <c r="ALK64" s="1222"/>
      <c r="ALL64" s="1222"/>
      <c r="ALM64" s="1222"/>
      <c r="ALN64" s="1222"/>
      <c r="ALO64" s="1222"/>
      <c r="ALP64" s="1222"/>
      <c r="ALQ64" s="1222"/>
      <c r="ALR64" s="1222"/>
      <c r="ALS64" s="1222"/>
      <c r="ALT64" s="1222"/>
      <c r="ALU64" s="1222"/>
      <c r="ALV64" s="1222"/>
      <c r="ALW64" s="1222"/>
      <c r="ALX64" s="1222"/>
      <c r="ALY64" s="1222"/>
      <c r="ALZ64" s="1222"/>
      <c r="AMA64" s="1222"/>
      <c r="AMB64" s="1222"/>
      <c r="AMC64" s="1222"/>
      <c r="AMD64" s="1222"/>
      <c r="AME64" s="1222"/>
      <c r="AMF64" s="1222"/>
      <c r="AMG64" s="1222"/>
      <c r="AMH64" s="1222"/>
      <c r="AMI64" s="1222"/>
      <c r="AMJ64" s="1222"/>
      <c r="AMK64" s="1222"/>
      <c r="AML64" s="1222"/>
      <c r="AMM64" s="1222"/>
      <c r="AMN64" s="1222"/>
      <c r="AMO64" s="1222"/>
      <c r="AMP64" s="1222"/>
      <c r="AMQ64" s="1222"/>
      <c r="AMR64" s="1222"/>
      <c r="AMS64" s="1222"/>
      <c r="AMT64" s="1222"/>
      <c r="AMU64" s="1222"/>
      <c r="AMV64" s="1222"/>
      <c r="AMW64" s="1222"/>
      <c r="AMX64" s="1222"/>
      <c r="AMY64" s="1222"/>
      <c r="AMZ64" s="1222"/>
      <c r="ANA64" s="1222"/>
      <c r="ANB64" s="1222"/>
      <c r="ANC64" s="1222"/>
      <c r="AND64" s="1222"/>
      <c r="ANE64" s="1222"/>
      <c r="ANF64" s="1222"/>
      <c r="ANG64" s="1222"/>
      <c r="ANH64" s="1222"/>
      <c r="ANI64" s="1222"/>
      <c r="ANJ64" s="1222"/>
      <c r="ANK64" s="1222"/>
      <c r="ANL64" s="1222"/>
      <c r="ANM64" s="1222"/>
      <c r="ANN64" s="1222"/>
      <c r="ANO64" s="1222"/>
      <c r="ANP64" s="1222"/>
      <c r="ANQ64" s="1222"/>
      <c r="ANR64" s="1222"/>
      <c r="ANS64" s="1222"/>
      <c r="ANT64" s="1222"/>
      <c r="ANU64" s="1222"/>
      <c r="ANV64" s="1222"/>
      <c r="ANW64" s="1222"/>
      <c r="ANX64" s="1222"/>
      <c r="ANY64" s="1222"/>
      <c r="ANZ64" s="1222"/>
      <c r="AOA64" s="1222"/>
      <c r="AOB64" s="1222"/>
      <c r="AOC64" s="1222"/>
      <c r="AOD64" s="1222"/>
      <c r="AOE64" s="1222"/>
      <c r="AOF64" s="1222"/>
      <c r="AOG64" s="1222"/>
      <c r="AOH64" s="1222"/>
      <c r="AOI64" s="1222"/>
      <c r="AOJ64" s="1222"/>
      <c r="AOK64" s="1222"/>
      <c r="AOL64" s="1222"/>
      <c r="AOM64" s="1222"/>
      <c r="AON64" s="1222"/>
      <c r="AOO64" s="1222"/>
      <c r="AOP64" s="1222"/>
      <c r="AOQ64" s="1222"/>
      <c r="AOR64" s="1222"/>
      <c r="AOS64" s="1222"/>
      <c r="AOT64" s="1222"/>
      <c r="AOU64" s="1222"/>
      <c r="AOV64" s="1222"/>
      <c r="AOW64" s="1222"/>
      <c r="AOX64" s="1222"/>
      <c r="AOY64" s="1222"/>
      <c r="AOZ64" s="1222"/>
      <c r="APA64" s="1222"/>
      <c r="APB64" s="1222"/>
      <c r="APC64" s="1222"/>
      <c r="APD64" s="1222"/>
      <c r="APE64" s="1222"/>
      <c r="APF64" s="1222"/>
      <c r="APG64" s="1222"/>
      <c r="APH64" s="1222"/>
      <c r="API64" s="1222"/>
      <c r="APJ64" s="1222"/>
      <c r="APK64" s="1222"/>
      <c r="APL64" s="1222"/>
      <c r="APM64" s="1222"/>
      <c r="APN64" s="1222"/>
      <c r="APO64" s="1222"/>
      <c r="APP64" s="1222"/>
      <c r="APQ64" s="1222"/>
      <c r="APR64" s="1222"/>
      <c r="APS64" s="1222"/>
      <c r="APT64" s="1222"/>
      <c r="APU64" s="1222"/>
      <c r="APV64" s="1222"/>
      <c r="APW64" s="1222"/>
      <c r="APX64" s="1222"/>
      <c r="APY64" s="1222"/>
      <c r="APZ64" s="1222"/>
      <c r="AQA64" s="1222"/>
      <c r="AQB64" s="1222"/>
      <c r="AQC64" s="1222"/>
      <c r="AQD64" s="1222"/>
      <c r="AQE64" s="1222"/>
      <c r="AQF64" s="1222"/>
      <c r="AQG64" s="1222"/>
      <c r="AQH64" s="1222"/>
      <c r="AQI64" s="1222"/>
      <c r="AQJ64" s="1222"/>
      <c r="AQK64" s="1222"/>
      <c r="AQL64" s="1222"/>
      <c r="AQM64" s="1222"/>
      <c r="AQN64" s="1222"/>
      <c r="AQO64" s="1222"/>
      <c r="AQP64" s="1222"/>
      <c r="AQQ64" s="1222"/>
      <c r="AQR64" s="1222"/>
      <c r="AQS64" s="1222"/>
      <c r="AQT64" s="1222"/>
      <c r="AQU64" s="1222"/>
      <c r="AQV64" s="1222"/>
      <c r="AQW64" s="1222"/>
      <c r="AQX64" s="1222"/>
      <c r="AQY64" s="1222"/>
      <c r="AQZ64" s="1222"/>
      <c r="ARA64" s="1222"/>
      <c r="ARB64" s="1222"/>
      <c r="ARC64" s="1222"/>
      <c r="ARD64" s="1222"/>
      <c r="ARE64" s="1222"/>
      <c r="ARF64" s="1222"/>
      <c r="ARG64" s="1222"/>
      <c r="ARH64" s="1222"/>
      <c r="ARI64" s="1222"/>
      <c r="ARJ64" s="1222"/>
      <c r="ARK64" s="1222"/>
      <c r="ARL64" s="1222"/>
      <c r="ARM64" s="1222"/>
      <c r="ARN64" s="1222"/>
      <c r="ARO64" s="1222"/>
      <c r="ARP64" s="1222"/>
      <c r="ARQ64" s="1222"/>
      <c r="ARR64" s="1222"/>
      <c r="ARS64" s="1222"/>
      <c r="ART64" s="1222"/>
      <c r="ARU64" s="1222"/>
      <c r="ARV64" s="1222"/>
      <c r="ARW64" s="1222"/>
      <c r="ARX64" s="1222"/>
      <c r="ARY64" s="1222"/>
      <c r="ARZ64" s="1222"/>
      <c r="ASA64" s="1222"/>
      <c r="ASB64" s="1222"/>
      <c r="ASC64" s="1222"/>
      <c r="ASD64" s="1222"/>
      <c r="ASE64" s="1222"/>
      <c r="ASF64" s="1222"/>
      <c r="ASG64" s="1222"/>
      <c r="ASH64" s="1222"/>
      <c r="ASI64" s="1222"/>
      <c r="ASJ64" s="1222"/>
      <c r="ASK64" s="1222"/>
      <c r="ASL64" s="1222"/>
      <c r="ASM64" s="1222"/>
      <c r="ASN64" s="1222"/>
      <c r="ASO64" s="1222"/>
      <c r="ASP64" s="1222"/>
      <c r="ASQ64" s="1222"/>
      <c r="ASR64" s="1222"/>
      <c r="ASS64" s="1222"/>
      <c r="AST64" s="1222"/>
      <c r="ASU64" s="1222"/>
      <c r="ASV64" s="1222"/>
      <c r="ASW64" s="1222"/>
      <c r="ASX64" s="1222"/>
      <c r="ASY64" s="1222"/>
      <c r="ASZ64" s="1222"/>
      <c r="ATA64" s="1222"/>
      <c r="ATB64" s="1222"/>
      <c r="ATC64" s="1222"/>
      <c r="ATD64" s="1222"/>
      <c r="ATE64" s="1222"/>
      <c r="ATF64" s="1222"/>
      <c r="ATG64" s="1222"/>
      <c r="ATH64" s="1222"/>
      <c r="ATI64" s="1222"/>
      <c r="ATJ64" s="1222"/>
      <c r="ATK64" s="1222"/>
      <c r="ATL64" s="1222"/>
      <c r="ATM64" s="1222"/>
      <c r="ATN64" s="1222"/>
      <c r="ATO64" s="1222"/>
      <c r="ATP64" s="1222"/>
      <c r="ATQ64" s="1222"/>
      <c r="ATR64" s="1222"/>
      <c r="ATS64" s="1222"/>
      <c r="ATT64" s="1222"/>
      <c r="ATU64" s="1222"/>
      <c r="ATV64" s="1222"/>
      <c r="ATW64" s="1222"/>
      <c r="ATX64" s="1222"/>
      <c r="ATY64" s="1222"/>
      <c r="ATZ64" s="1222"/>
      <c r="AUA64" s="1222"/>
      <c r="AUB64" s="1222"/>
      <c r="AUC64" s="1222"/>
      <c r="AUD64" s="1222"/>
      <c r="AUE64" s="1222"/>
      <c r="AUF64" s="1222"/>
      <c r="AUG64" s="1222"/>
      <c r="AUH64" s="1222"/>
      <c r="AUI64" s="1222"/>
      <c r="AUJ64" s="1222"/>
      <c r="AUK64" s="1222"/>
      <c r="AUL64" s="1222"/>
      <c r="AUM64" s="1222"/>
      <c r="AUN64" s="1222"/>
      <c r="AUO64" s="1222"/>
      <c r="AUP64" s="1222"/>
      <c r="AUQ64" s="1222"/>
      <c r="AUR64" s="1222"/>
      <c r="AUS64" s="1222"/>
      <c r="AUT64" s="1222"/>
      <c r="AUU64" s="1222"/>
      <c r="AUV64" s="1222"/>
      <c r="AUW64" s="1222"/>
      <c r="AUX64" s="1222"/>
      <c r="AUY64" s="1222"/>
      <c r="AUZ64" s="1222"/>
      <c r="AVA64" s="1222"/>
      <c r="AVB64" s="1222"/>
      <c r="AVC64" s="1222"/>
      <c r="AVD64" s="1222"/>
      <c r="AVE64" s="1222"/>
      <c r="AVF64" s="1222"/>
      <c r="AVG64" s="1222"/>
      <c r="AVH64" s="1222"/>
      <c r="AVI64" s="1222"/>
      <c r="AVJ64" s="1222"/>
      <c r="AVK64" s="1222"/>
      <c r="AVL64" s="1222"/>
      <c r="AVM64" s="1222"/>
      <c r="AVN64" s="1222"/>
      <c r="AVO64" s="1222"/>
      <c r="AVP64" s="1222"/>
      <c r="AVQ64" s="1222"/>
      <c r="AVR64" s="1222"/>
      <c r="AVS64" s="1222"/>
      <c r="AVT64" s="1222"/>
      <c r="AVU64" s="1222"/>
      <c r="AVV64" s="1222"/>
      <c r="AVW64" s="1222"/>
      <c r="AVX64" s="1222"/>
      <c r="AVY64" s="1222"/>
      <c r="AVZ64" s="1222"/>
      <c r="AWA64" s="1222"/>
      <c r="AWB64" s="1222"/>
      <c r="AWC64" s="1222"/>
      <c r="AWD64" s="1222"/>
      <c r="AWE64" s="1222"/>
      <c r="AWF64" s="1222"/>
      <c r="AWG64" s="1222"/>
      <c r="AWH64" s="1222"/>
      <c r="AWI64" s="1222"/>
      <c r="AWJ64" s="1222"/>
      <c r="AWK64" s="1222"/>
      <c r="AWL64" s="1222"/>
      <c r="AWM64" s="1222"/>
      <c r="AWN64" s="1222"/>
      <c r="AWO64" s="1222"/>
      <c r="AWP64" s="1222"/>
      <c r="AWQ64" s="1222"/>
      <c r="AWR64" s="1222"/>
      <c r="AWS64" s="1222"/>
      <c r="AWT64" s="1222"/>
      <c r="AWU64" s="1222"/>
      <c r="AWV64" s="1222"/>
      <c r="AWW64" s="1222"/>
      <c r="AWX64" s="1222"/>
      <c r="AWY64" s="1222"/>
      <c r="AWZ64" s="1222"/>
      <c r="AXA64" s="1222"/>
      <c r="AXB64" s="1222"/>
      <c r="AXC64" s="1222"/>
      <c r="AXD64" s="1222"/>
      <c r="AXE64" s="1222"/>
      <c r="AXF64" s="1222"/>
      <c r="AXG64" s="1222"/>
      <c r="AXH64" s="1222"/>
      <c r="AXI64" s="1222"/>
      <c r="AXJ64" s="1222"/>
      <c r="AXK64" s="1222"/>
      <c r="AXL64" s="1222"/>
      <c r="AXM64" s="1222"/>
      <c r="AXN64" s="1222"/>
      <c r="AXO64" s="1222"/>
      <c r="AXP64" s="1222"/>
      <c r="AXQ64" s="1222"/>
      <c r="AXR64" s="1222"/>
      <c r="AXS64" s="1222"/>
      <c r="AXT64" s="1222"/>
      <c r="AXU64" s="1222"/>
      <c r="AXV64" s="1222"/>
      <c r="AXW64" s="1222"/>
      <c r="AXX64" s="1222"/>
      <c r="AXY64" s="1222"/>
      <c r="AXZ64" s="1222"/>
      <c r="AYA64" s="1222"/>
      <c r="AYB64" s="1222"/>
      <c r="AYC64" s="1222"/>
      <c r="AYD64" s="1222"/>
      <c r="AYE64" s="1222"/>
      <c r="AYF64" s="1222"/>
      <c r="AYG64" s="1222"/>
      <c r="AYH64" s="1222"/>
      <c r="AYI64" s="1222"/>
      <c r="AYJ64" s="1222"/>
      <c r="AYK64" s="1222"/>
      <c r="AYL64" s="1222"/>
      <c r="AYM64" s="1222"/>
      <c r="AYN64" s="1222"/>
      <c r="AYO64" s="1222"/>
      <c r="AYP64" s="1222"/>
      <c r="AYQ64" s="1222"/>
      <c r="AYR64" s="1222"/>
      <c r="AYS64" s="1222"/>
      <c r="AYT64" s="1222"/>
      <c r="AYU64" s="1222"/>
      <c r="AYV64" s="1222"/>
      <c r="AYW64" s="1222"/>
      <c r="AYX64" s="1222"/>
      <c r="AYY64" s="1222"/>
      <c r="AYZ64" s="1222"/>
      <c r="AZA64" s="1222"/>
      <c r="AZB64" s="1222"/>
      <c r="AZC64" s="1222"/>
      <c r="AZD64" s="1222"/>
      <c r="AZE64" s="1222"/>
      <c r="AZF64" s="1222"/>
      <c r="AZG64" s="1222"/>
      <c r="AZH64" s="1222"/>
      <c r="AZI64" s="1222"/>
      <c r="AZJ64" s="1222"/>
      <c r="AZK64" s="1222"/>
      <c r="AZL64" s="1222"/>
      <c r="AZM64" s="1222"/>
      <c r="AZN64" s="1222"/>
      <c r="AZO64" s="1222"/>
      <c r="AZP64" s="1222"/>
      <c r="AZQ64" s="1222"/>
      <c r="AZR64" s="1222"/>
      <c r="AZS64" s="1222"/>
      <c r="AZT64" s="1222"/>
      <c r="AZU64" s="1222"/>
      <c r="AZV64" s="1222"/>
      <c r="AZW64" s="1222"/>
      <c r="AZX64" s="1222"/>
      <c r="AZY64" s="1222"/>
      <c r="AZZ64" s="1222"/>
      <c r="BAA64" s="1222"/>
      <c r="BAB64" s="1222"/>
      <c r="BAC64" s="1222"/>
      <c r="BAD64" s="1222"/>
      <c r="BAE64" s="1222"/>
      <c r="BAF64" s="1222"/>
      <c r="BAG64" s="1222"/>
      <c r="BAH64" s="1222"/>
      <c r="BAI64" s="1222"/>
      <c r="BAJ64" s="1222"/>
      <c r="BAK64" s="1222"/>
      <c r="BAL64" s="1222"/>
      <c r="BAM64" s="1222"/>
      <c r="BAN64" s="1222"/>
      <c r="BAO64" s="1222"/>
      <c r="BAP64" s="1222"/>
      <c r="BAQ64" s="1222"/>
      <c r="BAR64" s="1222"/>
      <c r="BAS64" s="1222"/>
      <c r="BAT64" s="1222"/>
      <c r="BAU64" s="1222"/>
      <c r="BAV64" s="1222"/>
      <c r="BAW64" s="1222"/>
      <c r="BAX64" s="1222"/>
      <c r="BAY64" s="1222"/>
      <c r="BAZ64" s="1222"/>
      <c r="BBA64" s="1222"/>
      <c r="BBB64" s="1222"/>
      <c r="BBC64" s="1222"/>
      <c r="BBD64" s="1222"/>
      <c r="BBE64" s="1222"/>
      <c r="BBF64" s="1222"/>
      <c r="BBG64" s="1222"/>
      <c r="BBH64" s="1222"/>
      <c r="BBI64" s="1222"/>
      <c r="BBJ64" s="1222"/>
      <c r="BBK64" s="1222"/>
      <c r="BBL64" s="1222"/>
      <c r="BBM64" s="1222"/>
      <c r="BBN64" s="1222"/>
      <c r="BBO64" s="1222"/>
      <c r="BBP64" s="1222"/>
      <c r="BBQ64" s="1222"/>
      <c r="BBR64" s="1222"/>
      <c r="BBS64" s="1222"/>
      <c r="BBT64" s="1222"/>
      <c r="BBU64" s="1222"/>
      <c r="BBV64" s="1222"/>
      <c r="BBW64" s="1222"/>
      <c r="BBX64" s="1222"/>
      <c r="BBY64" s="1222"/>
      <c r="BBZ64" s="1222"/>
      <c r="BCA64" s="1222"/>
      <c r="BCB64" s="1222"/>
      <c r="BCC64" s="1222"/>
      <c r="BCD64" s="1222"/>
      <c r="BCE64" s="1222"/>
      <c r="BCF64" s="1222"/>
      <c r="BCG64" s="1222"/>
      <c r="BCH64" s="1222"/>
      <c r="BCI64" s="1222"/>
      <c r="BCJ64" s="1222"/>
      <c r="BCK64" s="1222"/>
      <c r="BCL64" s="1222"/>
      <c r="BCM64" s="1222"/>
      <c r="BCN64" s="1222"/>
      <c r="BCO64" s="1222"/>
      <c r="BCP64" s="1222"/>
      <c r="BCQ64" s="1222"/>
      <c r="BCR64" s="1222"/>
      <c r="BCS64" s="1222"/>
      <c r="BCT64" s="1222"/>
      <c r="BCU64" s="1222"/>
      <c r="BCV64" s="1222"/>
      <c r="BCW64" s="1222"/>
      <c r="BCX64" s="1222"/>
      <c r="BCY64" s="1222"/>
      <c r="BCZ64" s="1222"/>
      <c r="BDA64" s="1222"/>
      <c r="BDB64" s="1222"/>
      <c r="BDC64" s="1222"/>
      <c r="BDD64" s="1222"/>
      <c r="BDE64" s="1222"/>
      <c r="BDF64" s="1222"/>
      <c r="BDG64" s="1222"/>
      <c r="BDH64" s="1222"/>
      <c r="BDI64" s="1222"/>
      <c r="BDJ64" s="1222"/>
      <c r="BDK64" s="1222"/>
      <c r="BDL64" s="1222"/>
      <c r="BDM64" s="1222"/>
      <c r="BDN64" s="1222"/>
      <c r="BDO64" s="1222"/>
      <c r="BDP64" s="1222"/>
      <c r="BDQ64" s="1222"/>
      <c r="BDR64" s="1222"/>
      <c r="BDS64" s="1222"/>
      <c r="BDT64" s="1222"/>
      <c r="BDU64" s="1222"/>
      <c r="BDV64" s="1222"/>
      <c r="BDW64" s="1222"/>
      <c r="BDX64" s="1222"/>
      <c r="BDY64" s="1222"/>
      <c r="BDZ64" s="1222"/>
      <c r="BEA64" s="1222"/>
      <c r="BEB64" s="1222"/>
      <c r="BEC64" s="1222"/>
      <c r="BED64" s="1222"/>
      <c r="BEE64" s="1222"/>
      <c r="BEF64" s="1222"/>
      <c r="BEG64" s="1222"/>
      <c r="BEH64" s="1222"/>
      <c r="BEI64" s="1222"/>
      <c r="BEJ64" s="1222"/>
      <c r="BEK64" s="1222"/>
      <c r="BEL64" s="1222"/>
      <c r="BEM64" s="1222"/>
      <c r="BEN64" s="1222"/>
      <c r="BEO64" s="1222"/>
      <c r="BEP64" s="1222"/>
      <c r="BEQ64" s="1222"/>
      <c r="BER64" s="1222"/>
      <c r="BES64" s="1222"/>
      <c r="BET64" s="1222"/>
      <c r="BEU64" s="1222"/>
      <c r="BEV64" s="1222"/>
      <c r="BEW64" s="1222"/>
      <c r="BEX64" s="1222"/>
      <c r="BEY64" s="1222"/>
      <c r="BEZ64" s="1222"/>
      <c r="BFA64" s="1222"/>
      <c r="BFB64" s="1222"/>
      <c r="BFC64" s="1222"/>
      <c r="BFD64" s="1222"/>
      <c r="BFE64" s="1222"/>
      <c r="BFF64" s="1222"/>
      <c r="BFG64" s="1222"/>
      <c r="BFH64" s="1222"/>
      <c r="BFI64" s="1222"/>
      <c r="BFJ64" s="1222"/>
      <c r="BFK64" s="1222"/>
      <c r="BFL64" s="1222"/>
      <c r="BFM64" s="1222"/>
      <c r="BFN64" s="1222"/>
      <c r="BFO64" s="1222"/>
      <c r="BFP64" s="1222"/>
      <c r="BFQ64" s="1222"/>
      <c r="BFR64" s="1222"/>
      <c r="BFS64" s="1222"/>
      <c r="BFT64" s="1222"/>
      <c r="BFU64" s="1222"/>
      <c r="BFV64" s="1222"/>
      <c r="BFW64" s="1222"/>
      <c r="BFX64" s="1222"/>
      <c r="BFY64" s="1222"/>
      <c r="BFZ64" s="1222"/>
      <c r="BGA64" s="1222"/>
      <c r="BGB64" s="1222"/>
      <c r="BGC64" s="1222"/>
      <c r="BGD64" s="1222"/>
      <c r="BGE64" s="1222"/>
      <c r="BGF64" s="1222"/>
      <c r="BGG64" s="1222"/>
      <c r="BGH64" s="1222"/>
      <c r="BGI64" s="1222"/>
      <c r="BGJ64" s="1222"/>
      <c r="BGK64" s="1222"/>
      <c r="BGL64" s="1222"/>
      <c r="BGM64" s="1222"/>
      <c r="BGN64" s="1222"/>
      <c r="BGO64" s="1222"/>
      <c r="BGP64" s="1222"/>
      <c r="BGQ64" s="1222"/>
      <c r="BGR64" s="1222"/>
      <c r="BGS64" s="1222"/>
      <c r="BGT64" s="1222"/>
      <c r="BGU64" s="1222"/>
      <c r="BGV64" s="1222"/>
      <c r="BGW64" s="1222"/>
      <c r="BGX64" s="1222"/>
      <c r="BGY64" s="1222"/>
      <c r="BGZ64" s="1222"/>
      <c r="BHA64" s="1222"/>
      <c r="BHB64" s="1222"/>
      <c r="BHC64" s="1222"/>
      <c r="BHD64" s="1222"/>
      <c r="BHE64" s="1222"/>
      <c r="BHF64" s="1222"/>
      <c r="BHG64" s="1222"/>
      <c r="BHH64" s="1222"/>
      <c r="BHI64" s="1222"/>
      <c r="BHJ64" s="1222"/>
      <c r="BHK64" s="1222"/>
      <c r="BHL64" s="1222"/>
      <c r="BHM64" s="1222"/>
      <c r="BHN64" s="1222"/>
      <c r="BHO64" s="1222"/>
      <c r="BHP64" s="1222"/>
      <c r="BHQ64" s="1222"/>
      <c r="BHR64" s="1222"/>
      <c r="BHS64" s="1222"/>
      <c r="BHT64" s="1222"/>
      <c r="BHU64" s="1222"/>
      <c r="BHV64" s="1222"/>
      <c r="BHW64" s="1222"/>
      <c r="BHX64" s="1222"/>
      <c r="BHY64" s="1222"/>
      <c r="BHZ64" s="1222"/>
      <c r="BIA64" s="1222"/>
      <c r="BIB64" s="1222"/>
      <c r="BIC64" s="1222"/>
      <c r="BID64" s="1222"/>
      <c r="BIE64" s="1222"/>
      <c r="BIF64" s="1222"/>
      <c r="BIG64" s="1222"/>
      <c r="BIH64" s="1222"/>
      <c r="BII64" s="1222"/>
      <c r="BIJ64" s="1222"/>
      <c r="BIK64" s="1222"/>
      <c r="BIL64" s="1222"/>
      <c r="BIM64" s="1222"/>
      <c r="BIN64" s="1222"/>
      <c r="BIO64" s="1222"/>
      <c r="BIP64" s="1222"/>
      <c r="BIQ64" s="1222"/>
      <c r="BIR64" s="1222"/>
      <c r="BIS64" s="1222"/>
      <c r="BIT64" s="1222"/>
      <c r="BIU64" s="1222"/>
      <c r="BIV64" s="1222"/>
      <c r="BIW64" s="1222"/>
      <c r="BIX64" s="1222"/>
      <c r="BIY64" s="1222"/>
      <c r="BIZ64" s="1222"/>
      <c r="BJA64" s="1222"/>
      <c r="BJB64" s="1222"/>
      <c r="BJC64" s="1222"/>
      <c r="BJD64" s="1222"/>
      <c r="BJE64" s="1222"/>
      <c r="BJF64" s="1222"/>
      <c r="BJG64" s="1222"/>
      <c r="BJH64" s="1222"/>
      <c r="BJI64" s="1222"/>
      <c r="BJJ64" s="1222"/>
      <c r="BJK64" s="1222"/>
      <c r="BJL64" s="1222"/>
      <c r="BJM64" s="1222"/>
      <c r="BJN64" s="1222"/>
      <c r="BJO64" s="1222"/>
      <c r="BJP64" s="1222"/>
      <c r="BJQ64" s="1222"/>
      <c r="BJR64" s="1222"/>
      <c r="BJS64" s="1222"/>
      <c r="BJT64" s="1222"/>
      <c r="BJU64" s="1222"/>
      <c r="BJV64" s="1222"/>
      <c r="BJW64" s="1222"/>
      <c r="BJX64" s="1222"/>
      <c r="BJY64" s="1222"/>
      <c r="BJZ64" s="1222"/>
      <c r="BKA64" s="1222"/>
      <c r="BKB64" s="1222"/>
      <c r="BKC64" s="1222"/>
      <c r="BKD64" s="1222"/>
      <c r="BKE64" s="1222"/>
      <c r="BKF64" s="1222"/>
      <c r="BKG64" s="1222"/>
      <c r="BKH64" s="1222"/>
      <c r="BKI64" s="1222"/>
      <c r="BKJ64" s="1222"/>
      <c r="BKK64" s="1222"/>
      <c r="BKL64" s="1222"/>
      <c r="BKM64" s="1222"/>
      <c r="BKN64" s="1222"/>
      <c r="BKO64" s="1222"/>
      <c r="BKP64" s="1222"/>
      <c r="BKQ64" s="1222"/>
      <c r="BKR64" s="1222"/>
      <c r="BKS64" s="1222"/>
      <c r="BKT64" s="1222"/>
      <c r="BKU64" s="1222"/>
      <c r="BKV64" s="1222"/>
      <c r="BKW64" s="1222"/>
      <c r="BKX64" s="1222"/>
      <c r="BKY64" s="1222"/>
      <c r="BKZ64" s="1222"/>
      <c r="BLA64" s="1222"/>
      <c r="BLB64" s="1222"/>
      <c r="BLC64" s="1222"/>
      <c r="BLD64" s="1222"/>
      <c r="BLE64" s="1222"/>
      <c r="BLF64" s="1222"/>
      <c r="BLG64" s="1222"/>
      <c r="BLH64" s="1222"/>
      <c r="BLI64" s="1222"/>
      <c r="BLJ64" s="1222"/>
      <c r="BLK64" s="1222"/>
      <c r="BLL64" s="1222"/>
      <c r="BLM64" s="1222"/>
      <c r="BLN64" s="1222"/>
      <c r="BLO64" s="1222"/>
      <c r="BLP64" s="1222"/>
      <c r="BLQ64" s="1222"/>
      <c r="BLR64" s="1222"/>
      <c r="BLS64" s="1222"/>
      <c r="BLT64" s="1222"/>
      <c r="BLU64" s="1222"/>
      <c r="BLV64" s="1222"/>
      <c r="BLW64" s="1222"/>
      <c r="BLX64" s="1222"/>
      <c r="BLY64" s="1222"/>
      <c r="BLZ64" s="1222"/>
      <c r="BMA64" s="1222"/>
      <c r="BMB64" s="1222"/>
      <c r="BMC64" s="1222"/>
      <c r="BMD64" s="1222"/>
      <c r="BME64" s="1222"/>
      <c r="BMF64" s="1222"/>
      <c r="BMG64" s="1222"/>
      <c r="BMH64" s="1222"/>
      <c r="BMI64" s="1222"/>
      <c r="BMJ64" s="1222"/>
      <c r="BMK64" s="1222"/>
      <c r="BML64" s="1222"/>
      <c r="BMM64" s="1222"/>
      <c r="BMN64" s="1222"/>
      <c r="BMO64" s="1222"/>
      <c r="BMP64" s="1222"/>
      <c r="BMQ64" s="1222"/>
      <c r="BMR64" s="1222"/>
      <c r="BMS64" s="1222"/>
      <c r="BMT64" s="1222"/>
      <c r="BMU64" s="1222"/>
      <c r="BMV64" s="1222"/>
      <c r="BMW64" s="1222"/>
      <c r="BMX64" s="1222"/>
      <c r="BMY64" s="1222"/>
      <c r="BMZ64" s="1222"/>
      <c r="BNA64" s="1222"/>
      <c r="BNB64" s="1222"/>
      <c r="BNC64" s="1222"/>
      <c r="BND64" s="1222"/>
      <c r="BNE64" s="1222"/>
      <c r="BNF64" s="1222"/>
      <c r="BNG64" s="1222"/>
      <c r="BNH64" s="1222"/>
      <c r="BNI64" s="1222"/>
      <c r="BNJ64" s="1222"/>
      <c r="BNK64" s="1222"/>
      <c r="BNL64" s="1222"/>
      <c r="BNM64" s="1222"/>
      <c r="BNN64" s="1222"/>
      <c r="BNO64" s="1222"/>
      <c r="BNP64" s="1222"/>
      <c r="BNQ64" s="1222"/>
      <c r="BNR64" s="1222"/>
      <c r="BNS64" s="1222"/>
      <c r="BNT64" s="1222"/>
      <c r="BNU64" s="1222"/>
      <c r="BNV64" s="1222"/>
      <c r="BNW64" s="1222"/>
      <c r="BNX64" s="1222"/>
      <c r="BNY64" s="1222"/>
      <c r="BNZ64" s="1222"/>
      <c r="BOA64" s="1222"/>
      <c r="BOB64" s="1222"/>
      <c r="BOC64" s="1222"/>
      <c r="BOD64" s="1222"/>
      <c r="BOE64" s="1222"/>
      <c r="BOF64" s="1222"/>
      <c r="BOG64" s="1222"/>
      <c r="BOH64" s="1222"/>
      <c r="BOI64" s="1222"/>
      <c r="BOJ64" s="1222"/>
      <c r="BOK64" s="1222"/>
      <c r="BOL64" s="1222"/>
      <c r="BOM64" s="1222"/>
      <c r="BON64" s="1222"/>
      <c r="BOO64" s="1222"/>
      <c r="BOP64" s="1222"/>
      <c r="BOQ64" s="1222"/>
      <c r="BOR64" s="1222"/>
      <c r="BOS64" s="1222"/>
      <c r="BOT64" s="1222"/>
      <c r="BOU64" s="1222"/>
      <c r="BOV64" s="1222"/>
      <c r="BOW64" s="1222"/>
      <c r="BOX64" s="1222"/>
      <c r="BOY64" s="1222"/>
      <c r="BOZ64" s="1222"/>
      <c r="BPA64" s="1222"/>
      <c r="BPB64" s="1222"/>
      <c r="BPC64" s="1222"/>
      <c r="BPD64" s="1222"/>
      <c r="BPE64" s="1222"/>
      <c r="BPF64" s="1222"/>
      <c r="BPG64" s="1222"/>
      <c r="BPH64" s="1222"/>
      <c r="BPI64" s="1222"/>
      <c r="BPJ64" s="1222"/>
      <c r="BPK64" s="1222"/>
      <c r="BPL64" s="1222"/>
      <c r="BPM64" s="1222"/>
      <c r="BPN64" s="1222"/>
      <c r="BPO64" s="1222"/>
      <c r="BPP64" s="1222"/>
      <c r="BPQ64" s="1222"/>
      <c r="BPR64" s="1222"/>
      <c r="BPS64" s="1222"/>
      <c r="BPT64" s="1222"/>
      <c r="BPU64" s="1222"/>
      <c r="BPV64" s="1222"/>
      <c r="BPW64" s="1222"/>
      <c r="BPX64" s="1222"/>
      <c r="BPY64" s="1222"/>
      <c r="BPZ64" s="1222"/>
      <c r="BQA64" s="1222"/>
      <c r="BQB64" s="1222"/>
      <c r="BQC64" s="1222"/>
      <c r="BQD64" s="1222"/>
      <c r="BQE64" s="1222"/>
      <c r="BQF64" s="1222"/>
      <c r="BQG64" s="1222"/>
      <c r="BQH64" s="1222"/>
      <c r="BQI64" s="1222"/>
      <c r="BQJ64" s="1222"/>
      <c r="BQK64" s="1222"/>
      <c r="BQL64" s="1222"/>
      <c r="BQM64" s="1222"/>
      <c r="BQN64" s="1222"/>
      <c r="BQO64" s="1222"/>
      <c r="BQP64" s="1222"/>
      <c r="BQQ64" s="1222"/>
      <c r="BQR64" s="1222"/>
      <c r="BQS64" s="1222"/>
      <c r="BQT64" s="1222"/>
      <c r="BQU64" s="1222"/>
      <c r="BQV64" s="1222"/>
      <c r="BQW64" s="1222"/>
      <c r="BQX64" s="1222"/>
      <c r="BQY64" s="1222"/>
      <c r="BQZ64" s="1222"/>
      <c r="BRA64" s="1222"/>
      <c r="BRB64" s="1222"/>
      <c r="BRC64" s="1222"/>
      <c r="BRD64" s="1222"/>
      <c r="BRE64" s="1222"/>
      <c r="BRF64" s="1222"/>
      <c r="BRG64" s="1222"/>
      <c r="BRH64" s="1222"/>
      <c r="BRI64" s="1222"/>
      <c r="BRJ64" s="1222"/>
      <c r="BRK64" s="1222"/>
      <c r="BRL64" s="1222"/>
      <c r="BRM64" s="1222"/>
      <c r="BRN64" s="1222"/>
      <c r="BRO64" s="1222"/>
      <c r="BRP64" s="1222"/>
      <c r="BRQ64" s="1222"/>
      <c r="BRR64" s="1222"/>
      <c r="BRS64" s="1222"/>
      <c r="BRT64" s="1222"/>
      <c r="BRU64" s="1222"/>
      <c r="BRV64" s="1222"/>
      <c r="BRW64" s="1222"/>
      <c r="BRX64" s="1222"/>
      <c r="BRY64" s="1222"/>
      <c r="BRZ64" s="1222"/>
      <c r="BSA64" s="1222"/>
      <c r="BSB64" s="1222"/>
      <c r="BSC64" s="1222"/>
      <c r="BSD64" s="1222"/>
      <c r="BSE64" s="1222"/>
      <c r="BSF64" s="1222"/>
      <c r="BSG64" s="1222"/>
      <c r="BSH64" s="1222"/>
      <c r="BSI64" s="1222"/>
      <c r="BSJ64" s="1222"/>
      <c r="BSK64" s="1222"/>
      <c r="BSL64" s="1222"/>
      <c r="BSM64" s="1222"/>
      <c r="BSN64" s="1222"/>
      <c r="BSO64" s="1222"/>
      <c r="BSP64" s="1222"/>
      <c r="BSQ64" s="1222"/>
      <c r="BSR64" s="1222"/>
      <c r="BSS64" s="1222"/>
      <c r="BST64" s="1222"/>
      <c r="BSU64" s="1222"/>
      <c r="BSV64" s="1222"/>
      <c r="BSW64" s="1222"/>
      <c r="BSX64" s="1222"/>
      <c r="BSY64" s="1222"/>
      <c r="BSZ64" s="1222"/>
      <c r="BTA64" s="1222"/>
      <c r="BTB64" s="1222"/>
      <c r="BTC64" s="1222"/>
      <c r="BTD64" s="1222"/>
      <c r="BTE64" s="1222"/>
      <c r="BTF64" s="1222"/>
      <c r="BTG64" s="1222"/>
      <c r="BTH64" s="1222"/>
      <c r="BTI64" s="1222"/>
      <c r="BTJ64" s="1222"/>
      <c r="BTK64" s="1222"/>
      <c r="BTL64" s="1222"/>
      <c r="BTM64" s="1222"/>
      <c r="BTN64" s="1222"/>
      <c r="BTO64" s="1222"/>
      <c r="BTP64" s="1222"/>
      <c r="BTQ64" s="1222"/>
      <c r="BTR64" s="1222"/>
      <c r="BTS64" s="1222"/>
      <c r="BTT64" s="1222"/>
      <c r="BTU64" s="1222"/>
      <c r="BTV64" s="1222"/>
      <c r="BTW64" s="1222"/>
      <c r="BTX64" s="1222"/>
      <c r="BTY64" s="1222"/>
      <c r="BTZ64" s="1222"/>
      <c r="BUA64" s="1222"/>
      <c r="BUB64" s="1222"/>
      <c r="BUC64" s="1222"/>
      <c r="BUD64" s="1222"/>
      <c r="BUE64" s="1222"/>
      <c r="BUF64" s="1222"/>
      <c r="BUG64" s="1222"/>
      <c r="BUH64" s="1222"/>
      <c r="BUI64" s="1222"/>
      <c r="BUJ64" s="1222"/>
      <c r="BUK64" s="1222"/>
      <c r="BUL64" s="1222"/>
      <c r="BUM64" s="1222"/>
      <c r="BUN64" s="1222"/>
      <c r="BUO64" s="1222"/>
      <c r="BUP64" s="1222"/>
      <c r="BUQ64" s="1222"/>
      <c r="BUR64" s="1222"/>
      <c r="BUS64" s="1222"/>
      <c r="BUT64" s="1222"/>
      <c r="BUU64" s="1222"/>
      <c r="BUV64" s="1222"/>
      <c r="BUW64" s="1222"/>
      <c r="BUX64" s="1222"/>
      <c r="BUY64" s="1222"/>
      <c r="BUZ64" s="1222"/>
      <c r="BVA64" s="1222"/>
      <c r="BVB64" s="1222"/>
      <c r="BVC64" s="1222"/>
      <c r="BVD64" s="1222"/>
      <c r="BVE64" s="1222"/>
      <c r="BVF64" s="1222"/>
      <c r="BVG64" s="1222"/>
      <c r="BVH64" s="1222"/>
      <c r="BVI64" s="1222"/>
      <c r="BVJ64" s="1222"/>
      <c r="BVK64" s="1222"/>
      <c r="BVL64" s="1222"/>
      <c r="BVM64" s="1222"/>
      <c r="BVN64" s="1222"/>
      <c r="BVO64" s="1222"/>
      <c r="BVP64" s="1222"/>
      <c r="BVQ64" s="1222"/>
      <c r="BVR64" s="1222"/>
      <c r="BVS64" s="1222"/>
      <c r="BVT64" s="1222"/>
      <c r="BVU64" s="1222"/>
      <c r="BVV64" s="1222"/>
      <c r="BVW64" s="1222"/>
      <c r="BVX64" s="1222"/>
      <c r="BVY64" s="1222"/>
      <c r="BVZ64" s="1222"/>
      <c r="BWA64" s="1222"/>
      <c r="BWB64" s="1222"/>
      <c r="BWC64" s="1222"/>
      <c r="BWD64" s="1222"/>
      <c r="BWE64" s="1222"/>
      <c r="BWF64" s="1222"/>
      <c r="BWG64" s="1222"/>
      <c r="BWH64" s="1222"/>
      <c r="BWI64" s="1222"/>
      <c r="BWJ64" s="1222"/>
      <c r="BWK64" s="1222"/>
      <c r="BWL64" s="1222"/>
      <c r="BWM64" s="1222"/>
      <c r="BWN64" s="1222"/>
      <c r="BWO64" s="1222"/>
      <c r="BWP64" s="1222"/>
      <c r="BWQ64" s="1222"/>
      <c r="BWR64" s="1222"/>
      <c r="BWS64" s="1222"/>
      <c r="BWT64" s="1222"/>
      <c r="BWU64" s="1222"/>
      <c r="BWV64" s="1222"/>
      <c r="BWW64" s="1222"/>
      <c r="BWX64" s="1222"/>
      <c r="BWY64" s="1222"/>
      <c r="BWZ64" s="1222"/>
      <c r="BXA64" s="1222"/>
      <c r="BXB64" s="1222"/>
      <c r="BXC64" s="1222"/>
      <c r="BXD64" s="1222"/>
      <c r="BXE64" s="1222"/>
      <c r="BXF64" s="1222"/>
      <c r="BXG64" s="1222"/>
      <c r="BXH64" s="1222"/>
      <c r="BXI64" s="1222"/>
      <c r="BXJ64" s="1222"/>
      <c r="BXK64" s="1222"/>
      <c r="BXL64" s="1222"/>
      <c r="BXM64" s="1222"/>
      <c r="BXN64" s="1222"/>
      <c r="BXO64" s="1222"/>
      <c r="BXP64" s="1222"/>
      <c r="BXQ64" s="1222"/>
      <c r="BXR64" s="1222"/>
      <c r="BXS64" s="1222"/>
      <c r="BXT64" s="1222"/>
      <c r="BXU64" s="1222"/>
      <c r="BXV64" s="1222"/>
      <c r="BXW64" s="1222"/>
      <c r="BXX64" s="1222"/>
      <c r="BXY64" s="1222"/>
      <c r="BXZ64" s="1222"/>
      <c r="BYA64" s="1222"/>
      <c r="BYB64" s="1222"/>
      <c r="BYC64" s="1222"/>
      <c r="BYD64" s="1222"/>
      <c r="BYE64" s="1222"/>
      <c r="BYF64" s="1222"/>
      <c r="BYG64" s="1222"/>
      <c r="BYH64" s="1222"/>
      <c r="BYI64" s="1222"/>
      <c r="BYJ64" s="1222"/>
      <c r="BYK64" s="1222"/>
      <c r="BYL64" s="1222"/>
      <c r="BYM64" s="1222"/>
      <c r="BYN64" s="1222"/>
      <c r="BYO64" s="1222"/>
      <c r="BYP64" s="1222"/>
      <c r="BYQ64" s="1222"/>
      <c r="BYR64" s="1222"/>
      <c r="BYS64" s="1222"/>
      <c r="BYT64" s="1222"/>
      <c r="BYU64" s="1222"/>
      <c r="BYV64" s="1222"/>
      <c r="BYW64" s="1222"/>
      <c r="BYX64" s="1222"/>
      <c r="BYY64" s="1222"/>
      <c r="BYZ64" s="1222"/>
      <c r="BZA64" s="1222"/>
      <c r="BZB64" s="1222"/>
      <c r="BZC64" s="1222"/>
      <c r="BZD64" s="1222"/>
      <c r="BZE64" s="1222"/>
      <c r="BZF64" s="1222"/>
      <c r="BZG64" s="1222"/>
      <c r="BZH64" s="1222"/>
      <c r="BZI64" s="1222"/>
      <c r="BZJ64" s="1222"/>
      <c r="BZK64" s="1222"/>
      <c r="BZL64" s="1222"/>
      <c r="BZM64" s="1222"/>
      <c r="BZN64" s="1222"/>
      <c r="BZO64" s="1222"/>
      <c r="BZP64" s="1222"/>
      <c r="BZQ64" s="1222"/>
      <c r="BZR64" s="1222"/>
      <c r="BZS64" s="1222"/>
      <c r="BZT64" s="1222"/>
      <c r="BZU64" s="1222"/>
      <c r="BZV64" s="1222"/>
      <c r="BZW64" s="1222"/>
      <c r="BZX64" s="1222"/>
      <c r="BZY64" s="1222"/>
      <c r="BZZ64" s="1222"/>
      <c r="CAA64" s="1222"/>
      <c r="CAB64" s="1222"/>
      <c r="CAC64" s="1222"/>
      <c r="CAD64" s="1222"/>
      <c r="CAE64" s="1222"/>
      <c r="CAF64" s="1222"/>
      <c r="CAG64" s="1222"/>
      <c r="CAH64" s="1222"/>
      <c r="CAI64" s="1222"/>
      <c r="CAJ64" s="1222"/>
      <c r="CAK64" s="1222"/>
      <c r="CAL64" s="1222"/>
      <c r="CAM64" s="1222"/>
      <c r="CAN64" s="1222"/>
      <c r="CAO64" s="1222"/>
      <c r="CAP64" s="1222"/>
      <c r="CAQ64" s="1222"/>
      <c r="CAR64" s="1222"/>
      <c r="CAS64" s="1222"/>
      <c r="CAT64" s="1222"/>
      <c r="CAU64" s="1222"/>
      <c r="CAV64" s="1222"/>
      <c r="CAW64" s="1222"/>
      <c r="CAX64" s="1222"/>
      <c r="CAY64" s="1222"/>
      <c r="CAZ64" s="1222"/>
      <c r="CBA64" s="1222"/>
      <c r="CBB64" s="1222"/>
      <c r="CBC64" s="1222"/>
      <c r="CBD64" s="1222"/>
      <c r="CBE64" s="1222"/>
      <c r="CBF64" s="1222"/>
      <c r="CBG64" s="1222"/>
      <c r="CBH64" s="1222"/>
      <c r="CBI64" s="1222"/>
      <c r="CBJ64" s="1222"/>
      <c r="CBK64" s="1222"/>
      <c r="CBL64" s="1222"/>
      <c r="CBM64" s="1222"/>
      <c r="CBN64" s="1222"/>
      <c r="CBO64" s="1222"/>
      <c r="CBP64" s="1222"/>
      <c r="CBQ64" s="1222"/>
      <c r="CBR64" s="1222"/>
      <c r="CBS64" s="1222"/>
      <c r="CBT64" s="1222"/>
      <c r="CBU64" s="1222"/>
      <c r="CBV64" s="1222"/>
      <c r="CBW64" s="1222"/>
      <c r="CBX64" s="1222"/>
      <c r="CBY64" s="1222"/>
      <c r="CBZ64" s="1222"/>
      <c r="CCA64" s="1222"/>
      <c r="CCB64" s="1222"/>
      <c r="CCC64" s="1222"/>
      <c r="CCD64" s="1222"/>
      <c r="CCE64" s="1222"/>
      <c r="CCF64" s="1222"/>
      <c r="CCG64" s="1222"/>
      <c r="CCH64" s="1222"/>
      <c r="CCI64" s="1222"/>
      <c r="CCJ64" s="1222"/>
      <c r="CCK64" s="1222"/>
      <c r="CCL64" s="1222"/>
      <c r="CCM64" s="1222"/>
      <c r="CCN64" s="1222"/>
      <c r="CCO64" s="1222"/>
      <c r="CCP64" s="1222"/>
      <c r="CCQ64" s="1222"/>
      <c r="CCR64" s="1222"/>
      <c r="CCS64" s="1222"/>
      <c r="CCT64" s="1222"/>
      <c r="CCU64" s="1222"/>
      <c r="CCV64" s="1222"/>
      <c r="CCW64" s="1222"/>
      <c r="CCX64" s="1222"/>
      <c r="CCY64" s="1222"/>
      <c r="CCZ64" s="1222"/>
      <c r="CDA64" s="1222"/>
      <c r="CDB64" s="1222"/>
      <c r="CDC64" s="1222"/>
      <c r="CDD64" s="1222"/>
      <c r="CDE64" s="1222"/>
      <c r="CDF64" s="1222"/>
      <c r="CDG64" s="1222"/>
      <c r="CDH64" s="1222"/>
      <c r="CDI64" s="1222"/>
      <c r="CDJ64" s="1222"/>
      <c r="CDK64" s="1222"/>
      <c r="CDL64" s="1222"/>
      <c r="CDM64" s="1222"/>
      <c r="CDN64" s="1222"/>
      <c r="CDO64" s="1222"/>
      <c r="CDP64" s="1222"/>
      <c r="CDQ64" s="1222"/>
      <c r="CDR64" s="1222"/>
      <c r="CDS64" s="1222"/>
      <c r="CDT64" s="1222"/>
      <c r="CDU64" s="1222"/>
      <c r="CDV64" s="1222"/>
      <c r="CDW64" s="1222"/>
      <c r="CDX64" s="1222"/>
      <c r="CDY64" s="1222"/>
      <c r="CDZ64" s="1222"/>
      <c r="CEA64" s="1222"/>
      <c r="CEB64" s="1222"/>
      <c r="CEC64" s="1222"/>
      <c r="CED64" s="1222"/>
      <c r="CEE64" s="1222"/>
      <c r="CEF64" s="1222"/>
      <c r="CEG64" s="1222"/>
      <c r="CEH64" s="1222"/>
      <c r="CEI64" s="1222"/>
      <c r="CEJ64" s="1222"/>
      <c r="CEK64" s="1222"/>
      <c r="CEL64" s="1222"/>
      <c r="CEM64" s="1222"/>
      <c r="CEN64" s="1222"/>
      <c r="CEO64" s="1222"/>
      <c r="CEP64" s="1222"/>
      <c r="CEQ64" s="1222"/>
      <c r="CER64" s="1222"/>
      <c r="CES64" s="1222"/>
      <c r="CET64" s="1222"/>
      <c r="CEU64" s="1222"/>
      <c r="CEV64" s="1222"/>
      <c r="CEW64" s="1222"/>
      <c r="CEX64" s="1222"/>
      <c r="CEY64" s="1222"/>
      <c r="CEZ64" s="1222"/>
      <c r="CFA64" s="1222"/>
      <c r="CFB64" s="1222"/>
      <c r="CFC64" s="1222"/>
      <c r="CFD64" s="1222"/>
      <c r="CFE64" s="1222"/>
      <c r="CFF64" s="1222"/>
      <c r="CFG64" s="1222"/>
      <c r="CFH64" s="1222"/>
      <c r="CFI64" s="1222"/>
      <c r="CFJ64" s="1222"/>
      <c r="CFK64" s="1222"/>
      <c r="CFL64" s="1222"/>
      <c r="CFM64" s="1222"/>
      <c r="CFN64" s="1222"/>
      <c r="CFO64" s="1222"/>
      <c r="CFP64" s="1222"/>
      <c r="CFQ64" s="1222"/>
      <c r="CFR64" s="1222"/>
      <c r="CFS64" s="1222"/>
      <c r="CFT64" s="1222"/>
      <c r="CFU64" s="1222"/>
      <c r="CFV64" s="1222"/>
      <c r="CFW64" s="1222"/>
      <c r="CFX64" s="1222"/>
      <c r="CFY64" s="1222"/>
      <c r="CFZ64" s="1222"/>
      <c r="CGA64" s="1222"/>
      <c r="CGB64" s="1222"/>
      <c r="CGC64" s="1222"/>
      <c r="CGD64" s="1222"/>
      <c r="CGE64" s="1222"/>
      <c r="CGF64" s="1222"/>
      <c r="CGG64" s="1222"/>
      <c r="CGH64" s="1222"/>
      <c r="CGI64" s="1222"/>
      <c r="CGJ64" s="1222"/>
      <c r="CGK64" s="1222"/>
      <c r="CGL64" s="1222"/>
      <c r="CGM64" s="1222"/>
      <c r="CGN64" s="1222"/>
      <c r="CGO64" s="1222"/>
      <c r="CGP64" s="1222"/>
      <c r="CGQ64" s="1222"/>
      <c r="CGR64" s="1222"/>
      <c r="CGS64" s="1222"/>
      <c r="CGT64" s="1222"/>
      <c r="CGU64" s="1222"/>
      <c r="CGV64" s="1222"/>
      <c r="CGW64" s="1222"/>
      <c r="CGX64" s="1222"/>
      <c r="CGY64" s="1222"/>
      <c r="CGZ64" s="1222"/>
      <c r="CHA64" s="1222"/>
      <c r="CHB64" s="1222"/>
      <c r="CHC64" s="1222"/>
      <c r="CHD64" s="1222"/>
      <c r="CHE64" s="1222"/>
      <c r="CHF64" s="1222"/>
      <c r="CHG64" s="1222"/>
      <c r="CHH64" s="1222"/>
      <c r="CHI64" s="1222"/>
      <c r="CHJ64" s="1222"/>
      <c r="CHK64" s="1222"/>
      <c r="CHL64" s="1222"/>
      <c r="CHM64" s="1222"/>
      <c r="CHN64" s="1222"/>
      <c r="CHO64" s="1222"/>
      <c r="CHP64" s="1222"/>
      <c r="CHQ64" s="1222"/>
      <c r="CHR64" s="1222"/>
      <c r="CHS64" s="1222"/>
      <c r="CHT64" s="1222"/>
      <c r="CHU64" s="1222"/>
      <c r="CHV64" s="1222"/>
      <c r="CHW64" s="1222"/>
      <c r="CHX64" s="1222"/>
      <c r="CHY64" s="1222"/>
      <c r="CHZ64" s="1222"/>
      <c r="CIA64" s="1222"/>
      <c r="CIB64" s="1222"/>
      <c r="CIC64" s="1222"/>
      <c r="CID64" s="1222"/>
      <c r="CIE64" s="1222"/>
      <c r="CIF64" s="1222"/>
      <c r="CIG64" s="1222"/>
      <c r="CIH64" s="1222"/>
      <c r="CII64" s="1222"/>
      <c r="CIJ64" s="1222"/>
      <c r="CIK64" s="1222"/>
      <c r="CIL64" s="1222"/>
      <c r="CIM64" s="1222"/>
      <c r="CIN64" s="1222"/>
      <c r="CIO64" s="1222"/>
      <c r="CIP64" s="1222"/>
      <c r="CIQ64" s="1222"/>
      <c r="CIR64" s="1222"/>
      <c r="CIS64" s="1222"/>
      <c r="CIT64" s="1222"/>
      <c r="CIU64" s="1222"/>
      <c r="CIV64" s="1222"/>
      <c r="CIW64" s="1222"/>
      <c r="CIX64" s="1222"/>
      <c r="CIY64" s="1222"/>
      <c r="CIZ64" s="1222"/>
      <c r="CJA64" s="1222"/>
      <c r="CJB64" s="1222"/>
      <c r="CJC64" s="1222"/>
      <c r="CJD64" s="1222"/>
      <c r="CJE64" s="1222"/>
      <c r="CJF64" s="1222"/>
      <c r="CJG64" s="1222"/>
      <c r="CJH64" s="1222"/>
      <c r="CJI64" s="1222"/>
      <c r="CJJ64" s="1222"/>
      <c r="CJK64" s="1222"/>
      <c r="CJL64" s="1222"/>
      <c r="CJM64" s="1222"/>
      <c r="CJN64" s="1222"/>
      <c r="CJO64" s="1222"/>
      <c r="CJP64" s="1222"/>
      <c r="CJQ64" s="1222"/>
      <c r="CJR64" s="1222"/>
      <c r="CJS64" s="1222"/>
      <c r="CJT64" s="1222"/>
      <c r="CJU64" s="1222"/>
      <c r="CJV64" s="1222"/>
      <c r="CJW64" s="1222"/>
      <c r="CJX64" s="1222"/>
      <c r="CJY64" s="1222"/>
      <c r="CJZ64" s="1222"/>
      <c r="CKA64" s="1222"/>
      <c r="CKB64" s="1222"/>
      <c r="CKC64" s="1222"/>
      <c r="CKD64" s="1222"/>
      <c r="CKE64" s="1222"/>
      <c r="CKF64" s="1222"/>
      <c r="CKG64" s="1222"/>
      <c r="CKH64" s="1222"/>
      <c r="CKI64" s="1222"/>
      <c r="CKJ64" s="1222"/>
      <c r="CKK64" s="1222"/>
      <c r="CKL64" s="1222"/>
      <c r="CKM64" s="1222"/>
      <c r="CKN64" s="1222"/>
      <c r="CKO64" s="1222"/>
      <c r="CKP64" s="1222"/>
      <c r="CKQ64" s="1222"/>
      <c r="CKR64" s="1222"/>
      <c r="CKS64" s="1222"/>
      <c r="CKT64" s="1222"/>
      <c r="CKU64" s="1222"/>
      <c r="CKV64" s="1222"/>
      <c r="CKW64" s="1222"/>
      <c r="CKX64" s="1222"/>
      <c r="CKY64" s="1222"/>
      <c r="CKZ64" s="1222"/>
      <c r="CLA64" s="1222"/>
      <c r="CLB64" s="1222"/>
      <c r="CLC64" s="1222"/>
      <c r="CLD64" s="1222"/>
      <c r="CLE64" s="1222"/>
      <c r="CLF64" s="1222"/>
      <c r="CLG64" s="1222"/>
      <c r="CLH64" s="1222"/>
      <c r="CLI64" s="1222"/>
      <c r="CLJ64" s="1222"/>
      <c r="CLK64" s="1222"/>
      <c r="CLL64" s="1222"/>
      <c r="CLM64" s="1222"/>
      <c r="CLN64" s="1222"/>
      <c r="CLO64" s="1222"/>
      <c r="CLP64" s="1222"/>
      <c r="CLQ64" s="1222"/>
      <c r="CLR64" s="1222"/>
      <c r="CLS64" s="1222"/>
      <c r="CLT64" s="1222"/>
      <c r="CLU64" s="1222"/>
      <c r="CLV64" s="1222"/>
      <c r="CLW64" s="1222"/>
      <c r="CLX64" s="1222"/>
      <c r="CLY64" s="1222"/>
      <c r="CLZ64" s="1222"/>
      <c r="CMA64" s="1222"/>
      <c r="CMB64" s="1222"/>
      <c r="CMC64" s="1222"/>
      <c r="CMD64" s="1222"/>
      <c r="CME64" s="1222"/>
      <c r="CMF64" s="1222"/>
      <c r="CMG64" s="1222"/>
      <c r="CMH64" s="1222"/>
      <c r="CMI64" s="1222"/>
      <c r="CMJ64" s="1222"/>
      <c r="CMK64" s="1222"/>
      <c r="CML64" s="1222"/>
      <c r="CMM64" s="1222"/>
      <c r="CMN64" s="1222"/>
      <c r="CMO64" s="1222"/>
      <c r="CMP64" s="1222"/>
      <c r="CMQ64" s="1222"/>
      <c r="CMR64" s="1222"/>
      <c r="CMS64" s="1222"/>
      <c r="CMT64" s="1222"/>
      <c r="CMU64" s="1222"/>
      <c r="CMV64" s="1222"/>
      <c r="CMW64" s="1222"/>
      <c r="CMX64" s="1222"/>
      <c r="CMY64" s="1222"/>
      <c r="CMZ64" s="1222"/>
      <c r="CNA64" s="1222"/>
      <c r="CNB64" s="1222"/>
      <c r="CNC64" s="1222"/>
      <c r="CND64" s="1222"/>
      <c r="CNE64" s="1222"/>
      <c r="CNF64" s="1222"/>
      <c r="CNG64" s="1222"/>
      <c r="CNH64" s="1222"/>
      <c r="CNI64" s="1222"/>
      <c r="CNJ64" s="1222"/>
      <c r="CNK64" s="1222"/>
      <c r="CNL64" s="1222"/>
      <c r="CNM64" s="1222"/>
      <c r="CNN64" s="1222"/>
      <c r="CNO64" s="1222"/>
      <c r="CNP64" s="1222"/>
      <c r="CNQ64" s="1222"/>
      <c r="CNR64" s="1222"/>
      <c r="CNS64" s="1222"/>
      <c r="CNT64" s="1222"/>
      <c r="CNU64" s="1222"/>
      <c r="CNV64" s="1222"/>
      <c r="CNW64" s="1222"/>
      <c r="CNX64" s="1222"/>
      <c r="CNY64" s="1222"/>
      <c r="CNZ64" s="1222"/>
      <c r="COA64" s="1222"/>
      <c r="COB64" s="1222"/>
      <c r="COC64" s="1222"/>
      <c r="COD64" s="1222"/>
      <c r="COE64" s="1222"/>
      <c r="COF64" s="1222"/>
      <c r="COG64" s="1222"/>
      <c r="COH64" s="1222"/>
      <c r="COI64" s="1222"/>
      <c r="COJ64" s="1222"/>
      <c r="COK64" s="1222"/>
      <c r="COL64" s="1222"/>
      <c r="COM64" s="1222"/>
      <c r="CON64" s="1222"/>
      <c r="COO64" s="1222"/>
      <c r="COP64" s="1222"/>
      <c r="COQ64" s="1222"/>
      <c r="COR64" s="1222"/>
      <c r="COS64" s="1222"/>
      <c r="COT64" s="1222"/>
      <c r="COU64" s="1222"/>
      <c r="COV64" s="1222"/>
      <c r="COW64" s="1222"/>
      <c r="COX64" s="1222"/>
      <c r="COY64" s="1222"/>
      <c r="COZ64" s="1222"/>
      <c r="CPA64" s="1222"/>
      <c r="CPB64" s="1222"/>
      <c r="CPC64" s="1222"/>
      <c r="CPD64" s="1222"/>
      <c r="CPE64" s="1222"/>
      <c r="CPF64" s="1222"/>
      <c r="CPG64" s="1222"/>
      <c r="CPH64" s="1222"/>
      <c r="CPI64" s="1222"/>
      <c r="CPJ64" s="1222"/>
      <c r="CPK64" s="1222"/>
      <c r="CPL64" s="1222"/>
      <c r="CPM64" s="1222"/>
      <c r="CPN64" s="1222"/>
      <c r="CPO64" s="1222"/>
      <c r="CPP64" s="1222"/>
      <c r="CPQ64" s="1222"/>
      <c r="CPR64" s="1222"/>
      <c r="CPS64" s="1222"/>
      <c r="CPT64" s="1222"/>
      <c r="CPU64" s="1222"/>
      <c r="CPV64" s="1222"/>
      <c r="CPW64" s="1222"/>
      <c r="CPX64" s="1222"/>
      <c r="CPY64" s="1222"/>
      <c r="CPZ64" s="1222"/>
      <c r="CQA64" s="1222"/>
      <c r="CQB64" s="1222"/>
      <c r="CQC64" s="1222"/>
      <c r="CQD64" s="1222"/>
      <c r="CQE64" s="1222"/>
      <c r="CQF64" s="1222"/>
      <c r="CQG64" s="1222"/>
      <c r="CQH64" s="1222"/>
      <c r="CQI64" s="1222"/>
      <c r="CQJ64" s="1222"/>
      <c r="CQK64" s="1222"/>
      <c r="CQL64" s="1222"/>
      <c r="CQM64" s="1222"/>
      <c r="CQN64" s="1222"/>
      <c r="CQO64" s="1222"/>
      <c r="CQP64" s="1222"/>
      <c r="CQQ64" s="1222"/>
      <c r="CQR64" s="1222"/>
      <c r="CQS64" s="1222"/>
      <c r="CQT64" s="1222"/>
      <c r="CQU64" s="1222"/>
      <c r="CQV64" s="1222"/>
      <c r="CQW64" s="1222"/>
      <c r="CQX64" s="1222"/>
      <c r="CQY64" s="1222"/>
      <c r="CQZ64" s="1222"/>
      <c r="CRA64" s="1222"/>
      <c r="CRB64" s="1222"/>
      <c r="CRC64" s="1222"/>
      <c r="CRD64" s="1222"/>
      <c r="CRE64" s="1222"/>
      <c r="CRF64" s="1222"/>
      <c r="CRG64" s="1222"/>
      <c r="CRH64" s="1222"/>
      <c r="CRI64" s="1222"/>
      <c r="CRJ64" s="1222"/>
      <c r="CRK64" s="1222"/>
      <c r="CRL64" s="1222"/>
      <c r="CRM64" s="1222"/>
      <c r="CRN64" s="1222"/>
      <c r="CRO64" s="1222"/>
      <c r="CRP64" s="1222"/>
      <c r="CRQ64" s="1222"/>
      <c r="CRR64" s="1222"/>
      <c r="CRS64" s="1222"/>
      <c r="CRT64" s="1222"/>
      <c r="CRU64" s="1222"/>
      <c r="CRV64" s="1222"/>
      <c r="CRW64" s="1222"/>
      <c r="CRX64" s="1222"/>
      <c r="CRY64" s="1222"/>
      <c r="CRZ64" s="1222"/>
      <c r="CSA64" s="1222"/>
      <c r="CSB64" s="1222"/>
      <c r="CSC64" s="1222"/>
      <c r="CSD64" s="1222"/>
      <c r="CSE64" s="1222"/>
      <c r="CSF64" s="1222"/>
      <c r="CSG64" s="1222"/>
      <c r="CSH64" s="1222"/>
      <c r="CSI64" s="1222"/>
      <c r="CSJ64" s="1222"/>
      <c r="CSK64" s="1222"/>
      <c r="CSL64" s="1222"/>
      <c r="CSM64" s="1222"/>
      <c r="CSN64" s="1222"/>
      <c r="CSO64" s="1222"/>
      <c r="CSP64" s="1222"/>
      <c r="CSQ64" s="1222"/>
      <c r="CSR64" s="1222"/>
      <c r="CSS64" s="1222"/>
      <c r="CST64" s="1222"/>
      <c r="CSU64" s="1222"/>
      <c r="CSV64" s="1222"/>
      <c r="CSW64" s="1222"/>
      <c r="CSX64" s="1222"/>
      <c r="CSY64" s="1222"/>
      <c r="CSZ64" s="1222"/>
      <c r="CTA64" s="1222"/>
      <c r="CTB64" s="1222"/>
      <c r="CTC64" s="1222"/>
      <c r="CTD64" s="1222"/>
      <c r="CTE64" s="1222"/>
      <c r="CTF64" s="1222"/>
      <c r="CTG64" s="1222"/>
      <c r="CTH64" s="1222"/>
      <c r="CTI64" s="1222"/>
      <c r="CTJ64" s="1222"/>
      <c r="CTK64" s="1222"/>
      <c r="CTL64" s="1222"/>
      <c r="CTM64" s="1222"/>
      <c r="CTN64" s="1222"/>
      <c r="CTO64" s="1222"/>
      <c r="CTP64" s="1222"/>
      <c r="CTQ64" s="1222"/>
      <c r="CTR64" s="1222"/>
      <c r="CTS64" s="1222"/>
      <c r="CTT64" s="1222"/>
      <c r="CTU64" s="1222"/>
      <c r="CTV64" s="1222"/>
      <c r="CTW64" s="1222"/>
      <c r="CTX64" s="1222"/>
      <c r="CTY64" s="1222"/>
      <c r="CTZ64" s="1222"/>
      <c r="CUA64" s="1222"/>
      <c r="CUB64" s="1222"/>
      <c r="CUC64" s="1222"/>
      <c r="CUD64" s="1222"/>
      <c r="CUE64" s="1222"/>
      <c r="CUF64" s="1222"/>
      <c r="CUG64" s="1222"/>
      <c r="CUH64" s="1222"/>
      <c r="CUI64" s="1222"/>
      <c r="CUJ64" s="1222"/>
      <c r="CUK64" s="1222"/>
      <c r="CUL64" s="1222"/>
      <c r="CUM64" s="1222"/>
      <c r="CUN64" s="1222"/>
      <c r="CUO64" s="1222"/>
      <c r="CUP64" s="1222"/>
      <c r="CUQ64" s="1222"/>
      <c r="CUR64" s="1222"/>
      <c r="CUS64" s="1222"/>
      <c r="CUT64" s="1222"/>
      <c r="CUU64" s="1222"/>
      <c r="CUV64" s="1222"/>
      <c r="CUW64" s="1222"/>
      <c r="CUX64" s="1222"/>
      <c r="CUY64" s="1222"/>
      <c r="CUZ64" s="1222"/>
      <c r="CVA64" s="1222"/>
      <c r="CVB64" s="1222"/>
      <c r="CVC64" s="1222"/>
      <c r="CVD64" s="1222"/>
      <c r="CVE64" s="1222"/>
      <c r="CVF64" s="1222"/>
      <c r="CVG64" s="1222"/>
      <c r="CVH64" s="1222"/>
      <c r="CVI64" s="1222"/>
      <c r="CVJ64" s="1222"/>
      <c r="CVK64" s="1222"/>
      <c r="CVL64" s="1222"/>
      <c r="CVM64" s="1222"/>
      <c r="CVN64" s="1222"/>
      <c r="CVO64" s="1222"/>
      <c r="CVP64" s="1222"/>
      <c r="CVQ64" s="1222"/>
      <c r="CVR64" s="1222"/>
      <c r="CVS64" s="1222"/>
      <c r="CVT64" s="1222"/>
      <c r="CVU64" s="1222"/>
      <c r="CVV64" s="1222"/>
      <c r="CVW64" s="1222"/>
      <c r="CVX64" s="1222"/>
      <c r="CVY64" s="1222"/>
      <c r="CVZ64" s="1222"/>
      <c r="CWA64" s="1222"/>
      <c r="CWB64" s="1222"/>
      <c r="CWC64" s="1222"/>
      <c r="CWD64" s="1222"/>
      <c r="CWE64" s="1222"/>
      <c r="CWF64" s="1222"/>
      <c r="CWG64" s="1222"/>
      <c r="CWH64" s="1222"/>
      <c r="CWI64" s="1222"/>
      <c r="CWJ64" s="1222"/>
      <c r="CWK64" s="1222"/>
      <c r="CWL64" s="1222"/>
      <c r="CWM64" s="1222"/>
      <c r="CWN64" s="1222"/>
      <c r="CWO64" s="1222"/>
      <c r="CWP64" s="1222"/>
      <c r="CWQ64" s="1222"/>
      <c r="CWR64" s="1222"/>
      <c r="CWS64" s="1222"/>
      <c r="CWT64" s="1222"/>
      <c r="CWU64" s="1222"/>
      <c r="CWV64" s="1222"/>
      <c r="CWW64" s="1222"/>
      <c r="CWX64" s="1222"/>
      <c r="CWY64" s="1222"/>
      <c r="CWZ64" s="1222"/>
      <c r="CXA64" s="1222"/>
      <c r="CXB64" s="1222"/>
      <c r="CXC64" s="1222"/>
      <c r="CXD64" s="1222"/>
      <c r="CXE64" s="1222"/>
      <c r="CXF64" s="1222"/>
      <c r="CXG64" s="1222"/>
      <c r="CXH64" s="1222"/>
      <c r="CXI64" s="1222"/>
      <c r="CXJ64" s="1222"/>
      <c r="CXK64" s="1222"/>
      <c r="CXL64" s="1222"/>
      <c r="CXM64" s="1222"/>
      <c r="CXN64" s="1222"/>
      <c r="CXO64" s="1222"/>
      <c r="CXP64" s="1222"/>
      <c r="CXQ64" s="1222"/>
      <c r="CXR64" s="1222"/>
      <c r="CXS64" s="1222"/>
      <c r="CXT64" s="1222"/>
      <c r="CXU64" s="1222"/>
      <c r="CXV64" s="1222"/>
      <c r="CXW64" s="1222"/>
      <c r="CXX64" s="1222"/>
      <c r="CXY64" s="1222"/>
      <c r="CXZ64" s="1222"/>
      <c r="CYA64" s="1222"/>
      <c r="CYB64" s="1222"/>
      <c r="CYC64" s="1222"/>
      <c r="CYD64" s="1222"/>
      <c r="CYE64" s="1222"/>
      <c r="CYF64" s="1222"/>
      <c r="CYG64" s="1222"/>
      <c r="CYH64" s="1222"/>
      <c r="CYI64" s="1222"/>
      <c r="CYJ64" s="1222"/>
      <c r="CYK64" s="1222"/>
      <c r="CYL64" s="1222"/>
      <c r="CYM64" s="1222"/>
      <c r="CYN64" s="1222"/>
      <c r="CYO64" s="1222"/>
      <c r="CYP64" s="1222"/>
      <c r="CYQ64" s="1222"/>
      <c r="CYR64" s="1222"/>
      <c r="CYS64" s="1222"/>
      <c r="CYT64" s="1222"/>
      <c r="CYU64" s="1222"/>
      <c r="CYV64" s="1222"/>
      <c r="CYW64" s="1222"/>
      <c r="CYX64" s="1222"/>
      <c r="CYY64" s="1222"/>
      <c r="CYZ64" s="1222"/>
      <c r="CZA64" s="1222"/>
      <c r="CZB64" s="1222"/>
      <c r="CZC64" s="1222"/>
      <c r="CZD64" s="1222"/>
      <c r="CZE64" s="1222"/>
      <c r="CZF64" s="1222"/>
      <c r="CZG64" s="1222"/>
      <c r="CZH64" s="1222"/>
      <c r="CZI64" s="1222"/>
      <c r="CZJ64" s="1222"/>
      <c r="CZK64" s="1222"/>
      <c r="CZL64" s="1222"/>
      <c r="CZM64" s="1222"/>
      <c r="CZN64" s="1222"/>
      <c r="CZO64" s="1222"/>
      <c r="CZP64" s="1222"/>
      <c r="CZQ64" s="1222"/>
      <c r="CZR64" s="1222"/>
      <c r="CZS64" s="1222"/>
      <c r="CZT64" s="1222"/>
      <c r="CZU64" s="1222"/>
      <c r="CZV64" s="1222"/>
      <c r="CZW64" s="1222"/>
      <c r="CZX64" s="1222"/>
      <c r="CZY64" s="1222"/>
      <c r="CZZ64" s="1222"/>
      <c r="DAA64" s="1222"/>
      <c r="DAB64" s="1222"/>
      <c r="DAC64" s="1222"/>
      <c r="DAD64" s="1222"/>
      <c r="DAE64" s="1222"/>
      <c r="DAF64" s="1222"/>
      <c r="DAG64" s="1222"/>
      <c r="DAH64" s="1222"/>
      <c r="DAI64" s="1222"/>
      <c r="DAJ64" s="1222"/>
      <c r="DAK64" s="1222"/>
      <c r="DAL64" s="1222"/>
      <c r="DAM64" s="1222"/>
      <c r="DAN64" s="1222"/>
      <c r="DAO64" s="1222"/>
      <c r="DAP64" s="1222"/>
      <c r="DAQ64" s="1222"/>
      <c r="DAR64" s="1222"/>
      <c r="DAS64" s="1222"/>
      <c r="DAT64" s="1222"/>
      <c r="DAU64" s="1222"/>
      <c r="DAV64" s="1222"/>
      <c r="DAW64" s="1222"/>
      <c r="DAX64" s="1222"/>
      <c r="DAY64" s="1222"/>
      <c r="DAZ64" s="1222"/>
      <c r="DBA64" s="1222"/>
      <c r="DBB64" s="1222"/>
      <c r="DBC64" s="1222"/>
      <c r="DBD64" s="1222"/>
      <c r="DBE64" s="1222"/>
      <c r="DBF64" s="1222"/>
      <c r="DBG64" s="1222"/>
      <c r="DBH64" s="1222"/>
      <c r="DBI64" s="1222"/>
      <c r="DBJ64" s="1222"/>
      <c r="DBK64" s="1222"/>
      <c r="DBL64" s="1222"/>
      <c r="DBM64" s="1222"/>
      <c r="DBN64" s="1222"/>
      <c r="DBO64" s="1222"/>
      <c r="DBP64" s="1222"/>
      <c r="DBQ64" s="1222"/>
      <c r="DBR64" s="1222"/>
      <c r="DBS64" s="1222"/>
      <c r="DBT64" s="1222"/>
      <c r="DBU64" s="1222"/>
      <c r="DBV64" s="1222"/>
      <c r="DBW64" s="1222"/>
      <c r="DBX64" s="1222"/>
      <c r="DBY64" s="1222"/>
      <c r="DBZ64" s="1222"/>
      <c r="DCA64" s="1222"/>
      <c r="DCB64" s="1222"/>
      <c r="DCC64" s="1222"/>
      <c r="DCD64" s="1222"/>
      <c r="DCE64" s="1222"/>
      <c r="DCF64" s="1222"/>
      <c r="DCG64" s="1222"/>
      <c r="DCH64" s="1222"/>
      <c r="DCI64" s="1222"/>
      <c r="DCJ64" s="1222"/>
      <c r="DCK64" s="1222"/>
      <c r="DCL64" s="1222"/>
      <c r="DCM64" s="1222"/>
      <c r="DCN64" s="1222"/>
      <c r="DCO64" s="1222"/>
      <c r="DCP64" s="1222"/>
      <c r="DCQ64" s="1222"/>
      <c r="DCR64" s="1222"/>
      <c r="DCS64" s="1222"/>
      <c r="DCT64" s="1222"/>
      <c r="DCU64" s="1222"/>
      <c r="DCV64" s="1222"/>
      <c r="DCW64" s="1222"/>
      <c r="DCX64" s="1222"/>
      <c r="DCY64" s="1222"/>
      <c r="DCZ64" s="1222"/>
      <c r="DDA64" s="1222"/>
      <c r="DDB64" s="1222"/>
      <c r="DDC64" s="1222"/>
      <c r="DDD64" s="1222"/>
      <c r="DDE64" s="1222"/>
      <c r="DDF64" s="1222"/>
      <c r="DDG64" s="1222"/>
      <c r="DDH64" s="1222"/>
      <c r="DDI64" s="1222"/>
      <c r="DDJ64" s="1222"/>
      <c r="DDK64" s="1222"/>
      <c r="DDL64" s="1222"/>
      <c r="DDM64" s="1222"/>
      <c r="DDN64" s="1222"/>
      <c r="DDO64" s="1222"/>
      <c r="DDP64" s="1222"/>
      <c r="DDQ64" s="1222"/>
      <c r="DDR64" s="1222"/>
      <c r="DDS64" s="1222"/>
      <c r="DDT64" s="1222"/>
      <c r="DDU64" s="1222"/>
      <c r="DDV64" s="1222"/>
      <c r="DDW64" s="1222"/>
      <c r="DDX64" s="1222"/>
      <c r="DDY64" s="1222"/>
      <c r="DDZ64" s="1222"/>
      <c r="DEA64" s="1222"/>
      <c r="DEB64" s="1222"/>
      <c r="DEC64" s="1222"/>
      <c r="DED64" s="1222"/>
      <c r="DEE64" s="1222"/>
      <c r="DEF64" s="1222"/>
      <c r="DEG64" s="1222"/>
      <c r="DEH64" s="1222"/>
      <c r="DEI64" s="1222"/>
      <c r="DEJ64" s="1222"/>
      <c r="DEK64" s="1222"/>
      <c r="DEL64" s="1222"/>
      <c r="DEM64" s="1222"/>
      <c r="DEN64" s="1222"/>
      <c r="DEO64" s="1222"/>
      <c r="DEP64" s="1222"/>
      <c r="DEQ64" s="1222"/>
      <c r="DER64" s="1222"/>
      <c r="DES64" s="1222"/>
      <c r="DET64" s="1222"/>
      <c r="DEU64" s="1222"/>
      <c r="DEV64" s="1222"/>
      <c r="DEW64" s="1222"/>
      <c r="DEX64" s="1222"/>
      <c r="DEY64" s="1222"/>
      <c r="DEZ64" s="1222"/>
      <c r="DFA64" s="1222"/>
      <c r="DFB64" s="1222"/>
      <c r="DFC64" s="1222"/>
      <c r="DFD64" s="1222"/>
      <c r="DFE64" s="1222"/>
      <c r="DFF64" s="1222"/>
      <c r="DFG64" s="1222"/>
      <c r="DFH64" s="1222"/>
      <c r="DFI64" s="1222"/>
      <c r="DFJ64" s="1222"/>
      <c r="DFK64" s="1222"/>
      <c r="DFL64" s="1222"/>
      <c r="DFM64" s="1222"/>
      <c r="DFN64" s="1222"/>
      <c r="DFO64" s="1222"/>
      <c r="DFP64" s="1222"/>
      <c r="DFQ64" s="1222"/>
      <c r="DFR64" s="1222"/>
      <c r="DFS64" s="1222"/>
      <c r="DFT64" s="1222"/>
      <c r="DFU64" s="1222"/>
      <c r="DFV64" s="1222"/>
      <c r="DFW64" s="1222"/>
      <c r="DFX64" s="1222"/>
      <c r="DFY64" s="1222"/>
      <c r="DFZ64" s="1222"/>
      <c r="DGA64" s="1222"/>
      <c r="DGB64" s="1222"/>
      <c r="DGC64" s="1222"/>
      <c r="DGD64" s="1222"/>
      <c r="DGE64" s="1222"/>
      <c r="DGF64" s="1222"/>
      <c r="DGG64" s="1222"/>
      <c r="DGH64" s="1222"/>
      <c r="DGI64" s="1222"/>
      <c r="DGJ64" s="1222"/>
      <c r="DGK64" s="1222"/>
      <c r="DGL64" s="1222"/>
      <c r="DGM64" s="1222"/>
      <c r="DGN64" s="1222"/>
      <c r="DGO64" s="1222"/>
      <c r="DGP64" s="1222"/>
      <c r="DGQ64" s="1222"/>
      <c r="DGR64" s="1222"/>
      <c r="DGS64" s="1222"/>
      <c r="DGT64" s="1222"/>
      <c r="DGU64" s="1222"/>
      <c r="DGV64" s="1222"/>
      <c r="DGW64" s="1222"/>
      <c r="DGX64" s="1222"/>
      <c r="DGY64" s="1222"/>
      <c r="DGZ64" s="1222"/>
      <c r="DHA64" s="1222"/>
      <c r="DHB64" s="1222"/>
      <c r="DHC64" s="1222"/>
      <c r="DHD64" s="1222"/>
      <c r="DHE64" s="1222"/>
      <c r="DHF64" s="1222"/>
      <c r="DHG64" s="1222"/>
      <c r="DHH64" s="1222"/>
      <c r="DHI64" s="1222"/>
      <c r="DHJ64" s="1222"/>
      <c r="DHK64" s="1222"/>
      <c r="DHL64" s="1222"/>
      <c r="DHM64" s="1222"/>
      <c r="DHN64" s="1222"/>
      <c r="DHO64" s="1222"/>
      <c r="DHP64" s="1222"/>
      <c r="DHQ64" s="1222"/>
      <c r="DHR64" s="1222"/>
      <c r="DHS64" s="1222"/>
      <c r="DHT64" s="1222"/>
      <c r="DHU64" s="1222"/>
      <c r="DHV64" s="1222"/>
      <c r="DHW64" s="1222"/>
      <c r="DHX64" s="1222"/>
      <c r="DHY64" s="1222"/>
      <c r="DHZ64" s="1222"/>
      <c r="DIA64" s="1222"/>
      <c r="DIB64" s="1222"/>
      <c r="DIC64" s="1222"/>
      <c r="DID64" s="1222"/>
      <c r="DIE64" s="1222"/>
      <c r="DIF64" s="1222"/>
      <c r="DIG64" s="1222"/>
      <c r="DIH64" s="1222"/>
      <c r="DII64" s="1222"/>
      <c r="DIJ64" s="1222"/>
      <c r="DIK64" s="1222"/>
      <c r="DIL64" s="1222"/>
      <c r="DIM64" s="1222"/>
      <c r="DIN64" s="1222"/>
      <c r="DIO64" s="1222"/>
      <c r="DIP64" s="1222"/>
      <c r="DIQ64" s="1222"/>
      <c r="DIR64" s="1222"/>
      <c r="DIS64" s="1222"/>
      <c r="DIT64" s="1222"/>
      <c r="DIU64" s="1222"/>
      <c r="DIV64" s="1222"/>
      <c r="DIW64" s="1222"/>
      <c r="DIX64" s="1222"/>
      <c r="DIY64" s="1222"/>
      <c r="DIZ64" s="1222"/>
      <c r="DJA64" s="1222"/>
      <c r="DJB64" s="1222"/>
      <c r="DJC64" s="1222"/>
      <c r="DJD64" s="1222"/>
      <c r="DJE64" s="1222"/>
      <c r="DJF64" s="1222"/>
      <c r="DJG64" s="1222"/>
      <c r="DJH64" s="1222"/>
      <c r="DJI64" s="1222"/>
      <c r="DJJ64" s="1222"/>
      <c r="DJK64" s="1222"/>
      <c r="DJL64" s="1222"/>
      <c r="DJM64" s="1222"/>
      <c r="DJN64" s="1222"/>
      <c r="DJO64" s="1222"/>
      <c r="DJP64" s="1222"/>
      <c r="DJQ64" s="1222"/>
      <c r="DJR64" s="1222"/>
      <c r="DJS64" s="1222"/>
      <c r="DJT64" s="1222"/>
      <c r="DJU64" s="1222"/>
      <c r="DJV64" s="1222"/>
      <c r="DJW64" s="1222"/>
      <c r="DJX64" s="1222"/>
      <c r="DJY64" s="1222"/>
      <c r="DJZ64" s="1222"/>
      <c r="DKA64" s="1222"/>
      <c r="DKB64" s="1222"/>
      <c r="DKC64" s="1222"/>
      <c r="DKD64" s="1222"/>
      <c r="DKE64" s="1222"/>
      <c r="DKF64" s="1222"/>
      <c r="DKG64" s="1222"/>
      <c r="DKH64" s="1222"/>
      <c r="DKI64" s="1222"/>
      <c r="DKJ64" s="1222"/>
      <c r="DKK64" s="1222"/>
      <c r="DKL64" s="1222"/>
      <c r="DKM64" s="1222"/>
      <c r="DKN64" s="1222"/>
      <c r="DKO64" s="1222"/>
      <c r="DKP64" s="1222"/>
      <c r="DKQ64" s="1222"/>
      <c r="DKR64" s="1222"/>
      <c r="DKS64" s="1222"/>
      <c r="DKT64" s="1222"/>
      <c r="DKU64" s="1222"/>
      <c r="DKV64" s="1222"/>
      <c r="DKW64" s="1222"/>
      <c r="DKX64" s="1222"/>
      <c r="DKY64" s="1222"/>
      <c r="DKZ64" s="1222"/>
      <c r="DLA64" s="1222"/>
      <c r="DLB64" s="1222"/>
      <c r="DLC64" s="1222"/>
      <c r="DLD64" s="1222"/>
      <c r="DLE64" s="1222"/>
      <c r="DLF64" s="1222"/>
      <c r="DLG64" s="1222"/>
      <c r="DLH64" s="1222"/>
      <c r="DLI64" s="1222"/>
      <c r="DLJ64" s="1222"/>
      <c r="DLK64" s="1222"/>
      <c r="DLL64" s="1222"/>
      <c r="DLM64" s="1222"/>
      <c r="DLN64" s="1222"/>
      <c r="DLO64" s="1222"/>
      <c r="DLP64" s="1222"/>
      <c r="DLQ64" s="1222"/>
      <c r="DLR64" s="1222"/>
      <c r="DLS64" s="1222"/>
      <c r="DLT64" s="1222"/>
      <c r="DLU64" s="1222"/>
      <c r="DLV64" s="1222"/>
      <c r="DLW64" s="1222"/>
      <c r="DLX64" s="1222"/>
      <c r="DLY64" s="1222"/>
      <c r="DLZ64" s="1222"/>
      <c r="DMA64" s="1222"/>
      <c r="DMB64" s="1222"/>
      <c r="DMC64" s="1222"/>
      <c r="DMD64" s="1222"/>
      <c r="DME64" s="1222"/>
      <c r="DMF64" s="1222"/>
      <c r="DMG64" s="1222"/>
      <c r="DMH64" s="1222"/>
      <c r="DMI64" s="1222"/>
      <c r="DMJ64" s="1222"/>
      <c r="DMK64" s="1222"/>
      <c r="DML64" s="1222"/>
      <c r="DMM64" s="1222"/>
      <c r="DMN64" s="1222"/>
      <c r="DMO64" s="1222"/>
      <c r="DMP64" s="1222"/>
      <c r="DMQ64" s="1222"/>
      <c r="DMR64" s="1222"/>
      <c r="DMS64" s="1222"/>
      <c r="DMT64" s="1222"/>
      <c r="DMU64" s="1222"/>
      <c r="DMV64" s="1222"/>
      <c r="DMW64" s="1222"/>
      <c r="DMX64" s="1222"/>
      <c r="DMY64" s="1222"/>
      <c r="DMZ64" s="1222"/>
      <c r="DNA64" s="1222"/>
      <c r="DNB64" s="1222"/>
      <c r="DNC64" s="1222"/>
      <c r="DND64" s="1222"/>
      <c r="DNE64" s="1222"/>
      <c r="DNF64" s="1222"/>
      <c r="DNG64" s="1222"/>
      <c r="DNH64" s="1222"/>
      <c r="DNI64" s="1222"/>
      <c r="DNJ64" s="1222"/>
      <c r="DNK64" s="1222"/>
      <c r="DNL64" s="1222"/>
      <c r="DNM64" s="1222"/>
      <c r="DNN64" s="1222"/>
      <c r="DNO64" s="1222"/>
      <c r="DNP64" s="1222"/>
      <c r="DNQ64" s="1222"/>
      <c r="DNR64" s="1222"/>
      <c r="DNS64" s="1222"/>
      <c r="DNT64" s="1222"/>
      <c r="DNU64" s="1222"/>
      <c r="DNV64" s="1222"/>
      <c r="DNW64" s="1222"/>
      <c r="DNX64" s="1222"/>
      <c r="DNY64" s="1222"/>
      <c r="DNZ64" s="1222"/>
      <c r="DOA64" s="1222"/>
      <c r="DOB64" s="1222"/>
      <c r="DOC64" s="1222"/>
      <c r="DOD64" s="1222"/>
      <c r="DOE64" s="1222"/>
      <c r="DOF64" s="1222"/>
      <c r="DOG64" s="1222"/>
      <c r="DOH64" s="1222"/>
      <c r="DOI64" s="1222"/>
      <c r="DOJ64" s="1222"/>
      <c r="DOK64" s="1222"/>
      <c r="DOL64" s="1222"/>
      <c r="DOM64" s="1222"/>
      <c r="DON64" s="1222"/>
      <c r="DOO64" s="1222"/>
      <c r="DOP64" s="1222"/>
      <c r="DOQ64" s="1222"/>
      <c r="DOR64" s="1222"/>
      <c r="DOS64" s="1222"/>
      <c r="DOT64" s="1222"/>
      <c r="DOU64" s="1222"/>
      <c r="DOV64" s="1222"/>
      <c r="DOW64" s="1222"/>
      <c r="DOX64" s="1222"/>
      <c r="DOY64" s="1222"/>
      <c r="DOZ64" s="1222"/>
      <c r="DPA64" s="1222"/>
      <c r="DPB64" s="1222"/>
      <c r="DPC64" s="1222"/>
      <c r="DPD64" s="1222"/>
      <c r="DPE64" s="1222"/>
      <c r="DPF64" s="1222"/>
      <c r="DPG64" s="1222"/>
      <c r="DPH64" s="1222"/>
      <c r="DPI64" s="1222"/>
      <c r="DPJ64" s="1222"/>
      <c r="DPK64" s="1222"/>
      <c r="DPL64" s="1222"/>
      <c r="DPM64" s="1222"/>
      <c r="DPN64" s="1222"/>
      <c r="DPO64" s="1222"/>
      <c r="DPP64" s="1222"/>
      <c r="DPQ64" s="1222"/>
      <c r="DPR64" s="1222"/>
      <c r="DPS64" s="1222"/>
      <c r="DPT64" s="1222"/>
      <c r="DPU64" s="1222"/>
      <c r="DPV64" s="1222"/>
      <c r="DPW64" s="1222"/>
      <c r="DPX64" s="1222"/>
      <c r="DPY64" s="1222"/>
      <c r="DPZ64" s="1222"/>
      <c r="DQA64" s="1222"/>
      <c r="DQB64" s="1222"/>
      <c r="DQC64" s="1222"/>
      <c r="DQD64" s="1222"/>
      <c r="DQE64" s="1222"/>
      <c r="DQF64" s="1222"/>
      <c r="DQG64" s="1222"/>
      <c r="DQH64" s="1222"/>
      <c r="DQI64" s="1222"/>
      <c r="DQJ64" s="1222"/>
      <c r="DQK64" s="1222"/>
      <c r="DQL64" s="1222"/>
      <c r="DQM64" s="1222"/>
      <c r="DQN64" s="1222"/>
      <c r="DQO64" s="1222"/>
      <c r="DQP64" s="1222"/>
      <c r="DQQ64" s="1222"/>
      <c r="DQR64" s="1222"/>
      <c r="DQS64" s="1222"/>
      <c r="DQT64" s="1222"/>
      <c r="DQU64" s="1222"/>
      <c r="DQV64" s="1222"/>
      <c r="DQW64" s="1222"/>
      <c r="DQX64" s="1222"/>
      <c r="DQY64" s="1222"/>
      <c r="DQZ64" s="1222"/>
      <c r="DRA64" s="1222"/>
      <c r="DRB64" s="1222"/>
      <c r="DRC64" s="1222"/>
      <c r="DRD64" s="1222"/>
      <c r="DRE64" s="1222"/>
      <c r="DRF64" s="1222"/>
      <c r="DRG64" s="1222"/>
      <c r="DRH64" s="1222"/>
      <c r="DRI64" s="1222"/>
      <c r="DRJ64" s="1222"/>
      <c r="DRK64" s="1222"/>
      <c r="DRL64" s="1222"/>
      <c r="DRM64" s="1222"/>
      <c r="DRN64" s="1222"/>
      <c r="DRO64" s="1222"/>
      <c r="DRP64" s="1222"/>
      <c r="DRQ64" s="1222"/>
      <c r="DRR64" s="1222"/>
      <c r="DRS64" s="1222"/>
      <c r="DRT64" s="1222"/>
      <c r="DRU64" s="1222"/>
      <c r="DRV64" s="1222"/>
      <c r="DRW64" s="1222"/>
      <c r="DRX64" s="1222"/>
      <c r="DRY64" s="1222"/>
      <c r="DRZ64" s="1222"/>
      <c r="DSA64" s="1222"/>
      <c r="DSB64" s="1222"/>
      <c r="DSC64" s="1222"/>
      <c r="DSD64" s="1222"/>
      <c r="DSE64" s="1222"/>
      <c r="DSF64" s="1222"/>
      <c r="DSG64" s="1222"/>
      <c r="DSH64" s="1222"/>
      <c r="DSI64" s="1222"/>
      <c r="DSJ64" s="1222"/>
      <c r="DSK64" s="1222"/>
      <c r="DSL64" s="1222"/>
      <c r="DSM64" s="1222"/>
      <c r="DSN64" s="1222"/>
      <c r="DSO64" s="1222"/>
      <c r="DSP64" s="1222"/>
      <c r="DSQ64" s="1222"/>
      <c r="DSR64" s="1222"/>
      <c r="DSS64" s="1222"/>
      <c r="DST64" s="1222"/>
      <c r="DSU64" s="1222"/>
      <c r="DSV64" s="1222"/>
      <c r="DSW64" s="1222"/>
      <c r="DSX64" s="1222"/>
      <c r="DSY64" s="1222"/>
      <c r="DSZ64" s="1222"/>
      <c r="DTA64" s="1222"/>
      <c r="DTB64" s="1222"/>
      <c r="DTC64" s="1222"/>
      <c r="DTD64" s="1222"/>
      <c r="DTE64" s="1222"/>
      <c r="DTF64" s="1222"/>
      <c r="DTG64" s="1222"/>
      <c r="DTH64" s="1222"/>
      <c r="DTI64" s="1222"/>
      <c r="DTJ64" s="1222"/>
      <c r="DTK64" s="1222"/>
      <c r="DTL64" s="1222"/>
      <c r="DTM64" s="1222"/>
      <c r="DTN64" s="1222"/>
      <c r="DTO64" s="1222"/>
      <c r="DTP64" s="1222"/>
      <c r="DTQ64" s="1222"/>
      <c r="DTR64" s="1222"/>
      <c r="DTS64" s="1222"/>
      <c r="DTT64" s="1222"/>
      <c r="DTU64" s="1222"/>
      <c r="DTV64" s="1222"/>
      <c r="DTW64" s="1222"/>
      <c r="DTX64" s="1222"/>
      <c r="DTY64" s="1222"/>
      <c r="DTZ64" s="1222"/>
      <c r="DUA64" s="1222"/>
      <c r="DUB64" s="1222"/>
      <c r="DUC64" s="1222"/>
      <c r="DUD64" s="1222"/>
      <c r="DUE64" s="1222"/>
      <c r="DUF64" s="1222"/>
      <c r="DUG64" s="1222"/>
      <c r="DUH64" s="1222"/>
      <c r="DUI64" s="1222"/>
      <c r="DUJ64" s="1222"/>
      <c r="DUK64" s="1222"/>
      <c r="DUL64" s="1222"/>
      <c r="DUM64" s="1222"/>
      <c r="DUN64" s="1222"/>
      <c r="DUO64" s="1222"/>
      <c r="DUP64" s="1222"/>
      <c r="DUQ64" s="1222"/>
      <c r="DUR64" s="1222"/>
      <c r="DUS64" s="1222"/>
      <c r="DUT64" s="1222"/>
      <c r="DUU64" s="1222"/>
      <c r="DUV64" s="1222"/>
      <c r="DUW64" s="1222"/>
      <c r="DUX64" s="1222"/>
      <c r="DUY64" s="1222"/>
      <c r="DUZ64" s="1222"/>
      <c r="DVA64" s="1222"/>
      <c r="DVB64" s="1222"/>
      <c r="DVC64" s="1222"/>
      <c r="DVD64" s="1222"/>
      <c r="DVE64" s="1222"/>
      <c r="DVF64" s="1222"/>
      <c r="DVG64" s="1222"/>
      <c r="DVH64" s="1222"/>
      <c r="DVI64" s="1222"/>
      <c r="DVJ64" s="1222"/>
      <c r="DVK64" s="1222"/>
      <c r="DVL64" s="1222"/>
      <c r="DVM64" s="1222"/>
      <c r="DVN64" s="1222"/>
      <c r="DVO64" s="1222"/>
      <c r="DVP64" s="1222"/>
      <c r="DVQ64" s="1222"/>
      <c r="DVR64" s="1222"/>
      <c r="DVS64" s="1222"/>
      <c r="DVT64" s="1222"/>
      <c r="DVU64" s="1222"/>
      <c r="DVV64" s="1222"/>
      <c r="DVW64" s="1222"/>
      <c r="DVX64" s="1222"/>
      <c r="DVY64" s="1222"/>
      <c r="DVZ64" s="1222"/>
      <c r="DWA64" s="1222"/>
      <c r="DWB64" s="1222"/>
      <c r="DWC64" s="1222"/>
      <c r="DWD64" s="1222"/>
      <c r="DWE64" s="1222"/>
      <c r="DWF64" s="1222"/>
      <c r="DWG64" s="1222"/>
      <c r="DWH64" s="1222"/>
      <c r="DWI64" s="1222"/>
      <c r="DWJ64" s="1222"/>
      <c r="DWK64" s="1222"/>
      <c r="DWL64" s="1222"/>
      <c r="DWM64" s="1222"/>
      <c r="DWN64" s="1222"/>
      <c r="DWO64" s="1222"/>
      <c r="DWP64" s="1222"/>
      <c r="DWQ64" s="1222"/>
      <c r="DWR64" s="1222"/>
      <c r="DWS64" s="1222"/>
      <c r="DWT64" s="1222"/>
      <c r="DWU64" s="1222"/>
      <c r="DWV64" s="1222"/>
      <c r="DWW64" s="1222"/>
      <c r="DWX64" s="1222"/>
      <c r="DWY64" s="1222"/>
      <c r="DWZ64" s="1222"/>
      <c r="DXA64" s="1222"/>
      <c r="DXB64" s="1222"/>
      <c r="DXC64" s="1222"/>
      <c r="DXD64" s="1222"/>
      <c r="DXE64" s="1222"/>
      <c r="DXF64" s="1222"/>
      <c r="DXG64" s="1222"/>
      <c r="DXH64" s="1222"/>
      <c r="DXI64" s="1222"/>
      <c r="DXJ64" s="1222"/>
      <c r="DXK64" s="1222"/>
      <c r="DXL64" s="1222"/>
      <c r="DXM64" s="1222"/>
      <c r="DXN64" s="1222"/>
      <c r="DXO64" s="1222"/>
      <c r="DXP64" s="1222"/>
      <c r="DXQ64" s="1222"/>
      <c r="DXR64" s="1222"/>
      <c r="DXS64" s="1222"/>
      <c r="DXT64" s="1222"/>
      <c r="DXU64" s="1222"/>
      <c r="DXV64" s="1222"/>
      <c r="DXW64" s="1222"/>
      <c r="DXX64" s="1222"/>
      <c r="DXY64" s="1222"/>
      <c r="DXZ64" s="1222"/>
      <c r="DYA64" s="1222"/>
      <c r="DYB64" s="1222"/>
      <c r="DYC64" s="1222"/>
      <c r="DYD64" s="1222"/>
      <c r="DYE64" s="1222"/>
      <c r="DYF64" s="1222"/>
      <c r="DYG64" s="1222"/>
      <c r="DYH64" s="1222"/>
      <c r="DYI64" s="1222"/>
      <c r="DYJ64" s="1222"/>
      <c r="DYK64" s="1222"/>
      <c r="DYL64" s="1222"/>
      <c r="DYM64" s="1222"/>
      <c r="DYN64" s="1222"/>
      <c r="DYO64" s="1222"/>
      <c r="DYP64" s="1222"/>
      <c r="DYQ64" s="1222"/>
      <c r="DYR64" s="1222"/>
      <c r="DYS64" s="1222"/>
      <c r="DYT64" s="1222"/>
      <c r="DYU64" s="1222"/>
      <c r="DYV64" s="1222"/>
      <c r="DYW64" s="1222"/>
      <c r="DYX64" s="1222"/>
      <c r="DYY64" s="1222"/>
      <c r="DYZ64" s="1222"/>
      <c r="DZA64" s="1222"/>
      <c r="DZB64" s="1222"/>
      <c r="DZC64" s="1222"/>
      <c r="DZD64" s="1222"/>
      <c r="DZE64" s="1222"/>
      <c r="DZF64" s="1222"/>
      <c r="DZG64" s="1222"/>
      <c r="DZH64" s="1222"/>
      <c r="DZI64" s="1222"/>
      <c r="DZJ64" s="1222"/>
      <c r="DZK64" s="1222"/>
      <c r="DZL64" s="1222"/>
      <c r="DZM64" s="1222"/>
      <c r="DZN64" s="1222"/>
      <c r="DZO64" s="1222"/>
      <c r="DZP64" s="1222"/>
      <c r="DZQ64" s="1222"/>
      <c r="DZR64" s="1222"/>
      <c r="DZS64" s="1222"/>
      <c r="DZT64" s="1222"/>
      <c r="DZU64" s="1222"/>
      <c r="DZV64" s="1222"/>
      <c r="DZW64" s="1222"/>
      <c r="DZX64" s="1222"/>
      <c r="DZY64" s="1222"/>
      <c r="DZZ64" s="1222"/>
      <c r="EAA64" s="1222"/>
      <c r="EAB64" s="1222"/>
      <c r="EAC64" s="1222"/>
      <c r="EAD64" s="1222"/>
      <c r="EAE64" s="1222"/>
      <c r="EAF64" s="1222"/>
      <c r="EAG64" s="1222"/>
      <c r="EAH64" s="1222"/>
      <c r="EAI64" s="1222"/>
      <c r="EAJ64" s="1222"/>
      <c r="EAK64" s="1222"/>
      <c r="EAL64" s="1222"/>
      <c r="EAM64" s="1222"/>
      <c r="EAN64" s="1222"/>
      <c r="EAO64" s="1222"/>
      <c r="EAP64" s="1222"/>
      <c r="EAQ64" s="1222"/>
      <c r="EAR64" s="1222"/>
      <c r="EAS64" s="1222"/>
      <c r="EAT64" s="1222"/>
      <c r="EAU64" s="1222"/>
      <c r="EAV64" s="1222"/>
      <c r="EAW64" s="1222"/>
      <c r="EAX64" s="1222"/>
      <c r="EAY64" s="1222"/>
      <c r="EAZ64" s="1222"/>
      <c r="EBA64" s="1222"/>
      <c r="EBB64" s="1222"/>
      <c r="EBC64" s="1222"/>
      <c r="EBD64" s="1222"/>
      <c r="EBE64" s="1222"/>
      <c r="EBF64" s="1222"/>
      <c r="EBG64" s="1222"/>
      <c r="EBH64" s="1222"/>
      <c r="EBI64" s="1222"/>
      <c r="EBJ64" s="1222"/>
      <c r="EBK64" s="1222"/>
      <c r="EBL64" s="1222"/>
      <c r="EBM64" s="1222"/>
      <c r="EBN64" s="1222"/>
      <c r="EBO64" s="1222"/>
      <c r="EBP64" s="1222"/>
      <c r="EBQ64" s="1222"/>
      <c r="EBR64" s="1222"/>
      <c r="EBS64" s="1222"/>
      <c r="EBT64" s="1222"/>
      <c r="EBU64" s="1222"/>
      <c r="EBV64" s="1222"/>
      <c r="EBW64" s="1222"/>
      <c r="EBX64" s="1222"/>
      <c r="EBY64" s="1222"/>
      <c r="EBZ64" s="1222"/>
      <c r="ECA64" s="1222"/>
      <c r="ECB64" s="1222"/>
      <c r="ECC64" s="1222"/>
      <c r="ECD64" s="1222"/>
      <c r="ECE64" s="1222"/>
      <c r="ECF64" s="1222"/>
      <c r="ECG64" s="1222"/>
      <c r="ECH64" s="1222"/>
      <c r="ECI64" s="1222"/>
      <c r="ECJ64" s="1222"/>
      <c r="ECK64" s="1222"/>
      <c r="ECL64" s="1222"/>
      <c r="ECM64" s="1222"/>
      <c r="ECN64" s="1222"/>
      <c r="ECO64" s="1222"/>
    </row>
    <row r="65" spans="2:69">
      <c r="B65" s="1217"/>
      <c r="C65" s="2358"/>
      <c r="D65" s="1297" t="s">
        <v>3165</v>
      </c>
      <c r="E65" s="1319"/>
      <c r="F65" s="1319"/>
      <c r="G65" s="1319"/>
      <c r="H65" s="1319"/>
      <c r="I65" s="1319"/>
      <c r="J65" s="1319"/>
      <c r="K65" s="1319"/>
      <c r="L65" s="1319"/>
      <c r="M65" s="1319"/>
      <c r="N65" s="1319"/>
      <c r="O65" s="1319"/>
      <c r="P65" s="1319"/>
      <c r="Q65" s="1319"/>
      <c r="R65" s="1319"/>
      <c r="S65" s="1319"/>
      <c r="T65" s="1319"/>
      <c r="U65" s="1319"/>
      <c r="V65" s="1319"/>
      <c r="W65" s="1319"/>
      <c r="X65" s="1319"/>
      <c r="Y65" s="1319"/>
      <c r="Z65" s="1319"/>
      <c r="AA65" s="1320"/>
      <c r="AB65" s="1320"/>
      <c r="AC65" s="1321"/>
      <c r="AD65" s="1322"/>
      <c r="AE65" s="1322"/>
      <c r="AF65" s="1315"/>
      <c r="AG65" s="1315"/>
      <c r="AH65" s="1315"/>
      <c r="AI65" s="1315"/>
      <c r="AJ65" s="1315"/>
      <c r="AK65" s="1315"/>
      <c r="AL65" s="1315"/>
      <c r="AM65" s="1315"/>
      <c r="AN65" s="1315"/>
      <c r="AO65" s="1315"/>
      <c r="AP65" s="1315"/>
      <c r="AQ65" s="1315"/>
      <c r="AR65" s="1315"/>
      <c r="AS65" s="1315"/>
      <c r="AT65" s="1315"/>
      <c r="AU65" s="1315"/>
      <c r="AV65" s="1315"/>
      <c r="AW65" s="1315"/>
      <c r="AX65" s="1315"/>
      <c r="AY65" s="1315"/>
      <c r="AZ65" s="1315"/>
      <c r="BA65" s="1315">
        <v>240000</v>
      </c>
      <c r="BB65" s="1315"/>
      <c r="BC65" s="1315"/>
      <c r="BD65" s="1315"/>
      <c r="BE65" s="1315"/>
      <c r="BF65" s="1315"/>
      <c r="BG65" s="1315"/>
      <c r="BH65" s="1315"/>
      <c r="BI65" s="1315"/>
      <c r="BJ65" s="1217">
        <f ca="1">+BJ49-BJ64</f>
        <v>422.28429736715043</v>
      </c>
      <c r="BK65" s="1217"/>
      <c r="BL65" s="1217"/>
      <c r="BM65" s="1217"/>
      <c r="BN65" s="1221"/>
      <c r="BO65" s="1221"/>
      <c r="BP65" s="1221"/>
      <c r="BQ65" s="1221"/>
    </row>
    <row r="66" spans="2:69">
      <c r="B66" s="1121"/>
      <c r="C66" s="2358"/>
      <c r="D66" s="1297" t="s">
        <v>3166</v>
      </c>
      <c r="E66" s="1319"/>
      <c r="F66" s="1319"/>
      <c r="G66" s="1319"/>
      <c r="H66" s="1319"/>
      <c r="I66" s="1319"/>
      <c r="J66" s="1319"/>
      <c r="K66" s="1319"/>
      <c r="L66" s="1319"/>
      <c r="M66" s="1319"/>
      <c r="N66" s="1319"/>
      <c r="O66" s="1319"/>
      <c r="P66" s="1319"/>
      <c r="Q66" s="1319"/>
      <c r="R66" s="1319"/>
      <c r="S66" s="1319"/>
      <c r="T66" s="1319"/>
      <c r="U66" s="1319"/>
      <c r="V66" s="1319"/>
      <c r="W66" s="1319"/>
      <c r="X66" s="1319"/>
      <c r="Y66" s="1319"/>
      <c r="Z66" s="1319"/>
      <c r="AA66" s="1320"/>
      <c r="AB66" s="1320"/>
      <c r="AC66" s="1321"/>
      <c r="AD66" s="1322"/>
      <c r="AE66" s="1322"/>
      <c r="AF66" s="1315"/>
      <c r="AG66" s="1315"/>
      <c r="AH66" s="1315"/>
      <c r="AI66" s="1315"/>
      <c r="AJ66" s="1315"/>
      <c r="AK66" s="1315"/>
      <c r="AL66" s="1315"/>
      <c r="AM66" s="1315"/>
      <c r="AN66" s="1315"/>
      <c r="AO66" s="1315"/>
      <c r="AP66" s="1315"/>
      <c r="AQ66" s="1315"/>
      <c r="AR66" s="1315"/>
      <c r="AS66" s="1315"/>
      <c r="AT66" s="1315"/>
      <c r="AU66" s="1315"/>
      <c r="AV66" s="1315"/>
      <c r="AW66" s="1315"/>
      <c r="AX66" s="1315"/>
      <c r="AY66" s="1315"/>
      <c r="AZ66" s="1315"/>
      <c r="BA66" s="1315"/>
      <c r="BB66" s="1315"/>
      <c r="BC66" s="1315"/>
      <c r="BD66" s="1315"/>
      <c r="BE66" s="1315"/>
      <c r="BF66" s="1315"/>
      <c r="BG66" s="1315"/>
      <c r="BH66" s="1315"/>
      <c r="BI66" s="1315"/>
      <c r="BJ66" s="1217"/>
      <c r="BK66" s="1217"/>
      <c r="BL66" s="1217"/>
      <c r="BM66" s="1217"/>
      <c r="BN66" s="1222"/>
      <c r="BO66" s="1222"/>
      <c r="BP66" s="1222"/>
      <c r="BQ66" s="1222"/>
    </row>
    <row r="67" spans="2:69" ht="12" customHeight="1">
      <c r="B67" s="1121"/>
      <c r="C67" s="2358"/>
      <c r="D67" s="1323" t="s">
        <v>3167</v>
      </c>
      <c r="E67" s="1319"/>
      <c r="F67" s="1319"/>
      <c r="G67" s="1319"/>
      <c r="H67" s="1319"/>
      <c r="I67" s="1319"/>
      <c r="J67" s="1319"/>
      <c r="K67" s="1319"/>
      <c r="L67" s="1319"/>
      <c r="M67" s="1319"/>
      <c r="N67" s="1319"/>
      <c r="O67" s="1319"/>
      <c r="P67" s="1319"/>
      <c r="Q67" s="1319"/>
      <c r="R67" s="1319"/>
      <c r="S67" s="1319"/>
      <c r="T67" s="1319"/>
      <c r="U67" s="1319"/>
      <c r="V67" s="1319"/>
      <c r="W67" s="1319"/>
      <c r="X67" s="1319"/>
      <c r="Y67" s="1319"/>
      <c r="Z67" s="1319"/>
      <c r="AA67" s="1320"/>
      <c r="AB67" s="1320"/>
      <c r="AC67" s="1321"/>
      <c r="AD67" s="1322"/>
      <c r="AE67" s="1322"/>
      <c r="AF67" s="1315"/>
      <c r="AG67" s="1315"/>
      <c r="AH67" s="1315"/>
      <c r="AI67" s="1315"/>
      <c r="AJ67" s="1315"/>
      <c r="AK67" s="1315"/>
      <c r="AL67" s="1315"/>
      <c r="AM67" s="1315"/>
      <c r="AN67" s="1315"/>
      <c r="AO67" s="1315"/>
      <c r="AP67" s="1315"/>
      <c r="AQ67" s="1315"/>
      <c r="AR67" s="1315"/>
      <c r="AS67" s="1315"/>
      <c r="AT67" s="1315"/>
      <c r="AU67" s="1315"/>
      <c r="AV67" s="1315"/>
      <c r="AW67" s="1315"/>
      <c r="AX67" s="1315"/>
      <c r="AY67" s="1315"/>
      <c r="AZ67" s="1315"/>
      <c r="BA67" s="1315"/>
      <c r="BB67" s="1315"/>
      <c r="BC67" s="1315"/>
      <c r="BD67" s="1315"/>
      <c r="BE67" s="1315"/>
      <c r="BF67" s="1315"/>
      <c r="BG67" s="1315"/>
      <c r="BH67" s="1315"/>
      <c r="BI67" s="1315"/>
      <c r="BJ67" s="1217"/>
      <c r="BK67" s="1217"/>
      <c r="BL67" s="1217"/>
      <c r="BM67" s="1217"/>
      <c r="BN67" s="1222"/>
      <c r="BO67" s="1222"/>
      <c r="BP67" s="1222"/>
      <c r="BQ67" s="1222"/>
    </row>
    <row r="68" spans="2:69" ht="12" customHeight="1">
      <c r="B68" s="1121"/>
      <c r="C68" s="2358"/>
      <c r="D68" s="1323" t="s">
        <v>3168</v>
      </c>
      <c r="E68" s="1319"/>
      <c r="F68" s="1319"/>
      <c r="G68" s="1319"/>
      <c r="H68" s="1319"/>
      <c r="I68" s="1319"/>
      <c r="J68" s="1319"/>
      <c r="K68" s="1319"/>
      <c r="L68" s="1319"/>
      <c r="M68" s="1319"/>
      <c r="N68" s="1319"/>
      <c r="O68" s="1319"/>
      <c r="P68" s="1319"/>
      <c r="Q68" s="1319"/>
      <c r="R68" s="1319"/>
      <c r="S68" s="1319"/>
      <c r="T68" s="1319"/>
      <c r="U68" s="1319"/>
      <c r="V68" s="1319"/>
      <c r="W68" s="1319"/>
      <c r="X68" s="1319"/>
      <c r="Y68" s="1319"/>
      <c r="Z68" s="1319"/>
      <c r="AA68" s="1320"/>
      <c r="AB68" s="1320"/>
      <c r="AC68" s="1321"/>
      <c r="AD68" s="1322"/>
      <c r="AE68" s="1322"/>
      <c r="AF68" s="1315"/>
      <c r="AG68" s="1315"/>
      <c r="AH68" s="1315"/>
      <c r="AI68" s="1315"/>
      <c r="AJ68" s="1315"/>
      <c r="AK68" s="1315"/>
      <c r="AL68" s="1315"/>
      <c r="AM68" s="1315"/>
      <c r="AN68" s="1315"/>
      <c r="AO68" s="1315"/>
      <c r="AP68" s="1315"/>
      <c r="AQ68" s="1315"/>
      <c r="AR68" s="1315"/>
      <c r="AS68" s="1315"/>
      <c r="AT68" s="1315"/>
      <c r="AU68" s="1315"/>
      <c r="AV68" s="1315"/>
      <c r="AW68" s="1315"/>
      <c r="AX68" s="1315"/>
      <c r="AY68" s="1315"/>
      <c r="AZ68" s="1315"/>
      <c r="BA68" s="1315"/>
      <c r="BB68" s="1315"/>
      <c r="BC68" s="1315"/>
      <c r="BD68" s="1315"/>
      <c r="BE68" s="1315"/>
      <c r="BF68" s="1315"/>
      <c r="BG68" s="1315"/>
      <c r="BH68" s="1315"/>
      <c r="BI68" s="1315"/>
      <c r="BJ68" s="1217"/>
      <c r="BK68" s="1217"/>
      <c r="BL68" s="1217"/>
      <c r="BM68" s="1217"/>
      <c r="BN68" s="1222"/>
      <c r="BO68" s="1222"/>
      <c r="BP68" s="1222"/>
      <c r="BQ68" s="1222"/>
    </row>
    <row r="69" spans="2:69">
      <c r="B69" s="1121"/>
      <c r="C69" s="2358"/>
      <c r="D69" s="1297" t="s">
        <v>3169</v>
      </c>
      <c r="E69" s="1162"/>
      <c r="F69" s="1162"/>
      <c r="G69" s="1162"/>
      <c r="H69" s="1162"/>
      <c r="I69" s="1162"/>
      <c r="J69" s="1162"/>
      <c r="K69" s="1162"/>
      <c r="L69" s="1162"/>
      <c r="M69" s="1162"/>
      <c r="N69" s="1162"/>
      <c r="O69" s="1162"/>
      <c r="P69" s="1162"/>
      <c r="Q69" s="1162"/>
      <c r="R69" s="1162"/>
      <c r="S69" s="1162"/>
      <c r="T69" s="1162"/>
      <c r="U69" s="1162"/>
      <c r="V69" s="1162"/>
      <c r="W69" s="1162"/>
      <c r="X69" s="1162"/>
      <c r="Y69" s="1162"/>
      <c r="Z69" s="1162"/>
      <c r="AA69" s="1324"/>
      <c r="AB69" s="1324"/>
      <c r="AC69" s="1325"/>
      <c r="AD69" s="1326"/>
      <c r="AE69" s="1326"/>
      <c r="AF69" s="1315"/>
      <c r="AG69" s="1315"/>
      <c r="AH69" s="1315"/>
      <c r="AI69" s="1315"/>
      <c r="AJ69" s="1315"/>
      <c r="AK69" s="1315"/>
      <c r="AL69" s="1315"/>
      <c r="AM69" s="1315"/>
      <c r="AN69" s="1315"/>
      <c r="AO69" s="1315"/>
      <c r="AP69" s="1315"/>
      <c r="AQ69" s="1315"/>
      <c r="AR69" s="1315"/>
      <c r="AS69" s="1315"/>
      <c r="AT69" s="1315"/>
      <c r="AU69" s="1315"/>
      <c r="AV69" s="1315"/>
      <c r="AW69" s="1315"/>
      <c r="AX69" s="1315"/>
      <c r="AY69" s="1315"/>
      <c r="AZ69" s="1315"/>
      <c r="BA69" s="1327"/>
      <c r="BB69" s="1315"/>
      <c r="BC69" s="1315"/>
      <c r="BD69" s="1315"/>
      <c r="BE69" s="1315"/>
      <c r="BF69" s="1315"/>
      <c r="BG69" s="1315"/>
      <c r="BH69" s="1315"/>
      <c r="BI69" s="1315"/>
      <c r="BJ69" s="1217"/>
      <c r="BK69" s="1217"/>
      <c r="BL69" s="1217"/>
      <c r="BM69" s="1217"/>
      <c r="BN69" s="1222"/>
      <c r="BO69" s="1222"/>
      <c r="BP69" s="1222"/>
      <c r="BQ69" s="1222"/>
    </row>
    <row r="70" spans="2:69">
      <c r="B70" s="1121"/>
      <c r="C70" s="2358"/>
      <c r="D70" s="1297" t="s">
        <v>3170</v>
      </c>
      <c r="E70" s="1162"/>
      <c r="F70" s="1162"/>
      <c r="G70" s="1162"/>
      <c r="H70" s="1162"/>
      <c r="I70" s="1162"/>
      <c r="J70" s="1162"/>
      <c r="K70" s="1162"/>
      <c r="L70" s="1162"/>
      <c r="M70" s="1162"/>
      <c r="N70" s="1162"/>
      <c r="O70" s="1162"/>
      <c r="P70" s="1162"/>
      <c r="Q70" s="1162"/>
      <c r="R70" s="1162"/>
      <c r="S70" s="1162"/>
      <c r="T70" s="1162"/>
      <c r="U70" s="1162"/>
      <c r="V70" s="1162"/>
      <c r="W70" s="1162"/>
      <c r="X70" s="1162"/>
      <c r="Y70" s="1162"/>
      <c r="Z70" s="1162"/>
      <c r="AA70" s="1324"/>
      <c r="AB70" s="1324"/>
      <c r="AC70" s="1325"/>
      <c r="AD70" s="1326"/>
      <c r="AE70" s="1326"/>
      <c r="AF70" s="1315"/>
      <c r="AG70" s="1315"/>
      <c r="AH70" s="1315"/>
      <c r="AI70" s="1315"/>
      <c r="AJ70" s="1315"/>
      <c r="AK70" s="1315"/>
      <c r="AL70" s="1315"/>
      <c r="AM70" s="1315"/>
      <c r="AN70" s="1315"/>
      <c r="AO70" s="1315"/>
      <c r="AP70" s="1315"/>
      <c r="AQ70" s="1315"/>
      <c r="AR70" s="1315"/>
      <c r="AS70" s="1315"/>
      <c r="AT70" s="1315"/>
      <c r="AU70" s="1315"/>
      <c r="AV70" s="1315"/>
      <c r="AW70" s="1315"/>
      <c r="AX70" s="1315"/>
      <c r="AY70" s="1315"/>
      <c r="AZ70" s="1315"/>
      <c r="BA70" s="1315"/>
      <c r="BB70" s="1315"/>
      <c r="BC70" s="1315"/>
      <c r="BD70" s="1315"/>
      <c r="BE70" s="1315"/>
      <c r="BF70" s="1315"/>
      <c r="BG70" s="1315"/>
      <c r="BH70" s="1315"/>
      <c r="BI70" s="1315"/>
      <c r="BJ70" s="1217"/>
      <c r="BK70" s="1217"/>
      <c r="BL70" s="1217"/>
      <c r="BM70" s="1217"/>
      <c r="BN70" s="1222"/>
      <c r="BO70" s="1222"/>
      <c r="BP70" s="1222"/>
      <c r="BQ70" s="1222"/>
    </row>
    <row r="71" spans="2:69">
      <c r="B71" s="1121"/>
      <c r="C71" s="2358"/>
      <c r="D71" s="1297" t="s">
        <v>3171</v>
      </c>
      <c r="E71" s="1328"/>
      <c r="F71" s="1328"/>
      <c r="G71" s="1328"/>
      <c r="H71" s="1328"/>
      <c r="I71" s="1328"/>
      <c r="J71" s="1328"/>
      <c r="K71" s="1328"/>
      <c r="L71" s="1328"/>
      <c r="M71" s="1328"/>
      <c r="N71" s="1328"/>
      <c r="O71" s="1328"/>
      <c r="P71" s="1328"/>
      <c r="Q71" s="1328"/>
      <c r="R71" s="1328"/>
      <c r="S71" s="1328"/>
      <c r="T71" s="1328"/>
      <c r="U71" s="1328"/>
      <c r="V71" s="1328"/>
      <c r="W71" s="1328"/>
      <c r="X71" s="1328"/>
      <c r="Y71" s="1328"/>
      <c r="Z71" s="1328"/>
      <c r="AA71" s="1329"/>
      <c r="AB71" s="1329"/>
      <c r="AC71" s="1330"/>
      <c r="AD71" s="1331"/>
      <c r="AE71" s="1331"/>
      <c r="AF71" s="1315"/>
      <c r="AG71" s="1315"/>
      <c r="AH71" s="1315"/>
      <c r="AI71" s="1315"/>
      <c r="AJ71" s="1315"/>
      <c r="AK71" s="1315"/>
      <c r="AL71" s="1315"/>
      <c r="AM71" s="1315"/>
      <c r="AN71" s="1315"/>
      <c r="AO71" s="1315"/>
      <c r="AP71" s="1315"/>
      <c r="AQ71" s="1315"/>
      <c r="AR71" s="1315"/>
      <c r="AS71" s="1315"/>
      <c r="AT71" s="1315"/>
      <c r="AU71" s="1315"/>
      <c r="AV71" s="1315"/>
      <c r="AW71" s="1315"/>
      <c r="AX71" s="1315"/>
      <c r="AY71" s="1315"/>
      <c r="AZ71" s="1315"/>
      <c r="BA71" s="1315"/>
      <c r="BB71" s="1315"/>
      <c r="BC71" s="1315"/>
      <c r="BD71" s="1315"/>
      <c r="BE71" s="1315"/>
      <c r="BF71" s="1315"/>
      <c r="BG71" s="1315"/>
      <c r="BH71" s="1315"/>
      <c r="BI71" s="1315"/>
      <c r="BJ71" s="1217"/>
      <c r="BK71" s="1217"/>
      <c r="BL71" s="1217"/>
      <c r="BM71" s="1217"/>
      <c r="BN71" s="1222"/>
      <c r="BO71" s="1222"/>
      <c r="BP71" s="1222"/>
      <c r="BQ71" s="1222"/>
    </row>
    <row r="72" spans="2:69">
      <c r="B72" s="1121"/>
      <c r="C72" s="2358"/>
      <c r="D72" s="1297" t="s">
        <v>3172</v>
      </c>
      <c r="E72" s="1328"/>
      <c r="F72" s="1328"/>
      <c r="G72" s="1328"/>
      <c r="H72" s="1328"/>
      <c r="I72" s="1328"/>
      <c r="J72" s="1328"/>
      <c r="K72" s="1328"/>
      <c r="L72" s="1328"/>
      <c r="M72" s="1328"/>
      <c r="N72" s="1328"/>
      <c r="O72" s="1328"/>
      <c r="P72" s="1328"/>
      <c r="Q72" s="1328"/>
      <c r="R72" s="1328"/>
      <c r="S72" s="1328"/>
      <c r="T72" s="1328"/>
      <c r="U72" s="1328"/>
      <c r="V72" s="1328"/>
      <c r="W72" s="1328"/>
      <c r="X72" s="1328"/>
      <c r="Y72" s="1328"/>
      <c r="Z72" s="1328"/>
      <c r="AA72" s="1329"/>
      <c r="AB72" s="1329"/>
      <c r="AC72" s="1330"/>
      <c r="AD72" s="1331"/>
      <c r="AE72" s="1331"/>
      <c r="AF72" s="1315"/>
      <c r="AG72" s="1315"/>
      <c r="AH72" s="1315"/>
      <c r="AI72" s="1315"/>
      <c r="AJ72" s="1315"/>
      <c r="AK72" s="1315"/>
      <c r="AL72" s="1315"/>
      <c r="AM72" s="1315"/>
      <c r="AN72" s="1315"/>
      <c r="AO72" s="1315"/>
      <c r="AP72" s="1315"/>
      <c r="AQ72" s="1315"/>
      <c r="AR72" s="1315"/>
      <c r="AS72" s="1315"/>
      <c r="AT72" s="1315"/>
      <c r="AU72" s="1315"/>
      <c r="AV72" s="1315"/>
      <c r="AW72" s="1315"/>
      <c r="AX72" s="1315"/>
      <c r="AY72" s="1315"/>
      <c r="AZ72" s="1315"/>
      <c r="BA72" s="1315"/>
      <c r="BB72" s="1315"/>
      <c r="BC72" s="1315"/>
      <c r="BD72" s="1315"/>
      <c r="BE72" s="1315"/>
      <c r="BF72" s="1315"/>
      <c r="BG72" s="1315"/>
      <c r="BH72" s="1315"/>
      <c r="BI72" s="1315"/>
      <c r="BJ72" s="1217"/>
      <c r="BK72" s="1217"/>
      <c r="BL72" s="1217"/>
      <c r="BM72" s="1217"/>
      <c r="BN72" s="1222"/>
      <c r="BO72" s="1222"/>
      <c r="BP72" s="1222"/>
      <c r="BQ72" s="1222"/>
    </row>
    <row r="73" spans="2:69">
      <c r="B73" s="1121"/>
      <c r="C73" s="2358"/>
      <c r="D73" s="1297" t="s">
        <v>3173</v>
      </c>
      <c r="E73" s="1162"/>
      <c r="F73" s="1162"/>
      <c r="G73" s="1162"/>
      <c r="H73" s="1162"/>
      <c r="I73" s="1162"/>
      <c r="J73" s="1162"/>
      <c r="K73" s="1162"/>
      <c r="L73" s="1162"/>
      <c r="M73" s="1162"/>
      <c r="N73" s="1162"/>
      <c r="O73" s="1162"/>
      <c r="P73" s="1162"/>
      <c r="Q73" s="1162"/>
      <c r="R73" s="1162"/>
      <c r="S73" s="1162"/>
      <c r="T73" s="1162"/>
      <c r="U73" s="1162"/>
      <c r="V73" s="1162"/>
      <c r="W73" s="1162"/>
      <c r="X73" s="1162"/>
      <c r="Y73" s="1162"/>
      <c r="Z73" s="1162"/>
      <c r="AA73" s="1324"/>
      <c r="AB73" s="1324"/>
      <c r="AC73" s="1325"/>
      <c r="AD73" s="1332"/>
      <c r="AE73" s="1332"/>
      <c r="AF73" s="1315"/>
      <c r="AG73" s="1315"/>
      <c r="AH73" s="1315"/>
      <c r="AI73" s="1315"/>
      <c r="AJ73" s="1315"/>
      <c r="AK73" s="1315"/>
      <c r="AL73" s="1315"/>
      <c r="AM73" s="1315"/>
      <c r="AN73" s="1315"/>
      <c r="AO73" s="1315"/>
      <c r="AP73" s="1315"/>
      <c r="AQ73" s="1315"/>
      <c r="AR73" s="1315"/>
      <c r="AS73" s="1315"/>
      <c r="AT73" s="1315"/>
      <c r="AU73" s="1315"/>
      <c r="AV73" s="1315"/>
      <c r="AW73" s="1315"/>
      <c r="AX73" s="1315"/>
      <c r="AY73" s="1315"/>
      <c r="AZ73" s="1315"/>
      <c r="BA73" s="1315"/>
      <c r="BB73" s="1315"/>
      <c r="BC73" s="1315"/>
      <c r="BD73" s="1315"/>
      <c r="BE73" s="1315"/>
      <c r="BF73" s="1315"/>
      <c r="BG73" s="1315"/>
      <c r="BH73" s="1315"/>
      <c r="BI73" s="1315"/>
      <c r="BJ73" s="1217"/>
      <c r="BK73" s="1217"/>
      <c r="BL73" s="1217"/>
      <c r="BM73" s="1217"/>
      <c r="BN73" s="1222"/>
      <c r="BO73" s="1222"/>
      <c r="BP73" s="1222"/>
      <c r="BQ73" s="1222"/>
    </row>
    <row r="74" spans="2:69">
      <c r="B74" s="1121"/>
      <c r="C74" s="2358"/>
      <c r="D74" s="1297" t="s">
        <v>3174</v>
      </c>
      <c r="E74" s="1162"/>
      <c r="F74" s="1162"/>
      <c r="G74" s="1162"/>
      <c r="H74" s="1162"/>
      <c r="I74" s="1162"/>
      <c r="J74" s="1162"/>
      <c r="K74" s="1162"/>
      <c r="L74" s="1162"/>
      <c r="M74" s="1162"/>
      <c r="N74" s="1162"/>
      <c r="O74" s="1162"/>
      <c r="P74" s="1162"/>
      <c r="Q74" s="1162"/>
      <c r="R74" s="1162"/>
      <c r="S74" s="1162"/>
      <c r="T74" s="1162"/>
      <c r="U74" s="1162"/>
      <c r="V74" s="1162"/>
      <c r="W74" s="1162"/>
      <c r="X74" s="1162"/>
      <c r="Y74" s="1162"/>
      <c r="Z74" s="1162"/>
      <c r="AA74" s="1324"/>
      <c r="AB74" s="1324"/>
      <c r="AC74" s="1325"/>
      <c r="AD74" s="1332"/>
      <c r="AE74" s="1332"/>
      <c r="AF74" s="1315"/>
      <c r="AG74" s="1315"/>
      <c r="AH74" s="1315"/>
      <c r="AI74" s="1315"/>
      <c r="AJ74" s="1315"/>
      <c r="AK74" s="1315"/>
      <c r="AL74" s="1315"/>
      <c r="AM74" s="1315"/>
      <c r="AN74" s="1315"/>
      <c r="AO74" s="1315"/>
      <c r="AP74" s="1315"/>
      <c r="AQ74" s="1315"/>
      <c r="AR74" s="1315"/>
      <c r="AS74" s="1315"/>
      <c r="AT74" s="1315"/>
      <c r="AU74" s="1315"/>
      <c r="AV74" s="1315"/>
      <c r="AW74" s="1315"/>
      <c r="AX74" s="1315"/>
      <c r="AY74" s="1315"/>
      <c r="AZ74" s="1315"/>
      <c r="BA74" s="1315"/>
      <c r="BB74" s="1315"/>
      <c r="BC74" s="1315"/>
      <c r="BD74" s="1315"/>
      <c r="BE74" s="1315"/>
      <c r="BF74" s="1315"/>
      <c r="BG74" s="1315"/>
      <c r="BH74" s="1315"/>
      <c r="BI74" s="1315"/>
      <c r="BJ74" s="1217"/>
      <c r="BK74" s="1217"/>
      <c r="BL74" s="1217"/>
      <c r="BM74" s="1217"/>
      <c r="BN74" s="1222"/>
      <c r="BO74" s="1222"/>
      <c r="BP74" s="1222"/>
      <c r="BQ74" s="1222"/>
    </row>
    <row r="75" spans="2:69">
      <c r="B75" s="1121"/>
      <c r="C75" s="2358"/>
      <c r="D75" s="1297" t="s">
        <v>3175</v>
      </c>
      <c r="E75" s="1328"/>
      <c r="F75" s="1328"/>
      <c r="G75" s="1328"/>
      <c r="H75" s="1328"/>
      <c r="I75" s="1328"/>
      <c r="J75" s="1328"/>
      <c r="K75" s="1328"/>
      <c r="L75" s="1328"/>
      <c r="M75" s="1328"/>
      <c r="N75" s="1328"/>
      <c r="O75" s="1328"/>
      <c r="P75" s="1328"/>
      <c r="Q75" s="1328"/>
      <c r="R75" s="1328"/>
      <c r="S75" s="1328"/>
      <c r="T75" s="1328"/>
      <c r="U75" s="1328"/>
      <c r="V75" s="1328"/>
      <c r="W75" s="1328"/>
      <c r="X75" s="1328"/>
      <c r="Y75" s="1328"/>
      <c r="Z75" s="1328"/>
      <c r="AA75" s="1329"/>
      <c r="AB75" s="1329"/>
      <c r="AC75" s="1330"/>
      <c r="AD75" s="1331"/>
      <c r="AE75" s="1331"/>
      <c r="AF75" s="1333"/>
      <c r="AG75" s="1315"/>
      <c r="AH75" s="1315"/>
      <c r="AI75" s="1315"/>
      <c r="AJ75" s="1315"/>
      <c r="AK75" s="1315"/>
      <c r="AL75" s="1315"/>
      <c r="AM75" s="1315"/>
      <c r="AN75" s="1315"/>
      <c r="AO75" s="1315"/>
      <c r="AP75" s="1315"/>
      <c r="AQ75" s="1315"/>
      <c r="AR75" s="1315"/>
      <c r="AS75" s="1315"/>
      <c r="AT75" s="1315"/>
      <c r="AU75" s="1315"/>
      <c r="AV75" s="1315"/>
      <c r="AW75" s="1315"/>
      <c r="AX75" s="1315"/>
      <c r="AY75" s="1315"/>
      <c r="AZ75" s="1315"/>
      <c r="BA75" s="1315"/>
      <c r="BB75" s="1315"/>
      <c r="BC75" s="1315"/>
      <c r="BD75" s="1315"/>
      <c r="BE75" s="1315"/>
      <c r="BF75" s="1315"/>
      <c r="BG75" s="1315"/>
      <c r="BH75" s="1315"/>
      <c r="BI75" s="1315"/>
      <c r="BJ75" s="1217"/>
      <c r="BK75" s="1217"/>
      <c r="BL75" s="1217"/>
      <c r="BM75" s="1217"/>
      <c r="BN75" s="1222"/>
      <c r="BO75" s="1222"/>
      <c r="BP75" s="1222"/>
      <c r="BQ75" s="1222"/>
    </row>
    <row r="76" spans="2:69" ht="16" thickBot="1">
      <c r="B76" s="1121"/>
      <c r="C76" s="2359"/>
      <c r="D76" s="1302" t="s">
        <v>3176</v>
      </c>
      <c r="E76" s="1334"/>
      <c r="F76" s="1334"/>
      <c r="G76" s="1334"/>
      <c r="H76" s="1334"/>
      <c r="I76" s="1334"/>
      <c r="J76" s="1334"/>
      <c r="K76" s="1334"/>
      <c r="L76" s="1334"/>
      <c r="M76" s="1334"/>
      <c r="N76" s="1334"/>
      <c r="O76" s="1334"/>
      <c r="P76" s="1334"/>
      <c r="Q76" s="1334"/>
      <c r="R76" s="1334"/>
      <c r="S76" s="1334"/>
      <c r="T76" s="1334"/>
      <c r="U76" s="1334"/>
      <c r="V76" s="1334"/>
      <c r="W76" s="1334"/>
      <c r="X76" s="1334"/>
      <c r="Y76" s="1334"/>
      <c r="Z76" s="1334"/>
      <c r="AA76" s="1335"/>
      <c r="AB76" s="1335"/>
      <c r="AC76" s="1336"/>
      <c r="AD76" s="1312"/>
      <c r="AE76" s="1312"/>
      <c r="AF76" s="1315"/>
      <c r="AG76" s="1315"/>
      <c r="AH76" s="1315"/>
      <c r="AI76" s="1315"/>
      <c r="AJ76" s="1315"/>
      <c r="AK76" s="1315"/>
      <c r="AL76" s="1315"/>
      <c r="AM76" s="1315"/>
      <c r="AN76" s="1315"/>
      <c r="AO76" s="1315"/>
      <c r="AP76" s="1315"/>
      <c r="AQ76" s="1315"/>
      <c r="AR76" s="1315"/>
      <c r="AS76" s="1315"/>
      <c r="AT76" s="1315"/>
      <c r="AU76" s="1315"/>
      <c r="AV76" s="1315"/>
      <c r="AW76" s="1315"/>
      <c r="AX76" s="1315"/>
      <c r="AY76" s="1315"/>
      <c r="AZ76" s="1315"/>
      <c r="BA76" s="1315"/>
      <c r="BB76" s="1315"/>
      <c r="BC76" s="1315"/>
      <c r="BD76" s="1315"/>
      <c r="BE76" s="1315"/>
      <c r="BF76" s="1315"/>
      <c r="BG76" s="1315"/>
      <c r="BH76" s="1315"/>
      <c r="BI76" s="1315"/>
      <c r="BJ76" s="1217"/>
      <c r="BK76" s="1217"/>
      <c r="BL76" s="1217"/>
      <c r="BM76" s="1217"/>
      <c r="BN76" s="1222"/>
      <c r="BO76" s="1222"/>
      <c r="BP76" s="1222"/>
      <c r="BQ76" s="1222"/>
    </row>
    <row r="77" spans="2:69" ht="16" thickBot="1">
      <c r="B77" s="1121"/>
      <c r="C77" s="1337"/>
      <c r="D77" s="1338"/>
      <c r="E77" s="1339"/>
      <c r="F77" s="1339"/>
      <c r="G77" s="1339"/>
      <c r="H77" s="1339"/>
      <c r="I77" s="1339"/>
      <c r="J77" s="1339"/>
      <c r="K77" s="1339"/>
      <c r="L77" s="1339"/>
      <c r="M77" s="1339"/>
      <c r="N77" s="1339"/>
      <c r="O77" s="1339"/>
      <c r="P77" s="1339"/>
      <c r="Q77" s="1339"/>
      <c r="R77" s="1339"/>
      <c r="S77" s="1339"/>
      <c r="T77" s="1339"/>
      <c r="U77" s="1339"/>
      <c r="V77" s="1339"/>
      <c r="W77" s="1339"/>
      <c r="X77" s="1339"/>
      <c r="Y77" s="1339"/>
      <c r="Z77" s="1340"/>
      <c r="AA77" s="1340"/>
      <c r="AB77" s="1340"/>
      <c r="AC77" s="1340"/>
      <c r="AD77" s="1331"/>
      <c r="AE77" s="1331"/>
      <c r="AF77" s="1315"/>
      <c r="AG77" s="1315"/>
      <c r="AH77" s="1315"/>
      <c r="AI77" s="1315"/>
      <c r="AJ77" s="1315"/>
      <c r="AK77" s="1315"/>
      <c r="AL77" s="1315"/>
      <c r="AM77" s="1315"/>
      <c r="AN77" s="1315"/>
      <c r="AO77" s="1315"/>
      <c r="AP77" s="1315"/>
      <c r="AQ77" s="1315"/>
      <c r="AR77" s="1315"/>
      <c r="AS77" s="1315"/>
      <c r="AT77" s="1315"/>
      <c r="AU77" s="1315"/>
      <c r="AV77" s="1315"/>
      <c r="AW77" s="1315"/>
      <c r="AX77" s="1315"/>
      <c r="AY77" s="1315"/>
      <c r="AZ77" s="1315"/>
      <c r="BA77" s="1315"/>
      <c r="BB77" s="1315"/>
      <c r="BC77" s="1315"/>
      <c r="BD77" s="1315"/>
      <c r="BE77" s="1315"/>
      <c r="BF77" s="1315"/>
      <c r="BG77" s="1315"/>
      <c r="BH77" s="1315"/>
      <c r="BI77" s="1315"/>
      <c r="BJ77" s="1217"/>
      <c r="BK77" s="1217"/>
      <c r="BL77" s="1217"/>
      <c r="BM77" s="1217"/>
      <c r="BN77" s="1222"/>
      <c r="BO77" s="1222"/>
      <c r="BP77" s="1222"/>
      <c r="BQ77" s="1222"/>
    </row>
    <row r="78" spans="2:69">
      <c r="B78" s="1121"/>
      <c r="C78" s="2347" t="s">
        <v>3177</v>
      </c>
      <c r="D78" s="1341" t="s">
        <v>3178</v>
      </c>
      <c r="E78" s="1342"/>
      <c r="F78" s="1342"/>
      <c r="G78" s="1342"/>
      <c r="H78" s="1342"/>
      <c r="I78" s="1342"/>
      <c r="J78" s="1342"/>
      <c r="K78" s="1342"/>
      <c r="L78" s="1342"/>
      <c r="M78" s="1342"/>
      <c r="N78" s="1342"/>
      <c r="O78" s="1342"/>
      <c r="P78" s="1342"/>
      <c r="Q78" s="1342"/>
      <c r="R78" s="1342"/>
      <c r="S78" s="1342"/>
      <c r="T78" s="1342"/>
      <c r="U78" s="1342"/>
      <c r="V78" s="1342"/>
      <c r="W78" s="1342"/>
      <c r="X78" s="1342"/>
      <c r="Y78" s="1342"/>
      <c r="Z78" s="1342"/>
      <c r="AA78" s="1343"/>
      <c r="AB78" s="1343"/>
      <c r="AC78" s="1344"/>
      <c r="AD78" s="1345"/>
      <c r="AE78" s="1345"/>
      <c r="AF78" s="1315"/>
      <c r="AG78" s="1315"/>
      <c r="AH78" s="1315"/>
      <c r="AI78" s="1315"/>
      <c r="AJ78" s="1315"/>
      <c r="AK78" s="1315"/>
      <c r="AL78" s="1315"/>
      <c r="AM78" s="1315"/>
      <c r="AN78" s="1315"/>
      <c r="AO78" s="1315"/>
      <c r="AP78" s="1315"/>
      <c r="AQ78" s="1315"/>
      <c r="AR78" s="1315"/>
      <c r="AS78" s="1315"/>
      <c r="AT78" s="1315"/>
      <c r="AU78" s="1315"/>
      <c r="AV78" s="1315"/>
      <c r="AW78" s="1315"/>
      <c r="AX78" s="1315"/>
      <c r="AY78" s="1315"/>
      <c r="AZ78" s="1315"/>
      <c r="BA78" s="1315"/>
      <c r="BB78" s="1315"/>
      <c r="BC78" s="1315"/>
      <c r="BD78" s="1315"/>
      <c r="BE78" s="1315"/>
      <c r="BF78" s="1315"/>
      <c r="BG78" s="1315"/>
      <c r="BH78" s="1315"/>
      <c r="BI78" s="1315"/>
      <c r="BJ78" s="1217"/>
      <c r="BK78" s="1217"/>
      <c r="BL78" s="1217"/>
      <c r="BM78" s="1217"/>
      <c r="BN78" s="1222"/>
      <c r="BO78" s="1222"/>
      <c r="BP78" s="1222"/>
      <c r="BQ78" s="1222"/>
    </row>
    <row r="79" spans="2:69" ht="15.75" customHeight="1">
      <c r="B79" s="1121"/>
      <c r="C79" s="2348"/>
      <c r="D79" s="1346" t="s">
        <v>3179</v>
      </c>
      <c r="E79" s="1347"/>
      <c r="F79" s="1347"/>
      <c r="G79" s="1347"/>
      <c r="H79" s="1347"/>
      <c r="I79" s="1347"/>
      <c r="J79" s="1347"/>
      <c r="K79" s="1347"/>
      <c r="L79" s="1347"/>
      <c r="M79" s="1347"/>
      <c r="N79" s="1347"/>
      <c r="O79" s="1347"/>
      <c r="P79" s="1347"/>
      <c r="Q79" s="1347"/>
      <c r="R79" s="1347"/>
      <c r="S79" s="1347"/>
      <c r="T79" s="1347"/>
      <c r="U79" s="1347"/>
      <c r="V79" s="1347"/>
      <c r="W79" s="1347"/>
      <c r="X79" s="1347"/>
      <c r="Y79" s="1347"/>
      <c r="Z79" s="1347"/>
      <c r="AA79" s="1348"/>
      <c r="AB79" s="1348"/>
      <c r="AC79" s="1349"/>
      <c r="AD79" s="1345"/>
      <c r="AE79" s="1345"/>
      <c r="AF79" s="1315"/>
      <c r="AG79" s="1315"/>
      <c r="AH79" s="1315"/>
      <c r="AI79" s="1315"/>
      <c r="AJ79" s="1315"/>
      <c r="AK79" s="1315"/>
      <c r="AL79" s="1315"/>
      <c r="AM79" s="1315"/>
      <c r="AN79" s="1315"/>
      <c r="AO79" s="1315"/>
      <c r="AP79" s="1315"/>
      <c r="AQ79" s="1315"/>
      <c r="AR79" s="1315"/>
      <c r="AS79" s="1315"/>
      <c r="AT79" s="1315"/>
      <c r="AU79" s="1315"/>
      <c r="AV79" s="1315"/>
      <c r="AW79" s="1315"/>
      <c r="AX79" s="1315"/>
      <c r="AY79" s="1315"/>
      <c r="AZ79" s="1315"/>
      <c r="BA79" s="1315"/>
      <c r="BB79" s="1315"/>
      <c r="BC79" s="1315"/>
      <c r="BD79" s="1315"/>
      <c r="BE79" s="1315"/>
      <c r="BF79" s="1315"/>
      <c r="BG79" s="1315"/>
      <c r="BH79" s="1315"/>
      <c r="BI79" s="1315"/>
      <c r="BJ79" s="1217"/>
      <c r="BK79" s="1217"/>
      <c r="BL79" s="1217"/>
      <c r="BM79" s="1217"/>
      <c r="BN79" s="1222"/>
      <c r="BO79" s="1222"/>
      <c r="BP79" s="1222"/>
      <c r="BQ79" s="1222"/>
    </row>
    <row r="80" spans="2:69" ht="15.75" customHeight="1">
      <c r="B80" s="1121"/>
      <c r="C80" s="2348"/>
      <c r="D80" s="1346" t="s">
        <v>3180</v>
      </c>
      <c r="E80" s="1350"/>
      <c r="F80" s="1350"/>
      <c r="G80" s="1350"/>
      <c r="H80" s="1350"/>
      <c r="I80" s="1350"/>
      <c r="J80" s="1350"/>
      <c r="K80" s="1350"/>
      <c r="L80" s="1350"/>
      <c r="M80" s="1350"/>
      <c r="N80" s="1350"/>
      <c r="O80" s="1350"/>
      <c r="P80" s="1350"/>
      <c r="Q80" s="1350"/>
      <c r="R80" s="1350"/>
      <c r="S80" s="1350"/>
      <c r="T80" s="1350"/>
      <c r="U80" s="1350"/>
      <c r="V80" s="1350"/>
      <c r="W80" s="1350"/>
      <c r="X80" s="1350"/>
      <c r="Y80" s="1350"/>
      <c r="Z80" s="1350"/>
      <c r="AA80" s="1351"/>
      <c r="AB80" s="1351"/>
      <c r="AC80" s="1352"/>
      <c r="AD80" s="1332"/>
      <c r="AE80" s="1332"/>
      <c r="AF80" s="1315"/>
      <c r="AG80" s="1315"/>
      <c r="AH80" s="1315"/>
      <c r="AI80" s="1315"/>
      <c r="AJ80" s="1315"/>
      <c r="AK80" s="1315"/>
      <c r="AL80" s="1315"/>
      <c r="AM80" s="1315"/>
      <c r="AN80" s="1315"/>
      <c r="AO80" s="1315"/>
      <c r="AP80" s="1315"/>
      <c r="AQ80" s="1315"/>
      <c r="AR80" s="1315"/>
      <c r="AS80" s="1315"/>
      <c r="AT80" s="1315"/>
      <c r="AU80" s="1315"/>
      <c r="AV80" s="1315"/>
      <c r="AW80" s="1315"/>
      <c r="AX80" s="1315"/>
      <c r="AY80" s="1315"/>
      <c r="AZ80" s="1315"/>
      <c r="BA80" s="1315"/>
      <c r="BB80" s="1315"/>
      <c r="BC80" s="1315"/>
      <c r="BD80" s="1315"/>
      <c r="BE80" s="1315"/>
      <c r="BF80" s="1315"/>
      <c r="BG80" s="1315"/>
      <c r="BH80" s="1315"/>
      <c r="BI80" s="1315"/>
      <c r="BJ80" s="1217"/>
      <c r="BK80" s="1217"/>
      <c r="BL80" s="1217"/>
      <c r="BM80" s="1217"/>
      <c r="BN80" s="1222"/>
      <c r="BO80" s="1222"/>
      <c r="BP80" s="1222"/>
      <c r="BQ80" s="1222"/>
    </row>
    <row r="81" spans="3:65" ht="16.25" customHeight="1">
      <c r="C81" s="2348"/>
      <c r="D81" s="1346" t="s">
        <v>3181</v>
      </c>
      <c r="E81" s="1353"/>
      <c r="F81" s="1353"/>
      <c r="G81" s="1353"/>
      <c r="H81" s="1353"/>
      <c r="I81" s="1353"/>
      <c r="J81" s="1353"/>
      <c r="K81" s="1353"/>
      <c r="L81" s="1353"/>
      <c r="M81" s="1353"/>
      <c r="N81" s="1353"/>
      <c r="O81" s="1353"/>
      <c r="P81" s="1353"/>
      <c r="Q81" s="1353"/>
      <c r="R81" s="1353"/>
      <c r="S81" s="1353"/>
      <c r="T81" s="1353"/>
      <c r="U81" s="1353"/>
      <c r="V81" s="1353"/>
      <c r="W81" s="1353"/>
      <c r="X81" s="1353"/>
      <c r="Y81" s="1353"/>
      <c r="Z81" s="1162"/>
      <c r="AA81" s="1324"/>
      <c r="AB81" s="1324"/>
      <c r="AC81" s="1325"/>
      <c r="AD81" s="1354"/>
      <c r="AE81" s="1354"/>
      <c r="AF81" s="1315"/>
      <c r="AG81" s="1315"/>
      <c r="AH81" s="1315"/>
      <c r="AI81" s="1315"/>
      <c r="AJ81" s="1315"/>
      <c r="AK81" s="1315"/>
      <c r="AL81" s="1315"/>
      <c r="AM81" s="1315"/>
      <c r="AN81" s="1315"/>
      <c r="AO81" s="1315"/>
      <c r="AP81" s="1315"/>
      <c r="AQ81" s="1315"/>
      <c r="AR81" s="1315"/>
      <c r="AS81" s="1315"/>
      <c r="AT81" s="1315"/>
      <c r="AU81" s="1315"/>
      <c r="AV81" s="1315"/>
      <c r="AW81" s="1315"/>
      <c r="AX81" s="1315"/>
      <c r="AY81" s="1315"/>
      <c r="AZ81" s="1315"/>
      <c r="BA81" s="1315"/>
      <c r="BB81" s="1315"/>
      <c r="BC81" s="1315"/>
      <c r="BD81" s="1315"/>
      <c r="BE81" s="1315"/>
      <c r="BF81" s="1315"/>
      <c r="BG81" s="1315"/>
      <c r="BH81" s="1315"/>
      <c r="BI81" s="1315"/>
      <c r="BJ81" s="1217"/>
      <c r="BK81" s="1217"/>
      <c r="BL81" s="1217"/>
      <c r="BM81" s="1217"/>
    </row>
    <row r="82" spans="3:65" ht="15.75" customHeight="1">
      <c r="C82" s="2348"/>
      <c r="D82" s="1346" t="s">
        <v>3182</v>
      </c>
      <c r="E82" s="1328"/>
      <c r="F82" s="1328"/>
      <c r="G82" s="1328"/>
      <c r="H82" s="1328"/>
      <c r="I82" s="1328"/>
      <c r="J82" s="1328"/>
      <c r="K82" s="1355"/>
      <c r="L82" s="1355"/>
      <c r="M82" s="1355"/>
      <c r="N82" s="1355"/>
      <c r="O82" s="1355"/>
      <c r="P82" s="1355"/>
      <c r="Q82" s="1355"/>
      <c r="R82" s="1355"/>
      <c r="S82" s="1355"/>
      <c r="T82" s="1355"/>
      <c r="U82" s="1355"/>
      <c r="V82" s="1355"/>
      <c r="W82" s="1355"/>
      <c r="X82" s="1355"/>
      <c r="Y82" s="1355"/>
      <c r="Z82" s="1328"/>
      <c r="AA82" s="1329"/>
      <c r="AB82" s="1329"/>
      <c r="AC82" s="1330"/>
      <c r="AD82" s="1331"/>
      <c r="AE82" s="1331"/>
      <c r="AF82" s="1315"/>
      <c r="AG82" s="1315"/>
      <c r="AH82" s="1315"/>
      <c r="AI82" s="1315"/>
      <c r="AJ82" s="1315"/>
      <c r="AK82" s="1315"/>
      <c r="AL82" s="1315"/>
      <c r="AM82" s="1315"/>
      <c r="AN82" s="1315"/>
      <c r="AO82" s="1315"/>
      <c r="AP82" s="1315"/>
      <c r="AQ82" s="1315"/>
      <c r="AR82" s="1315"/>
      <c r="AS82" s="1315"/>
      <c r="AT82" s="1315"/>
      <c r="AU82" s="1315"/>
      <c r="AV82" s="1315"/>
      <c r="AW82" s="1315"/>
      <c r="AX82" s="1315"/>
      <c r="AY82" s="1315"/>
      <c r="AZ82" s="1315"/>
      <c r="BA82" s="1315"/>
      <c r="BB82" s="1315"/>
      <c r="BC82" s="1315"/>
      <c r="BD82" s="1315"/>
      <c r="BE82" s="1315"/>
      <c r="BF82" s="1315"/>
      <c r="BG82" s="1315"/>
      <c r="BH82" s="1315"/>
      <c r="BI82" s="1315"/>
      <c r="BJ82" s="1217"/>
      <c r="BK82" s="1217"/>
      <c r="BL82" s="1217"/>
      <c r="BM82" s="1217"/>
    </row>
    <row r="83" spans="3:65" ht="16.25" customHeight="1">
      <c r="C83" s="2348"/>
      <c r="D83" s="1346" t="s">
        <v>3183</v>
      </c>
      <c r="E83" s="1328"/>
      <c r="F83" s="1328"/>
      <c r="G83" s="1328"/>
      <c r="H83" s="1328"/>
      <c r="I83" s="1328"/>
      <c r="J83" s="1328"/>
      <c r="K83" s="1328"/>
      <c r="L83" s="1328"/>
      <c r="M83" s="1328"/>
      <c r="N83" s="1328"/>
      <c r="O83" s="1328"/>
      <c r="P83" s="1328"/>
      <c r="Q83" s="1328"/>
      <c r="R83" s="1328"/>
      <c r="S83" s="1328"/>
      <c r="T83" s="1328"/>
      <c r="U83" s="1328"/>
      <c r="V83" s="1328"/>
      <c r="W83" s="1328"/>
      <c r="X83" s="1328"/>
      <c r="Y83" s="1328"/>
      <c r="Z83" s="1162"/>
      <c r="AA83" s="1324"/>
      <c r="AB83" s="1324"/>
      <c r="AC83" s="1325"/>
      <c r="AD83" s="1354"/>
      <c r="AE83" s="1354"/>
      <c r="AF83" s="1315"/>
      <c r="AG83" s="1315"/>
      <c r="AH83" s="1315"/>
      <c r="AI83" s="1315"/>
      <c r="AJ83" s="1315"/>
      <c r="AK83" s="1315"/>
      <c r="AL83" s="1315"/>
      <c r="AM83" s="1315"/>
      <c r="AN83" s="1315"/>
      <c r="AO83" s="1315"/>
      <c r="AP83" s="1315"/>
      <c r="AQ83" s="1315"/>
      <c r="AR83" s="1315"/>
      <c r="AS83" s="1315"/>
      <c r="AT83" s="1315"/>
      <c r="AU83" s="1315"/>
      <c r="AV83" s="1315"/>
      <c r="AW83" s="1315"/>
      <c r="AX83" s="1315"/>
      <c r="AY83" s="1315"/>
      <c r="AZ83" s="1315"/>
      <c r="BA83" s="1315"/>
      <c r="BB83" s="1315"/>
      <c r="BC83" s="1315"/>
      <c r="BD83" s="1315"/>
      <c r="BE83" s="1315"/>
      <c r="BF83" s="1315"/>
      <c r="BG83" s="1315"/>
      <c r="BH83" s="1315"/>
      <c r="BI83" s="1315"/>
      <c r="BJ83" s="1217"/>
      <c r="BK83" s="1217"/>
      <c r="BL83" s="1217"/>
      <c r="BM83" s="1217"/>
    </row>
    <row r="84" spans="3:65" ht="16.25" customHeight="1" thickBot="1">
      <c r="C84" s="2349"/>
      <c r="D84" s="1356" t="s">
        <v>3184</v>
      </c>
      <c r="E84" s="1357"/>
      <c r="F84" s="1357"/>
      <c r="G84" s="1357"/>
      <c r="H84" s="1357"/>
      <c r="I84" s="1357"/>
      <c r="J84" s="1357"/>
      <c r="K84" s="1357"/>
      <c r="L84" s="1357"/>
      <c r="M84" s="1357"/>
      <c r="N84" s="1357"/>
      <c r="O84" s="1357"/>
      <c r="P84" s="1357"/>
      <c r="Q84" s="1357"/>
      <c r="R84" s="1357"/>
      <c r="S84" s="1357"/>
      <c r="T84" s="1357"/>
      <c r="U84" s="1357"/>
      <c r="V84" s="1357"/>
      <c r="W84" s="1357"/>
      <c r="X84" s="1357"/>
      <c r="Y84" s="1357"/>
      <c r="Z84" s="1357"/>
      <c r="AA84" s="1357"/>
      <c r="AB84" s="1357"/>
      <c r="AC84" s="1358"/>
      <c r="AD84" s="1354"/>
      <c r="AE84" s="1354"/>
      <c r="AF84" s="1315"/>
      <c r="AG84" s="1315"/>
      <c r="AH84" s="1315"/>
      <c r="AI84" s="1315"/>
      <c r="AJ84" s="1315"/>
      <c r="AK84" s="1315"/>
      <c r="AL84" s="1315"/>
      <c r="AM84" s="1315"/>
      <c r="AN84" s="1315"/>
      <c r="AO84" s="1315"/>
      <c r="AP84" s="1315"/>
      <c r="AQ84" s="1315"/>
      <c r="AR84" s="1315"/>
      <c r="AS84" s="1315"/>
      <c r="AT84" s="1315"/>
      <c r="AU84" s="1315"/>
      <c r="AV84" s="1315"/>
      <c r="AW84" s="1315"/>
      <c r="AX84" s="1315"/>
      <c r="AY84" s="1315"/>
      <c r="AZ84" s="1315"/>
      <c r="BA84" s="1315"/>
      <c r="BB84" s="1315"/>
      <c r="BC84" s="1315"/>
      <c r="BD84" s="1315"/>
      <c r="BE84" s="1315"/>
      <c r="BF84" s="1315"/>
      <c r="BG84" s="1315"/>
      <c r="BH84" s="1315"/>
      <c r="BI84" s="1315"/>
      <c r="BJ84" s="1217"/>
      <c r="BK84" s="1217"/>
      <c r="BL84" s="1217"/>
      <c r="BM84" s="1217"/>
    </row>
    <row r="85" spans="3:65">
      <c r="C85" s="1359"/>
      <c r="D85" s="1360"/>
      <c r="E85" s="1312"/>
      <c r="F85" s="1312"/>
      <c r="G85" s="1312"/>
      <c r="H85" s="1312"/>
      <c r="I85" s="1312"/>
      <c r="J85" s="1312"/>
      <c r="K85" s="1312"/>
      <c r="L85" s="1312"/>
      <c r="M85" s="1312"/>
      <c r="N85" s="1312"/>
      <c r="O85" s="1312"/>
      <c r="P85" s="1312"/>
      <c r="Q85" s="1312"/>
      <c r="R85" s="1312"/>
      <c r="S85" s="1312"/>
      <c r="T85" s="1312"/>
      <c r="U85" s="1312"/>
      <c r="V85" s="1312"/>
      <c r="W85" s="1312"/>
      <c r="X85" s="1312"/>
      <c r="Y85" s="1312"/>
      <c r="Z85" s="1361"/>
      <c r="AA85" s="1361"/>
      <c r="AB85" s="1361"/>
      <c r="AC85" s="1361"/>
      <c r="AD85" s="1361"/>
      <c r="AE85" s="1361"/>
      <c r="AF85" s="1315"/>
      <c r="AG85" s="1315"/>
      <c r="AH85" s="1315"/>
      <c r="AI85" s="1315"/>
      <c r="AJ85" s="1315"/>
      <c r="AK85" s="1315"/>
      <c r="AL85" s="1315"/>
      <c r="AM85" s="1315"/>
      <c r="AN85" s="1315"/>
      <c r="AO85" s="1315"/>
      <c r="AP85" s="1315"/>
      <c r="AQ85" s="1315"/>
      <c r="AR85" s="1315"/>
      <c r="AS85" s="1315"/>
      <c r="AT85" s="1315"/>
      <c r="AU85" s="1315"/>
      <c r="AV85" s="1315"/>
      <c r="AW85" s="1315"/>
      <c r="AX85" s="1315"/>
      <c r="AY85" s="1315"/>
      <c r="AZ85" s="1315"/>
      <c r="BA85" s="1315"/>
      <c r="BB85" s="1315"/>
      <c r="BC85" s="1315"/>
      <c r="BD85" s="1315"/>
      <c r="BE85" s="1315"/>
      <c r="BF85" s="1315"/>
      <c r="BG85" s="1315"/>
      <c r="BH85" s="1315"/>
      <c r="BI85" s="1315"/>
      <c r="BJ85" s="1217"/>
      <c r="BK85" s="1217"/>
      <c r="BL85" s="1217"/>
      <c r="BM85" s="1217"/>
    </row>
    <row r="86" spans="3:65">
      <c r="C86" s="1359"/>
      <c r="D86" s="1360"/>
      <c r="E86" s="1312"/>
      <c r="F86" s="1312"/>
      <c r="G86" s="1312"/>
      <c r="H86" s="1312"/>
      <c r="I86" s="1312"/>
      <c r="J86" s="1312"/>
      <c r="K86" s="1312"/>
      <c r="L86" s="1312"/>
      <c r="M86" s="1312"/>
      <c r="N86" s="1312"/>
      <c r="O86" s="1312"/>
      <c r="P86" s="1312"/>
      <c r="Q86" s="1312"/>
      <c r="R86" s="1312"/>
      <c r="S86" s="1312"/>
      <c r="T86" s="1312"/>
      <c r="U86" s="1312"/>
      <c r="V86" s="1312"/>
      <c r="W86" s="1312"/>
      <c r="X86" s="1312"/>
      <c r="Y86" s="1312"/>
      <c r="Z86" s="1361"/>
      <c r="AA86" s="1361"/>
      <c r="AB86" s="1361"/>
      <c r="AC86" s="1361"/>
      <c r="AD86" s="1361"/>
      <c r="AE86" s="1361"/>
      <c r="AF86" s="1315"/>
      <c r="AG86" s="1315"/>
      <c r="AH86" s="1315"/>
      <c r="AI86" s="1315"/>
      <c r="AJ86" s="1315"/>
      <c r="AK86" s="1315"/>
      <c r="AL86" s="1315"/>
      <c r="AM86" s="1315"/>
      <c r="AN86" s="1315"/>
      <c r="AO86" s="1315"/>
      <c r="AP86" s="1315"/>
      <c r="AQ86" s="1315"/>
      <c r="AR86" s="1315"/>
      <c r="AS86" s="1315"/>
      <c r="AT86" s="1315"/>
      <c r="AU86" s="1315"/>
      <c r="AV86" s="1315"/>
      <c r="AW86" s="1315"/>
      <c r="AX86" s="1315"/>
      <c r="AY86" s="1315"/>
      <c r="AZ86" s="1315"/>
      <c r="BA86" s="1315"/>
      <c r="BB86" s="1315"/>
      <c r="BC86" s="1315"/>
      <c r="BD86" s="1315"/>
      <c r="BE86" s="1315"/>
      <c r="BF86" s="1315"/>
      <c r="BG86" s="1315"/>
      <c r="BH86" s="1315"/>
      <c r="BI86" s="1315"/>
      <c r="BJ86" s="1224"/>
      <c r="BK86" s="1224"/>
      <c r="BL86" s="1224"/>
      <c r="BM86" s="1224"/>
    </row>
    <row r="87" spans="3:65" hidden="1">
      <c r="C87" s="2350" t="s">
        <v>358</v>
      </c>
      <c r="D87" s="1362" t="s">
        <v>3185</v>
      </c>
      <c r="E87" s="1363">
        <v>5.7000000000000002E-2</v>
      </c>
      <c r="F87" s="1363"/>
      <c r="G87" s="1363"/>
      <c r="H87" s="1363"/>
      <c r="I87" s="1363"/>
      <c r="J87" s="1363"/>
      <c r="K87" s="2352" t="s">
        <v>3186</v>
      </c>
      <c r="L87" s="2352"/>
      <c r="M87" s="2352"/>
      <c r="N87" s="2352"/>
      <c r="O87" s="2352"/>
      <c r="P87" s="2352"/>
      <c r="Q87" s="2352"/>
      <c r="R87" s="2352"/>
      <c r="S87" s="2352"/>
      <c r="T87" s="1364"/>
      <c r="U87" s="1364"/>
      <c r="V87" s="1364"/>
      <c r="W87" s="1364"/>
      <c r="X87" s="1364"/>
      <c r="Y87" s="1364"/>
      <c r="Z87" s="1365">
        <v>0.02</v>
      </c>
      <c r="AA87" s="1366"/>
      <c r="AB87" s="1366"/>
      <c r="AC87" s="1361"/>
      <c r="AD87" s="1361"/>
      <c r="AE87" s="1361"/>
      <c r="AF87" s="1315"/>
      <c r="AG87" s="1315"/>
      <c r="AH87" s="1315"/>
      <c r="AI87" s="1315"/>
      <c r="AJ87" s="1315"/>
      <c r="AK87" s="1315"/>
      <c r="AL87" s="1315"/>
      <c r="AM87" s="1315"/>
      <c r="AN87" s="1315"/>
      <c r="AO87" s="1315"/>
      <c r="AP87" s="1315"/>
      <c r="AQ87" s="1315"/>
      <c r="AR87" s="1315"/>
      <c r="AS87" s="1315"/>
      <c r="AT87" s="1315"/>
      <c r="AU87" s="1315"/>
      <c r="AV87" s="1315"/>
      <c r="AW87" s="1315"/>
      <c r="AX87" s="1315"/>
      <c r="AY87" s="1315"/>
      <c r="AZ87" s="1315"/>
      <c r="BA87" s="1315"/>
      <c r="BB87" s="1315"/>
      <c r="BC87" s="1315"/>
      <c r="BD87" s="1315"/>
      <c r="BE87" s="1315"/>
      <c r="BF87" s="1315"/>
      <c r="BG87" s="1315"/>
      <c r="BH87" s="1315"/>
      <c r="BI87" s="1315"/>
      <c r="BJ87" s="1224"/>
      <c r="BK87" s="1224"/>
      <c r="BL87" s="1224"/>
      <c r="BM87" s="1224"/>
    </row>
    <row r="88" spans="3:65" hidden="1">
      <c r="C88" s="2351"/>
      <c r="D88" s="1367" t="s">
        <v>3187</v>
      </c>
      <c r="E88" s="1368">
        <v>0.25</v>
      </c>
      <c r="F88" s="1368"/>
      <c r="G88" s="1368"/>
      <c r="H88" s="1368"/>
      <c r="I88" s="1368"/>
      <c r="J88" s="1368"/>
      <c r="K88" s="2353" t="s">
        <v>3188</v>
      </c>
      <c r="L88" s="2353"/>
      <c r="M88" s="2353"/>
      <c r="N88" s="2353"/>
      <c r="O88" s="2353"/>
      <c r="P88" s="2353"/>
      <c r="Q88" s="2353"/>
      <c r="R88" s="2353"/>
      <c r="S88" s="2353"/>
      <c r="T88" s="1369"/>
      <c r="U88" s="1369"/>
      <c r="V88" s="1369"/>
      <c r="W88" s="1369"/>
      <c r="X88" s="1369"/>
      <c r="Y88" s="1369"/>
      <c r="Z88" s="1370">
        <v>0.04</v>
      </c>
      <c r="AA88" s="1366"/>
      <c r="AB88" s="1366"/>
      <c r="AC88" s="1361"/>
      <c r="AD88" s="1361"/>
      <c r="AE88" s="1361"/>
      <c r="AF88" s="1315"/>
      <c r="AG88" s="1315"/>
      <c r="AH88" s="1315"/>
      <c r="AI88" s="1217"/>
      <c r="AJ88" s="1217"/>
      <c r="AK88" s="1217"/>
      <c r="AL88" s="1217"/>
      <c r="AM88" s="1217"/>
      <c r="AN88" s="1217"/>
      <c r="AO88" s="1217"/>
      <c r="AP88" s="1217"/>
      <c r="AQ88" s="1217"/>
      <c r="AR88" s="1217"/>
      <c r="AS88" s="1217"/>
      <c r="AT88" s="1217"/>
      <c r="AU88" s="1217"/>
      <c r="AV88" s="1217"/>
      <c r="AW88" s="1217"/>
      <c r="AX88" s="1217"/>
      <c r="AY88" s="1217"/>
      <c r="AZ88" s="1217"/>
      <c r="BA88" s="1217"/>
      <c r="BB88" s="1217"/>
      <c r="BC88" s="1217"/>
      <c r="BD88" s="1217"/>
      <c r="BE88" s="1217"/>
      <c r="BF88" s="1217"/>
      <c r="BG88" s="1217"/>
      <c r="BH88" s="1217"/>
      <c r="BI88" s="1217"/>
      <c r="BJ88" s="1217"/>
      <c r="BK88" s="1217"/>
      <c r="BL88" s="1217"/>
      <c r="BM88" s="1217"/>
    </row>
    <row r="89" spans="3:65" ht="16" hidden="1" thickBot="1">
      <c r="C89" s="2351"/>
      <c r="D89" s="1371" t="s">
        <v>3189</v>
      </c>
      <c r="E89" s="1372">
        <v>0.06</v>
      </c>
      <c r="F89" s="1372"/>
      <c r="G89" s="1372"/>
      <c r="H89" s="1373"/>
      <c r="I89" s="1373"/>
      <c r="J89" s="1373"/>
      <c r="K89" s="2354" t="s">
        <v>3190</v>
      </c>
      <c r="L89" s="2355"/>
      <c r="M89" s="2355"/>
      <c r="N89" s="2355"/>
      <c r="O89" s="2355"/>
      <c r="P89" s="2355"/>
      <c r="Q89" s="2355"/>
      <c r="R89" s="2355"/>
      <c r="S89" s="2355"/>
      <c r="T89" s="1374"/>
      <c r="U89" s="1374"/>
      <c r="V89" s="1374"/>
      <c r="W89" s="1374"/>
      <c r="X89" s="1374"/>
      <c r="Y89" s="1374"/>
      <c r="Z89" s="1370">
        <v>0.06</v>
      </c>
      <c r="AA89" s="1366"/>
      <c r="AB89" s="1366"/>
      <c r="AC89" s="1375"/>
      <c r="AD89" s="1375"/>
      <c r="AE89" s="1375"/>
      <c r="AF89" s="1288"/>
      <c r="AG89" s="1288"/>
      <c r="AH89" s="1288"/>
      <c r="AI89" s="1217"/>
      <c r="AJ89" s="1217"/>
      <c r="AK89" s="1217"/>
      <c r="AL89" s="1217"/>
      <c r="AM89" s="1217"/>
      <c r="AN89" s="1217"/>
      <c r="AO89" s="1217"/>
      <c r="AP89" s="1217"/>
      <c r="AQ89" s="1217"/>
      <c r="AR89" s="1217"/>
      <c r="AS89" s="1217"/>
      <c r="AT89" s="1217"/>
      <c r="AU89" s="1217"/>
      <c r="AV89" s="1217"/>
      <c r="AW89" s="1217"/>
      <c r="AX89" s="1217"/>
      <c r="AY89" s="1217"/>
      <c r="AZ89" s="1217"/>
      <c r="BA89" s="1217"/>
      <c r="BB89" s="1217"/>
      <c r="BC89" s="1217"/>
      <c r="BD89" s="1217"/>
      <c r="BE89" s="1217"/>
      <c r="BF89" s="1217"/>
      <c r="BG89" s="1217"/>
      <c r="BH89" s="1217"/>
      <c r="BI89" s="1217"/>
      <c r="BJ89" s="1217"/>
      <c r="BK89" s="1217"/>
      <c r="BL89" s="1217"/>
      <c r="BM89" s="1217"/>
    </row>
    <row r="90" spans="3:65" hidden="1">
      <c r="C90" s="2350" t="s">
        <v>3163</v>
      </c>
      <c r="D90" s="1376" t="s">
        <v>3191</v>
      </c>
      <c r="E90" s="1298">
        <f>E64</f>
        <v>2000</v>
      </c>
      <c r="F90" s="1298"/>
      <c r="G90" s="1298"/>
      <c r="H90" s="1298"/>
      <c r="I90" s="1298"/>
      <c r="J90" s="1298"/>
      <c r="K90" s="1298">
        <f>K64</f>
        <v>0</v>
      </c>
      <c r="L90" s="1298"/>
      <c r="M90" s="1298"/>
      <c r="N90" s="1298">
        <f>N64</f>
        <v>9000</v>
      </c>
      <c r="O90" s="1298"/>
      <c r="P90" s="1298"/>
      <c r="Q90" s="1298">
        <f>Q64</f>
        <v>11000</v>
      </c>
      <c r="R90" s="1298"/>
      <c r="S90" s="1298"/>
      <c r="T90" s="1312"/>
      <c r="U90" s="1312"/>
      <c r="V90" s="1312"/>
      <c r="W90" s="1298">
        <f>W64</f>
        <v>13500</v>
      </c>
      <c r="X90" s="1298"/>
      <c r="Y90" s="1298"/>
      <c r="Z90" s="1312"/>
      <c r="AA90" s="1312"/>
      <c r="AB90" s="1312"/>
      <c r="AC90" s="1312"/>
      <c r="AD90" s="1312"/>
      <c r="AE90" s="1312"/>
      <c r="AF90" s="1288"/>
      <c r="AG90" s="1288"/>
      <c r="AH90" s="1288"/>
      <c r="AI90" s="1217"/>
      <c r="AJ90" s="1217"/>
      <c r="AK90" s="1217"/>
      <c r="AL90" s="1217"/>
      <c r="AM90" s="1217"/>
      <c r="AN90" s="1217"/>
      <c r="AO90" s="1217"/>
      <c r="AP90" s="1217"/>
      <c r="AQ90" s="1217"/>
      <c r="AR90" s="1217"/>
      <c r="AS90" s="1217"/>
      <c r="AT90" s="1217"/>
      <c r="AU90" s="1217"/>
      <c r="AV90" s="1217"/>
      <c r="AW90" s="1217"/>
      <c r="AX90" s="1217"/>
      <c r="AY90" s="1217"/>
      <c r="AZ90" s="1217"/>
      <c r="BA90" s="1217"/>
      <c r="BB90" s="1217"/>
      <c r="BC90" s="1217"/>
      <c r="BD90" s="1217"/>
      <c r="BE90" s="1217"/>
      <c r="BF90" s="1217"/>
      <c r="BG90" s="1217"/>
      <c r="BH90" s="1217"/>
      <c r="BI90" s="1217"/>
      <c r="BJ90" s="1217"/>
      <c r="BK90" s="1217"/>
      <c r="BL90" s="1217"/>
      <c r="BM90" s="1217"/>
    </row>
    <row r="91" spans="3:65" hidden="1">
      <c r="C91" s="2351"/>
      <c r="D91" s="1377" t="s">
        <v>3192</v>
      </c>
      <c r="E91" s="1128"/>
      <c r="F91" s="1128"/>
      <c r="G91" s="1128"/>
      <c r="H91" s="1128"/>
      <c r="I91" s="1128"/>
      <c r="J91" s="1128"/>
      <c r="K91" s="1298"/>
      <c r="L91" s="1298"/>
      <c r="M91" s="1298"/>
      <c r="N91" s="1298"/>
      <c r="O91" s="1298"/>
      <c r="P91" s="1298"/>
      <c r="Q91" s="1298"/>
      <c r="R91" s="1298"/>
      <c r="S91" s="1298"/>
      <c r="T91" s="1312"/>
      <c r="U91" s="1312"/>
      <c r="V91" s="1312"/>
      <c r="W91" s="1298"/>
      <c r="X91" s="1298"/>
      <c r="Y91" s="1298"/>
      <c r="Z91" s="1312"/>
      <c r="AA91" s="1312"/>
      <c r="AB91" s="1312"/>
      <c r="AC91" s="1312"/>
      <c r="AD91" s="1312"/>
      <c r="AE91" s="1312"/>
      <c r="AF91" s="1288"/>
      <c r="AG91" s="1288"/>
      <c r="AH91" s="1288"/>
      <c r="AI91" s="1217"/>
      <c r="AJ91" s="1217"/>
      <c r="AK91" s="1217"/>
      <c r="AL91" s="1217"/>
      <c r="AM91" s="1217"/>
      <c r="AN91" s="1217"/>
      <c r="AO91" s="1217"/>
      <c r="AP91" s="1217"/>
      <c r="AQ91" s="1217"/>
      <c r="AR91" s="1217"/>
      <c r="AS91" s="1217"/>
      <c r="AT91" s="1217"/>
      <c r="AU91" s="1217"/>
      <c r="AV91" s="1217"/>
      <c r="AW91" s="1217"/>
      <c r="AX91" s="1217"/>
      <c r="AY91" s="1217"/>
      <c r="AZ91" s="1217"/>
      <c r="BA91" s="1217"/>
      <c r="BB91" s="1217"/>
      <c r="BC91" s="1217"/>
      <c r="BD91" s="1217"/>
      <c r="BE91" s="1217"/>
      <c r="BF91" s="1217"/>
      <c r="BG91" s="1217"/>
      <c r="BH91" s="1217"/>
      <c r="BI91" s="1217"/>
      <c r="BJ91" s="1217"/>
      <c r="BK91" s="1217"/>
      <c r="BL91" s="1217"/>
      <c r="BM91" s="1217"/>
    </row>
    <row r="92" spans="3:65" hidden="1">
      <c r="C92" s="2351"/>
      <c r="D92" s="1378" t="s">
        <v>53</v>
      </c>
      <c r="E92" s="1128">
        <f>E93+E94</f>
        <v>80</v>
      </c>
      <c r="F92" s="1128"/>
      <c r="G92" s="1128"/>
      <c r="H92" s="1128"/>
      <c r="I92" s="1128"/>
      <c r="J92" s="1128"/>
      <c r="K92" s="1128">
        <f>K93+K94</f>
        <v>0</v>
      </c>
      <c r="L92" s="1128"/>
      <c r="M92" s="1128"/>
      <c r="N92" s="1128">
        <f>N93+N94</f>
        <v>360</v>
      </c>
      <c r="O92" s="1128"/>
      <c r="P92" s="1128"/>
      <c r="Q92" s="1128">
        <f>Q93+Q94</f>
        <v>440</v>
      </c>
      <c r="R92" s="1128"/>
      <c r="S92" s="1128"/>
      <c r="T92" s="1331"/>
      <c r="U92" s="1331"/>
      <c r="V92" s="1331"/>
      <c r="W92" s="1128">
        <f>W93+W94</f>
        <v>540</v>
      </c>
      <c r="X92" s="1128"/>
      <c r="Y92" s="1128"/>
      <c r="Z92" s="1361"/>
      <c r="AA92" s="1361"/>
      <c r="AB92" s="1361"/>
      <c r="AC92" s="1361"/>
      <c r="AD92" s="1361"/>
      <c r="AE92" s="1361"/>
      <c r="AF92" s="1315"/>
      <c r="AG92" s="1315"/>
      <c r="AH92" s="1315"/>
      <c r="AI92" s="1217"/>
      <c r="AJ92" s="1217"/>
      <c r="AK92" s="1217"/>
      <c r="AL92" s="1217"/>
      <c r="AM92" s="1217"/>
      <c r="AN92" s="1217"/>
      <c r="AO92" s="1217"/>
      <c r="AP92" s="1217"/>
      <c r="AQ92" s="1217"/>
      <c r="AR92" s="1217"/>
      <c r="AS92" s="1217"/>
      <c r="AT92" s="1217"/>
      <c r="AU92" s="1217"/>
      <c r="AV92" s="1217"/>
      <c r="AW92" s="1217"/>
      <c r="AX92" s="1217"/>
      <c r="AY92" s="1217"/>
      <c r="AZ92" s="1217"/>
      <c r="BA92" s="1217"/>
      <c r="BB92" s="1217"/>
      <c r="BC92" s="1217"/>
      <c r="BD92" s="1217"/>
      <c r="BE92" s="1217"/>
      <c r="BF92" s="1217"/>
      <c r="BG92" s="1217"/>
      <c r="BH92" s="1217"/>
      <c r="BI92" s="1217"/>
      <c r="BJ92" s="1217"/>
      <c r="BK92" s="1217"/>
      <c r="BL92" s="1217"/>
      <c r="BM92" s="1217"/>
    </row>
    <row r="93" spans="3:65" hidden="1">
      <c r="C93" s="2351"/>
      <c r="D93" s="1379" t="s">
        <v>3193</v>
      </c>
      <c r="E93" s="1128">
        <f>E90*1.5%</f>
        <v>30</v>
      </c>
      <c r="F93" s="1128"/>
      <c r="G93" s="1128"/>
      <c r="H93" s="1128"/>
      <c r="I93" s="1128"/>
      <c r="J93" s="1128"/>
      <c r="K93" s="1128">
        <f>K90*1.5%</f>
        <v>0</v>
      </c>
      <c r="L93" s="1128"/>
      <c r="M93" s="1128"/>
      <c r="N93" s="1128">
        <f>N90*1.5%</f>
        <v>135</v>
      </c>
      <c r="O93" s="1128"/>
      <c r="P93" s="1128"/>
      <c r="Q93" s="1128">
        <f>Q90*1.5%</f>
        <v>165</v>
      </c>
      <c r="R93" s="1128"/>
      <c r="S93" s="1128"/>
      <c r="T93" s="1331"/>
      <c r="U93" s="1331"/>
      <c r="V93" s="1331"/>
      <c r="W93" s="1128">
        <f>W90*1.5%</f>
        <v>202.5</v>
      </c>
      <c r="X93" s="1128"/>
      <c r="Y93" s="1128"/>
      <c r="Z93" s="1361"/>
      <c r="AA93" s="1361"/>
      <c r="AB93" s="1361"/>
      <c r="AC93" s="1361"/>
      <c r="AD93" s="1361"/>
      <c r="AE93" s="1361"/>
      <c r="AF93" s="1315"/>
      <c r="AG93" s="1315"/>
      <c r="AH93" s="1315"/>
      <c r="AI93" s="1217"/>
      <c r="AJ93" s="1217"/>
      <c r="AK93" s="1217"/>
      <c r="AL93" s="1217"/>
      <c r="AM93" s="1217"/>
      <c r="AN93" s="1217"/>
      <c r="AO93" s="1217"/>
      <c r="AP93" s="1217"/>
      <c r="AQ93" s="1217"/>
      <c r="AR93" s="1217"/>
      <c r="AS93" s="1217"/>
      <c r="AT93" s="1217"/>
      <c r="AU93" s="1217"/>
      <c r="AV93" s="1217"/>
      <c r="AW93" s="1217"/>
      <c r="AX93" s="1217"/>
      <c r="AY93" s="1217"/>
      <c r="AZ93" s="1217"/>
      <c r="BA93" s="1217"/>
      <c r="BB93" s="1217"/>
      <c r="BC93" s="1217"/>
      <c r="BD93" s="1217"/>
      <c r="BE93" s="1217"/>
      <c r="BF93" s="1217"/>
      <c r="BG93" s="1217"/>
      <c r="BH93" s="1217"/>
      <c r="BI93" s="1217"/>
      <c r="BJ93" s="1217"/>
      <c r="BK93" s="1217"/>
      <c r="BL93" s="1217"/>
      <c r="BM93" s="1217"/>
    </row>
    <row r="94" spans="3:65" hidden="1">
      <c r="C94" s="2351"/>
      <c r="D94" s="1379" t="s">
        <v>3194</v>
      </c>
      <c r="E94" s="1128">
        <f>E90*0.025</f>
        <v>50</v>
      </c>
      <c r="F94" s="1128"/>
      <c r="G94" s="1128"/>
      <c r="H94" s="1128"/>
      <c r="I94" s="1128"/>
      <c r="J94" s="1128"/>
      <c r="K94" s="1128">
        <f>K90*0.025</f>
        <v>0</v>
      </c>
      <c r="L94" s="1128"/>
      <c r="M94" s="1128"/>
      <c r="N94" s="1128">
        <f>N90*0.025</f>
        <v>225</v>
      </c>
      <c r="O94" s="1128"/>
      <c r="P94" s="1128"/>
      <c r="Q94" s="1128">
        <f>Q90*0.025</f>
        <v>275</v>
      </c>
      <c r="R94" s="1128"/>
      <c r="S94" s="1128"/>
      <c r="T94" s="1331"/>
      <c r="U94" s="1331"/>
      <c r="V94" s="1331"/>
      <c r="W94" s="1128">
        <f>W90*0.025</f>
        <v>337.5</v>
      </c>
      <c r="X94" s="1128"/>
      <c r="Y94" s="1128"/>
      <c r="Z94" s="1361"/>
      <c r="AA94" s="1361"/>
      <c r="AB94" s="1361"/>
      <c r="AC94" s="1361"/>
      <c r="AD94" s="1361"/>
      <c r="AE94" s="1361"/>
      <c r="AF94" s="1315"/>
      <c r="AG94" s="1315"/>
      <c r="AH94" s="1315"/>
      <c r="AI94" s="1217"/>
      <c r="AJ94" s="1217"/>
      <c r="AK94" s="1217"/>
      <c r="AL94" s="1217"/>
      <c r="AM94" s="1217"/>
      <c r="AN94" s="1217"/>
      <c r="AO94" s="1217"/>
      <c r="AP94" s="1217"/>
      <c r="AQ94" s="1217"/>
      <c r="AR94" s="1217"/>
      <c r="AS94" s="1217"/>
      <c r="AT94" s="1217"/>
      <c r="AU94" s="1217"/>
      <c r="AV94" s="1217"/>
      <c r="AW94" s="1217"/>
      <c r="AX94" s="1217"/>
      <c r="AY94" s="1217"/>
      <c r="AZ94" s="1217"/>
      <c r="BA94" s="1217"/>
      <c r="BB94" s="1217"/>
      <c r="BC94" s="1217"/>
      <c r="BD94" s="1217"/>
      <c r="BE94" s="1217"/>
      <c r="BF94" s="1217"/>
      <c r="BG94" s="1217"/>
      <c r="BH94" s="1217"/>
      <c r="BI94" s="1217"/>
      <c r="BJ94" s="1217"/>
      <c r="BK94" s="1217"/>
      <c r="BL94" s="1217"/>
      <c r="BM94" s="1217"/>
    </row>
    <row r="95" spans="3:65" hidden="1">
      <c r="C95" s="2351"/>
      <c r="D95" s="1380" t="s">
        <v>3195</v>
      </c>
      <c r="E95" s="1128">
        <f>E96+E97</f>
        <v>324.63637180735537</v>
      </c>
      <c r="F95" s="1128"/>
      <c r="G95" s="1128"/>
      <c r="H95" s="1128"/>
      <c r="I95" s="1128"/>
      <c r="J95" s="1128"/>
      <c r="K95" s="1128">
        <f>K96+K97</f>
        <v>0</v>
      </c>
      <c r="L95" s="1128"/>
      <c r="M95" s="1128"/>
      <c r="N95" s="1128" t="e">
        <f>N96+N97</f>
        <v>#VALUE!</v>
      </c>
      <c r="O95" s="1128"/>
      <c r="P95" s="1128"/>
      <c r="Q95" s="1128">
        <f ca="1">Q96+Q97</f>
        <v>847</v>
      </c>
      <c r="R95" s="1128"/>
      <c r="S95" s="1128"/>
      <c r="T95" s="1331"/>
      <c r="U95" s="1331"/>
      <c r="V95" s="1331"/>
      <c r="W95" s="1128" t="e">
        <f>W96+W97</f>
        <v>#VALUE!</v>
      </c>
      <c r="X95" s="1128"/>
      <c r="Y95" s="1128"/>
      <c r="Z95" s="1361"/>
      <c r="AA95" s="1361"/>
      <c r="AB95" s="1361"/>
      <c r="AC95" s="1361"/>
      <c r="AD95" s="1361"/>
      <c r="AE95" s="1361"/>
      <c r="AF95" s="1315"/>
      <c r="AG95" s="1315"/>
      <c r="AH95" s="1315"/>
      <c r="AI95" s="1217"/>
      <c r="AJ95" s="1217"/>
      <c r="AK95" s="1217"/>
      <c r="AL95" s="1217"/>
      <c r="AM95" s="1217"/>
      <c r="AN95" s="1217"/>
      <c r="AO95" s="1217"/>
      <c r="AP95" s="1217"/>
      <c r="AQ95" s="1217"/>
      <c r="AR95" s="1217"/>
      <c r="AS95" s="1217"/>
      <c r="AT95" s="1217"/>
      <c r="AU95" s="1217"/>
      <c r="AV95" s="1217"/>
      <c r="AW95" s="1217"/>
      <c r="AX95" s="1217"/>
      <c r="AY95" s="1217"/>
      <c r="AZ95" s="1217"/>
      <c r="BA95" s="1217"/>
      <c r="BB95" s="1217"/>
      <c r="BC95" s="1217"/>
      <c r="BD95" s="1217"/>
      <c r="BE95" s="1217"/>
      <c r="BF95" s="1217"/>
      <c r="BG95" s="1217"/>
      <c r="BH95" s="1217"/>
      <c r="BI95" s="1217"/>
      <c r="BJ95" s="1217"/>
      <c r="BK95" s="1217"/>
      <c r="BL95" s="1217"/>
      <c r="BM95" s="1217"/>
    </row>
    <row r="96" spans="3:65" hidden="1">
      <c r="C96" s="2351"/>
      <c r="D96" s="1381" t="s">
        <v>3196</v>
      </c>
      <c r="E96" s="1128">
        <f>E90*$E$87</f>
        <v>114</v>
      </c>
      <c r="F96" s="1128"/>
      <c r="G96" s="1128"/>
      <c r="H96" s="1128"/>
      <c r="I96" s="1128"/>
      <c r="J96" s="1128"/>
      <c r="K96" s="1128">
        <f>K90*$E$87</f>
        <v>0</v>
      </c>
      <c r="L96" s="1128"/>
      <c r="M96" s="1128"/>
      <c r="N96" s="1128">
        <f>N90*$E$87</f>
        <v>513</v>
      </c>
      <c r="O96" s="1128"/>
      <c r="P96" s="1128"/>
      <c r="Q96" s="1128">
        <f>Q90*$E$87</f>
        <v>627</v>
      </c>
      <c r="R96" s="1128"/>
      <c r="S96" s="1128"/>
      <c r="T96" s="1331"/>
      <c r="U96" s="1331"/>
      <c r="V96" s="1331"/>
      <c r="W96" s="1128">
        <f>W90*$E$87</f>
        <v>769.5</v>
      </c>
      <c r="X96" s="1128"/>
      <c r="Y96" s="1128"/>
      <c r="Z96" s="1361"/>
      <c r="AA96" s="1361"/>
      <c r="AB96" s="1361"/>
      <c r="AC96" s="1361"/>
      <c r="AD96" s="1361"/>
      <c r="AE96" s="1361"/>
      <c r="AF96" s="1315"/>
      <c r="AG96" s="1315"/>
      <c r="AH96" s="1315"/>
      <c r="AI96" s="1217"/>
      <c r="AJ96" s="1217"/>
      <c r="AK96" s="1217"/>
      <c r="AL96" s="1217"/>
      <c r="AM96" s="1217"/>
      <c r="AN96" s="1217"/>
      <c r="AO96" s="1217"/>
      <c r="AP96" s="1217"/>
      <c r="AQ96" s="1217"/>
      <c r="AR96" s="1217"/>
      <c r="AS96" s="1217"/>
      <c r="AT96" s="1217"/>
      <c r="AU96" s="1217"/>
      <c r="AV96" s="1217"/>
      <c r="AW96" s="1217"/>
      <c r="AX96" s="1217"/>
      <c r="AY96" s="1217"/>
      <c r="AZ96" s="1217"/>
      <c r="BA96" s="1217"/>
      <c r="BB96" s="1217"/>
      <c r="BC96" s="1217"/>
      <c r="BD96" s="1217"/>
      <c r="BE96" s="1217"/>
      <c r="BF96" s="1217"/>
      <c r="BG96" s="1217"/>
      <c r="BH96" s="1217"/>
      <c r="BI96" s="1217"/>
      <c r="BJ96" s="1217"/>
      <c r="BK96" s="1217"/>
      <c r="BL96" s="1217"/>
      <c r="BM96" s="1217"/>
    </row>
    <row r="97" spans="3:65" hidden="1">
      <c r="C97" s="2351"/>
      <c r="D97" s="1382" t="s">
        <v>3197</v>
      </c>
      <c r="E97" s="1128">
        <f>MAX(E109,E108)</f>
        <v>210.63637180735537</v>
      </c>
      <c r="F97" s="1128"/>
      <c r="G97" s="1128"/>
      <c r="H97" s="1128"/>
      <c r="I97" s="1128"/>
      <c r="J97" s="1128"/>
      <c r="K97" s="1128">
        <f>MAX(K109,K108)</f>
        <v>0</v>
      </c>
      <c r="L97" s="1128"/>
      <c r="M97" s="1128"/>
      <c r="N97" s="1128" t="e">
        <f>MAX(N109,N108)</f>
        <v>#VALUE!</v>
      </c>
      <c r="O97" s="1128"/>
      <c r="P97" s="1128"/>
      <c r="Q97" s="1128">
        <f ca="1">MAX(Q109,Q108)</f>
        <v>220</v>
      </c>
      <c r="R97" s="1128"/>
      <c r="S97" s="1128"/>
      <c r="T97" s="1331"/>
      <c r="U97" s="1331"/>
      <c r="V97" s="1331"/>
      <c r="W97" s="1128" t="e">
        <f>MAX(W109,W108)</f>
        <v>#VALUE!</v>
      </c>
      <c r="X97" s="1128"/>
      <c r="Y97" s="1128"/>
      <c r="Z97" s="1361"/>
      <c r="AA97" s="1361"/>
      <c r="AB97" s="1361"/>
      <c r="AC97" s="1361"/>
      <c r="AD97" s="1361"/>
      <c r="AE97" s="1361"/>
      <c r="AF97" s="1315"/>
      <c r="AG97" s="1315"/>
      <c r="AH97" s="1315"/>
      <c r="AI97" s="1217"/>
      <c r="AJ97" s="1217"/>
      <c r="AK97" s="1217"/>
      <c r="AL97" s="1217"/>
      <c r="AM97" s="1217"/>
      <c r="AN97" s="1217"/>
      <c r="AO97" s="1217"/>
      <c r="AP97" s="1217"/>
      <c r="AQ97" s="1217"/>
      <c r="AR97" s="1217"/>
      <c r="AS97" s="1217"/>
      <c r="AT97" s="1217"/>
      <c r="AU97" s="1217"/>
      <c r="AV97" s="1217"/>
      <c r="AW97" s="1217"/>
      <c r="AX97" s="1217"/>
      <c r="AY97" s="1217"/>
      <c r="AZ97" s="1217"/>
      <c r="BA97" s="1217"/>
      <c r="BB97" s="1217"/>
      <c r="BC97" s="1217"/>
      <c r="BD97" s="1217"/>
      <c r="BE97" s="1217"/>
      <c r="BF97" s="1217"/>
      <c r="BG97" s="1217"/>
      <c r="BH97" s="1217"/>
      <c r="BI97" s="1217"/>
      <c r="BJ97" s="1217"/>
      <c r="BK97" s="1217"/>
      <c r="BL97" s="1217"/>
      <c r="BM97" s="1217"/>
    </row>
    <row r="98" spans="3:65" hidden="1">
      <c r="C98" s="2351"/>
      <c r="D98" s="1376" t="s">
        <v>264</v>
      </c>
      <c r="E98" s="1128">
        <f>(E90-E$49-E92-E95+E91)*$E$88</f>
        <v>167.11669163358556</v>
      </c>
      <c r="F98" s="1128"/>
      <c r="G98" s="1128"/>
      <c r="H98" s="1128"/>
      <c r="I98" s="1128"/>
      <c r="J98" s="1128"/>
      <c r="K98" s="1128">
        <f>(K90-K$49-K92-K95+K91)*$E$88</f>
        <v>-223.17965111706727</v>
      </c>
      <c r="L98" s="1128"/>
      <c r="M98" s="1128"/>
      <c r="N98" s="1128" t="e">
        <f>(N90-N$49-N92-N95+N91)*$E$88</f>
        <v>#VALUE!</v>
      </c>
      <c r="O98" s="1128"/>
      <c r="P98" s="1128"/>
      <c r="Q98" s="1128">
        <f ca="1">(Q90-Q$49-Q92-Q95+Q91)*$E$88</f>
        <v>-241.52678727704006</v>
      </c>
      <c r="R98" s="1128"/>
      <c r="S98" s="1128"/>
      <c r="T98" s="1331"/>
      <c r="U98" s="1331"/>
      <c r="V98" s="1331"/>
      <c r="W98" s="1128" t="e">
        <f>(W90-W$49-W92-W95+W91)*$E$88</f>
        <v>#VALUE!</v>
      </c>
      <c r="X98" s="1128"/>
      <c r="Y98" s="1128"/>
      <c r="Z98" s="1361"/>
      <c r="AA98" s="1361"/>
      <c r="AB98" s="1361"/>
      <c r="AC98" s="1361"/>
      <c r="AD98" s="1361"/>
      <c r="AE98" s="1361"/>
      <c r="AF98" s="1315"/>
      <c r="AG98" s="1315"/>
      <c r="AH98" s="1315"/>
      <c r="AI98" s="1217"/>
      <c r="AJ98" s="1217"/>
      <c r="AK98" s="1217"/>
      <c r="AL98" s="1217"/>
      <c r="AM98" s="1217"/>
      <c r="AN98" s="1217"/>
      <c r="AO98" s="1217"/>
      <c r="AP98" s="1217"/>
      <c r="AQ98" s="1217"/>
      <c r="AR98" s="1217"/>
      <c r="AS98" s="1217"/>
      <c r="AT98" s="1217"/>
      <c r="AU98" s="1217"/>
      <c r="AV98" s="1217"/>
      <c r="AW98" s="1217"/>
      <c r="AX98" s="1217"/>
      <c r="AY98" s="1217"/>
      <c r="AZ98" s="1217"/>
      <c r="BA98" s="1217"/>
      <c r="BB98" s="1217"/>
      <c r="BC98" s="1217"/>
      <c r="BD98" s="1217"/>
      <c r="BE98" s="1217"/>
      <c r="BF98" s="1217"/>
      <c r="BG98" s="1217"/>
      <c r="BH98" s="1217"/>
      <c r="BI98" s="1217"/>
      <c r="BJ98" s="1217"/>
      <c r="BK98" s="1217"/>
      <c r="BL98" s="1217"/>
      <c r="BM98" s="1217"/>
    </row>
    <row r="99" spans="3:65" hidden="1">
      <c r="C99" s="2351"/>
      <c r="D99" s="1376" t="s">
        <v>3198</v>
      </c>
      <c r="E99" s="1128">
        <f>E90-E$49-E95</f>
        <v>748.46676653434224</v>
      </c>
      <c r="F99" s="1128"/>
      <c r="G99" s="1128"/>
      <c r="H99" s="1128"/>
      <c r="I99" s="1128"/>
      <c r="J99" s="1128"/>
      <c r="K99" s="1128">
        <f>K90-K$49-K95</f>
        <v>-892.71860446826906</v>
      </c>
      <c r="L99" s="1128"/>
      <c r="M99" s="1128"/>
      <c r="N99" s="1128" t="e">
        <f>N90-N$49-N95</f>
        <v>#VALUE!</v>
      </c>
      <c r="O99" s="1128"/>
      <c r="P99" s="1128"/>
      <c r="Q99" s="1128">
        <f ca="1">Q90-Q$49-Q95</f>
        <v>-526.10714910816023</v>
      </c>
      <c r="R99" s="1128"/>
      <c r="S99" s="1128"/>
      <c r="T99" s="1331"/>
      <c r="U99" s="1331"/>
      <c r="V99" s="1331"/>
      <c r="W99" s="1128" t="e">
        <f>W90-W$49-W95</f>
        <v>#VALUE!</v>
      </c>
      <c r="X99" s="1128"/>
      <c r="Y99" s="1128"/>
      <c r="Z99" s="1361"/>
      <c r="AA99" s="1361"/>
      <c r="AB99" s="1361"/>
      <c r="AC99" s="1361"/>
      <c r="AD99" s="1361"/>
      <c r="AE99" s="1361"/>
      <c r="AF99" s="1315"/>
      <c r="AG99" s="1315"/>
      <c r="AH99" s="1315"/>
      <c r="AI99" s="1217"/>
      <c r="AJ99" s="1217"/>
      <c r="AK99" s="1217"/>
      <c r="AL99" s="1217"/>
      <c r="AM99" s="1217"/>
      <c r="AN99" s="1217"/>
      <c r="AO99" s="1217"/>
      <c r="AP99" s="1217"/>
      <c r="AQ99" s="1217"/>
      <c r="AR99" s="1217"/>
      <c r="AS99" s="1217"/>
      <c r="AT99" s="1217"/>
      <c r="AU99" s="1217"/>
      <c r="AV99" s="1217"/>
      <c r="AW99" s="1217"/>
      <c r="AX99" s="1217"/>
      <c r="AY99" s="1217"/>
      <c r="AZ99" s="1217"/>
      <c r="BA99" s="1217"/>
      <c r="BB99" s="1217"/>
      <c r="BC99" s="1217"/>
      <c r="BD99" s="1217"/>
      <c r="BE99" s="1217"/>
      <c r="BF99" s="1217"/>
      <c r="BG99" s="1217"/>
      <c r="BH99" s="1217"/>
      <c r="BI99" s="1217"/>
      <c r="BJ99" s="1217"/>
      <c r="BK99" s="1217"/>
      <c r="BL99" s="1217"/>
      <c r="BM99" s="1217"/>
    </row>
    <row r="100" spans="3:65" ht="16" hidden="1" thickBot="1">
      <c r="C100" s="2351"/>
      <c r="D100" s="1376" t="s">
        <v>3199</v>
      </c>
      <c r="E100" s="1383">
        <f>E99/E90</f>
        <v>0.37423338326717109</v>
      </c>
      <c r="F100" s="1383"/>
      <c r="G100" s="1383"/>
      <c r="H100" s="1383"/>
      <c r="I100" s="1383"/>
      <c r="J100" s="1383"/>
      <c r="K100" s="1383" t="e">
        <f>K99/K90</f>
        <v>#DIV/0!</v>
      </c>
      <c r="L100" s="1383"/>
      <c r="M100" s="1383"/>
      <c r="N100" s="1383" t="e">
        <f>N99/N90</f>
        <v>#VALUE!</v>
      </c>
      <c r="O100" s="1383"/>
      <c r="P100" s="1383"/>
      <c r="Q100" s="1383">
        <f ca="1">Q99/Q90</f>
        <v>-4.7827922646196383E-2</v>
      </c>
      <c r="R100" s="1383"/>
      <c r="S100" s="1383"/>
      <c r="T100" s="1384"/>
      <c r="U100" s="1384"/>
      <c r="V100" s="1384"/>
      <c r="W100" s="1383" t="e">
        <f>W99/W90</f>
        <v>#VALUE!</v>
      </c>
      <c r="X100" s="1383"/>
      <c r="Y100" s="1383"/>
      <c r="Z100" s="1361"/>
      <c r="AA100" s="1361"/>
      <c r="AB100" s="1361"/>
      <c r="AC100" s="1361"/>
      <c r="AD100" s="1361"/>
      <c r="AE100" s="1361"/>
      <c r="AF100" s="1315"/>
      <c r="AG100" s="1315"/>
      <c r="AH100" s="1315"/>
      <c r="AI100" s="1217"/>
      <c r="AJ100" s="1217"/>
      <c r="AK100" s="1217"/>
      <c r="AL100" s="1217"/>
      <c r="AM100" s="1217"/>
      <c r="AN100" s="1217"/>
      <c r="AO100" s="1217"/>
      <c r="AP100" s="1217"/>
      <c r="AQ100" s="1217"/>
      <c r="AR100" s="1217"/>
      <c r="AS100" s="1217"/>
      <c r="AT100" s="1217"/>
      <c r="AU100" s="1217"/>
      <c r="AV100" s="1217"/>
      <c r="AW100" s="1217"/>
      <c r="AX100" s="1217"/>
      <c r="AY100" s="1217"/>
      <c r="AZ100" s="1217"/>
      <c r="BA100" s="1217"/>
      <c r="BB100" s="1217"/>
      <c r="BC100" s="1217"/>
      <c r="BD100" s="1217"/>
      <c r="BE100" s="1217"/>
      <c r="BF100" s="1217"/>
      <c r="BG100" s="1217"/>
      <c r="BH100" s="1217"/>
      <c r="BI100" s="1217"/>
      <c r="BJ100" s="1217"/>
      <c r="BK100" s="1217"/>
      <c r="BL100" s="1217"/>
      <c r="BM100" s="1217"/>
    </row>
    <row r="101" spans="3:65" hidden="1">
      <c r="C101" s="2351"/>
      <c r="D101" s="1376" t="s">
        <v>371</v>
      </c>
      <c r="E101" s="1128">
        <f>E99-E92-E98</f>
        <v>501.35007490075668</v>
      </c>
      <c r="F101" s="1128"/>
      <c r="G101" s="1128"/>
      <c r="H101" s="1128"/>
      <c r="I101" s="1128"/>
      <c r="J101" s="1128"/>
      <c r="K101" s="1128">
        <f>K99-K92-K98</f>
        <v>-669.53895335120183</v>
      </c>
      <c r="L101" s="1128"/>
      <c r="M101" s="1128"/>
      <c r="N101" s="1128" t="e">
        <f>N99-N92-N98</f>
        <v>#VALUE!</v>
      </c>
      <c r="O101" s="1128"/>
      <c r="P101" s="1128"/>
      <c r="Q101" s="1128">
        <f ca="1">Q99-Q92-Q98</f>
        <v>-724.58036183112017</v>
      </c>
      <c r="R101" s="1128"/>
      <c r="S101" s="1128"/>
      <c r="T101" s="1331"/>
      <c r="U101" s="1331"/>
      <c r="V101" s="1331"/>
      <c r="W101" s="1128" t="e">
        <f>W99-W92-W98</f>
        <v>#VALUE!</v>
      </c>
      <c r="X101" s="1128"/>
      <c r="Y101" s="1128"/>
      <c r="Z101" s="1361"/>
      <c r="AA101" s="1361"/>
      <c r="AB101" s="1361"/>
      <c r="AC101" s="1361"/>
      <c r="AD101" s="1361"/>
      <c r="AE101" s="1361"/>
      <c r="AF101" s="1315"/>
      <c r="AG101" s="1315"/>
      <c r="AH101" s="1315"/>
      <c r="AI101" s="1217"/>
      <c r="AJ101" s="1217"/>
      <c r="AK101" s="1217"/>
      <c r="AL101" s="1217"/>
      <c r="AM101" s="1217"/>
      <c r="AN101" s="1217"/>
      <c r="AO101" s="1217"/>
      <c r="AP101" s="1217"/>
      <c r="AQ101" s="1217"/>
      <c r="AR101" s="1217"/>
      <c r="AS101" s="1217"/>
      <c r="AT101" s="1217"/>
      <c r="AU101" s="1217"/>
      <c r="AV101" s="1217"/>
      <c r="AW101" s="1217"/>
      <c r="AX101" s="1217"/>
      <c r="AY101" s="1217"/>
      <c r="AZ101" s="1217"/>
      <c r="BA101" s="1217"/>
      <c r="BB101" s="1217"/>
      <c r="BC101" s="1217"/>
      <c r="BD101" s="1217"/>
      <c r="BE101" s="1217"/>
      <c r="BF101" s="1217"/>
      <c r="BG101" s="1217"/>
      <c r="BH101" s="1217"/>
      <c r="BI101" s="1217"/>
      <c r="BJ101" s="1217"/>
      <c r="BK101" s="1217"/>
      <c r="BL101" s="1217"/>
      <c r="BM101" s="1217"/>
    </row>
    <row r="102" spans="3:65" ht="16" hidden="1" thickBot="1">
      <c r="C102" s="2356"/>
      <c r="D102" s="1376" t="s">
        <v>234</v>
      </c>
      <c r="E102" s="1383">
        <f>E101/E90</f>
        <v>0.25067503745037834</v>
      </c>
      <c r="F102" s="1383"/>
      <c r="G102" s="1383"/>
      <c r="H102" s="1383"/>
      <c r="I102" s="1383"/>
      <c r="J102" s="1383"/>
      <c r="K102" s="1383" t="e">
        <f>K101/K90</f>
        <v>#DIV/0!</v>
      </c>
      <c r="L102" s="1383"/>
      <c r="M102" s="1383"/>
      <c r="N102" s="1383" t="e">
        <f>N101/N90</f>
        <v>#VALUE!</v>
      </c>
      <c r="O102" s="1383"/>
      <c r="P102" s="1383"/>
      <c r="Q102" s="1383">
        <f ca="1">Q101/Q90</f>
        <v>-6.5870941984647283E-2</v>
      </c>
      <c r="R102" s="1383"/>
      <c r="S102" s="1383"/>
      <c r="T102" s="1384"/>
      <c r="U102" s="1384"/>
      <c r="V102" s="1384"/>
      <c r="W102" s="1383" t="e">
        <f>W101/W90</f>
        <v>#VALUE!</v>
      </c>
      <c r="X102" s="1383"/>
      <c r="Y102" s="1383"/>
      <c r="Z102" s="1361"/>
      <c r="AA102" s="1361"/>
      <c r="AB102" s="1361"/>
      <c r="AC102" s="1361"/>
      <c r="AD102" s="1361"/>
      <c r="AE102" s="1361"/>
      <c r="AF102" s="1315"/>
      <c r="AG102" s="1315"/>
      <c r="AH102" s="1315"/>
      <c r="AI102" s="1217"/>
      <c r="AJ102" s="1217"/>
      <c r="AK102" s="1217"/>
      <c r="AL102" s="1217"/>
      <c r="AM102" s="1217"/>
      <c r="AN102" s="1217"/>
      <c r="AO102" s="1217"/>
      <c r="AP102" s="1217"/>
      <c r="AQ102" s="1217"/>
      <c r="AR102" s="1217"/>
      <c r="AS102" s="1217"/>
      <c r="AT102" s="1217"/>
      <c r="AU102" s="1217"/>
      <c r="AV102" s="1217"/>
      <c r="AW102" s="1217"/>
      <c r="AX102" s="1217"/>
      <c r="AY102" s="1217"/>
      <c r="AZ102" s="1217"/>
      <c r="BA102" s="1217"/>
      <c r="BB102" s="1217"/>
      <c r="BC102" s="1217"/>
      <c r="BD102" s="1217"/>
      <c r="BE102" s="1217"/>
      <c r="BF102" s="1217"/>
      <c r="BG102" s="1217"/>
      <c r="BH102" s="1217"/>
      <c r="BI102" s="1217"/>
      <c r="BJ102" s="1217"/>
      <c r="BK102" s="1217"/>
      <c r="BL102" s="1217"/>
      <c r="BM102" s="1217"/>
    </row>
    <row r="103" spans="3:65" hidden="1">
      <c r="C103" s="1385"/>
      <c r="D103" s="1386"/>
      <c r="E103" s="1387"/>
      <c r="F103" s="1387"/>
      <c r="G103" s="1387"/>
      <c r="H103" s="1387"/>
      <c r="I103" s="1387"/>
      <c r="J103" s="1387"/>
      <c r="K103" s="1387"/>
      <c r="L103" s="1387"/>
      <c r="M103" s="1387"/>
      <c r="N103" s="1387"/>
      <c r="O103" s="1387"/>
      <c r="P103" s="1387"/>
      <c r="Q103" s="1387"/>
      <c r="R103" s="1387"/>
      <c r="S103" s="1387"/>
      <c r="T103" s="1387"/>
      <c r="U103" s="1387"/>
      <c r="V103" s="1387"/>
      <c r="W103" s="1387"/>
      <c r="X103" s="1387"/>
      <c r="Y103" s="1387"/>
      <c r="Z103" s="1361"/>
      <c r="AA103" s="1361"/>
      <c r="AB103" s="1361"/>
      <c r="AC103" s="1361"/>
      <c r="AD103" s="1361"/>
      <c r="AE103" s="1361"/>
      <c r="AF103" s="1315"/>
      <c r="AG103" s="1315"/>
      <c r="AH103" s="1315"/>
      <c r="AI103" s="1217"/>
      <c r="AJ103" s="1217"/>
      <c r="AK103" s="1217"/>
      <c r="AL103" s="1217"/>
      <c r="AM103" s="1217"/>
      <c r="AN103" s="1217"/>
      <c r="AO103" s="1217"/>
      <c r="AP103" s="1217"/>
      <c r="AQ103" s="1217"/>
      <c r="AR103" s="1217"/>
      <c r="AS103" s="1217"/>
      <c r="AT103" s="1217"/>
      <c r="AU103" s="1217"/>
      <c r="AV103" s="1217"/>
      <c r="AW103" s="1217"/>
      <c r="AX103" s="1217"/>
      <c r="AY103" s="1217"/>
      <c r="AZ103" s="1217"/>
      <c r="BA103" s="1217"/>
      <c r="BB103" s="1217"/>
      <c r="BC103" s="1217"/>
      <c r="BD103" s="1217"/>
      <c r="BE103" s="1217"/>
      <c r="BF103" s="1217"/>
      <c r="BG103" s="1217"/>
      <c r="BH103" s="1217"/>
      <c r="BI103" s="1217"/>
      <c r="BJ103" s="1217"/>
      <c r="BK103" s="1217"/>
      <c r="BL103" s="1217"/>
      <c r="BM103" s="1217"/>
    </row>
    <row r="104" spans="3:65" hidden="1">
      <c r="C104" s="2344" t="s">
        <v>3200</v>
      </c>
      <c r="D104" s="1388" t="s">
        <v>3201</v>
      </c>
      <c r="E104" s="1128">
        <f>E90</f>
        <v>2000</v>
      </c>
      <c r="F104" s="1128"/>
      <c r="G104" s="1128"/>
      <c r="H104" s="1128"/>
      <c r="I104" s="1128"/>
      <c r="J104" s="1128"/>
      <c r="K104" s="1128">
        <f>K90</f>
        <v>0</v>
      </c>
      <c r="L104" s="1128"/>
      <c r="M104" s="1128"/>
      <c r="N104" s="1128">
        <f>N90</f>
        <v>9000</v>
      </c>
      <c r="O104" s="1128"/>
      <c r="P104" s="1128"/>
      <c r="Q104" s="1128">
        <f>Q90</f>
        <v>11000</v>
      </c>
      <c r="R104" s="1128"/>
      <c r="S104" s="1128"/>
      <c r="T104" s="1331"/>
      <c r="U104" s="1331"/>
      <c r="V104" s="1331"/>
      <c r="W104" s="1128">
        <f>W90</f>
        <v>13500</v>
      </c>
      <c r="X104" s="1128"/>
      <c r="Y104" s="1128"/>
      <c r="Z104" s="1361"/>
      <c r="AA104" s="1361"/>
      <c r="AB104" s="1361"/>
      <c r="AC104" s="1361"/>
      <c r="AD104" s="1361"/>
      <c r="AE104" s="1361"/>
      <c r="AF104" s="1217"/>
      <c r="AG104" s="1217"/>
      <c r="AH104" s="1217"/>
      <c r="AI104" s="1217"/>
      <c r="AJ104" s="1217"/>
      <c r="AK104" s="1217"/>
      <c r="AL104" s="1217"/>
      <c r="AM104" s="1217"/>
      <c r="AN104" s="1217"/>
      <c r="AO104" s="1217"/>
      <c r="AP104" s="1217"/>
      <c r="AQ104" s="1217"/>
      <c r="AR104" s="1217"/>
      <c r="AS104" s="1217"/>
      <c r="AT104" s="1217"/>
      <c r="AU104" s="1217"/>
      <c r="AV104" s="1217"/>
      <c r="AW104" s="1217"/>
      <c r="AX104" s="1217"/>
      <c r="AY104" s="1217"/>
      <c r="AZ104" s="1217"/>
      <c r="BA104" s="1217"/>
      <c r="BB104" s="1217"/>
      <c r="BC104" s="1217"/>
      <c r="BD104" s="1217"/>
      <c r="BE104" s="1217"/>
      <c r="BF104" s="1217"/>
      <c r="BG104" s="1217"/>
      <c r="BH104" s="1217"/>
      <c r="BI104" s="1217"/>
      <c r="BJ104" s="1217"/>
      <c r="BK104" s="1217"/>
      <c r="BL104" s="1217"/>
      <c r="BM104" s="1217"/>
    </row>
    <row r="105" spans="3:65" hidden="1">
      <c r="C105" s="2345"/>
      <c r="D105" s="1388" t="s">
        <v>3202</v>
      </c>
      <c r="E105" s="1128">
        <f>E90*$E$87+(E49-E44-E91)*120%+(E49-E44-E91)*9%</f>
        <v>1309.6969515392102</v>
      </c>
      <c r="F105" s="1128"/>
      <c r="G105" s="1128"/>
      <c r="H105" s="1128"/>
      <c r="I105" s="1128"/>
      <c r="J105" s="1128"/>
      <c r="K105" s="1128">
        <f>K90*$E$87+(K49-K44-K91)*120%+(K49-K44-K91)*9%</f>
        <v>1151.606999764067</v>
      </c>
      <c r="L105" s="1128"/>
      <c r="M105" s="1128"/>
      <c r="N105" s="1128" t="e">
        <f>N90*$E$87+(N49-N44-N91)*120%+(N49-N44-N91)*9%</f>
        <v>#VALUE!</v>
      </c>
      <c r="O105" s="1128"/>
      <c r="P105" s="1128"/>
      <c r="Q105" s="1128">
        <f ca="1">Q90*$E$87+(Q49-Q44-Q91)*120%+(Q49-Q44-Q91)*9%</f>
        <v>14135.975703196265</v>
      </c>
      <c r="R105" s="1128"/>
      <c r="S105" s="1128"/>
      <c r="T105" s="1331"/>
      <c r="U105" s="1331"/>
      <c r="V105" s="1331"/>
      <c r="W105" s="1128" t="e">
        <f>W90*$E$87+(W49-W44-W91)*120%+(W49-W44-W91)*9%</f>
        <v>#VALUE!</v>
      </c>
      <c r="X105" s="1128"/>
      <c r="Y105" s="1128"/>
      <c r="Z105" s="1361"/>
      <c r="AA105" s="1361"/>
      <c r="AB105" s="1361"/>
      <c r="AC105" s="1361"/>
      <c r="AD105" s="1361"/>
      <c r="AE105" s="1361"/>
      <c r="AF105" s="1217"/>
      <c r="AG105" s="1217"/>
      <c r="AH105" s="1217"/>
      <c r="AI105" s="1217"/>
      <c r="AJ105" s="1217"/>
      <c r="AK105" s="1217"/>
      <c r="AL105" s="1217"/>
      <c r="AM105" s="1217"/>
      <c r="AN105" s="1217"/>
      <c r="AO105" s="1217"/>
      <c r="AP105" s="1217"/>
      <c r="AQ105" s="1217"/>
      <c r="AR105" s="1217"/>
      <c r="AS105" s="1217"/>
      <c r="AT105" s="1217"/>
      <c r="AU105" s="1217"/>
      <c r="AV105" s="1217"/>
      <c r="AW105" s="1217"/>
      <c r="AX105" s="1217"/>
      <c r="AY105" s="1217"/>
      <c r="AZ105" s="1217"/>
      <c r="BA105" s="1217"/>
      <c r="BB105" s="1217"/>
      <c r="BC105" s="1217"/>
      <c r="BD105" s="1217"/>
      <c r="BE105" s="1217"/>
      <c r="BF105" s="1217"/>
      <c r="BG105" s="1217"/>
      <c r="BH105" s="1217"/>
      <c r="BI105" s="1217"/>
      <c r="BJ105" s="1217"/>
      <c r="BK105" s="1217"/>
      <c r="BL105" s="1217"/>
      <c r="BM105" s="1217"/>
    </row>
    <row r="106" spans="3:65" hidden="1">
      <c r="C106" s="2345"/>
      <c r="D106" s="1388" t="s">
        <v>54</v>
      </c>
      <c r="E106" s="1128">
        <f>E104-E105</f>
        <v>690.3030484607898</v>
      </c>
      <c r="F106" s="1128"/>
      <c r="G106" s="1128"/>
      <c r="H106" s="1128"/>
      <c r="I106" s="1128"/>
      <c r="J106" s="1128"/>
      <c r="K106" s="1128">
        <f>K104-K105</f>
        <v>-1151.606999764067</v>
      </c>
      <c r="L106" s="1128"/>
      <c r="M106" s="1128"/>
      <c r="N106" s="1128" t="e">
        <f>N104-N105</f>
        <v>#VALUE!</v>
      </c>
      <c r="O106" s="1128"/>
      <c r="P106" s="1128"/>
      <c r="Q106" s="1128">
        <f ca="1">Q104-Q105</f>
        <v>-3135.9757031962654</v>
      </c>
      <c r="R106" s="1128"/>
      <c r="S106" s="1128"/>
      <c r="T106" s="1331"/>
      <c r="U106" s="1331"/>
      <c r="V106" s="1331"/>
      <c r="W106" s="1128" t="e">
        <f>W104-W105</f>
        <v>#VALUE!</v>
      </c>
      <c r="X106" s="1128"/>
      <c r="Y106" s="1128"/>
      <c r="Z106" s="1361"/>
      <c r="AA106" s="1361"/>
      <c r="AB106" s="1361"/>
      <c r="AC106" s="1361"/>
      <c r="AD106" s="1361"/>
      <c r="AE106" s="1361"/>
      <c r="AF106" s="1217"/>
      <c r="AG106" s="1217"/>
      <c r="AH106" s="1217"/>
      <c r="AI106" s="1217"/>
      <c r="AJ106" s="1217"/>
      <c r="AK106" s="1217"/>
      <c r="AL106" s="1217"/>
      <c r="AM106" s="1217"/>
      <c r="AN106" s="1217"/>
      <c r="AO106" s="1217"/>
      <c r="AP106" s="1217"/>
      <c r="AQ106" s="1217"/>
      <c r="AR106" s="1217"/>
      <c r="AS106" s="1217"/>
      <c r="AT106" s="1217"/>
      <c r="AU106" s="1217"/>
      <c r="AV106" s="1217"/>
      <c r="AW106" s="1217"/>
      <c r="AX106" s="1217"/>
      <c r="AY106" s="1217"/>
      <c r="AZ106" s="1217"/>
      <c r="BA106" s="1217"/>
      <c r="BB106" s="1217"/>
      <c r="BC106" s="1217"/>
      <c r="BD106" s="1217"/>
      <c r="BE106" s="1217"/>
      <c r="BF106" s="1217"/>
      <c r="BG106" s="1217"/>
      <c r="BH106" s="1217"/>
      <c r="BI106" s="1217"/>
      <c r="BJ106" s="1217"/>
      <c r="BK106" s="1217"/>
      <c r="BL106" s="1217"/>
      <c r="BM106" s="1217"/>
    </row>
    <row r="107" spans="3:65" hidden="1">
      <c r="C107" s="2345"/>
      <c r="D107" s="1388" t="s">
        <v>3180</v>
      </c>
      <c r="E107" s="1389">
        <f>E106/E105</f>
        <v>0.52707082172674913</v>
      </c>
      <c r="F107" s="1389"/>
      <c r="G107" s="1389"/>
      <c r="H107" s="1389"/>
      <c r="I107" s="1389"/>
      <c r="J107" s="1389"/>
      <c r="K107" s="1389">
        <f>K106/K105</f>
        <v>-1</v>
      </c>
      <c r="L107" s="1389"/>
      <c r="M107" s="1389"/>
      <c r="N107" s="1389" t="e">
        <f>N106/N105</f>
        <v>#VALUE!</v>
      </c>
      <c r="O107" s="1389"/>
      <c r="P107" s="1389"/>
      <c r="Q107" s="1389">
        <f ca="1">Q106/Q105</f>
        <v>-0.22184359743114121</v>
      </c>
      <c r="R107" s="1389"/>
      <c r="S107" s="1389"/>
      <c r="T107" s="1332"/>
      <c r="U107" s="1332"/>
      <c r="V107" s="1332"/>
      <c r="W107" s="1389" t="e">
        <f>W106/W105</f>
        <v>#VALUE!</v>
      </c>
      <c r="X107" s="1389"/>
      <c r="Y107" s="1389"/>
      <c r="Z107" s="1361"/>
      <c r="AA107" s="1361"/>
      <c r="AB107" s="1361"/>
      <c r="AC107" s="1361"/>
      <c r="AD107" s="1361"/>
      <c r="AE107" s="1361"/>
      <c r="AF107" s="1217"/>
      <c r="AG107" s="1217"/>
      <c r="AH107" s="1217"/>
      <c r="AI107" s="1217"/>
      <c r="AJ107" s="1217"/>
      <c r="AK107" s="1217"/>
      <c r="AL107" s="1217"/>
      <c r="AM107" s="1217"/>
      <c r="AN107" s="1217"/>
      <c r="AO107" s="1217"/>
      <c r="AP107" s="1217"/>
      <c r="AQ107" s="1217"/>
      <c r="AR107" s="1217"/>
      <c r="AS107" s="1217"/>
      <c r="AT107" s="1217"/>
      <c r="AU107" s="1217"/>
      <c r="AV107" s="1217"/>
      <c r="AW107" s="1217"/>
      <c r="AX107" s="1217"/>
      <c r="AY107" s="1217"/>
      <c r="AZ107" s="1217"/>
      <c r="BA107" s="1217"/>
      <c r="BB107" s="1217"/>
      <c r="BC107" s="1217"/>
      <c r="BD107" s="1217"/>
      <c r="BE107" s="1217"/>
      <c r="BF107" s="1217"/>
      <c r="BG107" s="1217"/>
      <c r="BH107" s="1217"/>
      <c r="BI107" s="1217"/>
      <c r="BJ107" s="1217"/>
      <c r="BK107" s="1217"/>
      <c r="BL107" s="1217"/>
      <c r="BM107" s="1217"/>
    </row>
    <row r="108" spans="3:65" ht="16" hidden="1" thickBot="1">
      <c r="C108" s="2345"/>
      <c r="D108" s="1390" t="s">
        <v>3203</v>
      </c>
      <c r="E108" s="1128">
        <f>IF(E107&lt;=0%,"0",IF(E107&lt;=50%,E106*30%,IF(E107&lt;=100%,E106*40%-E105*5%,IF(E107&lt;=200%,E106*50%-E105*15%,E106*60%-E105*35%))))</f>
        <v>210.63637180735537</v>
      </c>
      <c r="F108" s="1128"/>
      <c r="G108" s="1128"/>
      <c r="H108" s="1128"/>
      <c r="I108" s="1128"/>
      <c r="J108" s="1128"/>
      <c r="K108" s="1128" t="str">
        <f>IF(K107&lt;=20%,"0",IF(K107&lt;=50%,K106*30%,IF(K107&lt;=100%,K106*40%-K105*5%,IF(K107&lt;=200%,K106*50%-K105*15%,K106*60%-K105*35%))))</f>
        <v>0</v>
      </c>
      <c r="L108" s="1128"/>
      <c r="M108" s="1128"/>
      <c r="N108" s="1128" t="e">
        <f>IF(N107&lt;=20%,"0",IF(N107&lt;=50%,N106*30%,IF(N107&lt;=100%,N106*40%-N105*5%,IF(N107&lt;=200%,N106*50%-N105*15%,N106*60%-N105*35%))))</f>
        <v>#VALUE!</v>
      </c>
      <c r="O108" s="1128"/>
      <c r="P108" s="1128"/>
      <c r="Q108" s="1128" t="str">
        <f ca="1">IF(Q107&lt;=20%,"0",IF(Q107&lt;=50%,Q106*30%,IF(Q107&lt;=100%,Q106*40%-Q105*5%,IF(Q107&lt;=200%,Q106*50%-Q105*15%,Q106*60%-Q105*35%))))</f>
        <v>0</v>
      </c>
      <c r="R108" s="1128"/>
      <c r="S108" s="1128"/>
      <c r="T108" s="1331"/>
      <c r="U108" s="1331"/>
      <c r="V108" s="1331"/>
      <c r="W108" s="1128" t="e">
        <f>IF(W107&lt;=20%,"0",IF(W107&lt;=50%,W106*30%,IF(W107&lt;=100%,W106*40%-W105*5%,IF(W107&lt;=200%,W106*50%-W105*15%,W106*60%-W105*35%))))</f>
        <v>#VALUE!</v>
      </c>
      <c r="X108" s="1128"/>
      <c r="Y108" s="1128"/>
      <c r="Z108" s="1361"/>
      <c r="AA108" s="1361"/>
      <c r="AB108" s="1361"/>
      <c r="AC108" s="1361"/>
      <c r="AD108" s="1361"/>
      <c r="AE108" s="1361"/>
      <c r="AF108" s="1217"/>
      <c r="AG108" s="1217"/>
      <c r="AH108" s="1217"/>
      <c r="AI108" s="1217"/>
      <c r="AJ108" s="1217"/>
      <c r="AK108" s="1217"/>
      <c r="AL108" s="1217"/>
      <c r="AM108" s="1217"/>
      <c r="AN108" s="1217"/>
      <c r="AO108" s="1217"/>
      <c r="AP108" s="1217"/>
      <c r="AQ108" s="1217"/>
      <c r="AR108" s="1217"/>
      <c r="AS108" s="1217"/>
      <c r="AT108" s="1217"/>
      <c r="AU108" s="1217"/>
      <c r="AV108" s="1217"/>
      <c r="AW108" s="1217"/>
      <c r="AX108" s="1217"/>
      <c r="AY108" s="1217"/>
      <c r="AZ108" s="1217"/>
      <c r="BA108" s="1217"/>
      <c r="BB108" s="1217"/>
      <c r="BC108" s="1217"/>
      <c r="BD108" s="1217"/>
      <c r="BE108" s="1217"/>
      <c r="BF108" s="1217"/>
      <c r="BG108" s="1217"/>
      <c r="BH108" s="1217"/>
      <c r="BI108" s="1217"/>
      <c r="BJ108" s="1217"/>
      <c r="BK108" s="1217"/>
      <c r="BL108" s="1217"/>
      <c r="BM108" s="1217"/>
    </row>
    <row r="109" spans="3:65" hidden="1">
      <c r="C109" s="2346"/>
      <c r="D109" s="1391" t="s">
        <v>3204</v>
      </c>
      <c r="E109" s="1128">
        <f>E90*$E$89</f>
        <v>120</v>
      </c>
      <c r="F109" s="1128"/>
      <c r="G109" s="1128"/>
      <c r="H109" s="1128"/>
      <c r="I109" s="1128"/>
      <c r="J109" s="1128"/>
      <c r="K109" s="1128">
        <f>K90*$Z$87</f>
        <v>0</v>
      </c>
      <c r="L109" s="1128"/>
      <c r="M109" s="1128"/>
      <c r="N109" s="1128">
        <f>N90*$Z$87</f>
        <v>180</v>
      </c>
      <c r="O109" s="1128"/>
      <c r="P109" s="1128"/>
      <c r="Q109" s="1128">
        <f>Q90*$Z$87</f>
        <v>220</v>
      </c>
      <c r="R109" s="1128"/>
      <c r="S109" s="1128"/>
      <c r="T109" s="1331"/>
      <c r="U109" s="1331"/>
      <c r="V109" s="1331"/>
      <c r="W109" s="1128">
        <f>W90*$Z$87</f>
        <v>270</v>
      </c>
      <c r="X109" s="1128"/>
      <c r="Y109" s="1128"/>
      <c r="Z109" s="1361"/>
      <c r="AA109" s="1361"/>
      <c r="AB109" s="1361"/>
      <c r="AC109" s="1361"/>
      <c r="AD109" s="1361"/>
      <c r="AE109" s="1361"/>
      <c r="AF109" s="1217"/>
      <c r="AG109" s="1217"/>
      <c r="AH109" s="1217"/>
      <c r="AI109" s="1217"/>
      <c r="AJ109" s="1217"/>
      <c r="AK109" s="1217"/>
      <c r="AL109" s="1217"/>
      <c r="AM109" s="1217"/>
      <c r="AN109" s="1217"/>
      <c r="AO109" s="1217"/>
      <c r="AP109" s="1217"/>
      <c r="AQ109" s="1217"/>
      <c r="AR109" s="1217"/>
      <c r="AS109" s="1217"/>
      <c r="AT109" s="1217"/>
      <c r="AU109" s="1217"/>
      <c r="AV109" s="1217"/>
      <c r="AW109" s="1217"/>
      <c r="AX109" s="1217"/>
      <c r="AY109" s="1217"/>
      <c r="AZ109" s="1217"/>
      <c r="BA109" s="1217"/>
      <c r="BB109" s="1217"/>
      <c r="BC109" s="1217"/>
      <c r="BD109" s="1217"/>
      <c r="BE109" s="1217"/>
      <c r="BF109" s="1217"/>
      <c r="BG109" s="1217"/>
      <c r="BH109" s="1217"/>
      <c r="BI109" s="1217"/>
      <c r="BJ109" s="1217"/>
      <c r="BK109" s="1217"/>
      <c r="BL109" s="1217"/>
      <c r="BM109" s="1217"/>
    </row>
    <row r="110" spans="3:65">
      <c r="C110" s="1392"/>
      <c r="D110" s="1360"/>
      <c r="E110" s="1393"/>
      <c r="F110" s="1393"/>
      <c r="G110" s="1393"/>
      <c r="H110" s="1393"/>
      <c r="I110" s="1393"/>
      <c r="J110" s="1393"/>
      <c r="K110" s="1393"/>
      <c r="L110" s="1393"/>
      <c r="M110" s="1393"/>
      <c r="N110" s="1393"/>
      <c r="O110" s="1393"/>
      <c r="P110" s="1393"/>
      <c r="Q110" s="1393"/>
      <c r="R110" s="1393"/>
      <c r="S110" s="1393"/>
      <c r="T110" s="1393"/>
      <c r="U110" s="1393"/>
      <c r="V110" s="1393"/>
      <c r="W110" s="1393"/>
      <c r="X110" s="1393"/>
      <c r="Y110" s="1393"/>
      <c r="Z110" s="1315"/>
      <c r="AA110" s="1315"/>
      <c r="AB110" s="1315"/>
      <c r="AC110" s="1315"/>
      <c r="AD110" s="1315"/>
      <c r="AE110" s="1315"/>
      <c r="AF110" s="1315"/>
      <c r="AG110" s="1315"/>
      <c r="AH110" s="1315"/>
      <c r="AI110" s="1315"/>
      <c r="AJ110" s="1315"/>
      <c r="AK110" s="1315"/>
      <c r="AL110" s="1315"/>
      <c r="AM110" s="1315"/>
      <c r="AN110" s="1315"/>
      <c r="AO110" s="1315"/>
      <c r="AP110" s="1315"/>
      <c r="AQ110" s="1315"/>
      <c r="AR110" s="1315"/>
      <c r="AS110" s="1315"/>
      <c r="AT110" s="1315"/>
      <c r="AU110" s="1315"/>
      <c r="AV110" s="1315"/>
      <c r="AW110" s="1315"/>
      <c r="AX110" s="1315"/>
      <c r="AY110" s="1315"/>
      <c r="AZ110" s="1315"/>
      <c r="BA110" s="1315"/>
      <c r="BB110" s="1315"/>
      <c r="BC110" s="1315"/>
      <c r="BD110" s="1315"/>
      <c r="BE110" s="1315"/>
      <c r="BF110" s="1315"/>
      <c r="BG110" s="1315"/>
      <c r="BH110" s="1315"/>
      <c r="BI110" s="1315"/>
      <c r="BJ110" s="1224"/>
      <c r="BK110" s="1224"/>
      <c r="BL110" s="1224"/>
      <c r="BM110" s="1224"/>
    </row>
    <row r="111" spans="3:65">
      <c r="C111" s="1121"/>
      <c r="D111" s="1121"/>
      <c r="E111" s="1121"/>
      <c r="F111" s="1121"/>
      <c r="G111" s="1121"/>
      <c r="H111" s="1121"/>
      <c r="I111" s="1121"/>
      <c r="J111" s="1121"/>
      <c r="K111" s="1121"/>
      <c r="L111" s="1121"/>
      <c r="M111" s="1121"/>
      <c r="N111" s="1121"/>
      <c r="O111" s="1121"/>
      <c r="P111" s="1121"/>
      <c r="Q111" s="1121"/>
      <c r="R111" s="1121"/>
      <c r="S111" s="1121"/>
      <c r="T111" s="1121"/>
      <c r="U111" s="1121"/>
      <c r="V111" s="1121"/>
      <c r="W111" s="1121"/>
      <c r="X111" s="1121"/>
      <c r="Y111" s="1121"/>
      <c r="Z111" s="1121"/>
      <c r="AA111" s="1121"/>
      <c r="AB111" s="1121"/>
      <c r="AC111" s="1121"/>
      <c r="AD111" s="1121"/>
      <c r="AE111" s="1121"/>
      <c r="AF111" s="1121"/>
      <c r="AG111" s="1121"/>
      <c r="AH111" s="1121"/>
      <c r="AI111" s="1121"/>
      <c r="AJ111" s="1121"/>
      <c r="AK111" s="1121"/>
      <c r="AL111" s="1121"/>
      <c r="AM111" s="1121"/>
      <c r="AN111" s="1121"/>
      <c r="AO111" s="1121"/>
      <c r="AP111" s="1121"/>
      <c r="AQ111" s="1121"/>
      <c r="AR111" s="1121"/>
      <c r="AS111" s="1121"/>
      <c r="AT111" s="1121"/>
      <c r="AU111" s="1121"/>
      <c r="AV111" s="1121"/>
      <c r="AW111" s="1121"/>
      <c r="AX111" s="1121"/>
      <c r="AY111" s="1121"/>
      <c r="AZ111" s="1121"/>
      <c r="BA111" s="1121"/>
      <c r="BB111" s="1121"/>
      <c r="BC111" s="1121"/>
      <c r="BD111" s="1121"/>
      <c r="BE111" s="1121"/>
      <c r="BF111" s="1121"/>
      <c r="BG111" s="1121"/>
      <c r="BH111" s="1121"/>
      <c r="BI111" s="1121"/>
      <c r="BJ111" s="1121"/>
      <c r="BK111" s="1121"/>
      <c r="BL111" s="1121"/>
      <c r="BM111" s="1121"/>
    </row>
  </sheetData>
  <protectedRanges>
    <protectedRange password="CC6F" sqref="D87:D91 E87:Y89" name="区域1_1"/>
    <protectedRange password="CC6F" sqref="Z87:AB89" name="区域1_1_1"/>
  </protectedRanges>
  <mergeCells count="35">
    <mergeCell ref="BM2:BM3"/>
    <mergeCell ref="E3:G3"/>
    <mergeCell ref="H3:J3"/>
    <mergeCell ref="K3:M3"/>
    <mergeCell ref="N3:P3"/>
    <mergeCell ref="B2:B4"/>
    <mergeCell ref="C2:C4"/>
    <mergeCell ref="D2:D4"/>
    <mergeCell ref="E2:AC2"/>
    <mergeCell ref="AF2:BL2"/>
    <mergeCell ref="BA3:BC3"/>
    <mergeCell ref="BD3:BF3"/>
    <mergeCell ref="BG3:BI3"/>
    <mergeCell ref="BJ3:BL3"/>
    <mergeCell ref="AU3:AW3"/>
    <mergeCell ref="AX3:AZ3"/>
    <mergeCell ref="C64:C76"/>
    <mergeCell ref="AI3:AK3"/>
    <mergeCell ref="AL3:AN3"/>
    <mergeCell ref="AO3:AQ3"/>
    <mergeCell ref="AR3:AT3"/>
    <mergeCell ref="Q3:S3"/>
    <mergeCell ref="T3:V3"/>
    <mergeCell ref="W3:Y3"/>
    <mergeCell ref="Z3:AB3"/>
    <mergeCell ref="AC3:AE3"/>
    <mergeCell ref="AF3:AH3"/>
    <mergeCell ref="C57:C60"/>
    <mergeCell ref="C104:C109"/>
    <mergeCell ref="C78:C84"/>
    <mergeCell ref="C87:C89"/>
    <mergeCell ref="K87:S87"/>
    <mergeCell ref="K88:S88"/>
    <mergeCell ref="K89:S89"/>
    <mergeCell ref="C90:C102"/>
  </mergeCells>
  <phoneticPr fontId="19" type="noConversion"/>
  <printOptions horizontalCentered="1"/>
  <pageMargins left="0" right="0" top="0.66929133858267698" bottom="0.98425196850393704" header="0.118110236220472" footer="0.118110236220472"/>
  <pageSetup paperSize="9" scale="93" orientation="landscape"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outlinePr summaryBelow="0" summaryRight="0"/>
  </sheetPr>
  <dimension ref="A1:ADG394"/>
  <sheetViews>
    <sheetView showGridLines="0" topLeftCell="B1" zoomScale="70" zoomScaleNormal="70" workbookViewId="0">
      <pane xSplit="3" ySplit="8" topLeftCell="K9" activePane="bottomRight" state="frozen"/>
      <selection activeCell="D8" sqref="D8"/>
      <selection pane="topRight" activeCell="D8" sqref="D8"/>
      <selection pane="bottomLeft" activeCell="D8" sqref="D8"/>
      <selection pane="bottomRight" activeCell="T362" sqref="T362"/>
    </sheetView>
  </sheetViews>
  <sheetFormatPr defaultColWidth="10" defaultRowHeight="14.5" outlineLevelRow="4"/>
  <cols>
    <col min="1" max="1" width="1" style="1222" customWidth="1"/>
    <col min="2" max="2" width="18.6640625" style="1121" customWidth="1"/>
    <col min="3" max="3" width="6.33203125" style="1121" customWidth="1"/>
    <col min="4" max="4" width="26.33203125" style="1121" customWidth="1" collapsed="1"/>
    <col min="5" max="5" width="14.33203125" style="1505" customWidth="1"/>
    <col min="6" max="6" width="20" style="1506" customWidth="1"/>
    <col min="7" max="7" width="10.6640625" style="1507" customWidth="1"/>
    <col min="8" max="8" width="13.4140625" style="1505" customWidth="1"/>
    <col min="9" max="9" width="12" style="1505" hidden="1" customWidth="1"/>
    <col min="10" max="11" width="13.33203125" style="1505" customWidth="1"/>
    <col min="12" max="13" width="13.6640625" style="1505" customWidth="1"/>
    <col min="14" max="14" width="13" style="1505" customWidth="1"/>
    <col min="15" max="15" width="12.4140625" style="1505" customWidth="1"/>
    <col min="16" max="16" width="11.6640625" style="1505" customWidth="1"/>
    <col min="17" max="17" width="13.4140625" style="1505" customWidth="1"/>
    <col min="18" max="19" width="13.6640625" style="1505" customWidth="1"/>
    <col min="20" max="20" width="15.08203125" style="1505" customWidth="1"/>
    <col min="21" max="21" width="16.6640625" style="1505" customWidth="1"/>
    <col min="22" max="22" width="9.58203125" style="1222" bestFit="1" customWidth="1"/>
    <col min="23" max="23" width="14" style="1222" customWidth="1"/>
    <col min="24" max="24" width="11.33203125" style="1222" customWidth="1"/>
    <col min="25" max="787" width="10" style="1222"/>
    <col min="788" max="16384" width="10" style="1121"/>
  </cols>
  <sheetData>
    <row r="1" spans="1:787" ht="24.75" customHeight="1" thickBot="1">
      <c r="A1" s="1221" t="s">
        <v>787</v>
      </c>
      <c r="B1" s="1217"/>
      <c r="C1" s="1394" t="s">
        <v>987</v>
      </c>
      <c r="D1" s="1219"/>
      <c r="E1" s="1395"/>
      <c r="F1" s="1396"/>
      <c r="G1" s="1397"/>
      <c r="H1" s="1398"/>
      <c r="I1" s="1398"/>
      <c r="J1" s="1398"/>
      <c r="K1" s="1398"/>
      <c r="L1" s="1398"/>
      <c r="M1" s="1398"/>
      <c r="N1" s="1398"/>
      <c r="O1" s="1398"/>
      <c r="P1" s="1398"/>
      <c r="Q1" s="1398"/>
      <c r="R1" s="1398"/>
      <c r="S1" s="1398"/>
      <c r="T1" s="1398"/>
      <c r="U1" s="1398"/>
      <c r="V1" s="1221"/>
      <c r="W1" s="1221"/>
      <c r="X1" s="1221"/>
      <c r="Y1" s="1221"/>
    </row>
    <row r="2" spans="1:787" ht="15" customHeight="1">
      <c r="A2" s="1221"/>
      <c r="B2" s="2384" t="s">
        <v>3131</v>
      </c>
      <c r="C2" s="2366" t="s">
        <v>25</v>
      </c>
      <c r="D2" s="2368" t="s">
        <v>23</v>
      </c>
      <c r="E2" s="2368" t="s">
        <v>3205</v>
      </c>
      <c r="F2" s="2386" t="s">
        <v>3206</v>
      </c>
      <c r="G2" s="2368" t="s">
        <v>3207</v>
      </c>
      <c r="H2" s="2378" t="s">
        <v>3133</v>
      </c>
      <c r="I2" s="2378"/>
      <c r="J2" s="2378"/>
      <c r="K2" s="2378"/>
      <c r="L2" s="2378"/>
      <c r="M2" s="2378"/>
      <c r="N2" s="2378"/>
      <c r="O2" s="2378"/>
      <c r="P2" s="2378"/>
      <c r="Q2" s="2378"/>
      <c r="R2" s="2378"/>
      <c r="S2" s="2378"/>
      <c r="T2" s="2378"/>
      <c r="U2" s="2376" t="s">
        <v>990</v>
      </c>
      <c r="V2" s="1221"/>
      <c r="W2" s="1221"/>
      <c r="X2" s="1221"/>
      <c r="Y2" s="1221"/>
    </row>
    <row r="3" spans="1:787">
      <c r="A3" s="1221"/>
      <c r="B3" s="2385"/>
      <c r="C3" s="2367"/>
      <c r="D3" s="2369"/>
      <c r="E3" s="2369"/>
      <c r="F3" s="2387"/>
      <c r="G3" s="2369"/>
      <c r="H3" s="2379" t="s">
        <v>3208</v>
      </c>
      <c r="I3" s="2379"/>
      <c r="J3" s="2379"/>
      <c r="K3" s="2379"/>
      <c r="L3" s="2379"/>
      <c r="M3" s="2379"/>
      <c r="N3" s="2379"/>
      <c r="O3" s="2379"/>
      <c r="P3" s="2379"/>
      <c r="Q3" s="2380" t="s">
        <v>3209</v>
      </c>
      <c r="R3" s="2380" t="s">
        <v>3210</v>
      </c>
      <c r="S3" s="2382" t="s">
        <v>3211</v>
      </c>
      <c r="T3" s="2369" t="s">
        <v>138</v>
      </c>
      <c r="U3" s="2377"/>
      <c r="V3" s="1221"/>
      <c r="W3" s="1221"/>
      <c r="X3" s="1221"/>
      <c r="Y3" s="1221"/>
    </row>
    <row r="4" spans="1:787" s="1224" customFormat="1" ht="26">
      <c r="A4" s="1225"/>
      <c r="B4" s="2385"/>
      <c r="C4" s="2367"/>
      <c r="D4" s="2369"/>
      <c r="E4" s="2369"/>
      <c r="F4" s="2387"/>
      <c r="G4" s="2369"/>
      <c r="H4" s="1399" t="s">
        <v>3134</v>
      </c>
      <c r="I4" s="1399" t="s">
        <v>3212</v>
      </c>
      <c r="J4" s="1399" t="str">
        <f>+'全期规划指标 '!C20</f>
        <v>高层（27F）</v>
      </c>
      <c r="K4" s="1399" t="str">
        <f>+'全期规划指标 '!C30</f>
        <v>幼儿园</v>
      </c>
      <c r="L4" s="1399" t="str">
        <f>+'全期规划指标 '!C32</f>
        <v>配套用房</v>
      </c>
      <c r="M4" s="1399" t="str">
        <f>'全期规划指标 '!C26</f>
        <v>临街商业</v>
      </c>
      <c r="N4" s="1399" t="s">
        <v>3213</v>
      </c>
      <c r="O4" s="1399" t="str">
        <f>+'全期规划指标 '!C22</f>
        <v>人才公寓26F（可售、T7）</v>
      </c>
      <c r="P4" s="1399" t="str">
        <f>+'全期规划指标 '!C24</f>
        <v>小高层（8~11F）</v>
      </c>
      <c r="Q4" s="2381"/>
      <c r="R4" s="2381"/>
      <c r="S4" s="2383"/>
      <c r="T4" s="2369"/>
      <c r="U4" s="2377"/>
      <c r="V4" s="1225"/>
      <c r="W4" s="1225"/>
      <c r="X4" s="1225"/>
      <c r="Y4" s="1225"/>
      <c r="Z4" s="1225"/>
      <c r="AA4" s="1225"/>
      <c r="AB4" s="1225"/>
      <c r="AC4" s="1225"/>
      <c r="AD4" s="1225"/>
      <c r="AE4" s="1225"/>
      <c r="AF4" s="1225"/>
      <c r="AG4" s="1225"/>
      <c r="AH4" s="1225"/>
      <c r="AI4" s="1225"/>
      <c r="AJ4" s="1225"/>
      <c r="AK4" s="1225"/>
      <c r="AL4" s="1225"/>
      <c r="AM4" s="1225"/>
      <c r="AN4" s="1225"/>
      <c r="AO4" s="1225"/>
      <c r="AP4" s="1225"/>
      <c r="AQ4" s="1225"/>
      <c r="AR4" s="1225"/>
      <c r="AS4" s="1225"/>
      <c r="AT4" s="1225"/>
      <c r="AU4" s="1225"/>
      <c r="AV4" s="1225"/>
      <c r="AW4" s="1225"/>
      <c r="AX4" s="1225"/>
      <c r="AY4" s="1225"/>
      <c r="AZ4" s="1225"/>
      <c r="BA4" s="1225"/>
      <c r="BB4" s="1225"/>
      <c r="BC4" s="1225"/>
      <c r="BD4" s="1225"/>
      <c r="BE4" s="1225"/>
      <c r="BF4" s="1225"/>
      <c r="BG4" s="1225"/>
      <c r="BH4" s="1225"/>
      <c r="BI4" s="1225"/>
      <c r="BJ4" s="1225"/>
      <c r="BK4" s="1225"/>
      <c r="BL4" s="1225"/>
      <c r="BM4" s="1225"/>
      <c r="BN4" s="1225"/>
      <c r="BO4" s="1225"/>
      <c r="BP4" s="1225"/>
      <c r="BQ4" s="1225"/>
      <c r="BR4" s="1225"/>
      <c r="BS4" s="1225"/>
      <c r="BT4" s="1225"/>
      <c r="BU4" s="1225"/>
      <c r="BV4" s="1225"/>
      <c r="BW4" s="1225"/>
      <c r="BX4" s="1225"/>
      <c r="BY4" s="1225"/>
      <c r="BZ4" s="1225"/>
      <c r="CA4" s="1225"/>
      <c r="CB4" s="1225"/>
      <c r="CC4" s="1225"/>
      <c r="CD4" s="1225"/>
      <c r="CE4" s="1225"/>
      <c r="CF4" s="1225"/>
      <c r="CG4" s="1225"/>
      <c r="CH4" s="1225"/>
      <c r="CI4" s="1225"/>
      <c r="CJ4" s="1225"/>
      <c r="CK4" s="1225"/>
      <c r="CL4" s="1225"/>
      <c r="CM4" s="1225"/>
      <c r="CN4" s="1225"/>
      <c r="CO4" s="1225"/>
      <c r="CP4" s="1225"/>
      <c r="CQ4" s="1225"/>
      <c r="CR4" s="1225"/>
      <c r="CS4" s="1225"/>
      <c r="CT4" s="1225"/>
      <c r="CU4" s="1225"/>
      <c r="CV4" s="1225"/>
      <c r="CW4" s="1225"/>
      <c r="CX4" s="1225"/>
      <c r="CY4" s="1225"/>
      <c r="CZ4" s="1225"/>
      <c r="DA4" s="1225"/>
      <c r="DB4" s="1225"/>
      <c r="DC4" s="1225"/>
      <c r="DD4" s="1225"/>
      <c r="DE4" s="1225"/>
      <c r="DF4" s="1225"/>
      <c r="DG4" s="1225"/>
      <c r="DH4" s="1225"/>
      <c r="DI4" s="1225"/>
      <c r="DJ4" s="1225"/>
      <c r="DK4" s="1225"/>
      <c r="DL4" s="1225"/>
      <c r="DM4" s="1225"/>
      <c r="DN4" s="1225"/>
      <c r="DO4" s="1225"/>
      <c r="DP4" s="1225"/>
      <c r="DQ4" s="1225"/>
      <c r="DR4" s="1225"/>
      <c r="DS4" s="1225"/>
      <c r="DT4" s="1225"/>
      <c r="DU4" s="1225"/>
      <c r="DV4" s="1225"/>
      <c r="DW4" s="1225"/>
      <c r="DX4" s="1225"/>
      <c r="DY4" s="1225"/>
      <c r="DZ4" s="1225"/>
      <c r="EA4" s="1225"/>
      <c r="EB4" s="1225"/>
      <c r="EC4" s="1225"/>
      <c r="ED4" s="1225"/>
      <c r="EE4" s="1225"/>
      <c r="EF4" s="1225"/>
      <c r="EG4" s="1225"/>
      <c r="EH4" s="1225"/>
      <c r="EI4" s="1225"/>
      <c r="EJ4" s="1225"/>
      <c r="EK4" s="1225"/>
      <c r="EL4" s="1225"/>
      <c r="EM4" s="1225"/>
      <c r="EN4" s="1225"/>
      <c r="EO4" s="1225"/>
      <c r="EP4" s="1225"/>
      <c r="EQ4" s="1225"/>
      <c r="ER4" s="1225"/>
      <c r="ES4" s="1225"/>
      <c r="ET4" s="1225"/>
      <c r="EU4" s="1225"/>
      <c r="EV4" s="1225"/>
      <c r="EW4" s="1225"/>
      <c r="EX4" s="1225"/>
      <c r="EY4" s="1225"/>
      <c r="EZ4" s="1225"/>
      <c r="FA4" s="1225"/>
      <c r="FB4" s="1225"/>
      <c r="FC4" s="1225"/>
      <c r="FD4" s="1225"/>
      <c r="FE4" s="1225"/>
      <c r="FF4" s="1225"/>
      <c r="FG4" s="1225"/>
      <c r="FH4" s="1225"/>
      <c r="FI4" s="1225"/>
      <c r="FJ4" s="1225"/>
      <c r="FK4" s="1225"/>
      <c r="FL4" s="1225"/>
      <c r="FM4" s="1225"/>
      <c r="FN4" s="1225"/>
      <c r="FO4" s="1225"/>
      <c r="FP4" s="1225"/>
      <c r="FQ4" s="1225"/>
      <c r="FR4" s="1225"/>
      <c r="FS4" s="1225"/>
      <c r="FT4" s="1225"/>
      <c r="FU4" s="1225"/>
      <c r="FV4" s="1225"/>
      <c r="FW4" s="1225"/>
      <c r="FX4" s="1225"/>
      <c r="FY4" s="1225"/>
      <c r="FZ4" s="1225"/>
      <c r="GA4" s="1225"/>
      <c r="GB4" s="1225"/>
      <c r="GC4" s="1225"/>
      <c r="GD4" s="1225"/>
      <c r="GE4" s="1225"/>
      <c r="GF4" s="1225"/>
      <c r="GG4" s="1225"/>
      <c r="GH4" s="1225"/>
      <c r="GI4" s="1225"/>
      <c r="GJ4" s="1225"/>
      <c r="GK4" s="1225"/>
      <c r="GL4" s="1225"/>
      <c r="GM4" s="1225"/>
      <c r="GN4" s="1225"/>
      <c r="GO4" s="1225"/>
      <c r="GP4" s="1225"/>
      <c r="GQ4" s="1225"/>
      <c r="GR4" s="1225"/>
      <c r="GS4" s="1225"/>
      <c r="GT4" s="1225"/>
      <c r="GU4" s="1225"/>
      <c r="GV4" s="1225"/>
      <c r="GW4" s="1225"/>
      <c r="GX4" s="1225"/>
      <c r="GY4" s="1225"/>
      <c r="GZ4" s="1225"/>
      <c r="HA4" s="1225"/>
      <c r="HB4" s="1225"/>
      <c r="HC4" s="1225"/>
      <c r="HD4" s="1225"/>
      <c r="HE4" s="1225"/>
      <c r="HF4" s="1225"/>
      <c r="HG4" s="1225"/>
      <c r="HH4" s="1225"/>
      <c r="HI4" s="1225"/>
      <c r="HJ4" s="1225"/>
      <c r="HK4" s="1225"/>
      <c r="HL4" s="1225"/>
      <c r="HM4" s="1225"/>
      <c r="HN4" s="1225"/>
      <c r="HO4" s="1225"/>
      <c r="HP4" s="1225"/>
      <c r="HQ4" s="1225"/>
      <c r="HR4" s="1225"/>
      <c r="HS4" s="1225"/>
      <c r="HT4" s="1225"/>
      <c r="HU4" s="1225"/>
      <c r="HV4" s="1225"/>
      <c r="HW4" s="1225"/>
      <c r="HX4" s="1225"/>
      <c r="HY4" s="1225"/>
      <c r="HZ4" s="1225"/>
      <c r="IA4" s="1225"/>
      <c r="IB4" s="1225"/>
      <c r="IC4" s="1225"/>
      <c r="ID4" s="1225"/>
      <c r="IE4" s="1225"/>
      <c r="IF4" s="1225"/>
      <c r="IG4" s="1225"/>
      <c r="IH4" s="1225"/>
      <c r="II4" s="1225"/>
      <c r="IJ4" s="1225"/>
      <c r="IK4" s="1225"/>
      <c r="IL4" s="1225"/>
      <c r="IM4" s="1225"/>
      <c r="IN4" s="1225"/>
      <c r="IO4" s="1225"/>
      <c r="IP4" s="1225"/>
      <c r="IQ4" s="1225"/>
      <c r="IR4" s="1225"/>
      <c r="IS4" s="1225"/>
      <c r="IT4" s="1225"/>
      <c r="IU4" s="1225"/>
      <c r="IV4" s="1225"/>
      <c r="IW4" s="1225"/>
      <c r="IX4" s="1225"/>
      <c r="IY4" s="1225"/>
      <c r="IZ4" s="1225"/>
      <c r="JA4" s="1225"/>
      <c r="JB4" s="1225"/>
      <c r="JC4" s="1225"/>
      <c r="JD4" s="1225"/>
      <c r="JE4" s="1225"/>
      <c r="JF4" s="1225"/>
      <c r="JG4" s="1225"/>
      <c r="JH4" s="1225"/>
      <c r="JI4" s="1225"/>
      <c r="JJ4" s="1225"/>
      <c r="JK4" s="1225"/>
      <c r="JL4" s="1225"/>
      <c r="JM4" s="1225"/>
      <c r="JN4" s="1225"/>
      <c r="JO4" s="1225"/>
      <c r="JP4" s="1225"/>
      <c r="JQ4" s="1225"/>
      <c r="JR4" s="1225"/>
      <c r="JS4" s="1225"/>
      <c r="JT4" s="1225"/>
      <c r="JU4" s="1225"/>
      <c r="JV4" s="1225"/>
      <c r="JW4" s="1225"/>
      <c r="JX4" s="1225"/>
      <c r="JY4" s="1225"/>
      <c r="JZ4" s="1225"/>
      <c r="KA4" s="1225"/>
      <c r="KB4" s="1225"/>
      <c r="KC4" s="1225"/>
      <c r="KD4" s="1225"/>
      <c r="KE4" s="1225"/>
      <c r="KF4" s="1225"/>
      <c r="KG4" s="1225"/>
      <c r="KH4" s="1225"/>
      <c r="KI4" s="1225"/>
      <c r="KJ4" s="1225"/>
      <c r="KK4" s="1225"/>
      <c r="KL4" s="1225"/>
      <c r="KM4" s="1225"/>
      <c r="KN4" s="1225"/>
      <c r="KO4" s="1225"/>
      <c r="KP4" s="1225"/>
      <c r="KQ4" s="1225"/>
      <c r="KR4" s="1225"/>
      <c r="KS4" s="1225"/>
      <c r="KT4" s="1225"/>
      <c r="KU4" s="1225"/>
      <c r="KV4" s="1225"/>
      <c r="KW4" s="1225"/>
      <c r="KX4" s="1225"/>
      <c r="KY4" s="1225"/>
      <c r="KZ4" s="1225"/>
      <c r="LA4" s="1225"/>
      <c r="LB4" s="1225"/>
      <c r="LC4" s="1225"/>
      <c r="LD4" s="1225"/>
      <c r="LE4" s="1225"/>
      <c r="LF4" s="1225"/>
      <c r="LG4" s="1225"/>
      <c r="LH4" s="1225"/>
      <c r="LI4" s="1225"/>
      <c r="LJ4" s="1225"/>
      <c r="LK4" s="1225"/>
      <c r="LL4" s="1225"/>
      <c r="LM4" s="1225"/>
      <c r="LN4" s="1225"/>
      <c r="LO4" s="1225"/>
      <c r="LP4" s="1225"/>
      <c r="LQ4" s="1225"/>
      <c r="LR4" s="1225"/>
      <c r="LS4" s="1225"/>
      <c r="LT4" s="1225"/>
      <c r="LU4" s="1225"/>
      <c r="LV4" s="1225"/>
      <c r="LW4" s="1225"/>
      <c r="LX4" s="1225"/>
      <c r="LY4" s="1225"/>
      <c r="LZ4" s="1225"/>
      <c r="MA4" s="1225"/>
      <c r="MB4" s="1225"/>
      <c r="MC4" s="1225"/>
      <c r="MD4" s="1225"/>
      <c r="ME4" s="1225"/>
      <c r="MF4" s="1225"/>
      <c r="MG4" s="1225"/>
      <c r="MH4" s="1225"/>
      <c r="MI4" s="1225"/>
      <c r="MJ4" s="1225"/>
      <c r="MK4" s="1225"/>
      <c r="ML4" s="1225"/>
      <c r="MM4" s="1225"/>
      <c r="MN4" s="1225"/>
      <c r="MO4" s="1225"/>
      <c r="MP4" s="1225"/>
      <c r="MQ4" s="1225"/>
      <c r="MR4" s="1225"/>
      <c r="MS4" s="1225"/>
      <c r="MT4" s="1225"/>
      <c r="MU4" s="1225"/>
      <c r="MV4" s="1225"/>
      <c r="MW4" s="1225"/>
      <c r="MX4" s="1225"/>
      <c r="MY4" s="1225"/>
      <c r="MZ4" s="1225"/>
      <c r="NA4" s="1225"/>
      <c r="NB4" s="1225"/>
      <c r="NC4" s="1225"/>
      <c r="ND4" s="1225"/>
      <c r="NE4" s="1225"/>
      <c r="NF4" s="1225"/>
      <c r="NG4" s="1225"/>
      <c r="NH4" s="1225"/>
      <c r="NI4" s="1225"/>
      <c r="NJ4" s="1225"/>
      <c r="NK4" s="1225"/>
      <c r="NL4" s="1225"/>
      <c r="NM4" s="1225"/>
      <c r="NN4" s="1225"/>
      <c r="NO4" s="1225"/>
      <c r="NP4" s="1225"/>
      <c r="NQ4" s="1225"/>
      <c r="NR4" s="1225"/>
      <c r="NS4" s="1225"/>
      <c r="NT4" s="1225"/>
      <c r="NU4" s="1225"/>
      <c r="NV4" s="1225"/>
      <c r="NW4" s="1225"/>
      <c r="NX4" s="1225"/>
      <c r="NY4" s="1225"/>
      <c r="NZ4" s="1225"/>
      <c r="OA4" s="1225"/>
      <c r="OB4" s="1225"/>
      <c r="OC4" s="1225"/>
      <c r="OD4" s="1225"/>
      <c r="OE4" s="1225"/>
      <c r="OF4" s="1225"/>
      <c r="OG4" s="1225"/>
      <c r="OH4" s="1225"/>
      <c r="OI4" s="1225"/>
      <c r="OJ4" s="1225"/>
      <c r="OK4" s="1225"/>
      <c r="OL4" s="1225"/>
      <c r="OM4" s="1225"/>
      <c r="ON4" s="1225"/>
      <c r="OO4" s="1225"/>
      <c r="OP4" s="1225"/>
      <c r="OQ4" s="1225"/>
      <c r="OR4" s="1225"/>
      <c r="OS4" s="1225"/>
      <c r="OT4" s="1225"/>
      <c r="OU4" s="1225"/>
      <c r="OV4" s="1225"/>
      <c r="OW4" s="1225"/>
      <c r="OX4" s="1225"/>
      <c r="OY4" s="1225"/>
      <c r="OZ4" s="1225"/>
      <c r="PA4" s="1225"/>
      <c r="PB4" s="1225"/>
      <c r="PC4" s="1225"/>
      <c r="PD4" s="1225"/>
      <c r="PE4" s="1225"/>
      <c r="PF4" s="1225"/>
      <c r="PG4" s="1225"/>
      <c r="PH4" s="1225"/>
      <c r="PI4" s="1225"/>
      <c r="PJ4" s="1225"/>
      <c r="PK4" s="1225"/>
      <c r="PL4" s="1225"/>
      <c r="PM4" s="1225"/>
      <c r="PN4" s="1225"/>
      <c r="PO4" s="1225"/>
      <c r="PP4" s="1225"/>
      <c r="PQ4" s="1225"/>
      <c r="PR4" s="1225"/>
      <c r="PS4" s="1225"/>
      <c r="PT4" s="1225"/>
      <c r="PU4" s="1225"/>
      <c r="PV4" s="1225"/>
      <c r="PW4" s="1225"/>
      <c r="PX4" s="1225"/>
      <c r="PY4" s="1225"/>
      <c r="PZ4" s="1225"/>
      <c r="QA4" s="1225"/>
      <c r="QB4" s="1225"/>
      <c r="QC4" s="1225"/>
      <c r="QD4" s="1225"/>
      <c r="QE4" s="1225"/>
      <c r="QF4" s="1225"/>
      <c r="QG4" s="1225"/>
      <c r="QH4" s="1225"/>
      <c r="QI4" s="1225"/>
      <c r="QJ4" s="1225"/>
      <c r="QK4" s="1225"/>
      <c r="QL4" s="1225"/>
      <c r="QM4" s="1225"/>
      <c r="QN4" s="1225"/>
      <c r="QO4" s="1225"/>
      <c r="QP4" s="1225"/>
      <c r="QQ4" s="1225"/>
      <c r="QR4" s="1225"/>
      <c r="QS4" s="1225"/>
      <c r="QT4" s="1225"/>
      <c r="QU4" s="1225"/>
      <c r="QV4" s="1225"/>
      <c r="QW4" s="1225"/>
      <c r="QX4" s="1225"/>
      <c r="QY4" s="1225"/>
      <c r="QZ4" s="1225"/>
      <c r="RA4" s="1225"/>
      <c r="RB4" s="1225"/>
      <c r="RC4" s="1225"/>
      <c r="RD4" s="1225"/>
      <c r="RE4" s="1225"/>
      <c r="RF4" s="1225"/>
      <c r="RG4" s="1225"/>
      <c r="RH4" s="1225"/>
      <c r="RI4" s="1225"/>
      <c r="RJ4" s="1225"/>
      <c r="RK4" s="1225"/>
      <c r="RL4" s="1225"/>
      <c r="RM4" s="1225"/>
      <c r="RN4" s="1225"/>
      <c r="RO4" s="1225"/>
      <c r="RP4" s="1225"/>
      <c r="RQ4" s="1225"/>
      <c r="RR4" s="1225"/>
      <c r="RS4" s="1225"/>
      <c r="RT4" s="1225"/>
      <c r="RU4" s="1225"/>
      <c r="RV4" s="1225"/>
      <c r="RW4" s="1225"/>
      <c r="RX4" s="1225"/>
      <c r="RY4" s="1225"/>
      <c r="RZ4" s="1225"/>
      <c r="SA4" s="1225"/>
      <c r="SB4" s="1225"/>
      <c r="SC4" s="1225"/>
      <c r="SD4" s="1225"/>
      <c r="SE4" s="1225"/>
      <c r="SF4" s="1225"/>
      <c r="SG4" s="1225"/>
      <c r="SH4" s="1225"/>
      <c r="SI4" s="1225"/>
      <c r="SJ4" s="1225"/>
      <c r="SK4" s="1225"/>
      <c r="SL4" s="1225"/>
      <c r="SM4" s="1225"/>
      <c r="SN4" s="1225"/>
      <c r="SO4" s="1225"/>
      <c r="SP4" s="1225"/>
      <c r="SQ4" s="1225"/>
      <c r="SR4" s="1225"/>
      <c r="SS4" s="1225"/>
      <c r="ST4" s="1225"/>
      <c r="SU4" s="1225"/>
      <c r="SV4" s="1225"/>
      <c r="SW4" s="1225"/>
      <c r="SX4" s="1225"/>
      <c r="SY4" s="1225"/>
      <c r="SZ4" s="1225"/>
      <c r="TA4" s="1225"/>
      <c r="TB4" s="1225"/>
      <c r="TC4" s="1225"/>
      <c r="TD4" s="1225"/>
      <c r="TE4" s="1225"/>
      <c r="TF4" s="1225"/>
      <c r="TG4" s="1225"/>
      <c r="TH4" s="1225"/>
      <c r="TI4" s="1225"/>
      <c r="TJ4" s="1225"/>
      <c r="TK4" s="1225"/>
      <c r="TL4" s="1225"/>
      <c r="TM4" s="1225"/>
      <c r="TN4" s="1225"/>
      <c r="TO4" s="1225"/>
      <c r="TP4" s="1225"/>
      <c r="TQ4" s="1225"/>
      <c r="TR4" s="1225"/>
      <c r="TS4" s="1225"/>
      <c r="TT4" s="1225"/>
      <c r="TU4" s="1225"/>
      <c r="TV4" s="1225"/>
      <c r="TW4" s="1225"/>
      <c r="TX4" s="1225"/>
      <c r="TY4" s="1225"/>
      <c r="TZ4" s="1225"/>
      <c r="UA4" s="1225"/>
      <c r="UB4" s="1225"/>
      <c r="UC4" s="1225"/>
      <c r="UD4" s="1225"/>
      <c r="UE4" s="1225"/>
      <c r="UF4" s="1225"/>
      <c r="UG4" s="1225"/>
      <c r="UH4" s="1225"/>
      <c r="UI4" s="1225"/>
      <c r="UJ4" s="1225"/>
      <c r="UK4" s="1225"/>
      <c r="UL4" s="1225"/>
      <c r="UM4" s="1225"/>
      <c r="UN4" s="1225"/>
      <c r="UO4" s="1225"/>
      <c r="UP4" s="1225"/>
      <c r="UQ4" s="1225"/>
      <c r="UR4" s="1225"/>
      <c r="US4" s="1225"/>
      <c r="UT4" s="1225"/>
      <c r="UU4" s="1225"/>
      <c r="UV4" s="1225"/>
      <c r="UW4" s="1225"/>
      <c r="UX4" s="1225"/>
      <c r="UY4" s="1225"/>
      <c r="UZ4" s="1225"/>
      <c r="VA4" s="1225"/>
      <c r="VB4" s="1225"/>
      <c r="VC4" s="1225"/>
      <c r="VD4" s="1225"/>
      <c r="VE4" s="1225"/>
      <c r="VF4" s="1225"/>
      <c r="VG4" s="1225"/>
      <c r="VH4" s="1225"/>
      <c r="VI4" s="1225"/>
      <c r="VJ4" s="1225"/>
      <c r="VK4" s="1225"/>
      <c r="VL4" s="1225"/>
      <c r="VM4" s="1225"/>
      <c r="VN4" s="1225"/>
      <c r="VO4" s="1225"/>
      <c r="VP4" s="1225"/>
      <c r="VQ4" s="1225"/>
      <c r="VR4" s="1225"/>
      <c r="VS4" s="1225"/>
      <c r="VT4" s="1225"/>
      <c r="VU4" s="1225"/>
      <c r="VV4" s="1225"/>
      <c r="VW4" s="1225"/>
      <c r="VX4" s="1225"/>
      <c r="VY4" s="1225"/>
      <c r="VZ4" s="1225"/>
      <c r="WA4" s="1225"/>
      <c r="WB4" s="1225"/>
      <c r="WC4" s="1225"/>
      <c r="WD4" s="1225"/>
      <c r="WE4" s="1225"/>
      <c r="WF4" s="1225"/>
      <c r="WG4" s="1225"/>
      <c r="WH4" s="1225"/>
      <c r="WI4" s="1225"/>
      <c r="WJ4" s="1225"/>
      <c r="WK4" s="1225"/>
      <c r="WL4" s="1225"/>
      <c r="WM4" s="1225"/>
      <c r="WN4" s="1225"/>
      <c r="WO4" s="1225"/>
      <c r="WP4" s="1225"/>
      <c r="WQ4" s="1225"/>
      <c r="WR4" s="1225"/>
      <c r="WS4" s="1225"/>
      <c r="WT4" s="1225"/>
      <c r="WU4" s="1225"/>
      <c r="WV4" s="1225"/>
      <c r="WW4" s="1225"/>
      <c r="WX4" s="1225"/>
      <c r="WY4" s="1225"/>
      <c r="WZ4" s="1225"/>
      <c r="XA4" s="1225"/>
      <c r="XB4" s="1225"/>
      <c r="XC4" s="1225"/>
      <c r="XD4" s="1225"/>
      <c r="XE4" s="1225"/>
      <c r="XF4" s="1225"/>
      <c r="XG4" s="1225"/>
      <c r="XH4" s="1225"/>
      <c r="XI4" s="1225"/>
      <c r="XJ4" s="1225"/>
      <c r="XK4" s="1225"/>
      <c r="XL4" s="1225"/>
      <c r="XM4" s="1225"/>
      <c r="XN4" s="1225"/>
      <c r="XO4" s="1225"/>
      <c r="XP4" s="1225"/>
      <c r="XQ4" s="1225"/>
      <c r="XR4" s="1225"/>
      <c r="XS4" s="1225"/>
      <c r="XT4" s="1225"/>
      <c r="XU4" s="1225"/>
      <c r="XV4" s="1225"/>
      <c r="XW4" s="1225"/>
      <c r="XX4" s="1225"/>
      <c r="XY4" s="1225"/>
      <c r="XZ4" s="1225"/>
      <c r="YA4" s="1225"/>
      <c r="YB4" s="1225"/>
      <c r="YC4" s="1225"/>
      <c r="YD4" s="1225"/>
      <c r="YE4" s="1225"/>
      <c r="YF4" s="1225"/>
      <c r="YG4" s="1225"/>
      <c r="YH4" s="1225"/>
      <c r="YI4" s="1225"/>
      <c r="YJ4" s="1225"/>
      <c r="YK4" s="1225"/>
      <c r="YL4" s="1225"/>
      <c r="YM4" s="1225"/>
      <c r="YN4" s="1225"/>
      <c r="YO4" s="1225"/>
      <c r="YP4" s="1225"/>
      <c r="YQ4" s="1225"/>
      <c r="YR4" s="1225"/>
      <c r="YS4" s="1225"/>
      <c r="YT4" s="1225"/>
      <c r="YU4" s="1225"/>
      <c r="YV4" s="1225"/>
      <c r="YW4" s="1225"/>
      <c r="YX4" s="1225"/>
      <c r="YY4" s="1225"/>
      <c r="YZ4" s="1225"/>
      <c r="ZA4" s="1225"/>
      <c r="ZB4" s="1225"/>
      <c r="ZC4" s="1225"/>
      <c r="ZD4" s="1225"/>
      <c r="ZE4" s="1225"/>
      <c r="ZF4" s="1225"/>
      <c r="ZG4" s="1225"/>
      <c r="ZH4" s="1225"/>
      <c r="ZI4" s="1225"/>
      <c r="ZJ4" s="1225"/>
      <c r="ZK4" s="1225"/>
      <c r="ZL4" s="1225"/>
      <c r="ZM4" s="1225"/>
      <c r="ZN4" s="1225"/>
      <c r="ZO4" s="1225"/>
      <c r="ZP4" s="1225"/>
      <c r="ZQ4" s="1225"/>
      <c r="ZR4" s="1225"/>
      <c r="ZS4" s="1225"/>
      <c r="ZT4" s="1225"/>
      <c r="ZU4" s="1225"/>
      <c r="ZV4" s="1225"/>
      <c r="ZW4" s="1225"/>
      <c r="ZX4" s="1225"/>
      <c r="ZY4" s="1225"/>
      <c r="ZZ4" s="1225"/>
      <c r="AAA4" s="1225"/>
      <c r="AAB4" s="1225"/>
      <c r="AAC4" s="1225"/>
      <c r="AAD4" s="1225"/>
      <c r="AAE4" s="1225"/>
      <c r="AAF4" s="1225"/>
      <c r="AAG4" s="1225"/>
      <c r="AAH4" s="1225"/>
      <c r="AAI4" s="1225"/>
      <c r="AAJ4" s="1225"/>
      <c r="AAK4" s="1225"/>
      <c r="AAL4" s="1225"/>
      <c r="AAM4" s="1225"/>
      <c r="AAN4" s="1225"/>
      <c r="AAO4" s="1225"/>
      <c r="AAP4" s="1225"/>
      <c r="AAQ4" s="1225"/>
      <c r="AAR4" s="1225"/>
      <c r="AAS4" s="1225"/>
      <c r="AAT4" s="1225"/>
      <c r="AAU4" s="1225"/>
      <c r="AAV4" s="1225"/>
      <c r="AAW4" s="1225"/>
      <c r="AAX4" s="1225"/>
      <c r="AAY4" s="1225"/>
      <c r="AAZ4" s="1225"/>
      <c r="ABA4" s="1225"/>
      <c r="ABB4" s="1225"/>
      <c r="ABC4" s="1225"/>
      <c r="ABD4" s="1225"/>
      <c r="ABE4" s="1225"/>
      <c r="ABF4" s="1225"/>
      <c r="ABG4" s="1225"/>
      <c r="ABH4" s="1225"/>
      <c r="ABI4" s="1225"/>
      <c r="ABJ4" s="1225"/>
      <c r="ABK4" s="1225"/>
      <c r="ABL4" s="1225"/>
      <c r="ABM4" s="1225"/>
      <c r="ABN4" s="1225"/>
      <c r="ABO4" s="1225"/>
      <c r="ABP4" s="1225"/>
      <c r="ABQ4" s="1225"/>
      <c r="ABR4" s="1225"/>
      <c r="ABS4" s="1225"/>
      <c r="ABT4" s="1225"/>
      <c r="ABU4" s="1225"/>
      <c r="ABV4" s="1225"/>
      <c r="ABW4" s="1225"/>
      <c r="ABX4" s="1225"/>
      <c r="ABY4" s="1225"/>
      <c r="ABZ4" s="1225"/>
      <c r="ACA4" s="1225"/>
      <c r="ACB4" s="1225"/>
      <c r="ACC4" s="1225"/>
      <c r="ACD4" s="1225"/>
      <c r="ACE4" s="1225"/>
      <c r="ACF4" s="1225"/>
      <c r="ACG4" s="1225"/>
      <c r="ACH4" s="1225"/>
      <c r="ACI4" s="1225"/>
      <c r="ACJ4" s="1225"/>
      <c r="ACK4" s="1225"/>
      <c r="ACL4" s="1225"/>
      <c r="ACM4" s="1225"/>
      <c r="ACN4" s="1225"/>
      <c r="ACO4" s="1225"/>
      <c r="ACP4" s="1225"/>
      <c r="ACQ4" s="1225"/>
      <c r="ACR4" s="1225"/>
      <c r="ACS4" s="1225"/>
      <c r="ACT4" s="1225"/>
      <c r="ACU4" s="1225"/>
      <c r="ACV4" s="1225"/>
      <c r="ACW4" s="1225"/>
      <c r="ACX4" s="1225"/>
      <c r="ACY4" s="1225"/>
      <c r="ACZ4" s="1225"/>
      <c r="ADA4" s="1225"/>
      <c r="ADB4" s="1225"/>
      <c r="ADC4" s="1225"/>
      <c r="ADD4" s="1225"/>
      <c r="ADE4" s="1225"/>
      <c r="ADF4" s="1225"/>
      <c r="ADG4" s="1225"/>
    </row>
    <row r="5" spans="1:787" s="1224" customFormat="1" ht="24">
      <c r="A5" s="1225"/>
      <c r="B5" s="2385"/>
      <c r="C5" s="2367"/>
      <c r="D5" s="2369"/>
      <c r="E5" s="2369"/>
      <c r="F5" s="2387"/>
      <c r="G5" s="2369"/>
      <c r="H5" s="1226" t="s">
        <v>3144</v>
      </c>
      <c r="I5" s="1226" t="s">
        <v>3144</v>
      </c>
      <c r="J5" s="1226" t="s">
        <v>3144</v>
      </c>
      <c r="K5" s="1226" t="s">
        <v>3144</v>
      </c>
      <c r="L5" s="1226" t="s">
        <v>3144</v>
      </c>
      <c r="M5" s="1226" t="s">
        <v>3144</v>
      </c>
      <c r="N5" s="1226" t="s">
        <v>3144</v>
      </c>
      <c r="O5" s="1226" t="s">
        <v>3144</v>
      </c>
      <c r="P5" s="1226" t="s">
        <v>3144</v>
      </c>
      <c r="Q5" s="1226" t="s">
        <v>3144</v>
      </c>
      <c r="R5" s="1226" t="s">
        <v>3141</v>
      </c>
      <c r="S5" s="1226" t="s">
        <v>3144</v>
      </c>
      <c r="T5" s="1226" t="s">
        <v>3141</v>
      </c>
      <c r="U5" s="1228"/>
      <c r="V5" s="1225"/>
      <c r="W5" s="1225"/>
      <c r="X5" s="1225"/>
      <c r="Y5" s="1225"/>
      <c r="Z5" s="1225"/>
      <c r="AA5" s="1225"/>
      <c r="AB5" s="1225"/>
      <c r="AC5" s="1225"/>
      <c r="AD5" s="1225"/>
      <c r="AE5" s="1225"/>
      <c r="AF5" s="1225"/>
      <c r="AG5" s="1225"/>
      <c r="AH5" s="1225"/>
      <c r="AI5" s="1225"/>
      <c r="AJ5" s="1225"/>
      <c r="AK5" s="1225"/>
      <c r="AL5" s="1225"/>
      <c r="AM5" s="1225"/>
      <c r="AN5" s="1225"/>
      <c r="AO5" s="1225"/>
      <c r="AP5" s="1225"/>
      <c r="AQ5" s="1225"/>
      <c r="AR5" s="1225"/>
      <c r="AS5" s="1225"/>
      <c r="AT5" s="1225"/>
      <c r="AU5" s="1225"/>
      <c r="AV5" s="1225"/>
      <c r="AW5" s="1225"/>
      <c r="AX5" s="1225"/>
      <c r="AY5" s="1225"/>
      <c r="AZ5" s="1225"/>
      <c r="BA5" s="1225"/>
      <c r="BB5" s="1225"/>
      <c r="BC5" s="1225"/>
      <c r="BD5" s="1225"/>
      <c r="BE5" s="1225"/>
      <c r="BF5" s="1225"/>
      <c r="BG5" s="1225"/>
      <c r="BH5" s="1225"/>
      <c r="BI5" s="1225"/>
      <c r="BJ5" s="1225"/>
      <c r="BK5" s="1225"/>
      <c r="BL5" s="1225"/>
      <c r="BM5" s="1225"/>
      <c r="BN5" s="1225"/>
      <c r="BO5" s="1225"/>
      <c r="BP5" s="1225"/>
      <c r="BQ5" s="1225"/>
      <c r="BR5" s="1225"/>
      <c r="BS5" s="1225"/>
      <c r="BT5" s="1225"/>
      <c r="BU5" s="1225"/>
      <c r="BV5" s="1225"/>
      <c r="BW5" s="1225"/>
      <c r="BX5" s="1225"/>
      <c r="BY5" s="1225"/>
      <c r="BZ5" s="1225"/>
      <c r="CA5" s="1225"/>
      <c r="CB5" s="1225"/>
      <c r="CC5" s="1225"/>
      <c r="CD5" s="1225"/>
      <c r="CE5" s="1225"/>
      <c r="CF5" s="1225"/>
      <c r="CG5" s="1225"/>
      <c r="CH5" s="1225"/>
      <c r="CI5" s="1225"/>
      <c r="CJ5" s="1225"/>
      <c r="CK5" s="1225"/>
      <c r="CL5" s="1225"/>
      <c r="CM5" s="1225"/>
      <c r="CN5" s="1225"/>
      <c r="CO5" s="1225"/>
      <c r="CP5" s="1225"/>
      <c r="CQ5" s="1225"/>
      <c r="CR5" s="1225"/>
      <c r="CS5" s="1225"/>
      <c r="CT5" s="1225"/>
      <c r="CU5" s="1225"/>
      <c r="CV5" s="1225"/>
      <c r="CW5" s="1225"/>
      <c r="CX5" s="1225"/>
      <c r="CY5" s="1225"/>
      <c r="CZ5" s="1225"/>
      <c r="DA5" s="1225"/>
      <c r="DB5" s="1225"/>
      <c r="DC5" s="1225"/>
      <c r="DD5" s="1225"/>
      <c r="DE5" s="1225"/>
      <c r="DF5" s="1225"/>
      <c r="DG5" s="1225"/>
      <c r="DH5" s="1225"/>
      <c r="DI5" s="1225"/>
      <c r="DJ5" s="1225"/>
      <c r="DK5" s="1225"/>
      <c r="DL5" s="1225"/>
      <c r="DM5" s="1225"/>
      <c r="DN5" s="1225"/>
      <c r="DO5" s="1225"/>
      <c r="DP5" s="1225"/>
      <c r="DQ5" s="1225"/>
      <c r="DR5" s="1225"/>
      <c r="DS5" s="1225"/>
      <c r="DT5" s="1225"/>
      <c r="DU5" s="1225"/>
      <c r="DV5" s="1225"/>
      <c r="DW5" s="1225"/>
      <c r="DX5" s="1225"/>
      <c r="DY5" s="1225"/>
      <c r="DZ5" s="1225"/>
      <c r="EA5" s="1225"/>
      <c r="EB5" s="1225"/>
      <c r="EC5" s="1225"/>
      <c r="ED5" s="1225"/>
      <c r="EE5" s="1225"/>
      <c r="EF5" s="1225"/>
      <c r="EG5" s="1225"/>
      <c r="EH5" s="1225"/>
      <c r="EI5" s="1225"/>
      <c r="EJ5" s="1225"/>
      <c r="EK5" s="1225"/>
      <c r="EL5" s="1225"/>
      <c r="EM5" s="1225"/>
      <c r="EN5" s="1225"/>
      <c r="EO5" s="1225"/>
      <c r="EP5" s="1225"/>
      <c r="EQ5" s="1225"/>
      <c r="ER5" s="1225"/>
      <c r="ES5" s="1225"/>
      <c r="ET5" s="1225"/>
      <c r="EU5" s="1225"/>
      <c r="EV5" s="1225"/>
      <c r="EW5" s="1225"/>
      <c r="EX5" s="1225"/>
      <c r="EY5" s="1225"/>
      <c r="EZ5" s="1225"/>
      <c r="FA5" s="1225"/>
      <c r="FB5" s="1225"/>
      <c r="FC5" s="1225"/>
      <c r="FD5" s="1225"/>
      <c r="FE5" s="1225"/>
      <c r="FF5" s="1225"/>
      <c r="FG5" s="1225"/>
      <c r="FH5" s="1225"/>
      <c r="FI5" s="1225"/>
      <c r="FJ5" s="1225"/>
      <c r="FK5" s="1225"/>
      <c r="FL5" s="1225"/>
      <c r="FM5" s="1225"/>
      <c r="FN5" s="1225"/>
      <c r="FO5" s="1225"/>
      <c r="FP5" s="1225"/>
      <c r="FQ5" s="1225"/>
      <c r="FR5" s="1225"/>
      <c r="FS5" s="1225"/>
      <c r="FT5" s="1225"/>
      <c r="FU5" s="1225"/>
      <c r="FV5" s="1225"/>
      <c r="FW5" s="1225"/>
      <c r="FX5" s="1225"/>
      <c r="FY5" s="1225"/>
      <c r="FZ5" s="1225"/>
      <c r="GA5" s="1225"/>
      <c r="GB5" s="1225"/>
      <c r="GC5" s="1225"/>
      <c r="GD5" s="1225"/>
      <c r="GE5" s="1225"/>
      <c r="GF5" s="1225"/>
      <c r="GG5" s="1225"/>
      <c r="GH5" s="1225"/>
      <c r="GI5" s="1225"/>
      <c r="GJ5" s="1225"/>
      <c r="GK5" s="1225"/>
      <c r="GL5" s="1225"/>
      <c r="GM5" s="1225"/>
      <c r="GN5" s="1225"/>
      <c r="GO5" s="1225"/>
      <c r="GP5" s="1225"/>
      <c r="GQ5" s="1225"/>
      <c r="GR5" s="1225"/>
      <c r="GS5" s="1225"/>
      <c r="GT5" s="1225"/>
      <c r="GU5" s="1225"/>
      <c r="GV5" s="1225"/>
      <c r="GW5" s="1225"/>
      <c r="GX5" s="1225"/>
      <c r="GY5" s="1225"/>
      <c r="GZ5" s="1225"/>
      <c r="HA5" s="1225"/>
      <c r="HB5" s="1225"/>
      <c r="HC5" s="1225"/>
      <c r="HD5" s="1225"/>
      <c r="HE5" s="1225"/>
      <c r="HF5" s="1225"/>
      <c r="HG5" s="1225"/>
      <c r="HH5" s="1225"/>
      <c r="HI5" s="1225"/>
      <c r="HJ5" s="1225"/>
      <c r="HK5" s="1225"/>
      <c r="HL5" s="1225"/>
      <c r="HM5" s="1225"/>
      <c r="HN5" s="1225"/>
      <c r="HO5" s="1225"/>
      <c r="HP5" s="1225"/>
      <c r="HQ5" s="1225"/>
      <c r="HR5" s="1225"/>
      <c r="HS5" s="1225"/>
      <c r="HT5" s="1225"/>
      <c r="HU5" s="1225"/>
      <c r="HV5" s="1225"/>
      <c r="HW5" s="1225"/>
      <c r="HX5" s="1225"/>
      <c r="HY5" s="1225"/>
      <c r="HZ5" s="1225"/>
      <c r="IA5" s="1225"/>
      <c r="IB5" s="1225"/>
      <c r="IC5" s="1225"/>
      <c r="ID5" s="1225"/>
      <c r="IE5" s="1225"/>
      <c r="IF5" s="1225"/>
      <c r="IG5" s="1225"/>
      <c r="IH5" s="1225"/>
      <c r="II5" s="1225"/>
      <c r="IJ5" s="1225"/>
      <c r="IK5" s="1225"/>
      <c r="IL5" s="1225"/>
      <c r="IM5" s="1225"/>
      <c r="IN5" s="1225"/>
      <c r="IO5" s="1225"/>
      <c r="IP5" s="1225"/>
      <c r="IQ5" s="1225"/>
      <c r="IR5" s="1225"/>
      <c r="IS5" s="1225"/>
      <c r="IT5" s="1225"/>
      <c r="IU5" s="1225"/>
      <c r="IV5" s="1225"/>
      <c r="IW5" s="1225"/>
      <c r="IX5" s="1225"/>
      <c r="IY5" s="1225"/>
      <c r="IZ5" s="1225"/>
      <c r="JA5" s="1225"/>
      <c r="JB5" s="1225"/>
      <c r="JC5" s="1225"/>
      <c r="JD5" s="1225"/>
      <c r="JE5" s="1225"/>
      <c r="JF5" s="1225"/>
      <c r="JG5" s="1225"/>
      <c r="JH5" s="1225"/>
      <c r="JI5" s="1225"/>
      <c r="JJ5" s="1225"/>
      <c r="JK5" s="1225"/>
      <c r="JL5" s="1225"/>
      <c r="JM5" s="1225"/>
      <c r="JN5" s="1225"/>
      <c r="JO5" s="1225"/>
      <c r="JP5" s="1225"/>
      <c r="JQ5" s="1225"/>
      <c r="JR5" s="1225"/>
      <c r="JS5" s="1225"/>
      <c r="JT5" s="1225"/>
      <c r="JU5" s="1225"/>
      <c r="JV5" s="1225"/>
      <c r="JW5" s="1225"/>
      <c r="JX5" s="1225"/>
      <c r="JY5" s="1225"/>
      <c r="JZ5" s="1225"/>
      <c r="KA5" s="1225"/>
      <c r="KB5" s="1225"/>
      <c r="KC5" s="1225"/>
      <c r="KD5" s="1225"/>
      <c r="KE5" s="1225"/>
      <c r="KF5" s="1225"/>
      <c r="KG5" s="1225"/>
      <c r="KH5" s="1225"/>
      <c r="KI5" s="1225"/>
      <c r="KJ5" s="1225"/>
      <c r="KK5" s="1225"/>
      <c r="KL5" s="1225"/>
      <c r="KM5" s="1225"/>
      <c r="KN5" s="1225"/>
      <c r="KO5" s="1225"/>
      <c r="KP5" s="1225"/>
      <c r="KQ5" s="1225"/>
      <c r="KR5" s="1225"/>
      <c r="KS5" s="1225"/>
      <c r="KT5" s="1225"/>
      <c r="KU5" s="1225"/>
      <c r="KV5" s="1225"/>
      <c r="KW5" s="1225"/>
      <c r="KX5" s="1225"/>
      <c r="KY5" s="1225"/>
      <c r="KZ5" s="1225"/>
      <c r="LA5" s="1225"/>
      <c r="LB5" s="1225"/>
      <c r="LC5" s="1225"/>
      <c r="LD5" s="1225"/>
      <c r="LE5" s="1225"/>
      <c r="LF5" s="1225"/>
      <c r="LG5" s="1225"/>
      <c r="LH5" s="1225"/>
      <c r="LI5" s="1225"/>
      <c r="LJ5" s="1225"/>
      <c r="LK5" s="1225"/>
      <c r="LL5" s="1225"/>
      <c r="LM5" s="1225"/>
      <c r="LN5" s="1225"/>
      <c r="LO5" s="1225"/>
      <c r="LP5" s="1225"/>
      <c r="LQ5" s="1225"/>
      <c r="LR5" s="1225"/>
      <c r="LS5" s="1225"/>
      <c r="LT5" s="1225"/>
      <c r="LU5" s="1225"/>
      <c r="LV5" s="1225"/>
      <c r="LW5" s="1225"/>
      <c r="LX5" s="1225"/>
      <c r="LY5" s="1225"/>
      <c r="LZ5" s="1225"/>
      <c r="MA5" s="1225"/>
      <c r="MB5" s="1225"/>
      <c r="MC5" s="1225"/>
      <c r="MD5" s="1225"/>
      <c r="ME5" s="1225"/>
      <c r="MF5" s="1225"/>
      <c r="MG5" s="1225"/>
      <c r="MH5" s="1225"/>
      <c r="MI5" s="1225"/>
      <c r="MJ5" s="1225"/>
      <c r="MK5" s="1225"/>
      <c r="ML5" s="1225"/>
      <c r="MM5" s="1225"/>
      <c r="MN5" s="1225"/>
      <c r="MO5" s="1225"/>
      <c r="MP5" s="1225"/>
      <c r="MQ5" s="1225"/>
      <c r="MR5" s="1225"/>
      <c r="MS5" s="1225"/>
      <c r="MT5" s="1225"/>
      <c r="MU5" s="1225"/>
      <c r="MV5" s="1225"/>
      <c r="MW5" s="1225"/>
      <c r="MX5" s="1225"/>
      <c r="MY5" s="1225"/>
      <c r="MZ5" s="1225"/>
      <c r="NA5" s="1225"/>
      <c r="NB5" s="1225"/>
      <c r="NC5" s="1225"/>
      <c r="ND5" s="1225"/>
      <c r="NE5" s="1225"/>
      <c r="NF5" s="1225"/>
      <c r="NG5" s="1225"/>
      <c r="NH5" s="1225"/>
      <c r="NI5" s="1225"/>
      <c r="NJ5" s="1225"/>
      <c r="NK5" s="1225"/>
      <c r="NL5" s="1225"/>
      <c r="NM5" s="1225"/>
      <c r="NN5" s="1225"/>
      <c r="NO5" s="1225"/>
      <c r="NP5" s="1225"/>
      <c r="NQ5" s="1225"/>
      <c r="NR5" s="1225"/>
      <c r="NS5" s="1225"/>
      <c r="NT5" s="1225"/>
      <c r="NU5" s="1225"/>
      <c r="NV5" s="1225"/>
      <c r="NW5" s="1225"/>
      <c r="NX5" s="1225"/>
      <c r="NY5" s="1225"/>
      <c r="NZ5" s="1225"/>
      <c r="OA5" s="1225"/>
      <c r="OB5" s="1225"/>
      <c r="OC5" s="1225"/>
      <c r="OD5" s="1225"/>
      <c r="OE5" s="1225"/>
      <c r="OF5" s="1225"/>
      <c r="OG5" s="1225"/>
      <c r="OH5" s="1225"/>
      <c r="OI5" s="1225"/>
      <c r="OJ5" s="1225"/>
      <c r="OK5" s="1225"/>
      <c r="OL5" s="1225"/>
      <c r="OM5" s="1225"/>
      <c r="ON5" s="1225"/>
      <c r="OO5" s="1225"/>
      <c r="OP5" s="1225"/>
      <c r="OQ5" s="1225"/>
      <c r="OR5" s="1225"/>
      <c r="OS5" s="1225"/>
      <c r="OT5" s="1225"/>
      <c r="OU5" s="1225"/>
      <c r="OV5" s="1225"/>
      <c r="OW5" s="1225"/>
      <c r="OX5" s="1225"/>
      <c r="OY5" s="1225"/>
      <c r="OZ5" s="1225"/>
      <c r="PA5" s="1225"/>
      <c r="PB5" s="1225"/>
      <c r="PC5" s="1225"/>
      <c r="PD5" s="1225"/>
      <c r="PE5" s="1225"/>
      <c r="PF5" s="1225"/>
      <c r="PG5" s="1225"/>
      <c r="PH5" s="1225"/>
      <c r="PI5" s="1225"/>
      <c r="PJ5" s="1225"/>
      <c r="PK5" s="1225"/>
      <c r="PL5" s="1225"/>
      <c r="PM5" s="1225"/>
      <c r="PN5" s="1225"/>
      <c r="PO5" s="1225"/>
      <c r="PP5" s="1225"/>
      <c r="PQ5" s="1225"/>
      <c r="PR5" s="1225"/>
      <c r="PS5" s="1225"/>
      <c r="PT5" s="1225"/>
      <c r="PU5" s="1225"/>
      <c r="PV5" s="1225"/>
      <c r="PW5" s="1225"/>
      <c r="PX5" s="1225"/>
      <c r="PY5" s="1225"/>
      <c r="PZ5" s="1225"/>
      <c r="QA5" s="1225"/>
      <c r="QB5" s="1225"/>
      <c r="QC5" s="1225"/>
      <c r="QD5" s="1225"/>
      <c r="QE5" s="1225"/>
      <c r="QF5" s="1225"/>
      <c r="QG5" s="1225"/>
      <c r="QH5" s="1225"/>
      <c r="QI5" s="1225"/>
      <c r="QJ5" s="1225"/>
      <c r="QK5" s="1225"/>
      <c r="QL5" s="1225"/>
      <c r="QM5" s="1225"/>
      <c r="QN5" s="1225"/>
      <c r="QO5" s="1225"/>
      <c r="QP5" s="1225"/>
      <c r="QQ5" s="1225"/>
      <c r="QR5" s="1225"/>
      <c r="QS5" s="1225"/>
      <c r="QT5" s="1225"/>
      <c r="QU5" s="1225"/>
      <c r="QV5" s="1225"/>
      <c r="QW5" s="1225"/>
      <c r="QX5" s="1225"/>
      <c r="QY5" s="1225"/>
      <c r="QZ5" s="1225"/>
      <c r="RA5" s="1225"/>
      <c r="RB5" s="1225"/>
      <c r="RC5" s="1225"/>
      <c r="RD5" s="1225"/>
      <c r="RE5" s="1225"/>
      <c r="RF5" s="1225"/>
      <c r="RG5" s="1225"/>
      <c r="RH5" s="1225"/>
      <c r="RI5" s="1225"/>
      <c r="RJ5" s="1225"/>
      <c r="RK5" s="1225"/>
      <c r="RL5" s="1225"/>
      <c r="RM5" s="1225"/>
      <c r="RN5" s="1225"/>
      <c r="RO5" s="1225"/>
      <c r="RP5" s="1225"/>
      <c r="RQ5" s="1225"/>
      <c r="RR5" s="1225"/>
      <c r="RS5" s="1225"/>
      <c r="RT5" s="1225"/>
      <c r="RU5" s="1225"/>
      <c r="RV5" s="1225"/>
      <c r="RW5" s="1225"/>
      <c r="RX5" s="1225"/>
      <c r="RY5" s="1225"/>
      <c r="RZ5" s="1225"/>
      <c r="SA5" s="1225"/>
      <c r="SB5" s="1225"/>
      <c r="SC5" s="1225"/>
      <c r="SD5" s="1225"/>
      <c r="SE5" s="1225"/>
      <c r="SF5" s="1225"/>
      <c r="SG5" s="1225"/>
      <c r="SH5" s="1225"/>
      <c r="SI5" s="1225"/>
      <c r="SJ5" s="1225"/>
      <c r="SK5" s="1225"/>
      <c r="SL5" s="1225"/>
      <c r="SM5" s="1225"/>
      <c r="SN5" s="1225"/>
      <c r="SO5" s="1225"/>
      <c r="SP5" s="1225"/>
      <c r="SQ5" s="1225"/>
      <c r="SR5" s="1225"/>
      <c r="SS5" s="1225"/>
      <c r="ST5" s="1225"/>
      <c r="SU5" s="1225"/>
      <c r="SV5" s="1225"/>
      <c r="SW5" s="1225"/>
      <c r="SX5" s="1225"/>
      <c r="SY5" s="1225"/>
      <c r="SZ5" s="1225"/>
      <c r="TA5" s="1225"/>
      <c r="TB5" s="1225"/>
      <c r="TC5" s="1225"/>
      <c r="TD5" s="1225"/>
      <c r="TE5" s="1225"/>
      <c r="TF5" s="1225"/>
      <c r="TG5" s="1225"/>
      <c r="TH5" s="1225"/>
      <c r="TI5" s="1225"/>
      <c r="TJ5" s="1225"/>
      <c r="TK5" s="1225"/>
      <c r="TL5" s="1225"/>
      <c r="TM5" s="1225"/>
      <c r="TN5" s="1225"/>
      <c r="TO5" s="1225"/>
      <c r="TP5" s="1225"/>
      <c r="TQ5" s="1225"/>
      <c r="TR5" s="1225"/>
      <c r="TS5" s="1225"/>
      <c r="TT5" s="1225"/>
      <c r="TU5" s="1225"/>
      <c r="TV5" s="1225"/>
      <c r="TW5" s="1225"/>
      <c r="TX5" s="1225"/>
      <c r="TY5" s="1225"/>
      <c r="TZ5" s="1225"/>
      <c r="UA5" s="1225"/>
      <c r="UB5" s="1225"/>
      <c r="UC5" s="1225"/>
      <c r="UD5" s="1225"/>
      <c r="UE5" s="1225"/>
      <c r="UF5" s="1225"/>
      <c r="UG5" s="1225"/>
      <c r="UH5" s="1225"/>
      <c r="UI5" s="1225"/>
      <c r="UJ5" s="1225"/>
      <c r="UK5" s="1225"/>
      <c r="UL5" s="1225"/>
      <c r="UM5" s="1225"/>
      <c r="UN5" s="1225"/>
      <c r="UO5" s="1225"/>
      <c r="UP5" s="1225"/>
      <c r="UQ5" s="1225"/>
      <c r="UR5" s="1225"/>
      <c r="US5" s="1225"/>
      <c r="UT5" s="1225"/>
      <c r="UU5" s="1225"/>
      <c r="UV5" s="1225"/>
      <c r="UW5" s="1225"/>
      <c r="UX5" s="1225"/>
      <c r="UY5" s="1225"/>
      <c r="UZ5" s="1225"/>
      <c r="VA5" s="1225"/>
      <c r="VB5" s="1225"/>
      <c r="VC5" s="1225"/>
      <c r="VD5" s="1225"/>
      <c r="VE5" s="1225"/>
      <c r="VF5" s="1225"/>
      <c r="VG5" s="1225"/>
      <c r="VH5" s="1225"/>
      <c r="VI5" s="1225"/>
      <c r="VJ5" s="1225"/>
      <c r="VK5" s="1225"/>
      <c r="VL5" s="1225"/>
      <c r="VM5" s="1225"/>
      <c r="VN5" s="1225"/>
      <c r="VO5" s="1225"/>
      <c r="VP5" s="1225"/>
      <c r="VQ5" s="1225"/>
      <c r="VR5" s="1225"/>
      <c r="VS5" s="1225"/>
      <c r="VT5" s="1225"/>
      <c r="VU5" s="1225"/>
      <c r="VV5" s="1225"/>
      <c r="VW5" s="1225"/>
      <c r="VX5" s="1225"/>
      <c r="VY5" s="1225"/>
      <c r="VZ5" s="1225"/>
      <c r="WA5" s="1225"/>
      <c r="WB5" s="1225"/>
      <c r="WC5" s="1225"/>
      <c r="WD5" s="1225"/>
      <c r="WE5" s="1225"/>
      <c r="WF5" s="1225"/>
      <c r="WG5" s="1225"/>
      <c r="WH5" s="1225"/>
      <c r="WI5" s="1225"/>
      <c r="WJ5" s="1225"/>
      <c r="WK5" s="1225"/>
      <c r="WL5" s="1225"/>
      <c r="WM5" s="1225"/>
      <c r="WN5" s="1225"/>
      <c r="WO5" s="1225"/>
      <c r="WP5" s="1225"/>
      <c r="WQ5" s="1225"/>
      <c r="WR5" s="1225"/>
      <c r="WS5" s="1225"/>
      <c r="WT5" s="1225"/>
      <c r="WU5" s="1225"/>
      <c r="WV5" s="1225"/>
      <c r="WW5" s="1225"/>
      <c r="WX5" s="1225"/>
      <c r="WY5" s="1225"/>
      <c r="WZ5" s="1225"/>
      <c r="XA5" s="1225"/>
      <c r="XB5" s="1225"/>
      <c r="XC5" s="1225"/>
      <c r="XD5" s="1225"/>
      <c r="XE5" s="1225"/>
      <c r="XF5" s="1225"/>
      <c r="XG5" s="1225"/>
      <c r="XH5" s="1225"/>
      <c r="XI5" s="1225"/>
      <c r="XJ5" s="1225"/>
      <c r="XK5" s="1225"/>
      <c r="XL5" s="1225"/>
      <c r="XM5" s="1225"/>
      <c r="XN5" s="1225"/>
      <c r="XO5" s="1225"/>
      <c r="XP5" s="1225"/>
      <c r="XQ5" s="1225"/>
      <c r="XR5" s="1225"/>
      <c r="XS5" s="1225"/>
      <c r="XT5" s="1225"/>
      <c r="XU5" s="1225"/>
      <c r="XV5" s="1225"/>
      <c r="XW5" s="1225"/>
      <c r="XX5" s="1225"/>
      <c r="XY5" s="1225"/>
      <c r="XZ5" s="1225"/>
      <c r="YA5" s="1225"/>
      <c r="YB5" s="1225"/>
      <c r="YC5" s="1225"/>
      <c r="YD5" s="1225"/>
      <c r="YE5" s="1225"/>
      <c r="YF5" s="1225"/>
      <c r="YG5" s="1225"/>
      <c r="YH5" s="1225"/>
      <c r="YI5" s="1225"/>
      <c r="YJ5" s="1225"/>
      <c r="YK5" s="1225"/>
      <c r="YL5" s="1225"/>
      <c r="YM5" s="1225"/>
      <c r="YN5" s="1225"/>
      <c r="YO5" s="1225"/>
      <c r="YP5" s="1225"/>
      <c r="YQ5" s="1225"/>
      <c r="YR5" s="1225"/>
      <c r="YS5" s="1225"/>
      <c r="YT5" s="1225"/>
      <c r="YU5" s="1225"/>
      <c r="YV5" s="1225"/>
      <c r="YW5" s="1225"/>
      <c r="YX5" s="1225"/>
      <c r="YY5" s="1225"/>
      <c r="YZ5" s="1225"/>
      <c r="ZA5" s="1225"/>
      <c r="ZB5" s="1225"/>
      <c r="ZC5" s="1225"/>
      <c r="ZD5" s="1225"/>
      <c r="ZE5" s="1225"/>
      <c r="ZF5" s="1225"/>
      <c r="ZG5" s="1225"/>
      <c r="ZH5" s="1225"/>
      <c r="ZI5" s="1225"/>
      <c r="ZJ5" s="1225"/>
      <c r="ZK5" s="1225"/>
      <c r="ZL5" s="1225"/>
      <c r="ZM5" s="1225"/>
      <c r="ZN5" s="1225"/>
      <c r="ZO5" s="1225"/>
      <c r="ZP5" s="1225"/>
      <c r="ZQ5" s="1225"/>
      <c r="ZR5" s="1225"/>
      <c r="ZS5" s="1225"/>
      <c r="ZT5" s="1225"/>
      <c r="ZU5" s="1225"/>
      <c r="ZV5" s="1225"/>
      <c r="ZW5" s="1225"/>
      <c r="ZX5" s="1225"/>
      <c r="ZY5" s="1225"/>
      <c r="ZZ5" s="1225"/>
      <c r="AAA5" s="1225"/>
      <c r="AAB5" s="1225"/>
      <c r="AAC5" s="1225"/>
      <c r="AAD5" s="1225"/>
      <c r="AAE5" s="1225"/>
      <c r="AAF5" s="1225"/>
      <c r="AAG5" s="1225"/>
      <c r="AAH5" s="1225"/>
      <c r="AAI5" s="1225"/>
      <c r="AAJ5" s="1225"/>
      <c r="AAK5" s="1225"/>
      <c r="AAL5" s="1225"/>
      <c r="AAM5" s="1225"/>
      <c r="AAN5" s="1225"/>
      <c r="AAO5" s="1225"/>
      <c r="AAP5" s="1225"/>
      <c r="AAQ5" s="1225"/>
      <c r="AAR5" s="1225"/>
      <c r="AAS5" s="1225"/>
      <c r="AAT5" s="1225"/>
      <c r="AAU5" s="1225"/>
      <c r="AAV5" s="1225"/>
      <c r="AAW5" s="1225"/>
      <c r="AAX5" s="1225"/>
      <c r="AAY5" s="1225"/>
      <c r="AAZ5" s="1225"/>
      <c r="ABA5" s="1225"/>
      <c r="ABB5" s="1225"/>
      <c r="ABC5" s="1225"/>
      <c r="ABD5" s="1225"/>
      <c r="ABE5" s="1225"/>
      <c r="ABF5" s="1225"/>
      <c r="ABG5" s="1225"/>
      <c r="ABH5" s="1225"/>
      <c r="ABI5" s="1225"/>
      <c r="ABJ5" s="1225"/>
      <c r="ABK5" s="1225"/>
      <c r="ABL5" s="1225"/>
      <c r="ABM5" s="1225"/>
      <c r="ABN5" s="1225"/>
      <c r="ABO5" s="1225"/>
      <c r="ABP5" s="1225"/>
      <c r="ABQ5" s="1225"/>
      <c r="ABR5" s="1225"/>
      <c r="ABS5" s="1225"/>
      <c r="ABT5" s="1225"/>
      <c r="ABU5" s="1225"/>
      <c r="ABV5" s="1225"/>
      <c r="ABW5" s="1225"/>
      <c r="ABX5" s="1225"/>
      <c r="ABY5" s="1225"/>
      <c r="ABZ5" s="1225"/>
      <c r="ACA5" s="1225"/>
      <c r="ACB5" s="1225"/>
      <c r="ACC5" s="1225"/>
      <c r="ACD5" s="1225"/>
      <c r="ACE5" s="1225"/>
      <c r="ACF5" s="1225"/>
      <c r="ACG5" s="1225"/>
      <c r="ACH5" s="1225"/>
      <c r="ACI5" s="1225"/>
      <c r="ACJ5" s="1225"/>
      <c r="ACK5" s="1225"/>
      <c r="ACL5" s="1225"/>
      <c r="ACM5" s="1225"/>
      <c r="ACN5" s="1225"/>
      <c r="ACO5" s="1225"/>
      <c r="ACP5" s="1225"/>
      <c r="ACQ5" s="1225"/>
      <c r="ACR5" s="1225"/>
      <c r="ACS5" s="1225"/>
      <c r="ACT5" s="1225"/>
      <c r="ACU5" s="1225"/>
      <c r="ACV5" s="1225"/>
      <c r="ACW5" s="1225"/>
      <c r="ACX5" s="1225"/>
      <c r="ACY5" s="1225"/>
      <c r="ACZ5" s="1225"/>
      <c r="ADA5" s="1225"/>
      <c r="ADB5" s="1225"/>
      <c r="ADC5" s="1225"/>
      <c r="ADD5" s="1225"/>
      <c r="ADE5" s="1225"/>
      <c r="ADF5" s="1225"/>
      <c r="ADG5" s="1225"/>
    </row>
    <row r="6" spans="1:787" s="1224" customFormat="1" ht="13">
      <c r="A6" s="1225"/>
      <c r="B6" s="1400"/>
      <c r="C6" s="1230"/>
      <c r="D6" s="1231" t="s">
        <v>10</v>
      </c>
      <c r="E6" s="1231"/>
      <c r="F6" s="1401"/>
      <c r="G6" s="1231"/>
      <c r="H6" s="1235">
        <f>+'全期规划指标 '!H44</f>
        <v>24565.840000000004</v>
      </c>
      <c r="I6" s="1235">
        <v>0</v>
      </c>
      <c r="J6" s="1402">
        <f>+'全期规划指标 '!H20+'全期规划指标 '!H21</f>
        <v>43173.95</v>
      </c>
      <c r="K6" s="1402">
        <f>+'全期规划指标 '!H30</f>
        <v>0</v>
      </c>
      <c r="L6" s="1402">
        <f>'全期规划指标 '!H36</f>
        <v>1142.02</v>
      </c>
      <c r="M6" s="1402">
        <f>'全期规划指标 '!H26</f>
        <v>1058.93</v>
      </c>
      <c r="N6" s="1402">
        <f>+'全期规划指标 '!H41</f>
        <v>9409.4599999999991</v>
      </c>
      <c r="O6" s="1402">
        <f>+'全期规划指标 '!H22</f>
        <v>0</v>
      </c>
      <c r="P6" s="1402">
        <f>+'全期规划指标 '!H24</f>
        <v>59174.38</v>
      </c>
      <c r="Q6" s="1402"/>
      <c r="R6" s="1402"/>
      <c r="S6" s="1402"/>
      <c r="T6" s="1402">
        <f>SUM(H6:P6)</f>
        <v>138524.58000000002</v>
      </c>
      <c r="U6" s="1236"/>
      <c r="V6" s="1225"/>
      <c r="W6" s="1225"/>
      <c r="X6" s="1225"/>
      <c r="Y6" s="1225"/>
      <c r="Z6" s="1225"/>
      <c r="AA6" s="1225"/>
      <c r="AB6" s="1225"/>
      <c r="AC6" s="1225"/>
      <c r="AD6" s="1225"/>
      <c r="AE6" s="1225"/>
      <c r="AF6" s="1225"/>
      <c r="AG6" s="1225"/>
      <c r="AH6" s="1225"/>
      <c r="AI6" s="1225"/>
      <c r="AJ6" s="1225"/>
      <c r="AK6" s="1225"/>
      <c r="AL6" s="1225"/>
      <c r="AM6" s="1225"/>
      <c r="AN6" s="1225"/>
      <c r="AO6" s="1225"/>
      <c r="AP6" s="1225"/>
      <c r="AQ6" s="1225"/>
      <c r="AR6" s="1225"/>
      <c r="AS6" s="1225"/>
      <c r="AT6" s="1225"/>
      <c r="AU6" s="1225"/>
      <c r="AV6" s="1225"/>
      <c r="AW6" s="1225"/>
      <c r="AX6" s="1225"/>
      <c r="AY6" s="1225"/>
      <c r="AZ6" s="1225"/>
      <c r="BA6" s="1225"/>
      <c r="BB6" s="1225"/>
      <c r="BC6" s="1225"/>
      <c r="BD6" s="1225"/>
      <c r="BE6" s="1225"/>
      <c r="BF6" s="1225"/>
      <c r="BG6" s="1225"/>
      <c r="BH6" s="1225"/>
      <c r="BI6" s="1225"/>
      <c r="BJ6" s="1225"/>
      <c r="BK6" s="1225"/>
      <c r="BL6" s="1225"/>
      <c r="BM6" s="1225"/>
      <c r="BN6" s="1225"/>
      <c r="BO6" s="1225"/>
      <c r="BP6" s="1225"/>
      <c r="BQ6" s="1225"/>
      <c r="BR6" s="1225"/>
      <c r="BS6" s="1225"/>
      <c r="BT6" s="1225"/>
      <c r="BU6" s="1225"/>
      <c r="BV6" s="1225"/>
      <c r="BW6" s="1225"/>
      <c r="BX6" s="1225"/>
      <c r="BY6" s="1225"/>
      <c r="BZ6" s="1225"/>
      <c r="CA6" s="1225"/>
      <c r="CB6" s="1225"/>
      <c r="CC6" s="1225"/>
      <c r="CD6" s="1225"/>
      <c r="CE6" s="1225"/>
      <c r="CF6" s="1225"/>
      <c r="CG6" s="1225"/>
      <c r="CH6" s="1225"/>
      <c r="CI6" s="1225"/>
      <c r="CJ6" s="1225"/>
      <c r="CK6" s="1225"/>
      <c r="CL6" s="1225"/>
      <c r="CM6" s="1225"/>
      <c r="CN6" s="1225"/>
      <c r="CO6" s="1225"/>
      <c r="CP6" s="1225"/>
      <c r="CQ6" s="1225"/>
      <c r="CR6" s="1225"/>
      <c r="CS6" s="1225"/>
      <c r="CT6" s="1225"/>
      <c r="CU6" s="1225"/>
      <c r="CV6" s="1225"/>
      <c r="CW6" s="1225"/>
      <c r="CX6" s="1225"/>
      <c r="CY6" s="1225"/>
      <c r="CZ6" s="1225"/>
      <c r="DA6" s="1225"/>
      <c r="DB6" s="1225"/>
      <c r="DC6" s="1225"/>
      <c r="DD6" s="1225"/>
      <c r="DE6" s="1225"/>
      <c r="DF6" s="1225"/>
      <c r="DG6" s="1225"/>
      <c r="DH6" s="1225"/>
      <c r="DI6" s="1225"/>
      <c r="DJ6" s="1225"/>
      <c r="DK6" s="1225"/>
      <c r="DL6" s="1225"/>
      <c r="DM6" s="1225"/>
      <c r="DN6" s="1225"/>
      <c r="DO6" s="1225"/>
      <c r="DP6" s="1225"/>
      <c r="DQ6" s="1225"/>
      <c r="DR6" s="1225"/>
      <c r="DS6" s="1225"/>
      <c r="DT6" s="1225"/>
      <c r="DU6" s="1225"/>
      <c r="DV6" s="1225"/>
      <c r="DW6" s="1225"/>
      <c r="DX6" s="1225"/>
      <c r="DY6" s="1225"/>
      <c r="DZ6" s="1225"/>
      <c r="EA6" s="1225"/>
      <c r="EB6" s="1225"/>
      <c r="EC6" s="1225"/>
      <c r="ED6" s="1225"/>
      <c r="EE6" s="1225"/>
      <c r="EF6" s="1225"/>
      <c r="EG6" s="1225"/>
      <c r="EH6" s="1225"/>
      <c r="EI6" s="1225"/>
      <c r="EJ6" s="1225"/>
      <c r="EK6" s="1225"/>
      <c r="EL6" s="1225"/>
      <c r="EM6" s="1225"/>
      <c r="EN6" s="1225"/>
      <c r="EO6" s="1225"/>
      <c r="EP6" s="1225"/>
      <c r="EQ6" s="1225"/>
      <c r="ER6" s="1225"/>
      <c r="ES6" s="1225"/>
      <c r="ET6" s="1225"/>
      <c r="EU6" s="1225"/>
      <c r="EV6" s="1225"/>
      <c r="EW6" s="1225"/>
      <c r="EX6" s="1225"/>
      <c r="EY6" s="1225"/>
      <c r="EZ6" s="1225"/>
      <c r="FA6" s="1225"/>
      <c r="FB6" s="1225"/>
      <c r="FC6" s="1225"/>
      <c r="FD6" s="1225"/>
      <c r="FE6" s="1225"/>
      <c r="FF6" s="1225"/>
      <c r="FG6" s="1225"/>
      <c r="FH6" s="1225"/>
      <c r="FI6" s="1225"/>
      <c r="FJ6" s="1225"/>
      <c r="FK6" s="1225"/>
      <c r="FL6" s="1225"/>
      <c r="FM6" s="1225"/>
      <c r="FN6" s="1225"/>
      <c r="FO6" s="1225"/>
      <c r="FP6" s="1225"/>
      <c r="FQ6" s="1225"/>
      <c r="FR6" s="1225"/>
      <c r="FS6" s="1225"/>
      <c r="FT6" s="1225"/>
      <c r="FU6" s="1225"/>
      <c r="FV6" s="1225"/>
      <c r="FW6" s="1225"/>
      <c r="FX6" s="1225"/>
      <c r="FY6" s="1225"/>
      <c r="FZ6" s="1225"/>
      <c r="GA6" s="1225"/>
      <c r="GB6" s="1225"/>
      <c r="GC6" s="1225"/>
      <c r="GD6" s="1225"/>
      <c r="GE6" s="1225"/>
      <c r="GF6" s="1225"/>
      <c r="GG6" s="1225"/>
      <c r="GH6" s="1225"/>
      <c r="GI6" s="1225"/>
      <c r="GJ6" s="1225"/>
      <c r="GK6" s="1225"/>
      <c r="GL6" s="1225"/>
      <c r="GM6" s="1225"/>
      <c r="GN6" s="1225"/>
      <c r="GO6" s="1225"/>
      <c r="GP6" s="1225"/>
      <c r="GQ6" s="1225"/>
      <c r="GR6" s="1225"/>
      <c r="GS6" s="1225"/>
      <c r="GT6" s="1225"/>
      <c r="GU6" s="1225"/>
      <c r="GV6" s="1225"/>
      <c r="GW6" s="1225"/>
      <c r="GX6" s="1225"/>
      <c r="GY6" s="1225"/>
      <c r="GZ6" s="1225"/>
      <c r="HA6" s="1225"/>
      <c r="HB6" s="1225"/>
      <c r="HC6" s="1225"/>
      <c r="HD6" s="1225"/>
      <c r="HE6" s="1225"/>
      <c r="HF6" s="1225"/>
      <c r="HG6" s="1225"/>
      <c r="HH6" s="1225"/>
      <c r="HI6" s="1225"/>
      <c r="HJ6" s="1225"/>
      <c r="HK6" s="1225"/>
      <c r="HL6" s="1225"/>
      <c r="HM6" s="1225"/>
      <c r="HN6" s="1225"/>
      <c r="HO6" s="1225"/>
      <c r="HP6" s="1225"/>
      <c r="HQ6" s="1225"/>
      <c r="HR6" s="1225"/>
      <c r="HS6" s="1225"/>
      <c r="HT6" s="1225"/>
      <c r="HU6" s="1225"/>
      <c r="HV6" s="1225"/>
      <c r="HW6" s="1225"/>
      <c r="HX6" s="1225"/>
      <c r="HY6" s="1225"/>
      <c r="HZ6" s="1225"/>
      <c r="IA6" s="1225"/>
      <c r="IB6" s="1225"/>
      <c r="IC6" s="1225"/>
      <c r="ID6" s="1225"/>
      <c r="IE6" s="1225"/>
      <c r="IF6" s="1225"/>
      <c r="IG6" s="1225"/>
      <c r="IH6" s="1225"/>
      <c r="II6" s="1225"/>
      <c r="IJ6" s="1225"/>
      <c r="IK6" s="1225"/>
      <c r="IL6" s="1225"/>
      <c r="IM6" s="1225"/>
      <c r="IN6" s="1225"/>
      <c r="IO6" s="1225"/>
      <c r="IP6" s="1225"/>
      <c r="IQ6" s="1225"/>
      <c r="IR6" s="1225"/>
      <c r="IS6" s="1225"/>
      <c r="IT6" s="1225"/>
      <c r="IU6" s="1225"/>
      <c r="IV6" s="1225"/>
      <c r="IW6" s="1225"/>
      <c r="IX6" s="1225"/>
      <c r="IY6" s="1225"/>
      <c r="IZ6" s="1225"/>
      <c r="JA6" s="1225"/>
      <c r="JB6" s="1225"/>
      <c r="JC6" s="1225"/>
      <c r="JD6" s="1225"/>
      <c r="JE6" s="1225"/>
      <c r="JF6" s="1225"/>
      <c r="JG6" s="1225"/>
      <c r="JH6" s="1225"/>
      <c r="JI6" s="1225"/>
      <c r="JJ6" s="1225"/>
      <c r="JK6" s="1225"/>
      <c r="JL6" s="1225"/>
      <c r="JM6" s="1225"/>
      <c r="JN6" s="1225"/>
      <c r="JO6" s="1225"/>
      <c r="JP6" s="1225"/>
      <c r="JQ6" s="1225"/>
      <c r="JR6" s="1225"/>
      <c r="JS6" s="1225"/>
      <c r="JT6" s="1225"/>
      <c r="JU6" s="1225"/>
      <c r="JV6" s="1225"/>
      <c r="JW6" s="1225"/>
      <c r="JX6" s="1225"/>
      <c r="JY6" s="1225"/>
      <c r="JZ6" s="1225"/>
      <c r="KA6" s="1225"/>
      <c r="KB6" s="1225"/>
      <c r="KC6" s="1225"/>
      <c r="KD6" s="1225"/>
      <c r="KE6" s="1225"/>
      <c r="KF6" s="1225"/>
      <c r="KG6" s="1225"/>
      <c r="KH6" s="1225"/>
      <c r="KI6" s="1225"/>
      <c r="KJ6" s="1225"/>
      <c r="KK6" s="1225"/>
      <c r="KL6" s="1225"/>
      <c r="KM6" s="1225"/>
      <c r="KN6" s="1225"/>
      <c r="KO6" s="1225"/>
      <c r="KP6" s="1225"/>
      <c r="KQ6" s="1225"/>
      <c r="KR6" s="1225"/>
      <c r="KS6" s="1225"/>
      <c r="KT6" s="1225"/>
      <c r="KU6" s="1225"/>
      <c r="KV6" s="1225"/>
      <c r="KW6" s="1225"/>
      <c r="KX6" s="1225"/>
      <c r="KY6" s="1225"/>
      <c r="KZ6" s="1225"/>
      <c r="LA6" s="1225"/>
      <c r="LB6" s="1225"/>
      <c r="LC6" s="1225"/>
      <c r="LD6" s="1225"/>
      <c r="LE6" s="1225"/>
      <c r="LF6" s="1225"/>
      <c r="LG6" s="1225"/>
      <c r="LH6" s="1225"/>
      <c r="LI6" s="1225"/>
      <c r="LJ6" s="1225"/>
      <c r="LK6" s="1225"/>
      <c r="LL6" s="1225"/>
      <c r="LM6" s="1225"/>
      <c r="LN6" s="1225"/>
      <c r="LO6" s="1225"/>
      <c r="LP6" s="1225"/>
      <c r="LQ6" s="1225"/>
      <c r="LR6" s="1225"/>
      <c r="LS6" s="1225"/>
      <c r="LT6" s="1225"/>
      <c r="LU6" s="1225"/>
      <c r="LV6" s="1225"/>
      <c r="LW6" s="1225"/>
      <c r="LX6" s="1225"/>
      <c r="LY6" s="1225"/>
      <c r="LZ6" s="1225"/>
      <c r="MA6" s="1225"/>
      <c r="MB6" s="1225"/>
      <c r="MC6" s="1225"/>
      <c r="MD6" s="1225"/>
      <c r="ME6" s="1225"/>
      <c r="MF6" s="1225"/>
      <c r="MG6" s="1225"/>
      <c r="MH6" s="1225"/>
      <c r="MI6" s="1225"/>
      <c r="MJ6" s="1225"/>
      <c r="MK6" s="1225"/>
      <c r="ML6" s="1225"/>
      <c r="MM6" s="1225"/>
      <c r="MN6" s="1225"/>
      <c r="MO6" s="1225"/>
      <c r="MP6" s="1225"/>
      <c r="MQ6" s="1225"/>
      <c r="MR6" s="1225"/>
      <c r="MS6" s="1225"/>
      <c r="MT6" s="1225"/>
      <c r="MU6" s="1225"/>
      <c r="MV6" s="1225"/>
      <c r="MW6" s="1225"/>
      <c r="MX6" s="1225"/>
      <c r="MY6" s="1225"/>
      <c r="MZ6" s="1225"/>
      <c r="NA6" s="1225"/>
      <c r="NB6" s="1225"/>
      <c r="NC6" s="1225"/>
      <c r="ND6" s="1225"/>
      <c r="NE6" s="1225"/>
      <c r="NF6" s="1225"/>
      <c r="NG6" s="1225"/>
      <c r="NH6" s="1225"/>
      <c r="NI6" s="1225"/>
      <c r="NJ6" s="1225"/>
      <c r="NK6" s="1225"/>
      <c r="NL6" s="1225"/>
      <c r="NM6" s="1225"/>
      <c r="NN6" s="1225"/>
      <c r="NO6" s="1225"/>
      <c r="NP6" s="1225"/>
      <c r="NQ6" s="1225"/>
      <c r="NR6" s="1225"/>
      <c r="NS6" s="1225"/>
      <c r="NT6" s="1225"/>
      <c r="NU6" s="1225"/>
      <c r="NV6" s="1225"/>
      <c r="NW6" s="1225"/>
      <c r="NX6" s="1225"/>
      <c r="NY6" s="1225"/>
      <c r="NZ6" s="1225"/>
      <c r="OA6" s="1225"/>
      <c r="OB6" s="1225"/>
      <c r="OC6" s="1225"/>
      <c r="OD6" s="1225"/>
      <c r="OE6" s="1225"/>
      <c r="OF6" s="1225"/>
      <c r="OG6" s="1225"/>
      <c r="OH6" s="1225"/>
      <c r="OI6" s="1225"/>
      <c r="OJ6" s="1225"/>
      <c r="OK6" s="1225"/>
      <c r="OL6" s="1225"/>
      <c r="OM6" s="1225"/>
      <c r="ON6" s="1225"/>
      <c r="OO6" s="1225"/>
      <c r="OP6" s="1225"/>
      <c r="OQ6" s="1225"/>
      <c r="OR6" s="1225"/>
      <c r="OS6" s="1225"/>
      <c r="OT6" s="1225"/>
      <c r="OU6" s="1225"/>
      <c r="OV6" s="1225"/>
      <c r="OW6" s="1225"/>
      <c r="OX6" s="1225"/>
      <c r="OY6" s="1225"/>
      <c r="OZ6" s="1225"/>
      <c r="PA6" s="1225"/>
      <c r="PB6" s="1225"/>
      <c r="PC6" s="1225"/>
      <c r="PD6" s="1225"/>
      <c r="PE6" s="1225"/>
      <c r="PF6" s="1225"/>
      <c r="PG6" s="1225"/>
      <c r="PH6" s="1225"/>
      <c r="PI6" s="1225"/>
      <c r="PJ6" s="1225"/>
      <c r="PK6" s="1225"/>
      <c r="PL6" s="1225"/>
      <c r="PM6" s="1225"/>
      <c r="PN6" s="1225"/>
      <c r="PO6" s="1225"/>
      <c r="PP6" s="1225"/>
      <c r="PQ6" s="1225"/>
      <c r="PR6" s="1225"/>
      <c r="PS6" s="1225"/>
      <c r="PT6" s="1225"/>
      <c r="PU6" s="1225"/>
      <c r="PV6" s="1225"/>
      <c r="PW6" s="1225"/>
      <c r="PX6" s="1225"/>
      <c r="PY6" s="1225"/>
      <c r="PZ6" s="1225"/>
      <c r="QA6" s="1225"/>
      <c r="QB6" s="1225"/>
      <c r="QC6" s="1225"/>
      <c r="QD6" s="1225"/>
      <c r="QE6" s="1225"/>
      <c r="QF6" s="1225"/>
      <c r="QG6" s="1225"/>
      <c r="QH6" s="1225"/>
      <c r="QI6" s="1225"/>
      <c r="QJ6" s="1225"/>
      <c r="QK6" s="1225"/>
      <c r="QL6" s="1225"/>
      <c r="QM6" s="1225"/>
      <c r="QN6" s="1225"/>
      <c r="QO6" s="1225"/>
      <c r="QP6" s="1225"/>
      <c r="QQ6" s="1225"/>
      <c r="QR6" s="1225"/>
      <c r="QS6" s="1225"/>
      <c r="QT6" s="1225"/>
      <c r="QU6" s="1225"/>
      <c r="QV6" s="1225"/>
      <c r="QW6" s="1225"/>
      <c r="QX6" s="1225"/>
      <c r="QY6" s="1225"/>
      <c r="QZ6" s="1225"/>
      <c r="RA6" s="1225"/>
      <c r="RB6" s="1225"/>
      <c r="RC6" s="1225"/>
      <c r="RD6" s="1225"/>
      <c r="RE6" s="1225"/>
      <c r="RF6" s="1225"/>
      <c r="RG6" s="1225"/>
      <c r="RH6" s="1225"/>
      <c r="RI6" s="1225"/>
      <c r="RJ6" s="1225"/>
      <c r="RK6" s="1225"/>
      <c r="RL6" s="1225"/>
      <c r="RM6" s="1225"/>
      <c r="RN6" s="1225"/>
      <c r="RO6" s="1225"/>
      <c r="RP6" s="1225"/>
      <c r="RQ6" s="1225"/>
      <c r="RR6" s="1225"/>
      <c r="RS6" s="1225"/>
      <c r="RT6" s="1225"/>
      <c r="RU6" s="1225"/>
      <c r="RV6" s="1225"/>
      <c r="RW6" s="1225"/>
      <c r="RX6" s="1225"/>
      <c r="RY6" s="1225"/>
      <c r="RZ6" s="1225"/>
      <c r="SA6" s="1225"/>
      <c r="SB6" s="1225"/>
      <c r="SC6" s="1225"/>
      <c r="SD6" s="1225"/>
      <c r="SE6" s="1225"/>
      <c r="SF6" s="1225"/>
      <c r="SG6" s="1225"/>
      <c r="SH6" s="1225"/>
      <c r="SI6" s="1225"/>
      <c r="SJ6" s="1225"/>
      <c r="SK6" s="1225"/>
      <c r="SL6" s="1225"/>
      <c r="SM6" s="1225"/>
      <c r="SN6" s="1225"/>
      <c r="SO6" s="1225"/>
      <c r="SP6" s="1225"/>
      <c r="SQ6" s="1225"/>
      <c r="SR6" s="1225"/>
      <c r="SS6" s="1225"/>
      <c r="ST6" s="1225"/>
      <c r="SU6" s="1225"/>
      <c r="SV6" s="1225"/>
      <c r="SW6" s="1225"/>
      <c r="SX6" s="1225"/>
      <c r="SY6" s="1225"/>
      <c r="SZ6" s="1225"/>
      <c r="TA6" s="1225"/>
      <c r="TB6" s="1225"/>
      <c r="TC6" s="1225"/>
      <c r="TD6" s="1225"/>
      <c r="TE6" s="1225"/>
      <c r="TF6" s="1225"/>
      <c r="TG6" s="1225"/>
      <c r="TH6" s="1225"/>
      <c r="TI6" s="1225"/>
      <c r="TJ6" s="1225"/>
      <c r="TK6" s="1225"/>
      <c r="TL6" s="1225"/>
      <c r="TM6" s="1225"/>
      <c r="TN6" s="1225"/>
      <c r="TO6" s="1225"/>
      <c r="TP6" s="1225"/>
      <c r="TQ6" s="1225"/>
      <c r="TR6" s="1225"/>
      <c r="TS6" s="1225"/>
      <c r="TT6" s="1225"/>
      <c r="TU6" s="1225"/>
      <c r="TV6" s="1225"/>
      <c r="TW6" s="1225"/>
      <c r="TX6" s="1225"/>
      <c r="TY6" s="1225"/>
      <c r="TZ6" s="1225"/>
      <c r="UA6" s="1225"/>
      <c r="UB6" s="1225"/>
      <c r="UC6" s="1225"/>
      <c r="UD6" s="1225"/>
      <c r="UE6" s="1225"/>
      <c r="UF6" s="1225"/>
      <c r="UG6" s="1225"/>
      <c r="UH6" s="1225"/>
      <c r="UI6" s="1225"/>
      <c r="UJ6" s="1225"/>
      <c r="UK6" s="1225"/>
      <c r="UL6" s="1225"/>
      <c r="UM6" s="1225"/>
      <c r="UN6" s="1225"/>
      <c r="UO6" s="1225"/>
      <c r="UP6" s="1225"/>
      <c r="UQ6" s="1225"/>
      <c r="UR6" s="1225"/>
      <c r="US6" s="1225"/>
      <c r="UT6" s="1225"/>
      <c r="UU6" s="1225"/>
      <c r="UV6" s="1225"/>
      <c r="UW6" s="1225"/>
      <c r="UX6" s="1225"/>
      <c r="UY6" s="1225"/>
      <c r="UZ6" s="1225"/>
      <c r="VA6" s="1225"/>
      <c r="VB6" s="1225"/>
      <c r="VC6" s="1225"/>
      <c r="VD6" s="1225"/>
      <c r="VE6" s="1225"/>
      <c r="VF6" s="1225"/>
      <c r="VG6" s="1225"/>
      <c r="VH6" s="1225"/>
      <c r="VI6" s="1225"/>
      <c r="VJ6" s="1225"/>
      <c r="VK6" s="1225"/>
      <c r="VL6" s="1225"/>
      <c r="VM6" s="1225"/>
      <c r="VN6" s="1225"/>
      <c r="VO6" s="1225"/>
      <c r="VP6" s="1225"/>
      <c r="VQ6" s="1225"/>
      <c r="VR6" s="1225"/>
      <c r="VS6" s="1225"/>
      <c r="VT6" s="1225"/>
      <c r="VU6" s="1225"/>
      <c r="VV6" s="1225"/>
      <c r="VW6" s="1225"/>
      <c r="VX6" s="1225"/>
      <c r="VY6" s="1225"/>
      <c r="VZ6" s="1225"/>
      <c r="WA6" s="1225"/>
      <c r="WB6" s="1225"/>
      <c r="WC6" s="1225"/>
      <c r="WD6" s="1225"/>
      <c r="WE6" s="1225"/>
      <c r="WF6" s="1225"/>
      <c r="WG6" s="1225"/>
      <c r="WH6" s="1225"/>
      <c r="WI6" s="1225"/>
      <c r="WJ6" s="1225"/>
      <c r="WK6" s="1225"/>
      <c r="WL6" s="1225"/>
      <c r="WM6" s="1225"/>
      <c r="WN6" s="1225"/>
      <c r="WO6" s="1225"/>
      <c r="WP6" s="1225"/>
      <c r="WQ6" s="1225"/>
      <c r="WR6" s="1225"/>
      <c r="WS6" s="1225"/>
      <c r="WT6" s="1225"/>
      <c r="WU6" s="1225"/>
      <c r="WV6" s="1225"/>
      <c r="WW6" s="1225"/>
      <c r="WX6" s="1225"/>
      <c r="WY6" s="1225"/>
      <c r="WZ6" s="1225"/>
      <c r="XA6" s="1225"/>
      <c r="XB6" s="1225"/>
      <c r="XC6" s="1225"/>
      <c r="XD6" s="1225"/>
      <c r="XE6" s="1225"/>
      <c r="XF6" s="1225"/>
      <c r="XG6" s="1225"/>
      <c r="XH6" s="1225"/>
      <c r="XI6" s="1225"/>
      <c r="XJ6" s="1225"/>
      <c r="XK6" s="1225"/>
      <c r="XL6" s="1225"/>
      <c r="XM6" s="1225"/>
      <c r="XN6" s="1225"/>
      <c r="XO6" s="1225"/>
      <c r="XP6" s="1225"/>
      <c r="XQ6" s="1225"/>
      <c r="XR6" s="1225"/>
      <c r="XS6" s="1225"/>
      <c r="XT6" s="1225"/>
      <c r="XU6" s="1225"/>
      <c r="XV6" s="1225"/>
      <c r="XW6" s="1225"/>
      <c r="XX6" s="1225"/>
      <c r="XY6" s="1225"/>
      <c r="XZ6" s="1225"/>
      <c r="YA6" s="1225"/>
      <c r="YB6" s="1225"/>
      <c r="YC6" s="1225"/>
      <c r="YD6" s="1225"/>
      <c r="YE6" s="1225"/>
      <c r="YF6" s="1225"/>
      <c r="YG6" s="1225"/>
      <c r="YH6" s="1225"/>
      <c r="YI6" s="1225"/>
      <c r="YJ6" s="1225"/>
      <c r="YK6" s="1225"/>
      <c r="YL6" s="1225"/>
      <c r="YM6" s="1225"/>
      <c r="YN6" s="1225"/>
      <c r="YO6" s="1225"/>
      <c r="YP6" s="1225"/>
      <c r="YQ6" s="1225"/>
      <c r="YR6" s="1225"/>
      <c r="YS6" s="1225"/>
      <c r="YT6" s="1225"/>
      <c r="YU6" s="1225"/>
      <c r="YV6" s="1225"/>
      <c r="YW6" s="1225"/>
      <c r="YX6" s="1225"/>
      <c r="YY6" s="1225"/>
      <c r="YZ6" s="1225"/>
      <c r="ZA6" s="1225"/>
      <c r="ZB6" s="1225"/>
      <c r="ZC6" s="1225"/>
      <c r="ZD6" s="1225"/>
      <c r="ZE6" s="1225"/>
      <c r="ZF6" s="1225"/>
      <c r="ZG6" s="1225"/>
      <c r="ZH6" s="1225"/>
      <c r="ZI6" s="1225"/>
      <c r="ZJ6" s="1225"/>
      <c r="ZK6" s="1225"/>
      <c r="ZL6" s="1225"/>
      <c r="ZM6" s="1225"/>
      <c r="ZN6" s="1225"/>
      <c r="ZO6" s="1225"/>
      <c r="ZP6" s="1225"/>
      <c r="ZQ6" s="1225"/>
      <c r="ZR6" s="1225"/>
      <c r="ZS6" s="1225"/>
      <c r="ZT6" s="1225"/>
      <c r="ZU6" s="1225"/>
      <c r="ZV6" s="1225"/>
      <c r="ZW6" s="1225"/>
      <c r="ZX6" s="1225"/>
      <c r="ZY6" s="1225"/>
      <c r="ZZ6" s="1225"/>
      <c r="AAA6" s="1225"/>
      <c r="AAB6" s="1225"/>
      <c r="AAC6" s="1225"/>
      <c r="AAD6" s="1225"/>
      <c r="AAE6" s="1225"/>
      <c r="AAF6" s="1225"/>
      <c r="AAG6" s="1225"/>
      <c r="AAH6" s="1225"/>
      <c r="AAI6" s="1225"/>
      <c r="AAJ6" s="1225"/>
      <c r="AAK6" s="1225"/>
      <c r="AAL6" s="1225"/>
      <c r="AAM6" s="1225"/>
      <c r="AAN6" s="1225"/>
      <c r="AAO6" s="1225"/>
      <c r="AAP6" s="1225"/>
      <c r="AAQ6" s="1225"/>
      <c r="AAR6" s="1225"/>
      <c r="AAS6" s="1225"/>
      <c r="AAT6" s="1225"/>
      <c r="AAU6" s="1225"/>
      <c r="AAV6" s="1225"/>
      <c r="AAW6" s="1225"/>
      <c r="AAX6" s="1225"/>
      <c r="AAY6" s="1225"/>
      <c r="AAZ6" s="1225"/>
      <c r="ABA6" s="1225"/>
      <c r="ABB6" s="1225"/>
      <c r="ABC6" s="1225"/>
      <c r="ABD6" s="1225"/>
      <c r="ABE6" s="1225"/>
      <c r="ABF6" s="1225"/>
      <c r="ABG6" s="1225"/>
      <c r="ABH6" s="1225"/>
      <c r="ABI6" s="1225"/>
      <c r="ABJ6" s="1225"/>
      <c r="ABK6" s="1225"/>
      <c r="ABL6" s="1225"/>
      <c r="ABM6" s="1225"/>
      <c r="ABN6" s="1225"/>
      <c r="ABO6" s="1225"/>
      <c r="ABP6" s="1225"/>
      <c r="ABQ6" s="1225"/>
      <c r="ABR6" s="1225"/>
      <c r="ABS6" s="1225"/>
      <c r="ABT6" s="1225"/>
      <c r="ABU6" s="1225"/>
      <c r="ABV6" s="1225"/>
      <c r="ABW6" s="1225"/>
      <c r="ABX6" s="1225"/>
      <c r="ABY6" s="1225"/>
      <c r="ABZ6" s="1225"/>
      <c r="ACA6" s="1225"/>
      <c r="ACB6" s="1225"/>
      <c r="ACC6" s="1225"/>
      <c r="ACD6" s="1225"/>
      <c r="ACE6" s="1225"/>
      <c r="ACF6" s="1225"/>
      <c r="ACG6" s="1225"/>
      <c r="ACH6" s="1225"/>
      <c r="ACI6" s="1225"/>
      <c r="ACJ6" s="1225"/>
      <c r="ACK6" s="1225"/>
      <c r="ACL6" s="1225"/>
      <c r="ACM6" s="1225"/>
      <c r="ACN6" s="1225"/>
      <c r="ACO6" s="1225"/>
      <c r="ACP6" s="1225"/>
      <c r="ACQ6" s="1225"/>
      <c r="ACR6" s="1225"/>
      <c r="ACS6" s="1225"/>
      <c r="ACT6" s="1225"/>
      <c r="ACU6" s="1225"/>
      <c r="ACV6" s="1225"/>
      <c r="ACW6" s="1225"/>
      <c r="ACX6" s="1225"/>
      <c r="ACY6" s="1225"/>
      <c r="ACZ6" s="1225"/>
      <c r="ADA6" s="1225"/>
      <c r="ADB6" s="1225"/>
      <c r="ADC6" s="1225"/>
      <c r="ADD6" s="1225"/>
      <c r="ADE6" s="1225"/>
      <c r="ADF6" s="1225"/>
      <c r="ADG6" s="1225"/>
    </row>
    <row r="7" spans="1:787" s="1224" customFormat="1" ht="13">
      <c r="A7" s="1225"/>
      <c r="B7" s="1400"/>
      <c r="C7" s="1230"/>
      <c r="D7" s="1231" t="s">
        <v>474</v>
      </c>
      <c r="E7" s="1231"/>
      <c r="F7" s="1401"/>
      <c r="G7" s="1231"/>
      <c r="H7" s="1235">
        <f>+'全期规划指标 '!I44</f>
        <v>24565.840000000004</v>
      </c>
      <c r="I7" s="1235">
        <v>0</v>
      </c>
      <c r="J7" s="1402">
        <f>+'全期规划指标 '!I20+'全期规划指标 '!I21</f>
        <v>43173.95</v>
      </c>
      <c r="K7" s="1402"/>
      <c r="L7" s="1402"/>
      <c r="M7" s="1402">
        <f>M6</f>
        <v>1058.93</v>
      </c>
      <c r="N7" s="1402">
        <f>+'全期规划指标 '!I41</f>
        <v>9409.4599999999991</v>
      </c>
      <c r="O7" s="1402">
        <f>+'全期规划指标 '!I22</f>
        <v>0</v>
      </c>
      <c r="P7" s="1402">
        <f>+'全期规划指标 '!I24</f>
        <v>59174.38</v>
      </c>
      <c r="Q7" s="1402"/>
      <c r="R7" s="1402"/>
      <c r="S7" s="1402"/>
      <c r="T7" s="1402">
        <f>SUM(H7:P7)</f>
        <v>137382.56</v>
      </c>
      <c r="U7" s="1236"/>
      <c r="V7" s="1225"/>
      <c r="W7" s="1225"/>
      <c r="X7" s="1225"/>
      <c r="Y7" s="1225"/>
      <c r="Z7" s="1225"/>
      <c r="AA7" s="1225"/>
      <c r="AB7" s="1225"/>
      <c r="AC7" s="1225"/>
      <c r="AD7" s="1225"/>
      <c r="AE7" s="1225"/>
      <c r="AF7" s="1225"/>
      <c r="AG7" s="1225"/>
      <c r="AH7" s="1225"/>
      <c r="AI7" s="1225"/>
      <c r="AJ7" s="1225"/>
      <c r="AK7" s="1225"/>
      <c r="AL7" s="1225"/>
      <c r="AM7" s="1225"/>
      <c r="AN7" s="1225"/>
      <c r="AO7" s="1225"/>
      <c r="AP7" s="1225"/>
      <c r="AQ7" s="1225"/>
      <c r="AR7" s="1225"/>
      <c r="AS7" s="1225"/>
      <c r="AT7" s="1225"/>
      <c r="AU7" s="1225"/>
      <c r="AV7" s="1225"/>
      <c r="AW7" s="1225"/>
      <c r="AX7" s="1225"/>
      <c r="AY7" s="1225"/>
      <c r="AZ7" s="1225"/>
      <c r="BA7" s="1225"/>
      <c r="BB7" s="1225"/>
      <c r="BC7" s="1225"/>
      <c r="BD7" s="1225"/>
      <c r="BE7" s="1225"/>
      <c r="BF7" s="1225"/>
      <c r="BG7" s="1225"/>
      <c r="BH7" s="1225"/>
      <c r="BI7" s="1225"/>
      <c r="BJ7" s="1225"/>
      <c r="BK7" s="1225"/>
      <c r="BL7" s="1225"/>
      <c r="BM7" s="1225"/>
      <c r="BN7" s="1225"/>
      <c r="BO7" s="1225"/>
      <c r="BP7" s="1225"/>
      <c r="BQ7" s="1225"/>
      <c r="BR7" s="1225"/>
      <c r="BS7" s="1225"/>
      <c r="BT7" s="1225"/>
      <c r="BU7" s="1225"/>
      <c r="BV7" s="1225"/>
      <c r="BW7" s="1225"/>
      <c r="BX7" s="1225"/>
      <c r="BY7" s="1225"/>
      <c r="BZ7" s="1225"/>
      <c r="CA7" s="1225"/>
      <c r="CB7" s="1225"/>
      <c r="CC7" s="1225"/>
      <c r="CD7" s="1225"/>
      <c r="CE7" s="1225"/>
      <c r="CF7" s="1225"/>
      <c r="CG7" s="1225"/>
      <c r="CH7" s="1225"/>
      <c r="CI7" s="1225"/>
      <c r="CJ7" s="1225"/>
      <c r="CK7" s="1225"/>
      <c r="CL7" s="1225"/>
      <c r="CM7" s="1225"/>
      <c r="CN7" s="1225"/>
      <c r="CO7" s="1225"/>
      <c r="CP7" s="1225"/>
      <c r="CQ7" s="1225"/>
      <c r="CR7" s="1225"/>
      <c r="CS7" s="1225"/>
      <c r="CT7" s="1225"/>
      <c r="CU7" s="1225"/>
      <c r="CV7" s="1225"/>
      <c r="CW7" s="1225"/>
      <c r="CX7" s="1225"/>
      <c r="CY7" s="1225"/>
      <c r="CZ7" s="1225"/>
      <c r="DA7" s="1225"/>
      <c r="DB7" s="1225"/>
      <c r="DC7" s="1225"/>
      <c r="DD7" s="1225"/>
      <c r="DE7" s="1225"/>
      <c r="DF7" s="1225"/>
      <c r="DG7" s="1225"/>
      <c r="DH7" s="1225"/>
      <c r="DI7" s="1225"/>
      <c r="DJ7" s="1225"/>
      <c r="DK7" s="1225"/>
      <c r="DL7" s="1225"/>
      <c r="DM7" s="1225"/>
      <c r="DN7" s="1225"/>
      <c r="DO7" s="1225"/>
      <c r="DP7" s="1225"/>
      <c r="DQ7" s="1225"/>
      <c r="DR7" s="1225"/>
      <c r="DS7" s="1225"/>
      <c r="DT7" s="1225"/>
      <c r="DU7" s="1225"/>
      <c r="DV7" s="1225"/>
      <c r="DW7" s="1225"/>
      <c r="DX7" s="1225"/>
      <c r="DY7" s="1225"/>
      <c r="DZ7" s="1225"/>
      <c r="EA7" s="1225"/>
      <c r="EB7" s="1225"/>
      <c r="EC7" s="1225"/>
      <c r="ED7" s="1225"/>
      <c r="EE7" s="1225"/>
      <c r="EF7" s="1225"/>
      <c r="EG7" s="1225"/>
      <c r="EH7" s="1225"/>
      <c r="EI7" s="1225"/>
      <c r="EJ7" s="1225"/>
      <c r="EK7" s="1225"/>
      <c r="EL7" s="1225"/>
      <c r="EM7" s="1225"/>
      <c r="EN7" s="1225"/>
      <c r="EO7" s="1225"/>
      <c r="EP7" s="1225"/>
      <c r="EQ7" s="1225"/>
      <c r="ER7" s="1225"/>
      <c r="ES7" s="1225"/>
      <c r="ET7" s="1225"/>
      <c r="EU7" s="1225"/>
      <c r="EV7" s="1225"/>
      <c r="EW7" s="1225"/>
      <c r="EX7" s="1225"/>
      <c r="EY7" s="1225"/>
      <c r="EZ7" s="1225"/>
      <c r="FA7" s="1225"/>
      <c r="FB7" s="1225"/>
      <c r="FC7" s="1225"/>
      <c r="FD7" s="1225"/>
      <c r="FE7" s="1225"/>
      <c r="FF7" s="1225"/>
      <c r="FG7" s="1225"/>
      <c r="FH7" s="1225"/>
      <c r="FI7" s="1225"/>
      <c r="FJ7" s="1225"/>
      <c r="FK7" s="1225"/>
      <c r="FL7" s="1225"/>
      <c r="FM7" s="1225"/>
      <c r="FN7" s="1225"/>
      <c r="FO7" s="1225"/>
      <c r="FP7" s="1225"/>
      <c r="FQ7" s="1225"/>
      <c r="FR7" s="1225"/>
      <c r="FS7" s="1225"/>
      <c r="FT7" s="1225"/>
      <c r="FU7" s="1225"/>
      <c r="FV7" s="1225"/>
      <c r="FW7" s="1225"/>
      <c r="FX7" s="1225"/>
      <c r="FY7" s="1225"/>
      <c r="FZ7" s="1225"/>
      <c r="GA7" s="1225"/>
      <c r="GB7" s="1225"/>
      <c r="GC7" s="1225"/>
      <c r="GD7" s="1225"/>
      <c r="GE7" s="1225"/>
      <c r="GF7" s="1225"/>
      <c r="GG7" s="1225"/>
      <c r="GH7" s="1225"/>
      <c r="GI7" s="1225"/>
      <c r="GJ7" s="1225"/>
      <c r="GK7" s="1225"/>
      <c r="GL7" s="1225"/>
      <c r="GM7" s="1225"/>
      <c r="GN7" s="1225"/>
      <c r="GO7" s="1225"/>
      <c r="GP7" s="1225"/>
      <c r="GQ7" s="1225"/>
      <c r="GR7" s="1225"/>
      <c r="GS7" s="1225"/>
      <c r="GT7" s="1225"/>
      <c r="GU7" s="1225"/>
      <c r="GV7" s="1225"/>
      <c r="GW7" s="1225"/>
      <c r="GX7" s="1225"/>
      <c r="GY7" s="1225"/>
      <c r="GZ7" s="1225"/>
      <c r="HA7" s="1225"/>
      <c r="HB7" s="1225"/>
      <c r="HC7" s="1225"/>
      <c r="HD7" s="1225"/>
      <c r="HE7" s="1225"/>
      <c r="HF7" s="1225"/>
      <c r="HG7" s="1225"/>
      <c r="HH7" s="1225"/>
      <c r="HI7" s="1225"/>
      <c r="HJ7" s="1225"/>
      <c r="HK7" s="1225"/>
      <c r="HL7" s="1225"/>
      <c r="HM7" s="1225"/>
      <c r="HN7" s="1225"/>
      <c r="HO7" s="1225"/>
      <c r="HP7" s="1225"/>
      <c r="HQ7" s="1225"/>
      <c r="HR7" s="1225"/>
      <c r="HS7" s="1225"/>
      <c r="HT7" s="1225"/>
      <c r="HU7" s="1225"/>
      <c r="HV7" s="1225"/>
      <c r="HW7" s="1225"/>
      <c r="HX7" s="1225"/>
      <c r="HY7" s="1225"/>
      <c r="HZ7" s="1225"/>
      <c r="IA7" s="1225"/>
      <c r="IB7" s="1225"/>
      <c r="IC7" s="1225"/>
      <c r="ID7" s="1225"/>
      <c r="IE7" s="1225"/>
      <c r="IF7" s="1225"/>
      <c r="IG7" s="1225"/>
      <c r="IH7" s="1225"/>
      <c r="II7" s="1225"/>
      <c r="IJ7" s="1225"/>
      <c r="IK7" s="1225"/>
      <c r="IL7" s="1225"/>
      <c r="IM7" s="1225"/>
      <c r="IN7" s="1225"/>
      <c r="IO7" s="1225"/>
      <c r="IP7" s="1225"/>
      <c r="IQ7" s="1225"/>
      <c r="IR7" s="1225"/>
      <c r="IS7" s="1225"/>
      <c r="IT7" s="1225"/>
      <c r="IU7" s="1225"/>
      <c r="IV7" s="1225"/>
      <c r="IW7" s="1225"/>
      <c r="IX7" s="1225"/>
      <c r="IY7" s="1225"/>
      <c r="IZ7" s="1225"/>
      <c r="JA7" s="1225"/>
      <c r="JB7" s="1225"/>
      <c r="JC7" s="1225"/>
      <c r="JD7" s="1225"/>
      <c r="JE7" s="1225"/>
      <c r="JF7" s="1225"/>
      <c r="JG7" s="1225"/>
      <c r="JH7" s="1225"/>
      <c r="JI7" s="1225"/>
      <c r="JJ7" s="1225"/>
      <c r="JK7" s="1225"/>
      <c r="JL7" s="1225"/>
      <c r="JM7" s="1225"/>
      <c r="JN7" s="1225"/>
      <c r="JO7" s="1225"/>
      <c r="JP7" s="1225"/>
      <c r="JQ7" s="1225"/>
      <c r="JR7" s="1225"/>
      <c r="JS7" s="1225"/>
      <c r="JT7" s="1225"/>
      <c r="JU7" s="1225"/>
      <c r="JV7" s="1225"/>
      <c r="JW7" s="1225"/>
      <c r="JX7" s="1225"/>
      <c r="JY7" s="1225"/>
      <c r="JZ7" s="1225"/>
      <c r="KA7" s="1225"/>
      <c r="KB7" s="1225"/>
      <c r="KC7" s="1225"/>
      <c r="KD7" s="1225"/>
      <c r="KE7" s="1225"/>
      <c r="KF7" s="1225"/>
      <c r="KG7" s="1225"/>
      <c r="KH7" s="1225"/>
      <c r="KI7" s="1225"/>
      <c r="KJ7" s="1225"/>
      <c r="KK7" s="1225"/>
      <c r="KL7" s="1225"/>
      <c r="KM7" s="1225"/>
      <c r="KN7" s="1225"/>
      <c r="KO7" s="1225"/>
      <c r="KP7" s="1225"/>
      <c r="KQ7" s="1225"/>
      <c r="KR7" s="1225"/>
      <c r="KS7" s="1225"/>
      <c r="KT7" s="1225"/>
      <c r="KU7" s="1225"/>
      <c r="KV7" s="1225"/>
      <c r="KW7" s="1225"/>
      <c r="KX7" s="1225"/>
      <c r="KY7" s="1225"/>
      <c r="KZ7" s="1225"/>
      <c r="LA7" s="1225"/>
      <c r="LB7" s="1225"/>
      <c r="LC7" s="1225"/>
      <c r="LD7" s="1225"/>
      <c r="LE7" s="1225"/>
      <c r="LF7" s="1225"/>
      <c r="LG7" s="1225"/>
      <c r="LH7" s="1225"/>
      <c r="LI7" s="1225"/>
      <c r="LJ7" s="1225"/>
      <c r="LK7" s="1225"/>
      <c r="LL7" s="1225"/>
      <c r="LM7" s="1225"/>
      <c r="LN7" s="1225"/>
      <c r="LO7" s="1225"/>
      <c r="LP7" s="1225"/>
      <c r="LQ7" s="1225"/>
      <c r="LR7" s="1225"/>
      <c r="LS7" s="1225"/>
      <c r="LT7" s="1225"/>
      <c r="LU7" s="1225"/>
      <c r="LV7" s="1225"/>
      <c r="LW7" s="1225"/>
      <c r="LX7" s="1225"/>
      <c r="LY7" s="1225"/>
      <c r="LZ7" s="1225"/>
      <c r="MA7" s="1225"/>
      <c r="MB7" s="1225"/>
      <c r="MC7" s="1225"/>
      <c r="MD7" s="1225"/>
      <c r="ME7" s="1225"/>
      <c r="MF7" s="1225"/>
      <c r="MG7" s="1225"/>
      <c r="MH7" s="1225"/>
      <c r="MI7" s="1225"/>
      <c r="MJ7" s="1225"/>
      <c r="MK7" s="1225"/>
      <c r="ML7" s="1225"/>
      <c r="MM7" s="1225"/>
      <c r="MN7" s="1225"/>
      <c r="MO7" s="1225"/>
      <c r="MP7" s="1225"/>
      <c r="MQ7" s="1225"/>
      <c r="MR7" s="1225"/>
      <c r="MS7" s="1225"/>
      <c r="MT7" s="1225"/>
      <c r="MU7" s="1225"/>
      <c r="MV7" s="1225"/>
      <c r="MW7" s="1225"/>
      <c r="MX7" s="1225"/>
      <c r="MY7" s="1225"/>
      <c r="MZ7" s="1225"/>
      <c r="NA7" s="1225"/>
      <c r="NB7" s="1225"/>
      <c r="NC7" s="1225"/>
      <c r="ND7" s="1225"/>
      <c r="NE7" s="1225"/>
      <c r="NF7" s="1225"/>
      <c r="NG7" s="1225"/>
      <c r="NH7" s="1225"/>
      <c r="NI7" s="1225"/>
      <c r="NJ7" s="1225"/>
      <c r="NK7" s="1225"/>
      <c r="NL7" s="1225"/>
      <c r="NM7" s="1225"/>
      <c r="NN7" s="1225"/>
      <c r="NO7" s="1225"/>
      <c r="NP7" s="1225"/>
      <c r="NQ7" s="1225"/>
      <c r="NR7" s="1225"/>
      <c r="NS7" s="1225"/>
      <c r="NT7" s="1225"/>
      <c r="NU7" s="1225"/>
      <c r="NV7" s="1225"/>
      <c r="NW7" s="1225"/>
      <c r="NX7" s="1225"/>
      <c r="NY7" s="1225"/>
      <c r="NZ7" s="1225"/>
      <c r="OA7" s="1225"/>
      <c r="OB7" s="1225"/>
      <c r="OC7" s="1225"/>
      <c r="OD7" s="1225"/>
      <c r="OE7" s="1225"/>
      <c r="OF7" s="1225"/>
      <c r="OG7" s="1225"/>
      <c r="OH7" s="1225"/>
      <c r="OI7" s="1225"/>
      <c r="OJ7" s="1225"/>
      <c r="OK7" s="1225"/>
      <c r="OL7" s="1225"/>
      <c r="OM7" s="1225"/>
      <c r="ON7" s="1225"/>
      <c r="OO7" s="1225"/>
      <c r="OP7" s="1225"/>
      <c r="OQ7" s="1225"/>
      <c r="OR7" s="1225"/>
      <c r="OS7" s="1225"/>
      <c r="OT7" s="1225"/>
      <c r="OU7" s="1225"/>
      <c r="OV7" s="1225"/>
      <c r="OW7" s="1225"/>
      <c r="OX7" s="1225"/>
      <c r="OY7" s="1225"/>
      <c r="OZ7" s="1225"/>
      <c r="PA7" s="1225"/>
      <c r="PB7" s="1225"/>
      <c r="PC7" s="1225"/>
      <c r="PD7" s="1225"/>
      <c r="PE7" s="1225"/>
      <c r="PF7" s="1225"/>
      <c r="PG7" s="1225"/>
      <c r="PH7" s="1225"/>
      <c r="PI7" s="1225"/>
      <c r="PJ7" s="1225"/>
      <c r="PK7" s="1225"/>
      <c r="PL7" s="1225"/>
      <c r="PM7" s="1225"/>
      <c r="PN7" s="1225"/>
      <c r="PO7" s="1225"/>
      <c r="PP7" s="1225"/>
      <c r="PQ7" s="1225"/>
      <c r="PR7" s="1225"/>
      <c r="PS7" s="1225"/>
      <c r="PT7" s="1225"/>
      <c r="PU7" s="1225"/>
      <c r="PV7" s="1225"/>
      <c r="PW7" s="1225"/>
      <c r="PX7" s="1225"/>
      <c r="PY7" s="1225"/>
      <c r="PZ7" s="1225"/>
      <c r="QA7" s="1225"/>
      <c r="QB7" s="1225"/>
      <c r="QC7" s="1225"/>
      <c r="QD7" s="1225"/>
      <c r="QE7" s="1225"/>
      <c r="QF7" s="1225"/>
      <c r="QG7" s="1225"/>
      <c r="QH7" s="1225"/>
      <c r="QI7" s="1225"/>
      <c r="QJ7" s="1225"/>
      <c r="QK7" s="1225"/>
      <c r="QL7" s="1225"/>
      <c r="QM7" s="1225"/>
      <c r="QN7" s="1225"/>
      <c r="QO7" s="1225"/>
      <c r="QP7" s="1225"/>
      <c r="QQ7" s="1225"/>
      <c r="QR7" s="1225"/>
      <c r="QS7" s="1225"/>
      <c r="QT7" s="1225"/>
      <c r="QU7" s="1225"/>
      <c r="QV7" s="1225"/>
      <c r="QW7" s="1225"/>
      <c r="QX7" s="1225"/>
      <c r="QY7" s="1225"/>
      <c r="QZ7" s="1225"/>
      <c r="RA7" s="1225"/>
      <c r="RB7" s="1225"/>
      <c r="RC7" s="1225"/>
      <c r="RD7" s="1225"/>
      <c r="RE7" s="1225"/>
      <c r="RF7" s="1225"/>
      <c r="RG7" s="1225"/>
      <c r="RH7" s="1225"/>
      <c r="RI7" s="1225"/>
      <c r="RJ7" s="1225"/>
      <c r="RK7" s="1225"/>
      <c r="RL7" s="1225"/>
      <c r="RM7" s="1225"/>
      <c r="RN7" s="1225"/>
      <c r="RO7" s="1225"/>
      <c r="RP7" s="1225"/>
      <c r="RQ7" s="1225"/>
      <c r="RR7" s="1225"/>
      <c r="RS7" s="1225"/>
      <c r="RT7" s="1225"/>
      <c r="RU7" s="1225"/>
      <c r="RV7" s="1225"/>
      <c r="RW7" s="1225"/>
      <c r="RX7" s="1225"/>
      <c r="RY7" s="1225"/>
      <c r="RZ7" s="1225"/>
      <c r="SA7" s="1225"/>
      <c r="SB7" s="1225"/>
      <c r="SC7" s="1225"/>
      <c r="SD7" s="1225"/>
      <c r="SE7" s="1225"/>
      <c r="SF7" s="1225"/>
      <c r="SG7" s="1225"/>
      <c r="SH7" s="1225"/>
      <c r="SI7" s="1225"/>
      <c r="SJ7" s="1225"/>
      <c r="SK7" s="1225"/>
      <c r="SL7" s="1225"/>
      <c r="SM7" s="1225"/>
      <c r="SN7" s="1225"/>
      <c r="SO7" s="1225"/>
      <c r="SP7" s="1225"/>
      <c r="SQ7" s="1225"/>
      <c r="SR7" s="1225"/>
      <c r="SS7" s="1225"/>
      <c r="ST7" s="1225"/>
      <c r="SU7" s="1225"/>
      <c r="SV7" s="1225"/>
      <c r="SW7" s="1225"/>
      <c r="SX7" s="1225"/>
      <c r="SY7" s="1225"/>
      <c r="SZ7" s="1225"/>
      <c r="TA7" s="1225"/>
      <c r="TB7" s="1225"/>
      <c r="TC7" s="1225"/>
      <c r="TD7" s="1225"/>
      <c r="TE7" s="1225"/>
      <c r="TF7" s="1225"/>
      <c r="TG7" s="1225"/>
      <c r="TH7" s="1225"/>
      <c r="TI7" s="1225"/>
      <c r="TJ7" s="1225"/>
      <c r="TK7" s="1225"/>
      <c r="TL7" s="1225"/>
      <c r="TM7" s="1225"/>
      <c r="TN7" s="1225"/>
      <c r="TO7" s="1225"/>
      <c r="TP7" s="1225"/>
      <c r="TQ7" s="1225"/>
      <c r="TR7" s="1225"/>
      <c r="TS7" s="1225"/>
      <c r="TT7" s="1225"/>
      <c r="TU7" s="1225"/>
      <c r="TV7" s="1225"/>
      <c r="TW7" s="1225"/>
      <c r="TX7" s="1225"/>
      <c r="TY7" s="1225"/>
      <c r="TZ7" s="1225"/>
      <c r="UA7" s="1225"/>
      <c r="UB7" s="1225"/>
      <c r="UC7" s="1225"/>
      <c r="UD7" s="1225"/>
      <c r="UE7" s="1225"/>
      <c r="UF7" s="1225"/>
      <c r="UG7" s="1225"/>
      <c r="UH7" s="1225"/>
      <c r="UI7" s="1225"/>
      <c r="UJ7" s="1225"/>
      <c r="UK7" s="1225"/>
      <c r="UL7" s="1225"/>
      <c r="UM7" s="1225"/>
      <c r="UN7" s="1225"/>
      <c r="UO7" s="1225"/>
      <c r="UP7" s="1225"/>
      <c r="UQ7" s="1225"/>
      <c r="UR7" s="1225"/>
      <c r="US7" s="1225"/>
      <c r="UT7" s="1225"/>
      <c r="UU7" s="1225"/>
      <c r="UV7" s="1225"/>
      <c r="UW7" s="1225"/>
      <c r="UX7" s="1225"/>
      <c r="UY7" s="1225"/>
      <c r="UZ7" s="1225"/>
      <c r="VA7" s="1225"/>
      <c r="VB7" s="1225"/>
      <c r="VC7" s="1225"/>
      <c r="VD7" s="1225"/>
      <c r="VE7" s="1225"/>
      <c r="VF7" s="1225"/>
      <c r="VG7" s="1225"/>
      <c r="VH7" s="1225"/>
      <c r="VI7" s="1225"/>
      <c r="VJ7" s="1225"/>
      <c r="VK7" s="1225"/>
      <c r="VL7" s="1225"/>
      <c r="VM7" s="1225"/>
      <c r="VN7" s="1225"/>
      <c r="VO7" s="1225"/>
      <c r="VP7" s="1225"/>
      <c r="VQ7" s="1225"/>
      <c r="VR7" s="1225"/>
      <c r="VS7" s="1225"/>
      <c r="VT7" s="1225"/>
      <c r="VU7" s="1225"/>
      <c r="VV7" s="1225"/>
      <c r="VW7" s="1225"/>
      <c r="VX7" s="1225"/>
      <c r="VY7" s="1225"/>
      <c r="VZ7" s="1225"/>
      <c r="WA7" s="1225"/>
      <c r="WB7" s="1225"/>
      <c r="WC7" s="1225"/>
      <c r="WD7" s="1225"/>
      <c r="WE7" s="1225"/>
      <c r="WF7" s="1225"/>
      <c r="WG7" s="1225"/>
      <c r="WH7" s="1225"/>
      <c r="WI7" s="1225"/>
      <c r="WJ7" s="1225"/>
      <c r="WK7" s="1225"/>
      <c r="WL7" s="1225"/>
      <c r="WM7" s="1225"/>
      <c r="WN7" s="1225"/>
      <c r="WO7" s="1225"/>
      <c r="WP7" s="1225"/>
      <c r="WQ7" s="1225"/>
      <c r="WR7" s="1225"/>
      <c r="WS7" s="1225"/>
      <c r="WT7" s="1225"/>
      <c r="WU7" s="1225"/>
      <c r="WV7" s="1225"/>
      <c r="WW7" s="1225"/>
      <c r="WX7" s="1225"/>
      <c r="WY7" s="1225"/>
      <c r="WZ7" s="1225"/>
      <c r="XA7" s="1225"/>
      <c r="XB7" s="1225"/>
      <c r="XC7" s="1225"/>
      <c r="XD7" s="1225"/>
      <c r="XE7" s="1225"/>
      <c r="XF7" s="1225"/>
      <c r="XG7" s="1225"/>
      <c r="XH7" s="1225"/>
      <c r="XI7" s="1225"/>
      <c r="XJ7" s="1225"/>
      <c r="XK7" s="1225"/>
      <c r="XL7" s="1225"/>
      <c r="XM7" s="1225"/>
      <c r="XN7" s="1225"/>
      <c r="XO7" s="1225"/>
      <c r="XP7" s="1225"/>
      <c r="XQ7" s="1225"/>
      <c r="XR7" s="1225"/>
      <c r="XS7" s="1225"/>
      <c r="XT7" s="1225"/>
      <c r="XU7" s="1225"/>
      <c r="XV7" s="1225"/>
      <c r="XW7" s="1225"/>
      <c r="XX7" s="1225"/>
      <c r="XY7" s="1225"/>
      <c r="XZ7" s="1225"/>
      <c r="YA7" s="1225"/>
      <c r="YB7" s="1225"/>
      <c r="YC7" s="1225"/>
      <c r="YD7" s="1225"/>
      <c r="YE7" s="1225"/>
      <c r="YF7" s="1225"/>
      <c r="YG7" s="1225"/>
      <c r="YH7" s="1225"/>
      <c r="YI7" s="1225"/>
      <c r="YJ7" s="1225"/>
      <c r="YK7" s="1225"/>
      <c r="YL7" s="1225"/>
      <c r="YM7" s="1225"/>
      <c r="YN7" s="1225"/>
      <c r="YO7" s="1225"/>
      <c r="YP7" s="1225"/>
      <c r="YQ7" s="1225"/>
      <c r="YR7" s="1225"/>
      <c r="YS7" s="1225"/>
      <c r="YT7" s="1225"/>
      <c r="YU7" s="1225"/>
      <c r="YV7" s="1225"/>
      <c r="YW7" s="1225"/>
      <c r="YX7" s="1225"/>
      <c r="YY7" s="1225"/>
      <c r="YZ7" s="1225"/>
      <c r="ZA7" s="1225"/>
      <c r="ZB7" s="1225"/>
      <c r="ZC7" s="1225"/>
      <c r="ZD7" s="1225"/>
      <c r="ZE7" s="1225"/>
      <c r="ZF7" s="1225"/>
      <c r="ZG7" s="1225"/>
      <c r="ZH7" s="1225"/>
      <c r="ZI7" s="1225"/>
      <c r="ZJ7" s="1225"/>
      <c r="ZK7" s="1225"/>
      <c r="ZL7" s="1225"/>
      <c r="ZM7" s="1225"/>
      <c r="ZN7" s="1225"/>
      <c r="ZO7" s="1225"/>
      <c r="ZP7" s="1225"/>
      <c r="ZQ7" s="1225"/>
      <c r="ZR7" s="1225"/>
      <c r="ZS7" s="1225"/>
      <c r="ZT7" s="1225"/>
      <c r="ZU7" s="1225"/>
      <c r="ZV7" s="1225"/>
      <c r="ZW7" s="1225"/>
      <c r="ZX7" s="1225"/>
      <c r="ZY7" s="1225"/>
      <c r="ZZ7" s="1225"/>
      <c r="AAA7" s="1225"/>
      <c r="AAB7" s="1225"/>
      <c r="AAC7" s="1225"/>
      <c r="AAD7" s="1225"/>
      <c r="AAE7" s="1225"/>
      <c r="AAF7" s="1225"/>
      <c r="AAG7" s="1225"/>
      <c r="AAH7" s="1225"/>
      <c r="AAI7" s="1225"/>
      <c r="AAJ7" s="1225"/>
      <c r="AAK7" s="1225"/>
      <c r="AAL7" s="1225"/>
      <c r="AAM7" s="1225"/>
      <c r="AAN7" s="1225"/>
      <c r="AAO7" s="1225"/>
      <c r="AAP7" s="1225"/>
      <c r="AAQ7" s="1225"/>
      <c r="AAR7" s="1225"/>
      <c r="AAS7" s="1225"/>
      <c r="AAT7" s="1225"/>
      <c r="AAU7" s="1225"/>
      <c r="AAV7" s="1225"/>
      <c r="AAW7" s="1225"/>
      <c r="AAX7" s="1225"/>
      <c r="AAY7" s="1225"/>
      <c r="AAZ7" s="1225"/>
      <c r="ABA7" s="1225"/>
      <c r="ABB7" s="1225"/>
      <c r="ABC7" s="1225"/>
      <c r="ABD7" s="1225"/>
      <c r="ABE7" s="1225"/>
      <c r="ABF7" s="1225"/>
      <c r="ABG7" s="1225"/>
      <c r="ABH7" s="1225"/>
      <c r="ABI7" s="1225"/>
      <c r="ABJ7" s="1225"/>
      <c r="ABK7" s="1225"/>
      <c r="ABL7" s="1225"/>
      <c r="ABM7" s="1225"/>
      <c r="ABN7" s="1225"/>
      <c r="ABO7" s="1225"/>
      <c r="ABP7" s="1225"/>
      <c r="ABQ7" s="1225"/>
      <c r="ABR7" s="1225"/>
      <c r="ABS7" s="1225"/>
      <c r="ABT7" s="1225"/>
      <c r="ABU7" s="1225"/>
      <c r="ABV7" s="1225"/>
      <c r="ABW7" s="1225"/>
      <c r="ABX7" s="1225"/>
      <c r="ABY7" s="1225"/>
      <c r="ABZ7" s="1225"/>
      <c r="ACA7" s="1225"/>
      <c r="ACB7" s="1225"/>
      <c r="ACC7" s="1225"/>
      <c r="ACD7" s="1225"/>
      <c r="ACE7" s="1225"/>
      <c r="ACF7" s="1225"/>
      <c r="ACG7" s="1225"/>
      <c r="ACH7" s="1225"/>
      <c r="ACI7" s="1225"/>
      <c r="ACJ7" s="1225"/>
      <c r="ACK7" s="1225"/>
      <c r="ACL7" s="1225"/>
      <c r="ACM7" s="1225"/>
      <c r="ACN7" s="1225"/>
      <c r="ACO7" s="1225"/>
      <c r="ACP7" s="1225"/>
      <c r="ACQ7" s="1225"/>
      <c r="ACR7" s="1225"/>
      <c r="ACS7" s="1225"/>
      <c r="ACT7" s="1225"/>
      <c r="ACU7" s="1225"/>
      <c r="ACV7" s="1225"/>
      <c r="ACW7" s="1225"/>
      <c r="ACX7" s="1225"/>
      <c r="ACY7" s="1225"/>
      <c r="ACZ7" s="1225"/>
      <c r="ADA7" s="1225"/>
      <c r="ADB7" s="1225"/>
      <c r="ADC7" s="1225"/>
      <c r="ADD7" s="1225"/>
      <c r="ADE7" s="1225"/>
      <c r="ADF7" s="1225"/>
      <c r="ADG7" s="1225"/>
    </row>
    <row r="8" spans="1:787" s="1224" customFormat="1" ht="13">
      <c r="A8" s="1225"/>
      <c r="B8" s="1400"/>
      <c r="C8" s="1230"/>
      <c r="D8" s="1231" t="s">
        <v>431</v>
      </c>
      <c r="E8" s="1231"/>
      <c r="F8" s="1401"/>
      <c r="G8" s="1231"/>
      <c r="H8" s="1235">
        <v>0</v>
      </c>
      <c r="I8" s="1235">
        <v>0</v>
      </c>
      <c r="J8" s="1402">
        <f>+'全期规划指标 '!D20+'全期规划指标 '!D21</f>
        <v>13214</v>
      </c>
      <c r="K8" s="1402"/>
      <c r="L8" s="1402"/>
      <c r="M8" s="1402">
        <f>'全期规划指标 '!D26</f>
        <v>1000</v>
      </c>
      <c r="N8" s="1402">
        <f>+'全期规划指标 '!D23</f>
        <v>0</v>
      </c>
      <c r="O8" s="1402">
        <f>+'全期规划指标 '!D22</f>
        <v>0</v>
      </c>
      <c r="P8" s="1402">
        <f>+'全期规划指标 '!D24</f>
        <v>29015</v>
      </c>
      <c r="Q8" s="1402"/>
      <c r="R8" s="1402"/>
      <c r="S8" s="1402"/>
      <c r="T8" s="1402">
        <f>SUM(H8:P8)</f>
        <v>43229</v>
      </c>
      <c r="U8" s="1236"/>
      <c r="V8" s="1225" t="s">
        <v>3145</v>
      </c>
      <c r="W8" s="1225"/>
      <c r="X8" s="1225"/>
      <c r="Y8" s="1225"/>
      <c r="Z8" s="1225"/>
      <c r="AA8" s="1225"/>
      <c r="AB8" s="1225"/>
      <c r="AC8" s="1225"/>
      <c r="AD8" s="1225"/>
      <c r="AE8" s="1225"/>
      <c r="AF8" s="1225"/>
      <c r="AG8" s="1225"/>
      <c r="AH8" s="1225"/>
      <c r="AI8" s="1225"/>
      <c r="AJ8" s="1225"/>
      <c r="AK8" s="1225"/>
      <c r="AL8" s="1225"/>
      <c r="AM8" s="1225"/>
      <c r="AN8" s="1225"/>
      <c r="AO8" s="1225"/>
      <c r="AP8" s="1225"/>
      <c r="AQ8" s="1225"/>
      <c r="AR8" s="1225"/>
      <c r="AS8" s="1225"/>
      <c r="AT8" s="1225"/>
      <c r="AU8" s="1225"/>
      <c r="AV8" s="1225"/>
      <c r="AW8" s="1225"/>
      <c r="AX8" s="1225"/>
      <c r="AY8" s="1225"/>
      <c r="AZ8" s="1225"/>
      <c r="BA8" s="1225"/>
      <c r="BB8" s="1225"/>
      <c r="BC8" s="1225"/>
      <c r="BD8" s="1225"/>
      <c r="BE8" s="1225"/>
      <c r="BF8" s="1225"/>
      <c r="BG8" s="1225"/>
      <c r="BH8" s="1225"/>
      <c r="BI8" s="1225"/>
      <c r="BJ8" s="1225"/>
      <c r="BK8" s="1225"/>
      <c r="BL8" s="1225"/>
      <c r="BM8" s="1225"/>
      <c r="BN8" s="1225"/>
      <c r="BO8" s="1225"/>
      <c r="BP8" s="1225"/>
      <c r="BQ8" s="1225"/>
      <c r="BR8" s="1225"/>
      <c r="BS8" s="1225"/>
      <c r="BT8" s="1225"/>
      <c r="BU8" s="1225"/>
      <c r="BV8" s="1225"/>
      <c r="BW8" s="1225"/>
      <c r="BX8" s="1225"/>
      <c r="BY8" s="1225"/>
      <c r="BZ8" s="1225"/>
      <c r="CA8" s="1225"/>
      <c r="CB8" s="1225"/>
      <c r="CC8" s="1225"/>
      <c r="CD8" s="1225"/>
      <c r="CE8" s="1225"/>
      <c r="CF8" s="1225"/>
      <c r="CG8" s="1225"/>
      <c r="CH8" s="1225"/>
      <c r="CI8" s="1225"/>
      <c r="CJ8" s="1225"/>
      <c r="CK8" s="1225"/>
      <c r="CL8" s="1225"/>
      <c r="CM8" s="1225"/>
      <c r="CN8" s="1225"/>
      <c r="CO8" s="1225"/>
      <c r="CP8" s="1225"/>
      <c r="CQ8" s="1225"/>
      <c r="CR8" s="1225"/>
      <c r="CS8" s="1225"/>
      <c r="CT8" s="1225"/>
      <c r="CU8" s="1225"/>
      <c r="CV8" s="1225"/>
      <c r="CW8" s="1225"/>
      <c r="CX8" s="1225"/>
      <c r="CY8" s="1225"/>
      <c r="CZ8" s="1225"/>
      <c r="DA8" s="1225"/>
      <c r="DB8" s="1225"/>
      <c r="DC8" s="1225"/>
      <c r="DD8" s="1225"/>
      <c r="DE8" s="1225"/>
      <c r="DF8" s="1225"/>
      <c r="DG8" s="1225"/>
      <c r="DH8" s="1225"/>
      <c r="DI8" s="1225"/>
      <c r="DJ8" s="1225"/>
      <c r="DK8" s="1225"/>
      <c r="DL8" s="1225"/>
      <c r="DM8" s="1225"/>
      <c r="DN8" s="1225"/>
      <c r="DO8" s="1225"/>
      <c r="DP8" s="1225"/>
      <c r="DQ8" s="1225"/>
      <c r="DR8" s="1225"/>
      <c r="DS8" s="1225"/>
      <c r="DT8" s="1225"/>
      <c r="DU8" s="1225"/>
      <c r="DV8" s="1225"/>
      <c r="DW8" s="1225"/>
      <c r="DX8" s="1225"/>
      <c r="DY8" s="1225"/>
      <c r="DZ8" s="1225"/>
      <c r="EA8" s="1225"/>
      <c r="EB8" s="1225"/>
      <c r="EC8" s="1225"/>
      <c r="ED8" s="1225"/>
      <c r="EE8" s="1225"/>
      <c r="EF8" s="1225"/>
      <c r="EG8" s="1225"/>
      <c r="EH8" s="1225"/>
      <c r="EI8" s="1225"/>
      <c r="EJ8" s="1225"/>
      <c r="EK8" s="1225"/>
      <c r="EL8" s="1225"/>
      <c r="EM8" s="1225"/>
      <c r="EN8" s="1225"/>
      <c r="EO8" s="1225"/>
      <c r="EP8" s="1225"/>
      <c r="EQ8" s="1225"/>
      <c r="ER8" s="1225"/>
      <c r="ES8" s="1225"/>
      <c r="ET8" s="1225"/>
      <c r="EU8" s="1225"/>
      <c r="EV8" s="1225"/>
      <c r="EW8" s="1225"/>
      <c r="EX8" s="1225"/>
      <c r="EY8" s="1225"/>
      <c r="EZ8" s="1225"/>
      <c r="FA8" s="1225"/>
      <c r="FB8" s="1225"/>
      <c r="FC8" s="1225"/>
      <c r="FD8" s="1225"/>
      <c r="FE8" s="1225"/>
      <c r="FF8" s="1225"/>
      <c r="FG8" s="1225"/>
      <c r="FH8" s="1225"/>
      <c r="FI8" s="1225"/>
      <c r="FJ8" s="1225"/>
      <c r="FK8" s="1225"/>
      <c r="FL8" s="1225"/>
      <c r="FM8" s="1225"/>
      <c r="FN8" s="1225"/>
      <c r="FO8" s="1225"/>
      <c r="FP8" s="1225"/>
      <c r="FQ8" s="1225"/>
      <c r="FR8" s="1225"/>
      <c r="FS8" s="1225"/>
      <c r="FT8" s="1225"/>
      <c r="FU8" s="1225"/>
      <c r="FV8" s="1225"/>
      <c r="FW8" s="1225"/>
      <c r="FX8" s="1225"/>
      <c r="FY8" s="1225"/>
      <c r="FZ8" s="1225"/>
      <c r="GA8" s="1225"/>
      <c r="GB8" s="1225"/>
      <c r="GC8" s="1225"/>
      <c r="GD8" s="1225"/>
      <c r="GE8" s="1225"/>
      <c r="GF8" s="1225"/>
      <c r="GG8" s="1225"/>
      <c r="GH8" s="1225"/>
      <c r="GI8" s="1225"/>
      <c r="GJ8" s="1225"/>
      <c r="GK8" s="1225"/>
      <c r="GL8" s="1225"/>
      <c r="GM8" s="1225"/>
      <c r="GN8" s="1225"/>
      <c r="GO8" s="1225"/>
      <c r="GP8" s="1225"/>
      <c r="GQ8" s="1225"/>
      <c r="GR8" s="1225"/>
      <c r="GS8" s="1225"/>
      <c r="GT8" s="1225"/>
      <c r="GU8" s="1225"/>
      <c r="GV8" s="1225"/>
      <c r="GW8" s="1225"/>
      <c r="GX8" s="1225"/>
      <c r="GY8" s="1225"/>
      <c r="GZ8" s="1225"/>
      <c r="HA8" s="1225"/>
      <c r="HB8" s="1225"/>
      <c r="HC8" s="1225"/>
      <c r="HD8" s="1225"/>
      <c r="HE8" s="1225"/>
      <c r="HF8" s="1225"/>
      <c r="HG8" s="1225"/>
      <c r="HH8" s="1225"/>
      <c r="HI8" s="1225"/>
      <c r="HJ8" s="1225"/>
      <c r="HK8" s="1225"/>
      <c r="HL8" s="1225"/>
      <c r="HM8" s="1225"/>
      <c r="HN8" s="1225"/>
      <c r="HO8" s="1225"/>
      <c r="HP8" s="1225"/>
      <c r="HQ8" s="1225"/>
      <c r="HR8" s="1225"/>
      <c r="HS8" s="1225"/>
      <c r="HT8" s="1225"/>
      <c r="HU8" s="1225"/>
      <c r="HV8" s="1225"/>
      <c r="HW8" s="1225"/>
      <c r="HX8" s="1225"/>
      <c r="HY8" s="1225"/>
      <c r="HZ8" s="1225"/>
      <c r="IA8" s="1225"/>
      <c r="IB8" s="1225"/>
      <c r="IC8" s="1225"/>
      <c r="ID8" s="1225"/>
      <c r="IE8" s="1225"/>
      <c r="IF8" s="1225"/>
      <c r="IG8" s="1225"/>
      <c r="IH8" s="1225"/>
      <c r="II8" s="1225"/>
      <c r="IJ8" s="1225"/>
      <c r="IK8" s="1225"/>
      <c r="IL8" s="1225"/>
      <c r="IM8" s="1225"/>
      <c r="IN8" s="1225"/>
      <c r="IO8" s="1225"/>
      <c r="IP8" s="1225"/>
      <c r="IQ8" s="1225"/>
      <c r="IR8" s="1225"/>
      <c r="IS8" s="1225"/>
      <c r="IT8" s="1225"/>
      <c r="IU8" s="1225"/>
      <c r="IV8" s="1225"/>
      <c r="IW8" s="1225"/>
      <c r="IX8" s="1225"/>
      <c r="IY8" s="1225"/>
      <c r="IZ8" s="1225"/>
      <c r="JA8" s="1225"/>
      <c r="JB8" s="1225"/>
      <c r="JC8" s="1225"/>
      <c r="JD8" s="1225"/>
      <c r="JE8" s="1225"/>
      <c r="JF8" s="1225"/>
      <c r="JG8" s="1225"/>
      <c r="JH8" s="1225"/>
      <c r="JI8" s="1225"/>
      <c r="JJ8" s="1225"/>
      <c r="JK8" s="1225"/>
      <c r="JL8" s="1225"/>
      <c r="JM8" s="1225"/>
      <c r="JN8" s="1225"/>
      <c r="JO8" s="1225"/>
      <c r="JP8" s="1225"/>
      <c r="JQ8" s="1225"/>
      <c r="JR8" s="1225"/>
      <c r="JS8" s="1225"/>
      <c r="JT8" s="1225"/>
      <c r="JU8" s="1225"/>
      <c r="JV8" s="1225"/>
      <c r="JW8" s="1225"/>
      <c r="JX8" s="1225"/>
      <c r="JY8" s="1225"/>
      <c r="JZ8" s="1225"/>
      <c r="KA8" s="1225"/>
      <c r="KB8" s="1225"/>
      <c r="KC8" s="1225"/>
      <c r="KD8" s="1225"/>
      <c r="KE8" s="1225"/>
      <c r="KF8" s="1225"/>
      <c r="KG8" s="1225"/>
      <c r="KH8" s="1225"/>
      <c r="KI8" s="1225"/>
      <c r="KJ8" s="1225"/>
      <c r="KK8" s="1225"/>
      <c r="KL8" s="1225"/>
      <c r="KM8" s="1225"/>
      <c r="KN8" s="1225"/>
      <c r="KO8" s="1225"/>
      <c r="KP8" s="1225"/>
      <c r="KQ8" s="1225"/>
      <c r="KR8" s="1225"/>
      <c r="KS8" s="1225"/>
      <c r="KT8" s="1225"/>
      <c r="KU8" s="1225"/>
      <c r="KV8" s="1225"/>
      <c r="KW8" s="1225"/>
      <c r="KX8" s="1225"/>
      <c r="KY8" s="1225"/>
      <c r="KZ8" s="1225"/>
      <c r="LA8" s="1225"/>
      <c r="LB8" s="1225"/>
      <c r="LC8" s="1225"/>
      <c r="LD8" s="1225"/>
      <c r="LE8" s="1225"/>
      <c r="LF8" s="1225"/>
      <c r="LG8" s="1225"/>
      <c r="LH8" s="1225"/>
      <c r="LI8" s="1225"/>
      <c r="LJ8" s="1225"/>
      <c r="LK8" s="1225"/>
      <c r="LL8" s="1225"/>
      <c r="LM8" s="1225"/>
      <c r="LN8" s="1225"/>
      <c r="LO8" s="1225"/>
      <c r="LP8" s="1225"/>
      <c r="LQ8" s="1225"/>
      <c r="LR8" s="1225"/>
      <c r="LS8" s="1225"/>
      <c r="LT8" s="1225"/>
      <c r="LU8" s="1225"/>
      <c r="LV8" s="1225"/>
      <c r="LW8" s="1225"/>
      <c r="LX8" s="1225"/>
      <c r="LY8" s="1225"/>
      <c r="LZ8" s="1225"/>
      <c r="MA8" s="1225"/>
      <c r="MB8" s="1225"/>
      <c r="MC8" s="1225"/>
      <c r="MD8" s="1225"/>
      <c r="ME8" s="1225"/>
      <c r="MF8" s="1225"/>
      <c r="MG8" s="1225"/>
      <c r="MH8" s="1225"/>
      <c r="MI8" s="1225"/>
      <c r="MJ8" s="1225"/>
      <c r="MK8" s="1225"/>
      <c r="ML8" s="1225"/>
      <c r="MM8" s="1225"/>
      <c r="MN8" s="1225"/>
      <c r="MO8" s="1225"/>
      <c r="MP8" s="1225"/>
      <c r="MQ8" s="1225"/>
      <c r="MR8" s="1225"/>
      <c r="MS8" s="1225"/>
      <c r="MT8" s="1225"/>
      <c r="MU8" s="1225"/>
      <c r="MV8" s="1225"/>
      <c r="MW8" s="1225"/>
      <c r="MX8" s="1225"/>
      <c r="MY8" s="1225"/>
      <c r="MZ8" s="1225"/>
      <c r="NA8" s="1225"/>
      <c r="NB8" s="1225"/>
      <c r="NC8" s="1225"/>
      <c r="ND8" s="1225"/>
      <c r="NE8" s="1225"/>
      <c r="NF8" s="1225"/>
      <c r="NG8" s="1225"/>
      <c r="NH8" s="1225"/>
      <c r="NI8" s="1225"/>
      <c r="NJ8" s="1225"/>
      <c r="NK8" s="1225"/>
      <c r="NL8" s="1225"/>
      <c r="NM8" s="1225"/>
      <c r="NN8" s="1225"/>
      <c r="NO8" s="1225"/>
      <c r="NP8" s="1225"/>
      <c r="NQ8" s="1225"/>
      <c r="NR8" s="1225"/>
      <c r="NS8" s="1225"/>
      <c r="NT8" s="1225"/>
      <c r="NU8" s="1225"/>
      <c r="NV8" s="1225"/>
      <c r="NW8" s="1225"/>
      <c r="NX8" s="1225"/>
      <c r="NY8" s="1225"/>
      <c r="NZ8" s="1225"/>
      <c r="OA8" s="1225"/>
      <c r="OB8" s="1225"/>
      <c r="OC8" s="1225"/>
      <c r="OD8" s="1225"/>
      <c r="OE8" s="1225"/>
      <c r="OF8" s="1225"/>
      <c r="OG8" s="1225"/>
      <c r="OH8" s="1225"/>
      <c r="OI8" s="1225"/>
      <c r="OJ8" s="1225"/>
      <c r="OK8" s="1225"/>
      <c r="OL8" s="1225"/>
      <c r="OM8" s="1225"/>
      <c r="ON8" s="1225"/>
      <c r="OO8" s="1225"/>
      <c r="OP8" s="1225"/>
      <c r="OQ8" s="1225"/>
      <c r="OR8" s="1225"/>
      <c r="OS8" s="1225"/>
      <c r="OT8" s="1225"/>
      <c r="OU8" s="1225"/>
      <c r="OV8" s="1225"/>
      <c r="OW8" s="1225"/>
      <c r="OX8" s="1225"/>
      <c r="OY8" s="1225"/>
      <c r="OZ8" s="1225"/>
      <c r="PA8" s="1225"/>
      <c r="PB8" s="1225"/>
      <c r="PC8" s="1225"/>
      <c r="PD8" s="1225"/>
      <c r="PE8" s="1225"/>
      <c r="PF8" s="1225"/>
      <c r="PG8" s="1225"/>
      <c r="PH8" s="1225"/>
      <c r="PI8" s="1225"/>
      <c r="PJ8" s="1225"/>
      <c r="PK8" s="1225"/>
      <c r="PL8" s="1225"/>
      <c r="PM8" s="1225"/>
      <c r="PN8" s="1225"/>
      <c r="PO8" s="1225"/>
      <c r="PP8" s="1225"/>
      <c r="PQ8" s="1225"/>
      <c r="PR8" s="1225"/>
      <c r="PS8" s="1225"/>
      <c r="PT8" s="1225"/>
      <c r="PU8" s="1225"/>
      <c r="PV8" s="1225"/>
      <c r="PW8" s="1225"/>
      <c r="PX8" s="1225"/>
      <c r="PY8" s="1225"/>
      <c r="PZ8" s="1225"/>
      <c r="QA8" s="1225"/>
      <c r="QB8" s="1225"/>
      <c r="QC8" s="1225"/>
      <c r="QD8" s="1225"/>
      <c r="QE8" s="1225"/>
      <c r="QF8" s="1225"/>
      <c r="QG8" s="1225"/>
      <c r="QH8" s="1225"/>
      <c r="QI8" s="1225"/>
      <c r="QJ8" s="1225"/>
      <c r="QK8" s="1225"/>
      <c r="QL8" s="1225"/>
      <c r="QM8" s="1225"/>
      <c r="QN8" s="1225"/>
      <c r="QO8" s="1225"/>
      <c r="QP8" s="1225"/>
      <c r="QQ8" s="1225"/>
      <c r="QR8" s="1225"/>
      <c r="QS8" s="1225"/>
      <c r="QT8" s="1225"/>
      <c r="QU8" s="1225"/>
      <c r="QV8" s="1225"/>
      <c r="QW8" s="1225"/>
      <c r="QX8" s="1225"/>
      <c r="QY8" s="1225"/>
      <c r="QZ8" s="1225"/>
      <c r="RA8" s="1225"/>
      <c r="RB8" s="1225"/>
      <c r="RC8" s="1225"/>
      <c r="RD8" s="1225"/>
      <c r="RE8" s="1225"/>
      <c r="RF8" s="1225"/>
      <c r="RG8" s="1225"/>
      <c r="RH8" s="1225"/>
      <c r="RI8" s="1225"/>
      <c r="RJ8" s="1225"/>
      <c r="RK8" s="1225"/>
      <c r="RL8" s="1225"/>
      <c r="RM8" s="1225"/>
      <c r="RN8" s="1225"/>
      <c r="RO8" s="1225"/>
      <c r="RP8" s="1225"/>
      <c r="RQ8" s="1225"/>
      <c r="RR8" s="1225"/>
      <c r="RS8" s="1225"/>
      <c r="RT8" s="1225"/>
      <c r="RU8" s="1225"/>
      <c r="RV8" s="1225"/>
      <c r="RW8" s="1225"/>
      <c r="RX8" s="1225"/>
      <c r="RY8" s="1225"/>
      <c r="RZ8" s="1225"/>
      <c r="SA8" s="1225"/>
      <c r="SB8" s="1225"/>
      <c r="SC8" s="1225"/>
      <c r="SD8" s="1225"/>
      <c r="SE8" s="1225"/>
      <c r="SF8" s="1225"/>
      <c r="SG8" s="1225"/>
      <c r="SH8" s="1225"/>
      <c r="SI8" s="1225"/>
      <c r="SJ8" s="1225"/>
      <c r="SK8" s="1225"/>
      <c r="SL8" s="1225"/>
      <c r="SM8" s="1225"/>
      <c r="SN8" s="1225"/>
      <c r="SO8" s="1225"/>
      <c r="SP8" s="1225"/>
      <c r="SQ8" s="1225"/>
      <c r="SR8" s="1225"/>
      <c r="SS8" s="1225"/>
      <c r="ST8" s="1225"/>
      <c r="SU8" s="1225"/>
      <c r="SV8" s="1225"/>
      <c r="SW8" s="1225"/>
      <c r="SX8" s="1225"/>
      <c r="SY8" s="1225"/>
      <c r="SZ8" s="1225"/>
      <c r="TA8" s="1225"/>
      <c r="TB8" s="1225"/>
      <c r="TC8" s="1225"/>
      <c r="TD8" s="1225"/>
      <c r="TE8" s="1225"/>
      <c r="TF8" s="1225"/>
      <c r="TG8" s="1225"/>
      <c r="TH8" s="1225"/>
      <c r="TI8" s="1225"/>
      <c r="TJ8" s="1225"/>
      <c r="TK8" s="1225"/>
      <c r="TL8" s="1225"/>
      <c r="TM8" s="1225"/>
      <c r="TN8" s="1225"/>
      <c r="TO8" s="1225"/>
      <c r="TP8" s="1225"/>
      <c r="TQ8" s="1225"/>
      <c r="TR8" s="1225"/>
      <c r="TS8" s="1225"/>
      <c r="TT8" s="1225"/>
      <c r="TU8" s="1225"/>
      <c r="TV8" s="1225"/>
      <c r="TW8" s="1225"/>
      <c r="TX8" s="1225"/>
      <c r="TY8" s="1225"/>
      <c r="TZ8" s="1225"/>
      <c r="UA8" s="1225"/>
      <c r="UB8" s="1225"/>
      <c r="UC8" s="1225"/>
      <c r="UD8" s="1225"/>
      <c r="UE8" s="1225"/>
      <c r="UF8" s="1225"/>
      <c r="UG8" s="1225"/>
      <c r="UH8" s="1225"/>
      <c r="UI8" s="1225"/>
      <c r="UJ8" s="1225"/>
      <c r="UK8" s="1225"/>
      <c r="UL8" s="1225"/>
      <c r="UM8" s="1225"/>
      <c r="UN8" s="1225"/>
      <c r="UO8" s="1225"/>
      <c r="UP8" s="1225"/>
      <c r="UQ8" s="1225"/>
      <c r="UR8" s="1225"/>
      <c r="US8" s="1225"/>
      <c r="UT8" s="1225"/>
      <c r="UU8" s="1225"/>
      <c r="UV8" s="1225"/>
      <c r="UW8" s="1225"/>
      <c r="UX8" s="1225"/>
      <c r="UY8" s="1225"/>
      <c r="UZ8" s="1225"/>
      <c r="VA8" s="1225"/>
      <c r="VB8" s="1225"/>
      <c r="VC8" s="1225"/>
      <c r="VD8" s="1225"/>
      <c r="VE8" s="1225"/>
      <c r="VF8" s="1225"/>
      <c r="VG8" s="1225"/>
      <c r="VH8" s="1225"/>
      <c r="VI8" s="1225"/>
      <c r="VJ8" s="1225"/>
      <c r="VK8" s="1225"/>
      <c r="VL8" s="1225"/>
      <c r="VM8" s="1225"/>
      <c r="VN8" s="1225"/>
      <c r="VO8" s="1225"/>
      <c r="VP8" s="1225"/>
      <c r="VQ8" s="1225"/>
      <c r="VR8" s="1225"/>
      <c r="VS8" s="1225"/>
      <c r="VT8" s="1225"/>
      <c r="VU8" s="1225"/>
      <c r="VV8" s="1225"/>
      <c r="VW8" s="1225"/>
      <c r="VX8" s="1225"/>
      <c r="VY8" s="1225"/>
      <c r="VZ8" s="1225"/>
      <c r="WA8" s="1225"/>
      <c r="WB8" s="1225"/>
      <c r="WC8" s="1225"/>
      <c r="WD8" s="1225"/>
      <c r="WE8" s="1225"/>
      <c r="WF8" s="1225"/>
      <c r="WG8" s="1225"/>
      <c r="WH8" s="1225"/>
      <c r="WI8" s="1225"/>
      <c r="WJ8" s="1225"/>
      <c r="WK8" s="1225"/>
      <c r="WL8" s="1225"/>
      <c r="WM8" s="1225"/>
      <c r="WN8" s="1225"/>
      <c r="WO8" s="1225"/>
      <c r="WP8" s="1225"/>
      <c r="WQ8" s="1225"/>
      <c r="WR8" s="1225"/>
      <c r="WS8" s="1225"/>
      <c r="WT8" s="1225"/>
      <c r="WU8" s="1225"/>
      <c r="WV8" s="1225"/>
      <c r="WW8" s="1225"/>
      <c r="WX8" s="1225"/>
      <c r="WY8" s="1225"/>
      <c r="WZ8" s="1225"/>
      <c r="XA8" s="1225"/>
      <c r="XB8" s="1225"/>
      <c r="XC8" s="1225"/>
      <c r="XD8" s="1225"/>
      <c r="XE8" s="1225"/>
      <c r="XF8" s="1225"/>
      <c r="XG8" s="1225"/>
      <c r="XH8" s="1225"/>
      <c r="XI8" s="1225"/>
      <c r="XJ8" s="1225"/>
      <c r="XK8" s="1225"/>
      <c r="XL8" s="1225"/>
      <c r="XM8" s="1225"/>
      <c r="XN8" s="1225"/>
      <c r="XO8" s="1225"/>
      <c r="XP8" s="1225"/>
      <c r="XQ8" s="1225"/>
      <c r="XR8" s="1225"/>
      <c r="XS8" s="1225"/>
      <c r="XT8" s="1225"/>
      <c r="XU8" s="1225"/>
      <c r="XV8" s="1225"/>
      <c r="XW8" s="1225"/>
      <c r="XX8" s="1225"/>
      <c r="XY8" s="1225"/>
      <c r="XZ8" s="1225"/>
      <c r="YA8" s="1225"/>
      <c r="YB8" s="1225"/>
      <c r="YC8" s="1225"/>
      <c r="YD8" s="1225"/>
      <c r="YE8" s="1225"/>
      <c r="YF8" s="1225"/>
      <c r="YG8" s="1225"/>
      <c r="YH8" s="1225"/>
      <c r="YI8" s="1225"/>
      <c r="YJ8" s="1225"/>
      <c r="YK8" s="1225"/>
      <c r="YL8" s="1225"/>
      <c r="YM8" s="1225"/>
      <c r="YN8" s="1225"/>
      <c r="YO8" s="1225"/>
      <c r="YP8" s="1225"/>
      <c r="YQ8" s="1225"/>
      <c r="YR8" s="1225"/>
      <c r="YS8" s="1225"/>
      <c r="YT8" s="1225"/>
      <c r="YU8" s="1225"/>
      <c r="YV8" s="1225"/>
      <c r="YW8" s="1225"/>
      <c r="YX8" s="1225"/>
      <c r="YY8" s="1225"/>
      <c r="YZ8" s="1225"/>
      <c r="ZA8" s="1225"/>
      <c r="ZB8" s="1225"/>
      <c r="ZC8" s="1225"/>
      <c r="ZD8" s="1225"/>
      <c r="ZE8" s="1225"/>
      <c r="ZF8" s="1225"/>
      <c r="ZG8" s="1225"/>
      <c r="ZH8" s="1225"/>
      <c r="ZI8" s="1225"/>
      <c r="ZJ8" s="1225"/>
      <c r="ZK8" s="1225"/>
      <c r="ZL8" s="1225"/>
      <c r="ZM8" s="1225"/>
      <c r="ZN8" s="1225"/>
      <c r="ZO8" s="1225"/>
      <c r="ZP8" s="1225"/>
      <c r="ZQ8" s="1225"/>
      <c r="ZR8" s="1225"/>
      <c r="ZS8" s="1225"/>
      <c r="ZT8" s="1225"/>
      <c r="ZU8" s="1225"/>
      <c r="ZV8" s="1225"/>
      <c r="ZW8" s="1225"/>
      <c r="ZX8" s="1225"/>
      <c r="ZY8" s="1225"/>
      <c r="ZZ8" s="1225"/>
      <c r="AAA8" s="1225"/>
      <c r="AAB8" s="1225"/>
      <c r="AAC8" s="1225"/>
      <c r="AAD8" s="1225"/>
      <c r="AAE8" s="1225"/>
      <c r="AAF8" s="1225"/>
      <c r="AAG8" s="1225"/>
      <c r="AAH8" s="1225"/>
      <c r="AAI8" s="1225"/>
      <c r="AAJ8" s="1225"/>
      <c r="AAK8" s="1225"/>
      <c r="AAL8" s="1225"/>
      <c r="AAM8" s="1225"/>
      <c r="AAN8" s="1225"/>
      <c r="AAO8" s="1225"/>
      <c r="AAP8" s="1225"/>
      <c r="AAQ8" s="1225"/>
      <c r="AAR8" s="1225"/>
      <c r="AAS8" s="1225"/>
      <c r="AAT8" s="1225"/>
      <c r="AAU8" s="1225"/>
      <c r="AAV8" s="1225"/>
      <c r="AAW8" s="1225"/>
      <c r="AAX8" s="1225"/>
      <c r="AAY8" s="1225"/>
      <c r="AAZ8" s="1225"/>
      <c r="ABA8" s="1225"/>
      <c r="ABB8" s="1225"/>
      <c r="ABC8" s="1225"/>
      <c r="ABD8" s="1225"/>
      <c r="ABE8" s="1225"/>
      <c r="ABF8" s="1225"/>
      <c r="ABG8" s="1225"/>
      <c r="ABH8" s="1225"/>
      <c r="ABI8" s="1225"/>
      <c r="ABJ8" s="1225"/>
      <c r="ABK8" s="1225"/>
      <c r="ABL8" s="1225"/>
      <c r="ABM8" s="1225"/>
      <c r="ABN8" s="1225"/>
      <c r="ABO8" s="1225"/>
      <c r="ABP8" s="1225"/>
      <c r="ABQ8" s="1225"/>
      <c r="ABR8" s="1225"/>
      <c r="ABS8" s="1225"/>
      <c r="ABT8" s="1225"/>
      <c r="ABU8" s="1225"/>
      <c r="ABV8" s="1225"/>
      <c r="ABW8" s="1225"/>
      <c r="ABX8" s="1225"/>
      <c r="ABY8" s="1225"/>
      <c r="ABZ8" s="1225"/>
      <c r="ACA8" s="1225"/>
      <c r="ACB8" s="1225"/>
      <c r="ACC8" s="1225"/>
      <c r="ACD8" s="1225"/>
      <c r="ACE8" s="1225"/>
      <c r="ACF8" s="1225"/>
      <c r="ACG8" s="1225"/>
      <c r="ACH8" s="1225"/>
      <c r="ACI8" s="1225"/>
      <c r="ACJ8" s="1225"/>
      <c r="ACK8" s="1225"/>
      <c r="ACL8" s="1225"/>
      <c r="ACM8" s="1225"/>
      <c r="ACN8" s="1225"/>
      <c r="ACO8" s="1225"/>
      <c r="ACP8" s="1225"/>
      <c r="ACQ8" s="1225"/>
      <c r="ACR8" s="1225"/>
      <c r="ACS8" s="1225"/>
      <c r="ACT8" s="1225"/>
      <c r="ACU8" s="1225"/>
      <c r="ACV8" s="1225"/>
      <c r="ACW8" s="1225"/>
      <c r="ACX8" s="1225"/>
      <c r="ACY8" s="1225"/>
      <c r="ACZ8" s="1225"/>
      <c r="ADA8" s="1225"/>
      <c r="ADB8" s="1225"/>
      <c r="ADC8" s="1225"/>
      <c r="ADD8" s="1225"/>
      <c r="ADE8" s="1225"/>
      <c r="ADF8" s="1225"/>
      <c r="ADG8" s="1225"/>
    </row>
    <row r="9" spans="1:787" s="1412" customFormat="1" ht="13" collapsed="1">
      <c r="A9" s="1247"/>
      <c r="B9" s="1403" t="s">
        <v>3214</v>
      </c>
      <c r="C9" s="1404"/>
      <c r="D9" s="1404" t="s">
        <v>475</v>
      </c>
      <c r="E9" s="1405"/>
      <c r="F9" s="1406"/>
      <c r="G9" s="1407"/>
      <c r="H9" s="1408">
        <f>SUBTOTAL(9,H10:H63)</f>
        <v>0</v>
      </c>
      <c r="I9" s="1408">
        <f t="shared" ref="I9:T9" si="0">SUBTOTAL(9,I10:I63)</f>
        <v>0</v>
      </c>
      <c r="J9" s="1409">
        <f t="shared" si="0"/>
        <v>0</v>
      </c>
      <c r="K9" s="1409">
        <f t="shared" si="0"/>
        <v>0</v>
      </c>
      <c r="L9" s="1409">
        <f t="shared" si="0"/>
        <v>0</v>
      </c>
      <c r="M9" s="1409">
        <f t="shared" si="0"/>
        <v>0</v>
      </c>
      <c r="N9" s="1409">
        <f t="shared" si="0"/>
        <v>0</v>
      </c>
      <c r="O9" s="1409">
        <f t="shared" si="0"/>
        <v>0</v>
      </c>
      <c r="P9" s="1409">
        <f t="shared" si="0"/>
        <v>0</v>
      </c>
      <c r="Q9" s="1410">
        <f t="shared" si="0"/>
        <v>3986.1729319999995</v>
      </c>
      <c r="R9" s="1410">
        <f t="shared" si="0"/>
        <v>3986.1729319999995</v>
      </c>
      <c r="S9" s="1410">
        <f t="shared" si="0"/>
        <v>35274.75129002818</v>
      </c>
      <c r="T9" s="1410">
        <f t="shared" si="0"/>
        <v>39260.924222028174</v>
      </c>
      <c r="U9" s="1411"/>
      <c r="V9" s="1225">
        <f>H9+I9+J9+L9+N9+O9+P9+Q9+S9-T9+K9+M9</f>
        <v>7.2759576141834259E-12</v>
      </c>
      <c r="W9" s="1225">
        <f>T9-R9</f>
        <v>35274.751290028173</v>
      </c>
      <c r="X9" s="1225">
        <f>T9-'成本汇总（分摊）'!BJ8</f>
        <v>2.8165231924504042E-8</v>
      </c>
      <c r="Y9" s="1225"/>
      <c r="Z9" s="1247"/>
      <c r="AA9" s="1247"/>
      <c r="AB9" s="1247"/>
      <c r="AC9" s="1247"/>
      <c r="AD9" s="1247"/>
      <c r="AE9" s="1247"/>
      <c r="AF9" s="1247"/>
      <c r="AG9" s="1247"/>
      <c r="AH9" s="1247"/>
      <c r="AI9" s="1247"/>
      <c r="AJ9" s="1247"/>
      <c r="AK9" s="1247"/>
      <c r="AL9" s="1247"/>
      <c r="AM9" s="1247"/>
      <c r="AN9" s="1247"/>
      <c r="AO9" s="1247"/>
      <c r="AP9" s="1247"/>
      <c r="AQ9" s="1247"/>
      <c r="AR9" s="1247"/>
      <c r="AS9" s="1247"/>
      <c r="AT9" s="1247"/>
      <c r="AU9" s="1247"/>
      <c r="AV9" s="1247"/>
      <c r="AW9" s="1247"/>
      <c r="AX9" s="1247"/>
      <c r="AY9" s="1247"/>
      <c r="AZ9" s="1247"/>
      <c r="BA9" s="1247"/>
      <c r="BB9" s="1247"/>
      <c r="BC9" s="1247"/>
      <c r="BD9" s="1247"/>
      <c r="BE9" s="1247"/>
      <c r="BF9" s="1247"/>
      <c r="BG9" s="1247"/>
      <c r="BH9" s="1247"/>
      <c r="BI9" s="1247"/>
      <c r="BJ9" s="1247"/>
      <c r="BK9" s="1247"/>
      <c r="BL9" s="1247"/>
      <c r="BM9" s="1247"/>
      <c r="BN9" s="1247"/>
      <c r="BO9" s="1247"/>
      <c r="BP9" s="1247"/>
      <c r="BQ9" s="1247"/>
      <c r="BR9" s="1247"/>
      <c r="BS9" s="1247"/>
      <c r="BT9" s="1247"/>
      <c r="BU9" s="1247"/>
      <c r="BV9" s="1247"/>
      <c r="BW9" s="1247"/>
      <c r="BX9" s="1247"/>
      <c r="BY9" s="1247"/>
      <c r="BZ9" s="1247"/>
      <c r="CA9" s="1247"/>
      <c r="CB9" s="1247"/>
      <c r="CC9" s="1247"/>
      <c r="CD9" s="1247"/>
      <c r="CE9" s="1247"/>
      <c r="CF9" s="1247"/>
      <c r="CG9" s="1247"/>
      <c r="CH9" s="1247"/>
      <c r="CI9" s="1247"/>
      <c r="CJ9" s="1247"/>
      <c r="CK9" s="1247"/>
      <c r="CL9" s="1247"/>
      <c r="CM9" s="1247"/>
      <c r="CN9" s="1247"/>
      <c r="CO9" s="1247"/>
      <c r="CP9" s="1247"/>
      <c r="CQ9" s="1247"/>
      <c r="CR9" s="1247"/>
      <c r="CS9" s="1247"/>
      <c r="CT9" s="1247"/>
      <c r="CU9" s="1247"/>
      <c r="CV9" s="1247"/>
      <c r="CW9" s="1247"/>
      <c r="CX9" s="1247"/>
      <c r="CY9" s="1247"/>
      <c r="CZ9" s="1247"/>
      <c r="DA9" s="1247"/>
      <c r="DB9" s="1247"/>
      <c r="DC9" s="1247"/>
      <c r="DD9" s="1247"/>
      <c r="DE9" s="1247"/>
      <c r="DF9" s="1247"/>
      <c r="DG9" s="1247"/>
      <c r="DH9" s="1247"/>
      <c r="DI9" s="1247"/>
      <c r="DJ9" s="1247"/>
      <c r="DK9" s="1247"/>
      <c r="DL9" s="1247"/>
      <c r="DM9" s="1247"/>
      <c r="DN9" s="1247"/>
      <c r="DO9" s="1247"/>
      <c r="DP9" s="1247"/>
      <c r="DQ9" s="1247"/>
      <c r="DR9" s="1247"/>
      <c r="DS9" s="1247"/>
      <c r="DT9" s="1247"/>
      <c r="DU9" s="1247"/>
      <c r="DV9" s="1247"/>
      <c r="DW9" s="1247"/>
      <c r="DX9" s="1247"/>
      <c r="DY9" s="1247"/>
      <c r="DZ9" s="1247"/>
      <c r="EA9" s="1247"/>
      <c r="EB9" s="1247"/>
      <c r="EC9" s="1247"/>
      <c r="ED9" s="1247"/>
      <c r="EE9" s="1247"/>
      <c r="EF9" s="1247"/>
      <c r="EG9" s="1247"/>
      <c r="EH9" s="1247"/>
      <c r="EI9" s="1247"/>
      <c r="EJ9" s="1247"/>
      <c r="EK9" s="1247"/>
      <c r="EL9" s="1247"/>
      <c r="EM9" s="1247"/>
      <c r="EN9" s="1247"/>
      <c r="EO9" s="1247"/>
      <c r="EP9" s="1247"/>
      <c r="EQ9" s="1247"/>
      <c r="ER9" s="1247"/>
      <c r="ES9" s="1247"/>
      <c r="ET9" s="1247"/>
      <c r="EU9" s="1247"/>
      <c r="EV9" s="1247"/>
      <c r="EW9" s="1247"/>
      <c r="EX9" s="1247"/>
      <c r="EY9" s="1247"/>
      <c r="EZ9" s="1247"/>
      <c r="FA9" s="1247"/>
      <c r="FB9" s="1247"/>
      <c r="FC9" s="1247"/>
      <c r="FD9" s="1247"/>
      <c r="FE9" s="1247"/>
      <c r="FF9" s="1247"/>
      <c r="FG9" s="1247"/>
      <c r="FH9" s="1247"/>
      <c r="FI9" s="1247"/>
      <c r="FJ9" s="1247"/>
      <c r="FK9" s="1247"/>
      <c r="FL9" s="1247"/>
      <c r="FM9" s="1247"/>
      <c r="FN9" s="1247"/>
      <c r="FO9" s="1247"/>
      <c r="FP9" s="1247"/>
      <c r="FQ9" s="1247"/>
      <c r="FR9" s="1247"/>
      <c r="FS9" s="1247"/>
      <c r="FT9" s="1247"/>
      <c r="FU9" s="1247"/>
      <c r="FV9" s="1247"/>
      <c r="FW9" s="1247"/>
      <c r="FX9" s="1247"/>
      <c r="FY9" s="1247"/>
      <c r="FZ9" s="1247"/>
      <c r="GA9" s="1247"/>
      <c r="GB9" s="1247"/>
      <c r="GC9" s="1247"/>
      <c r="GD9" s="1247"/>
      <c r="GE9" s="1247"/>
      <c r="GF9" s="1247"/>
      <c r="GG9" s="1247"/>
      <c r="GH9" s="1247"/>
      <c r="GI9" s="1247"/>
      <c r="GJ9" s="1247"/>
      <c r="GK9" s="1247"/>
      <c r="GL9" s="1247"/>
      <c r="GM9" s="1247"/>
      <c r="GN9" s="1247"/>
      <c r="GO9" s="1247"/>
      <c r="GP9" s="1247"/>
      <c r="GQ9" s="1247"/>
      <c r="GR9" s="1247"/>
      <c r="GS9" s="1247"/>
      <c r="GT9" s="1247"/>
      <c r="GU9" s="1247"/>
      <c r="GV9" s="1247"/>
      <c r="GW9" s="1247"/>
      <c r="GX9" s="1247"/>
      <c r="GY9" s="1247"/>
      <c r="GZ9" s="1247"/>
      <c r="HA9" s="1247"/>
      <c r="HB9" s="1247"/>
      <c r="HC9" s="1247"/>
      <c r="HD9" s="1247"/>
      <c r="HE9" s="1247"/>
      <c r="HF9" s="1247"/>
      <c r="HG9" s="1247"/>
      <c r="HH9" s="1247"/>
      <c r="HI9" s="1247"/>
      <c r="HJ9" s="1247"/>
      <c r="HK9" s="1247"/>
      <c r="HL9" s="1247"/>
      <c r="HM9" s="1247"/>
      <c r="HN9" s="1247"/>
      <c r="HO9" s="1247"/>
      <c r="HP9" s="1247"/>
      <c r="HQ9" s="1247"/>
      <c r="HR9" s="1247"/>
      <c r="HS9" s="1247"/>
      <c r="HT9" s="1247"/>
      <c r="HU9" s="1247"/>
      <c r="HV9" s="1247"/>
      <c r="HW9" s="1247"/>
      <c r="HX9" s="1247"/>
      <c r="HY9" s="1247"/>
      <c r="HZ9" s="1247"/>
      <c r="IA9" s="1247"/>
      <c r="IB9" s="1247"/>
      <c r="IC9" s="1247"/>
      <c r="ID9" s="1247"/>
      <c r="IE9" s="1247"/>
      <c r="IF9" s="1247"/>
      <c r="IG9" s="1247"/>
      <c r="IH9" s="1247"/>
      <c r="II9" s="1247"/>
      <c r="IJ9" s="1247"/>
      <c r="IK9" s="1247"/>
      <c r="IL9" s="1247"/>
      <c r="IM9" s="1247"/>
      <c r="IN9" s="1247"/>
      <c r="IO9" s="1247"/>
      <c r="IP9" s="1247"/>
      <c r="IQ9" s="1247"/>
      <c r="IR9" s="1247"/>
      <c r="IS9" s="1247"/>
      <c r="IT9" s="1247"/>
      <c r="IU9" s="1247"/>
      <c r="IV9" s="1247"/>
      <c r="IW9" s="1247"/>
      <c r="IX9" s="1247"/>
      <c r="IY9" s="1247"/>
      <c r="IZ9" s="1247"/>
      <c r="JA9" s="1247"/>
      <c r="JB9" s="1247"/>
      <c r="JC9" s="1247"/>
      <c r="JD9" s="1247"/>
      <c r="JE9" s="1247"/>
      <c r="JF9" s="1247"/>
      <c r="JG9" s="1247"/>
      <c r="JH9" s="1247"/>
      <c r="JI9" s="1247"/>
      <c r="JJ9" s="1247"/>
      <c r="JK9" s="1247"/>
      <c r="JL9" s="1247"/>
      <c r="JM9" s="1247"/>
      <c r="JN9" s="1247"/>
      <c r="JO9" s="1247"/>
      <c r="JP9" s="1247"/>
      <c r="JQ9" s="1247"/>
      <c r="JR9" s="1247"/>
      <c r="JS9" s="1247"/>
      <c r="JT9" s="1247"/>
      <c r="JU9" s="1247"/>
      <c r="JV9" s="1247"/>
      <c r="JW9" s="1247"/>
      <c r="JX9" s="1247"/>
      <c r="JY9" s="1247"/>
      <c r="JZ9" s="1247"/>
      <c r="KA9" s="1247"/>
      <c r="KB9" s="1247"/>
      <c r="KC9" s="1247"/>
      <c r="KD9" s="1247"/>
      <c r="KE9" s="1247"/>
      <c r="KF9" s="1247"/>
      <c r="KG9" s="1247"/>
      <c r="KH9" s="1247"/>
      <c r="KI9" s="1247"/>
      <c r="KJ9" s="1247"/>
      <c r="KK9" s="1247"/>
      <c r="KL9" s="1247"/>
      <c r="KM9" s="1247"/>
      <c r="KN9" s="1247"/>
      <c r="KO9" s="1247"/>
      <c r="KP9" s="1247"/>
      <c r="KQ9" s="1247"/>
      <c r="KR9" s="1247"/>
      <c r="KS9" s="1247"/>
      <c r="KT9" s="1247"/>
      <c r="KU9" s="1247"/>
      <c r="KV9" s="1247"/>
      <c r="KW9" s="1247"/>
      <c r="KX9" s="1247"/>
      <c r="KY9" s="1247"/>
      <c r="KZ9" s="1247"/>
      <c r="LA9" s="1247"/>
      <c r="LB9" s="1247"/>
      <c r="LC9" s="1247"/>
      <c r="LD9" s="1247"/>
      <c r="LE9" s="1247"/>
      <c r="LF9" s="1247"/>
      <c r="LG9" s="1247"/>
      <c r="LH9" s="1247"/>
      <c r="LI9" s="1247"/>
      <c r="LJ9" s="1247"/>
      <c r="LK9" s="1247"/>
      <c r="LL9" s="1247"/>
      <c r="LM9" s="1247"/>
      <c r="LN9" s="1247"/>
      <c r="LO9" s="1247"/>
      <c r="LP9" s="1247"/>
      <c r="LQ9" s="1247"/>
      <c r="LR9" s="1247"/>
      <c r="LS9" s="1247"/>
      <c r="LT9" s="1247"/>
      <c r="LU9" s="1247"/>
      <c r="LV9" s="1247"/>
      <c r="LW9" s="1247"/>
      <c r="LX9" s="1247"/>
      <c r="LY9" s="1247"/>
      <c r="LZ9" s="1247"/>
      <c r="MA9" s="1247"/>
      <c r="MB9" s="1247"/>
      <c r="MC9" s="1247"/>
      <c r="MD9" s="1247"/>
      <c r="ME9" s="1247"/>
      <c r="MF9" s="1247"/>
      <c r="MG9" s="1247"/>
      <c r="MH9" s="1247"/>
      <c r="MI9" s="1247"/>
      <c r="MJ9" s="1247"/>
      <c r="MK9" s="1247"/>
      <c r="ML9" s="1247"/>
      <c r="MM9" s="1247"/>
      <c r="MN9" s="1247"/>
      <c r="MO9" s="1247"/>
      <c r="MP9" s="1247"/>
      <c r="MQ9" s="1247"/>
      <c r="MR9" s="1247"/>
      <c r="MS9" s="1247"/>
      <c r="MT9" s="1247"/>
      <c r="MU9" s="1247"/>
      <c r="MV9" s="1247"/>
      <c r="MW9" s="1247"/>
      <c r="MX9" s="1247"/>
      <c r="MY9" s="1247"/>
      <c r="MZ9" s="1247"/>
      <c r="NA9" s="1247"/>
      <c r="NB9" s="1247"/>
      <c r="NC9" s="1247"/>
      <c r="ND9" s="1247"/>
      <c r="NE9" s="1247"/>
      <c r="NF9" s="1247"/>
      <c r="NG9" s="1247"/>
      <c r="NH9" s="1247"/>
      <c r="NI9" s="1247"/>
      <c r="NJ9" s="1247"/>
      <c r="NK9" s="1247"/>
      <c r="NL9" s="1247"/>
      <c r="NM9" s="1247"/>
      <c r="NN9" s="1247"/>
      <c r="NO9" s="1247"/>
      <c r="NP9" s="1247"/>
      <c r="NQ9" s="1247"/>
      <c r="NR9" s="1247"/>
      <c r="NS9" s="1247"/>
      <c r="NT9" s="1247"/>
      <c r="NU9" s="1247"/>
      <c r="NV9" s="1247"/>
      <c r="NW9" s="1247"/>
      <c r="NX9" s="1247"/>
      <c r="NY9" s="1247"/>
      <c r="NZ9" s="1247"/>
      <c r="OA9" s="1247"/>
      <c r="OB9" s="1247"/>
      <c r="OC9" s="1247"/>
      <c r="OD9" s="1247"/>
      <c r="OE9" s="1247"/>
      <c r="OF9" s="1247"/>
      <c r="OG9" s="1247"/>
      <c r="OH9" s="1247"/>
      <c r="OI9" s="1247"/>
      <c r="OJ9" s="1247"/>
      <c r="OK9" s="1247"/>
      <c r="OL9" s="1247"/>
      <c r="OM9" s="1247"/>
      <c r="ON9" s="1247"/>
      <c r="OO9" s="1247"/>
      <c r="OP9" s="1247"/>
      <c r="OQ9" s="1247"/>
      <c r="OR9" s="1247"/>
      <c r="OS9" s="1247"/>
      <c r="OT9" s="1247"/>
      <c r="OU9" s="1247"/>
      <c r="OV9" s="1247"/>
      <c r="OW9" s="1247"/>
      <c r="OX9" s="1247"/>
      <c r="OY9" s="1247"/>
      <c r="OZ9" s="1247"/>
      <c r="PA9" s="1247"/>
      <c r="PB9" s="1247"/>
      <c r="PC9" s="1247"/>
      <c r="PD9" s="1247"/>
      <c r="PE9" s="1247"/>
      <c r="PF9" s="1247"/>
      <c r="PG9" s="1247"/>
      <c r="PH9" s="1247"/>
      <c r="PI9" s="1247"/>
      <c r="PJ9" s="1247"/>
      <c r="PK9" s="1247"/>
      <c r="PL9" s="1247"/>
      <c r="PM9" s="1247"/>
      <c r="PN9" s="1247"/>
      <c r="PO9" s="1247"/>
      <c r="PP9" s="1247"/>
      <c r="PQ9" s="1247"/>
      <c r="PR9" s="1247"/>
      <c r="PS9" s="1247"/>
      <c r="PT9" s="1247"/>
      <c r="PU9" s="1247"/>
      <c r="PV9" s="1247"/>
      <c r="PW9" s="1247"/>
      <c r="PX9" s="1247"/>
      <c r="PY9" s="1247"/>
      <c r="PZ9" s="1247"/>
      <c r="QA9" s="1247"/>
      <c r="QB9" s="1247"/>
      <c r="QC9" s="1247"/>
      <c r="QD9" s="1247"/>
      <c r="QE9" s="1247"/>
      <c r="QF9" s="1247"/>
      <c r="QG9" s="1247"/>
      <c r="QH9" s="1247"/>
      <c r="QI9" s="1247"/>
      <c r="QJ9" s="1247"/>
      <c r="QK9" s="1247"/>
      <c r="QL9" s="1247"/>
      <c r="QM9" s="1247"/>
      <c r="QN9" s="1247"/>
      <c r="QO9" s="1247"/>
      <c r="QP9" s="1247"/>
      <c r="QQ9" s="1247"/>
      <c r="QR9" s="1247"/>
      <c r="QS9" s="1247"/>
      <c r="QT9" s="1247"/>
      <c r="QU9" s="1247"/>
      <c r="QV9" s="1247"/>
      <c r="QW9" s="1247"/>
      <c r="QX9" s="1247"/>
      <c r="QY9" s="1247"/>
      <c r="QZ9" s="1247"/>
      <c r="RA9" s="1247"/>
      <c r="RB9" s="1247"/>
      <c r="RC9" s="1247"/>
      <c r="RD9" s="1247"/>
      <c r="RE9" s="1247"/>
      <c r="RF9" s="1247"/>
      <c r="RG9" s="1247"/>
      <c r="RH9" s="1247"/>
      <c r="RI9" s="1247"/>
      <c r="RJ9" s="1247"/>
      <c r="RK9" s="1247"/>
      <c r="RL9" s="1247"/>
      <c r="RM9" s="1247"/>
      <c r="RN9" s="1247"/>
      <c r="RO9" s="1247"/>
      <c r="RP9" s="1247"/>
      <c r="RQ9" s="1247"/>
      <c r="RR9" s="1247"/>
      <c r="RS9" s="1247"/>
      <c r="RT9" s="1247"/>
      <c r="RU9" s="1247"/>
      <c r="RV9" s="1247"/>
      <c r="RW9" s="1247"/>
      <c r="RX9" s="1247"/>
      <c r="RY9" s="1247"/>
      <c r="RZ9" s="1247"/>
      <c r="SA9" s="1247"/>
      <c r="SB9" s="1247"/>
      <c r="SC9" s="1247"/>
      <c r="SD9" s="1247"/>
      <c r="SE9" s="1247"/>
      <c r="SF9" s="1247"/>
      <c r="SG9" s="1247"/>
      <c r="SH9" s="1247"/>
      <c r="SI9" s="1247"/>
      <c r="SJ9" s="1247"/>
      <c r="SK9" s="1247"/>
      <c r="SL9" s="1247"/>
      <c r="SM9" s="1247"/>
      <c r="SN9" s="1247"/>
      <c r="SO9" s="1247"/>
      <c r="SP9" s="1247"/>
      <c r="SQ9" s="1247"/>
      <c r="SR9" s="1247"/>
      <c r="SS9" s="1247"/>
      <c r="ST9" s="1247"/>
      <c r="SU9" s="1247"/>
      <c r="SV9" s="1247"/>
      <c r="SW9" s="1247"/>
      <c r="SX9" s="1247"/>
      <c r="SY9" s="1247"/>
      <c r="SZ9" s="1247"/>
      <c r="TA9" s="1247"/>
      <c r="TB9" s="1247"/>
      <c r="TC9" s="1247"/>
      <c r="TD9" s="1247"/>
      <c r="TE9" s="1247"/>
      <c r="TF9" s="1247"/>
      <c r="TG9" s="1247"/>
      <c r="TH9" s="1247"/>
      <c r="TI9" s="1247"/>
      <c r="TJ9" s="1247"/>
      <c r="TK9" s="1247"/>
      <c r="TL9" s="1247"/>
      <c r="TM9" s="1247"/>
      <c r="TN9" s="1247"/>
      <c r="TO9" s="1247"/>
      <c r="TP9" s="1247"/>
      <c r="TQ9" s="1247"/>
      <c r="TR9" s="1247"/>
      <c r="TS9" s="1247"/>
      <c r="TT9" s="1247"/>
      <c r="TU9" s="1247"/>
      <c r="TV9" s="1247"/>
      <c r="TW9" s="1247"/>
      <c r="TX9" s="1247"/>
      <c r="TY9" s="1247"/>
      <c r="TZ9" s="1247"/>
      <c r="UA9" s="1247"/>
      <c r="UB9" s="1247"/>
      <c r="UC9" s="1247"/>
      <c r="UD9" s="1247"/>
      <c r="UE9" s="1247"/>
      <c r="UF9" s="1247"/>
      <c r="UG9" s="1247"/>
      <c r="UH9" s="1247"/>
      <c r="UI9" s="1247"/>
      <c r="UJ9" s="1247"/>
      <c r="UK9" s="1247"/>
      <c r="UL9" s="1247"/>
      <c r="UM9" s="1247"/>
      <c r="UN9" s="1247"/>
      <c r="UO9" s="1247"/>
      <c r="UP9" s="1247"/>
      <c r="UQ9" s="1247"/>
      <c r="UR9" s="1247"/>
      <c r="US9" s="1247"/>
      <c r="UT9" s="1247"/>
      <c r="UU9" s="1247"/>
      <c r="UV9" s="1247"/>
      <c r="UW9" s="1247"/>
      <c r="UX9" s="1247"/>
      <c r="UY9" s="1247"/>
      <c r="UZ9" s="1247"/>
      <c r="VA9" s="1247"/>
      <c r="VB9" s="1247"/>
      <c r="VC9" s="1247"/>
      <c r="VD9" s="1247"/>
      <c r="VE9" s="1247"/>
      <c r="VF9" s="1247"/>
      <c r="VG9" s="1247"/>
      <c r="VH9" s="1247"/>
      <c r="VI9" s="1247"/>
      <c r="VJ9" s="1247"/>
      <c r="VK9" s="1247"/>
      <c r="VL9" s="1247"/>
      <c r="VM9" s="1247"/>
      <c r="VN9" s="1247"/>
      <c r="VO9" s="1247"/>
      <c r="VP9" s="1247"/>
      <c r="VQ9" s="1247"/>
      <c r="VR9" s="1247"/>
      <c r="VS9" s="1247"/>
      <c r="VT9" s="1247"/>
      <c r="VU9" s="1247"/>
      <c r="VV9" s="1247"/>
      <c r="VW9" s="1247"/>
      <c r="VX9" s="1247"/>
      <c r="VY9" s="1247"/>
      <c r="VZ9" s="1247"/>
      <c r="WA9" s="1247"/>
      <c r="WB9" s="1247"/>
      <c r="WC9" s="1247"/>
      <c r="WD9" s="1247"/>
      <c r="WE9" s="1247"/>
      <c r="WF9" s="1247"/>
      <c r="WG9" s="1247"/>
      <c r="WH9" s="1247"/>
      <c r="WI9" s="1247"/>
      <c r="WJ9" s="1247"/>
      <c r="WK9" s="1247"/>
      <c r="WL9" s="1247"/>
      <c r="WM9" s="1247"/>
      <c r="WN9" s="1247"/>
      <c r="WO9" s="1247"/>
      <c r="WP9" s="1247"/>
      <c r="WQ9" s="1247"/>
      <c r="WR9" s="1247"/>
      <c r="WS9" s="1247"/>
      <c r="WT9" s="1247"/>
      <c r="WU9" s="1247"/>
      <c r="WV9" s="1247"/>
      <c r="WW9" s="1247"/>
      <c r="WX9" s="1247"/>
      <c r="WY9" s="1247"/>
      <c r="WZ9" s="1247"/>
      <c r="XA9" s="1247"/>
      <c r="XB9" s="1247"/>
      <c r="XC9" s="1247"/>
      <c r="XD9" s="1247"/>
      <c r="XE9" s="1247"/>
      <c r="XF9" s="1247"/>
      <c r="XG9" s="1247"/>
      <c r="XH9" s="1247"/>
      <c r="XI9" s="1247"/>
      <c r="XJ9" s="1247"/>
      <c r="XK9" s="1247"/>
      <c r="XL9" s="1247"/>
      <c r="XM9" s="1247"/>
      <c r="XN9" s="1247"/>
      <c r="XO9" s="1247"/>
      <c r="XP9" s="1247"/>
      <c r="XQ9" s="1247"/>
      <c r="XR9" s="1247"/>
      <c r="XS9" s="1247"/>
      <c r="XT9" s="1247"/>
      <c r="XU9" s="1247"/>
      <c r="XV9" s="1247"/>
      <c r="XW9" s="1247"/>
      <c r="XX9" s="1247"/>
      <c r="XY9" s="1247"/>
      <c r="XZ9" s="1247"/>
      <c r="YA9" s="1247"/>
      <c r="YB9" s="1247"/>
      <c r="YC9" s="1247"/>
      <c r="YD9" s="1247"/>
      <c r="YE9" s="1247"/>
      <c r="YF9" s="1247"/>
      <c r="YG9" s="1247"/>
      <c r="YH9" s="1247"/>
      <c r="YI9" s="1247"/>
      <c r="YJ9" s="1247"/>
      <c r="YK9" s="1247"/>
      <c r="YL9" s="1247"/>
      <c r="YM9" s="1247"/>
      <c r="YN9" s="1247"/>
      <c r="YO9" s="1247"/>
      <c r="YP9" s="1247"/>
      <c r="YQ9" s="1247"/>
      <c r="YR9" s="1247"/>
      <c r="YS9" s="1247"/>
      <c r="YT9" s="1247"/>
      <c r="YU9" s="1247"/>
      <c r="YV9" s="1247"/>
      <c r="YW9" s="1247"/>
      <c r="YX9" s="1247"/>
      <c r="YY9" s="1247"/>
      <c r="YZ9" s="1247"/>
      <c r="ZA9" s="1247"/>
      <c r="ZB9" s="1247"/>
      <c r="ZC9" s="1247"/>
      <c r="ZD9" s="1247"/>
      <c r="ZE9" s="1247"/>
      <c r="ZF9" s="1247"/>
      <c r="ZG9" s="1247"/>
      <c r="ZH9" s="1247"/>
      <c r="ZI9" s="1247"/>
      <c r="ZJ9" s="1247"/>
      <c r="ZK9" s="1247"/>
      <c r="ZL9" s="1247"/>
      <c r="ZM9" s="1247"/>
      <c r="ZN9" s="1247"/>
      <c r="ZO9" s="1247"/>
      <c r="ZP9" s="1247"/>
      <c r="ZQ9" s="1247"/>
      <c r="ZR9" s="1247"/>
      <c r="ZS9" s="1247"/>
      <c r="ZT9" s="1247"/>
      <c r="ZU9" s="1247"/>
      <c r="ZV9" s="1247"/>
      <c r="ZW9" s="1247"/>
      <c r="ZX9" s="1247"/>
      <c r="ZY9" s="1247"/>
      <c r="ZZ9" s="1247"/>
      <c r="AAA9" s="1247"/>
      <c r="AAB9" s="1247"/>
      <c r="AAC9" s="1247"/>
      <c r="AAD9" s="1247"/>
      <c r="AAE9" s="1247"/>
      <c r="AAF9" s="1247"/>
      <c r="AAG9" s="1247"/>
      <c r="AAH9" s="1247"/>
      <c r="AAI9" s="1247"/>
      <c r="AAJ9" s="1247"/>
      <c r="AAK9" s="1247"/>
      <c r="AAL9" s="1247"/>
      <c r="AAM9" s="1247"/>
      <c r="AAN9" s="1247"/>
      <c r="AAO9" s="1247"/>
      <c r="AAP9" s="1247"/>
      <c r="AAQ9" s="1247"/>
      <c r="AAR9" s="1247"/>
      <c r="AAS9" s="1247"/>
      <c r="AAT9" s="1247"/>
      <c r="AAU9" s="1247"/>
      <c r="AAV9" s="1247"/>
      <c r="AAW9" s="1247"/>
      <c r="AAX9" s="1247"/>
      <c r="AAY9" s="1247"/>
      <c r="AAZ9" s="1247"/>
      <c r="ABA9" s="1247"/>
      <c r="ABB9" s="1247"/>
      <c r="ABC9" s="1247"/>
      <c r="ABD9" s="1247"/>
      <c r="ABE9" s="1247"/>
      <c r="ABF9" s="1247"/>
      <c r="ABG9" s="1247"/>
      <c r="ABH9" s="1247"/>
      <c r="ABI9" s="1247"/>
      <c r="ABJ9" s="1247"/>
      <c r="ABK9" s="1247"/>
      <c r="ABL9" s="1247"/>
      <c r="ABM9" s="1247"/>
      <c r="ABN9" s="1247"/>
      <c r="ABO9" s="1247"/>
      <c r="ABP9" s="1247"/>
      <c r="ABQ9" s="1247"/>
      <c r="ABR9" s="1247"/>
      <c r="ABS9" s="1247"/>
      <c r="ABT9" s="1247"/>
      <c r="ABU9" s="1247"/>
      <c r="ABV9" s="1247"/>
      <c r="ABW9" s="1247"/>
      <c r="ABX9" s="1247"/>
      <c r="ABY9" s="1247"/>
      <c r="ABZ9" s="1247"/>
      <c r="ACA9" s="1247"/>
      <c r="ACB9" s="1247"/>
      <c r="ACC9" s="1247"/>
      <c r="ACD9" s="1247"/>
      <c r="ACE9" s="1247"/>
      <c r="ACF9" s="1247"/>
      <c r="ACG9" s="1247"/>
      <c r="ACH9" s="1247"/>
      <c r="ACI9" s="1247"/>
      <c r="ACJ9" s="1247"/>
      <c r="ACK9" s="1247"/>
      <c r="ACL9" s="1247"/>
      <c r="ACM9" s="1247"/>
      <c r="ACN9" s="1247"/>
      <c r="ACO9" s="1247"/>
      <c r="ACP9" s="1247"/>
      <c r="ACQ9" s="1247"/>
      <c r="ACR9" s="1247"/>
      <c r="ACS9" s="1247"/>
      <c r="ACT9" s="1247"/>
      <c r="ACU9" s="1247"/>
      <c r="ACV9" s="1247"/>
      <c r="ACW9" s="1247"/>
      <c r="ACX9" s="1247"/>
      <c r="ACY9" s="1247"/>
      <c r="ACZ9" s="1247"/>
      <c r="ADA9" s="1247"/>
      <c r="ADB9" s="1247"/>
      <c r="ADC9" s="1247"/>
      <c r="ADD9" s="1247"/>
      <c r="ADE9" s="1247"/>
      <c r="ADF9" s="1247"/>
      <c r="ADG9" s="1247"/>
    </row>
    <row r="10" spans="1:787" s="1421" customFormat="1" ht="13" hidden="1" outlineLevel="1">
      <c r="A10" s="1247"/>
      <c r="B10" s="1413" t="s">
        <v>476</v>
      </c>
      <c r="C10" s="1414"/>
      <c r="D10" s="1414" t="s">
        <v>376</v>
      </c>
      <c r="E10" s="1415"/>
      <c r="F10" s="1416"/>
      <c r="G10" s="1417"/>
      <c r="H10" s="1418">
        <f>SUBTOTAL(9,H11:H26)</f>
        <v>0</v>
      </c>
      <c r="I10" s="1418">
        <f t="shared" ref="I10:T10" si="1">SUBTOTAL(9,I11:I26)</f>
        <v>0</v>
      </c>
      <c r="J10" s="1419">
        <f t="shared" si="1"/>
        <v>0</v>
      </c>
      <c r="K10" s="1419">
        <f t="shared" si="1"/>
        <v>0</v>
      </c>
      <c r="L10" s="1419">
        <f t="shared" si="1"/>
        <v>0</v>
      </c>
      <c r="M10" s="1419">
        <f t="shared" si="1"/>
        <v>0</v>
      </c>
      <c r="N10" s="1419">
        <f t="shared" si="1"/>
        <v>0</v>
      </c>
      <c r="O10" s="1419">
        <f t="shared" si="1"/>
        <v>0</v>
      </c>
      <c r="P10" s="1419">
        <f t="shared" si="1"/>
        <v>0</v>
      </c>
      <c r="Q10" s="1419">
        <f t="shared" si="1"/>
        <v>0</v>
      </c>
      <c r="R10" s="1419">
        <f t="shared" si="1"/>
        <v>0</v>
      </c>
      <c r="S10" s="1419">
        <f t="shared" si="1"/>
        <v>35089.667752000008</v>
      </c>
      <c r="T10" s="1419">
        <f t="shared" si="1"/>
        <v>35089.667752000008</v>
      </c>
      <c r="U10" s="1420"/>
      <c r="V10" s="1225">
        <f t="shared" ref="V10:V73" si="2">H10+I10+J10+L10+N10+O10+P10+Q10+S10-T10+K10+M10</f>
        <v>0</v>
      </c>
      <c r="W10" s="1225">
        <f t="shared" ref="W10:W73" si="3">T10-R10</f>
        <v>35089.667752000008</v>
      </c>
      <c r="X10" s="1225"/>
      <c r="Y10" s="1225"/>
      <c r="Z10" s="1247"/>
      <c r="AA10" s="1247"/>
      <c r="AB10" s="1247"/>
      <c r="AC10" s="1247"/>
      <c r="AD10" s="1247"/>
      <c r="AE10" s="1247"/>
      <c r="AF10" s="1247"/>
      <c r="AG10" s="1247"/>
      <c r="AH10" s="1247"/>
      <c r="AI10" s="1247"/>
      <c r="AJ10" s="1247"/>
      <c r="AK10" s="1247"/>
      <c r="AL10" s="1247"/>
      <c r="AM10" s="1247"/>
      <c r="AN10" s="1247"/>
      <c r="AO10" s="1247"/>
      <c r="AP10" s="1247"/>
      <c r="AQ10" s="1247"/>
      <c r="AR10" s="1247"/>
      <c r="AS10" s="1247"/>
      <c r="AT10" s="1247"/>
      <c r="AU10" s="1247"/>
      <c r="AV10" s="1247"/>
      <c r="AW10" s="1247"/>
      <c r="AX10" s="1247"/>
      <c r="AY10" s="1247"/>
      <c r="AZ10" s="1247"/>
      <c r="BA10" s="1247"/>
      <c r="BB10" s="1247"/>
      <c r="BC10" s="1247"/>
      <c r="BD10" s="1247"/>
      <c r="BE10" s="1247"/>
      <c r="BF10" s="1247"/>
      <c r="BG10" s="1247"/>
      <c r="BH10" s="1247"/>
      <c r="BI10" s="1247"/>
      <c r="BJ10" s="1247"/>
      <c r="BK10" s="1247"/>
      <c r="BL10" s="1247"/>
      <c r="BM10" s="1247"/>
      <c r="BN10" s="1247"/>
      <c r="BO10" s="1247"/>
      <c r="BP10" s="1247"/>
      <c r="BQ10" s="1247"/>
      <c r="BR10" s="1247"/>
      <c r="BS10" s="1247"/>
      <c r="BT10" s="1247"/>
      <c r="BU10" s="1247"/>
      <c r="BV10" s="1247"/>
      <c r="BW10" s="1247"/>
      <c r="BX10" s="1247"/>
      <c r="BY10" s="1247"/>
      <c r="BZ10" s="1247"/>
      <c r="CA10" s="1247"/>
      <c r="CB10" s="1247"/>
      <c r="CC10" s="1247"/>
      <c r="CD10" s="1247"/>
      <c r="CE10" s="1247"/>
      <c r="CF10" s="1247"/>
      <c r="CG10" s="1247"/>
      <c r="CH10" s="1247"/>
      <c r="CI10" s="1247"/>
      <c r="CJ10" s="1247"/>
      <c r="CK10" s="1247"/>
      <c r="CL10" s="1247"/>
      <c r="CM10" s="1247"/>
      <c r="CN10" s="1247"/>
      <c r="CO10" s="1247"/>
      <c r="CP10" s="1247"/>
      <c r="CQ10" s="1247"/>
      <c r="CR10" s="1247"/>
      <c r="CS10" s="1247"/>
      <c r="CT10" s="1247"/>
      <c r="CU10" s="1247"/>
      <c r="CV10" s="1247"/>
      <c r="CW10" s="1247"/>
      <c r="CX10" s="1247"/>
      <c r="CY10" s="1247"/>
      <c r="CZ10" s="1247"/>
      <c r="DA10" s="1247"/>
      <c r="DB10" s="1247"/>
      <c r="DC10" s="1247"/>
      <c r="DD10" s="1247"/>
      <c r="DE10" s="1247"/>
      <c r="DF10" s="1247"/>
      <c r="DG10" s="1247"/>
      <c r="DH10" s="1247"/>
      <c r="DI10" s="1247"/>
      <c r="DJ10" s="1247"/>
      <c r="DK10" s="1247"/>
      <c r="DL10" s="1247"/>
      <c r="DM10" s="1247"/>
      <c r="DN10" s="1247"/>
      <c r="DO10" s="1247"/>
      <c r="DP10" s="1247"/>
      <c r="DQ10" s="1247"/>
      <c r="DR10" s="1247"/>
      <c r="DS10" s="1247"/>
      <c r="DT10" s="1247"/>
      <c r="DU10" s="1247"/>
      <c r="DV10" s="1247"/>
      <c r="DW10" s="1247"/>
      <c r="DX10" s="1247"/>
      <c r="DY10" s="1247"/>
      <c r="DZ10" s="1247"/>
      <c r="EA10" s="1247"/>
      <c r="EB10" s="1247"/>
      <c r="EC10" s="1247"/>
      <c r="ED10" s="1247"/>
      <c r="EE10" s="1247"/>
      <c r="EF10" s="1247"/>
      <c r="EG10" s="1247"/>
      <c r="EH10" s="1247"/>
      <c r="EI10" s="1247"/>
      <c r="EJ10" s="1247"/>
      <c r="EK10" s="1247"/>
      <c r="EL10" s="1247"/>
      <c r="EM10" s="1247"/>
      <c r="EN10" s="1247"/>
      <c r="EO10" s="1247"/>
      <c r="EP10" s="1247"/>
      <c r="EQ10" s="1247"/>
      <c r="ER10" s="1247"/>
      <c r="ES10" s="1247"/>
      <c r="ET10" s="1247"/>
      <c r="EU10" s="1247"/>
      <c r="EV10" s="1247"/>
      <c r="EW10" s="1247"/>
      <c r="EX10" s="1247"/>
      <c r="EY10" s="1247"/>
      <c r="EZ10" s="1247"/>
      <c r="FA10" s="1247"/>
      <c r="FB10" s="1247"/>
      <c r="FC10" s="1247"/>
      <c r="FD10" s="1247"/>
      <c r="FE10" s="1247"/>
      <c r="FF10" s="1247"/>
      <c r="FG10" s="1247"/>
      <c r="FH10" s="1247"/>
      <c r="FI10" s="1247"/>
      <c r="FJ10" s="1247"/>
      <c r="FK10" s="1247"/>
      <c r="FL10" s="1247"/>
      <c r="FM10" s="1247"/>
      <c r="FN10" s="1247"/>
      <c r="FO10" s="1247"/>
      <c r="FP10" s="1247"/>
      <c r="FQ10" s="1247"/>
      <c r="FR10" s="1247"/>
      <c r="FS10" s="1247"/>
      <c r="FT10" s="1247"/>
      <c r="FU10" s="1247"/>
      <c r="FV10" s="1247"/>
      <c r="FW10" s="1247"/>
      <c r="FX10" s="1247"/>
      <c r="FY10" s="1247"/>
      <c r="FZ10" s="1247"/>
      <c r="GA10" s="1247"/>
      <c r="GB10" s="1247"/>
      <c r="GC10" s="1247"/>
      <c r="GD10" s="1247"/>
      <c r="GE10" s="1247"/>
      <c r="GF10" s="1247"/>
      <c r="GG10" s="1247"/>
      <c r="GH10" s="1247"/>
      <c r="GI10" s="1247"/>
      <c r="GJ10" s="1247"/>
      <c r="GK10" s="1247"/>
      <c r="GL10" s="1247"/>
      <c r="GM10" s="1247"/>
      <c r="GN10" s="1247"/>
      <c r="GO10" s="1247"/>
      <c r="GP10" s="1247"/>
      <c r="GQ10" s="1247"/>
      <c r="GR10" s="1247"/>
      <c r="GS10" s="1247"/>
      <c r="GT10" s="1247"/>
      <c r="GU10" s="1247"/>
      <c r="GV10" s="1247"/>
      <c r="GW10" s="1247"/>
      <c r="GX10" s="1247"/>
      <c r="GY10" s="1247"/>
      <c r="GZ10" s="1247"/>
      <c r="HA10" s="1247"/>
      <c r="HB10" s="1247"/>
      <c r="HC10" s="1247"/>
      <c r="HD10" s="1247"/>
      <c r="HE10" s="1247"/>
      <c r="HF10" s="1247"/>
      <c r="HG10" s="1247"/>
      <c r="HH10" s="1247"/>
      <c r="HI10" s="1247"/>
      <c r="HJ10" s="1247"/>
      <c r="HK10" s="1247"/>
      <c r="HL10" s="1247"/>
      <c r="HM10" s="1247"/>
      <c r="HN10" s="1247"/>
      <c r="HO10" s="1247"/>
      <c r="HP10" s="1247"/>
      <c r="HQ10" s="1247"/>
      <c r="HR10" s="1247"/>
      <c r="HS10" s="1247"/>
      <c r="HT10" s="1247"/>
      <c r="HU10" s="1247"/>
      <c r="HV10" s="1247"/>
      <c r="HW10" s="1247"/>
      <c r="HX10" s="1247"/>
      <c r="HY10" s="1247"/>
      <c r="HZ10" s="1247"/>
      <c r="IA10" s="1247"/>
      <c r="IB10" s="1247"/>
      <c r="IC10" s="1247"/>
      <c r="ID10" s="1247"/>
      <c r="IE10" s="1247"/>
      <c r="IF10" s="1247"/>
      <c r="IG10" s="1247"/>
      <c r="IH10" s="1247"/>
      <c r="II10" s="1247"/>
      <c r="IJ10" s="1247"/>
      <c r="IK10" s="1247"/>
      <c r="IL10" s="1247"/>
      <c r="IM10" s="1247"/>
      <c r="IN10" s="1247"/>
      <c r="IO10" s="1247"/>
      <c r="IP10" s="1247"/>
      <c r="IQ10" s="1247"/>
      <c r="IR10" s="1247"/>
      <c r="IS10" s="1247"/>
      <c r="IT10" s="1247"/>
      <c r="IU10" s="1247"/>
      <c r="IV10" s="1247"/>
      <c r="IW10" s="1247"/>
      <c r="IX10" s="1247"/>
      <c r="IY10" s="1247"/>
      <c r="IZ10" s="1247"/>
      <c r="JA10" s="1247"/>
      <c r="JB10" s="1247"/>
      <c r="JC10" s="1247"/>
      <c r="JD10" s="1247"/>
      <c r="JE10" s="1247"/>
      <c r="JF10" s="1247"/>
      <c r="JG10" s="1247"/>
      <c r="JH10" s="1247"/>
      <c r="JI10" s="1247"/>
      <c r="JJ10" s="1247"/>
      <c r="JK10" s="1247"/>
      <c r="JL10" s="1247"/>
      <c r="JM10" s="1247"/>
      <c r="JN10" s="1247"/>
      <c r="JO10" s="1247"/>
      <c r="JP10" s="1247"/>
      <c r="JQ10" s="1247"/>
      <c r="JR10" s="1247"/>
      <c r="JS10" s="1247"/>
      <c r="JT10" s="1247"/>
      <c r="JU10" s="1247"/>
      <c r="JV10" s="1247"/>
      <c r="JW10" s="1247"/>
      <c r="JX10" s="1247"/>
      <c r="JY10" s="1247"/>
      <c r="JZ10" s="1247"/>
      <c r="KA10" s="1247"/>
      <c r="KB10" s="1247"/>
      <c r="KC10" s="1247"/>
      <c r="KD10" s="1247"/>
      <c r="KE10" s="1247"/>
      <c r="KF10" s="1247"/>
      <c r="KG10" s="1247"/>
      <c r="KH10" s="1247"/>
      <c r="KI10" s="1247"/>
      <c r="KJ10" s="1247"/>
      <c r="KK10" s="1247"/>
      <c r="KL10" s="1247"/>
      <c r="KM10" s="1247"/>
      <c r="KN10" s="1247"/>
      <c r="KO10" s="1247"/>
      <c r="KP10" s="1247"/>
      <c r="KQ10" s="1247"/>
      <c r="KR10" s="1247"/>
      <c r="KS10" s="1247"/>
      <c r="KT10" s="1247"/>
      <c r="KU10" s="1247"/>
      <c r="KV10" s="1247"/>
      <c r="KW10" s="1247"/>
      <c r="KX10" s="1247"/>
      <c r="KY10" s="1247"/>
      <c r="KZ10" s="1247"/>
      <c r="LA10" s="1247"/>
      <c r="LB10" s="1247"/>
      <c r="LC10" s="1247"/>
      <c r="LD10" s="1247"/>
      <c r="LE10" s="1247"/>
      <c r="LF10" s="1247"/>
      <c r="LG10" s="1247"/>
      <c r="LH10" s="1247"/>
      <c r="LI10" s="1247"/>
      <c r="LJ10" s="1247"/>
      <c r="LK10" s="1247"/>
      <c r="LL10" s="1247"/>
      <c r="LM10" s="1247"/>
      <c r="LN10" s="1247"/>
      <c r="LO10" s="1247"/>
      <c r="LP10" s="1247"/>
      <c r="LQ10" s="1247"/>
      <c r="LR10" s="1247"/>
      <c r="LS10" s="1247"/>
      <c r="LT10" s="1247"/>
      <c r="LU10" s="1247"/>
      <c r="LV10" s="1247"/>
      <c r="LW10" s="1247"/>
      <c r="LX10" s="1247"/>
      <c r="LY10" s="1247"/>
      <c r="LZ10" s="1247"/>
      <c r="MA10" s="1247"/>
      <c r="MB10" s="1247"/>
      <c r="MC10" s="1247"/>
      <c r="MD10" s="1247"/>
      <c r="ME10" s="1247"/>
      <c r="MF10" s="1247"/>
      <c r="MG10" s="1247"/>
      <c r="MH10" s="1247"/>
      <c r="MI10" s="1247"/>
      <c r="MJ10" s="1247"/>
      <c r="MK10" s="1247"/>
      <c r="ML10" s="1247"/>
      <c r="MM10" s="1247"/>
      <c r="MN10" s="1247"/>
      <c r="MO10" s="1247"/>
      <c r="MP10" s="1247"/>
      <c r="MQ10" s="1247"/>
      <c r="MR10" s="1247"/>
      <c r="MS10" s="1247"/>
      <c r="MT10" s="1247"/>
      <c r="MU10" s="1247"/>
      <c r="MV10" s="1247"/>
      <c r="MW10" s="1247"/>
      <c r="MX10" s="1247"/>
      <c r="MY10" s="1247"/>
      <c r="MZ10" s="1247"/>
      <c r="NA10" s="1247"/>
      <c r="NB10" s="1247"/>
      <c r="NC10" s="1247"/>
      <c r="ND10" s="1247"/>
      <c r="NE10" s="1247"/>
      <c r="NF10" s="1247"/>
      <c r="NG10" s="1247"/>
      <c r="NH10" s="1247"/>
      <c r="NI10" s="1247"/>
      <c r="NJ10" s="1247"/>
      <c r="NK10" s="1247"/>
      <c r="NL10" s="1247"/>
      <c r="NM10" s="1247"/>
      <c r="NN10" s="1247"/>
      <c r="NO10" s="1247"/>
      <c r="NP10" s="1247"/>
      <c r="NQ10" s="1247"/>
      <c r="NR10" s="1247"/>
      <c r="NS10" s="1247"/>
      <c r="NT10" s="1247"/>
      <c r="NU10" s="1247"/>
      <c r="NV10" s="1247"/>
      <c r="NW10" s="1247"/>
      <c r="NX10" s="1247"/>
      <c r="NY10" s="1247"/>
      <c r="NZ10" s="1247"/>
      <c r="OA10" s="1247"/>
      <c r="OB10" s="1247"/>
      <c r="OC10" s="1247"/>
      <c r="OD10" s="1247"/>
      <c r="OE10" s="1247"/>
      <c r="OF10" s="1247"/>
      <c r="OG10" s="1247"/>
      <c r="OH10" s="1247"/>
      <c r="OI10" s="1247"/>
      <c r="OJ10" s="1247"/>
      <c r="OK10" s="1247"/>
      <c r="OL10" s="1247"/>
      <c r="OM10" s="1247"/>
      <c r="ON10" s="1247"/>
      <c r="OO10" s="1247"/>
      <c r="OP10" s="1247"/>
      <c r="OQ10" s="1247"/>
      <c r="OR10" s="1247"/>
      <c r="OS10" s="1247"/>
      <c r="OT10" s="1247"/>
      <c r="OU10" s="1247"/>
      <c r="OV10" s="1247"/>
      <c r="OW10" s="1247"/>
      <c r="OX10" s="1247"/>
      <c r="OY10" s="1247"/>
      <c r="OZ10" s="1247"/>
      <c r="PA10" s="1247"/>
      <c r="PB10" s="1247"/>
      <c r="PC10" s="1247"/>
      <c r="PD10" s="1247"/>
      <c r="PE10" s="1247"/>
      <c r="PF10" s="1247"/>
      <c r="PG10" s="1247"/>
      <c r="PH10" s="1247"/>
      <c r="PI10" s="1247"/>
      <c r="PJ10" s="1247"/>
      <c r="PK10" s="1247"/>
      <c r="PL10" s="1247"/>
      <c r="PM10" s="1247"/>
      <c r="PN10" s="1247"/>
      <c r="PO10" s="1247"/>
      <c r="PP10" s="1247"/>
      <c r="PQ10" s="1247"/>
      <c r="PR10" s="1247"/>
      <c r="PS10" s="1247"/>
      <c r="PT10" s="1247"/>
      <c r="PU10" s="1247"/>
      <c r="PV10" s="1247"/>
      <c r="PW10" s="1247"/>
      <c r="PX10" s="1247"/>
      <c r="PY10" s="1247"/>
      <c r="PZ10" s="1247"/>
      <c r="QA10" s="1247"/>
      <c r="QB10" s="1247"/>
      <c r="QC10" s="1247"/>
      <c r="QD10" s="1247"/>
      <c r="QE10" s="1247"/>
      <c r="QF10" s="1247"/>
      <c r="QG10" s="1247"/>
      <c r="QH10" s="1247"/>
      <c r="QI10" s="1247"/>
      <c r="QJ10" s="1247"/>
      <c r="QK10" s="1247"/>
      <c r="QL10" s="1247"/>
      <c r="QM10" s="1247"/>
      <c r="QN10" s="1247"/>
      <c r="QO10" s="1247"/>
      <c r="QP10" s="1247"/>
      <c r="QQ10" s="1247"/>
      <c r="QR10" s="1247"/>
      <c r="QS10" s="1247"/>
      <c r="QT10" s="1247"/>
      <c r="QU10" s="1247"/>
      <c r="QV10" s="1247"/>
      <c r="QW10" s="1247"/>
      <c r="QX10" s="1247"/>
      <c r="QY10" s="1247"/>
      <c r="QZ10" s="1247"/>
      <c r="RA10" s="1247"/>
      <c r="RB10" s="1247"/>
      <c r="RC10" s="1247"/>
      <c r="RD10" s="1247"/>
      <c r="RE10" s="1247"/>
      <c r="RF10" s="1247"/>
      <c r="RG10" s="1247"/>
      <c r="RH10" s="1247"/>
      <c r="RI10" s="1247"/>
      <c r="RJ10" s="1247"/>
      <c r="RK10" s="1247"/>
      <c r="RL10" s="1247"/>
      <c r="RM10" s="1247"/>
      <c r="RN10" s="1247"/>
      <c r="RO10" s="1247"/>
      <c r="RP10" s="1247"/>
      <c r="RQ10" s="1247"/>
      <c r="RR10" s="1247"/>
      <c r="RS10" s="1247"/>
      <c r="RT10" s="1247"/>
      <c r="RU10" s="1247"/>
      <c r="RV10" s="1247"/>
      <c r="RW10" s="1247"/>
      <c r="RX10" s="1247"/>
      <c r="RY10" s="1247"/>
      <c r="RZ10" s="1247"/>
      <c r="SA10" s="1247"/>
      <c r="SB10" s="1247"/>
      <c r="SC10" s="1247"/>
      <c r="SD10" s="1247"/>
      <c r="SE10" s="1247"/>
      <c r="SF10" s="1247"/>
      <c r="SG10" s="1247"/>
      <c r="SH10" s="1247"/>
      <c r="SI10" s="1247"/>
      <c r="SJ10" s="1247"/>
      <c r="SK10" s="1247"/>
      <c r="SL10" s="1247"/>
      <c r="SM10" s="1247"/>
      <c r="SN10" s="1247"/>
      <c r="SO10" s="1247"/>
      <c r="SP10" s="1247"/>
      <c r="SQ10" s="1247"/>
      <c r="SR10" s="1247"/>
      <c r="SS10" s="1247"/>
      <c r="ST10" s="1247"/>
      <c r="SU10" s="1247"/>
      <c r="SV10" s="1247"/>
      <c r="SW10" s="1247"/>
      <c r="SX10" s="1247"/>
      <c r="SY10" s="1247"/>
      <c r="SZ10" s="1247"/>
      <c r="TA10" s="1247"/>
      <c r="TB10" s="1247"/>
      <c r="TC10" s="1247"/>
      <c r="TD10" s="1247"/>
      <c r="TE10" s="1247"/>
      <c r="TF10" s="1247"/>
      <c r="TG10" s="1247"/>
      <c r="TH10" s="1247"/>
      <c r="TI10" s="1247"/>
      <c r="TJ10" s="1247"/>
      <c r="TK10" s="1247"/>
      <c r="TL10" s="1247"/>
      <c r="TM10" s="1247"/>
      <c r="TN10" s="1247"/>
      <c r="TO10" s="1247"/>
      <c r="TP10" s="1247"/>
      <c r="TQ10" s="1247"/>
      <c r="TR10" s="1247"/>
      <c r="TS10" s="1247"/>
      <c r="TT10" s="1247"/>
      <c r="TU10" s="1247"/>
      <c r="TV10" s="1247"/>
      <c r="TW10" s="1247"/>
      <c r="TX10" s="1247"/>
      <c r="TY10" s="1247"/>
      <c r="TZ10" s="1247"/>
      <c r="UA10" s="1247"/>
      <c r="UB10" s="1247"/>
      <c r="UC10" s="1247"/>
      <c r="UD10" s="1247"/>
      <c r="UE10" s="1247"/>
      <c r="UF10" s="1247"/>
      <c r="UG10" s="1247"/>
      <c r="UH10" s="1247"/>
      <c r="UI10" s="1247"/>
      <c r="UJ10" s="1247"/>
      <c r="UK10" s="1247"/>
      <c r="UL10" s="1247"/>
      <c r="UM10" s="1247"/>
      <c r="UN10" s="1247"/>
      <c r="UO10" s="1247"/>
      <c r="UP10" s="1247"/>
      <c r="UQ10" s="1247"/>
      <c r="UR10" s="1247"/>
      <c r="US10" s="1247"/>
      <c r="UT10" s="1247"/>
      <c r="UU10" s="1247"/>
      <c r="UV10" s="1247"/>
      <c r="UW10" s="1247"/>
      <c r="UX10" s="1247"/>
      <c r="UY10" s="1247"/>
      <c r="UZ10" s="1247"/>
      <c r="VA10" s="1247"/>
      <c r="VB10" s="1247"/>
      <c r="VC10" s="1247"/>
      <c r="VD10" s="1247"/>
      <c r="VE10" s="1247"/>
      <c r="VF10" s="1247"/>
      <c r="VG10" s="1247"/>
      <c r="VH10" s="1247"/>
      <c r="VI10" s="1247"/>
      <c r="VJ10" s="1247"/>
      <c r="VK10" s="1247"/>
      <c r="VL10" s="1247"/>
      <c r="VM10" s="1247"/>
      <c r="VN10" s="1247"/>
      <c r="VO10" s="1247"/>
      <c r="VP10" s="1247"/>
      <c r="VQ10" s="1247"/>
      <c r="VR10" s="1247"/>
      <c r="VS10" s="1247"/>
      <c r="VT10" s="1247"/>
      <c r="VU10" s="1247"/>
      <c r="VV10" s="1247"/>
      <c r="VW10" s="1247"/>
      <c r="VX10" s="1247"/>
      <c r="VY10" s="1247"/>
      <c r="VZ10" s="1247"/>
      <c r="WA10" s="1247"/>
      <c r="WB10" s="1247"/>
      <c r="WC10" s="1247"/>
      <c r="WD10" s="1247"/>
      <c r="WE10" s="1247"/>
      <c r="WF10" s="1247"/>
      <c r="WG10" s="1247"/>
      <c r="WH10" s="1247"/>
      <c r="WI10" s="1247"/>
      <c r="WJ10" s="1247"/>
      <c r="WK10" s="1247"/>
      <c r="WL10" s="1247"/>
      <c r="WM10" s="1247"/>
      <c r="WN10" s="1247"/>
      <c r="WO10" s="1247"/>
      <c r="WP10" s="1247"/>
      <c r="WQ10" s="1247"/>
      <c r="WR10" s="1247"/>
      <c r="WS10" s="1247"/>
      <c r="WT10" s="1247"/>
      <c r="WU10" s="1247"/>
      <c r="WV10" s="1247"/>
      <c r="WW10" s="1247"/>
      <c r="WX10" s="1247"/>
      <c r="WY10" s="1247"/>
      <c r="WZ10" s="1247"/>
      <c r="XA10" s="1247"/>
      <c r="XB10" s="1247"/>
      <c r="XC10" s="1247"/>
      <c r="XD10" s="1247"/>
      <c r="XE10" s="1247"/>
      <c r="XF10" s="1247"/>
      <c r="XG10" s="1247"/>
      <c r="XH10" s="1247"/>
      <c r="XI10" s="1247"/>
      <c r="XJ10" s="1247"/>
      <c r="XK10" s="1247"/>
      <c r="XL10" s="1247"/>
      <c r="XM10" s="1247"/>
      <c r="XN10" s="1247"/>
      <c r="XO10" s="1247"/>
      <c r="XP10" s="1247"/>
      <c r="XQ10" s="1247"/>
      <c r="XR10" s="1247"/>
      <c r="XS10" s="1247"/>
      <c r="XT10" s="1247"/>
      <c r="XU10" s="1247"/>
      <c r="XV10" s="1247"/>
      <c r="XW10" s="1247"/>
      <c r="XX10" s="1247"/>
      <c r="XY10" s="1247"/>
      <c r="XZ10" s="1247"/>
      <c r="YA10" s="1247"/>
      <c r="YB10" s="1247"/>
      <c r="YC10" s="1247"/>
      <c r="YD10" s="1247"/>
      <c r="YE10" s="1247"/>
      <c r="YF10" s="1247"/>
      <c r="YG10" s="1247"/>
      <c r="YH10" s="1247"/>
      <c r="YI10" s="1247"/>
      <c r="YJ10" s="1247"/>
      <c r="YK10" s="1247"/>
      <c r="YL10" s="1247"/>
      <c r="YM10" s="1247"/>
      <c r="YN10" s="1247"/>
      <c r="YO10" s="1247"/>
      <c r="YP10" s="1247"/>
      <c r="YQ10" s="1247"/>
      <c r="YR10" s="1247"/>
      <c r="YS10" s="1247"/>
      <c r="YT10" s="1247"/>
      <c r="YU10" s="1247"/>
      <c r="YV10" s="1247"/>
      <c r="YW10" s="1247"/>
      <c r="YX10" s="1247"/>
      <c r="YY10" s="1247"/>
      <c r="YZ10" s="1247"/>
      <c r="ZA10" s="1247"/>
      <c r="ZB10" s="1247"/>
      <c r="ZC10" s="1247"/>
      <c r="ZD10" s="1247"/>
      <c r="ZE10" s="1247"/>
      <c r="ZF10" s="1247"/>
      <c r="ZG10" s="1247"/>
      <c r="ZH10" s="1247"/>
      <c r="ZI10" s="1247"/>
      <c r="ZJ10" s="1247"/>
      <c r="ZK10" s="1247"/>
      <c r="ZL10" s="1247"/>
      <c r="ZM10" s="1247"/>
      <c r="ZN10" s="1247"/>
      <c r="ZO10" s="1247"/>
      <c r="ZP10" s="1247"/>
      <c r="ZQ10" s="1247"/>
      <c r="ZR10" s="1247"/>
      <c r="ZS10" s="1247"/>
      <c r="ZT10" s="1247"/>
      <c r="ZU10" s="1247"/>
      <c r="ZV10" s="1247"/>
      <c r="ZW10" s="1247"/>
      <c r="ZX10" s="1247"/>
      <c r="ZY10" s="1247"/>
      <c r="ZZ10" s="1247"/>
      <c r="AAA10" s="1247"/>
      <c r="AAB10" s="1247"/>
      <c r="AAC10" s="1247"/>
      <c r="AAD10" s="1247"/>
      <c r="AAE10" s="1247"/>
      <c r="AAF10" s="1247"/>
      <c r="AAG10" s="1247"/>
      <c r="AAH10" s="1247"/>
      <c r="AAI10" s="1247"/>
      <c r="AAJ10" s="1247"/>
      <c r="AAK10" s="1247"/>
      <c r="AAL10" s="1247"/>
      <c r="AAM10" s="1247"/>
      <c r="AAN10" s="1247"/>
      <c r="AAO10" s="1247"/>
      <c r="AAP10" s="1247"/>
      <c r="AAQ10" s="1247"/>
      <c r="AAR10" s="1247"/>
      <c r="AAS10" s="1247"/>
      <c r="AAT10" s="1247"/>
      <c r="AAU10" s="1247"/>
      <c r="AAV10" s="1247"/>
      <c r="AAW10" s="1247"/>
      <c r="AAX10" s="1247"/>
      <c r="AAY10" s="1247"/>
      <c r="AAZ10" s="1247"/>
      <c r="ABA10" s="1247"/>
      <c r="ABB10" s="1247"/>
      <c r="ABC10" s="1247"/>
      <c r="ABD10" s="1247"/>
      <c r="ABE10" s="1247"/>
      <c r="ABF10" s="1247"/>
      <c r="ABG10" s="1247"/>
      <c r="ABH10" s="1247"/>
      <c r="ABI10" s="1247"/>
      <c r="ABJ10" s="1247"/>
      <c r="ABK10" s="1247"/>
      <c r="ABL10" s="1247"/>
      <c r="ABM10" s="1247"/>
      <c r="ABN10" s="1247"/>
      <c r="ABO10" s="1247"/>
      <c r="ABP10" s="1247"/>
      <c r="ABQ10" s="1247"/>
      <c r="ABR10" s="1247"/>
      <c r="ABS10" s="1247"/>
      <c r="ABT10" s="1247"/>
      <c r="ABU10" s="1247"/>
      <c r="ABV10" s="1247"/>
      <c r="ABW10" s="1247"/>
      <c r="ABX10" s="1247"/>
      <c r="ABY10" s="1247"/>
      <c r="ABZ10" s="1247"/>
      <c r="ACA10" s="1247"/>
      <c r="ACB10" s="1247"/>
      <c r="ACC10" s="1247"/>
      <c r="ACD10" s="1247"/>
      <c r="ACE10" s="1247"/>
      <c r="ACF10" s="1247"/>
      <c r="ACG10" s="1247"/>
      <c r="ACH10" s="1247"/>
      <c r="ACI10" s="1247"/>
      <c r="ACJ10" s="1247"/>
      <c r="ACK10" s="1247"/>
      <c r="ACL10" s="1247"/>
      <c r="ACM10" s="1247"/>
      <c r="ACN10" s="1247"/>
      <c r="ACO10" s="1247"/>
      <c r="ACP10" s="1247"/>
      <c r="ACQ10" s="1247"/>
      <c r="ACR10" s="1247"/>
      <c r="ACS10" s="1247"/>
      <c r="ACT10" s="1247"/>
      <c r="ACU10" s="1247"/>
      <c r="ACV10" s="1247"/>
      <c r="ACW10" s="1247"/>
      <c r="ACX10" s="1247"/>
      <c r="ACY10" s="1247"/>
      <c r="ACZ10" s="1247"/>
      <c r="ADA10" s="1247"/>
      <c r="ADB10" s="1247"/>
      <c r="ADC10" s="1247"/>
      <c r="ADD10" s="1247"/>
      <c r="ADE10" s="1247"/>
      <c r="ADF10" s="1247"/>
      <c r="ADG10" s="1247"/>
    </row>
    <row r="11" spans="1:787" s="1247" customFormat="1" ht="13" hidden="1" outlineLevel="2">
      <c r="B11" s="1422" t="s">
        <v>1080</v>
      </c>
      <c r="C11" s="1423"/>
      <c r="D11" s="1423" t="s">
        <v>76</v>
      </c>
      <c r="E11" s="1424"/>
      <c r="F11" s="1425" t="s">
        <v>3215</v>
      </c>
      <c r="G11" s="1426" t="s">
        <v>4175</v>
      </c>
      <c r="H11" s="1424"/>
      <c r="I11" s="1424"/>
      <c r="J11" s="1427"/>
      <c r="K11" s="1427"/>
      <c r="L11" s="1427"/>
      <c r="M11" s="1427"/>
      <c r="N11" s="1427"/>
      <c r="O11" s="1427"/>
      <c r="P11" s="1427"/>
      <c r="Q11" s="1427">
        <f>VLOOKUP($D11,'当期公摊测算表（全期）'!D:W,12,FALSE)</f>
        <v>0</v>
      </c>
      <c r="R11" s="1428">
        <f>SUM(H11:Q11)</f>
        <v>0</v>
      </c>
      <c r="S11" s="1427">
        <f>VLOOKUP($D11,'当期公摊测算表（全期）'!D:W,17,FALSE)</f>
        <v>33863.869440000002</v>
      </c>
      <c r="T11" s="1427">
        <f>R11+S11</f>
        <v>33863.869440000002</v>
      </c>
      <c r="U11" s="1429"/>
      <c r="V11" s="1225">
        <f t="shared" si="2"/>
        <v>0</v>
      </c>
      <c r="W11" s="1225">
        <f t="shared" si="3"/>
        <v>33863.869440000002</v>
      </c>
      <c r="X11" s="1430"/>
      <c r="Y11" s="1430"/>
    </row>
    <row r="12" spans="1:787" s="1247" customFormat="1" ht="13" hidden="1" outlineLevel="2">
      <c r="B12" s="1422" t="s">
        <v>1089</v>
      </c>
      <c r="C12" s="1423"/>
      <c r="D12" s="1423" t="s">
        <v>529</v>
      </c>
      <c r="E12" s="1424"/>
      <c r="F12" s="1425" t="s">
        <v>3215</v>
      </c>
      <c r="G12" s="1431" t="s">
        <v>4175</v>
      </c>
      <c r="H12" s="1424"/>
      <c r="I12" s="1424"/>
      <c r="J12" s="1427"/>
      <c r="K12" s="1427"/>
      <c r="L12" s="1427"/>
      <c r="M12" s="1427"/>
      <c r="N12" s="1427"/>
      <c r="O12" s="1427"/>
      <c r="P12" s="1427"/>
      <c r="Q12" s="1427">
        <f>VLOOKUP(D12,'当期公摊测算表（全期）'!D:W,12,FALSE)</f>
        <v>0</v>
      </c>
      <c r="R12" s="1428">
        <f>SUM(H12:Q12)</f>
        <v>0</v>
      </c>
      <c r="S12" s="1427">
        <f>VLOOKUP($D12,'当期公摊测算表（全期）'!D:W,17,FALSE)</f>
        <v>0</v>
      </c>
      <c r="T12" s="1427">
        <f t="shared" ref="T12:T26" si="4">R12+S12</f>
        <v>0</v>
      </c>
      <c r="U12" s="1429"/>
      <c r="V12" s="1225">
        <f t="shared" si="2"/>
        <v>0</v>
      </c>
      <c r="W12" s="1225">
        <f t="shared" si="3"/>
        <v>0</v>
      </c>
      <c r="X12" s="1430"/>
      <c r="Y12" s="1430"/>
    </row>
    <row r="13" spans="1:787" s="1247" customFormat="1" ht="13" hidden="1" outlineLevel="2">
      <c r="B13" s="1422" t="s">
        <v>1094</v>
      </c>
      <c r="C13" s="1423"/>
      <c r="D13" s="1423" t="s">
        <v>530</v>
      </c>
      <c r="E13" s="1424"/>
      <c r="F13" s="1425" t="s">
        <v>3215</v>
      </c>
      <c r="G13" s="1431" t="s">
        <v>4175</v>
      </c>
      <c r="H13" s="1424"/>
      <c r="I13" s="1424"/>
      <c r="J13" s="1427"/>
      <c r="K13" s="1427"/>
      <c r="L13" s="1427"/>
      <c r="M13" s="1427"/>
      <c r="N13" s="1427"/>
      <c r="O13" s="1427"/>
      <c r="P13" s="1427"/>
      <c r="Q13" s="1427">
        <f>VLOOKUP(D13,'当期公摊测算表（全期）'!D:W,12,FALSE)</f>
        <v>0</v>
      </c>
      <c r="R13" s="1428">
        <f>SUM(I13:Q13)</f>
        <v>0</v>
      </c>
      <c r="S13" s="1427">
        <f>VLOOKUP($D13,'当期公摊测算表（全期）'!D:W,17,FALSE)</f>
        <v>1122.048712</v>
      </c>
      <c r="T13" s="1427">
        <f t="shared" si="4"/>
        <v>1122.048712</v>
      </c>
      <c r="U13" s="1429"/>
      <c r="V13" s="1225">
        <f t="shared" si="2"/>
        <v>0</v>
      </c>
      <c r="W13" s="1225">
        <f t="shared" si="3"/>
        <v>1122.048712</v>
      </c>
      <c r="X13" s="1430"/>
      <c r="Y13" s="1430"/>
    </row>
    <row r="14" spans="1:787" s="1247" customFormat="1" ht="13" hidden="1" outlineLevel="2">
      <c r="B14" s="1422" t="s">
        <v>3216</v>
      </c>
      <c r="C14" s="1423"/>
      <c r="D14" s="1423" t="s">
        <v>518</v>
      </c>
      <c r="E14" s="1424"/>
      <c r="F14" s="1425"/>
      <c r="G14" s="1431" t="s">
        <v>4117</v>
      </c>
      <c r="H14" s="1432"/>
      <c r="I14" s="1432"/>
      <c r="J14" s="1427"/>
      <c r="K14" s="1427"/>
      <c r="L14" s="1427"/>
      <c r="M14" s="1427"/>
      <c r="N14" s="1427"/>
      <c r="O14" s="1427"/>
      <c r="P14" s="1427"/>
      <c r="Q14" s="1427">
        <f>SUBTOTAL(9,Q15:Q21)</f>
        <v>0</v>
      </c>
      <c r="R14" s="1427">
        <f>SUBTOTAL(9,R15:R21)</f>
        <v>0</v>
      </c>
      <c r="S14" s="1427">
        <f>SUBTOTAL(9,S15:S21)</f>
        <v>0</v>
      </c>
      <c r="T14" s="1427">
        <f>SUBTOTAL(9,T15:T21)</f>
        <v>0</v>
      </c>
      <c r="U14" s="1429"/>
      <c r="V14" s="1225">
        <f t="shared" si="2"/>
        <v>0</v>
      </c>
      <c r="W14" s="1225">
        <f t="shared" si="3"/>
        <v>0</v>
      </c>
      <c r="X14" s="1430"/>
      <c r="Y14" s="1430"/>
    </row>
    <row r="15" spans="1:787" s="1221" customFormat="1" ht="13" hidden="1" outlineLevel="3">
      <c r="B15" s="1433" t="s">
        <v>3217</v>
      </c>
      <c r="C15" s="1434"/>
      <c r="D15" s="1434" t="s">
        <v>3218</v>
      </c>
      <c r="E15" s="1431" t="s">
        <v>3219</v>
      </c>
      <c r="F15" s="1435" t="s">
        <v>3220</v>
      </c>
      <c r="G15" s="1436" t="s">
        <v>4176</v>
      </c>
      <c r="H15" s="1426"/>
      <c r="I15" s="1426"/>
      <c r="J15" s="1437"/>
      <c r="K15" s="1437"/>
      <c r="L15" s="1437"/>
      <c r="M15" s="1437"/>
      <c r="N15" s="1437"/>
      <c r="O15" s="1437"/>
      <c r="P15" s="1437"/>
      <c r="Q15" s="1437">
        <f>VLOOKUP(D15,'当期公摊测算表（全期）'!D:W,12,FALSE)</f>
        <v>0</v>
      </c>
      <c r="R15" s="1172">
        <f>SUM(H15:Q15)</f>
        <v>0</v>
      </c>
      <c r="S15" s="1437">
        <f>VLOOKUP($D15,'当期公摊测算表（全期）'!D:W,17,FALSE)</f>
        <v>0</v>
      </c>
      <c r="T15" s="1437">
        <f t="shared" si="4"/>
        <v>0</v>
      </c>
      <c r="U15" s="1438"/>
      <c r="V15" s="1225">
        <f t="shared" si="2"/>
        <v>0</v>
      </c>
      <c r="W15" s="1225">
        <f t="shared" si="3"/>
        <v>0</v>
      </c>
      <c r="X15" s="1225"/>
      <c r="Y15" s="1225"/>
    </row>
    <row r="16" spans="1:787" s="1221" customFormat="1" ht="13" hidden="1" outlineLevel="3">
      <c r="B16" s="1433" t="s">
        <v>3221</v>
      </c>
      <c r="C16" s="1434"/>
      <c r="D16" s="1434" t="s">
        <v>3222</v>
      </c>
      <c r="E16" s="1431" t="s">
        <v>3223</v>
      </c>
      <c r="F16" s="1435" t="s">
        <v>3220</v>
      </c>
      <c r="G16" s="1436" t="s">
        <v>4176</v>
      </c>
      <c r="H16" s="1426"/>
      <c r="I16" s="1426"/>
      <c r="J16" s="1437"/>
      <c r="K16" s="1437"/>
      <c r="L16" s="1437"/>
      <c r="M16" s="1437"/>
      <c r="N16" s="1437"/>
      <c r="O16" s="1437"/>
      <c r="P16" s="1437"/>
      <c r="Q16" s="1437">
        <f>VLOOKUP(D16,'当期公摊测算表（全期）'!D:W,12,FALSE)</f>
        <v>0</v>
      </c>
      <c r="R16" s="1172">
        <f t="shared" ref="R16:R26" si="5">SUM(H16:Q16)</f>
        <v>0</v>
      </c>
      <c r="S16" s="1437">
        <f>VLOOKUP($D16,'当期公摊测算表（全期）'!D:W,17,FALSE)</f>
        <v>0</v>
      </c>
      <c r="T16" s="1437">
        <f t="shared" si="4"/>
        <v>0</v>
      </c>
      <c r="U16" s="1438"/>
      <c r="V16" s="1225">
        <f t="shared" si="2"/>
        <v>0</v>
      </c>
      <c r="W16" s="1225">
        <f t="shared" si="3"/>
        <v>0</v>
      </c>
      <c r="X16" s="1225"/>
      <c r="Y16" s="1225"/>
    </row>
    <row r="17" spans="1:787" s="1221" customFormat="1" ht="13" hidden="1" outlineLevel="3">
      <c r="B17" s="1433" t="s">
        <v>3224</v>
      </c>
      <c r="C17" s="1434"/>
      <c r="D17" s="1434" t="s">
        <v>3225</v>
      </c>
      <c r="E17" s="1431" t="s">
        <v>3226</v>
      </c>
      <c r="F17" s="1435" t="s">
        <v>3220</v>
      </c>
      <c r="G17" s="1436" t="s">
        <v>4176</v>
      </c>
      <c r="H17" s="1426"/>
      <c r="I17" s="1426"/>
      <c r="J17" s="1437"/>
      <c r="K17" s="1437"/>
      <c r="L17" s="1437"/>
      <c r="M17" s="1437"/>
      <c r="N17" s="1437"/>
      <c r="O17" s="1437"/>
      <c r="P17" s="1437"/>
      <c r="Q17" s="1437">
        <f>VLOOKUP(D17,'当期公摊测算表（全期）'!D:W,12,FALSE)</f>
        <v>0</v>
      </c>
      <c r="R17" s="1172">
        <f t="shared" si="5"/>
        <v>0</v>
      </c>
      <c r="S17" s="1437">
        <f>VLOOKUP($D17,'当期公摊测算表（全期）'!D:W,17,FALSE)</f>
        <v>0</v>
      </c>
      <c r="T17" s="1437">
        <f t="shared" si="4"/>
        <v>0</v>
      </c>
      <c r="U17" s="1438"/>
      <c r="V17" s="1225">
        <f t="shared" si="2"/>
        <v>0</v>
      </c>
      <c r="W17" s="1225">
        <f t="shared" si="3"/>
        <v>0</v>
      </c>
      <c r="X17" s="1225"/>
      <c r="Y17" s="1225"/>
    </row>
    <row r="18" spans="1:787" s="1221" customFormat="1" ht="13" hidden="1" outlineLevel="3">
      <c r="B18" s="1433" t="s">
        <v>3227</v>
      </c>
      <c r="C18" s="1434"/>
      <c r="D18" s="1434" t="s">
        <v>3228</v>
      </c>
      <c r="E18" s="1431" t="s">
        <v>3229</v>
      </c>
      <c r="F18" s="1435" t="s">
        <v>3220</v>
      </c>
      <c r="G18" s="1436" t="s">
        <v>4176</v>
      </c>
      <c r="H18" s="1426"/>
      <c r="I18" s="1426"/>
      <c r="J18" s="1437"/>
      <c r="K18" s="1437"/>
      <c r="L18" s="1437"/>
      <c r="M18" s="1437"/>
      <c r="N18" s="1437"/>
      <c r="O18" s="1437"/>
      <c r="P18" s="1437"/>
      <c r="Q18" s="1437">
        <f>VLOOKUP(D18,'当期公摊测算表（全期）'!D:W,12,FALSE)</f>
        <v>0</v>
      </c>
      <c r="R18" s="1172">
        <f t="shared" si="5"/>
        <v>0</v>
      </c>
      <c r="S18" s="1437">
        <f>VLOOKUP($D18,'当期公摊测算表（全期）'!D:W,17,FALSE)</f>
        <v>0</v>
      </c>
      <c r="T18" s="1437">
        <f t="shared" si="4"/>
        <v>0</v>
      </c>
      <c r="U18" s="1438"/>
      <c r="V18" s="1225">
        <f t="shared" si="2"/>
        <v>0</v>
      </c>
      <c r="W18" s="1225">
        <f t="shared" si="3"/>
        <v>0</v>
      </c>
      <c r="X18" s="1225"/>
      <c r="Y18" s="1225"/>
    </row>
    <row r="19" spans="1:787" s="1221" customFormat="1" ht="13" hidden="1" outlineLevel="3">
      <c r="B19" s="1433" t="s">
        <v>3230</v>
      </c>
      <c r="C19" s="1434"/>
      <c r="D19" s="1434" t="s">
        <v>3231</v>
      </c>
      <c r="E19" s="1431" t="s">
        <v>3232</v>
      </c>
      <c r="F19" s="1435" t="s">
        <v>3220</v>
      </c>
      <c r="G19" s="1436" t="s">
        <v>4176</v>
      </c>
      <c r="H19" s="1426"/>
      <c r="I19" s="1426"/>
      <c r="J19" s="1437"/>
      <c r="K19" s="1437"/>
      <c r="L19" s="1437"/>
      <c r="M19" s="1437"/>
      <c r="N19" s="1437"/>
      <c r="O19" s="1437"/>
      <c r="P19" s="1437"/>
      <c r="Q19" s="1437">
        <f>VLOOKUP(D19,'当期公摊测算表（全期）'!D:W,12,FALSE)</f>
        <v>0</v>
      </c>
      <c r="R19" s="1172">
        <f t="shared" si="5"/>
        <v>0</v>
      </c>
      <c r="S19" s="1437">
        <f>VLOOKUP($D19,'当期公摊测算表（全期）'!D:W,17,FALSE)</f>
        <v>0</v>
      </c>
      <c r="T19" s="1437">
        <f t="shared" si="4"/>
        <v>0</v>
      </c>
      <c r="U19" s="1438"/>
      <c r="V19" s="1225">
        <f t="shared" si="2"/>
        <v>0</v>
      </c>
      <c r="W19" s="1225">
        <f t="shared" si="3"/>
        <v>0</v>
      </c>
      <c r="X19" s="1225"/>
      <c r="Y19" s="1225"/>
    </row>
    <row r="20" spans="1:787" s="1221" customFormat="1" ht="13" hidden="1" outlineLevel="3">
      <c r="B20" s="1433" t="s">
        <v>3233</v>
      </c>
      <c r="C20" s="1434"/>
      <c r="D20" s="1434" t="s">
        <v>3234</v>
      </c>
      <c r="E20" s="1431" t="s">
        <v>3235</v>
      </c>
      <c r="F20" s="1435" t="s">
        <v>3220</v>
      </c>
      <c r="G20" s="1436" t="s">
        <v>4176</v>
      </c>
      <c r="H20" s="1426"/>
      <c r="I20" s="1426"/>
      <c r="J20" s="1437"/>
      <c r="K20" s="1437"/>
      <c r="L20" s="1437"/>
      <c r="M20" s="1437"/>
      <c r="N20" s="1437"/>
      <c r="O20" s="1437"/>
      <c r="P20" s="1437"/>
      <c r="Q20" s="1437">
        <f>VLOOKUP(D20,'当期公摊测算表（全期）'!D:W,12,FALSE)</f>
        <v>0</v>
      </c>
      <c r="R20" s="1172">
        <f t="shared" si="5"/>
        <v>0</v>
      </c>
      <c r="S20" s="1437">
        <f>VLOOKUP($D20,'当期公摊测算表（全期）'!D:W,17,FALSE)</f>
        <v>0</v>
      </c>
      <c r="T20" s="1437">
        <f t="shared" si="4"/>
        <v>0</v>
      </c>
      <c r="U20" s="1438"/>
      <c r="V20" s="1225">
        <f t="shared" si="2"/>
        <v>0</v>
      </c>
      <c r="W20" s="1225">
        <f t="shared" si="3"/>
        <v>0</v>
      </c>
      <c r="X20" s="1225"/>
      <c r="Y20" s="1225"/>
    </row>
    <row r="21" spans="1:787" s="1221" customFormat="1" ht="13" hidden="1" outlineLevel="3">
      <c r="B21" s="1433" t="s">
        <v>3236</v>
      </c>
      <c r="C21" s="1434"/>
      <c r="D21" s="1434" t="s">
        <v>3237</v>
      </c>
      <c r="E21" s="1431" t="s">
        <v>3238</v>
      </c>
      <c r="F21" s="1435" t="s">
        <v>3220</v>
      </c>
      <c r="G21" s="1436" t="s">
        <v>4176</v>
      </c>
      <c r="H21" s="1426"/>
      <c r="I21" s="1426"/>
      <c r="J21" s="1437"/>
      <c r="K21" s="1437"/>
      <c r="L21" s="1437"/>
      <c r="M21" s="1437"/>
      <c r="N21" s="1437"/>
      <c r="O21" s="1437"/>
      <c r="P21" s="1437"/>
      <c r="Q21" s="1437">
        <f>VLOOKUP(D21,'当期公摊测算表（全期）'!D:W,12,FALSE)</f>
        <v>0</v>
      </c>
      <c r="R21" s="1172">
        <f t="shared" si="5"/>
        <v>0</v>
      </c>
      <c r="S21" s="1437">
        <f>VLOOKUP($D21,'当期公摊测算表（全期）'!D:W,17,FALSE)</f>
        <v>0</v>
      </c>
      <c r="T21" s="1437">
        <f t="shared" si="4"/>
        <v>0</v>
      </c>
      <c r="U21" s="1438"/>
      <c r="V21" s="1225">
        <f t="shared" si="2"/>
        <v>0</v>
      </c>
      <c r="W21" s="1225">
        <f t="shared" si="3"/>
        <v>0</v>
      </c>
      <c r="X21" s="1225"/>
      <c r="Y21" s="1225"/>
    </row>
    <row r="22" spans="1:787" s="1247" customFormat="1" ht="13" hidden="1" outlineLevel="2">
      <c r="B22" s="1422" t="s">
        <v>3239</v>
      </c>
      <c r="C22" s="1423"/>
      <c r="D22" s="1423" t="s">
        <v>532</v>
      </c>
      <c r="E22" s="1424"/>
      <c r="F22" s="1435" t="s">
        <v>786</v>
      </c>
      <c r="G22" s="1436" t="s">
        <v>4177</v>
      </c>
      <c r="H22" s="1424"/>
      <c r="I22" s="1424"/>
      <c r="J22" s="1427"/>
      <c r="K22" s="1427"/>
      <c r="L22" s="1427"/>
      <c r="M22" s="1427"/>
      <c r="N22" s="1427"/>
      <c r="O22" s="1427"/>
      <c r="P22" s="1427"/>
      <c r="Q22" s="1427">
        <f>VLOOKUP(D22,'当期公摊测算表（全期）'!D:W,12,FALSE)</f>
        <v>0</v>
      </c>
      <c r="R22" s="1428">
        <f t="shared" si="5"/>
        <v>0</v>
      </c>
      <c r="S22" s="1427">
        <f>VLOOKUP($D22,'当期公摊测算表（全期）'!D:W,17,FALSE)</f>
        <v>0</v>
      </c>
      <c r="T22" s="1427">
        <f t="shared" si="4"/>
        <v>0</v>
      </c>
      <c r="U22" s="1429"/>
      <c r="V22" s="1225">
        <f t="shared" si="2"/>
        <v>0</v>
      </c>
      <c r="W22" s="1225">
        <f t="shared" si="3"/>
        <v>0</v>
      </c>
      <c r="X22" s="1430"/>
      <c r="Y22" s="1430"/>
    </row>
    <row r="23" spans="1:787" s="1247" customFormat="1" ht="13" hidden="1" outlineLevel="2">
      <c r="B23" s="1422" t="s">
        <v>3240</v>
      </c>
      <c r="C23" s="1423"/>
      <c r="D23" s="1423" t="s">
        <v>3241</v>
      </c>
      <c r="E23" s="1424"/>
      <c r="F23" s="1435" t="s">
        <v>3215</v>
      </c>
      <c r="G23" s="1436" t="s">
        <v>4175</v>
      </c>
      <c r="H23" s="1424"/>
      <c r="I23" s="1424"/>
      <c r="J23" s="1427"/>
      <c r="K23" s="1427"/>
      <c r="L23" s="1427"/>
      <c r="M23" s="1427"/>
      <c r="N23" s="1427"/>
      <c r="O23" s="1427"/>
      <c r="P23" s="1427"/>
      <c r="Q23" s="1427">
        <f>VLOOKUP(D23,'当期公摊测算表（全期）'!D:W,12,FALSE)</f>
        <v>0</v>
      </c>
      <c r="R23" s="1428">
        <f t="shared" si="5"/>
        <v>0</v>
      </c>
      <c r="S23" s="1427">
        <f>VLOOKUP($D23,'当期公摊测算表（全期）'!D:W,17,FALSE)</f>
        <v>0</v>
      </c>
      <c r="T23" s="1427">
        <f t="shared" si="4"/>
        <v>0</v>
      </c>
      <c r="U23" s="1429"/>
      <c r="V23" s="1225">
        <f t="shared" si="2"/>
        <v>0</v>
      </c>
      <c r="W23" s="1225">
        <f t="shared" si="3"/>
        <v>0</v>
      </c>
      <c r="X23" s="1430"/>
      <c r="Y23" s="1430"/>
    </row>
    <row r="24" spans="1:787" s="1247" customFormat="1" ht="13" hidden="1" outlineLevel="2">
      <c r="B24" s="1422" t="s">
        <v>3242</v>
      </c>
      <c r="C24" s="1423"/>
      <c r="D24" s="1423" t="s">
        <v>3243</v>
      </c>
      <c r="E24" s="1424"/>
      <c r="F24" s="1439" t="s">
        <v>3215</v>
      </c>
      <c r="G24" s="1440" t="s">
        <v>4175</v>
      </c>
      <c r="H24" s="1424"/>
      <c r="I24" s="1424"/>
      <c r="J24" s="1427"/>
      <c r="K24" s="1427"/>
      <c r="L24" s="1427"/>
      <c r="M24" s="1427"/>
      <c r="N24" s="1427"/>
      <c r="O24" s="1427"/>
      <c r="P24" s="1427"/>
      <c r="Q24" s="1427">
        <f>VLOOKUP(D24,'当期公摊测算表（全期）'!D:W,12,FALSE)</f>
        <v>0</v>
      </c>
      <c r="R24" s="1428">
        <f t="shared" si="5"/>
        <v>0</v>
      </c>
      <c r="S24" s="1427">
        <f>VLOOKUP($D24,'当期公摊测算表（全期）'!D:W,17,FALSE)</f>
        <v>103.7496</v>
      </c>
      <c r="T24" s="1427">
        <f t="shared" si="4"/>
        <v>103.7496</v>
      </c>
      <c r="U24" s="1429"/>
      <c r="V24" s="1225">
        <f t="shared" si="2"/>
        <v>0</v>
      </c>
      <c r="W24" s="1225">
        <f t="shared" si="3"/>
        <v>103.7496</v>
      </c>
      <c r="X24" s="1430"/>
      <c r="Y24" s="1430"/>
    </row>
    <row r="25" spans="1:787" s="1247" customFormat="1" ht="13" hidden="1" outlineLevel="2">
      <c r="B25" s="1422" t="s">
        <v>3244</v>
      </c>
      <c r="C25" s="1423"/>
      <c r="D25" s="1423" t="s">
        <v>3245</v>
      </c>
      <c r="E25" s="1424"/>
      <c r="F25" s="1439" t="s">
        <v>3215</v>
      </c>
      <c r="G25" s="1440" t="s">
        <v>4175</v>
      </c>
      <c r="H25" s="1424"/>
      <c r="I25" s="1424"/>
      <c r="J25" s="1427"/>
      <c r="K25" s="1427"/>
      <c r="L25" s="1427"/>
      <c r="M25" s="1427"/>
      <c r="N25" s="1427"/>
      <c r="O25" s="1427"/>
      <c r="P25" s="1427"/>
      <c r="Q25" s="1427">
        <f>VLOOKUP(D25,'当期公摊测算表（全期）'!D:W,12,FALSE)</f>
        <v>0</v>
      </c>
      <c r="R25" s="1428">
        <f t="shared" si="5"/>
        <v>0</v>
      </c>
      <c r="S25" s="1427">
        <f>VLOOKUP($D25,'当期公摊测算表（全期）'!D:W,17,FALSE)</f>
        <v>0</v>
      </c>
      <c r="T25" s="1427">
        <f t="shared" si="4"/>
        <v>0</v>
      </c>
      <c r="U25" s="1429"/>
      <c r="V25" s="1225">
        <f t="shared" si="2"/>
        <v>0</v>
      </c>
      <c r="W25" s="1225">
        <f t="shared" si="3"/>
        <v>0</v>
      </c>
      <c r="X25" s="1430"/>
      <c r="Y25" s="1430"/>
    </row>
    <row r="26" spans="1:787" s="1247" customFormat="1" ht="13" hidden="1" outlineLevel="2">
      <c r="B26" s="1422" t="s">
        <v>3246</v>
      </c>
      <c r="C26" s="1423"/>
      <c r="D26" s="1423" t="s">
        <v>3247</v>
      </c>
      <c r="E26" s="1441"/>
      <c r="F26" s="1439" t="s">
        <v>3215</v>
      </c>
      <c r="G26" s="1440" t="s">
        <v>4175</v>
      </c>
      <c r="H26" s="1424"/>
      <c r="I26" s="1424"/>
      <c r="J26" s="1427"/>
      <c r="K26" s="1427"/>
      <c r="L26" s="1427"/>
      <c r="M26" s="1427"/>
      <c r="N26" s="1427"/>
      <c r="O26" s="1427"/>
      <c r="P26" s="1427"/>
      <c r="Q26" s="1427">
        <f>VLOOKUP(D26,'当期公摊测算表（全期）'!D:W,12,FALSE)</f>
        <v>0</v>
      </c>
      <c r="R26" s="1428">
        <f t="shared" si="5"/>
        <v>0</v>
      </c>
      <c r="S26" s="1427">
        <f>VLOOKUP($D26,'当期公摊测算表（全期）'!D:W,17,FALSE)</f>
        <v>0</v>
      </c>
      <c r="T26" s="1427">
        <f t="shared" si="4"/>
        <v>0</v>
      </c>
      <c r="U26" s="1429"/>
      <c r="V26" s="1225">
        <f t="shared" si="2"/>
        <v>0</v>
      </c>
      <c r="W26" s="1225">
        <f t="shared" si="3"/>
        <v>0</v>
      </c>
      <c r="X26" s="1430"/>
      <c r="Y26" s="1430"/>
    </row>
    <row r="27" spans="1:787" s="1421" customFormat="1" ht="13" hidden="1" outlineLevel="1">
      <c r="A27" s="1247"/>
      <c r="B27" s="1413" t="s">
        <v>477</v>
      </c>
      <c r="C27" s="1414"/>
      <c r="D27" s="1414" t="s">
        <v>533</v>
      </c>
      <c r="E27" s="1415"/>
      <c r="F27" s="1416"/>
      <c r="G27" s="1417" t="s">
        <v>4117</v>
      </c>
      <c r="H27" s="1418">
        <f>SUBTOTAL(9,H28:H63)</f>
        <v>0</v>
      </c>
      <c r="I27" s="1418">
        <f t="shared" ref="I27:T27" si="6">SUBTOTAL(9,I28:I63)</f>
        <v>0</v>
      </c>
      <c r="J27" s="1419">
        <f t="shared" si="6"/>
        <v>0</v>
      </c>
      <c r="K27" s="1419">
        <f t="shared" si="6"/>
        <v>0</v>
      </c>
      <c r="L27" s="1419">
        <f t="shared" si="6"/>
        <v>0</v>
      </c>
      <c r="M27" s="1419">
        <f t="shared" si="6"/>
        <v>0</v>
      </c>
      <c r="N27" s="1419">
        <f t="shared" si="6"/>
        <v>0</v>
      </c>
      <c r="O27" s="1419">
        <f t="shared" si="6"/>
        <v>0</v>
      </c>
      <c r="P27" s="1419">
        <f t="shared" si="6"/>
        <v>0</v>
      </c>
      <c r="Q27" s="1419">
        <f t="shared" si="6"/>
        <v>3986.1729319999995</v>
      </c>
      <c r="R27" s="1419">
        <f t="shared" si="6"/>
        <v>3986.1729319999995</v>
      </c>
      <c r="S27" s="1419">
        <f t="shared" si="6"/>
        <v>185.08353802817055</v>
      </c>
      <c r="T27" s="1419">
        <f t="shared" si="6"/>
        <v>4171.25647002817</v>
      </c>
      <c r="U27" s="1420"/>
      <c r="V27" s="1225">
        <f t="shared" si="2"/>
        <v>0</v>
      </c>
      <c r="W27" s="1225">
        <f t="shared" si="3"/>
        <v>185.08353802817055</v>
      </c>
      <c r="X27" s="1225"/>
      <c r="Y27" s="1225"/>
      <c r="Z27" s="1247"/>
      <c r="AA27" s="1247"/>
      <c r="AB27" s="1247"/>
      <c r="AC27" s="1247"/>
      <c r="AD27" s="1247"/>
      <c r="AE27" s="1247"/>
      <c r="AF27" s="1247"/>
      <c r="AG27" s="1247"/>
      <c r="AH27" s="1247"/>
      <c r="AI27" s="1247"/>
      <c r="AJ27" s="1247"/>
      <c r="AK27" s="1247"/>
      <c r="AL27" s="1247"/>
      <c r="AM27" s="1247"/>
      <c r="AN27" s="1247"/>
      <c r="AO27" s="1247"/>
      <c r="AP27" s="1247"/>
      <c r="AQ27" s="1247"/>
      <c r="AR27" s="1247"/>
      <c r="AS27" s="1247"/>
      <c r="AT27" s="1247"/>
      <c r="AU27" s="1247"/>
      <c r="AV27" s="1247"/>
      <c r="AW27" s="1247"/>
      <c r="AX27" s="1247"/>
      <c r="AY27" s="1247"/>
      <c r="AZ27" s="1247"/>
      <c r="BA27" s="1247"/>
      <c r="BB27" s="1247"/>
      <c r="BC27" s="1247"/>
      <c r="BD27" s="1247"/>
      <c r="BE27" s="1247"/>
      <c r="BF27" s="1247"/>
      <c r="BG27" s="1247"/>
      <c r="BH27" s="1247"/>
      <c r="BI27" s="1247"/>
      <c r="BJ27" s="1247"/>
      <c r="BK27" s="1247"/>
      <c r="BL27" s="1247"/>
      <c r="BM27" s="1247"/>
      <c r="BN27" s="1247"/>
      <c r="BO27" s="1247"/>
      <c r="BP27" s="1247"/>
      <c r="BQ27" s="1247"/>
      <c r="BR27" s="1247"/>
      <c r="BS27" s="1247"/>
      <c r="BT27" s="1247"/>
      <c r="BU27" s="1247"/>
      <c r="BV27" s="1247"/>
      <c r="BW27" s="1247"/>
      <c r="BX27" s="1247"/>
      <c r="BY27" s="1247"/>
      <c r="BZ27" s="1247"/>
      <c r="CA27" s="1247"/>
      <c r="CB27" s="1247"/>
      <c r="CC27" s="1247"/>
      <c r="CD27" s="1247"/>
      <c r="CE27" s="1247"/>
      <c r="CF27" s="1247"/>
      <c r="CG27" s="1247"/>
      <c r="CH27" s="1247"/>
      <c r="CI27" s="1247"/>
      <c r="CJ27" s="1247"/>
      <c r="CK27" s="1247"/>
      <c r="CL27" s="1247"/>
      <c r="CM27" s="1247"/>
      <c r="CN27" s="1247"/>
      <c r="CO27" s="1247"/>
      <c r="CP27" s="1247"/>
      <c r="CQ27" s="1247"/>
      <c r="CR27" s="1247"/>
      <c r="CS27" s="1247"/>
      <c r="CT27" s="1247"/>
      <c r="CU27" s="1247"/>
      <c r="CV27" s="1247"/>
      <c r="CW27" s="1247"/>
      <c r="CX27" s="1247"/>
      <c r="CY27" s="1247"/>
      <c r="CZ27" s="1247"/>
      <c r="DA27" s="1247"/>
      <c r="DB27" s="1247"/>
      <c r="DC27" s="1247"/>
      <c r="DD27" s="1247"/>
      <c r="DE27" s="1247"/>
      <c r="DF27" s="1247"/>
      <c r="DG27" s="1247"/>
      <c r="DH27" s="1247"/>
      <c r="DI27" s="1247"/>
      <c r="DJ27" s="1247"/>
      <c r="DK27" s="1247"/>
      <c r="DL27" s="1247"/>
      <c r="DM27" s="1247"/>
      <c r="DN27" s="1247"/>
      <c r="DO27" s="1247"/>
      <c r="DP27" s="1247"/>
      <c r="DQ27" s="1247"/>
      <c r="DR27" s="1247"/>
      <c r="DS27" s="1247"/>
      <c r="DT27" s="1247"/>
      <c r="DU27" s="1247"/>
      <c r="DV27" s="1247"/>
      <c r="DW27" s="1247"/>
      <c r="DX27" s="1247"/>
      <c r="DY27" s="1247"/>
      <c r="DZ27" s="1247"/>
      <c r="EA27" s="1247"/>
      <c r="EB27" s="1247"/>
      <c r="EC27" s="1247"/>
      <c r="ED27" s="1247"/>
      <c r="EE27" s="1247"/>
      <c r="EF27" s="1247"/>
      <c r="EG27" s="1247"/>
      <c r="EH27" s="1247"/>
      <c r="EI27" s="1247"/>
      <c r="EJ27" s="1247"/>
      <c r="EK27" s="1247"/>
      <c r="EL27" s="1247"/>
      <c r="EM27" s="1247"/>
      <c r="EN27" s="1247"/>
      <c r="EO27" s="1247"/>
      <c r="EP27" s="1247"/>
      <c r="EQ27" s="1247"/>
      <c r="ER27" s="1247"/>
      <c r="ES27" s="1247"/>
      <c r="ET27" s="1247"/>
      <c r="EU27" s="1247"/>
      <c r="EV27" s="1247"/>
      <c r="EW27" s="1247"/>
      <c r="EX27" s="1247"/>
      <c r="EY27" s="1247"/>
      <c r="EZ27" s="1247"/>
      <c r="FA27" s="1247"/>
      <c r="FB27" s="1247"/>
      <c r="FC27" s="1247"/>
      <c r="FD27" s="1247"/>
      <c r="FE27" s="1247"/>
      <c r="FF27" s="1247"/>
      <c r="FG27" s="1247"/>
      <c r="FH27" s="1247"/>
      <c r="FI27" s="1247"/>
      <c r="FJ27" s="1247"/>
      <c r="FK27" s="1247"/>
      <c r="FL27" s="1247"/>
      <c r="FM27" s="1247"/>
      <c r="FN27" s="1247"/>
      <c r="FO27" s="1247"/>
      <c r="FP27" s="1247"/>
      <c r="FQ27" s="1247"/>
      <c r="FR27" s="1247"/>
      <c r="FS27" s="1247"/>
      <c r="FT27" s="1247"/>
      <c r="FU27" s="1247"/>
      <c r="FV27" s="1247"/>
      <c r="FW27" s="1247"/>
      <c r="FX27" s="1247"/>
      <c r="FY27" s="1247"/>
      <c r="FZ27" s="1247"/>
      <c r="GA27" s="1247"/>
      <c r="GB27" s="1247"/>
      <c r="GC27" s="1247"/>
      <c r="GD27" s="1247"/>
      <c r="GE27" s="1247"/>
      <c r="GF27" s="1247"/>
      <c r="GG27" s="1247"/>
      <c r="GH27" s="1247"/>
      <c r="GI27" s="1247"/>
      <c r="GJ27" s="1247"/>
      <c r="GK27" s="1247"/>
      <c r="GL27" s="1247"/>
      <c r="GM27" s="1247"/>
      <c r="GN27" s="1247"/>
      <c r="GO27" s="1247"/>
      <c r="GP27" s="1247"/>
      <c r="GQ27" s="1247"/>
      <c r="GR27" s="1247"/>
      <c r="GS27" s="1247"/>
      <c r="GT27" s="1247"/>
      <c r="GU27" s="1247"/>
      <c r="GV27" s="1247"/>
      <c r="GW27" s="1247"/>
      <c r="GX27" s="1247"/>
      <c r="GY27" s="1247"/>
      <c r="GZ27" s="1247"/>
      <c r="HA27" s="1247"/>
      <c r="HB27" s="1247"/>
      <c r="HC27" s="1247"/>
      <c r="HD27" s="1247"/>
      <c r="HE27" s="1247"/>
      <c r="HF27" s="1247"/>
      <c r="HG27" s="1247"/>
      <c r="HH27" s="1247"/>
      <c r="HI27" s="1247"/>
      <c r="HJ27" s="1247"/>
      <c r="HK27" s="1247"/>
      <c r="HL27" s="1247"/>
      <c r="HM27" s="1247"/>
      <c r="HN27" s="1247"/>
      <c r="HO27" s="1247"/>
      <c r="HP27" s="1247"/>
      <c r="HQ27" s="1247"/>
      <c r="HR27" s="1247"/>
      <c r="HS27" s="1247"/>
      <c r="HT27" s="1247"/>
      <c r="HU27" s="1247"/>
      <c r="HV27" s="1247"/>
      <c r="HW27" s="1247"/>
      <c r="HX27" s="1247"/>
      <c r="HY27" s="1247"/>
      <c r="HZ27" s="1247"/>
      <c r="IA27" s="1247"/>
      <c r="IB27" s="1247"/>
      <c r="IC27" s="1247"/>
      <c r="ID27" s="1247"/>
      <c r="IE27" s="1247"/>
      <c r="IF27" s="1247"/>
      <c r="IG27" s="1247"/>
      <c r="IH27" s="1247"/>
      <c r="II27" s="1247"/>
      <c r="IJ27" s="1247"/>
      <c r="IK27" s="1247"/>
      <c r="IL27" s="1247"/>
      <c r="IM27" s="1247"/>
      <c r="IN27" s="1247"/>
      <c r="IO27" s="1247"/>
      <c r="IP27" s="1247"/>
      <c r="IQ27" s="1247"/>
      <c r="IR27" s="1247"/>
      <c r="IS27" s="1247"/>
      <c r="IT27" s="1247"/>
      <c r="IU27" s="1247"/>
      <c r="IV27" s="1247"/>
      <c r="IW27" s="1247"/>
      <c r="IX27" s="1247"/>
      <c r="IY27" s="1247"/>
      <c r="IZ27" s="1247"/>
      <c r="JA27" s="1247"/>
      <c r="JB27" s="1247"/>
      <c r="JC27" s="1247"/>
      <c r="JD27" s="1247"/>
      <c r="JE27" s="1247"/>
      <c r="JF27" s="1247"/>
      <c r="JG27" s="1247"/>
      <c r="JH27" s="1247"/>
      <c r="JI27" s="1247"/>
      <c r="JJ27" s="1247"/>
      <c r="JK27" s="1247"/>
      <c r="JL27" s="1247"/>
      <c r="JM27" s="1247"/>
      <c r="JN27" s="1247"/>
      <c r="JO27" s="1247"/>
      <c r="JP27" s="1247"/>
      <c r="JQ27" s="1247"/>
      <c r="JR27" s="1247"/>
      <c r="JS27" s="1247"/>
      <c r="JT27" s="1247"/>
      <c r="JU27" s="1247"/>
      <c r="JV27" s="1247"/>
      <c r="JW27" s="1247"/>
      <c r="JX27" s="1247"/>
      <c r="JY27" s="1247"/>
      <c r="JZ27" s="1247"/>
      <c r="KA27" s="1247"/>
      <c r="KB27" s="1247"/>
      <c r="KC27" s="1247"/>
      <c r="KD27" s="1247"/>
      <c r="KE27" s="1247"/>
      <c r="KF27" s="1247"/>
      <c r="KG27" s="1247"/>
      <c r="KH27" s="1247"/>
      <c r="KI27" s="1247"/>
      <c r="KJ27" s="1247"/>
      <c r="KK27" s="1247"/>
      <c r="KL27" s="1247"/>
      <c r="KM27" s="1247"/>
      <c r="KN27" s="1247"/>
      <c r="KO27" s="1247"/>
      <c r="KP27" s="1247"/>
      <c r="KQ27" s="1247"/>
      <c r="KR27" s="1247"/>
      <c r="KS27" s="1247"/>
      <c r="KT27" s="1247"/>
      <c r="KU27" s="1247"/>
      <c r="KV27" s="1247"/>
      <c r="KW27" s="1247"/>
      <c r="KX27" s="1247"/>
      <c r="KY27" s="1247"/>
      <c r="KZ27" s="1247"/>
      <c r="LA27" s="1247"/>
      <c r="LB27" s="1247"/>
      <c r="LC27" s="1247"/>
      <c r="LD27" s="1247"/>
      <c r="LE27" s="1247"/>
      <c r="LF27" s="1247"/>
      <c r="LG27" s="1247"/>
      <c r="LH27" s="1247"/>
      <c r="LI27" s="1247"/>
      <c r="LJ27" s="1247"/>
      <c r="LK27" s="1247"/>
      <c r="LL27" s="1247"/>
      <c r="LM27" s="1247"/>
      <c r="LN27" s="1247"/>
      <c r="LO27" s="1247"/>
      <c r="LP27" s="1247"/>
      <c r="LQ27" s="1247"/>
      <c r="LR27" s="1247"/>
      <c r="LS27" s="1247"/>
      <c r="LT27" s="1247"/>
      <c r="LU27" s="1247"/>
      <c r="LV27" s="1247"/>
      <c r="LW27" s="1247"/>
      <c r="LX27" s="1247"/>
      <c r="LY27" s="1247"/>
      <c r="LZ27" s="1247"/>
      <c r="MA27" s="1247"/>
      <c r="MB27" s="1247"/>
      <c r="MC27" s="1247"/>
      <c r="MD27" s="1247"/>
      <c r="ME27" s="1247"/>
      <c r="MF27" s="1247"/>
      <c r="MG27" s="1247"/>
      <c r="MH27" s="1247"/>
      <c r="MI27" s="1247"/>
      <c r="MJ27" s="1247"/>
      <c r="MK27" s="1247"/>
      <c r="ML27" s="1247"/>
      <c r="MM27" s="1247"/>
      <c r="MN27" s="1247"/>
      <c r="MO27" s="1247"/>
      <c r="MP27" s="1247"/>
      <c r="MQ27" s="1247"/>
      <c r="MR27" s="1247"/>
      <c r="MS27" s="1247"/>
      <c r="MT27" s="1247"/>
      <c r="MU27" s="1247"/>
      <c r="MV27" s="1247"/>
      <c r="MW27" s="1247"/>
      <c r="MX27" s="1247"/>
      <c r="MY27" s="1247"/>
      <c r="MZ27" s="1247"/>
      <c r="NA27" s="1247"/>
      <c r="NB27" s="1247"/>
      <c r="NC27" s="1247"/>
      <c r="ND27" s="1247"/>
      <c r="NE27" s="1247"/>
      <c r="NF27" s="1247"/>
      <c r="NG27" s="1247"/>
      <c r="NH27" s="1247"/>
      <c r="NI27" s="1247"/>
      <c r="NJ27" s="1247"/>
      <c r="NK27" s="1247"/>
      <c r="NL27" s="1247"/>
      <c r="NM27" s="1247"/>
      <c r="NN27" s="1247"/>
      <c r="NO27" s="1247"/>
      <c r="NP27" s="1247"/>
      <c r="NQ27" s="1247"/>
      <c r="NR27" s="1247"/>
      <c r="NS27" s="1247"/>
      <c r="NT27" s="1247"/>
      <c r="NU27" s="1247"/>
      <c r="NV27" s="1247"/>
      <c r="NW27" s="1247"/>
      <c r="NX27" s="1247"/>
      <c r="NY27" s="1247"/>
      <c r="NZ27" s="1247"/>
      <c r="OA27" s="1247"/>
      <c r="OB27" s="1247"/>
      <c r="OC27" s="1247"/>
      <c r="OD27" s="1247"/>
      <c r="OE27" s="1247"/>
      <c r="OF27" s="1247"/>
      <c r="OG27" s="1247"/>
      <c r="OH27" s="1247"/>
      <c r="OI27" s="1247"/>
      <c r="OJ27" s="1247"/>
      <c r="OK27" s="1247"/>
      <c r="OL27" s="1247"/>
      <c r="OM27" s="1247"/>
      <c r="ON27" s="1247"/>
      <c r="OO27" s="1247"/>
      <c r="OP27" s="1247"/>
      <c r="OQ27" s="1247"/>
      <c r="OR27" s="1247"/>
      <c r="OS27" s="1247"/>
      <c r="OT27" s="1247"/>
      <c r="OU27" s="1247"/>
      <c r="OV27" s="1247"/>
      <c r="OW27" s="1247"/>
      <c r="OX27" s="1247"/>
      <c r="OY27" s="1247"/>
      <c r="OZ27" s="1247"/>
      <c r="PA27" s="1247"/>
      <c r="PB27" s="1247"/>
      <c r="PC27" s="1247"/>
      <c r="PD27" s="1247"/>
      <c r="PE27" s="1247"/>
      <c r="PF27" s="1247"/>
      <c r="PG27" s="1247"/>
      <c r="PH27" s="1247"/>
      <c r="PI27" s="1247"/>
      <c r="PJ27" s="1247"/>
      <c r="PK27" s="1247"/>
      <c r="PL27" s="1247"/>
      <c r="PM27" s="1247"/>
      <c r="PN27" s="1247"/>
      <c r="PO27" s="1247"/>
      <c r="PP27" s="1247"/>
      <c r="PQ27" s="1247"/>
      <c r="PR27" s="1247"/>
      <c r="PS27" s="1247"/>
      <c r="PT27" s="1247"/>
      <c r="PU27" s="1247"/>
      <c r="PV27" s="1247"/>
      <c r="PW27" s="1247"/>
      <c r="PX27" s="1247"/>
      <c r="PY27" s="1247"/>
      <c r="PZ27" s="1247"/>
      <c r="QA27" s="1247"/>
      <c r="QB27" s="1247"/>
      <c r="QC27" s="1247"/>
      <c r="QD27" s="1247"/>
      <c r="QE27" s="1247"/>
      <c r="QF27" s="1247"/>
      <c r="QG27" s="1247"/>
      <c r="QH27" s="1247"/>
      <c r="QI27" s="1247"/>
      <c r="QJ27" s="1247"/>
      <c r="QK27" s="1247"/>
      <c r="QL27" s="1247"/>
      <c r="QM27" s="1247"/>
      <c r="QN27" s="1247"/>
      <c r="QO27" s="1247"/>
      <c r="QP27" s="1247"/>
      <c r="QQ27" s="1247"/>
      <c r="QR27" s="1247"/>
      <c r="QS27" s="1247"/>
      <c r="QT27" s="1247"/>
      <c r="QU27" s="1247"/>
      <c r="QV27" s="1247"/>
      <c r="QW27" s="1247"/>
      <c r="QX27" s="1247"/>
      <c r="QY27" s="1247"/>
      <c r="QZ27" s="1247"/>
      <c r="RA27" s="1247"/>
      <c r="RB27" s="1247"/>
      <c r="RC27" s="1247"/>
      <c r="RD27" s="1247"/>
      <c r="RE27" s="1247"/>
      <c r="RF27" s="1247"/>
      <c r="RG27" s="1247"/>
      <c r="RH27" s="1247"/>
      <c r="RI27" s="1247"/>
      <c r="RJ27" s="1247"/>
      <c r="RK27" s="1247"/>
      <c r="RL27" s="1247"/>
      <c r="RM27" s="1247"/>
      <c r="RN27" s="1247"/>
      <c r="RO27" s="1247"/>
      <c r="RP27" s="1247"/>
      <c r="RQ27" s="1247"/>
      <c r="RR27" s="1247"/>
      <c r="RS27" s="1247"/>
      <c r="RT27" s="1247"/>
      <c r="RU27" s="1247"/>
      <c r="RV27" s="1247"/>
      <c r="RW27" s="1247"/>
      <c r="RX27" s="1247"/>
      <c r="RY27" s="1247"/>
      <c r="RZ27" s="1247"/>
      <c r="SA27" s="1247"/>
      <c r="SB27" s="1247"/>
      <c r="SC27" s="1247"/>
      <c r="SD27" s="1247"/>
      <c r="SE27" s="1247"/>
      <c r="SF27" s="1247"/>
      <c r="SG27" s="1247"/>
      <c r="SH27" s="1247"/>
      <c r="SI27" s="1247"/>
      <c r="SJ27" s="1247"/>
      <c r="SK27" s="1247"/>
      <c r="SL27" s="1247"/>
      <c r="SM27" s="1247"/>
      <c r="SN27" s="1247"/>
      <c r="SO27" s="1247"/>
      <c r="SP27" s="1247"/>
      <c r="SQ27" s="1247"/>
      <c r="SR27" s="1247"/>
      <c r="SS27" s="1247"/>
      <c r="ST27" s="1247"/>
      <c r="SU27" s="1247"/>
      <c r="SV27" s="1247"/>
      <c r="SW27" s="1247"/>
      <c r="SX27" s="1247"/>
      <c r="SY27" s="1247"/>
      <c r="SZ27" s="1247"/>
      <c r="TA27" s="1247"/>
      <c r="TB27" s="1247"/>
      <c r="TC27" s="1247"/>
      <c r="TD27" s="1247"/>
      <c r="TE27" s="1247"/>
      <c r="TF27" s="1247"/>
      <c r="TG27" s="1247"/>
      <c r="TH27" s="1247"/>
      <c r="TI27" s="1247"/>
      <c r="TJ27" s="1247"/>
      <c r="TK27" s="1247"/>
      <c r="TL27" s="1247"/>
      <c r="TM27" s="1247"/>
      <c r="TN27" s="1247"/>
      <c r="TO27" s="1247"/>
      <c r="TP27" s="1247"/>
      <c r="TQ27" s="1247"/>
      <c r="TR27" s="1247"/>
      <c r="TS27" s="1247"/>
      <c r="TT27" s="1247"/>
      <c r="TU27" s="1247"/>
      <c r="TV27" s="1247"/>
      <c r="TW27" s="1247"/>
      <c r="TX27" s="1247"/>
      <c r="TY27" s="1247"/>
      <c r="TZ27" s="1247"/>
      <c r="UA27" s="1247"/>
      <c r="UB27" s="1247"/>
      <c r="UC27" s="1247"/>
      <c r="UD27" s="1247"/>
      <c r="UE27" s="1247"/>
      <c r="UF27" s="1247"/>
      <c r="UG27" s="1247"/>
      <c r="UH27" s="1247"/>
      <c r="UI27" s="1247"/>
      <c r="UJ27" s="1247"/>
      <c r="UK27" s="1247"/>
      <c r="UL27" s="1247"/>
      <c r="UM27" s="1247"/>
      <c r="UN27" s="1247"/>
      <c r="UO27" s="1247"/>
      <c r="UP27" s="1247"/>
      <c r="UQ27" s="1247"/>
      <c r="UR27" s="1247"/>
      <c r="US27" s="1247"/>
      <c r="UT27" s="1247"/>
      <c r="UU27" s="1247"/>
      <c r="UV27" s="1247"/>
      <c r="UW27" s="1247"/>
      <c r="UX27" s="1247"/>
      <c r="UY27" s="1247"/>
      <c r="UZ27" s="1247"/>
      <c r="VA27" s="1247"/>
      <c r="VB27" s="1247"/>
      <c r="VC27" s="1247"/>
      <c r="VD27" s="1247"/>
      <c r="VE27" s="1247"/>
      <c r="VF27" s="1247"/>
      <c r="VG27" s="1247"/>
      <c r="VH27" s="1247"/>
      <c r="VI27" s="1247"/>
      <c r="VJ27" s="1247"/>
      <c r="VK27" s="1247"/>
      <c r="VL27" s="1247"/>
      <c r="VM27" s="1247"/>
      <c r="VN27" s="1247"/>
      <c r="VO27" s="1247"/>
      <c r="VP27" s="1247"/>
      <c r="VQ27" s="1247"/>
      <c r="VR27" s="1247"/>
      <c r="VS27" s="1247"/>
      <c r="VT27" s="1247"/>
      <c r="VU27" s="1247"/>
      <c r="VV27" s="1247"/>
      <c r="VW27" s="1247"/>
      <c r="VX27" s="1247"/>
      <c r="VY27" s="1247"/>
      <c r="VZ27" s="1247"/>
      <c r="WA27" s="1247"/>
      <c r="WB27" s="1247"/>
      <c r="WC27" s="1247"/>
      <c r="WD27" s="1247"/>
      <c r="WE27" s="1247"/>
      <c r="WF27" s="1247"/>
      <c r="WG27" s="1247"/>
      <c r="WH27" s="1247"/>
      <c r="WI27" s="1247"/>
      <c r="WJ27" s="1247"/>
      <c r="WK27" s="1247"/>
      <c r="WL27" s="1247"/>
      <c r="WM27" s="1247"/>
      <c r="WN27" s="1247"/>
      <c r="WO27" s="1247"/>
      <c r="WP27" s="1247"/>
      <c r="WQ27" s="1247"/>
      <c r="WR27" s="1247"/>
      <c r="WS27" s="1247"/>
      <c r="WT27" s="1247"/>
      <c r="WU27" s="1247"/>
      <c r="WV27" s="1247"/>
      <c r="WW27" s="1247"/>
      <c r="WX27" s="1247"/>
      <c r="WY27" s="1247"/>
      <c r="WZ27" s="1247"/>
      <c r="XA27" s="1247"/>
      <c r="XB27" s="1247"/>
      <c r="XC27" s="1247"/>
      <c r="XD27" s="1247"/>
      <c r="XE27" s="1247"/>
      <c r="XF27" s="1247"/>
      <c r="XG27" s="1247"/>
      <c r="XH27" s="1247"/>
      <c r="XI27" s="1247"/>
      <c r="XJ27" s="1247"/>
      <c r="XK27" s="1247"/>
      <c r="XL27" s="1247"/>
      <c r="XM27" s="1247"/>
      <c r="XN27" s="1247"/>
      <c r="XO27" s="1247"/>
      <c r="XP27" s="1247"/>
      <c r="XQ27" s="1247"/>
      <c r="XR27" s="1247"/>
      <c r="XS27" s="1247"/>
      <c r="XT27" s="1247"/>
      <c r="XU27" s="1247"/>
      <c r="XV27" s="1247"/>
      <c r="XW27" s="1247"/>
      <c r="XX27" s="1247"/>
      <c r="XY27" s="1247"/>
      <c r="XZ27" s="1247"/>
      <c r="YA27" s="1247"/>
      <c r="YB27" s="1247"/>
      <c r="YC27" s="1247"/>
      <c r="YD27" s="1247"/>
      <c r="YE27" s="1247"/>
      <c r="YF27" s="1247"/>
      <c r="YG27" s="1247"/>
      <c r="YH27" s="1247"/>
      <c r="YI27" s="1247"/>
      <c r="YJ27" s="1247"/>
      <c r="YK27" s="1247"/>
      <c r="YL27" s="1247"/>
      <c r="YM27" s="1247"/>
      <c r="YN27" s="1247"/>
      <c r="YO27" s="1247"/>
      <c r="YP27" s="1247"/>
      <c r="YQ27" s="1247"/>
      <c r="YR27" s="1247"/>
      <c r="YS27" s="1247"/>
      <c r="YT27" s="1247"/>
      <c r="YU27" s="1247"/>
      <c r="YV27" s="1247"/>
      <c r="YW27" s="1247"/>
      <c r="YX27" s="1247"/>
      <c r="YY27" s="1247"/>
      <c r="YZ27" s="1247"/>
      <c r="ZA27" s="1247"/>
      <c r="ZB27" s="1247"/>
      <c r="ZC27" s="1247"/>
      <c r="ZD27" s="1247"/>
      <c r="ZE27" s="1247"/>
      <c r="ZF27" s="1247"/>
      <c r="ZG27" s="1247"/>
      <c r="ZH27" s="1247"/>
      <c r="ZI27" s="1247"/>
      <c r="ZJ27" s="1247"/>
      <c r="ZK27" s="1247"/>
      <c r="ZL27" s="1247"/>
      <c r="ZM27" s="1247"/>
      <c r="ZN27" s="1247"/>
      <c r="ZO27" s="1247"/>
      <c r="ZP27" s="1247"/>
      <c r="ZQ27" s="1247"/>
      <c r="ZR27" s="1247"/>
      <c r="ZS27" s="1247"/>
      <c r="ZT27" s="1247"/>
      <c r="ZU27" s="1247"/>
      <c r="ZV27" s="1247"/>
      <c r="ZW27" s="1247"/>
      <c r="ZX27" s="1247"/>
      <c r="ZY27" s="1247"/>
      <c r="ZZ27" s="1247"/>
      <c r="AAA27" s="1247"/>
      <c r="AAB27" s="1247"/>
      <c r="AAC27" s="1247"/>
      <c r="AAD27" s="1247"/>
      <c r="AAE27" s="1247"/>
      <c r="AAF27" s="1247"/>
      <c r="AAG27" s="1247"/>
      <c r="AAH27" s="1247"/>
      <c r="AAI27" s="1247"/>
      <c r="AAJ27" s="1247"/>
      <c r="AAK27" s="1247"/>
      <c r="AAL27" s="1247"/>
      <c r="AAM27" s="1247"/>
      <c r="AAN27" s="1247"/>
      <c r="AAO27" s="1247"/>
      <c r="AAP27" s="1247"/>
      <c r="AAQ27" s="1247"/>
      <c r="AAR27" s="1247"/>
      <c r="AAS27" s="1247"/>
      <c r="AAT27" s="1247"/>
      <c r="AAU27" s="1247"/>
      <c r="AAV27" s="1247"/>
      <c r="AAW27" s="1247"/>
      <c r="AAX27" s="1247"/>
      <c r="AAY27" s="1247"/>
      <c r="AAZ27" s="1247"/>
      <c r="ABA27" s="1247"/>
      <c r="ABB27" s="1247"/>
      <c r="ABC27" s="1247"/>
      <c r="ABD27" s="1247"/>
      <c r="ABE27" s="1247"/>
      <c r="ABF27" s="1247"/>
      <c r="ABG27" s="1247"/>
      <c r="ABH27" s="1247"/>
      <c r="ABI27" s="1247"/>
      <c r="ABJ27" s="1247"/>
      <c r="ABK27" s="1247"/>
      <c r="ABL27" s="1247"/>
      <c r="ABM27" s="1247"/>
      <c r="ABN27" s="1247"/>
      <c r="ABO27" s="1247"/>
      <c r="ABP27" s="1247"/>
      <c r="ABQ27" s="1247"/>
      <c r="ABR27" s="1247"/>
      <c r="ABS27" s="1247"/>
      <c r="ABT27" s="1247"/>
      <c r="ABU27" s="1247"/>
      <c r="ABV27" s="1247"/>
      <c r="ABW27" s="1247"/>
      <c r="ABX27" s="1247"/>
      <c r="ABY27" s="1247"/>
      <c r="ABZ27" s="1247"/>
      <c r="ACA27" s="1247"/>
      <c r="ACB27" s="1247"/>
      <c r="ACC27" s="1247"/>
      <c r="ACD27" s="1247"/>
      <c r="ACE27" s="1247"/>
      <c r="ACF27" s="1247"/>
      <c r="ACG27" s="1247"/>
      <c r="ACH27" s="1247"/>
      <c r="ACI27" s="1247"/>
      <c r="ACJ27" s="1247"/>
      <c r="ACK27" s="1247"/>
      <c r="ACL27" s="1247"/>
      <c r="ACM27" s="1247"/>
      <c r="ACN27" s="1247"/>
      <c r="ACO27" s="1247"/>
      <c r="ACP27" s="1247"/>
      <c r="ACQ27" s="1247"/>
      <c r="ACR27" s="1247"/>
      <c r="ACS27" s="1247"/>
      <c r="ACT27" s="1247"/>
      <c r="ACU27" s="1247"/>
      <c r="ACV27" s="1247"/>
      <c r="ACW27" s="1247"/>
      <c r="ACX27" s="1247"/>
      <c r="ACY27" s="1247"/>
      <c r="ACZ27" s="1247"/>
      <c r="ADA27" s="1247"/>
      <c r="ADB27" s="1247"/>
      <c r="ADC27" s="1247"/>
      <c r="ADD27" s="1247"/>
      <c r="ADE27" s="1247"/>
      <c r="ADF27" s="1247"/>
      <c r="ADG27" s="1247"/>
    </row>
    <row r="28" spans="1:787" s="1247" customFormat="1" ht="13" hidden="1" outlineLevel="2">
      <c r="B28" s="1422" t="s">
        <v>3248</v>
      </c>
      <c r="C28" s="1423"/>
      <c r="D28" s="1423" t="s">
        <v>1097</v>
      </c>
      <c r="E28" s="1424"/>
      <c r="F28" s="1425"/>
      <c r="G28" s="1431" t="s">
        <v>4117</v>
      </c>
      <c r="H28" s="1424"/>
      <c r="I28" s="1424"/>
      <c r="J28" s="1427"/>
      <c r="K28" s="1427"/>
      <c r="L28" s="1427"/>
      <c r="M28" s="1427"/>
      <c r="N28" s="1427"/>
      <c r="O28" s="1427"/>
      <c r="P28" s="1427"/>
      <c r="Q28" s="1427">
        <f>SUBTOTAL(9,Q29:Q37)</f>
        <v>114.646023</v>
      </c>
      <c r="R28" s="1427">
        <f>SUBTOTAL(9,R29:R37)</f>
        <v>114.646023</v>
      </c>
      <c r="S28" s="1427">
        <f>SUBTOTAL(9,S29:S37)</f>
        <v>0</v>
      </c>
      <c r="T28" s="1427">
        <f>SUBTOTAL(9,T29:T37)</f>
        <v>114.646023</v>
      </c>
      <c r="U28" s="1429"/>
      <c r="V28" s="1225">
        <f t="shared" si="2"/>
        <v>0</v>
      </c>
      <c r="W28" s="1225">
        <f t="shared" si="3"/>
        <v>0</v>
      </c>
      <c r="X28" s="1225"/>
      <c r="Y28" s="1225"/>
    </row>
    <row r="29" spans="1:787" s="1221" customFormat="1" ht="13" hidden="1" outlineLevel="3">
      <c r="B29" s="1433" t="s">
        <v>3249</v>
      </c>
      <c r="C29" s="1434"/>
      <c r="D29" s="1434" t="s">
        <v>1099</v>
      </c>
      <c r="E29" s="1431"/>
      <c r="F29" s="1425" t="s">
        <v>3250</v>
      </c>
      <c r="G29" s="1431" t="s">
        <v>4178</v>
      </c>
      <c r="H29" s="1426"/>
      <c r="I29" s="1426"/>
      <c r="J29" s="1437"/>
      <c r="K29" s="1437"/>
      <c r="L29" s="1437"/>
      <c r="M29" s="1437"/>
      <c r="N29" s="1437"/>
      <c r="O29" s="1437"/>
      <c r="P29" s="1437"/>
      <c r="Q29" s="1437">
        <f>VLOOKUP(D29,'当期公摊测算表（全期）'!D:W,12,FALSE)</f>
        <v>4.3228999999999997</v>
      </c>
      <c r="R29" s="1172">
        <f t="shared" ref="R29:R63" si="7">SUM(H29:Q29)</f>
        <v>4.3228999999999997</v>
      </c>
      <c r="S29" s="1437">
        <f>VLOOKUP($D29,'当期公摊测算表（全期）'!D:W,17,FALSE)</f>
        <v>0</v>
      </c>
      <c r="T29" s="1437">
        <f>R29+S29</f>
        <v>4.3228999999999997</v>
      </c>
      <c r="U29" s="1438"/>
      <c r="V29" s="1225">
        <f t="shared" si="2"/>
        <v>0</v>
      </c>
      <c r="W29" s="1225">
        <f t="shared" si="3"/>
        <v>0</v>
      </c>
      <c r="X29" s="1225"/>
      <c r="Y29" s="1225"/>
    </row>
    <row r="30" spans="1:787" s="1221" customFormat="1" ht="13" hidden="1" outlineLevel="3">
      <c r="B30" s="1433" t="s">
        <v>3251</v>
      </c>
      <c r="C30" s="1434"/>
      <c r="D30" s="1434" t="s">
        <v>1104</v>
      </c>
      <c r="E30" s="1431" t="s">
        <v>3252</v>
      </c>
      <c r="F30" s="1425" t="s">
        <v>3250</v>
      </c>
      <c r="G30" s="1431" t="s">
        <v>4178</v>
      </c>
      <c r="H30" s="1426"/>
      <c r="I30" s="1426"/>
      <c r="J30" s="1437"/>
      <c r="K30" s="1437"/>
      <c r="L30" s="1437"/>
      <c r="M30" s="1437"/>
      <c r="N30" s="1437"/>
      <c r="O30" s="1437"/>
      <c r="P30" s="1437"/>
      <c r="Q30" s="1437">
        <f>VLOOKUP(D30,'当期公摊测算表（全期）'!D:W,12,FALSE)</f>
        <v>4.32</v>
      </c>
      <c r="R30" s="1172">
        <f t="shared" si="7"/>
        <v>4.32</v>
      </c>
      <c r="S30" s="1437">
        <f>VLOOKUP($D30,'当期公摊测算表（全期）'!D:W,17,FALSE)</f>
        <v>0</v>
      </c>
      <c r="T30" s="1437">
        <f t="shared" ref="T30:T63" si="8">R30+S30</f>
        <v>4.32</v>
      </c>
      <c r="U30" s="1438"/>
      <c r="V30" s="1225">
        <f t="shared" si="2"/>
        <v>0</v>
      </c>
      <c r="W30" s="1225">
        <f t="shared" si="3"/>
        <v>0</v>
      </c>
      <c r="X30" s="1225"/>
      <c r="Y30" s="1225"/>
    </row>
    <row r="31" spans="1:787" s="1221" customFormat="1" ht="13" hidden="1" outlineLevel="3">
      <c r="B31" s="1433" t="s">
        <v>3253</v>
      </c>
      <c r="C31" s="1434"/>
      <c r="D31" s="1434" t="s">
        <v>1109</v>
      </c>
      <c r="E31" s="1431" t="s">
        <v>3254</v>
      </c>
      <c r="F31" s="1425" t="s">
        <v>3250</v>
      </c>
      <c r="G31" s="1431" t="s">
        <v>4178</v>
      </c>
      <c r="H31" s="1426"/>
      <c r="I31" s="1426"/>
      <c r="J31" s="1437"/>
      <c r="K31" s="1437"/>
      <c r="L31" s="1437"/>
      <c r="M31" s="1437"/>
      <c r="N31" s="1437"/>
      <c r="O31" s="1437"/>
      <c r="P31" s="1437"/>
      <c r="Q31" s="1437">
        <f>VLOOKUP(D31,'当期公摊测算表（全期）'!D:W,12,FALSE)</f>
        <v>43.2</v>
      </c>
      <c r="R31" s="1172">
        <f t="shared" si="7"/>
        <v>43.2</v>
      </c>
      <c r="S31" s="1437">
        <f>VLOOKUP($D31,'当期公摊测算表（全期）'!D:W,17,FALSE)</f>
        <v>0</v>
      </c>
      <c r="T31" s="1437">
        <f t="shared" si="8"/>
        <v>43.2</v>
      </c>
      <c r="U31" s="1438"/>
      <c r="V31" s="1225">
        <f t="shared" si="2"/>
        <v>0</v>
      </c>
      <c r="W31" s="1225">
        <f t="shared" si="3"/>
        <v>0</v>
      </c>
      <c r="X31" s="1225"/>
      <c r="Y31" s="1225"/>
    </row>
    <row r="32" spans="1:787" s="1221" customFormat="1" ht="13" hidden="1" outlineLevel="3">
      <c r="B32" s="1433" t="s">
        <v>3255</v>
      </c>
      <c r="C32" s="1434"/>
      <c r="D32" s="1434" t="s">
        <v>1111</v>
      </c>
      <c r="E32" s="1431"/>
      <c r="F32" s="1425" t="s">
        <v>3250</v>
      </c>
      <c r="G32" s="1431" t="s">
        <v>4178</v>
      </c>
      <c r="H32" s="1426"/>
      <c r="I32" s="1426"/>
      <c r="J32" s="1437"/>
      <c r="K32" s="1437"/>
      <c r="L32" s="1437"/>
      <c r="M32" s="1437"/>
      <c r="N32" s="1437"/>
      <c r="O32" s="1437"/>
      <c r="P32" s="1437"/>
      <c r="Q32" s="1437">
        <f>VLOOKUP(D32,'当期公摊测算表（全期）'!D:W,12,FALSE)</f>
        <v>8</v>
      </c>
      <c r="R32" s="1172">
        <f t="shared" si="7"/>
        <v>8</v>
      </c>
      <c r="S32" s="1437">
        <f>VLOOKUP($D32,'当期公摊测算表（全期）'!D:W,17,FALSE)</f>
        <v>0</v>
      </c>
      <c r="T32" s="1437">
        <f t="shared" si="8"/>
        <v>8</v>
      </c>
      <c r="U32" s="1438"/>
      <c r="V32" s="1225">
        <f t="shared" si="2"/>
        <v>0</v>
      </c>
      <c r="W32" s="1225">
        <f t="shared" si="3"/>
        <v>0</v>
      </c>
      <c r="X32" s="1225"/>
      <c r="Y32" s="1225"/>
    </row>
    <row r="33" spans="2:25" s="1221" customFormat="1" ht="13" hidden="1" outlineLevel="3">
      <c r="B33" s="1433" t="s">
        <v>3256</v>
      </c>
      <c r="C33" s="1434"/>
      <c r="D33" s="1434" t="s">
        <v>3257</v>
      </c>
      <c r="E33" s="1431"/>
      <c r="F33" s="1425" t="s">
        <v>3250</v>
      </c>
      <c r="G33" s="1431" t="s">
        <v>4178</v>
      </c>
      <c r="H33" s="1426"/>
      <c r="I33" s="1426"/>
      <c r="J33" s="1437"/>
      <c r="K33" s="1437"/>
      <c r="L33" s="1437"/>
      <c r="M33" s="1437"/>
      <c r="N33" s="1437"/>
      <c r="O33" s="1437"/>
      <c r="P33" s="1437"/>
      <c r="Q33" s="1437">
        <f>VLOOKUP(D33,'当期公摊测算表（全期）'!D:W,12,FALSE)</f>
        <v>41.834423000000001</v>
      </c>
      <c r="R33" s="1172">
        <f t="shared" si="7"/>
        <v>41.834423000000001</v>
      </c>
      <c r="S33" s="1437">
        <f>VLOOKUP($D33,'当期公摊测算表（全期）'!D:W,17,FALSE)</f>
        <v>0</v>
      </c>
      <c r="T33" s="1437">
        <f t="shared" si="8"/>
        <v>41.834423000000001</v>
      </c>
      <c r="U33" s="1438"/>
      <c r="V33" s="1225">
        <f t="shared" si="2"/>
        <v>0</v>
      </c>
      <c r="W33" s="1225">
        <f t="shared" si="3"/>
        <v>0</v>
      </c>
      <c r="X33" s="1225"/>
      <c r="Y33" s="1225"/>
    </row>
    <row r="34" spans="2:25" s="1221" customFormat="1" ht="13" hidden="1" outlineLevel="3">
      <c r="B34" s="1433" t="s">
        <v>3258</v>
      </c>
      <c r="C34" s="1434"/>
      <c r="D34" s="1434" t="s">
        <v>1114</v>
      </c>
      <c r="E34" s="1431"/>
      <c r="F34" s="1425" t="s">
        <v>3250</v>
      </c>
      <c r="G34" s="1431" t="s">
        <v>4178</v>
      </c>
      <c r="H34" s="1426"/>
      <c r="I34" s="1426"/>
      <c r="J34" s="1437"/>
      <c r="K34" s="1437"/>
      <c r="L34" s="1437"/>
      <c r="M34" s="1437"/>
      <c r="N34" s="1437"/>
      <c r="O34" s="1437"/>
      <c r="P34" s="1437"/>
      <c r="Q34" s="1437">
        <f>VLOOKUP(D34,'当期公摊测算表（全期）'!D:W,12,FALSE)</f>
        <v>2.1614499999999999</v>
      </c>
      <c r="R34" s="1172">
        <f t="shared" si="7"/>
        <v>2.1614499999999999</v>
      </c>
      <c r="S34" s="1437">
        <f>VLOOKUP($D34,'当期公摊测算表（全期）'!D:W,17,FALSE)</f>
        <v>0</v>
      </c>
      <c r="T34" s="1437">
        <f t="shared" si="8"/>
        <v>2.1614499999999999</v>
      </c>
      <c r="U34" s="1438"/>
      <c r="V34" s="1225">
        <f t="shared" si="2"/>
        <v>0</v>
      </c>
      <c r="W34" s="1225">
        <f t="shared" si="3"/>
        <v>0</v>
      </c>
      <c r="X34" s="1225"/>
      <c r="Y34" s="1225"/>
    </row>
    <row r="35" spans="2:25" s="1221" customFormat="1" ht="13" hidden="1" outlineLevel="3">
      <c r="B35" s="1433" t="s">
        <v>3259</v>
      </c>
      <c r="C35" s="1434"/>
      <c r="D35" s="1434" t="s">
        <v>1118</v>
      </c>
      <c r="E35" s="1431"/>
      <c r="F35" s="1425" t="s">
        <v>3250</v>
      </c>
      <c r="G35" s="1431" t="s">
        <v>4178</v>
      </c>
      <c r="H35" s="1426"/>
      <c r="I35" s="1426"/>
      <c r="J35" s="1437"/>
      <c r="K35" s="1437"/>
      <c r="L35" s="1437"/>
      <c r="M35" s="1437"/>
      <c r="N35" s="1437"/>
      <c r="O35" s="1437"/>
      <c r="P35" s="1437"/>
      <c r="Q35" s="1437">
        <f>VLOOKUP(D35,'当期公摊测算表（全期）'!D:W,12,FALSE)</f>
        <v>0</v>
      </c>
      <c r="R35" s="1172">
        <f t="shared" si="7"/>
        <v>0</v>
      </c>
      <c r="S35" s="1437">
        <f>VLOOKUP($D35,'当期公摊测算表（全期）'!D:W,17,FALSE)</f>
        <v>0</v>
      </c>
      <c r="T35" s="1437">
        <f t="shared" si="8"/>
        <v>0</v>
      </c>
      <c r="U35" s="1438"/>
      <c r="V35" s="1225">
        <f t="shared" si="2"/>
        <v>0</v>
      </c>
      <c r="W35" s="1225">
        <f t="shared" si="3"/>
        <v>0</v>
      </c>
      <c r="X35" s="1225"/>
      <c r="Y35" s="1225"/>
    </row>
    <row r="36" spans="2:25" s="1221" customFormat="1" ht="13" hidden="1" outlineLevel="3">
      <c r="B36" s="1433" t="s">
        <v>3260</v>
      </c>
      <c r="C36" s="1434"/>
      <c r="D36" s="1434" t="s">
        <v>3261</v>
      </c>
      <c r="E36" s="1431" t="s">
        <v>3262</v>
      </c>
      <c r="F36" s="1425" t="s">
        <v>1282</v>
      </c>
      <c r="G36" s="1431" t="s">
        <v>4179</v>
      </c>
      <c r="H36" s="1426"/>
      <c r="I36" s="1426"/>
      <c r="J36" s="1437"/>
      <c r="K36" s="1437"/>
      <c r="L36" s="1437"/>
      <c r="M36" s="1437"/>
      <c r="N36" s="1437"/>
      <c r="O36" s="1437"/>
      <c r="P36" s="1437"/>
      <c r="Q36" s="1437">
        <f>VLOOKUP(D36,'当期公摊测算表（全期）'!D:W,12,FALSE)</f>
        <v>0</v>
      </c>
      <c r="R36" s="1172">
        <f t="shared" si="7"/>
        <v>0</v>
      </c>
      <c r="S36" s="1437">
        <f>VLOOKUP($D36,'当期公摊测算表（全期）'!D:W,17,FALSE)</f>
        <v>0</v>
      </c>
      <c r="T36" s="1437">
        <f t="shared" si="8"/>
        <v>0</v>
      </c>
      <c r="U36" s="1438"/>
      <c r="V36" s="1225">
        <f t="shared" si="2"/>
        <v>0</v>
      </c>
      <c r="W36" s="1225">
        <f t="shared" si="3"/>
        <v>0</v>
      </c>
      <c r="X36" s="1225"/>
      <c r="Y36" s="1225"/>
    </row>
    <row r="37" spans="2:25" s="1221" customFormat="1" ht="13" hidden="1" outlineLevel="3">
      <c r="B37" s="1433" t="s">
        <v>3263</v>
      </c>
      <c r="C37" s="1434"/>
      <c r="D37" s="1434" t="s">
        <v>3264</v>
      </c>
      <c r="E37" s="1431"/>
      <c r="F37" s="1425" t="s">
        <v>3250</v>
      </c>
      <c r="G37" s="1431" t="s">
        <v>4178</v>
      </c>
      <c r="H37" s="1426"/>
      <c r="I37" s="1426"/>
      <c r="J37" s="1437"/>
      <c r="K37" s="1437"/>
      <c r="L37" s="1437"/>
      <c r="M37" s="1437"/>
      <c r="N37" s="1437"/>
      <c r="O37" s="1437"/>
      <c r="P37" s="1437"/>
      <c r="Q37" s="1437">
        <f>VLOOKUP(D37,'当期公摊测算表（全期）'!D:W,12,FALSE)</f>
        <v>10.80725</v>
      </c>
      <c r="R37" s="1172">
        <f t="shared" si="7"/>
        <v>10.80725</v>
      </c>
      <c r="S37" s="1437">
        <f>VLOOKUP($D37,'当期公摊测算表（全期）'!D:W,17,FALSE)</f>
        <v>0</v>
      </c>
      <c r="T37" s="1437">
        <f t="shared" si="8"/>
        <v>10.80725</v>
      </c>
      <c r="U37" s="1438"/>
      <c r="V37" s="1225">
        <f t="shared" si="2"/>
        <v>0</v>
      </c>
      <c r="W37" s="1225">
        <f t="shared" si="3"/>
        <v>0</v>
      </c>
      <c r="X37" s="1225"/>
      <c r="Y37" s="1225"/>
    </row>
    <row r="38" spans="2:25" s="1247" customFormat="1" ht="13" hidden="1" outlineLevel="2">
      <c r="B38" s="1422" t="s">
        <v>3265</v>
      </c>
      <c r="C38" s="1423"/>
      <c r="D38" s="1423" t="s">
        <v>3266</v>
      </c>
      <c r="E38" s="1424"/>
      <c r="F38" s="1425"/>
      <c r="G38" s="1431" t="s">
        <v>4117</v>
      </c>
      <c r="H38" s="1424"/>
      <c r="I38" s="1424"/>
      <c r="J38" s="1427"/>
      <c r="K38" s="1427"/>
      <c r="L38" s="1427"/>
      <c r="M38" s="1427"/>
      <c r="N38" s="1427"/>
      <c r="O38" s="1427"/>
      <c r="P38" s="1427"/>
      <c r="Q38" s="1427">
        <f>SUBTOTAL(9,Q39:Q40)</f>
        <v>2349.895184</v>
      </c>
      <c r="R38" s="1427">
        <f>SUBTOTAL(9,R39:R40)</f>
        <v>2349.895184</v>
      </c>
      <c r="S38" s="1427">
        <f>SUBTOTAL(9,S39:S40)</f>
        <v>0</v>
      </c>
      <c r="T38" s="1427">
        <f>SUBTOTAL(9,T39:T40)</f>
        <v>2349.895184</v>
      </c>
      <c r="U38" s="1429"/>
      <c r="V38" s="1225">
        <f t="shared" si="2"/>
        <v>0</v>
      </c>
      <c r="W38" s="1225">
        <f t="shared" si="3"/>
        <v>0</v>
      </c>
      <c r="X38" s="1225"/>
      <c r="Y38" s="1225"/>
    </row>
    <row r="39" spans="2:25" s="1221" customFormat="1" ht="13" hidden="1" outlineLevel="3">
      <c r="B39" s="1433" t="s">
        <v>3267</v>
      </c>
      <c r="C39" s="1434"/>
      <c r="D39" s="1434" t="s">
        <v>3268</v>
      </c>
      <c r="E39" s="1431"/>
      <c r="F39" s="1425" t="s">
        <v>3269</v>
      </c>
      <c r="G39" s="1431" t="s">
        <v>4180</v>
      </c>
      <c r="H39" s="1426"/>
      <c r="I39" s="1426"/>
      <c r="J39" s="1437"/>
      <c r="K39" s="1437"/>
      <c r="L39" s="1437"/>
      <c r="M39" s="1437"/>
      <c r="N39" s="1437"/>
      <c r="O39" s="1437"/>
      <c r="P39" s="1437"/>
      <c r="Q39" s="1437">
        <f>VLOOKUP(D39,'当期公摊测算表（全期）'!D:W,12,FALSE)</f>
        <v>2349.895184</v>
      </c>
      <c r="R39" s="1172">
        <f t="shared" si="7"/>
        <v>2349.895184</v>
      </c>
      <c r="S39" s="1437">
        <f>VLOOKUP($D39,'当期公摊测算表（全期）'!D:W,17,FALSE)</f>
        <v>0</v>
      </c>
      <c r="T39" s="1437">
        <f t="shared" si="8"/>
        <v>2349.895184</v>
      </c>
      <c r="U39" s="1438"/>
      <c r="V39" s="1225">
        <f t="shared" si="2"/>
        <v>0</v>
      </c>
      <c r="W39" s="1225">
        <f t="shared" si="3"/>
        <v>0</v>
      </c>
      <c r="X39" s="1225"/>
      <c r="Y39" s="1225"/>
    </row>
    <row r="40" spans="2:25" s="1221" customFormat="1" ht="13" hidden="1" outlineLevel="3">
      <c r="B40" s="1433" t="s">
        <v>3270</v>
      </c>
      <c r="C40" s="1434"/>
      <c r="D40" s="1434" t="s">
        <v>3271</v>
      </c>
      <c r="E40" s="1431"/>
      <c r="F40" s="1425" t="s">
        <v>1307</v>
      </c>
      <c r="G40" s="1431" t="s">
        <v>4131</v>
      </c>
      <c r="H40" s="1426"/>
      <c r="I40" s="1426"/>
      <c r="J40" s="1437"/>
      <c r="K40" s="1437"/>
      <c r="L40" s="1437"/>
      <c r="M40" s="1437"/>
      <c r="N40" s="1437"/>
      <c r="O40" s="1437"/>
      <c r="P40" s="1437"/>
      <c r="Q40" s="1437">
        <f>VLOOKUP(D40,'当期公摊测算表（全期）'!D:W,12,FALSE)</f>
        <v>0</v>
      </c>
      <c r="R40" s="1172">
        <f t="shared" si="7"/>
        <v>0</v>
      </c>
      <c r="S40" s="1437">
        <f>VLOOKUP($D40,'当期公摊测算表（全期）'!D:W,17,FALSE)</f>
        <v>0</v>
      </c>
      <c r="T40" s="1437">
        <f t="shared" si="8"/>
        <v>0</v>
      </c>
      <c r="U40" s="1438"/>
      <c r="V40" s="1225">
        <f t="shared" si="2"/>
        <v>0</v>
      </c>
      <c r="W40" s="1225">
        <f t="shared" si="3"/>
        <v>0</v>
      </c>
      <c r="X40" s="1225"/>
      <c r="Y40" s="1225"/>
    </row>
    <row r="41" spans="2:25" s="1247" customFormat="1" ht="13" hidden="1" outlineLevel="2">
      <c r="B41" s="1422" t="s">
        <v>3272</v>
      </c>
      <c r="C41" s="1423"/>
      <c r="D41" s="1423" t="s">
        <v>3273</v>
      </c>
      <c r="E41" s="1424"/>
      <c r="F41" s="1425"/>
      <c r="G41" s="1431" t="s">
        <v>4117</v>
      </c>
      <c r="H41" s="1424"/>
      <c r="I41" s="1424"/>
      <c r="J41" s="1427"/>
      <c r="K41" s="1427"/>
      <c r="L41" s="1427"/>
      <c r="M41" s="1427"/>
      <c r="N41" s="1427"/>
      <c r="O41" s="1427"/>
      <c r="P41" s="1427"/>
      <c r="Q41" s="1427">
        <f>SUBTOTAL(9,Q42:Q59)</f>
        <v>305.66296199999999</v>
      </c>
      <c r="R41" s="1427">
        <f>SUBTOTAL(9,R42:R59)</f>
        <v>305.66296199999999</v>
      </c>
      <c r="S41" s="1427">
        <f>SUBTOTAL(9,S42:S59)</f>
        <v>185.08353802817055</v>
      </c>
      <c r="T41" s="1427">
        <f>SUBTOTAL(9,T42:T59)</f>
        <v>490.74650002817054</v>
      </c>
      <c r="U41" s="1429"/>
      <c r="V41" s="1225">
        <f t="shared" si="2"/>
        <v>0</v>
      </c>
      <c r="W41" s="1225">
        <f t="shared" si="3"/>
        <v>185.08353802817055</v>
      </c>
      <c r="X41" s="1225"/>
      <c r="Y41" s="1225"/>
    </row>
    <row r="42" spans="2:25" s="1221" customFormat="1" ht="13" hidden="1" outlineLevel="3">
      <c r="B42" s="1433" t="s">
        <v>3274</v>
      </c>
      <c r="C42" s="1434"/>
      <c r="D42" s="1434" t="s">
        <v>3275</v>
      </c>
      <c r="E42" s="1431"/>
      <c r="F42" s="1425" t="s">
        <v>3269</v>
      </c>
      <c r="G42" s="1431" t="s">
        <v>4180</v>
      </c>
      <c r="H42" s="1426"/>
      <c r="I42" s="1426"/>
      <c r="J42" s="1437"/>
      <c r="K42" s="1437"/>
      <c r="L42" s="1437"/>
      <c r="M42" s="1437"/>
      <c r="N42" s="1437"/>
      <c r="O42" s="1437"/>
      <c r="P42" s="1437"/>
      <c r="Q42" s="1437">
        <f>VLOOKUP(D42,'当期公摊测算表（全期）'!D:W,12,FALSE)</f>
        <v>0</v>
      </c>
      <c r="R42" s="1172">
        <f t="shared" si="7"/>
        <v>0</v>
      </c>
      <c r="S42" s="1437">
        <f>VLOOKUP($D42,'当期公摊测算表（全期）'!D:W,17,FALSE)</f>
        <v>0</v>
      </c>
      <c r="T42" s="1437">
        <f t="shared" si="8"/>
        <v>0</v>
      </c>
      <c r="U42" s="1438"/>
      <c r="V42" s="1225">
        <f t="shared" si="2"/>
        <v>0</v>
      </c>
      <c r="W42" s="1225">
        <f t="shared" si="3"/>
        <v>0</v>
      </c>
      <c r="X42" s="1225"/>
      <c r="Y42" s="1225"/>
    </row>
    <row r="43" spans="2:25" s="1221" customFormat="1" ht="13" hidden="1" outlineLevel="3">
      <c r="B43" s="1433" t="s">
        <v>3276</v>
      </c>
      <c r="C43" s="1434"/>
      <c r="D43" s="1434" t="s">
        <v>3277</v>
      </c>
      <c r="E43" s="1431"/>
      <c r="F43" s="1425" t="s">
        <v>3269</v>
      </c>
      <c r="G43" s="1431" t="s">
        <v>4180</v>
      </c>
      <c r="H43" s="1426"/>
      <c r="I43" s="1426"/>
      <c r="J43" s="1437"/>
      <c r="K43" s="1437"/>
      <c r="L43" s="1437"/>
      <c r="M43" s="1437"/>
      <c r="N43" s="1437"/>
      <c r="O43" s="1437"/>
      <c r="P43" s="1437"/>
      <c r="Q43" s="1437">
        <f>VLOOKUP(D43,'当期公摊测算表（全期）'!D:W,12,FALSE)</f>
        <v>37.401637000000001</v>
      </c>
      <c r="R43" s="1172">
        <f t="shared" si="7"/>
        <v>37.401637000000001</v>
      </c>
      <c r="S43" s="1437">
        <f>VLOOKUP($D43,'当期公摊测算表（全期）'!D:W,17,FALSE)</f>
        <v>0</v>
      </c>
      <c r="T43" s="1437">
        <f t="shared" si="8"/>
        <v>37.401637000000001</v>
      </c>
      <c r="U43" s="1438"/>
      <c r="V43" s="1225">
        <f t="shared" si="2"/>
        <v>0</v>
      </c>
      <c r="W43" s="1225">
        <f t="shared" si="3"/>
        <v>0</v>
      </c>
      <c r="X43" s="1225"/>
      <c r="Y43" s="1225"/>
    </row>
    <row r="44" spans="2:25" s="1221" customFormat="1" ht="13" hidden="1" outlineLevel="3">
      <c r="B44" s="1433" t="s">
        <v>3278</v>
      </c>
      <c r="C44" s="1434"/>
      <c r="D44" s="1434" t="s">
        <v>1102</v>
      </c>
      <c r="E44" s="1431"/>
      <c r="F44" s="1425" t="s">
        <v>3269</v>
      </c>
      <c r="G44" s="1431" t="s">
        <v>4180</v>
      </c>
      <c r="H44" s="1426"/>
      <c r="I44" s="1426"/>
      <c r="J44" s="1437"/>
      <c r="K44" s="1437"/>
      <c r="L44" s="1437"/>
      <c r="M44" s="1437"/>
      <c r="N44" s="1437"/>
      <c r="O44" s="1437"/>
      <c r="P44" s="1437"/>
      <c r="Q44" s="1437">
        <f>VLOOKUP(D44,'当期公摊测算表（全期）'!D:W,12,FALSE)</f>
        <v>0</v>
      </c>
      <c r="R44" s="1172">
        <f t="shared" si="7"/>
        <v>0</v>
      </c>
      <c r="S44" s="1437">
        <f>VLOOKUP($D44,'当期公摊测算表（全期）'!D:W,17,FALSE)</f>
        <v>0</v>
      </c>
      <c r="T44" s="1437">
        <f t="shared" si="8"/>
        <v>0</v>
      </c>
      <c r="U44" s="1438"/>
      <c r="V44" s="1225">
        <f t="shared" si="2"/>
        <v>0</v>
      </c>
      <c r="W44" s="1225">
        <f t="shared" si="3"/>
        <v>0</v>
      </c>
      <c r="X44" s="1225"/>
      <c r="Y44" s="1225"/>
    </row>
    <row r="45" spans="2:25" s="1221" customFormat="1" ht="13" hidden="1" outlineLevel="3">
      <c r="B45" s="1433" t="s">
        <v>3279</v>
      </c>
      <c r="C45" s="1434"/>
      <c r="D45" s="1434" t="s">
        <v>3280</v>
      </c>
      <c r="E45" s="1431"/>
      <c r="F45" s="1425" t="s">
        <v>3269</v>
      </c>
      <c r="G45" s="1431" t="s">
        <v>4180</v>
      </c>
      <c r="H45" s="1426"/>
      <c r="I45" s="1426"/>
      <c r="J45" s="1437"/>
      <c r="K45" s="1437"/>
      <c r="L45" s="1437"/>
      <c r="M45" s="1437"/>
      <c r="N45" s="1437"/>
      <c r="O45" s="1437"/>
      <c r="P45" s="1437"/>
      <c r="Q45" s="1437">
        <f>VLOOKUP(D45,'当期公摊测算表（全期）'!D:W,12,FALSE)</f>
        <v>0</v>
      </c>
      <c r="R45" s="1172">
        <f t="shared" si="7"/>
        <v>0</v>
      </c>
      <c r="S45" s="1437">
        <f>VLOOKUP($D45,'当期公摊测算表（全期）'!D:W,17,FALSE)</f>
        <v>0</v>
      </c>
      <c r="T45" s="1437">
        <f t="shared" si="8"/>
        <v>0</v>
      </c>
      <c r="U45" s="1438"/>
      <c r="V45" s="1225">
        <f t="shared" si="2"/>
        <v>0</v>
      </c>
      <c r="W45" s="1225">
        <f t="shared" si="3"/>
        <v>0</v>
      </c>
      <c r="X45" s="1225"/>
      <c r="Y45" s="1225"/>
    </row>
    <row r="46" spans="2:25" s="1221" customFormat="1" ht="13" hidden="1" outlineLevel="3">
      <c r="B46" s="1433" t="s">
        <v>3281</v>
      </c>
      <c r="C46" s="1434"/>
      <c r="D46" s="1434" t="s">
        <v>3282</v>
      </c>
      <c r="E46" s="1431"/>
      <c r="F46" s="1425" t="s">
        <v>3269</v>
      </c>
      <c r="G46" s="1431" t="s">
        <v>4180</v>
      </c>
      <c r="H46" s="1426"/>
      <c r="I46" s="1426"/>
      <c r="J46" s="1437"/>
      <c r="K46" s="1437"/>
      <c r="L46" s="1437"/>
      <c r="M46" s="1437"/>
      <c r="N46" s="1437"/>
      <c r="O46" s="1437"/>
      <c r="P46" s="1437"/>
      <c r="Q46" s="1437">
        <f>VLOOKUP(D46,'当期公摊测算表（全期）'!D:W,12,FALSE)</f>
        <v>0</v>
      </c>
      <c r="R46" s="1172">
        <f t="shared" si="7"/>
        <v>0</v>
      </c>
      <c r="S46" s="1437">
        <f>VLOOKUP($D46,'当期公摊测算表（全期）'!D:W,17,FALSE)</f>
        <v>0</v>
      </c>
      <c r="T46" s="1437">
        <f t="shared" si="8"/>
        <v>0</v>
      </c>
      <c r="U46" s="1438"/>
      <c r="V46" s="1225">
        <f t="shared" si="2"/>
        <v>0</v>
      </c>
      <c r="W46" s="1225">
        <f t="shared" si="3"/>
        <v>0</v>
      </c>
      <c r="X46" s="1225"/>
      <c r="Y46" s="1225"/>
    </row>
    <row r="47" spans="2:25" s="1221" customFormat="1" ht="13" hidden="1" outlineLevel="3">
      <c r="B47" s="1433" t="s">
        <v>3283</v>
      </c>
      <c r="C47" s="1434"/>
      <c r="D47" s="1434" t="s">
        <v>3284</v>
      </c>
      <c r="E47" s="1431"/>
      <c r="F47" s="1425" t="s">
        <v>3269</v>
      </c>
      <c r="G47" s="1431" t="s">
        <v>4180</v>
      </c>
      <c r="H47" s="1426"/>
      <c r="I47" s="1426"/>
      <c r="J47" s="1437"/>
      <c r="K47" s="1437"/>
      <c r="L47" s="1437"/>
      <c r="M47" s="1437"/>
      <c r="N47" s="1437"/>
      <c r="O47" s="1437"/>
      <c r="P47" s="1437"/>
      <c r="Q47" s="1437">
        <f>VLOOKUP(D47,'当期公摊测算表（全期）'!D:W,12,FALSE)</f>
        <v>0</v>
      </c>
      <c r="R47" s="1172">
        <f t="shared" si="7"/>
        <v>0</v>
      </c>
      <c r="S47" s="1437">
        <f>VLOOKUP($D47,'当期公摊测算表（全期）'!D:W,17,FALSE)</f>
        <v>0</v>
      </c>
      <c r="T47" s="1437">
        <f t="shared" si="8"/>
        <v>0</v>
      </c>
      <c r="U47" s="1438"/>
      <c r="V47" s="1225">
        <f t="shared" si="2"/>
        <v>0</v>
      </c>
      <c r="W47" s="1225">
        <f t="shared" si="3"/>
        <v>0</v>
      </c>
      <c r="X47" s="1225"/>
      <c r="Y47" s="1225"/>
    </row>
    <row r="48" spans="2:25" s="1221" customFormat="1" ht="13" hidden="1" outlineLevel="3">
      <c r="B48" s="1433" t="s">
        <v>3285</v>
      </c>
      <c r="C48" s="1434"/>
      <c r="D48" s="1434" t="s">
        <v>3286</v>
      </c>
      <c r="E48" s="1431"/>
      <c r="F48" s="1425" t="s">
        <v>3269</v>
      </c>
      <c r="G48" s="1431" t="s">
        <v>4180</v>
      </c>
      <c r="H48" s="1426"/>
      <c r="I48" s="1426"/>
      <c r="J48" s="1437"/>
      <c r="K48" s="1437"/>
      <c r="L48" s="1437"/>
      <c r="M48" s="1437"/>
      <c r="N48" s="1437"/>
      <c r="O48" s="1437"/>
      <c r="P48" s="1437"/>
      <c r="Q48" s="1437">
        <f>VLOOKUP(D48,'当期公摊测算表（全期）'!D:W,12,FALSE)</f>
        <v>0</v>
      </c>
      <c r="R48" s="1172">
        <f t="shared" si="7"/>
        <v>0</v>
      </c>
      <c r="S48" s="1437">
        <f>VLOOKUP($D48,'当期公摊测算表（全期）'!D:W,17,FALSE)</f>
        <v>0</v>
      </c>
      <c r="T48" s="1437">
        <f t="shared" si="8"/>
        <v>0</v>
      </c>
      <c r="U48" s="1438"/>
      <c r="V48" s="1225">
        <f t="shared" si="2"/>
        <v>0</v>
      </c>
      <c r="W48" s="1225">
        <f t="shared" si="3"/>
        <v>0</v>
      </c>
      <c r="X48" s="1225"/>
      <c r="Y48" s="1225"/>
    </row>
    <row r="49" spans="1:787" s="1221" customFormat="1" ht="13" hidden="1" outlineLevel="3">
      <c r="B49" s="1433" t="s">
        <v>3287</v>
      </c>
      <c r="C49" s="1434"/>
      <c r="D49" s="1434" t="s">
        <v>3288</v>
      </c>
      <c r="E49" s="1431"/>
      <c r="F49" s="1425" t="s">
        <v>3269</v>
      </c>
      <c r="G49" s="1431" t="s">
        <v>4180</v>
      </c>
      <c r="H49" s="1426"/>
      <c r="I49" s="1426"/>
      <c r="J49" s="1437"/>
      <c r="K49" s="1437"/>
      <c r="L49" s="1437"/>
      <c r="M49" s="1437"/>
      <c r="N49" s="1437"/>
      <c r="O49" s="1437"/>
      <c r="P49" s="1437"/>
      <c r="Q49" s="1437">
        <f>VLOOKUP(D49,'当期公摊测算表（全期）'!D:W,12,FALSE)</f>
        <v>3.8177370000000002</v>
      </c>
      <c r="R49" s="1172">
        <f t="shared" si="7"/>
        <v>3.8177370000000002</v>
      </c>
      <c r="S49" s="1437">
        <f>VLOOKUP($D49,'当期公摊测算表（全期）'!D:W,17,FALSE)</f>
        <v>0</v>
      </c>
      <c r="T49" s="1437">
        <f t="shared" si="8"/>
        <v>3.8177370000000002</v>
      </c>
      <c r="U49" s="1438"/>
      <c r="V49" s="1225">
        <f t="shared" si="2"/>
        <v>0</v>
      </c>
      <c r="W49" s="1225">
        <f t="shared" si="3"/>
        <v>0</v>
      </c>
      <c r="X49" s="1225"/>
      <c r="Y49" s="1225"/>
    </row>
    <row r="50" spans="1:787" s="1221" customFormat="1" ht="13" hidden="1" outlineLevel="3">
      <c r="B50" s="1433" t="s">
        <v>3289</v>
      </c>
      <c r="C50" s="1434"/>
      <c r="D50" s="1434" t="s">
        <v>1178</v>
      </c>
      <c r="E50" s="1431"/>
      <c r="F50" s="1425" t="s">
        <v>3269</v>
      </c>
      <c r="G50" s="1431" t="s">
        <v>4180</v>
      </c>
      <c r="H50" s="1426"/>
      <c r="I50" s="1426"/>
      <c r="J50" s="1437"/>
      <c r="K50" s="1437"/>
      <c r="L50" s="1437"/>
      <c r="M50" s="1437"/>
      <c r="N50" s="1437"/>
      <c r="O50" s="1437"/>
      <c r="P50" s="1437"/>
      <c r="Q50" s="1437">
        <f>VLOOKUP(D50,'当期公摊测算表（全期）'!D:W,12,FALSE)</f>
        <v>0</v>
      </c>
      <c r="R50" s="1172">
        <f t="shared" si="7"/>
        <v>0</v>
      </c>
      <c r="S50" s="1437">
        <f>VLOOKUP($D50,'当期公摊测算表（全期）'!D:W,17,FALSE)</f>
        <v>0</v>
      </c>
      <c r="T50" s="1437">
        <f t="shared" si="8"/>
        <v>0</v>
      </c>
      <c r="U50" s="1438"/>
      <c r="V50" s="1225">
        <f t="shared" si="2"/>
        <v>0</v>
      </c>
      <c r="W50" s="1225">
        <f t="shared" si="3"/>
        <v>0</v>
      </c>
      <c r="X50" s="1225"/>
      <c r="Y50" s="1225"/>
    </row>
    <row r="51" spans="1:787" s="1221" customFormat="1" ht="13" hidden="1" outlineLevel="3">
      <c r="B51" s="1433" t="s">
        <v>3290</v>
      </c>
      <c r="C51" s="1434"/>
      <c r="D51" s="1434" t="s">
        <v>1135</v>
      </c>
      <c r="E51" s="1431"/>
      <c r="F51" s="1425" t="s">
        <v>3269</v>
      </c>
      <c r="G51" s="1431" t="s">
        <v>4180</v>
      </c>
      <c r="H51" s="1426"/>
      <c r="I51" s="1426"/>
      <c r="J51" s="1437"/>
      <c r="K51" s="1437"/>
      <c r="L51" s="1437"/>
      <c r="M51" s="1437"/>
      <c r="N51" s="1437"/>
      <c r="O51" s="1437"/>
      <c r="P51" s="1437"/>
      <c r="Q51" s="1437">
        <f>VLOOKUP(D51,'当期公摊测算表（全期）'!D:W,12,FALSE)</f>
        <v>0</v>
      </c>
      <c r="R51" s="1172">
        <f t="shared" si="7"/>
        <v>0</v>
      </c>
      <c r="S51" s="1437">
        <f>VLOOKUP($D51,'当期公摊测算表（全期）'!D:W,17,FALSE)</f>
        <v>0</v>
      </c>
      <c r="T51" s="1437">
        <f t="shared" si="8"/>
        <v>0</v>
      </c>
      <c r="U51" s="1438"/>
      <c r="V51" s="1225">
        <f t="shared" si="2"/>
        <v>0</v>
      </c>
      <c r="W51" s="1225">
        <f t="shared" si="3"/>
        <v>0</v>
      </c>
      <c r="X51" s="1225"/>
      <c r="Y51" s="1225"/>
    </row>
    <row r="52" spans="1:787" s="1221" customFormat="1" ht="13" hidden="1" outlineLevel="3">
      <c r="B52" s="1433" t="s">
        <v>3291</v>
      </c>
      <c r="C52" s="1434"/>
      <c r="D52" s="1434" t="s">
        <v>3292</v>
      </c>
      <c r="E52" s="1431"/>
      <c r="F52" s="1425" t="s">
        <v>3269</v>
      </c>
      <c r="G52" s="1431" t="s">
        <v>4180</v>
      </c>
      <c r="H52" s="1426"/>
      <c r="I52" s="1426"/>
      <c r="J52" s="1437"/>
      <c r="K52" s="1437"/>
      <c r="L52" s="1437"/>
      <c r="M52" s="1437"/>
      <c r="N52" s="1437"/>
      <c r="O52" s="1437"/>
      <c r="P52" s="1437"/>
      <c r="Q52" s="1437">
        <f>VLOOKUP(D52,'当期公摊测算表（全期）'!D:W,12,FALSE)</f>
        <v>0</v>
      </c>
      <c r="R52" s="1172">
        <f t="shared" si="7"/>
        <v>0</v>
      </c>
      <c r="S52" s="1437">
        <f>VLOOKUP($D52,'当期公摊测算表（全期）'!D:W,17,FALSE)</f>
        <v>0</v>
      </c>
      <c r="T52" s="1437">
        <f t="shared" si="8"/>
        <v>0</v>
      </c>
      <c r="U52" s="1438"/>
      <c r="V52" s="1225">
        <f t="shared" si="2"/>
        <v>0</v>
      </c>
      <c r="W52" s="1225">
        <f t="shared" si="3"/>
        <v>0</v>
      </c>
      <c r="X52" s="1225"/>
      <c r="Y52" s="1225"/>
    </row>
    <row r="53" spans="1:787" s="1221" customFormat="1" ht="13" hidden="1" outlineLevel="3">
      <c r="B53" s="1433" t="s">
        <v>3293</v>
      </c>
      <c r="C53" s="1434"/>
      <c r="D53" s="1434" t="s">
        <v>3294</v>
      </c>
      <c r="E53" s="1431"/>
      <c r="F53" s="1425" t="s">
        <v>3269</v>
      </c>
      <c r="G53" s="1431" t="s">
        <v>4180</v>
      </c>
      <c r="H53" s="1426"/>
      <c r="I53" s="1426"/>
      <c r="J53" s="1437"/>
      <c r="K53" s="1437"/>
      <c r="L53" s="1437"/>
      <c r="M53" s="1437"/>
      <c r="N53" s="1437"/>
      <c r="O53" s="1437"/>
      <c r="P53" s="1437"/>
      <c r="Q53" s="1437">
        <f>VLOOKUP(D53,'当期公摊测算表（全期）'!D:W,12,FALSE)</f>
        <v>15.682392</v>
      </c>
      <c r="R53" s="1172">
        <f t="shared" si="7"/>
        <v>15.682392</v>
      </c>
      <c r="S53" s="1437">
        <f>VLOOKUP($D53,'当期公摊测算表（全期）'!D:W,17,FALSE)</f>
        <v>0</v>
      </c>
      <c r="T53" s="1437">
        <f t="shared" si="8"/>
        <v>15.682392</v>
      </c>
      <c r="U53" s="1438"/>
      <c r="V53" s="1225">
        <f t="shared" si="2"/>
        <v>0</v>
      </c>
      <c r="W53" s="1225">
        <f t="shared" si="3"/>
        <v>0</v>
      </c>
      <c r="X53" s="1225"/>
      <c r="Y53" s="1225"/>
    </row>
    <row r="54" spans="1:787" s="1221" customFormat="1" ht="13" hidden="1" outlineLevel="3">
      <c r="B54" s="1433" t="s">
        <v>3295</v>
      </c>
      <c r="C54" s="1434"/>
      <c r="D54" s="1434" t="s">
        <v>1172</v>
      </c>
      <c r="E54" s="1431"/>
      <c r="F54" s="1425" t="s">
        <v>3269</v>
      </c>
      <c r="G54" s="1431" t="s">
        <v>4180</v>
      </c>
      <c r="H54" s="1426"/>
      <c r="I54" s="1426"/>
      <c r="J54" s="1437"/>
      <c r="K54" s="1437"/>
      <c r="L54" s="1437"/>
      <c r="M54" s="1437"/>
      <c r="N54" s="1437"/>
      <c r="O54" s="1437"/>
      <c r="P54" s="1437"/>
      <c r="Q54" s="1437">
        <f>VLOOKUP(D54,'当期公摊测算表（全期）'!D:W,12,FALSE)</f>
        <v>0</v>
      </c>
      <c r="R54" s="1172">
        <f t="shared" si="7"/>
        <v>0</v>
      </c>
      <c r="S54" s="1437">
        <f>VLOOKUP($D54,'当期公摊测算表（全期）'!D:W,17,FALSE)</f>
        <v>0</v>
      </c>
      <c r="T54" s="1437">
        <f t="shared" si="8"/>
        <v>0</v>
      </c>
      <c r="U54" s="1438"/>
      <c r="V54" s="1225">
        <f t="shared" si="2"/>
        <v>0</v>
      </c>
      <c r="W54" s="1225">
        <f t="shared" si="3"/>
        <v>0</v>
      </c>
      <c r="X54" s="1225"/>
      <c r="Y54" s="1225"/>
    </row>
    <row r="55" spans="1:787" s="1221" customFormat="1" ht="13" hidden="1" outlineLevel="3">
      <c r="B55" s="1433" t="s">
        <v>3296</v>
      </c>
      <c r="C55" s="1434"/>
      <c r="D55" s="1434" t="s">
        <v>3297</v>
      </c>
      <c r="E55" s="1431"/>
      <c r="F55" s="1425" t="s">
        <v>3269</v>
      </c>
      <c r="G55" s="1431" t="s">
        <v>4180</v>
      </c>
      <c r="H55" s="1426"/>
      <c r="I55" s="1426"/>
      <c r="J55" s="1437"/>
      <c r="K55" s="1437"/>
      <c r="L55" s="1437"/>
      <c r="M55" s="1437"/>
      <c r="N55" s="1437"/>
      <c r="O55" s="1437"/>
      <c r="P55" s="1437"/>
      <c r="Q55" s="1437">
        <f>VLOOKUP(D55,'当期公摊测算表（全期）'!D:W,12,FALSE)</f>
        <v>12.467212</v>
      </c>
      <c r="R55" s="1172">
        <f t="shared" si="7"/>
        <v>12.467212</v>
      </c>
      <c r="S55" s="1437">
        <f>VLOOKUP($D55,'当期公摊测算表（全期）'!D:W,17,FALSE)</f>
        <v>0</v>
      </c>
      <c r="T55" s="1437">
        <f t="shared" si="8"/>
        <v>12.467212</v>
      </c>
      <c r="U55" s="1438"/>
      <c r="V55" s="1225">
        <f t="shared" si="2"/>
        <v>0</v>
      </c>
      <c r="W55" s="1225">
        <f t="shared" si="3"/>
        <v>0</v>
      </c>
      <c r="X55" s="1225"/>
      <c r="Y55" s="1225"/>
    </row>
    <row r="56" spans="1:787" s="1221" customFormat="1" ht="13" hidden="1" outlineLevel="3">
      <c r="B56" s="1433" t="s">
        <v>3298</v>
      </c>
      <c r="C56" s="1434"/>
      <c r="D56" s="1434" t="s">
        <v>3299</v>
      </c>
      <c r="E56" s="1431"/>
      <c r="F56" s="1425" t="s">
        <v>3269</v>
      </c>
      <c r="G56" s="1431" t="s">
        <v>4180</v>
      </c>
      <c r="H56" s="1426"/>
      <c r="I56" s="1426"/>
      <c r="J56" s="1437"/>
      <c r="K56" s="1437"/>
      <c r="L56" s="1437"/>
      <c r="M56" s="1437"/>
      <c r="N56" s="1437"/>
      <c r="O56" s="1437"/>
      <c r="P56" s="1437"/>
      <c r="Q56" s="1437">
        <f>VLOOKUP(D56,'当期公摊测算表（全期）'!D:W,12,FALSE)</f>
        <v>10.666392999999999</v>
      </c>
      <c r="R56" s="1172">
        <f t="shared" si="7"/>
        <v>10.666392999999999</v>
      </c>
      <c r="S56" s="1437">
        <f>VLOOKUP($D56,'当期公摊测算表（全期）'!D:W,17,FALSE)</f>
        <v>0</v>
      </c>
      <c r="T56" s="1437">
        <f t="shared" si="8"/>
        <v>10.666392999999999</v>
      </c>
      <c r="U56" s="1438"/>
      <c r="V56" s="1225">
        <f t="shared" si="2"/>
        <v>0</v>
      </c>
      <c r="W56" s="1225">
        <f t="shared" si="3"/>
        <v>0</v>
      </c>
      <c r="X56" s="1225"/>
      <c r="Y56" s="1225"/>
    </row>
    <row r="57" spans="1:787" s="1221" customFormat="1" ht="13.75" hidden="1" customHeight="1" outlineLevel="3">
      <c r="B57" s="1433" t="s">
        <v>3300</v>
      </c>
      <c r="C57" s="1434"/>
      <c r="D57" s="1434" t="s">
        <v>3301</v>
      </c>
      <c r="E57" s="1431"/>
      <c r="F57" s="1425" t="s">
        <v>3269</v>
      </c>
      <c r="G57" s="1431" t="s">
        <v>4180</v>
      </c>
      <c r="H57" s="1426"/>
      <c r="I57" s="1426"/>
      <c r="J57" s="1437"/>
      <c r="K57" s="1437"/>
      <c r="L57" s="1437"/>
      <c r="M57" s="1437"/>
      <c r="N57" s="1437"/>
      <c r="O57" s="1437"/>
      <c r="P57" s="1437"/>
      <c r="Q57" s="1437">
        <f>VLOOKUP(D57,'当期公摊测算表（全期）'!D:W,12,FALSE)</f>
        <v>0</v>
      </c>
      <c r="R57" s="1172">
        <f t="shared" si="7"/>
        <v>0</v>
      </c>
      <c r="S57" s="1437">
        <f>VLOOKUP($D57,'当期公摊测算表（全期）'!D:W,17,FALSE)</f>
        <v>0</v>
      </c>
      <c r="T57" s="1437">
        <f t="shared" si="8"/>
        <v>0</v>
      </c>
      <c r="U57" s="1438"/>
      <c r="V57" s="1225">
        <f t="shared" si="2"/>
        <v>0</v>
      </c>
      <c r="W57" s="1225">
        <f t="shared" si="3"/>
        <v>0</v>
      </c>
      <c r="X57" s="1225"/>
      <c r="Y57" s="1225"/>
    </row>
    <row r="58" spans="1:787" s="1221" customFormat="1" ht="13" hidden="1" outlineLevel="3">
      <c r="B58" s="1433" t="s">
        <v>3302</v>
      </c>
      <c r="C58" s="1434"/>
      <c r="D58" s="1434" t="s">
        <v>3303</v>
      </c>
      <c r="E58" s="1431"/>
      <c r="F58" s="1425" t="s">
        <v>3269</v>
      </c>
      <c r="G58" s="1431" t="s">
        <v>4180</v>
      </c>
      <c r="H58" s="1426"/>
      <c r="I58" s="1426"/>
      <c r="J58" s="1437"/>
      <c r="K58" s="1437"/>
      <c r="L58" s="1437"/>
      <c r="M58" s="1437"/>
      <c r="N58" s="1437"/>
      <c r="O58" s="1437"/>
      <c r="P58" s="1437"/>
      <c r="Q58" s="1437">
        <f>VLOOKUP(D58,'当期公摊测算表（全期）'!D:W,12,FALSE)</f>
        <v>0</v>
      </c>
      <c r="R58" s="1172">
        <f t="shared" si="7"/>
        <v>0</v>
      </c>
      <c r="S58" s="1437">
        <f>VLOOKUP($D58,'当期公摊测算表（全期）'!D:W,17,FALSE)</f>
        <v>0</v>
      </c>
      <c r="T58" s="1437">
        <f t="shared" si="8"/>
        <v>0</v>
      </c>
      <c r="U58" s="1438"/>
      <c r="V58" s="1225">
        <f t="shared" si="2"/>
        <v>0</v>
      </c>
      <c r="W58" s="1225">
        <f t="shared" si="3"/>
        <v>0</v>
      </c>
      <c r="X58" s="1225"/>
      <c r="Y58" s="1225"/>
    </row>
    <row r="59" spans="1:787" s="1221" customFormat="1" ht="13" hidden="1" outlineLevel="3">
      <c r="B59" s="1433" t="s">
        <v>3304</v>
      </c>
      <c r="C59" s="1434"/>
      <c r="D59" s="1434" t="s">
        <v>3305</v>
      </c>
      <c r="E59" s="1431"/>
      <c r="F59" s="1425" t="s">
        <v>3269</v>
      </c>
      <c r="G59" s="1431" t="s">
        <v>4180</v>
      </c>
      <c r="H59" s="1426"/>
      <c r="I59" s="1426"/>
      <c r="J59" s="1437"/>
      <c r="K59" s="1437"/>
      <c r="L59" s="1437"/>
      <c r="M59" s="1437"/>
      <c r="N59" s="1437"/>
      <c r="O59" s="1437"/>
      <c r="P59" s="1437"/>
      <c r="Q59" s="1437">
        <f>VLOOKUP(D59,'当期公摊测算表（全期）'!D:W,12,FALSE)</f>
        <v>225.627591</v>
      </c>
      <c r="R59" s="1172">
        <f t="shared" si="7"/>
        <v>225.627591</v>
      </c>
      <c r="S59" s="1437">
        <f>VLOOKUP($D59,'当期公摊测算表（全期）'!D:W,17,FALSE)</f>
        <v>185.08353802817055</v>
      </c>
      <c r="T59" s="1437">
        <f t="shared" si="8"/>
        <v>410.71112902817055</v>
      </c>
      <c r="U59" s="1438"/>
      <c r="V59" s="1225">
        <f t="shared" si="2"/>
        <v>0</v>
      </c>
      <c r="W59" s="1225">
        <f t="shared" si="3"/>
        <v>185.08353802817055</v>
      </c>
      <c r="X59" s="1225"/>
      <c r="Y59" s="1225"/>
    </row>
    <row r="60" spans="1:787" s="1247" customFormat="1" ht="13" hidden="1" outlineLevel="2">
      <c r="B60" s="1422" t="s">
        <v>3306</v>
      </c>
      <c r="C60" s="1423"/>
      <c r="D60" s="1423" t="s">
        <v>1211</v>
      </c>
      <c r="E60" s="1424"/>
      <c r="F60" s="1425"/>
      <c r="G60" s="1431" t="s">
        <v>4117</v>
      </c>
      <c r="H60" s="1424"/>
      <c r="I60" s="1424"/>
      <c r="J60" s="1427"/>
      <c r="K60" s="1427"/>
      <c r="L60" s="1427"/>
      <c r="M60" s="1427"/>
      <c r="N60" s="1427"/>
      <c r="O60" s="1427"/>
      <c r="P60" s="1427"/>
      <c r="Q60" s="1427">
        <f>SUBTOTAL(9,Q61:Q63)</f>
        <v>1215.9687630000001</v>
      </c>
      <c r="R60" s="1427">
        <f>SUBTOTAL(9,R61:R63)</f>
        <v>1215.9687630000001</v>
      </c>
      <c r="S60" s="1427">
        <f>SUBTOTAL(9,S61:S63)</f>
        <v>0</v>
      </c>
      <c r="T60" s="1427">
        <f>SUBTOTAL(9,T61:T63)</f>
        <v>1215.9687630000001</v>
      </c>
      <c r="U60" s="1429"/>
      <c r="V60" s="1225">
        <f t="shared" si="2"/>
        <v>0</v>
      </c>
      <c r="W60" s="1225">
        <f t="shared" si="3"/>
        <v>0</v>
      </c>
      <c r="X60" s="1225"/>
      <c r="Y60" s="1225"/>
    </row>
    <row r="61" spans="1:787" s="1221" customFormat="1" ht="13" hidden="1" outlineLevel="3">
      <c r="B61" s="1433" t="s">
        <v>3307</v>
      </c>
      <c r="C61" s="1434"/>
      <c r="D61" s="1434" t="s">
        <v>447</v>
      </c>
      <c r="E61" s="1431"/>
      <c r="F61" s="1425" t="s">
        <v>1211</v>
      </c>
      <c r="G61" s="1431" t="s">
        <v>4181</v>
      </c>
      <c r="H61" s="1426"/>
      <c r="I61" s="1426"/>
      <c r="J61" s="1437"/>
      <c r="K61" s="1437"/>
      <c r="L61" s="1437"/>
      <c r="M61" s="1437"/>
      <c r="N61" s="1437"/>
      <c r="O61" s="1437"/>
      <c r="P61" s="1437"/>
      <c r="Q61" s="1437">
        <f>VLOOKUP(D61,'当期公摊测算表（全期）'!D:W,12,FALSE)</f>
        <v>0</v>
      </c>
      <c r="R61" s="1172">
        <f t="shared" si="7"/>
        <v>0</v>
      </c>
      <c r="S61" s="1437">
        <f>VLOOKUP($D61,'当期公摊测算表（全期）'!D:W,17,FALSE)</f>
        <v>0</v>
      </c>
      <c r="T61" s="1437">
        <f t="shared" si="8"/>
        <v>0</v>
      </c>
      <c r="U61" s="1438"/>
      <c r="V61" s="1225">
        <f t="shared" si="2"/>
        <v>0</v>
      </c>
      <c r="W61" s="1225">
        <f t="shared" si="3"/>
        <v>0</v>
      </c>
      <c r="X61" s="1225"/>
      <c r="Y61" s="1225"/>
    </row>
    <row r="62" spans="1:787" s="1221" customFormat="1" ht="13" hidden="1" outlineLevel="3">
      <c r="B62" s="1433" t="s">
        <v>3308</v>
      </c>
      <c r="C62" s="1434"/>
      <c r="D62" s="1434" t="s">
        <v>448</v>
      </c>
      <c r="E62" s="1431"/>
      <c r="F62" s="1425" t="s">
        <v>1211</v>
      </c>
      <c r="G62" s="1431" t="s">
        <v>4181</v>
      </c>
      <c r="H62" s="1426"/>
      <c r="I62" s="1426"/>
      <c r="J62" s="1437"/>
      <c r="K62" s="1437"/>
      <c r="L62" s="1437"/>
      <c r="M62" s="1437"/>
      <c r="N62" s="1437"/>
      <c r="O62" s="1437"/>
      <c r="P62" s="1437"/>
      <c r="Q62" s="1437">
        <f>VLOOKUP(D62,'当期公摊测算表（全期）'!D:W,12,FALSE)</f>
        <v>1215.9687630000001</v>
      </c>
      <c r="R62" s="1172">
        <f t="shared" si="7"/>
        <v>1215.9687630000001</v>
      </c>
      <c r="S62" s="1437">
        <f>VLOOKUP($D62,'当期公摊测算表（全期）'!D:W,17,FALSE)</f>
        <v>0</v>
      </c>
      <c r="T62" s="1437">
        <f t="shared" si="8"/>
        <v>1215.9687630000001</v>
      </c>
      <c r="U62" s="1438"/>
      <c r="V62" s="1225">
        <f t="shared" si="2"/>
        <v>0</v>
      </c>
      <c r="W62" s="1225">
        <f t="shared" si="3"/>
        <v>0</v>
      </c>
      <c r="X62" s="1225"/>
      <c r="Y62" s="1225"/>
    </row>
    <row r="63" spans="1:787" s="1221" customFormat="1" ht="13" hidden="1" outlineLevel="3">
      <c r="B63" s="1433" t="s">
        <v>3309</v>
      </c>
      <c r="C63" s="1434"/>
      <c r="D63" s="1434" t="s">
        <v>449</v>
      </c>
      <c r="E63" s="1431"/>
      <c r="F63" s="1425" t="s">
        <v>1211</v>
      </c>
      <c r="G63" s="1431" t="s">
        <v>4181</v>
      </c>
      <c r="H63" s="1426"/>
      <c r="I63" s="1426"/>
      <c r="J63" s="1437"/>
      <c r="K63" s="1437"/>
      <c r="L63" s="1437"/>
      <c r="M63" s="1437"/>
      <c r="N63" s="1437"/>
      <c r="O63" s="1437"/>
      <c r="P63" s="1437"/>
      <c r="Q63" s="1437">
        <f>VLOOKUP(D63,'当期公摊测算表（全期）'!D:W,12,FALSE)</f>
        <v>0</v>
      </c>
      <c r="R63" s="1172">
        <f t="shared" si="7"/>
        <v>0</v>
      </c>
      <c r="S63" s="1437">
        <f>VLOOKUP($D63,'当期公摊测算表（全期）'!D:W,17,FALSE)</f>
        <v>0</v>
      </c>
      <c r="T63" s="1437">
        <f t="shared" si="8"/>
        <v>0</v>
      </c>
      <c r="U63" s="1438"/>
      <c r="V63" s="1225">
        <f t="shared" si="2"/>
        <v>0</v>
      </c>
      <c r="W63" s="1225">
        <f t="shared" si="3"/>
        <v>0</v>
      </c>
      <c r="X63" s="1225"/>
      <c r="Y63" s="1225"/>
    </row>
    <row r="64" spans="1:787" s="1412" customFormat="1" ht="13" collapsed="1">
      <c r="A64" s="1247"/>
      <c r="B64" s="1403" t="s">
        <v>3310</v>
      </c>
      <c r="C64" s="1404"/>
      <c r="D64" s="1404" t="s">
        <v>480</v>
      </c>
      <c r="E64" s="1405"/>
      <c r="F64" s="1406"/>
      <c r="G64" s="1407" t="s">
        <v>4117</v>
      </c>
      <c r="H64" s="1408">
        <f>SUBTOTAL(9,H65:H96)</f>
        <v>0</v>
      </c>
      <c r="I64" s="1408">
        <f t="shared" ref="I64:T64" si="9">SUBTOTAL(9,I65:I96)</f>
        <v>0</v>
      </c>
      <c r="J64" s="1409">
        <f t="shared" si="9"/>
        <v>0</v>
      </c>
      <c r="K64" s="1409">
        <f t="shared" si="9"/>
        <v>0</v>
      </c>
      <c r="L64" s="1409">
        <f t="shared" si="9"/>
        <v>0</v>
      </c>
      <c r="M64" s="1409">
        <f t="shared" si="9"/>
        <v>0</v>
      </c>
      <c r="N64" s="1409">
        <f t="shared" si="9"/>
        <v>159.96082000000001</v>
      </c>
      <c r="O64" s="1409">
        <f t="shared" si="9"/>
        <v>0</v>
      </c>
      <c r="P64" s="1409">
        <f t="shared" si="9"/>
        <v>0</v>
      </c>
      <c r="Q64" s="1410">
        <f t="shared" si="9"/>
        <v>1766.4063649999998</v>
      </c>
      <c r="R64" s="1410">
        <f t="shared" si="9"/>
        <v>1926.3671850000001</v>
      </c>
      <c r="S64" s="1410">
        <f t="shared" si="9"/>
        <v>0</v>
      </c>
      <c r="T64" s="1410">
        <f t="shared" si="9"/>
        <v>1926.3671850000001</v>
      </c>
      <c r="U64" s="1411"/>
      <c r="V64" s="1225">
        <f t="shared" si="2"/>
        <v>-2.2737367544323206E-13</v>
      </c>
      <c r="W64" s="1225">
        <f t="shared" si="3"/>
        <v>0</v>
      </c>
      <c r="X64" s="1225">
        <f>T64+车位!O209*车位!K4+人防车位!O209*人防车位!K4-'成本汇总（分摊）'!BJ11</f>
        <v>-398.64919539301991</v>
      </c>
      <c r="Y64" s="1225"/>
      <c r="Z64" s="1247"/>
      <c r="AA64" s="1247"/>
      <c r="AB64" s="1247"/>
      <c r="AC64" s="1247"/>
      <c r="AD64" s="1247"/>
      <c r="AE64" s="1247"/>
      <c r="AF64" s="1247"/>
      <c r="AG64" s="1247"/>
      <c r="AH64" s="1247"/>
      <c r="AI64" s="1247"/>
      <c r="AJ64" s="1247"/>
      <c r="AK64" s="1247"/>
      <c r="AL64" s="1247"/>
      <c r="AM64" s="1247"/>
      <c r="AN64" s="1247"/>
      <c r="AO64" s="1247"/>
      <c r="AP64" s="1247"/>
      <c r="AQ64" s="1247"/>
      <c r="AR64" s="1247"/>
      <c r="AS64" s="1247"/>
      <c r="AT64" s="1247"/>
      <c r="AU64" s="1247"/>
      <c r="AV64" s="1247"/>
      <c r="AW64" s="1247"/>
      <c r="AX64" s="1247"/>
      <c r="AY64" s="1247"/>
      <c r="AZ64" s="1247"/>
      <c r="BA64" s="1247"/>
      <c r="BB64" s="1247"/>
      <c r="BC64" s="1247"/>
      <c r="BD64" s="1247"/>
      <c r="BE64" s="1247"/>
      <c r="BF64" s="1247"/>
      <c r="BG64" s="1247"/>
      <c r="BH64" s="1247"/>
      <c r="BI64" s="1247"/>
      <c r="BJ64" s="1247"/>
      <c r="BK64" s="1247"/>
      <c r="BL64" s="1247"/>
      <c r="BM64" s="1247"/>
      <c r="BN64" s="1247"/>
      <c r="BO64" s="1247"/>
      <c r="BP64" s="1247"/>
      <c r="BQ64" s="1247"/>
      <c r="BR64" s="1247"/>
      <c r="BS64" s="1247"/>
      <c r="BT64" s="1247"/>
      <c r="BU64" s="1247"/>
      <c r="BV64" s="1247"/>
      <c r="BW64" s="1247"/>
      <c r="BX64" s="1247"/>
      <c r="BY64" s="1247"/>
      <c r="BZ64" s="1247"/>
      <c r="CA64" s="1247"/>
      <c r="CB64" s="1247"/>
      <c r="CC64" s="1247"/>
      <c r="CD64" s="1247"/>
      <c r="CE64" s="1247"/>
      <c r="CF64" s="1247"/>
      <c r="CG64" s="1247"/>
      <c r="CH64" s="1247"/>
      <c r="CI64" s="1247"/>
      <c r="CJ64" s="1247"/>
      <c r="CK64" s="1247"/>
      <c r="CL64" s="1247"/>
      <c r="CM64" s="1247"/>
      <c r="CN64" s="1247"/>
      <c r="CO64" s="1247"/>
      <c r="CP64" s="1247"/>
      <c r="CQ64" s="1247"/>
      <c r="CR64" s="1247"/>
      <c r="CS64" s="1247"/>
      <c r="CT64" s="1247"/>
      <c r="CU64" s="1247"/>
      <c r="CV64" s="1247"/>
      <c r="CW64" s="1247"/>
      <c r="CX64" s="1247"/>
      <c r="CY64" s="1247"/>
      <c r="CZ64" s="1247"/>
      <c r="DA64" s="1247"/>
      <c r="DB64" s="1247"/>
      <c r="DC64" s="1247"/>
      <c r="DD64" s="1247"/>
      <c r="DE64" s="1247"/>
      <c r="DF64" s="1247"/>
      <c r="DG64" s="1247"/>
      <c r="DH64" s="1247"/>
      <c r="DI64" s="1247"/>
      <c r="DJ64" s="1247"/>
      <c r="DK64" s="1247"/>
      <c r="DL64" s="1247"/>
      <c r="DM64" s="1247"/>
      <c r="DN64" s="1247"/>
      <c r="DO64" s="1247"/>
      <c r="DP64" s="1247"/>
      <c r="DQ64" s="1247"/>
      <c r="DR64" s="1247"/>
      <c r="DS64" s="1247"/>
      <c r="DT64" s="1247"/>
      <c r="DU64" s="1247"/>
      <c r="DV64" s="1247"/>
      <c r="DW64" s="1247"/>
      <c r="DX64" s="1247"/>
      <c r="DY64" s="1247"/>
      <c r="DZ64" s="1247"/>
      <c r="EA64" s="1247"/>
      <c r="EB64" s="1247"/>
      <c r="EC64" s="1247"/>
      <c r="ED64" s="1247"/>
      <c r="EE64" s="1247"/>
      <c r="EF64" s="1247"/>
      <c r="EG64" s="1247"/>
      <c r="EH64" s="1247"/>
      <c r="EI64" s="1247"/>
      <c r="EJ64" s="1247"/>
      <c r="EK64" s="1247"/>
      <c r="EL64" s="1247"/>
      <c r="EM64" s="1247"/>
      <c r="EN64" s="1247"/>
      <c r="EO64" s="1247"/>
      <c r="EP64" s="1247"/>
      <c r="EQ64" s="1247"/>
      <c r="ER64" s="1247"/>
      <c r="ES64" s="1247"/>
      <c r="ET64" s="1247"/>
      <c r="EU64" s="1247"/>
      <c r="EV64" s="1247"/>
      <c r="EW64" s="1247"/>
      <c r="EX64" s="1247"/>
      <c r="EY64" s="1247"/>
      <c r="EZ64" s="1247"/>
      <c r="FA64" s="1247"/>
      <c r="FB64" s="1247"/>
      <c r="FC64" s="1247"/>
      <c r="FD64" s="1247"/>
      <c r="FE64" s="1247"/>
      <c r="FF64" s="1247"/>
      <c r="FG64" s="1247"/>
      <c r="FH64" s="1247"/>
      <c r="FI64" s="1247"/>
      <c r="FJ64" s="1247"/>
      <c r="FK64" s="1247"/>
      <c r="FL64" s="1247"/>
      <c r="FM64" s="1247"/>
      <c r="FN64" s="1247"/>
      <c r="FO64" s="1247"/>
      <c r="FP64" s="1247"/>
      <c r="FQ64" s="1247"/>
      <c r="FR64" s="1247"/>
      <c r="FS64" s="1247"/>
      <c r="FT64" s="1247"/>
      <c r="FU64" s="1247"/>
      <c r="FV64" s="1247"/>
      <c r="FW64" s="1247"/>
      <c r="FX64" s="1247"/>
      <c r="FY64" s="1247"/>
      <c r="FZ64" s="1247"/>
      <c r="GA64" s="1247"/>
      <c r="GB64" s="1247"/>
      <c r="GC64" s="1247"/>
      <c r="GD64" s="1247"/>
      <c r="GE64" s="1247"/>
      <c r="GF64" s="1247"/>
      <c r="GG64" s="1247"/>
      <c r="GH64" s="1247"/>
      <c r="GI64" s="1247"/>
      <c r="GJ64" s="1247"/>
      <c r="GK64" s="1247"/>
      <c r="GL64" s="1247"/>
      <c r="GM64" s="1247"/>
      <c r="GN64" s="1247"/>
      <c r="GO64" s="1247"/>
      <c r="GP64" s="1247"/>
      <c r="GQ64" s="1247"/>
      <c r="GR64" s="1247"/>
      <c r="GS64" s="1247"/>
      <c r="GT64" s="1247"/>
      <c r="GU64" s="1247"/>
      <c r="GV64" s="1247"/>
      <c r="GW64" s="1247"/>
      <c r="GX64" s="1247"/>
      <c r="GY64" s="1247"/>
      <c r="GZ64" s="1247"/>
      <c r="HA64" s="1247"/>
      <c r="HB64" s="1247"/>
      <c r="HC64" s="1247"/>
      <c r="HD64" s="1247"/>
      <c r="HE64" s="1247"/>
      <c r="HF64" s="1247"/>
      <c r="HG64" s="1247"/>
      <c r="HH64" s="1247"/>
      <c r="HI64" s="1247"/>
      <c r="HJ64" s="1247"/>
      <c r="HK64" s="1247"/>
      <c r="HL64" s="1247"/>
      <c r="HM64" s="1247"/>
      <c r="HN64" s="1247"/>
      <c r="HO64" s="1247"/>
      <c r="HP64" s="1247"/>
      <c r="HQ64" s="1247"/>
      <c r="HR64" s="1247"/>
      <c r="HS64" s="1247"/>
      <c r="HT64" s="1247"/>
      <c r="HU64" s="1247"/>
      <c r="HV64" s="1247"/>
      <c r="HW64" s="1247"/>
      <c r="HX64" s="1247"/>
      <c r="HY64" s="1247"/>
      <c r="HZ64" s="1247"/>
      <c r="IA64" s="1247"/>
      <c r="IB64" s="1247"/>
      <c r="IC64" s="1247"/>
      <c r="ID64" s="1247"/>
      <c r="IE64" s="1247"/>
      <c r="IF64" s="1247"/>
      <c r="IG64" s="1247"/>
      <c r="IH64" s="1247"/>
      <c r="II64" s="1247"/>
      <c r="IJ64" s="1247"/>
      <c r="IK64" s="1247"/>
      <c r="IL64" s="1247"/>
      <c r="IM64" s="1247"/>
      <c r="IN64" s="1247"/>
      <c r="IO64" s="1247"/>
      <c r="IP64" s="1247"/>
      <c r="IQ64" s="1247"/>
      <c r="IR64" s="1247"/>
      <c r="IS64" s="1247"/>
      <c r="IT64" s="1247"/>
      <c r="IU64" s="1247"/>
      <c r="IV64" s="1247"/>
      <c r="IW64" s="1247"/>
      <c r="IX64" s="1247"/>
      <c r="IY64" s="1247"/>
      <c r="IZ64" s="1247"/>
      <c r="JA64" s="1247"/>
      <c r="JB64" s="1247"/>
      <c r="JC64" s="1247"/>
      <c r="JD64" s="1247"/>
      <c r="JE64" s="1247"/>
      <c r="JF64" s="1247"/>
      <c r="JG64" s="1247"/>
      <c r="JH64" s="1247"/>
      <c r="JI64" s="1247"/>
      <c r="JJ64" s="1247"/>
      <c r="JK64" s="1247"/>
      <c r="JL64" s="1247"/>
      <c r="JM64" s="1247"/>
      <c r="JN64" s="1247"/>
      <c r="JO64" s="1247"/>
      <c r="JP64" s="1247"/>
      <c r="JQ64" s="1247"/>
      <c r="JR64" s="1247"/>
      <c r="JS64" s="1247"/>
      <c r="JT64" s="1247"/>
      <c r="JU64" s="1247"/>
      <c r="JV64" s="1247"/>
      <c r="JW64" s="1247"/>
      <c r="JX64" s="1247"/>
      <c r="JY64" s="1247"/>
      <c r="JZ64" s="1247"/>
      <c r="KA64" s="1247"/>
      <c r="KB64" s="1247"/>
      <c r="KC64" s="1247"/>
      <c r="KD64" s="1247"/>
      <c r="KE64" s="1247"/>
      <c r="KF64" s="1247"/>
      <c r="KG64" s="1247"/>
      <c r="KH64" s="1247"/>
      <c r="KI64" s="1247"/>
      <c r="KJ64" s="1247"/>
      <c r="KK64" s="1247"/>
      <c r="KL64" s="1247"/>
      <c r="KM64" s="1247"/>
      <c r="KN64" s="1247"/>
      <c r="KO64" s="1247"/>
      <c r="KP64" s="1247"/>
      <c r="KQ64" s="1247"/>
      <c r="KR64" s="1247"/>
      <c r="KS64" s="1247"/>
      <c r="KT64" s="1247"/>
      <c r="KU64" s="1247"/>
      <c r="KV64" s="1247"/>
      <c r="KW64" s="1247"/>
      <c r="KX64" s="1247"/>
      <c r="KY64" s="1247"/>
      <c r="KZ64" s="1247"/>
      <c r="LA64" s="1247"/>
      <c r="LB64" s="1247"/>
      <c r="LC64" s="1247"/>
      <c r="LD64" s="1247"/>
      <c r="LE64" s="1247"/>
      <c r="LF64" s="1247"/>
      <c r="LG64" s="1247"/>
      <c r="LH64" s="1247"/>
      <c r="LI64" s="1247"/>
      <c r="LJ64" s="1247"/>
      <c r="LK64" s="1247"/>
      <c r="LL64" s="1247"/>
      <c r="LM64" s="1247"/>
      <c r="LN64" s="1247"/>
      <c r="LO64" s="1247"/>
      <c r="LP64" s="1247"/>
      <c r="LQ64" s="1247"/>
      <c r="LR64" s="1247"/>
      <c r="LS64" s="1247"/>
      <c r="LT64" s="1247"/>
      <c r="LU64" s="1247"/>
      <c r="LV64" s="1247"/>
      <c r="LW64" s="1247"/>
      <c r="LX64" s="1247"/>
      <c r="LY64" s="1247"/>
      <c r="LZ64" s="1247"/>
      <c r="MA64" s="1247"/>
      <c r="MB64" s="1247"/>
      <c r="MC64" s="1247"/>
      <c r="MD64" s="1247"/>
      <c r="ME64" s="1247"/>
      <c r="MF64" s="1247"/>
      <c r="MG64" s="1247"/>
      <c r="MH64" s="1247"/>
      <c r="MI64" s="1247"/>
      <c r="MJ64" s="1247"/>
      <c r="MK64" s="1247"/>
      <c r="ML64" s="1247"/>
      <c r="MM64" s="1247"/>
      <c r="MN64" s="1247"/>
      <c r="MO64" s="1247"/>
      <c r="MP64" s="1247"/>
      <c r="MQ64" s="1247"/>
      <c r="MR64" s="1247"/>
      <c r="MS64" s="1247"/>
      <c r="MT64" s="1247"/>
      <c r="MU64" s="1247"/>
      <c r="MV64" s="1247"/>
      <c r="MW64" s="1247"/>
      <c r="MX64" s="1247"/>
      <c r="MY64" s="1247"/>
      <c r="MZ64" s="1247"/>
      <c r="NA64" s="1247"/>
      <c r="NB64" s="1247"/>
      <c r="NC64" s="1247"/>
      <c r="ND64" s="1247"/>
      <c r="NE64" s="1247"/>
      <c r="NF64" s="1247"/>
      <c r="NG64" s="1247"/>
      <c r="NH64" s="1247"/>
      <c r="NI64" s="1247"/>
      <c r="NJ64" s="1247"/>
      <c r="NK64" s="1247"/>
      <c r="NL64" s="1247"/>
      <c r="NM64" s="1247"/>
      <c r="NN64" s="1247"/>
      <c r="NO64" s="1247"/>
      <c r="NP64" s="1247"/>
      <c r="NQ64" s="1247"/>
      <c r="NR64" s="1247"/>
      <c r="NS64" s="1247"/>
      <c r="NT64" s="1247"/>
      <c r="NU64" s="1247"/>
      <c r="NV64" s="1247"/>
      <c r="NW64" s="1247"/>
      <c r="NX64" s="1247"/>
      <c r="NY64" s="1247"/>
      <c r="NZ64" s="1247"/>
      <c r="OA64" s="1247"/>
      <c r="OB64" s="1247"/>
      <c r="OC64" s="1247"/>
      <c r="OD64" s="1247"/>
      <c r="OE64" s="1247"/>
      <c r="OF64" s="1247"/>
      <c r="OG64" s="1247"/>
      <c r="OH64" s="1247"/>
      <c r="OI64" s="1247"/>
      <c r="OJ64" s="1247"/>
      <c r="OK64" s="1247"/>
      <c r="OL64" s="1247"/>
      <c r="OM64" s="1247"/>
      <c r="ON64" s="1247"/>
      <c r="OO64" s="1247"/>
      <c r="OP64" s="1247"/>
      <c r="OQ64" s="1247"/>
      <c r="OR64" s="1247"/>
      <c r="OS64" s="1247"/>
      <c r="OT64" s="1247"/>
      <c r="OU64" s="1247"/>
      <c r="OV64" s="1247"/>
      <c r="OW64" s="1247"/>
      <c r="OX64" s="1247"/>
      <c r="OY64" s="1247"/>
      <c r="OZ64" s="1247"/>
      <c r="PA64" s="1247"/>
      <c r="PB64" s="1247"/>
      <c r="PC64" s="1247"/>
      <c r="PD64" s="1247"/>
      <c r="PE64" s="1247"/>
      <c r="PF64" s="1247"/>
      <c r="PG64" s="1247"/>
      <c r="PH64" s="1247"/>
      <c r="PI64" s="1247"/>
      <c r="PJ64" s="1247"/>
      <c r="PK64" s="1247"/>
      <c r="PL64" s="1247"/>
      <c r="PM64" s="1247"/>
      <c r="PN64" s="1247"/>
      <c r="PO64" s="1247"/>
      <c r="PP64" s="1247"/>
      <c r="PQ64" s="1247"/>
      <c r="PR64" s="1247"/>
      <c r="PS64" s="1247"/>
      <c r="PT64" s="1247"/>
      <c r="PU64" s="1247"/>
      <c r="PV64" s="1247"/>
      <c r="PW64" s="1247"/>
      <c r="PX64" s="1247"/>
      <c r="PY64" s="1247"/>
      <c r="PZ64" s="1247"/>
      <c r="QA64" s="1247"/>
      <c r="QB64" s="1247"/>
      <c r="QC64" s="1247"/>
      <c r="QD64" s="1247"/>
      <c r="QE64" s="1247"/>
      <c r="QF64" s="1247"/>
      <c r="QG64" s="1247"/>
      <c r="QH64" s="1247"/>
      <c r="QI64" s="1247"/>
      <c r="QJ64" s="1247"/>
      <c r="QK64" s="1247"/>
      <c r="QL64" s="1247"/>
      <c r="QM64" s="1247"/>
      <c r="QN64" s="1247"/>
      <c r="QO64" s="1247"/>
      <c r="QP64" s="1247"/>
      <c r="QQ64" s="1247"/>
      <c r="QR64" s="1247"/>
      <c r="QS64" s="1247"/>
      <c r="QT64" s="1247"/>
      <c r="QU64" s="1247"/>
      <c r="QV64" s="1247"/>
      <c r="QW64" s="1247"/>
      <c r="QX64" s="1247"/>
      <c r="QY64" s="1247"/>
      <c r="QZ64" s="1247"/>
      <c r="RA64" s="1247"/>
      <c r="RB64" s="1247"/>
      <c r="RC64" s="1247"/>
      <c r="RD64" s="1247"/>
      <c r="RE64" s="1247"/>
      <c r="RF64" s="1247"/>
      <c r="RG64" s="1247"/>
      <c r="RH64" s="1247"/>
      <c r="RI64" s="1247"/>
      <c r="RJ64" s="1247"/>
      <c r="RK64" s="1247"/>
      <c r="RL64" s="1247"/>
      <c r="RM64" s="1247"/>
      <c r="RN64" s="1247"/>
      <c r="RO64" s="1247"/>
      <c r="RP64" s="1247"/>
      <c r="RQ64" s="1247"/>
      <c r="RR64" s="1247"/>
      <c r="RS64" s="1247"/>
      <c r="RT64" s="1247"/>
      <c r="RU64" s="1247"/>
      <c r="RV64" s="1247"/>
      <c r="RW64" s="1247"/>
      <c r="RX64" s="1247"/>
      <c r="RY64" s="1247"/>
      <c r="RZ64" s="1247"/>
      <c r="SA64" s="1247"/>
      <c r="SB64" s="1247"/>
      <c r="SC64" s="1247"/>
      <c r="SD64" s="1247"/>
      <c r="SE64" s="1247"/>
      <c r="SF64" s="1247"/>
      <c r="SG64" s="1247"/>
      <c r="SH64" s="1247"/>
      <c r="SI64" s="1247"/>
      <c r="SJ64" s="1247"/>
      <c r="SK64" s="1247"/>
      <c r="SL64" s="1247"/>
      <c r="SM64" s="1247"/>
      <c r="SN64" s="1247"/>
      <c r="SO64" s="1247"/>
      <c r="SP64" s="1247"/>
      <c r="SQ64" s="1247"/>
      <c r="SR64" s="1247"/>
      <c r="SS64" s="1247"/>
      <c r="ST64" s="1247"/>
      <c r="SU64" s="1247"/>
      <c r="SV64" s="1247"/>
      <c r="SW64" s="1247"/>
      <c r="SX64" s="1247"/>
      <c r="SY64" s="1247"/>
      <c r="SZ64" s="1247"/>
      <c r="TA64" s="1247"/>
      <c r="TB64" s="1247"/>
      <c r="TC64" s="1247"/>
      <c r="TD64" s="1247"/>
      <c r="TE64" s="1247"/>
      <c r="TF64" s="1247"/>
      <c r="TG64" s="1247"/>
      <c r="TH64" s="1247"/>
      <c r="TI64" s="1247"/>
      <c r="TJ64" s="1247"/>
      <c r="TK64" s="1247"/>
      <c r="TL64" s="1247"/>
      <c r="TM64" s="1247"/>
      <c r="TN64" s="1247"/>
      <c r="TO64" s="1247"/>
      <c r="TP64" s="1247"/>
      <c r="TQ64" s="1247"/>
      <c r="TR64" s="1247"/>
      <c r="TS64" s="1247"/>
      <c r="TT64" s="1247"/>
      <c r="TU64" s="1247"/>
      <c r="TV64" s="1247"/>
      <c r="TW64" s="1247"/>
      <c r="TX64" s="1247"/>
      <c r="TY64" s="1247"/>
      <c r="TZ64" s="1247"/>
      <c r="UA64" s="1247"/>
      <c r="UB64" s="1247"/>
      <c r="UC64" s="1247"/>
      <c r="UD64" s="1247"/>
      <c r="UE64" s="1247"/>
      <c r="UF64" s="1247"/>
      <c r="UG64" s="1247"/>
      <c r="UH64" s="1247"/>
      <c r="UI64" s="1247"/>
      <c r="UJ64" s="1247"/>
      <c r="UK64" s="1247"/>
      <c r="UL64" s="1247"/>
      <c r="UM64" s="1247"/>
      <c r="UN64" s="1247"/>
      <c r="UO64" s="1247"/>
      <c r="UP64" s="1247"/>
      <c r="UQ64" s="1247"/>
      <c r="UR64" s="1247"/>
      <c r="US64" s="1247"/>
      <c r="UT64" s="1247"/>
      <c r="UU64" s="1247"/>
      <c r="UV64" s="1247"/>
      <c r="UW64" s="1247"/>
      <c r="UX64" s="1247"/>
      <c r="UY64" s="1247"/>
      <c r="UZ64" s="1247"/>
      <c r="VA64" s="1247"/>
      <c r="VB64" s="1247"/>
      <c r="VC64" s="1247"/>
      <c r="VD64" s="1247"/>
      <c r="VE64" s="1247"/>
      <c r="VF64" s="1247"/>
      <c r="VG64" s="1247"/>
      <c r="VH64" s="1247"/>
      <c r="VI64" s="1247"/>
      <c r="VJ64" s="1247"/>
      <c r="VK64" s="1247"/>
      <c r="VL64" s="1247"/>
      <c r="VM64" s="1247"/>
      <c r="VN64" s="1247"/>
      <c r="VO64" s="1247"/>
      <c r="VP64" s="1247"/>
      <c r="VQ64" s="1247"/>
      <c r="VR64" s="1247"/>
      <c r="VS64" s="1247"/>
      <c r="VT64" s="1247"/>
      <c r="VU64" s="1247"/>
      <c r="VV64" s="1247"/>
      <c r="VW64" s="1247"/>
      <c r="VX64" s="1247"/>
      <c r="VY64" s="1247"/>
      <c r="VZ64" s="1247"/>
      <c r="WA64" s="1247"/>
      <c r="WB64" s="1247"/>
      <c r="WC64" s="1247"/>
      <c r="WD64" s="1247"/>
      <c r="WE64" s="1247"/>
      <c r="WF64" s="1247"/>
      <c r="WG64" s="1247"/>
      <c r="WH64" s="1247"/>
      <c r="WI64" s="1247"/>
      <c r="WJ64" s="1247"/>
      <c r="WK64" s="1247"/>
      <c r="WL64" s="1247"/>
      <c r="WM64" s="1247"/>
      <c r="WN64" s="1247"/>
      <c r="WO64" s="1247"/>
      <c r="WP64" s="1247"/>
      <c r="WQ64" s="1247"/>
      <c r="WR64" s="1247"/>
      <c r="WS64" s="1247"/>
      <c r="WT64" s="1247"/>
      <c r="WU64" s="1247"/>
      <c r="WV64" s="1247"/>
      <c r="WW64" s="1247"/>
      <c r="WX64" s="1247"/>
      <c r="WY64" s="1247"/>
      <c r="WZ64" s="1247"/>
      <c r="XA64" s="1247"/>
      <c r="XB64" s="1247"/>
      <c r="XC64" s="1247"/>
      <c r="XD64" s="1247"/>
      <c r="XE64" s="1247"/>
      <c r="XF64" s="1247"/>
      <c r="XG64" s="1247"/>
      <c r="XH64" s="1247"/>
      <c r="XI64" s="1247"/>
      <c r="XJ64" s="1247"/>
      <c r="XK64" s="1247"/>
      <c r="XL64" s="1247"/>
      <c r="XM64" s="1247"/>
      <c r="XN64" s="1247"/>
      <c r="XO64" s="1247"/>
      <c r="XP64" s="1247"/>
      <c r="XQ64" s="1247"/>
      <c r="XR64" s="1247"/>
      <c r="XS64" s="1247"/>
      <c r="XT64" s="1247"/>
      <c r="XU64" s="1247"/>
      <c r="XV64" s="1247"/>
      <c r="XW64" s="1247"/>
      <c r="XX64" s="1247"/>
      <c r="XY64" s="1247"/>
      <c r="XZ64" s="1247"/>
      <c r="YA64" s="1247"/>
      <c r="YB64" s="1247"/>
      <c r="YC64" s="1247"/>
      <c r="YD64" s="1247"/>
      <c r="YE64" s="1247"/>
      <c r="YF64" s="1247"/>
      <c r="YG64" s="1247"/>
      <c r="YH64" s="1247"/>
      <c r="YI64" s="1247"/>
      <c r="YJ64" s="1247"/>
      <c r="YK64" s="1247"/>
      <c r="YL64" s="1247"/>
      <c r="YM64" s="1247"/>
      <c r="YN64" s="1247"/>
      <c r="YO64" s="1247"/>
      <c r="YP64" s="1247"/>
      <c r="YQ64" s="1247"/>
      <c r="YR64" s="1247"/>
      <c r="YS64" s="1247"/>
      <c r="YT64" s="1247"/>
      <c r="YU64" s="1247"/>
      <c r="YV64" s="1247"/>
      <c r="YW64" s="1247"/>
      <c r="YX64" s="1247"/>
      <c r="YY64" s="1247"/>
      <c r="YZ64" s="1247"/>
      <c r="ZA64" s="1247"/>
      <c r="ZB64" s="1247"/>
      <c r="ZC64" s="1247"/>
      <c r="ZD64" s="1247"/>
      <c r="ZE64" s="1247"/>
      <c r="ZF64" s="1247"/>
      <c r="ZG64" s="1247"/>
      <c r="ZH64" s="1247"/>
      <c r="ZI64" s="1247"/>
      <c r="ZJ64" s="1247"/>
      <c r="ZK64" s="1247"/>
      <c r="ZL64" s="1247"/>
      <c r="ZM64" s="1247"/>
      <c r="ZN64" s="1247"/>
      <c r="ZO64" s="1247"/>
      <c r="ZP64" s="1247"/>
      <c r="ZQ64" s="1247"/>
      <c r="ZR64" s="1247"/>
      <c r="ZS64" s="1247"/>
      <c r="ZT64" s="1247"/>
      <c r="ZU64" s="1247"/>
      <c r="ZV64" s="1247"/>
      <c r="ZW64" s="1247"/>
      <c r="ZX64" s="1247"/>
      <c r="ZY64" s="1247"/>
      <c r="ZZ64" s="1247"/>
      <c r="AAA64" s="1247"/>
      <c r="AAB64" s="1247"/>
      <c r="AAC64" s="1247"/>
      <c r="AAD64" s="1247"/>
      <c r="AAE64" s="1247"/>
      <c r="AAF64" s="1247"/>
      <c r="AAG64" s="1247"/>
      <c r="AAH64" s="1247"/>
      <c r="AAI64" s="1247"/>
      <c r="AAJ64" s="1247"/>
      <c r="AAK64" s="1247"/>
      <c r="AAL64" s="1247"/>
      <c r="AAM64" s="1247"/>
      <c r="AAN64" s="1247"/>
      <c r="AAO64" s="1247"/>
      <c r="AAP64" s="1247"/>
      <c r="AAQ64" s="1247"/>
      <c r="AAR64" s="1247"/>
      <c r="AAS64" s="1247"/>
      <c r="AAT64" s="1247"/>
      <c r="AAU64" s="1247"/>
      <c r="AAV64" s="1247"/>
      <c r="AAW64" s="1247"/>
      <c r="AAX64" s="1247"/>
      <c r="AAY64" s="1247"/>
      <c r="AAZ64" s="1247"/>
      <c r="ABA64" s="1247"/>
      <c r="ABB64" s="1247"/>
      <c r="ABC64" s="1247"/>
      <c r="ABD64" s="1247"/>
      <c r="ABE64" s="1247"/>
      <c r="ABF64" s="1247"/>
      <c r="ABG64" s="1247"/>
      <c r="ABH64" s="1247"/>
      <c r="ABI64" s="1247"/>
      <c r="ABJ64" s="1247"/>
      <c r="ABK64" s="1247"/>
      <c r="ABL64" s="1247"/>
      <c r="ABM64" s="1247"/>
      <c r="ABN64" s="1247"/>
      <c r="ABO64" s="1247"/>
      <c r="ABP64" s="1247"/>
      <c r="ABQ64" s="1247"/>
      <c r="ABR64" s="1247"/>
      <c r="ABS64" s="1247"/>
      <c r="ABT64" s="1247"/>
      <c r="ABU64" s="1247"/>
      <c r="ABV64" s="1247"/>
      <c r="ABW64" s="1247"/>
      <c r="ABX64" s="1247"/>
      <c r="ABY64" s="1247"/>
      <c r="ABZ64" s="1247"/>
      <c r="ACA64" s="1247"/>
      <c r="ACB64" s="1247"/>
      <c r="ACC64" s="1247"/>
      <c r="ACD64" s="1247"/>
      <c r="ACE64" s="1247"/>
      <c r="ACF64" s="1247"/>
      <c r="ACG64" s="1247"/>
      <c r="ACH64" s="1247"/>
      <c r="ACI64" s="1247"/>
      <c r="ACJ64" s="1247"/>
      <c r="ACK64" s="1247"/>
      <c r="ACL64" s="1247"/>
      <c r="ACM64" s="1247"/>
      <c r="ACN64" s="1247"/>
      <c r="ACO64" s="1247"/>
      <c r="ACP64" s="1247"/>
      <c r="ACQ64" s="1247"/>
      <c r="ACR64" s="1247"/>
      <c r="ACS64" s="1247"/>
      <c r="ACT64" s="1247"/>
      <c r="ACU64" s="1247"/>
      <c r="ACV64" s="1247"/>
      <c r="ACW64" s="1247"/>
      <c r="ACX64" s="1247"/>
      <c r="ACY64" s="1247"/>
      <c r="ACZ64" s="1247"/>
      <c r="ADA64" s="1247"/>
      <c r="ADB64" s="1247"/>
      <c r="ADC64" s="1247"/>
      <c r="ADD64" s="1247"/>
      <c r="ADE64" s="1247"/>
      <c r="ADF64" s="1247"/>
      <c r="ADG64" s="1247"/>
    </row>
    <row r="65" spans="1:787" s="1421" customFormat="1" ht="13" hidden="1" outlineLevel="1">
      <c r="A65" s="1247"/>
      <c r="B65" s="1413" t="s">
        <v>481</v>
      </c>
      <c r="C65" s="1414"/>
      <c r="D65" s="1414" t="s">
        <v>63</v>
      </c>
      <c r="E65" s="1442"/>
      <c r="F65" s="1416"/>
      <c r="G65" s="1417" t="s">
        <v>4117</v>
      </c>
      <c r="H65" s="1418">
        <f>SUBTOTAL(9,H66:H73)</f>
        <v>0</v>
      </c>
      <c r="I65" s="1418">
        <f t="shared" ref="I65:T65" si="10">SUBTOTAL(9,I66:I73)</f>
        <v>0</v>
      </c>
      <c r="J65" s="1419">
        <f t="shared" si="10"/>
        <v>0</v>
      </c>
      <c r="K65" s="1419">
        <f t="shared" si="10"/>
        <v>0</v>
      </c>
      <c r="L65" s="1419">
        <f t="shared" si="10"/>
        <v>0</v>
      </c>
      <c r="M65" s="1419">
        <f t="shared" si="10"/>
        <v>0</v>
      </c>
      <c r="N65" s="1419">
        <f t="shared" si="10"/>
        <v>0</v>
      </c>
      <c r="O65" s="1419">
        <f t="shared" si="10"/>
        <v>0</v>
      </c>
      <c r="P65" s="1419">
        <f t="shared" si="10"/>
        <v>0</v>
      </c>
      <c r="Q65" s="1419">
        <f t="shared" si="10"/>
        <v>0</v>
      </c>
      <c r="R65" s="1419">
        <f t="shared" si="10"/>
        <v>0</v>
      </c>
      <c r="S65" s="1419">
        <f t="shared" si="10"/>
        <v>0</v>
      </c>
      <c r="T65" s="1419">
        <f t="shared" si="10"/>
        <v>0</v>
      </c>
      <c r="U65" s="1443"/>
      <c r="V65" s="1225">
        <f t="shared" si="2"/>
        <v>0</v>
      </c>
      <c r="W65" s="1225">
        <f t="shared" si="3"/>
        <v>0</v>
      </c>
      <c r="X65" s="1225"/>
      <c r="Y65" s="1225"/>
      <c r="Z65" s="1247"/>
      <c r="AA65" s="1247"/>
      <c r="AB65" s="1247"/>
      <c r="AC65" s="1247"/>
      <c r="AD65" s="1247"/>
      <c r="AE65" s="1247"/>
      <c r="AF65" s="1247"/>
      <c r="AG65" s="1247"/>
      <c r="AH65" s="1247"/>
      <c r="AI65" s="1247"/>
      <c r="AJ65" s="1247"/>
      <c r="AK65" s="1247"/>
      <c r="AL65" s="1247"/>
      <c r="AM65" s="1247"/>
      <c r="AN65" s="1247"/>
      <c r="AO65" s="1247"/>
      <c r="AP65" s="1247"/>
      <c r="AQ65" s="1247"/>
      <c r="AR65" s="1247"/>
      <c r="AS65" s="1247"/>
      <c r="AT65" s="1247"/>
      <c r="AU65" s="1247"/>
      <c r="AV65" s="1247"/>
      <c r="AW65" s="1247"/>
      <c r="AX65" s="1247"/>
      <c r="AY65" s="1247"/>
      <c r="AZ65" s="1247"/>
      <c r="BA65" s="1247"/>
      <c r="BB65" s="1247"/>
      <c r="BC65" s="1247"/>
      <c r="BD65" s="1247"/>
      <c r="BE65" s="1247"/>
      <c r="BF65" s="1247"/>
      <c r="BG65" s="1247"/>
      <c r="BH65" s="1247"/>
      <c r="BI65" s="1247"/>
      <c r="BJ65" s="1247"/>
      <c r="BK65" s="1247"/>
      <c r="BL65" s="1247"/>
      <c r="BM65" s="1247"/>
      <c r="BN65" s="1247"/>
      <c r="BO65" s="1247"/>
      <c r="BP65" s="1247"/>
      <c r="BQ65" s="1247"/>
      <c r="BR65" s="1247"/>
      <c r="BS65" s="1247"/>
      <c r="BT65" s="1247"/>
      <c r="BU65" s="1247"/>
      <c r="BV65" s="1247"/>
      <c r="BW65" s="1247"/>
      <c r="BX65" s="1247"/>
      <c r="BY65" s="1247"/>
      <c r="BZ65" s="1247"/>
      <c r="CA65" s="1247"/>
      <c r="CB65" s="1247"/>
      <c r="CC65" s="1247"/>
      <c r="CD65" s="1247"/>
      <c r="CE65" s="1247"/>
      <c r="CF65" s="1247"/>
      <c r="CG65" s="1247"/>
      <c r="CH65" s="1247"/>
      <c r="CI65" s="1247"/>
      <c r="CJ65" s="1247"/>
      <c r="CK65" s="1247"/>
      <c r="CL65" s="1247"/>
      <c r="CM65" s="1247"/>
      <c r="CN65" s="1247"/>
      <c r="CO65" s="1247"/>
      <c r="CP65" s="1247"/>
      <c r="CQ65" s="1247"/>
      <c r="CR65" s="1247"/>
      <c r="CS65" s="1247"/>
      <c r="CT65" s="1247"/>
      <c r="CU65" s="1247"/>
      <c r="CV65" s="1247"/>
      <c r="CW65" s="1247"/>
      <c r="CX65" s="1247"/>
      <c r="CY65" s="1247"/>
      <c r="CZ65" s="1247"/>
      <c r="DA65" s="1247"/>
      <c r="DB65" s="1247"/>
      <c r="DC65" s="1247"/>
      <c r="DD65" s="1247"/>
      <c r="DE65" s="1247"/>
      <c r="DF65" s="1247"/>
      <c r="DG65" s="1247"/>
      <c r="DH65" s="1247"/>
      <c r="DI65" s="1247"/>
      <c r="DJ65" s="1247"/>
      <c r="DK65" s="1247"/>
      <c r="DL65" s="1247"/>
      <c r="DM65" s="1247"/>
      <c r="DN65" s="1247"/>
      <c r="DO65" s="1247"/>
      <c r="DP65" s="1247"/>
      <c r="DQ65" s="1247"/>
      <c r="DR65" s="1247"/>
      <c r="DS65" s="1247"/>
      <c r="DT65" s="1247"/>
      <c r="DU65" s="1247"/>
      <c r="DV65" s="1247"/>
      <c r="DW65" s="1247"/>
      <c r="DX65" s="1247"/>
      <c r="DY65" s="1247"/>
      <c r="DZ65" s="1247"/>
      <c r="EA65" s="1247"/>
      <c r="EB65" s="1247"/>
      <c r="EC65" s="1247"/>
      <c r="ED65" s="1247"/>
      <c r="EE65" s="1247"/>
      <c r="EF65" s="1247"/>
      <c r="EG65" s="1247"/>
      <c r="EH65" s="1247"/>
      <c r="EI65" s="1247"/>
      <c r="EJ65" s="1247"/>
      <c r="EK65" s="1247"/>
      <c r="EL65" s="1247"/>
      <c r="EM65" s="1247"/>
      <c r="EN65" s="1247"/>
      <c r="EO65" s="1247"/>
      <c r="EP65" s="1247"/>
      <c r="EQ65" s="1247"/>
      <c r="ER65" s="1247"/>
      <c r="ES65" s="1247"/>
      <c r="ET65" s="1247"/>
      <c r="EU65" s="1247"/>
      <c r="EV65" s="1247"/>
      <c r="EW65" s="1247"/>
      <c r="EX65" s="1247"/>
      <c r="EY65" s="1247"/>
      <c r="EZ65" s="1247"/>
      <c r="FA65" s="1247"/>
      <c r="FB65" s="1247"/>
      <c r="FC65" s="1247"/>
      <c r="FD65" s="1247"/>
      <c r="FE65" s="1247"/>
      <c r="FF65" s="1247"/>
      <c r="FG65" s="1247"/>
      <c r="FH65" s="1247"/>
      <c r="FI65" s="1247"/>
      <c r="FJ65" s="1247"/>
      <c r="FK65" s="1247"/>
      <c r="FL65" s="1247"/>
      <c r="FM65" s="1247"/>
      <c r="FN65" s="1247"/>
      <c r="FO65" s="1247"/>
      <c r="FP65" s="1247"/>
      <c r="FQ65" s="1247"/>
      <c r="FR65" s="1247"/>
      <c r="FS65" s="1247"/>
      <c r="FT65" s="1247"/>
      <c r="FU65" s="1247"/>
      <c r="FV65" s="1247"/>
      <c r="FW65" s="1247"/>
      <c r="FX65" s="1247"/>
      <c r="FY65" s="1247"/>
      <c r="FZ65" s="1247"/>
      <c r="GA65" s="1247"/>
      <c r="GB65" s="1247"/>
      <c r="GC65" s="1247"/>
      <c r="GD65" s="1247"/>
      <c r="GE65" s="1247"/>
      <c r="GF65" s="1247"/>
      <c r="GG65" s="1247"/>
      <c r="GH65" s="1247"/>
      <c r="GI65" s="1247"/>
      <c r="GJ65" s="1247"/>
      <c r="GK65" s="1247"/>
      <c r="GL65" s="1247"/>
      <c r="GM65" s="1247"/>
      <c r="GN65" s="1247"/>
      <c r="GO65" s="1247"/>
      <c r="GP65" s="1247"/>
      <c r="GQ65" s="1247"/>
      <c r="GR65" s="1247"/>
      <c r="GS65" s="1247"/>
      <c r="GT65" s="1247"/>
      <c r="GU65" s="1247"/>
      <c r="GV65" s="1247"/>
      <c r="GW65" s="1247"/>
      <c r="GX65" s="1247"/>
      <c r="GY65" s="1247"/>
      <c r="GZ65" s="1247"/>
      <c r="HA65" s="1247"/>
      <c r="HB65" s="1247"/>
      <c r="HC65" s="1247"/>
      <c r="HD65" s="1247"/>
      <c r="HE65" s="1247"/>
      <c r="HF65" s="1247"/>
      <c r="HG65" s="1247"/>
      <c r="HH65" s="1247"/>
      <c r="HI65" s="1247"/>
      <c r="HJ65" s="1247"/>
      <c r="HK65" s="1247"/>
      <c r="HL65" s="1247"/>
      <c r="HM65" s="1247"/>
      <c r="HN65" s="1247"/>
      <c r="HO65" s="1247"/>
      <c r="HP65" s="1247"/>
      <c r="HQ65" s="1247"/>
      <c r="HR65" s="1247"/>
      <c r="HS65" s="1247"/>
      <c r="HT65" s="1247"/>
      <c r="HU65" s="1247"/>
      <c r="HV65" s="1247"/>
      <c r="HW65" s="1247"/>
      <c r="HX65" s="1247"/>
      <c r="HY65" s="1247"/>
      <c r="HZ65" s="1247"/>
      <c r="IA65" s="1247"/>
      <c r="IB65" s="1247"/>
      <c r="IC65" s="1247"/>
      <c r="ID65" s="1247"/>
      <c r="IE65" s="1247"/>
      <c r="IF65" s="1247"/>
      <c r="IG65" s="1247"/>
      <c r="IH65" s="1247"/>
      <c r="II65" s="1247"/>
      <c r="IJ65" s="1247"/>
      <c r="IK65" s="1247"/>
      <c r="IL65" s="1247"/>
      <c r="IM65" s="1247"/>
      <c r="IN65" s="1247"/>
      <c r="IO65" s="1247"/>
      <c r="IP65" s="1247"/>
      <c r="IQ65" s="1247"/>
      <c r="IR65" s="1247"/>
      <c r="IS65" s="1247"/>
      <c r="IT65" s="1247"/>
      <c r="IU65" s="1247"/>
      <c r="IV65" s="1247"/>
      <c r="IW65" s="1247"/>
      <c r="IX65" s="1247"/>
      <c r="IY65" s="1247"/>
      <c r="IZ65" s="1247"/>
      <c r="JA65" s="1247"/>
      <c r="JB65" s="1247"/>
      <c r="JC65" s="1247"/>
      <c r="JD65" s="1247"/>
      <c r="JE65" s="1247"/>
      <c r="JF65" s="1247"/>
      <c r="JG65" s="1247"/>
      <c r="JH65" s="1247"/>
      <c r="JI65" s="1247"/>
      <c r="JJ65" s="1247"/>
      <c r="JK65" s="1247"/>
      <c r="JL65" s="1247"/>
      <c r="JM65" s="1247"/>
      <c r="JN65" s="1247"/>
      <c r="JO65" s="1247"/>
      <c r="JP65" s="1247"/>
      <c r="JQ65" s="1247"/>
      <c r="JR65" s="1247"/>
      <c r="JS65" s="1247"/>
      <c r="JT65" s="1247"/>
      <c r="JU65" s="1247"/>
      <c r="JV65" s="1247"/>
      <c r="JW65" s="1247"/>
      <c r="JX65" s="1247"/>
      <c r="JY65" s="1247"/>
      <c r="JZ65" s="1247"/>
      <c r="KA65" s="1247"/>
      <c r="KB65" s="1247"/>
      <c r="KC65" s="1247"/>
      <c r="KD65" s="1247"/>
      <c r="KE65" s="1247"/>
      <c r="KF65" s="1247"/>
      <c r="KG65" s="1247"/>
      <c r="KH65" s="1247"/>
      <c r="KI65" s="1247"/>
      <c r="KJ65" s="1247"/>
      <c r="KK65" s="1247"/>
      <c r="KL65" s="1247"/>
      <c r="KM65" s="1247"/>
      <c r="KN65" s="1247"/>
      <c r="KO65" s="1247"/>
      <c r="KP65" s="1247"/>
      <c r="KQ65" s="1247"/>
      <c r="KR65" s="1247"/>
      <c r="KS65" s="1247"/>
      <c r="KT65" s="1247"/>
      <c r="KU65" s="1247"/>
      <c r="KV65" s="1247"/>
      <c r="KW65" s="1247"/>
      <c r="KX65" s="1247"/>
      <c r="KY65" s="1247"/>
      <c r="KZ65" s="1247"/>
      <c r="LA65" s="1247"/>
      <c r="LB65" s="1247"/>
      <c r="LC65" s="1247"/>
      <c r="LD65" s="1247"/>
      <c r="LE65" s="1247"/>
      <c r="LF65" s="1247"/>
      <c r="LG65" s="1247"/>
      <c r="LH65" s="1247"/>
      <c r="LI65" s="1247"/>
      <c r="LJ65" s="1247"/>
      <c r="LK65" s="1247"/>
      <c r="LL65" s="1247"/>
      <c r="LM65" s="1247"/>
      <c r="LN65" s="1247"/>
      <c r="LO65" s="1247"/>
      <c r="LP65" s="1247"/>
      <c r="LQ65" s="1247"/>
      <c r="LR65" s="1247"/>
      <c r="LS65" s="1247"/>
      <c r="LT65" s="1247"/>
      <c r="LU65" s="1247"/>
      <c r="LV65" s="1247"/>
      <c r="LW65" s="1247"/>
      <c r="LX65" s="1247"/>
      <c r="LY65" s="1247"/>
      <c r="LZ65" s="1247"/>
      <c r="MA65" s="1247"/>
      <c r="MB65" s="1247"/>
      <c r="MC65" s="1247"/>
      <c r="MD65" s="1247"/>
      <c r="ME65" s="1247"/>
      <c r="MF65" s="1247"/>
      <c r="MG65" s="1247"/>
      <c r="MH65" s="1247"/>
      <c r="MI65" s="1247"/>
      <c r="MJ65" s="1247"/>
      <c r="MK65" s="1247"/>
      <c r="ML65" s="1247"/>
      <c r="MM65" s="1247"/>
      <c r="MN65" s="1247"/>
      <c r="MO65" s="1247"/>
      <c r="MP65" s="1247"/>
      <c r="MQ65" s="1247"/>
      <c r="MR65" s="1247"/>
      <c r="MS65" s="1247"/>
      <c r="MT65" s="1247"/>
      <c r="MU65" s="1247"/>
      <c r="MV65" s="1247"/>
      <c r="MW65" s="1247"/>
      <c r="MX65" s="1247"/>
      <c r="MY65" s="1247"/>
      <c r="MZ65" s="1247"/>
      <c r="NA65" s="1247"/>
      <c r="NB65" s="1247"/>
      <c r="NC65" s="1247"/>
      <c r="ND65" s="1247"/>
      <c r="NE65" s="1247"/>
      <c r="NF65" s="1247"/>
      <c r="NG65" s="1247"/>
      <c r="NH65" s="1247"/>
      <c r="NI65" s="1247"/>
      <c r="NJ65" s="1247"/>
      <c r="NK65" s="1247"/>
      <c r="NL65" s="1247"/>
      <c r="NM65" s="1247"/>
      <c r="NN65" s="1247"/>
      <c r="NO65" s="1247"/>
      <c r="NP65" s="1247"/>
      <c r="NQ65" s="1247"/>
      <c r="NR65" s="1247"/>
      <c r="NS65" s="1247"/>
      <c r="NT65" s="1247"/>
      <c r="NU65" s="1247"/>
      <c r="NV65" s="1247"/>
      <c r="NW65" s="1247"/>
      <c r="NX65" s="1247"/>
      <c r="NY65" s="1247"/>
      <c r="NZ65" s="1247"/>
      <c r="OA65" s="1247"/>
      <c r="OB65" s="1247"/>
      <c r="OC65" s="1247"/>
      <c r="OD65" s="1247"/>
      <c r="OE65" s="1247"/>
      <c r="OF65" s="1247"/>
      <c r="OG65" s="1247"/>
      <c r="OH65" s="1247"/>
      <c r="OI65" s="1247"/>
      <c r="OJ65" s="1247"/>
      <c r="OK65" s="1247"/>
      <c r="OL65" s="1247"/>
      <c r="OM65" s="1247"/>
      <c r="ON65" s="1247"/>
      <c r="OO65" s="1247"/>
      <c r="OP65" s="1247"/>
      <c r="OQ65" s="1247"/>
      <c r="OR65" s="1247"/>
      <c r="OS65" s="1247"/>
      <c r="OT65" s="1247"/>
      <c r="OU65" s="1247"/>
      <c r="OV65" s="1247"/>
      <c r="OW65" s="1247"/>
      <c r="OX65" s="1247"/>
      <c r="OY65" s="1247"/>
      <c r="OZ65" s="1247"/>
      <c r="PA65" s="1247"/>
      <c r="PB65" s="1247"/>
      <c r="PC65" s="1247"/>
      <c r="PD65" s="1247"/>
      <c r="PE65" s="1247"/>
      <c r="PF65" s="1247"/>
      <c r="PG65" s="1247"/>
      <c r="PH65" s="1247"/>
      <c r="PI65" s="1247"/>
      <c r="PJ65" s="1247"/>
      <c r="PK65" s="1247"/>
      <c r="PL65" s="1247"/>
      <c r="PM65" s="1247"/>
      <c r="PN65" s="1247"/>
      <c r="PO65" s="1247"/>
      <c r="PP65" s="1247"/>
      <c r="PQ65" s="1247"/>
      <c r="PR65" s="1247"/>
      <c r="PS65" s="1247"/>
      <c r="PT65" s="1247"/>
      <c r="PU65" s="1247"/>
      <c r="PV65" s="1247"/>
      <c r="PW65" s="1247"/>
      <c r="PX65" s="1247"/>
      <c r="PY65" s="1247"/>
      <c r="PZ65" s="1247"/>
      <c r="QA65" s="1247"/>
      <c r="QB65" s="1247"/>
      <c r="QC65" s="1247"/>
      <c r="QD65" s="1247"/>
      <c r="QE65" s="1247"/>
      <c r="QF65" s="1247"/>
      <c r="QG65" s="1247"/>
      <c r="QH65" s="1247"/>
      <c r="QI65" s="1247"/>
      <c r="QJ65" s="1247"/>
      <c r="QK65" s="1247"/>
      <c r="QL65" s="1247"/>
      <c r="QM65" s="1247"/>
      <c r="QN65" s="1247"/>
      <c r="QO65" s="1247"/>
      <c r="QP65" s="1247"/>
      <c r="QQ65" s="1247"/>
      <c r="QR65" s="1247"/>
      <c r="QS65" s="1247"/>
      <c r="QT65" s="1247"/>
      <c r="QU65" s="1247"/>
      <c r="QV65" s="1247"/>
      <c r="QW65" s="1247"/>
      <c r="QX65" s="1247"/>
      <c r="QY65" s="1247"/>
      <c r="QZ65" s="1247"/>
      <c r="RA65" s="1247"/>
      <c r="RB65" s="1247"/>
      <c r="RC65" s="1247"/>
      <c r="RD65" s="1247"/>
      <c r="RE65" s="1247"/>
      <c r="RF65" s="1247"/>
      <c r="RG65" s="1247"/>
      <c r="RH65" s="1247"/>
      <c r="RI65" s="1247"/>
      <c r="RJ65" s="1247"/>
      <c r="RK65" s="1247"/>
      <c r="RL65" s="1247"/>
      <c r="RM65" s="1247"/>
      <c r="RN65" s="1247"/>
      <c r="RO65" s="1247"/>
      <c r="RP65" s="1247"/>
      <c r="RQ65" s="1247"/>
      <c r="RR65" s="1247"/>
      <c r="RS65" s="1247"/>
      <c r="RT65" s="1247"/>
      <c r="RU65" s="1247"/>
      <c r="RV65" s="1247"/>
      <c r="RW65" s="1247"/>
      <c r="RX65" s="1247"/>
      <c r="RY65" s="1247"/>
      <c r="RZ65" s="1247"/>
      <c r="SA65" s="1247"/>
      <c r="SB65" s="1247"/>
      <c r="SC65" s="1247"/>
      <c r="SD65" s="1247"/>
      <c r="SE65" s="1247"/>
      <c r="SF65" s="1247"/>
      <c r="SG65" s="1247"/>
      <c r="SH65" s="1247"/>
      <c r="SI65" s="1247"/>
      <c r="SJ65" s="1247"/>
      <c r="SK65" s="1247"/>
      <c r="SL65" s="1247"/>
      <c r="SM65" s="1247"/>
      <c r="SN65" s="1247"/>
      <c r="SO65" s="1247"/>
      <c r="SP65" s="1247"/>
      <c r="SQ65" s="1247"/>
      <c r="SR65" s="1247"/>
      <c r="SS65" s="1247"/>
      <c r="ST65" s="1247"/>
      <c r="SU65" s="1247"/>
      <c r="SV65" s="1247"/>
      <c r="SW65" s="1247"/>
      <c r="SX65" s="1247"/>
      <c r="SY65" s="1247"/>
      <c r="SZ65" s="1247"/>
      <c r="TA65" s="1247"/>
      <c r="TB65" s="1247"/>
      <c r="TC65" s="1247"/>
      <c r="TD65" s="1247"/>
      <c r="TE65" s="1247"/>
      <c r="TF65" s="1247"/>
      <c r="TG65" s="1247"/>
      <c r="TH65" s="1247"/>
      <c r="TI65" s="1247"/>
      <c r="TJ65" s="1247"/>
      <c r="TK65" s="1247"/>
      <c r="TL65" s="1247"/>
      <c r="TM65" s="1247"/>
      <c r="TN65" s="1247"/>
      <c r="TO65" s="1247"/>
      <c r="TP65" s="1247"/>
      <c r="TQ65" s="1247"/>
      <c r="TR65" s="1247"/>
      <c r="TS65" s="1247"/>
      <c r="TT65" s="1247"/>
      <c r="TU65" s="1247"/>
      <c r="TV65" s="1247"/>
      <c r="TW65" s="1247"/>
      <c r="TX65" s="1247"/>
      <c r="TY65" s="1247"/>
      <c r="TZ65" s="1247"/>
      <c r="UA65" s="1247"/>
      <c r="UB65" s="1247"/>
      <c r="UC65" s="1247"/>
      <c r="UD65" s="1247"/>
      <c r="UE65" s="1247"/>
      <c r="UF65" s="1247"/>
      <c r="UG65" s="1247"/>
      <c r="UH65" s="1247"/>
      <c r="UI65" s="1247"/>
      <c r="UJ65" s="1247"/>
      <c r="UK65" s="1247"/>
      <c r="UL65" s="1247"/>
      <c r="UM65" s="1247"/>
      <c r="UN65" s="1247"/>
      <c r="UO65" s="1247"/>
      <c r="UP65" s="1247"/>
      <c r="UQ65" s="1247"/>
      <c r="UR65" s="1247"/>
      <c r="US65" s="1247"/>
      <c r="UT65" s="1247"/>
      <c r="UU65" s="1247"/>
      <c r="UV65" s="1247"/>
      <c r="UW65" s="1247"/>
      <c r="UX65" s="1247"/>
      <c r="UY65" s="1247"/>
      <c r="UZ65" s="1247"/>
      <c r="VA65" s="1247"/>
      <c r="VB65" s="1247"/>
      <c r="VC65" s="1247"/>
      <c r="VD65" s="1247"/>
      <c r="VE65" s="1247"/>
      <c r="VF65" s="1247"/>
      <c r="VG65" s="1247"/>
      <c r="VH65" s="1247"/>
      <c r="VI65" s="1247"/>
      <c r="VJ65" s="1247"/>
      <c r="VK65" s="1247"/>
      <c r="VL65" s="1247"/>
      <c r="VM65" s="1247"/>
      <c r="VN65" s="1247"/>
      <c r="VO65" s="1247"/>
      <c r="VP65" s="1247"/>
      <c r="VQ65" s="1247"/>
      <c r="VR65" s="1247"/>
      <c r="VS65" s="1247"/>
      <c r="VT65" s="1247"/>
      <c r="VU65" s="1247"/>
      <c r="VV65" s="1247"/>
      <c r="VW65" s="1247"/>
      <c r="VX65" s="1247"/>
      <c r="VY65" s="1247"/>
      <c r="VZ65" s="1247"/>
      <c r="WA65" s="1247"/>
      <c r="WB65" s="1247"/>
      <c r="WC65" s="1247"/>
      <c r="WD65" s="1247"/>
      <c r="WE65" s="1247"/>
      <c r="WF65" s="1247"/>
      <c r="WG65" s="1247"/>
      <c r="WH65" s="1247"/>
      <c r="WI65" s="1247"/>
      <c r="WJ65" s="1247"/>
      <c r="WK65" s="1247"/>
      <c r="WL65" s="1247"/>
      <c r="WM65" s="1247"/>
      <c r="WN65" s="1247"/>
      <c r="WO65" s="1247"/>
      <c r="WP65" s="1247"/>
      <c r="WQ65" s="1247"/>
      <c r="WR65" s="1247"/>
      <c r="WS65" s="1247"/>
      <c r="WT65" s="1247"/>
      <c r="WU65" s="1247"/>
      <c r="WV65" s="1247"/>
      <c r="WW65" s="1247"/>
      <c r="WX65" s="1247"/>
      <c r="WY65" s="1247"/>
      <c r="WZ65" s="1247"/>
      <c r="XA65" s="1247"/>
      <c r="XB65" s="1247"/>
      <c r="XC65" s="1247"/>
      <c r="XD65" s="1247"/>
      <c r="XE65" s="1247"/>
      <c r="XF65" s="1247"/>
      <c r="XG65" s="1247"/>
      <c r="XH65" s="1247"/>
      <c r="XI65" s="1247"/>
      <c r="XJ65" s="1247"/>
      <c r="XK65" s="1247"/>
      <c r="XL65" s="1247"/>
      <c r="XM65" s="1247"/>
      <c r="XN65" s="1247"/>
      <c r="XO65" s="1247"/>
      <c r="XP65" s="1247"/>
      <c r="XQ65" s="1247"/>
      <c r="XR65" s="1247"/>
      <c r="XS65" s="1247"/>
      <c r="XT65" s="1247"/>
      <c r="XU65" s="1247"/>
      <c r="XV65" s="1247"/>
      <c r="XW65" s="1247"/>
      <c r="XX65" s="1247"/>
      <c r="XY65" s="1247"/>
      <c r="XZ65" s="1247"/>
      <c r="YA65" s="1247"/>
      <c r="YB65" s="1247"/>
      <c r="YC65" s="1247"/>
      <c r="YD65" s="1247"/>
      <c r="YE65" s="1247"/>
      <c r="YF65" s="1247"/>
      <c r="YG65" s="1247"/>
      <c r="YH65" s="1247"/>
      <c r="YI65" s="1247"/>
      <c r="YJ65" s="1247"/>
      <c r="YK65" s="1247"/>
      <c r="YL65" s="1247"/>
      <c r="YM65" s="1247"/>
      <c r="YN65" s="1247"/>
      <c r="YO65" s="1247"/>
      <c r="YP65" s="1247"/>
      <c r="YQ65" s="1247"/>
      <c r="YR65" s="1247"/>
      <c r="YS65" s="1247"/>
      <c r="YT65" s="1247"/>
      <c r="YU65" s="1247"/>
      <c r="YV65" s="1247"/>
      <c r="YW65" s="1247"/>
      <c r="YX65" s="1247"/>
      <c r="YY65" s="1247"/>
      <c r="YZ65" s="1247"/>
      <c r="ZA65" s="1247"/>
      <c r="ZB65" s="1247"/>
      <c r="ZC65" s="1247"/>
      <c r="ZD65" s="1247"/>
      <c r="ZE65" s="1247"/>
      <c r="ZF65" s="1247"/>
      <c r="ZG65" s="1247"/>
      <c r="ZH65" s="1247"/>
      <c r="ZI65" s="1247"/>
      <c r="ZJ65" s="1247"/>
      <c r="ZK65" s="1247"/>
      <c r="ZL65" s="1247"/>
      <c r="ZM65" s="1247"/>
      <c r="ZN65" s="1247"/>
      <c r="ZO65" s="1247"/>
      <c r="ZP65" s="1247"/>
      <c r="ZQ65" s="1247"/>
      <c r="ZR65" s="1247"/>
      <c r="ZS65" s="1247"/>
      <c r="ZT65" s="1247"/>
      <c r="ZU65" s="1247"/>
      <c r="ZV65" s="1247"/>
      <c r="ZW65" s="1247"/>
      <c r="ZX65" s="1247"/>
      <c r="ZY65" s="1247"/>
      <c r="ZZ65" s="1247"/>
      <c r="AAA65" s="1247"/>
      <c r="AAB65" s="1247"/>
      <c r="AAC65" s="1247"/>
      <c r="AAD65" s="1247"/>
      <c r="AAE65" s="1247"/>
      <c r="AAF65" s="1247"/>
      <c r="AAG65" s="1247"/>
      <c r="AAH65" s="1247"/>
      <c r="AAI65" s="1247"/>
      <c r="AAJ65" s="1247"/>
      <c r="AAK65" s="1247"/>
      <c r="AAL65" s="1247"/>
      <c r="AAM65" s="1247"/>
      <c r="AAN65" s="1247"/>
      <c r="AAO65" s="1247"/>
      <c r="AAP65" s="1247"/>
      <c r="AAQ65" s="1247"/>
      <c r="AAR65" s="1247"/>
      <c r="AAS65" s="1247"/>
      <c r="AAT65" s="1247"/>
      <c r="AAU65" s="1247"/>
      <c r="AAV65" s="1247"/>
      <c r="AAW65" s="1247"/>
      <c r="AAX65" s="1247"/>
      <c r="AAY65" s="1247"/>
      <c r="AAZ65" s="1247"/>
      <c r="ABA65" s="1247"/>
      <c r="ABB65" s="1247"/>
      <c r="ABC65" s="1247"/>
      <c r="ABD65" s="1247"/>
      <c r="ABE65" s="1247"/>
      <c r="ABF65" s="1247"/>
      <c r="ABG65" s="1247"/>
      <c r="ABH65" s="1247"/>
      <c r="ABI65" s="1247"/>
      <c r="ABJ65" s="1247"/>
      <c r="ABK65" s="1247"/>
      <c r="ABL65" s="1247"/>
      <c r="ABM65" s="1247"/>
      <c r="ABN65" s="1247"/>
      <c r="ABO65" s="1247"/>
      <c r="ABP65" s="1247"/>
      <c r="ABQ65" s="1247"/>
      <c r="ABR65" s="1247"/>
      <c r="ABS65" s="1247"/>
      <c r="ABT65" s="1247"/>
      <c r="ABU65" s="1247"/>
      <c r="ABV65" s="1247"/>
      <c r="ABW65" s="1247"/>
      <c r="ABX65" s="1247"/>
      <c r="ABY65" s="1247"/>
      <c r="ABZ65" s="1247"/>
      <c r="ACA65" s="1247"/>
      <c r="ACB65" s="1247"/>
      <c r="ACC65" s="1247"/>
      <c r="ACD65" s="1247"/>
      <c r="ACE65" s="1247"/>
      <c r="ACF65" s="1247"/>
      <c r="ACG65" s="1247"/>
      <c r="ACH65" s="1247"/>
      <c r="ACI65" s="1247"/>
      <c r="ACJ65" s="1247"/>
      <c r="ACK65" s="1247"/>
      <c r="ACL65" s="1247"/>
      <c r="ACM65" s="1247"/>
      <c r="ACN65" s="1247"/>
      <c r="ACO65" s="1247"/>
      <c r="ACP65" s="1247"/>
      <c r="ACQ65" s="1247"/>
      <c r="ACR65" s="1247"/>
      <c r="ACS65" s="1247"/>
      <c r="ACT65" s="1247"/>
      <c r="ACU65" s="1247"/>
      <c r="ACV65" s="1247"/>
      <c r="ACW65" s="1247"/>
      <c r="ACX65" s="1247"/>
      <c r="ACY65" s="1247"/>
      <c r="ACZ65" s="1247"/>
      <c r="ADA65" s="1247"/>
      <c r="ADB65" s="1247"/>
      <c r="ADC65" s="1247"/>
      <c r="ADD65" s="1247"/>
      <c r="ADE65" s="1247"/>
      <c r="ADF65" s="1247"/>
      <c r="ADG65" s="1247"/>
    </row>
    <row r="66" spans="1:787" s="1247" customFormat="1" ht="13" hidden="1" outlineLevel="2">
      <c r="B66" s="1422" t="s">
        <v>1221</v>
      </c>
      <c r="C66" s="1423"/>
      <c r="D66" s="1423" t="s">
        <v>1225</v>
      </c>
      <c r="E66" s="1424"/>
      <c r="F66" s="1425"/>
      <c r="G66" s="1431" t="s">
        <v>4117</v>
      </c>
      <c r="H66" s="1424"/>
      <c r="I66" s="1424"/>
      <c r="J66" s="1428"/>
      <c r="K66" s="1427"/>
      <c r="L66" s="1427"/>
      <c r="M66" s="1427"/>
      <c r="N66" s="1427"/>
      <c r="O66" s="1427"/>
      <c r="P66" s="1427"/>
      <c r="Q66" s="1427"/>
      <c r="R66" s="1428">
        <f t="shared" ref="R66:R73" si="11">SUM(H66:Q66)</f>
        <v>0</v>
      </c>
      <c r="S66" s="1427">
        <f>VLOOKUP($D66,'当期公摊测算表（全期）'!D:W,17,FALSE)</f>
        <v>0</v>
      </c>
      <c r="T66" s="1427">
        <f>R66+S66</f>
        <v>0</v>
      </c>
      <c r="U66" s="1429"/>
      <c r="V66" s="1225">
        <f t="shared" si="2"/>
        <v>0</v>
      </c>
      <c r="W66" s="1225">
        <f t="shared" si="3"/>
        <v>0</v>
      </c>
      <c r="X66" s="1225"/>
      <c r="Y66" s="1225"/>
    </row>
    <row r="67" spans="1:787" s="1247" customFormat="1" ht="13" hidden="1" outlineLevel="2">
      <c r="B67" s="1422" t="s">
        <v>1224</v>
      </c>
      <c r="C67" s="1423"/>
      <c r="D67" s="1423" t="s">
        <v>149</v>
      </c>
      <c r="E67" s="1424"/>
      <c r="F67" s="1425"/>
      <c r="G67" s="1431" t="s">
        <v>4117</v>
      </c>
      <c r="H67" s="1424"/>
      <c r="I67" s="1424"/>
      <c r="J67" s="1428"/>
      <c r="K67" s="1427"/>
      <c r="L67" s="1427"/>
      <c r="M67" s="1427"/>
      <c r="N67" s="1427"/>
      <c r="O67" s="1427"/>
      <c r="P67" s="1427"/>
      <c r="Q67" s="1427">
        <f>VLOOKUP(D67,'当期公摊测算表（全期）'!D:W,12,FALSE)</f>
        <v>0</v>
      </c>
      <c r="R67" s="1428">
        <f t="shared" si="11"/>
        <v>0</v>
      </c>
      <c r="S67" s="1427">
        <f>VLOOKUP($D67,'当期公摊测算表（全期）'!D:W,17,FALSE)</f>
        <v>0</v>
      </c>
      <c r="T67" s="1427">
        <f t="shared" ref="T67:T73" si="12">R67+S67</f>
        <v>0</v>
      </c>
      <c r="U67" s="1429"/>
      <c r="V67" s="1225">
        <f t="shared" si="2"/>
        <v>0</v>
      </c>
      <c r="W67" s="1225">
        <f t="shared" si="3"/>
        <v>0</v>
      </c>
      <c r="X67" s="1225"/>
      <c r="Y67" s="1225"/>
    </row>
    <row r="68" spans="1:787" s="1247" customFormat="1" ht="13" hidden="1" outlineLevel="2">
      <c r="B68" s="1422" t="s">
        <v>1231</v>
      </c>
      <c r="C68" s="1423"/>
      <c r="D68" s="1423" t="s">
        <v>3311</v>
      </c>
      <c r="E68" s="1424"/>
      <c r="F68" s="1444"/>
      <c r="G68" s="1445" t="s">
        <v>4117</v>
      </c>
      <c r="H68" s="1424"/>
      <c r="I68" s="1424"/>
      <c r="J68" s="1428"/>
      <c r="K68" s="1427"/>
      <c r="L68" s="1427"/>
      <c r="M68" s="1427"/>
      <c r="N68" s="1427"/>
      <c r="O68" s="1427"/>
      <c r="P68" s="1427"/>
      <c r="Q68" s="1427">
        <f>VLOOKUP(D68,'当期公摊测算表（全期）'!D:W,12,FALSE)</f>
        <v>0</v>
      </c>
      <c r="R68" s="1428">
        <f t="shared" si="11"/>
        <v>0</v>
      </c>
      <c r="S68" s="1427">
        <f>VLOOKUP($D68,'当期公摊测算表（全期）'!D:W,17,FALSE)</f>
        <v>0</v>
      </c>
      <c r="T68" s="1427">
        <f t="shared" si="12"/>
        <v>0</v>
      </c>
      <c r="U68" s="1429"/>
      <c r="V68" s="1225">
        <f t="shared" si="2"/>
        <v>0</v>
      </c>
      <c r="W68" s="1225">
        <f t="shared" si="3"/>
        <v>0</v>
      </c>
      <c r="X68" s="1225"/>
      <c r="Y68" s="1225"/>
    </row>
    <row r="69" spans="1:787" s="1247" customFormat="1" ht="13" hidden="1" outlineLevel="2">
      <c r="B69" s="1422" t="s">
        <v>1236</v>
      </c>
      <c r="C69" s="1423"/>
      <c r="D69" s="1423" t="s">
        <v>3312</v>
      </c>
      <c r="E69" s="1424"/>
      <c r="F69" s="1425"/>
      <c r="G69" s="1431" t="s">
        <v>4117</v>
      </c>
      <c r="H69" s="1424"/>
      <c r="I69" s="1424"/>
      <c r="J69" s="1428"/>
      <c r="K69" s="1427"/>
      <c r="L69" s="1427"/>
      <c r="M69" s="1427"/>
      <c r="N69" s="1427"/>
      <c r="O69" s="1427"/>
      <c r="P69" s="1427"/>
      <c r="Q69" s="1427">
        <v>0</v>
      </c>
      <c r="R69" s="1428">
        <f t="shared" si="11"/>
        <v>0</v>
      </c>
      <c r="S69" s="1427">
        <f>VLOOKUP($D69,'当期公摊测算表（全期）'!D:W,17,FALSE)</f>
        <v>0</v>
      </c>
      <c r="T69" s="1427">
        <f t="shared" si="12"/>
        <v>0</v>
      </c>
      <c r="U69" s="1429"/>
      <c r="V69" s="1225">
        <f t="shared" si="2"/>
        <v>0</v>
      </c>
      <c r="W69" s="1225">
        <f t="shared" si="3"/>
        <v>0</v>
      </c>
      <c r="X69" s="1225"/>
      <c r="Y69" s="1225"/>
    </row>
    <row r="70" spans="1:787" s="1247" customFormat="1" ht="13" hidden="1" outlineLevel="2">
      <c r="B70" s="1422" t="s">
        <v>1238</v>
      </c>
      <c r="C70" s="1423"/>
      <c r="D70" s="1423" t="s">
        <v>3313</v>
      </c>
      <c r="E70" s="1431" t="s">
        <v>3314</v>
      </c>
      <c r="F70" s="1425" t="s">
        <v>1091</v>
      </c>
      <c r="G70" s="1431" t="s">
        <v>4182</v>
      </c>
      <c r="H70" s="1424"/>
      <c r="I70" s="1424"/>
      <c r="J70" s="1428"/>
      <c r="K70" s="1427"/>
      <c r="L70" s="1427"/>
      <c r="M70" s="1427"/>
      <c r="N70" s="1427"/>
      <c r="O70" s="1427"/>
      <c r="P70" s="1427"/>
      <c r="Q70" s="1427">
        <f>VLOOKUP(D70,'当期公摊测算表（全期）'!D:W,12,FALSE)</f>
        <v>0</v>
      </c>
      <c r="R70" s="1428">
        <f t="shared" si="11"/>
        <v>0</v>
      </c>
      <c r="S70" s="1427">
        <f>VLOOKUP($D70,'当期公摊测算表（全期）'!D:W,17,FALSE)</f>
        <v>0</v>
      </c>
      <c r="T70" s="1427">
        <f t="shared" si="12"/>
        <v>0</v>
      </c>
      <c r="U70" s="1429"/>
      <c r="V70" s="1225">
        <f t="shared" si="2"/>
        <v>0</v>
      </c>
      <c r="W70" s="1225">
        <f t="shared" si="3"/>
        <v>0</v>
      </c>
      <c r="X70" s="1225"/>
      <c r="Y70" s="1225"/>
    </row>
    <row r="71" spans="1:787" s="1247" customFormat="1" ht="13" hidden="1" outlineLevel="2">
      <c r="B71" s="1422" t="s">
        <v>1240</v>
      </c>
      <c r="C71" s="1423"/>
      <c r="D71" s="1423" t="s">
        <v>1237</v>
      </c>
      <c r="E71" s="1424"/>
      <c r="F71" s="1425" t="s">
        <v>1091</v>
      </c>
      <c r="G71" s="1431" t="s">
        <v>4182</v>
      </c>
      <c r="H71" s="1424"/>
      <c r="I71" s="1424"/>
      <c r="J71" s="1428"/>
      <c r="K71" s="1427"/>
      <c r="L71" s="1427"/>
      <c r="M71" s="1427"/>
      <c r="N71" s="1427"/>
      <c r="O71" s="1427"/>
      <c r="P71" s="1427"/>
      <c r="Q71" s="1427">
        <f>VLOOKUP(D71,'当期公摊测算表（全期）'!D:W,12,FALSE)</f>
        <v>0</v>
      </c>
      <c r="R71" s="1428">
        <f t="shared" si="11"/>
        <v>0</v>
      </c>
      <c r="S71" s="1427">
        <f>VLOOKUP($D71,'当期公摊测算表（全期）'!D:W,17,FALSE)</f>
        <v>0</v>
      </c>
      <c r="T71" s="1427">
        <f t="shared" si="12"/>
        <v>0</v>
      </c>
      <c r="U71" s="1429"/>
      <c r="V71" s="1225">
        <f t="shared" si="2"/>
        <v>0</v>
      </c>
      <c r="W71" s="1225">
        <f t="shared" si="3"/>
        <v>0</v>
      </c>
      <c r="X71" s="1225"/>
      <c r="Y71" s="1225"/>
    </row>
    <row r="72" spans="1:787" s="1247" customFormat="1" ht="13" hidden="1" outlineLevel="2">
      <c r="B72" s="1422" t="s">
        <v>1242</v>
      </c>
      <c r="C72" s="1423"/>
      <c r="D72" s="1423" t="s">
        <v>3315</v>
      </c>
      <c r="E72" s="1424"/>
      <c r="F72" s="1425" t="s">
        <v>1091</v>
      </c>
      <c r="G72" s="1431" t="s">
        <v>4182</v>
      </c>
      <c r="H72" s="1424"/>
      <c r="I72" s="1424"/>
      <c r="J72" s="1428"/>
      <c r="K72" s="1427"/>
      <c r="L72" s="1427"/>
      <c r="M72" s="1427"/>
      <c r="N72" s="1427"/>
      <c r="O72" s="1427"/>
      <c r="P72" s="1427"/>
      <c r="Q72" s="1427">
        <f>VLOOKUP(D72,'当期公摊测算表（全期）'!D:W,12,FALSE)</f>
        <v>0</v>
      </c>
      <c r="R72" s="1428">
        <f t="shared" si="11"/>
        <v>0</v>
      </c>
      <c r="S72" s="1427">
        <f>VLOOKUP($D72,'当期公摊测算表（全期）'!D:W,17,FALSE)</f>
        <v>0</v>
      </c>
      <c r="T72" s="1427">
        <f t="shared" si="12"/>
        <v>0</v>
      </c>
      <c r="U72" s="1429"/>
      <c r="V72" s="1225">
        <f t="shared" si="2"/>
        <v>0</v>
      </c>
      <c r="W72" s="1225">
        <f t="shared" si="3"/>
        <v>0</v>
      </c>
      <c r="X72" s="1225"/>
      <c r="Y72" s="1225"/>
    </row>
    <row r="73" spans="1:787" s="1247" customFormat="1" ht="13" hidden="1" outlineLevel="2">
      <c r="B73" s="1422" t="s">
        <v>3316</v>
      </c>
      <c r="C73" s="1423"/>
      <c r="D73" s="1423" t="s">
        <v>3317</v>
      </c>
      <c r="E73" s="1424"/>
      <c r="F73" s="1425" t="s">
        <v>1091</v>
      </c>
      <c r="G73" s="1431" t="s">
        <v>4182</v>
      </c>
      <c r="H73" s="1424"/>
      <c r="I73" s="1424"/>
      <c r="J73" s="1428"/>
      <c r="K73" s="1427"/>
      <c r="L73" s="1427"/>
      <c r="M73" s="1427"/>
      <c r="N73" s="1427"/>
      <c r="O73" s="1427"/>
      <c r="P73" s="1427"/>
      <c r="Q73" s="1427">
        <f>VLOOKUP(D73,'当期公摊测算表（全期）'!D:W,12,FALSE)</f>
        <v>0</v>
      </c>
      <c r="R73" s="1428">
        <f t="shared" si="11"/>
        <v>0</v>
      </c>
      <c r="S73" s="1427">
        <f>VLOOKUP($D73,'当期公摊测算表（全期）'!D:W,17,FALSE)</f>
        <v>0</v>
      </c>
      <c r="T73" s="1427">
        <f t="shared" si="12"/>
        <v>0</v>
      </c>
      <c r="U73" s="1429"/>
      <c r="V73" s="1225">
        <f t="shared" si="2"/>
        <v>0</v>
      </c>
      <c r="W73" s="1225">
        <f t="shared" si="3"/>
        <v>0</v>
      </c>
      <c r="X73" s="1225"/>
      <c r="Y73" s="1225"/>
    </row>
    <row r="74" spans="1:787" s="1421" customFormat="1" ht="13" hidden="1" outlineLevel="1">
      <c r="A74" s="1247"/>
      <c r="B74" s="1413" t="s">
        <v>482</v>
      </c>
      <c r="C74" s="1414"/>
      <c r="D74" s="1414" t="s">
        <v>64</v>
      </c>
      <c r="E74" s="1442"/>
      <c r="F74" s="1416"/>
      <c r="G74" s="1417" t="s">
        <v>4117</v>
      </c>
      <c r="H74" s="1418">
        <f>SUBTOTAL(9,H75:H84)</f>
        <v>0</v>
      </c>
      <c r="I74" s="1418">
        <f t="shared" ref="I74:T74" si="13">SUBTOTAL(9,I75:I84)</f>
        <v>0</v>
      </c>
      <c r="J74" s="1419">
        <f t="shared" si="13"/>
        <v>0</v>
      </c>
      <c r="K74" s="1419">
        <f t="shared" si="13"/>
        <v>0</v>
      </c>
      <c r="L74" s="1419">
        <f t="shared" si="13"/>
        <v>0</v>
      </c>
      <c r="M74" s="1419">
        <f t="shared" si="13"/>
        <v>0</v>
      </c>
      <c r="N74" s="1419">
        <f t="shared" si="13"/>
        <v>159.96082000000001</v>
      </c>
      <c r="O74" s="1419">
        <f t="shared" si="13"/>
        <v>0</v>
      </c>
      <c r="P74" s="1419">
        <f t="shared" si="13"/>
        <v>0</v>
      </c>
      <c r="Q74" s="1419">
        <f t="shared" si="13"/>
        <v>0</v>
      </c>
      <c r="R74" s="1419">
        <f t="shared" si="13"/>
        <v>159.96082000000001</v>
      </c>
      <c r="S74" s="1419">
        <f t="shared" si="13"/>
        <v>0</v>
      </c>
      <c r="T74" s="1419">
        <f t="shared" si="13"/>
        <v>159.96082000000001</v>
      </c>
      <c r="U74" s="1443"/>
      <c r="V74" s="1225">
        <f t="shared" ref="V74:V137" si="14">H74+I74+J74+L74+N74+O74+P74+Q74+S74-T74+K74+M74</f>
        <v>0</v>
      </c>
      <c r="W74" s="1225">
        <f t="shared" ref="W74:W137" si="15">T74-R74</f>
        <v>0</v>
      </c>
      <c r="X74" s="1225"/>
      <c r="Y74" s="1225"/>
      <c r="Z74" s="1247"/>
      <c r="AA74" s="1247"/>
      <c r="AB74" s="1247"/>
      <c r="AC74" s="1247"/>
      <c r="AD74" s="1247"/>
      <c r="AE74" s="1247"/>
      <c r="AF74" s="1247"/>
      <c r="AG74" s="1247"/>
      <c r="AH74" s="1247"/>
      <c r="AI74" s="1247"/>
      <c r="AJ74" s="1247"/>
      <c r="AK74" s="1247"/>
      <c r="AL74" s="1247"/>
      <c r="AM74" s="1247"/>
      <c r="AN74" s="1247"/>
      <c r="AO74" s="1247"/>
      <c r="AP74" s="1247"/>
      <c r="AQ74" s="1247"/>
      <c r="AR74" s="1247"/>
      <c r="AS74" s="1247"/>
      <c r="AT74" s="1247"/>
      <c r="AU74" s="1247"/>
      <c r="AV74" s="1247"/>
      <c r="AW74" s="1247"/>
      <c r="AX74" s="1247"/>
      <c r="AY74" s="1247"/>
      <c r="AZ74" s="1247"/>
      <c r="BA74" s="1247"/>
      <c r="BB74" s="1247"/>
      <c r="BC74" s="1247"/>
      <c r="BD74" s="1247"/>
      <c r="BE74" s="1247"/>
      <c r="BF74" s="1247"/>
      <c r="BG74" s="1247"/>
      <c r="BH74" s="1247"/>
      <c r="BI74" s="1247"/>
      <c r="BJ74" s="1247"/>
      <c r="BK74" s="1247"/>
      <c r="BL74" s="1247"/>
      <c r="BM74" s="1247"/>
      <c r="BN74" s="1247"/>
      <c r="BO74" s="1247"/>
      <c r="BP74" s="1247"/>
      <c r="BQ74" s="1247"/>
      <c r="BR74" s="1247"/>
      <c r="BS74" s="1247"/>
      <c r="BT74" s="1247"/>
      <c r="BU74" s="1247"/>
      <c r="BV74" s="1247"/>
      <c r="BW74" s="1247"/>
      <c r="BX74" s="1247"/>
      <c r="BY74" s="1247"/>
      <c r="BZ74" s="1247"/>
      <c r="CA74" s="1247"/>
      <c r="CB74" s="1247"/>
      <c r="CC74" s="1247"/>
      <c r="CD74" s="1247"/>
      <c r="CE74" s="1247"/>
      <c r="CF74" s="1247"/>
      <c r="CG74" s="1247"/>
      <c r="CH74" s="1247"/>
      <c r="CI74" s="1247"/>
      <c r="CJ74" s="1247"/>
      <c r="CK74" s="1247"/>
      <c r="CL74" s="1247"/>
      <c r="CM74" s="1247"/>
      <c r="CN74" s="1247"/>
      <c r="CO74" s="1247"/>
      <c r="CP74" s="1247"/>
      <c r="CQ74" s="1247"/>
      <c r="CR74" s="1247"/>
      <c r="CS74" s="1247"/>
      <c r="CT74" s="1247"/>
      <c r="CU74" s="1247"/>
      <c r="CV74" s="1247"/>
      <c r="CW74" s="1247"/>
      <c r="CX74" s="1247"/>
      <c r="CY74" s="1247"/>
      <c r="CZ74" s="1247"/>
      <c r="DA74" s="1247"/>
      <c r="DB74" s="1247"/>
      <c r="DC74" s="1247"/>
      <c r="DD74" s="1247"/>
      <c r="DE74" s="1247"/>
      <c r="DF74" s="1247"/>
      <c r="DG74" s="1247"/>
      <c r="DH74" s="1247"/>
      <c r="DI74" s="1247"/>
      <c r="DJ74" s="1247"/>
      <c r="DK74" s="1247"/>
      <c r="DL74" s="1247"/>
      <c r="DM74" s="1247"/>
      <c r="DN74" s="1247"/>
      <c r="DO74" s="1247"/>
      <c r="DP74" s="1247"/>
      <c r="DQ74" s="1247"/>
      <c r="DR74" s="1247"/>
      <c r="DS74" s="1247"/>
      <c r="DT74" s="1247"/>
      <c r="DU74" s="1247"/>
      <c r="DV74" s="1247"/>
      <c r="DW74" s="1247"/>
      <c r="DX74" s="1247"/>
      <c r="DY74" s="1247"/>
      <c r="DZ74" s="1247"/>
      <c r="EA74" s="1247"/>
      <c r="EB74" s="1247"/>
      <c r="EC74" s="1247"/>
      <c r="ED74" s="1247"/>
      <c r="EE74" s="1247"/>
      <c r="EF74" s="1247"/>
      <c r="EG74" s="1247"/>
      <c r="EH74" s="1247"/>
      <c r="EI74" s="1247"/>
      <c r="EJ74" s="1247"/>
      <c r="EK74" s="1247"/>
      <c r="EL74" s="1247"/>
      <c r="EM74" s="1247"/>
      <c r="EN74" s="1247"/>
      <c r="EO74" s="1247"/>
      <c r="EP74" s="1247"/>
      <c r="EQ74" s="1247"/>
      <c r="ER74" s="1247"/>
      <c r="ES74" s="1247"/>
      <c r="ET74" s="1247"/>
      <c r="EU74" s="1247"/>
      <c r="EV74" s="1247"/>
      <c r="EW74" s="1247"/>
      <c r="EX74" s="1247"/>
      <c r="EY74" s="1247"/>
      <c r="EZ74" s="1247"/>
      <c r="FA74" s="1247"/>
      <c r="FB74" s="1247"/>
      <c r="FC74" s="1247"/>
      <c r="FD74" s="1247"/>
      <c r="FE74" s="1247"/>
      <c r="FF74" s="1247"/>
      <c r="FG74" s="1247"/>
      <c r="FH74" s="1247"/>
      <c r="FI74" s="1247"/>
      <c r="FJ74" s="1247"/>
      <c r="FK74" s="1247"/>
      <c r="FL74" s="1247"/>
      <c r="FM74" s="1247"/>
      <c r="FN74" s="1247"/>
      <c r="FO74" s="1247"/>
      <c r="FP74" s="1247"/>
      <c r="FQ74" s="1247"/>
      <c r="FR74" s="1247"/>
      <c r="FS74" s="1247"/>
      <c r="FT74" s="1247"/>
      <c r="FU74" s="1247"/>
      <c r="FV74" s="1247"/>
      <c r="FW74" s="1247"/>
      <c r="FX74" s="1247"/>
      <c r="FY74" s="1247"/>
      <c r="FZ74" s="1247"/>
      <c r="GA74" s="1247"/>
      <c r="GB74" s="1247"/>
      <c r="GC74" s="1247"/>
      <c r="GD74" s="1247"/>
      <c r="GE74" s="1247"/>
      <c r="GF74" s="1247"/>
      <c r="GG74" s="1247"/>
      <c r="GH74" s="1247"/>
      <c r="GI74" s="1247"/>
      <c r="GJ74" s="1247"/>
      <c r="GK74" s="1247"/>
      <c r="GL74" s="1247"/>
      <c r="GM74" s="1247"/>
      <c r="GN74" s="1247"/>
      <c r="GO74" s="1247"/>
      <c r="GP74" s="1247"/>
      <c r="GQ74" s="1247"/>
      <c r="GR74" s="1247"/>
      <c r="GS74" s="1247"/>
      <c r="GT74" s="1247"/>
      <c r="GU74" s="1247"/>
      <c r="GV74" s="1247"/>
      <c r="GW74" s="1247"/>
      <c r="GX74" s="1247"/>
      <c r="GY74" s="1247"/>
      <c r="GZ74" s="1247"/>
      <c r="HA74" s="1247"/>
      <c r="HB74" s="1247"/>
      <c r="HC74" s="1247"/>
      <c r="HD74" s="1247"/>
      <c r="HE74" s="1247"/>
      <c r="HF74" s="1247"/>
      <c r="HG74" s="1247"/>
      <c r="HH74" s="1247"/>
      <c r="HI74" s="1247"/>
      <c r="HJ74" s="1247"/>
      <c r="HK74" s="1247"/>
      <c r="HL74" s="1247"/>
      <c r="HM74" s="1247"/>
      <c r="HN74" s="1247"/>
      <c r="HO74" s="1247"/>
      <c r="HP74" s="1247"/>
      <c r="HQ74" s="1247"/>
      <c r="HR74" s="1247"/>
      <c r="HS74" s="1247"/>
      <c r="HT74" s="1247"/>
      <c r="HU74" s="1247"/>
      <c r="HV74" s="1247"/>
      <c r="HW74" s="1247"/>
      <c r="HX74" s="1247"/>
      <c r="HY74" s="1247"/>
      <c r="HZ74" s="1247"/>
      <c r="IA74" s="1247"/>
      <c r="IB74" s="1247"/>
      <c r="IC74" s="1247"/>
      <c r="ID74" s="1247"/>
      <c r="IE74" s="1247"/>
      <c r="IF74" s="1247"/>
      <c r="IG74" s="1247"/>
      <c r="IH74" s="1247"/>
      <c r="II74" s="1247"/>
      <c r="IJ74" s="1247"/>
      <c r="IK74" s="1247"/>
      <c r="IL74" s="1247"/>
      <c r="IM74" s="1247"/>
      <c r="IN74" s="1247"/>
      <c r="IO74" s="1247"/>
      <c r="IP74" s="1247"/>
      <c r="IQ74" s="1247"/>
      <c r="IR74" s="1247"/>
      <c r="IS74" s="1247"/>
      <c r="IT74" s="1247"/>
      <c r="IU74" s="1247"/>
      <c r="IV74" s="1247"/>
      <c r="IW74" s="1247"/>
      <c r="IX74" s="1247"/>
      <c r="IY74" s="1247"/>
      <c r="IZ74" s="1247"/>
      <c r="JA74" s="1247"/>
      <c r="JB74" s="1247"/>
      <c r="JC74" s="1247"/>
      <c r="JD74" s="1247"/>
      <c r="JE74" s="1247"/>
      <c r="JF74" s="1247"/>
      <c r="JG74" s="1247"/>
      <c r="JH74" s="1247"/>
      <c r="JI74" s="1247"/>
      <c r="JJ74" s="1247"/>
      <c r="JK74" s="1247"/>
      <c r="JL74" s="1247"/>
      <c r="JM74" s="1247"/>
      <c r="JN74" s="1247"/>
      <c r="JO74" s="1247"/>
      <c r="JP74" s="1247"/>
      <c r="JQ74" s="1247"/>
      <c r="JR74" s="1247"/>
      <c r="JS74" s="1247"/>
      <c r="JT74" s="1247"/>
      <c r="JU74" s="1247"/>
      <c r="JV74" s="1247"/>
      <c r="JW74" s="1247"/>
      <c r="JX74" s="1247"/>
      <c r="JY74" s="1247"/>
      <c r="JZ74" s="1247"/>
      <c r="KA74" s="1247"/>
      <c r="KB74" s="1247"/>
      <c r="KC74" s="1247"/>
      <c r="KD74" s="1247"/>
      <c r="KE74" s="1247"/>
      <c r="KF74" s="1247"/>
      <c r="KG74" s="1247"/>
      <c r="KH74" s="1247"/>
      <c r="KI74" s="1247"/>
      <c r="KJ74" s="1247"/>
      <c r="KK74" s="1247"/>
      <c r="KL74" s="1247"/>
      <c r="KM74" s="1247"/>
      <c r="KN74" s="1247"/>
      <c r="KO74" s="1247"/>
      <c r="KP74" s="1247"/>
      <c r="KQ74" s="1247"/>
      <c r="KR74" s="1247"/>
      <c r="KS74" s="1247"/>
      <c r="KT74" s="1247"/>
      <c r="KU74" s="1247"/>
      <c r="KV74" s="1247"/>
      <c r="KW74" s="1247"/>
      <c r="KX74" s="1247"/>
      <c r="KY74" s="1247"/>
      <c r="KZ74" s="1247"/>
      <c r="LA74" s="1247"/>
      <c r="LB74" s="1247"/>
      <c r="LC74" s="1247"/>
      <c r="LD74" s="1247"/>
      <c r="LE74" s="1247"/>
      <c r="LF74" s="1247"/>
      <c r="LG74" s="1247"/>
      <c r="LH74" s="1247"/>
      <c r="LI74" s="1247"/>
      <c r="LJ74" s="1247"/>
      <c r="LK74" s="1247"/>
      <c r="LL74" s="1247"/>
      <c r="LM74" s="1247"/>
      <c r="LN74" s="1247"/>
      <c r="LO74" s="1247"/>
      <c r="LP74" s="1247"/>
      <c r="LQ74" s="1247"/>
      <c r="LR74" s="1247"/>
      <c r="LS74" s="1247"/>
      <c r="LT74" s="1247"/>
      <c r="LU74" s="1247"/>
      <c r="LV74" s="1247"/>
      <c r="LW74" s="1247"/>
      <c r="LX74" s="1247"/>
      <c r="LY74" s="1247"/>
      <c r="LZ74" s="1247"/>
      <c r="MA74" s="1247"/>
      <c r="MB74" s="1247"/>
      <c r="MC74" s="1247"/>
      <c r="MD74" s="1247"/>
      <c r="ME74" s="1247"/>
      <c r="MF74" s="1247"/>
      <c r="MG74" s="1247"/>
      <c r="MH74" s="1247"/>
      <c r="MI74" s="1247"/>
      <c r="MJ74" s="1247"/>
      <c r="MK74" s="1247"/>
      <c r="ML74" s="1247"/>
      <c r="MM74" s="1247"/>
      <c r="MN74" s="1247"/>
      <c r="MO74" s="1247"/>
      <c r="MP74" s="1247"/>
      <c r="MQ74" s="1247"/>
      <c r="MR74" s="1247"/>
      <c r="MS74" s="1247"/>
      <c r="MT74" s="1247"/>
      <c r="MU74" s="1247"/>
      <c r="MV74" s="1247"/>
      <c r="MW74" s="1247"/>
      <c r="MX74" s="1247"/>
      <c r="MY74" s="1247"/>
      <c r="MZ74" s="1247"/>
      <c r="NA74" s="1247"/>
      <c r="NB74" s="1247"/>
      <c r="NC74" s="1247"/>
      <c r="ND74" s="1247"/>
      <c r="NE74" s="1247"/>
      <c r="NF74" s="1247"/>
      <c r="NG74" s="1247"/>
      <c r="NH74" s="1247"/>
      <c r="NI74" s="1247"/>
      <c r="NJ74" s="1247"/>
      <c r="NK74" s="1247"/>
      <c r="NL74" s="1247"/>
      <c r="NM74" s="1247"/>
      <c r="NN74" s="1247"/>
      <c r="NO74" s="1247"/>
      <c r="NP74" s="1247"/>
      <c r="NQ74" s="1247"/>
      <c r="NR74" s="1247"/>
      <c r="NS74" s="1247"/>
      <c r="NT74" s="1247"/>
      <c r="NU74" s="1247"/>
      <c r="NV74" s="1247"/>
      <c r="NW74" s="1247"/>
      <c r="NX74" s="1247"/>
      <c r="NY74" s="1247"/>
      <c r="NZ74" s="1247"/>
      <c r="OA74" s="1247"/>
      <c r="OB74" s="1247"/>
      <c r="OC74" s="1247"/>
      <c r="OD74" s="1247"/>
      <c r="OE74" s="1247"/>
      <c r="OF74" s="1247"/>
      <c r="OG74" s="1247"/>
      <c r="OH74" s="1247"/>
      <c r="OI74" s="1247"/>
      <c r="OJ74" s="1247"/>
      <c r="OK74" s="1247"/>
      <c r="OL74" s="1247"/>
      <c r="OM74" s="1247"/>
      <c r="ON74" s="1247"/>
      <c r="OO74" s="1247"/>
      <c r="OP74" s="1247"/>
      <c r="OQ74" s="1247"/>
      <c r="OR74" s="1247"/>
      <c r="OS74" s="1247"/>
      <c r="OT74" s="1247"/>
      <c r="OU74" s="1247"/>
      <c r="OV74" s="1247"/>
      <c r="OW74" s="1247"/>
      <c r="OX74" s="1247"/>
      <c r="OY74" s="1247"/>
      <c r="OZ74" s="1247"/>
      <c r="PA74" s="1247"/>
      <c r="PB74" s="1247"/>
      <c r="PC74" s="1247"/>
      <c r="PD74" s="1247"/>
      <c r="PE74" s="1247"/>
      <c r="PF74" s="1247"/>
      <c r="PG74" s="1247"/>
      <c r="PH74" s="1247"/>
      <c r="PI74" s="1247"/>
      <c r="PJ74" s="1247"/>
      <c r="PK74" s="1247"/>
      <c r="PL74" s="1247"/>
      <c r="PM74" s="1247"/>
      <c r="PN74" s="1247"/>
      <c r="PO74" s="1247"/>
      <c r="PP74" s="1247"/>
      <c r="PQ74" s="1247"/>
      <c r="PR74" s="1247"/>
      <c r="PS74" s="1247"/>
      <c r="PT74" s="1247"/>
      <c r="PU74" s="1247"/>
      <c r="PV74" s="1247"/>
      <c r="PW74" s="1247"/>
      <c r="PX74" s="1247"/>
      <c r="PY74" s="1247"/>
      <c r="PZ74" s="1247"/>
      <c r="QA74" s="1247"/>
      <c r="QB74" s="1247"/>
      <c r="QC74" s="1247"/>
      <c r="QD74" s="1247"/>
      <c r="QE74" s="1247"/>
      <c r="QF74" s="1247"/>
      <c r="QG74" s="1247"/>
      <c r="QH74" s="1247"/>
      <c r="QI74" s="1247"/>
      <c r="QJ74" s="1247"/>
      <c r="QK74" s="1247"/>
      <c r="QL74" s="1247"/>
      <c r="QM74" s="1247"/>
      <c r="QN74" s="1247"/>
      <c r="QO74" s="1247"/>
      <c r="QP74" s="1247"/>
      <c r="QQ74" s="1247"/>
      <c r="QR74" s="1247"/>
      <c r="QS74" s="1247"/>
      <c r="QT74" s="1247"/>
      <c r="QU74" s="1247"/>
      <c r="QV74" s="1247"/>
      <c r="QW74" s="1247"/>
      <c r="QX74" s="1247"/>
      <c r="QY74" s="1247"/>
      <c r="QZ74" s="1247"/>
      <c r="RA74" s="1247"/>
      <c r="RB74" s="1247"/>
      <c r="RC74" s="1247"/>
      <c r="RD74" s="1247"/>
      <c r="RE74" s="1247"/>
      <c r="RF74" s="1247"/>
      <c r="RG74" s="1247"/>
      <c r="RH74" s="1247"/>
      <c r="RI74" s="1247"/>
      <c r="RJ74" s="1247"/>
      <c r="RK74" s="1247"/>
      <c r="RL74" s="1247"/>
      <c r="RM74" s="1247"/>
      <c r="RN74" s="1247"/>
      <c r="RO74" s="1247"/>
      <c r="RP74" s="1247"/>
      <c r="RQ74" s="1247"/>
      <c r="RR74" s="1247"/>
      <c r="RS74" s="1247"/>
      <c r="RT74" s="1247"/>
      <c r="RU74" s="1247"/>
      <c r="RV74" s="1247"/>
      <c r="RW74" s="1247"/>
      <c r="RX74" s="1247"/>
      <c r="RY74" s="1247"/>
      <c r="RZ74" s="1247"/>
      <c r="SA74" s="1247"/>
      <c r="SB74" s="1247"/>
      <c r="SC74" s="1247"/>
      <c r="SD74" s="1247"/>
      <c r="SE74" s="1247"/>
      <c r="SF74" s="1247"/>
      <c r="SG74" s="1247"/>
      <c r="SH74" s="1247"/>
      <c r="SI74" s="1247"/>
      <c r="SJ74" s="1247"/>
      <c r="SK74" s="1247"/>
      <c r="SL74" s="1247"/>
      <c r="SM74" s="1247"/>
      <c r="SN74" s="1247"/>
      <c r="SO74" s="1247"/>
      <c r="SP74" s="1247"/>
      <c r="SQ74" s="1247"/>
      <c r="SR74" s="1247"/>
      <c r="SS74" s="1247"/>
      <c r="ST74" s="1247"/>
      <c r="SU74" s="1247"/>
      <c r="SV74" s="1247"/>
      <c r="SW74" s="1247"/>
      <c r="SX74" s="1247"/>
      <c r="SY74" s="1247"/>
      <c r="SZ74" s="1247"/>
      <c r="TA74" s="1247"/>
      <c r="TB74" s="1247"/>
      <c r="TC74" s="1247"/>
      <c r="TD74" s="1247"/>
      <c r="TE74" s="1247"/>
      <c r="TF74" s="1247"/>
      <c r="TG74" s="1247"/>
      <c r="TH74" s="1247"/>
      <c r="TI74" s="1247"/>
      <c r="TJ74" s="1247"/>
      <c r="TK74" s="1247"/>
      <c r="TL74" s="1247"/>
      <c r="TM74" s="1247"/>
      <c r="TN74" s="1247"/>
      <c r="TO74" s="1247"/>
      <c r="TP74" s="1247"/>
      <c r="TQ74" s="1247"/>
      <c r="TR74" s="1247"/>
      <c r="TS74" s="1247"/>
      <c r="TT74" s="1247"/>
      <c r="TU74" s="1247"/>
      <c r="TV74" s="1247"/>
      <c r="TW74" s="1247"/>
      <c r="TX74" s="1247"/>
      <c r="TY74" s="1247"/>
      <c r="TZ74" s="1247"/>
      <c r="UA74" s="1247"/>
      <c r="UB74" s="1247"/>
      <c r="UC74" s="1247"/>
      <c r="UD74" s="1247"/>
      <c r="UE74" s="1247"/>
      <c r="UF74" s="1247"/>
      <c r="UG74" s="1247"/>
      <c r="UH74" s="1247"/>
      <c r="UI74" s="1247"/>
      <c r="UJ74" s="1247"/>
      <c r="UK74" s="1247"/>
      <c r="UL74" s="1247"/>
      <c r="UM74" s="1247"/>
      <c r="UN74" s="1247"/>
      <c r="UO74" s="1247"/>
      <c r="UP74" s="1247"/>
      <c r="UQ74" s="1247"/>
      <c r="UR74" s="1247"/>
      <c r="US74" s="1247"/>
      <c r="UT74" s="1247"/>
      <c r="UU74" s="1247"/>
      <c r="UV74" s="1247"/>
      <c r="UW74" s="1247"/>
      <c r="UX74" s="1247"/>
      <c r="UY74" s="1247"/>
      <c r="UZ74" s="1247"/>
      <c r="VA74" s="1247"/>
      <c r="VB74" s="1247"/>
      <c r="VC74" s="1247"/>
      <c r="VD74" s="1247"/>
      <c r="VE74" s="1247"/>
      <c r="VF74" s="1247"/>
      <c r="VG74" s="1247"/>
      <c r="VH74" s="1247"/>
      <c r="VI74" s="1247"/>
      <c r="VJ74" s="1247"/>
      <c r="VK74" s="1247"/>
      <c r="VL74" s="1247"/>
      <c r="VM74" s="1247"/>
      <c r="VN74" s="1247"/>
      <c r="VO74" s="1247"/>
      <c r="VP74" s="1247"/>
      <c r="VQ74" s="1247"/>
      <c r="VR74" s="1247"/>
      <c r="VS74" s="1247"/>
      <c r="VT74" s="1247"/>
      <c r="VU74" s="1247"/>
      <c r="VV74" s="1247"/>
      <c r="VW74" s="1247"/>
      <c r="VX74" s="1247"/>
      <c r="VY74" s="1247"/>
      <c r="VZ74" s="1247"/>
      <c r="WA74" s="1247"/>
      <c r="WB74" s="1247"/>
      <c r="WC74" s="1247"/>
      <c r="WD74" s="1247"/>
      <c r="WE74" s="1247"/>
      <c r="WF74" s="1247"/>
      <c r="WG74" s="1247"/>
      <c r="WH74" s="1247"/>
      <c r="WI74" s="1247"/>
      <c r="WJ74" s="1247"/>
      <c r="WK74" s="1247"/>
      <c r="WL74" s="1247"/>
      <c r="WM74" s="1247"/>
      <c r="WN74" s="1247"/>
      <c r="WO74" s="1247"/>
      <c r="WP74" s="1247"/>
      <c r="WQ74" s="1247"/>
      <c r="WR74" s="1247"/>
      <c r="WS74" s="1247"/>
      <c r="WT74" s="1247"/>
      <c r="WU74" s="1247"/>
      <c r="WV74" s="1247"/>
      <c r="WW74" s="1247"/>
      <c r="WX74" s="1247"/>
      <c r="WY74" s="1247"/>
      <c r="WZ74" s="1247"/>
      <c r="XA74" s="1247"/>
      <c r="XB74" s="1247"/>
      <c r="XC74" s="1247"/>
      <c r="XD74" s="1247"/>
      <c r="XE74" s="1247"/>
      <c r="XF74" s="1247"/>
      <c r="XG74" s="1247"/>
      <c r="XH74" s="1247"/>
      <c r="XI74" s="1247"/>
      <c r="XJ74" s="1247"/>
      <c r="XK74" s="1247"/>
      <c r="XL74" s="1247"/>
      <c r="XM74" s="1247"/>
      <c r="XN74" s="1247"/>
      <c r="XO74" s="1247"/>
      <c r="XP74" s="1247"/>
      <c r="XQ74" s="1247"/>
      <c r="XR74" s="1247"/>
      <c r="XS74" s="1247"/>
      <c r="XT74" s="1247"/>
      <c r="XU74" s="1247"/>
      <c r="XV74" s="1247"/>
      <c r="XW74" s="1247"/>
      <c r="XX74" s="1247"/>
      <c r="XY74" s="1247"/>
      <c r="XZ74" s="1247"/>
      <c r="YA74" s="1247"/>
      <c r="YB74" s="1247"/>
      <c r="YC74" s="1247"/>
      <c r="YD74" s="1247"/>
      <c r="YE74" s="1247"/>
      <c r="YF74" s="1247"/>
      <c r="YG74" s="1247"/>
      <c r="YH74" s="1247"/>
      <c r="YI74" s="1247"/>
      <c r="YJ74" s="1247"/>
      <c r="YK74" s="1247"/>
      <c r="YL74" s="1247"/>
      <c r="YM74" s="1247"/>
      <c r="YN74" s="1247"/>
      <c r="YO74" s="1247"/>
      <c r="YP74" s="1247"/>
      <c r="YQ74" s="1247"/>
      <c r="YR74" s="1247"/>
      <c r="YS74" s="1247"/>
      <c r="YT74" s="1247"/>
      <c r="YU74" s="1247"/>
      <c r="YV74" s="1247"/>
      <c r="YW74" s="1247"/>
      <c r="YX74" s="1247"/>
      <c r="YY74" s="1247"/>
      <c r="YZ74" s="1247"/>
      <c r="ZA74" s="1247"/>
      <c r="ZB74" s="1247"/>
      <c r="ZC74" s="1247"/>
      <c r="ZD74" s="1247"/>
      <c r="ZE74" s="1247"/>
      <c r="ZF74" s="1247"/>
      <c r="ZG74" s="1247"/>
      <c r="ZH74" s="1247"/>
      <c r="ZI74" s="1247"/>
      <c r="ZJ74" s="1247"/>
      <c r="ZK74" s="1247"/>
      <c r="ZL74" s="1247"/>
      <c r="ZM74" s="1247"/>
      <c r="ZN74" s="1247"/>
      <c r="ZO74" s="1247"/>
      <c r="ZP74" s="1247"/>
      <c r="ZQ74" s="1247"/>
      <c r="ZR74" s="1247"/>
      <c r="ZS74" s="1247"/>
      <c r="ZT74" s="1247"/>
      <c r="ZU74" s="1247"/>
      <c r="ZV74" s="1247"/>
      <c r="ZW74" s="1247"/>
      <c r="ZX74" s="1247"/>
      <c r="ZY74" s="1247"/>
      <c r="ZZ74" s="1247"/>
      <c r="AAA74" s="1247"/>
      <c r="AAB74" s="1247"/>
      <c r="AAC74" s="1247"/>
      <c r="AAD74" s="1247"/>
      <c r="AAE74" s="1247"/>
      <c r="AAF74" s="1247"/>
      <c r="AAG74" s="1247"/>
      <c r="AAH74" s="1247"/>
      <c r="AAI74" s="1247"/>
      <c r="AAJ74" s="1247"/>
      <c r="AAK74" s="1247"/>
      <c r="AAL74" s="1247"/>
      <c r="AAM74" s="1247"/>
      <c r="AAN74" s="1247"/>
      <c r="AAO74" s="1247"/>
      <c r="AAP74" s="1247"/>
      <c r="AAQ74" s="1247"/>
      <c r="AAR74" s="1247"/>
      <c r="AAS74" s="1247"/>
      <c r="AAT74" s="1247"/>
      <c r="AAU74" s="1247"/>
      <c r="AAV74" s="1247"/>
      <c r="AAW74" s="1247"/>
      <c r="AAX74" s="1247"/>
      <c r="AAY74" s="1247"/>
      <c r="AAZ74" s="1247"/>
      <c r="ABA74" s="1247"/>
      <c r="ABB74" s="1247"/>
      <c r="ABC74" s="1247"/>
      <c r="ABD74" s="1247"/>
      <c r="ABE74" s="1247"/>
      <c r="ABF74" s="1247"/>
      <c r="ABG74" s="1247"/>
      <c r="ABH74" s="1247"/>
      <c r="ABI74" s="1247"/>
      <c r="ABJ74" s="1247"/>
      <c r="ABK74" s="1247"/>
      <c r="ABL74" s="1247"/>
      <c r="ABM74" s="1247"/>
      <c r="ABN74" s="1247"/>
      <c r="ABO74" s="1247"/>
      <c r="ABP74" s="1247"/>
      <c r="ABQ74" s="1247"/>
      <c r="ABR74" s="1247"/>
      <c r="ABS74" s="1247"/>
      <c r="ABT74" s="1247"/>
      <c r="ABU74" s="1247"/>
      <c r="ABV74" s="1247"/>
      <c r="ABW74" s="1247"/>
      <c r="ABX74" s="1247"/>
      <c r="ABY74" s="1247"/>
      <c r="ABZ74" s="1247"/>
      <c r="ACA74" s="1247"/>
      <c r="ACB74" s="1247"/>
      <c r="ACC74" s="1247"/>
      <c r="ACD74" s="1247"/>
      <c r="ACE74" s="1247"/>
      <c r="ACF74" s="1247"/>
      <c r="ACG74" s="1247"/>
      <c r="ACH74" s="1247"/>
      <c r="ACI74" s="1247"/>
      <c r="ACJ74" s="1247"/>
      <c r="ACK74" s="1247"/>
      <c r="ACL74" s="1247"/>
      <c r="ACM74" s="1247"/>
      <c r="ACN74" s="1247"/>
      <c r="ACO74" s="1247"/>
      <c r="ACP74" s="1247"/>
      <c r="ACQ74" s="1247"/>
      <c r="ACR74" s="1247"/>
      <c r="ACS74" s="1247"/>
      <c r="ACT74" s="1247"/>
      <c r="ACU74" s="1247"/>
      <c r="ACV74" s="1247"/>
      <c r="ACW74" s="1247"/>
      <c r="ACX74" s="1247"/>
      <c r="ACY74" s="1247"/>
      <c r="ACZ74" s="1247"/>
      <c r="ADA74" s="1247"/>
      <c r="ADB74" s="1247"/>
      <c r="ADC74" s="1247"/>
      <c r="ADD74" s="1247"/>
      <c r="ADE74" s="1247"/>
      <c r="ADF74" s="1247"/>
      <c r="ADG74" s="1247"/>
    </row>
    <row r="75" spans="1:787" s="1247" customFormat="1" ht="13" hidden="1" outlineLevel="2">
      <c r="B75" s="1422" t="s">
        <v>1246</v>
      </c>
      <c r="C75" s="1423"/>
      <c r="D75" s="1423" t="s">
        <v>2017</v>
      </c>
      <c r="E75" s="1424"/>
      <c r="F75" s="1425"/>
      <c r="G75" s="1431" t="s">
        <v>4117</v>
      </c>
      <c r="H75" s="1424"/>
      <c r="I75" s="1424"/>
      <c r="J75" s="1428"/>
      <c r="K75" s="1427"/>
      <c r="L75" s="1427"/>
      <c r="M75" s="1427"/>
      <c r="N75" s="1427"/>
      <c r="O75" s="1427"/>
      <c r="P75" s="1427"/>
      <c r="Q75" s="1427">
        <f>SUBTOTAL(9,Q76:Q77)</f>
        <v>0</v>
      </c>
      <c r="R75" s="1427">
        <f>SUBTOTAL(9,R76:R77)</f>
        <v>0</v>
      </c>
      <c r="S75" s="1427">
        <f>SUBTOTAL(9,S76:S77)</f>
        <v>0</v>
      </c>
      <c r="T75" s="1427">
        <f>SUBTOTAL(9,T76:T77)</f>
        <v>0</v>
      </c>
      <c r="U75" s="1429"/>
      <c r="V75" s="1225">
        <f t="shared" si="14"/>
        <v>0</v>
      </c>
      <c r="W75" s="1225">
        <f t="shared" si="15"/>
        <v>0</v>
      </c>
      <c r="X75" s="1225"/>
      <c r="Y75" s="1225"/>
    </row>
    <row r="76" spans="1:787" s="1221" customFormat="1" ht="13" hidden="1" outlineLevel="3">
      <c r="B76" s="1433" t="s">
        <v>3318</v>
      </c>
      <c r="C76" s="1434"/>
      <c r="D76" s="1434" t="s">
        <v>3319</v>
      </c>
      <c r="E76" s="1431"/>
      <c r="F76" s="1425"/>
      <c r="G76" s="1431" t="s">
        <v>4117</v>
      </c>
      <c r="H76" s="1424"/>
      <c r="I76" s="1424"/>
      <c r="J76" s="1437"/>
      <c r="K76" s="1437"/>
      <c r="L76" s="1437"/>
      <c r="M76" s="1437"/>
      <c r="N76" s="1437"/>
      <c r="O76" s="1437"/>
      <c r="P76" s="1437"/>
      <c r="Q76" s="1437">
        <f>VLOOKUP(D76,'当期公摊测算表（全期）'!D:W,12,FALSE)</f>
        <v>0</v>
      </c>
      <c r="R76" s="1172">
        <f t="shared" ref="R76:R96" si="16">SUM(H76:Q76)</f>
        <v>0</v>
      </c>
      <c r="S76" s="1437">
        <f>VLOOKUP($D76,'当期公摊测算表（全期）'!D:W,17,FALSE)</f>
        <v>0</v>
      </c>
      <c r="T76" s="1437">
        <f>R76+S76</f>
        <v>0</v>
      </c>
      <c r="U76" s="1438"/>
      <c r="V76" s="1225">
        <f t="shared" si="14"/>
        <v>0</v>
      </c>
      <c r="W76" s="1225">
        <f t="shared" si="15"/>
        <v>0</v>
      </c>
      <c r="X76" s="1225"/>
      <c r="Y76" s="1225"/>
    </row>
    <row r="77" spans="1:787" s="1221" customFormat="1" ht="13" hidden="1" outlineLevel="3">
      <c r="B77" s="1433" t="s">
        <v>3320</v>
      </c>
      <c r="C77" s="1434"/>
      <c r="D77" s="1434" t="s">
        <v>3321</v>
      </c>
      <c r="E77" s="1431"/>
      <c r="F77" s="1425"/>
      <c r="G77" s="1431" t="s">
        <v>4117</v>
      </c>
      <c r="H77" s="1424"/>
      <c r="I77" s="1424"/>
      <c r="J77" s="1437"/>
      <c r="K77" s="1437"/>
      <c r="L77" s="1437"/>
      <c r="M77" s="1437"/>
      <c r="N77" s="1437"/>
      <c r="O77" s="1437"/>
      <c r="P77" s="1437"/>
      <c r="Q77" s="1437">
        <f>VLOOKUP(D77,'当期公摊测算表（全期）'!D:W,12,FALSE)</f>
        <v>0</v>
      </c>
      <c r="R77" s="1172">
        <f t="shared" si="16"/>
        <v>0</v>
      </c>
      <c r="S77" s="1437">
        <f>VLOOKUP($D77,'当期公摊测算表（全期）'!D:W,17,FALSE)</f>
        <v>0</v>
      </c>
      <c r="T77" s="1437">
        <f>R77+S77</f>
        <v>0</v>
      </c>
      <c r="U77" s="1438"/>
      <c r="V77" s="1225">
        <f t="shared" si="14"/>
        <v>0</v>
      </c>
      <c r="W77" s="1225">
        <f t="shared" si="15"/>
        <v>0</v>
      </c>
      <c r="X77" s="1225"/>
      <c r="Y77" s="1225"/>
    </row>
    <row r="78" spans="1:787" s="1247" customFormat="1" ht="13" hidden="1" outlineLevel="2">
      <c r="B78" s="1422" t="s">
        <v>1249</v>
      </c>
      <c r="C78" s="1423"/>
      <c r="D78" s="1423" t="s">
        <v>3322</v>
      </c>
      <c r="E78" s="1424"/>
      <c r="F78" s="1425"/>
      <c r="G78" s="1431" t="s">
        <v>4117</v>
      </c>
      <c r="H78" s="1446">
        <f t="shared" ref="H78:T78" si="17">SUBTOTAL(9,H79:H80)</f>
        <v>0</v>
      </c>
      <c r="I78" s="1446">
        <f t="shared" si="17"/>
        <v>0</v>
      </c>
      <c r="J78" s="1427">
        <f t="shared" si="17"/>
        <v>0</v>
      </c>
      <c r="K78" s="1427">
        <f t="shared" si="17"/>
        <v>0</v>
      </c>
      <c r="L78" s="1427">
        <f t="shared" si="17"/>
        <v>0</v>
      </c>
      <c r="M78" s="1427">
        <f t="shared" si="17"/>
        <v>0</v>
      </c>
      <c r="N78" s="1427">
        <f t="shared" si="17"/>
        <v>159.96082000000001</v>
      </c>
      <c r="O78" s="1427">
        <f t="shared" si="17"/>
        <v>0</v>
      </c>
      <c r="P78" s="1427">
        <f t="shared" si="17"/>
        <v>0</v>
      </c>
      <c r="Q78" s="1427">
        <f t="shared" si="17"/>
        <v>0</v>
      </c>
      <c r="R78" s="1427">
        <f t="shared" si="17"/>
        <v>159.96082000000001</v>
      </c>
      <c r="S78" s="1427">
        <f t="shared" si="17"/>
        <v>0</v>
      </c>
      <c r="T78" s="1427">
        <f t="shared" si="17"/>
        <v>159.96082000000001</v>
      </c>
      <c r="U78" s="1429"/>
      <c r="V78" s="1225">
        <f t="shared" si="14"/>
        <v>0</v>
      </c>
      <c r="W78" s="1225">
        <f t="shared" si="15"/>
        <v>0</v>
      </c>
      <c r="X78" s="1225"/>
      <c r="Y78" s="1225"/>
    </row>
    <row r="79" spans="1:787" s="1221" customFormat="1" ht="13" hidden="1" outlineLevel="3">
      <c r="B79" s="1433" t="s">
        <v>3323</v>
      </c>
      <c r="C79" s="1434"/>
      <c r="D79" s="1434" t="s">
        <v>3324</v>
      </c>
      <c r="E79" s="1431" t="s">
        <v>3325</v>
      </c>
      <c r="F79" s="1425" t="s">
        <v>3326</v>
      </c>
      <c r="G79" s="1431" t="s">
        <v>4183</v>
      </c>
      <c r="H79" s="1447">
        <f>VLOOKUP($D79,车位!$D:$V,12,FALSE)</f>
        <v>0</v>
      </c>
      <c r="I79" s="1426"/>
      <c r="J79" s="1437"/>
      <c r="K79" s="1437"/>
      <c r="L79" s="1437"/>
      <c r="M79" s="1437"/>
      <c r="N79" s="1437">
        <f>VLOOKUP($D79,人防车位!D:U,12,FALSE)</f>
        <v>159.96082000000001</v>
      </c>
      <c r="O79" s="1437"/>
      <c r="P79" s="1437"/>
      <c r="Q79" s="1437">
        <f>VLOOKUP(D79,'当期公摊测算表（全期）'!D:W,12,FALSE)</f>
        <v>0</v>
      </c>
      <c r="R79" s="1172">
        <f t="shared" si="16"/>
        <v>159.96082000000001</v>
      </c>
      <c r="S79" s="1437">
        <f>VLOOKUP($D79,'当期公摊测算表（全期）'!D:W,17,FALSE)</f>
        <v>0</v>
      </c>
      <c r="T79" s="1437">
        <f>R79+S79</f>
        <v>159.96082000000001</v>
      </c>
      <c r="U79" s="1438"/>
      <c r="V79" s="1225">
        <f t="shared" si="14"/>
        <v>0</v>
      </c>
      <c r="W79" s="1225">
        <f t="shared" si="15"/>
        <v>0</v>
      </c>
      <c r="X79" s="1225"/>
      <c r="Y79" s="1225"/>
    </row>
    <row r="80" spans="1:787" s="1221" customFormat="1" ht="13" hidden="1" outlineLevel="3">
      <c r="B80" s="1433" t="s">
        <v>3327</v>
      </c>
      <c r="C80" s="1434"/>
      <c r="D80" s="1434" t="s">
        <v>3328</v>
      </c>
      <c r="E80" s="1431" t="s">
        <v>3329</v>
      </c>
      <c r="F80" s="1425" t="s">
        <v>3326</v>
      </c>
      <c r="G80" s="1431" t="s">
        <v>4183</v>
      </c>
      <c r="H80" s="1447">
        <f>VLOOKUP($D80,车位!$D:$V,12,FALSE)</f>
        <v>0</v>
      </c>
      <c r="I80" s="1426"/>
      <c r="J80" s="1437"/>
      <c r="K80" s="1437"/>
      <c r="L80" s="1437"/>
      <c r="M80" s="1437"/>
      <c r="N80" s="1437">
        <f>VLOOKUP($D80,人防车位!D:U,12,FALSE)</f>
        <v>0</v>
      </c>
      <c r="O80" s="1437"/>
      <c r="P80" s="1437"/>
      <c r="Q80" s="1437">
        <f>VLOOKUP(D80,'当期公摊测算表（全期）'!D:W,12,FALSE)</f>
        <v>0</v>
      </c>
      <c r="R80" s="1172">
        <f t="shared" si="16"/>
        <v>0</v>
      </c>
      <c r="S80" s="1437">
        <f>VLOOKUP($D80,'当期公摊测算表（全期）'!D:W,17,FALSE)</f>
        <v>0</v>
      </c>
      <c r="T80" s="1437">
        <f>R80+S80</f>
        <v>0</v>
      </c>
      <c r="U80" s="1438"/>
      <c r="V80" s="1225">
        <f t="shared" si="14"/>
        <v>0</v>
      </c>
      <c r="W80" s="1225">
        <f t="shared" si="15"/>
        <v>0</v>
      </c>
      <c r="X80" s="1225"/>
      <c r="Y80" s="1225"/>
    </row>
    <row r="81" spans="1:787" s="1247" customFormat="1" ht="13" hidden="1" outlineLevel="2">
      <c r="B81" s="1422" t="s">
        <v>1253</v>
      </c>
      <c r="C81" s="1423"/>
      <c r="D81" s="1423" t="s">
        <v>3330</v>
      </c>
      <c r="E81" s="1424"/>
      <c r="F81" s="1425"/>
      <c r="G81" s="1431" t="s">
        <v>4117</v>
      </c>
      <c r="H81" s="1424"/>
      <c r="I81" s="1424"/>
      <c r="J81" s="1427"/>
      <c r="K81" s="1427"/>
      <c r="L81" s="1427"/>
      <c r="M81" s="1427"/>
      <c r="N81" s="1427"/>
      <c r="O81" s="1427"/>
      <c r="P81" s="1427"/>
      <c r="Q81" s="1427">
        <f>SUBTOTAL(9,Q82:Q83)</f>
        <v>0</v>
      </c>
      <c r="R81" s="1427">
        <f>SUBTOTAL(9,R82:R83)</f>
        <v>0</v>
      </c>
      <c r="S81" s="1427">
        <f>SUBTOTAL(9,S82:S83)</f>
        <v>0</v>
      </c>
      <c r="T81" s="1427">
        <f>SUBTOTAL(9,T82:T83)</f>
        <v>0</v>
      </c>
      <c r="U81" s="1429"/>
      <c r="V81" s="1225">
        <f t="shared" si="14"/>
        <v>0</v>
      </c>
      <c r="W81" s="1225">
        <f t="shared" si="15"/>
        <v>0</v>
      </c>
      <c r="X81" s="1225"/>
      <c r="Y81" s="1225"/>
    </row>
    <row r="82" spans="1:787" s="1221" customFormat="1" ht="24" hidden="1" outlineLevel="3">
      <c r="B82" s="1433" t="s">
        <v>3331</v>
      </c>
      <c r="C82" s="1434"/>
      <c r="D82" s="1434" t="s">
        <v>3332</v>
      </c>
      <c r="E82" s="1431"/>
      <c r="F82" s="1425"/>
      <c r="G82" s="1431" t="s">
        <v>4117</v>
      </c>
      <c r="H82" s="1426"/>
      <c r="I82" s="1426"/>
      <c r="J82" s="1437"/>
      <c r="K82" s="1437"/>
      <c r="L82" s="1437"/>
      <c r="M82" s="1437"/>
      <c r="N82" s="1437"/>
      <c r="O82" s="1437"/>
      <c r="P82" s="1437"/>
      <c r="Q82" s="1437">
        <f>VLOOKUP(D82,'当期公摊测算表（全期）'!D:W,12,FALSE)</f>
        <v>0</v>
      </c>
      <c r="R82" s="1172">
        <f t="shared" si="16"/>
        <v>0</v>
      </c>
      <c r="S82" s="1437">
        <f>VLOOKUP($D82,'当期公摊测算表（全期）'!D:W,17,FALSE)</f>
        <v>0</v>
      </c>
      <c r="T82" s="1437">
        <f>R82+S82</f>
        <v>0</v>
      </c>
      <c r="U82" s="1438"/>
      <c r="V82" s="1225">
        <f t="shared" si="14"/>
        <v>0</v>
      </c>
      <c r="W82" s="1225">
        <f t="shared" si="15"/>
        <v>0</v>
      </c>
      <c r="X82" s="1225"/>
      <c r="Y82" s="1225"/>
    </row>
    <row r="83" spans="1:787" s="1221" customFormat="1" ht="24" hidden="1" outlineLevel="3">
      <c r="B83" s="1433" t="s">
        <v>3333</v>
      </c>
      <c r="C83" s="1434"/>
      <c r="D83" s="1434" t="s">
        <v>3334</v>
      </c>
      <c r="E83" s="1431"/>
      <c r="F83" s="1425"/>
      <c r="G83" s="1431" t="s">
        <v>4117</v>
      </c>
      <c r="H83" s="1426"/>
      <c r="I83" s="1426"/>
      <c r="J83" s="1437"/>
      <c r="K83" s="1437"/>
      <c r="L83" s="1437"/>
      <c r="M83" s="1437"/>
      <c r="N83" s="1437"/>
      <c r="O83" s="1437"/>
      <c r="P83" s="1437"/>
      <c r="Q83" s="1437">
        <f>VLOOKUP(D83,'当期公摊测算表（全期）'!D:W,12,FALSE)</f>
        <v>0</v>
      </c>
      <c r="R83" s="1172">
        <f t="shared" si="16"/>
        <v>0</v>
      </c>
      <c r="S83" s="1437">
        <f>VLOOKUP($D83,'当期公摊测算表（全期）'!D:W,17,FALSE)</f>
        <v>0</v>
      </c>
      <c r="T83" s="1437">
        <f>R83+S83</f>
        <v>0</v>
      </c>
      <c r="U83" s="1438"/>
      <c r="V83" s="1225">
        <f t="shared" si="14"/>
        <v>0</v>
      </c>
      <c r="W83" s="1225">
        <f t="shared" si="15"/>
        <v>0</v>
      </c>
      <c r="X83" s="1225"/>
      <c r="Y83" s="1225"/>
    </row>
    <row r="84" spans="1:787" s="1247" customFormat="1" ht="13" hidden="1" outlineLevel="2">
      <c r="B84" s="1422" t="s">
        <v>1255</v>
      </c>
      <c r="C84" s="1423"/>
      <c r="D84" s="1423" t="s">
        <v>1256</v>
      </c>
      <c r="E84" s="1431" t="s">
        <v>3335</v>
      </c>
      <c r="F84" s="1425" t="s">
        <v>3035</v>
      </c>
      <c r="G84" s="1431" t="s">
        <v>4184</v>
      </c>
      <c r="H84" s="1424"/>
      <c r="I84" s="1424"/>
      <c r="J84" s="1427"/>
      <c r="K84" s="1427"/>
      <c r="L84" s="1427"/>
      <c r="M84" s="1427"/>
      <c r="N84" s="1427"/>
      <c r="O84" s="1427"/>
      <c r="P84" s="1427"/>
      <c r="Q84" s="1427">
        <f>VLOOKUP(D84,'当期公摊测算表（全期）'!D:W,12,FALSE)</f>
        <v>0</v>
      </c>
      <c r="R84" s="1427">
        <f t="shared" si="16"/>
        <v>0</v>
      </c>
      <c r="S84" s="1427">
        <f>VLOOKUP($D84,'当期公摊测算表（全期）'!D:W,17,FALSE)</f>
        <v>0</v>
      </c>
      <c r="T84" s="1427">
        <f>R84+S84</f>
        <v>0</v>
      </c>
      <c r="U84" s="1429"/>
      <c r="V84" s="1225">
        <f t="shared" si="14"/>
        <v>0</v>
      </c>
      <c r="W84" s="1225">
        <f t="shared" si="15"/>
        <v>0</v>
      </c>
      <c r="X84" s="1225"/>
      <c r="Y84" s="1225"/>
    </row>
    <row r="85" spans="1:787" s="1421" customFormat="1" ht="24" hidden="1" outlineLevel="1">
      <c r="A85" s="1247"/>
      <c r="B85" s="1413" t="s">
        <v>483</v>
      </c>
      <c r="C85" s="1414"/>
      <c r="D85" s="1414" t="s">
        <v>484</v>
      </c>
      <c r="E85" s="1448"/>
      <c r="F85" s="1449"/>
      <c r="G85" s="1448" t="s">
        <v>4117</v>
      </c>
      <c r="H85" s="1418">
        <f>SUBTOTAL(9,H86:H93)</f>
        <v>0</v>
      </c>
      <c r="I85" s="1418">
        <f t="shared" ref="I85:T85" si="18">SUBTOTAL(9,I86:I93)</f>
        <v>0</v>
      </c>
      <c r="J85" s="1419">
        <f t="shared" si="18"/>
        <v>0</v>
      </c>
      <c r="K85" s="1419">
        <f t="shared" si="18"/>
        <v>0</v>
      </c>
      <c r="L85" s="1419">
        <f t="shared" si="18"/>
        <v>0</v>
      </c>
      <c r="M85" s="1419">
        <f t="shared" si="18"/>
        <v>0</v>
      </c>
      <c r="N85" s="1419">
        <f t="shared" si="18"/>
        <v>0</v>
      </c>
      <c r="O85" s="1419">
        <f t="shared" si="18"/>
        <v>0</v>
      </c>
      <c r="P85" s="1419">
        <f t="shared" si="18"/>
        <v>0</v>
      </c>
      <c r="Q85" s="1419">
        <f t="shared" si="18"/>
        <v>1512.9547379999999</v>
      </c>
      <c r="R85" s="1419">
        <f t="shared" si="18"/>
        <v>1512.9547379999999</v>
      </c>
      <c r="S85" s="1419">
        <f t="shared" si="18"/>
        <v>0</v>
      </c>
      <c r="T85" s="1419">
        <f t="shared" si="18"/>
        <v>1512.9547379999999</v>
      </c>
      <c r="U85" s="1443"/>
      <c r="V85" s="1225">
        <f t="shared" si="14"/>
        <v>0</v>
      </c>
      <c r="W85" s="1225">
        <f t="shared" si="15"/>
        <v>0</v>
      </c>
      <c r="X85" s="1225"/>
      <c r="Y85" s="1225"/>
      <c r="Z85" s="1247"/>
      <c r="AA85" s="1247"/>
      <c r="AB85" s="1247"/>
      <c r="AC85" s="1247"/>
      <c r="AD85" s="1247"/>
      <c r="AE85" s="1247"/>
      <c r="AF85" s="1247"/>
      <c r="AG85" s="1247"/>
      <c r="AH85" s="1247"/>
      <c r="AI85" s="1247"/>
      <c r="AJ85" s="1247"/>
      <c r="AK85" s="1247"/>
      <c r="AL85" s="1247"/>
      <c r="AM85" s="1247"/>
      <c r="AN85" s="1247"/>
      <c r="AO85" s="1247"/>
      <c r="AP85" s="1247"/>
      <c r="AQ85" s="1247"/>
      <c r="AR85" s="1247"/>
      <c r="AS85" s="1247"/>
      <c r="AT85" s="1247"/>
      <c r="AU85" s="1247"/>
      <c r="AV85" s="1247"/>
      <c r="AW85" s="1247"/>
      <c r="AX85" s="1247"/>
      <c r="AY85" s="1247"/>
      <c r="AZ85" s="1247"/>
      <c r="BA85" s="1247"/>
      <c r="BB85" s="1247"/>
      <c r="BC85" s="1247"/>
      <c r="BD85" s="1247"/>
      <c r="BE85" s="1247"/>
      <c r="BF85" s="1247"/>
      <c r="BG85" s="1247"/>
      <c r="BH85" s="1247"/>
      <c r="BI85" s="1247"/>
      <c r="BJ85" s="1247"/>
      <c r="BK85" s="1247"/>
      <c r="BL85" s="1247"/>
      <c r="BM85" s="1247"/>
      <c r="BN85" s="1247"/>
      <c r="BO85" s="1247"/>
      <c r="BP85" s="1247"/>
      <c r="BQ85" s="1247"/>
      <c r="BR85" s="1247"/>
      <c r="BS85" s="1247"/>
      <c r="BT85" s="1247"/>
      <c r="BU85" s="1247"/>
      <c r="BV85" s="1247"/>
      <c r="BW85" s="1247"/>
      <c r="BX85" s="1247"/>
      <c r="BY85" s="1247"/>
      <c r="BZ85" s="1247"/>
      <c r="CA85" s="1247"/>
      <c r="CB85" s="1247"/>
      <c r="CC85" s="1247"/>
      <c r="CD85" s="1247"/>
      <c r="CE85" s="1247"/>
      <c r="CF85" s="1247"/>
      <c r="CG85" s="1247"/>
      <c r="CH85" s="1247"/>
      <c r="CI85" s="1247"/>
      <c r="CJ85" s="1247"/>
      <c r="CK85" s="1247"/>
      <c r="CL85" s="1247"/>
      <c r="CM85" s="1247"/>
      <c r="CN85" s="1247"/>
      <c r="CO85" s="1247"/>
      <c r="CP85" s="1247"/>
      <c r="CQ85" s="1247"/>
      <c r="CR85" s="1247"/>
      <c r="CS85" s="1247"/>
      <c r="CT85" s="1247"/>
      <c r="CU85" s="1247"/>
      <c r="CV85" s="1247"/>
      <c r="CW85" s="1247"/>
      <c r="CX85" s="1247"/>
      <c r="CY85" s="1247"/>
      <c r="CZ85" s="1247"/>
      <c r="DA85" s="1247"/>
      <c r="DB85" s="1247"/>
      <c r="DC85" s="1247"/>
      <c r="DD85" s="1247"/>
      <c r="DE85" s="1247"/>
      <c r="DF85" s="1247"/>
      <c r="DG85" s="1247"/>
      <c r="DH85" s="1247"/>
      <c r="DI85" s="1247"/>
      <c r="DJ85" s="1247"/>
      <c r="DK85" s="1247"/>
      <c r="DL85" s="1247"/>
      <c r="DM85" s="1247"/>
      <c r="DN85" s="1247"/>
      <c r="DO85" s="1247"/>
      <c r="DP85" s="1247"/>
      <c r="DQ85" s="1247"/>
      <c r="DR85" s="1247"/>
      <c r="DS85" s="1247"/>
      <c r="DT85" s="1247"/>
      <c r="DU85" s="1247"/>
      <c r="DV85" s="1247"/>
      <c r="DW85" s="1247"/>
      <c r="DX85" s="1247"/>
      <c r="DY85" s="1247"/>
      <c r="DZ85" s="1247"/>
      <c r="EA85" s="1247"/>
      <c r="EB85" s="1247"/>
      <c r="EC85" s="1247"/>
      <c r="ED85" s="1247"/>
      <c r="EE85" s="1247"/>
      <c r="EF85" s="1247"/>
      <c r="EG85" s="1247"/>
      <c r="EH85" s="1247"/>
      <c r="EI85" s="1247"/>
      <c r="EJ85" s="1247"/>
      <c r="EK85" s="1247"/>
      <c r="EL85" s="1247"/>
      <c r="EM85" s="1247"/>
      <c r="EN85" s="1247"/>
      <c r="EO85" s="1247"/>
      <c r="EP85" s="1247"/>
      <c r="EQ85" s="1247"/>
      <c r="ER85" s="1247"/>
      <c r="ES85" s="1247"/>
      <c r="ET85" s="1247"/>
      <c r="EU85" s="1247"/>
      <c r="EV85" s="1247"/>
      <c r="EW85" s="1247"/>
      <c r="EX85" s="1247"/>
      <c r="EY85" s="1247"/>
      <c r="EZ85" s="1247"/>
      <c r="FA85" s="1247"/>
      <c r="FB85" s="1247"/>
      <c r="FC85" s="1247"/>
      <c r="FD85" s="1247"/>
      <c r="FE85" s="1247"/>
      <c r="FF85" s="1247"/>
      <c r="FG85" s="1247"/>
      <c r="FH85" s="1247"/>
      <c r="FI85" s="1247"/>
      <c r="FJ85" s="1247"/>
      <c r="FK85" s="1247"/>
      <c r="FL85" s="1247"/>
      <c r="FM85" s="1247"/>
      <c r="FN85" s="1247"/>
      <c r="FO85" s="1247"/>
      <c r="FP85" s="1247"/>
      <c r="FQ85" s="1247"/>
      <c r="FR85" s="1247"/>
      <c r="FS85" s="1247"/>
      <c r="FT85" s="1247"/>
      <c r="FU85" s="1247"/>
      <c r="FV85" s="1247"/>
      <c r="FW85" s="1247"/>
      <c r="FX85" s="1247"/>
      <c r="FY85" s="1247"/>
      <c r="FZ85" s="1247"/>
      <c r="GA85" s="1247"/>
      <c r="GB85" s="1247"/>
      <c r="GC85" s="1247"/>
      <c r="GD85" s="1247"/>
      <c r="GE85" s="1247"/>
      <c r="GF85" s="1247"/>
      <c r="GG85" s="1247"/>
      <c r="GH85" s="1247"/>
      <c r="GI85" s="1247"/>
      <c r="GJ85" s="1247"/>
      <c r="GK85" s="1247"/>
      <c r="GL85" s="1247"/>
      <c r="GM85" s="1247"/>
      <c r="GN85" s="1247"/>
      <c r="GO85" s="1247"/>
      <c r="GP85" s="1247"/>
      <c r="GQ85" s="1247"/>
      <c r="GR85" s="1247"/>
      <c r="GS85" s="1247"/>
      <c r="GT85" s="1247"/>
      <c r="GU85" s="1247"/>
      <c r="GV85" s="1247"/>
      <c r="GW85" s="1247"/>
      <c r="GX85" s="1247"/>
      <c r="GY85" s="1247"/>
      <c r="GZ85" s="1247"/>
      <c r="HA85" s="1247"/>
      <c r="HB85" s="1247"/>
      <c r="HC85" s="1247"/>
      <c r="HD85" s="1247"/>
      <c r="HE85" s="1247"/>
      <c r="HF85" s="1247"/>
      <c r="HG85" s="1247"/>
      <c r="HH85" s="1247"/>
      <c r="HI85" s="1247"/>
      <c r="HJ85" s="1247"/>
      <c r="HK85" s="1247"/>
      <c r="HL85" s="1247"/>
      <c r="HM85" s="1247"/>
      <c r="HN85" s="1247"/>
      <c r="HO85" s="1247"/>
      <c r="HP85" s="1247"/>
      <c r="HQ85" s="1247"/>
      <c r="HR85" s="1247"/>
      <c r="HS85" s="1247"/>
      <c r="HT85" s="1247"/>
      <c r="HU85" s="1247"/>
      <c r="HV85" s="1247"/>
      <c r="HW85" s="1247"/>
      <c r="HX85" s="1247"/>
      <c r="HY85" s="1247"/>
      <c r="HZ85" s="1247"/>
      <c r="IA85" s="1247"/>
      <c r="IB85" s="1247"/>
      <c r="IC85" s="1247"/>
      <c r="ID85" s="1247"/>
      <c r="IE85" s="1247"/>
      <c r="IF85" s="1247"/>
      <c r="IG85" s="1247"/>
      <c r="IH85" s="1247"/>
      <c r="II85" s="1247"/>
      <c r="IJ85" s="1247"/>
      <c r="IK85" s="1247"/>
      <c r="IL85" s="1247"/>
      <c r="IM85" s="1247"/>
      <c r="IN85" s="1247"/>
      <c r="IO85" s="1247"/>
      <c r="IP85" s="1247"/>
      <c r="IQ85" s="1247"/>
      <c r="IR85" s="1247"/>
      <c r="IS85" s="1247"/>
      <c r="IT85" s="1247"/>
      <c r="IU85" s="1247"/>
      <c r="IV85" s="1247"/>
      <c r="IW85" s="1247"/>
      <c r="IX85" s="1247"/>
      <c r="IY85" s="1247"/>
      <c r="IZ85" s="1247"/>
      <c r="JA85" s="1247"/>
      <c r="JB85" s="1247"/>
      <c r="JC85" s="1247"/>
      <c r="JD85" s="1247"/>
      <c r="JE85" s="1247"/>
      <c r="JF85" s="1247"/>
      <c r="JG85" s="1247"/>
      <c r="JH85" s="1247"/>
      <c r="JI85" s="1247"/>
      <c r="JJ85" s="1247"/>
      <c r="JK85" s="1247"/>
      <c r="JL85" s="1247"/>
      <c r="JM85" s="1247"/>
      <c r="JN85" s="1247"/>
      <c r="JO85" s="1247"/>
      <c r="JP85" s="1247"/>
      <c r="JQ85" s="1247"/>
      <c r="JR85" s="1247"/>
      <c r="JS85" s="1247"/>
      <c r="JT85" s="1247"/>
      <c r="JU85" s="1247"/>
      <c r="JV85" s="1247"/>
      <c r="JW85" s="1247"/>
      <c r="JX85" s="1247"/>
      <c r="JY85" s="1247"/>
      <c r="JZ85" s="1247"/>
      <c r="KA85" s="1247"/>
      <c r="KB85" s="1247"/>
      <c r="KC85" s="1247"/>
      <c r="KD85" s="1247"/>
      <c r="KE85" s="1247"/>
      <c r="KF85" s="1247"/>
      <c r="KG85" s="1247"/>
      <c r="KH85" s="1247"/>
      <c r="KI85" s="1247"/>
      <c r="KJ85" s="1247"/>
      <c r="KK85" s="1247"/>
      <c r="KL85" s="1247"/>
      <c r="KM85" s="1247"/>
      <c r="KN85" s="1247"/>
      <c r="KO85" s="1247"/>
      <c r="KP85" s="1247"/>
      <c r="KQ85" s="1247"/>
      <c r="KR85" s="1247"/>
      <c r="KS85" s="1247"/>
      <c r="KT85" s="1247"/>
      <c r="KU85" s="1247"/>
      <c r="KV85" s="1247"/>
      <c r="KW85" s="1247"/>
      <c r="KX85" s="1247"/>
      <c r="KY85" s="1247"/>
      <c r="KZ85" s="1247"/>
      <c r="LA85" s="1247"/>
      <c r="LB85" s="1247"/>
      <c r="LC85" s="1247"/>
      <c r="LD85" s="1247"/>
      <c r="LE85" s="1247"/>
      <c r="LF85" s="1247"/>
      <c r="LG85" s="1247"/>
      <c r="LH85" s="1247"/>
      <c r="LI85" s="1247"/>
      <c r="LJ85" s="1247"/>
      <c r="LK85" s="1247"/>
      <c r="LL85" s="1247"/>
      <c r="LM85" s="1247"/>
      <c r="LN85" s="1247"/>
      <c r="LO85" s="1247"/>
      <c r="LP85" s="1247"/>
      <c r="LQ85" s="1247"/>
      <c r="LR85" s="1247"/>
      <c r="LS85" s="1247"/>
      <c r="LT85" s="1247"/>
      <c r="LU85" s="1247"/>
      <c r="LV85" s="1247"/>
      <c r="LW85" s="1247"/>
      <c r="LX85" s="1247"/>
      <c r="LY85" s="1247"/>
      <c r="LZ85" s="1247"/>
      <c r="MA85" s="1247"/>
      <c r="MB85" s="1247"/>
      <c r="MC85" s="1247"/>
      <c r="MD85" s="1247"/>
      <c r="ME85" s="1247"/>
      <c r="MF85" s="1247"/>
      <c r="MG85" s="1247"/>
      <c r="MH85" s="1247"/>
      <c r="MI85" s="1247"/>
      <c r="MJ85" s="1247"/>
      <c r="MK85" s="1247"/>
      <c r="ML85" s="1247"/>
      <c r="MM85" s="1247"/>
      <c r="MN85" s="1247"/>
      <c r="MO85" s="1247"/>
      <c r="MP85" s="1247"/>
      <c r="MQ85" s="1247"/>
      <c r="MR85" s="1247"/>
      <c r="MS85" s="1247"/>
      <c r="MT85" s="1247"/>
      <c r="MU85" s="1247"/>
      <c r="MV85" s="1247"/>
      <c r="MW85" s="1247"/>
      <c r="MX85" s="1247"/>
      <c r="MY85" s="1247"/>
      <c r="MZ85" s="1247"/>
      <c r="NA85" s="1247"/>
      <c r="NB85" s="1247"/>
      <c r="NC85" s="1247"/>
      <c r="ND85" s="1247"/>
      <c r="NE85" s="1247"/>
      <c r="NF85" s="1247"/>
      <c r="NG85" s="1247"/>
      <c r="NH85" s="1247"/>
      <c r="NI85" s="1247"/>
      <c r="NJ85" s="1247"/>
      <c r="NK85" s="1247"/>
      <c r="NL85" s="1247"/>
      <c r="NM85" s="1247"/>
      <c r="NN85" s="1247"/>
      <c r="NO85" s="1247"/>
      <c r="NP85" s="1247"/>
      <c r="NQ85" s="1247"/>
      <c r="NR85" s="1247"/>
      <c r="NS85" s="1247"/>
      <c r="NT85" s="1247"/>
      <c r="NU85" s="1247"/>
      <c r="NV85" s="1247"/>
      <c r="NW85" s="1247"/>
      <c r="NX85" s="1247"/>
      <c r="NY85" s="1247"/>
      <c r="NZ85" s="1247"/>
      <c r="OA85" s="1247"/>
      <c r="OB85" s="1247"/>
      <c r="OC85" s="1247"/>
      <c r="OD85" s="1247"/>
      <c r="OE85" s="1247"/>
      <c r="OF85" s="1247"/>
      <c r="OG85" s="1247"/>
      <c r="OH85" s="1247"/>
      <c r="OI85" s="1247"/>
      <c r="OJ85" s="1247"/>
      <c r="OK85" s="1247"/>
      <c r="OL85" s="1247"/>
      <c r="OM85" s="1247"/>
      <c r="ON85" s="1247"/>
      <c r="OO85" s="1247"/>
      <c r="OP85" s="1247"/>
      <c r="OQ85" s="1247"/>
      <c r="OR85" s="1247"/>
      <c r="OS85" s="1247"/>
      <c r="OT85" s="1247"/>
      <c r="OU85" s="1247"/>
      <c r="OV85" s="1247"/>
      <c r="OW85" s="1247"/>
      <c r="OX85" s="1247"/>
      <c r="OY85" s="1247"/>
      <c r="OZ85" s="1247"/>
      <c r="PA85" s="1247"/>
      <c r="PB85" s="1247"/>
      <c r="PC85" s="1247"/>
      <c r="PD85" s="1247"/>
      <c r="PE85" s="1247"/>
      <c r="PF85" s="1247"/>
      <c r="PG85" s="1247"/>
      <c r="PH85" s="1247"/>
      <c r="PI85" s="1247"/>
      <c r="PJ85" s="1247"/>
      <c r="PK85" s="1247"/>
      <c r="PL85" s="1247"/>
      <c r="PM85" s="1247"/>
      <c r="PN85" s="1247"/>
      <c r="PO85" s="1247"/>
      <c r="PP85" s="1247"/>
      <c r="PQ85" s="1247"/>
      <c r="PR85" s="1247"/>
      <c r="PS85" s="1247"/>
      <c r="PT85" s="1247"/>
      <c r="PU85" s="1247"/>
      <c r="PV85" s="1247"/>
      <c r="PW85" s="1247"/>
      <c r="PX85" s="1247"/>
      <c r="PY85" s="1247"/>
      <c r="PZ85" s="1247"/>
      <c r="QA85" s="1247"/>
      <c r="QB85" s="1247"/>
      <c r="QC85" s="1247"/>
      <c r="QD85" s="1247"/>
      <c r="QE85" s="1247"/>
      <c r="QF85" s="1247"/>
      <c r="QG85" s="1247"/>
      <c r="QH85" s="1247"/>
      <c r="QI85" s="1247"/>
      <c r="QJ85" s="1247"/>
      <c r="QK85" s="1247"/>
      <c r="QL85" s="1247"/>
      <c r="QM85" s="1247"/>
      <c r="QN85" s="1247"/>
      <c r="QO85" s="1247"/>
      <c r="QP85" s="1247"/>
      <c r="QQ85" s="1247"/>
      <c r="QR85" s="1247"/>
      <c r="QS85" s="1247"/>
      <c r="QT85" s="1247"/>
      <c r="QU85" s="1247"/>
      <c r="QV85" s="1247"/>
      <c r="QW85" s="1247"/>
      <c r="QX85" s="1247"/>
      <c r="QY85" s="1247"/>
      <c r="QZ85" s="1247"/>
      <c r="RA85" s="1247"/>
      <c r="RB85" s="1247"/>
      <c r="RC85" s="1247"/>
      <c r="RD85" s="1247"/>
      <c r="RE85" s="1247"/>
      <c r="RF85" s="1247"/>
      <c r="RG85" s="1247"/>
      <c r="RH85" s="1247"/>
      <c r="RI85" s="1247"/>
      <c r="RJ85" s="1247"/>
      <c r="RK85" s="1247"/>
      <c r="RL85" s="1247"/>
      <c r="RM85" s="1247"/>
      <c r="RN85" s="1247"/>
      <c r="RO85" s="1247"/>
      <c r="RP85" s="1247"/>
      <c r="RQ85" s="1247"/>
      <c r="RR85" s="1247"/>
      <c r="RS85" s="1247"/>
      <c r="RT85" s="1247"/>
      <c r="RU85" s="1247"/>
      <c r="RV85" s="1247"/>
      <c r="RW85" s="1247"/>
      <c r="RX85" s="1247"/>
      <c r="RY85" s="1247"/>
      <c r="RZ85" s="1247"/>
      <c r="SA85" s="1247"/>
      <c r="SB85" s="1247"/>
      <c r="SC85" s="1247"/>
      <c r="SD85" s="1247"/>
      <c r="SE85" s="1247"/>
      <c r="SF85" s="1247"/>
      <c r="SG85" s="1247"/>
      <c r="SH85" s="1247"/>
      <c r="SI85" s="1247"/>
      <c r="SJ85" s="1247"/>
      <c r="SK85" s="1247"/>
      <c r="SL85" s="1247"/>
      <c r="SM85" s="1247"/>
      <c r="SN85" s="1247"/>
      <c r="SO85" s="1247"/>
      <c r="SP85" s="1247"/>
      <c r="SQ85" s="1247"/>
      <c r="SR85" s="1247"/>
      <c r="SS85" s="1247"/>
      <c r="ST85" s="1247"/>
      <c r="SU85" s="1247"/>
      <c r="SV85" s="1247"/>
      <c r="SW85" s="1247"/>
      <c r="SX85" s="1247"/>
      <c r="SY85" s="1247"/>
      <c r="SZ85" s="1247"/>
      <c r="TA85" s="1247"/>
      <c r="TB85" s="1247"/>
      <c r="TC85" s="1247"/>
      <c r="TD85" s="1247"/>
      <c r="TE85" s="1247"/>
      <c r="TF85" s="1247"/>
      <c r="TG85" s="1247"/>
      <c r="TH85" s="1247"/>
      <c r="TI85" s="1247"/>
      <c r="TJ85" s="1247"/>
      <c r="TK85" s="1247"/>
      <c r="TL85" s="1247"/>
      <c r="TM85" s="1247"/>
      <c r="TN85" s="1247"/>
      <c r="TO85" s="1247"/>
      <c r="TP85" s="1247"/>
      <c r="TQ85" s="1247"/>
      <c r="TR85" s="1247"/>
      <c r="TS85" s="1247"/>
      <c r="TT85" s="1247"/>
      <c r="TU85" s="1247"/>
      <c r="TV85" s="1247"/>
      <c r="TW85" s="1247"/>
      <c r="TX85" s="1247"/>
      <c r="TY85" s="1247"/>
      <c r="TZ85" s="1247"/>
      <c r="UA85" s="1247"/>
      <c r="UB85" s="1247"/>
      <c r="UC85" s="1247"/>
      <c r="UD85" s="1247"/>
      <c r="UE85" s="1247"/>
      <c r="UF85" s="1247"/>
      <c r="UG85" s="1247"/>
      <c r="UH85" s="1247"/>
      <c r="UI85" s="1247"/>
      <c r="UJ85" s="1247"/>
      <c r="UK85" s="1247"/>
      <c r="UL85" s="1247"/>
      <c r="UM85" s="1247"/>
      <c r="UN85" s="1247"/>
      <c r="UO85" s="1247"/>
      <c r="UP85" s="1247"/>
      <c r="UQ85" s="1247"/>
      <c r="UR85" s="1247"/>
      <c r="US85" s="1247"/>
      <c r="UT85" s="1247"/>
      <c r="UU85" s="1247"/>
      <c r="UV85" s="1247"/>
      <c r="UW85" s="1247"/>
      <c r="UX85" s="1247"/>
      <c r="UY85" s="1247"/>
      <c r="UZ85" s="1247"/>
      <c r="VA85" s="1247"/>
      <c r="VB85" s="1247"/>
      <c r="VC85" s="1247"/>
      <c r="VD85" s="1247"/>
      <c r="VE85" s="1247"/>
      <c r="VF85" s="1247"/>
      <c r="VG85" s="1247"/>
      <c r="VH85" s="1247"/>
      <c r="VI85" s="1247"/>
      <c r="VJ85" s="1247"/>
      <c r="VK85" s="1247"/>
      <c r="VL85" s="1247"/>
      <c r="VM85" s="1247"/>
      <c r="VN85" s="1247"/>
      <c r="VO85" s="1247"/>
      <c r="VP85" s="1247"/>
      <c r="VQ85" s="1247"/>
      <c r="VR85" s="1247"/>
      <c r="VS85" s="1247"/>
      <c r="VT85" s="1247"/>
      <c r="VU85" s="1247"/>
      <c r="VV85" s="1247"/>
      <c r="VW85" s="1247"/>
      <c r="VX85" s="1247"/>
      <c r="VY85" s="1247"/>
      <c r="VZ85" s="1247"/>
      <c r="WA85" s="1247"/>
      <c r="WB85" s="1247"/>
      <c r="WC85" s="1247"/>
      <c r="WD85" s="1247"/>
      <c r="WE85" s="1247"/>
      <c r="WF85" s="1247"/>
      <c r="WG85" s="1247"/>
      <c r="WH85" s="1247"/>
      <c r="WI85" s="1247"/>
      <c r="WJ85" s="1247"/>
      <c r="WK85" s="1247"/>
      <c r="WL85" s="1247"/>
      <c r="WM85" s="1247"/>
      <c r="WN85" s="1247"/>
      <c r="WO85" s="1247"/>
      <c r="WP85" s="1247"/>
      <c r="WQ85" s="1247"/>
      <c r="WR85" s="1247"/>
      <c r="WS85" s="1247"/>
      <c r="WT85" s="1247"/>
      <c r="WU85" s="1247"/>
      <c r="WV85" s="1247"/>
      <c r="WW85" s="1247"/>
      <c r="WX85" s="1247"/>
      <c r="WY85" s="1247"/>
      <c r="WZ85" s="1247"/>
      <c r="XA85" s="1247"/>
      <c r="XB85" s="1247"/>
      <c r="XC85" s="1247"/>
      <c r="XD85" s="1247"/>
      <c r="XE85" s="1247"/>
      <c r="XF85" s="1247"/>
      <c r="XG85" s="1247"/>
      <c r="XH85" s="1247"/>
      <c r="XI85" s="1247"/>
      <c r="XJ85" s="1247"/>
      <c r="XK85" s="1247"/>
      <c r="XL85" s="1247"/>
      <c r="XM85" s="1247"/>
      <c r="XN85" s="1247"/>
      <c r="XO85" s="1247"/>
      <c r="XP85" s="1247"/>
      <c r="XQ85" s="1247"/>
      <c r="XR85" s="1247"/>
      <c r="XS85" s="1247"/>
      <c r="XT85" s="1247"/>
      <c r="XU85" s="1247"/>
      <c r="XV85" s="1247"/>
      <c r="XW85" s="1247"/>
      <c r="XX85" s="1247"/>
      <c r="XY85" s="1247"/>
      <c r="XZ85" s="1247"/>
      <c r="YA85" s="1247"/>
      <c r="YB85" s="1247"/>
      <c r="YC85" s="1247"/>
      <c r="YD85" s="1247"/>
      <c r="YE85" s="1247"/>
      <c r="YF85" s="1247"/>
      <c r="YG85" s="1247"/>
      <c r="YH85" s="1247"/>
      <c r="YI85" s="1247"/>
      <c r="YJ85" s="1247"/>
      <c r="YK85" s="1247"/>
      <c r="YL85" s="1247"/>
      <c r="YM85" s="1247"/>
      <c r="YN85" s="1247"/>
      <c r="YO85" s="1247"/>
      <c r="YP85" s="1247"/>
      <c r="YQ85" s="1247"/>
      <c r="YR85" s="1247"/>
      <c r="YS85" s="1247"/>
      <c r="YT85" s="1247"/>
      <c r="YU85" s="1247"/>
      <c r="YV85" s="1247"/>
      <c r="YW85" s="1247"/>
      <c r="YX85" s="1247"/>
      <c r="YY85" s="1247"/>
      <c r="YZ85" s="1247"/>
      <c r="ZA85" s="1247"/>
      <c r="ZB85" s="1247"/>
      <c r="ZC85" s="1247"/>
      <c r="ZD85" s="1247"/>
      <c r="ZE85" s="1247"/>
      <c r="ZF85" s="1247"/>
      <c r="ZG85" s="1247"/>
      <c r="ZH85" s="1247"/>
      <c r="ZI85" s="1247"/>
      <c r="ZJ85" s="1247"/>
      <c r="ZK85" s="1247"/>
      <c r="ZL85" s="1247"/>
      <c r="ZM85" s="1247"/>
      <c r="ZN85" s="1247"/>
      <c r="ZO85" s="1247"/>
      <c r="ZP85" s="1247"/>
      <c r="ZQ85" s="1247"/>
      <c r="ZR85" s="1247"/>
      <c r="ZS85" s="1247"/>
      <c r="ZT85" s="1247"/>
      <c r="ZU85" s="1247"/>
      <c r="ZV85" s="1247"/>
      <c r="ZW85" s="1247"/>
      <c r="ZX85" s="1247"/>
      <c r="ZY85" s="1247"/>
      <c r="ZZ85" s="1247"/>
      <c r="AAA85" s="1247"/>
      <c r="AAB85" s="1247"/>
      <c r="AAC85" s="1247"/>
      <c r="AAD85" s="1247"/>
      <c r="AAE85" s="1247"/>
      <c r="AAF85" s="1247"/>
      <c r="AAG85" s="1247"/>
      <c r="AAH85" s="1247"/>
      <c r="AAI85" s="1247"/>
      <c r="AAJ85" s="1247"/>
      <c r="AAK85" s="1247"/>
      <c r="AAL85" s="1247"/>
      <c r="AAM85" s="1247"/>
      <c r="AAN85" s="1247"/>
      <c r="AAO85" s="1247"/>
      <c r="AAP85" s="1247"/>
      <c r="AAQ85" s="1247"/>
      <c r="AAR85" s="1247"/>
      <c r="AAS85" s="1247"/>
      <c r="AAT85" s="1247"/>
      <c r="AAU85" s="1247"/>
      <c r="AAV85" s="1247"/>
      <c r="AAW85" s="1247"/>
      <c r="AAX85" s="1247"/>
      <c r="AAY85" s="1247"/>
      <c r="AAZ85" s="1247"/>
      <c r="ABA85" s="1247"/>
      <c r="ABB85" s="1247"/>
      <c r="ABC85" s="1247"/>
      <c r="ABD85" s="1247"/>
      <c r="ABE85" s="1247"/>
      <c r="ABF85" s="1247"/>
      <c r="ABG85" s="1247"/>
      <c r="ABH85" s="1247"/>
      <c r="ABI85" s="1247"/>
      <c r="ABJ85" s="1247"/>
      <c r="ABK85" s="1247"/>
      <c r="ABL85" s="1247"/>
      <c r="ABM85" s="1247"/>
      <c r="ABN85" s="1247"/>
      <c r="ABO85" s="1247"/>
      <c r="ABP85" s="1247"/>
      <c r="ABQ85" s="1247"/>
      <c r="ABR85" s="1247"/>
      <c r="ABS85" s="1247"/>
      <c r="ABT85" s="1247"/>
      <c r="ABU85" s="1247"/>
      <c r="ABV85" s="1247"/>
      <c r="ABW85" s="1247"/>
      <c r="ABX85" s="1247"/>
      <c r="ABY85" s="1247"/>
      <c r="ABZ85" s="1247"/>
      <c r="ACA85" s="1247"/>
      <c r="ACB85" s="1247"/>
      <c r="ACC85" s="1247"/>
      <c r="ACD85" s="1247"/>
      <c r="ACE85" s="1247"/>
      <c r="ACF85" s="1247"/>
      <c r="ACG85" s="1247"/>
      <c r="ACH85" s="1247"/>
      <c r="ACI85" s="1247"/>
      <c r="ACJ85" s="1247"/>
      <c r="ACK85" s="1247"/>
      <c r="ACL85" s="1247"/>
      <c r="ACM85" s="1247"/>
      <c r="ACN85" s="1247"/>
      <c r="ACO85" s="1247"/>
      <c r="ACP85" s="1247"/>
      <c r="ACQ85" s="1247"/>
      <c r="ACR85" s="1247"/>
      <c r="ACS85" s="1247"/>
      <c r="ACT85" s="1247"/>
      <c r="ACU85" s="1247"/>
      <c r="ACV85" s="1247"/>
      <c r="ACW85" s="1247"/>
      <c r="ACX85" s="1247"/>
      <c r="ACY85" s="1247"/>
      <c r="ACZ85" s="1247"/>
      <c r="ADA85" s="1247"/>
      <c r="ADB85" s="1247"/>
      <c r="ADC85" s="1247"/>
      <c r="ADD85" s="1247"/>
      <c r="ADE85" s="1247"/>
      <c r="ADF85" s="1247"/>
      <c r="ADG85" s="1247"/>
    </row>
    <row r="86" spans="1:787" s="1247" customFormat="1" ht="13" hidden="1" outlineLevel="2">
      <c r="B86" s="1422" t="s">
        <v>1276</v>
      </c>
      <c r="C86" s="1423"/>
      <c r="D86" s="1423" t="s">
        <v>3336</v>
      </c>
      <c r="E86" s="1431" t="s">
        <v>3337</v>
      </c>
      <c r="F86" s="1425" t="s">
        <v>3338</v>
      </c>
      <c r="G86" s="1431" t="s">
        <v>4185</v>
      </c>
      <c r="H86" s="1431"/>
      <c r="I86" s="1431"/>
      <c r="J86" s="1427"/>
      <c r="K86" s="1427"/>
      <c r="L86" s="1427"/>
      <c r="M86" s="1427"/>
      <c r="N86" s="1427"/>
      <c r="O86" s="1427"/>
      <c r="P86" s="1427"/>
      <c r="Q86" s="1427">
        <f>VLOOKUP(D86,'当期公摊测算表（全期）'!D:W,12,FALSE)</f>
        <v>898.98643800000002</v>
      </c>
      <c r="R86" s="1427">
        <f t="shared" si="16"/>
        <v>898.98643800000002</v>
      </c>
      <c r="S86" s="1427">
        <f>VLOOKUP($D86,'当期公摊测算表（全期）'!D:W,17,FALSE)</f>
        <v>0</v>
      </c>
      <c r="T86" s="1427">
        <f>R86+S86</f>
        <v>898.98643800000002</v>
      </c>
      <c r="U86" s="1429"/>
      <c r="V86" s="1225">
        <f t="shared" si="14"/>
        <v>0</v>
      </c>
      <c r="W86" s="1225">
        <f t="shared" si="15"/>
        <v>0</v>
      </c>
      <c r="X86" s="1225"/>
      <c r="Y86" s="1225"/>
    </row>
    <row r="87" spans="1:787" s="1247" customFormat="1" ht="13" hidden="1" outlineLevel="2">
      <c r="B87" s="1422" t="s">
        <v>1281</v>
      </c>
      <c r="C87" s="1423"/>
      <c r="D87" s="1423" t="s">
        <v>385</v>
      </c>
      <c r="E87" s="1431" t="s">
        <v>3339</v>
      </c>
      <c r="F87" s="1425" t="s">
        <v>1282</v>
      </c>
      <c r="G87" s="1431" t="s">
        <v>4179</v>
      </c>
      <c r="H87" s="1431"/>
      <c r="I87" s="1431"/>
      <c r="J87" s="1427"/>
      <c r="K87" s="1427"/>
      <c r="L87" s="1427"/>
      <c r="M87" s="1427"/>
      <c r="N87" s="1427"/>
      <c r="O87" s="1427"/>
      <c r="P87" s="1427"/>
      <c r="Q87" s="1427">
        <f>VLOOKUP(D87,'当期公摊测算表（全期）'!D:W,12,FALSE)</f>
        <v>169.87649999999999</v>
      </c>
      <c r="R87" s="1427">
        <f t="shared" si="16"/>
        <v>169.87649999999999</v>
      </c>
      <c r="S87" s="1427">
        <f>VLOOKUP($D87,'当期公摊测算表（全期）'!D:W,17,FALSE)</f>
        <v>0</v>
      </c>
      <c r="T87" s="1427">
        <f t="shared" ref="T87:T93" si="19">R87+S87</f>
        <v>169.87649999999999</v>
      </c>
      <c r="U87" s="1429"/>
      <c r="V87" s="1225">
        <f t="shared" si="14"/>
        <v>0</v>
      </c>
      <c r="W87" s="1225">
        <f t="shared" si="15"/>
        <v>0</v>
      </c>
      <c r="X87" s="1225"/>
      <c r="Y87" s="1225"/>
    </row>
    <row r="88" spans="1:787" s="1247" customFormat="1" ht="13" hidden="1" outlineLevel="2">
      <c r="B88" s="1422" t="s">
        <v>1284</v>
      </c>
      <c r="C88" s="1423"/>
      <c r="D88" s="1423" t="s">
        <v>3340</v>
      </c>
      <c r="E88" s="1431" t="s">
        <v>3341</v>
      </c>
      <c r="F88" s="1425" t="s">
        <v>3342</v>
      </c>
      <c r="G88" s="1431" t="s">
        <v>4116</v>
      </c>
      <c r="H88" s="1431"/>
      <c r="I88" s="1431"/>
      <c r="J88" s="1427"/>
      <c r="K88" s="1427"/>
      <c r="L88" s="1427"/>
      <c r="M88" s="1427"/>
      <c r="N88" s="1427"/>
      <c r="O88" s="1427"/>
      <c r="P88" s="1427"/>
      <c r="Q88" s="1427">
        <f>VLOOKUP(D88,'当期公摊测算表（全期）'!D:W,12,FALSE)</f>
        <v>0</v>
      </c>
      <c r="R88" s="1427">
        <f t="shared" si="16"/>
        <v>0</v>
      </c>
      <c r="S88" s="1427">
        <f>VLOOKUP($D88,'当期公摊测算表（全期）'!D:W,17,FALSE)</f>
        <v>0</v>
      </c>
      <c r="T88" s="1427">
        <f t="shared" si="19"/>
        <v>0</v>
      </c>
      <c r="U88" s="1429"/>
      <c r="V88" s="1225">
        <f t="shared" si="14"/>
        <v>0</v>
      </c>
      <c r="W88" s="1225">
        <f t="shared" si="15"/>
        <v>0</v>
      </c>
      <c r="X88" s="1225"/>
      <c r="Y88" s="1225"/>
    </row>
    <row r="89" spans="1:787" s="1247" customFormat="1" ht="13" hidden="1" outlineLevel="2">
      <c r="B89" s="1422" t="s">
        <v>1286</v>
      </c>
      <c r="C89" s="1423"/>
      <c r="D89" s="1423" t="s">
        <v>3343</v>
      </c>
      <c r="E89" s="1431" t="s">
        <v>3344</v>
      </c>
      <c r="F89" s="1425" t="s">
        <v>3342</v>
      </c>
      <c r="G89" s="1431" t="s">
        <v>4116</v>
      </c>
      <c r="H89" s="1431"/>
      <c r="I89" s="1431"/>
      <c r="J89" s="1427"/>
      <c r="K89" s="1427"/>
      <c r="L89" s="1427"/>
      <c r="M89" s="1427"/>
      <c r="N89" s="1427"/>
      <c r="O89" s="1427"/>
      <c r="P89" s="1427"/>
      <c r="Q89" s="1427">
        <f>VLOOKUP(D89,'当期公摊测算表（全期）'!D:W,12,FALSE)</f>
        <v>203.8518</v>
      </c>
      <c r="R89" s="1427">
        <f t="shared" si="16"/>
        <v>203.8518</v>
      </c>
      <c r="S89" s="1427">
        <f>VLOOKUP($D89,'当期公摊测算表（全期）'!D:W,17,FALSE)</f>
        <v>0</v>
      </c>
      <c r="T89" s="1427">
        <f t="shared" si="19"/>
        <v>203.8518</v>
      </c>
      <c r="U89" s="1429"/>
      <c r="V89" s="1225">
        <f t="shared" si="14"/>
        <v>0</v>
      </c>
      <c r="W89" s="1225">
        <f t="shared" si="15"/>
        <v>0</v>
      </c>
      <c r="X89" s="1225"/>
      <c r="Y89" s="1225"/>
    </row>
    <row r="90" spans="1:787" s="1247" customFormat="1" ht="13" hidden="1" outlineLevel="2">
      <c r="B90" s="1422" t="s">
        <v>1289</v>
      </c>
      <c r="C90" s="1423"/>
      <c r="D90" s="1423" t="s">
        <v>1287</v>
      </c>
      <c r="E90" s="1431" t="s">
        <v>3345</v>
      </c>
      <c r="F90" s="1425" t="s">
        <v>3346</v>
      </c>
      <c r="G90" s="1431" t="s">
        <v>4186</v>
      </c>
      <c r="H90" s="1431"/>
      <c r="I90" s="1431"/>
      <c r="J90" s="1427"/>
      <c r="K90" s="1427"/>
      <c r="L90" s="1427"/>
      <c r="M90" s="1427"/>
      <c r="N90" s="1427"/>
      <c r="O90" s="1427"/>
      <c r="P90" s="1427"/>
      <c r="Q90" s="1427">
        <f>VLOOKUP(D90,'当期公摊测算表（全期）'!D:W,12,FALSE)</f>
        <v>240.24</v>
      </c>
      <c r="R90" s="1427">
        <f t="shared" si="16"/>
        <v>240.24</v>
      </c>
      <c r="S90" s="1427">
        <f>VLOOKUP($D90,'当期公摊测算表（全期）'!D:W,17,FALSE)</f>
        <v>0</v>
      </c>
      <c r="T90" s="1427">
        <f t="shared" si="19"/>
        <v>240.24</v>
      </c>
      <c r="U90" s="1429"/>
      <c r="V90" s="1225">
        <f t="shared" si="14"/>
        <v>0</v>
      </c>
      <c r="W90" s="1225">
        <f t="shared" si="15"/>
        <v>0</v>
      </c>
      <c r="X90" s="1225"/>
      <c r="Y90" s="1225"/>
    </row>
    <row r="91" spans="1:787" s="1247" customFormat="1" ht="13" hidden="1" outlineLevel="2">
      <c r="B91" s="1422" t="s">
        <v>3347</v>
      </c>
      <c r="C91" s="1423"/>
      <c r="D91" s="1423" t="s">
        <v>3348</v>
      </c>
      <c r="E91" s="1431" t="s">
        <v>3349</v>
      </c>
      <c r="F91" s="1425" t="s">
        <v>3350</v>
      </c>
      <c r="G91" s="1431" t="s">
        <v>4187</v>
      </c>
      <c r="H91" s="1431"/>
      <c r="I91" s="1431"/>
      <c r="J91" s="1427"/>
      <c r="K91" s="1427"/>
      <c r="L91" s="1427"/>
      <c r="M91" s="1427"/>
      <c r="N91" s="1427"/>
      <c r="O91" s="1427"/>
      <c r="P91" s="1427"/>
      <c r="Q91" s="1427">
        <f>VLOOKUP(D91,'当期公摊测算表（全期）'!D:W,12,FALSE)</f>
        <v>0</v>
      </c>
      <c r="R91" s="1427">
        <f t="shared" si="16"/>
        <v>0</v>
      </c>
      <c r="S91" s="1427">
        <f>VLOOKUP($D91,'当期公摊测算表（全期）'!D:W,17,FALSE)</f>
        <v>0</v>
      </c>
      <c r="T91" s="1427">
        <f t="shared" si="19"/>
        <v>0</v>
      </c>
      <c r="U91" s="1429"/>
      <c r="V91" s="1225">
        <f t="shared" si="14"/>
        <v>0</v>
      </c>
      <c r="W91" s="1225">
        <f t="shared" si="15"/>
        <v>0</v>
      </c>
      <c r="X91" s="1225"/>
      <c r="Y91" s="1225"/>
    </row>
    <row r="92" spans="1:787" s="1247" customFormat="1" ht="13" hidden="1" outlineLevel="2">
      <c r="B92" s="1422" t="s">
        <v>3351</v>
      </c>
      <c r="C92" s="1423"/>
      <c r="D92" s="1423" t="s">
        <v>3352</v>
      </c>
      <c r="E92" s="1431" t="s">
        <v>3353</v>
      </c>
      <c r="F92" s="1425" t="s">
        <v>1282</v>
      </c>
      <c r="G92" s="1431" t="s">
        <v>4179</v>
      </c>
      <c r="H92" s="1431"/>
      <c r="I92" s="1431"/>
      <c r="J92" s="1427"/>
      <c r="K92" s="1427"/>
      <c r="L92" s="1427"/>
      <c r="M92" s="1427"/>
      <c r="N92" s="1427"/>
      <c r="O92" s="1427"/>
      <c r="P92" s="1427"/>
      <c r="Q92" s="1427">
        <f>VLOOKUP(D92,'当期公摊测算表（全期）'!D:W,12,FALSE)</f>
        <v>0</v>
      </c>
      <c r="R92" s="1427">
        <f t="shared" si="16"/>
        <v>0</v>
      </c>
      <c r="S92" s="1427">
        <f>VLOOKUP($D92,'当期公摊测算表（全期）'!D:W,17,FALSE)</f>
        <v>0</v>
      </c>
      <c r="T92" s="1427">
        <f t="shared" si="19"/>
        <v>0</v>
      </c>
      <c r="U92" s="1429"/>
      <c r="V92" s="1225">
        <f t="shared" si="14"/>
        <v>0</v>
      </c>
      <c r="W92" s="1225">
        <f t="shared" si="15"/>
        <v>0</v>
      </c>
      <c r="X92" s="1225"/>
      <c r="Y92" s="1225"/>
    </row>
    <row r="93" spans="1:787" s="1247" customFormat="1" ht="13" hidden="1" outlineLevel="2">
      <c r="B93" s="1422" t="s">
        <v>3354</v>
      </c>
      <c r="C93" s="1423"/>
      <c r="D93" s="1423" t="s">
        <v>3355</v>
      </c>
      <c r="E93" s="1431" t="s">
        <v>3356</v>
      </c>
      <c r="F93" s="1425" t="s">
        <v>1282</v>
      </c>
      <c r="G93" s="1431" t="s">
        <v>4179</v>
      </c>
      <c r="H93" s="1424"/>
      <c r="I93" s="1424"/>
      <c r="J93" s="1427"/>
      <c r="K93" s="1427"/>
      <c r="L93" s="1427"/>
      <c r="M93" s="1427"/>
      <c r="N93" s="1427"/>
      <c r="O93" s="1427"/>
      <c r="P93" s="1427"/>
      <c r="Q93" s="1427">
        <f>VLOOKUP(D93,'当期公摊测算表（全期）'!D:W,12,FALSE)</f>
        <v>0</v>
      </c>
      <c r="R93" s="1427">
        <f t="shared" si="16"/>
        <v>0</v>
      </c>
      <c r="S93" s="1427">
        <f>VLOOKUP($D93,'当期公摊测算表（全期）'!D:W,17,FALSE)</f>
        <v>0</v>
      </c>
      <c r="T93" s="1427">
        <f t="shared" si="19"/>
        <v>0</v>
      </c>
      <c r="U93" s="1429"/>
      <c r="V93" s="1225">
        <f t="shared" si="14"/>
        <v>0</v>
      </c>
      <c r="W93" s="1225">
        <f t="shared" si="15"/>
        <v>0</v>
      </c>
      <c r="X93" s="1225"/>
      <c r="Y93" s="1225"/>
    </row>
    <row r="94" spans="1:787" s="1421" customFormat="1" ht="13" hidden="1" outlineLevel="1">
      <c r="A94" s="1247"/>
      <c r="B94" s="1413" t="s">
        <v>485</v>
      </c>
      <c r="C94" s="1414"/>
      <c r="D94" s="1414" t="s">
        <v>40</v>
      </c>
      <c r="E94" s="1448"/>
      <c r="F94" s="1449"/>
      <c r="G94" s="1448" t="s">
        <v>4117</v>
      </c>
      <c r="H94" s="1418">
        <f>SUBTOTAL(9,H95:H96)</f>
        <v>0</v>
      </c>
      <c r="I94" s="1418">
        <f t="shared" ref="I94:T94" si="20">SUBTOTAL(9,I95:I96)</f>
        <v>0</v>
      </c>
      <c r="J94" s="1419">
        <f t="shared" si="20"/>
        <v>0</v>
      </c>
      <c r="K94" s="1419">
        <f t="shared" si="20"/>
        <v>0</v>
      </c>
      <c r="L94" s="1419">
        <f t="shared" si="20"/>
        <v>0</v>
      </c>
      <c r="M94" s="1419">
        <f t="shared" si="20"/>
        <v>0</v>
      </c>
      <c r="N94" s="1419">
        <f t="shared" si="20"/>
        <v>0</v>
      </c>
      <c r="O94" s="1419">
        <f t="shared" si="20"/>
        <v>0</v>
      </c>
      <c r="P94" s="1419">
        <f t="shared" si="20"/>
        <v>0</v>
      </c>
      <c r="Q94" s="1419">
        <f t="shared" si="20"/>
        <v>253.451627</v>
      </c>
      <c r="R94" s="1419">
        <f t="shared" si="20"/>
        <v>253.451627</v>
      </c>
      <c r="S94" s="1419">
        <f t="shared" si="20"/>
        <v>0</v>
      </c>
      <c r="T94" s="1419">
        <f t="shared" si="20"/>
        <v>253.451627</v>
      </c>
      <c r="U94" s="1443"/>
      <c r="V94" s="1225">
        <f t="shared" si="14"/>
        <v>0</v>
      </c>
      <c r="W94" s="1225">
        <f t="shared" si="15"/>
        <v>0</v>
      </c>
      <c r="X94" s="1225"/>
      <c r="Y94" s="1225"/>
      <c r="Z94" s="1247"/>
      <c r="AA94" s="1247"/>
      <c r="AB94" s="1247"/>
      <c r="AC94" s="1247"/>
      <c r="AD94" s="1247"/>
      <c r="AE94" s="1247"/>
      <c r="AF94" s="1247"/>
      <c r="AG94" s="1247"/>
      <c r="AH94" s="1247"/>
      <c r="AI94" s="1247"/>
      <c r="AJ94" s="1247"/>
      <c r="AK94" s="1247"/>
      <c r="AL94" s="1247"/>
      <c r="AM94" s="1247"/>
      <c r="AN94" s="1247"/>
      <c r="AO94" s="1247"/>
      <c r="AP94" s="1247"/>
      <c r="AQ94" s="1247"/>
      <c r="AR94" s="1247"/>
      <c r="AS94" s="1247"/>
      <c r="AT94" s="1247"/>
      <c r="AU94" s="1247"/>
      <c r="AV94" s="1247"/>
      <c r="AW94" s="1247"/>
      <c r="AX94" s="1247"/>
      <c r="AY94" s="1247"/>
      <c r="AZ94" s="1247"/>
      <c r="BA94" s="1247"/>
      <c r="BB94" s="1247"/>
      <c r="BC94" s="1247"/>
      <c r="BD94" s="1247"/>
      <c r="BE94" s="1247"/>
      <c r="BF94" s="1247"/>
      <c r="BG94" s="1247"/>
      <c r="BH94" s="1247"/>
      <c r="BI94" s="1247"/>
      <c r="BJ94" s="1247"/>
      <c r="BK94" s="1247"/>
      <c r="BL94" s="1247"/>
      <c r="BM94" s="1247"/>
      <c r="BN94" s="1247"/>
      <c r="BO94" s="1247"/>
      <c r="BP94" s="1247"/>
      <c r="BQ94" s="1247"/>
      <c r="BR94" s="1247"/>
      <c r="BS94" s="1247"/>
      <c r="BT94" s="1247"/>
      <c r="BU94" s="1247"/>
      <c r="BV94" s="1247"/>
      <c r="BW94" s="1247"/>
      <c r="BX94" s="1247"/>
      <c r="BY94" s="1247"/>
      <c r="BZ94" s="1247"/>
      <c r="CA94" s="1247"/>
      <c r="CB94" s="1247"/>
      <c r="CC94" s="1247"/>
      <c r="CD94" s="1247"/>
      <c r="CE94" s="1247"/>
      <c r="CF94" s="1247"/>
      <c r="CG94" s="1247"/>
      <c r="CH94" s="1247"/>
      <c r="CI94" s="1247"/>
      <c r="CJ94" s="1247"/>
      <c r="CK94" s="1247"/>
      <c r="CL94" s="1247"/>
      <c r="CM94" s="1247"/>
      <c r="CN94" s="1247"/>
      <c r="CO94" s="1247"/>
      <c r="CP94" s="1247"/>
      <c r="CQ94" s="1247"/>
      <c r="CR94" s="1247"/>
      <c r="CS94" s="1247"/>
      <c r="CT94" s="1247"/>
      <c r="CU94" s="1247"/>
      <c r="CV94" s="1247"/>
      <c r="CW94" s="1247"/>
      <c r="CX94" s="1247"/>
      <c r="CY94" s="1247"/>
      <c r="CZ94" s="1247"/>
      <c r="DA94" s="1247"/>
      <c r="DB94" s="1247"/>
      <c r="DC94" s="1247"/>
      <c r="DD94" s="1247"/>
      <c r="DE94" s="1247"/>
      <c r="DF94" s="1247"/>
      <c r="DG94" s="1247"/>
      <c r="DH94" s="1247"/>
      <c r="DI94" s="1247"/>
      <c r="DJ94" s="1247"/>
      <c r="DK94" s="1247"/>
      <c r="DL94" s="1247"/>
      <c r="DM94" s="1247"/>
      <c r="DN94" s="1247"/>
      <c r="DO94" s="1247"/>
      <c r="DP94" s="1247"/>
      <c r="DQ94" s="1247"/>
      <c r="DR94" s="1247"/>
      <c r="DS94" s="1247"/>
      <c r="DT94" s="1247"/>
      <c r="DU94" s="1247"/>
      <c r="DV94" s="1247"/>
      <c r="DW94" s="1247"/>
      <c r="DX94" s="1247"/>
      <c r="DY94" s="1247"/>
      <c r="DZ94" s="1247"/>
      <c r="EA94" s="1247"/>
      <c r="EB94" s="1247"/>
      <c r="EC94" s="1247"/>
      <c r="ED94" s="1247"/>
      <c r="EE94" s="1247"/>
      <c r="EF94" s="1247"/>
      <c r="EG94" s="1247"/>
      <c r="EH94" s="1247"/>
      <c r="EI94" s="1247"/>
      <c r="EJ94" s="1247"/>
      <c r="EK94" s="1247"/>
      <c r="EL94" s="1247"/>
      <c r="EM94" s="1247"/>
      <c r="EN94" s="1247"/>
      <c r="EO94" s="1247"/>
      <c r="EP94" s="1247"/>
      <c r="EQ94" s="1247"/>
      <c r="ER94" s="1247"/>
      <c r="ES94" s="1247"/>
      <c r="ET94" s="1247"/>
      <c r="EU94" s="1247"/>
      <c r="EV94" s="1247"/>
      <c r="EW94" s="1247"/>
      <c r="EX94" s="1247"/>
      <c r="EY94" s="1247"/>
      <c r="EZ94" s="1247"/>
      <c r="FA94" s="1247"/>
      <c r="FB94" s="1247"/>
      <c r="FC94" s="1247"/>
      <c r="FD94" s="1247"/>
      <c r="FE94" s="1247"/>
      <c r="FF94" s="1247"/>
      <c r="FG94" s="1247"/>
      <c r="FH94" s="1247"/>
      <c r="FI94" s="1247"/>
      <c r="FJ94" s="1247"/>
      <c r="FK94" s="1247"/>
      <c r="FL94" s="1247"/>
      <c r="FM94" s="1247"/>
      <c r="FN94" s="1247"/>
      <c r="FO94" s="1247"/>
      <c r="FP94" s="1247"/>
      <c r="FQ94" s="1247"/>
      <c r="FR94" s="1247"/>
      <c r="FS94" s="1247"/>
      <c r="FT94" s="1247"/>
      <c r="FU94" s="1247"/>
      <c r="FV94" s="1247"/>
      <c r="FW94" s="1247"/>
      <c r="FX94" s="1247"/>
      <c r="FY94" s="1247"/>
      <c r="FZ94" s="1247"/>
      <c r="GA94" s="1247"/>
      <c r="GB94" s="1247"/>
      <c r="GC94" s="1247"/>
      <c r="GD94" s="1247"/>
      <c r="GE94" s="1247"/>
      <c r="GF94" s="1247"/>
      <c r="GG94" s="1247"/>
      <c r="GH94" s="1247"/>
      <c r="GI94" s="1247"/>
      <c r="GJ94" s="1247"/>
      <c r="GK94" s="1247"/>
      <c r="GL94" s="1247"/>
      <c r="GM94" s="1247"/>
      <c r="GN94" s="1247"/>
      <c r="GO94" s="1247"/>
      <c r="GP94" s="1247"/>
      <c r="GQ94" s="1247"/>
      <c r="GR94" s="1247"/>
      <c r="GS94" s="1247"/>
      <c r="GT94" s="1247"/>
      <c r="GU94" s="1247"/>
      <c r="GV94" s="1247"/>
      <c r="GW94" s="1247"/>
      <c r="GX94" s="1247"/>
      <c r="GY94" s="1247"/>
      <c r="GZ94" s="1247"/>
      <c r="HA94" s="1247"/>
      <c r="HB94" s="1247"/>
      <c r="HC94" s="1247"/>
      <c r="HD94" s="1247"/>
      <c r="HE94" s="1247"/>
      <c r="HF94" s="1247"/>
      <c r="HG94" s="1247"/>
      <c r="HH94" s="1247"/>
      <c r="HI94" s="1247"/>
      <c r="HJ94" s="1247"/>
      <c r="HK94" s="1247"/>
      <c r="HL94" s="1247"/>
      <c r="HM94" s="1247"/>
      <c r="HN94" s="1247"/>
      <c r="HO94" s="1247"/>
      <c r="HP94" s="1247"/>
      <c r="HQ94" s="1247"/>
      <c r="HR94" s="1247"/>
      <c r="HS94" s="1247"/>
      <c r="HT94" s="1247"/>
      <c r="HU94" s="1247"/>
      <c r="HV94" s="1247"/>
      <c r="HW94" s="1247"/>
      <c r="HX94" s="1247"/>
      <c r="HY94" s="1247"/>
      <c r="HZ94" s="1247"/>
      <c r="IA94" s="1247"/>
      <c r="IB94" s="1247"/>
      <c r="IC94" s="1247"/>
      <c r="ID94" s="1247"/>
      <c r="IE94" s="1247"/>
      <c r="IF94" s="1247"/>
      <c r="IG94" s="1247"/>
      <c r="IH94" s="1247"/>
      <c r="II94" s="1247"/>
      <c r="IJ94" s="1247"/>
      <c r="IK94" s="1247"/>
      <c r="IL94" s="1247"/>
      <c r="IM94" s="1247"/>
      <c r="IN94" s="1247"/>
      <c r="IO94" s="1247"/>
      <c r="IP94" s="1247"/>
      <c r="IQ94" s="1247"/>
      <c r="IR94" s="1247"/>
      <c r="IS94" s="1247"/>
      <c r="IT94" s="1247"/>
      <c r="IU94" s="1247"/>
      <c r="IV94" s="1247"/>
      <c r="IW94" s="1247"/>
      <c r="IX94" s="1247"/>
      <c r="IY94" s="1247"/>
      <c r="IZ94" s="1247"/>
      <c r="JA94" s="1247"/>
      <c r="JB94" s="1247"/>
      <c r="JC94" s="1247"/>
      <c r="JD94" s="1247"/>
      <c r="JE94" s="1247"/>
      <c r="JF94" s="1247"/>
      <c r="JG94" s="1247"/>
      <c r="JH94" s="1247"/>
      <c r="JI94" s="1247"/>
      <c r="JJ94" s="1247"/>
      <c r="JK94" s="1247"/>
      <c r="JL94" s="1247"/>
      <c r="JM94" s="1247"/>
      <c r="JN94" s="1247"/>
      <c r="JO94" s="1247"/>
      <c r="JP94" s="1247"/>
      <c r="JQ94" s="1247"/>
      <c r="JR94" s="1247"/>
      <c r="JS94" s="1247"/>
      <c r="JT94" s="1247"/>
      <c r="JU94" s="1247"/>
      <c r="JV94" s="1247"/>
      <c r="JW94" s="1247"/>
      <c r="JX94" s="1247"/>
      <c r="JY94" s="1247"/>
      <c r="JZ94" s="1247"/>
      <c r="KA94" s="1247"/>
      <c r="KB94" s="1247"/>
      <c r="KC94" s="1247"/>
      <c r="KD94" s="1247"/>
      <c r="KE94" s="1247"/>
      <c r="KF94" s="1247"/>
      <c r="KG94" s="1247"/>
      <c r="KH94" s="1247"/>
      <c r="KI94" s="1247"/>
      <c r="KJ94" s="1247"/>
      <c r="KK94" s="1247"/>
      <c r="KL94" s="1247"/>
      <c r="KM94" s="1247"/>
      <c r="KN94" s="1247"/>
      <c r="KO94" s="1247"/>
      <c r="KP94" s="1247"/>
      <c r="KQ94" s="1247"/>
      <c r="KR94" s="1247"/>
      <c r="KS94" s="1247"/>
      <c r="KT94" s="1247"/>
      <c r="KU94" s="1247"/>
      <c r="KV94" s="1247"/>
      <c r="KW94" s="1247"/>
      <c r="KX94" s="1247"/>
      <c r="KY94" s="1247"/>
      <c r="KZ94" s="1247"/>
      <c r="LA94" s="1247"/>
      <c r="LB94" s="1247"/>
      <c r="LC94" s="1247"/>
      <c r="LD94" s="1247"/>
      <c r="LE94" s="1247"/>
      <c r="LF94" s="1247"/>
      <c r="LG94" s="1247"/>
      <c r="LH94" s="1247"/>
      <c r="LI94" s="1247"/>
      <c r="LJ94" s="1247"/>
      <c r="LK94" s="1247"/>
      <c r="LL94" s="1247"/>
      <c r="LM94" s="1247"/>
      <c r="LN94" s="1247"/>
      <c r="LO94" s="1247"/>
      <c r="LP94" s="1247"/>
      <c r="LQ94" s="1247"/>
      <c r="LR94" s="1247"/>
      <c r="LS94" s="1247"/>
      <c r="LT94" s="1247"/>
      <c r="LU94" s="1247"/>
      <c r="LV94" s="1247"/>
      <c r="LW94" s="1247"/>
      <c r="LX94" s="1247"/>
      <c r="LY94" s="1247"/>
      <c r="LZ94" s="1247"/>
      <c r="MA94" s="1247"/>
      <c r="MB94" s="1247"/>
      <c r="MC94" s="1247"/>
      <c r="MD94" s="1247"/>
      <c r="ME94" s="1247"/>
      <c r="MF94" s="1247"/>
      <c r="MG94" s="1247"/>
      <c r="MH94" s="1247"/>
      <c r="MI94" s="1247"/>
      <c r="MJ94" s="1247"/>
      <c r="MK94" s="1247"/>
      <c r="ML94" s="1247"/>
      <c r="MM94" s="1247"/>
      <c r="MN94" s="1247"/>
      <c r="MO94" s="1247"/>
      <c r="MP94" s="1247"/>
      <c r="MQ94" s="1247"/>
      <c r="MR94" s="1247"/>
      <c r="MS94" s="1247"/>
      <c r="MT94" s="1247"/>
      <c r="MU94" s="1247"/>
      <c r="MV94" s="1247"/>
      <c r="MW94" s="1247"/>
      <c r="MX94" s="1247"/>
      <c r="MY94" s="1247"/>
      <c r="MZ94" s="1247"/>
      <c r="NA94" s="1247"/>
      <c r="NB94" s="1247"/>
      <c r="NC94" s="1247"/>
      <c r="ND94" s="1247"/>
      <c r="NE94" s="1247"/>
      <c r="NF94" s="1247"/>
      <c r="NG94" s="1247"/>
      <c r="NH94" s="1247"/>
      <c r="NI94" s="1247"/>
      <c r="NJ94" s="1247"/>
      <c r="NK94" s="1247"/>
      <c r="NL94" s="1247"/>
      <c r="NM94" s="1247"/>
      <c r="NN94" s="1247"/>
      <c r="NO94" s="1247"/>
      <c r="NP94" s="1247"/>
      <c r="NQ94" s="1247"/>
      <c r="NR94" s="1247"/>
      <c r="NS94" s="1247"/>
      <c r="NT94" s="1247"/>
      <c r="NU94" s="1247"/>
      <c r="NV94" s="1247"/>
      <c r="NW94" s="1247"/>
      <c r="NX94" s="1247"/>
      <c r="NY94" s="1247"/>
      <c r="NZ94" s="1247"/>
      <c r="OA94" s="1247"/>
      <c r="OB94" s="1247"/>
      <c r="OC94" s="1247"/>
      <c r="OD94" s="1247"/>
      <c r="OE94" s="1247"/>
      <c r="OF94" s="1247"/>
      <c r="OG94" s="1247"/>
      <c r="OH94" s="1247"/>
      <c r="OI94" s="1247"/>
      <c r="OJ94" s="1247"/>
      <c r="OK94" s="1247"/>
      <c r="OL94" s="1247"/>
      <c r="OM94" s="1247"/>
      <c r="ON94" s="1247"/>
      <c r="OO94" s="1247"/>
      <c r="OP94" s="1247"/>
      <c r="OQ94" s="1247"/>
      <c r="OR94" s="1247"/>
      <c r="OS94" s="1247"/>
      <c r="OT94" s="1247"/>
      <c r="OU94" s="1247"/>
      <c r="OV94" s="1247"/>
      <c r="OW94" s="1247"/>
      <c r="OX94" s="1247"/>
      <c r="OY94" s="1247"/>
      <c r="OZ94" s="1247"/>
      <c r="PA94" s="1247"/>
      <c r="PB94" s="1247"/>
      <c r="PC94" s="1247"/>
      <c r="PD94" s="1247"/>
      <c r="PE94" s="1247"/>
      <c r="PF94" s="1247"/>
      <c r="PG94" s="1247"/>
      <c r="PH94" s="1247"/>
      <c r="PI94" s="1247"/>
      <c r="PJ94" s="1247"/>
      <c r="PK94" s="1247"/>
      <c r="PL94" s="1247"/>
      <c r="PM94" s="1247"/>
      <c r="PN94" s="1247"/>
      <c r="PO94" s="1247"/>
      <c r="PP94" s="1247"/>
      <c r="PQ94" s="1247"/>
      <c r="PR94" s="1247"/>
      <c r="PS94" s="1247"/>
      <c r="PT94" s="1247"/>
      <c r="PU94" s="1247"/>
      <c r="PV94" s="1247"/>
      <c r="PW94" s="1247"/>
      <c r="PX94" s="1247"/>
      <c r="PY94" s="1247"/>
      <c r="PZ94" s="1247"/>
      <c r="QA94" s="1247"/>
      <c r="QB94" s="1247"/>
      <c r="QC94" s="1247"/>
      <c r="QD94" s="1247"/>
      <c r="QE94" s="1247"/>
      <c r="QF94" s="1247"/>
      <c r="QG94" s="1247"/>
      <c r="QH94" s="1247"/>
      <c r="QI94" s="1247"/>
      <c r="QJ94" s="1247"/>
      <c r="QK94" s="1247"/>
      <c r="QL94" s="1247"/>
      <c r="QM94" s="1247"/>
      <c r="QN94" s="1247"/>
      <c r="QO94" s="1247"/>
      <c r="QP94" s="1247"/>
      <c r="QQ94" s="1247"/>
      <c r="QR94" s="1247"/>
      <c r="QS94" s="1247"/>
      <c r="QT94" s="1247"/>
      <c r="QU94" s="1247"/>
      <c r="QV94" s="1247"/>
      <c r="QW94" s="1247"/>
      <c r="QX94" s="1247"/>
      <c r="QY94" s="1247"/>
      <c r="QZ94" s="1247"/>
      <c r="RA94" s="1247"/>
      <c r="RB94" s="1247"/>
      <c r="RC94" s="1247"/>
      <c r="RD94" s="1247"/>
      <c r="RE94" s="1247"/>
      <c r="RF94" s="1247"/>
      <c r="RG94" s="1247"/>
      <c r="RH94" s="1247"/>
      <c r="RI94" s="1247"/>
      <c r="RJ94" s="1247"/>
      <c r="RK94" s="1247"/>
      <c r="RL94" s="1247"/>
      <c r="RM94" s="1247"/>
      <c r="RN94" s="1247"/>
      <c r="RO94" s="1247"/>
      <c r="RP94" s="1247"/>
      <c r="RQ94" s="1247"/>
      <c r="RR94" s="1247"/>
      <c r="RS94" s="1247"/>
      <c r="RT94" s="1247"/>
      <c r="RU94" s="1247"/>
      <c r="RV94" s="1247"/>
      <c r="RW94" s="1247"/>
      <c r="RX94" s="1247"/>
      <c r="RY94" s="1247"/>
      <c r="RZ94" s="1247"/>
      <c r="SA94" s="1247"/>
      <c r="SB94" s="1247"/>
      <c r="SC94" s="1247"/>
      <c r="SD94" s="1247"/>
      <c r="SE94" s="1247"/>
      <c r="SF94" s="1247"/>
      <c r="SG94" s="1247"/>
      <c r="SH94" s="1247"/>
      <c r="SI94" s="1247"/>
      <c r="SJ94" s="1247"/>
      <c r="SK94" s="1247"/>
      <c r="SL94" s="1247"/>
      <c r="SM94" s="1247"/>
      <c r="SN94" s="1247"/>
      <c r="SO94" s="1247"/>
      <c r="SP94" s="1247"/>
      <c r="SQ94" s="1247"/>
      <c r="SR94" s="1247"/>
      <c r="SS94" s="1247"/>
      <c r="ST94" s="1247"/>
      <c r="SU94" s="1247"/>
      <c r="SV94" s="1247"/>
      <c r="SW94" s="1247"/>
      <c r="SX94" s="1247"/>
      <c r="SY94" s="1247"/>
      <c r="SZ94" s="1247"/>
      <c r="TA94" s="1247"/>
      <c r="TB94" s="1247"/>
      <c r="TC94" s="1247"/>
      <c r="TD94" s="1247"/>
      <c r="TE94" s="1247"/>
      <c r="TF94" s="1247"/>
      <c r="TG94" s="1247"/>
      <c r="TH94" s="1247"/>
      <c r="TI94" s="1247"/>
      <c r="TJ94" s="1247"/>
      <c r="TK94" s="1247"/>
      <c r="TL94" s="1247"/>
      <c r="TM94" s="1247"/>
      <c r="TN94" s="1247"/>
      <c r="TO94" s="1247"/>
      <c r="TP94" s="1247"/>
      <c r="TQ94" s="1247"/>
      <c r="TR94" s="1247"/>
      <c r="TS94" s="1247"/>
      <c r="TT94" s="1247"/>
      <c r="TU94" s="1247"/>
      <c r="TV94" s="1247"/>
      <c r="TW94" s="1247"/>
      <c r="TX94" s="1247"/>
      <c r="TY94" s="1247"/>
      <c r="TZ94" s="1247"/>
      <c r="UA94" s="1247"/>
      <c r="UB94" s="1247"/>
      <c r="UC94" s="1247"/>
      <c r="UD94" s="1247"/>
      <c r="UE94" s="1247"/>
      <c r="UF94" s="1247"/>
      <c r="UG94" s="1247"/>
      <c r="UH94" s="1247"/>
      <c r="UI94" s="1247"/>
      <c r="UJ94" s="1247"/>
      <c r="UK94" s="1247"/>
      <c r="UL94" s="1247"/>
      <c r="UM94" s="1247"/>
      <c r="UN94" s="1247"/>
      <c r="UO94" s="1247"/>
      <c r="UP94" s="1247"/>
      <c r="UQ94" s="1247"/>
      <c r="UR94" s="1247"/>
      <c r="US94" s="1247"/>
      <c r="UT94" s="1247"/>
      <c r="UU94" s="1247"/>
      <c r="UV94" s="1247"/>
      <c r="UW94" s="1247"/>
      <c r="UX94" s="1247"/>
      <c r="UY94" s="1247"/>
      <c r="UZ94" s="1247"/>
      <c r="VA94" s="1247"/>
      <c r="VB94" s="1247"/>
      <c r="VC94" s="1247"/>
      <c r="VD94" s="1247"/>
      <c r="VE94" s="1247"/>
      <c r="VF94" s="1247"/>
      <c r="VG94" s="1247"/>
      <c r="VH94" s="1247"/>
      <c r="VI94" s="1247"/>
      <c r="VJ94" s="1247"/>
      <c r="VK94" s="1247"/>
      <c r="VL94" s="1247"/>
      <c r="VM94" s="1247"/>
      <c r="VN94" s="1247"/>
      <c r="VO94" s="1247"/>
      <c r="VP94" s="1247"/>
      <c r="VQ94" s="1247"/>
      <c r="VR94" s="1247"/>
      <c r="VS94" s="1247"/>
      <c r="VT94" s="1247"/>
      <c r="VU94" s="1247"/>
      <c r="VV94" s="1247"/>
      <c r="VW94" s="1247"/>
      <c r="VX94" s="1247"/>
      <c r="VY94" s="1247"/>
      <c r="VZ94" s="1247"/>
      <c r="WA94" s="1247"/>
      <c r="WB94" s="1247"/>
      <c r="WC94" s="1247"/>
      <c r="WD94" s="1247"/>
      <c r="WE94" s="1247"/>
      <c r="WF94" s="1247"/>
      <c r="WG94" s="1247"/>
      <c r="WH94" s="1247"/>
      <c r="WI94" s="1247"/>
      <c r="WJ94" s="1247"/>
      <c r="WK94" s="1247"/>
      <c r="WL94" s="1247"/>
      <c r="WM94" s="1247"/>
      <c r="WN94" s="1247"/>
      <c r="WO94" s="1247"/>
      <c r="WP94" s="1247"/>
      <c r="WQ94" s="1247"/>
      <c r="WR94" s="1247"/>
      <c r="WS94" s="1247"/>
      <c r="WT94" s="1247"/>
      <c r="WU94" s="1247"/>
      <c r="WV94" s="1247"/>
      <c r="WW94" s="1247"/>
      <c r="WX94" s="1247"/>
      <c r="WY94" s="1247"/>
      <c r="WZ94" s="1247"/>
      <c r="XA94" s="1247"/>
      <c r="XB94" s="1247"/>
      <c r="XC94" s="1247"/>
      <c r="XD94" s="1247"/>
      <c r="XE94" s="1247"/>
      <c r="XF94" s="1247"/>
      <c r="XG94" s="1247"/>
      <c r="XH94" s="1247"/>
      <c r="XI94" s="1247"/>
      <c r="XJ94" s="1247"/>
      <c r="XK94" s="1247"/>
      <c r="XL94" s="1247"/>
      <c r="XM94" s="1247"/>
      <c r="XN94" s="1247"/>
      <c r="XO94" s="1247"/>
      <c r="XP94" s="1247"/>
      <c r="XQ94" s="1247"/>
      <c r="XR94" s="1247"/>
      <c r="XS94" s="1247"/>
      <c r="XT94" s="1247"/>
      <c r="XU94" s="1247"/>
      <c r="XV94" s="1247"/>
      <c r="XW94" s="1247"/>
      <c r="XX94" s="1247"/>
      <c r="XY94" s="1247"/>
      <c r="XZ94" s="1247"/>
      <c r="YA94" s="1247"/>
      <c r="YB94" s="1247"/>
      <c r="YC94" s="1247"/>
      <c r="YD94" s="1247"/>
      <c r="YE94" s="1247"/>
      <c r="YF94" s="1247"/>
      <c r="YG94" s="1247"/>
      <c r="YH94" s="1247"/>
      <c r="YI94" s="1247"/>
      <c r="YJ94" s="1247"/>
      <c r="YK94" s="1247"/>
      <c r="YL94" s="1247"/>
      <c r="YM94" s="1247"/>
      <c r="YN94" s="1247"/>
      <c r="YO94" s="1247"/>
      <c r="YP94" s="1247"/>
      <c r="YQ94" s="1247"/>
      <c r="YR94" s="1247"/>
      <c r="YS94" s="1247"/>
      <c r="YT94" s="1247"/>
      <c r="YU94" s="1247"/>
      <c r="YV94" s="1247"/>
      <c r="YW94" s="1247"/>
      <c r="YX94" s="1247"/>
      <c r="YY94" s="1247"/>
      <c r="YZ94" s="1247"/>
      <c r="ZA94" s="1247"/>
      <c r="ZB94" s="1247"/>
      <c r="ZC94" s="1247"/>
      <c r="ZD94" s="1247"/>
      <c r="ZE94" s="1247"/>
      <c r="ZF94" s="1247"/>
      <c r="ZG94" s="1247"/>
      <c r="ZH94" s="1247"/>
      <c r="ZI94" s="1247"/>
      <c r="ZJ94" s="1247"/>
      <c r="ZK94" s="1247"/>
      <c r="ZL94" s="1247"/>
      <c r="ZM94" s="1247"/>
      <c r="ZN94" s="1247"/>
      <c r="ZO94" s="1247"/>
      <c r="ZP94" s="1247"/>
      <c r="ZQ94" s="1247"/>
      <c r="ZR94" s="1247"/>
      <c r="ZS94" s="1247"/>
      <c r="ZT94" s="1247"/>
      <c r="ZU94" s="1247"/>
      <c r="ZV94" s="1247"/>
      <c r="ZW94" s="1247"/>
      <c r="ZX94" s="1247"/>
      <c r="ZY94" s="1247"/>
      <c r="ZZ94" s="1247"/>
      <c r="AAA94" s="1247"/>
      <c r="AAB94" s="1247"/>
      <c r="AAC94" s="1247"/>
      <c r="AAD94" s="1247"/>
      <c r="AAE94" s="1247"/>
      <c r="AAF94" s="1247"/>
      <c r="AAG94" s="1247"/>
      <c r="AAH94" s="1247"/>
      <c r="AAI94" s="1247"/>
      <c r="AAJ94" s="1247"/>
      <c r="AAK94" s="1247"/>
      <c r="AAL94" s="1247"/>
      <c r="AAM94" s="1247"/>
      <c r="AAN94" s="1247"/>
      <c r="AAO94" s="1247"/>
      <c r="AAP94" s="1247"/>
      <c r="AAQ94" s="1247"/>
      <c r="AAR94" s="1247"/>
      <c r="AAS94" s="1247"/>
      <c r="AAT94" s="1247"/>
      <c r="AAU94" s="1247"/>
      <c r="AAV94" s="1247"/>
      <c r="AAW94" s="1247"/>
      <c r="AAX94" s="1247"/>
      <c r="AAY94" s="1247"/>
      <c r="AAZ94" s="1247"/>
      <c r="ABA94" s="1247"/>
      <c r="ABB94" s="1247"/>
      <c r="ABC94" s="1247"/>
      <c r="ABD94" s="1247"/>
      <c r="ABE94" s="1247"/>
      <c r="ABF94" s="1247"/>
      <c r="ABG94" s="1247"/>
      <c r="ABH94" s="1247"/>
      <c r="ABI94" s="1247"/>
      <c r="ABJ94" s="1247"/>
      <c r="ABK94" s="1247"/>
      <c r="ABL94" s="1247"/>
      <c r="ABM94" s="1247"/>
      <c r="ABN94" s="1247"/>
      <c r="ABO94" s="1247"/>
      <c r="ABP94" s="1247"/>
      <c r="ABQ94" s="1247"/>
      <c r="ABR94" s="1247"/>
      <c r="ABS94" s="1247"/>
      <c r="ABT94" s="1247"/>
      <c r="ABU94" s="1247"/>
      <c r="ABV94" s="1247"/>
      <c r="ABW94" s="1247"/>
      <c r="ABX94" s="1247"/>
      <c r="ABY94" s="1247"/>
      <c r="ABZ94" s="1247"/>
      <c r="ACA94" s="1247"/>
      <c r="ACB94" s="1247"/>
      <c r="ACC94" s="1247"/>
      <c r="ACD94" s="1247"/>
      <c r="ACE94" s="1247"/>
      <c r="ACF94" s="1247"/>
      <c r="ACG94" s="1247"/>
      <c r="ACH94" s="1247"/>
      <c r="ACI94" s="1247"/>
      <c r="ACJ94" s="1247"/>
      <c r="ACK94" s="1247"/>
      <c r="ACL94" s="1247"/>
      <c r="ACM94" s="1247"/>
      <c r="ACN94" s="1247"/>
      <c r="ACO94" s="1247"/>
      <c r="ACP94" s="1247"/>
      <c r="ACQ94" s="1247"/>
      <c r="ACR94" s="1247"/>
      <c r="ACS94" s="1247"/>
      <c r="ACT94" s="1247"/>
      <c r="ACU94" s="1247"/>
      <c r="ACV94" s="1247"/>
      <c r="ACW94" s="1247"/>
      <c r="ACX94" s="1247"/>
      <c r="ACY94" s="1247"/>
      <c r="ACZ94" s="1247"/>
      <c r="ADA94" s="1247"/>
      <c r="ADB94" s="1247"/>
      <c r="ADC94" s="1247"/>
      <c r="ADD94" s="1247"/>
      <c r="ADE94" s="1247"/>
      <c r="ADF94" s="1247"/>
      <c r="ADG94" s="1247"/>
    </row>
    <row r="95" spans="1:787" s="1247" customFormat="1" ht="13" hidden="1" outlineLevel="2">
      <c r="B95" s="1422" t="s">
        <v>585</v>
      </c>
      <c r="C95" s="1423"/>
      <c r="D95" s="1423" t="s">
        <v>535</v>
      </c>
      <c r="E95" s="1431" t="s">
        <v>3357</v>
      </c>
      <c r="F95" s="1425" t="s">
        <v>3338</v>
      </c>
      <c r="G95" s="1431" t="s">
        <v>4185</v>
      </c>
      <c r="H95" s="1424"/>
      <c r="I95" s="1424"/>
      <c r="J95" s="1427"/>
      <c r="K95" s="1427"/>
      <c r="L95" s="1427"/>
      <c r="M95" s="1427"/>
      <c r="N95" s="1427"/>
      <c r="O95" s="1427"/>
      <c r="P95" s="1427"/>
      <c r="Q95" s="1427">
        <f>VLOOKUP(D95,'当期公摊测算表（全期）'!D:W,12,FALSE)</f>
        <v>233.4366</v>
      </c>
      <c r="R95" s="1427">
        <f t="shared" si="16"/>
        <v>233.4366</v>
      </c>
      <c r="S95" s="1427">
        <f>VLOOKUP($D95,'当期公摊测算表（全期）'!D:W,17,FALSE)</f>
        <v>0</v>
      </c>
      <c r="T95" s="1427">
        <f>R95+S95</f>
        <v>233.4366</v>
      </c>
      <c r="U95" s="1429"/>
      <c r="V95" s="1225">
        <f t="shared" si="14"/>
        <v>0</v>
      </c>
      <c r="W95" s="1225">
        <f t="shared" si="15"/>
        <v>0</v>
      </c>
      <c r="X95" s="1225"/>
      <c r="Y95" s="1225"/>
    </row>
    <row r="96" spans="1:787" s="1247" customFormat="1" ht="13" hidden="1" outlineLevel="2">
      <c r="B96" s="1422" t="s">
        <v>536</v>
      </c>
      <c r="C96" s="1423"/>
      <c r="D96" s="1423" t="s">
        <v>3358</v>
      </c>
      <c r="E96" s="1431" t="s">
        <v>3359</v>
      </c>
      <c r="F96" s="1425" t="s">
        <v>3338</v>
      </c>
      <c r="G96" s="1431" t="s">
        <v>4185</v>
      </c>
      <c r="H96" s="1424"/>
      <c r="I96" s="1424"/>
      <c r="J96" s="1427"/>
      <c r="K96" s="1427"/>
      <c r="L96" s="1427"/>
      <c r="M96" s="1427"/>
      <c r="N96" s="1427"/>
      <c r="O96" s="1427"/>
      <c r="P96" s="1427"/>
      <c r="Q96" s="1427">
        <f>VLOOKUP(D96,'当期公摊测算表（全期）'!D:W,12,FALSE)</f>
        <v>20.015027</v>
      </c>
      <c r="R96" s="1427">
        <f t="shared" si="16"/>
        <v>20.015027</v>
      </c>
      <c r="S96" s="1427">
        <f>VLOOKUP($D96,'当期公摊测算表（全期）'!D:W,17,FALSE)</f>
        <v>0</v>
      </c>
      <c r="T96" s="1427">
        <f>R96+S96</f>
        <v>20.015027</v>
      </c>
      <c r="U96" s="1429"/>
      <c r="V96" s="1225">
        <f t="shared" si="14"/>
        <v>0</v>
      </c>
      <c r="W96" s="1225">
        <f t="shared" si="15"/>
        <v>0</v>
      </c>
      <c r="X96" s="1225"/>
      <c r="Y96" s="1225"/>
    </row>
    <row r="97" spans="1:787" s="1412" customFormat="1" ht="13" collapsed="1">
      <c r="A97" s="1247"/>
      <c r="B97" s="1403" t="s">
        <v>537</v>
      </c>
      <c r="C97" s="1404"/>
      <c r="D97" s="1404" t="s">
        <v>486</v>
      </c>
      <c r="E97" s="1407"/>
      <c r="F97" s="1406"/>
      <c r="G97" s="1407" t="s">
        <v>4117</v>
      </c>
      <c r="H97" s="1450">
        <f>SUBTOTAL(9,H98:H195)</f>
        <v>8389.7620349999979</v>
      </c>
      <c r="I97" s="1450">
        <f t="shared" ref="I97:T97" si="21">SUBTOTAL(9,I98:I195)</f>
        <v>0</v>
      </c>
      <c r="J97" s="1451">
        <f t="shared" si="21"/>
        <v>10480.430730000004</v>
      </c>
      <c r="K97" s="1451">
        <f t="shared" si="21"/>
        <v>0</v>
      </c>
      <c r="L97" s="1451">
        <f t="shared" si="21"/>
        <v>280.50103000000001</v>
      </c>
      <c r="M97" s="1451">
        <f t="shared" si="21"/>
        <v>310.10767799999991</v>
      </c>
      <c r="N97" s="1451">
        <f t="shared" si="21"/>
        <v>3758.4418329999999</v>
      </c>
      <c r="O97" s="1451">
        <f t="shared" si="21"/>
        <v>0</v>
      </c>
      <c r="P97" s="1451">
        <f t="shared" si="21"/>
        <v>13477.775215999996</v>
      </c>
      <c r="Q97" s="1451">
        <f t="shared" si="21"/>
        <v>3822.045893</v>
      </c>
      <c r="R97" s="1451">
        <f t="shared" si="21"/>
        <v>40519.064415000023</v>
      </c>
      <c r="S97" s="1451">
        <f t="shared" si="21"/>
        <v>0</v>
      </c>
      <c r="T97" s="1451">
        <f t="shared" si="21"/>
        <v>40519.064415000023</v>
      </c>
      <c r="U97" s="1411"/>
      <c r="V97" s="1225">
        <f t="shared" si="14"/>
        <v>-2.2225776774575934E-11</v>
      </c>
      <c r="W97" s="1225">
        <f t="shared" si="15"/>
        <v>0</v>
      </c>
      <c r="X97" s="1225">
        <f>T97-车位!O209*车位!K4+人防车位!O209*人防车位!K4-'成本汇总（分摊）'!BJ16</f>
        <v>6160.4666827427645</v>
      </c>
      <c r="Y97" s="1225"/>
      <c r="Z97" s="1247"/>
      <c r="AA97" s="1247"/>
      <c r="AB97" s="1247"/>
      <c r="AC97" s="1247"/>
      <c r="AD97" s="1247"/>
      <c r="AE97" s="1247"/>
      <c r="AF97" s="1247"/>
      <c r="AG97" s="1247"/>
      <c r="AH97" s="1247"/>
      <c r="AI97" s="1247"/>
      <c r="AJ97" s="1247"/>
      <c r="AK97" s="1247"/>
      <c r="AL97" s="1247"/>
      <c r="AM97" s="1247"/>
      <c r="AN97" s="1247"/>
      <c r="AO97" s="1247"/>
      <c r="AP97" s="1247"/>
      <c r="AQ97" s="1247"/>
      <c r="AR97" s="1247"/>
      <c r="AS97" s="1247"/>
      <c r="AT97" s="1247"/>
      <c r="AU97" s="1247"/>
      <c r="AV97" s="1247"/>
      <c r="AW97" s="1247"/>
      <c r="AX97" s="1247"/>
      <c r="AY97" s="1247"/>
      <c r="AZ97" s="1247"/>
      <c r="BA97" s="1247"/>
      <c r="BB97" s="1247"/>
      <c r="BC97" s="1247"/>
      <c r="BD97" s="1247"/>
      <c r="BE97" s="1247"/>
      <c r="BF97" s="1247"/>
      <c r="BG97" s="1247"/>
      <c r="BH97" s="1247"/>
      <c r="BI97" s="1247"/>
      <c r="BJ97" s="1247"/>
      <c r="BK97" s="1247"/>
      <c r="BL97" s="1247"/>
      <c r="BM97" s="1247"/>
      <c r="BN97" s="1247"/>
      <c r="BO97" s="1247"/>
      <c r="BP97" s="1247"/>
      <c r="BQ97" s="1247"/>
      <c r="BR97" s="1247"/>
      <c r="BS97" s="1247"/>
      <c r="BT97" s="1247"/>
      <c r="BU97" s="1247"/>
      <c r="BV97" s="1247"/>
      <c r="BW97" s="1247"/>
      <c r="BX97" s="1247"/>
      <c r="BY97" s="1247"/>
      <c r="BZ97" s="1247"/>
      <c r="CA97" s="1247"/>
      <c r="CB97" s="1247"/>
      <c r="CC97" s="1247"/>
      <c r="CD97" s="1247"/>
      <c r="CE97" s="1247"/>
      <c r="CF97" s="1247"/>
      <c r="CG97" s="1247"/>
      <c r="CH97" s="1247"/>
      <c r="CI97" s="1247"/>
      <c r="CJ97" s="1247"/>
      <c r="CK97" s="1247"/>
      <c r="CL97" s="1247"/>
      <c r="CM97" s="1247"/>
      <c r="CN97" s="1247"/>
      <c r="CO97" s="1247"/>
      <c r="CP97" s="1247"/>
      <c r="CQ97" s="1247"/>
      <c r="CR97" s="1247"/>
      <c r="CS97" s="1247"/>
      <c r="CT97" s="1247"/>
      <c r="CU97" s="1247"/>
      <c r="CV97" s="1247"/>
      <c r="CW97" s="1247"/>
      <c r="CX97" s="1247"/>
      <c r="CY97" s="1247"/>
      <c r="CZ97" s="1247"/>
      <c r="DA97" s="1247"/>
      <c r="DB97" s="1247"/>
      <c r="DC97" s="1247"/>
      <c r="DD97" s="1247"/>
      <c r="DE97" s="1247"/>
      <c r="DF97" s="1247"/>
      <c r="DG97" s="1247"/>
      <c r="DH97" s="1247"/>
      <c r="DI97" s="1247"/>
      <c r="DJ97" s="1247"/>
      <c r="DK97" s="1247"/>
      <c r="DL97" s="1247"/>
      <c r="DM97" s="1247"/>
      <c r="DN97" s="1247"/>
      <c r="DO97" s="1247"/>
      <c r="DP97" s="1247"/>
      <c r="DQ97" s="1247"/>
      <c r="DR97" s="1247"/>
      <c r="DS97" s="1247"/>
      <c r="DT97" s="1247"/>
      <c r="DU97" s="1247"/>
      <c r="DV97" s="1247"/>
      <c r="DW97" s="1247"/>
      <c r="DX97" s="1247"/>
      <c r="DY97" s="1247"/>
      <c r="DZ97" s="1247"/>
      <c r="EA97" s="1247"/>
      <c r="EB97" s="1247"/>
      <c r="EC97" s="1247"/>
      <c r="ED97" s="1247"/>
      <c r="EE97" s="1247"/>
      <c r="EF97" s="1247"/>
      <c r="EG97" s="1247"/>
      <c r="EH97" s="1247"/>
      <c r="EI97" s="1247"/>
      <c r="EJ97" s="1247"/>
      <c r="EK97" s="1247"/>
      <c r="EL97" s="1247"/>
      <c r="EM97" s="1247"/>
      <c r="EN97" s="1247"/>
      <c r="EO97" s="1247"/>
      <c r="EP97" s="1247"/>
      <c r="EQ97" s="1247"/>
      <c r="ER97" s="1247"/>
      <c r="ES97" s="1247"/>
      <c r="ET97" s="1247"/>
      <c r="EU97" s="1247"/>
      <c r="EV97" s="1247"/>
      <c r="EW97" s="1247"/>
      <c r="EX97" s="1247"/>
      <c r="EY97" s="1247"/>
      <c r="EZ97" s="1247"/>
      <c r="FA97" s="1247"/>
      <c r="FB97" s="1247"/>
      <c r="FC97" s="1247"/>
      <c r="FD97" s="1247"/>
      <c r="FE97" s="1247"/>
      <c r="FF97" s="1247"/>
      <c r="FG97" s="1247"/>
      <c r="FH97" s="1247"/>
      <c r="FI97" s="1247"/>
      <c r="FJ97" s="1247"/>
      <c r="FK97" s="1247"/>
      <c r="FL97" s="1247"/>
      <c r="FM97" s="1247"/>
      <c r="FN97" s="1247"/>
      <c r="FO97" s="1247"/>
      <c r="FP97" s="1247"/>
      <c r="FQ97" s="1247"/>
      <c r="FR97" s="1247"/>
      <c r="FS97" s="1247"/>
      <c r="FT97" s="1247"/>
      <c r="FU97" s="1247"/>
      <c r="FV97" s="1247"/>
      <c r="FW97" s="1247"/>
      <c r="FX97" s="1247"/>
      <c r="FY97" s="1247"/>
      <c r="FZ97" s="1247"/>
      <c r="GA97" s="1247"/>
      <c r="GB97" s="1247"/>
      <c r="GC97" s="1247"/>
      <c r="GD97" s="1247"/>
      <c r="GE97" s="1247"/>
      <c r="GF97" s="1247"/>
      <c r="GG97" s="1247"/>
      <c r="GH97" s="1247"/>
      <c r="GI97" s="1247"/>
      <c r="GJ97" s="1247"/>
      <c r="GK97" s="1247"/>
      <c r="GL97" s="1247"/>
      <c r="GM97" s="1247"/>
      <c r="GN97" s="1247"/>
      <c r="GO97" s="1247"/>
      <c r="GP97" s="1247"/>
      <c r="GQ97" s="1247"/>
      <c r="GR97" s="1247"/>
      <c r="GS97" s="1247"/>
      <c r="GT97" s="1247"/>
      <c r="GU97" s="1247"/>
      <c r="GV97" s="1247"/>
      <c r="GW97" s="1247"/>
      <c r="GX97" s="1247"/>
      <c r="GY97" s="1247"/>
      <c r="GZ97" s="1247"/>
      <c r="HA97" s="1247"/>
      <c r="HB97" s="1247"/>
      <c r="HC97" s="1247"/>
      <c r="HD97" s="1247"/>
      <c r="HE97" s="1247"/>
      <c r="HF97" s="1247"/>
      <c r="HG97" s="1247"/>
      <c r="HH97" s="1247"/>
      <c r="HI97" s="1247"/>
      <c r="HJ97" s="1247"/>
      <c r="HK97" s="1247"/>
      <c r="HL97" s="1247"/>
      <c r="HM97" s="1247"/>
      <c r="HN97" s="1247"/>
      <c r="HO97" s="1247"/>
      <c r="HP97" s="1247"/>
      <c r="HQ97" s="1247"/>
      <c r="HR97" s="1247"/>
      <c r="HS97" s="1247"/>
      <c r="HT97" s="1247"/>
      <c r="HU97" s="1247"/>
      <c r="HV97" s="1247"/>
      <c r="HW97" s="1247"/>
      <c r="HX97" s="1247"/>
      <c r="HY97" s="1247"/>
      <c r="HZ97" s="1247"/>
      <c r="IA97" s="1247"/>
      <c r="IB97" s="1247"/>
      <c r="IC97" s="1247"/>
      <c r="ID97" s="1247"/>
      <c r="IE97" s="1247"/>
      <c r="IF97" s="1247"/>
      <c r="IG97" s="1247"/>
      <c r="IH97" s="1247"/>
      <c r="II97" s="1247"/>
      <c r="IJ97" s="1247"/>
      <c r="IK97" s="1247"/>
      <c r="IL97" s="1247"/>
      <c r="IM97" s="1247"/>
      <c r="IN97" s="1247"/>
      <c r="IO97" s="1247"/>
      <c r="IP97" s="1247"/>
      <c r="IQ97" s="1247"/>
      <c r="IR97" s="1247"/>
      <c r="IS97" s="1247"/>
      <c r="IT97" s="1247"/>
      <c r="IU97" s="1247"/>
      <c r="IV97" s="1247"/>
      <c r="IW97" s="1247"/>
      <c r="IX97" s="1247"/>
      <c r="IY97" s="1247"/>
      <c r="IZ97" s="1247"/>
      <c r="JA97" s="1247"/>
      <c r="JB97" s="1247"/>
      <c r="JC97" s="1247"/>
      <c r="JD97" s="1247"/>
      <c r="JE97" s="1247"/>
      <c r="JF97" s="1247"/>
      <c r="JG97" s="1247"/>
      <c r="JH97" s="1247"/>
      <c r="JI97" s="1247"/>
      <c r="JJ97" s="1247"/>
      <c r="JK97" s="1247"/>
      <c r="JL97" s="1247"/>
      <c r="JM97" s="1247"/>
      <c r="JN97" s="1247"/>
      <c r="JO97" s="1247"/>
      <c r="JP97" s="1247"/>
      <c r="JQ97" s="1247"/>
      <c r="JR97" s="1247"/>
      <c r="JS97" s="1247"/>
      <c r="JT97" s="1247"/>
      <c r="JU97" s="1247"/>
      <c r="JV97" s="1247"/>
      <c r="JW97" s="1247"/>
      <c r="JX97" s="1247"/>
      <c r="JY97" s="1247"/>
      <c r="JZ97" s="1247"/>
      <c r="KA97" s="1247"/>
      <c r="KB97" s="1247"/>
      <c r="KC97" s="1247"/>
      <c r="KD97" s="1247"/>
      <c r="KE97" s="1247"/>
      <c r="KF97" s="1247"/>
      <c r="KG97" s="1247"/>
      <c r="KH97" s="1247"/>
      <c r="KI97" s="1247"/>
      <c r="KJ97" s="1247"/>
      <c r="KK97" s="1247"/>
      <c r="KL97" s="1247"/>
      <c r="KM97" s="1247"/>
      <c r="KN97" s="1247"/>
      <c r="KO97" s="1247"/>
      <c r="KP97" s="1247"/>
      <c r="KQ97" s="1247"/>
      <c r="KR97" s="1247"/>
      <c r="KS97" s="1247"/>
      <c r="KT97" s="1247"/>
      <c r="KU97" s="1247"/>
      <c r="KV97" s="1247"/>
      <c r="KW97" s="1247"/>
      <c r="KX97" s="1247"/>
      <c r="KY97" s="1247"/>
      <c r="KZ97" s="1247"/>
      <c r="LA97" s="1247"/>
      <c r="LB97" s="1247"/>
      <c r="LC97" s="1247"/>
      <c r="LD97" s="1247"/>
      <c r="LE97" s="1247"/>
      <c r="LF97" s="1247"/>
      <c r="LG97" s="1247"/>
      <c r="LH97" s="1247"/>
      <c r="LI97" s="1247"/>
      <c r="LJ97" s="1247"/>
      <c r="LK97" s="1247"/>
      <c r="LL97" s="1247"/>
      <c r="LM97" s="1247"/>
      <c r="LN97" s="1247"/>
      <c r="LO97" s="1247"/>
      <c r="LP97" s="1247"/>
      <c r="LQ97" s="1247"/>
      <c r="LR97" s="1247"/>
      <c r="LS97" s="1247"/>
      <c r="LT97" s="1247"/>
      <c r="LU97" s="1247"/>
      <c r="LV97" s="1247"/>
      <c r="LW97" s="1247"/>
      <c r="LX97" s="1247"/>
      <c r="LY97" s="1247"/>
      <c r="LZ97" s="1247"/>
      <c r="MA97" s="1247"/>
      <c r="MB97" s="1247"/>
      <c r="MC97" s="1247"/>
      <c r="MD97" s="1247"/>
      <c r="ME97" s="1247"/>
      <c r="MF97" s="1247"/>
      <c r="MG97" s="1247"/>
      <c r="MH97" s="1247"/>
      <c r="MI97" s="1247"/>
      <c r="MJ97" s="1247"/>
      <c r="MK97" s="1247"/>
      <c r="ML97" s="1247"/>
      <c r="MM97" s="1247"/>
      <c r="MN97" s="1247"/>
      <c r="MO97" s="1247"/>
      <c r="MP97" s="1247"/>
      <c r="MQ97" s="1247"/>
      <c r="MR97" s="1247"/>
      <c r="MS97" s="1247"/>
      <c r="MT97" s="1247"/>
      <c r="MU97" s="1247"/>
      <c r="MV97" s="1247"/>
      <c r="MW97" s="1247"/>
      <c r="MX97" s="1247"/>
      <c r="MY97" s="1247"/>
      <c r="MZ97" s="1247"/>
      <c r="NA97" s="1247"/>
      <c r="NB97" s="1247"/>
      <c r="NC97" s="1247"/>
      <c r="ND97" s="1247"/>
      <c r="NE97" s="1247"/>
      <c r="NF97" s="1247"/>
      <c r="NG97" s="1247"/>
      <c r="NH97" s="1247"/>
      <c r="NI97" s="1247"/>
      <c r="NJ97" s="1247"/>
      <c r="NK97" s="1247"/>
      <c r="NL97" s="1247"/>
      <c r="NM97" s="1247"/>
      <c r="NN97" s="1247"/>
      <c r="NO97" s="1247"/>
      <c r="NP97" s="1247"/>
      <c r="NQ97" s="1247"/>
      <c r="NR97" s="1247"/>
      <c r="NS97" s="1247"/>
      <c r="NT97" s="1247"/>
      <c r="NU97" s="1247"/>
      <c r="NV97" s="1247"/>
      <c r="NW97" s="1247"/>
      <c r="NX97" s="1247"/>
      <c r="NY97" s="1247"/>
      <c r="NZ97" s="1247"/>
      <c r="OA97" s="1247"/>
      <c r="OB97" s="1247"/>
      <c r="OC97" s="1247"/>
      <c r="OD97" s="1247"/>
      <c r="OE97" s="1247"/>
      <c r="OF97" s="1247"/>
      <c r="OG97" s="1247"/>
      <c r="OH97" s="1247"/>
      <c r="OI97" s="1247"/>
      <c r="OJ97" s="1247"/>
      <c r="OK97" s="1247"/>
      <c r="OL97" s="1247"/>
      <c r="OM97" s="1247"/>
      <c r="ON97" s="1247"/>
      <c r="OO97" s="1247"/>
      <c r="OP97" s="1247"/>
      <c r="OQ97" s="1247"/>
      <c r="OR97" s="1247"/>
      <c r="OS97" s="1247"/>
      <c r="OT97" s="1247"/>
      <c r="OU97" s="1247"/>
      <c r="OV97" s="1247"/>
      <c r="OW97" s="1247"/>
      <c r="OX97" s="1247"/>
      <c r="OY97" s="1247"/>
      <c r="OZ97" s="1247"/>
      <c r="PA97" s="1247"/>
      <c r="PB97" s="1247"/>
      <c r="PC97" s="1247"/>
      <c r="PD97" s="1247"/>
      <c r="PE97" s="1247"/>
      <c r="PF97" s="1247"/>
      <c r="PG97" s="1247"/>
      <c r="PH97" s="1247"/>
      <c r="PI97" s="1247"/>
      <c r="PJ97" s="1247"/>
      <c r="PK97" s="1247"/>
      <c r="PL97" s="1247"/>
      <c r="PM97" s="1247"/>
      <c r="PN97" s="1247"/>
      <c r="PO97" s="1247"/>
      <c r="PP97" s="1247"/>
      <c r="PQ97" s="1247"/>
      <c r="PR97" s="1247"/>
      <c r="PS97" s="1247"/>
      <c r="PT97" s="1247"/>
      <c r="PU97" s="1247"/>
      <c r="PV97" s="1247"/>
      <c r="PW97" s="1247"/>
      <c r="PX97" s="1247"/>
      <c r="PY97" s="1247"/>
      <c r="PZ97" s="1247"/>
      <c r="QA97" s="1247"/>
      <c r="QB97" s="1247"/>
      <c r="QC97" s="1247"/>
      <c r="QD97" s="1247"/>
      <c r="QE97" s="1247"/>
      <c r="QF97" s="1247"/>
      <c r="QG97" s="1247"/>
      <c r="QH97" s="1247"/>
      <c r="QI97" s="1247"/>
      <c r="QJ97" s="1247"/>
      <c r="QK97" s="1247"/>
      <c r="QL97" s="1247"/>
      <c r="QM97" s="1247"/>
      <c r="QN97" s="1247"/>
      <c r="QO97" s="1247"/>
      <c r="QP97" s="1247"/>
      <c r="QQ97" s="1247"/>
      <c r="QR97" s="1247"/>
      <c r="QS97" s="1247"/>
      <c r="QT97" s="1247"/>
      <c r="QU97" s="1247"/>
      <c r="QV97" s="1247"/>
      <c r="QW97" s="1247"/>
      <c r="QX97" s="1247"/>
      <c r="QY97" s="1247"/>
      <c r="QZ97" s="1247"/>
      <c r="RA97" s="1247"/>
      <c r="RB97" s="1247"/>
      <c r="RC97" s="1247"/>
      <c r="RD97" s="1247"/>
      <c r="RE97" s="1247"/>
      <c r="RF97" s="1247"/>
      <c r="RG97" s="1247"/>
      <c r="RH97" s="1247"/>
      <c r="RI97" s="1247"/>
      <c r="RJ97" s="1247"/>
      <c r="RK97" s="1247"/>
      <c r="RL97" s="1247"/>
      <c r="RM97" s="1247"/>
      <c r="RN97" s="1247"/>
      <c r="RO97" s="1247"/>
      <c r="RP97" s="1247"/>
      <c r="RQ97" s="1247"/>
      <c r="RR97" s="1247"/>
      <c r="RS97" s="1247"/>
      <c r="RT97" s="1247"/>
      <c r="RU97" s="1247"/>
      <c r="RV97" s="1247"/>
      <c r="RW97" s="1247"/>
      <c r="RX97" s="1247"/>
      <c r="RY97" s="1247"/>
      <c r="RZ97" s="1247"/>
      <c r="SA97" s="1247"/>
      <c r="SB97" s="1247"/>
      <c r="SC97" s="1247"/>
      <c r="SD97" s="1247"/>
      <c r="SE97" s="1247"/>
      <c r="SF97" s="1247"/>
      <c r="SG97" s="1247"/>
      <c r="SH97" s="1247"/>
      <c r="SI97" s="1247"/>
      <c r="SJ97" s="1247"/>
      <c r="SK97" s="1247"/>
      <c r="SL97" s="1247"/>
      <c r="SM97" s="1247"/>
      <c r="SN97" s="1247"/>
      <c r="SO97" s="1247"/>
      <c r="SP97" s="1247"/>
      <c r="SQ97" s="1247"/>
      <c r="SR97" s="1247"/>
      <c r="SS97" s="1247"/>
      <c r="ST97" s="1247"/>
      <c r="SU97" s="1247"/>
      <c r="SV97" s="1247"/>
      <c r="SW97" s="1247"/>
      <c r="SX97" s="1247"/>
      <c r="SY97" s="1247"/>
      <c r="SZ97" s="1247"/>
      <c r="TA97" s="1247"/>
      <c r="TB97" s="1247"/>
      <c r="TC97" s="1247"/>
      <c r="TD97" s="1247"/>
      <c r="TE97" s="1247"/>
      <c r="TF97" s="1247"/>
      <c r="TG97" s="1247"/>
      <c r="TH97" s="1247"/>
      <c r="TI97" s="1247"/>
      <c r="TJ97" s="1247"/>
      <c r="TK97" s="1247"/>
      <c r="TL97" s="1247"/>
      <c r="TM97" s="1247"/>
      <c r="TN97" s="1247"/>
      <c r="TO97" s="1247"/>
      <c r="TP97" s="1247"/>
      <c r="TQ97" s="1247"/>
      <c r="TR97" s="1247"/>
      <c r="TS97" s="1247"/>
      <c r="TT97" s="1247"/>
      <c r="TU97" s="1247"/>
      <c r="TV97" s="1247"/>
      <c r="TW97" s="1247"/>
      <c r="TX97" s="1247"/>
      <c r="TY97" s="1247"/>
      <c r="TZ97" s="1247"/>
      <c r="UA97" s="1247"/>
      <c r="UB97" s="1247"/>
      <c r="UC97" s="1247"/>
      <c r="UD97" s="1247"/>
      <c r="UE97" s="1247"/>
      <c r="UF97" s="1247"/>
      <c r="UG97" s="1247"/>
      <c r="UH97" s="1247"/>
      <c r="UI97" s="1247"/>
      <c r="UJ97" s="1247"/>
      <c r="UK97" s="1247"/>
      <c r="UL97" s="1247"/>
      <c r="UM97" s="1247"/>
      <c r="UN97" s="1247"/>
      <c r="UO97" s="1247"/>
      <c r="UP97" s="1247"/>
      <c r="UQ97" s="1247"/>
      <c r="UR97" s="1247"/>
      <c r="US97" s="1247"/>
      <c r="UT97" s="1247"/>
      <c r="UU97" s="1247"/>
      <c r="UV97" s="1247"/>
      <c r="UW97" s="1247"/>
      <c r="UX97" s="1247"/>
      <c r="UY97" s="1247"/>
      <c r="UZ97" s="1247"/>
      <c r="VA97" s="1247"/>
      <c r="VB97" s="1247"/>
      <c r="VC97" s="1247"/>
      <c r="VD97" s="1247"/>
      <c r="VE97" s="1247"/>
      <c r="VF97" s="1247"/>
      <c r="VG97" s="1247"/>
      <c r="VH97" s="1247"/>
      <c r="VI97" s="1247"/>
      <c r="VJ97" s="1247"/>
      <c r="VK97" s="1247"/>
      <c r="VL97" s="1247"/>
      <c r="VM97" s="1247"/>
      <c r="VN97" s="1247"/>
      <c r="VO97" s="1247"/>
      <c r="VP97" s="1247"/>
      <c r="VQ97" s="1247"/>
      <c r="VR97" s="1247"/>
      <c r="VS97" s="1247"/>
      <c r="VT97" s="1247"/>
      <c r="VU97" s="1247"/>
      <c r="VV97" s="1247"/>
      <c r="VW97" s="1247"/>
      <c r="VX97" s="1247"/>
      <c r="VY97" s="1247"/>
      <c r="VZ97" s="1247"/>
      <c r="WA97" s="1247"/>
      <c r="WB97" s="1247"/>
      <c r="WC97" s="1247"/>
      <c r="WD97" s="1247"/>
      <c r="WE97" s="1247"/>
      <c r="WF97" s="1247"/>
      <c r="WG97" s="1247"/>
      <c r="WH97" s="1247"/>
      <c r="WI97" s="1247"/>
      <c r="WJ97" s="1247"/>
      <c r="WK97" s="1247"/>
      <c r="WL97" s="1247"/>
      <c r="WM97" s="1247"/>
      <c r="WN97" s="1247"/>
      <c r="WO97" s="1247"/>
      <c r="WP97" s="1247"/>
      <c r="WQ97" s="1247"/>
      <c r="WR97" s="1247"/>
      <c r="WS97" s="1247"/>
      <c r="WT97" s="1247"/>
      <c r="WU97" s="1247"/>
      <c r="WV97" s="1247"/>
      <c r="WW97" s="1247"/>
      <c r="WX97" s="1247"/>
      <c r="WY97" s="1247"/>
      <c r="WZ97" s="1247"/>
      <c r="XA97" s="1247"/>
      <c r="XB97" s="1247"/>
      <c r="XC97" s="1247"/>
      <c r="XD97" s="1247"/>
      <c r="XE97" s="1247"/>
      <c r="XF97" s="1247"/>
      <c r="XG97" s="1247"/>
      <c r="XH97" s="1247"/>
      <c r="XI97" s="1247"/>
      <c r="XJ97" s="1247"/>
      <c r="XK97" s="1247"/>
      <c r="XL97" s="1247"/>
      <c r="XM97" s="1247"/>
      <c r="XN97" s="1247"/>
      <c r="XO97" s="1247"/>
      <c r="XP97" s="1247"/>
      <c r="XQ97" s="1247"/>
      <c r="XR97" s="1247"/>
      <c r="XS97" s="1247"/>
      <c r="XT97" s="1247"/>
      <c r="XU97" s="1247"/>
      <c r="XV97" s="1247"/>
      <c r="XW97" s="1247"/>
      <c r="XX97" s="1247"/>
      <c r="XY97" s="1247"/>
      <c r="XZ97" s="1247"/>
      <c r="YA97" s="1247"/>
      <c r="YB97" s="1247"/>
      <c r="YC97" s="1247"/>
      <c r="YD97" s="1247"/>
      <c r="YE97" s="1247"/>
      <c r="YF97" s="1247"/>
      <c r="YG97" s="1247"/>
      <c r="YH97" s="1247"/>
      <c r="YI97" s="1247"/>
      <c r="YJ97" s="1247"/>
      <c r="YK97" s="1247"/>
      <c r="YL97" s="1247"/>
      <c r="YM97" s="1247"/>
      <c r="YN97" s="1247"/>
      <c r="YO97" s="1247"/>
      <c r="YP97" s="1247"/>
      <c r="YQ97" s="1247"/>
      <c r="YR97" s="1247"/>
      <c r="YS97" s="1247"/>
      <c r="YT97" s="1247"/>
      <c r="YU97" s="1247"/>
      <c r="YV97" s="1247"/>
      <c r="YW97" s="1247"/>
      <c r="YX97" s="1247"/>
      <c r="YY97" s="1247"/>
      <c r="YZ97" s="1247"/>
      <c r="ZA97" s="1247"/>
      <c r="ZB97" s="1247"/>
      <c r="ZC97" s="1247"/>
      <c r="ZD97" s="1247"/>
      <c r="ZE97" s="1247"/>
      <c r="ZF97" s="1247"/>
      <c r="ZG97" s="1247"/>
      <c r="ZH97" s="1247"/>
      <c r="ZI97" s="1247"/>
      <c r="ZJ97" s="1247"/>
      <c r="ZK97" s="1247"/>
      <c r="ZL97" s="1247"/>
      <c r="ZM97" s="1247"/>
      <c r="ZN97" s="1247"/>
      <c r="ZO97" s="1247"/>
      <c r="ZP97" s="1247"/>
      <c r="ZQ97" s="1247"/>
      <c r="ZR97" s="1247"/>
      <c r="ZS97" s="1247"/>
      <c r="ZT97" s="1247"/>
      <c r="ZU97" s="1247"/>
      <c r="ZV97" s="1247"/>
      <c r="ZW97" s="1247"/>
      <c r="ZX97" s="1247"/>
      <c r="ZY97" s="1247"/>
      <c r="ZZ97" s="1247"/>
      <c r="AAA97" s="1247"/>
      <c r="AAB97" s="1247"/>
      <c r="AAC97" s="1247"/>
      <c r="AAD97" s="1247"/>
      <c r="AAE97" s="1247"/>
      <c r="AAF97" s="1247"/>
      <c r="AAG97" s="1247"/>
      <c r="AAH97" s="1247"/>
      <c r="AAI97" s="1247"/>
      <c r="AAJ97" s="1247"/>
      <c r="AAK97" s="1247"/>
      <c r="AAL97" s="1247"/>
      <c r="AAM97" s="1247"/>
      <c r="AAN97" s="1247"/>
      <c r="AAO97" s="1247"/>
      <c r="AAP97" s="1247"/>
      <c r="AAQ97" s="1247"/>
      <c r="AAR97" s="1247"/>
      <c r="AAS97" s="1247"/>
      <c r="AAT97" s="1247"/>
      <c r="AAU97" s="1247"/>
      <c r="AAV97" s="1247"/>
      <c r="AAW97" s="1247"/>
      <c r="AAX97" s="1247"/>
      <c r="AAY97" s="1247"/>
      <c r="AAZ97" s="1247"/>
      <c r="ABA97" s="1247"/>
      <c r="ABB97" s="1247"/>
      <c r="ABC97" s="1247"/>
      <c r="ABD97" s="1247"/>
      <c r="ABE97" s="1247"/>
      <c r="ABF97" s="1247"/>
      <c r="ABG97" s="1247"/>
      <c r="ABH97" s="1247"/>
      <c r="ABI97" s="1247"/>
      <c r="ABJ97" s="1247"/>
      <c r="ABK97" s="1247"/>
      <c r="ABL97" s="1247"/>
      <c r="ABM97" s="1247"/>
      <c r="ABN97" s="1247"/>
      <c r="ABO97" s="1247"/>
      <c r="ABP97" s="1247"/>
      <c r="ABQ97" s="1247"/>
      <c r="ABR97" s="1247"/>
      <c r="ABS97" s="1247"/>
      <c r="ABT97" s="1247"/>
      <c r="ABU97" s="1247"/>
      <c r="ABV97" s="1247"/>
      <c r="ABW97" s="1247"/>
      <c r="ABX97" s="1247"/>
      <c r="ABY97" s="1247"/>
      <c r="ABZ97" s="1247"/>
      <c r="ACA97" s="1247"/>
      <c r="ACB97" s="1247"/>
      <c r="ACC97" s="1247"/>
      <c r="ACD97" s="1247"/>
      <c r="ACE97" s="1247"/>
      <c r="ACF97" s="1247"/>
      <c r="ACG97" s="1247"/>
      <c r="ACH97" s="1247"/>
      <c r="ACI97" s="1247"/>
      <c r="ACJ97" s="1247"/>
      <c r="ACK97" s="1247"/>
      <c r="ACL97" s="1247"/>
      <c r="ACM97" s="1247"/>
      <c r="ACN97" s="1247"/>
      <c r="ACO97" s="1247"/>
      <c r="ACP97" s="1247"/>
      <c r="ACQ97" s="1247"/>
      <c r="ACR97" s="1247"/>
      <c r="ACS97" s="1247"/>
      <c r="ACT97" s="1247"/>
      <c r="ACU97" s="1247"/>
      <c r="ACV97" s="1247"/>
      <c r="ACW97" s="1247"/>
      <c r="ACX97" s="1247"/>
      <c r="ACY97" s="1247"/>
      <c r="ACZ97" s="1247"/>
      <c r="ADA97" s="1247"/>
      <c r="ADB97" s="1247"/>
      <c r="ADC97" s="1247"/>
      <c r="ADD97" s="1247"/>
      <c r="ADE97" s="1247"/>
      <c r="ADF97" s="1247"/>
      <c r="ADG97" s="1247"/>
    </row>
    <row r="98" spans="1:787" s="1421" customFormat="1" ht="13" hidden="1" outlineLevel="1">
      <c r="A98" s="1247"/>
      <c r="B98" s="1413" t="s">
        <v>487</v>
      </c>
      <c r="C98" s="1414"/>
      <c r="D98" s="1414" t="s">
        <v>650</v>
      </c>
      <c r="E98" s="1448"/>
      <c r="F98" s="1449"/>
      <c r="G98" s="1448" t="s">
        <v>4117</v>
      </c>
      <c r="H98" s="1452">
        <f>SUBTOTAL(9,H99:H126)</f>
        <v>7329.7460390000006</v>
      </c>
      <c r="I98" s="1452">
        <f t="shared" ref="I98:T98" si="22">SUBTOTAL(9,I99:I126)</f>
        <v>0</v>
      </c>
      <c r="J98" s="1453">
        <f t="shared" si="22"/>
        <v>8583.2957660000011</v>
      </c>
      <c r="K98" s="1453">
        <f t="shared" si="22"/>
        <v>0</v>
      </c>
      <c r="L98" s="1453">
        <f t="shared" si="22"/>
        <v>226.47622699999999</v>
      </c>
      <c r="M98" s="1453">
        <f t="shared" si="22"/>
        <v>268.90523199999996</v>
      </c>
      <c r="N98" s="1453">
        <f t="shared" si="22"/>
        <v>3304.9058610000002</v>
      </c>
      <c r="O98" s="1453">
        <f t="shared" si="22"/>
        <v>0</v>
      </c>
      <c r="P98" s="1453">
        <f t="shared" si="22"/>
        <v>10837.502026999999</v>
      </c>
      <c r="Q98" s="1453">
        <f t="shared" si="22"/>
        <v>0</v>
      </c>
      <c r="R98" s="1453">
        <f t="shared" si="22"/>
        <v>30550.831151999999</v>
      </c>
      <c r="S98" s="1453">
        <f t="shared" si="22"/>
        <v>0</v>
      </c>
      <c r="T98" s="1453">
        <f t="shared" si="22"/>
        <v>30550.831151999999</v>
      </c>
      <c r="U98" s="1443"/>
      <c r="V98" s="1225">
        <f t="shared" si="14"/>
        <v>-1.0231815394945443E-12</v>
      </c>
      <c r="W98" s="1225">
        <f t="shared" si="15"/>
        <v>0</v>
      </c>
      <c r="X98" s="1225"/>
      <c r="Y98" s="1225"/>
      <c r="Z98" s="1247"/>
      <c r="AA98" s="1247"/>
      <c r="AB98" s="1247"/>
      <c r="AC98" s="1247"/>
      <c r="AD98" s="1247"/>
      <c r="AE98" s="1247"/>
      <c r="AF98" s="1247"/>
      <c r="AG98" s="1247"/>
      <c r="AH98" s="1247"/>
      <c r="AI98" s="1247"/>
      <c r="AJ98" s="1247"/>
      <c r="AK98" s="1247"/>
      <c r="AL98" s="1247"/>
      <c r="AM98" s="1247"/>
      <c r="AN98" s="1247"/>
      <c r="AO98" s="1247"/>
      <c r="AP98" s="1247"/>
      <c r="AQ98" s="1247"/>
      <c r="AR98" s="1247"/>
      <c r="AS98" s="1247"/>
      <c r="AT98" s="1247"/>
      <c r="AU98" s="1247"/>
      <c r="AV98" s="1247"/>
      <c r="AW98" s="1247"/>
      <c r="AX98" s="1247"/>
      <c r="AY98" s="1247"/>
      <c r="AZ98" s="1247"/>
      <c r="BA98" s="1247"/>
      <c r="BB98" s="1247"/>
      <c r="BC98" s="1247"/>
      <c r="BD98" s="1247"/>
      <c r="BE98" s="1247"/>
      <c r="BF98" s="1247"/>
      <c r="BG98" s="1247"/>
      <c r="BH98" s="1247"/>
      <c r="BI98" s="1247"/>
      <c r="BJ98" s="1247"/>
      <c r="BK98" s="1247"/>
      <c r="BL98" s="1247"/>
      <c r="BM98" s="1247"/>
      <c r="BN98" s="1247"/>
      <c r="BO98" s="1247"/>
      <c r="BP98" s="1247"/>
      <c r="BQ98" s="1247"/>
      <c r="BR98" s="1247"/>
      <c r="BS98" s="1247"/>
      <c r="BT98" s="1247"/>
      <c r="BU98" s="1247"/>
      <c r="BV98" s="1247"/>
      <c r="BW98" s="1247"/>
      <c r="BX98" s="1247"/>
      <c r="BY98" s="1247"/>
      <c r="BZ98" s="1247"/>
      <c r="CA98" s="1247"/>
      <c r="CB98" s="1247"/>
      <c r="CC98" s="1247"/>
      <c r="CD98" s="1247"/>
      <c r="CE98" s="1247"/>
      <c r="CF98" s="1247"/>
      <c r="CG98" s="1247"/>
      <c r="CH98" s="1247"/>
      <c r="CI98" s="1247"/>
      <c r="CJ98" s="1247"/>
      <c r="CK98" s="1247"/>
      <c r="CL98" s="1247"/>
      <c r="CM98" s="1247"/>
      <c r="CN98" s="1247"/>
      <c r="CO98" s="1247"/>
      <c r="CP98" s="1247"/>
      <c r="CQ98" s="1247"/>
      <c r="CR98" s="1247"/>
      <c r="CS98" s="1247"/>
      <c r="CT98" s="1247"/>
      <c r="CU98" s="1247"/>
      <c r="CV98" s="1247"/>
      <c r="CW98" s="1247"/>
      <c r="CX98" s="1247"/>
      <c r="CY98" s="1247"/>
      <c r="CZ98" s="1247"/>
      <c r="DA98" s="1247"/>
      <c r="DB98" s="1247"/>
      <c r="DC98" s="1247"/>
      <c r="DD98" s="1247"/>
      <c r="DE98" s="1247"/>
      <c r="DF98" s="1247"/>
      <c r="DG98" s="1247"/>
      <c r="DH98" s="1247"/>
      <c r="DI98" s="1247"/>
      <c r="DJ98" s="1247"/>
      <c r="DK98" s="1247"/>
      <c r="DL98" s="1247"/>
      <c r="DM98" s="1247"/>
      <c r="DN98" s="1247"/>
      <c r="DO98" s="1247"/>
      <c r="DP98" s="1247"/>
      <c r="DQ98" s="1247"/>
      <c r="DR98" s="1247"/>
      <c r="DS98" s="1247"/>
      <c r="DT98" s="1247"/>
      <c r="DU98" s="1247"/>
      <c r="DV98" s="1247"/>
      <c r="DW98" s="1247"/>
      <c r="DX98" s="1247"/>
      <c r="DY98" s="1247"/>
      <c r="DZ98" s="1247"/>
      <c r="EA98" s="1247"/>
      <c r="EB98" s="1247"/>
      <c r="EC98" s="1247"/>
      <c r="ED98" s="1247"/>
      <c r="EE98" s="1247"/>
      <c r="EF98" s="1247"/>
      <c r="EG98" s="1247"/>
      <c r="EH98" s="1247"/>
      <c r="EI98" s="1247"/>
      <c r="EJ98" s="1247"/>
      <c r="EK98" s="1247"/>
      <c r="EL98" s="1247"/>
      <c r="EM98" s="1247"/>
      <c r="EN98" s="1247"/>
      <c r="EO98" s="1247"/>
      <c r="EP98" s="1247"/>
      <c r="EQ98" s="1247"/>
      <c r="ER98" s="1247"/>
      <c r="ES98" s="1247"/>
      <c r="ET98" s="1247"/>
      <c r="EU98" s="1247"/>
      <c r="EV98" s="1247"/>
      <c r="EW98" s="1247"/>
      <c r="EX98" s="1247"/>
      <c r="EY98" s="1247"/>
      <c r="EZ98" s="1247"/>
      <c r="FA98" s="1247"/>
      <c r="FB98" s="1247"/>
      <c r="FC98" s="1247"/>
      <c r="FD98" s="1247"/>
      <c r="FE98" s="1247"/>
      <c r="FF98" s="1247"/>
      <c r="FG98" s="1247"/>
      <c r="FH98" s="1247"/>
      <c r="FI98" s="1247"/>
      <c r="FJ98" s="1247"/>
      <c r="FK98" s="1247"/>
      <c r="FL98" s="1247"/>
      <c r="FM98" s="1247"/>
      <c r="FN98" s="1247"/>
      <c r="FO98" s="1247"/>
      <c r="FP98" s="1247"/>
      <c r="FQ98" s="1247"/>
      <c r="FR98" s="1247"/>
      <c r="FS98" s="1247"/>
      <c r="FT98" s="1247"/>
      <c r="FU98" s="1247"/>
      <c r="FV98" s="1247"/>
      <c r="FW98" s="1247"/>
      <c r="FX98" s="1247"/>
      <c r="FY98" s="1247"/>
      <c r="FZ98" s="1247"/>
      <c r="GA98" s="1247"/>
      <c r="GB98" s="1247"/>
      <c r="GC98" s="1247"/>
      <c r="GD98" s="1247"/>
      <c r="GE98" s="1247"/>
      <c r="GF98" s="1247"/>
      <c r="GG98" s="1247"/>
      <c r="GH98" s="1247"/>
      <c r="GI98" s="1247"/>
      <c r="GJ98" s="1247"/>
      <c r="GK98" s="1247"/>
      <c r="GL98" s="1247"/>
      <c r="GM98" s="1247"/>
      <c r="GN98" s="1247"/>
      <c r="GO98" s="1247"/>
      <c r="GP98" s="1247"/>
      <c r="GQ98" s="1247"/>
      <c r="GR98" s="1247"/>
      <c r="GS98" s="1247"/>
      <c r="GT98" s="1247"/>
      <c r="GU98" s="1247"/>
      <c r="GV98" s="1247"/>
      <c r="GW98" s="1247"/>
      <c r="GX98" s="1247"/>
      <c r="GY98" s="1247"/>
      <c r="GZ98" s="1247"/>
      <c r="HA98" s="1247"/>
      <c r="HB98" s="1247"/>
      <c r="HC98" s="1247"/>
      <c r="HD98" s="1247"/>
      <c r="HE98" s="1247"/>
      <c r="HF98" s="1247"/>
      <c r="HG98" s="1247"/>
      <c r="HH98" s="1247"/>
      <c r="HI98" s="1247"/>
      <c r="HJ98" s="1247"/>
      <c r="HK98" s="1247"/>
      <c r="HL98" s="1247"/>
      <c r="HM98" s="1247"/>
      <c r="HN98" s="1247"/>
      <c r="HO98" s="1247"/>
      <c r="HP98" s="1247"/>
      <c r="HQ98" s="1247"/>
      <c r="HR98" s="1247"/>
      <c r="HS98" s="1247"/>
      <c r="HT98" s="1247"/>
      <c r="HU98" s="1247"/>
      <c r="HV98" s="1247"/>
      <c r="HW98" s="1247"/>
      <c r="HX98" s="1247"/>
      <c r="HY98" s="1247"/>
      <c r="HZ98" s="1247"/>
      <c r="IA98" s="1247"/>
      <c r="IB98" s="1247"/>
      <c r="IC98" s="1247"/>
      <c r="ID98" s="1247"/>
      <c r="IE98" s="1247"/>
      <c r="IF98" s="1247"/>
      <c r="IG98" s="1247"/>
      <c r="IH98" s="1247"/>
      <c r="II98" s="1247"/>
      <c r="IJ98" s="1247"/>
      <c r="IK98" s="1247"/>
      <c r="IL98" s="1247"/>
      <c r="IM98" s="1247"/>
      <c r="IN98" s="1247"/>
      <c r="IO98" s="1247"/>
      <c r="IP98" s="1247"/>
      <c r="IQ98" s="1247"/>
      <c r="IR98" s="1247"/>
      <c r="IS98" s="1247"/>
      <c r="IT98" s="1247"/>
      <c r="IU98" s="1247"/>
      <c r="IV98" s="1247"/>
      <c r="IW98" s="1247"/>
      <c r="IX98" s="1247"/>
      <c r="IY98" s="1247"/>
      <c r="IZ98" s="1247"/>
      <c r="JA98" s="1247"/>
      <c r="JB98" s="1247"/>
      <c r="JC98" s="1247"/>
      <c r="JD98" s="1247"/>
      <c r="JE98" s="1247"/>
      <c r="JF98" s="1247"/>
      <c r="JG98" s="1247"/>
      <c r="JH98" s="1247"/>
      <c r="JI98" s="1247"/>
      <c r="JJ98" s="1247"/>
      <c r="JK98" s="1247"/>
      <c r="JL98" s="1247"/>
      <c r="JM98" s="1247"/>
      <c r="JN98" s="1247"/>
      <c r="JO98" s="1247"/>
      <c r="JP98" s="1247"/>
      <c r="JQ98" s="1247"/>
      <c r="JR98" s="1247"/>
      <c r="JS98" s="1247"/>
      <c r="JT98" s="1247"/>
      <c r="JU98" s="1247"/>
      <c r="JV98" s="1247"/>
      <c r="JW98" s="1247"/>
      <c r="JX98" s="1247"/>
      <c r="JY98" s="1247"/>
      <c r="JZ98" s="1247"/>
      <c r="KA98" s="1247"/>
      <c r="KB98" s="1247"/>
      <c r="KC98" s="1247"/>
      <c r="KD98" s="1247"/>
      <c r="KE98" s="1247"/>
      <c r="KF98" s="1247"/>
      <c r="KG98" s="1247"/>
      <c r="KH98" s="1247"/>
      <c r="KI98" s="1247"/>
      <c r="KJ98" s="1247"/>
      <c r="KK98" s="1247"/>
      <c r="KL98" s="1247"/>
      <c r="KM98" s="1247"/>
      <c r="KN98" s="1247"/>
      <c r="KO98" s="1247"/>
      <c r="KP98" s="1247"/>
      <c r="KQ98" s="1247"/>
      <c r="KR98" s="1247"/>
      <c r="KS98" s="1247"/>
      <c r="KT98" s="1247"/>
      <c r="KU98" s="1247"/>
      <c r="KV98" s="1247"/>
      <c r="KW98" s="1247"/>
      <c r="KX98" s="1247"/>
      <c r="KY98" s="1247"/>
      <c r="KZ98" s="1247"/>
      <c r="LA98" s="1247"/>
      <c r="LB98" s="1247"/>
      <c r="LC98" s="1247"/>
      <c r="LD98" s="1247"/>
      <c r="LE98" s="1247"/>
      <c r="LF98" s="1247"/>
      <c r="LG98" s="1247"/>
      <c r="LH98" s="1247"/>
      <c r="LI98" s="1247"/>
      <c r="LJ98" s="1247"/>
      <c r="LK98" s="1247"/>
      <c r="LL98" s="1247"/>
      <c r="LM98" s="1247"/>
      <c r="LN98" s="1247"/>
      <c r="LO98" s="1247"/>
      <c r="LP98" s="1247"/>
      <c r="LQ98" s="1247"/>
      <c r="LR98" s="1247"/>
      <c r="LS98" s="1247"/>
      <c r="LT98" s="1247"/>
      <c r="LU98" s="1247"/>
      <c r="LV98" s="1247"/>
      <c r="LW98" s="1247"/>
      <c r="LX98" s="1247"/>
      <c r="LY98" s="1247"/>
      <c r="LZ98" s="1247"/>
      <c r="MA98" s="1247"/>
      <c r="MB98" s="1247"/>
      <c r="MC98" s="1247"/>
      <c r="MD98" s="1247"/>
      <c r="ME98" s="1247"/>
      <c r="MF98" s="1247"/>
      <c r="MG98" s="1247"/>
      <c r="MH98" s="1247"/>
      <c r="MI98" s="1247"/>
      <c r="MJ98" s="1247"/>
      <c r="MK98" s="1247"/>
      <c r="ML98" s="1247"/>
      <c r="MM98" s="1247"/>
      <c r="MN98" s="1247"/>
      <c r="MO98" s="1247"/>
      <c r="MP98" s="1247"/>
      <c r="MQ98" s="1247"/>
      <c r="MR98" s="1247"/>
      <c r="MS98" s="1247"/>
      <c r="MT98" s="1247"/>
      <c r="MU98" s="1247"/>
      <c r="MV98" s="1247"/>
      <c r="MW98" s="1247"/>
      <c r="MX98" s="1247"/>
      <c r="MY98" s="1247"/>
      <c r="MZ98" s="1247"/>
      <c r="NA98" s="1247"/>
      <c r="NB98" s="1247"/>
      <c r="NC98" s="1247"/>
      <c r="ND98" s="1247"/>
      <c r="NE98" s="1247"/>
      <c r="NF98" s="1247"/>
      <c r="NG98" s="1247"/>
      <c r="NH98" s="1247"/>
      <c r="NI98" s="1247"/>
      <c r="NJ98" s="1247"/>
      <c r="NK98" s="1247"/>
      <c r="NL98" s="1247"/>
      <c r="NM98" s="1247"/>
      <c r="NN98" s="1247"/>
      <c r="NO98" s="1247"/>
      <c r="NP98" s="1247"/>
      <c r="NQ98" s="1247"/>
      <c r="NR98" s="1247"/>
      <c r="NS98" s="1247"/>
      <c r="NT98" s="1247"/>
      <c r="NU98" s="1247"/>
      <c r="NV98" s="1247"/>
      <c r="NW98" s="1247"/>
      <c r="NX98" s="1247"/>
      <c r="NY98" s="1247"/>
      <c r="NZ98" s="1247"/>
      <c r="OA98" s="1247"/>
      <c r="OB98" s="1247"/>
      <c r="OC98" s="1247"/>
      <c r="OD98" s="1247"/>
      <c r="OE98" s="1247"/>
      <c r="OF98" s="1247"/>
      <c r="OG98" s="1247"/>
      <c r="OH98" s="1247"/>
      <c r="OI98" s="1247"/>
      <c r="OJ98" s="1247"/>
      <c r="OK98" s="1247"/>
      <c r="OL98" s="1247"/>
      <c r="OM98" s="1247"/>
      <c r="ON98" s="1247"/>
      <c r="OO98" s="1247"/>
      <c r="OP98" s="1247"/>
      <c r="OQ98" s="1247"/>
      <c r="OR98" s="1247"/>
      <c r="OS98" s="1247"/>
      <c r="OT98" s="1247"/>
      <c r="OU98" s="1247"/>
      <c r="OV98" s="1247"/>
      <c r="OW98" s="1247"/>
      <c r="OX98" s="1247"/>
      <c r="OY98" s="1247"/>
      <c r="OZ98" s="1247"/>
      <c r="PA98" s="1247"/>
      <c r="PB98" s="1247"/>
      <c r="PC98" s="1247"/>
      <c r="PD98" s="1247"/>
      <c r="PE98" s="1247"/>
      <c r="PF98" s="1247"/>
      <c r="PG98" s="1247"/>
      <c r="PH98" s="1247"/>
      <c r="PI98" s="1247"/>
      <c r="PJ98" s="1247"/>
      <c r="PK98" s="1247"/>
      <c r="PL98" s="1247"/>
      <c r="PM98" s="1247"/>
      <c r="PN98" s="1247"/>
      <c r="PO98" s="1247"/>
      <c r="PP98" s="1247"/>
      <c r="PQ98" s="1247"/>
      <c r="PR98" s="1247"/>
      <c r="PS98" s="1247"/>
      <c r="PT98" s="1247"/>
      <c r="PU98" s="1247"/>
      <c r="PV98" s="1247"/>
      <c r="PW98" s="1247"/>
      <c r="PX98" s="1247"/>
      <c r="PY98" s="1247"/>
      <c r="PZ98" s="1247"/>
      <c r="QA98" s="1247"/>
      <c r="QB98" s="1247"/>
      <c r="QC98" s="1247"/>
      <c r="QD98" s="1247"/>
      <c r="QE98" s="1247"/>
      <c r="QF98" s="1247"/>
      <c r="QG98" s="1247"/>
      <c r="QH98" s="1247"/>
      <c r="QI98" s="1247"/>
      <c r="QJ98" s="1247"/>
      <c r="QK98" s="1247"/>
      <c r="QL98" s="1247"/>
      <c r="QM98" s="1247"/>
      <c r="QN98" s="1247"/>
      <c r="QO98" s="1247"/>
      <c r="QP98" s="1247"/>
      <c r="QQ98" s="1247"/>
      <c r="QR98" s="1247"/>
      <c r="QS98" s="1247"/>
      <c r="QT98" s="1247"/>
      <c r="QU98" s="1247"/>
      <c r="QV98" s="1247"/>
      <c r="QW98" s="1247"/>
      <c r="QX98" s="1247"/>
      <c r="QY98" s="1247"/>
      <c r="QZ98" s="1247"/>
      <c r="RA98" s="1247"/>
      <c r="RB98" s="1247"/>
      <c r="RC98" s="1247"/>
      <c r="RD98" s="1247"/>
      <c r="RE98" s="1247"/>
      <c r="RF98" s="1247"/>
      <c r="RG98" s="1247"/>
      <c r="RH98" s="1247"/>
      <c r="RI98" s="1247"/>
      <c r="RJ98" s="1247"/>
      <c r="RK98" s="1247"/>
      <c r="RL98" s="1247"/>
      <c r="RM98" s="1247"/>
      <c r="RN98" s="1247"/>
      <c r="RO98" s="1247"/>
      <c r="RP98" s="1247"/>
      <c r="RQ98" s="1247"/>
      <c r="RR98" s="1247"/>
      <c r="RS98" s="1247"/>
      <c r="RT98" s="1247"/>
      <c r="RU98" s="1247"/>
      <c r="RV98" s="1247"/>
      <c r="RW98" s="1247"/>
      <c r="RX98" s="1247"/>
      <c r="RY98" s="1247"/>
      <c r="RZ98" s="1247"/>
      <c r="SA98" s="1247"/>
      <c r="SB98" s="1247"/>
      <c r="SC98" s="1247"/>
      <c r="SD98" s="1247"/>
      <c r="SE98" s="1247"/>
      <c r="SF98" s="1247"/>
      <c r="SG98" s="1247"/>
      <c r="SH98" s="1247"/>
      <c r="SI98" s="1247"/>
      <c r="SJ98" s="1247"/>
      <c r="SK98" s="1247"/>
      <c r="SL98" s="1247"/>
      <c r="SM98" s="1247"/>
      <c r="SN98" s="1247"/>
      <c r="SO98" s="1247"/>
      <c r="SP98" s="1247"/>
      <c r="SQ98" s="1247"/>
      <c r="SR98" s="1247"/>
      <c r="SS98" s="1247"/>
      <c r="ST98" s="1247"/>
      <c r="SU98" s="1247"/>
      <c r="SV98" s="1247"/>
      <c r="SW98" s="1247"/>
      <c r="SX98" s="1247"/>
      <c r="SY98" s="1247"/>
      <c r="SZ98" s="1247"/>
      <c r="TA98" s="1247"/>
      <c r="TB98" s="1247"/>
      <c r="TC98" s="1247"/>
      <c r="TD98" s="1247"/>
      <c r="TE98" s="1247"/>
      <c r="TF98" s="1247"/>
      <c r="TG98" s="1247"/>
      <c r="TH98" s="1247"/>
      <c r="TI98" s="1247"/>
      <c r="TJ98" s="1247"/>
      <c r="TK98" s="1247"/>
      <c r="TL98" s="1247"/>
      <c r="TM98" s="1247"/>
      <c r="TN98" s="1247"/>
      <c r="TO98" s="1247"/>
      <c r="TP98" s="1247"/>
      <c r="TQ98" s="1247"/>
      <c r="TR98" s="1247"/>
      <c r="TS98" s="1247"/>
      <c r="TT98" s="1247"/>
      <c r="TU98" s="1247"/>
      <c r="TV98" s="1247"/>
      <c r="TW98" s="1247"/>
      <c r="TX98" s="1247"/>
      <c r="TY98" s="1247"/>
      <c r="TZ98" s="1247"/>
      <c r="UA98" s="1247"/>
      <c r="UB98" s="1247"/>
      <c r="UC98" s="1247"/>
      <c r="UD98" s="1247"/>
      <c r="UE98" s="1247"/>
      <c r="UF98" s="1247"/>
      <c r="UG98" s="1247"/>
      <c r="UH98" s="1247"/>
      <c r="UI98" s="1247"/>
      <c r="UJ98" s="1247"/>
      <c r="UK98" s="1247"/>
      <c r="UL98" s="1247"/>
      <c r="UM98" s="1247"/>
      <c r="UN98" s="1247"/>
      <c r="UO98" s="1247"/>
      <c r="UP98" s="1247"/>
      <c r="UQ98" s="1247"/>
      <c r="UR98" s="1247"/>
      <c r="US98" s="1247"/>
      <c r="UT98" s="1247"/>
      <c r="UU98" s="1247"/>
      <c r="UV98" s="1247"/>
      <c r="UW98" s="1247"/>
      <c r="UX98" s="1247"/>
      <c r="UY98" s="1247"/>
      <c r="UZ98" s="1247"/>
      <c r="VA98" s="1247"/>
      <c r="VB98" s="1247"/>
      <c r="VC98" s="1247"/>
      <c r="VD98" s="1247"/>
      <c r="VE98" s="1247"/>
      <c r="VF98" s="1247"/>
      <c r="VG98" s="1247"/>
      <c r="VH98" s="1247"/>
      <c r="VI98" s="1247"/>
      <c r="VJ98" s="1247"/>
      <c r="VK98" s="1247"/>
      <c r="VL98" s="1247"/>
      <c r="VM98" s="1247"/>
      <c r="VN98" s="1247"/>
      <c r="VO98" s="1247"/>
      <c r="VP98" s="1247"/>
      <c r="VQ98" s="1247"/>
      <c r="VR98" s="1247"/>
      <c r="VS98" s="1247"/>
      <c r="VT98" s="1247"/>
      <c r="VU98" s="1247"/>
      <c r="VV98" s="1247"/>
      <c r="VW98" s="1247"/>
      <c r="VX98" s="1247"/>
      <c r="VY98" s="1247"/>
      <c r="VZ98" s="1247"/>
      <c r="WA98" s="1247"/>
      <c r="WB98" s="1247"/>
      <c r="WC98" s="1247"/>
      <c r="WD98" s="1247"/>
      <c r="WE98" s="1247"/>
      <c r="WF98" s="1247"/>
      <c r="WG98" s="1247"/>
      <c r="WH98" s="1247"/>
      <c r="WI98" s="1247"/>
      <c r="WJ98" s="1247"/>
      <c r="WK98" s="1247"/>
      <c r="WL98" s="1247"/>
      <c r="WM98" s="1247"/>
      <c r="WN98" s="1247"/>
      <c r="WO98" s="1247"/>
      <c r="WP98" s="1247"/>
      <c r="WQ98" s="1247"/>
      <c r="WR98" s="1247"/>
      <c r="WS98" s="1247"/>
      <c r="WT98" s="1247"/>
      <c r="WU98" s="1247"/>
      <c r="WV98" s="1247"/>
      <c r="WW98" s="1247"/>
      <c r="WX98" s="1247"/>
      <c r="WY98" s="1247"/>
      <c r="WZ98" s="1247"/>
      <c r="XA98" s="1247"/>
      <c r="XB98" s="1247"/>
      <c r="XC98" s="1247"/>
      <c r="XD98" s="1247"/>
      <c r="XE98" s="1247"/>
      <c r="XF98" s="1247"/>
      <c r="XG98" s="1247"/>
      <c r="XH98" s="1247"/>
      <c r="XI98" s="1247"/>
      <c r="XJ98" s="1247"/>
      <c r="XK98" s="1247"/>
      <c r="XL98" s="1247"/>
      <c r="XM98" s="1247"/>
      <c r="XN98" s="1247"/>
      <c r="XO98" s="1247"/>
      <c r="XP98" s="1247"/>
      <c r="XQ98" s="1247"/>
      <c r="XR98" s="1247"/>
      <c r="XS98" s="1247"/>
      <c r="XT98" s="1247"/>
      <c r="XU98" s="1247"/>
      <c r="XV98" s="1247"/>
      <c r="XW98" s="1247"/>
      <c r="XX98" s="1247"/>
      <c r="XY98" s="1247"/>
      <c r="XZ98" s="1247"/>
      <c r="YA98" s="1247"/>
      <c r="YB98" s="1247"/>
      <c r="YC98" s="1247"/>
      <c r="YD98" s="1247"/>
      <c r="YE98" s="1247"/>
      <c r="YF98" s="1247"/>
      <c r="YG98" s="1247"/>
      <c r="YH98" s="1247"/>
      <c r="YI98" s="1247"/>
      <c r="YJ98" s="1247"/>
      <c r="YK98" s="1247"/>
      <c r="YL98" s="1247"/>
      <c r="YM98" s="1247"/>
      <c r="YN98" s="1247"/>
      <c r="YO98" s="1247"/>
      <c r="YP98" s="1247"/>
      <c r="YQ98" s="1247"/>
      <c r="YR98" s="1247"/>
      <c r="YS98" s="1247"/>
      <c r="YT98" s="1247"/>
      <c r="YU98" s="1247"/>
      <c r="YV98" s="1247"/>
      <c r="YW98" s="1247"/>
      <c r="YX98" s="1247"/>
      <c r="YY98" s="1247"/>
      <c r="YZ98" s="1247"/>
      <c r="ZA98" s="1247"/>
      <c r="ZB98" s="1247"/>
      <c r="ZC98" s="1247"/>
      <c r="ZD98" s="1247"/>
      <c r="ZE98" s="1247"/>
      <c r="ZF98" s="1247"/>
      <c r="ZG98" s="1247"/>
      <c r="ZH98" s="1247"/>
      <c r="ZI98" s="1247"/>
      <c r="ZJ98" s="1247"/>
      <c r="ZK98" s="1247"/>
      <c r="ZL98" s="1247"/>
      <c r="ZM98" s="1247"/>
      <c r="ZN98" s="1247"/>
      <c r="ZO98" s="1247"/>
      <c r="ZP98" s="1247"/>
      <c r="ZQ98" s="1247"/>
      <c r="ZR98" s="1247"/>
      <c r="ZS98" s="1247"/>
      <c r="ZT98" s="1247"/>
      <c r="ZU98" s="1247"/>
      <c r="ZV98" s="1247"/>
      <c r="ZW98" s="1247"/>
      <c r="ZX98" s="1247"/>
      <c r="ZY98" s="1247"/>
      <c r="ZZ98" s="1247"/>
      <c r="AAA98" s="1247"/>
      <c r="AAB98" s="1247"/>
      <c r="AAC98" s="1247"/>
      <c r="AAD98" s="1247"/>
      <c r="AAE98" s="1247"/>
      <c r="AAF98" s="1247"/>
      <c r="AAG98" s="1247"/>
      <c r="AAH98" s="1247"/>
      <c r="AAI98" s="1247"/>
      <c r="AAJ98" s="1247"/>
      <c r="AAK98" s="1247"/>
      <c r="AAL98" s="1247"/>
      <c r="AAM98" s="1247"/>
      <c r="AAN98" s="1247"/>
      <c r="AAO98" s="1247"/>
      <c r="AAP98" s="1247"/>
      <c r="AAQ98" s="1247"/>
      <c r="AAR98" s="1247"/>
      <c r="AAS98" s="1247"/>
      <c r="AAT98" s="1247"/>
      <c r="AAU98" s="1247"/>
      <c r="AAV98" s="1247"/>
      <c r="AAW98" s="1247"/>
      <c r="AAX98" s="1247"/>
      <c r="AAY98" s="1247"/>
      <c r="AAZ98" s="1247"/>
      <c r="ABA98" s="1247"/>
      <c r="ABB98" s="1247"/>
      <c r="ABC98" s="1247"/>
      <c r="ABD98" s="1247"/>
      <c r="ABE98" s="1247"/>
      <c r="ABF98" s="1247"/>
      <c r="ABG98" s="1247"/>
      <c r="ABH98" s="1247"/>
      <c r="ABI98" s="1247"/>
      <c r="ABJ98" s="1247"/>
      <c r="ABK98" s="1247"/>
      <c r="ABL98" s="1247"/>
      <c r="ABM98" s="1247"/>
      <c r="ABN98" s="1247"/>
      <c r="ABO98" s="1247"/>
      <c r="ABP98" s="1247"/>
      <c r="ABQ98" s="1247"/>
      <c r="ABR98" s="1247"/>
      <c r="ABS98" s="1247"/>
      <c r="ABT98" s="1247"/>
      <c r="ABU98" s="1247"/>
      <c r="ABV98" s="1247"/>
      <c r="ABW98" s="1247"/>
      <c r="ABX98" s="1247"/>
      <c r="ABY98" s="1247"/>
      <c r="ABZ98" s="1247"/>
      <c r="ACA98" s="1247"/>
      <c r="ACB98" s="1247"/>
      <c r="ACC98" s="1247"/>
      <c r="ACD98" s="1247"/>
      <c r="ACE98" s="1247"/>
      <c r="ACF98" s="1247"/>
      <c r="ACG98" s="1247"/>
      <c r="ACH98" s="1247"/>
      <c r="ACI98" s="1247"/>
      <c r="ACJ98" s="1247"/>
      <c r="ACK98" s="1247"/>
      <c r="ACL98" s="1247"/>
      <c r="ACM98" s="1247"/>
      <c r="ACN98" s="1247"/>
      <c r="ACO98" s="1247"/>
      <c r="ACP98" s="1247"/>
      <c r="ACQ98" s="1247"/>
      <c r="ACR98" s="1247"/>
      <c r="ACS98" s="1247"/>
      <c r="ACT98" s="1247"/>
      <c r="ACU98" s="1247"/>
      <c r="ACV98" s="1247"/>
      <c r="ACW98" s="1247"/>
      <c r="ACX98" s="1247"/>
      <c r="ACY98" s="1247"/>
      <c r="ACZ98" s="1247"/>
      <c r="ADA98" s="1247"/>
      <c r="ADB98" s="1247"/>
      <c r="ADC98" s="1247"/>
      <c r="ADD98" s="1247"/>
      <c r="ADE98" s="1247"/>
      <c r="ADF98" s="1247"/>
      <c r="ADG98" s="1247"/>
    </row>
    <row r="99" spans="1:787" s="1247" customFormat="1" ht="13" hidden="1" outlineLevel="2">
      <c r="B99" s="1422" t="s">
        <v>651</v>
      </c>
      <c r="C99" s="1423"/>
      <c r="D99" s="1423" t="s">
        <v>3360</v>
      </c>
      <c r="E99" s="1431" t="s">
        <v>3361</v>
      </c>
      <c r="F99" s="1425" t="s">
        <v>3338</v>
      </c>
      <c r="G99" s="1431" t="s">
        <v>4185</v>
      </c>
      <c r="H99" s="1454">
        <f>VLOOKUP($D99,车位!$D:$V,12,FALSE)</f>
        <v>263.02644900000001</v>
      </c>
      <c r="I99" s="1454">
        <v>0</v>
      </c>
      <c r="J99" s="1428">
        <f>VLOOKUP($D99,高层!$D:$V,12,FALSE)</f>
        <v>7.7090399999999999</v>
      </c>
      <c r="K99" s="1428">
        <f>VLOOKUP($D99,幼儿园!$D:$V,12,FALSE)</f>
        <v>0</v>
      </c>
      <c r="L99" s="1428">
        <f>VLOOKUP($D99,配套用房!$D:$V,12,FALSE)</f>
        <v>0.54901599999999995</v>
      </c>
      <c r="M99" s="1428">
        <f>VLOOKUP($D99,临街商业!$D:$V,12,FALSE)</f>
        <v>3.7792500000000002</v>
      </c>
      <c r="N99" s="1428">
        <f>VLOOKUP($D99,人防车位!D:U,12,FALSE)</f>
        <v>76.567786999999996</v>
      </c>
      <c r="O99" s="1428">
        <f>VLOOKUP($D99,人才公寓销售!$D:$V,12,FALSE)</f>
        <v>0</v>
      </c>
      <c r="P99" s="1428">
        <f>VLOOKUP($D99,小高层!$D:$V,12,FALSE)</f>
        <v>9.4990000000000006</v>
      </c>
      <c r="Q99" s="1428"/>
      <c r="R99" s="1427">
        <f>SUM(H99:Q99)</f>
        <v>361.13054200000005</v>
      </c>
      <c r="S99" s="1427"/>
      <c r="T99" s="1427">
        <f>R99+S99</f>
        <v>361.13054200000005</v>
      </c>
      <c r="U99" s="1429"/>
      <c r="V99" s="1225">
        <f t="shared" si="14"/>
        <v>9.7699626167013776E-15</v>
      </c>
      <c r="W99" s="1225">
        <f t="shared" si="15"/>
        <v>0</v>
      </c>
      <c r="X99" s="1225"/>
      <c r="Y99" s="1225"/>
    </row>
    <row r="100" spans="1:787" s="1247" customFormat="1" ht="13" hidden="1" outlineLevel="2">
      <c r="B100" s="1422" t="s">
        <v>655</v>
      </c>
      <c r="C100" s="1423"/>
      <c r="D100" s="1423" t="s">
        <v>488</v>
      </c>
      <c r="E100" s="1431"/>
      <c r="F100" s="1425"/>
      <c r="G100" s="1431" t="s">
        <v>4117</v>
      </c>
      <c r="H100" s="1454">
        <f>SUBTOTAL(9,H101:H126)</f>
        <v>7066.7195900000006</v>
      </c>
      <c r="I100" s="1454">
        <f t="shared" ref="I100:T100" si="23">SUBTOTAL(9,I101:I126)</f>
        <v>0</v>
      </c>
      <c r="J100" s="1428">
        <f t="shared" si="23"/>
        <v>8575.5867260000014</v>
      </c>
      <c r="K100" s="1428">
        <f t="shared" si="23"/>
        <v>0</v>
      </c>
      <c r="L100" s="1428">
        <f t="shared" si="23"/>
        <v>225.927211</v>
      </c>
      <c r="M100" s="1428">
        <f t="shared" si="23"/>
        <v>265.12598199999996</v>
      </c>
      <c r="N100" s="1428">
        <f t="shared" si="23"/>
        <v>3228.3380740000002</v>
      </c>
      <c r="O100" s="1428">
        <f t="shared" si="23"/>
        <v>0</v>
      </c>
      <c r="P100" s="1428">
        <f t="shared" si="23"/>
        <v>10828.003026999999</v>
      </c>
      <c r="Q100" s="1428"/>
      <c r="R100" s="1428">
        <f t="shared" si="23"/>
        <v>30189.70061</v>
      </c>
      <c r="S100" s="1428"/>
      <c r="T100" s="1428">
        <f t="shared" si="23"/>
        <v>30189.70061</v>
      </c>
      <c r="U100" s="1429"/>
      <c r="V100" s="1225">
        <f t="shared" si="14"/>
        <v>2.2168933355715126E-12</v>
      </c>
      <c r="W100" s="1225">
        <f t="shared" si="15"/>
        <v>0</v>
      </c>
      <c r="X100" s="1225"/>
      <c r="Y100" s="1225"/>
    </row>
    <row r="101" spans="1:787" s="1221" customFormat="1" ht="12.75" hidden="1" customHeight="1" outlineLevel="3">
      <c r="B101" s="1433" t="s">
        <v>1626</v>
      </c>
      <c r="C101" s="1434"/>
      <c r="D101" s="1434" t="s">
        <v>59</v>
      </c>
      <c r="E101" s="1431" t="s">
        <v>3362</v>
      </c>
      <c r="F101" s="1425" t="s">
        <v>3342</v>
      </c>
      <c r="G101" s="1431" t="s">
        <v>4116</v>
      </c>
      <c r="H101" s="1447">
        <f>VLOOKUP($D101,车位!$D:$V,12,FALSE)</f>
        <v>1648.3678640000001</v>
      </c>
      <c r="I101" s="1447">
        <v>0</v>
      </c>
      <c r="J101" s="1437">
        <f>VLOOKUP($D101,高层!$D:$V,12,FALSE)</f>
        <v>920.47940700000004</v>
      </c>
      <c r="K101" s="1437">
        <f>VLOOKUP($D101,幼儿园!$D:$V,12,FALSE)</f>
        <v>0</v>
      </c>
      <c r="L101" s="1437">
        <f>VLOOKUP($D101,配套用房!$D:$V,12,FALSE)</f>
        <v>33.190823999999999</v>
      </c>
      <c r="M101" s="1437">
        <f>VLOOKUP($D101,临街商业!$D:$V,12,FALSE)</f>
        <v>32.252360000000003</v>
      </c>
      <c r="N101" s="1437">
        <f>VLOOKUP($D101,人防车位!D:U,12,FALSE)</f>
        <v>726.82715099999996</v>
      </c>
      <c r="O101" s="1437">
        <f>VLOOKUP($D101,人才公寓销售!$D:$V,12,FALSE)</f>
        <v>0</v>
      </c>
      <c r="P101" s="1437">
        <f>VLOOKUP($D101,小高层!$D:$V,12,FALSE)</f>
        <v>1392.506895</v>
      </c>
      <c r="Q101" s="1437"/>
      <c r="R101" s="1172">
        <f t="shared" ref="R101:R126" si="24">SUM(H101:Q101)</f>
        <v>4753.6245010000002</v>
      </c>
      <c r="S101" s="1437"/>
      <c r="T101" s="1437">
        <f>R101+S101</f>
        <v>4753.6245010000002</v>
      </c>
      <c r="U101" s="1438"/>
      <c r="V101" s="1225">
        <f t="shared" si="14"/>
        <v>-4.0500935938325711E-13</v>
      </c>
      <c r="W101" s="1225">
        <f t="shared" si="15"/>
        <v>0</v>
      </c>
      <c r="X101" s="1225"/>
      <c r="Y101" s="1225"/>
    </row>
    <row r="102" spans="1:787" s="1221" customFormat="1" ht="13" hidden="1" outlineLevel="3">
      <c r="B102" s="1433" t="s">
        <v>1482</v>
      </c>
      <c r="C102" s="1434"/>
      <c r="D102" s="1434" t="s">
        <v>658</v>
      </c>
      <c r="E102" s="1431" t="s">
        <v>3363</v>
      </c>
      <c r="F102" s="1425" t="s">
        <v>3342</v>
      </c>
      <c r="G102" s="1431" t="s">
        <v>4116</v>
      </c>
      <c r="H102" s="1447">
        <f>VLOOKUP($D102,车位!$D:$V,12,FALSE)</f>
        <v>2380.2825010000001</v>
      </c>
      <c r="I102" s="1447">
        <v>0</v>
      </c>
      <c r="J102" s="1437">
        <f>VLOOKUP($D102,高层!$D:$V,12,FALSE)</f>
        <v>1460.3588589999999</v>
      </c>
      <c r="K102" s="1437">
        <f>VLOOKUP($D102,幼儿园!$D:$V,12,FALSE)</f>
        <v>0</v>
      </c>
      <c r="L102" s="1437">
        <f>VLOOKUP($D102,配套用房!$D:$V,12,FALSE)</f>
        <v>44.452443000000002</v>
      </c>
      <c r="M102" s="1437">
        <f>VLOOKUP($D102,临街商业!$D:$V,12,FALSE)</f>
        <v>38.439158999999997</v>
      </c>
      <c r="N102" s="1437">
        <f>VLOOKUP($D102,人防车位!D:U,12,FALSE)</f>
        <v>1176.9823040000001</v>
      </c>
      <c r="O102" s="1437">
        <f>VLOOKUP($D102,人才公寓销售!$D:$V,12,FALSE)</f>
        <v>0</v>
      </c>
      <c r="P102" s="1437">
        <f>VLOOKUP($D102,小高层!$D:$V,12,FALSE)</f>
        <v>1783.042418</v>
      </c>
      <c r="Q102" s="1437"/>
      <c r="R102" s="1172">
        <f t="shared" si="24"/>
        <v>6883.5576840000003</v>
      </c>
      <c r="S102" s="1437"/>
      <c r="T102" s="1437">
        <f t="shared" ref="T102:T126" si="25">R102+S102</f>
        <v>6883.5576840000003</v>
      </c>
      <c r="U102" s="1438"/>
      <c r="V102" s="1225">
        <f t="shared" si="14"/>
        <v>4.3343106881366111E-13</v>
      </c>
      <c r="W102" s="1225">
        <f t="shared" si="15"/>
        <v>0</v>
      </c>
      <c r="X102" s="1225"/>
      <c r="Y102" s="1225"/>
    </row>
    <row r="103" spans="1:787" s="1221" customFormat="1" ht="13" hidden="1" outlineLevel="3">
      <c r="B103" s="1433" t="s">
        <v>1635</v>
      </c>
      <c r="C103" s="1434"/>
      <c r="D103" s="1434" t="s">
        <v>659</v>
      </c>
      <c r="E103" s="1431" t="s">
        <v>3364</v>
      </c>
      <c r="F103" s="1425" t="s">
        <v>3342</v>
      </c>
      <c r="G103" s="1431" t="s">
        <v>4116</v>
      </c>
      <c r="H103" s="1447">
        <f>VLOOKUP($D103,车位!$D:$V,12,FALSE)</f>
        <v>448.00231100000002</v>
      </c>
      <c r="I103" s="1447">
        <v>0</v>
      </c>
      <c r="J103" s="1437">
        <f>VLOOKUP($D103,高层!$D:$V,12,FALSE)</f>
        <v>1211.590559</v>
      </c>
      <c r="K103" s="1437">
        <f>VLOOKUP($D103,幼儿园!$D:$V,12,FALSE)</f>
        <v>0</v>
      </c>
      <c r="L103" s="1437">
        <f>VLOOKUP($D103,配套用房!$D:$V,12,FALSE)</f>
        <v>23.317993000000001</v>
      </c>
      <c r="M103" s="1437">
        <f>VLOOKUP($D103,临街商业!$D:$V,12,FALSE)</f>
        <v>33.962003000000003</v>
      </c>
      <c r="N103" s="1437">
        <f>VLOOKUP($D103,人防车位!D:U,12,FALSE)</f>
        <v>251.11966799999999</v>
      </c>
      <c r="O103" s="1437">
        <f>VLOOKUP($D103,人才公寓销售!$D:$V,12,FALSE)</f>
        <v>0</v>
      </c>
      <c r="P103" s="1437">
        <f>VLOOKUP($D103,小高层!$D:$V,12,FALSE)</f>
        <v>1925.0905170000001</v>
      </c>
      <c r="Q103" s="1437"/>
      <c r="R103" s="1172">
        <f t="shared" si="24"/>
        <v>3893.0830510000005</v>
      </c>
      <c r="S103" s="1437"/>
      <c r="T103" s="1437">
        <f t="shared" si="25"/>
        <v>3893.0830510000005</v>
      </c>
      <c r="U103" s="1438"/>
      <c r="V103" s="1225">
        <f t="shared" si="14"/>
        <v>-5.4711790653527714E-13</v>
      </c>
      <c r="W103" s="1225">
        <f t="shared" si="15"/>
        <v>0</v>
      </c>
      <c r="X103" s="1225"/>
      <c r="Y103" s="1225"/>
    </row>
    <row r="104" spans="1:787" s="1221" customFormat="1" ht="13" hidden="1" outlineLevel="3">
      <c r="B104" s="1433" t="s">
        <v>1484</v>
      </c>
      <c r="C104" s="1434"/>
      <c r="D104" s="1434" t="s">
        <v>1636</v>
      </c>
      <c r="E104" s="1431" t="s">
        <v>3365</v>
      </c>
      <c r="F104" s="1425" t="s">
        <v>3342</v>
      </c>
      <c r="G104" s="1431" t="s">
        <v>4116</v>
      </c>
      <c r="H104" s="1447">
        <f>VLOOKUP($D104,车位!$D:$V,12,FALSE)</f>
        <v>74.623160999999996</v>
      </c>
      <c r="I104" s="1447">
        <v>0</v>
      </c>
      <c r="J104" s="1437">
        <f>VLOOKUP($D104,高层!$D:$V,12,FALSE)</f>
        <v>386.83859200000001</v>
      </c>
      <c r="K104" s="1437">
        <f>VLOOKUP($D104,幼儿园!$D:$V,12,FALSE)</f>
        <v>0</v>
      </c>
      <c r="L104" s="1437">
        <f>VLOOKUP($D104,配套用房!$D:$V,12,FALSE)</f>
        <v>33.308841000000001</v>
      </c>
      <c r="M104" s="1437">
        <f>VLOOKUP($D104,临街商业!$D:$V,12,FALSE)</f>
        <v>40.662911999999999</v>
      </c>
      <c r="N104" s="1437">
        <f>VLOOKUP($D104,人防车位!D:U,12,FALSE)</f>
        <v>6.6455310000000001</v>
      </c>
      <c r="O104" s="1437">
        <f>VLOOKUP($D104,人才公寓销售!$D:$V,12,FALSE)</f>
        <v>0</v>
      </c>
      <c r="P104" s="1437">
        <f>VLOOKUP($D104,小高层!$D:$V,12,FALSE)</f>
        <v>757.43206399999997</v>
      </c>
      <c r="Q104" s="1437"/>
      <c r="R104" s="1172">
        <f t="shared" si="24"/>
        <v>1299.5111010000001</v>
      </c>
      <c r="S104" s="1437"/>
      <c r="T104" s="1437">
        <f t="shared" si="25"/>
        <v>1299.5111010000001</v>
      </c>
      <c r="U104" s="1438"/>
      <c r="V104" s="1225">
        <f t="shared" si="14"/>
        <v>-2.3447910280083306E-13</v>
      </c>
      <c r="W104" s="1225">
        <f t="shared" si="15"/>
        <v>0</v>
      </c>
      <c r="X104" s="1225"/>
      <c r="Y104" s="1225"/>
    </row>
    <row r="105" spans="1:787" s="1221" customFormat="1" ht="13" hidden="1" outlineLevel="3">
      <c r="B105" s="1433" t="s">
        <v>1485</v>
      </c>
      <c r="C105" s="1434"/>
      <c r="D105" s="1434" t="s">
        <v>3366</v>
      </c>
      <c r="E105" s="1431" t="s">
        <v>3367</v>
      </c>
      <c r="F105" s="1425" t="s">
        <v>3368</v>
      </c>
      <c r="G105" s="1431" t="s">
        <v>4117</v>
      </c>
      <c r="H105" s="1447">
        <f>VLOOKUP($D105,车位!$D:$V,12,FALSE)</f>
        <v>554.57383800000002</v>
      </c>
      <c r="I105" s="1447">
        <v>0</v>
      </c>
      <c r="J105" s="1437">
        <f>VLOOKUP($D105,高层!$D:$V,12,FALSE)</f>
        <v>119.678189</v>
      </c>
      <c r="K105" s="1437">
        <f>VLOOKUP($D105,幼儿园!$D:$V,12,FALSE)</f>
        <v>0</v>
      </c>
      <c r="L105" s="1437">
        <f>VLOOKUP($D105,配套用房!$D:$V,12,FALSE)</f>
        <v>3.7631839999999999</v>
      </c>
      <c r="M105" s="1437">
        <f>VLOOKUP($D105,临街商业!$D:$V,12,FALSE)</f>
        <v>2.9988890000000001</v>
      </c>
      <c r="N105" s="1437">
        <f>VLOOKUP($D105,人防车位!D:U,12,FALSE)</f>
        <v>230.09070199999999</v>
      </c>
      <c r="O105" s="1437">
        <f>VLOOKUP($D105,人才公寓销售!$D:$V,12,FALSE)</f>
        <v>0</v>
      </c>
      <c r="P105" s="1437">
        <f>VLOOKUP($D105,小高层!$D:$V,12,FALSE)</f>
        <v>201.53314499999999</v>
      </c>
      <c r="Q105" s="1437"/>
      <c r="R105" s="1172">
        <f t="shared" si="24"/>
        <v>1112.6379469999999</v>
      </c>
      <c r="S105" s="1437"/>
      <c r="T105" s="1437">
        <f t="shared" si="25"/>
        <v>1112.6379469999999</v>
      </c>
      <c r="U105" s="1438"/>
      <c r="V105" s="1225">
        <f t="shared" si="14"/>
        <v>3.730349362740526E-14</v>
      </c>
      <c r="W105" s="1225">
        <f t="shared" si="15"/>
        <v>0</v>
      </c>
      <c r="X105" s="1225"/>
      <c r="Y105" s="1225"/>
    </row>
    <row r="106" spans="1:787" s="1221" customFormat="1" ht="13" hidden="1" outlineLevel="3">
      <c r="B106" s="1433" t="s">
        <v>1486</v>
      </c>
      <c r="C106" s="1434"/>
      <c r="D106" s="1434" t="s">
        <v>3369</v>
      </c>
      <c r="E106" s="1431" t="s">
        <v>3370</v>
      </c>
      <c r="F106" s="1425" t="s">
        <v>1493</v>
      </c>
      <c r="G106" s="1431" t="s">
        <v>4119</v>
      </c>
      <c r="H106" s="1447">
        <f>VLOOKUP($D106,车位!$D:$V,12,FALSE)</f>
        <v>0</v>
      </c>
      <c r="I106" s="1447">
        <v>0</v>
      </c>
      <c r="J106" s="1437">
        <f>VLOOKUP($D106,高层!$D:$V,12,FALSE)</f>
        <v>757.70282299999997</v>
      </c>
      <c r="K106" s="1437">
        <f>VLOOKUP($D106,幼儿园!$D:$V,12,FALSE)</f>
        <v>0</v>
      </c>
      <c r="L106" s="1437">
        <f>VLOOKUP($D106,配套用房!$D:$V,12,FALSE)</f>
        <v>18.272320000000001</v>
      </c>
      <c r="M106" s="1437">
        <f>VLOOKUP($D106,临街商业!$D:$V,12,FALSE)</f>
        <v>31.767900000000001</v>
      </c>
      <c r="N106" s="1437">
        <f>VLOOKUP($D106,人防车位!D:U,12,FALSE)</f>
        <v>0</v>
      </c>
      <c r="O106" s="1437">
        <f>VLOOKUP($D106,人才公寓销售!$D:$V,12,FALSE)</f>
        <v>0</v>
      </c>
      <c r="P106" s="1437">
        <f>VLOOKUP($D106,小高层!$D:$V,12,FALSE)</f>
        <v>961.58367499999997</v>
      </c>
      <c r="Q106" s="1437"/>
      <c r="R106" s="1172">
        <f t="shared" si="24"/>
        <v>1769.326718</v>
      </c>
      <c r="S106" s="1437"/>
      <c r="T106" s="1437">
        <f t="shared" si="25"/>
        <v>1769.326718</v>
      </c>
      <c r="U106" s="1438"/>
      <c r="V106" s="1225">
        <f t="shared" si="14"/>
        <v>-5.3290705182007514E-14</v>
      </c>
      <c r="W106" s="1225">
        <f t="shared" si="15"/>
        <v>0</v>
      </c>
      <c r="X106" s="1225"/>
      <c r="Y106" s="1225"/>
    </row>
    <row r="107" spans="1:787" s="1221" customFormat="1" ht="13" hidden="1" outlineLevel="3">
      <c r="B107" s="1433" t="s">
        <v>1640</v>
      </c>
      <c r="C107" s="1434"/>
      <c r="D107" s="1434" t="s">
        <v>386</v>
      </c>
      <c r="E107" s="1431"/>
      <c r="F107" s="1425"/>
      <c r="G107" s="1431" t="s">
        <v>4117</v>
      </c>
      <c r="H107" s="1447">
        <f>SUBTOTAL(9,H108:H114)</f>
        <v>751.61644100000001</v>
      </c>
      <c r="I107" s="1447">
        <f t="shared" ref="I107:T107" si="26">SUBTOTAL(9,I108:I114)</f>
        <v>0</v>
      </c>
      <c r="J107" s="1172">
        <f t="shared" si="26"/>
        <v>873.774992</v>
      </c>
      <c r="K107" s="1172">
        <f t="shared" si="26"/>
        <v>0</v>
      </c>
      <c r="L107" s="1172">
        <f t="shared" si="26"/>
        <v>32.962764</v>
      </c>
      <c r="M107" s="1172">
        <f t="shared" si="26"/>
        <v>57.934151</v>
      </c>
      <c r="N107" s="1172">
        <f t="shared" si="26"/>
        <v>534.629052</v>
      </c>
      <c r="O107" s="1172">
        <f t="shared" si="26"/>
        <v>0</v>
      </c>
      <c r="P107" s="1172">
        <f t="shared" si="26"/>
        <v>1589.7346189999998</v>
      </c>
      <c r="Q107" s="1437"/>
      <c r="R107" s="1172">
        <f t="shared" si="26"/>
        <v>3840.6520190000006</v>
      </c>
      <c r="S107" s="1437"/>
      <c r="T107" s="1172">
        <f t="shared" si="26"/>
        <v>3840.6520190000006</v>
      </c>
      <c r="U107" s="1438"/>
      <c r="V107" s="1225">
        <f t="shared" si="14"/>
        <v>-8.3844042819691822E-13</v>
      </c>
      <c r="W107" s="1225">
        <f t="shared" si="15"/>
        <v>0</v>
      </c>
      <c r="X107" s="1225"/>
      <c r="Y107" s="1225"/>
    </row>
    <row r="108" spans="1:787" s="1221" customFormat="1" ht="16.25" hidden="1" customHeight="1" outlineLevel="4">
      <c r="B108" s="1433" t="s">
        <v>1642</v>
      </c>
      <c r="C108" s="1434"/>
      <c r="D108" s="1434" t="s">
        <v>3371</v>
      </c>
      <c r="E108" s="1431" t="s">
        <v>3372</v>
      </c>
      <c r="F108" s="1425" t="s">
        <v>3342</v>
      </c>
      <c r="G108" s="1431" t="s">
        <v>4116</v>
      </c>
      <c r="H108" s="1447">
        <f>VLOOKUP($D108,车位!$D:$V,12,FALSE)</f>
        <v>185.54579000000001</v>
      </c>
      <c r="I108" s="1447">
        <v>0</v>
      </c>
      <c r="J108" s="1437">
        <f>VLOOKUP($D108,高层!$D:$V,12,FALSE)</f>
        <v>217.629088</v>
      </c>
      <c r="K108" s="1437">
        <f>VLOOKUP($D108,幼儿园!$D:$V,12,FALSE)</f>
        <v>0</v>
      </c>
      <c r="L108" s="1437">
        <f>VLOOKUP($D108,配套用房!$D:$V,12,FALSE)</f>
        <v>4.7964840000000004</v>
      </c>
      <c r="M108" s="1437">
        <f>VLOOKUP($D108,临街商业!$D:$V,12,FALSE)</f>
        <v>7.4125100000000002</v>
      </c>
      <c r="N108" s="1437">
        <f>VLOOKUP($D108,人防车位!D:U,12,FALSE)</f>
        <v>95.066126999999994</v>
      </c>
      <c r="O108" s="1437">
        <f>VLOOKUP($D108,人才公寓销售!$D:$V,12,FALSE)</f>
        <v>0</v>
      </c>
      <c r="P108" s="1437">
        <f>VLOOKUP($D108,小高层!$D:$V,12,FALSE)</f>
        <v>402.385784</v>
      </c>
      <c r="Q108" s="1437"/>
      <c r="R108" s="1172">
        <f t="shared" si="24"/>
        <v>912.83578299999999</v>
      </c>
      <c r="S108" s="1437"/>
      <c r="T108" s="1437">
        <f t="shared" si="25"/>
        <v>912.83578299999999</v>
      </c>
      <c r="U108" s="1438"/>
      <c r="V108" s="1225">
        <f t="shared" si="14"/>
        <v>1.1635137298071641E-13</v>
      </c>
      <c r="W108" s="1225">
        <f t="shared" si="15"/>
        <v>0</v>
      </c>
      <c r="X108" s="1225"/>
      <c r="Y108" s="1225"/>
    </row>
    <row r="109" spans="1:787" s="1221" customFormat="1" ht="16.25" hidden="1" customHeight="1" outlineLevel="4">
      <c r="B109" s="1433" t="s">
        <v>1490</v>
      </c>
      <c r="C109" s="1434"/>
      <c r="D109" s="1434" t="s">
        <v>3373</v>
      </c>
      <c r="E109" s="1431" t="s">
        <v>3374</v>
      </c>
      <c r="F109" s="1425"/>
      <c r="G109" s="1431" t="s">
        <v>4117</v>
      </c>
      <c r="H109" s="1447">
        <f>VLOOKUP($D109,车位!$D:$V,12,FALSE)</f>
        <v>125.60022699999999</v>
      </c>
      <c r="I109" s="1447">
        <v>0</v>
      </c>
      <c r="J109" s="1437">
        <f>VLOOKUP($D109,高层!$D:$V,12,FALSE)</f>
        <v>456.199701</v>
      </c>
      <c r="K109" s="1437">
        <f>VLOOKUP($D109,幼儿园!$D:$V,12,FALSE)</f>
        <v>0</v>
      </c>
      <c r="L109" s="1437">
        <f>VLOOKUP($D109,配套用房!$D:$V,12,FALSE)</f>
        <v>17.823734999999999</v>
      </c>
      <c r="M109" s="1437">
        <f>VLOOKUP($D109,临街商业!$D:$V,12,FALSE)</f>
        <v>15.337542000000001</v>
      </c>
      <c r="N109" s="1437">
        <f>VLOOKUP($D109,人防车位!D:U,12,FALSE)</f>
        <v>43.528162000000002</v>
      </c>
      <c r="O109" s="1437">
        <f>VLOOKUP($D109,人才公寓销售!$D:$V,12,FALSE)</f>
        <v>0</v>
      </c>
      <c r="P109" s="1437">
        <f>VLOOKUP($D109,小高层!$D:$V,12,FALSE)</f>
        <v>962.02748299999996</v>
      </c>
      <c r="Q109" s="1437"/>
      <c r="R109" s="1172">
        <f t="shared" si="24"/>
        <v>1620.51685</v>
      </c>
      <c r="S109" s="1437"/>
      <c r="T109" s="1437">
        <f t="shared" si="25"/>
        <v>1620.51685</v>
      </c>
      <c r="U109" s="1438"/>
      <c r="V109" s="1225">
        <f t="shared" si="14"/>
        <v>1.5987211554602254E-14</v>
      </c>
      <c r="W109" s="1225">
        <f t="shared" si="15"/>
        <v>0</v>
      </c>
      <c r="X109" s="1225"/>
      <c r="Y109" s="1225"/>
    </row>
    <row r="110" spans="1:787" s="1221" customFormat="1" ht="16.25" hidden="1" customHeight="1" outlineLevel="4">
      <c r="B110" s="1433" t="s">
        <v>1491</v>
      </c>
      <c r="C110" s="1434"/>
      <c r="D110" s="1434" t="s">
        <v>3375</v>
      </c>
      <c r="E110" s="1431" t="s">
        <v>3376</v>
      </c>
      <c r="F110" s="1425" t="s">
        <v>3342</v>
      </c>
      <c r="G110" s="1431" t="s">
        <v>4116</v>
      </c>
      <c r="H110" s="1447">
        <f>VLOOKUP($D110,车位!$D:$V,12,FALSE)</f>
        <v>7.3697520000000001</v>
      </c>
      <c r="I110" s="1447">
        <v>0</v>
      </c>
      <c r="J110" s="1437">
        <f>VLOOKUP($D110,高层!$D:$V,12,FALSE)</f>
        <v>111.17637499999999</v>
      </c>
      <c r="K110" s="1437">
        <f>VLOOKUP($D110,幼儿园!$D:$V,12,FALSE)</f>
        <v>0</v>
      </c>
      <c r="L110" s="1437">
        <f>VLOOKUP($D110,配套用房!$D:$V,12,FALSE)</f>
        <v>2.7408480000000002</v>
      </c>
      <c r="M110" s="1437">
        <f>VLOOKUP($D110,临街商业!$D:$V,12,FALSE)</f>
        <v>5.9278899999999997</v>
      </c>
      <c r="N110" s="1437">
        <f>VLOOKUP($D110,人防车位!D:U,12,FALSE)</f>
        <v>0</v>
      </c>
      <c r="O110" s="1437">
        <f>VLOOKUP($D110,人才公寓销售!$D:$V,12,FALSE)</f>
        <v>0</v>
      </c>
      <c r="P110" s="1437">
        <f>VLOOKUP($D110,小高层!$D:$V,12,FALSE)</f>
        <v>75.553848000000002</v>
      </c>
      <c r="Q110" s="1437"/>
      <c r="R110" s="1172">
        <f t="shared" si="24"/>
        <v>202.76871299999999</v>
      </c>
      <c r="S110" s="1437"/>
      <c r="T110" s="1437">
        <f t="shared" si="25"/>
        <v>202.76871299999999</v>
      </c>
      <c r="U110" s="1438"/>
      <c r="V110" s="1225">
        <f t="shared" si="14"/>
        <v>8.8817841970012523E-15</v>
      </c>
      <c r="W110" s="1225">
        <f t="shared" si="15"/>
        <v>0</v>
      </c>
      <c r="X110" s="1225"/>
      <c r="Y110" s="1225"/>
    </row>
    <row r="111" spans="1:787" s="1221" customFormat="1" ht="16.25" hidden="1" customHeight="1" outlineLevel="4">
      <c r="B111" s="1433" t="s">
        <v>1492</v>
      </c>
      <c r="C111" s="1434"/>
      <c r="D111" s="1434" t="s">
        <v>3377</v>
      </c>
      <c r="E111" s="1431" t="s">
        <v>3378</v>
      </c>
      <c r="F111" s="1425" t="s">
        <v>3342</v>
      </c>
      <c r="G111" s="1431" t="s">
        <v>4116</v>
      </c>
      <c r="H111" s="1447">
        <f>VLOOKUP($D111,车位!$D:$V,12,FALSE)</f>
        <v>7.3697520000000001</v>
      </c>
      <c r="I111" s="1447">
        <v>0</v>
      </c>
      <c r="J111" s="1437">
        <f>VLOOKUP($D111,高层!$D:$V,12,FALSE)</f>
        <v>33.714537999999997</v>
      </c>
      <c r="K111" s="1437">
        <f>VLOOKUP($D111,幼儿园!$D:$V,12,FALSE)</f>
        <v>0</v>
      </c>
      <c r="L111" s="1437">
        <f>VLOOKUP($D111,配套用房!$D:$V,12,FALSE)</f>
        <v>2.3982420000000002</v>
      </c>
      <c r="M111" s="1437">
        <f>VLOOKUP($D111,临街商业!$D:$V,12,FALSE)</f>
        <v>1.523271</v>
      </c>
      <c r="N111" s="1437">
        <f>VLOOKUP($D111,人防车位!D:U,12,FALSE)</f>
        <v>28.228380000000001</v>
      </c>
      <c r="O111" s="1437">
        <f>VLOOKUP($D111,人才公寓销售!$D:$V,12,FALSE)</f>
        <v>0</v>
      </c>
      <c r="P111" s="1437">
        <f>VLOOKUP($D111,小高层!$D:$V,12,FALSE)</f>
        <v>12.42662</v>
      </c>
      <c r="Q111" s="1437"/>
      <c r="R111" s="1172">
        <f t="shared" si="24"/>
        <v>85.660803000000001</v>
      </c>
      <c r="S111" s="1437"/>
      <c r="T111" s="1437">
        <f t="shared" si="25"/>
        <v>85.660803000000001</v>
      </c>
      <c r="U111" s="1438"/>
      <c r="V111" s="1225">
        <f t="shared" si="14"/>
        <v>5.9952043329758453E-15</v>
      </c>
      <c r="W111" s="1225">
        <f t="shared" si="15"/>
        <v>0</v>
      </c>
      <c r="X111" s="1225"/>
      <c r="Y111" s="1225"/>
    </row>
    <row r="112" spans="1:787" s="1221" customFormat="1" ht="16.25" hidden="1" customHeight="1" outlineLevel="4">
      <c r="B112" s="1433" t="s">
        <v>3379</v>
      </c>
      <c r="C112" s="1434"/>
      <c r="D112" s="1434" t="s">
        <v>3380</v>
      </c>
      <c r="E112" s="1431" t="s">
        <v>3381</v>
      </c>
      <c r="F112" s="1425" t="s">
        <v>3342</v>
      </c>
      <c r="G112" s="1431" t="s">
        <v>4116</v>
      </c>
      <c r="H112" s="1447">
        <f>VLOOKUP($D112,车位!$D:$V,12,FALSE)</f>
        <v>41.472051</v>
      </c>
      <c r="I112" s="1447">
        <v>0</v>
      </c>
      <c r="J112" s="1437">
        <f>VLOOKUP($D112,高层!$D:$V,12,FALSE)</f>
        <v>55.055289999999999</v>
      </c>
      <c r="K112" s="1437">
        <f>VLOOKUP($D112,幼儿园!$D:$V,12,FALSE)</f>
        <v>0</v>
      </c>
      <c r="L112" s="1437">
        <f>VLOOKUP($D112,配套用房!$D:$V,12,FALSE)</f>
        <v>5.2034549999999999</v>
      </c>
      <c r="M112" s="1437">
        <f>VLOOKUP($D112,临街商业!$D:$V,12,FALSE)</f>
        <v>27.732938000000001</v>
      </c>
      <c r="N112" s="1437">
        <f>VLOOKUP($D112,人防车位!D:U,12,FALSE)</f>
        <v>158.850504</v>
      </c>
      <c r="O112" s="1437">
        <f>VLOOKUP($D112,人才公寓销售!$D:$V,12,FALSE)</f>
        <v>0</v>
      </c>
      <c r="P112" s="1437">
        <f>VLOOKUP($D112,小高层!$D:$V,12,FALSE)</f>
        <v>137.34088399999999</v>
      </c>
      <c r="Q112" s="1437"/>
      <c r="R112" s="1172">
        <f t="shared" si="24"/>
        <v>425.65512200000001</v>
      </c>
      <c r="S112" s="1437"/>
      <c r="T112" s="1437">
        <f t="shared" si="25"/>
        <v>425.65512200000001</v>
      </c>
      <c r="U112" s="1438"/>
      <c r="V112" s="1225">
        <f t="shared" si="14"/>
        <v>0</v>
      </c>
      <c r="W112" s="1225">
        <f t="shared" si="15"/>
        <v>0</v>
      </c>
      <c r="X112" s="1225"/>
      <c r="Y112" s="1225"/>
    </row>
    <row r="113" spans="1:787" s="1221" customFormat="1" ht="16.25" hidden="1" customHeight="1" outlineLevel="4">
      <c r="B113" s="1433" t="s">
        <v>3382</v>
      </c>
      <c r="C113" s="1434"/>
      <c r="D113" s="1434" t="s">
        <v>3383</v>
      </c>
      <c r="E113" s="1431" t="s">
        <v>3384</v>
      </c>
      <c r="F113" s="1425" t="s">
        <v>3342</v>
      </c>
      <c r="G113" s="1431" t="s">
        <v>4116</v>
      </c>
      <c r="H113" s="1447">
        <f>VLOOKUP($D113,车位!$D:$V,12,FALSE)</f>
        <v>261.62619599999999</v>
      </c>
      <c r="I113" s="1447">
        <v>0</v>
      </c>
      <c r="J113" s="1437">
        <f>VLOOKUP($D113,高层!$D:$V,12,FALSE)</f>
        <v>0</v>
      </c>
      <c r="K113" s="1437">
        <f>VLOOKUP($D113,幼儿园!$D:$V,12,FALSE)</f>
        <v>0</v>
      </c>
      <c r="L113" s="1437">
        <f>VLOOKUP($D113,配套用房!$D:$V,12,FALSE)</f>
        <v>0</v>
      </c>
      <c r="M113" s="1437">
        <f>VLOOKUP($D113,临街商业!$D:$V,12,FALSE)</f>
        <v>0</v>
      </c>
      <c r="N113" s="1437">
        <f>VLOOKUP($D113,人防车位!D:U,12,FALSE)</f>
        <v>158.850504</v>
      </c>
      <c r="O113" s="1437">
        <f>VLOOKUP($D113,人才公寓销售!$D:$V,12,FALSE)</f>
        <v>0</v>
      </c>
      <c r="P113" s="1437">
        <f>VLOOKUP($D113,小高层!$D:$V,12,FALSE)</f>
        <v>0</v>
      </c>
      <c r="Q113" s="1437"/>
      <c r="R113" s="1172">
        <f t="shared" si="24"/>
        <v>420.47669999999999</v>
      </c>
      <c r="S113" s="1437"/>
      <c r="T113" s="1437">
        <f t="shared" si="25"/>
        <v>420.47669999999999</v>
      </c>
      <c r="U113" s="1438"/>
      <c r="V113" s="1225">
        <f t="shared" si="14"/>
        <v>0</v>
      </c>
      <c r="W113" s="1225">
        <f t="shared" si="15"/>
        <v>0</v>
      </c>
      <c r="X113" s="1225"/>
      <c r="Y113" s="1225"/>
    </row>
    <row r="114" spans="1:787" s="1221" customFormat="1" ht="16.25" hidden="1" customHeight="1" outlineLevel="4">
      <c r="B114" s="1433" t="s">
        <v>3385</v>
      </c>
      <c r="C114" s="1434"/>
      <c r="D114" s="1434" t="s">
        <v>3386</v>
      </c>
      <c r="E114" s="1431" t="s">
        <v>3387</v>
      </c>
      <c r="F114" s="1425" t="s">
        <v>3342</v>
      </c>
      <c r="G114" s="1431" t="s">
        <v>4116</v>
      </c>
      <c r="H114" s="1447">
        <f>VLOOKUP($D114,车位!$D:$V,12,FALSE)</f>
        <v>122.632673</v>
      </c>
      <c r="I114" s="1447">
        <v>0</v>
      </c>
      <c r="J114" s="1437">
        <f>VLOOKUP($D114,高层!$D:$V,12,FALSE)</f>
        <v>0</v>
      </c>
      <c r="K114" s="1437">
        <f>VLOOKUP($D114,幼儿园!$D:$V,12,FALSE)</f>
        <v>0</v>
      </c>
      <c r="L114" s="1437">
        <f>VLOOKUP($D114,配套用房!$D:$V,12,FALSE)</f>
        <v>0</v>
      </c>
      <c r="M114" s="1437">
        <f>VLOOKUP($D114,临街商业!$D:$V,12,FALSE)</f>
        <v>0</v>
      </c>
      <c r="N114" s="1437">
        <f>VLOOKUP($D114,人防车位!D:U,12,FALSE)</f>
        <v>50.105375000000002</v>
      </c>
      <c r="O114" s="1437">
        <f>VLOOKUP($D114,人才公寓销售!$D:$V,12,FALSE)</f>
        <v>0</v>
      </c>
      <c r="P114" s="1437">
        <f>VLOOKUP($D114,小高层!$D:$V,12,FALSE)</f>
        <v>0</v>
      </c>
      <c r="Q114" s="1437"/>
      <c r="R114" s="1172">
        <f t="shared" si="24"/>
        <v>172.73804799999999</v>
      </c>
      <c r="S114" s="1437"/>
      <c r="T114" s="1437">
        <f t="shared" si="25"/>
        <v>172.73804799999999</v>
      </c>
      <c r="U114" s="1438"/>
      <c r="V114" s="1225">
        <f t="shared" si="14"/>
        <v>0</v>
      </c>
      <c r="W114" s="1225">
        <f t="shared" si="15"/>
        <v>0</v>
      </c>
      <c r="X114" s="1225"/>
      <c r="Y114" s="1225"/>
    </row>
    <row r="115" spans="1:787" s="1221" customFormat="1" ht="13" hidden="1" outlineLevel="3">
      <c r="B115" s="1433" t="s">
        <v>1647</v>
      </c>
      <c r="C115" s="1434"/>
      <c r="D115" s="1434" t="s">
        <v>3388</v>
      </c>
      <c r="E115" s="1431"/>
      <c r="F115" s="1425"/>
      <c r="G115" s="1431" t="s">
        <v>4117</v>
      </c>
      <c r="H115" s="1447">
        <f>SUBTOTAL(9,H116:H120)</f>
        <v>506.05630399999995</v>
      </c>
      <c r="I115" s="1447">
        <f t="shared" ref="I115:T115" si="27">SUBTOTAL(9,I116:I120)</f>
        <v>0</v>
      </c>
      <c r="J115" s="1172">
        <f t="shared" si="27"/>
        <v>1105.2531200000001</v>
      </c>
      <c r="K115" s="1172">
        <f t="shared" si="27"/>
        <v>0</v>
      </c>
      <c r="L115" s="1172">
        <f t="shared" si="27"/>
        <v>29.235711999999999</v>
      </c>
      <c r="M115" s="1172">
        <f t="shared" si="27"/>
        <v>27.108607999999997</v>
      </c>
      <c r="N115" s="1172">
        <f t="shared" si="27"/>
        <v>240.88217600000002</v>
      </c>
      <c r="O115" s="1172">
        <f t="shared" si="27"/>
        <v>0</v>
      </c>
      <c r="P115" s="1172">
        <f t="shared" si="27"/>
        <v>1514.8641279999999</v>
      </c>
      <c r="Q115" s="1437"/>
      <c r="R115" s="1172">
        <f t="shared" si="27"/>
        <v>3423.4000479999995</v>
      </c>
      <c r="S115" s="1437"/>
      <c r="T115" s="1172">
        <f t="shared" si="27"/>
        <v>3423.4000479999995</v>
      </c>
      <c r="U115" s="1438"/>
      <c r="V115" s="1225">
        <f t="shared" si="14"/>
        <v>4.4764192352886312E-13</v>
      </c>
      <c r="W115" s="1225">
        <f t="shared" si="15"/>
        <v>0</v>
      </c>
      <c r="X115" s="1225"/>
      <c r="Y115" s="1225"/>
    </row>
    <row r="116" spans="1:787" s="1221" customFormat="1" ht="16.25" hidden="1" customHeight="1" outlineLevel="4">
      <c r="B116" s="1433" t="s">
        <v>1649</v>
      </c>
      <c r="C116" s="1434"/>
      <c r="D116" s="1434" t="s">
        <v>1643</v>
      </c>
      <c r="E116" s="1431" t="s">
        <v>3389</v>
      </c>
      <c r="F116" s="1425" t="s">
        <v>3342</v>
      </c>
      <c r="G116" s="1431" t="s">
        <v>4116</v>
      </c>
      <c r="H116" s="1447">
        <f>VLOOKUP($D116,车位!$D:$V,12,FALSE)</f>
        <v>157.22137599999999</v>
      </c>
      <c r="I116" s="1447">
        <v>0</v>
      </c>
      <c r="J116" s="1437">
        <f>VLOOKUP($D116,高层!$D:$V,12,FALSE)</f>
        <v>276.31328000000002</v>
      </c>
      <c r="K116" s="1437">
        <f>VLOOKUP($D116,幼儿园!$D:$V,12,FALSE)</f>
        <v>0</v>
      </c>
      <c r="L116" s="1437">
        <f>VLOOKUP($D116,配套用房!$D:$V,12,FALSE)</f>
        <v>7.3089279999999999</v>
      </c>
      <c r="M116" s="1437">
        <f>VLOOKUP($D116,临街商业!$D:$V,12,FALSE)</f>
        <v>6.7771520000000001</v>
      </c>
      <c r="N116" s="1437">
        <f>VLOOKUP($D116,人防车位!D:U,12,FALSE)</f>
        <v>60.220543999999997</v>
      </c>
      <c r="O116" s="1437">
        <f>VLOOKUP($D116,人才公寓销售!$D:$V,12,FALSE)</f>
        <v>0</v>
      </c>
      <c r="P116" s="1437">
        <f>VLOOKUP($D116,小高层!$D:$V,12,FALSE)</f>
        <v>378.71603199999998</v>
      </c>
      <c r="Q116" s="1437"/>
      <c r="R116" s="1172">
        <f t="shared" si="24"/>
        <v>886.55731200000002</v>
      </c>
      <c r="S116" s="1437"/>
      <c r="T116" s="1437">
        <f t="shared" si="25"/>
        <v>886.55731200000002</v>
      </c>
      <c r="U116" s="1438"/>
      <c r="V116" s="1225">
        <f t="shared" si="14"/>
        <v>0</v>
      </c>
      <c r="W116" s="1225">
        <f t="shared" si="15"/>
        <v>0</v>
      </c>
      <c r="X116" s="1225"/>
      <c r="Y116" s="1225"/>
    </row>
    <row r="117" spans="1:787" s="1221" customFormat="1" ht="16.25" hidden="1" customHeight="1" outlineLevel="4">
      <c r="B117" s="1433" t="s">
        <v>1494</v>
      </c>
      <c r="C117" s="1434"/>
      <c r="D117" s="1434" t="s">
        <v>1644</v>
      </c>
      <c r="E117" s="1431" t="s">
        <v>3390</v>
      </c>
      <c r="F117" s="1425" t="s">
        <v>3342</v>
      </c>
      <c r="G117" s="1431" t="s">
        <v>4116</v>
      </c>
      <c r="H117" s="1447">
        <f>VLOOKUP($D117,车位!$D:$V,12,FALSE)</f>
        <v>171.96088</v>
      </c>
      <c r="I117" s="1447">
        <v>0</v>
      </c>
      <c r="J117" s="1437">
        <f>VLOOKUP($D117,高层!$D:$V,12,FALSE)</f>
        <v>431.73950000000002</v>
      </c>
      <c r="K117" s="1437">
        <f>VLOOKUP($D117,幼儿园!$D:$V,12,FALSE)</f>
        <v>0</v>
      </c>
      <c r="L117" s="1437">
        <f>VLOOKUP($D117,配套用房!$D:$V,12,FALSE)</f>
        <v>11.420199999999999</v>
      </c>
      <c r="M117" s="1437">
        <f>VLOOKUP($D117,临街商业!$D:$V,12,FALSE)</f>
        <v>10.5893</v>
      </c>
      <c r="N117" s="1437">
        <f>VLOOKUP($D117,人防车位!D:U,12,FALSE)</f>
        <v>94.0946</v>
      </c>
      <c r="O117" s="1437">
        <f>VLOOKUP($D117,人才公寓销售!$D:$V,12,FALSE)</f>
        <v>0</v>
      </c>
      <c r="P117" s="1437">
        <f>VLOOKUP($D117,小高层!$D:$V,12,FALSE)</f>
        <v>591.74379999999996</v>
      </c>
      <c r="Q117" s="1437"/>
      <c r="R117" s="1172">
        <f t="shared" si="24"/>
        <v>1311.54828</v>
      </c>
      <c r="S117" s="1437"/>
      <c r="T117" s="1437">
        <f t="shared" si="25"/>
        <v>1311.54828</v>
      </c>
      <c r="U117" s="1438"/>
      <c r="V117" s="1225">
        <f t="shared" si="14"/>
        <v>-9.4146912488213275E-14</v>
      </c>
      <c r="W117" s="1225">
        <f t="shared" si="15"/>
        <v>0</v>
      </c>
      <c r="X117" s="1225"/>
      <c r="Y117" s="1225"/>
    </row>
    <row r="118" spans="1:787" s="1221" customFormat="1" ht="16.25" hidden="1" customHeight="1" outlineLevel="4">
      <c r="B118" s="1433" t="s">
        <v>1495</v>
      </c>
      <c r="C118" s="1434"/>
      <c r="D118" s="1434" t="s">
        <v>1645</v>
      </c>
      <c r="E118" s="1431" t="s">
        <v>3391</v>
      </c>
      <c r="F118" s="1425" t="s">
        <v>3342</v>
      </c>
      <c r="G118" s="1431" t="s">
        <v>4116</v>
      </c>
      <c r="H118" s="1447">
        <f>VLOOKUP($D118,车位!$D:$V,12,FALSE)</f>
        <v>2.4565839999999999</v>
      </c>
      <c r="I118" s="1447">
        <v>0</v>
      </c>
      <c r="J118" s="1437">
        <f>VLOOKUP($D118,高层!$D:$V,12,FALSE)</f>
        <v>4.3173950000000003</v>
      </c>
      <c r="K118" s="1437">
        <f>VLOOKUP($D118,幼儿园!$D:$V,12,FALSE)</f>
        <v>0</v>
      </c>
      <c r="L118" s="1437">
        <f>VLOOKUP($D118,配套用房!$D:$V,12,FALSE)</f>
        <v>0.114202</v>
      </c>
      <c r="M118" s="1437">
        <f>VLOOKUP($D118,临街商业!$D:$V,12,FALSE)</f>
        <v>0.105893</v>
      </c>
      <c r="N118" s="1437">
        <f>VLOOKUP($D118,人防车位!D:U,12,FALSE)</f>
        <v>0.94094599999999995</v>
      </c>
      <c r="O118" s="1437">
        <f>VLOOKUP($D118,人才公寓销售!$D:$V,12,FALSE)</f>
        <v>0</v>
      </c>
      <c r="P118" s="1437">
        <f>VLOOKUP($D118,小高层!$D:$V,12,FALSE)</f>
        <v>5.9174379999999998</v>
      </c>
      <c r="Q118" s="1437"/>
      <c r="R118" s="1172">
        <f t="shared" si="24"/>
        <v>13.852458</v>
      </c>
      <c r="S118" s="1437"/>
      <c r="T118" s="1437">
        <f t="shared" si="25"/>
        <v>13.852458</v>
      </c>
      <c r="U118" s="1438"/>
      <c r="V118" s="1225">
        <f t="shared" si="14"/>
        <v>0</v>
      </c>
      <c r="W118" s="1225">
        <f t="shared" si="15"/>
        <v>0</v>
      </c>
      <c r="X118" s="1225"/>
      <c r="Y118" s="1225"/>
    </row>
    <row r="119" spans="1:787" s="1221" customFormat="1" ht="16.25" hidden="1" customHeight="1" outlineLevel="4">
      <c r="B119" s="1433" t="s">
        <v>3392</v>
      </c>
      <c r="C119" s="1434"/>
      <c r="D119" s="1434" t="s">
        <v>1646</v>
      </c>
      <c r="E119" s="1431" t="s">
        <v>3393</v>
      </c>
      <c r="F119" s="1425" t="s">
        <v>3342</v>
      </c>
      <c r="G119" s="1431" t="s">
        <v>4116</v>
      </c>
      <c r="H119" s="1447">
        <f>VLOOKUP($D119,车位!$D:$V,12,FALSE)</f>
        <v>149.85162399999999</v>
      </c>
      <c r="I119" s="1447">
        <v>0</v>
      </c>
      <c r="J119" s="1437">
        <f>VLOOKUP($D119,高层!$D:$V,12,FALSE)</f>
        <v>263.36109499999998</v>
      </c>
      <c r="K119" s="1437">
        <f>VLOOKUP($D119,幼儿园!$D:$V,12,FALSE)</f>
        <v>0</v>
      </c>
      <c r="L119" s="1437">
        <f>VLOOKUP($D119,配套用房!$D:$V,12,FALSE)</f>
        <v>6.9663219999999999</v>
      </c>
      <c r="M119" s="1437">
        <f>VLOOKUP($D119,临街商业!$D:$V,12,FALSE)</f>
        <v>6.459473</v>
      </c>
      <c r="N119" s="1437">
        <f>VLOOKUP($D119,人防车位!D:U,12,FALSE)</f>
        <v>57.397705999999999</v>
      </c>
      <c r="O119" s="1437">
        <f>VLOOKUP($D119,人才公寓销售!$D:$V,12,FALSE)</f>
        <v>0</v>
      </c>
      <c r="P119" s="1437">
        <f>VLOOKUP($D119,小高层!$D:$V,12,FALSE)</f>
        <v>360.96371799999997</v>
      </c>
      <c r="Q119" s="1437"/>
      <c r="R119" s="1172">
        <f t="shared" si="24"/>
        <v>844.99993799999993</v>
      </c>
      <c r="S119" s="1437"/>
      <c r="T119" s="1437">
        <f t="shared" si="25"/>
        <v>844.99993799999993</v>
      </c>
      <c r="U119" s="1438"/>
      <c r="V119" s="1225">
        <f t="shared" si="14"/>
        <v>0</v>
      </c>
      <c r="W119" s="1225">
        <f t="shared" si="15"/>
        <v>0</v>
      </c>
      <c r="X119" s="1225"/>
      <c r="Y119" s="1225"/>
    </row>
    <row r="120" spans="1:787" s="1221" customFormat="1" ht="16.25" hidden="1" customHeight="1" outlineLevel="4">
      <c r="B120" s="1433" t="s">
        <v>3394</v>
      </c>
      <c r="C120" s="1434"/>
      <c r="D120" s="1434" t="s">
        <v>3395</v>
      </c>
      <c r="E120" s="1431" t="s">
        <v>3396</v>
      </c>
      <c r="F120" s="1425" t="s">
        <v>3342</v>
      </c>
      <c r="G120" s="1431" t="s">
        <v>4116</v>
      </c>
      <c r="H120" s="1447">
        <f>VLOOKUP($D120,车位!$D:$V,12,FALSE)</f>
        <v>24.565840000000001</v>
      </c>
      <c r="I120" s="1447">
        <v>0</v>
      </c>
      <c r="J120" s="1437">
        <f>VLOOKUP($D120,高层!$D:$V,12,FALSE)</f>
        <v>129.52185</v>
      </c>
      <c r="K120" s="1437">
        <f>VLOOKUP($D120,幼儿园!$D:$V,12,FALSE)</f>
        <v>0</v>
      </c>
      <c r="L120" s="1437">
        <f>VLOOKUP($D120,配套用房!$D:$V,12,FALSE)</f>
        <v>3.4260600000000001</v>
      </c>
      <c r="M120" s="1437">
        <f>VLOOKUP($D120,临街商业!$D:$V,12,FALSE)</f>
        <v>3.17679</v>
      </c>
      <c r="N120" s="1437">
        <f>VLOOKUP($D120,人防车位!D:U,12,FALSE)</f>
        <v>28.228380000000001</v>
      </c>
      <c r="O120" s="1437">
        <f>VLOOKUP($D120,人才公寓销售!$D:$V,12,FALSE)</f>
        <v>0</v>
      </c>
      <c r="P120" s="1437">
        <f>VLOOKUP($D120,小高层!$D:$V,12,FALSE)</f>
        <v>177.52314000000001</v>
      </c>
      <c r="Q120" s="1437"/>
      <c r="R120" s="1172">
        <f t="shared" si="24"/>
        <v>366.44206000000003</v>
      </c>
      <c r="S120" s="1437"/>
      <c r="T120" s="1437">
        <f t="shared" si="25"/>
        <v>366.44206000000003</v>
      </c>
      <c r="U120" s="1438"/>
      <c r="V120" s="1225">
        <f t="shared" si="14"/>
        <v>1.7319479184152442E-14</v>
      </c>
      <c r="W120" s="1225">
        <f t="shared" si="15"/>
        <v>0</v>
      </c>
      <c r="X120" s="1225"/>
      <c r="Y120" s="1225"/>
    </row>
    <row r="121" spans="1:787" s="1221" customFormat="1" ht="13" hidden="1" outlineLevel="3">
      <c r="B121" s="1433" t="s">
        <v>1653</v>
      </c>
      <c r="C121" s="1434"/>
      <c r="D121" s="1434" t="s">
        <v>3397</v>
      </c>
      <c r="E121" s="1431" t="s">
        <v>3398</v>
      </c>
      <c r="F121" s="1425" t="s">
        <v>3342</v>
      </c>
      <c r="G121" s="1431" t="s">
        <v>4116</v>
      </c>
      <c r="H121" s="1447">
        <f>VLOOKUP($D121,车位!$D:$V,12,FALSE)</f>
        <v>543.51921000000004</v>
      </c>
      <c r="I121" s="1447">
        <v>0</v>
      </c>
      <c r="J121" s="1437">
        <f>VLOOKUP($D121,高层!$D:$V,12,FALSE)</f>
        <v>0</v>
      </c>
      <c r="K121" s="1437">
        <f>VLOOKUP($D121,幼儿园!$D:$V,12,FALSE)</f>
        <v>0</v>
      </c>
      <c r="L121" s="1437">
        <f>VLOOKUP($D121,配套用房!$D:$V,12,FALSE)</f>
        <v>0</v>
      </c>
      <c r="M121" s="1437">
        <f>VLOOKUP($D121,临街商业!$D:$V,12,FALSE)</f>
        <v>0</v>
      </c>
      <c r="N121" s="1437">
        <f>VLOOKUP($D121,人防车位!D:U,12,FALSE)</f>
        <v>0</v>
      </c>
      <c r="O121" s="1437">
        <f>VLOOKUP($D121,人才公寓销售!$D:$V,12,FALSE)</f>
        <v>0</v>
      </c>
      <c r="P121" s="1437">
        <f>VLOOKUP($D121,小高层!$D:$V,12,FALSE)</f>
        <v>0</v>
      </c>
      <c r="Q121" s="1437"/>
      <c r="R121" s="1172">
        <f t="shared" si="24"/>
        <v>543.51921000000004</v>
      </c>
      <c r="S121" s="1437"/>
      <c r="T121" s="1437">
        <f t="shared" si="25"/>
        <v>543.51921000000004</v>
      </c>
      <c r="U121" s="1438"/>
      <c r="V121" s="1225">
        <f t="shared" si="14"/>
        <v>0</v>
      </c>
      <c r="W121" s="1225">
        <f t="shared" si="15"/>
        <v>0</v>
      </c>
      <c r="X121" s="1225"/>
      <c r="Y121" s="1225"/>
    </row>
    <row r="122" spans="1:787" s="1221" customFormat="1" ht="13" hidden="1" outlineLevel="3">
      <c r="B122" s="1433" t="s">
        <v>1655</v>
      </c>
      <c r="C122" s="1434"/>
      <c r="D122" s="1434" t="s">
        <v>1656</v>
      </c>
      <c r="E122" s="1431" t="s">
        <v>3399</v>
      </c>
      <c r="F122" s="1425" t="s">
        <v>1606</v>
      </c>
      <c r="G122" s="1431" t="s">
        <v>4121</v>
      </c>
      <c r="H122" s="1447">
        <f>VLOOKUP($D122,车位!$D:$V,12,FALSE)</f>
        <v>0</v>
      </c>
      <c r="I122" s="1447">
        <v>0</v>
      </c>
      <c r="J122" s="1437">
        <f>VLOOKUP($D122,高层!$D:$V,12,FALSE)</f>
        <v>0</v>
      </c>
      <c r="K122" s="1437">
        <f>VLOOKUP($D122,幼儿园!$D:$V,12,FALSE)</f>
        <v>0</v>
      </c>
      <c r="L122" s="1437">
        <f>VLOOKUP($D122,配套用房!$D:$V,12,FALSE)</f>
        <v>0</v>
      </c>
      <c r="M122" s="1437">
        <f>VLOOKUP($D122,临街商业!$D:$V,12,FALSE)</f>
        <v>0</v>
      </c>
      <c r="N122" s="1437">
        <f>VLOOKUP($D122,人防车位!D:U,12,FALSE)</f>
        <v>0</v>
      </c>
      <c r="O122" s="1437">
        <f>VLOOKUP($D122,人才公寓销售!$D:$V,12,FALSE)</f>
        <v>0</v>
      </c>
      <c r="P122" s="1437">
        <f>VLOOKUP($D122,小高层!$D:$V,12,FALSE)</f>
        <v>0</v>
      </c>
      <c r="Q122" s="1437"/>
      <c r="R122" s="1172">
        <f t="shared" si="24"/>
        <v>0</v>
      </c>
      <c r="S122" s="1437"/>
      <c r="T122" s="1437">
        <f t="shared" si="25"/>
        <v>0</v>
      </c>
      <c r="U122" s="1438"/>
      <c r="V122" s="1225">
        <f t="shared" si="14"/>
        <v>0</v>
      </c>
      <c r="W122" s="1225">
        <f t="shared" si="15"/>
        <v>0</v>
      </c>
      <c r="X122" s="1225"/>
      <c r="Y122" s="1225"/>
    </row>
    <row r="123" spans="1:787" s="1221" customFormat="1" ht="13" hidden="1" outlineLevel="3">
      <c r="B123" s="1433" t="s">
        <v>1657</v>
      </c>
      <c r="C123" s="1434"/>
      <c r="D123" s="1434" t="s">
        <v>3400</v>
      </c>
      <c r="E123" s="1431" t="s">
        <v>3401</v>
      </c>
      <c r="F123" s="1425" t="s">
        <v>3402</v>
      </c>
      <c r="G123" s="1431" t="s">
        <v>4122</v>
      </c>
      <c r="H123" s="1447">
        <f>VLOOKUP($D123,车位!$D:$V,12,FALSE)</f>
        <v>0</v>
      </c>
      <c r="I123" s="1447">
        <v>0</v>
      </c>
      <c r="J123" s="1437">
        <f>VLOOKUP($D123,高层!$D:$V,12,FALSE)</f>
        <v>1459.2795100000001</v>
      </c>
      <c r="K123" s="1437">
        <f>VLOOKUP($D123,幼儿园!$D:$V,12,FALSE)</f>
        <v>0</v>
      </c>
      <c r="L123" s="1437">
        <f>VLOOKUP($D123,配套用房!$D:$V,12,FALSE)</f>
        <v>0</v>
      </c>
      <c r="M123" s="1437">
        <f>VLOOKUP($D123,临街商业!$D:$V,12,FALSE)</f>
        <v>0</v>
      </c>
      <c r="N123" s="1437">
        <f>VLOOKUP($D123,人防车位!D:U,12,FALSE)</f>
        <v>0</v>
      </c>
      <c r="O123" s="1437">
        <f>VLOOKUP($D123,人才公寓销售!$D:$V,12,FALSE)</f>
        <v>0</v>
      </c>
      <c r="P123" s="1437">
        <f>VLOOKUP($D123,小高层!$D:$V,12,FALSE)</f>
        <v>317.58209599999998</v>
      </c>
      <c r="Q123" s="1437"/>
      <c r="R123" s="1172">
        <f t="shared" si="24"/>
        <v>1776.8616059999999</v>
      </c>
      <c r="S123" s="1437"/>
      <c r="T123" s="1437">
        <f t="shared" si="25"/>
        <v>1776.8616059999999</v>
      </c>
      <c r="U123" s="1438">
        <f>+T123/('全期规划指标 '!H25-'全期规划指标 '!H22)*10000</f>
        <v>173.60924267157071</v>
      </c>
      <c r="V123" s="1225">
        <f t="shared" si="14"/>
        <v>0</v>
      </c>
      <c r="W123" s="1225">
        <f t="shared" si="15"/>
        <v>0</v>
      </c>
      <c r="X123" s="1225"/>
      <c r="Y123" s="1225"/>
    </row>
    <row r="124" spans="1:787" s="1221" customFormat="1" ht="13" hidden="1" outlineLevel="3">
      <c r="B124" s="1433" t="s">
        <v>1659</v>
      </c>
      <c r="C124" s="1434"/>
      <c r="D124" s="1434" t="s">
        <v>3403</v>
      </c>
      <c r="E124" s="1431" t="s">
        <v>3404</v>
      </c>
      <c r="F124" s="1425" t="s">
        <v>3342</v>
      </c>
      <c r="G124" s="1431" t="s">
        <v>4116</v>
      </c>
      <c r="H124" s="1447">
        <f>VLOOKUP($D124,车位!$D:$V,12,FALSE)</f>
        <v>159.67796000000001</v>
      </c>
      <c r="I124" s="1447">
        <v>0</v>
      </c>
      <c r="J124" s="1437">
        <f>VLOOKUP($D124,高层!$D:$V,12,FALSE)</f>
        <v>280.630675</v>
      </c>
      <c r="K124" s="1437">
        <f>VLOOKUP($D124,幼儿园!$D:$V,12,FALSE)</f>
        <v>0</v>
      </c>
      <c r="L124" s="1437">
        <f>VLOOKUP($D124,配套用房!$D:$V,12,FALSE)</f>
        <v>7.4231299999999996</v>
      </c>
      <c r="M124" s="1437">
        <f>VLOOKUP($D124,临街商业!$D:$V,12,FALSE)</f>
        <v>0</v>
      </c>
      <c r="N124" s="1437">
        <f>VLOOKUP($D124,人防车位!D:U,12,FALSE)</f>
        <v>61.161490000000001</v>
      </c>
      <c r="O124" s="1437">
        <f>VLOOKUP($D124,人才公寓销售!$D:$V,12,FALSE)</f>
        <v>0</v>
      </c>
      <c r="P124" s="1437">
        <f>VLOOKUP($D124,小高层!$D:$V,12,FALSE)</f>
        <v>384.63346999999999</v>
      </c>
      <c r="Q124" s="1437"/>
      <c r="R124" s="1172">
        <f t="shared" si="24"/>
        <v>893.52672499999994</v>
      </c>
      <c r="S124" s="1437"/>
      <c r="T124" s="1437">
        <f t="shared" si="25"/>
        <v>893.52672499999994</v>
      </c>
      <c r="U124" s="1438"/>
      <c r="V124" s="1225">
        <f t="shared" si="14"/>
        <v>0</v>
      </c>
      <c r="W124" s="1225">
        <f t="shared" si="15"/>
        <v>0</v>
      </c>
      <c r="X124" s="1225"/>
      <c r="Y124" s="1225"/>
    </row>
    <row r="125" spans="1:787" s="1221" customFormat="1" ht="13" hidden="1" outlineLevel="3">
      <c r="B125" s="1433" t="s">
        <v>1497</v>
      </c>
      <c r="C125" s="1434"/>
      <c r="D125" s="1434" t="s">
        <v>3405</v>
      </c>
      <c r="E125" s="1431"/>
      <c r="F125" s="1425" t="s">
        <v>1424</v>
      </c>
      <c r="G125" s="1431" t="s">
        <v>4123</v>
      </c>
      <c r="H125" s="1447">
        <f>VLOOKUP($D125,车位!$D:$V,12,FALSE)</f>
        <v>0</v>
      </c>
      <c r="I125" s="1447">
        <v>0</v>
      </c>
      <c r="J125" s="1437">
        <f>VLOOKUP($D125,高层!$D:$V,12,FALSE)</f>
        <v>0</v>
      </c>
      <c r="K125" s="1437">
        <f>VLOOKUP($D125,幼儿园!$D:$V,12,FALSE)</f>
        <v>0</v>
      </c>
      <c r="L125" s="1437">
        <f>VLOOKUP($D125,配套用房!$D:$V,12,FALSE)</f>
        <v>0</v>
      </c>
      <c r="M125" s="1437">
        <f>VLOOKUP($D125,临街商业!$D:$V,12,FALSE)</f>
        <v>0</v>
      </c>
      <c r="N125" s="1437">
        <f>VLOOKUP($D125,人防车位!D:U,12,FALSE)</f>
        <v>0</v>
      </c>
      <c r="O125" s="1437">
        <f>VLOOKUP($D125,人才公寓销售!$D:$V,12,FALSE)</f>
        <v>0</v>
      </c>
      <c r="P125" s="1437">
        <f>VLOOKUP($D125,小高层!$D:$V,12,FALSE)</f>
        <v>0</v>
      </c>
      <c r="Q125" s="1437"/>
      <c r="R125" s="1172">
        <f t="shared" si="24"/>
        <v>0</v>
      </c>
      <c r="S125" s="1437"/>
      <c r="T125" s="1437">
        <f t="shared" si="25"/>
        <v>0</v>
      </c>
      <c r="U125" s="1438"/>
      <c r="V125" s="1225">
        <f t="shared" si="14"/>
        <v>0</v>
      </c>
      <c r="W125" s="1225">
        <f t="shared" si="15"/>
        <v>0</v>
      </c>
      <c r="X125" s="1225"/>
      <c r="Y125" s="1225"/>
    </row>
    <row r="126" spans="1:787" s="1247" customFormat="1" ht="13" hidden="1" outlineLevel="2">
      <c r="B126" s="1422" t="s">
        <v>3406</v>
      </c>
      <c r="C126" s="1423"/>
      <c r="D126" s="1423" t="s">
        <v>3407</v>
      </c>
      <c r="E126" s="1431" t="s">
        <v>3408</v>
      </c>
      <c r="F126" s="1425" t="s">
        <v>3342</v>
      </c>
      <c r="G126" s="1431" t="s">
        <v>4116</v>
      </c>
      <c r="H126" s="1455">
        <f>VLOOKUP($D126,车位!$D:$V,12,FALSE)</f>
        <v>0</v>
      </c>
      <c r="I126" s="1455">
        <v>0</v>
      </c>
      <c r="J126" s="1427">
        <f>VLOOKUP($D126,高层!$D:$V,12,FALSE)</f>
        <v>0</v>
      </c>
      <c r="K126" s="1427">
        <f>VLOOKUP($D126,幼儿园!$D:$V,12,FALSE)</f>
        <v>0</v>
      </c>
      <c r="L126" s="1427">
        <f>VLOOKUP($D126,配套用房!$D:$V,12,FALSE)</f>
        <v>0</v>
      </c>
      <c r="M126" s="1427">
        <f>VLOOKUP($D126,临街商业!$D:$V,12,FALSE)</f>
        <v>0</v>
      </c>
      <c r="N126" s="1427">
        <f>VLOOKUP($D126,人防车位!D:U,12,FALSE)</f>
        <v>0</v>
      </c>
      <c r="O126" s="1427">
        <f>VLOOKUP($D126,人才公寓销售!$D:$V,12,FALSE)</f>
        <v>0</v>
      </c>
      <c r="P126" s="1427">
        <f>VLOOKUP($D126,小高层!$D:$V,12,FALSE)</f>
        <v>0</v>
      </c>
      <c r="Q126" s="1427"/>
      <c r="R126" s="1428">
        <f t="shared" si="24"/>
        <v>0</v>
      </c>
      <c r="S126" s="1427"/>
      <c r="T126" s="1427">
        <f t="shared" si="25"/>
        <v>0</v>
      </c>
      <c r="U126" s="1429"/>
      <c r="V126" s="1225">
        <f t="shared" si="14"/>
        <v>0</v>
      </c>
      <c r="W126" s="1225">
        <f t="shared" si="15"/>
        <v>0</v>
      </c>
      <c r="X126" s="1225"/>
      <c r="Y126" s="1225"/>
    </row>
    <row r="127" spans="1:787" s="1421" customFormat="1" ht="13" hidden="1" outlineLevel="1">
      <c r="A127" s="1247"/>
      <c r="B127" s="1413" t="s">
        <v>490</v>
      </c>
      <c r="C127" s="1414"/>
      <c r="D127" s="1414" t="s">
        <v>491</v>
      </c>
      <c r="E127" s="1448"/>
      <c r="F127" s="1449"/>
      <c r="G127" s="1448" t="s">
        <v>4117</v>
      </c>
      <c r="H127" s="1418">
        <f>SUBTOTAL(9,H128:H173)</f>
        <v>1060.0159960000001</v>
      </c>
      <c r="I127" s="1418">
        <f t="shared" ref="I127:T127" si="28">SUBTOTAL(9,I128:I173)</f>
        <v>0</v>
      </c>
      <c r="J127" s="1419">
        <f t="shared" si="28"/>
        <v>1897.1349640000003</v>
      </c>
      <c r="K127" s="1419">
        <f t="shared" si="28"/>
        <v>0</v>
      </c>
      <c r="L127" s="1419">
        <f t="shared" si="28"/>
        <v>54.02480300000002</v>
      </c>
      <c r="M127" s="1419">
        <f t="shared" si="28"/>
        <v>41.202445999999981</v>
      </c>
      <c r="N127" s="1419">
        <f t="shared" si="28"/>
        <v>453.53597200000007</v>
      </c>
      <c r="O127" s="1419">
        <f t="shared" si="28"/>
        <v>0</v>
      </c>
      <c r="P127" s="1419">
        <f t="shared" si="28"/>
        <v>2640.2731890000005</v>
      </c>
      <c r="Q127" s="1419">
        <f t="shared" si="28"/>
        <v>0</v>
      </c>
      <c r="R127" s="1419">
        <f t="shared" si="28"/>
        <v>6146.1873700000015</v>
      </c>
      <c r="S127" s="1419">
        <f t="shared" si="28"/>
        <v>0</v>
      </c>
      <c r="T127" s="1419">
        <f t="shared" si="28"/>
        <v>6146.1873700000015</v>
      </c>
      <c r="U127" s="1443"/>
      <c r="V127" s="1225">
        <f t="shared" si="14"/>
        <v>-1.1652900866465643E-12</v>
      </c>
      <c r="W127" s="1225">
        <f t="shared" si="15"/>
        <v>0</v>
      </c>
      <c r="X127" s="1225"/>
      <c r="Y127" s="1225"/>
      <c r="Z127" s="1247"/>
      <c r="AA127" s="1247"/>
      <c r="AB127" s="1247"/>
      <c r="AC127" s="1247"/>
      <c r="AD127" s="1247"/>
      <c r="AE127" s="1247"/>
      <c r="AF127" s="1247"/>
      <c r="AG127" s="1247"/>
      <c r="AH127" s="1247"/>
      <c r="AI127" s="1247"/>
      <c r="AJ127" s="1247"/>
      <c r="AK127" s="1247"/>
      <c r="AL127" s="1247"/>
      <c r="AM127" s="1247"/>
      <c r="AN127" s="1247"/>
      <c r="AO127" s="1247"/>
      <c r="AP127" s="1247"/>
      <c r="AQ127" s="1247"/>
      <c r="AR127" s="1247"/>
      <c r="AS127" s="1247"/>
      <c r="AT127" s="1247"/>
      <c r="AU127" s="1247"/>
      <c r="AV127" s="1247"/>
      <c r="AW127" s="1247"/>
      <c r="AX127" s="1247"/>
      <c r="AY127" s="1247"/>
      <c r="AZ127" s="1247"/>
      <c r="BA127" s="1247"/>
      <c r="BB127" s="1247"/>
      <c r="BC127" s="1247"/>
      <c r="BD127" s="1247"/>
      <c r="BE127" s="1247"/>
      <c r="BF127" s="1247"/>
      <c r="BG127" s="1247"/>
      <c r="BH127" s="1247"/>
      <c r="BI127" s="1247"/>
      <c r="BJ127" s="1247"/>
      <c r="BK127" s="1247"/>
      <c r="BL127" s="1247"/>
      <c r="BM127" s="1247"/>
      <c r="BN127" s="1247"/>
      <c r="BO127" s="1247"/>
      <c r="BP127" s="1247"/>
      <c r="BQ127" s="1247"/>
      <c r="BR127" s="1247"/>
      <c r="BS127" s="1247"/>
      <c r="BT127" s="1247"/>
      <c r="BU127" s="1247"/>
      <c r="BV127" s="1247"/>
      <c r="BW127" s="1247"/>
      <c r="BX127" s="1247"/>
      <c r="BY127" s="1247"/>
      <c r="BZ127" s="1247"/>
      <c r="CA127" s="1247"/>
      <c r="CB127" s="1247"/>
      <c r="CC127" s="1247"/>
      <c r="CD127" s="1247"/>
      <c r="CE127" s="1247"/>
      <c r="CF127" s="1247"/>
      <c r="CG127" s="1247"/>
      <c r="CH127" s="1247"/>
      <c r="CI127" s="1247"/>
      <c r="CJ127" s="1247"/>
      <c r="CK127" s="1247"/>
      <c r="CL127" s="1247"/>
      <c r="CM127" s="1247"/>
      <c r="CN127" s="1247"/>
      <c r="CO127" s="1247"/>
      <c r="CP127" s="1247"/>
      <c r="CQ127" s="1247"/>
      <c r="CR127" s="1247"/>
      <c r="CS127" s="1247"/>
      <c r="CT127" s="1247"/>
      <c r="CU127" s="1247"/>
      <c r="CV127" s="1247"/>
      <c r="CW127" s="1247"/>
      <c r="CX127" s="1247"/>
      <c r="CY127" s="1247"/>
      <c r="CZ127" s="1247"/>
      <c r="DA127" s="1247"/>
      <c r="DB127" s="1247"/>
      <c r="DC127" s="1247"/>
      <c r="DD127" s="1247"/>
      <c r="DE127" s="1247"/>
      <c r="DF127" s="1247"/>
      <c r="DG127" s="1247"/>
      <c r="DH127" s="1247"/>
      <c r="DI127" s="1247"/>
      <c r="DJ127" s="1247"/>
      <c r="DK127" s="1247"/>
      <c r="DL127" s="1247"/>
      <c r="DM127" s="1247"/>
      <c r="DN127" s="1247"/>
      <c r="DO127" s="1247"/>
      <c r="DP127" s="1247"/>
      <c r="DQ127" s="1247"/>
      <c r="DR127" s="1247"/>
      <c r="DS127" s="1247"/>
      <c r="DT127" s="1247"/>
      <c r="DU127" s="1247"/>
      <c r="DV127" s="1247"/>
      <c r="DW127" s="1247"/>
      <c r="DX127" s="1247"/>
      <c r="DY127" s="1247"/>
      <c r="DZ127" s="1247"/>
      <c r="EA127" s="1247"/>
      <c r="EB127" s="1247"/>
      <c r="EC127" s="1247"/>
      <c r="ED127" s="1247"/>
      <c r="EE127" s="1247"/>
      <c r="EF127" s="1247"/>
      <c r="EG127" s="1247"/>
      <c r="EH127" s="1247"/>
      <c r="EI127" s="1247"/>
      <c r="EJ127" s="1247"/>
      <c r="EK127" s="1247"/>
      <c r="EL127" s="1247"/>
      <c r="EM127" s="1247"/>
      <c r="EN127" s="1247"/>
      <c r="EO127" s="1247"/>
      <c r="EP127" s="1247"/>
      <c r="EQ127" s="1247"/>
      <c r="ER127" s="1247"/>
      <c r="ES127" s="1247"/>
      <c r="ET127" s="1247"/>
      <c r="EU127" s="1247"/>
      <c r="EV127" s="1247"/>
      <c r="EW127" s="1247"/>
      <c r="EX127" s="1247"/>
      <c r="EY127" s="1247"/>
      <c r="EZ127" s="1247"/>
      <c r="FA127" s="1247"/>
      <c r="FB127" s="1247"/>
      <c r="FC127" s="1247"/>
      <c r="FD127" s="1247"/>
      <c r="FE127" s="1247"/>
      <c r="FF127" s="1247"/>
      <c r="FG127" s="1247"/>
      <c r="FH127" s="1247"/>
      <c r="FI127" s="1247"/>
      <c r="FJ127" s="1247"/>
      <c r="FK127" s="1247"/>
      <c r="FL127" s="1247"/>
      <c r="FM127" s="1247"/>
      <c r="FN127" s="1247"/>
      <c r="FO127" s="1247"/>
      <c r="FP127" s="1247"/>
      <c r="FQ127" s="1247"/>
      <c r="FR127" s="1247"/>
      <c r="FS127" s="1247"/>
      <c r="FT127" s="1247"/>
      <c r="FU127" s="1247"/>
      <c r="FV127" s="1247"/>
      <c r="FW127" s="1247"/>
      <c r="FX127" s="1247"/>
      <c r="FY127" s="1247"/>
      <c r="FZ127" s="1247"/>
      <c r="GA127" s="1247"/>
      <c r="GB127" s="1247"/>
      <c r="GC127" s="1247"/>
      <c r="GD127" s="1247"/>
      <c r="GE127" s="1247"/>
      <c r="GF127" s="1247"/>
      <c r="GG127" s="1247"/>
      <c r="GH127" s="1247"/>
      <c r="GI127" s="1247"/>
      <c r="GJ127" s="1247"/>
      <c r="GK127" s="1247"/>
      <c r="GL127" s="1247"/>
      <c r="GM127" s="1247"/>
      <c r="GN127" s="1247"/>
      <c r="GO127" s="1247"/>
      <c r="GP127" s="1247"/>
      <c r="GQ127" s="1247"/>
      <c r="GR127" s="1247"/>
      <c r="GS127" s="1247"/>
      <c r="GT127" s="1247"/>
      <c r="GU127" s="1247"/>
      <c r="GV127" s="1247"/>
      <c r="GW127" s="1247"/>
      <c r="GX127" s="1247"/>
      <c r="GY127" s="1247"/>
      <c r="GZ127" s="1247"/>
      <c r="HA127" s="1247"/>
      <c r="HB127" s="1247"/>
      <c r="HC127" s="1247"/>
      <c r="HD127" s="1247"/>
      <c r="HE127" s="1247"/>
      <c r="HF127" s="1247"/>
      <c r="HG127" s="1247"/>
      <c r="HH127" s="1247"/>
      <c r="HI127" s="1247"/>
      <c r="HJ127" s="1247"/>
      <c r="HK127" s="1247"/>
      <c r="HL127" s="1247"/>
      <c r="HM127" s="1247"/>
      <c r="HN127" s="1247"/>
      <c r="HO127" s="1247"/>
      <c r="HP127" s="1247"/>
      <c r="HQ127" s="1247"/>
      <c r="HR127" s="1247"/>
      <c r="HS127" s="1247"/>
      <c r="HT127" s="1247"/>
      <c r="HU127" s="1247"/>
      <c r="HV127" s="1247"/>
      <c r="HW127" s="1247"/>
      <c r="HX127" s="1247"/>
      <c r="HY127" s="1247"/>
      <c r="HZ127" s="1247"/>
      <c r="IA127" s="1247"/>
      <c r="IB127" s="1247"/>
      <c r="IC127" s="1247"/>
      <c r="ID127" s="1247"/>
      <c r="IE127" s="1247"/>
      <c r="IF127" s="1247"/>
      <c r="IG127" s="1247"/>
      <c r="IH127" s="1247"/>
      <c r="II127" s="1247"/>
      <c r="IJ127" s="1247"/>
      <c r="IK127" s="1247"/>
      <c r="IL127" s="1247"/>
      <c r="IM127" s="1247"/>
      <c r="IN127" s="1247"/>
      <c r="IO127" s="1247"/>
      <c r="IP127" s="1247"/>
      <c r="IQ127" s="1247"/>
      <c r="IR127" s="1247"/>
      <c r="IS127" s="1247"/>
      <c r="IT127" s="1247"/>
      <c r="IU127" s="1247"/>
      <c r="IV127" s="1247"/>
      <c r="IW127" s="1247"/>
      <c r="IX127" s="1247"/>
      <c r="IY127" s="1247"/>
      <c r="IZ127" s="1247"/>
      <c r="JA127" s="1247"/>
      <c r="JB127" s="1247"/>
      <c r="JC127" s="1247"/>
      <c r="JD127" s="1247"/>
      <c r="JE127" s="1247"/>
      <c r="JF127" s="1247"/>
      <c r="JG127" s="1247"/>
      <c r="JH127" s="1247"/>
      <c r="JI127" s="1247"/>
      <c r="JJ127" s="1247"/>
      <c r="JK127" s="1247"/>
      <c r="JL127" s="1247"/>
      <c r="JM127" s="1247"/>
      <c r="JN127" s="1247"/>
      <c r="JO127" s="1247"/>
      <c r="JP127" s="1247"/>
      <c r="JQ127" s="1247"/>
      <c r="JR127" s="1247"/>
      <c r="JS127" s="1247"/>
      <c r="JT127" s="1247"/>
      <c r="JU127" s="1247"/>
      <c r="JV127" s="1247"/>
      <c r="JW127" s="1247"/>
      <c r="JX127" s="1247"/>
      <c r="JY127" s="1247"/>
      <c r="JZ127" s="1247"/>
      <c r="KA127" s="1247"/>
      <c r="KB127" s="1247"/>
      <c r="KC127" s="1247"/>
      <c r="KD127" s="1247"/>
      <c r="KE127" s="1247"/>
      <c r="KF127" s="1247"/>
      <c r="KG127" s="1247"/>
      <c r="KH127" s="1247"/>
      <c r="KI127" s="1247"/>
      <c r="KJ127" s="1247"/>
      <c r="KK127" s="1247"/>
      <c r="KL127" s="1247"/>
      <c r="KM127" s="1247"/>
      <c r="KN127" s="1247"/>
      <c r="KO127" s="1247"/>
      <c r="KP127" s="1247"/>
      <c r="KQ127" s="1247"/>
      <c r="KR127" s="1247"/>
      <c r="KS127" s="1247"/>
      <c r="KT127" s="1247"/>
      <c r="KU127" s="1247"/>
      <c r="KV127" s="1247"/>
      <c r="KW127" s="1247"/>
      <c r="KX127" s="1247"/>
      <c r="KY127" s="1247"/>
      <c r="KZ127" s="1247"/>
      <c r="LA127" s="1247"/>
      <c r="LB127" s="1247"/>
      <c r="LC127" s="1247"/>
      <c r="LD127" s="1247"/>
      <c r="LE127" s="1247"/>
      <c r="LF127" s="1247"/>
      <c r="LG127" s="1247"/>
      <c r="LH127" s="1247"/>
      <c r="LI127" s="1247"/>
      <c r="LJ127" s="1247"/>
      <c r="LK127" s="1247"/>
      <c r="LL127" s="1247"/>
      <c r="LM127" s="1247"/>
      <c r="LN127" s="1247"/>
      <c r="LO127" s="1247"/>
      <c r="LP127" s="1247"/>
      <c r="LQ127" s="1247"/>
      <c r="LR127" s="1247"/>
      <c r="LS127" s="1247"/>
      <c r="LT127" s="1247"/>
      <c r="LU127" s="1247"/>
      <c r="LV127" s="1247"/>
      <c r="LW127" s="1247"/>
      <c r="LX127" s="1247"/>
      <c r="LY127" s="1247"/>
      <c r="LZ127" s="1247"/>
      <c r="MA127" s="1247"/>
      <c r="MB127" s="1247"/>
      <c r="MC127" s="1247"/>
      <c r="MD127" s="1247"/>
      <c r="ME127" s="1247"/>
      <c r="MF127" s="1247"/>
      <c r="MG127" s="1247"/>
      <c r="MH127" s="1247"/>
      <c r="MI127" s="1247"/>
      <c r="MJ127" s="1247"/>
      <c r="MK127" s="1247"/>
      <c r="ML127" s="1247"/>
      <c r="MM127" s="1247"/>
      <c r="MN127" s="1247"/>
      <c r="MO127" s="1247"/>
      <c r="MP127" s="1247"/>
      <c r="MQ127" s="1247"/>
      <c r="MR127" s="1247"/>
      <c r="MS127" s="1247"/>
      <c r="MT127" s="1247"/>
      <c r="MU127" s="1247"/>
      <c r="MV127" s="1247"/>
      <c r="MW127" s="1247"/>
      <c r="MX127" s="1247"/>
      <c r="MY127" s="1247"/>
      <c r="MZ127" s="1247"/>
      <c r="NA127" s="1247"/>
      <c r="NB127" s="1247"/>
      <c r="NC127" s="1247"/>
      <c r="ND127" s="1247"/>
      <c r="NE127" s="1247"/>
      <c r="NF127" s="1247"/>
      <c r="NG127" s="1247"/>
      <c r="NH127" s="1247"/>
      <c r="NI127" s="1247"/>
      <c r="NJ127" s="1247"/>
      <c r="NK127" s="1247"/>
      <c r="NL127" s="1247"/>
      <c r="NM127" s="1247"/>
      <c r="NN127" s="1247"/>
      <c r="NO127" s="1247"/>
      <c r="NP127" s="1247"/>
      <c r="NQ127" s="1247"/>
      <c r="NR127" s="1247"/>
      <c r="NS127" s="1247"/>
      <c r="NT127" s="1247"/>
      <c r="NU127" s="1247"/>
      <c r="NV127" s="1247"/>
      <c r="NW127" s="1247"/>
      <c r="NX127" s="1247"/>
      <c r="NY127" s="1247"/>
      <c r="NZ127" s="1247"/>
      <c r="OA127" s="1247"/>
      <c r="OB127" s="1247"/>
      <c r="OC127" s="1247"/>
      <c r="OD127" s="1247"/>
      <c r="OE127" s="1247"/>
      <c r="OF127" s="1247"/>
      <c r="OG127" s="1247"/>
      <c r="OH127" s="1247"/>
      <c r="OI127" s="1247"/>
      <c r="OJ127" s="1247"/>
      <c r="OK127" s="1247"/>
      <c r="OL127" s="1247"/>
      <c r="OM127" s="1247"/>
      <c r="ON127" s="1247"/>
      <c r="OO127" s="1247"/>
      <c r="OP127" s="1247"/>
      <c r="OQ127" s="1247"/>
      <c r="OR127" s="1247"/>
      <c r="OS127" s="1247"/>
      <c r="OT127" s="1247"/>
      <c r="OU127" s="1247"/>
      <c r="OV127" s="1247"/>
      <c r="OW127" s="1247"/>
      <c r="OX127" s="1247"/>
      <c r="OY127" s="1247"/>
      <c r="OZ127" s="1247"/>
      <c r="PA127" s="1247"/>
      <c r="PB127" s="1247"/>
      <c r="PC127" s="1247"/>
      <c r="PD127" s="1247"/>
      <c r="PE127" s="1247"/>
      <c r="PF127" s="1247"/>
      <c r="PG127" s="1247"/>
      <c r="PH127" s="1247"/>
      <c r="PI127" s="1247"/>
      <c r="PJ127" s="1247"/>
      <c r="PK127" s="1247"/>
      <c r="PL127" s="1247"/>
      <c r="PM127" s="1247"/>
      <c r="PN127" s="1247"/>
      <c r="PO127" s="1247"/>
      <c r="PP127" s="1247"/>
      <c r="PQ127" s="1247"/>
      <c r="PR127" s="1247"/>
      <c r="PS127" s="1247"/>
      <c r="PT127" s="1247"/>
      <c r="PU127" s="1247"/>
      <c r="PV127" s="1247"/>
      <c r="PW127" s="1247"/>
      <c r="PX127" s="1247"/>
      <c r="PY127" s="1247"/>
      <c r="PZ127" s="1247"/>
      <c r="QA127" s="1247"/>
      <c r="QB127" s="1247"/>
      <c r="QC127" s="1247"/>
      <c r="QD127" s="1247"/>
      <c r="QE127" s="1247"/>
      <c r="QF127" s="1247"/>
      <c r="QG127" s="1247"/>
      <c r="QH127" s="1247"/>
      <c r="QI127" s="1247"/>
      <c r="QJ127" s="1247"/>
      <c r="QK127" s="1247"/>
      <c r="QL127" s="1247"/>
      <c r="QM127" s="1247"/>
      <c r="QN127" s="1247"/>
      <c r="QO127" s="1247"/>
      <c r="QP127" s="1247"/>
      <c r="QQ127" s="1247"/>
      <c r="QR127" s="1247"/>
      <c r="QS127" s="1247"/>
      <c r="QT127" s="1247"/>
      <c r="QU127" s="1247"/>
      <c r="QV127" s="1247"/>
      <c r="QW127" s="1247"/>
      <c r="QX127" s="1247"/>
      <c r="QY127" s="1247"/>
      <c r="QZ127" s="1247"/>
      <c r="RA127" s="1247"/>
      <c r="RB127" s="1247"/>
      <c r="RC127" s="1247"/>
      <c r="RD127" s="1247"/>
      <c r="RE127" s="1247"/>
      <c r="RF127" s="1247"/>
      <c r="RG127" s="1247"/>
      <c r="RH127" s="1247"/>
      <c r="RI127" s="1247"/>
      <c r="RJ127" s="1247"/>
      <c r="RK127" s="1247"/>
      <c r="RL127" s="1247"/>
      <c r="RM127" s="1247"/>
      <c r="RN127" s="1247"/>
      <c r="RO127" s="1247"/>
      <c r="RP127" s="1247"/>
      <c r="RQ127" s="1247"/>
      <c r="RR127" s="1247"/>
      <c r="RS127" s="1247"/>
      <c r="RT127" s="1247"/>
      <c r="RU127" s="1247"/>
      <c r="RV127" s="1247"/>
      <c r="RW127" s="1247"/>
      <c r="RX127" s="1247"/>
      <c r="RY127" s="1247"/>
      <c r="RZ127" s="1247"/>
      <c r="SA127" s="1247"/>
      <c r="SB127" s="1247"/>
      <c r="SC127" s="1247"/>
      <c r="SD127" s="1247"/>
      <c r="SE127" s="1247"/>
      <c r="SF127" s="1247"/>
      <c r="SG127" s="1247"/>
      <c r="SH127" s="1247"/>
      <c r="SI127" s="1247"/>
      <c r="SJ127" s="1247"/>
      <c r="SK127" s="1247"/>
      <c r="SL127" s="1247"/>
      <c r="SM127" s="1247"/>
      <c r="SN127" s="1247"/>
      <c r="SO127" s="1247"/>
      <c r="SP127" s="1247"/>
      <c r="SQ127" s="1247"/>
      <c r="SR127" s="1247"/>
      <c r="SS127" s="1247"/>
      <c r="ST127" s="1247"/>
      <c r="SU127" s="1247"/>
      <c r="SV127" s="1247"/>
      <c r="SW127" s="1247"/>
      <c r="SX127" s="1247"/>
      <c r="SY127" s="1247"/>
      <c r="SZ127" s="1247"/>
      <c r="TA127" s="1247"/>
      <c r="TB127" s="1247"/>
      <c r="TC127" s="1247"/>
      <c r="TD127" s="1247"/>
      <c r="TE127" s="1247"/>
      <c r="TF127" s="1247"/>
      <c r="TG127" s="1247"/>
      <c r="TH127" s="1247"/>
      <c r="TI127" s="1247"/>
      <c r="TJ127" s="1247"/>
      <c r="TK127" s="1247"/>
      <c r="TL127" s="1247"/>
      <c r="TM127" s="1247"/>
      <c r="TN127" s="1247"/>
      <c r="TO127" s="1247"/>
      <c r="TP127" s="1247"/>
      <c r="TQ127" s="1247"/>
      <c r="TR127" s="1247"/>
      <c r="TS127" s="1247"/>
      <c r="TT127" s="1247"/>
      <c r="TU127" s="1247"/>
      <c r="TV127" s="1247"/>
      <c r="TW127" s="1247"/>
      <c r="TX127" s="1247"/>
      <c r="TY127" s="1247"/>
      <c r="TZ127" s="1247"/>
      <c r="UA127" s="1247"/>
      <c r="UB127" s="1247"/>
      <c r="UC127" s="1247"/>
      <c r="UD127" s="1247"/>
      <c r="UE127" s="1247"/>
      <c r="UF127" s="1247"/>
      <c r="UG127" s="1247"/>
      <c r="UH127" s="1247"/>
      <c r="UI127" s="1247"/>
      <c r="UJ127" s="1247"/>
      <c r="UK127" s="1247"/>
      <c r="UL127" s="1247"/>
      <c r="UM127" s="1247"/>
      <c r="UN127" s="1247"/>
      <c r="UO127" s="1247"/>
      <c r="UP127" s="1247"/>
      <c r="UQ127" s="1247"/>
      <c r="UR127" s="1247"/>
      <c r="US127" s="1247"/>
      <c r="UT127" s="1247"/>
      <c r="UU127" s="1247"/>
      <c r="UV127" s="1247"/>
      <c r="UW127" s="1247"/>
      <c r="UX127" s="1247"/>
      <c r="UY127" s="1247"/>
      <c r="UZ127" s="1247"/>
      <c r="VA127" s="1247"/>
      <c r="VB127" s="1247"/>
      <c r="VC127" s="1247"/>
      <c r="VD127" s="1247"/>
      <c r="VE127" s="1247"/>
      <c r="VF127" s="1247"/>
      <c r="VG127" s="1247"/>
      <c r="VH127" s="1247"/>
      <c r="VI127" s="1247"/>
      <c r="VJ127" s="1247"/>
      <c r="VK127" s="1247"/>
      <c r="VL127" s="1247"/>
      <c r="VM127" s="1247"/>
      <c r="VN127" s="1247"/>
      <c r="VO127" s="1247"/>
      <c r="VP127" s="1247"/>
      <c r="VQ127" s="1247"/>
      <c r="VR127" s="1247"/>
      <c r="VS127" s="1247"/>
      <c r="VT127" s="1247"/>
      <c r="VU127" s="1247"/>
      <c r="VV127" s="1247"/>
      <c r="VW127" s="1247"/>
      <c r="VX127" s="1247"/>
      <c r="VY127" s="1247"/>
      <c r="VZ127" s="1247"/>
      <c r="WA127" s="1247"/>
      <c r="WB127" s="1247"/>
      <c r="WC127" s="1247"/>
      <c r="WD127" s="1247"/>
      <c r="WE127" s="1247"/>
      <c r="WF127" s="1247"/>
      <c r="WG127" s="1247"/>
      <c r="WH127" s="1247"/>
      <c r="WI127" s="1247"/>
      <c r="WJ127" s="1247"/>
      <c r="WK127" s="1247"/>
      <c r="WL127" s="1247"/>
      <c r="WM127" s="1247"/>
      <c r="WN127" s="1247"/>
      <c r="WO127" s="1247"/>
      <c r="WP127" s="1247"/>
      <c r="WQ127" s="1247"/>
      <c r="WR127" s="1247"/>
      <c r="WS127" s="1247"/>
      <c r="WT127" s="1247"/>
      <c r="WU127" s="1247"/>
      <c r="WV127" s="1247"/>
      <c r="WW127" s="1247"/>
      <c r="WX127" s="1247"/>
      <c r="WY127" s="1247"/>
      <c r="WZ127" s="1247"/>
      <c r="XA127" s="1247"/>
      <c r="XB127" s="1247"/>
      <c r="XC127" s="1247"/>
      <c r="XD127" s="1247"/>
      <c r="XE127" s="1247"/>
      <c r="XF127" s="1247"/>
      <c r="XG127" s="1247"/>
      <c r="XH127" s="1247"/>
      <c r="XI127" s="1247"/>
      <c r="XJ127" s="1247"/>
      <c r="XK127" s="1247"/>
      <c r="XL127" s="1247"/>
      <c r="XM127" s="1247"/>
      <c r="XN127" s="1247"/>
      <c r="XO127" s="1247"/>
      <c r="XP127" s="1247"/>
      <c r="XQ127" s="1247"/>
      <c r="XR127" s="1247"/>
      <c r="XS127" s="1247"/>
      <c r="XT127" s="1247"/>
      <c r="XU127" s="1247"/>
      <c r="XV127" s="1247"/>
      <c r="XW127" s="1247"/>
      <c r="XX127" s="1247"/>
      <c r="XY127" s="1247"/>
      <c r="XZ127" s="1247"/>
      <c r="YA127" s="1247"/>
      <c r="YB127" s="1247"/>
      <c r="YC127" s="1247"/>
      <c r="YD127" s="1247"/>
      <c r="YE127" s="1247"/>
      <c r="YF127" s="1247"/>
      <c r="YG127" s="1247"/>
      <c r="YH127" s="1247"/>
      <c r="YI127" s="1247"/>
      <c r="YJ127" s="1247"/>
      <c r="YK127" s="1247"/>
      <c r="YL127" s="1247"/>
      <c r="YM127" s="1247"/>
      <c r="YN127" s="1247"/>
      <c r="YO127" s="1247"/>
      <c r="YP127" s="1247"/>
      <c r="YQ127" s="1247"/>
      <c r="YR127" s="1247"/>
      <c r="YS127" s="1247"/>
      <c r="YT127" s="1247"/>
      <c r="YU127" s="1247"/>
      <c r="YV127" s="1247"/>
      <c r="YW127" s="1247"/>
      <c r="YX127" s="1247"/>
      <c r="YY127" s="1247"/>
      <c r="YZ127" s="1247"/>
      <c r="ZA127" s="1247"/>
      <c r="ZB127" s="1247"/>
      <c r="ZC127" s="1247"/>
      <c r="ZD127" s="1247"/>
      <c r="ZE127" s="1247"/>
      <c r="ZF127" s="1247"/>
      <c r="ZG127" s="1247"/>
      <c r="ZH127" s="1247"/>
      <c r="ZI127" s="1247"/>
      <c r="ZJ127" s="1247"/>
      <c r="ZK127" s="1247"/>
      <c r="ZL127" s="1247"/>
      <c r="ZM127" s="1247"/>
      <c r="ZN127" s="1247"/>
      <c r="ZO127" s="1247"/>
      <c r="ZP127" s="1247"/>
      <c r="ZQ127" s="1247"/>
      <c r="ZR127" s="1247"/>
      <c r="ZS127" s="1247"/>
      <c r="ZT127" s="1247"/>
      <c r="ZU127" s="1247"/>
      <c r="ZV127" s="1247"/>
      <c r="ZW127" s="1247"/>
      <c r="ZX127" s="1247"/>
      <c r="ZY127" s="1247"/>
      <c r="ZZ127" s="1247"/>
      <c r="AAA127" s="1247"/>
      <c r="AAB127" s="1247"/>
      <c r="AAC127" s="1247"/>
      <c r="AAD127" s="1247"/>
      <c r="AAE127" s="1247"/>
      <c r="AAF127" s="1247"/>
      <c r="AAG127" s="1247"/>
      <c r="AAH127" s="1247"/>
      <c r="AAI127" s="1247"/>
      <c r="AAJ127" s="1247"/>
      <c r="AAK127" s="1247"/>
      <c r="AAL127" s="1247"/>
      <c r="AAM127" s="1247"/>
      <c r="AAN127" s="1247"/>
      <c r="AAO127" s="1247"/>
      <c r="AAP127" s="1247"/>
      <c r="AAQ127" s="1247"/>
      <c r="AAR127" s="1247"/>
      <c r="AAS127" s="1247"/>
      <c r="AAT127" s="1247"/>
      <c r="AAU127" s="1247"/>
      <c r="AAV127" s="1247"/>
      <c r="AAW127" s="1247"/>
      <c r="AAX127" s="1247"/>
      <c r="AAY127" s="1247"/>
      <c r="AAZ127" s="1247"/>
      <c r="ABA127" s="1247"/>
      <c r="ABB127" s="1247"/>
      <c r="ABC127" s="1247"/>
      <c r="ABD127" s="1247"/>
      <c r="ABE127" s="1247"/>
      <c r="ABF127" s="1247"/>
      <c r="ABG127" s="1247"/>
      <c r="ABH127" s="1247"/>
      <c r="ABI127" s="1247"/>
      <c r="ABJ127" s="1247"/>
      <c r="ABK127" s="1247"/>
      <c r="ABL127" s="1247"/>
      <c r="ABM127" s="1247"/>
      <c r="ABN127" s="1247"/>
      <c r="ABO127" s="1247"/>
      <c r="ABP127" s="1247"/>
      <c r="ABQ127" s="1247"/>
      <c r="ABR127" s="1247"/>
      <c r="ABS127" s="1247"/>
      <c r="ABT127" s="1247"/>
      <c r="ABU127" s="1247"/>
      <c r="ABV127" s="1247"/>
      <c r="ABW127" s="1247"/>
      <c r="ABX127" s="1247"/>
      <c r="ABY127" s="1247"/>
      <c r="ABZ127" s="1247"/>
      <c r="ACA127" s="1247"/>
      <c r="ACB127" s="1247"/>
      <c r="ACC127" s="1247"/>
      <c r="ACD127" s="1247"/>
      <c r="ACE127" s="1247"/>
      <c r="ACF127" s="1247"/>
      <c r="ACG127" s="1247"/>
      <c r="ACH127" s="1247"/>
      <c r="ACI127" s="1247"/>
      <c r="ACJ127" s="1247"/>
      <c r="ACK127" s="1247"/>
      <c r="ACL127" s="1247"/>
      <c r="ACM127" s="1247"/>
      <c r="ACN127" s="1247"/>
      <c r="ACO127" s="1247"/>
      <c r="ACP127" s="1247"/>
      <c r="ACQ127" s="1247"/>
      <c r="ACR127" s="1247"/>
      <c r="ACS127" s="1247"/>
      <c r="ACT127" s="1247"/>
      <c r="ACU127" s="1247"/>
      <c r="ACV127" s="1247"/>
      <c r="ACW127" s="1247"/>
      <c r="ACX127" s="1247"/>
      <c r="ACY127" s="1247"/>
      <c r="ACZ127" s="1247"/>
      <c r="ADA127" s="1247"/>
      <c r="ADB127" s="1247"/>
      <c r="ADC127" s="1247"/>
      <c r="ADD127" s="1247"/>
      <c r="ADE127" s="1247"/>
      <c r="ADF127" s="1247"/>
      <c r="ADG127" s="1247"/>
    </row>
    <row r="128" spans="1:787" s="1247" customFormat="1" ht="13" hidden="1" outlineLevel="2">
      <c r="B128" s="1422" t="s">
        <v>661</v>
      </c>
      <c r="C128" s="1423"/>
      <c r="D128" s="1423" t="s">
        <v>3409</v>
      </c>
      <c r="E128" s="1431"/>
      <c r="F128" s="1425"/>
      <c r="G128" s="1431" t="s">
        <v>4117</v>
      </c>
      <c r="H128" s="1446">
        <f>SUBTOTAL(9,H129:H135)</f>
        <v>73.697519999999997</v>
      </c>
      <c r="I128" s="1446">
        <f t="shared" ref="I128:T128" si="29">SUBTOTAL(9,I129:I135)</f>
        <v>0</v>
      </c>
      <c r="J128" s="1427">
        <f t="shared" si="29"/>
        <v>243.93281899999999</v>
      </c>
      <c r="K128" s="1427">
        <f t="shared" si="29"/>
        <v>0</v>
      </c>
      <c r="L128" s="1427">
        <f t="shared" si="29"/>
        <v>9.935573999999999</v>
      </c>
      <c r="M128" s="1427">
        <f t="shared" si="29"/>
        <v>8.7891189999999995</v>
      </c>
      <c r="N128" s="1427">
        <f t="shared" si="29"/>
        <v>28.228379999999998</v>
      </c>
      <c r="O128" s="1427">
        <f t="shared" si="29"/>
        <v>0</v>
      </c>
      <c r="P128" s="1427">
        <f t="shared" si="29"/>
        <v>334.33524699999998</v>
      </c>
      <c r="Q128" s="1427">
        <f t="shared" si="29"/>
        <v>0</v>
      </c>
      <c r="R128" s="1427">
        <f t="shared" si="29"/>
        <v>698.91865899999993</v>
      </c>
      <c r="S128" s="1427">
        <f t="shared" si="29"/>
        <v>0</v>
      </c>
      <c r="T128" s="1427">
        <f t="shared" si="29"/>
        <v>698.91865899999993</v>
      </c>
      <c r="U128" s="1429"/>
      <c r="V128" s="1225">
        <f t="shared" si="14"/>
        <v>-2.8421709430404007E-14</v>
      </c>
      <c r="W128" s="1225">
        <f t="shared" si="15"/>
        <v>0</v>
      </c>
      <c r="X128" s="1225"/>
      <c r="Y128" s="1225"/>
    </row>
    <row r="129" spans="2:25" s="1221" customFormat="1" ht="13" hidden="1" outlineLevel="3">
      <c r="B129" s="1433" t="s">
        <v>662</v>
      </c>
      <c r="C129" s="1434"/>
      <c r="D129" s="1434" t="s">
        <v>3410</v>
      </c>
      <c r="E129" s="1431" t="s">
        <v>3411</v>
      </c>
      <c r="F129" s="1425" t="s">
        <v>3342</v>
      </c>
      <c r="G129" s="1431" t="s">
        <v>4116</v>
      </c>
      <c r="H129" s="1447">
        <f>VLOOKUP($D129,车位!$D:$V,12,FALSE)</f>
        <v>17.196088</v>
      </c>
      <c r="I129" s="1447">
        <v>0</v>
      </c>
      <c r="J129" s="1437">
        <f>VLOOKUP($D129,高层!$D:$V,12,FALSE)</f>
        <v>49.650042999999997</v>
      </c>
      <c r="K129" s="1437">
        <f>VLOOKUP($D129,幼儿园!$D:$V,12,FALSE)</f>
        <v>0</v>
      </c>
      <c r="L129" s="1437">
        <f>VLOOKUP($D129,配套用房!$D:$V,12,FALSE)</f>
        <v>4.4538779999999996</v>
      </c>
      <c r="M129" s="1437">
        <f>VLOOKUP($D129,临街商业!$D:$V,12,FALSE)</f>
        <v>3.7062550000000001</v>
      </c>
      <c r="N129" s="1437">
        <f>VLOOKUP($D129,人防车位!D:U,12,FALSE)</f>
        <v>6.5866220000000002</v>
      </c>
      <c r="O129" s="1437">
        <f>VLOOKUP($D129,人才公寓销售!$D:$V,12,FALSE)</f>
        <v>0</v>
      </c>
      <c r="P129" s="1437">
        <f>VLOOKUP($D129,小高层!$D:$V,12,FALSE)</f>
        <v>68.050537000000006</v>
      </c>
      <c r="Q129" s="1437"/>
      <c r="R129" s="1172">
        <f t="shared" ref="R129:R173" si="30">SUM(H129:Q129)</f>
        <v>149.64342300000001</v>
      </c>
      <c r="S129" s="1437"/>
      <c r="T129" s="1437">
        <f>R129+S129</f>
        <v>149.64342300000001</v>
      </c>
      <c r="U129" s="1438"/>
      <c r="V129" s="1225">
        <f t="shared" si="14"/>
        <v>0</v>
      </c>
      <c r="W129" s="1225">
        <f t="shared" si="15"/>
        <v>0</v>
      </c>
      <c r="X129" s="1225"/>
      <c r="Y129" s="1225"/>
    </row>
    <row r="130" spans="2:25" s="1221" customFormat="1" ht="13" hidden="1" outlineLevel="3">
      <c r="B130" s="1433" t="s">
        <v>664</v>
      </c>
      <c r="C130" s="1434"/>
      <c r="D130" s="1434" t="s">
        <v>3412</v>
      </c>
      <c r="E130" s="1431" t="s">
        <v>3413</v>
      </c>
      <c r="F130" s="1425" t="s">
        <v>3342</v>
      </c>
      <c r="G130" s="1431" t="s">
        <v>4116</v>
      </c>
      <c r="H130" s="1447">
        <f>VLOOKUP($D130,车位!$D:$V,12,FALSE)</f>
        <v>12.282920000000001</v>
      </c>
      <c r="I130" s="1447">
        <v>0</v>
      </c>
      <c r="J130" s="1437">
        <f>VLOOKUP($D130,高层!$D:$V,12,FALSE)</f>
        <v>32.380462999999999</v>
      </c>
      <c r="K130" s="1437">
        <f>VLOOKUP($D130,幼儿园!$D:$V,12,FALSE)</f>
        <v>0</v>
      </c>
      <c r="L130" s="1437">
        <f>VLOOKUP($D130,配套用房!$D:$V,12,FALSE)</f>
        <v>1.7130300000000001</v>
      </c>
      <c r="M130" s="1437">
        <f>VLOOKUP($D130,临街商业!$D:$V,12,FALSE)</f>
        <v>1.588395</v>
      </c>
      <c r="N130" s="1437">
        <f>VLOOKUP($D130,人防车位!D:U,12,FALSE)</f>
        <v>4.7047299999999996</v>
      </c>
      <c r="O130" s="1437">
        <f>VLOOKUP($D130,人才公寓销售!$D:$V,12,FALSE)</f>
        <v>0</v>
      </c>
      <c r="P130" s="1437">
        <f>VLOOKUP($D130,小高层!$D:$V,12,FALSE)</f>
        <v>44.380785000000003</v>
      </c>
      <c r="Q130" s="1437"/>
      <c r="R130" s="1172">
        <f t="shared" si="30"/>
        <v>97.050322999999992</v>
      </c>
      <c r="S130" s="1437"/>
      <c r="T130" s="1437">
        <f t="shared" ref="T130:T135" si="31">R130+S130</f>
        <v>97.050322999999992</v>
      </c>
      <c r="U130" s="1438"/>
      <c r="V130" s="1225">
        <f t="shared" si="14"/>
        <v>8.659739592076221E-15</v>
      </c>
      <c r="W130" s="1225">
        <f t="shared" si="15"/>
        <v>0</v>
      </c>
      <c r="X130" s="1225"/>
      <c r="Y130" s="1225"/>
    </row>
    <row r="131" spans="2:25" s="1221" customFormat="1" ht="13" hidden="1" outlineLevel="3">
      <c r="B131" s="1433" t="s">
        <v>665</v>
      </c>
      <c r="C131" s="1434"/>
      <c r="D131" s="1434" t="s">
        <v>3414</v>
      </c>
      <c r="E131" s="1431" t="s">
        <v>3415</v>
      </c>
      <c r="F131" s="1425"/>
      <c r="G131" s="1431" t="s">
        <v>4117</v>
      </c>
      <c r="H131" s="1447">
        <f>VLOOKUP($D131,车位!$D:$V,12,FALSE)</f>
        <v>12.282920000000001</v>
      </c>
      <c r="I131" s="1447">
        <v>0</v>
      </c>
      <c r="J131" s="1437">
        <f>VLOOKUP($D131,高层!$D:$V,12,FALSE)</f>
        <v>105.776178</v>
      </c>
      <c r="K131" s="1437">
        <f>VLOOKUP($D131,幼儿园!$D:$V,12,FALSE)</f>
        <v>0</v>
      </c>
      <c r="L131" s="1437">
        <f>VLOOKUP($D131,配套用房!$D:$V,12,FALSE)</f>
        <v>1.7130300000000001</v>
      </c>
      <c r="M131" s="1437">
        <f>VLOOKUP($D131,临街商业!$D:$V,12,FALSE)</f>
        <v>1.588395</v>
      </c>
      <c r="N131" s="1437">
        <f>VLOOKUP($D131,人防车位!D:U,12,FALSE)</f>
        <v>4.7047299999999996</v>
      </c>
      <c r="O131" s="1437">
        <f>VLOOKUP($D131,人才公寓销售!$D:$V,12,FALSE)</f>
        <v>0</v>
      </c>
      <c r="P131" s="1437">
        <f>VLOOKUP($D131,小高层!$D:$V,12,FALSE)</f>
        <v>144.97723099999999</v>
      </c>
      <c r="Q131" s="1437"/>
      <c r="R131" s="1172">
        <f t="shared" si="30"/>
        <v>271.042484</v>
      </c>
      <c r="S131" s="1437"/>
      <c r="T131" s="1437">
        <f t="shared" si="31"/>
        <v>271.042484</v>
      </c>
      <c r="U131" s="1438"/>
      <c r="V131" s="1225">
        <f t="shared" si="14"/>
        <v>8.659739592076221E-15</v>
      </c>
      <c r="W131" s="1225">
        <f t="shared" si="15"/>
        <v>0</v>
      </c>
      <c r="X131" s="1225"/>
      <c r="Y131" s="1225"/>
    </row>
    <row r="132" spans="2:25" s="1221" customFormat="1" ht="13" hidden="1" outlineLevel="3">
      <c r="B132" s="1433" t="s">
        <v>666</v>
      </c>
      <c r="C132" s="1434"/>
      <c r="D132" s="1434" t="s">
        <v>3416</v>
      </c>
      <c r="E132" s="1431" t="s">
        <v>3417</v>
      </c>
      <c r="F132" s="1425" t="s">
        <v>3418</v>
      </c>
      <c r="G132" s="1431" t="s">
        <v>4125</v>
      </c>
      <c r="H132" s="1447">
        <f>VLOOKUP($D132,车位!$D:$V,12,FALSE)</f>
        <v>0</v>
      </c>
      <c r="I132" s="1447">
        <v>0</v>
      </c>
      <c r="J132" s="1437">
        <f>VLOOKUP($D132,高层!$D:$V,12,FALSE)</f>
        <v>0</v>
      </c>
      <c r="K132" s="1437">
        <f>VLOOKUP($D132,幼儿园!$D:$V,12,FALSE)</f>
        <v>0</v>
      </c>
      <c r="L132" s="1437">
        <f>VLOOKUP($D132,配套用房!$D:$V,12,FALSE)</f>
        <v>0</v>
      </c>
      <c r="M132" s="1437">
        <f>VLOOKUP($D132,临街商业!$D:$V,12,FALSE)</f>
        <v>0</v>
      </c>
      <c r="N132" s="1437">
        <f>VLOOKUP($D132,人防车位!D:U,12,FALSE)</f>
        <v>0</v>
      </c>
      <c r="O132" s="1437">
        <f>VLOOKUP($D132,人才公寓销售!$D:$V,12,FALSE)</f>
        <v>0</v>
      </c>
      <c r="P132" s="1437">
        <f>VLOOKUP($D132,小高层!$D:$V,12,FALSE)</f>
        <v>0</v>
      </c>
      <c r="Q132" s="1437"/>
      <c r="R132" s="1172">
        <f t="shared" si="30"/>
        <v>0</v>
      </c>
      <c r="S132" s="1437"/>
      <c r="T132" s="1437">
        <f t="shared" si="31"/>
        <v>0</v>
      </c>
      <c r="U132" s="1438"/>
      <c r="V132" s="1225">
        <f t="shared" si="14"/>
        <v>0</v>
      </c>
      <c r="W132" s="1225">
        <f t="shared" si="15"/>
        <v>0</v>
      </c>
      <c r="X132" s="1225"/>
      <c r="Y132" s="1225"/>
    </row>
    <row r="133" spans="2:25" s="1221" customFormat="1" ht="13" hidden="1" outlineLevel="3">
      <c r="B133" s="1433" t="s">
        <v>3419</v>
      </c>
      <c r="C133" s="1434"/>
      <c r="D133" s="1434" t="s">
        <v>3420</v>
      </c>
      <c r="E133" s="1431" t="s">
        <v>3421</v>
      </c>
      <c r="F133" s="1425" t="s">
        <v>3422</v>
      </c>
      <c r="G133" s="1431" t="s">
        <v>4126</v>
      </c>
      <c r="H133" s="1447">
        <f>VLOOKUP($D133,车位!$D:$V,12,FALSE)</f>
        <v>24.565840000000001</v>
      </c>
      <c r="I133" s="1447">
        <v>0</v>
      </c>
      <c r="J133" s="1437">
        <f>VLOOKUP($D133,高层!$D:$V,12,FALSE)</f>
        <v>43.173949999999998</v>
      </c>
      <c r="K133" s="1437">
        <f>VLOOKUP($D133,幼儿园!$D:$V,12,FALSE)</f>
        <v>0</v>
      </c>
      <c r="L133" s="1437">
        <f>VLOOKUP($D133,配套用房!$D:$V,12,FALSE)</f>
        <v>1.7130300000000001</v>
      </c>
      <c r="M133" s="1437">
        <f>VLOOKUP($D133,临街商业!$D:$V,12,FALSE)</f>
        <v>1.588395</v>
      </c>
      <c r="N133" s="1437">
        <f>VLOOKUP($D133,人防车位!D:U,12,FALSE)</f>
        <v>9.4094599999999993</v>
      </c>
      <c r="O133" s="1437">
        <f>VLOOKUP($D133,人才公寓销售!$D:$V,12,FALSE)</f>
        <v>0</v>
      </c>
      <c r="P133" s="1437">
        <f>VLOOKUP($D133,小高层!$D:$V,12,FALSE)</f>
        <v>59.174379999999999</v>
      </c>
      <c r="Q133" s="1437"/>
      <c r="R133" s="1172">
        <f t="shared" si="30"/>
        <v>139.625055</v>
      </c>
      <c r="S133" s="1437"/>
      <c r="T133" s="1437">
        <f t="shared" si="31"/>
        <v>139.625055</v>
      </c>
      <c r="U133" s="1438"/>
      <c r="V133" s="1225">
        <f t="shared" si="14"/>
        <v>-1.9761969838327786E-14</v>
      </c>
      <c r="W133" s="1225">
        <f t="shared" si="15"/>
        <v>0</v>
      </c>
      <c r="X133" s="1225"/>
      <c r="Y133" s="1225"/>
    </row>
    <row r="134" spans="2:25" s="1221" customFormat="1" ht="13" hidden="1" outlineLevel="3">
      <c r="B134" s="1433" t="s">
        <v>3423</v>
      </c>
      <c r="C134" s="1434"/>
      <c r="D134" s="1434" t="s">
        <v>3424</v>
      </c>
      <c r="E134" s="1431" t="s">
        <v>3425</v>
      </c>
      <c r="F134" s="1425" t="s">
        <v>3342</v>
      </c>
      <c r="G134" s="1431" t="s">
        <v>4116</v>
      </c>
      <c r="H134" s="1447">
        <f>VLOOKUP($D134,车位!$D:$V,12,FALSE)</f>
        <v>7.3697520000000001</v>
      </c>
      <c r="I134" s="1447">
        <v>0</v>
      </c>
      <c r="J134" s="1437">
        <f>VLOOKUP($D134,高层!$D:$V,12,FALSE)</f>
        <v>12.952185</v>
      </c>
      <c r="K134" s="1437">
        <f>VLOOKUP($D134,幼儿园!$D:$V,12,FALSE)</f>
        <v>0</v>
      </c>
      <c r="L134" s="1437">
        <f>VLOOKUP($D134,配套用房!$D:$V,12,FALSE)</f>
        <v>0.34260600000000002</v>
      </c>
      <c r="M134" s="1437">
        <f>VLOOKUP($D134,临街商业!$D:$V,12,FALSE)</f>
        <v>0.31767899999999999</v>
      </c>
      <c r="N134" s="1437">
        <f>VLOOKUP($D134,人防车位!D:U,12,FALSE)</f>
        <v>2.822838</v>
      </c>
      <c r="O134" s="1437">
        <f>VLOOKUP($D134,人才公寓销售!$D:$V,12,FALSE)</f>
        <v>0</v>
      </c>
      <c r="P134" s="1437">
        <f>VLOOKUP($D134,小高层!$D:$V,12,FALSE)</f>
        <v>17.752313999999998</v>
      </c>
      <c r="Q134" s="1437"/>
      <c r="R134" s="1172">
        <f t="shared" si="30"/>
        <v>41.557373999999996</v>
      </c>
      <c r="S134" s="1437"/>
      <c r="T134" s="1437">
        <f t="shared" si="31"/>
        <v>41.557373999999996</v>
      </c>
      <c r="U134" s="1438"/>
      <c r="V134" s="1225">
        <f t="shared" si="14"/>
        <v>1.7208456881689926E-15</v>
      </c>
      <c r="W134" s="1225">
        <f t="shared" si="15"/>
        <v>0</v>
      </c>
      <c r="X134" s="1225"/>
      <c r="Y134" s="1225"/>
    </row>
    <row r="135" spans="2:25" s="1221" customFormat="1" ht="13" hidden="1" outlineLevel="3">
      <c r="B135" s="1433" t="s">
        <v>3426</v>
      </c>
      <c r="C135" s="1434"/>
      <c r="D135" s="1434" t="s">
        <v>3427</v>
      </c>
      <c r="E135" s="1431" t="s">
        <v>3428</v>
      </c>
      <c r="F135" s="1425" t="s">
        <v>3342</v>
      </c>
      <c r="G135" s="1431" t="s">
        <v>4116</v>
      </c>
      <c r="H135" s="1447">
        <f>VLOOKUP($D135,车位!$D:$V,12,FALSE)</f>
        <v>0</v>
      </c>
      <c r="I135" s="1447">
        <v>0</v>
      </c>
      <c r="J135" s="1437">
        <f>VLOOKUP($D135,高层!$D:$V,12,FALSE)</f>
        <v>0</v>
      </c>
      <c r="K135" s="1437">
        <f>VLOOKUP($D135,幼儿园!$D:$V,12,FALSE)</f>
        <v>0</v>
      </c>
      <c r="L135" s="1437">
        <f>VLOOKUP($D135,配套用房!$D:$V,12,FALSE)</f>
        <v>0</v>
      </c>
      <c r="M135" s="1437">
        <f>VLOOKUP($D135,临街商业!$D:$V,12,FALSE)</f>
        <v>0</v>
      </c>
      <c r="N135" s="1437">
        <f>VLOOKUP($D135,人防车位!D:U,12,FALSE)</f>
        <v>0</v>
      </c>
      <c r="O135" s="1437">
        <f>VLOOKUP($D135,人才公寓销售!$D:$V,12,FALSE)</f>
        <v>0</v>
      </c>
      <c r="P135" s="1437">
        <f>VLOOKUP($D135,小高层!$D:$V,12,FALSE)</f>
        <v>0</v>
      </c>
      <c r="Q135" s="1437"/>
      <c r="R135" s="1172">
        <f t="shared" si="30"/>
        <v>0</v>
      </c>
      <c r="S135" s="1437"/>
      <c r="T135" s="1437">
        <f t="shared" si="31"/>
        <v>0</v>
      </c>
      <c r="U135" s="1438"/>
      <c r="V135" s="1225">
        <f t="shared" si="14"/>
        <v>0</v>
      </c>
      <c r="W135" s="1225">
        <f t="shared" si="15"/>
        <v>0</v>
      </c>
      <c r="X135" s="1225"/>
      <c r="Y135" s="1225"/>
    </row>
    <row r="136" spans="2:25" s="1247" customFormat="1" ht="13" hidden="1" outlineLevel="2">
      <c r="B136" s="1422" t="s">
        <v>670</v>
      </c>
      <c r="C136" s="1423"/>
      <c r="D136" s="1423" t="s">
        <v>3429</v>
      </c>
      <c r="E136" s="1424"/>
      <c r="F136" s="1425"/>
      <c r="G136" s="1431" t="s">
        <v>4117</v>
      </c>
      <c r="H136" s="1454">
        <f>SUBTOTAL(9,H137:H148)</f>
        <v>544.13335599999994</v>
      </c>
      <c r="I136" s="1454">
        <f t="shared" ref="I136:T136" si="32">SUBTOTAL(9,I137:I148)</f>
        <v>0</v>
      </c>
      <c r="J136" s="1428">
        <f t="shared" si="32"/>
        <v>744.48944200000005</v>
      </c>
      <c r="K136" s="1428">
        <f t="shared" si="32"/>
        <v>0</v>
      </c>
      <c r="L136" s="1428">
        <f t="shared" si="32"/>
        <v>24.903293000000001</v>
      </c>
      <c r="M136" s="1428">
        <f t="shared" si="32"/>
        <v>22.023491999999997</v>
      </c>
      <c r="N136" s="1428">
        <f t="shared" si="32"/>
        <v>231.94318899999999</v>
      </c>
      <c r="O136" s="1428">
        <f t="shared" si="32"/>
        <v>0</v>
      </c>
      <c r="P136" s="1428">
        <f t="shared" si="32"/>
        <v>1049.3126010000001</v>
      </c>
      <c r="Q136" s="1428">
        <f t="shared" si="32"/>
        <v>0</v>
      </c>
      <c r="R136" s="1428">
        <f t="shared" si="32"/>
        <v>2616.8053730000006</v>
      </c>
      <c r="S136" s="1428">
        <f t="shared" si="32"/>
        <v>0</v>
      </c>
      <c r="T136" s="1428">
        <f t="shared" si="32"/>
        <v>2616.8053730000006</v>
      </c>
      <c r="U136" s="1429"/>
      <c r="V136" s="1225">
        <f t="shared" si="14"/>
        <v>-7.1764816311770119E-13</v>
      </c>
      <c r="W136" s="1225">
        <f t="shared" si="15"/>
        <v>0</v>
      </c>
      <c r="X136" s="1225"/>
      <c r="Y136" s="1225"/>
    </row>
    <row r="137" spans="2:25" s="1221" customFormat="1" ht="13" hidden="1" outlineLevel="3">
      <c r="B137" s="1433" t="s">
        <v>671</v>
      </c>
      <c r="C137" s="1434"/>
      <c r="D137" s="1434" t="s">
        <v>3430</v>
      </c>
      <c r="E137" s="1431" t="s">
        <v>3431</v>
      </c>
      <c r="F137" s="1425" t="s">
        <v>3342</v>
      </c>
      <c r="G137" s="1431" t="s">
        <v>4116</v>
      </c>
      <c r="H137" s="1447">
        <f>VLOOKUP($D137,车位!$D:$V,12,FALSE)</f>
        <v>24.565840000000001</v>
      </c>
      <c r="I137" s="1447">
        <v>0</v>
      </c>
      <c r="J137" s="1437">
        <f>VLOOKUP($D137,高层!$D:$V,12,FALSE)</f>
        <v>200.75886800000001</v>
      </c>
      <c r="K137" s="1437">
        <f>VLOOKUP($D137,幼儿园!$D:$V,12,FALSE)</f>
        <v>0</v>
      </c>
      <c r="L137" s="1437">
        <f>VLOOKUP($D137,配套用房!$D:$V,12,FALSE)</f>
        <v>6.8521200000000002</v>
      </c>
      <c r="M137" s="1437">
        <f>VLOOKUP($D137,临街商业!$D:$V,12,FALSE)</f>
        <v>5.7182219999999999</v>
      </c>
      <c r="N137" s="1437">
        <f>VLOOKUP($D137,人防车位!D:U,12,FALSE)</f>
        <v>18.818919999999999</v>
      </c>
      <c r="O137" s="1437">
        <f>VLOOKUP($D137,人才公寓销售!$D:$V,12,FALSE)</f>
        <v>0</v>
      </c>
      <c r="P137" s="1437">
        <f>VLOOKUP($D137,小高层!$D:$V,12,FALSE)</f>
        <v>275.160867</v>
      </c>
      <c r="Q137" s="1437"/>
      <c r="R137" s="1172">
        <f t="shared" si="30"/>
        <v>531.87483700000007</v>
      </c>
      <c r="S137" s="1437"/>
      <c r="T137" s="1437">
        <f>R137+S137</f>
        <v>531.87483700000007</v>
      </c>
      <c r="U137" s="1438"/>
      <c r="V137" s="1225">
        <f t="shared" si="14"/>
        <v>-8.2600593032111647E-14</v>
      </c>
      <c r="W137" s="1225">
        <f t="shared" si="15"/>
        <v>0</v>
      </c>
      <c r="X137" s="1225"/>
      <c r="Y137" s="1225"/>
    </row>
    <row r="138" spans="2:25" s="1221" customFormat="1" ht="13" hidden="1" outlineLevel="3">
      <c r="B138" s="1433" t="s">
        <v>672</v>
      </c>
      <c r="C138" s="1434"/>
      <c r="D138" s="1434" t="s">
        <v>3432</v>
      </c>
      <c r="E138" s="1431" t="s">
        <v>3433</v>
      </c>
      <c r="F138" s="1425" t="s">
        <v>3342</v>
      </c>
      <c r="G138" s="1431" t="s">
        <v>4116</v>
      </c>
      <c r="H138" s="1447">
        <f>VLOOKUP($D138,车位!$D:$V,12,FALSE)</f>
        <v>110.54628</v>
      </c>
      <c r="I138" s="1447">
        <v>0</v>
      </c>
      <c r="J138" s="1437">
        <f>VLOOKUP($D138,高层!$D:$V,12,FALSE)</f>
        <v>43.173949999999998</v>
      </c>
      <c r="K138" s="1437">
        <f>VLOOKUP($D138,幼儿园!$D:$V,12,FALSE)</f>
        <v>0</v>
      </c>
      <c r="L138" s="1437">
        <f>VLOOKUP($D138,配套用房!$D:$V,12,FALSE)</f>
        <v>6.0527059999999997</v>
      </c>
      <c r="M138" s="1437">
        <f>VLOOKUP($D138,临街商业!$D:$V,12,FALSE)</f>
        <v>5.6123289999999999</v>
      </c>
      <c r="N138" s="1437">
        <f>VLOOKUP($D138,人防车位!D:U,12,FALSE)</f>
        <v>56.456760000000003</v>
      </c>
      <c r="O138" s="1437">
        <f>VLOOKUP($D138,人才公寓销售!$D:$V,12,FALSE)</f>
        <v>0</v>
      </c>
      <c r="P138" s="1437">
        <f>VLOOKUP($D138,小高层!$D:$V,12,FALSE)</f>
        <v>59.174379999999999</v>
      </c>
      <c r="Q138" s="1437"/>
      <c r="R138" s="1172">
        <f t="shared" si="30"/>
        <v>281.01640499999996</v>
      </c>
      <c r="S138" s="1437"/>
      <c r="T138" s="1437">
        <f t="shared" ref="T138:T173" si="33">R138+S138</f>
        <v>281.01640499999996</v>
      </c>
      <c r="U138" s="1438"/>
      <c r="V138" s="1225">
        <f t="shared" ref="V138:V201" si="34">H138+I138+J138+L138+N138+O138+P138+Q138+S138-T138+K138+M138</f>
        <v>1.1546319456101628E-14</v>
      </c>
      <c r="W138" s="1225">
        <f t="shared" ref="W138:W201" si="35">T138-R138</f>
        <v>0</v>
      </c>
      <c r="X138" s="1225"/>
      <c r="Y138" s="1225"/>
    </row>
    <row r="139" spans="2:25" s="1221" customFormat="1" ht="13" hidden="1" outlineLevel="3">
      <c r="B139" s="1433" t="s">
        <v>673</v>
      </c>
      <c r="C139" s="1434"/>
      <c r="D139" s="1434" t="s">
        <v>3434</v>
      </c>
      <c r="E139" s="1431" t="s">
        <v>3435</v>
      </c>
      <c r="F139" s="1425" t="s">
        <v>3342</v>
      </c>
      <c r="G139" s="1431" t="s">
        <v>4116</v>
      </c>
      <c r="H139" s="1447">
        <f>VLOOKUP($D139,车位!$D:$V,12,FALSE)</f>
        <v>2.4565839999999999</v>
      </c>
      <c r="I139" s="1447">
        <v>0</v>
      </c>
      <c r="J139" s="1437">
        <f>VLOOKUP($D139,高层!$D:$V,12,FALSE)</f>
        <v>12.952185</v>
      </c>
      <c r="K139" s="1437">
        <f>VLOOKUP($D139,幼儿园!$D:$V,12,FALSE)</f>
        <v>0</v>
      </c>
      <c r="L139" s="1437">
        <f>VLOOKUP($D139,配套用房!$D:$V,12,FALSE)</f>
        <v>0.34260600000000002</v>
      </c>
      <c r="M139" s="1437">
        <f>VLOOKUP($D139,临街商业!$D:$V,12,FALSE)</f>
        <v>0.31767899999999999</v>
      </c>
      <c r="N139" s="1437">
        <f>VLOOKUP($D139,人防车位!D:U,12,FALSE)</f>
        <v>0.94094599999999995</v>
      </c>
      <c r="O139" s="1437">
        <f>VLOOKUP($D139,人才公寓销售!$D:$V,12,FALSE)</f>
        <v>0</v>
      </c>
      <c r="P139" s="1437">
        <f>VLOOKUP($D139,小高层!$D:$V,12,FALSE)</f>
        <v>17.752313999999998</v>
      </c>
      <c r="Q139" s="1437"/>
      <c r="R139" s="1172">
        <f t="shared" si="30"/>
        <v>34.762313999999996</v>
      </c>
      <c r="S139" s="1437"/>
      <c r="T139" s="1437">
        <f t="shared" si="33"/>
        <v>34.762313999999996</v>
      </c>
      <c r="U139" s="1438"/>
      <c r="V139" s="1225">
        <f t="shared" si="34"/>
        <v>1.7208456881689926E-15</v>
      </c>
      <c r="W139" s="1225">
        <f t="shared" si="35"/>
        <v>0</v>
      </c>
      <c r="X139" s="1225"/>
      <c r="Y139" s="1225"/>
    </row>
    <row r="140" spans="2:25" s="1221" customFormat="1" ht="13" hidden="1" outlineLevel="3">
      <c r="B140" s="1433" t="s">
        <v>1785</v>
      </c>
      <c r="C140" s="1434"/>
      <c r="D140" s="1434" t="s">
        <v>3436</v>
      </c>
      <c r="E140" s="1431" t="s">
        <v>3437</v>
      </c>
      <c r="F140" s="1425" t="s">
        <v>3342</v>
      </c>
      <c r="G140" s="1431" t="s">
        <v>4116</v>
      </c>
      <c r="H140" s="1447">
        <f>VLOOKUP($D140,车位!$D:$V,12,FALSE)</f>
        <v>24.565840000000001</v>
      </c>
      <c r="I140" s="1447">
        <v>0</v>
      </c>
      <c r="J140" s="1437">
        <f>VLOOKUP($D140,高层!$D:$V,12,FALSE)</f>
        <v>58.284832999999999</v>
      </c>
      <c r="K140" s="1437">
        <f>VLOOKUP($D140,幼儿园!$D:$V,12,FALSE)</f>
        <v>0</v>
      </c>
      <c r="L140" s="1437">
        <f>VLOOKUP($D140,配套用房!$D:$V,12,FALSE)</f>
        <v>0.57101000000000002</v>
      </c>
      <c r="M140" s="1437">
        <f>VLOOKUP($D140,临街商业!$D:$V,12,FALSE)</f>
        <v>0.52946499999999996</v>
      </c>
      <c r="N140" s="1437">
        <f>VLOOKUP($D140,人防车位!D:U,12,FALSE)</f>
        <v>9.4094599999999993</v>
      </c>
      <c r="O140" s="1437">
        <f>VLOOKUP($D140,人才公寓销售!$D:$V,12,FALSE)</f>
        <v>0</v>
      </c>
      <c r="P140" s="1437">
        <f>VLOOKUP($D140,小高层!$D:$V,12,FALSE)</f>
        <v>79.885413</v>
      </c>
      <c r="Q140" s="1437"/>
      <c r="R140" s="1172">
        <f t="shared" si="30"/>
        <v>173.24602099999998</v>
      </c>
      <c r="S140" s="1437"/>
      <c r="T140" s="1437">
        <f t="shared" si="33"/>
        <v>173.24602099999998</v>
      </c>
      <c r="U140" s="1438"/>
      <c r="V140" s="1225">
        <f t="shared" si="34"/>
        <v>1.2323475573339238E-14</v>
      </c>
      <c r="W140" s="1225">
        <f t="shared" si="35"/>
        <v>0</v>
      </c>
      <c r="X140" s="1225"/>
      <c r="Y140" s="1225"/>
    </row>
    <row r="141" spans="2:25" s="1221" customFormat="1" ht="13" hidden="1" outlineLevel="3">
      <c r="B141" s="1433" t="s">
        <v>674</v>
      </c>
      <c r="C141" s="1434"/>
      <c r="D141" s="1434" t="s">
        <v>3438</v>
      </c>
      <c r="E141" s="1431" t="s">
        <v>3439</v>
      </c>
      <c r="F141" s="1425" t="s">
        <v>455</v>
      </c>
      <c r="G141" s="1431" t="s">
        <v>4128</v>
      </c>
      <c r="H141" s="1447">
        <f>VLOOKUP($D141,车位!$D:$V,12,FALSE)</f>
        <v>104.40482</v>
      </c>
      <c r="I141" s="1447">
        <v>0</v>
      </c>
      <c r="J141" s="1437">
        <f>VLOOKUP($D141,高层!$D:$V,12,FALSE)</f>
        <v>64.760925</v>
      </c>
      <c r="K141" s="1437">
        <f>VLOOKUP($D141,幼儿园!$D:$V,12,FALSE)</f>
        <v>0</v>
      </c>
      <c r="L141" s="1437">
        <f>VLOOKUP($D141,配套用房!$D:$V,12,FALSE)</f>
        <v>0.44424599999999997</v>
      </c>
      <c r="M141" s="1437">
        <f>VLOOKUP($D141,临街商业!$D:$V,12,FALSE)</f>
        <v>0.41192400000000001</v>
      </c>
      <c r="N141" s="1437">
        <f>VLOOKUP($D141,人防车位!D:U,12,FALSE)</f>
        <v>39.990205000000003</v>
      </c>
      <c r="O141" s="1437">
        <f>VLOOKUP($D141,人才公寓销售!$D:$V,12,FALSE)</f>
        <v>0</v>
      </c>
      <c r="P141" s="1437">
        <f>VLOOKUP($D141,小高层!$D:$V,12,FALSE)</f>
        <v>88.761570000000006</v>
      </c>
      <c r="Q141" s="1437"/>
      <c r="R141" s="1172">
        <f t="shared" si="30"/>
        <v>298.77368999999999</v>
      </c>
      <c r="S141" s="1437"/>
      <c r="T141" s="1456">
        <f t="shared" si="33"/>
        <v>298.77368999999999</v>
      </c>
      <c r="U141" s="1438"/>
      <c r="V141" s="1225">
        <f t="shared" si="34"/>
        <v>9.4368957093138306E-16</v>
      </c>
      <c r="W141" s="1225">
        <f t="shared" si="35"/>
        <v>0</v>
      </c>
      <c r="X141" s="1225"/>
      <c r="Y141" s="1225"/>
    </row>
    <row r="142" spans="2:25" s="1221" customFormat="1" ht="13" hidden="1" outlineLevel="3">
      <c r="B142" s="1433" t="s">
        <v>3440</v>
      </c>
      <c r="C142" s="1434"/>
      <c r="D142" s="1434" t="s">
        <v>3441</v>
      </c>
      <c r="E142" s="1431" t="s">
        <v>3442</v>
      </c>
      <c r="F142" s="1425" t="s">
        <v>454</v>
      </c>
      <c r="G142" s="1431" t="s">
        <v>4129</v>
      </c>
      <c r="H142" s="1447">
        <f>VLOOKUP($D142,车位!$D:$V,12,FALSE)</f>
        <v>167.04771199999999</v>
      </c>
      <c r="I142" s="1447">
        <v>0</v>
      </c>
      <c r="J142" s="1437">
        <f>VLOOKUP($D142,高层!$D:$V,12,FALSE)</f>
        <v>194.28277499999999</v>
      </c>
      <c r="K142" s="1437">
        <f>VLOOKUP($D142,幼儿园!$D:$V,12,FALSE)</f>
        <v>0</v>
      </c>
      <c r="L142" s="1437">
        <f>VLOOKUP($D142,配套用房!$D:$V,12,FALSE)</f>
        <v>5.1390900000000004</v>
      </c>
      <c r="M142" s="1437">
        <f>VLOOKUP($D142,临街商业!$D:$V,12,FALSE)</f>
        <v>4.2357199999999997</v>
      </c>
      <c r="N142" s="1437">
        <f>VLOOKUP($D142,人防车位!D:U,12,FALSE)</f>
        <v>63.984327999999998</v>
      </c>
      <c r="O142" s="1437">
        <f>VLOOKUP($D142,人才公寓销售!$D:$V,12,FALSE)</f>
        <v>0</v>
      </c>
      <c r="P142" s="1437">
        <f>VLOOKUP($D142,小高层!$D:$V,12,FALSE)</f>
        <v>266.28471000000002</v>
      </c>
      <c r="Q142" s="1437"/>
      <c r="R142" s="1172">
        <f t="shared" si="30"/>
        <v>700.974335</v>
      </c>
      <c r="S142" s="1437"/>
      <c r="T142" s="1437">
        <f t="shared" si="33"/>
        <v>700.974335</v>
      </c>
      <c r="U142" s="1438"/>
      <c r="V142" s="1225">
        <f t="shared" si="34"/>
        <v>-1.5099033134902129E-14</v>
      </c>
      <c r="W142" s="1225">
        <f t="shared" si="35"/>
        <v>0</v>
      </c>
      <c r="X142" s="1225"/>
      <c r="Y142" s="1225"/>
    </row>
    <row r="143" spans="2:25" s="1221" customFormat="1" ht="13" hidden="1" outlineLevel="3">
      <c r="B143" s="1433" t="s">
        <v>3443</v>
      </c>
      <c r="C143" s="1434"/>
      <c r="D143" s="1434" t="s">
        <v>3444</v>
      </c>
      <c r="E143" s="1431" t="s">
        <v>3445</v>
      </c>
      <c r="F143" s="1425" t="s">
        <v>1671</v>
      </c>
      <c r="G143" s="1431" t="s">
        <v>4130</v>
      </c>
      <c r="H143" s="1447">
        <f>VLOOKUP($D143,车位!$D:$V,12,FALSE)</f>
        <v>61.4146</v>
      </c>
      <c r="I143" s="1447">
        <v>0</v>
      </c>
      <c r="J143" s="1437">
        <f>VLOOKUP($D143,高层!$D:$V,12,FALSE)</f>
        <v>64.760925</v>
      </c>
      <c r="K143" s="1437">
        <f>VLOOKUP($D143,幼儿园!$D:$V,12,FALSE)</f>
        <v>0</v>
      </c>
      <c r="L143" s="1437">
        <f>VLOOKUP($D143,配套用房!$D:$V,12,FALSE)</f>
        <v>2.2840400000000001</v>
      </c>
      <c r="M143" s="1437">
        <f>VLOOKUP($D143,临街商业!$D:$V,12,FALSE)</f>
        <v>2.1178599999999999</v>
      </c>
      <c r="N143" s="1437">
        <f>VLOOKUP($D143,人防车位!D:U,12,FALSE)</f>
        <v>23.52365</v>
      </c>
      <c r="O143" s="1437">
        <f>VLOOKUP($D143,人才公寓销售!$D:$V,12,FALSE)</f>
        <v>0</v>
      </c>
      <c r="P143" s="1437">
        <f>VLOOKUP($D143,小高层!$D:$V,12,FALSE)</f>
        <v>88.761570000000006</v>
      </c>
      <c r="Q143" s="1437"/>
      <c r="R143" s="1172">
        <f t="shared" si="30"/>
        <v>242.86264500000001</v>
      </c>
      <c r="S143" s="1437"/>
      <c r="T143" s="1437">
        <f t="shared" si="33"/>
        <v>242.86264500000001</v>
      </c>
      <c r="U143" s="1438"/>
      <c r="V143" s="1225">
        <f t="shared" si="34"/>
        <v>-7.5495165674510645E-15</v>
      </c>
      <c r="W143" s="1225">
        <f t="shared" si="35"/>
        <v>0</v>
      </c>
      <c r="X143" s="1225"/>
      <c r="Y143" s="1225"/>
    </row>
    <row r="144" spans="2:25" s="1221" customFormat="1" ht="13" hidden="1" outlineLevel="3">
      <c r="B144" s="1433" t="s">
        <v>3446</v>
      </c>
      <c r="C144" s="1434"/>
      <c r="D144" s="1434" t="s">
        <v>3447</v>
      </c>
      <c r="E144" s="1431" t="s">
        <v>3448</v>
      </c>
      <c r="F144" s="1425" t="s">
        <v>3422</v>
      </c>
      <c r="G144" s="1431" t="s">
        <v>4126</v>
      </c>
      <c r="H144" s="1447">
        <f>VLOOKUP($D144,车位!$D:$V,12,FALSE)</f>
        <v>17.196088</v>
      </c>
      <c r="I144" s="1447">
        <v>0</v>
      </c>
      <c r="J144" s="1437">
        <f>VLOOKUP($D144,高层!$D:$V,12,FALSE)</f>
        <v>30.221765000000001</v>
      </c>
      <c r="K144" s="1437">
        <f>VLOOKUP($D144,幼儿园!$D:$V,12,FALSE)</f>
        <v>0</v>
      </c>
      <c r="L144" s="1437">
        <f>VLOOKUP($D144,配套用房!$D:$V,12,FALSE)</f>
        <v>1.14202</v>
      </c>
      <c r="M144" s="1437">
        <f>VLOOKUP($D144,临街商业!$D:$V,12,FALSE)</f>
        <v>1.0589299999999999</v>
      </c>
      <c r="N144" s="1437">
        <f>VLOOKUP($D144,人防车位!D:U,12,FALSE)</f>
        <v>6.5866220000000002</v>
      </c>
      <c r="O144" s="1437">
        <f>VLOOKUP($D144,人才公寓销售!$D:$V,12,FALSE)</f>
        <v>0</v>
      </c>
      <c r="P144" s="1437">
        <f>VLOOKUP($D144,小高层!$D:$V,12,FALSE)</f>
        <v>41.422066000000001</v>
      </c>
      <c r="Q144" s="1437"/>
      <c r="R144" s="1172">
        <f t="shared" si="30"/>
        <v>97.627490999999992</v>
      </c>
      <c r="S144" s="1437"/>
      <c r="T144" s="1437">
        <f t="shared" si="33"/>
        <v>97.627490999999992</v>
      </c>
      <c r="U144" s="1438"/>
      <c r="V144" s="1225">
        <f t="shared" si="34"/>
        <v>1.0436096431476471E-14</v>
      </c>
      <c r="W144" s="1225">
        <f t="shared" si="35"/>
        <v>0</v>
      </c>
      <c r="X144" s="1225"/>
      <c r="Y144" s="1225"/>
    </row>
    <row r="145" spans="2:25" s="1221" customFormat="1" ht="13" hidden="1" outlineLevel="3">
      <c r="B145" s="1433" t="s">
        <v>3449</v>
      </c>
      <c r="C145" s="1434"/>
      <c r="D145" s="1434" t="s">
        <v>3450</v>
      </c>
      <c r="E145" s="1431" t="s">
        <v>3451</v>
      </c>
      <c r="F145" s="1425" t="s">
        <v>1307</v>
      </c>
      <c r="G145" s="1431" t="s">
        <v>4131</v>
      </c>
      <c r="H145" s="1447">
        <f>VLOOKUP($D145,车位!$D:$V,12,FALSE)</f>
        <v>0</v>
      </c>
      <c r="I145" s="1447">
        <v>0</v>
      </c>
      <c r="J145" s="1437">
        <f>VLOOKUP($D145,高层!$D:$V,12,FALSE)</f>
        <v>0</v>
      </c>
      <c r="K145" s="1437">
        <f>VLOOKUP($D145,幼儿园!$D:$V,12,FALSE)</f>
        <v>0</v>
      </c>
      <c r="L145" s="1437">
        <f>VLOOKUP($D145,配套用房!$D:$V,12,FALSE)</f>
        <v>0</v>
      </c>
      <c r="M145" s="1437">
        <f>VLOOKUP($D145,临街商业!$D:$V,12,FALSE)</f>
        <v>0</v>
      </c>
      <c r="N145" s="1437">
        <f>VLOOKUP($D145,人防车位!D:U,12,FALSE)</f>
        <v>0</v>
      </c>
      <c r="O145" s="1437">
        <f>VLOOKUP($D145,人才公寓销售!$D:$V,12,FALSE)</f>
        <v>0</v>
      </c>
      <c r="P145" s="1437">
        <f>VLOOKUP($D145,小高层!$D:$V,12,FALSE)</f>
        <v>0</v>
      </c>
      <c r="Q145" s="1437"/>
      <c r="R145" s="1172">
        <f t="shared" si="30"/>
        <v>0</v>
      </c>
      <c r="S145" s="1437"/>
      <c r="T145" s="1437">
        <f t="shared" si="33"/>
        <v>0</v>
      </c>
      <c r="U145" s="1438"/>
      <c r="V145" s="1225">
        <f t="shared" si="34"/>
        <v>0</v>
      </c>
      <c r="W145" s="1225">
        <f t="shared" si="35"/>
        <v>0</v>
      </c>
      <c r="X145" s="1225"/>
      <c r="Y145" s="1225"/>
    </row>
    <row r="146" spans="2:25" s="1221" customFormat="1" ht="13" hidden="1" outlineLevel="3">
      <c r="B146" s="1433" t="s">
        <v>3452</v>
      </c>
      <c r="C146" s="1434"/>
      <c r="D146" s="1434" t="s">
        <v>3453</v>
      </c>
      <c r="E146" s="1431" t="s">
        <v>3454</v>
      </c>
      <c r="F146" s="1425" t="s">
        <v>1329</v>
      </c>
      <c r="G146" s="1431" t="s">
        <v>4132</v>
      </c>
      <c r="H146" s="1447">
        <f>VLOOKUP($D146,车位!$D:$V,12,FALSE)</f>
        <v>24.565840000000001</v>
      </c>
      <c r="I146" s="1447">
        <v>0</v>
      </c>
      <c r="J146" s="1437">
        <f>VLOOKUP($D146,高层!$D:$V,12,FALSE)</f>
        <v>15.154056000000001</v>
      </c>
      <c r="K146" s="1437">
        <f>VLOOKUP($D146,幼儿园!$D:$V,12,FALSE)</f>
        <v>0</v>
      </c>
      <c r="L146" s="1437">
        <f>VLOOKUP($D146,配套用房!$D:$V,12,FALSE)</f>
        <v>0.40084900000000001</v>
      </c>
      <c r="M146" s="1437">
        <f>VLOOKUP($D146,临街商业!$D:$V,12,FALSE)</f>
        <v>0.37168400000000001</v>
      </c>
      <c r="N146" s="1437">
        <f>VLOOKUP($D146,人防车位!D:U,12,FALSE)</f>
        <v>9.4094599999999993</v>
      </c>
      <c r="O146" s="1437">
        <f>VLOOKUP($D146,人才公寓销售!$D:$V,12,FALSE)</f>
        <v>0</v>
      </c>
      <c r="P146" s="1437">
        <f>VLOOKUP($D146,小高层!$D:$V,12,FALSE)</f>
        <v>20.770206999999999</v>
      </c>
      <c r="Q146" s="1437"/>
      <c r="R146" s="1172">
        <f t="shared" si="30"/>
        <v>70.67209600000001</v>
      </c>
      <c r="S146" s="1437"/>
      <c r="T146" s="1437">
        <f t="shared" si="33"/>
        <v>70.67209600000001</v>
      </c>
      <c r="U146" s="1438"/>
      <c r="V146" s="1225">
        <f t="shared" si="34"/>
        <v>-1.8873791418627661E-15</v>
      </c>
      <c r="W146" s="1225">
        <f t="shared" si="35"/>
        <v>0</v>
      </c>
      <c r="X146" s="1225"/>
      <c r="Y146" s="1225"/>
    </row>
    <row r="147" spans="2:25" s="1221" customFormat="1" ht="13" hidden="1" outlineLevel="3">
      <c r="B147" s="1433" t="s">
        <v>3455</v>
      </c>
      <c r="C147" s="1434"/>
      <c r="D147" s="1434" t="s">
        <v>3456</v>
      </c>
      <c r="E147" s="1431" t="s">
        <v>3457</v>
      </c>
      <c r="F147" s="1425" t="s">
        <v>3342</v>
      </c>
      <c r="G147" s="1431" t="s">
        <v>4116</v>
      </c>
      <c r="H147" s="1447">
        <f>VLOOKUP($D147,车位!$D:$V,12,FALSE)</f>
        <v>0</v>
      </c>
      <c r="I147" s="1447">
        <v>0</v>
      </c>
      <c r="J147" s="1437">
        <f>VLOOKUP($D147,高层!$D:$V,12,FALSE)</f>
        <v>25.6</v>
      </c>
      <c r="K147" s="1437">
        <f>VLOOKUP($D147,幼儿园!$D:$V,12,FALSE)</f>
        <v>0</v>
      </c>
      <c r="L147" s="1437">
        <f>VLOOKUP($D147,配套用房!$D:$V,12,FALSE)</f>
        <v>1.3320000000000001</v>
      </c>
      <c r="M147" s="1437">
        <f>VLOOKUP($D147,临街商业!$D:$V,12,FALSE)</f>
        <v>1.3320000000000001</v>
      </c>
      <c r="N147" s="1437">
        <f>VLOOKUP($D147,人防车位!D:U,12,FALSE)</f>
        <v>0</v>
      </c>
      <c r="O147" s="1437">
        <f>VLOOKUP($D147,人才公寓销售!$D:$V,12,FALSE)</f>
        <v>0</v>
      </c>
      <c r="P147" s="1437">
        <f>VLOOKUP($D147,小高层!$D:$V,12,FALSE)</f>
        <v>64</v>
      </c>
      <c r="Q147" s="1437"/>
      <c r="R147" s="1172">
        <f t="shared" si="30"/>
        <v>92.26400000000001</v>
      </c>
      <c r="S147" s="1437"/>
      <c r="T147" s="1437">
        <f t="shared" si="33"/>
        <v>92.26400000000001</v>
      </c>
      <c r="U147" s="1438"/>
      <c r="V147" s="1225">
        <f t="shared" si="34"/>
        <v>-7.7715611723760958E-15</v>
      </c>
      <c r="W147" s="1225">
        <f t="shared" si="35"/>
        <v>0</v>
      </c>
      <c r="X147" s="1225"/>
      <c r="Y147" s="1225"/>
    </row>
    <row r="148" spans="2:25" s="1221" customFormat="1" ht="13" hidden="1" outlineLevel="3">
      <c r="B148" s="1433" t="s">
        <v>3458</v>
      </c>
      <c r="C148" s="1434"/>
      <c r="D148" s="1434" t="s">
        <v>3459</v>
      </c>
      <c r="E148" s="1431" t="s">
        <v>3460</v>
      </c>
      <c r="F148" s="1425" t="s">
        <v>3342</v>
      </c>
      <c r="G148" s="1431" t="s">
        <v>4116</v>
      </c>
      <c r="H148" s="1447">
        <f>VLOOKUP($D148,车位!$D:$V,12,FALSE)</f>
        <v>7.3697520000000001</v>
      </c>
      <c r="I148" s="1447">
        <v>0</v>
      </c>
      <c r="J148" s="1437">
        <f>VLOOKUP($D148,高层!$D:$V,12,FALSE)</f>
        <v>34.539160000000003</v>
      </c>
      <c r="K148" s="1437">
        <f>VLOOKUP($D148,幼儿园!$D:$V,12,FALSE)</f>
        <v>0</v>
      </c>
      <c r="L148" s="1437">
        <f>VLOOKUP($D148,配套用房!$D:$V,12,FALSE)</f>
        <v>0.34260600000000002</v>
      </c>
      <c r="M148" s="1437">
        <f>VLOOKUP($D148,临街商业!$D:$V,12,FALSE)</f>
        <v>0.31767899999999999</v>
      </c>
      <c r="N148" s="1437">
        <f>VLOOKUP($D148,人防车位!D:U,12,FALSE)</f>
        <v>2.822838</v>
      </c>
      <c r="O148" s="1437">
        <f>VLOOKUP($D148,人才公寓销售!$D:$V,12,FALSE)</f>
        <v>0</v>
      </c>
      <c r="P148" s="1437">
        <f>VLOOKUP($D148,小高层!$D:$V,12,FALSE)</f>
        <v>47.339503999999998</v>
      </c>
      <c r="Q148" s="1437"/>
      <c r="R148" s="1172">
        <f t="shared" si="30"/>
        <v>92.731538999999998</v>
      </c>
      <c r="S148" s="1437"/>
      <c r="T148" s="1437">
        <f t="shared" si="33"/>
        <v>92.731538999999998</v>
      </c>
      <c r="U148" s="1438"/>
      <c r="V148" s="1225">
        <f t="shared" si="34"/>
        <v>1.7208456881689926E-15</v>
      </c>
      <c r="W148" s="1225">
        <f t="shared" si="35"/>
        <v>0</v>
      </c>
      <c r="X148" s="1225"/>
      <c r="Y148" s="1225"/>
    </row>
    <row r="149" spans="2:25" s="1247" customFormat="1" ht="13" hidden="1" outlineLevel="2">
      <c r="B149" s="1422" t="s">
        <v>3461</v>
      </c>
      <c r="C149" s="1423"/>
      <c r="D149" s="1423" t="s">
        <v>667</v>
      </c>
      <c r="E149" s="1431"/>
      <c r="F149" s="1425"/>
      <c r="G149" s="1431" t="s">
        <v>4117</v>
      </c>
      <c r="H149" s="1446">
        <f>SUBTOTAL(9,H150:H151)</f>
        <v>0</v>
      </c>
      <c r="I149" s="1446">
        <f t="shared" ref="I149:T149" si="36">SUBTOTAL(9,I150:I151)</f>
        <v>0</v>
      </c>
      <c r="J149" s="1427">
        <f t="shared" si="36"/>
        <v>293.58285999999998</v>
      </c>
      <c r="K149" s="1427">
        <f t="shared" si="36"/>
        <v>0</v>
      </c>
      <c r="L149" s="1427">
        <f t="shared" si="36"/>
        <v>7.7657360000000004</v>
      </c>
      <c r="M149" s="1427">
        <f t="shared" si="36"/>
        <v>0</v>
      </c>
      <c r="N149" s="1427">
        <f t="shared" si="36"/>
        <v>0</v>
      </c>
      <c r="O149" s="1427">
        <f t="shared" si="36"/>
        <v>0</v>
      </c>
      <c r="P149" s="1427">
        <f t="shared" si="36"/>
        <v>402.385784</v>
      </c>
      <c r="Q149" s="1427">
        <f t="shared" si="36"/>
        <v>0</v>
      </c>
      <c r="R149" s="1427">
        <f t="shared" si="36"/>
        <v>703.73437999999999</v>
      </c>
      <c r="S149" s="1427">
        <f t="shared" si="36"/>
        <v>0</v>
      </c>
      <c r="T149" s="1427">
        <f t="shared" si="36"/>
        <v>703.73437999999999</v>
      </c>
      <c r="U149" s="1429"/>
      <c r="V149" s="1225">
        <f t="shared" si="34"/>
        <v>0</v>
      </c>
      <c r="W149" s="1225">
        <f t="shared" si="35"/>
        <v>0</v>
      </c>
      <c r="X149" s="1225"/>
      <c r="Y149" s="1225"/>
    </row>
    <row r="150" spans="2:25" s="1221" customFormat="1" ht="13" hidden="1" outlineLevel="3">
      <c r="B150" s="1433" t="s">
        <v>3462</v>
      </c>
      <c r="C150" s="1434"/>
      <c r="D150" s="1434" t="s">
        <v>3463</v>
      </c>
      <c r="E150" s="1431" t="s">
        <v>3464</v>
      </c>
      <c r="F150" s="1425"/>
      <c r="G150" s="1431" t="s">
        <v>4117</v>
      </c>
      <c r="H150" s="1447">
        <f>VLOOKUP($D150,车位!$D:$V,12,FALSE)</f>
        <v>0</v>
      </c>
      <c r="I150" s="1447">
        <v>0</v>
      </c>
      <c r="J150" s="1437">
        <f>VLOOKUP($D150,高层!$D:$V,12,FALSE)</f>
        <v>0</v>
      </c>
      <c r="K150" s="1437">
        <f>VLOOKUP($D150,幼儿园!$D:$V,12,FALSE)</f>
        <v>0</v>
      </c>
      <c r="L150" s="1437">
        <f>VLOOKUP($D150,配套用房!$D:$V,12,FALSE)</f>
        <v>7.7657360000000004</v>
      </c>
      <c r="M150" s="1437">
        <f>VLOOKUP($D150,临街商业!$D:$V,12,FALSE)</f>
        <v>0</v>
      </c>
      <c r="N150" s="1437">
        <f>VLOOKUP($D150,人防车位!D:U,12,FALSE)</f>
        <v>0</v>
      </c>
      <c r="O150" s="1437">
        <f>VLOOKUP($D150,人才公寓销售!$D:$V,12,FALSE)</f>
        <v>0</v>
      </c>
      <c r="P150" s="1437">
        <f>VLOOKUP($D150,小高层!$D:$V,12,FALSE)</f>
        <v>0</v>
      </c>
      <c r="Q150" s="1437"/>
      <c r="R150" s="1172">
        <f t="shared" si="30"/>
        <v>7.7657360000000004</v>
      </c>
      <c r="S150" s="1437"/>
      <c r="T150" s="1437">
        <f t="shared" si="33"/>
        <v>7.7657360000000004</v>
      </c>
      <c r="U150" s="1438"/>
      <c r="V150" s="1225">
        <f t="shared" si="34"/>
        <v>0</v>
      </c>
      <c r="W150" s="1225">
        <f t="shared" si="35"/>
        <v>0</v>
      </c>
      <c r="X150" s="1225"/>
      <c r="Y150" s="1225"/>
    </row>
    <row r="151" spans="2:25" s="1221" customFormat="1" ht="13" hidden="1" outlineLevel="3">
      <c r="B151" s="1433" t="s">
        <v>3465</v>
      </c>
      <c r="C151" s="1434"/>
      <c r="D151" s="1434" t="s">
        <v>3466</v>
      </c>
      <c r="E151" s="1431" t="s">
        <v>3467</v>
      </c>
      <c r="F151" s="1425" t="s">
        <v>1502</v>
      </c>
      <c r="G151" s="1431" t="s">
        <v>4133</v>
      </c>
      <c r="H151" s="1447">
        <f>VLOOKUP($D151,车位!$D:$V,12,FALSE)</f>
        <v>0</v>
      </c>
      <c r="I151" s="1447">
        <v>0</v>
      </c>
      <c r="J151" s="1437">
        <f>VLOOKUP($D151,高层!$D:$V,12,FALSE)</f>
        <v>293.58285999999998</v>
      </c>
      <c r="K151" s="1437">
        <f>VLOOKUP($D151,幼儿园!$D:$V,12,FALSE)</f>
        <v>0</v>
      </c>
      <c r="L151" s="1437">
        <f>VLOOKUP($D151,配套用房!$D:$V,12,FALSE)</f>
        <v>0</v>
      </c>
      <c r="M151" s="1437">
        <f>VLOOKUP($D151,临街商业!$D:$V,12,FALSE)</f>
        <v>0</v>
      </c>
      <c r="N151" s="1437">
        <f>VLOOKUP($D151,人防车位!D:U,12,FALSE)</f>
        <v>0</v>
      </c>
      <c r="O151" s="1437">
        <f>VLOOKUP($D151,人才公寓销售!$D:$V,12,FALSE)</f>
        <v>0</v>
      </c>
      <c r="P151" s="1437">
        <f>VLOOKUP($D151,小高层!$D:$V,12,FALSE)</f>
        <v>402.385784</v>
      </c>
      <c r="Q151" s="1437"/>
      <c r="R151" s="1172">
        <f t="shared" si="30"/>
        <v>695.96864400000004</v>
      </c>
      <c r="S151" s="1437"/>
      <c r="T151" s="1437">
        <f t="shared" si="33"/>
        <v>695.96864400000004</v>
      </c>
      <c r="U151" s="1438"/>
      <c r="V151" s="1225">
        <f t="shared" si="34"/>
        <v>0</v>
      </c>
      <c r="W151" s="1225">
        <f t="shared" si="35"/>
        <v>0</v>
      </c>
      <c r="X151" s="1225"/>
      <c r="Y151" s="1225"/>
    </row>
    <row r="152" spans="2:25" s="1247" customFormat="1" ht="13" hidden="1" outlineLevel="2">
      <c r="B152" s="1422" t="s">
        <v>3468</v>
      </c>
      <c r="C152" s="1423"/>
      <c r="D152" s="1423" t="s">
        <v>668</v>
      </c>
      <c r="E152" s="1431" t="s">
        <v>3469</v>
      </c>
      <c r="F152" s="1425" t="s">
        <v>3470</v>
      </c>
      <c r="G152" s="1431" t="s">
        <v>4135</v>
      </c>
      <c r="H152" s="1454">
        <f>VLOOKUP($D152,车位!$D:$V,12,FALSE)</f>
        <v>0</v>
      </c>
      <c r="I152" s="1454">
        <v>0</v>
      </c>
      <c r="J152" s="1427">
        <f>VLOOKUP($D152,高层!$D:$V,12,FALSE)</f>
        <v>128.78399999999999</v>
      </c>
      <c r="K152" s="1427">
        <f>VLOOKUP($D152,幼儿园!$D:$V,12,FALSE)</f>
        <v>0</v>
      </c>
      <c r="L152" s="1427">
        <f>VLOOKUP($D152,配套用房!$D:$V,12,FALSE)</f>
        <v>0</v>
      </c>
      <c r="M152" s="1427">
        <f>VLOOKUP($D152,临街商业!$D:$V,12,FALSE)</f>
        <v>0.33</v>
      </c>
      <c r="N152" s="1427">
        <f>VLOOKUP($D152,人防车位!D:U,12,FALSE)</f>
        <v>0</v>
      </c>
      <c r="O152" s="1427">
        <f>VLOOKUP($D152,人才公寓销售!$D:$V,12,FALSE)</f>
        <v>0</v>
      </c>
      <c r="P152" s="1427">
        <f>VLOOKUP($D152,小高层!$D:$V,12,FALSE)</f>
        <v>135.4915</v>
      </c>
      <c r="Q152" s="1427"/>
      <c r="R152" s="1172">
        <f t="shared" si="30"/>
        <v>264.60550000000001</v>
      </c>
      <c r="S152" s="1427"/>
      <c r="T152" s="1437">
        <f t="shared" si="33"/>
        <v>264.60550000000001</v>
      </c>
      <c r="U152" s="1429"/>
      <c r="V152" s="1225">
        <f t="shared" si="34"/>
        <v>-4.0911718457437019E-14</v>
      </c>
      <c r="W152" s="1225">
        <f t="shared" si="35"/>
        <v>0</v>
      </c>
      <c r="X152" s="1225"/>
      <c r="Y152" s="1225"/>
    </row>
    <row r="153" spans="2:25" s="1247" customFormat="1" ht="13" hidden="1" outlineLevel="2">
      <c r="B153" s="1422" t="s">
        <v>3471</v>
      </c>
      <c r="C153" s="1423"/>
      <c r="D153" s="1423" t="s">
        <v>3472</v>
      </c>
      <c r="E153" s="1431"/>
      <c r="F153" s="1425"/>
      <c r="G153" s="1431" t="s">
        <v>4117</v>
      </c>
      <c r="H153" s="1446">
        <f>SUBTOTAL(9,H154:H157)</f>
        <v>0</v>
      </c>
      <c r="I153" s="1446">
        <f>SUBTOTAL(9,I154:I157)</f>
        <v>0</v>
      </c>
      <c r="J153" s="1427">
        <f>SUBTOTAL(9,J154:J157)</f>
        <v>264</v>
      </c>
      <c r="K153" s="1427">
        <f t="shared" ref="K153:T153" si="37">SUBTOTAL(9,K154:K157)</f>
        <v>0</v>
      </c>
      <c r="L153" s="1427">
        <f t="shared" si="37"/>
        <v>0</v>
      </c>
      <c r="M153" s="1427">
        <f t="shared" si="37"/>
        <v>0</v>
      </c>
      <c r="N153" s="1427">
        <f t="shared" si="37"/>
        <v>0</v>
      </c>
      <c r="O153" s="1427">
        <f t="shared" si="37"/>
        <v>0</v>
      </c>
      <c r="P153" s="1427">
        <f t="shared" si="37"/>
        <v>414</v>
      </c>
      <c r="Q153" s="1427">
        <f t="shared" si="37"/>
        <v>0</v>
      </c>
      <c r="R153" s="1427">
        <f t="shared" si="37"/>
        <v>678</v>
      </c>
      <c r="S153" s="1427">
        <f t="shared" si="37"/>
        <v>0</v>
      </c>
      <c r="T153" s="1427">
        <f t="shared" si="37"/>
        <v>678</v>
      </c>
      <c r="U153" s="1429"/>
      <c r="V153" s="1225">
        <f t="shared" si="34"/>
        <v>0</v>
      </c>
      <c r="W153" s="1225">
        <f t="shared" si="35"/>
        <v>0</v>
      </c>
      <c r="X153" s="1225"/>
      <c r="Y153" s="1225"/>
    </row>
    <row r="154" spans="2:25" s="1221" customFormat="1" ht="13" hidden="1" outlineLevel="3">
      <c r="B154" s="1433" t="s">
        <v>3473</v>
      </c>
      <c r="C154" s="1434"/>
      <c r="D154" s="1434" t="s">
        <v>3474</v>
      </c>
      <c r="E154" s="1431" t="s">
        <v>3475</v>
      </c>
      <c r="F154" s="1425" t="s">
        <v>456</v>
      </c>
      <c r="G154" s="1431" t="s">
        <v>4136</v>
      </c>
      <c r="H154" s="1447">
        <f>VLOOKUP($D154,车位!$D:$V,12,FALSE)</f>
        <v>0</v>
      </c>
      <c r="I154" s="1447">
        <v>0</v>
      </c>
      <c r="J154" s="1437">
        <f>VLOOKUP($D154,高层!$D:$V,12,FALSE)</f>
        <v>186</v>
      </c>
      <c r="K154" s="1437">
        <f>VLOOKUP($D154,幼儿园!$D:$V,12,FALSE)</f>
        <v>0</v>
      </c>
      <c r="L154" s="1437">
        <f>VLOOKUP($D154,配套用房!$D:$V,12,FALSE)</f>
        <v>0</v>
      </c>
      <c r="M154" s="1437">
        <f>VLOOKUP($D154,临街商业!$D:$V,12,FALSE)</f>
        <v>0</v>
      </c>
      <c r="N154" s="1437">
        <f>VLOOKUP($D154,人防车位!D:U,12,FALSE)</f>
        <v>0</v>
      </c>
      <c r="O154" s="1437">
        <f>VLOOKUP($D154,人才公寓销售!$D:$V,12,FALSE)</f>
        <v>0</v>
      </c>
      <c r="P154" s="1437">
        <f>VLOOKUP($D154,小高层!$D:$V,12,FALSE)</f>
        <v>299</v>
      </c>
      <c r="Q154" s="1437"/>
      <c r="R154" s="1172">
        <f t="shared" si="30"/>
        <v>485</v>
      </c>
      <c r="S154" s="1437"/>
      <c r="T154" s="1437">
        <f t="shared" si="33"/>
        <v>485</v>
      </c>
      <c r="U154" s="1438"/>
      <c r="V154" s="1225">
        <f t="shared" si="34"/>
        <v>0</v>
      </c>
      <c r="W154" s="1225">
        <f t="shared" si="35"/>
        <v>0</v>
      </c>
      <c r="X154" s="1225"/>
      <c r="Y154" s="1225"/>
    </row>
    <row r="155" spans="2:25" s="1221" customFormat="1" ht="13" hidden="1" outlineLevel="3">
      <c r="B155" s="1433" t="s">
        <v>3476</v>
      </c>
      <c r="C155" s="1434"/>
      <c r="D155" s="1434" t="s">
        <v>3477</v>
      </c>
      <c r="E155" s="1431" t="s">
        <v>3478</v>
      </c>
      <c r="F155" s="1425" t="s">
        <v>460</v>
      </c>
      <c r="G155" s="1431" t="s">
        <v>4137</v>
      </c>
      <c r="H155" s="1447">
        <f>VLOOKUP($D155,车位!$D:$V,12,FALSE)</f>
        <v>0</v>
      </c>
      <c r="I155" s="1447">
        <v>0</v>
      </c>
      <c r="J155" s="1437">
        <f>VLOOKUP($D155,高层!$D:$V,12,FALSE)</f>
        <v>78</v>
      </c>
      <c r="K155" s="1437">
        <f>VLOOKUP($D155,幼儿园!$D:$V,12,FALSE)</f>
        <v>0</v>
      </c>
      <c r="L155" s="1437">
        <f>VLOOKUP($D155,配套用房!$D:$V,12,FALSE)</f>
        <v>0</v>
      </c>
      <c r="M155" s="1437">
        <f>VLOOKUP($D155,临街商业!$D:$V,12,FALSE)</f>
        <v>0</v>
      </c>
      <c r="N155" s="1437">
        <f>VLOOKUP($D155,人防车位!D:U,12,FALSE)</f>
        <v>0</v>
      </c>
      <c r="O155" s="1437">
        <f>VLOOKUP($D155,人才公寓销售!$D:$V,12,FALSE)</f>
        <v>0</v>
      </c>
      <c r="P155" s="1437">
        <f>VLOOKUP($D155,小高层!$D:$V,12,FALSE)</f>
        <v>115</v>
      </c>
      <c r="Q155" s="1437"/>
      <c r="R155" s="1172">
        <f t="shared" si="30"/>
        <v>193</v>
      </c>
      <c r="S155" s="1437"/>
      <c r="T155" s="1437">
        <f t="shared" si="33"/>
        <v>193</v>
      </c>
      <c r="U155" s="1438"/>
      <c r="V155" s="1225">
        <f t="shared" si="34"/>
        <v>0</v>
      </c>
      <c r="W155" s="1225">
        <f t="shared" si="35"/>
        <v>0</v>
      </c>
      <c r="X155" s="1225"/>
      <c r="Y155" s="1225"/>
    </row>
    <row r="156" spans="2:25" s="1221" customFormat="1" ht="13" hidden="1" outlineLevel="3">
      <c r="B156" s="1433" t="s">
        <v>3479</v>
      </c>
      <c r="C156" s="1434"/>
      <c r="D156" s="1434" t="s">
        <v>3480</v>
      </c>
      <c r="E156" s="1431" t="s">
        <v>3481</v>
      </c>
      <c r="F156" s="1425" t="s">
        <v>456</v>
      </c>
      <c r="G156" s="1431" t="s">
        <v>4136</v>
      </c>
      <c r="H156" s="1447">
        <f>VLOOKUP($D156,车位!$D:$V,12,FALSE)</f>
        <v>0</v>
      </c>
      <c r="I156" s="1447">
        <v>0</v>
      </c>
      <c r="J156" s="1437">
        <f>VLOOKUP($D156,高层!$D:$V,12,FALSE)</f>
        <v>0</v>
      </c>
      <c r="K156" s="1437">
        <f>VLOOKUP($D156,幼儿园!$D:$V,12,FALSE)</f>
        <v>0</v>
      </c>
      <c r="L156" s="1437">
        <f>VLOOKUP($D156,配套用房!$D:$V,12,FALSE)</f>
        <v>0</v>
      </c>
      <c r="M156" s="1437">
        <f>VLOOKUP($D156,临街商业!$D:$V,12,FALSE)</f>
        <v>0</v>
      </c>
      <c r="N156" s="1437">
        <f>VLOOKUP($D156,人防车位!D:U,12,FALSE)</f>
        <v>0</v>
      </c>
      <c r="O156" s="1437">
        <f>VLOOKUP($D156,人才公寓销售!$D:$V,12,FALSE)</f>
        <v>0</v>
      </c>
      <c r="P156" s="1437">
        <f>VLOOKUP($D156,小高层!$D:$V,12,FALSE)</f>
        <v>0</v>
      </c>
      <c r="Q156" s="1437"/>
      <c r="R156" s="1172">
        <f t="shared" si="30"/>
        <v>0</v>
      </c>
      <c r="S156" s="1437"/>
      <c r="T156" s="1437">
        <f t="shared" si="33"/>
        <v>0</v>
      </c>
      <c r="U156" s="1438"/>
      <c r="V156" s="1225">
        <f t="shared" si="34"/>
        <v>0</v>
      </c>
      <c r="W156" s="1225">
        <f t="shared" si="35"/>
        <v>0</v>
      </c>
      <c r="X156" s="1225"/>
      <c r="Y156" s="1225"/>
    </row>
    <row r="157" spans="2:25" s="1221" customFormat="1" ht="13" hidden="1" outlineLevel="3">
      <c r="B157" s="1433" t="s">
        <v>3482</v>
      </c>
      <c r="C157" s="1434"/>
      <c r="D157" s="1434" t="s">
        <v>1682</v>
      </c>
      <c r="E157" s="1431" t="s">
        <v>3483</v>
      </c>
      <c r="F157" s="1425" t="s">
        <v>460</v>
      </c>
      <c r="G157" s="1431" t="s">
        <v>4137</v>
      </c>
      <c r="H157" s="1447">
        <f>VLOOKUP($D157,车位!$D:$V,12,FALSE)</f>
        <v>0</v>
      </c>
      <c r="I157" s="1447">
        <v>0</v>
      </c>
      <c r="J157" s="1437">
        <f>VLOOKUP($D157,高层!$D:$V,12,FALSE)</f>
        <v>0</v>
      </c>
      <c r="K157" s="1437">
        <f>VLOOKUP($D157,幼儿园!$D:$V,12,FALSE)</f>
        <v>0</v>
      </c>
      <c r="L157" s="1437">
        <f>VLOOKUP($D157,配套用房!$D:$V,12,FALSE)</f>
        <v>0</v>
      </c>
      <c r="M157" s="1437">
        <f>VLOOKUP($D157,临街商业!$D:$V,12,FALSE)</f>
        <v>0</v>
      </c>
      <c r="N157" s="1437">
        <f>VLOOKUP($D157,人防车位!D:U,12,FALSE)</f>
        <v>0</v>
      </c>
      <c r="O157" s="1437">
        <f>VLOOKUP($D157,人才公寓销售!$D:$V,12,FALSE)</f>
        <v>0</v>
      </c>
      <c r="P157" s="1437">
        <f>VLOOKUP($D157,小高层!$D:$V,12,FALSE)</f>
        <v>0</v>
      </c>
      <c r="Q157" s="1437"/>
      <c r="R157" s="1172">
        <f t="shared" si="30"/>
        <v>0</v>
      </c>
      <c r="S157" s="1437"/>
      <c r="T157" s="1437">
        <f t="shared" si="33"/>
        <v>0</v>
      </c>
      <c r="U157" s="1438"/>
      <c r="V157" s="1225">
        <f t="shared" si="34"/>
        <v>0</v>
      </c>
      <c r="W157" s="1225">
        <f t="shared" si="35"/>
        <v>0</v>
      </c>
      <c r="X157" s="1225"/>
      <c r="Y157" s="1225"/>
    </row>
    <row r="158" spans="2:25" s="1247" customFormat="1" ht="13" hidden="1" outlineLevel="2">
      <c r="B158" s="1422" t="s">
        <v>3484</v>
      </c>
      <c r="C158" s="1423"/>
      <c r="D158" s="1423" t="s">
        <v>3485</v>
      </c>
      <c r="E158" s="1431"/>
      <c r="F158" s="1425"/>
      <c r="G158" s="1431" t="s">
        <v>4117</v>
      </c>
      <c r="H158" s="1446">
        <f>SUBTOTAL(9,H159:H167)</f>
        <v>343.92175999999995</v>
      </c>
      <c r="I158" s="1446">
        <f t="shared" ref="I158:T158" si="38">SUBTOTAL(9,I159:I167)</f>
        <v>0</v>
      </c>
      <c r="J158" s="1427">
        <f t="shared" si="38"/>
        <v>222.34584299999997</v>
      </c>
      <c r="K158" s="1427">
        <f t="shared" si="38"/>
        <v>0</v>
      </c>
      <c r="L158" s="1427">
        <f t="shared" si="38"/>
        <v>10.278180000000001</v>
      </c>
      <c r="M158" s="1427">
        <f t="shared" si="38"/>
        <v>9.0009049999999995</v>
      </c>
      <c r="N158" s="1427">
        <f t="shared" si="38"/>
        <v>160.43129299999995</v>
      </c>
      <c r="O158" s="1427">
        <f t="shared" si="38"/>
        <v>0</v>
      </c>
      <c r="P158" s="1427">
        <f t="shared" si="38"/>
        <v>304.74805699999996</v>
      </c>
      <c r="Q158" s="1427">
        <f t="shared" si="38"/>
        <v>0</v>
      </c>
      <c r="R158" s="1427">
        <f t="shared" si="38"/>
        <v>1050.726038</v>
      </c>
      <c r="S158" s="1427">
        <f t="shared" si="38"/>
        <v>0</v>
      </c>
      <c r="T158" s="1427">
        <f t="shared" si="38"/>
        <v>1050.726038</v>
      </c>
      <c r="U158" s="1429"/>
      <c r="V158" s="1225">
        <f t="shared" si="34"/>
        <v>-1.0302869668521453E-13</v>
      </c>
      <c r="W158" s="1225">
        <f t="shared" si="35"/>
        <v>0</v>
      </c>
      <c r="X158" s="1225"/>
      <c r="Y158" s="1225"/>
    </row>
    <row r="159" spans="2:25" s="1221" customFormat="1" ht="13" hidden="1" outlineLevel="3">
      <c r="B159" s="1433" t="s">
        <v>3486</v>
      </c>
      <c r="C159" s="1434"/>
      <c r="D159" s="1434" t="s">
        <v>3487</v>
      </c>
      <c r="E159" s="1431" t="s">
        <v>3488</v>
      </c>
      <c r="F159" s="1425" t="s">
        <v>455</v>
      </c>
      <c r="G159" s="1431" t="s">
        <v>4128</v>
      </c>
      <c r="H159" s="1447">
        <f>VLOOKUP($D159,车位!$D:$V,12,FALSE)</f>
        <v>180.55892399999999</v>
      </c>
      <c r="I159" s="1447">
        <v>0</v>
      </c>
      <c r="J159" s="1437">
        <f>VLOOKUP($D159,高层!$D:$V,12,FALSE)</f>
        <v>60.443530000000003</v>
      </c>
      <c r="K159" s="1437">
        <f>VLOOKUP($D159,幼儿园!$D:$V,12,FALSE)</f>
        <v>0</v>
      </c>
      <c r="L159" s="1437">
        <f>VLOOKUP($D159,配套用房!$D:$V,12,FALSE)</f>
        <v>2.8550499999999999</v>
      </c>
      <c r="M159" s="1437">
        <f>VLOOKUP($D159,临街商业!$D:$V,12,FALSE)</f>
        <v>2.1178599999999999</v>
      </c>
      <c r="N159" s="1437">
        <f>VLOOKUP($D159,人防车位!D:U,12,FALSE)</f>
        <v>69.159531000000001</v>
      </c>
      <c r="O159" s="1437">
        <f>VLOOKUP($D159,人才公寓销售!$D:$V,12,FALSE)</f>
        <v>0</v>
      </c>
      <c r="P159" s="1437">
        <f>VLOOKUP($D159,小高层!$D:$V,12,FALSE)</f>
        <v>82.844132000000002</v>
      </c>
      <c r="Q159" s="1437"/>
      <c r="R159" s="1172">
        <f t="shared" si="30"/>
        <v>397.97902700000003</v>
      </c>
      <c r="S159" s="1437"/>
      <c r="T159" s="1437">
        <f t="shared" si="33"/>
        <v>397.97902700000003</v>
      </c>
      <c r="U159" s="1438"/>
      <c r="V159" s="1225">
        <f t="shared" si="34"/>
        <v>-7.5495165674510645E-15</v>
      </c>
      <c r="W159" s="1225">
        <f t="shared" si="35"/>
        <v>0</v>
      </c>
      <c r="X159" s="1225"/>
      <c r="Y159" s="1225"/>
    </row>
    <row r="160" spans="2:25" s="1221" customFormat="1" ht="13" hidden="1" outlineLevel="3">
      <c r="B160" s="1433" t="s">
        <v>3489</v>
      </c>
      <c r="C160" s="1434"/>
      <c r="D160" s="1434" t="s">
        <v>3490</v>
      </c>
      <c r="E160" s="1431" t="s">
        <v>3491</v>
      </c>
      <c r="F160" s="1425" t="s">
        <v>455</v>
      </c>
      <c r="G160" s="1431" t="s">
        <v>4128</v>
      </c>
      <c r="H160" s="1447">
        <f>VLOOKUP($D160,车位!$D:$V,12,FALSE)</f>
        <v>147.39503999999999</v>
      </c>
      <c r="I160" s="1447">
        <v>0</v>
      </c>
      <c r="J160" s="1437">
        <f>VLOOKUP($D160,高层!$D:$V,12,FALSE)</f>
        <v>107.93487499999999</v>
      </c>
      <c r="K160" s="1437">
        <f>VLOOKUP($D160,幼儿园!$D:$V,12,FALSE)</f>
        <v>0</v>
      </c>
      <c r="L160" s="1437">
        <f>VLOOKUP($D160,配套用房!$D:$V,12,FALSE)</f>
        <v>4.5680800000000001</v>
      </c>
      <c r="M160" s="1437">
        <f>VLOOKUP($D160,临街商业!$D:$V,12,FALSE)</f>
        <v>4.2357199999999997</v>
      </c>
      <c r="N160" s="1437">
        <f>VLOOKUP($D160,人防车位!D:U,12,FALSE)</f>
        <v>85.155612999999988</v>
      </c>
      <c r="O160" s="1437">
        <f>VLOOKUP($D160,人才公寓销售!$D:$V,12,FALSE)</f>
        <v>0</v>
      </c>
      <c r="P160" s="1437">
        <f>VLOOKUP($D160,小高层!$D:$V,12,FALSE)</f>
        <v>147.93594999999999</v>
      </c>
      <c r="Q160" s="1437"/>
      <c r="R160" s="1172">
        <f t="shared" si="30"/>
        <v>497.22527799999995</v>
      </c>
      <c r="S160" s="1437"/>
      <c r="T160" s="1437">
        <f t="shared" si="33"/>
        <v>497.22527799999995</v>
      </c>
      <c r="U160" s="1438"/>
      <c r="V160" s="1225">
        <f t="shared" si="34"/>
        <v>-1.5099033134902129E-14</v>
      </c>
      <c r="W160" s="1225">
        <f t="shared" si="35"/>
        <v>0</v>
      </c>
      <c r="X160" s="1225"/>
      <c r="Y160" s="1225"/>
    </row>
    <row r="161" spans="1:787" s="1221" customFormat="1" ht="13" hidden="1" outlineLevel="3">
      <c r="B161" s="1433" t="s">
        <v>3492</v>
      </c>
      <c r="C161" s="1434"/>
      <c r="D161" s="1434" t="s">
        <v>3493</v>
      </c>
      <c r="E161" s="1431" t="s">
        <v>3494</v>
      </c>
      <c r="F161" s="1425" t="s">
        <v>455</v>
      </c>
      <c r="G161" s="1431" t="s">
        <v>4128</v>
      </c>
      <c r="H161" s="1447">
        <f>VLOOKUP($D161,车位!$D:$V,12,FALSE)</f>
        <v>2.4565839999999999</v>
      </c>
      <c r="I161" s="1447">
        <v>0</v>
      </c>
      <c r="J161" s="1437">
        <f>VLOOKUP($D161,高层!$D:$V,12,FALSE)</f>
        <v>43.173949999999998</v>
      </c>
      <c r="K161" s="1437">
        <f>VLOOKUP($D161,幼儿园!$D:$V,12,FALSE)</f>
        <v>0</v>
      </c>
      <c r="L161" s="1437">
        <f>VLOOKUP($D161,配套用房!$D:$V,12,FALSE)</f>
        <v>1.7130300000000001</v>
      </c>
      <c r="M161" s="1437">
        <f>VLOOKUP($D161,临街商业!$D:$V,12,FALSE)</f>
        <v>1.588395</v>
      </c>
      <c r="N161" s="1437">
        <f>VLOOKUP($D161,人防车位!D:U,12,FALSE)</f>
        <v>0.94094599999999995</v>
      </c>
      <c r="O161" s="1437">
        <f>VLOOKUP($D161,人才公寓销售!$D:$V,12,FALSE)</f>
        <v>0</v>
      </c>
      <c r="P161" s="1437">
        <f>VLOOKUP($D161,小高层!$D:$V,12,FALSE)</f>
        <v>59.174379999999999</v>
      </c>
      <c r="Q161" s="1437"/>
      <c r="R161" s="1172">
        <f t="shared" si="30"/>
        <v>109.04728499999999</v>
      </c>
      <c r="S161" s="1437"/>
      <c r="T161" s="1437">
        <f t="shared" si="33"/>
        <v>109.04728499999999</v>
      </c>
      <c r="U161" s="1438"/>
      <c r="V161" s="1225">
        <f t="shared" si="34"/>
        <v>8.659739592076221E-15</v>
      </c>
      <c r="W161" s="1225">
        <f t="shared" si="35"/>
        <v>0</v>
      </c>
      <c r="X161" s="1225"/>
      <c r="Y161" s="1225"/>
    </row>
    <row r="162" spans="1:787" s="1221" customFormat="1" ht="13" hidden="1" outlineLevel="3">
      <c r="B162" s="1433" t="s">
        <v>3495</v>
      </c>
      <c r="C162" s="1434"/>
      <c r="D162" s="1434" t="s">
        <v>3496</v>
      </c>
      <c r="E162" s="1431" t="s">
        <v>3497</v>
      </c>
      <c r="F162" s="1425" t="s">
        <v>455</v>
      </c>
      <c r="G162" s="1431" t="s">
        <v>4128</v>
      </c>
      <c r="H162" s="1447">
        <f>VLOOKUP($D162,车位!$D:$V,12,FALSE)</f>
        <v>3.684876</v>
      </c>
      <c r="I162" s="1447">
        <v>0</v>
      </c>
      <c r="J162" s="1437">
        <f>VLOOKUP($D162,高层!$D:$V,12,FALSE)</f>
        <v>0</v>
      </c>
      <c r="K162" s="1437">
        <f>VLOOKUP($D162,幼儿园!$D:$V,12,FALSE)</f>
        <v>0</v>
      </c>
      <c r="L162" s="1437">
        <f>VLOOKUP($D162,配套用房!$D:$V,12,FALSE)</f>
        <v>0</v>
      </c>
      <c r="M162" s="1437">
        <f>VLOOKUP($D162,临街商业!$D:$V,12,FALSE)</f>
        <v>0</v>
      </c>
      <c r="N162" s="1437">
        <f>VLOOKUP($D162,人防车位!D:U,12,FALSE)</f>
        <v>1.411419</v>
      </c>
      <c r="O162" s="1437">
        <f>VLOOKUP($D162,人才公寓销售!$D:$V,12,FALSE)</f>
        <v>0</v>
      </c>
      <c r="P162" s="1437">
        <f>VLOOKUP($D162,小高层!$D:$V,12,FALSE)</f>
        <v>0</v>
      </c>
      <c r="Q162" s="1437"/>
      <c r="R162" s="1172">
        <f t="shared" si="30"/>
        <v>5.0962949999999996</v>
      </c>
      <c r="S162" s="1437"/>
      <c r="T162" s="1437">
        <f t="shared" si="33"/>
        <v>5.0962949999999996</v>
      </c>
      <c r="U162" s="1438"/>
      <c r="V162" s="1225">
        <f t="shared" si="34"/>
        <v>0</v>
      </c>
      <c r="W162" s="1225">
        <f t="shared" si="35"/>
        <v>0</v>
      </c>
      <c r="X162" s="1225"/>
      <c r="Y162" s="1225"/>
    </row>
    <row r="163" spans="1:787" s="1221" customFormat="1" ht="13" hidden="1" outlineLevel="3">
      <c r="B163" s="1433" t="s">
        <v>3498</v>
      </c>
      <c r="C163" s="1434"/>
      <c r="D163" s="1434" t="s">
        <v>3499</v>
      </c>
      <c r="E163" s="1431" t="s">
        <v>3500</v>
      </c>
      <c r="F163" s="1425" t="s">
        <v>455</v>
      </c>
      <c r="G163" s="1431" t="s">
        <v>4128</v>
      </c>
      <c r="H163" s="1447">
        <f>VLOOKUP($D163,车位!$D:$V,12,FALSE)</f>
        <v>6.1414600000000004</v>
      </c>
      <c r="I163" s="1447">
        <v>0</v>
      </c>
      <c r="J163" s="1437">
        <f>VLOOKUP($D163,高层!$D:$V,12,FALSE)</f>
        <v>10.793488</v>
      </c>
      <c r="K163" s="1437">
        <f>VLOOKUP($D163,幼儿园!$D:$V,12,FALSE)</f>
        <v>0</v>
      </c>
      <c r="L163" s="1437">
        <f>VLOOKUP($D163,配套用房!$D:$V,12,FALSE)</f>
        <v>1.14202</v>
      </c>
      <c r="M163" s="1437">
        <f>VLOOKUP($D163,临街商业!$D:$V,12,FALSE)</f>
        <v>1.0589299999999999</v>
      </c>
      <c r="N163" s="1437">
        <f>VLOOKUP($D163,人防车位!D:U,12,FALSE)</f>
        <v>2.3523649999999998</v>
      </c>
      <c r="O163" s="1437">
        <f>VLOOKUP($D163,人才公寓销售!$D:$V,12,FALSE)</f>
        <v>0</v>
      </c>
      <c r="P163" s="1437">
        <f>VLOOKUP($D163,小高层!$D:$V,12,FALSE)</f>
        <v>14.793595</v>
      </c>
      <c r="Q163" s="1437"/>
      <c r="R163" s="1172">
        <f t="shared" si="30"/>
        <v>36.281858</v>
      </c>
      <c r="S163" s="1437"/>
      <c r="T163" s="1437">
        <f t="shared" si="33"/>
        <v>36.281858</v>
      </c>
      <c r="U163" s="1438"/>
      <c r="V163" s="1225">
        <f t="shared" si="34"/>
        <v>-3.7747582837255322E-15</v>
      </c>
      <c r="W163" s="1225">
        <f t="shared" si="35"/>
        <v>0</v>
      </c>
      <c r="X163" s="1225"/>
      <c r="Y163" s="1225"/>
    </row>
    <row r="164" spans="1:787" s="1221" customFormat="1" ht="13" hidden="1" outlineLevel="3">
      <c r="B164" s="1433" t="s">
        <v>3501</v>
      </c>
      <c r="C164" s="1434"/>
      <c r="D164" s="1434" t="s">
        <v>3502</v>
      </c>
      <c r="E164" s="1431" t="s">
        <v>3503</v>
      </c>
      <c r="F164" s="1425" t="s">
        <v>455</v>
      </c>
      <c r="G164" s="1431" t="s">
        <v>4128</v>
      </c>
      <c r="H164" s="1447">
        <f>VLOOKUP($D164,车位!$D:$V,12,FALSE)</f>
        <v>0</v>
      </c>
      <c r="I164" s="1447">
        <v>0</v>
      </c>
      <c r="J164" s="1437">
        <f>VLOOKUP($D164,高层!$D:$V,12,FALSE)</f>
        <v>0</v>
      </c>
      <c r="K164" s="1437">
        <f>VLOOKUP($D164,幼儿园!$D:$V,12,FALSE)</f>
        <v>0</v>
      </c>
      <c r="L164" s="1437">
        <f>VLOOKUP($D164,配套用房!$D:$V,12,FALSE)</f>
        <v>0</v>
      </c>
      <c r="M164" s="1437">
        <f>VLOOKUP($D164,临街商业!$D:$V,12,FALSE)</f>
        <v>0</v>
      </c>
      <c r="N164" s="1437">
        <f>VLOOKUP($D164,人防车位!D:U,12,FALSE)</f>
        <v>0</v>
      </c>
      <c r="O164" s="1437">
        <f>VLOOKUP($D164,人才公寓销售!$D:$V,12,FALSE)</f>
        <v>0</v>
      </c>
      <c r="P164" s="1437">
        <f>VLOOKUP($D164,小高层!$D:$V,12,FALSE)</f>
        <v>0</v>
      </c>
      <c r="Q164" s="1437"/>
      <c r="R164" s="1172">
        <f t="shared" si="30"/>
        <v>0</v>
      </c>
      <c r="S164" s="1437"/>
      <c r="T164" s="1437">
        <f t="shared" si="33"/>
        <v>0</v>
      </c>
      <c r="U164" s="1438"/>
      <c r="V164" s="1225">
        <f t="shared" si="34"/>
        <v>0</v>
      </c>
      <c r="W164" s="1225">
        <f t="shared" si="35"/>
        <v>0</v>
      </c>
      <c r="X164" s="1225"/>
      <c r="Y164" s="1225"/>
    </row>
    <row r="165" spans="1:787" s="1221" customFormat="1" ht="13" hidden="1" outlineLevel="3">
      <c r="B165" s="1433" t="s">
        <v>3504</v>
      </c>
      <c r="C165" s="1434"/>
      <c r="D165" s="1434" t="s">
        <v>3505</v>
      </c>
      <c r="E165" s="1431" t="s">
        <v>3506</v>
      </c>
      <c r="F165" s="1425" t="s">
        <v>455</v>
      </c>
      <c r="G165" s="1431" t="s">
        <v>4128</v>
      </c>
      <c r="H165" s="1447">
        <f>VLOOKUP($D165,车位!$D:$V,12,FALSE)</f>
        <v>0</v>
      </c>
      <c r="I165" s="1447">
        <v>0</v>
      </c>
      <c r="J165" s="1437">
        <f>VLOOKUP($D165,高层!$D:$V,12,FALSE)</f>
        <v>0</v>
      </c>
      <c r="K165" s="1437">
        <f>VLOOKUP($D165,幼儿园!$D:$V,12,FALSE)</f>
        <v>0</v>
      </c>
      <c r="L165" s="1437">
        <f>VLOOKUP($D165,配套用房!$D:$V,12,FALSE)</f>
        <v>0</v>
      </c>
      <c r="M165" s="1437">
        <f>VLOOKUP($D165,临街商业!$D:$V,12,FALSE)</f>
        <v>0</v>
      </c>
      <c r="N165" s="1437">
        <f>VLOOKUP($D165,人防车位!D:U,12,FALSE)</f>
        <v>0</v>
      </c>
      <c r="O165" s="1437">
        <f>VLOOKUP($D165,人才公寓销售!$D:$V,12,FALSE)</f>
        <v>0</v>
      </c>
      <c r="P165" s="1437">
        <f>VLOOKUP($D165,小高层!$D:$V,12,FALSE)</f>
        <v>0</v>
      </c>
      <c r="Q165" s="1437"/>
      <c r="R165" s="1172">
        <f t="shared" si="30"/>
        <v>0</v>
      </c>
      <c r="S165" s="1437"/>
      <c r="T165" s="1437">
        <f t="shared" si="33"/>
        <v>0</v>
      </c>
      <c r="U165" s="1438"/>
      <c r="V165" s="1225">
        <f t="shared" si="34"/>
        <v>0</v>
      </c>
      <c r="W165" s="1225">
        <f t="shared" si="35"/>
        <v>0</v>
      </c>
      <c r="X165" s="1225"/>
      <c r="Y165" s="1225"/>
    </row>
    <row r="166" spans="1:787" s="1221" customFormat="1" ht="13" hidden="1" outlineLevel="3">
      <c r="B166" s="1433" t="s">
        <v>3507</v>
      </c>
      <c r="C166" s="1434"/>
      <c r="D166" s="1434" t="s">
        <v>3508</v>
      </c>
      <c r="E166" s="1431" t="s">
        <v>3509</v>
      </c>
      <c r="F166" s="1425" t="s">
        <v>455</v>
      </c>
      <c r="G166" s="1431" t="s">
        <v>4128</v>
      </c>
      <c r="H166" s="1447">
        <f>VLOOKUP($D166,车位!$D:$V,12,FALSE)</f>
        <v>3.684876</v>
      </c>
      <c r="I166" s="1447">
        <v>0</v>
      </c>
      <c r="J166" s="1437">
        <f>VLOOKUP($D166,高层!$D:$V,12,FALSE)</f>
        <v>0</v>
      </c>
      <c r="K166" s="1437">
        <f>VLOOKUP($D166,幼儿园!$D:$V,12,FALSE)</f>
        <v>0</v>
      </c>
      <c r="L166" s="1437">
        <f>VLOOKUP($D166,配套用房!$D:$V,12,FALSE)</f>
        <v>0</v>
      </c>
      <c r="M166" s="1437">
        <f>VLOOKUP($D166,临街商业!$D:$V,12,FALSE)</f>
        <v>0</v>
      </c>
      <c r="N166" s="1437">
        <f>VLOOKUP($D166,人防车位!D:U,12,FALSE)</f>
        <v>1.411419</v>
      </c>
      <c r="O166" s="1437">
        <f>VLOOKUP($D166,人才公寓销售!$D:$V,12,FALSE)</f>
        <v>0</v>
      </c>
      <c r="P166" s="1437">
        <f>VLOOKUP($D166,小高层!$D:$V,12,FALSE)</f>
        <v>0</v>
      </c>
      <c r="Q166" s="1437"/>
      <c r="R166" s="1172">
        <f t="shared" si="30"/>
        <v>5.0962949999999996</v>
      </c>
      <c r="S166" s="1437"/>
      <c r="T166" s="1437">
        <f t="shared" si="33"/>
        <v>5.0962949999999996</v>
      </c>
      <c r="U166" s="1438"/>
      <c r="V166" s="1225">
        <f t="shared" si="34"/>
        <v>0</v>
      </c>
      <c r="W166" s="1225">
        <f t="shared" si="35"/>
        <v>0</v>
      </c>
      <c r="X166" s="1225"/>
      <c r="Y166" s="1225"/>
    </row>
    <row r="167" spans="1:787" s="1221" customFormat="1" ht="13" hidden="1" outlineLevel="3">
      <c r="B167" s="1433" t="s">
        <v>3510</v>
      </c>
      <c r="C167" s="1434"/>
      <c r="D167" s="1434" t="s">
        <v>3511</v>
      </c>
      <c r="E167" s="1431" t="s">
        <v>3512</v>
      </c>
      <c r="F167" s="1425" t="s">
        <v>455</v>
      </c>
      <c r="G167" s="1431" t="s">
        <v>4128</v>
      </c>
      <c r="H167" s="1447">
        <f>VLOOKUP($D167,车位!$D:$V,12,FALSE)</f>
        <v>0</v>
      </c>
      <c r="I167" s="1447">
        <v>0</v>
      </c>
      <c r="J167" s="1437">
        <f>VLOOKUP($D167,高层!$D:$V,12,FALSE)</f>
        <v>0</v>
      </c>
      <c r="K167" s="1437">
        <f>VLOOKUP($D167,幼儿园!$D:$V,12,FALSE)</f>
        <v>0</v>
      </c>
      <c r="L167" s="1437">
        <f>VLOOKUP($D167,配套用房!$D:$V,12,FALSE)</f>
        <v>0</v>
      </c>
      <c r="M167" s="1437">
        <f>VLOOKUP($D167,临街商业!$D:$V,12,FALSE)</f>
        <v>0</v>
      </c>
      <c r="N167" s="1437">
        <f>VLOOKUP($D167,人防车位!D:U,12,FALSE)</f>
        <v>0</v>
      </c>
      <c r="O167" s="1437">
        <f>VLOOKUP($D167,人才公寓销售!$D:$V,12,FALSE)</f>
        <v>0</v>
      </c>
      <c r="P167" s="1437">
        <f>VLOOKUP($D167,小高层!$D:$V,12,FALSE)</f>
        <v>0</v>
      </c>
      <c r="Q167" s="1437"/>
      <c r="R167" s="1172">
        <f t="shared" si="30"/>
        <v>0</v>
      </c>
      <c r="S167" s="1437"/>
      <c r="T167" s="1437">
        <f t="shared" si="33"/>
        <v>0</v>
      </c>
      <c r="U167" s="1438"/>
      <c r="V167" s="1225">
        <f t="shared" si="34"/>
        <v>0</v>
      </c>
      <c r="W167" s="1225">
        <f t="shared" si="35"/>
        <v>0</v>
      </c>
      <c r="X167" s="1225"/>
      <c r="Y167" s="1225"/>
    </row>
    <row r="168" spans="1:787" s="1247" customFormat="1" ht="13" hidden="1" outlineLevel="2">
      <c r="B168" s="1422" t="s">
        <v>3513</v>
      </c>
      <c r="C168" s="1423"/>
      <c r="D168" s="1423" t="s">
        <v>3514</v>
      </c>
      <c r="E168" s="1431" t="s">
        <v>3515</v>
      </c>
      <c r="F168" s="1425" t="s">
        <v>455</v>
      </c>
      <c r="G168" s="1431" t="s">
        <v>4128</v>
      </c>
      <c r="H168" s="1446">
        <f>VLOOKUP($D168,车位!$D:$V,12,FALSE)</f>
        <v>98.263360000000006</v>
      </c>
      <c r="I168" s="1446">
        <v>0</v>
      </c>
      <c r="J168" s="1427">
        <f>VLOOKUP($D168,高层!$D:$V,12,FALSE)</f>
        <v>0</v>
      </c>
      <c r="K168" s="1427">
        <f>VLOOKUP($D168,幼儿园!$D:$V,12,FALSE)</f>
        <v>0</v>
      </c>
      <c r="L168" s="1427">
        <f>VLOOKUP($D168,配套用房!$D:$V,12,FALSE)</f>
        <v>1.14202</v>
      </c>
      <c r="M168" s="1427">
        <f>VLOOKUP($D168,临街商业!$D:$V,12,FALSE)</f>
        <v>1.0589299999999999</v>
      </c>
      <c r="N168" s="1427">
        <f>VLOOKUP($D168,人防车位!D:U,12,FALSE)</f>
        <v>32.933109999999999</v>
      </c>
      <c r="O168" s="1427">
        <f>VLOOKUP($D168,人才公寓销售!$D:$V,12,FALSE)</f>
        <v>0</v>
      </c>
      <c r="P168" s="1427">
        <f>VLOOKUP($D168,小高层!$D:$V,12,FALSE)</f>
        <v>0</v>
      </c>
      <c r="Q168" s="1427"/>
      <c r="R168" s="1172">
        <f t="shared" si="30"/>
        <v>133.39742000000001</v>
      </c>
      <c r="S168" s="1427"/>
      <c r="T168" s="1437">
        <f t="shared" si="33"/>
        <v>133.39742000000001</v>
      </c>
      <c r="U168" s="1429"/>
      <c r="V168" s="1225">
        <f t="shared" si="34"/>
        <v>-3.7747582837255322E-15</v>
      </c>
      <c r="W168" s="1225">
        <f t="shared" si="35"/>
        <v>0</v>
      </c>
      <c r="X168" s="1225"/>
      <c r="Y168" s="1225"/>
    </row>
    <row r="169" spans="1:787" s="1247" customFormat="1" ht="13" hidden="1" outlineLevel="2">
      <c r="B169" s="1422" t="s">
        <v>3516</v>
      </c>
      <c r="C169" s="1423"/>
      <c r="D169" s="1423" t="s">
        <v>3517</v>
      </c>
      <c r="E169" s="1431"/>
      <c r="F169" s="1425"/>
      <c r="G169" s="1431" t="s">
        <v>4117</v>
      </c>
      <c r="H169" s="1446">
        <f>SUBTOTAL(9,H170:H172)</f>
        <v>0</v>
      </c>
      <c r="I169" s="1446">
        <f>SUBTOTAL(9,I170:I172)</f>
        <v>0</v>
      </c>
      <c r="J169" s="1427">
        <f>SUBTOTAL(9,J170:J172)</f>
        <v>0</v>
      </c>
      <c r="K169" s="1427">
        <f t="shared" ref="K169:T169" si="39">SUBTOTAL(9,K170:K172)</f>
        <v>0</v>
      </c>
      <c r="L169" s="1427">
        <f t="shared" si="39"/>
        <v>0</v>
      </c>
      <c r="M169" s="1427">
        <f t="shared" si="39"/>
        <v>0</v>
      </c>
      <c r="N169" s="1427">
        <f t="shared" si="39"/>
        <v>0</v>
      </c>
      <c r="O169" s="1427">
        <f t="shared" si="39"/>
        <v>0</v>
      </c>
      <c r="P169" s="1427">
        <f t="shared" si="39"/>
        <v>0</v>
      </c>
      <c r="Q169" s="1427">
        <f t="shared" si="39"/>
        <v>0</v>
      </c>
      <c r="R169" s="1427">
        <f t="shared" si="39"/>
        <v>0</v>
      </c>
      <c r="S169" s="1427">
        <f t="shared" si="39"/>
        <v>0</v>
      </c>
      <c r="T169" s="1427">
        <f t="shared" si="39"/>
        <v>0</v>
      </c>
      <c r="U169" s="1429"/>
      <c r="V169" s="1225">
        <f t="shared" si="34"/>
        <v>0</v>
      </c>
      <c r="W169" s="1225">
        <f t="shared" si="35"/>
        <v>0</v>
      </c>
      <c r="X169" s="1225"/>
      <c r="Y169" s="1225"/>
    </row>
    <row r="170" spans="1:787" s="1221" customFormat="1" ht="13" hidden="1" outlineLevel="3">
      <c r="B170" s="1433" t="s">
        <v>3518</v>
      </c>
      <c r="C170" s="1434"/>
      <c r="D170" s="1434" t="s">
        <v>3519</v>
      </c>
      <c r="E170" s="1431" t="s">
        <v>3520</v>
      </c>
      <c r="F170" s="1425" t="s">
        <v>3521</v>
      </c>
      <c r="G170" s="1431" t="s">
        <v>4139</v>
      </c>
      <c r="H170" s="1447">
        <f>VLOOKUP($D170,车位!$D:$V,12,FALSE)</f>
        <v>0</v>
      </c>
      <c r="I170" s="1447">
        <v>0</v>
      </c>
      <c r="J170" s="1437">
        <f>VLOOKUP($D170,高层!$D:$V,12,FALSE)</f>
        <v>0</v>
      </c>
      <c r="K170" s="1437">
        <f>VLOOKUP($D170,幼儿园!$D:$V,12,FALSE)</f>
        <v>0</v>
      </c>
      <c r="L170" s="1437">
        <f>VLOOKUP($D170,配套用房!$D:$V,12,FALSE)</f>
        <v>0</v>
      </c>
      <c r="M170" s="1437">
        <f>VLOOKUP($D170,临街商业!$D:$V,12,FALSE)</f>
        <v>0</v>
      </c>
      <c r="N170" s="1437">
        <f>VLOOKUP($D170,人防车位!D:U,12,FALSE)</f>
        <v>0</v>
      </c>
      <c r="O170" s="1437">
        <f>VLOOKUP($D170,人才公寓销售!$D:$V,12,FALSE)</f>
        <v>0</v>
      </c>
      <c r="P170" s="1437">
        <f>VLOOKUP($D170,小高层!$D:$V,12,FALSE)</f>
        <v>0</v>
      </c>
      <c r="Q170" s="1437"/>
      <c r="R170" s="1172">
        <f t="shared" si="30"/>
        <v>0</v>
      </c>
      <c r="S170" s="1437"/>
      <c r="T170" s="1437">
        <f t="shared" si="33"/>
        <v>0</v>
      </c>
      <c r="U170" s="1438"/>
      <c r="V170" s="1225">
        <f t="shared" si="34"/>
        <v>0</v>
      </c>
      <c r="W170" s="1225">
        <f t="shared" si="35"/>
        <v>0</v>
      </c>
      <c r="X170" s="1225"/>
      <c r="Y170" s="1225"/>
    </row>
    <row r="171" spans="1:787" s="1221" customFormat="1" ht="13" hidden="1" outlineLevel="3">
      <c r="B171" s="1433" t="s">
        <v>3522</v>
      </c>
      <c r="C171" s="1434"/>
      <c r="D171" s="1434" t="s">
        <v>3523</v>
      </c>
      <c r="E171" s="1431" t="s">
        <v>3524</v>
      </c>
      <c r="F171" s="1425" t="s">
        <v>3521</v>
      </c>
      <c r="G171" s="1431" t="s">
        <v>4139</v>
      </c>
      <c r="H171" s="1328">
        <f>VLOOKUP($D171,车位!$D:$V,12,FALSE)</f>
        <v>0</v>
      </c>
      <c r="I171" s="1328">
        <v>0</v>
      </c>
      <c r="J171" s="1437">
        <f>VLOOKUP($D171,高层!$D:$V,12,FALSE)</f>
        <v>0</v>
      </c>
      <c r="K171" s="1437">
        <f>VLOOKUP($D171,幼儿园!$D:$V,12,FALSE)</f>
        <v>0</v>
      </c>
      <c r="L171" s="1437">
        <f>VLOOKUP($D171,配套用房!$D:$V,12,FALSE)</f>
        <v>0</v>
      </c>
      <c r="M171" s="1437">
        <f>VLOOKUP($D171,临街商业!$D:$V,12,FALSE)</f>
        <v>0</v>
      </c>
      <c r="N171" s="1437">
        <f>VLOOKUP($D171,人防车位!D:U,12,FALSE)</f>
        <v>0</v>
      </c>
      <c r="O171" s="1437">
        <f>VLOOKUP($D171,人才公寓销售!$D:$V,12,FALSE)</f>
        <v>0</v>
      </c>
      <c r="P171" s="1437">
        <f>VLOOKUP($D171,小高层!$D:$V,12,FALSE)</f>
        <v>0</v>
      </c>
      <c r="Q171" s="1437"/>
      <c r="R171" s="1172">
        <f t="shared" si="30"/>
        <v>0</v>
      </c>
      <c r="S171" s="1437"/>
      <c r="T171" s="1437">
        <f t="shared" si="33"/>
        <v>0</v>
      </c>
      <c r="U171" s="1438"/>
      <c r="V171" s="1225">
        <f t="shared" si="34"/>
        <v>0</v>
      </c>
      <c r="W171" s="1225">
        <f t="shared" si="35"/>
        <v>0</v>
      </c>
      <c r="X171" s="1225"/>
      <c r="Y171" s="1225"/>
    </row>
    <row r="172" spans="1:787" s="1221" customFormat="1" ht="13" hidden="1" outlineLevel="3">
      <c r="B172" s="1433" t="s">
        <v>3525</v>
      </c>
      <c r="C172" s="1434"/>
      <c r="D172" s="1434" t="s">
        <v>3526</v>
      </c>
      <c r="E172" s="1431" t="s">
        <v>3527</v>
      </c>
      <c r="F172" s="1425" t="s">
        <v>3521</v>
      </c>
      <c r="G172" s="1431" t="s">
        <v>4139</v>
      </c>
      <c r="H172" s="1328">
        <f>VLOOKUP($D172,车位!$D:$V,12,FALSE)</f>
        <v>0</v>
      </c>
      <c r="I172" s="1328">
        <v>0</v>
      </c>
      <c r="J172" s="1437">
        <f>VLOOKUP($D172,高层!$D:$V,12,FALSE)</f>
        <v>0</v>
      </c>
      <c r="K172" s="1437">
        <f>VLOOKUP($D172,幼儿园!$D:$V,12,FALSE)</f>
        <v>0</v>
      </c>
      <c r="L172" s="1437">
        <f>VLOOKUP($D172,配套用房!$D:$V,12,FALSE)</f>
        <v>0</v>
      </c>
      <c r="M172" s="1437">
        <f>VLOOKUP($D172,临街商业!$D:$V,12,FALSE)</f>
        <v>0</v>
      </c>
      <c r="N172" s="1437">
        <f>VLOOKUP($D172,人防车位!D:U,12,FALSE)</f>
        <v>0</v>
      </c>
      <c r="O172" s="1437">
        <f>VLOOKUP($D172,人才公寓销售!$D:$V,12,FALSE)</f>
        <v>0</v>
      </c>
      <c r="P172" s="1437">
        <f>VLOOKUP($D172,小高层!$D:$V,12,FALSE)</f>
        <v>0</v>
      </c>
      <c r="Q172" s="1437"/>
      <c r="R172" s="1172">
        <f t="shared" si="30"/>
        <v>0</v>
      </c>
      <c r="S172" s="1437"/>
      <c r="T172" s="1437">
        <f t="shared" si="33"/>
        <v>0</v>
      </c>
      <c r="U172" s="1438"/>
      <c r="V172" s="1225">
        <f t="shared" si="34"/>
        <v>0</v>
      </c>
      <c r="W172" s="1225">
        <f t="shared" si="35"/>
        <v>0</v>
      </c>
      <c r="X172" s="1225"/>
      <c r="Y172" s="1225"/>
    </row>
    <row r="173" spans="1:787" s="1247" customFormat="1" ht="13" hidden="1" outlineLevel="2">
      <c r="B173" s="1422" t="s">
        <v>3528</v>
      </c>
      <c r="C173" s="1423"/>
      <c r="D173" s="1423" t="s">
        <v>3529</v>
      </c>
      <c r="E173" s="1431" t="s">
        <v>3530</v>
      </c>
      <c r="F173" s="1425" t="s">
        <v>3531</v>
      </c>
      <c r="G173" s="1431" t="s">
        <v>4140</v>
      </c>
      <c r="H173" s="1446">
        <f>VLOOKUP($D173,车位!$D:$V,12,FALSE)</f>
        <v>0</v>
      </c>
      <c r="I173" s="1446">
        <v>0</v>
      </c>
      <c r="J173" s="1427">
        <f>VLOOKUP($D173,高层!$D:$V,12,FALSE)</f>
        <v>0</v>
      </c>
      <c r="K173" s="1427">
        <f>VLOOKUP($D173,幼儿园!$D:$V,12,FALSE)</f>
        <v>0</v>
      </c>
      <c r="L173" s="1427">
        <f>VLOOKUP($D173,配套用房!$D:$V,12,FALSE)</f>
        <v>0</v>
      </c>
      <c r="M173" s="1427">
        <f>VLOOKUP($D173,临街商业!$D:$V,12,FALSE)</f>
        <v>0</v>
      </c>
      <c r="N173" s="1427">
        <f>VLOOKUP($D173,人防车位!D:U,12,FALSE)</f>
        <v>0</v>
      </c>
      <c r="O173" s="1427">
        <f>VLOOKUP($D173,人才公寓销售!$D:$V,12,FALSE)</f>
        <v>0</v>
      </c>
      <c r="P173" s="1427">
        <f>VLOOKUP($D173,小高层!$D:$V,12,FALSE)</f>
        <v>0</v>
      </c>
      <c r="Q173" s="1427"/>
      <c r="R173" s="1172">
        <f t="shared" si="30"/>
        <v>0</v>
      </c>
      <c r="S173" s="1427"/>
      <c r="T173" s="1437">
        <f t="shared" si="33"/>
        <v>0</v>
      </c>
      <c r="U173" s="1429"/>
      <c r="V173" s="1225">
        <f t="shared" si="34"/>
        <v>0</v>
      </c>
      <c r="W173" s="1225">
        <f t="shared" si="35"/>
        <v>0</v>
      </c>
      <c r="X173" s="1225"/>
      <c r="Y173" s="1225"/>
    </row>
    <row r="174" spans="1:787" s="1421" customFormat="1" ht="13" hidden="1" outlineLevel="1">
      <c r="A174" s="1247"/>
      <c r="B174" s="1413" t="s">
        <v>492</v>
      </c>
      <c r="C174" s="1414"/>
      <c r="D174" s="1414" t="s">
        <v>493</v>
      </c>
      <c r="E174" s="1417"/>
      <c r="F174" s="1449"/>
      <c r="G174" s="1448" t="s">
        <v>4117</v>
      </c>
      <c r="H174" s="1418"/>
      <c r="I174" s="1418"/>
      <c r="J174" s="1457"/>
      <c r="K174" s="1457"/>
      <c r="L174" s="1457"/>
      <c r="M174" s="1457"/>
      <c r="N174" s="1457"/>
      <c r="O174" s="1457"/>
      <c r="P174" s="1457"/>
      <c r="Q174" s="1419">
        <f>SUBTOTAL(9,Q175:Q194)</f>
        <v>3822.045893</v>
      </c>
      <c r="R174" s="1419">
        <f>SUBTOTAL(9,R175:R194)</f>
        <v>3822.045893</v>
      </c>
      <c r="S174" s="1419">
        <f>SUBTOTAL(9,S175:S194)</f>
        <v>0</v>
      </c>
      <c r="T174" s="1419">
        <f>SUBTOTAL(9,T175:T194)</f>
        <v>3822.045893</v>
      </c>
      <c r="U174" s="1443"/>
      <c r="V174" s="1225">
        <f t="shared" si="34"/>
        <v>0</v>
      </c>
      <c r="W174" s="1225">
        <f t="shared" si="35"/>
        <v>0</v>
      </c>
      <c r="X174" s="1225"/>
      <c r="Y174" s="1225"/>
      <c r="Z174" s="1247"/>
      <c r="AA174" s="1247"/>
      <c r="AB174" s="1247"/>
      <c r="AC174" s="1247"/>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c r="AX174" s="1247"/>
      <c r="AY174" s="1247"/>
      <c r="AZ174" s="1247"/>
      <c r="BA174" s="1247"/>
      <c r="BB174" s="1247"/>
      <c r="BC174" s="1247"/>
      <c r="BD174" s="1247"/>
      <c r="BE174" s="1247"/>
      <c r="BF174" s="1247"/>
      <c r="BG174" s="1247"/>
      <c r="BH174" s="1247"/>
      <c r="BI174" s="1247"/>
      <c r="BJ174" s="1247"/>
      <c r="BK174" s="1247"/>
      <c r="BL174" s="1247"/>
      <c r="BM174" s="1247"/>
      <c r="BN174" s="1247"/>
      <c r="BO174" s="1247"/>
      <c r="BP174" s="1247"/>
      <c r="BQ174" s="1247"/>
      <c r="BR174" s="1247"/>
      <c r="BS174" s="1247"/>
      <c r="BT174" s="1247"/>
      <c r="BU174" s="1247"/>
      <c r="BV174" s="1247"/>
      <c r="BW174" s="1247"/>
      <c r="BX174" s="1247"/>
      <c r="BY174" s="1247"/>
      <c r="BZ174" s="1247"/>
      <c r="CA174" s="1247"/>
      <c r="CB174" s="1247"/>
      <c r="CC174" s="1247"/>
      <c r="CD174" s="1247"/>
      <c r="CE174" s="1247"/>
      <c r="CF174" s="1247"/>
      <c r="CG174" s="1247"/>
      <c r="CH174" s="1247"/>
      <c r="CI174" s="1247"/>
      <c r="CJ174" s="1247"/>
      <c r="CK174" s="1247"/>
      <c r="CL174" s="1247"/>
      <c r="CM174" s="1247"/>
      <c r="CN174" s="1247"/>
      <c r="CO174" s="1247"/>
      <c r="CP174" s="1247"/>
      <c r="CQ174" s="1247"/>
      <c r="CR174" s="1247"/>
      <c r="CS174" s="1247"/>
      <c r="CT174" s="1247"/>
      <c r="CU174" s="1247"/>
      <c r="CV174" s="1247"/>
      <c r="CW174" s="1247"/>
      <c r="CX174" s="1247"/>
      <c r="CY174" s="1247"/>
      <c r="CZ174" s="1247"/>
      <c r="DA174" s="1247"/>
      <c r="DB174" s="1247"/>
      <c r="DC174" s="1247"/>
      <c r="DD174" s="1247"/>
      <c r="DE174" s="1247"/>
      <c r="DF174" s="1247"/>
      <c r="DG174" s="1247"/>
      <c r="DH174" s="1247"/>
      <c r="DI174" s="1247"/>
      <c r="DJ174" s="1247"/>
      <c r="DK174" s="1247"/>
      <c r="DL174" s="1247"/>
      <c r="DM174" s="1247"/>
      <c r="DN174" s="1247"/>
      <c r="DO174" s="1247"/>
      <c r="DP174" s="1247"/>
      <c r="DQ174" s="1247"/>
      <c r="DR174" s="1247"/>
      <c r="DS174" s="1247"/>
      <c r="DT174" s="1247"/>
      <c r="DU174" s="1247"/>
      <c r="DV174" s="1247"/>
      <c r="DW174" s="1247"/>
      <c r="DX174" s="1247"/>
      <c r="DY174" s="1247"/>
      <c r="DZ174" s="1247"/>
      <c r="EA174" s="1247"/>
      <c r="EB174" s="1247"/>
      <c r="EC174" s="1247"/>
      <c r="ED174" s="1247"/>
      <c r="EE174" s="1247"/>
      <c r="EF174" s="1247"/>
      <c r="EG174" s="1247"/>
      <c r="EH174" s="1247"/>
      <c r="EI174" s="1247"/>
      <c r="EJ174" s="1247"/>
      <c r="EK174" s="1247"/>
      <c r="EL174" s="1247"/>
      <c r="EM174" s="1247"/>
      <c r="EN174" s="1247"/>
      <c r="EO174" s="1247"/>
      <c r="EP174" s="1247"/>
      <c r="EQ174" s="1247"/>
      <c r="ER174" s="1247"/>
      <c r="ES174" s="1247"/>
      <c r="ET174" s="1247"/>
      <c r="EU174" s="1247"/>
      <c r="EV174" s="1247"/>
      <c r="EW174" s="1247"/>
      <c r="EX174" s="1247"/>
      <c r="EY174" s="1247"/>
      <c r="EZ174" s="1247"/>
      <c r="FA174" s="1247"/>
      <c r="FB174" s="1247"/>
      <c r="FC174" s="1247"/>
      <c r="FD174" s="1247"/>
      <c r="FE174" s="1247"/>
      <c r="FF174" s="1247"/>
      <c r="FG174" s="1247"/>
      <c r="FH174" s="1247"/>
      <c r="FI174" s="1247"/>
      <c r="FJ174" s="1247"/>
      <c r="FK174" s="1247"/>
      <c r="FL174" s="1247"/>
      <c r="FM174" s="1247"/>
      <c r="FN174" s="1247"/>
      <c r="FO174" s="1247"/>
      <c r="FP174" s="1247"/>
      <c r="FQ174" s="1247"/>
      <c r="FR174" s="1247"/>
      <c r="FS174" s="1247"/>
      <c r="FT174" s="1247"/>
      <c r="FU174" s="1247"/>
      <c r="FV174" s="1247"/>
      <c r="FW174" s="1247"/>
      <c r="FX174" s="1247"/>
      <c r="FY174" s="1247"/>
      <c r="FZ174" s="1247"/>
      <c r="GA174" s="1247"/>
      <c r="GB174" s="1247"/>
      <c r="GC174" s="1247"/>
      <c r="GD174" s="1247"/>
      <c r="GE174" s="1247"/>
      <c r="GF174" s="1247"/>
      <c r="GG174" s="1247"/>
      <c r="GH174" s="1247"/>
      <c r="GI174" s="1247"/>
      <c r="GJ174" s="1247"/>
      <c r="GK174" s="1247"/>
      <c r="GL174" s="1247"/>
      <c r="GM174" s="1247"/>
      <c r="GN174" s="1247"/>
      <c r="GO174" s="1247"/>
      <c r="GP174" s="1247"/>
      <c r="GQ174" s="1247"/>
      <c r="GR174" s="1247"/>
      <c r="GS174" s="1247"/>
      <c r="GT174" s="1247"/>
      <c r="GU174" s="1247"/>
      <c r="GV174" s="1247"/>
      <c r="GW174" s="1247"/>
      <c r="GX174" s="1247"/>
      <c r="GY174" s="1247"/>
      <c r="GZ174" s="1247"/>
      <c r="HA174" s="1247"/>
      <c r="HB174" s="1247"/>
      <c r="HC174" s="1247"/>
      <c r="HD174" s="1247"/>
      <c r="HE174" s="1247"/>
      <c r="HF174" s="1247"/>
      <c r="HG174" s="1247"/>
      <c r="HH174" s="1247"/>
      <c r="HI174" s="1247"/>
      <c r="HJ174" s="1247"/>
      <c r="HK174" s="1247"/>
      <c r="HL174" s="1247"/>
      <c r="HM174" s="1247"/>
      <c r="HN174" s="1247"/>
      <c r="HO174" s="1247"/>
      <c r="HP174" s="1247"/>
      <c r="HQ174" s="1247"/>
      <c r="HR174" s="1247"/>
      <c r="HS174" s="1247"/>
      <c r="HT174" s="1247"/>
      <c r="HU174" s="1247"/>
      <c r="HV174" s="1247"/>
      <c r="HW174" s="1247"/>
      <c r="HX174" s="1247"/>
      <c r="HY174" s="1247"/>
      <c r="HZ174" s="1247"/>
      <c r="IA174" s="1247"/>
      <c r="IB174" s="1247"/>
      <c r="IC174" s="1247"/>
      <c r="ID174" s="1247"/>
      <c r="IE174" s="1247"/>
      <c r="IF174" s="1247"/>
      <c r="IG174" s="1247"/>
      <c r="IH174" s="1247"/>
      <c r="II174" s="1247"/>
      <c r="IJ174" s="1247"/>
      <c r="IK174" s="1247"/>
      <c r="IL174" s="1247"/>
      <c r="IM174" s="1247"/>
      <c r="IN174" s="1247"/>
      <c r="IO174" s="1247"/>
      <c r="IP174" s="1247"/>
      <c r="IQ174" s="1247"/>
      <c r="IR174" s="1247"/>
      <c r="IS174" s="1247"/>
      <c r="IT174" s="1247"/>
      <c r="IU174" s="1247"/>
      <c r="IV174" s="1247"/>
      <c r="IW174" s="1247"/>
      <c r="IX174" s="1247"/>
      <c r="IY174" s="1247"/>
      <c r="IZ174" s="1247"/>
      <c r="JA174" s="1247"/>
      <c r="JB174" s="1247"/>
      <c r="JC174" s="1247"/>
      <c r="JD174" s="1247"/>
      <c r="JE174" s="1247"/>
      <c r="JF174" s="1247"/>
      <c r="JG174" s="1247"/>
      <c r="JH174" s="1247"/>
      <c r="JI174" s="1247"/>
      <c r="JJ174" s="1247"/>
      <c r="JK174" s="1247"/>
      <c r="JL174" s="1247"/>
      <c r="JM174" s="1247"/>
      <c r="JN174" s="1247"/>
      <c r="JO174" s="1247"/>
      <c r="JP174" s="1247"/>
      <c r="JQ174" s="1247"/>
      <c r="JR174" s="1247"/>
      <c r="JS174" s="1247"/>
      <c r="JT174" s="1247"/>
      <c r="JU174" s="1247"/>
      <c r="JV174" s="1247"/>
      <c r="JW174" s="1247"/>
      <c r="JX174" s="1247"/>
      <c r="JY174" s="1247"/>
      <c r="JZ174" s="1247"/>
      <c r="KA174" s="1247"/>
      <c r="KB174" s="1247"/>
      <c r="KC174" s="1247"/>
      <c r="KD174" s="1247"/>
      <c r="KE174" s="1247"/>
      <c r="KF174" s="1247"/>
      <c r="KG174" s="1247"/>
      <c r="KH174" s="1247"/>
      <c r="KI174" s="1247"/>
      <c r="KJ174" s="1247"/>
      <c r="KK174" s="1247"/>
      <c r="KL174" s="1247"/>
      <c r="KM174" s="1247"/>
      <c r="KN174" s="1247"/>
      <c r="KO174" s="1247"/>
      <c r="KP174" s="1247"/>
      <c r="KQ174" s="1247"/>
      <c r="KR174" s="1247"/>
      <c r="KS174" s="1247"/>
      <c r="KT174" s="1247"/>
      <c r="KU174" s="1247"/>
      <c r="KV174" s="1247"/>
      <c r="KW174" s="1247"/>
      <c r="KX174" s="1247"/>
      <c r="KY174" s="1247"/>
      <c r="KZ174" s="1247"/>
      <c r="LA174" s="1247"/>
      <c r="LB174" s="1247"/>
      <c r="LC174" s="1247"/>
      <c r="LD174" s="1247"/>
      <c r="LE174" s="1247"/>
      <c r="LF174" s="1247"/>
      <c r="LG174" s="1247"/>
      <c r="LH174" s="1247"/>
      <c r="LI174" s="1247"/>
      <c r="LJ174" s="1247"/>
      <c r="LK174" s="1247"/>
      <c r="LL174" s="1247"/>
      <c r="LM174" s="1247"/>
      <c r="LN174" s="1247"/>
      <c r="LO174" s="1247"/>
      <c r="LP174" s="1247"/>
      <c r="LQ174" s="1247"/>
      <c r="LR174" s="1247"/>
      <c r="LS174" s="1247"/>
      <c r="LT174" s="1247"/>
      <c r="LU174" s="1247"/>
      <c r="LV174" s="1247"/>
      <c r="LW174" s="1247"/>
      <c r="LX174" s="1247"/>
      <c r="LY174" s="1247"/>
      <c r="LZ174" s="1247"/>
      <c r="MA174" s="1247"/>
      <c r="MB174" s="1247"/>
      <c r="MC174" s="1247"/>
      <c r="MD174" s="1247"/>
      <c r="ME174" s="1247"/>
      <c r="MF174" s="1247"/>
      <c r="MG174" s="1247"/>
      <c r="MH174" s="1247"/>
      <c r="MI174" s="1247"/>
      <c r="MJ174" s="1247"/>
      <c r="MK174" s="1247"/>
      <c r="ML174" s="1247"/>
      <c r="MM174" s="1247"/>
      <c r="MN174" s="1247"/>
      <c r="MO174" s="1247"/>
      <c r="MP174" s="1247"/>
      <c r="MQ174" s="1247"/>
      <c r="MR174" s="1247"/>
      <c r="MS174" s="1247"/>
      <c r="MT174" s="1247"/>
      <c r="MU174" s="1247"/>
      <c r="MV174" s="1247"/>
      <c r="MW174" s="1247"/>
      <c r="MX174" s="1247"/>
      <c r="MY174" s="1247"/>
      <c r="MZ174" s="1247"/>
      <c r="NA174" s="1247"/>
      <c r="NB174" s="1247"/>
      <c r="NC174" s="1247"/>
      <c r="ND174" s="1247"/>
      <c r="NE174" s="1247"/>
      <c r="NF174" s="1247"/>
      <c r="NG174" s="1247"/>
      <c r="NH174" s="1247"/>
      <c r="NI174" s="1247"/>
      <c r="NJ174" s="1247"/>
      <c r="NK174" s="1247"/>
      <c r="NL174" s="1247"/>
      <c r="NM174" s="1247"/>
      <c r="NN174" s="1247"/>
      <c r="NO174" s="1247"/>
      <c r="NP174" s="1247"/>
      <c r="NQ174" s="1247"/>
      <c r="NR174" s="1247"/>
      <c r="NS174" s="1247"/>
      <c r="NT174" s="1247"/>
      <c r="NU174" s="1247"/>
      <c r="NV174" s="1247"/>
      <c r="NW174" s="1247"/>
      <c r="NX174" s="1247"/>
      <c r="NY174" s="1247"/>
      <c r="NZ174" s="1247"/>
      <c r="OA174" s="1247"/>
      <c r="OB174" s="1247"/>
      <c r="OC174" s="1247"/>
      <c r="OD174" s="1247"/>
      <c r="OE174" s="1247"/>
      <c r="OF174" s="1247"/>
      <c r="OG174" s="1247"/>
      <c r="OH174" s="1247"/>
      <c r="OI174" s="1247"/>
      <c r="OJ174" s="1247"/>
      <c r="OK174" s="1247"/>
      <c r="OL174" s="1247"/>
      <c r="OM174" s="1247"/>
      <c r="ON174" s="1247"/>
      <c r="OO174" s="1247"/>
      <c r="OP174" s="1247"/>
      <c r="OQ174" s="1247"/>
      <c r="OR174" s="1247"/>
      <c r="OS174" s="1247"/>
      <c r="OT174" s="1247"/>
      <c r="OU174" s="1247"/>
      <c r="OV174" s="1247"/>
      <c r="OW174" s="1247"/>
      <c r="OX174" s="1247"/>
      <c r="OY174" s="1247"/>
      <c r="OZ174" s="1247"/>
      <c r="PA174" s="1247"/>
      <c r="PB174" s="1247"/>
      <c r="PC174" s="1247"/>
      <c r="PD174" s="1247"/>
      <c r="PE174" s="1247"/>
      <c r="PF174" s="1247"/>
      <c r="PG174" s="1247"/>
      <c r="PH174" s="1247"/>
      <c r="PI174" s="1247"/>
      <c r="PJ174" s="1247"/>
      <c r="PK174" s="1247"/>
      <c r="PL174" s="1247"/>
      <c r="PM174" s="1247"/>
      <c r="PN174" s="1247"/>
      <c r="PO174" s="1247"/>
      <c r="PP174" s="1247"/>
      <c r="PQ174" s="1247"/>
      <c r="PR174" s="1247"/>
      <c r="PS174" s="1247"/>
      <c r="PT174" s="1247"/>
      <c r="PU174" s="1247"/>
      <c r="PV174" s="1247"/>
      <c r="PW174" s="1247"/>
      <c r="PX174" s="1247"/>
      <c r="PY174" s="1247"/>
      <c r="PZ174" s="1247"/>
      <c r="QA174" s="1247"/>
      <c r="QB174" s="1247"/>
      <c r="QC174" s="1247"/>
      <c r="QD174" s="1247"/>
      <c r="QE174" s="1247"/>
      <c r="QF174" s="1247"/>
      <c r="QG174" s="1247"/>
      <c r="QH174" s="1247"/>
      <c r="QI174" s="1247"/>
      <c r="QJ174" s="1247"/>
      <c r="QK174" s="1247"/>
      <c r="QL174" s="1247"/>
      <c r="QM174" s="1247"/>
      <c r="QN174" s="1247"/>
      <c r="QO174" s="1247"/>
      <c r="QP174" s="1247"/>
      <c r="QQ174" s="1247"/>
      <c r="QR174" s="1247"/>
      <c r="QS174" s="1247"/>
      <c r="QT174" s="1247"/>
      <c r="QU174" s="1247"/>
      <c r="QV174" s="1247"/>
      <c r="QW174" s="1247"/>
      <c r="QX174" s="1247"/>
      <c r="QY174" s="1247"/>
      <c r="QZ174" s="1247"/>
      <c r="RA174" s="1247"/>
      <c r="RB174" s="1247"/>
      <c r="RC174" s="1247"/>
      <c r="RD174" s="1247"/>
      <c r="RE174" s="1247"/>
      <c r="RF174" s="1247"/>
      <c r="RG174" s="1247"/>
      <c r="RH174" s="1247"/>
      <c r="RI174" s="1247"/>
      <c r="RJ174" s="1247"/>
      <c r="RK174" s="1247"/>
      <c r="RL174" s="1247"/>
      <c r="RM174" s="1247"/>
      <c r="RN174" s="1247"/>
      <c r="RO174" s="1247"/>
      <c r="RP174" s="1247"/>
      <c r="RQ174" s="1247"/>
      <c r="RR174" s="1247"/>
      <c r="RS174" s="1247"/>
      <c r="RT174" s="1247"/>
      <c r="RU174" s="1247"/>
      <c r="RV174" s="1247"/>
      <c r="RW174" s="1247"/>
      <c r="RX174" s="1247"/>
      <c r="RY174" s="1247"/>
      <c r="RZ174" s="1247"/>
      <c r="SA174" s="1247"/>
      <c r="SB174" s="1247"/>
      <c r="SC174" s="1247"/>
      <c r="SD174" s="1247"/>
      <c r="SE174" s="1247"/>
      <c r="SF174" s="1247"/>
      <c r="SG174" s="1247"/>
      <c r="SH174" s="1247"/>
      <c r="SI174" s="1247"/>
      <c r="SJ174" s="1247"/>
      <c r="SK174" s="1247"/>
      <c r="SL174" s="1247"/>
      <c r="SM174" s="1247"/>
      <c r="SN174" s="1247"/>
      <c r="SO174" s="1247"/>
      <c r="SP174" s="1247"/>
      <c r="SQ174" s="1247"/>
      <c r="SR174" s="1247"/>
      <c r="SS174" s="1247"/>
      <c r="ST174" s="1247"/>
      <c r="SU174" s="1247"/>
      <c r="SV174" s="1247"/>
      <c r="SW174" s="1247"/>
      <c r="SX174" s="1247"/>
      <c r="SY174" s="1247"/>
      <c r="SZ174" s="1247"/>
      <c r="TA174" s="1247"/>
      <c r="TB174" s="1247"/>
      <c r="TC174" s="1247"/>
      <c r="TD174" s="1247"/>
      <c r="TE174" s="1247"/>
      <c r="TF174" s="1247"/>
      <c r="TG174" s="1247"/>
      <c r="TH174" s="1247"/>
      <c r="TI174" s="1247"/>
      <c r="TJ174" s="1247"/>
      <c r="TK174" s="1247"/>
      <c r="TL174" s="1247"/>
      <c r="TM174" s="1247"/>
      <c r="TN174" s="1247"/>
      <c r="TO174" s="1247"/>
      <c r="TP174" s="1247"/>
      <c r="TQ174" s="1247"/>
      <c r="TR174" s="1247"/>
      <c r="TS174" s="1247"/>
      <c r="TT174" s="1247"/>
      <c r="TU174" s="1247"/>
      <c r="TV174" s="1247"/>
      <c r="TW174" s="1247"/>
      <c r="TX174" s="1247"/>
      <c r="TY174" s="1247"/>
      <c r="TZ174" s="1247"/>
      <c r="UA174" s="1247"/>
      <c r="UB174" s="1247"/>
      <c r="UC174" s="1247"/>
      <c r="UD174" s="1247"/>
      <c r="UE174" s="1247"/>
      <c r="UF174" s="1247"/>
      <c r="UG174" s="1247"/>
      <c r="UH174" s="1247"/>
      <c r="UI174" s="1247"/>
      <c r="UJ174" s="1247"/>
      <c r="UK174" s="1247"/>
      <c r="UL174" s="1247"/>
      <c r="UM174" s="1247"/>
      <c r="UN174" s="1247"/>
      <c r="UO174" s="1247"/>
      <c r="UP174" s="1247"/>
      <c r="UQ174" s="1247"/>
      <c r="UR174" s="1247"/>
      <c r="US174" s="1247"/>
      <c r="UT174" s="1247"/>
      <c r="UU174" s="1247"/>
      <c r="UV174" s="1247"/>
      <c r="UW174" s="1247"/>
      <c r="UX174" s="1247"/>
      <c r="UY174" s="1247"/>
      <c r="UZ174" s="1247"/>
      <c r="VA174" s="1247"/>
      <c r="VB174" s="1247"/>
      <c r="VC174" s="1247"/>
      <c r="VD174" s="1247"/>
      <c r="VE174" s="1247"/>
      <c r="VF174" s="1247"/>
      <c r="VG174" s="1247"/>
      <c r="VH174" s="1247"/>
      <c r="VI174" s="1247"/>
      <c r="VJ174" s="1247"/>
      <c r="VK174" s="1247"/>
      <c r="VL174" s="1247"/>
      <c r="VM174" s="1247"/>
      <c r="VN174" s="1247"/>
      <c r="VO174" s="1247"/>
      <c r="VP174" s="1247"/>
      <c r="VQ174" s="1247"/>
      <c r="VR174" s="1247"/>
      <c r="VS174" s="1247"/>
      <c r="VT174" s="1247"/>
      <c r="VU174" s="1247"/>
      <c r="VV174" s="1247"/>
      <c r="VW174" s="1247"/>
      <c r="VX174" s="1247"/>
      <c r="VY174" s="1247"/>
      <c r="VZ174" s="1247"/>
      <c r="WA174" s="1247"/>
      <c r="WB174" s="1247"/>
      <c r="WC174" s="1247"/>
      <c r="WD174" s="1247"/>
      <c r="WE174" s="1247"/>
      <c r="WF174" s="1247"/>
      <c r="WG174" s="1247"/>
      <c r="WH174" s="1247"/>
      <c r="WI174" s="1247"/>
      <c r="WJ174" s="1247"/>
      <c r="WK174" s="1247"/>
      <c r="WL174" s="1247"/>
      <c r="WM174" s="1247"/>
      <c r="WN174" s="1247"/>
      <c r="WO174" s="1247"/>
      <c r="WP174" s="1247"/>
      <c r="WQ174" s="1247"/>
      <c r="WR174" s="1247"/>
      <c r="WS174" s="1247"/>
      <c r="WT174" s="1247"/>
      <c r="WU174" s="1247"/>
      <c r="WV174" s="1247"/>
      <c r="WW174" s="1247"/>
      <c r="WX174" s="1247"/>
      <c r="WY174" s="1247"/>
      <c r="WZ174" s="1247"/>
      <c r="XA174" s="1247"/>
      <c r="XB174" s="1247"/>
      <c r="XC174" s="1247"/>
      <c r="XD174" s="1247"/>
      <c r="XE174" s="1247"/>
      <c r="XF174" s="1247"/>
      <c r="XG174" s="1247"/>
      <c r="XH174" s="1247"/>
      <c r="XI174" s="1247"/>
      <c r="XJ174" s="1247"/>
      <c r="XK174" s="1247"/>
      <c r="XL174" s="1247"/>
      <c r="XM174" s="1247"/>
      <c r="XN174" s="1247"/>
      <c r="XO174" s="1247"/>
      <c r="XP174" s="1247"/>
      <c r="XQ174" s="1247"/>
      <c r="XR174" s="1247"/>
      <c r="XS174" s="1247"/>
      <c r="XT174" s="1247"/>
      <c r="XU174" s="1247"/>
      <c r="XV174" s="1247"/>
      <c r="XW174" s="1247"/>
      <c r="XX174" s="1247"/>
      <c r="XY174" s="1247"/>
      <c r="XZ174" s="1247"/>
      <c r="YA174" s="1247"/>
      <c r="YB174" s="1247"/>
      <c r="YC174" s="1247"/>
      <c r="YD174" s="1247"/>
      <c r="YE174" s="1247"/>
      <c r="YF174" s="1247"/>
      <c r="YG174" s="1247"/>
      <c r="YH174" s="1247"/>
      <c r="YI174" s="1247"/>
      <c r="YJ174" s="1247"/>
      <c r="YK174" s="1247"/>
      <c r="YL174" s="1247"/>
      <c r="YM174" s="1247"/>
      <c r="YN174" s="1247"/>
      <c r="YO174" s="1247"/>
      <c r="YP174" s="1247"/>
      <c r="YQ174" s="1247"/>
      <c r="YR174" s="1247"/>
      <c r="YS174" s="1247"/>
      <c r="YT174" s="1247"/>
      <c r="YU174" s="1247"/>
      <c r="YV174" s="1247"/>
      <c r="YW174" s="1247"/>
      <c r="YX174" s="1247"/>
      <c r="YY174" s="1247"/>
      <c r="YZ174" s="1247"/>
      <c r="ZA174" s="1247"/>
      <c r="ZB174" s="1247"/>
      <c r="ZC174" s="1247"/>
      <c r="ZD174" s="1247"/>
      <c r="ZE174" s="1247"/>
      <c r="ZF174" s="1247"/>
      <c r="ZG174" s="1247"/>
      <c r="ZH174" s="1247"/>
      <c r="ZI174" s="1247"/>
      <c r="ZJ174" s="1247"/>
      <c r="ZK174" s="1247"/>
      <c r="ZL174" s="1247"/>
      <c r="ZM174" s="1247"/>
      <c r="ZN174" s="1247"/>
      <c r="ZO174" s="1247"/>
      <c r="ZP174" s="1247"/>
      <c r="ZQ174" s="1247"/>
      <c r="ZR174" s="1247"/>
      <c r="ZS174" s="1247"/>
      <c r="ZT174" s="1247"/>
      <c r="ZU174" s="1247"/>
      <c r="ZV174" s="1247"/>
      <c r="ZW174" s="1247"/>
      <c r="ZX174" s="1247"/>
      <c r="ZY174" s="1247"/>
      <c r="ZZ174" s="1247"/>
      <c r="AAA174" s="1247"/>
      <c r="AAB174" s="1247"/>
      <c r="AAC174" s="1247"/>
      <c r="AAD174" s="1247"/>
      <c r="AAE174" s="1247"/>
      <c r="AAF174" s="1247"/>
      <c r="AAG174" s="1247"/>
      <c r="AAH174" s="1247"/>
      <c r="AAI174" s="1247"/>
      <c r="AAJ174" s="1247"/>
      <c r="AAK174" s="1247"/>
      <c r="AAL174" s="1247"/>
      <c r="AAM174" s="1247"/>
      <c r="AAN174" s="1247"/>
      <c r="AAO174" s="1247"/>
      <c r="AAP174" s="1247"/>
      <c r="AAQ174" s="1247"/>
      <c r="AAR174" s="1247"/>
      <c r="AAS174" s="1247"/>
      <c r="AAT174" s="1247"/>
      <c r="AAU174" s="1247"/>
      <c r="AAV174" s="1247"/>
      <c r="AAW174" s="1247"/>
      <c r="AAX174" s="1247"/>
      <c r="AAY174" s="1247"/>
      <c r="AAZ174" s="1247"/>
      <c r="ABA174" s="1247"/>
      <c r="ABB174" s="1247"/>
      <c r="ABC174" s="1247"/>
      <c r="ABD174" s="1247"/>
      <c r="ABE174" s="1247"/>
      <c r="ABF174" s="1247"/>
      <c r="ABG174" s="1247"/>
      <c r="ABH174" s="1247"/>
      <c r="ABI174" s="1247"/>
      <c r="ABJ174" s="1247"/>
      <c r="ABK174" s="1247"/>
      <c r="ABL174" s="1247"/>
      <c r="ABM174" s="1247"/>
      <c r="ABN174" s="1247"/>
      <c r="ABO174" s="1247"/>
      <c r="ABP174" s="1247"/>
      <c r="ABQ174" s="1247"/>
      <c r="ABR174" s="1247"/>
      <c r="ABS174" s="1247"/>
      <c r="ABT174" s="1247"/>
      <c r="ABU174" s="1247"/>
      <c r="ABV174" s="1247"/>
      <c r="ABW174" s="1247"/>
      <c r="ABX174" s="1247"/>
      <c r="ABY174" s="1247"/>
      <c r="ABZ174" s="1247"/>
      <c r="ACA174" s="1247"/>
      <c r="ACB174" s="1247"/>
      <c r="ACC174" s="1247"/>
      <c r="ACD174" s="1247"/>
      <c r="ACE174" s="1247"/>
      <c r="ACF174" s="1247"/>
      <c r="ACG174" s="1247"/>
      <c r="ACH174" s="1247"/>
      <c r="ACI174" s="1247"/>
      <c r="ACJ174" s="1247"/>
      <c r="ACK174" s="1247"/>
      <c r="ACL174" s="1247"/>
      <c r="ACM174" s="1247"/>
      <c r="ACN174" s="1247"/>
      <c r="ACO174" s="1247"/>
      <c r="ACP174" s="1247"/>
      <c r="ACQ174" s="1247"/>
      <c r="ACR174" s="1247"/>
      <c r="ACS174" s="1247"/>
      <c r="ACT174" s="1247"/>
      <c r="ACU174" s="1247"/>
      <c r="ACV174" s="1247"/>
      <c r="ACW174" s="1247"/>
      <c r="ACX174" s="1247"/>
      <c r="ACY174" s="1247"/>
      <c r="ACZ174" s="1247"/>
      <c r="ADA174" s="1247"/>
      <c r="ADB174" s="1247"/>
      <c r="ADC174" s="1247"/>
      <c r="ADD174" s="1247"/>
      <c r="ADE174" s="1247"/>
      <c r="ADF174" s="1247"/>
      <c r="ADG174" s="1247"/>
    </row>
    <row r="175" spans="1:787" s="1247" customFormat="1" ht="13" hidden="1" outlineLevel="2">
      <c r="B175" s="1422" t="s">
        <v>586</v>
      </c>
      <c r="C175" s="1423"/>
      <c r="D175" s="1423" t="s">
        <v>1292</v>
      </c>
      <c r="E175" s="1431"/>
      <c r="F175" s="1425"/>
      <c r="G175" s="1431" t="s">
        <v>4117</v>
      </c>
      <c r="H175" s="1446"/>
      <c r="I175" s="1446"/>
      <c r="J175" s="1427"/>
      <c r="K175" s="1427"/>
      <c r="L175" s="1427"/>
      <c r="M175" s="1427"/>
      <c r="N175" s="1427"/>
      <c r="O175" s="1427"/>
      <c r="P175" s="1427"/>
      <c r="Q175" s="1427">
        <f>SUBTOTAL(9,Q176:Q181)</f>
        <v>874.08881000000008</v>
      </c>
      <c r="R175" s="1427">
        <f>SUBTOTAL(9,R176:R181)</f>
        <v>874.08881000000008</v>
      </c>
      <c r="S175" s="1427">
        <f>SUBTOTAL(9,S176:S181)</f>
        <v>0</v>
      </c>
      <c r="T175" s="1427">
        <f>SUBTOTAL(9,T176:T181)</f>
        <v>874.08881000000008</v>
      </c>
      <c r="U175" s="1429"/>
      <c r="V175" s="1225">
        <f t="shared" si="34"/>
        <v>0</v>
      </c>
      <c r="W175" s="1225">
        <f t="shared" si="35"/>
        <v>0</v>
      </c>
      <c r="X175" s="1225"/>
      <c r="Y175" s="1225"/>
    </row>
    <row r="176" spans="1:787" s="1221" customFormat="1" ht="13" hidden="1" outlineLevel="3">
      <c r="B176" s="1433" t="s">
        <v>587</v>
      </c>
      <c r="C176" s="1434"/>
      <c r="D176" s="1434" t="s">
        <v>538</v>
      </c>
      <c r="E176" s="1431" t="s">
        <v>3532</v>
      </c>
      <c r="F176" s="1425"/>
      <c r="G176" s="1431" t="s">
        <v>4117</v>
      </c>
      <c r="H176" s="1328"/>
      <c r="I176" s="1328"/>
      <c r="J176" s="1437"/>
      <c r="K176" s="1437"/>
      <c r="L176" s="1437"/>
      <c r="M176" s="1437"/>
      <c r="N176" s="1437"/>
      <c r="O176" s="1437"/>
      <c r="P176" s="1437"/>
      <c r="Q176" s="1437">
        <f>VLOOKUP(D176,'当期公摊测算表（全期）'!D:W,12,FALSE)</f>
        <v>623.36060999999995</v>
      </c>
      <c r="R176" s="1172">
        <f t="shared" ref="R176:R181" si="40">SUM(H176:Q176)</f>
        <v>623.36060999999995</v>
      </c>
      <c r="S176" s="1437">
        <f>VLOOKUP($D176,'当期公摊测算表（全期）'!D:W,17,FALSE)</f>
        <v>0</v>
      </c>
      <c r="T176" s="1437">
        <f t="shared" ref="T176:T181" si="41">R176+S176</f>
        <v>623.36060999999995</v>
      </c>
      <c r="U176" s="1438"/>
      <c r="V176" s="1225">
        <f t="shared" si="34"/>
        <v>0</v>
      </c>
      <c r="W176" s="1225">
        <f t="shared" si="35"/>
        <v>0</v>
      </c>
      <c r="X176" s="1225"/>
      <c r="Y176" s="1225"/>
    </row>
    <row r="177" spans="2:25" s="1221" customFormat="1" ht="13" hidden="1" outlineLevel="3">
      <c r="B177" s="1433" t="s">
        <v>588</v>
      </c>
      <c r="C177" s="1434"/>
      <c r="D177" s="1434" t="s">
        <v>3533</v>
      </c>
      <c r="E177" s="1431" t="s">
        <v>3534</v>
      </c>
      <c r="F177" s="1425" t="s">
        <v>455</v>
      </c>
      <c r="G177" s="1431" t="s">
        <v>4128</v>
      </c>
      <c r="H177" s="1328"/>
      <c r="I177" s="1328"/>
      <c r="J177" s="1437"/>
      <c r="K177" s="1437"/>
      <c r="L177" s="1437"/>
      <c r="M177" s="1437"/>
      <c r="N177" s="1437"/>
      <c r="O177" s="1437"/>
      <c r="P177" s="1437"/>
      <c r="Q177" s="1437">
        <f>VLOOKUP(D177,'当期公摊测算表（全期）'!D:W,12,FALSE)</f>
        <v>43.228999999999999</v>
      </c>
      <c r="R177" s="1172">
        <f t="shared" si="40"/>
        <v>43.228999999999999</v>
      </c>
      <c r="S177" s="1437">
        <f>VLOOKUP($D177,'当期公摊测算表（全期）'!D:W,17,FALSE)</f>
        <v>0</v>
      </c>
      <c r="T177" s="1437">
        <f t="shared" si="41"/>
        <v>43.228999999999999</v>
      </c>
      <c r="U177" s="1438"/>
      <c r="V177" s="1225">
        <f t="shared" si="34"/>
        <v>0</v>
      </c>
      <c r="W177" s="1225">
        <f t="shared" si="35"/>
        <v>0</v>
      </c>
      <c r="X177" s="1225"/>
      <c r="Y177" s="1225"/>
    </row>
    <row r="178" spans="2:25" s="1221" customFormat="1" ht="13" hidden="1" outlineLevel="3">
      <c r="B178" s="1433" t="s">
        <v>589</v>
      </c>
      <c r="C178" s="1434"/>
      <c r="D178" s="1434" t="s">
        <v>3535</v>
      </c>
      <c r="E178" s="1431" t="s">
        <v>3536</v>
      </c>
      <c r="F178" s="1425" t="s">
        <v>3537</v>
      </c>
      <c r="G178" s="1431" t="s">
        <v>4188</v>
      </c>
      <c r="H178" s="1328"/>
      <c r="I178" s="1328"/>
      <c r="J178" s="1437"/>
      <c r="K178" s="1437"/>
      <c r="L178" s="1437"/>
      <c r="M178" s="1437"/>
      <c r="N178" s="1437"/>
      <c r="O178" s="1437"/>
      <c r="P178" s="1437"/>
      <c r="Q178" s="1437">
        <f>VLOOKUP(D178,'当期公摊测算表（全期）'!D:W,12,FALSE)</f>
        <v>51.8748</v>
      </c>
      <c r="R178" s="1172">
        <f t="shared" si="40"/>
        <v>51.8748</v>
      </c>
      <c r="S178" s="1437">
        <f>VLOOKUP($D178,'当期公摊测算表（全期）'!D:W,17,FALSE)</f>
        <v>0</v>
      </c>
      <c r="T178" s="1437">
        <f t="shared" si="41"/>
        <v>51.8748</v>
      </c>
      <c r="U178" s="1438"/>
      <c r="V178" s="1225">
        <f t="shared" si="34"/>
        <v>0</v>
      </c>
      <c r="W178" s="1225">
        <f t="shared" si="35"/>
        <v>0</v>
      </c>
      <c r="X178" s="1225"/>
      <c r="Y178" s="1225"/>
    </row>
    <row r="179" spans="2:25" s="1221" customFormat="1" ht="13" hidden="1" outlineLevel="3">
      <c r="B179" s="1433" t="s">
        <v>3538</v>
      </c>
      <c r="C179" s="1434"/>
      <c r="D179" s="1434" t="s">
        <v>3539</v>
      </c>
      <c r="E179" s="1431" t="s">
        <v>3540</v>
      </c>
      <c r="F179" s="1425" t="s">
        <v>3537</v>
      </c>
      <c r="G179" s="1431" t="s">
        <v>4188</v>
      </c>
      <c r="H179" s="1328"/>
      <c r="I179" s="1328"/>
      <c r="J179" s="1437"/>
      <c r="K179" s="1437"/>
      <c r="L179" s="1437"/>
      <c r="M179" s="1437"/>
      <c r="N179" s="1437"/>
      <c r="O179" s="1437"/>
      <c r="P179" s="1437"/>
      <c r="Q179" s="1437">
        <f>VLOOKUP(D179,'当期公摊测算表（全期）'!D:W,12,FALSE)</f>
        <v>121.04119999999999</v>
      </c>
      <c r="R179" s="1172">
        <f t="shared" si="40"/>
        <v>121.04119999999999</v>
      </c>
      <c r="S179" s="1437">
        <f>VLOOKUP($D179,'当期公摊测算表（全期）'!D:W,17,FALSE)</f>
        <v>0</v>
      </c>
      <c r="T179" s="1437">
        <f t="shared" si="41"/>
        <v>121.04119999999999</v>
      </c>
      <c r="U179" s="1438"/>
      <c r="V179" s="1225">
        <f t="shared" si="34"/>
        <v>0</v>
      </c>
      <c r="W179" s="1225">
        <f t="shared" si="35"/>
        <v>0</v>
      </c>
      <c r="X179" s="1225"/>
      <c r="Y179" s="1225"/>
    </row>
    <row r="180" spans="2:25" s="1221" customFormat="1" ht="13" hidden="1" outlineLevel="3">
      <c r="B180" s="1433" t="s">
        <v>3541</v>
      </c>
      <c r="C180" s="1434"/>
      <c r="D180" s="1434" t="s">
        <v>3542</v>
      </c>
      <c r="E180" s="1431" t="s">
        <v>3543</v>
      </c>
      <c r="F180" s="1425" t="s">
        <v>3537</v>
      </c>
      <c r="G180" s="1431" t="s">
        <v>4188</v>
      </c>
      <c r="H180" s="1328"/>
      <c r="I180" s="1328"/>
      <c r="J180" s="1437"/>
      <c r="K180" s="1437"/>
      <c r="L180" s="1437"/>
      <c r="M180" s="1437"/>
      <c r="N180" s="1437"/>
      <c r="O180" s="1437"/>
      <c r="P180" s="1437"/>
      <c r="Q180" s="1437">
        <f>VLOOKUP(D180,'当期公摊测算表（全期）'!D:W,12,FALSE)</f>
        <v>0</v>
      </c>
      <c r="R180" s="1172">
        <f t="shared" si="40"/>
        <v>0</v>
      </c>
      <c r="S180" s="1437">
        <f>VLOOKUP($D180,'当期公摊测算表（全期）'!D:W,17,FALSE)</f>
        <v>0</v>
      </c>
      <c r="T180" s="1437">
        <f t="shared" si="41"/>
        <v>0</v>
      </c>
      <c r="U180" s="1438"/>
      <c r="V180" s="1225">
        <f t="shared" si="34"/>
        <v>0</v>
      </c>
      <c r="W180" s="1225">
        <f t="shared" si="35"/>
        <v>0</v>
      </c>
      <c r="X180" s="1225"/>
      <c r="Y180" s="1225"/>
    </row>
    <row r="181" spans="2:25" s="1221" customFormat="1" ht="13" hidden="1" outlineLevel="3">
      <c r="B181" s="1433" t="s">
        <v>3544</v>
      </c>
      <c r="C181" s="1434"/>
      <c r="D181" s="1434" t="s">
        <v>3545</v>
      </c>
      <c r="E181" s="1431" t="s">
        <v>3546</v>
      </c>
      <c r="F181" s="1425" t="s">
        <v>3422</v>
      </c>
      <c r="G181" s="1431" t="s">
        <v>4126</v>
      </c>
      <c r="H181" s="1328"/>
      <c r="I181" s="1328"/>
      <c r="J181" s="1437"/>
      <c r="K181" s="1437"/>
      <c r="L181" s="1437"/>
      <c r="M181" s="1437"/>
      <c r="N181" s="1437"/>
      <c r="O181" s="1437"/>
      <c r="P181" s="1437"/>
      <c r="Q181" s="1437">
        <f>VLOOKUP(D181,'当期公摊测算表（全期）'!D:W,12,FALSE)</f>
        <v>34.583199999999998</v>
      </c>
      <c r="R181" s="1172">
        <f t="shared" si="40"/>
        <v>34.583199999999998</v>
      </c>
      <c r="S181" s="1437">
        <f>VLOOKUP($D181,'当期公摊测算表（全期）'!D:W,17,FALSE)</f>
        <v>0</v>
      </c>
      <c r="T181" s="1437">
        <f t="shared" si="41"/>
        <v>34.583199999999998</v>
      </c>
      <c r="U181" s="1438"/>
      <c r="V181" s="1225">
        <f t="shared" si="34"/>
        <v>0</v>
      </c>
      <c r="W181" s="1225">
        <f t="shared" si="35"/>
        <v>0</v>
      </c>
      <c r="X181" s="1225"/>
      <c r="Y181" s="1225"/>
    </row>
    <row r="182" spans="2:25" s="1247" customFormat="1" ht="13" hidden="1" outlineLevel="2">
      <c r="B182" s="1422" t="s">
        <v>590</v>
      </c>
      <c r="C182" s="1423"/>
      <c r="D182" s="1423" t="s">
        <v>1296</v>
      </c>
      <c r="E182" s="1431"/>
      <c r="F182" s="1425"/>
      <c r="G182" s="1431" t="s">
        <v>4117</v>
      </c>
      <c r="H182" s="1446"/>
      <c r="I182" s="1446"/>
      <c r="J182" s="1427"/>
      <c r="K182" s="1427"/>
      <c r="L182" s="1427"/>
      <c r="M182" s="1427"/>
      <c r="N182" s="1427"/>
      <c r="O182" s="1427"/>
      <c r="P182" s="1427"/>
      <c r="Q182" s="1427">
        <f>SUBTOTAL(9,Q183:Q185)</f>
        <v>1187.8591039999999</v>
      </c>
      <c r="R182" s="1427">
        <f>SUBTOTAL(9,R183:R185)</f>
        <v>1187.8591039999999</v>
      </c>
      <c r="S182" s="1427">
        <f>SUBTOTAL(9,S183:S185)</f>
        <v>0</v>
      </c>
      <c r="T182" s="1427">
        <f>SUBTOTAL(9,T183:T185)</f>
        <v>1187.8591039999999</v>
      </c>
      <c r="U182" s="1429"/>
      <c r="V182" s="1225">
        <f t="shared" si="34"/>
        <v>0</v>
      </c>
      <c r="W182" s="1225">
        <f t="shared" si="35"/>
        <v>0</v>
      </c>
      <c r="X182" s="1225"/>
      <c r="Y182" s="1225"/>
    </row>
    <row r="183" spans="2:25" s="1221" customFormat="1" ht="13" hidden="1" outlineLevel="3">
      <c r="B183" s="1433" t="s">
        <v>591</v>
      </c>
      <c r="C183" s="1434"/>
      <c r="D183" s="1434" t="s">
        <v>3547</v>
      </c>
      <c r="E183" s="1431" t="s">
        <v>3548</v>
      </c>
      <c r="F183" s="1425" t="s">
        <v>1091</v>
      </c>
      <c r="G183" s="1431" t="s">
        <v>4182</v>
      </c>
      <c r="H183" s="1328"/>
      <c r="I183" s="1328"/>
      <c r="J183" s="1437"/>
      <c r="K183" s="1437"/>
      <c r="L183" s="1437"/>
      <c r="M183" s="1437"/>
      <c r="N183" s="1437"/>
      <c r="O183" s="1437"/>
      <c r="P183" s="1437"/>
      <c r="Q183" s="1437">
        <f>VLOOKUP(D183,'当期公摊测算表（全期）'!D:W,12,FALSE)</f>
        <v>1187.8591039999999</v>
      </c>
      <c r="R183" s="1172">
        <f>SUM(H183:Q183)</f>
        <v>1187.8591039999999</v>
      </c>
      <c r="S183" s="1437">
        <f>VLOOKUP($D183,'当期公摊测算表（全期）'!D:W,17,FALSE)</f>
        <v>0</v>
      </c>
      <c r="T183" s="1437">
        <f>R183+S183</f>
        <v>1187.8591039999999</v>
      </c>
      <c r="U183" s="1438"/>
      <c r="V183" s="1225">
        <f t="shared" si="34"/>
        <v>0</v>
      </c>
      <c r="W183" s="1225">
        <f t="shared" si="35"/>
        <v>0</v>
      </c>
      <c r="X183" s="1225"/>
      <c r="Y183" s="1225"/>
    </row>
    <row r="184" spans="2:25" s="1221" customFormat="1" ht="13" hidden="1" outlineLevel="3">
      <c r="B184" s="1433" t="s">
        <v>592</v>
      </c>
      <c r="C184" s="1434"/>
      <c r="D184" s="1434" t="s">
        <v>541</v>
      </c>
      <c r="E184" s="1431" t="s">
        <v>3549</v>
      </c>
      <c r="F184" s="1425" t="s">
        <v>1091</v>
      </c>
      <c r="G184" s="1431" t="s">
        <v>4182</v>
      </c>
      <c r="H184" s="1328"/>
      <c r="I184" s="1328"/>
      <c r="J184" s="1437"/>
      <c r="K184" s="1437"/>
      <c r="L184" s="1437"/>
      <c r="M184" s="1437"/>
      <c r="N184" s="1437"/>
      <c r="O184" s="1437"/>
      <c r="P184" s="1437"/>
      <c r="Q184" s="1437">
        <f>VLOOKUP(D184,'当期公摊测算表（全期）'!D:W,12,FALSE)</f>
        <v>0</v>
      </c>
      <c r="R184" s="1172">
        <f>SUM(H184:Q184)</f>
        <v>0</v>
      </c>
      <c r="S184" s="1437">
        <f>VLOOKUP($D184,'当期公摊测算表（全期）'!D:W,17,FALSE)</f>
        <v>0</v>
      </c>
      <c r="T184" s="1437">
        <f>R184+S184</f>
        <v>0</v>
      </c>
      <c r="U184" s="1438"/>
      <c r="V184" s="1225">
        <f t="shared" si="34"/>
        <v>0</v>
      </c>
      <c r="W184" s="1225">
        <f t="shared" si="35"/>
        <v>0</v>
      </c>
      <c r="X184" s="1225"/>
      <c r="Y184" s="1225"/>
    </row>
    <row r="185" spans="2:25" s="1221" customFormat="1" ht="13" hidden="1" outlineLevel="3">
      <c r="B185" s="1433" t="s">
        <v>3550</v>
      </c>
      <c r="C185" s="1434"/>
      <c r="D185" s="1434" t="s">
        <v>3551</v>
      </c>
      <c r="E185" s="1431" t="s">
        <v>3552</v>
      </c>
      <c r="F185" s="1425" t="s">
        <v>1091</v>
      </c>
      <c r="G185" s="1431" t="s">
        <v>4182</v>
      </c>
      <c r="H185" s="1328"/>
      <c r="I185" s="1328"/>
      <c r="J185" s="1437"/>
      <c r="K185" s="1437"/>
      <c r="L185" s="1437"/>
      <c r="M185" s="1437"/>
      <c r="N185" s="1437"/>
      <c r="O185" s="1437"/>
      <c r="P185" s="1437"/>
      <c r="Q185" s="1437">
        <f>VLOOKUP(D185,'当期公摊测算表（全期）'!D:W,12,FALSE)</f>
        <v>0</v>
      </c>
      <c r="R185" s="1172">
        <f>SUM(H185:Q185)</f>
        <v>0</v>
      </c>
      <c r="S185" s="1437">
        <f>VLOOKUP($D185,'当期公摊测算表（全期）'!D:W,17,FALSE)</f>
        <v>0</v>
      </c>
      <c r="T185" s="1437">
        <f>R185+S185</f>
        <v>0</v>
      </c>
      <c r="U185" s="1438"/>
      <c r="V185" s="1225">
        <f t="shared" si="34"/>
        <v>0</v>
      </c>
      <c r="W185" s="1225">
        <f t="shared" si="35"/>
        <v>0</v>
      </c>
      <c r="X185" s="1225"/>
      <c r="Y185" s="1225"/>
    </row>
    <row r="186" spans="2:25" s="1247" customFormat="1" ht="13" hidden="1" outlineLevel="2">
      <c r="B186" s="1422" t="s">
        <v>593</v>
      </c>
      <c r="C186" s="1423"/>
      <c r="D186" s="1423" t="s">
        <v>1298</v>
      </c>
      <c r="E186" s="1431" t="s">
        <v>3553</v>
      </c>
      <c r="F186" s="1425" t="s">
        <v>3470</v>
      </c>
      <c r="G186" s="1431" t="s">
        <v>4135</v>
      </c>
      <c r="H186" s="1446"/>
      <c r="I186" s="1446"/>
      <c r="J186" s="1427"/>
      <c r="K186" s="1427"/>
      <c r="L186" s="1427"/>
      <c r="M186" s="1427"/>
      <c r="N186" s="1427"/>
      <c r="O186" s="1427"/>
      <c r="P186" s="1427"/>
      <c r="Q186" s="1427">
        <f>VLOOKUP(D186,'当期公摊测算表（全期）'!D:W,12,FALSE)</f>
        <v>249.344244</v>
      </c>
      <c r="R186" s="1428">
        <f>SUM(H186:Q186)</f>
        <v>249.344244</v>
      </c>
      <c r="S186" s="1427">
        <f>VLOOKUP($D186,'当期公摊测算表（全期）'!D:W,17,FALSE)</f>
        <v>0</v>
      </c>
      <c r="T186" s="1427">
        <f>R186+S186</f>
        <v>249.344244</v>
      </c>
      <c r="U186" s="1429"/>
      <c r="V186" s="1225">
        <f t="shared" si="34"/>
        <v>0</v>
      </c>
      <c r="W186" s="1225">
        <f t="shared" si="35"/>
        <v>0</v>
      </c>
      <c r="X186" s="1225"/>
      <c r="Y186" s="1225"/>
    </row>
    <row r="187" spans="2:25" s="1247" customFormat="1" ht="13" hidden="1" outlineLevel="2">
      <c r="B187" s="1422" t="s">
        <v>1304</v>
      </c>
      <c r="C187" s="1423"/>
      <c r="D187" s="1423" t="s">
        <v>1305</v>
      </c>
      <c r="E187" s="1431"/>
      <c r="F187" s="1425"/>
      <c r="G187" s="1431" t="s">
        <v>4117</v>
      </c>
      <c r="H187" s="1446"/>
      <c r="I187" s="1446"/>
      <c r="J187" s="1427"/>
      <c r="K187" s="1427"/>
      <c r="L187" s="1427"/>
      <c r="M187" s="1427"/>
      <c r="N187" s="1427"/>
      <c r="O187" s="1427"/>
      <c r="P187" s="1427"/>
      <c r="Q187" s="1427">
        <f>SUBTOTAL(9,Q188:Q192)</f>
        <v>1489.1392350000001</v>
      </c>
      <c r="R187" s="1427">
        <f>SUBTOTAL(9,R188:R192)</f>
        <v>1489.1392350000001</v>
      </c>
      <c r="S187" s="1427">
        <f>SUBTOTAL(9,S188:S192)</f>
        <v>0</v>
      </c>
      <c r="T187" s="1427">
        <f>SUBTOTAL(9,T188:T192)</f>
        <v>1489.1392350000001</v>
      </c>
      <c r="U187" s="1429"/>
      <c r="V187" s="1225">
        <f t="shared" si="34"/>
        <v>0</v>
      </c>
      <c r="W187" s="1225">
        <f t="shared" si="35"/>
        <v>0</v>
      </c>
      <c r="X187" s="1225"/>
      <c r="Y187" s="1225"/>
    </row>
    <row r="188" spans="2:25" s="1221" customFormat="1" ht="13" hidden="1" outlineLevel="3">
      <c r="B188" s="1433" t="s">
        <v>596</v>
      </c>
      <c r="C188" s="1434"/>
      <c r="D188" s="1434" t="s">
        <v>3554</v>
      </c>
      <c r="E188" s="1431" t="s">
        <v>3555</v>
      </c>
      <c r="F188" s="1425" t="s">
        <v>3556</v>
      </c>
      <c r="G188" s="1431" t="s">
        <v>4127</v>
      </c>
      <c r="H188" s="1328"/>
      <c r="I188" s="1328"/>
      <c r="J188" s="1437"/>
      <c r="K188" s="1437"/>
      <c r="L188" s="1437"/>
      <c r="M188" s="1437"/>
      <c r="N188" s="1437"/>
      <c r="O188" s="1437"/>
      <c r="P188" s="1437"/>
      <c r="Q188" s="1437">
        <f>VLOOKUP(D188,'当期公摊测算表（全期）'!D:W,12,FALSE)</f>
        <v>1489.1392350000001</v>
      </c>
      <c r="R188" s="1172">
        <f>SUM(H188:Q188)</f>
        <v>1489.1392350000001</v>
      </c>
      <c r="S188" s="1437">
        <f>VLOOKUP($D188,'当期公摊测算表（全期）'!D:W,17,FALSE)</f>
        <v>0</v>
      </c>
      <c r="T188" s="1437">
        <f>R188+S188</f>
        <v>1489.1392350000001</v>
      </c>
      <c r="U188" s="1438"/>
      <c r="V188" s="1225">
        <f t="shared" si="34"/>
        <v>0</v>
      </c>
      <c r="W188" s="1225">
        <f t="shared" si="35"/>
        <v>0</v>
      </c>
      <c r="X188" s="1225"/>
      <c r="Y188" s="1225"/>
    </row>
    <row r="189" spans="2:25" s="1221" customFormat="1" ht="13" hidden="1" outlineLevel="3">
      <c r="B189" s="1433" t="s">
        <v>597</v>
      </c>
      <c r="C189" s="1434"/>
      <c r="D189" s="1434" t="s">
        <v>3557</v>
      </c>
      <c r="E189" s="1431" t="s">
        <v>3558</v>
      </c>
      <c r="F189" s="1425" t="s">
        <v>1312</v>
      </c>
      <c r="G189" s="1431" t="s">
        <v>4189</v>
      </c>
      <c r="H189" s="1328"/>
      <c r="I189" s="1328"/>
      <c r="J189" s="1437"/>
      <c r="K189" s="1437"/>
      <c r="L189" s="1437"/>
      <c r="M189" s="1437"/>
      <c r="N189" s="1437"/>
      <c r="O189" s="1437"/>
      <c r="P189" s="1437"/>
      <c r="Q189" s="1437">
        <f>VLOOKUP(D189,'当期公摊测算表（全期）'!D:W,12,FALSE)</f>
        <v>0</v>
      </c>
      <c r="R189" s="1172">
        <f t="shared" ref="R189:R194" si="42">SUM(H189:Q189)</f>
        <v>0</v>
      </c>
      <c r="S189" s="1437">
        <f>VLOOKUP($D189,'当期公摊测算表（全期）'!D:W,17,FALSE)</f>
        <v>0</v>
      </c>
      <c r="T189" s="1437">
        <f t="shared" ref="T189:T194" si="43">R189+S189</f>
        <v>0</v>
      </c>
      <c r="U189" s="1438"/>
      <c r="V189" s="1225">
        <f t="shared" si="34"/>
        <v>0</v>
      </c>
      <c r="W189" s="1225">
        <f t="shared" si="35"/>
        <v>0</v>
      </c>
      <c r="X189" s="1225"/>
      <c r="Y189" s="1225"/>
    </row>
    <row r="190" spans="2:25" s="1221" customFormat="1" ht="13" hidden="1" outlineLevel="3">
      <c r="B190" s="1433" t="s">
        <v>598</v>
      </c>
      <c r="C190" s="1434"/>
      <c r="D190" s="1434" t="s">
        <v>3559</v>
      </c>
      <c r="E190" s="1431" t="s">
        <v>3560</v>
      </c>
      <c r="F190" s="1425" t="s">
        <v>454</v>
      </c>
      <c r="G190" s="1431" t="s">
        <v>4129</v>
      </c>
      <c r="H190" s="1328"/>
      <c r="I190" s="1328"/>
      <c r="J190" s="1437"/>
      <c r="K190" s="1437"/>
      <c r="L190" s="1437"/>
      <c r="M190" s="1437"/>
      <c r="N190" s="1437"/>
      <c r="O190" s="1437"/>
      <c r="P190" s="1437"/>
      <c r="Q190" s="1437">
        <f>VLOOKUP(D190,'当期公摊测算表（全期）'!D:W,12,FALSE)</f>
        <v>0</v>
      </c>
      <c r="R190" s="1172">
        <f t="shared" si="42"/>
        <v>0</v>
      </c>
      <c r="S190" s="1437">
        <f>VLOOKUP($D190,'当期公摊测算表（全期）'!D:W,17,FALSE)</f>
        <v>0</v>
      </c>
      <c r="T190" s="1437">
        <f t="shared" si="43"/>
        <v>0</v>
      </c>
      <c r="U190" s="1438"/>
      <c r="V190" s="1225">
        <f t="shared" si="34"/>
        <v>0</v>
      </c>
      <c r="W190" s="1225">
        <f t="shared" si="35"/>
        <v>0</v>
      </c>
      <c r="X190" s="1225"/>
      <c r="Y190" s="1225"/>
    </row>
    <row r="191" spans="2:25" s="1221" customFormat="1" ht="13" hidden="1" outlineLevel="3">
      <c r="B191" s="1433" t="s">
        <v>599</v>
      </c>
      <c r="C191" s="1434"/>
      <c r="D191" s="1434" t="s">
        <v>3561</v>
      </c>
      <c r="E191" s="1431" t="s">
        <v>3562</v>
      </c>
      <c r="F191" s="1425" t="s">
        <v>3556</v>
      </c>
      <c r="G191" s="1431" t="s">
        <v>4127</v>
      </c>
      <c r="H191" s="1328"/>
      <c r="I191" s="1328"/>
      <c r="J191" s="1437"/>
      <c r="K191" s="1437"/>
      <c r="L191" s="1437"/>
      <c r="M191" s="1437"/>
      <c r="N191" s="1437"/>
      <c r="O191" s="1437"/>
      <c r="P191" s="1437"/>
      <c r="Q191" s="1437">
        <f>VLOOKUP(D191,'当期公摊测算表（全期）'!D:W,12,FALSE)</f>
        <v>0</v>
      </c>
      <c r="R191" s="1172">
        <f t="shared" si="42"/>
        <v>0</v>
      </c>
      <c r="S191" s="1437">
        <f>VLOOKUP($D191,'当期公摊测算表（全期）'!D:W,17,FALSE)</f>
        <v>0</v>
      </c>
      <c r="T191" s="1437">
        <f t="shared" si="43"/>
        <v>0</v>
      </c>
      <c r="U191" s="1438"/>
      <c r="V191" s="1225">
        <f t="shared" si="34"/>
        <v>0</v>
      </c>
      <c r="W191" s="1225">
        <f t="shared" si="35"/>
        <v>0</v>
      </c>
      <c r="X191" s="1225"/>
      <c r="Y191" s="1225"/>
    </row>
    <row r="192" spans="2:25" s="1221" customFormat="1" ht="13" hidden="1" outlineLevel="3">
      <c r="B192" s="1433" t="s">
        <v>600</v>
      </c>
      <c r="C192" s="1434"/>
      <c r="D192" s="1434" t="s">
        <v>3563</v>
      </c>
      <c r="E192" s="1431" t="s">
        <v>3564</v>
      </c>
      <c r="F192" s="1425" t="s">
        <v>455</v>
      </c>
      <c r="G192" s="1431" t="s">
        <v>4128</v>
      </c>
      <c r="H192" s="1328"/>
      <c r="I192" s="1328"/>
      <c r="J192" s="1437"/>
      <c r="K192" s="1437"/>
      <c r="L192" s="1437"/>
      <c r="M192" s="1437"/>
      <c r="N192" s="1437"/>
      <c r="O192" s="1437"/>
      <c r="P192" s="1437"/>
      <c r="Q192" s="1437">
        <f>VLOOKUP(D192,'当期公摊测算表（全期）'!D:W,12,FALSE)</f>
        <v>0</v>
      </c>
      <c r="R192" s="1172">
        <f t="shared" si="42"/>
        <v>0</v>
      </c>
      <c r="S192" s="1437">
        <f>VLOOKUP($D192,'当期公摊测算表（全期）'!D:W,17,FALSE)</f>
        <v>0</v>
      </c>
      <c r="T192" s="1437">
        <f t="shared" si="43"/>
        <v>0</v>
      </c>
      <c r="U192" s="1438"/>
      <c r="V192" s="1225">
        <f t="shared" si="34"/>
        <v>0</v>
      </c>
      <c r="W192" s="1225">
        <f t="shared" si="35"/>
        <v>0</v>
      </c>
      <c r="X192" s="1225"/>
      <c r="Y192" s="1225"/>
    </row>
    <row r="193" spans="1:787" s="1247" customFormat="1" ht="13" hidden="1" outlineLevel="2">
      <c r="B193" s="1422" t="s">
        <v>3565</v>
      </c>
      <c r="C193" s="1423"/>
      <c r="D193" s="1423" t="s">
        <v>3566</v>
      </c>
      <c r="E193" s="1431" t="s">
        <v>3567</v>
      </c>
      <c r="F193" s="1425" t="s">
        <v>3568</v>
      </c>
      <c r="G193" s="1431" t="s">
        <v>4190</v>
      </c>
      <c r="H193" s="1446"/>
      <c r="I193" s="1446"/>
      <c r="J193" s="1427"/>
      <c r="K193" s="1427"/>
      <c r="L193" s="1427"/>
      <c r="M193" s="1427"/>
      <c r="N193" s="1427"/>
      <c r="O193" s="1427"/>
      <c r="P193" s="1427"/>
      <c r="Q193" s="1427">
        <f>VLOOKUP(D193,'当期公摊测算表（全期）'!D:W,12,FALSE)</f>
        <v>0</v>
      </c>
      <c r="R193" s="1428">
        <f t="shared" si="42"/>
        <v>0</v>
      </c>
      <c r="S193" s="1427">
        <f>VLOOKUP($D193,'当期公摊测算表（全期）'!D:W,17,FALSE)</f>
        <v>0</v>
      </c>
      <c r="T193" s="1427">
        <f t="shared" si="43"/>
        <v>0</v>
      </c>
      <c r="U193" s="1429"/>
      <c r="V193" s="1225">
        <f t="shared" si="34"/>
        <v>0</v>
      </c>
      <c r="W193" s="1225">
        <f t="shared" si="35"/>
        <v>0</v>
      </c>
      <c r="X193" s="1225"/>
      <c r="Y193" s="1225"/>
    </row>
    <row r="194" spans="1:787" s="1247" customFormat="1" ht="13" hidden="1" outlineLevel="2">
      <c r="B194" s="1422" t="s">
        <v>3569</v>
      </c>
      <c r="C194" s="1423"/>
      <c r="D194" s="1423" t="s">
        <v>543</v>
      </c>
      <c r="E194" s="1431" t="s">
        <v>3570</v>
      </c>
      <c r="F194" s="1425" t="s">
        <v>3537</v>
      </c>
      <c r="G194" s="1431" t="s">
        <v>4188</v>
      </c>
      <c r="H194" s="1328"/>
      <c r="I194" s="1328"/>
      <c r="J194" s="1427"/>
      <c r="K194" s="1427"/>
      <c r="L194" s="1427"/>
      <c r="M194" s="1427"/>
      <c r="N194" s="1427"/>
      <c r="O194" s="1427"/>
      <c r="P194" s="1427"/>
      <c r="Q194" s="1427">
        <f>VLOOKUP(D194,'当期公摊测算表（全期）'!D:W,12,FALSE)</f>
        <v>21.6145</v>
      </c>
      <c r="R194" s="1428">
        <f t="shared" si="42"/>
        <v>21.6145</v>
      </c>
      <c r="S194" s="1427">
        <f>VLOOKUP($D194,'当期公摊测算表（全期）'!D:W,17,FALSE)</f>
        <v>0</v>
      </c>
      <c r="T194" s="1427">
        <f t="shared" si="43"/>
        <v>21.6145</v>
      </c>
      <c r="U194" s="1429"/>
      <c r="V194" s="1225">
        <f t="shared" si="34"/>
        <v>0</v>
      </c>
      <c r="W194" s="1225">
        <f t="shared" si="35"/>
        <v>0</v>
      </c>
      <c r="X194" s="1225"/>
      <c r="Y194" s="1225"/>
    </row>
    <row r="195" spans="1:787" s="1421" customFormat="1" ht="13" hidden="1" outlineLevel="1">
      <c r="A195" s="1247"/>
      <c r="B195" s="1413" t="s">
        <v>494</v>
      </c>
      <c r="C195" s="1414"/>
      <c r="D195" s="1414" t="s">
        <v>3571</v>
      </c>
      <c r="E195" s="1417" t="s">
        <v>3572</v>
      </c>
      <c r="F195" s="1449" t="s">
        <v>3573</v>
      </c>
      <c r="G195" s="1448" t="s">
        <v>4191</v>
      </c>
      <c r="H195" s="1458"/>
      <c r="I195" s="1458"/>
      <c r="J195" s="1457"/>
      <c r="K195" s="1457"/>
      <c r="L195" s="1457"/>
      <c r="M195" s="1457"/>
      <c r="N195" s="1457"/>
      <c r="O195" s="1457"/>
      <c r="P195" s="1457"/>
      <c r="Q195" s="1419">
        <f>'当期公摊测算表（全期）'!O131</f>
        <v>0</v>
      </c>
      <c r="R195" s="1419">
        <f>H195+I195+J195+L195+N195+O195+P195+Q195</f>
        <v>0</v>
      </c>
      <c r="S195" s="1457"/>
      <c r="T195" s="1419">
        <f>H195+J195+L195+N195+O195+P195+Q195+S195</f>
        <v>0</v>
      </c>
      <c r="U195" s="1443"/>
      <c r="V195" s="1225">
        <f t="shared" si="34"/>
        <v>0</v>
      </c>
      <c r="W195" s="1225">
        <f t="shared" si="35"/>
        <v>0</v>
      </c>
      <c r="X195" s="1225"/>
      <c r="Y195" s="1225"/>
      <c r="Z195" s="1247"/>
      <c r="AA195" s="1247"/>
      <c r="AB195" s="1247"/>
      <c r="AC195" s="1247"/>
      <c r="AD195" s="1247"/>
      <c r="AE195" s="1247"/>
      <c r="AF195" s="1247"/>
      <c r="AG195" s="1247"/>
      <c r="AH195" s="1247"/>
      <c r="AI195" s="1247"/>
      <c r="AJ195" s="1247"/>
      <c r="AK195" s="1247"/>
      <c r="AL195" s="1247"/>
      <c r="AM195" s="1247"/>
      <c r="AN195" s="1247"/>
      <c r="AO195" s="1247"/>
      <c r="AP195" s="1247"/>
      <c r="AQ195" s="1247"/>
      <c r="AR195" s="1247"/>
      <c r="AS195" s="1247"/>
      <c r="AT195" s="1247"/>
      <c r="AU195" s="1247"/>
      <c r="AV195" s="1247"/>
      <c r="AW195" s="1247"/>
      <c r="AX195" s="1247"/>
      <c r="AY195" s="1247"/>
      <c r="AZ195" s="1247"/>
      <c r="BA195" s="1247"/>
      <c r="BB195" s="1247"/>
      <c r="BC195" s="1247"/>
      <c r="BD195" s="1247"/>
      <c r="BE195" s="1247"/>
      <c r="BF195" s="1247"/>
      <c r="BG195" s="1247"/>
      <c r="BH195" s="1247"/>
      <c r="BI195" s="1247"/>
      <c r="BJ195" s="1247"/>
      <c r="BK195" s="1247"/>
      <c r="BL195" s="1247"/>
      <c r="BM195" s="1247"/>
      <c r="BN195" s="1247"/>
      <c r="BO195" s="1247"/>
      <c r="BP195" s="1247"/>
      <c r="BQ195" s="1247"/>
      <c r="BR195" s="1247"/>
      <c r="BS195" s="1247"/>
      <c r="BT195" s="1247"/>
      <c r="BU195" s="1247"/>
      <c r="BV195" s="1247"/>
      <c r="BW195" s="1247"/>
      <c r="BX195" s="1247"/>
      <c r="BY195" s="1247"/>
      <c r="BZ195" s="1247"/>
      <c r="CA195" s="1247"/>
      <c r="CB195" s="1247"/>
      <c r="CC195" s="1247"/>
      <c r="CD195" s="1247"/>
      <c r="CE195" s="1247"/>
      <c r="CF195" s="1247"/>
      <c r="CG195" s="1247"/>
      <c r="CH195" s="1247"/>
      <c r="CI195" s="1247"/>
      <c r="CJ195" s="1247"/>
      <c r="CK195" s="1247"/>
      <c r="CL195" s="1247"/>
      <c r="CM195" s="1247"/>
      <c r="CN195" s="1247"/>
      <c r="CO195" s="1247"/>
      <c r="CP195" s="1247"/>
      <c r="CQ195" s="1247"/>
      <c r="CR195" s="1247"/>
      <c r="CS195" s="1247"/>
      <c r="CT195" s="1247"/>
      <c r="CU195" s="1247"/>
      <c r="CV195" s="1247"/>
      <c r="CW195" s="1247"/>
      <c r="CX195" s="1247"/>
      <c r="CY195" s="1247"/>
      <c r="CZ195" s="1247"/>
      <c r="DA195" s="1247"/>
      <c r="DB195" s="1247"/>
      <c r="DC195" s="1247"/>
      <c r="DD195" s="1247"/>
      <c r="DE195" s="1247"/>
      <c r="DF195" s="1247"/>
      <c r="DG195" s="1247"/>
      <c r="DH195" s="1247"/>
      <c r="DI195" s="1247"/>
      <c r="DJ195" s="1247"/>
      <c r="DK195" s="1247"/>
      <c r="DL195" s="1247"/>
      <c r="DM195" s="1247"/>
      <c r="DN195" s="1247"/>
      <c r="DO195" s="1247"/>
      <c r="DP195" s="1247"/>
      <c r="DQ195" s="1247"/>
      <c r="DR195" s="1247"/>
      <c r="DS195" s="1247"/>
      <c r="DT195" s="1247"/>
      <c r="DU195" s="1247"/>
      <c r="DV195" s="1247"/>
      <c r="DW195" s="1247"/>
      <c r="DX195" s="1247"/>
      <c r="DY195" s="1247"/>
      <c r="DZ195" s="1247"/>
      <c r="EA195" s="1247"/>
      <c r="EB195" s="1247"/>
      <c r="EC195" s="1247"/>
      <c r="ED195" s="1247"/>
      <c r="EE195" s="1247"/>
      <c r="EF195" s="1247"/>
      <c r="EG195" s="1247"/>
      <c r="EH195" s="1247"/>
      <c r="EI195" s="1247"/>
      <c r="EJ195" s="1247"/>
      <c r="EK195" s="1247"/>
      <c r="EL195" s="1247"/>
      <c r="EM195" s="1247"/>
      <c r="EN195" s="1247"/>
      <c r="EO195" s="1247"/>
      <c r="EP195" s="1247"/>
      <c r="EQ195" s="1247"/>
      <c r="ER195" s="1247"/>
      <c r="ES195" s="1247"/>
      <c r="ET195" s="1247"/>
      <c r="EU195" s="1247"/>
      <c r="EV195" s="1247"/>
      <c r="EW195" s="1247"/>
      <c r="EX195" s="1247"/>
      <c r="EY195" s="1247"/>
      <c r="EZ195" s="1247"/>
      <c r="FA195" s="1247"/>
      <c r="FB195" s="1247"/>
      <c r="FC195" s="1247"/>
      <c r="FD195" s="1247"/>
      <c r="FE195" s="1247"/>
      <c r="FF195" s="1247"/>
      <c r="FG195" s="1247"/>
      <c r="FH195" s="1247"/>
      <c r="FI195" s="1247"/>
      <c r="FJ195" s="1247"/>
      <c r="FK195" s="1247"/>
      <c r="FL195" s="1247"/>
      <c r="FM195" s="1247"/>
      <c r="FN195" s="1247"/>
      <c r="FO195" s="1247"/>
      <c r="FP195" s="1247"/>
      <c r="FQ195" s="1247"/>
      <c r="FR195" s="1247"/>
      <c r="FS195" s="1247"/>
      <c r="FT195" s="1247"/>
      <c r="FU195" s="1247"/>
      <c r="FV195" s="1247"/>
      <c r="FW195" s="1247"/>
      <c r="FX195" s="1247"/>
      <c r="FY195" s="1247"/>
      <c r="FZ195" s="1247"/>
      <c r="GA195" s="1247"/>
      <c r="GB195" s="1247"/>
      <c r="GC195" s="1247"/>
      <c r="GD195" s="1247"/>
      <c r="GE195" s="1247"/>
      <c r="GF195" s="1247"/>
      <c r="GG195" s="1247"/>
      <c r="GH195" s="1247"/>
      <c r="GI195" s="1247"/>
      <c r="GJ195" s="1247"/>
      <c r="GK195" s="1247"/>
      <c r="GL195" s="1247"/>
      <c r="GM195" s="1247"/>
      <c r="GN195" s="1247"/>
      <c r="GO195" s="1247"/>
      <c r="GP195" s="1247"/>
      <c r="GQ195" s="1247"/>
      <c r="GR195" s="1247"/>
      <c r="GS195" s="1247"/>
      <c r="GT195" s="1247"/>
      <c r="GU195" s="1247"/>
      <c r="GV195" s="1247"/>
      <c r="GW195" s="1247"/>
      <c r="GX195" s="1247"/>
      <c r="GY195" s="1247"/>
      <c r="GZ195" s="1247"/>
      <c r="HA195" s="1247"/>
      <c r="HB195" s="1247"/>
      <c r="HC195" s="1247"/>
      <c r="HD195" s="1247"/>
      <c r="HE195" s="1247"/>
      <c r="HF195" s="1247"/>
      <c r="HG195" s="1247"/>
      <c r="HH195" s="1247"/>
      <c r="HI195" s="1247"/>
      <c r="HJ195" s="1247"/>
      <c r="HK195" s="1247"/>
      <c r="HL195" s="1247"/>
      <c r="HM195" s="1247"/>
      <c r="HN195" s="1247"/>
      <c r="HO195" s="1247"/>
      <c r="HP195" s="1247"/>
      <c r="HQ195" s="1247"/>
      <c r="HR195" s="1247"/>
      <c r="HS195" s="1247"/>
      <c r="HT195" s="1247"/>
      <c r="HU195" s="1247"/>
      <c r="HV195" s="1247"/>
      <c r="HW195" s="1247"/>
      <c r="HX195" s="1247"/>
      <c r="HY195" s="1247"/>
      <c r="HZ195" s="1247"/>
      <c r="IA195" s="1247"/>
      <c r="IB195" s="1247"/>
      <c r="IC195" s="1247"/>
      <c r="ID195" s="1247"/>
      <c r="IE195" s="1247"/>
      <c r="IF195" s="1247"/>
      <c r="IG195" s="1247"/>
      <c r="IH195" s="1247"/>
      <c r="II195" s="1247"/>
      <c r="IJ195" s="1247"/>
      <c r="IK195" s="1247"/>
      <c r="IL195" s="1247"/>
      <c r="IM195" s="1247"/>
      <c r="IN195" s="1247"/>
      <c r="IO195" s="1247"/>
      <c r="IP195" s="1247"/>
      <c r="IQ195" s="1247"/>
      <c r="IR195" s="1247"/>
      <c r="IS195" s="1247"/>
      <c r="IT195" s="1247"/>
      <c r="IU195" s="1247"/>
      <c r="IV195" s="1247"/>
      <c r="IW195" s="1247"/>
      <c r="IX195" s="1247"/>
      <c r="IY195" s="1247"/>
      <c r="IZ195" s="1247"/>
      <c r="JA195" s="1247"/>
      <c r="JB195" s="1247"/>
      <c r="JC195" s="1247"/>
      <c r="JD195" s="1247"/>
      <c r="JE195" s="1247"/>
      <c r="JF195" s="1247"/>
      <c r="JG195" s="1247"/>
      <c r="JH195" s="1247"/>
      <c r="JI195" s="1247"/>
      <c r="JJ195" s="1247"/>
      <c r="JK195" s="1247"/>
      <c r="JL195" s="1247"/>
      <c r="JM195" s="1247"/>
      <c r="JN195" s="1247"/>
      <c r="JO195" s="1247"/>
      <c r="JP195" s="1247"/>
      <c r="JQ195" s="1247"/>
      <c r="JR195" s="1247"/>
      <c r="JS195" s="1247"/>
      <c r="JT195" s="1247"/>
      <c r="JU195" s="1247"/>
      <c r="JV195" s="1247"/>
      <c r="JW195" s="1247"/>
      <c r="JX195" s="1247"/>
      <c r="JY195" s="1247"/>
      <c r="JZ195" s="1247"/>
      <c r="KA195" s="1247"/>
      <c r="KB195" s="1247"/>
      <c r="KC195" s="1247"/>
      <c r="KD195" s="1247"/>
      <c r="KE195" s="1247"/>
      <c r="KF195" s="1247"/>
      <c r="KG195" s="1247"/>
      <c r="KH195" s="1247"/>
      <c r="KI195" s="1247"/>
      <c r="KJ195" s="1247"/>
      <c r="KK195" s="1247"/>
      <c r="KL195" s="1247"/>
      <c r="KM195" s="1247"/>
      <c r="KN195" s="1247"/>
      <c r="KO195" s="1247"/>
      <c r="KP195" s="1247"/>
      <c r="KQ195" s="1247"/>
      <c r="KR195" s="1247"/>
      <c r="KS195" s="1247"/>
      <c r="KT195" s="1247"/>
      <c r="KU195" s="1247"/>
      <c r="KV195" s="1247"/>
      <c r="KW195" s="1247"/>
      <c r="KX195" s="1247"/>
      <c r="KY195" s="1247"/>
      <c r="KZ195" s="1247"/>
      <c r="LA195" s="1247"/>
      <c r="LB195" s="1247"/>
      <c r="LC195" s="1247"/>
      <c r="LD195" s="1247"/>
      <c r="LE195" s="1247"/>
      <c r="LF195" s="1247"/>
      <c r="LG195" s="1247"/>
      <c r="LH195" s="1247"/>
      <c r="LI195" s="1247"/>
      <c r="LJ195" s="1247"/>
      <c r="LK195" s="1247"/>
      <c r="LL195" s="1247"/>
      <c r="LM195" s="1247"/>
      <c r="LN195" s="1247"/>
      <c r="LO195" s="1247"/>
      <c r="LP195" s="1247"/>
      <c r="LQ195" s="1247"/>
      <c r="LR195" s="1247"/>
      <c r="LS195" s="1247"/>
      <c r="LT195" s="1247"/>
      <c r="LU195" s="1247"/>
      <c r="LV195" s="1247"/>
      <c r="LW195" s="1247"/>
      <c r="LX195" s="1247"/>
      <c r="LY195" s="1247"/>
      <c r="LZ195" s="1247"/>
      <c r="MA195" s="1247"/>
      <c r="MB195" s="1247"/>
      <c r="MC195" s="1247"/>
      <c r="MD195" s="1247"/>
      <c r="ME195" s="1247"/>
      <c r="MF195" s="1247"/>
      <c r="MG195" s="1247"/>
      <c r="MH195" s="1247"/>
      <c r="MI195" s="1247"/>
      <c r="MJ195" s="1247"/>
      <c r="MK195" s="1247"/>
      <c r="ML195" s="1247"/>
      <c r="MM195" s="1247"/>
      <c r="MN195" s="1247"/>
      <c r="MO195" s="1247"/>
      <c r="MP195" s="1247"/>
      <c r="MQ195" s="1247"/>
      <c r="MR195" s="1247"/>
      <c r="MS195" s="1247"/>
      <c r="MT195" s="1247"/>
      <c r="MU195" s="1247"/>
      <c r="MV195" s="1247"/>
      <c r="MW195" s="1247"/>
      <c r="MX195" s="1247"/>
      <c r="MY195" s="1247"/>
      <c r="MZ195" s="1247"/>
      <c r="NA195" s="1247"/>
      <c r="NB195" s="1247"/>
      <c r="NC195" s="1247"/>
      <c r="ND195" s="1247"/>
      <c r="NE195" s="1247"/>
      <c r="NF195" s="1247"/>
      <c r="NG195" s="1247"/>
      <c r="NH195" s="1247"/>
      <c r="NI195" s="1247"/>
      <c r="NJ195" s="1247"/>
      <c r="NK195" s="1247"/>
      <c r="NL195" s="1247"/>
      <c r="NM195" s="1247"/>
      <c r="NN195" s="1247"/>
      <c r="NO195" s="1247"/>
      <c r="NP195" s="1247"/>
      <c r="NQ195" s="1247"/>
      <c r="NR195" s="1247"/>
      <c r="NS195" s="1247"/>
      <c r="NT195" s="1247"/>
      <c r="NU195" s="1247"/>
      <c r="NV195" s="1247"/>
      <c r="NW195" s="1247"/>
      <c r="NX195" s="1247"/>
      <c r="NY195" s="1247"/>
      <c r="NZ195" s="1247"/>
      <c r="OA195" s="1247"/>
      <c r="OB195" s="1247"/>
      <c r="OC195" s="1247"/>
      <c r="OD195" s="1247"/>
      <c r="OE195" s="1247"/>
      <c r="OF195" s="1247"/>
      <c r="OG195" s="1247"/>
      <c r="OH195" s="1247"/>
      <c r="OI195" s="1247"/>
      <c r="OJ195" s="1247"/>
      <c r="OK195" s="1247"/>
      <c r="OL195" s="1247"/>
      <c r="OM195" s="1247"/>
      <c r="ON195" s="1247"/>
      <c r="OO195" s="1247"/>
      <c r="OP195" s="1247"/>
      <c r="OQ195" s="1247"/>
      <c r="OR195" s="1247"/>
      <c r="OS195" s="1247"/>
      <c r="OT195" s="1247"/>
      <c r="OU195" s="1247"/>
      <c r="OV195" s="1247"/>
      <c r="OW195" s="1247"/>
      <c r="OX195" s="1247"/>
      <c r="OY195" s="1247"/>
      <c r="OZ195" s="1247"/>
      <c r="PA195" s="1247"/>
      <c r="PB195" s="1247"/>
      <c r="PC195" s="1247"/>
      <c r="PD195" s="1247"/>
      <c r="PE195" s="1247"/>
      <c r="PF195" s="1247"/>
      <c r="PG195" s="1247"/>
      <c r="PH195" s="1247"/>
      <c r="PI195" s="1247"/>
      <c r="PJ195" s="1247"/>
      <c r="PK195" s="1247"/>
      <c r="PL195" s="1247"/>
      <c r="PM195" s="1247"/>
      <c r="PN195" s="1247"/>
      <c r="PO195" s="1247"/>
      <c r="PP195" s="1247"/>
      <c r="PQ195" s="1247"/>
      <c r="PR195" s="1247"/>
      <c r="PS195" s="1247"/>
      <c r="PT195" s="1247"/>
      <c r="PU195" s="1247"/>
      <c r="PV195" s="1247"/>
      <c r="PW195" s="1247"/>
      <c r="PX195" s="1247"/>
      <c r="PY195" s="1247"/>
      <c r="PZ195" s="1247"/>
      <c r="QA195" s="1247"/>
      <c r="QB195" s="1247"/>
      <c r="QC195" s="1247"/>
      <c r="QD195" s="1247"/>
      <c r="QE195" s="1247"/>
      <c r="QF195" s="1247"/>
      <c r="QG195" s="1247"/>
      <c r="QH195" s="1247"/>
      <c r="QI195" s="1247"/>
      <c r="QJ195" s="1247"/>
      <c r="QK195" s="1247"/>
      <c r="QL195" s="1247"/>
      <c r="QM195" s="1247"/>
      <c r="QN195" s="1247"/>
      <c r="QO195" s="1247"/>
      <c r="QP195" s="1247"/>
      <c r="QQ195" s="1247"/>
      <c r="QR195" s="1247"/>
      <c r="QS195" s="1247"/>
      <c r="QT195" s="1247"/>
      <c r="QU195" s="1247"/>
      <c r="QV195" s="1247"/>
      <c r="QW195" s="1247"/>
      <c r="QX195" s="1247"/>
      <c r="QY195" s="1247"/>
      <c r="QZ195" s="1247"/>
      <c r="RA195" s="1247"/>
      <c r="RB195" s="1247"/>
      <c r="RC195" s="1247"/>
      <c r="RD195" s="1247"/>
      <c r="RE195" s="1247"/>
      <c r="RF195" s="1247"/>
      <c r="RG195" s="1247"/>
      <c r="RH195" s="1247"/>
      <c r="RI195" s="1247"/>
      <c r="RJ195" s="1247"/>
      <c r="RK195" s="1247"/>
      <c r="RL195" s="1247"/>
      <c r="RM195" s="1247"/>
      <c r="RN195" s="1247"/>
      <c r="RO195" s="1247"/>
      <c r="RP195" s="1247"/>
      <c r="RQ195" s="1247"/>
      <c r="RR195" s="1247"/>
      <c r="RS195" s="1247"/>
      <c r="RT195" s="1247"/>
      <c r="RU195" s="1247"/>
      <c r="RV195" s="1247"/>
      <c r="RW195" s="1247"/>
      <c r="RX195" s="1247"/>
      <c r="RY195" s="1247"/>
      <c r="RZ195" s="1247"/>
      <c r="SA195" s="1247"/>
      <c r="SB195" s="1247"/>
      <c r="SC195" s="1247"/>
      <c r="SD195" s="1247"/>
      <c r="SE195" s="1247"/>
      <c r="SF195" s="1247"/>
      <c r="SG195" s="1247"/>
      <c r="SH195" s="1247"/>
      <c r="SI195" s="1247"/>
      <c r="SJ195" s="1247"/>
      <c r="SK195" s="1247"/>
      <c r="SL195" s="1247"/>
      <c r="SM195" s="1247"/>
      <c r="SN195" s="1247"/>
      <c r="SO195" s="1247"/>
      <c r="SP195" s="1247"/>
      <c r="SQ195" s="1247"/>
      <c r="SR195" s="1247"/>
      <c r="SS195" s="1247"/>
      <c r="ST195" s="1247"/>
      <c r="SU195" s="1247"/>
      <c r="SV195" s="1247"/>
      <c r="SW195" s="1247"/>
      <c r="SX195" s="1247"/>
      <c r="SY195" s="1247"/>
      <c r="SZ195" s="1247"/>
      <c r="TA195" s="1247"/>
      <c r="TB195" s="1247"/>
      <c r="TC195" s="1247"/>
      <c r="TD195" s="1247"/>
      <c r="TE195" s="1247"/>
      <c r="TF195" s="1247"/>
      <c r="TG195" s="1247"/>
      <c r="TH195" s="1247"/>
      <c r="TI195" s="1247"/>
      <c r="TJ195" s="1247"/>
      <c r="TK195" s="1247"/>
      <c r="TL195" s="1247"/>
      <c r="TM195" s="1247"/>
      <c r="TN195" s="1247"/>
      <c r="TO195" s="1247"/>
      <c r="TP195" s="1247"/>
      <c r="TQ195" s="1247"/>
      <c r="TR195" s="1247"/>
      <c r="TS195" s="1247"/>
      <c r="TT195" s="1247"/>
      <c r="TU195" s="1247"/>
      <c r="TV195" s="1247"/>
      <c r="TW195" s="1247"/>
      <c r="TX195" s="1247"/>
      <c r="TY195" s="1247"/>
      <c r="TZ195" s="1247"/>
      <c r="UA195" s="1247"/>
      <c r="UB195" s="1247"/>
      <c r="UC195" s="1247"/>
      <c r="UD195" s="1247"/>
      <c r="UE195" s="1247"/>
      <c r="UF195" s="1247"/>
      <c r="UG195" s="1247"/>
      <c r="UH195" s="1247"/>
      <c r="UI195" s="1247"/>
      <c r="UJ195" s="1247"/>
      <c r="UK195" s="1247"/>
      <c r="UL195" s="1247"/>
      <c r="UM195" s="1247"/>
      <c r="UN195" s="1247"/>
      <c r="UO195" s="1247"/>
      <c r="UP195" s="1247"/>
      <c r="UQ195" s="1247"/>
      <c r="UR195" s="1247"/>
      <c r="US195" s="1247"/>
      <c r="UT195" s="1247"/>
      <c r="UU195" s="1247"/>
      <c r="UV195" s="1247"/>
      <c r="UW195" s="1247"/>
      <c r="UX195" s="1247"/>
      <c r="UY195" s="1247"/>
      <c r="UZ195" s="1247"/>
      <c r="VA195" s="1247"/>
      <c r="VB195" s="1247"/>
      <c r="VC195" s="1247"/>
      <c r="VD195" s="1247"/>
      <c r="VE195" s="1247"/>
      <c r="VF195" s="1247"/>
      <c r="VG195" s="1247"/>
      <c r="VH195" s="1247"/>
      <c r="VI195" s="1247"/>
      <c r="VJ195" s="1247"/>
      <c r="VK195" s="1247"/>
      <c r="VL195" s="1247"/>
      <c r="VM195" s="1247"/>
      <c r="VN195" s="1247"/>
      <c r="VO195" s="1247"/>
      <c r="VP195" s="1247"/>
      <c r="VQ195" s="1247"/>
      <c r="VR195" s="1247"/>
      <c r="VS195" s="1247"/>
      <c r="VT195" s="1247"/>
      <c r="VU195" s="1247"/>
      <c r="VV195" s="1247"/>
      <c r="VW195" s="1247"/>
      <c r="VX195" s="1247"/>
      <c r="VY195" s="1247"/>
      <c r="VZ195" s="1247"/>
      <c r="WA195" s="1247"/>
      <c r="WB195" s="1247"/>
      <c r="WC195" s="1247"/>
      <c r="WD195" s="1247"/>
      <c r="WE195" s="1247"/>
      <c r="WF195" s="1247"/>
      <c r="WG195" s="1247"/>
      <c r="WH195" s="1247"/>
      <c r="WI195" s="1247"/>
      <c r="WJ195" s="1247"/>
      <c r="WK195" s="1247"/>
      <c r="WL195" s="1247"/>
      <c r="WM195" s="1247"/>
      <c r="WN195" s="1247"/>
      <c r="WO195" s="1247"/>
      <c r="WP195" s="1247"/>
      <c r="WQ195" s="1247"/>
      <c r="WR195" s="1247"/>
      <c r="WS195" s="1247"/>
      <c r="WT195" s="1247"/>
      <c r="WU195" s="1247"/>
      <c r="WV195" s="1247"/>
      <c r="WW195" s="1247"/>
      <c r="WX195" s="1247"/>
      <c r="WY195" s="1247"/>
      <c r="WZ195" s="1247"/>
      <c r="XA195" s="1247"/>
      <c r="XB195" s="1247"/>
      <c r="XC195" s="1247"/>
      <c r="XD195" s="1247"/>
      <c r="XE195" s="1247"/>
      <c r="XF195" s="1247"/>
      <c r="XG195" s="1247"/>
      <c r="XH195" s="1247"/>
      <c r="XI195" s="1247"/>
      <c r="XJ195" s="1247"/>
      <c r="XK195" s="1247"/>
      <c r="XL195" s="1247"/>
      <c r="XM195" s="1247"/>
      <c r="XN195" s="1247"/>
      <c r="XO195" s="1247"/>
      <c r="XP195" s="1247"/>
      <c r="XQ195" s="1247"/>
      <c r="XR195" s="1247"/>
      <c r="XS195" s="1247"/>
      <c r="XT195" s="1247"/>
      <c r="XU195" s="1247"/>
      <c r="XV195" s="1247"/>
      <c r="XW195" s="1247"/>
      <c r="XX195" s="1247"/>
      <c r="XY195" s="1247"/>
      <c r="XZ195" s="1247"/>
      <c r="YA195" s="1247"/>
      <c r="YB195" s="1247"/>
      <c r="YC195" s="1247"/>
      <c r="YD195" s="1247"/>
      <c r="YE195" s="1247"/>
      <c r="YF195" s="1247"/>
      <c r="YG195" s="1247"/>
      <c r="YH195" s="1247"/>
      <c r="YI195" s="1247"/>
      <c r="YJ195" s="1247"/>
      <c r="YK195" s="1247"/>
      <c r="YL195" s="1247"/>
      <c r="YM195" s="1247"/>
      <c r="YN195" s="1247"/>
      <c r="YO195" s="1247"/>
      <c r="YP195" s="1247"/>
      <c r="YQ195" s="1247"/>
      <c r="YR195" s="1247"/>
      <c r="YS195" s="1247"/>
      <c r="YT195" s="1247"/>
      <c r="YU195" s="1247"/>
      <c r="YV195" s="1247"/>
      <c r="YW195" s="1247"/>
      <c r="YX195" s="1247"/>
      <c r="YY195" s="1247"/>
      <c r="YZ195" s="1247"/>
      <c r="ZA195" s="1247"/>
      <c r="ZB195" s="1247"/>
      <c r="ZC195" s="1247"/>
      <c r="ZD195" s="1247"/>
      <c r="ZE195" s="1247"/>
      <c r="ZF195" s="1247"/>
      <c r="ZG195" s="1247"/>
      <c r="ZH195" s="1247"/>
      <c r="ZI195" s="1247"/>
      <c r="ZJ195" s="1247"/>
      <c r="ZK195" s="1247"/>
      <c r="ZL195" s="1247"/>
      <c r="ZM195" s="1247"/>
      <c r="ZN195" s="1247"/>
      <c r="ZO195" s="1247"/>
      <c r="ZP195" s="1247"/>
      <c r="ZQ195" s="1247"/>
      <c r="ZR195" s="1247"/>
      <c r="ZS195" s="1247"/>
      <c r="ZT195" s="1247"/>
      <c r="ZU195" s="1247"/>
      <c r="ZV195" s="1247"/>
      <c r="ZW195" s="1247"/>
      <c r="ZX195" s="1247"/>
      <c r="ZY195" s="1247"/>
      <c r="ZZ195" s="1247"/>
      <c r="AAA195" s="1247"/>
      <c r="AAB195" s="1247"/>
      <c r="AAC195" s="1247"/>
      <c r="AAD195" s="1247"/>
      <c r="AAE195" s="1247"/>
      <c r="AAF195" s="1247"/>
      <c r="AAG195" s="1247"/>
      <c r="AAH195" s="1247"/>
      <c r="AAI195" s="1247"/>
      <c r="AAJ195" s="1247"/>
      <c r="AAK195" s="1247"/>
      <c r="AAL195" s="1247"/>
      <c r="AAM195" s="1247"/>
      <c r="AAN195" s="1247"/>
      <c r="AAO195" s="1247"/>
      <c r="AAP195" s="1247"/>
      <c r="AAQ195" s="1247"/>
      <c r="AAR195" s="1247"/>
      <c r="AAS195" s="1247"/>
      <c r="AAT195" s="1247"/>
      <c r="AAU195" s="1247"/>
      <c r="AAV195" s="1247"/>
      <c r="AAW195" s="1247"/>
      <c r="AAX195" s="1247"/>
      <c r="AAY195" s="1247"/>
      <c r="AAZ195" s="1247"/>
      <c r="ABA195" s="1247"/>
      <c r="ABB195" s="1247"/>
      <c r="ABC195" s="1247"/>
      <c r="ABD195" s="1247"/>
      <c r="ABE195" s="1247"/>
      <c r="ABF195" s="1247"/>
      <c r="ABG195" s="1247"/>
      <c r="ABH195" s="1247"/>
      <c r="ABI195" s="1247"/>
      <c r="ABJ195" s="1247"/>
      <c r="ABK195" s="1247"/>
      <c r="ABL195" s="1247"/>
      <c r="ABM195" s="1247"/>
      <c r="ABN195" s="1247"/>
      <c r="ABO195" s="1247"/>
      <c r="ABP195" s="1247"/>
      <c r="ABQ195" s="1247"/>
      <c r="ABR195" s="1247"/>
      <c r="ABS195" s="1247"/>
      <c r="ABT195" s="1247"/>
      <c r="ABU195" s="1247"/>
      <c r="ABV195" s="1247"/>
      <c r="ABW195" s="1247"/>
      <c r="ABX195" s="1247"/>
      <c r="ABY195" s="1247"/>
      <c r="ABZ195" s="1247"/>
      <c r="ACA195" s="1247"/>
      <c r="ACB195" s="1247"/>
      <c r="ACC195" s="1247"/>
      <c r="ACD195" s="1247"/>
      <c r="ACE195" s="1247"/>
      <c r="ACF195" s="1247"/>
      <c r="ACG195" s="1247"/>
      <c r="ACH195" s="1247"/>
      <c r="ACI195" s="1247"/>
      <c r="ACJ195" s="1247"/>
      <c r="ACK195" s="1247"/>
      <c r="ACL195" s="1247"/>
      <c r="ACM195" s="1247"/>
      <c r="ACN195" s="1247"/>
      <c r="ACO195" s="1247"/>
      <c r="ACP195" s="1247"/>
      <c r="ACQ195" s="1247"/>
      <c r="ACR195" s="1247"/>
      <c r="ACS195" s="1247"/>
      <c r="ACT195" s="1247"/>
      <c r="ACU195" s="1247"/>
      <c r="ACV195" s="1247"/>
      <c r="ACW195" s="1247"/>
      <c r="ACX195" s="1247"/>
      <c r="ACY195" s="1247"/>
      <c r="ACZ195" s="1247"/>
      <c r="ADA195" s="1247"/>
      <c r="ADB195" s="1247"/>
      <c r="ADC195" s="1247"/>
      <c r="ADD195" s="1247"/>
      <c r="ADE195" s="1247"/>
      <c r="ADF195" s="1247"/>
      <c r="ADG195" s="1247"/>
    </row>
    <row r="196" spans="1:787" s="1412" customFormat="1" ht="13" collapsed="1">
      <c r="A196" s="1247"/>
      <c r="B196" s="1403" t="s">
        <v>675</v>
      </c>
      <c r="C196" s="1404"/>
      <c r="D196" s="1404" t="s">
        <v>3574</v>
      </c>
      <c r="E196" s="1459"/>
      <c r="F196" s="1406"/>
      <c r="G196" s="1407" t="s">
        <v>4117</v>
      </c>
      <c r="H196" s="1408">
        <f>SUBTOTAL(9,H197:H221)</f>
        <v>0</v>
      </c>
      <c r="I196" s="1408">
        <f t="shared" ref="I196:T196" si="44">SUBTOTAL(9,I197:I221)</f>
        <v>0</v>
      </c>
      <c r="J196" s="1409">
        <f t="shared" si="44"/>
        <v>2666.8117189999998</v>
      </c>
      <c r="K196" s="1409">
        <f t="shared" si="44"/>
        <v>0</v>
      </c>
      <c r="L196" s="1409">
        <f t="shared" si="44"/>
        <v>162.73784999999998</v>
      </c>
      <c r="M196" s="1409">
        <f t="shared" si="44"/>
        <v>0</v>
      </c>
      <c r="N196" s="1409">
        <f t="shared" si="44"/>
        <v>0</v>
      </c>
      <c r="O196" s="1409">
        <f t="shared" si="44"/>
        <v>0</v>
      </c>
      <c r="P196" s="1409">
        <f t="shared" si="44"/>
        <v>4660.6333419999992</v>
      </c>
      <c r="Q196" s="1409">
        <f t="shared" si="44"/>
        <v>0</v>
      </c>
      <c r="R196" s="1409">
        <f t="shared" si="44"/>
        <v>7490.1829110000017</v>
      </c>
      <c r="S196" s="1409">
        <f t="shared" si="44"/>
        <v>0</v>
      </c>
      <c r="T196" s="1409">
        <f t="shared" si="44"/>
        <v>7490.1829110000017</v>
      </c>
      <c r="U196" s="1411"/>
      <c r="V196" s="1225">
        <f t="shared" si="34"/>
        <v>-2.7284841053187847E-12</v>
      </c>
      <c r="W196" s="1225">
        <f t="shared" si="35"/>
        <v>0</v>
      </c>
      <c r="X196" s="1225"/>
      <c r="Y196" s="1225"/>
      <c r="Z196" s="1247"/>
      <c r="AA196" s="1247"/>
      <c r="AB196" s="1247"/>
      <c r="AC196" s="1247"/>
      <c r="AD196" s="1247"/>
      <c r="AE196" s="1247"/>
      <c r="AF196" s="1247"/>
      <c r="AG196" s="1247"/>
      <c r="AH196" s="1247"/>
      <c r="AI196" s="1247"/>
      <c r="AJ196" s="1247"/>
      <c r="AK196" s="1247"/>
      <c r="AL196" s="1247"/>
      <c r="AM196" s="1247"/>
      <c r="AN196" s="1247"/>
      <c r="AO196" s="1247"/>
      <c r="AP196" s="1247"/>
      <c r="AQ196" s="1247"/>
      <c r="AR196" s="1247"/>
      <c r="AS196" s="1247"/>
      <c r="AT196" s="1247"/>
      <c r="AU196" s="1247"/>
      <c r="AV196" s="1247"/>
      <c r="AW196" s="1247"/>
      <c r="AX196" s="1247"/>
      <c r="AY196" s="1247"/>
      <c r="AZ196" s="1247"/>
      <c r="BA196" s="1247"/>
      <c r="BB196" s="1247"/>
      <c r="BC196" s="1247"/>
      <c r="BD196" s="1247"/>
      <c r="BE196" s="1247"/>
      <c r="BF196" s="1247"/>
      <c r="BG196" s="1247"/>
      <c r="BH196" s="1247"/>
      <c r="BI196" s="1247"/>
      <c r="BJ196" s="1247"/>
      <c r="BK196" s="1247"/>
      <c r="BL196" s="1247"/>
      <c r="BM196" s="1247"/>
      <c r="BN196" s="1247"/>
      <c r="BO196" s="1247"/>
      <c r="BP196" s="1247"/>
      <c r="BQ196" s="1247"/>
      <c r="BR196" s="1247"/>
      <c r="BS196" s="1247"/>
      <c r="BT196" s="1247"/>
      <c r="BU196" s="1247"/>
      <c r="BV196" s="1247"/>
      <c r="BW196" s="1247"/>
      <c r="BX196" s="1247"/>
      <c r="BY196" s="1247"/>
      <c r="BZ196" s="1247"/>
      <c r="CA196" s="1247"/>
      <c r="CB196" s="1247"/>
      <c r="CC196" s="1247"/>
      <c r="CD196" s="1247"/>
      <c r="CE196" s="1247"/>
      <c r="CF196" s="1247"/>
      <c r="CG196" s="1247"/>
      <c r="CH196" s="1247"/>
      <c r="CI196" s="1247"/>
      <c r="CJ196" s="1247"/>
      <c r="CK196" s="1247"/>
      <c r="CL196" s="1247"/>
      <c r="CM196" s="1247"/>
      <c r="CN196" s="1247"/>
      <c r="CO196" s="1247"/>
      <c r="CP196" s="1247"/>
      <c r="CQ196" s="1247"/>
      <c r="CR196" s="1247"/>
      <c r="CS196" s="1247"/>
      <c r="CT196" s="1247"/>
      <c r="CU196" s="1247"/>
      <c r="CV196" s="1247"/>
      <c r="CW196" s="1247"/>
      <c r="CX196" s="1247"/>
      <c r="CY196" s="1247"/>
      <c r="CZ196" s="1247"/>
      <c r="DA196" s="1247"/>
      <c r="DB196" s="1247"/>
      <c r="DC196" s="1247"/>
      <c r="DD196" s="1247"/>
      <c r="DE196" s="1247"/>
      <c r="DF196" s="1247"/>
      <c r="DG196" s="1247"/>
      <c r="DH196" s="1247"/>
      <c r="DI196" s="1247"/>
      <c r="DJ196" s="1247"/>
      <c r="DK196" s="1247"/>
      <c r="DL196" s="1247"/>
      <c r="DM196" s="1247"/>
      <c r="DN196" s="1247"/>
      <c r="DO196" s="1247"/>
      <c r="DP196" s="1247"/>
      <c r="DQ196" s="1247"/>
      <c r="DR196" s="1247"/>
      <c r="DS196" s="1247"/>
      <c r="DT196" s="1247"/>
      <c r="DU196" s="1247"/>
      <c r="DV196" s="1247"/>
      <c r="DW196" s="1247"/>
      <c r="DX196" s="1247"/>
      <c r="DY196" s="1247"/>
      <c r="DZ196" s="1247"/>
      <c r="EA196" s="1247"/>
      <c r="EB196" s="1247"/>
      <c r="EC196" s="1247"/>
      <c r="ED196" s="1247"/>
      <c r="EE196" s="1247"/>
      <c r="EF196" s="1247"/>
      <c r="EG196" s="1247"/>
      <c r="EH196" s="1247"/>
      <c r="EI196" s="1247"/>
      <c r="EJ196" s="1247"/>
      <c r="EK196" s="1247"/>
      <c r="EL196" s="1247"/>
      <c r="EM196" s="1247"/>
      <c r="EN196" s="1247"/>
      <c r="EO196" s="1247"/>
      <c r="EP196" s="1247"/>
      <c r="EQ196" s="1247"/>
      <c r="ER196" s="1247"/>
      <c r="ES196" s="1247"/>
      <c r="ET196" s="1247"/>
      <c r="EU196" s="1247"/>
      <c r="EV196" s="1247"/>
      <c r="EW196" s="1247"/>
      <c r="EX196" s="1247"/>
      <c r="EY196" s="1247"/>
      <c r="EZ196" s="1247"/>
      <c r="FA196" s="1247"/>
      <c r="FB196" s="1247"/>
      <c r="FC196" s="1247"/>
      <c r="FD196" s="1247"/>
      <c r="FE196" s="1247"/>
      <c r="FF196" s="1247"/>
      <c r="FG196" s="1247"/>
      <c r="FH196" s="1247"/>
      <c r="FI196" s="1247"/>
      <c r="FJ196" s="1247"/>
      <c r="FK196" s="1247"/>
      <c r="FL196" s="1247"/>
      <c r="FM196" s="1247"/>
      <c r="FN196" s="1247"/>
      <c r="FO196" s="1247"/>
      <c r="FP196" s="1247"/>
      <c r="FQ196" s="1247"/>
      <c r="FR196" s="1247"/>
      <c r="FS196" s="1247"/>
      <c r="FT196" s="1247"/>
      <c r="FU196" s="1247"/>
      <c r="FV196" s="1247"/>
      <c r="FW196" s="1247"/>
      <c r="FX196" s="1247"/>
      <c r="FY196" s="1247"/>
      <c r="FZ196" s="1247"/>
      <c r="GA196" s="1247"/>
      <c r="GB196" s="1247"/>
      <c r="GC196" s="1247"/>
      <c r="GD196" s="1247"/>
      <c r="GE196" s="1247"/>
      <c r="GF196" s="1247"/>
      <c r="GG196" s="1247"/>
      <c r="GH196" s="1247"/>
      <c r="GI196" s="1247"/>
      <c r="GJ196" s="1247"/>
      <c r="GK196" s="1247"/>
      <c r="GL196" s="1247"/>
      <c r="GM196" s="1247"/>
      <c r="GN196" s="1247"/>
      <c r="GO196" s="1247"/>
      <c r="GP196" s="1247"/>
      <c r="GQ196" s="1247"/>
      <c r="GR196" s="1247"/>
      <c r="GS196" s="1247"/>
      <c r="GT196" s="1247"/>
      <c r="GU196" s="1247"/>
      <c r="GV196" s="1247"/>
      <c r="GW196" s="1247"/>
      <c r="GX196" s="1247"/>
      <c r="GY196" s="1247"/>
      <c r="GZ196" s="1247"/>
      <c r="HA196" s="1247"/>
      <c r="HB196" s="1247"/>
      <c r="HC196" s="1247"/>
      <c r="HD196" s="1247"/>
      <c r="HE196" s="1247"/>
      <c r="HF196" s="1247"/>
      <c r="HG196" s="1247"/>
      <c r="HH196" s="1247"/>
      <c r="HI196" s="1247"/>
      <c r="HJ196" s="1247"/>
      <c r="HK196" s="1247"/>
      <c r="HL196" s="1247"/>
      <c r="HM196" s="1247"/>
      <c r="HN196" s="1247"/>
      <c r="HO196" s="1247"/>
      <c r="HP196" s="1247"/>
      <c r="HQ196" s="1247"/>
      <c r="HR196" s="1247"/>
      <c r="HS196" s="1247"/>
      <c r="HT196" s="1247"/>
      <c r="HU196" s="1247"/>
      <c r="HV196" s="1247"/>
      <c r="HW196" s="1247"/>
      <c r="HX196" s="1247"/>
      <c r="HY196" s="1247"/>
      <c r="HZ196" s="1247"/>
      <c r="IA196" s="1247"/>
      <c r="IB196" s="1247"/>
      <c r="IC196" s="1247"/>
      <c r="ID196" s="1247"/>
      <c r="IE196" s="1247"/>
      <c r="IF196" s="1247"/>
      <c r="IG196" s="1247"/>
      <c r="IH196" s="1247"/>
      <c r="II196" s="1247"/>
      <c r="IJ196" s="1247"/>
      <c r="IK196" s="1247"/>
      <c r="IL196" s="1247"/>
      <c r="IM196" s="1247"/>
      <c r="IN196" s="1247"/>
      <c r="IO196" s="1247"/>
      <c r="IP196" s="1247"/>
      <c r="IQ196" s="1247"/>
      <c r="IR196" s="1247"/>
      <c r="IS196" s="1247"/>
      <c r="IT196" s="1247"/>
      <c r="IU196" s="1247"/>
      <c r="IV196" s="1247"/>
      <c r="IW196" s="1247"/>
      <c r="IX196" s="1247"/>
      <c r="IY196" s="1247"/>
      <c r="IZ196" s="1247"/>
      <c r="JA196" s="1247"/>
      <c r="JB196" s="1247"/>
      <c r="JC196" s="1247"/>
      <c r="JD196" s="1247"/>
      <c r="JE196" s="1247"/>
      <c r="JF196" s="1247"/>
      <c r="JG196" s="1247"/>
      <c r="JH196" s="1247"/>
      <c r="JI196" s="1247"/>
      <c r="JJ196" s="1247"/>
      <c r="JK196" s="1247"/>
      <c r="JL196" s="1247"/>
      <c r="JM196" s="1247"/>
      <c r="JN196" s="1247"/>
      <c r="JO196" s="1247"/>
      <c r="JP196" s="1247"/>
      <c r="JQ196" s="1247"/>
      <c r="JR196" s="1247"/>
      <c r="JS196" s="1247"/>
      <c r="JT196" s="1247"/>
      <c r="JU196" s="1247"/>
      <c r="JV196" s="1247"/>
      <c r="JW196" s="1247"/>
      <c r="JX196" s="1247"/>
      <c r="JY196" s="1247"/>
      <c r="JZ196" s="1247"/>
      <c r="KA196" s="1247"/>
      <c r="KB196" s="1247"/>
      <c r="KC196" s="1247"/>
      <c r="KD196" s="1247"/>
      <c r="KE196" s="1247"/>
      <c r="KF196" s="1247"/>
      <c r="KG196" s="1247"/>
      <c r="KH196" s="1247"/>
      <c r="KI196" s="1247"/>
      <c r="KJ196" s="1247"/>
      <c r="KK196" s="1247"/>
      <c r="KL196" s="1247"/>
      <c r="KM196" s="1247"/>
      <c r="KN196" s="1247"/>
      <c r="KO196" s="1247"/>
      <c r="KP196" s="1247"/>
      <c r="KQ196" s="1247"/>
      <c r="KR196" s="1247"/>
      <c r="KS196" s="1247"/>
      <c r="KT196" s="1247"/>
      <c r="KU196" s="1247"/>
      <c r="KV196" s="1247"/>
      <c r="KW196" s="1247"/>
      <c r="KX196" s="1247"/>
      <c r="KY196" s="1247"/>
      <c r="KZ196" s="1247"/>
      <c r="LA196" s="1247"/>
      <c r="LB196" s="1247"/>
      <c r="LC196" s="1247"/>
      <c r="LD196" s="1247"/>
      <c r="LE196" s="1247"/>
      <c r="LF196" s="1247"/>
      <c r="LG196" s="1247"/>
      <c r="LH196" s="1247"/>
      <c r="LI196" s="1247"/>
      <c r="LJ196" s="1247"/>
      <c r="LK196" s="1247"/>
      <c r="LL196" s="1247"/>
      <c r="LM196" s="1247"/>
      <c r="LN196" s="1247"/>
      <c r="LO196" s="1247"/>
      <c r="LP196" s="1247"/>
      <c r="LQ196" s="1247"/>
      <c r="LR196" s="1247"/>
      <c r="LS196" s="1247"/>
      <c r="LT196" s="1247"/>
      <c r="LU196" s="1247"/>
      <c r="LV196" s="1247"/>
      <c r="LW196" s="1247"/>
      <c r="LX196" s="1247"/>
      <c r="LY196" s="1247"/>
      <c r="LZ196" s="1247"/>
      <c r="MA196" s="1247"/>
      <c r="MB196" s="1247"/>
      <c r="MC196" s="1247"/>
      <c r="MD196" s="1247"/>
      <c r="ME196" s="1247"/>
      <c r="MF196" s="1247"/>
      <c r="MG196" s="1247"/>
      <c r="MH196" s="1247"/>
      <c r="MI196" s="1247"/>
      <c r="MJ196" s="1247"/>
      <c r="MK196" s="1247"/>
      <c r="ML196" s="1247"/>
      <c r="MM196" s="1247"/>
      <c r="MN196" s="1247"/>
      <c r="MO196" s="1247"/>
      <c r="MP196" s="1247"/>
      <c r="MQ196" s="1247"/>
      <c r="MR196" s="1247"/>
      <c r="MS196" s="1247"/>
      <c r="MT196" s="1247"/>
      <c r="MU196" s="1247"/>
      <c r="MV196" s="1247"/>
      <c r="MW196" s="1247"/>
      <c r="MX196" s="1247"/>
      <c r="MY196" s="1247"/>
      <c r="MZ196" s="1247"/>
      <c r="NA196" s="1247"/>
      <c r="NB196" s="1247"/>
      <c r="NC196" s="1247"/>
      <c r="ND196" s="1247"/>
      <c r="NE196" s="1247"/>
      <c r="NF196" s="1247"/>
      <c r="NG196" s="1247"/>
      <c r="NH196" s="1247"/>
      <c r="NI196" s="1247"/>
      <c r="NJ196" s="1247"/>
      <c r="NK196" s="1247"/>
      <c r="NL196" s="1247"/>
      <c r="NM196" s="1247"/>
      <c r="NN196" s="1247"/>
      <c r="NO196" s="1247"/>
      <c r="NP196" s="1247"/>
      <c r="NQ196" s="1247"/>
      <c r="NR196" s="1247"/>
      <c r="NS196" s="1247"/>
      <c r="NT196" s="1247"/>
      <c r="NU196" s="1247"/>
      <c r="NV196" s="1247"/>
      <c r="NW196" s="1247"/>
      <c r="NX196" s="1247"/>
      <c r="NY196" s="1247"/>
      <c r="NZ196" s="1247"/>
      <c r="OA196" s="1247"/>
      <c r="OB196" s="1247"/>
      <c r="OC196" s="1247"/>
      <c r="OD196" s="1247"/>
      <c r="OE196" s="1247"/>
      <c r="OF196" s="1247"/>
      <c r="OG196" s="1247"/>
      <c r="OH196" s="1247"/>
      <c r="OI196" s="1247"/>
      <c r="OJ196" s="1247"/>
      <c r="OK196" s="1247"/>
      <c r="OL196" s="1247"/>
      <c r="OM196" s="1247"/>
      <c r="ON196" s="1247"/>
      <c r="OO196" s="1247"/>
      <c r="OP196" s="1247"/>
      <c r="OQ196" s="1247"/>
      <c r="OR196" s="1247"/>
      <c r="OS196" s="1247"/>
      <c r="OT196" s="1247"/>
      <c r="OU196" s="1247"/>
      <c r="OV196" s="1247"/>
      <c r="OW196" s="1247"/>
      <c r="OX196" s="1247"/>
      <c r="OY196" s="1247"/>
      <c r="OZ196" s="1247"/>
      <c r="PA196" s="1247"/>
      <c r="PB196" s="1247"/>
      <c r="PC196" s="1247"/>
      <c r="PD196" s="1247"/>
      <c r="PE196" s="1247"/>
      <c r="PF196" s="1247"/>
      <c r="PG196" s="1247"/>
      <c r="PH196" s="1247"/>
      <c r="PI196" s="1247"/>
      <c r="PJ196" s="1247"/>
      <c r="PK196" s="1247"/>
      <c r="PL196" s="1247"/>
      <c r="PM196" s="1247"/>
      <c r="PN196" s="1247"/>
      <c r="PO196" s="1247"/>
      <c r="PP196" s="1247"/>
      <c r="PQ196" s="1247"/>
      <c r="PR196" s="1247"/>
      <c r="PS196" s="1247"/>
      <c r="PT196" s="1247"/>
      <c r="PU196" s="1247"/>
      <c r="PV196" s="1247"/>
      <c r="PW196" s="1247"/>
      <c r="PX196" s="1247"/>
      <c r="PY196" s="1247"/>
      <c r="PZ196" s="1247"/>
      <c r="QA196" s="1247"/>
      <c r="QB196" s="1247"/>
      <c r="QC196" s="1247"/>
      <c r="QD196" s="1247"/>
      <c r="QE196" s="1247"/>
      <c r="QF196" s="1247"/>
      <c r="QG196" s="1247"/>
      <c r="QH196" s="1247"/>
      <c r="QI196" s="1247"/>
      <c r="QJ196" s="1247"/>
      <c r="QK196" s="1247"/>
      <c r="QL196" s="1247"/>
      <c r="QM196" s="1247"/>
      <c r="QN196" s="1247"/>
      <c r="QO196" s="1247"/>
      <c r="QP196" s="1247"/>
      <c r="QQ196" s="1247"/>
      <c r="QR196" s="1247"/>
      <c r="QS196" s="1247"/>
      <c r="QT196" s="1247"/>
      <c r="QU196" s="1247"/>
      <c r="QV196" s="1247"/>
      <c r="QW196" s="1247"/>
      <c r="QX196" s="1247"/>
      <c r="QY196" s="1247"/>
      <c r="QZ196" s="1247"/>
      <c r="RA196" s="1247"/>
      <c r="RB196" s="1247"/>
      <c r="RC196" s="1247"/>
      <c r="RD196" s="1247"/>
      <c r="RE196" s="1247"/>
      <c r="RF196" s="1247"/>
      <c r="RG196" s="1247"/>
      <c r="RH196" s="1247"/>
      <c r="RI196" s="1247"/>
      <c r="RJ196" s="1247"/>
      <c r="RK196" s="1247"/>
      <c r="RL196" s="1247"/>
      <c r="RM196" s="1247"/>
      <c r="RN196" s="1247"/>
      <c r="RO196" s="1247"/>
      <c r="RP196" s="1247"/>
      <c r="RQ196" s="1247"/>
      <c r="RR196" s="1247"/>
      <c r="RS196" s="1247"/>
      <c r="RT196" s="1247"/>
      <c r="RU196" s="1247"/>
      <c r="RV196" s="1247"/>
      <c r="RW196" s="1247"/>
      <c r="RX196" s="1247"/>
      <c r="RY196" s="1247"/>
      <c r="RZ196" s="1247"/>
      <c r="SA196" s="1247"/>
      <c r="SB196" s="1247"/>
      <c r="SC196" s="1247"/>
      <c r="SD196" s="1247"/>
      <c r="SE196" s="1247"/>
      <c r="SF196" s="1247"/>
      <c r="SG196" s="1247"/>
      <c r="SH196" s="1247"/>
      <c r="SI196" s="1247"/>
      <c r="SJ196" s="1247"/>
      <c r="SK196" s="1247"/>
      <c r="SL196" s="1247"/>
      <c r="SM196" s="1247"/>
      <c r="SN196" s="1247"/>
      <c r="SO196" s="1247"/>
      <c r="SP196" s="1247"/>
      <c r="SQ196" s="1247"/>
      <c r="SR196" s="1247"/>
      <c r="SS196" s="1247"/>
      <c r="ST196" s="1247"/>
      <c r="SU196" s="1247"/>
      <c r="SV196" s="1247"/>
      <c r="SW196" s="1247"/>
      <c r="SX196" s="1247"/>
      <c r="SY196" s="1247"/>
      <c r="SZ196" s="1247"/>
      <c r="TA196" s="1247"/>
      <c r="TB196" s="1247"/>
      <c r="TC196" s="1247"/>
      <c r="TD196" s="1247"/>
      <c r="TE196" s="1247"/>
      <c r="TF196" s="1247"/>
      <c r="TG196" s="1247"/>
      <c r="TH196" s="1247"/>
      <c r="TI196" s="1247"/>
      <c r="TJ196" s="1247"/>
      <c r="TK196" s="1247"/>
      <c r="TL196" s="1247"/>
      <c r="TM196" s="1247"/>
      <c r="TN196" s="1247"/>
      <c r="TO196" s="1247"/>
      <c r="TP196" s="1247"/>
      <c r="TQ196" s="1247"/>
      <c r="TR196" s="1247"/>
      <c r="TS196" s="1247"/>
      <c r="TT196" s="1247"/>
      <c r="TU196" s="1247"/>
      <c r="TV196" s="1247"/>
      <c r="TW196" s="1247"/>
      <c r="TX196" s="1247"/>
      <c r="TY196" s="1247"/>
      <c r="TZ196" s="1247"/>
      <c r="UA196" s="1247"/>
      <c r="UB196" s="1247"/>
      <c r="UC196" s="1247"/>
      <c r="UD196" s="1247"/>
      <c r="UE196" s="1247"/>
      <c r="UF196" s="1247"/>
      <c r="UG196" s="1247"/>
      <c r="UH196" s="1247"/>
      <c r="UI196" s="1247"/>
      <c r="UJ196" s="1247"/>
      <c r="UK196" s="1247"/>
      <c r="UL196" s="1247"/>
      <c r="UM196" s="1247"/>
      <c r="UN196" s="1247"/>
      <c r="UO196" s="1247"/>
      <c r="UP196" s="1247"/>
      <c r="UQ196" s="1247"/>
      <c r="UR196" s="1247"/>
      <c r="US196" s="1247"/>
      <c r="UT196" s="1247"/>
      <c r="UU196" s="1247"/>
      <c r="UV196" s="1247"/>
      <c r="UW196" s="1247"/>
      <c r="UX196" s="1247"/>
      <c r="UY196" s="1247"/>
      <c r="UZ196" s="1247"/>
      <c r="VA196" s="1247"/>
      <c r="VB196" s="1247"/>
      <c r="VC196" s="1247"/>
      <c r="VD196" s="1247"/>
      <c r="VE196" s="1247"/>
      <c r="VF196" s="1247"/>
      <c r="VG196" s="1247"/>
      <c r="VH196" s="1247"/>
      <c r="VI196" s="1247"/>
      <c r="VJ196" s="1247"/>
      <c r="VK196" s="1247"/>
      <c r="VL196" s="1247"/>
      <c r="VM196" s="1247"/>
      <c r="VN196" s="1247"/>
      <c r="VO196" s="1247"/>
      <c r="VP196" s="1247"/>
      <c r="VQ196" s="1247"/>
      <c r="VR196" s="1247"/>
      <c r="VS196" s="1247"/>
      <c r="VT196" s="1247"/>
      <c r="VU196" s="1247"/>
      <c r="VV196" s="1247"/>
      <c r="VW196" s="1247"/>
      <c r="VX196" s="1247"/>
      <c r="VY196" s="1247"/>
      <c r="VZ196" s="1247"/>
      <c r="WA196" s="1247"/>
      <c r="WB196" s="1247"/>
      <c r="WC196" s="1247"/>
      <c r="WD196" s="1247"/>
      <c r="WE196" s="1247"/>
      <c r="WF196" s="1247"/>
      <c r="WG196" s="1247"/>
      <c r="WH196" s="1247"/>
      <c r="WI196" s="1247"/>
      <c r="WJ196" s="1247"/>
      <c r="WK196" s="1247"/>
      <c r="WL196" s="1247"/>
      <c r="WM196" s="1247"/>
      <c r="WN196" s="1247"/>
      <c r="WO196" s="1247"/>
      <c r="WP196" s="1247"/>
      <c r="WQ196" s="1247"/>
      <c r="WR196" s="1247"/>
      <c r="WS196" s="1247"/>
      <c r="WT196" s="1247"/>
      <c r="WU196" s="1247"/>
      <c r="WV196" s="1247"/>
      <c r="WW196" s="1247"/>
      <c r="WX196" s="1247"/>
      <c r="WY196" s="1247"/>
      <c r="WZ196" s="1247"/>
      <c r="XA196" s="1247"/>
      <c r="XB196" s="1247"/>
      <c r="XC196" s="1247"/>
      <c r="XD196" s="1247"/>
      <c r="XE196" s="1247"/>
      <c r="XF196" s="1247"/>
      <c r="XG196" s="1247"/>
      <c r="XH196" s="1247"/>
      <c r="XI196" s="1247"/>
      <c r="XJ196" s="1247"/>
      <c r="XK196" s="1247"/>
      <c r="XL196" s="1247"/>
      <c r="XM196" s="1247"/>
      <c r="XN196" s="1247"/>
      <c r="XO196" s="1247"/>
      <c r="XP196" s="1247"/>
      <c r="XQ196" s="1247"/>
      <c r="XR196" s="1247"/>
      <c r="XS196" s="1247"/>
      <c r="XT196" s="1247"/>
      <c r="XU196" s="1247"/>
      <c r="XV196" s="1247"/>
      <c r="XW196" s="1247"/>
      <c r="XX196" s="1247"/>
      <c r="XY196" s="1247"/>
      <c r="XZ196" s="1247"/>
      <c r="YA196" s="1247"/>
      <c r="YB196" s="1247"/>
      <c r="YC196" s="1247"/>
      <c r="YD196" s="1247"/>
      <c r="YE196" s="1247"/>
      <c r="YF196" s="1247"/>
      <c r="YG196" s="1247"/>
      <c r="YH196" s="1247"/>
      <c r="YI196" s="1247"/>
      <c r="YJ196" s="1247"/>
      <c r="YK196" s="1247"/>
      <c r="YL196" s="1247"/>
      <c r="YM196" s="1247"/>
      <c r="YN196" s="1247"/>
      <c r="YO196" s="1247"/>
      <c r="YP196" s="1247"/>
      <c r="YQ196" s="1247"/>
      <c r="YR196" s="1247"/>
      <c r="YS196" s="1247"/>
      <c r="YT196" s="1247"/>
      <c r="YU196" s="1247"/>
      <c r="YV196" s="1247"/>
      <c r="YW196" s="1247"/>
      <c r="YX196" s="1247"/>
      <c r="YY196" s="1247"/>
      <c r="YZ196" s="1247"/>
      <c r="ZA196" s="1247"/>
      <c r="ZB196" s="1247"/>
      <c r="ZC196" s="1247"/>
      <c r="ZD196" s="1247"/>
      <c r="ZE196" s="1247"/>
      <c r="ZF196" s="1247"/>
      <c r="ZG196" s="1247"/>
      <c r="ZH196" s="1247"/>
      <c r="ZI196" s="1247"/>
      <c r="ZJ196" s="1247"/>
      <c r="ZK196" s="1247"/>
      <c r="ZL196" s="1247"/>
      <c r="ZM196" s="1247"/>
      <c r="ZN196" s="1247"/>
      <c r="ZO196" s="1247"/>
      <c r="ZP196" s="1247"/>
      <c r="ZQ196" s="1247"/>
      <c r="ZR196" s="1247"/>
      <c r="ZS196" s="1247"/>
      <c r="ZT196" s="1247"/>
      <c r="ZU196" s="1247"/>
      <c r="ZV196" s="1247"/>
      <c r="ZW196" s="1247"/>
      <c r="ZX196" s="1247"/>
      <c r="ZY196" s="1247"/>
      <c r="ZZ196" s="1247"/>
      <c r="AAA196" s="1247"/>
      <c r="AAB196" s="1247"/>
      <c r="AAC196" s="1247"/>
      <c r="AAD196" s="1247"/>
      <c r="AAE196" s="1247"/>
      <c r="AAF196" s="1247"/>
      <c r="AAG196" s="1247"/>
      <c r="AAH196" s="1247"/>
      <c r="AAI196" s="1247"/>
      <c r="AAJ196" s="1247"/>
      <c r="AAK196" s="1247"/>
      <c r="AAL196" s="1247"/>
      <c r="AAM196" s="1247"/>
      <c r="AAN196" s="1247"/>
      <c r="AAO196" s="1247"/>
      <c r="AAP196" s="1247"/>
      <c r="AAQ196" s="1247"/>
      <c r="AAR196" s="1247"/>
      <c r="AAS196" s="1247"/>
      <c r="AAT196" s="1247"/>
      <c r="AAU196" s="1247"/>
      <c r="AAV196" s="1247"/>
      <c r="AAW196" s="1247"/>
      <c r="AAX196" s="1247"/>
      <c r="AAY196" s="1247"/>
      <c r="AAZ196" s="1247"/>
      <c r="ABA196" s="1247"/>
      <c r="ABB196" s="1247"/>
      <c r="ABC196" s="1247"/>
      <c r="ABD196" s="1247"/>
      <c r="ABE196" s="1247"/>
      <c r="ABF196" s="1247"/>
      <c r="ABG196" s="1247"/>
      <c r="ABH196" s="1247"/>
      <c r="ABI196" s="1247"/>
      <c r="ABJ196" s="1247"/>
      <c r="ABK196" s="1247"/>
      <c r="ABL196" s="1247"/>
      <c r="ABM196" s="1247"/>
      <c r="ABN196" s="1247"/>
      <c r="ABO196" s="1247"/>
      <c r="ABP196" s="1247"/>
      <c r="ABQ196" s="1247"/>
      <c r="ABR196" s="1247"/>
      <c r="ABS196" s="1247"/>
      <c r="ABT196" s="1247"/>
      <c r="ABU196" s="1247"/>
      <c r="ABV196" s="1247"/>
      <c r="ABW196" s="1247"/>
      <c r="ABX196" s="1247"/>
      <c r="ABY196" s="1247"/>
      <c r="ABZ196" s="1247"/>
      <c r="ACA196" s="1247"/>
      <c r="ACB196" s="1247"/>
      <c r="ACC196" s="1247"/>
      <c r="ACD196" s="1247"/>
      <c r="ACE196" s="1247"/>
      <c r="ACF196" s="1247"/>
      <c r="ACG196" s="1247"/>
      <c r="ACH196" s="1247"/>
      <c r="ACI196" s="1247"/>
      <c r="ACJ196" s="1247"/>
      <c r="ACK196" s="1247"/>
      <c r="ACL196" s="1247"/>
      <c r="ACM196" s="1247"/>
      <c r="ACN196" s="1247"/>
      <c r="ACO196" s="1247"/>
      <c r="ACP196" s="1247"/>
      <c r="ACQ196" s="1247"/>
      <c r="ACR196" s="1247"/>
      <c r="ACS196" s="1247"/>
      <c r="ACT196" s="1247"/>
      <c r="ACU196" s="1247"/>
      <c r="ACV196" s="1247"/>
      <c r="ACW196" s="1247"/>
      <c r="ACX196" s="1247"/>
      <c r="ACY196" s="1247"/>
      <c r="ACZ196" s="1247"/>
      <c r="ADA196" s="1247"/>
      <c r="ADB196" s="1247"/>
      <c r="ADC196" s="1247"/>
      <c r="ADD196" s="1247"/>
      <c r="ADE196" s="1247"/>
      <c r="ADF196" s="1247"/>
      <c r="ADG196" s="1247"/>
    </row>
    <row r="197" spans="1:787" s="1421" customFormat="1" ht="13" hidden="1" outlineLevel="1">
      <c r="A197" s="1247"/>
      <c r="B197" s="1413" t="s">
        <v>676</v>
      </c>
      <c r="C197" s="1414"/>
      <c r="D197" s="1414" t="s">
        <v>22</v>
      </c>
      <c r="E197" s="1417"/>
      <c r="F197" s="1416"/>
      <c r="G197" s="1417" t="s">
        <v>4117</v>
      </c>
      <c r="H197" s="1418">
        <f>SUBTOTAL(9,H198:H215)</f>
        <v>0</v>
      </c>
      <c r="I197" s="1418">
        <f t="shared" ref="I197:T197" si="45">SUBTOTAL(9,I198:I215)</f>
        <v>0</v>
      </c>
      <c r="J197" s="1419">
        <f t="shared" si="45"/>
        <v>2666.8117189999998</v>
      </c>
      <c r="K197" s="1419">
        <f t="shared" si="45"/>
        <v>0</v>
      </c>
      <c r="L197" s="1419">
        <f t="shared" si="45"/>
        <v>71.376249999999999</v>
      </c>
      <c r="M197" s="1419">
        <f t="shared" si="45"/>
        <v>0</v>
      </c>
      <c r="N197" s="1419">
        <f t="shared" si="45"/>
        <v>0</v>
      </c>
      <c r="O197" s="1419">
        <f t="shared" si="45"/>
        <v>0</v>
      </c>
      <c r="P197" s="1419">
        <f t="shared" si="45"/>
        <v>4660.6333419999992</v>
      </c>
      <c r="Q197" s="1419">
        <f t="shared" si="45"/>
        <v>0</v>
      </c>
      <c r="R197" s="1419">
        <f t="shared" si="45"/>
        <v>7398.8213110000015</v>
      </c>
      <c r="S197" s="1419">
        <f t="shared" si="45"/>
        <v>0</v>
      </c>
      <c r="T197" s="1419">
        <f t="shared" si="45"/>
        <v>7398.8213110000015</v>
      </c>
      <c r="U197" s="1443"/>
      <c r="V197" s="1225">
        <f t="shared" si="34"/>
        <v>-2.7284841053187847E-12</v>
      </c>
      <c r="W197" s="1225">
        <f t="shared" si="35"/>
        <v>0</v>
      </c>
      <c r="X197" s="1225"/>
      <c r="Y197" s="1225"/>
      <c r="Z197" s="1247"/>
      <c r="AA197" s="1247"/>
      <c r="AB197" s="1247"/>
      <c r="AC197" s="1247"/>
      <c r="AD197" s="1247"/>
      <c r="AE197" s="1247"/>
      <c r="AF197" s="1247"/>
      <c r="AG197" s="1247"/>
      <c r="AH197" s="1247"/>
      <c r="AI197" s="1247"/>
      <c r="AJ197" s="1247"/>
      <c r="AK197" s="1247"/>
      <c r="AL197" s="1247"/>
      <c r="AM197" s="1247"/>
      <c r="AN197" s="1247"/>
      <c r="AO197" s="1247"/>
      <c r="AP197" s="1247"/>
      <c r="AQ197" s="1247"/>
      <c r="AR197" s="1247"/>
      <c r="AS197" s="1247"/>
      <c r="AT197" s="1247"/>
      <c r="AU197" s="1247"/>
      <c r="AV197" s="1247"/>
      <c r="AW197" s="1247"/>
      <c r="AX197" s="1247"/>
      <c r="AY197" s="1247"/>
      <c r="AZ197" s="1247"/>
      <c r="BA197" s="1247"/>
      <c r="BB197" s="1247"/>
      <c r="BC197" s="1247"/>
      <c r="BD197" s="1247"/>
      <c r="BE197" s="1247"/>
      <c r="BF197" s="1247"/>
      <c r="BG197" s="1247"/>
      <c r="BH197" s="1247"/>
      <c r="BI197" s="1247"/>
      <c r="BJ197" s="1247"/>
      <c r="BK197" s="1247"/>
      <c r="BL197" s="1247"/>
      <c r="BM197" s="1247"/>
      <c r="BN197" s="1247"/>
      <c r="BO197" s="1247"/>
      <c r="BP197" s="1247"/>
      <c r="BQ197" s="1247"/>
      <c r="BR197" s="1247"/>
      <c r="BS197" s="1247"/>
      <c r="BT197" s="1247"/>
      <c r="BU197" s="1247"/>
      <c r="BV197" s="1247"/>
      <c r="BW197" s="1247"/>
      <c r="BX197" s="1247"/>
      <c r="BY197" s="1247"/>
      <c r="BZ197" s="1247"/>
      <c r="CA197" s="1247"/>
      <c r="CB197" s="1247"/>
      <c r="CC197" s="1247"/>
      <c r="CD197" s="1247"/>
      <c r="CE197" s="1247"/>
      <c r="CF197" s="1247"/>
      <c r="CG197" s="1247"/>
      <c r="CH197" s="1247"/>
      <c r="CI197" s="1247"/>
      <c r="CJ197" s="1247"/>
      <c r="CK197" s="1247"/>
      <c r="CL197" s="1247"/>
      <c r="CM197" s="1247"/>
      <c r="CN197" s="1247"/>
      <c r="CO197" s="1247"/>
      <c r="CP197" s="1247"/>
      <c r="CQ197" s="1247"/>
      <c r="CR197" s="1247"/>
      <c r="CS197" s="1247"/>
      <c r="CT197" s="1247"/>
      <c r="CU197" s="1247"/>
      <c r="CV197" s="1247"/>
      <c r="CW197" s="1247"/>
      <c r="CX197" s="1247"/>
      <c r="CY197" s="1247"/>
      <c r="CZ197" s="1247"/>
      <c r="DA197" s="1247"/>
      <c r="DB197" s="1247"/>
      <c r="DC197" s="1247"/>
      <c r="DD197" s="1247"/>
      <c r="DE197" s="1247"/>
      <c r="DF197" s="1247"/>
      <c r="DG197" s="1247"/>
      <c r="DH197" s="1247"/>
      <c r="DI197" s="1247"/>
      <c r="DJ197" s="1247"/>
      <c r="DK197" s="1247"/>
      <c r="DL197" s="1247"/>
      <c r="DM197" s="1247"/>
      <c r="DN197" s="1247"/>
      <c r="DO197" s="1247"/>
      <c r="DP197" s="1247"/>
      <c r="DQ197" s="1247"/>
      <c r="DR197" s="1247"/>
      <c r="DS197" s="1247"/>
      <c r="DT197" s="1247"/>
      <c r="DU197" s="1247"/>
      <c r="DV197" s="1247"/>
      <c r="DW197" s="1247"/>
      <c r="DX197" s="1247"/>
      <c r="DY197" s="1247"/>
      <c r="DZ197" s="1247"/>
      <c r="EA197" s="1247"/>
      <c r="EB197" s="1247"/>
      <c r="EC197" s="1247"/>
      <c r="ED197" s="1247"/>
      <c r="EE197" s="1247"/>
      <c r="EF197" s="1247"/>
      <c r="EG197" s="1247"/>
      <c r="EH197" s="1247"/>
      <c r="EI197" s="1247"/>
      <c r="EJ197" s="1247"/>
      <c r="EK197" s="1247"/>
      <c r="EL197" s="1247"/>
      <c r="EM197" s="1247"/>
      <c r="EN197" s="1247"/>
      <c r="EO197" s="1247"/>
      <c r="EP197" s="1247"/>
      <c r="EQ197" s="1247"/>
      <c r="ER197" s="1247"/>
      <c r="ES197" s="1247"/>
      <c r="ET197" s="1247"/>
      <c r="EU197" s="1247"/>
      <c r="EV197" s="1247"/>
      <c r="EW197" s="1247"/>
      <c r="EX197" s="1247"/>
      <c r="EY197" s="1247"/>
      <c r="EZ197" s="1247"/>
      <c r="FA197" s="1247"/>
      <c r="FB197" s="1247"/>
      <c r="FC197" s="1247"/>
      <c r="FD197" s="1247"/>
      <c r="FE197" s="1247"/>
      <c r="FF197" s="1247"/>
      <c r="FG197" s="1247"/>
      <c r="FH197" s="1247"/>
      <c r="FI197" s="1247"/>
      <c r="FJ197" s="1247"/>
      <c r="FK197" s="1247"/>
      <c r="FL197" s="1247"/>
      <c r="FM197" s="1247"/>
      <c r="FN197" s="1247"/>
      <c r="FO197" s="1247"/>
      <c r="FP197" s="1247"/>
      <c r="FQ197" s="1247"/>
      <c r="FR197" s="1247"/>
      <c r="FS197" s="1247"/>
      <c r="FT197" s="1247"/>
      <c r="FU197" s="1247"/>
      <c r="FV197" s="1247"/>
      <c r="FW197" s="1247"/>
      <c r="FX197" s="1247"/>
      <c r="FY197" s="1247"/>
      <c r="FZ197" s="1247"/>
      <c r="GA197" s="1247"/>
      <c r="GB197" s="1247"/>
      <c r="GC197" s="1247"/>
      <c r="GD197" s="1247"/>
      <c r="GE197" s="1247"/>
      <c r="GF197" s="1247"/>
      <c r="GG197" s="1247"/>
      <c r="GH197" s="1247"/>
      <c r="GI197" s="1247"/>
      <c r="GJ197" s="1247"/>
      <c r="GK197" s="1247"/>
      <c r="GL197" s="1247"/>
      <c r="GM197" s="1247"/>
      <c r="GN197" s="1247"/>
      <c r="GO197" s="1247"/>
      <c r="GP197" s="1247"/>
      <c r="GQ197" s="1247"/>
      <c r="GR197" s="1247"/>
      <c r="GS197" s="1247"/>
      <c r="GT197" s="1247"/>
      <c r="GU197" s="1247"/>
      <c r="GV197" s="1247"/>
      <c r="GW197" s="1247"/>
      <c r="GX197" s="1247"/>
      <c r="GY197" s="1247"/>
      <c r="GZ197" s="1247"/>
      <c r="HA197" s="1247"/>
      <c r="HB197" s="1247"/>
      <c r="HC197" s="1247"/>
      <c r="HD197" s="1247"/>
      <c r="HE197" s="1247"/>
      <c r="HF197" s="1247"/>
      <c r="HG197" s="1247"/>
      <c r="HH197" s="1247"/>
      <c r="HI197" s="1247"/>
      <c r="HJ197" s="1247"/>
      <c r="HK197" s="1247"/>
      <c r="HL197" s="1247"/>
      <c r="HM197" s="1247"/>
      <c r="HN197" s="1247"/>
      <c r="HO197" s="1247"/>
      <c r="HP197" s="1247"/>
      <c r="HQ197" s="1247"/>
      <c r="HR197" s="1247"/>
      <c r="HS197" s="1247"/>
      <c r="HT197" s="1247"/>
      <c r="HU197" s="1247"/>
      <c r="HV197" s="1247"/>
      <c r="HW197" s="1247"/>
      <c r="HX197" s="1247"/>
      <c r="HY197" s="1247"/>
      <c r="HZ197" s="1247"/>
      <c r="IA197" s="1247"/>
      <c r="IB197" s="1247"/>
      <c r="IC197" s="1247"/>
      <c r="ID197" s="1247"/>
      <c r="IE197" s="1247"/>
      <c r="IF197" s="1247"/>
      <c r="IG197" s="1247"/>
      <c r="IH197" s="1247"/>
      <c r="II197" s="1247"/>
      <c r="IJ197" s="1247"/>
      <c r="IK197" s="1247"/>
      <c r="IL197" s="1247"/>
      <c r="IM197" s="1247"/>
      <c r="IN197" s="1247"/>
      <c r="IO197" s="1247"/>
      <c r="IP197" s="1247"/>
      <c r="IQ197" s="1247"/>
      <c r="IR197" s="1247"/>
      <c r="IS197" s="1247"/>
      <c r="IT197" s="1247"/>
      <c r="IU197" s="1247"/>
      <c r="IV197" s="1247"/>
      <c r="IW197" s="1247"/>
      <c r="IX197" s="1247"/>
      <c r="IY197" s="1247"/>
      <c r="IZ197" s="1247"/>
      <c r="JA197" s="1247"/>
      <c r="JB197" s="1247"/>
      <c r="JC197" s="1247"/>
      <c r="JD197" s="1247"/>
      <c r="JE197" s="1247"/>
      <c r="JF197" s="1247"/>
      <c r="JG197" s="1247"/>
      <c r="JH197" s="1247"/>
      <c r="JI197" s="1247"/>
      <c r="JJ197" s="1247"/>
      <c r="JK197" s="1247"/>
      <c r="JL197" s="1247"/>
      <c r="JM197" s="1247"/>
      <c r="JN197" s="1247"/>
      <c r="JO197" s="1247"/>
      <c r="JP197" s="1247"/>
      <c r="JQ197" s="1247"/>
      <c r="JR197" s="1247"/>
      <c r="JS197" s="1247"/>
      <c r="JT197" s="1247"/>
      <c r="JU197" s="1247"/>
      <c r="JV197" s="1247"/>
      <c r="JW197" s="1247"/>
      <c r="JX197" s="1247"/>
      <c r="JY197" s="1247"/>
      <c r="JZ197" s="1247"/>
      <c r="KA197" s="1247"/>
      <c r="KB197" s="1247"/>
      <c r="KC197" s="1247"/>
      <c r="KD197" s="1247"/>
      <c r="KE197" s="1247"/>
      <c r="KF197" s="1247"/>
      <c r="KG197" s="1247"/>
      <c r="KH197" s="1247"/>
      <c r="KI197" s="1247"/>
      <c r="KJ197" s="1247"/>
      <c r="KK197" s="1247"/>
      <c r="KL197" s="1247"/>
      <c r="KM197" s="1247"/>
      <c r="KN197" s="1247"/>
      <c r="KO197" s="1247"/>
      <c r="KP197" s="1247"/>
      <c r="KQ197" s="1247"/>
      <c r="KR197" s="1247"/>
      <c r="KS197" s="1247"/>
      <c r="KT197" s="1247"/>
      <c r="KU197" s="1247"/>
      <c r="KV197" s="1247"/>
      <c r="KW197" s="1247"/>
      <c r="KX197" s="1247"/>
      <c r="KY197" s="1247"/>
      <c r="KZ197" s="1247"/>
      <c r="LA197" s="1247"/>
      <c r="LB197" s="1247"/>
      <c r="LC197" s="1247"/>
      <c r="LD197" s="1247"/>
      <c r="LE197" s="1247"/>
      <c r="LF197" s="1247"/>
      <c r="LG197" s="1247"/>
      <c r="LH197" s="1247"/>
      <c r="LI197" s="1247"/>
      <c r="LJ197" s="1247"/>
      <c r="LK197" s="1247"/>
      <c r="LL197" s="1247"/>
      <c r="LM197" s="1247"/>
      <c r="LN197" s="1247"/>
      <c r="LO197" s="1247"/>
      <c r="LP197" s="1247"/>
      <c r="LQ197" s="1247"/>
      <c r="LR197" s="1247"/>
      <c r="LS197" s="1247"/>
      <c r="LT197" s="1247"/>
      <c r="LU197" s="1247"/>
      <c r="LV197" s="1247"/>
      <c r="LW197" s="1247"/>
      <c r="LX197" s="1247"/>
      <c r="LY197" s="1247"/>
      <c r="LZ197" s="1247"/>
      <c r="MA197" s="1247"/>
      <c r="MB197" s="1247"/>
      <c r="MC197" s="1247"/>
      <c r="MD197" s="1247"/>
      <c r="ME197" s="1247"/>
      <c r="MF197" s="1247"/>
      <c r="MG197" s="1247"/>
      <c r="MH197" s="1247"/>
      <c r="MI197" s="1247"/>
      <c r="MJ197" s="1247"/>
      <c r="MK197" s="1247"/>
      <c r="ML197" s="1247"/>
      <c r="MM197" s="1247"/>
      <c r="MN197" s="1247"/>
      <c r="MO197" s="1247"/>
      <c r="MP197" s="1247"/>
      <c r="MQ197" s="1247"/>
      <c r="MR197" s="1247"/>
      <c r="MS197" s="1247"/>
      <c r="MT197" s="1247"/>
      <c r="MU197" s="1247"/>
      <c r="MV197" s="1247"/>
      <c r="MW197" s="1247"/>
      <c r="MX197" s="1247"/>
      <c r="MY197" s="1247"/>
      <c r="MZ197" s="1247"/>
      <c r="NA197" s="1247"/>
      <c r="NB197" s="1247"/>
      <c r="NC197" s="1247"/>
      <c r="ND197" s="1247"/>
      <c r="NE197" s="1247"/>
      <c r="NF197" s="1247"/>
      <c r="NG197" s="1247"/>
      <c r="NH197" s="1247"/>
      <c r="NI197" s="1247"/>
      <c r="NJ197" s="1247"/>
      <c r="NK197" s="1247"/>
      <c r="NL197" s="1247"/>
      <c r="NM197" s="1247"/>
      <c r="NN197" s="1247"/>
      <c r="NO197" s="1247"/>
      <c r="NP197" s="1247"/>
      <c r="NQ197" s="1247"/>
      <c r="NR197" s="1247"/>
      <c r="NS197" s="1247"/>
      <c r="NT197" s="1247"/>
      <c r="NU197" s="1247"/>
      <c r="NV197" s="1247"/>
      <c r="NW197" s="1247"/>
      <c r="NX197" s="1247"/>
      <c r="NY197" s="1247"/>
      <c r="NZ197" s="1247"/>
      <c r="OA197" s="1247"/>
      <c r="OB197" s="1247"/>
      <c r="OC197" s="1247"/>
      <c r="OD197" s="1247"/>
      <c r="OE197" s="1247"/>
      <c r="OF197" s="1247"/>
      <c r="OG197" s="1247"/>
      <c r="OH197" s="1247"/>
      <c r="OI197" s="1247"/>
      <c r="OJ197" s="1247"/>
      <c r="OK197" s="1247"/>
      <c r="OL197" s="1247"/>
      <c r="OM197" s="1247"/>
      <c r="ON197" s="1247"/>
      <c r="OO197" s="1247"/>
      <c r="OP197" s="1247"/>
      <c r="OQ197" s="1247"/>
      <c r="OR197" s="1247"/>
      <c r="OS197" s="1247"/>
      <c r="OT197" s="1247"/>
      <c r="OU197" s="1247"/>
      <c r="OV197" s="1247"/>
      <c r="OW197" s="1247"/>
      <c r="OX197" s="1247"/>
      <c r="OY197" s="1247"/>
      <c r="OZ197" s="1247"/>
      <c r="PA197" s="1247"/>
      <c r="PB197" s="1247"/>
      <c r="PC197" s="1247"/>
      <c r="PD197" s="1247"/>
      <c r="PE197" s="1247"/>
      <c r="PF197" s="1247"/>
      <c r="PG197" s="1247"/>
      <c r="PH197" s="1247"/>
      <c r="PI197" s="1247"/>
      <c r="PJ197" s="1247"/>
      <c r="PK197" s="1247"/>
      <c r="PL197" s="1247"/>
      <c r="PM197" s="1247"/>
      <c r="PN197" s="1247"/>
      <c r="PO197" s="1247"/>
      <c r="PP197" s="1247"/>
      <c r="PQ197" s="1247"/>
      <c r="PR197" s="1247"/>
      <c r="PS197" s="1247"/>
      <c r="PT197" s="1247"/>
      <c r="PU197" s="1247"/>
      <c r="PV197" s="1247"/>
      <c r="PW197" s="1247"/>
      <c r="PX197" s="1247"/>
      <c r="PY197" s="1247"/>
      <c r="PZ197" s="1247"/>
      <c r="QA197" s="1247"/>
      <c r="QB197" s="1247"/>
      <c r="QC197" s="1247"/>
      <c r="QD197" s="1247"/>
      <c r="QE197" s="1247"/>
      <c r="QF197" s="1247"/>
      <c r="QG197" s="1247"/>
      <c r="QH197" s="1247"/>
      <c r="QI197" s="1247"/>
      <c r="QJ197" s="1247"/>
      <c r="QK197" s="1247"/>
      <c r="QL197" s="1247"/>
      <c r="QM197" s="1247"/>
      <c r="QN197" s="1247"/>
      <c r="QO197" s="1247"/>
      <c r="QP197" s="1247"/>
      <c r="QQ197" s="1247"/>
      <c r="QR197" s="1247"/>
      <c r="QS197" s="1247"/>
      <c r="QT197" s="1247"/>
      <c r="QU197" s="1247"/>
      <c r="QV197" s="1247"/>
      <c r="QW197" s="1247"/>
      <c r="QX197" s="1247"/>
      <c r="QY197" s="1247"/>
      <c r="QZ197" s="1247"/>
      <c r="RA197" s="1247"/>
      <c r="RB197" s="1247"/>
      <c r="RC197" s="1247"/>
      <c r="RD197" s="1247"/>
      <c r="RE197" s="1247"/>
      <c r="RF197" s="1247"/>
      <c r="RG197" s="1247"/>
      <c r="RH197" s="1247"/>
      <c r="RI197" s="1247"/>
      <c r="RJ197" s="1247"/>
      <c r="RK197" s="1247"/>
      <c r="RL197" s="1247"/>
      <c r="RM197" s="1247"/>
      <c r="RN197" s="1247"/>
      <c r="RO197" s="1247"/>
      <c r="RP197" s="1247"/>
      <c r="RQ197" s="1247"/>
      <c r="RR197" s="1247"/>
      <c r="RS197" s="1247"/>
      <c r="RT197" s="1247"/>
      <c r="RU197" s="1247"/>
      <c r="RV197" s="1247"/>
      <c r="RW197" s="1247"/>
      <c r="RX197" s="1247"/>
      <c r="RY197" s="1247"/>
      <c r="RZ197" s="1247"/>
      <c r="SA197" s="1247"/>
      <c r="SB197" s="1247"/>
      <c r="SC197" s="1247"/>
      <c r="SD197" s="1247"/>
      <c r="SE197" s="1247"/>
      <c r="SF197" s="1247"/>
      <c r="SG197" s="1247"/>
      <c r="SH197" s="1247"/>
      <c r="SI197" s="1247"/>
      <c r="SJ197" s="1247"/>
      <c r="SK197" s="1247"/>
      <c r="SL197" s="1247"/>
      <c r="SM197" s="1247"/>
      <c r="SN197" s="1247"/>
      <c r="SO197" s="1247"/>
      <c r="SP197" s="1247"/>
      <c r="SQ197" s="1247"/>
      <c r="SR197" s="1247"/>
      <c r="SS197" s="1247"/>
      <c r="ST197" s="1247"/>
      <c r="SU197" s="1247"/>
      <c r="SV197" s="1247"/>
      <c r="SW197" s="1247"/>
      <c r="SX197" s="1247"/>
      <c r="SY197" s="1247"/>
      <c r="SZ197" s="1247"/>
      <c r="TA197" s="1247"/>
      <c r="TB197" s="1247"/>
      <c r="TC197" s="1247"/>
      <c r="TD197" s="1247"/>
      <c r="TE197" s="1247"/>
      <c r="TF197" s="1247"/>
      <c r="TG197" s="1247"/>
      <c r="TH197" s="1247"/>
      <c r="TI197" s="1247"/>
      <c r="TJ197" s="1247"/>
      <c r="TK197" s="1247"/>
      <c r="TL197" s="1247"/>
      <c r="TM197" s="1247"/>
      <c r="TN197" s="1247"/>
      <c r="TO197" s="1247"/>
      <c r="TP197" s="1247"/>
      <c r="TQ197" s="1247"/>
      <c r="TR197" s="1247"/>
      <c r="TS197" s="1247"/>
      <c r="TT197" s="1247"/>
      <c r="TU197" s="1247"/>
      <c r="TV197" s="1247"/>
      <c r="TW197" s="1247"/>
      <c r="TX197" s="1247"/>
      <c r="TY197" s="1247"/>
      <c r="TZ197" s="1247"/>
      <c r="UA197" s="1247"/>
      <c r="UB197" s="1247"/>
      <c r="UC197" s="1247"/>
      <c r="UD197" s="1247"/>
      <c r="UE197" s="1247"/>
      <c r="UF197" s="1247"/>
      <c r="UG197" s="1247"/>
      <c r="UH197" s="1247"/>
      <c r="UI197" s="1247"/>
      <c r="UJ197" s="1247"/>
      <c r="UK197" s="1247"/>
      <c r="UL197" s="1247"/>
      <c r="UM197" s="1247"/>
      <c r="UN197" s="1247"/>
      <c r="UO197" s="1247"/>
      <c r="UP197" s="1247"/>
      <c r="UQ197" s="1247"/>
      <c r="UR197" s="1247"/>
      <c r="US197" s="1247"/>
      <c r="UT197" s="1247"/>
      <c r="UU197" s="1247"/>
      <c r="UV197" s="1247"/>
      <c r="UW197" s="1247"/>
      <c r="UX197" s="1247"/>
      <c r="UY197" s="1247"/>
      <c r="UZ197" s="1247"/>
      <c r="VA197" s="1247"/>
      <c r="VB197" s="1247"/>
      <c r="VC197" s="1247"/>
      <c r="VD197" s="1247"/>
      <c r="VE197" s="1247"/>
      <c r="VF197" s="1247"/>
      <c r="VG197" s="1247"/>
      <c r="VH197" s="1247"/>
      <c r="VI197" s="1247"/>
      <c r="VJ197" s="1247"/>
      <c r="VK197" s="1247"/>
      <c r="VL197" s="1247"/>
      <c r="VM197" s="1247"/>
      <c r="VN197" s="1247"/>
      <c r="VO197" s="1247"/>
      <c r="VP197" s="1247"/>
      <c r="VQ197" s="1247"/>
      <c r="VR197" s="1247"/>
      <c r="VS197" s="1247"/>
      <c r="VT197" s="1247"/>
      <c r="VU197" s="1247"/>
      <c r="VV197" s="1247"/>
      <c r="VW197" s="1247"/>
      <c r="VX197" s="1247"/>
      <c r="VY197" s="1247"/>
      <c r="VZ197" s="1247"/>
      <c r="WA197" s="1247"/>
      <c r="WB197" s="1247"/>
      <c r="WC197" s="1247"/>
      <c r="WD197" s="1247"/>
      <c r="WE197" s="1247"/>
      <c r="WF197" s="1247"/>
      <c r="WG197" s="1247"/>
      <c r="WH197" s="1247"/>
      <c r="WI197" s="1247"/>
      <c r="WJ197" s="1247"/>
      <c r="WK197" s="1247"/>
      <c r="WL197" s="1247"/>
      <c r="WM197" s="1247"/>
      <c r="WN197" s="1247"/>
      <c r="WO197" s="1247"/>
      <c r="WP197" s="1247"/>
      <c r="WQ197" s="1247"/>
      <c r="WR197" s="1247"/>
      <c r="WS197" s="1247"/>
      <c r="WT197" s="1247"/>
      <c r="WU197" s="1247"/>
      <c r="WV197" s="1247"/>
      <c r="WW197" s="1247"/>
      <c r="WX197" s="1247"/>
      <c r="WY197" s="1247"/>
      <c r="WZ197" s="1247"/>
      <c r="XA197" s="1247"/>
      <c r="XB197" s="1247"/>
      <c r="XC197" s="1247"/>
      <c r="XD197" s="1247"/>
      <c r="XE197" s="1247"/>
      <c r="XF197" s="1247"/>
      <c r="XG197" s="1247"/>
      <c r="XH197" s="1247"/>
      <c r="XI197" s="1247"/>
      <c r="XJ197" s="1247"/>
      <c r="XK197" s="1247"/>
      <c r="XL197" s="1247"/>
      <c r="XM197" s="1247"/>
      <c r="XN197" s="1247"/>
      <c r="XO197" s="1247"/>
      <c r="XP197" s="1247"/>
      <c r="XQ197" s="1247"/>
      <c r="XR197" s="1247"/>
      <c r="XS197" s="1247"/>
      <c r="XT197" s="1247"/>
      <c r="XU197" s="1247"/>
      <c r="XV197" s="1247"/>
      <c r="XW197" s="1247"/>
      <c r="XX197" s="1247"/>
      <c r="XY197" s="1247"/>
      <c r="XZ197" s="1247"/>
      <c r="YA197" s="1247"/>
      <c r="YB197" s="1247"/>
      <c r="YC197" s="1247"/>
      <c r="YD197" s="1247"/>
      <c r="YE197" s="1247"/>
      <c r="YF197" s="1247"/>
      <c r="YG197" s="1247"/>
      <c r="YH197" s="1247"/>
      <c r="YI197" s="1247"/>
      <c r="YJ197" s="1247"/>
      <c r="YK197" s="1247"/>
      <c r="YL197" s="1247"/>
      <c r="YM197" s="1247"/>
      <c r="YN197" s="1247"/>
      <c r="YO197" s="1247"/>
      <c r="YP197" s="1247"/>
      <c r="YQ197" s="1247"/>
      <c r="YR197" s="1247"/>
      <c r="YS197" s="1247"/>
      <c r="YT197" s="1247"/>
      <c r="YU197" s="1247"/>
      <c r="YV197" s="1247"/>
      <c r="YW197" s="1247"/>
      <c r="YX197" s="1247"/>
      <c r="YY197" s="1247"/>
      <c r="YZ197" s="1247"/>
      <c r="ZA197" s="1247"/>
      <c r="ZB197" s="1247"/>
      <c r="ZC197" s="1247"/>
      <c r="ZD197" s="1247"/>
      <c r="ZE197" s="1247"/>
      <c r="ZF197" s="1247"/>
      <c r="ZG197" s="1247"/>
      <c r="ZH197" s="1247"/>
      <c r="ZI197" s="1247"/>
      <c r="ZJ197" s="1247"/>
      <c r="ZK197" s="1247"/>
      <c r="ZL197" s="1247"/>
      <c r="ZM197" s="1247"/>
      <c r="ZN197" s="1247"/>
      <c r="ZO197" s="1247"/>
      <c r="ZP197" s="1247"/>
      <c r="ZQ197" s="1247"/>
      <c r="ZR197" s="1247"/>
      <c r="ZS197" s="1247"/>
      <c r="ZT197" s="1247"/>
      <c r="ZU197" s="1247"/>
      <c r="ZV197" s="1247"/>
      <c r="ZW197" s="1247"/>
      <c r="ZX197" s="1247"/>
      <c r="ZY197" s="1247"/>
      <c r="ZZ197" s="1247"/>
      <c r="AAA197" s="1247"/>
      <c r="AAB197" s="1247"/>
      <c r="AAC197" s="1247"/>
      <c r="AAD197" s="1247"/>
      <c r="AAE197" s="1247"/>
      <c r="AAF197" s="1247"/>
      <c r="AAG197" s="1247"/>
      <c r="AAH197" s="1247"/>
      <c r="AAI197" s="1247"/>
      <c r="AAJ197" s="1247"/>
      <c r="AAK197" s="1247"/>
      <c r="AAL197" s="1247"/>
      <c r="AAM197" s="1247"/>
      <c r="AAN197" s="1247"/>
      <c r="AAO197" s="1247"/>
      <c r="AAP197" s="1247"/>
      <c r="AAQ197" s="1247"/>
      <c r="AAR197" s="1247"/>
      <c r="AAS197" s="1247"/>
      <c r="AAT197" s="1247"/>
      <c r="AAU197" s="1247"/>
      <c r="AAV197" s="1247"/>
      <c r="AAW197" s="1247"/>
      <c r="AAX197" s="1247"/>
      <c r="AAY197" s="1247"/>
      <c r="AAZ197" s="1247"/>
      <c r="ABA197" s="1247"/>
      <c r="ABB197" s="1247"/>
      <c r="ABC197" s="1247"/>
      <c r="ABD197" s="1247"/>
      <c r="ABE197" s="1247"/>
      <c r="ABF197" s="1247"/>
      <c r="ABG197" s="1247"/>
      <c r="ABH197" s="1247"/>
      <c r="ABI197" s="1247"/>
      <c r="ABJ197" s="1247"/>
      <c r="ABK197" s="1247"/>
      <c r="ABL197" s="1247"/>
      <c r="ABM197" s="1247"/>
      <c r="ABN197" s="1247"/>
      <c r="ABO197" s="1247"/>
      <c r="ABP197" s="1247"/>
      <c r="ABQ197" s="1247"/>
      <c r="ABR197" s="1247"/>
      <c r="ABS197" s="1247"/>
      <c r="ABT197" s="1247"/>
      <c r="ABU197" s="1247"/>
      <c r="ABV197" s="1247"/>
      <c r="ABW197" s="1247"/>
      <c r="ABX197" s="1247"/>
      <c r="ABY197" s="1247"/>
      <c r="ABZ197" s="1247"/>
      <c r="ACA197" s="1247"/>
      <c r="ACB197" s="1247"/>
      <c r="ACC197" s="1247"/>
      <c r="ACD197" s="1247"/>
      <c r="ACE197" s="1247"/>
      <c r="ACF197" s="1247"/>
      <c r="ACG197" s="1247"/>
      <c r="ACH197" s="1247"/>
      <c r="ACI197" s="1247"/>
      <c r="ACJ197" s="1247"/>
      <c r="ACK197" s="1247"/>
      <c r="ACL197" s="1247"/>
      <c r="ACM197" s="1247"/>
      <c r="ACN197" s="1247"/>
      <c r="ACO197" s="1247"/>
      <c r="ACP197" s="1247"/>
      <c r="ACQ197" s="1247"/>
      <c r="ACR197" s="1247"/>
      <c r="ACS197" s="1247"/>
      <c r="ACT197" s="1247"/>
      <c r="ACU197" s="1247"/>
      <c r="ACV197" s="1247"/>
      <c r="ACW197" s="1247"/>
      <c r="ACX197" s="1247"/>
      <c r="ACY197" s="1247"/>
      <c r="ACZ197" s="1247"/>
      <c r="ADA197" s="1247"/>
      <c r="ADB197" s="1247"/>
      <c r="ADC197" s="1247"/>
      <c r="ADD197" s="1247"/>
      <c r="ADE197" s="1247"/>
      <c r="ADF197" s="1247"/>
      <c r="ADG197" s="1247"/>
    </row>
    <row r="198" spans="1:787" s="1247" customFormat="1" ht="13" hidden="1" outlineLevel="2">
      <c r="B198" s="1422" t="s">
        <v>677</v>
      </c>
      <c r="C198" s="1423"/>
      <c r="D198" s="1423" t="s">
        <v>3575</v>
      </c>
      <c r="E198" s="1431" t="s">
        <v>3576</v>
      </c>
      <c r="F198" s="1425" t="s">
        <v>3577</v>
      </c>
      <c r="G198" s="1431" t="s">
        <v>4141</v>
      </c>
      <c r="H198" s="1446">
        <f>VLOOKUP($D198,车位!$D:$V,12,FALSE)</f>
        <v>0</v>
      </c>
      <c r="I198" s="1446">
        <v>0</v>
      </c>
      <c r="J198" s="1427">
        <f>VLOOKUP($D198,高层!$D:$V,12,FALSE)</f>
        <v>1343.0984109999999</v>
      </c>
      <c r="K198" s="1427">
        <f>VLOOKUP($D198,幼儿园!$D:$V,12,FALSE)</f>
        <v>0</v>
      </c>
      <c r="L198" s="1427">
        <f>VLOOKUP($D198,配套用房!$D:$V,12,FALSE)</f>
        <v>71.376249999999999</v>
      </c>
      <c r="M198" s="1427">
        <f>VLOOKUP($D198,临街商业!$D:$V,12,FALSE)</f>
        <v>0</v>
      </c>
      <c r="N198" s="1427">
        <f>VLOOKUP($D198,人防车位!D:U,12,FALSE)</f>
        <v>0</v>
      </c>
      <c r="O198" s="1427">
        <f>VLOOKUP($D198,人才公寓销售!$D:$V,12,FALSE)</f>
        <v>0</v>
      </c>
      <c r="P198" s="1427">
        <f>VLOOKUP($D198,小高层!$D:$V,12,FALSE)</f>
        <v>2188.7419669999999</v>
      </c>
      <c r="Q198" s="1427"/>
      <c r="R198" s="1428">
        <f>SUM(H198:Q198)</f>
        <v>3603.2166280000001</v>
      </c>
      <c r="S198" s="1427"/>
      <c r="T198" s="1427">
        <f>R198+S198</f>
        <v>3603.2166280000001</v>
      </c>
      <c r="U198" s="1429"/>
      <c r="V198" s="1225">
        <f t="shared" si="34"/>
        <v>0</v>
      </c>
      <c r="W198" s="1225">
        <f t="shared" si="35"/>
        <v>0</v>
      </c>
      <c r="X198" s="1225"/>
      <c r="Y198" s="1225"/>
    </row>
    <row r="199" spans="1:787" s="1247" customFormat="1" ht="13" hidden="1" outlineLevel="2">
      <c r="B199" s="1422" t="s">
        <v>678</v>
      </c>
      <c r="C199" s="1423"/>
      <c r="D199" s="1423" t="s">
        <v>3578</v>
      </c>
      <c r="E199" s="1431" t="s">
        <v>3579</v>
      </c>
      <c r="F199" s="1425" t="s">
        <v>3580</v>
      </c>
      <c r="G199" s="1431" t="s">
        <v>4142</v>
      </c>
      <c r="H199" s="1446">
        <f>VLOOKUP($D199,车位!$D:$V,12,FALSE)</f>
        <v>0</v>
      </c>
      <c r="I199" s="1446">
        <v>0</v>
      </c>
      <c r="J199" s="1427">
        <f>VLOOKUP($D199,高层!$D:$V,12,FALSE)</f>
        <v>260.98652800000002</v>
      </c>
      <c r="K199" s="1427">
        <f>VLOOKUP($D199,幼儿园!$D:$V,12,FALSE)</f>
        <v>0</v>
      </c>
      <c r="L199" s="1427">
        <f>VLOOKUP($D199,配套用房!$D:$V,12,FALSE)</f>
        <v>0</v>
      </c>
      <c r="M199" s="1427">
        <f>VLOOKUP($D199,临街商业!$D:$V,12,FALSE)</f>
        <v>0</v>
      </c>
      <c r="N199" s="1427">
        <f>VLOOKUP($D199,人防车位!D:U,12,FALSE)</f>
        <v>0</v>
      </c>
      <c r="O199" s="1427">
        <f>VLOOKUP($D199,人才公寓销售!$D:$V,12,FALSE)</f>
        <v>0</v>
      </c>
      <c r="P199" s="1427">
        <f>VLOOKUP($D199,小高层!$D:$V,12,FALSE)</f>
        <v>626.71585900000002</v>
      </c>
      <c r="Q199" s="1427"/>
      <c r="R199" s="1428">
        <f t="shared" ref="R199:R215" si="46">SUM(H199:Q199)</f>
        <v>887.70238700000004</v>
      </c>
      <c r="S199" s="1427"/>
      <c r="T199" s="1427">
        <f t="shared" ref="T199:T215" si="47">R199+S199</f>
        <v>887.70238700000004</v>
      </c>
      <c r="U199" s="1429"/>
      <c r="V199" s="1225">
        <f t="shared" si="34"/>
        <v>0</v>
      </c>
      <c r="W199" s="1225">
        <f t="shared" si="35"/>
        <v>0</v>
      </c>
      <c r="X199" s="1225"/>
      <c r="Y199" s="1225"/>
    </row>
    <row r="200" spans="1:787" s="1247" customFormat="1" ht="13" hidden="1" outlineLevel="2">
      <c r="B200" s="1422" t="s">
        <v>679</v>
      </c>
      <c r="C200" s="1423"/>
      <c r="D200" s="1423" t="s">
        <v>3581</v>
      </c>
      <c r="E200" s="1431" t="s">
        <v>3582</v>
      </c>
      <c r="F200" s="1425" t="s">
        <v>3014</v>
      </c>
      <c r="G200" s="1431" t="s">
        <v>4143</v>
      </c>
      <c r="H200" s="1446">
        <f>VLOOKUP($D200,车位!$D:$V,12,FALSE)</f>
        <v>0</v>
      </c>
      <c r="I200" s="1446">
        <v>0</v>
      </c>
      <c r="J200" s="1427">
        <f>VLOOKUP($D200,高层!$D:$V,12,FALSE)</f>
        <v>335.07302600000003</v>
      </c>
      <c r="K200" s="1427">
        <f>VLOOKUP($D200,幼儿园!$D:$V,12,FALSE)</f>
        <v>0</v>
      </c>
      <c r="L200" s="1427">
        <f>VLOOKUP($D200,配套用房!$D:$V,12,FALSE)</f>
        <v>0</v>
      </c>
      <c r="M200" s="1427">
        <f>VLOOKUP($D200,临街商业!$D:$V,12,FALSE)</f>
        <v>0</v>
      </c>
      <c r="N200" s="1427">
        <f>VLOOKUP($D200,人防车位!D:U,12,FALSE)</f>
        <v>0</v>
      </c>
      <c r="O200" s="1427">
        <f>VLOOKUP($D200,人才公寓销售!$D:$V,12,FALSE)</f>
        <v>0</v>
      </c>
      <c r="P200" s="1427">
        <f>VLOOKUP($D200,小高层!$D:$V,12,FALSE)</f>
        <v>620.73924599999998</v>
      </c>
      <c r="Q200" s="1427"/>
      <c r="R200" s="1428">
        <f t="shared" si="46"/>
        <v>955.81227200000001</v>
      </c>
      <c r="S200" s="1427"/>
      <c r="T200" s="1427">
        <f t="shared" si="47"/>
        <v>955.81227200000001</v>
      </c>
      <c r="U200" s="1429"/>
      <c r="V200" s="1225">
        <f t="shared" si="34"/>
        <v>0</v>
      </c>
      <c r="W200" s="1225">
        <f t="shared" si="35"/>
        <v>0</v>
      </c>
      <c r="X200" s="1225"/>
      <c r="Y200" s="1225"/>
    </row>
    <row r="201" spans="1:787" s="1247" customFormat="1" ht="13" hidden="1" outlineLevel="2">
      <c r="B201" s="1422" t="s">
        <v>680</v>
      </c>
      <c r="C201" s="1423"/>
      <c r="D201" s="1423" t="s">
        <v>3583</v>
      </c>
      <c r="E201" s="1431" t="s">
        <v>3584</v>
      </c>
      <c r="F201" s="1425" t="s">
        <v>1329</v>
      </c>
      <c r="G201" s="1431" t="s">
        <v>4132</v>
      </c>
      <c r="H201" s="1446">
        <f>VLOOKUP($D201,车位!$D:$V,12,FALSE)</f>
        <v>0</v>
      </c>
      <c r="I201" s="1446">
        <v>0</v>
      </c>
      <c r="J201" s="1427">
        <f>VLOOKUP($D201,高层!$D:$V,12,FALSE)</f>
        <v>0</v>
      </c>
      <c r="K201" s="1427">
        <f>VLOOKUP($D201,幼儿园!$D:$V,12,FALSE)</f>
        <v>0</v>
      </c>
      <c r="L201" s="1427">
        <f>VLOOKUP($D201,配套用房!$D:$V,12,FALSE)</f>
        <v>0</v>
      </c>
      <c r="M201" s="1427">
        <f>VLOOKUP($D201,临街商业!$D:$V,12,FALSE)</f>
        <v>0</v>
      </c>
      <c r="N201" s="1427">
        <f>VLOOKUP($D201,人防车位!D:U,12,FALSE)</f>
        <v>0</v>
      </c>
      <c r="O201" s="1427">
        <f>VLOOKUP($D201,人才公寓销售!$D:$V,12,FALSE)</f>
        <v>0</v>
      </c>
      <c r="P201" s="1427">
        <f>VLOOKUP($D201,小高层!$D:$V,12,FALSE)</f>
        <v>110.53774199999999</v>
      </c>
      <c r="Q201" s="1427"/>
      <c r="R201" s="1428">
        <f t="shared" si="46"/>
        <v>110.53774199999999</v>
      </c>
      <c r="S201" s="1427"/>
      <c r="T201" s="1427">
        <f t="shared" si="47"/>
        <v>110.53774199999999</v>
      </c>
      <c r="U201" s="1429"/>
      <c r="V201" s="1225">
        <f t="shared" si="34"/>
        <v>0</v>
      </c>
      <c r="W201" s="1225">
        <f t="shared" si="35"/>
        <v>0</v>
      </c>
      <c r="X201" s="1225"/>
      <c r="Y201" s="1225"/>
    </row>
    <row r="202" spans="1:787" s="1247" customFormat="1" ht="13" hidden="1" outlineLevel="2">
      <c r="B202" s="1422" t="s">
        <v>681</v>
      </c>
      <c r="C202" s="1423"/>
      <c r="D202" s="1423" t="s">
        <v>3585</v>
      </c>
      <c r="E202" s="1431" t="s">
        <v>3586</v>
      </c>
      <c r="F202" s="1425" t="s">
        <v>450</v>
      </c>
      <c r="G202" s="1431" t="s">
        <v>4144</v>
      </c>
      <c r="H202" s="1446">
        <f>VLOOKUP($D202,车位!$D:$V,12,FALSE)</f>
        <v>0</v>
      </c>
      <c r="I202" s="1446">
        <v>0</v>
      </c>
      <c r="J202" s="1427">
        <f>VLOOKUP($D202,高层!$D:$V,12,FALSE)</f>
        <v>155.598916</v>
      </c>
      <c r="K202" s="1427">
        <f>VLOOKUP($D202,幼儿园!$D:$V,12,FALSE)</f>
        <v>0</v>
      </c>
      <c r="L202" s="1427">
        <f>VLOOKUP($D202,配套用房!$D:$V,12,FALSE)</f>
        <v>0</v>
      </c>
      <c r="M202" s="1427">
        <f>VLOOKUP($D202,临街商业!$D:$V,12,FALSE)</f>
        <v>0</v>
      </c>
      <c r="N202" s="1427">
        <f>VLOOKUP($D202,人防车位!D:U,12,FALSE)</f>
        <v>0</v>
      </c>
      <c r="O202" s="1427">
        <f>VLOOKUP($D202,人才公寓销售!$D:$V,12,FALSE)</f>
        <v>0</v>
      </c>
      <c r="P202" s="1427">
        <f>VLOOKUP($D202,小高层!$D:$V,12,FALSE)</f>
        <v>216.81492800000001</v>
      </c>
      <c r="Q202" s="1427"/>
      <c r="R202" s="1428">
        <f t="shared" si="46"/>
        <v>372.41384400000004</v>
      </c>
      <c r="S202" s="1427"/>
      <c r="T202" s="1427">
        <f t="shared" si="47"/>
        <v>372.41384400000004</v>
      </c>
      <c r="U202" s="1429"/>
      <c r="V202" s="1225">
        <f t="shared" ref="V202:V265" si="48">H202+I202+J202+L202+N202+O202+P202+Q202+S202-T202+K202+M202</f>
        <v>0</v>
      </c>
      <c r="W202" s="1225">
        <f t="shared" ref="W202:W265" si="49">T202-R202</f>
        <v>0</v>
      </c>
      <c r="X202" s="1225"/>
      <c r="Y202" s="1225"/>
    </row>
    <row r="203" spans="1:787" s="1247" customFormat="1" ht="13" hidden="1" outlineLevel="2">
      <c r="B203" s="1422" t="s">
        <v>682</v>
      </c>
      <c r="C203" s="1423"/>
      <c r="D203" s="1423" t="s">
        <v>3587</v>
      </c>
      <c r="E203" s="1431" t="s">
        <v>3588</v>
      </c>
      <c r="F203" s="1425" t="s">
        <v>1329</v>
      </c>
      <c r="G203" s="1431" t="s">
        <v>4132</v>
      </c>
      <c r="H203" s="1446">
        <f>VLOOKUP($D203,车位!$D:$V,12,FALSE)</f>
        <v>0</v>
      </c>
      <c r="I203" s="1446">
        <v>0</v>
      </c>
      <c r="J203" s="1427">
        <f>VLOOKUP($D203,高层!$D:$V,12,FALSE)</f>
        <v>0</v>
      </c>
      <c r="K203" s="1427">
        <f>VLOOKUP($D203,幼儿园!$D:$V,12,FALSE)</f>
        <v>0</v>
      </c>
      <c r="L203" s="1427">
        <f>VLOOKUP($D203,配套用房!$D:$V,12,FALSE)</f>
        <v>0</v>
      </c>
      <c r="M203" s="1427">
        <f>VLOOKUP($D203,临街商业!$D:$V,12,FALSE)</f>
        <v>0</v>
      </c>
      <c r="N203" s="1427">
        <f>VLOOKUP($D203,人防车位!D:U,12,FALSE)</f>
        <v>0</v>
      </c>
      <c r="O203" s="1427">
        <f>VLOOKUP($D203,人才公寓销售!$D:$V,12,FALSE)</f>
        <v>0</v>
      </c>
      <c r="P203" s="1427">
        <f>VLOOKUP($D203,小高层!$D:$V,12,FALSE)</f>
        <v>0</v>
      </c>
      <c r="Q203" s="1427"/>
      <c r="R203" s="1428">
        <f t="shared" si="46"/>
        <v>0</v>
      </c>
      <c r="S203" s="1427"/>
      <c r="T203" s="1427">
        <f t="shared" si="47"/>
        <v>0</v>
      </c>
      <c r="U203" s="1429"/>
      <c r="V203" s="1225">
        <f t="shared" si="48"/>
        <v>0</v>
      </c>
      <c r="W203" s="1225">
        <f t="shared" si="49"/>
        <v>0</v>
      </c>
      <c r="X203" s="1225"/>
      <c r="Y203" s="1225"/>
    </row>
    <row r="204" spans="1:787" s="1247" customFormat="1" ht="13" hidden="1" outlineLevel="2">
      <c r="B204" s="1422" t="s">
        <v>683</v>
      </c>
      <c r="C204" s="1423"/>
      <c r="D204" s="1423" t="s">
        <v>3589</v>
      </c>
      <c r="E204" s="1431" t="s">
        <v>3590</v>
      </c>
      <c r="F204" s="1425" t="s">
        <v>1548</v>
      </c>
      <c r="G204" s="1431" t="s">
        <v>4145</v>
      </c>
      <c r="H204" s="1446">
        <f>VLOOKUP($D204,车位!$D:$V,12,FALSE)</f>
        <v>0</v>
      </c>
      <c r="I204" s="1446">
        <v>0</v>
      </c>
      <c r="J204" s="1427">
        <f>VLOOKUP($D204,高层!$D:$V,12,FALSE)</f>
        <v>145.92795100000001</v>
      </c>
      <c r="K204" s="1427">
        <f>VLOOKUP($D204,幼儿园!$D:$V,12,FALSE)</f>
        <v>0</v>
      </c>
      <c r="L204" s="1427">
        <f>VLOOKUP($D204,配套用房!$D:$V,12,FALSE)</f>
        <v>0</v>
      </c>
      <c r="M204" s="1427">
        <f>VLOOKUP($D204,临街商业!$D:$V,12,FALSE)</f>
        <v>0</v>
      </c>
      <c r="N204" s="1427">
        <f>VLOOKUP($D204,人防车位!D:U,12,FALSE)</f>
        <v>0</v>
      </c>
      <c r="O204" s="1427">
        <f>VLOOKUP($D204,人才公寓销售!$D:$V,12,FALSE)</f>
        <v>0</v>
      </c>
      <c r="P204" s="1427">
        <f>VLOOKUP($D204,小高层!$D:$V,12,FALSE)</f>
        <v>239.71541300000001</v>
      </c>
      <c r="Q204" s="1427"/>
      <c r="R204" s="1428">
        <f t="shared" si="46"/>
        <v>385.64336400000002</v>
      </c>
      <c r="S204" s="1427"/>
      <c r="T204" s="1427">
        <f t="shared" si="47"/>
        <v>385.64336400000002</v>
      </c>
      <c r="U204" s="1429"/>
      <c r="V204" s="1225">
        <f t="shared" si="48"/>
        <v>0</v>
      </c>
      <c r="W204" s="1225">
        <f t="shared" si="49"/>
        <v>0</v>
      </c>
      <c r="X204" s="1225"/>
      <c r="Y204" s="1225"/>
    </row>
    <row r="205" spans="1:787" s="1247" customFormat="1" ht="13" hidden="1" outlineLevel="2">
      <c r="B205" s="1422" t="s">
        <v>1549</v>
      </c>
      <c r="C205" s="1423"/>
      <c r="D205" s="1423" t="s">
        <v>3591</v>
      </c>
      <c r="E205" s="1431" t="s">
        <v>3592</v>
      </c>
      <c r="F205" s="1425" t="s">
        <v>3593</v>
      </c>
      <c r="G205" s="1431" t="s">
        <v>4146</v>
      </c>
      <c r="H205" s="1446">
        <f>VLOOKUP($D205,车位!$D:$V,12,FALSE)</f>
        <v>0</v>
      </c>
      <c r="I205" s="1446">
        <v>0</v>
      </c>
      <c r="J205" s="1427">
        <f>VLOOKUP($D205,高层!$D:$V,12,FALSE)</f>
        <v>159.91631100000001</v>
      </c>
      <c r="K205" s="1427">
        <f>VLOOKUP($D205,幼儿园!$D:$V,12,FALSE)</f>
        <v>0</v>
      </c>
      <c r="L205" s="1427">
        <f>VLOOKUP($D205,配套用房!$D:$V,12,FALSE)</f>
        <v>0</v>
      </c>
      <c r="M205" s="1427">
        <f>VLOOKUP($D205,临街商业!$D:$V,12,FALSE)</f>
        <v>0</v>
      </c>
      <c r="N205" s="1427">
        <f>VLOOKUP($D205,人防车位!D:U,12,FALSE)</f>
        <v>0</v>
      </c>
      <c r="O205" s="1427">
        <f>VLOOKUP($D205,人才公寓销售!$D:$V,12,FALSE)</f>
        <v>0</v>
      </c>
      <c r="P205" s="1427">
        <f>VLOOKUP($D205,小高层!$D:$V,12,FALSE)</f>
        <v>315.93201499999998</v>
      </c>
      <c r="Q205" s="1427"/>
      <c r="R205" s="1428">
        <f t="shared" si="46"/>
        <v>475.84832599999999</v>
      </c>
      <c r="S205" s="1427"/>
      <c r="T205" s="1427">
        <f t="shared" si="47"/>
        <v>475.84832599999999</v>
      </c>
      <c r="U205" s="1429"/>
      <c r="V205" s="1225">
        <f t="shared" si="48"/>
        <v>0</v>
      </c>
      <c r="W205" s="1225">
        <f t="shared" si="49"/>
        <v>0</v>
      </c>
      <c r="X205" s="1225"/>
      <c r="Y205" s="1225"/>
    </row>
    <row r="206" spans="1:787" s="1247" customFormat="1" ht="13" hidden="1" outlineLevel="2">
      <c r="B206" s="1422" t="s">
        <v>684</v>
      </c>
      <c r="C206" s="1423"/>
      <c r="D206" s="1423" t="s">
        <v>3594</v>
      </c>
      <c r="E206" s="1431" t="s">
        <v>3595</v>
      </c>
      <c r="F206" s="1425" t="s">
        <v>1329</v>
      </c>
      <c r="G206" s="1431" t="s">
        <v>4132</v>
      </c>
      <c r="H206" s="1446">
        <f>VLOOKUP($D206,车位!$D:$V,12,FALSE)</f>
        <v>0</v>
      </c>
      <c r="I206" s="1446">
        <v>0</v>
      </c>
      <c r="J206" s="1427">
        <f>VLOOKUP($D206,高层!$D:$V,12,FALSE)</f>
        <v>0</v>
      </c>
      <c r="K206" s="1427">
        <f>VLOOKUP($D206,幼儿园!$D:$V,12,FALSE)</f>
        <v>0</v>
      </c>
      <c r="L206" s="1427">
        <f>VLOOKUP($D206,配套用房!$D:$V,12,FALSE)</f>
        <v>0</v>
      </c>
      <c r="M206" s="1427">
        <f>VLOOKUP($D206,临街商业!$D:$V,12,FALSE)</f>
        <v>0</v>
      </c>
      <c r="N206" s="1427">
        <f>VLOOKUP($D206,人防车位!D:U,12,FALSE)</f>
        <v>0</v>
      </c>
      <c r="O206" s="1427">
        <f>VLOOKUP($D206,人才公寓销售!$D:$V,12,FALSE)</f>
        <v>0</v>
      </c>
      <c r="P206" s="1427">
        <f>VLOOKUP($D206,小高层!$D:$V,12,FALSE)</f>
        <v>0</v>
      </c>
      <c r="Q206" s="1427"/>
      <c r="R206" s="1428">
        <f t="shared" si="46"/>
        <v>0</v>
      </c>
      <c r="S206" s="1427"/>
      <c r="T206" s="1427">
        <f t="shared" si="47"/>
        <v>0</v>
      </c>
      <c r="U206" s="1429"/>
      <c r="V206" s="1225">
        <f t="shared" si="48"/>
        <v>0</v>
      </c>
      <c r="W206" s="1225">
        <f t="shared" si="49"/>
        <v>0</v>
      </c>
      <c r="X206" s="1225"/>
      <c r="Y206" s="1225"/>
    </row>
    <row r="207" spans="1:787" s="1247" customFormat="1" ht="13" hidden="1" outlineLevel="2">
      <c r="B207" s="1422" t="s">
        <v>685</v>
      </c>
      <c r="C207" s="1423"/>
      <c r="D207" s="1423" t="s">
        <v>3596</v>
      </c>
      <c r="E207" s="1431" t="s">
        <v>3597</v>
      </c>
      <c r="F207" s="1425" t="s">
        <v>1329</v>
      </c>
      <c r="G207" s="1431" t="s">
        <v>4132</v>
      </c>
      <c r="H207" s="1446">
        <f>VLOOKUP($D207,车位!$D:$V,12,FALSE)</f>
        <v>0</v>
      </c>
      <c r="I207" s="1446">
        <v>0</v>
      </c>
      <c r="J207" s="1427">
        <f>VLOOKUP($D207,高层!$D:$V,12,FALSE)</f>
        <v>12.34775</v>
      </c>
      <c r="K207" s="1427">
        <f>VLOOKUP($D207,幼儿园!$D:$V,12,FALSE)</f>
        <v>0</v>
      </c>
      <c r="L207" s="1427">
        <f>VLOOKUP($D207,配套用房!$D:$V,12,FALSE)</f>
        <v>0</v>
      </c>
      <c r="M207" s="1427">
        <f>VLOOKUP($D207,临街商业!$D:$V,12,FALSE)</f>
        <v>0</v>
      </c>
      <c r="N207" s="1427">
        <f>VLOOKUP($D207,人防车位!D:U,12,FALSE)</f>
        <v>0</v>
      </c>
      <c r="O207" s="1427">
        <f>VLOOKUP($D207,人才公寓销售!$D:$V,12,FALSE)</f>
        <v>0</v>
      </c>
      <c r="P207" s="1427">
        <f>VLOOKUP($D207,小高层!$D:$V,12,FALSE)</f>
        <v>16.095431000000001</v>
      </c>
      <c r="Q207" s="1427"/>
      <c r="R207" s="1428">
        <f t="shared" si="46"/>
        <v>28.443181000000003</v>
      </c>
      <c r="S207" s="1427"/>
      <c r="T207" s="1427">
        <f t="shared" si="47"/>
        <v>28.443181000000003</v>
      </c>
      <c r="U207" s="1429"/>
      <c r="V207" s="1225">
        <f t="shared" si="48"/>
        <v>0</v>
      </c>
      <c r="W207" s="1225">
        <f t="shared" si="49"/>
        <v>0</v>
      </c>
      <c r="X207" s="1225"/>
      <c r="Y207" s="1225"/>
    </row>
    <row r="208" spans="1:787" s="1247" customFormat="1" ht="13" hidden="1" outlineLevel="2">
      <c r="B208" s="1422" t="s">
        <v>686</v>
      </c>
      <c r="C208" s="1423"/>
      <c r="D208" s="1423" t="s">
        <v>3598</v>
      </c>
      <c r="E208" s="1431" t="s">
        <v>3599</v>
      </c>
      <c r="F208" s="1425" t="s">
        <v>1329</v>
      </c>
      <c r="G208" s="1431" t="s">
        <v>4132</v>
      </c>
      <c r="H208" s="1446">
        <f>VLOOKUP($D208,车位!$D:$V,12,FALSE)</f>
        <v>0</v>
      </c>
      <c r="I208" s="1446">
        <v>0</v>
      </c>
      <c r="J208" s="1427">
        <f>VLOOKUP($D208,高层!$D:$V,12,FALSE)</f>
        <v>0</v>
      </c>
      <c r="K208" s="1427">
        <f>VLOOKUP($D208,幼儿园!$D:$V,12,FALSE)</f>
        <v>0</v>
      </c>
      <c r="L208" s="1427">
        <f>VLOOKUP($D208,配套用房!$D:$V,12,FALSE)</f>
        <v>0</v>
      </c>
      <c r="M208" s="1427">
        <f>VLOOKUP($D208,临街商业!$D:$V,12,FALSE)</f>
        <v>0</v>
      </c>
      <c r="N208" s="1427">
        <f>VLOOKUP($D208,人防车位!D:U,12,FALSE)</f>
        <v>0</v>
      </c>
      <c r="O208" s="1427">
        <f>VLOOKUP($D208,人才公寓销售!$D:$V,12,FALSE)</f>
        <v>0</v>
      </c>
      <c r="P208" s="1427">
        <f>VLOOKUP($D208,小高层!$D:$V,12,FALSE)</f>
        <v>0</v>
      </c>
      <c r="Q208" s="1427"/>
      <c r="R208" s="1428">
        <f t="shared" si="46"/>
        <v>0</v>
      </c>
      <c r="S208" s="1427"/>
      <c r="T208" s="1427">
        <f t="shared" si="47"/>
        <v>0</v>
      </c>
      <c r="U208" s="1429"/>
      <c r="V208" s="1225">
        <f t="shared" si="48"/>
        <v>0</v>
      </c>
      <c r="W208" s="1225">
        <f t="shared" si="49"/>
        <v>0</v>
      </c>
      <c r="X208" s="1225"/>
      <c r="Y208" s="1225"/>
    </row>
    <row r="209" spans="1:787" s="1247" customFormat="1" ht="13" hidden="1" outlineLevel="2">
      <c r="B209" s="1422" t="s">
        <v>3600</v>
      </c>
      <c r="C209" s="1423"/>
      <c r="D209" s="1423" t="s">
        <v>3601</v>
      </c>
      <c r="E209" s="1431" t="s">
        <v>3602</v>
      </c>
      <c r="F209" s="1425" t="s">
        <v>1329</v>
      </c>
      <c r="G209" s="1431" t="s">
        <v>4132</v>
      </c>
      <c r="H209" s="1446">
        <f>VLOOKUP($D209,车位!$D:$V,12,FALSE)</f>
        <v>0</v>
      </c>
      <c r="I209" s="1446">
        <v>0</v>
      </c>
      <c r="J209" s="1427">
        <f>VLOOKUP($D209,高层!$D:$V,12,FALSE)</f>
        <v>28.969719999999999</v>
      </c>
      <c r="K209" s="1427">
        <f>VLOOKUP($D209,幼儿园!$D:$V,12,FALSE)</f>
        <v>0</v>
      </c>
      <c r="L209" s="1427">
        <f>VLOOKUP($D209,配套用房!$D:$V,12,FALSE)</f>
        <v>0</v>
      </c>
      <c r="M209" s="1427">
        <f>VLOOKUP($D209,临街商业!$D:$V,12,FALSE)</f>
        <v>0</v>
      </c>
      <c r="N209" s="1427">
        <f>VLOOKUP($D209,人防车位!D:U,12,FALSE)</f>
        <v>0</v>
      </c>
      <c r="O209" s="1427">
        <f>VLOOKUP($D209,人才公寓销售!$D:$V,12,FALSE)</f>
        <v>0</v>
      </c>
      <c r="P209" s="1427">
        <f>VLOOKUP($D209,小高层!$D:$V,12,FALSE)</f>
        <v>38.226649000000002</v>
      </c>
      <c r="Q209" s="1427"/>
      <c r="R209" s="1428">
        <f t="shared" si="46"/>
        <v>67.196369000000004</v>
      </c>
      <c r="S209" s="1427"/>
      <c r="T209" s="1427">
        <f t="shared" si="47"/>
        <v>67.196369000000004</v>
      </c>
      <c r="U209" s="1429"/>
      <c r="V209" s="1225">
        <f t="shared" si="48"/>
        <v>0</v>
      </c>
      <c r="W209" s="1225">
        <f t="shared" si="49"/>
        <v>0</v>
      </c>
      <c r="X209" s="1225"/>
      <c r="Y209" s="1225"/>
    </row>
    <row r="210" spans="1:787" s="1247" customFormat="1" ht="13" hidden="1" outlineLevel="2">
      <c r="B210" s="1422" t="s">
        <v>3603</v>
      </c>
      <c r="C210" s="1423"/>
      <c r="D210" s="1423" t="s">
        <v>3604</v>
      </c>
      <c r="E210" s="1431" t="s">
        <v>3605</v>
      </c>
      <c r="F210" s="1425" t="s">
        <v>1329</v>
      </c>
      <c r="G210" s="1431" t="s">
        <v>4132</v>
      </c>
      <c r="H210" s="1446">
        <f>VLOOKUP($D210,车位!$D:$V,12,FALSE)</f>
        <v>0</v>
      </c>
      <c r="I210" s="1446">
        <v>0</v>
      </c>
      <c r="J210" s="1427">
        <f>VLOOKUP($D210,高层!$D:$V,12,FALSE)</f>
        <v>38.597510999999997</v>
      </c>
      <c r="K210" s="1427">
        <f>VLOOKUP($D210,幼儿园!$D:$V,12,FALSE)</f>
        <v>0</v>
      </c>
      <c r="L210" s="1427">
        <f>VLOOKUP($D210,配套用房!$D:$V,12,FALSE)</f>
        <v>0</v>
      </c>
      <c r="M210" s="1427">
        <f>VLOOKUP($D210,临街商业!$D:$V,12,FALSE)</f>
        <v>0</v>
      </c>
      <c r="N210" s="1427">
        <f>VLOOKUP($D210,人防车位!D:U,12,FALSE)</f>
        <v>0</v>
      </c>
      <c r="O210" s="1427">
        <f>VLOOKUP($D210,人才公寓销售!$D:$V,12,FALSE)</f>
        <v>0</v>
      </c>
      <c r="P210" s="1427">
        <f>VLOOKUP($D210,小高层!$D:$V,12,FALSE)</f>
        <v>44.499133999999998</v>
      </c>
      <c r="Q210" s="1427"/>
      <c r="R210" s="1428">
        <f t="shared" si="46"/>
        <v>83.096644999999995</v>
      </c>
      <c r="S210" s="1427"/>
      <c r="T210" s="1427">
        <f t="shared" si="47"/>
        <v>83.096644999999995</v>
      </c>
      <c r="U210" s="1429"/>
      <c r="V210" s="1225">
        <f t="shared" si="48"/>
        <v>0</v>
      </c>
      <c r="W210" s="1225">
        <f t="shared" si="49"/>
        <v>0</v>
      </c>
      <c r="X210" s="1225"/>
      <c r="Y210" s="1225"/>
    </row>
    <row r="211" spans="1:787" s="1247" customFormat="1" ht="13" hidden="1" outlineLevel="2">
      <c r="B211" s="1422" t="s">
        <v>3606</v>
      </c>
      <c r="C211" s="1423"/>
      <c r="D211" s="1423" t="s">
        <v>3607</v>
      </c>
      <c r="E211" s="1431" t="s">
        <v>3608</v>
      </c>
      <c r="F211" s="1425" t="s">
        <v>1607</v>
      </c>
      <c r="G211" s="1431" t="s">
        <v>4147</v>
      </c>
      <c r="H211" s="1446">
        <f>VLOOKUP($D211,车位!$D:$V,12,FALSE)</f>
        <v>0</v>
      </c>
      <c r="I211" s="1446">
        <v>0</v>
      </c>
      <c r="J211" s="1427">
        <f>VLOOKUP($D211,高层!$D:$V,12,FALSE)</f>
        <v>124.47049800000001</v>
      </c>
      <c r="K211" s="1427">
        <f>VLOOKUP($D211,幼儿园!$D:$V,12,FALSE)</f>
        <v>0</v>
      </c>
      <c r="L211" s="1427">
        <f>VLOOKUP($D211,配套用房!$D:$V,12,FALSE)</f>
        <v>0</v>
      </c>
      <c r="M211" s="1427">
        <f>VLOOKUP($D211,临街商业!$D:$V,12,FALSE)</f>
        <v>0</v>
      </c>
      <c r="N211" s="1427">
        <f>VLOOKUP($D211,人防车位!D:U,12,FALSE)</f>
        <v>0</v>
      </c>
      <c r="O211" s="1427">
        <f>VLOOKUP($D211,人才公寓销售!$D:$V,12,FALSE)</f>
        <v>0</v>
      </c>
      <c r="P211" s="1427">
        <f>VLOOKUP($D211,小高层!$D:$V,12,FALSE)</f>
        <v>165.806613</v>
      </c>
      <c r="Q211" s="1427"/>
      <c r="R211" s="1428">
        <f t="shared" si="46"/>
        <v>290.27711099999999</v>
      </c>
      <c r="S211" s="1427"/>
      <c r="T211" s="1427">
        <f t="shared" si="47"/>
        <v>290.27711099999999</v>
      </c>
      <c r="U211" s="1429"/>
      <c r="V211" s="1225">
        <f t="shared" si="48"/>
        <v>0</v>
      </c>
      <c r="W211" s="1225">
        <f t="shared" si="49"/>
        <v>0</v>
      </c>
      <c r="X211" s="1225"/>
      <c r="Y211" s="1225"/>
    </row>
    <row r="212" spans="1:787" s="1247" customFormat="1" ht="13" hidden="1" outlineLevel="2">
      <c r="B212" s="1422" t="s">
        <v>3609</v>
      </c>
      <c r="C212" s="1423"/>
      <c r="D212" s="1423" t="s">
        <v>3610</v>
      </c>
      <c r="E212" s="1431" t="s">
        <v>3611</v>
      </c>
      <c r="F212" s="1425" t="s">
        <v>1607</v>
      </c>
      <c r="G212" s="1431" t="s">
        <v>4147</v>
      </c>
      <c r="H212" s="1446">
        <f>VLOOKUP($D212,车位!$D:$V,12,FALSE)</f>
        <v>0</v>
      </c>
      <c r="I212" s="1446">
        <v>0</v>
      </c>
      <c r="J212" s="1427">
        <f>VLOOKUP($D212,高层!$D:$V,12,FALSE)</f>
        <v>29.574155999999999</v>
      </c>
      <c r="K212" s="1427">
        <f>VLOOKUP($D212,幼儿园!$D:$V,12,FALSE)</f>
        <v>0</v>
      </c>
      <c r="L212" s="1427">
        <f>VLOOKUP($D212,配套用房!$D:$V,12,FALSE)</f>
        <v>0</v>
      </c>
      <c r="M212" s="1427">
        <f>VLOOKUP($D212,临街商业!$D:$V,12,FALSE)</f>
        <v>0</v>
      </c>
      <c r="N212" s="1427">
        <f>VLOOKUP($D212,人防车位!D:U,12,FALSE)</f>
        <v>0</v>
      </c>
      <c r="O212" s="1427">
        <f>VLOOKUP($D212,人才公寓销售!$D:$V,12,FALSE)</f>
        <v>0</v>
      </c>
      <c r="P212" s="1427">
        <f>VLOOKUP($D212,小高层!$D:$V,12,FALSE)</f>
        <v>34.084443</v>
      </c>
      <c r="Q212" s="1427"/>
      <c r="R212" s="1428">
        <f t="shared" si="46"/>
        <v>63.658598999999995</v>
      </c>
      <c r="S212" s="1427"/>
      <c r="T212" s="1427">
        <f t="shared" si="47"/>
        <v>63.658598999999995</v>
      </c>
      <c r="U212" s="1429"/>
      <c r="V212" s="1225">
        <f t="shared" si="48"/>
        <v>0</v>
      </c>
      <c r="W212" s="1225">
        <f t="shared" si="49"/>
        <v>0</v>
      </c>
      <c r="X212" s="1225"/>
      <c r="Y212" s="1225"/>
    </row>
    <row r="213" spans="1:787" s="1247" customFormat="1" ht="13" hidden="1" outlineLevel="2">
      <c r="B213" s="1422" t="s">
        <v>3612</v>
      </c>
      <c r="C213" s="1423"/>
      <c r="D213" s="1423" t="s">
        <v>3613</v>
      </c>
      <c r="E213" s="1431" t="s">
        <v>3614</v>
      </c>
      <c r="F213" s="1425" t="s">
        <v>3615</v>
      </c>
      <c r="G213" s="1431" t="s">
        <v>4148</v>
      </c>
      <c r="H213" s="1446">
        <f>VLOOKUP($D213,车位!$D:$V,12,FALSE)</f>
        <v>0</v>
      </c>
      <c r="I213" s="1446">
        <v>0</v>
      </c>
      <c r="J213" s="1427">
        <f>VLOOKUP($D213,高层!$D:$V,12,FALSE)</f>
        <v>0</v>
      </c>
      <c r="K213" s="1427">
        <f>VLOOKUP($D213,幼儿园!$D:$V,12,FALSE)</f>
        <v>0</v>
      </c>
      <c r="L213" s="1427">
        <f>VLOOKUP($D213,配套用房!$D:$V,12,FALSE)</f>
        <v>0</v>
      </c>
      <c r="M213" s="1427">
        <f>VLOOKUP($D213,临街商业!$D:$V,12,FALSE)</f>
        <v>0</v>
      </c>
      <c r="N213" s="1427">
        <f>VLOOKUP($D213,人防车位!D:U,12,FALSE)</f>
        <v>0</v>
      </c>
      <c r="O213" s="1427">
        <f>VLOOKUP($D213,人才公寓销售!$D:$V,12,FALSE)</f>
        <v>0</v>
      </c>
      <c r="P213" s="1427">
        <f>VLOOKUP($D213,小高层!$D:$V,12,FALSE)</f>
        <v>0</v>
      </c>
      <c r="Q213" s="1427"/>
      <c r="R213" s="1428">
        <f t="shared" si="46"/>
        <v>0</v>
      </c>
      <c r="S213" s="1427"/>
      <c r="T213" s="1427">
        <f t="shared" si="47"/>
        <v>0</v>
      </c>
      <c r="U213" s="1429"/>
      <c r="V213" s="1225">
        <f t="shared" si="48"/>
        <v>0</v>
      </c>
      <c r="W213" s="1225">
        <f t="shared" si="49"/>
        <v>0</v>
      </c>
      <c r="X213" s="1225"/>
      <c r="Y213" s="1225"/>
    </row>
    <row r="214" spans="1:787" s="1247" customFormat="1" ht="13" hidden="1" outlineLevel="2">
      <c r="B214" s="1422" t="s">
        <v>3616</v>
      </c>
      <c r="C214" s="1423"/>
      <c r="D214" s="1423" t="s">
        <v>3617</v>
      </c>
      <c r="E214" s="1431" t="s">
        <v>3618</v>
      </c>
      <c r="F214" s="1425" t="s">
        <v>3521</v>
      </c>
      <c r="G214" s="1431" t="s">
        <v>4139</v>
      </c>
      <c r="H214" s="1446">
        <f>VLOOKUP($D214,车位!$D:$V,12,FALSE)</f>
        <v>0</v>
      </c>
      <c r="I214" s="1446">
        <v>0</v>
      </c>
      <c r="J214" s="1427">
        <f>VLOOKUP($D214,高层!$D:$V,12,FALSE)</f>
        <v>0</v>
      </c>
      <c r="K214" s="1427">
        <f>VLOOKUP($D214,幼儿园!$D:$V,12,FALSE)</f>
        <v>0</v>
      </c>
      <c r="L214" s="1427">
        <f>VLOOKUP($D214,配套用房!$D:$V,12,FALSE)</f>
        <v>0</v>
      </c>
      <c r="M214" s="1427">
        <f>VLOOKUP($D214,临街商业!$D:$V,12,FALSE)</f>
        <v>0</v>
      </c>
      <c r="N214" s="1427">
        <f>VLOOKUP($D214,人防车位!D:U,12,FALSE)</f>
        <v>0</v>
      </c>
      <c r="O214" s="1427">
        <f>VLOOKUP($D214,人才公寓销售!$D:$V,12,FALSE)</f>
        <v>0</v>
      </c>
      <c r="P214" s="1427">
        <f>VLOOKUP($D214,小高层!$D:$V,12,FALSE)</f>
        <v>0</v>
      </c>
      <c r="Q214" s="1427"/>
      <c r="R214" s="1428">
        <f t="shared" si="46"/>
        <v>0</v>
      </c>
      <c r="S214" s="1427"/>
      <c r="T214" s="1427">
        <f t="shared" si="47"/>
        <v>0</v>
      </c>
      <c r="U214" s="1429"/>
      <c r="V214" s="1225">
        <f t="shared" si="48"/>
        <v>0</v>
      </c>
      <c r="W214" s="1225">
        <f t="shared" si="49"/>
        <v>0</v>
      </c>
      <c r="X214" s="1225"/>
      <c r="Y214" s="1225"/>
    </row>
    <row r="215" spans="1:787" s="1247" customFormat="1" ht="13" hidden="1" outlineLevel="2">
      <c r="B215" s="1422" t="s">
        <v>3619</v>
      </c>
      <c r="C215" s="1423"/>
      <c r="D215" s="1423" t="s">
        <v>3620</v>
      </c>
      <c r="E215" s="1431" t="s">
        <v>3621</v>
      </c>
      <c r="F215" s="1425" t="s">
        <v>1329</v>
      </c>
      <c r="G215" s="1431" t="s">
        <v>4132</v>
      </c>
      <c r="H215" s="1446">
        <f>VLOOKUP($D215,车位!$D:$V,12,FALSE)</f>
        <v>0</v>
      </c>
      <c r="I215" s="1446">
        <v>0</v>
      </c>
      <c r="J215" s="1427">
        <f>VLOOKUP($D215,高层!$D:$V,12,FALSE)</f>
        <v>32.250940999999997</v>
      </c>
      <c r="K215" s="1427">
        <f>VLOOKUP($D215,幼儿园!$D:$V,12,FALSE)</f>
        <v>0</v>
      </c>
      <c r="L215" s="1427">
        <f>VLOOKUP($D215,配套用房!$D:$V,12,FALSE)</f>
        <v>0</v>
      </c>
      <c r="M215" s="1427">
        <f>VLOOKUP($D215,临街商业!$D:$V,12,FALSE)</f>
        <v>0</v>
      </c>
      <c r="N215" s="1427">
        <f>VLOOKUP($D215,人防车位!D:U,12,FALSE)</f>
        <v>0</v>
      </c>
      <c r="O215" s="1427">
        <f>VLOOKUP($D215,人才公寓销售!$D:$V,12,FALSE)</f>
        <v>0</v>
      </c>
      <c r="P215" s="1427">
        <f>VLOOKUP($D215,小高层!$D:$V,12,FALSE)</f>
        <v>42.723902000000002</v>
      </c>
      <c r="Q215" s="1427"/>
      <c r="R215" s="1428">
        <f t="shared" si="46"/>
        <v>74.974842999999993</v>
      </c>
      <c r="S215" s="1427"/>
      <c r="T215" s="1427">
        <f t="shared" si="47"/>
        <v>74.974842999999993</v>
      </c>
      <c r="U215" s="1429"/>
      <c r="V215" s="1225">
        <f t="shared" si="48"/>
        <v>0</v>
      </c>
      <c r="W215" s="1225">
        <f t="shared" si="49"/>
        <v>0</v>
      </c>
      <c r="X215" s="1225"/>
      <c r="Y215" s="1225"/>
    </row>
    <row r="216" spans="1:787" s="1421" customFormat="1" ht="13" hidden="1" outlineLevel="1">
      <c r="A216" s="1247"/>
      <c r="B216" s="1413" t="s">
        <v>687</v>
      </c>
      <c r="C216" s="1414"/>
      <c r="D216" s="1414" t="s">
        <v>3146</v>
      </c>
      <c r="E216" s="1417"/>
      <c r="F216" s="1449"/>
      <c r="G216" s="1448" t="s">
        <v>4117</v>
      </c>
      <c r="H216" s="1418">
        <f>SUBTOTAL(9,H217:H219)</f>
        <v>0</v>
      </c>
      <c r="I216" s="1418">
        <f t="shared" ref="I216:T216" si="50">SUBTOTAL(9,I217:I219)</f>
        <v>0</v>
      </c>
      <c r="J216" s="1419">
        <f t="shared" si="50"/>
        <v>0</v>
      </c>
      <c r="K216" s="1419">
        <f t="shared" si="50"/>
        <v>0</v>
      </c>
      <c r="L216" s="1419">
        <f t="shared" si="50"/>
        <v>91.361599999999996</v>
      </c>
      <c r="M216" s="1419">
        <f t="shared" si="50"/>
        <v>0</v>
      </c>
      <c r="N216" s="1419">
        <f t="shared" si="50"/>
        <v>0</v>
      </c>
      <c r="O216" s="1419">
        <f t="shared" si="50"/>
        <v>0</v>
      </c>
      <c r="P216" s="1419">
        <f t="shared" si="50"/>
        <v>0</v>
      </c>
      <c r="Q216" s="1419">
        <f t="shared" si="50"/>
        <v>0</v>
      </c>
      <c r="R216" s="1419">
        <f t="shared" si="50"/>
        <v>91.361599999999996</v>
      </c>
      <c r="S216" s="1419">
        <f t="shared" si="50"/>
        <v>0</v>
      </c>
      <c r="T216" s="1419">
        <f t="shared" si="50"/>
        <v>91.361599999999996</v>
      </c>
      <c r="U216" s="1443"/>
      <c r="V216" s="1225">
        <f t="shared" si="48"/>
        <v>0</v>
      </c>
      <c r="W216" s="1225">
        <f t="shared" si="49"/>
        <v>0</v>
      </c>
      <c r="X216" s="1225"/>
      <c r="Y216" s="1225"/>
      <c r="Z216" s="1247"/>
      <c r="AA216" s="1247"/>
      <c r="AB216" s="1247"/>
      <c r="AC216" s="1247"/>
      <c r="AD216" s="1247"/>
      <c r="AE216" s="1247"/>
      <c r="AF216" s="1247"/>
      <c r="AG216" s="1247"/>
      <c r="AH216" s="1247"/>
      <c r="AI216" s="1247"/>
      <c r="AJ216" s="1247"/>
      <c r="AK216" s="1247"/>
      <c r="AL216" s="1247"/>
      <c r="AM216" s="1247"/>
      <c r="AN216" s="1247"/>
      <c r="AO216" s="1247"/>
      <c r="AP216" s="1247"/>
      <c r="AQ216" s="1247"/>
      <c r="AR216" s="1247"/>
      <c r="AS216" s="1247"/>
      <c r="AT216" s="1247"/>
      <c r="AU216" s="1247"/>
      <c r="AV216" s="1247"/>
      <c r="AW216" s="1247"/>
      <c r="AX216" s="1247"/>
      <c r="AY216" s="1247"/>
      <c r="AZ216" s="1247"/>
      <c r="BA216" s="1247"/>
      <c r="BB216" s="1247"/>
      <c r="BC216" s="1247"/>
      <c r="BD216" s="1247"/>
      <c r="BE216" s="1247"/>
      <c r="BF216" s="1247"/>
      <c r="BG216" s="1247"/>
      <c r="BH216" s="1247"/>
      <c r="BI216" s="1247"/>
      <c r="BJ216" s="1247"/>
      <c r="BK216" s="1247"/>
      <c r="BL216" s="1247"/>
      <c r="BM216" s="1247"/>
      <c r="BN216" s="1247"/>
      <c r="BO216" s="1247"/>
      <c r="BP216" s="1247"/>
      <c r="BQ216" s="1247"/>
      <c r="BR216" s="1247"/>
      <c r="BS216" s="1247"/>
      <c r="BT216" s="1247"/>
      <c r="BU216" s="1247"/>
      <c r="BV216" s="1247"/>
      <c r="BW216" s="1247"/>
      <c r="BX216" s="1247"/>
      <c r="BY216" s="1247"/>
      <c r="BZ216" s="1247"/>
      <c r="CA216" s="1247"/>
      <c r="CB216" s="1247"/>
      <c r="CC216" s="1247"/>
      <c r="CD216" s="1247"/>
      <c r="CE216" s="1247"/>
      <c r="CF216" s="1247"/>
      <c r="CG216" s="1247"/>
      <c r="CH216" s="1247"/>
      <c r="CI216" s="1247"/>
      <c r="CJ216" s="1247"/>
      <c r="CK216" s="1247"/>
      <c r="CL216" s="1247"/>
      <c r="CM216" s="1247"/>
      <c r="CN216" s="1247"/>
      <c r="CO216" s="1247"/>
      <c r="CP216" s="1247"/>
      <c r="CQ216" s="1247"/>
      <c r="CR216" s="1247"/>
      <c r="CS216" s="1247"/>
      <c r="CT216" s="1247"/>
      <c r="CU216" s="1247"/>
      <c r="CV216" s="1247"/>
      <c r="CW216" s="1247"/>
      <c r="CX216" s="1247"/>
      <c r="CY216" s="1247"/>
      <c r="CZ216" s="1247"/>
      <c r="DA216" s="1247"/>
      <c r="DB216" s="1247"/>
      <c r="DC216" s="1247"/>
      <c r="DD216" s="1247"/>
      <c r="DE216" s="1247"/>
      <c r="DF216" s="1247"/>
      <c r="DG216" s="1247"/>
      <c r="DH216" s="1247"/>
      <c r="DI216" s="1247"/>
      <c r="DJ216" s="1247"/>
      <c r="DK216" s="1247"/>
      <c r="DL216" s="1247"/>
      <c r="DM216" s="1247"/>
      <c r="DN216" s="1247"/>
      <c r="DO216" s="1247"/>
      <c r="DP216" s="1247"/>
      <c r="DQ216" s="1247"/>
      <c r="DR216" s="1247"/>
      <c r="DS216" s="1247"/>
      <c r="DT216" s="1247"/>
      <c r="DU216" s="1247"/>
      <c r="DV216" s="1247"/>
      <c r="DW216" s="1247"/>
      <c r="DX216" s="1247"/>
      <c r="DY216" s="1247"/>
      <c r="DZ216" s="1247"/>
      <c r="EA216" s="1247"/>
      <c r="EB216" s="1247"/>
      <c r="EC216" s="1247"/>
      <c r="ED216" s="1247"/>
      <c r="EE216" s="1247"/>
      <c r="EF216" s="1247"/>
      <c r="EG216" s="1247"/>
      <c r="EH216" s="1247"/>
      <c r="EI216" s="1247"/>
      <c r="EJ216" s="1247"/>
      <c r="EK216" s="1247"/>
      <c r="EL216" s="1247"/>
      <c r="EM216" s="1247"/>
      <c r="EN216" s="1247"/>
      <c r="EO216" s="1247"/>
      <c r="EP216" s="1247"/>
      <c r="EQ216" s="1247"/>
      <c r="ER216" s="1247"/>
      <c r="ES216" s="1247"/>
      <c r="ET216" s="1247"/>
      <c r="EU216" s="1247"/>
      <c r="EV216" s="1247"/>
      <c r="EW216" s="1247"/>
      <c r="EX216" s="1247"/>
      <c r="EY216" s="1247"/>
      <c r="EZ216" s="1247"/>
      <c r="FA216" s="1247"/>
      <c r="FB216" s="1247"/>
      <c r="FC216" s="1247"/>
      <c r="FD216" s="1247"/>
      <c r="FE216" s="1247"/>
      <c r="FF216" s="1247"/>
      <c r="FG216" s="1247"/>
      <c r="FH216" s="1247"/>
      <c r="FI216" s="1247"/>
      <c r="FJ216" s="1247"/>
      <c r="FK216" s="1247"/>
      <c r="FL216" s="1247"/>
      <c r="FM216" s="1247"/>
      <c r="FN216" s="1247"/>
      <c r="FO216" s="1247"/>
      <c r="FP216" s="1247"/>
      <c r="FQ216" s="1247"/>
      <c r="FR216" s="1247"/>
      <c r="FS216" s="1247"/>
      <c r="FT216" s="1247"/>
      <c r="FU216" s="1247"/>
      <c r="FV216" s="1247"/>
      <c r="FW216" s="1247"/>
      <c r="FX216" s="1247"/>
      <c r="FY216" s="1247"/>
      <c r="FZ216" s="1247"/>
      <c r="GA216" s="1247"/>
      <c r="GB216" s="1247"/>
      <c r="GC216" s="1247"/>
      <c r="GD216" s="1247"/>
      <c r="GE216" s="1247"/>
      <c r="GF216" s="1247"/>
      <c r="GG216" s="1247"/>
      <c r="GH216" s="1247"/>
      <c r="GI216" s="1247"/>
      <c r="GJ216" s="1247"/>
      <c r="GK216" s="1247"/>
      <c r="GL216" s="1247"/>
      <c r="GM216" s="1247"/>
      <c r="GN216" s="1247"/>
      <c r="GO216" s="1247"/>
      <c r="GP216" s="1247"/>
      <c r="GQ216" s="1247"/>
      <c r="GR216" s="1247"/>
      <c r="GS216" s="1247"/>
      <c r="GT216" s="1247"/>
      <c r="GU216" s="1247"/>
      <c r="GV216" s="1247"/>
      <c r="GW216" s="1247"/>
      <c r="GX216" s="1247"/>
      <c r="GY216" s="1247"/>
      <c r="GZ216" s="1247"/>
      <c r="HA216" s="1247"/>
      <c r="HB216" s="1247"/>
      <c r="HC216" s="1247"/>
      <c r="HD216" s="1247"/>
      <c r="HE216" s="1247"/>
      <c r="HF216" s="1247"/>
      <c r="HG216" s="1247"/>
      <c r="HH216" s="1247"/>
      <c r="HI216" s="1247"/>
      <c r="HJ216" s="1247"/>
      <c r="HK216" s="1247"/>
      <c r="HL216" s="1247"/>
      <c r="HM216" s="1247"/>
      <c r="HN216" s="1247"/>
      <c r="HO216" s="1247"/>
      <c r="HP216" s="1247"/>
      <c r="HQ216" s="1247"/>
      <c r="HR216" s="1247"/>
      <c r="HS216" s="1247"/>
      <c r="HT216" s="1247"/>
      <c r="HU216" s="1247"/>
      <c r="HV216" s="1247"/>
      <c r="HW216" s="1247"/>
      <c r="HX216" s="1247"/>
      <c r="HY216" s="1247"/>
      <c r="HZ216" s="1247"/>
      <c r="IA216" s="1247"/>
      <c r="IB216" s="1247"/>
      <c r="IC216" s="1247"/>
      <c r="ID216" s="1247"/>
      <c r="IE216" s="1247"/>
      <c r="IF216" s="1247"/>
      <c r="IG216" s="1247"/>
      <c r="IH216" s="1247"/>
      <c r="II216" s="1247"/>
      <c r="IJ216" s="1247"/>
      <c r="IK216" s="1247"/>
      <c r="IL216" s="1247"/>
      <c r="IM216" s="1247"/>
      <c r="IN216" s="1247"/>
      <c r="IO216" s="1247"/>
      <c r="IP216" s="1247"/>
      <c r="IQ216" s="1247"/>
      <c r="IR216" s="1247"/>
      <c r="IS216" s="1247"/>
      <c r="IT216" s="1247"/>
      <c r="IU216" s="1247"/>
      <c r="IV216" s="1247"/>
      <c r="IW216" s="1247"/>
      <c r="IX216" s="1247"/>
      <c r="IY216" s="1247"/>
      <c r="IZ216" s="1247"/>
      <c r="JA216" s="1247"/>
      <c r="JB216" s="1247"/>
      <c r="JC216" s="1247"/>
      <c r="JD216" s="1247"/>
      <c r="JE216" s="1247"/>
      <c r="JF216" s="1247"/>
      <c r="JG216" s="1247"/>
      <c r="JH216" s="1247"/>
      <c r="JI216" s="1247"/>
      <c r="JJ216" s="1247"/>
      <c r="JK216" s="1247"/>
      <c r="JL216" s="1247"/>
      <c r="JM216" s="1247"/>
      <c r="JN216" s="1247"/>
      <c r="JO216" s="1247"/>
      <c r="JP216" s="1247"/>
      <c r="JQ216" s="1247"/>
      <c r="JR216" s="1247"/>
      <c r="JS216" s="1247"/>
      <c r="JT216" s="1247"/>
      <c r="JU216" s="1247"/>
      <c r="JV216" s="1247"/>
      <c r="JW216" s="1247"/>
      <c r="JX216" s="1247"/>
      <c r="JY216" s="1247"/>
      <c r="JZ216" s="1247"/>
      <c r="KA216" s="1247"/>
      <c r="KB216" s="1247"/>
      <c r="KC216" s="1247"/>
      <c r="KD216" s="1247"/>
      <c r="KE216" s="1247"/>
      <c r="KF216" s="1247"/>
      <c r="KG216" s="1247"/>
      <c r="KH216" s="1247"/>
      <c r="KI216" s="1247"/>
      <c r="KJ216" s="1247"/>
      <c r="KK216" s="1247"/>
      <c r="KL216" s="1247"/>
      <c r="KM216" s="1247"/>
      <c r="KN216" s="1247"/>
      <c r="KO216" s="1247"/>
      <c r="KP216" s="1247"/>
      <c r="KQ216" s="1247"/>
      <c r="KR216" s="1247"/>
      <c r="KS216" s="1247"/>
      <c r="KT216" s="1247"/>
      <c r="KU216" s="1247"/>
      <c r="KV216" s="1247"/>
      <c r="KW216" s="1247"/>
      <c r="KX216" s="1247"/>
      <c r="KY216" s="1247"/>
      <c r="KZ216" s="1247"/>
      <c r="LA216" s="1247"/>
      <c r="LB216" s="1247"/>
      <c r="LC216" s="1247"/>
      <c r="LD216" s="1247"/>
      <c r="LE216" s="1247"/>
      <c r="LF216" s="1247"/>
      <c r="LG216" s="1247"/>
      <c r="LH216" s="1247"/>
      <c r="LI216" s="1247"/>
      <c r="LJ216" s="1247"/>
      <c r="LK216" s="1247"/>
      <c r="LL216" s="1247"/>
      <c r="LM216" s="1247"/>
      <c r="LN216" s="1247"/>
      <c r="LO216" s="1247"/>
      <c r="LP216" s="1247"/>
      <c r="LQ216" s="1247"/>
      <c r="LR216" s="1247"/>
      <c r="LS216" s="1247"/>
      <c r="LT216" s="1247"/>
      <c r="LU216" s="1247"/>
      <c r="LV216" s="1247"/>
      <c r="LW216" s="1247"/>
      <c r="LX216" s="1247"/>
      <c r="LY216" s="1247"/>
      <c r="LZ216" s="1247"/>
      <c r="MA216" s="1247"/>
      <c r="MB216" s="1247"/>
      <c r="MC216" s="1247"/>
      <c r="MD216" s="1247"/>
      <c r="ME216" s="1247"/>
      <c r="MF216" s="1247"/>
      <c r="MG216" s="1247"/>
      <c r="MH216" s="1247"/>
      <c r="MI216" s="1247"/>
      <c r="MJ216" s="1247"/>
      <c r="MK216" s="1247"/>
      <c r="ML216" s="1247"/>
      <c r="MM216" s="1247"/>
      <c r="MN216" s="1247"/>
      <c r="MO216" s="1247"/>
      <c r="MP216" s="1247"/>
      <c r="MQ216" s="1247"/>
      <c r="MR216" s="1247"/>
      <c r="MS216" s="1247"/>
      <c r="MT216" s="1247"/>
      <c r="MU216" s="1247"/>
      <c r="MV216" s="1247"/>
      <c r="MW216" s="1247"/>
      <c r="MX216" s="1247"/>
      <c r="MY216" s="1247"/>
      <c r="MZ216" s="1247"/>
      <c r="NA216" s="1247"/>
      <c r="NB216" s="1247"/>
      <c r="NC216" s="1247"/>
      <c r="ND216" s="1247"/>
      <c r="NE216" s="1247"/>
      <c r="NF216" s="1247"/>
      <c r="NG216" s="1247"/>
      <c r="NH216" s="1247"/>
      <c r="NI216" s="1247"/>
      <c r="NJ216" s="1247"/>
      <c r="NK216" s="1247"/>
      <c r="NL216" s="1247"/>
      <c r="NM216" s="1247"/>
      <c r="NN216" s="1247"/>
      <c r="NO216" s="1247"/>
      <c r="NP216" s="1247"/>
      <c r="NQ216" s="1247"/>
      <c r="NR216" s="1247"/>
      <c r="NS216" s="1247"/>
      <c r="NT216" s="1247"/>
      <c r="NU216" s="1247"/>
      <c r="NV216" s="1247"/>
      <c r="NW216" s="1247"/>
      <c r="NX216" s="1247"/>
      <c r="NY216" s="1247"/>
      <c r="NZ216" s="1247"/>
      <c r="OA216" s="1247"/>
      <c r="OB216" s="1247"/>
      <c r="OC216" s="1247"/>
      <c r="OD216" s="1247"/>
      <c r="OE216" s="1247"/>
      <c r="OF216" s="1247"/>
      <c r="OG216" s="1247"/>
      <c r="OH216" s="1247"/>
      <c r="OI216" s="1247"/>
      <c r="OJ216" s="1247"/>
      <c r="OK216" s="1247"/>
      <c r="OL216" s="1247"/>
      <c r="OM216" s="1247"/>
      <c r="ON216" s="1247"/>
      <c r="OO216" s="1247"/>
      <c r="OP216" s="1247"/>
      <c r="OQ216" s="1247"/>
      <c r="OR216" s="1247"/>
      <c r="OS216" s="1247"/>
      <c r="OT216" s="1247"/>
      <c r="OU216" s="1247"/>
      <c r="OV216" s="1247"/>
      <c r="OW216" s="1247"/>
      <c r="OX216" s="1247"/>
      <c r="OY216" s="1247"/>
      <c r="OZ216" s="1247"/>
      <c r="PA216" s="1247"/>
      <c r="PB216" s="1247"/>
      <c r="PC216" s="1247"/>
      <c r="PD216" s="1247"/>
      <c r="PE216" s="1247"/>
      <c r="PF216" s="1247"/>
      <c r="PG216" s="1247"/>
      <c r="PH216" s="1247"/>
      <c r="PI216" s="1247"/>
      <c r="PJ216" s="1247"/>
      <c r="PK216" s="1247"/>
      <c r="PL216" s="1247"/>
      <c r="PM216" s="1247"/>
      <c r="PN216" s="1247"/>
      <c r="PO216" s="1247"/>
      <c r="PP216" s="1247"/>
      <c r="PQ216" s="1247"/>
      <c r="PR216" s="1247"/>
      <c r="PS216" s="1247"/>
      <c r="PT216" s="1247"/>
      <c r="PU216" s="1247"/>
      <c r="PV216" s="1247"/>
      <c r="PW216" s="1247"/>
      <c r="PX216" s="1247"/>
      <c r="PY216" s="1247"/>
      <c r="PZ216" s="1247"/>
      <c r="QA216" s="1247"/>
      <c r="QB216" s="1247"/>
      <c r="QC216" s="1247"/>
      <c r="QD216" s="1247"/>
      <c r="QE216" s="1247"/>
      <c r="QF216" s="1247"/>
      <c r="QG216" s="1247"/>
      <c r="QH216" s="1247"/>
      <c r="QI216" s="1247"/>
      <c r="QJ216" s="1247"/>
      <c r="QK216" s="1247"/>
      <c r="QL216" s="1247"/>
      <c r="QM216" s="1247"/>
      <c r="QN216" s="1247"/>
      <c r="QO216" s="1247"/>
      <c r="QP216" s="1247"/>
      <c r="QQ216" s="1247"/>
      <c r="QR216" s="1247"/>
      <c r="QS216" s="1247"/>
      <c r="QT216" s="1247"/>
      <c r="QU216" s="1247"/>
      <c r="QV216" s="1247"/>
      <c r="QW216" s="1247"/>
      <c r="QX216" s="1247"/>
      <c r="QY216" s="1247"/>
      <c r="QZ216" s="1247"/>
      <c r="RA216" s="1247"/>
      <c r="RB216" s="1247"/>
      <c r="RC216" s="1247"/>
      <c r="RD216" s="1247"/>
      <c r="RE216" s="1247"/>
      <c r="RF216" s="1247"/>
      <c r="RG216" s="1247"/>
      <c r="RH216" s="1247"/>
      <c r="RI216" s="1247"/>
      <c r="RJ216" s="1247"/>
      <c r="RK216" s="1247"/>
      <c r="RL216" s="1247"/>
      <c r="RM216" s="1247"/>
      <c r="RN216" s="1247"/>
      <c r="RO216" s="1247"/>
      <c r="RP216" s="1247"/>
      <c r="RQ216" s="1247"/>
      <c r="RR216" s="1247"/>
      <c r="RS216" s="1247"/>
      <c r="RT216" s="1247"/>
      <c r="RU216" s="1247"/>
      <c r="RV216" s="1247"/>
      <c r="RW216" s="1247"/>
      <c r="RX216" s="1247"/>
      <c r="RY216" s="1247"/>
      <c r="RZ216" s="1247"/>
      <c r="SA216" s="1247"/>
      <c r="SB216" s="1247"/>
      <c r="SC216" s="1247"/>
      <c r="SD216" s="1247"/>
      <c r="SE216" s="1247"/>
      <c r="SF216" s="1247"/>
      <c r="SG216" s="1247"/>
      <c r="SH216" s="1247"/>
      <c r="SI216" s="1247"/>
      <c r="SJ216" s="1247"/>
      <c r="SK216" s="1247"/>
      <c r="SL216" s="1247"/>
      <c r="SM216" s="1247"/>
      <c r="SN216" s="1247"/>
      <c r="SO216" s="1247"/>
      <c r="SP216" s="1247"/>
      <c r="SQ216" s="1247"/>
      <c r="SR216" s="1247"/>
      <c r="SS216" s="1247"/>
      <c r="ST216" s="1247"/>
      <c r="SU216" s="1247"/>
      <c r="SV216" s="1247"/>
      <c r="SW216" s="1247"/>
      <c r="SX216" s="1247"/>
      <c r="SY216" s="1247"/>
      <c r="SZ216" s="1247"/>
      <c r="TA216" s="1247"/>
      <c r="TB216" s="1247"/>
      <c r="TC216" s="1247"/>
      <c r="TD216" s="1247"/>
      <c r="TE216" s="1247"/>
      <c r="TF216" s="1247"/>
      <c r="TG216" s="1247"/>
      <c r="TH216" s="1247"/>
      <c r="TI216" s="1247"/>
      <c r="TJ216" s="1247"/>
      <c r="TK216" s="1247"/>
      <c r="TL216" s="1247"/>
      <c r="TM216" s="1247"/>
      <c r="TN216" s="1247"/>
      <c r="TO216" s="1247"/>
      <c r="TP216" s="1247"/>
      <c r="TQ216" s="1247"/>
      <c r="TR216" s="1247"/>
      <c r="TS216" s="1247"/>
      <c r="TT216" s="1247"/>
      <c r="TU216" s="1247"/>
      <c r="TV216" s="1247"/>
      <c r="TW216" s="1247"/>
      <c r="TX216" s="1247"/>
      <c r="TY216" s="1247"/>
      <c r="TZ216" s="1247"/>
      <c r="UA216" s="1247"/>
      <c r="UB216" s="1247"/>
      <c r="UC216" s="1247"/>
      <c r="UD216" s="1247"/>
      <c r="UE216" s="1247"/>
      <c r="UF216" s="1247"/>
      <c r="UG216" s="1247"/>
      <c r="UH216" s="1247"/>
      <c r="UI216" s="1247"/>
      <c r="UJ216" s="1247"/>
      <c r="UK216" s="1247"/>
      <c r="UL216" s="1247"/>
      <c r="UM216" s="1247"/>
      <c r="UN216" s="1247"/>
      <c r="UO216" s="1247"/>
      <c r="UP216" s="1247"/>
      <c r="UQ216" s="1247"/>
      <c r="UR216" s="1247"/>
      <c r="US216" s="1247"/>
      <c r="UT216" s="1247"/>
      <c r="UU216" s="1247"/>
      <c r="UV216" s="1247"/>
      <c r="UW216" s="1247"/>
      <c r="UX216" s="1247"/>
      <c r="UY216" s="1247"/>
      <c r="UZ216" s="1247"/>
      <c r="VA216" s="1247"/>
      <c r="VB216" s="1247"/>
      <c r="VC216" s="1247"/>
      <c r="VD216" s="1247"/>
      <c r="VE216" s="1247"/>
      <c r="VF216" s="1247"/>
      <c r="VG216" s="1247"/>
      <c r="VH216" s="1247"/>
      <c r="VI216" s="1247"/>
      <c r="VJ216" s="1247"/>
      <c r="VK216" s="1247"/>
      <c r="VL216" s="1247"/>
      <c r="VM216" s="1247"/>
      <c r="VN216" s="1247"/>
      <c r="VO216" s="1247"/>
      <c r="VP216" s="1247"/>
      <c r="VQ216" s="1247"/>
      <c r="VR216" s="1247"/>
      <c r="VS216" s="1247"/>
      <c r="VT216" s="1247"/>
      <c r="VU216" s="1247"/>
      <c r="VV216" s="1247"/>
      <c r="VW216" s="1247"/>
      <c r="VX216" s="1247"/>
      <c r="VY216" s="1247"/>
      <c r="VZ216" s="1247"/>
      <c r="WA216" s="1247"/>
      <c r="WB216" s="1247"/>
      <c r="WC216" s="1247"/>
      <c r="WD216" s="1247"/>
      <c r="WE216" s="1247"/>
      <c r="WF216" s="1247"/>
      <c r="WG216" s="1247"/>
      <c r="WH216" s="1247"/>
      <c r="WI216" s="1247"/>
      <c r="WJ216" s="1247"/>
      <c r="WK216" s="1247"/>
      <c r="WL216" s="1247"/>
      <c r="WM216" s="1247"/>
      <c r="WN216" s="1247"/>
      <c r="WO216" s="1247"/>
      <c r="WP216" s="1247"/>
      <c r="WQ216" s="1247"/>
      <c r="WR216" s="1247"/>
      <c r="WS216" s="1247"/>
      <c r="WT216" s="1247"/>
      <c r="WU216" s="1247"/>
      <c r="WV216" s="1247"/>
      <c r="WW216" s="1247"/>
      <c r="WX216" s="1247"/>
      <c r="WY216" s="1247"/>
      <c r="WZ216" s="1247"/>
      <c r="XA216" s="1247"/>
      <c r="XB216" s="1247"/>
      <c r="XC216" s="1247"/>
      <c r="XD216" s="1247"/>
      <c r="XE216" s="1247"/>
      <c r="XF216" s="1247"/>
      <c r="XG216" s="1247"/>
      <c r="XH216" s="1247"/>
      <c r="XI216" s="1247"/>
      <c r="XJ216" s="1247"/>
      <c r="XK216" s="1247"/>
      <c r="XL216" s="1247"/>
      <c r="XM216" s="1247"/>
      <c r="XN216" s="1247"/>
      <c r="XO216" s="1247"/>
      <c r="XP216" s="1247"/>
      <c r="XQ216" s="1247"/>
      <c r="XR216" s="1247"/>
      <c r="XS216" s="1247"/>
      <c r="XT216" s="1247"/>
      <c r="XU216" s="1247"/>
      <c r="XV216" s="1247"/>
      <c r="XW216" s="1247"/>
      <c r="XX216" s="1247"/>
      <c r="XY216" s="1247"/>
      <c r="XZ216" s="1247"/>
      <c r="YA216" s="1247"/>
      <c r="YB216" s="1247"/>
      <c r="YC216" s="1247"/>
      <c r="YD216" s="1247"/>
      <c r="YE216" s="1247"/>
      <c r="YF216" s="1247"/>
      <c r="YG216" s="1247"/>
      <c r="YH216" s="1247"/>
      <c r="YI216" s="1247"/>
      <c r="YJ216" s="1247"/>
      <c r="YK216" s="1247"/>
      <c r="YL216" s="1247"/>
      <c r="YM216" s="1247"/>
      <c r="YN216" s="1247"/>
      <c r="YO216" s="1247"/>
      <c r="YP216" s="1247"/>
      <c r="YQ216" s="1247"/>
      <c r="YR216" s="1247"/>
      <c r="YS216" s="1247"/>
      <c r="YT216" s="1247"/>
      <c r="YU216" s="1247"/>
      <c r="YV216" s="1247"/>
      <c r="YW216" s="1247"/>
      <c r="YX216" s="1247"/>
      <c r="YY216" s="1247"/>
      <c r="YZ216" s="1247"/>
      <c r="ZA216" s="1247"/>
      <c r="ZB216" s="1247"/>
      <c r="ZC216" s="1247"/>
      <c r="ZD216" s="1247"/>
      <c r="ZE216" s="1247"/>
      <c r="ZF216" s="1247"/>
      <c r="ZG216" s="1247"/>
      <c r="ZH216" s="1247"/>
      <c r="ZI216" s="1247"/>
      <c r="ZJ216" s="1247"/>
      <c r="ZK216" s="1247"/>
      <c r="ZL216" s="1247"/>
      <c r="ZM216" s="1247"/>
      <c r="ZN216" s="1247"/>
      <c r="ZO216" s="1247"/>
      <c r="ZP216" s="1247"/>
      <c r="ZQ216" s="1247"/>
      <c r="ZR216" s="1247"/>
      <c r="ZS216" s="1247"/>
      <c r="ZT216" s="1247"/>
      <c r="ZU216" s="1247"/>
      <c r="ZV216" s="1247"/>
      <c r="ZW216" s="1247"/>
      <c r="ZX216" s="1247"/>
      <c r="ZY216" s="1247"/>
      <c r="ZZ216" s="1247"/>
      <c r="AAA216" s="1247"/>
      <c r="AAB216" s="1247"/>
      <c r="AAC216" s="1247"/>
      <c r="AAD216" s="1247"/>
      <c r="AAE216" s="1247"/>
      <c r="AAF216" s="1247"/>
      <c r="AAG216" s="1247"/>
      <c r="AAH216" s="1247"/>
      <c r="AAI216" s="1247"/>
      <c r="AAJ216" s="1247"/>
      <c r="AAK216" s="1247"/>
      <c r="AAL216" s="1247"/>
      <c r="AAM216" s="1247"/>
      <c r="AAN216" s="1247"/>
      <c r="AAO216" s="1247"/>
      <c r="AAP216" s="1247"/>
      <c r="AAQ216" s="1247"/>
      <c r="AAR216" s="1247"/>
      <c r="AAS216" s="1247"/>
      <c r="AAT216" s="1247"/>
      <c r="AAU216" s="1247"/>
      <c r="AAV216" s="1247"/>
      <c r="AAW216" s="1247"/>
      <c r="AAX216" s="1247"/>
      <c r="AAY216" s="1247"/>
      <c r="AAZ216" s="1247"/>
      <c r="ABA216" s="1247"/>
      <c r="ABB216" s="1247"/>
      <c r="ABC216" s="1247"/>
      <c r="ABD216" s="1247"/>
      <c r="ABE216" s="1247"/>
      <c r="ABF216" s="1247"/>
      <c r="ABG216" s="1247"/>
      <c r="ABH216" s="1247"/>
      <c r="ABI216" s="1247"/>
      <c r="ABJ216" s="1247"/>
      <c r="ABK216" s="1247"/>
      <c r="ABL216" s="1247"/>
      <c r="ABM216" s="1247"/>
      <c r="ABN216" s="1247"/>
      <c r="ABO216" s="1247"/>
      <c r="ABP216" s="1247"/>
      <c r="ABQ216" s="1247"/>
      <c r="ABR216" s="1247"/>
      <c r="ABS216" s="1247"/>
      <c r="ABT216" s="1247"/>
      <c r="ABU216" s="1247"/>
      <c r="ABV216" s="1247"/>
      <c r="ABW216" s="1247"/>
      <c r="ABX216" s="1247"/>
      <c r="ABY216" s="1247"/>
      <c r="ABZ216" s="1247"/>
      <c r="ACA216" s="1247"/>
      <c r="ACB216" s="1247"/>
      <c r="ACC216" s="1247"/>
      <c r="ACD216" s="1247"/>
      <c r="ACE216" s="1247"/>
      <c r="ACF216" s="1247"/>
      <c r="ACG216" s="1247"/>
      <c r="ACH216" s="1247"/>
      <c r="ACI216" s="1247"/>
      <c r="ACJ216" s="1247"/>
      <c r="ACK216" s="1247"/>
      <c r="ACL216" s="1247"/>
      <c r="ACM216" s="1247"/>
      <c r="ACN216" s="1247"/>
      <c r="ACO216" s="1247"/>
      <c r="ACP216" s="1247"/>
      <c r="ACQ216" s="1247"/>
      <c r="ACR216" s="1247"/>
      <c r="ACS216" s="1247"/>
      <c r="ACT216" s="1247"/>
      <c r="ACU216" s="1247"/>
      <c r="ACV216" s="1247"/>
      <c r="ACW216" s="1247"/>
      <c r="ACX216" s="1247"/>
      <c r="ACY216" s="1247"/>
      <c r="ACZ216" s="1247"/>
      <c r="ADA216" s="1247"/>
      <c r="ADB216" s="1247"/>
      <c r="ADC216" s="1247"/>
      <c r="ADD216" s="1247"/>
      <c r="ADE216" s="1247"/>
      <c r="ADF216" s="1247"/>
      <c r="ADG216" s="1247"/>
    </row>
    <row r="217" spans="1:787" s="1247" customFormat="1" ht="13" hidden="1" outlineLevel="2">
      <c r="B217" s="1422" t="s">
        <v>689</v>
      </c>
      <c r="C217" s="1423"/>
      <c r="D217" s="1423" t="s">
        <v>3622</v>
      </c>
      <c r="E217" s="1431" t="s">
        <v>3623</v>
      </c>
      <c r="F217" s="1425" t="s">
        <v>3624</v>
      </c>
      <c r="G217" s="1431" t="s">
        <v>4149</v>
      </c>
      <c r="H217" s="1446">
        <f>VLOOKUP($D217,车位!$D:$V,12,FALSE)</f>
        <v>0</v>
      </c>
      <c r="I217" s="1446">
        <v>0</v>
      </c>
      <c r="J217" s="1427">
        <f>VLOOKUP($D217,高层!$D:$V,12,FALSE)</f>
        <v>0</v>
      </c>
      <c r="K217" s="1427">
        <f>VLOOKUP($D217,幼儿园!$D:$V,12,FALSE)</f>
        <v>0</v>
      </c>
      <c r="L217" s="1427">
        <f>VLOOKUP($D217,配套用房!$D:$V,12,FALSE)</f>
        <v>91.361599999999996</v>
      </c>
      <c r="M217" s="1427">
        <f>VLOOKUP($D217,临街商业!$D:$V,12,FALSE)</f>
        <v>0</v>
      </c>
      <c r="N217" s="1427">
        <f>VLOOKUP($D217,人防车位!D:U,12,FALSE)</f>
        <v>0</v>
      </c>
      <c r="O217" s="1427">
        <f>VLOOKUP($D217,人才公寓销售!$D:$V,12,FALSE)</f>
        <v>0</v>
      </c>
      <c r="P217" s="1427">
        <f>VLOOKUP($D217,小高层!$D:$V,12,FALSE)</f>
        <v>0</v>
      </c>
      <c r="Q217" s="1427"/>
      <c r="R217" s="1428">
        <f>SUM(H217:Q217)</f>
        <v>91.361599999999996</v>
      </c>
      <c r="S217" s="1427"/>
      <c r="T217" s="1427">
        <f>R217+S217</f>
        <v>91.361599999999996</v>
      </c>
      <c r="U217" s="1429"/>
      <c r="V217" s="1225">
        <f t="shared" si="48"/>
        <v>0</v>
      </c>
      <c r="W217" s="1225">
        <f t="shared" si="49"/>
        <v>0</v>
      </c>
      <c r="X217" s="1225"/>
      <c r="Y217" s="1225"/>
    </row>
    <row r="218" spans="1:787" s="1247" customFormat="1" ht="13" hidden="1" outlineLevel="2">
      <c r="B218" s="1422" t="s">
        <v>691</v>
      </c>
      <c r="C218" s="1423"/>
      <c r="D218" s="1423" t="s">
        <v>3625</v>
      </c>
      <c r="E218" s="1431" t="s">
        <v>3626</v>
      </c>
      <c r="F218" s="1425" t="s">
        <v>3624</v>
      </c>
      <c r="G218" s="1431" t="s">
        <v>4149</v>
      </c>
      <c r="H218" s="1446">
        <f>VLOOKUP($D218,车位!$D:$V,12,FALSE)</f>
        <v>0</v>
      </c>
      <c r="I218" s="1446">
        <v>0</v>
      </c>
      <c r="J218" s="1427">
        <f>VLOOKUP($D218,高层!$D:$V,12,FALSE)</f>
        <v>0</v>
      </c>
      <c r="K218" s="1427">
        <f>VLOOKUP($D218,幼儿园!$D:$V,12,FALSE)</f>
        <v>0</v>
      </c>
      <c r="L218" s="1427">
        <f>VLOOKUP($D218,配套用房!$D:$V,12,FALSE)</f>
        <v>0</v>
      </c>
      <c r="M218" s="1427">
        <f>VLOOKUP($D218,临街商业!$D:$V,12,FALSE)</f>
        <v>0</v>
      </c>
      <c r="N218" s="1427">
        <f>VLOOKUP($D218,人防车位!D:U,12,FALSE)</f>
        <v>0</v>
      </c>
      <c r="O218" s="1427">
        <f>VLOOKUP($D218,人才公寓销售!$D:$V,12,FALSE)</f>
        <v>0</v>
      </c>
      <c r="P218" s="1427">
        <f>VLOOKUP($D218,小高层!$D:$V,12,FALSE)</f>
        <v>0</v>
      </c>
      <c r="Q218" s="1427"/>
      <c r="R218" s="1428">
        <f>SUM(H218:Q218)</f>
        <v>0</v>
      </c>
      <c r="S218" s="1427"/>
      <c r="T218" s="1427">
        <f>R218+S218</f>
        <v>0</v>
      </c>
      <c r="U218" s="1429"/>
      <c r="V218" s="1225">
        <f t="shared" si="48"/>
        <v>0</v>
      </c>
      <c r="W218" s="1225">
        <f t="shared" si="49"/>
        <v>0</v>
      </c>
      <c r="X218" s="1225"/>
      <c r="Y218" s="1225"/>
    </row>
    <row r="219" spans="1:787" s="1247" customFormat="1" ht="13" hidden="1" outlineLevel="2">
      <c r="B219" s="1422" t="s">
        <v>693</v>
      </c>
      <c r="C219" s="1423"/>
      <c r="D219" s="1423" t="s">
        <v>3627</v>
      </c>
      <c r="E219" s="1431" t="s">
        <v>3628</v>
      </c>
      <c r="F219" s="1425" t="s">
        <v>3624</v>
      </c>
      <c r="G219" s="1431" t="s">
        <v>4149</v>
      </c>
      <c r="H219" s="1446">
        <f>VLOOKUP($D219,车位!$D:$V,12,FALSE)</f>
        <v>0</v>
      </c>
      <c r="I219" s="1446">
        <v>0</v>
      </c>
      <c r="J219" s="1427">
        <f>VLOOKUP($D219,高层!$D:$V,12,FALSE)</f>
        <v>0</v>
      </c>
      <c r="K219" s="1427">
        <f>VLOOKUP($D219,幼儿园!$D:$V,12,FALSE)</f>
        <v>0</v>
      </c>
      <c r="L219" s="1427">
        <f>VLOOKUP($D219,配套用房!$D:$V,12,FALSE)</f>
        <v>0</v>
      </c>
      <c r="M219" s="1427">
        <f>VLOOKUP($D219,临街商业!$D:$V,12,FALSE)</f>
        <v>0</v>
      </c>
      <c r="N219" s="1427">
        <f>VLOOKUP($D219,人防车位!D:U,12,FALSE)</f>
        <v>0</v>
      </c>
      <c r="O219" s="1427">
        <f>VLOOKUP($D219,人才公寓销售!$D:$V,12,FALSE)</f>
        <v>0</v>
      </c>
      <c r="P219" s="1427">
        <f>VLOOKUP($D219,小高层!$D:$V,12,FALSE)</f>
        <v>0</v>
      </c>
      <c r="Q219" s="1427"/>
      <c r="R219" s="1428">
        <f>SUM(H219:Q219)</f>
        <v>0</v>
      </c>
      <c r="S219" s="1427"/>
      <c r="T219" s="1427">
        <f>R219+S219</f>
        <v>0</v>
      </c>
      <c r="U219" s="1429"/>
      <c r="V219" s="1225">
        <f t="shared" si="48"/>
        <v>0</v>
      </c>
      <c r="W219" s="1225">
        <f t="shared" si="49"/>
        <v>0</v>
      </c>
      <c r="X219" s="1225"/>
      <c r="Y219" s="1225"/>
    </row>
    <row r="220" spans="1:787" s="1421" customFormat="1" ht="13" hidden="1" outlineLevel="1">
      <c r="A220" s="1247"/>
      <c r="B220" s="1413" t="s">
        <v>695</v>
      </c>
      <c r="C220" s="1414"/>
      <c r="D220" s="1414" t="s">
        <v>3147</v>
      </c>
      <c r="E220" s="1417"/>
      <c r="F220" s="1416" t="s">
        <v>1424</v>
      </c>
      <c r="G220" s="1417" t="s">
        <v>4123</v>
      </c>
      <c r="H220" s="1460"/>
      <c r="I220" s="1460"/>
      <c r="J220" s="1457">
        <f>VLOOKUP($D220,高层!$D:$V,12,FALSE)</f>
        <v>0</v>
      </c>
      <c r="K220" s="1457">
        <f>VLOOKUP($D220,幼儿园!$D:$V,12,FALSE)</f>
        <v>0</v>
      </c>
      <c r="L220" s="1457">
        <f>VLOOKUP($D220,配套用房!$D:$V,12,FALSE)</f>
        <v>0</v>
      </c>
      <c r="M220" s="1457">
        <f>VLOOKUP($D220,临街商业!$D:$V,12,FALSE)</f>
        <v>0</v>
      </c>
      <c r="N220" s="1457">
        <f>VLOOKUP($D220,人防车位!D:U,12,FALSE)</f>
        <v>0</v>
      </c>
      <c r="O220" s="1457">
        <f>VLOOKUP($D220,人才公寓销售!$D:$V,12,FALSE)</f>
        <v>0</v>
      </c>
      <c r="P220" s="1457">
        <f>VLOOKUP($D220,小高层!$D:$V,12,FALSE)</f>
        <v>0</v>
      </c>
      <c r="Q220" s="1457"/>
      <c r="R220" s="1457">
        <f>SUM(H220:Q220)</f>
        <v>0</v>
      </c>
      <c r="S220" s="1457"/>
      <c r="T220" s="1457">
        <f>R220+S220</f>
        <v>0</v>
      </c>
      <c r="U220" s="1443"/>
      <c r="V220" s="1225">
        <f t="shared" si="48"/>
        <v>0</v>
      </c>
      <c r="W220" s="1225">
        <f t="shared" si="49"/>
        <v>0</v>
      </c>
      <c r="X220" s="1225"/>
      <c r="Y220" s="1225"/>
      <c r="Z220" s="1247"/>
      <c r="AA220" s="1247"/>
      <c r="AB220" s="1247"/>
      <c r="AC220" s="1247"/>
      <c r="AD220" s="1247"/>
      <c r="AE220" s="1247"/>
      <c r="AF220" s="1247"/>
      <c r="AG220" s="1247"/>
      <c r="AH220" s="1247"/>
      <c r="AI220" s="1247"/>
      <c r="AJ220" s="1247"/>
      <c r="AK220" s="1247"/>
      <c r="AL220" s="1247"/>
      <c r="AM220" s="1247"/>
      <c r="AN220" s="1247"/>
      <c r="AO220" s="1247"/>
      <c r="AP220" s="1247"/>
      <c r="AQ220" s="1247"/>
      <c r="AR220" s="1247"/>
      <c r="AS220" s="1247"/>
      <c r="AT220" s="1247"/>
      <c r="AU220" s="1247"/>
      <c r="AV220" s="1247"/>
      <c r="AW220" s="1247"/>
      <c r="AX220" s="1247"/>
      <c r="AY220" s="1247"/>
      <c r="AZ220" s="1247"/>
      <c r="BA220" s="1247"/>
      <c r="BB220" s="1247"/>
      <c r="BC220" s="1247"/>
      <c r="BD220" s="1247"/>
      <c r="BE220" s="1247"/>
      <c r="BF220" s="1247"/>
      <c r="BG220" s="1247"/>
      <c r="BH220" s="1247"/>
      <c r="BI220" s="1247"/>
      <c r="BJ220" s="1247"/>
      <c r="BK220" s="1247"/>
      <c r="BL220" s="1247"/>
      <c r="BM220" s="1247"/>
      <c r="BN220" s="1247"/>
      <c r="BO220" s="1247"/>
      <c r="BP220" s="1247"/>
      <c r="BQ220" s="1247"/>
      <c r="BR220" s="1247"/>
      <c r="BS220" s="1247"/>
      <c r="BT220" s="1247"/>
      <c r="BU220" s="1247"/>
      <c r="BV220" s="1247"/>
      <c r="BW220" s="1247"/>
      <c r="BX220" s="1247"/>
      <c r="BY220" s="1247"/>
      <c r="BZ220" s="1247"/>
      <c r="CA220" s="1247"/>
      <c r="CB220" s="1247"/>
      <c r="CC220" s="1247"/>
      <c r="CD220" s="1247"/>
      <c r="CE220" s="1247"/>
      <c r="CF220" s="1247"/>
      <c r="CG220" s="1247"/>
      <c r="CH220" s="1247"/>
      <c r="CI220" s="1247"/>
      <c r="CJ220" s="1247"/>
      <c r="CK220" s="1247"/>
      <c r="CL220" s="1247"/>
      <c r="CM220" s="1247"/>
      <c r="CN220" s="1247"/>
      <c r="CO220" s="1247"/>
      <c r="CP220" s="1247"/>
      <c r="CQ220" s="1247"/>
      <c r="CR220" s="1247"/>
      <c r="CS220" s="1247"/>
      <c r="CT220" s="1247"/>
      <c r="CU220" s="1247"/>
      <c r="CV220" s="1247"/>
      <c r="CW220" s="1247"/>
      <c r="CX220" s="1247"/>
      <c r="CY220" s="1247"/>
      <c r="CZ220" s="1247"/>
      <c r="DA220" s="1247"/>
      <c r="DB220" s="1247"/>
      <c r="DC220" s="1247"/>
      <c r="DD220" s="1247"/>
      <c r="DE220" s="1247"/>
      <c r="DF220" s="1247"/>
      <c r="DG220" s="1247"/>
      <c r="DH220" s="1247"/>
      <c r="DI220" s="1247"/>
      <c r="DJ220" s="1247"/>
      <c r="DK220" s="1247"/>
      <c r="DL220" s="1247"/>
      <c r="DM220" s="1247"/>
      <c r="DN220" s="1247"/>
      <c r="DO220" s="1247"/>
      <c r="DP220" s="1247"/>
      <c r="DQ220" s="1247"/>
      <c r="DR220" s="1247"/>
      <c r="DS220" s="1247"/>
      <c r="DT220" s="1247"/>
      <c r="DU220" s="1247"/>
      <c r="DV220" s="1247"/>
      <c r="DW220" s="1247"/>
      <c r="DX220" s="1247"/>
      <c r="DY220" s="1247"/>
      <c r="DZ220" s="1247"/>
      <c r="EA220" s="1247"/>
      <c r="EB220" s="1247"/>
      <c r="EC220" s="1247"/>
      <c r="ED220" s="1247"/>
      <c r="EE220" s="1247"/>
      <c r="EF220" s="1247"/>
      <c r="EG220" s="1247"/>
      <c r="EH220" s="1247"/>
      <c r="EI220" s="1247"/>
      <c r="EJ220" s="1247"/>
      <c r="EK220" s="1247"/>
      <c r="EL220" s="1247"/>
      <c r="EM220" s="1247"/>
      <c r="EN220" s="1247"/>
      <c r="EO220" s="1247"/>
      <c r="EP220" s="1247"/>
      <c r="EQ220" s="1247"/>
      <c r="ER220" s="1247"/>
      <c r="ES220" s="1247"/>
      <c r="ET220" s="1247"/>
      <c r="EU220" s="1247"/>
      <c r="EV220" s="1247"/>
      <c r="EW220" s="1247"/>
      <c r="EX220" s="1247"/>
      <c r="EY220" s="1247"/>
      <c r="EZ220" s="1247"/>
      <c r="FA220" s="1247"/>
      <c r="FB220" s="1247"/>
      <c r="FC220" s="1247"/>
      <c r="FD220" s="1247"/>
      <c r="FE220" s="1247"/>
      <c r="FF220" s="1247"/>
      <c r="FG220" s="1247"/>
      <c r="FH220" s="1247"/>
      <c r="FI220" s="1247"/>
      <c r="FJ220" s="1247"/>
      <c r="FK220" s="1247"/>
      <c r="FL220" s="1247"/>
      <c r="FM220" s="1247"/>
      <c r="FN220" s="1247"/>
      <c r="FO220" s="1247"/>
      <c r="FP220" s="1247"/>
      <c r="FQ220" s="1247"/>
      <c r="FR220" s="1247"/>
      <c r="FS220" s="1247"/>
      <c r="FT220" s="1247"/>
      <c r="FU220" s="1247"/>
      <c r="FV220" s="1247"/>
      <c r="FW220" s="1247"/>
      <c r="FX220" s="1247"/>
      <c r="FY220" s="1247"/>
      <c r="FZ220" s="1247"/>
      <c r="GA220" s="1247"/>
      <c r="GB220" s="1247"/>
      <c r="GC220" s="1247"/>
      <c r="GD220" s="1247"/>
      <c r="GE220" s="1247"/>
      <c r="GF220" s="1247"/>
      <c r="GG220" s="1247"/>
      <c r="GH220" s="1247"/>
      <c r="GI220" s="1247"/>
      <c r="GJ220" s="1247"/>
      <c r="GK220" s="1247"/>
      <c r="GL220" s="1247"/>
      <c r="GM220" s="1247"/>
      <c r="GN220" s="1247"/>
      <c r="GO220" s="1247"/>
      <c r="GP220" s="1247"/>
      <c r="GQ220" s="1247"/>
      <c r="GR220" s="1247"/>
      <c r="GS220" s="1247"/>
      <c r="GT220" s="1247"/>
      <c r="GU220" s="1247"/>
      <c r="GV220" s="1247"/>
      <c r="GW220" s="1247"/>
      <c r="GX220" s="1247"/>
      <c r="GY220" s="1247"/>
      <c r="GZ220" s="1247"/>
      <c r="HA220" s="1247"/>
      <c r="HB220" s="1247"/>
      <c r="HC220" s="1247"/>
      <c r="HD220" s="1247"/>
      <c r="HE220" s="1247"/>
      <c r="HF220" s="1247"/>
      <c r="HG220" s="1247"/>
      <c r="HH220" s="1247"/>
      <c r="HI220" s="1247"/>
      <c r="HJ220" s="1247"/>
      <c r="HK220" s="1247"/>
      <c r="HL220" s="1247"/>
      <c r="HM220" s="1247"/>
      <c r="HN220" s="1247"/>
      <c r="HO220" s="1247"/>
      <c r="HP220" s="1247"/>
      <c r="HQ220" s="1247"/>
      <c r="HR220" s="1247"/>
      <c r="HS220" s="1247"/>
      <c r="HT220" s="1247"/>
      <c r="HU220" s="1247"/>
      <c r="HV220" s="1247"/>
      <c r="HW220" s="1247"/>
      <c r="HX220" s="1247"/>
      <c r="HY220" s="1247"/>
      <c r="HZ220" s="1247"/>
      <c r="IA220" s="1247"/>
      <c r="IB220" s="1247"/>
      <c r="IC220" s="1247"/>
      <c r="ID220" s="1247"/>
      <c r="IE220" s="1247"/>
      <c r="IF220" s="1247"/>
      <c r="IG220" s="1247"/>
      <c r="IH220" s="1247"/>
      <c r="II220" s="1247"/>
      <c r="IJ220" s="1247"/>
      <c r="IK220" s="1247"/>
      <c r="IL220" s="1247"/>
      <c r="IM220" s="1247"/>
      <c r="IN220" s="1247"/>
      <c r="IO220" s="1247"/>
      <c r="IP220" s="1247"/>
      <c r="IQ220" s="1247"/>
      <c r="IR220" s="1247"/>
      <c r="IS220" s="1247"/>
      <c r="IT220" s="1247"/>
      <c r="IU220" s="1247"/>
      <c r="IV220" s="1247"/>
      <c r="IW220" s="1247"/>
      <c r="IX220" s="1247"/>
      <c r="IY220" s="1247"/>
      <c r="IZ220" s="1247"/>
      <c r="JA220" s="1247"/>
      <c r="JB220" s="1247"/>
      <c r="JC220" s="1247"/>
      <c r="JD220" s="1247"/>
      <c r="JE220" s="1247"/>
      <c r="JF220" s="1247"/>
      <c r="JG220" s="1247"/>
      <c r="JH220" s="1247"/>
      <c r="JI220" s="1247"/>
      <c r="JJ220" s="1247"/>
      <c r="JK220" s="1247"/>
      <c r="JL220" s="1247"/>
      <c r="JM220" s="1247"/>
      <c r="JN220" s="1247"/>
      <c r="JO220" s="1247"/>
      <c r="JP220" s="1247"/>
      <c r="JQ220" s="1247"/>
      <c r="JR220" s="1247"/>
      <c r="JS220" s="1247"/>
      <c r="JT220" s="1247"/>
      <c r="JU220" s="1247"/>
      <c r="JV220" s="1247"/>
      <c r="JW220" s="1247"/>
      <c r="JX220" s="1247"/>
      <c r="JY220" s="1247"/>
      <c r="JZ220" s="1247"/>
      <c r="KA220" s="1247"/>
      <c r="KB220" s="1247"/>
      <c r="KC220" s="1247"/>
      <c r="KD220" s="1247"/>
      <c r="KE220" s="1247"/>
      <c r="KF220" s="1247"/>
      <c r="KG220" s="1247"/>
      <c r="KH220" s="1247"/>
      <c r="KI220" s="1247"/>
      <c r="KJ220" s="1247"/>
      <c r="KK220" s="1247"/>
      <c r="KL220" s="1247"/>
      <c r="KM220" s="1247"/>
      <c r="KN220" s="1247"/>
      <c r="KO220" s="1247"/>
      <c r="KP220" s="1247"/>
      <c r="KQ220" s="1247"/>
      <c r="KR220" s="1247"/>
      <c r="KS220" s="1247"/>
      <c r="KT220" s="1247"/>
      <c r="KU220" s="1247"/>
      <c r="KV220" s="1247"/>
      <c r="KW220" s="1247"/>
      <c r="KX220" s="1247"/>
      <c r="KY220" s="1247"/>
      <c r="KZ220" s="1247"/>
      <c r="LA220" s="1247"/>
      <c r="LB220" s="1247"/>
      <c r="LC220" s="1247"/>
      <c r="LD220" s="1247"/>
      <c r="LE220" s="1247"/>
      <c r="LF220" s="1247"/>
      <c r="LG220" s="1247"/>
      <c r="LH220" s="1247"/>
      <c r="LI220" s="1247"/>
      <c r="LJ220" s="1247"/>
      <c r="LK220" s="1247"/>
      <c r="LL220" s="1247"/>
      <c r="LM220" s="1247"/>
      <c r="LN220" s="1247"/>
      <c r="LO220" s="1247"/>
      <c r="LP220" s="1247"/>
      <c r="LQ220" s="1247"/>
      <c r="LR220" s="1247"/>
      <c r="LS220" s="1247"/>
      <c r="LT220" s="1247"/>
      <c r="LU220" s="1247"/>
      <c r="LV220" s="1247"/>
      <c r="LW220" s="1247"/>
      <c r="LX220" s="1247"/>
      <c r="LY220" s="1247"/>
      <c r="LZ220" s="1247"/>
      <c r="MA220" s="1247"/>
      <c r="MB220" s="1247"/>
      <c r="MC220" s="1247"/>
      <c r="MD220" s="1247"/>
      <c r="ME220" s="1247"/>
      <c r="MF220" s="1247"/>
      <c r="MG220" s="1247"/>
      <c r="MH220" s="1247"/>
      <c r="MI220" s="1247"/>
      <c r="MJ220" s="1247"/>
      <c r="MK220" s="1247"/>
      <c r="ML220" s="1247"/>
      <c r="MM220" s="1247"/>
      <c r="MN220" s="1247"/>
      <c r="MO220" s="1247"/>
      <c r="MP220" s="1247"/>
      <c r="MQ220" s="1247"/>
      <c r="MR220" s="1247"/>
      <c r="MS220" s="1247"/>
      <c r="MT220" s="1247"/>
      <c r="MU220" s="1247"/>
      <c r="MV220" s="1247"/>
      <c r="MW220" s="1247"/>
      <c r="MX220" s="1247"/>
      <c r="MY220" s="1247"/>
      <c r="MZ220" s="1247"/>
      <c r="NA220" s="1247"/>
      <c r="NB220" s="1247"/>
      <c r="NC220" s="1247"/>
      <c r="ND220" s="1247"/>
      <c r="NE220" s="1247"/>
      <c r="NF220" s="1247"/>
      <c r="NG220" s="1247"/>
      <c r="NH220" s="1247"/>
      <c r="NI220" s="1247"/>
      <c r="NJ220" s="1247"/>
      <c r="NK220" s="1247"/>
      <c r="NL220" s="1247"/>
      <c r="NM220" s="1247"/>
      <c r="NN220" s="1247"/>
      <c r="NO220" s="1247"/>
      <c r="NP220" s="1247"/>
      <c r="NQ220" s="1247"/>
      <c r="NR220" s="1247"/>
      <c r="NS220" s="1247"/>
      <c r="NT220" s="1247"/>
      <c r="NU220" s="1247"/>
      <c r="NV220" s="1247"/>
      <c r="NW220" s="1247"/>
      <c r="NX220" s="1247"/>
      <c r="NY220" s="1247"/>
      <c r="NZ220" s="1247"/>
      <c r="OA220" s="1247"/>
      <c r="OB220" s="1247"/>
      <c r="OC220" s="1247"/>
      <c r="OD220" s="1247"/>
      <c r="OE220" s="1247"/>
      <c r="OF220" s="1247"/>
      <c r="OG220" s="1247"/>
      <c r="OH220" s="1247"/>
      <c r="OI220" s="1247"/>
      <c r="OJ220" s="1247"/>
      <c r="OK220" s="1247"/>
      <c r="OL220" s="1247"/>
      <c r="OM220" s="1247"/>
      <c r="ON220" s="1247"/>
      <c r="OO220" s="1247"/>
      <c r="OP220" s="1247"/>
      <c r="OQ220" s="1247"/>
      <c r="OR220" s="1247"/>
      <c r="OS220" s="1247"/>
      <c r="OT220" s="1247"/>
      <c r="OU220" s="1247"/>
      <c r="OV220" s="1247"/>
      <c r="OW220" s="1247"/>
      <c r="OX220" s="1247"/>
      <c r="OY220" s="1247"/>
      <c r="OZ220" s="1247"/>
      <c r="PA220" s="1247"/>
      <c r="PB220" s="1247"/>
      <c r="PC220" s="1247"/>
      <c r="PD220" s="1247"/>
      <c r="PE220" s="1247"/>
      <c r="PF220" s="1247"/>
      <c r="PG220" s="1247"/>
      <c r="PH220" s="1247"/>
      <c r="PI220" s="1247"/>
      <c r="PJ220" s="1247"/>
      <c r="PK220" s="1247"/>
      <c r="PL220" s="1247"/>
      <c r="PM220" s="1247"/>
      <c r="PN220" s="1247"/>
      <c r="PO220" s="1247"/>
      <c r="PP220" s="1247"/>
      <c r="PQ220" s="1247"/>
      <c r="PR220" s="1247"/>
      <c r="PS220" s="1247"/>
      <c r="PT220" s="1247"/>
      <c r="PU220" s="1247"/>
      <c r="PV220" s="1247"/>
      <c r="PW220" s="1247"/>
      <c r="PX220" s="1247"/>
      <c r="PY220" s="1247"/>
      <c r="PZ220" s="1247"/>
      <c r="QA220" s="1247"/>
      <c r="QB220" s="1247"/>
      <c r="QC220" s="1247"/>
      <c r="QD220" s="1247"/>
      <c r="QE220" s="1247"/>
      <c r="QF220" s="1247"/>
      <c r="QG220" s="1247"/>
      <c r="QH220" s="1247"/>
      <c r="QI220" s="1247"/>
      <c r="QJ220" s="1247"/>
      <c r="QK220" s="1247"/>
      <c r="QL220" s="1247"/>
      <c r="QM220" s="1247"/>
      <c r="QN220" s="1247"/>
      <c r="QO220" s="1247"/>
      <c r="QP220" s="1247"/>
      <c r="QQ220" s="1247"/>
      <c r="QR220" s="1247"/>
      <c r="QS220" s="1247"/>
      <c r="QT220" s="1247"/>
      <c r="QU220" s="1247"/>
      <c r="QV220" s="1247"/>
      <c r="QW220" s="1247"/>
      <c r="QX220" s="1247"/>
      <c r="QY220" s="1247"/>
      <c r="QZ220" s="1247"/>
      <c r="RA220" s="1247"/>
      <c r="RB220" s="1247"/>
      <c r="RC220" s="1247"/>
      <c r="RD220" s="1247"/>
      <c r="RE220" s="1247"/>
      <c r="RF220" s="1247"/>
      <c r="RG220" s="1247"/>
      <c r="RH220" s="1247"/>
      <c r="RI220" s="1247"/>
      <c r="RJ220" s="1247"/>
      <c r="RK220" s="1247"/>
      <c r="RL220" s="1247"/>
      <c r="RM220" s="1247"/>
      <c r="RN220" s="1247"/>
      <c r="RO220" s="1247"/>
      <c r="RP220" s="1247"/>
      <c r="RQ220" s="1247"/>
      <c r="RR220" s="1247"/>
      <c r="RS220" s="1247"/>
      <c r="RT220" s="1247"/>
      <c r="RU220" s="1247"/>
      <c r="RV220" s="1247"/>
      <c r="RW220" s="1247"/>
      <c r="RX220" s="1247"/>
      <c r="RY220" s="1247"/>
      <c r="RZ220" s="1247"/>
      <c r="SA220" s="1247"/>
      <c r="SB220" s="1247"/>
      <c r="SC220" s="1247"/>
      <c r="SD220" s="1247"/>
      <c r="SE220" s="1247"/>
      <c r="SF220" s="1247"/>
      <c r="SG220" s="1247"/>
      <c r="SH220" s="1247"/>
      <c r="SI220" s="1247"/>
      <c r="SJ220" s="1247"/>
      <c r="SK220" s="1247"/>
      <c r="SL220" s="1247"/>
      <c r="SM220" s="1247"/>
      <c r="SN220" s="1247"/>
      <c r="SO220" s="1247"/>
      <c r="SP220" s="1247"/>
      <c r="SQ220" s="1247"/>
      <c r="SR220" s="1247"/>
      <c r="SS220" s="1247"/>
      <c r="ST220" s="1247"/>
      <c r="SU220" s="1247"/>
      <c r="SV220" s="1247"/>
      <c r="SW220" s="1247"/>
      <c r="SX220" s="1247"/>
      <c r="SY220" s="1247"/>
      <c r="SZ220" s="1247"/>
      <c r="TA220" s="1247"/>
      <c r="TB220" s="1247"/>
      <c r="TC220" s="1247"/>
      <c r="TD220" s="1247"/>
      <c r="TE220" s="1247"/>
      <c r="TF220" s="1247"/>
      <c r="TG220" s="1247"/>
      <c r="TH220" s="1247"/>
      <c r="TI220" s="1247"/>
      <c r="TJ220" s="1247"/>
      <c r="TK220" s="1247"/>
      <c r="TL220" s="1247"/>
      <c r="TM220" s="1247"/>
      <c r="TN220" s="1247"/>
      <c r="TO220" s="1247"/>
      <c r="TP220" s="1247"/>
      <c r="TQ220" s="1247"/>
      <c r="TR220" s="1247"/>
      <c r="TS220" s="1247"/>
      <c r="TT220" s="1247"/>
      <c r="TU220" s="1247"/>
      <c r="TV220" s="1247"/>
      <c r="TW220" s="1247"/>
      <c r="TX220" s="1247"/>
      <c r="TY220" s="1247"/>
      <c r="TZ220" s="1247"/>
      <c r="UA220" s="1247"/>
      <c r="UB220" s="1247"/>
      <c r="UC220" s="1247"/>
      <c r="UD220" s="1247"/>
      <c r="UE220" s="1247"/>
      <c r="UF220" s="1247"/>
      <c r="UG220" s="1247"/>
      <c r="UH220" s="1247"/>
      <c r="UI220" s="1247"/>
      <c r="UJ220" s="1247"/>
      <c r="UK220" s="1247"/>
      <c r="UL220" s="1247"/>
      <c r="UM220" s="1247"/>
      <c r="UN220" s="1247"/>
      <c r="UO220" s="1247"/>
      <c r="UP220" s="1247"/>
      <c r="UQ220" s="1247"/>
      <c r="UR220" s="1247"/>
      <c r="US220" s="1247"/>
      <c r="UT220" s="1247"/>
      <c r="UU220" s="1247"/>
      <c r="UV220" s="1247"/>
      <c r="UW220" s="1247"/>
      <c r="UX220" s="1247"/>
      <c r="UY220" s="1247"/>
      <c r="UZ220" s="1247"/>
      <c r="VA220" s="1247"/>
      <c r="VB220" s="1247"/>
      <c r="VC220" s="1247"/>
      <c r="VD220" s="1247"/>
      <c r="VE220" s="1247"/>
      <c r="VF220" s="1247"/>
      <c r="VG220" s="1247"/>
      <c r="VH220" s="1247"/>
      <c r="VI220" s="1247"/>
      <c r="VJ220" s="1247"/>
      <c r="VK220" s="1247"/>
      <c r="VL220" s="1247"/>
      <c r="VM220" s="1247"/>
      <c r="VN220" s="1247"/>
      <c r="VO220" s="1247"/>
      <c r="VP220" s="1247"/>
      <c r="VQ220" s="1247"/>
      <c r="VR220" s="1247"/>
      <c r="VS220" s="1247"/>
      <c r="VT220" s="1247"/>
      <c r="VU220" s="1247"/>
      <c r="VV220" s="1247"/>
      <c r="VW220" s="1247"/>
      <c r="VX220" s="1247"/>
      <c r="VY220" s="1247"/>
      <c r="VZ220" s="1247"/>
      <c r="WA220" s="1247"/>
      <c r="WB220" s="1247"/>
      <c r="WC220" s="1247"/>
      <c r="WD220" s="1247"/>
      <c r="WE220" s="1247"/>
      <c r="WF220" s="1247"/>
      <c r="WG220" s="1247"/>
      <c r="WH220" s="1247"/>
      <c r="WI220" s="1247"/>
      <c r="WJ220" s="1247"/>
      <c r="WK220" s="1247"/>
      <c r="WL220" s="1247"/>
      <c r="WM220" s="1247"/>
      <c r="WN220" s="1247"/>
      <c r="WO220" s="1247"/>
      <c r="WP220" s="1247"/>
      <c r="WQ220" s="1247"/>
      <c r="WR220" s="1247"/>
      <c r="WS220" s="1247"/>
      <c r="WT220" s="1247"/>
      <c r="WU220" s="1247"/>
      <c r="WV220" s="1247"/>
      <c r="WW220" s="1247"/>
      <c r="WX220" s="1247"/>
      <c r="WY220" s="1247"/>
      <c r="WZ220" s="1247"/>
      <c r="XA220" s="1247"/>
      <c r="XB220" s="1247"/>
      <c r="XC220" s="1247"/>
      <c r="XD220" s="1247"/>
      <c r="XE220" s="1247"/>
      <c r="XF220" s="1247"/>
      <c r="XG220" s="1247"/>
      <c r="XH220" s="1247"/>
      <c r="XI220" s="1247"/>
      <c r="XJ220" s="1247"/>
      <c r="XK220" s="1247"/>
      <c r="XL220" s="1247"/>
      <c r="XM220" s="1247"/>
      <c r="XN220" s="1247"/>
      <c r="XO220" s="1247"/>
      <c r="XP220" s="1247"/>
      <c r="XQ220" s="1247"/>
      <c r="XR220" s="1247"/>
      <c r="XS220" s="1247"/>
      <c r="XT220" s="1247"/>
      <c r="XU220" s="1247"/>
      <c r="XV220" s="1247"/>
      <c r="XW220" s="1247"/>
      <c r="XX220" s="1247"/>
      <c r="XY220" s="1247"/>
      <c r="XZ220" s="1247"/>
      <c r="YA220" s="1247"/>
      <c r="YB220" s="1247"/>
      <c r="YC220" s="1247"/>
      <c r="YD220" s="1247"/>
      <c r="YE220" s="1247"/>
      <c r="YF220" s="1247"/>
      <c r="YG220" s="1247"/>
      <c r="YH220" s="1247"/>
      <c r="YI220" s="1247"/>
      <c r="YJ220" s="1247"/>
      <c r="YK220" s="1247"/>
      <c r="YL220" s="1247"/>
      <c r="YM220" s="1247"/>
      <c r="YN220" s="1247"/>
      <c r="YO220" s="1247"/>
      <c r="YP220" s="1247"/>
      <c r="YQ220" s="1247"/>
      <c r="YR220" s="1247"/>
      <c r="YS220" s="1247"/>
      <c r="YT220" s="1247"/>
      <c r="YU220" s="1247"/>
      <c r="YV220" s="1247"/>
      <c r="YW220" s="1247"/>
      <c r="YX220" s="1247"/>
      <c r="YY220" s="1247"/>
      <c r="YZ220" s="1247"/>
      <c r="ZA220" s="1247"/>
      <c r="ZB220" s="1247"/>
      <c r="ZC220" s="1247"/>
      <c r="ZD220" s="1247"/>
      <c r="ZE220" s="1247"/>
      <c r="ZF220" s="1247"/>
      <c r="ZG220" s="1247"/>
      <c r="ZH220" s="1247"/>
      <c r="ZI220" s="1247"/>
      <c r="ZJ220" s="1247"/>
      <c r="ZK220" s="1247"/>
      <c r="ZL220" s="1247"/>
      <c r="ZM220" s="1247"/>
      <c r="ZN220" s="1247"/>
      <c r="ZO220" s="1247"/>
      <c r="ZP220" s="1247"/>
      <c r="ZQ220" s="1247"/>
      <c r="ZR220" s="1247"/>
      <c r="ZS220" s="1247"/>
      <c r="ZT220" s="1247"/>
      <c r="ZU220" s="1247"/>
      <c r="ZV220" s="1247"/>
      <c r="ZW220" s="1247"/>
      <c r="ZX220" s="1247"/>
      <c r="ZY220" s="1247"/>
      <c r="ZZ220" s="1247"/>
      <c r="AAA220" s="1247"/>
      <c r="AAB220" s="1247"/>
      <c r="AAC220" s="1247"/>
      <c r="AAD220" s="1247"/>
      <c r="AAE220" s="1247"/>
      <c r="AAF220" s="1247"/>
      <c r="AAG220" s="1247"/>
      <c r="AAH220" s="1247"/>
      <c r="AAI220" s="1247"/>
      <c r="AAJ220" s="1247"/>
      <c r="AAK220" s="1247"/>
      <c r="AAL220" s="1247"/>
      <c r="AAM220" s="1247"/>
      <c r="AAN220" s="1247"/>
      <c r="AAO220" s="1247"/>
      <c r="AAP220" s="1247"/>
      <c r="AAQ220" s="1247"/>
      <c r="AAR220" s="1247"/>
      <c r="AAS220" s="1247"/>
      <c r="AAT220" s="1247"/>
      <c r="AAU220" s="1247"/>
      <c r="AAV220" s="1247"/>
      <c r="AAW220" s="1247"/>
      <c r="AAX220" s="1247"/>
      <c r="AAY220" s="1247"/>
      <c r="AAZ220" s="1247"/>
      <c r="ABA220" s="1247"/>
      <c r="ABB220" s="1247"/>
      <c r="ABC220" s="1247"/>
      <c r="ABD220" s="1247"/>
      <c r="ABE220" s="1247"/>
      <c r="ABF220" s="1247"/>
      <c r="ABG220" s="1247"/>
      <c r="ABH220" s="1247"/>
      <c r="ABI220" s="1247"/>
      <c r="ABJ220" s="1247"/>
      <c r="ABK220" s="1247"/>
      <c r="ABL220" s="1247"/>
      <c r="ABM220" s="1247"/>
      <c r="ABN220" s="1247"/>
      <c r="ABO220" s="1247"/>
      <c r="ABP220" s="1247"/>
      <c r="ABQ220" s="1247"/>
      <c r="ABR220" s="1247"/>
      <c r="ABS220" s="1247"/>
      <c r="ABT220" s="1247"/>
      <c r="ABU220" s="1247"/>
      <c r="ABV220" s="1247"/>
      <c r="ABW220" s="1247"/>
      <c r="ABX220" s="1247"/>
      <c r="ABY220" s="1247"/>
      <c r="ABZ220" s="1247"/>
      <c r="ACA220" s="1247"/>
      <c r="ACB220" s="1247"/>
      <c r="ACC220" s="1247"/>
      <c r="ACD220" s="1247"/>
      <c r="ACE220" s="1247"/>
      <c r="ACF220" s="1247"/>
      <c r="ACG220" s="1247"/>
      <c r="ACH220" s="1247"/>
      <c r="ACI220" s="1247"/>
      <c r="ACJ220" s="1247"/>
      <c r="ACK220" s="1247"/>
      <c r="ACL220" s="1247"/>
      <c r="ACM220" s="1247"/>
      <c r="ACN220" s="1247"/>
      <c r="ACO220" s="1247"/>
      <c r="ACP220" s="1247"/>
      <c r="ACQ220" s="1247"/>
      <c r="ACR220" s="1247"/>
      <c r="ACS220" s="1247"/>
      <c r="ACT220" s="1247"/>
      <c r="ACU220" s="1247"/>
      <c r="ACV220" s="1247"/>
      <c r="ACW220" s="1247"/>
      <c r="ACX220" s="1247"/>
      <c r="ACY220" s="1247"/>
      <c r="ACZ220" s="1247"/>
      <c r="ADA220" s="1247"/>
      <c r="ADB220" s="1247"/>
      <c r="ADC220" s="1247"/>
      <c r="ADD220" s="1247"/>
      <c r="ADE220" s="1247"/>
      <c r="ADF220" s="1247"/>
      <c r="ADG220" s="1247"/>
    </row>
    <row r="221" spans="1:787" s="1421" customFormat="1" ht="13" hidden="1" outlineLevel="1">
      <c r="A221" s="1247"/>
      <c r="B221" s="1413" t="s">
        <v>697</v>
      </c>
      <c r="C221" s="1414"/>
      <c r="D221" s="1414" t="s">
        <v>3148</v>
      </c>
      <c r="E221" s="1417" t="s">
        <v>3629</v>
      </c>
      <c r="F221" s="1416" t="s">
        <v>3577</v>
      </c>
      <c r="G221" s="1417" t="s">
        <v>4141</v>
      </c>
      <c r="H221" s="1460"/>
      <c r="I221" s="1460"/>
      <c r="J221" s="1457">
        <f>VLOOKUP($D221,高层!$D:$V,12,FALSE)</f>
        <v>0</v>
      </c>
      <c r="K221" s="1457">
        <f>VLOOKUP($D221,幼儿园!$D:$V,12,FALSE)</f>
        <v>0</v>
      </c>
      <c r="L221" s="1457">
        <f>VLOOKUP($D221,配套用房!$D:$V,12,FALSE)</f>
        <v>0</v>
      </c>
      <c r="M221" s="1457">
        <f>VLOOKUP($D221,临街商业!$D:$V,12,FALSE)</f>
        <v>0</v>
      </c>
      <c r="N221" s="1457">
        <f>VLOOKUP($D221,人防车位!D:U,12,FALSE)</f>
        <v>0</v>
      </c>
      <c r="O221" s="1457">
        <f>VLOOKUP($D221,人才公寓销售!$D:$V,12,FALSE)</f>
        <v>0</v>
      </c>
      <c r="P221" s="1457">
        <f>VLOOKUP($D221,小高层!$D:$V,12,FALSE)</f>
        <v>0</v>
      </c>
      <c r="Q221" s="1457"/>
      <c r="R221" s="1457">
        <f>SUM(H221:Q221)</f>
        <v>0</v>
      </c>
      <c r="S221" s="1457"/>
      <c r="T221" s="1457">
        <f>R221+S221</f>
        <v>0</v>
      </c>
      <c r="U221" s="1443"/>
      <c r="V221" s="1225">
        <f t="shared" si="48"/>
        <v>0</v>
      </c>
      <c r="W221" s="1225">
        <f t="shared" si="49"/>
        <v>0</v>
      </c>
      <c r="X221" s="1225"/>
      <c r="Y221" s="1225"/>
      <c r="Z221" s="1247"/>
      <c r="AA221" s="1247"/>
      <c r="AB221" s="1247"/>
      <c r="AC221" s="1247"/>
      <c r="AD221" s="1247"/>
      <c r="AE221" s="1247"/>
      <c r="AF221" s="1247"/>
      <c r="AG221" s="1247"/>
      <c r="AH221" s="1247"/>
      <c r="AI221" s="1247"/>
      <c r="AJ221" s="1247"/>
      <c r="AK221" s="1247"/>
      <c r="AL221" s="1247"/>
      <c r="AM221" s="1247"/>
      <c r="AN221" s="1247"/>
      <c r="AO221" s="1247"/>
      <c r="AP221" s="1247"/>
      <c r="AQ221" s="1247"/>
      <c r="AR221" s="1247"/>
      <c r="AS221" s="1247"/>
      <c r="AT221" s="1247"/>
      <c r="AU221" s="1247"/>
      <c r="AV221" s="1247"/>
      <c r="AW221" s="1247"/>
      <c r="AX221" s="1247"/>
      <c r="AY221" s="1247"/>
      <c r="AZ221" s="1247"/>
      <c r="BA221" s="1247"/>
      <c r="BB221" s="1247"/>
      <c r="BC221" s="1247"/>
      <c r="BD221" s="1247"/>
      <c r="BE221" s="1247"/>
      <c r="BF221" s="1247"/>
      <c r="BG221" s="1247"/>
      <c r="BH221" s="1247"/>
      <c r="BI221" s="1247"/>
      <c r="BJ221" s="1247"/>
      <c r="BK221" s="1247"/>
      <c r="BL221" s="1247"/>
      <c r="BM221" s="1247"/>
      <c r="BN221" s="1247"/>
      <c r="BO221" s="1247"/>
      <c r="BP221" s="1247"/>
      <c r="BQ221" s="1247"/>
      <c r="BR221" s="1247"/>
      <c r="BS221" s="1247"/>
      <c r="BT221" s="1247"/>
      <c r="BU221" s="1247"/>
      <c r="BV221" s="1247"/>
      <c r="BW221" s="1247"/>
      <c r="BX221" s="1247"/>
      <c r="BY221" s="1247"/>
      <c r="BZ221" s="1247"/>
      <c r="CA221" s="1247"/>
      <c r="CB221" s="1247"/>
      <c r="CC221" s="1247"/>
      <c r="CD221" s="1247"/>
      <c r="CE221" s="1247"/>
      <c r="CF221" s="1247"/>
      <c r="CG221" s="1247"/>
      <c r="CH221" s="1247"/>
      <c r="CI221" s="1247"/>
      <c r="CJ221" s="1247"/>
      <c r="CK221" s="1247"/>
      <c r="CL221" s="1247"/>
      <c r="CM221" s="1247"/>
      <c r="CN221" s="1247"/>
      <c r="CO221" s="1247"/>
      <c r="CP221" s="1247"/>
      <c r="CQ221" s="1247"/>
      <c r="CR221" s="1247"/>
      <c r="CS221" s="1247"/>
      <c r="CT221" s="1247"/>
      <c r="CU221" s="1247"/>
      <c r="CV221" s="1247"/>
      <c r="CW221" s="1247"/>
      <c r="CX221" s="1247"/>
      <c r="CY221" s="1247"/>
      <c r="CZ221" s="1247"/>
      <c r="DA221" s="1247"/>
      <c r="DB221" s="1247"/>
      <c r="DC221" s="1247"/>
      <c r="DD221" s="1247"/>
      <c r="DE221" s="1247"/>
      <c r="DF221" s="1247"/>
      <c r="DG221" s="1247"/>
      <c r="DH221" s="1247"/>
      <c r="DI221" s="1247"/>
      <c r="DJ221" s="1247"/>
      <c r="DK221" s="1247"/>
      <c r="DL221" s="1247"/>
      <c r="DM221" s="1247"/>
      <c r="DN221" s="1247"/>
      <c r="DO221" s="1247"/>
      <c r="DP221" s="1247"/>
      <c r="DQ221" s="1247"/>
      <c r="DR221" s="1247"/>
      <c r="DS221" s="1247"/>
      <c r="DT221" s="1247"/>
      <c r="DU221" s="1247"/>
      <c r="DV221" s="1247"/>
      <c r="DW221" s="1247"/>
      <c r="DX221" s="1247"/>
      <c r="DY221" s="1247"/>
      <c r="DZ221" s="1247"/>
      <c r="EA221" s="1247"/>
      <c r="EB221" s="1247"/>
      <c r="EC221" s="1247"/>
      <c r="ED221" s="1247"/>
      <c r="EE221" s="1247"/>
      <c r="EF221" s="1247"/>
      <c r="EG221" s="1247"/>
      <c r="EH221" s="1247"/>
      <c r="EI221" s="1247"/>
      <c r="EJ221" s="1247"/>
      <c r="EK221" s="1247"/>
      <c r="EL221" s="1247"/>
      <c r="EM221" s="1247"/>
      <c r="EN221" s="1247"/>
      <c r="EO221" s="1247"/>
      <c r="EP221" s="1247"/>
      <c r="EQ221" s="1247"/>
      <c r="ER221" s="1247"/>
      <c r="ES221" s="1247"/>
      <c r="ET221" s="1247"/>
      <c r="EU221" s="1247"/>
      <c r="EV221" s="1247"/>
      <c r="EW221" s="1247"/>
      <c r="EX221" s="1247"/>
      <c r="EY221" s="1247"/>
      <c r="EZ221" s="1247"/>
      <c r="FA221" s="1247"/>
      <c r="FB221" s="1247"/>
      <c r="FC221" s="1247"/>
      <c r="FD221" s="1247"/>
      <c r="FE221" s="1247"/>
      <c r="FF221" s="1247"/>
      <c r="FG221" s="1247"/>
      <c r="FH221" s="1247"/>
      <c r="FI221" s="1247"/>
      <c r="FJ221" s="1247"/>
      <c r="FK221" s="1247"/>
      <c r="FL221" s="1247"/>
      <c r="FM221" s="1247"/>
      <c r="FN221" s="1247"/>
      <c r="FO221" s="1247"/>
      <c r="FP221" s="1247"/>
      <c r="FQ221" s="1247"/>
      <c r="FR221" s="1247"/>
      <c r="FS221" s="1247"/>
      <c r="FT221" s="1247"/>
      <c r="FU221" s="1247"/>
      <c r="FV221" s="1247"/>
      <c r="FW221" s="1247"/>
      <c r="FX221" s="1247"/>
      <c r="FY221" s="1247"/>
      <c r="FZ221" s="1247"/>
      <c r="GA221" s="1247"/>
      <c r="GB221" s="1247"/>
      <c r="GC221" s="1247"/>
      <c r="GD221" s="1247"/>
      <c r="GE221" s="1247"/>
      <c r="GF221" s="1247"/>
      <c r="GG221" s="1247"/>
      <c r="GH221" s="1247"/>
      <c r="GI221" s="1247"/>
      <c r="GJ221" s="1247"/>
      <c r="GK221" s="1247"/>
      <c r="GL221" s="1247"/>
      <c r="GM221" s="1247"/>
      <c r="GN221" s="1247"/>
      <c r="GO221" s="1247"/>
      <c r="GP221" s="1247"/>
      <c r="GQ221" s="1247"/>
      <c r="GR221" s="1247"/>
      <c r="GS221" s="1247"/>
      <c r="GT221" s="1247"/>
      <c r="GU221" s="1247"/>
      <c r="GV221" s="1247"/>
      <c r="GW221" s="1247"/>
      <c r="GX221" s="1247"/>
      <c r="GY221" s="1247"/>
      <c r="GZ221" s="1247"/>
      <c r="HA221" s="1247"/>
      <c r="HB221" s="1247"/>
      <c r="HC221" s="1247"/>
      <c r="HD221" s="1247"/>
      <c r="HE221" s="1247"/>
      <c r="HF221" s="1247"/>
      <c r="HG221" s="1247"/>
      <c r="HH221" s="1247"/>
      <c r="HI221" s="1247"/>
      <c r="HJ221" s="1247"/>
      <c r="HK221" s="1247"/>
      <c r="HL221" s="1247"/>
      <c r="HM221" s="1247"/>
      <c r="HN221" s="1247"/>
      <c r="HO221" s="1247"/>
      <c r="HP221" s="1247"/>
      <c r="HQ221" s="1247"/>
      <c r="HR221" s="1247"/>
      <c r="HS221" s="1247"/>
      <c r="HT221" s="1247"/>
      <c r="HU221" s="1247"/>
      <c r="HV221" s="1247"/>
      <c r="HW221" s="1247"/>
      <c r="HX221" s="1247"/>
      <c r="HY221" s="1247"/>
      <c r="HZ221" s="1247"/>
      <c r="IA221" s="1247"/>
      <c r="IB221" s="1247"/>
      <c r="IC221" s="1247"/>
      <c r="ID221" s="1247"/>
      <c r="IE221" s="1247"/>
      <c r="IF221" s="1247"/>
      <c r="IG221" s="1247"/>
      <c r="IH221" s="1247"/>
      <c r="II221" s="1247"/>
      <c r="IJ221" s="1247"/>
      <c r="IK221" s="1247"/>
      <c r="IL221" s="1247"/>
      <c r="IM221" s="1247"/>
      <c r="IN221" s="1247"/>
      <c r="IO221" s="1247"/>
      <c r="IP221" s="1247"/>
      <c r="IQ221" s="1247"/>
      <c r="IR221" s="1247"/>
      <c r="IS221" s="1247"/>
      <c r="IT221" s="1247"/>
      <c r="IU221" s="1247"/>
      <c r="IV221" s="1247"/>
      <c r="IW221" s="1247"/>
      <c r="IX221" s="1247"/>
      <c r="IY221" s="1247"/>
      <c r="IZ221" s="1247"/>
      <c r="JA221" s="1247"/>
      <c r="JB221" s="1247"/>
      <c r="JC221" s="1247"/>
      <c r="JD221" s="1247"/>
      <c r="JE221" s="1247"/>
      <c r="JF221" s="1247"/>
      <c r="JG221" s="1247"/>
      <c r="JH221" s="1247"/>
      <c r="JI221" s="1247"/>
      <c r="JJ221" s="1247"/>
      <c r="JK221" s="1247"/>
      <c r="JL221" s="1247"/>
      <c r="JM221" s="1247"/>
      <c r="JN221" s="1247"/>
      <c r="JO221" s="1247"/>
      <c r="JP221" s="1247"/>
      <c r="JQ221" s="1247"/>
      <c r="JR221" s="1247"/>
      <c r="JS221" s="1247"/>
      <c r="JT221" s="1247"/>
      <c r="JU221" s="1247"/>
      <c r="JV221" s="1247"/>
      <c r="JW221" s="1247"/>
      <c r="JX221" s="1247"/>
      <c r="JY221" s="1247"/>
      <c r="JZ221" s="1247"/>
      <c r="KA221" s="1247"/>
      <c r="KB221" s="1247"/>
      <c r="KC221" s="1247"/>
      <c r="KD221" s="1247"/>
      <c r="KE221" s="1247"/>
      <c r="KF221" s="1247"/>
      <c r="KG221" s="1247"/>
      <c r="KH221" s="1247"/>
      <c r="KI221" s="1247"/>
      <c r="KJ221" s="1247"/>
      <c r="KK221" s="1247"/>
      <c r="KL221" s="1247"/>
      <c r="KM221" s="1247"/>
      <c r="KN221" s="1247"/>
      <c r="KO221" s="1247"/>
      <c r="KP221" s="1247"/>
      <c r="KQ221" s="1247"/>
      <c r="KR221" s="1247"/>
      <c r="KS221" s="1247"/>
      <c r="KT221" s="1247"/>
      <c r="KU221" s="1247"/>
      <c r="KV221" s="1247"/>
      <c r="KW221" s="1247"/>
      <c r="KX221" s="1247"/>
      <c r="KY221" s="1247"/>
      <c r="KZ221" s="1247"/>
      <c r="LA221" s="1247"/>
      <c r="LB221" s="1247"/>
      <c r="LC221" s="1247"/>
      <c r="LD221" s="1247"/>
      <c r="LE221" s="1247"/>
      <c r="LF221" s="1247"/>
      <c r="LG221" s="1247"/>
      <c r="LH221" s="1247"/>
      <c r="LI221" s="1247"/>
      <c r="LJ221" s="1247"/>
      <c r="LK221" s="1247"/>
      <c r="LL221" s="1247"/>
      <c r="LM221" s="1247"/>
      <c r="LN221" s="1247"/>
      <c r="LO221" s="1247"/>
      <c r="LP221" s="1247"/>
      <c r="LQ221" s="1247"/>
      <c r="LR221" s="1247"/>
      <c r="LS221" s="1247"/>
      <c r="LT221" s="1247"/>
      <c r="LU221" s="1247"/>
      <c r="LV221" s="1247"/>
      <c r="LW221" s="1247"/>
      <c r="LX221" s="1247"/>
      <c r="LY221" s="1247"/>
      <c r="LZ221" s="1247"/>
      <c r="MA221" s="1247"/>
      <c r="MB221" s="1247"/>
      <c r="MC221" s="1247"/>
      <c r="MD221" s="1247"/>
      <c r="ME221" s="1247"/>
      <c r="MF221" s="1247"/>
      <c r="MG221" s="1247"/>
      <c r="MH221" s="1247"/>
      <c r="MI221" s="1247"/>
      <c r="MJ221" s="1247"/>
      <c r="MK221" s="1247"/>
      <c r="ML221" s="1247"/>
      <c r="MM221" s="1247"/>
      <c r="MN221" s="1247"/>
      <c r="MO221" s="1247"/>
      <c r="MP221" s="1247"/>
      <c r="MQ221" s="1247"/>
      <c r="MR221" s="1247"/>
      <c r="MS221" s="1247"/>
      <c r="MT221" s="1247"/>
      <c r="MU221" s="1247"/>
      <c r="MV221" s="1247"/>
      <c r="MW221" s="1247"/>
      <c r="MX221" s="1247"/>
      <c r="MY221" s="1247"/>
      <c r="MZ221" s="1247"/>
      <c r="NA221" s="1247"/>
      <c r="NB221" s="1247"/>
      <c r="NC221" s="1247"/>
      <c r="ND221" s="1247"/>
      <c r="NE221" s="1247"/>
      <c r="NF221" s="1247"/>
      <c r="NG221" s="1247"/>
      <c r="NH221" s="1247"/>
      <c r="NI221" s="1247"/>
      <c r="NJ221" s="1247"/>
      <c r="NK221" s="1247"/>
      <c r="NL221" s="1247"/>
      <c r="NM221" s="1247"/>
      <c r="NN221" s="1247"/>
      <c r="NO221" s="1247"/>
      <c r="NP221" s="1247"/>
      <c r="NQ221" s="1247"/>
      <c r="NR221" s="1247"/>
      <c r="NS221" s="1247"/>
      <c r="NT221" s="1247"/>
      <c r="NU221" s="1247"/>
      <c r="NV221" s="1247"/>
      <c r="NW221" s="1247"/>
      <c r="NX221" s="1247"/>
      <c r="NY221" s="1247"/>
      <c r="NZ221" s="1247"/>
      <c r="OA221" s="1247"/>
      <c r="OB221" s="1247"/>
      <c r="OC221" s="1247"/>
      <c r="OD221" s="1247"/>
      <c r="OE221" s="1247"/>
      <c r="OF221" s="1247"/>
      <c r="OG221" s="1247"/>
      <c r="OH221" s="1247"/>
      <c r="OI221" s="1247"/>
      <c r="OJ221" s="1247"/>
      <c r="OK221" s="1247"/>
      <c r="OL221" s="1247"/>
      <c r="OM221" s="1247"/>
      <c r="ON221" s="1247"/>
      <c r="OO221" s="1247"/>
      <c r="OP221" s="1247"/>
      <c r="OQ221" s="1247"/>
      <c r="OR221" s="1247"/>
      <c r="OS221" s="1247"/>
      <c r="OT221" s="1247"/>
      <c r="OU221" s="1247"/>
      <c r="OV221" s="1247"/>
      <c r="OW221" s="1247"/>
      <c r="OX221" s="1247"/>
      <c r="OY221" s="1247"/>
      <c r="OZ221" s="1247"/>
      <c r="PA221" s="1247"/>
      <c r="PB221" s="1247"/>
      <c r="PC221" s="1247"/>
      <c r="PD221" s="1247"/>
      <c r="PE221" s="1247"/>
      <c r="PF221" s="1247"/>
      <c r="PG221" s="1247"/>
      <c r="PH221" s="1247"/>
      <c r="PI221" s="1247"/>
      <c r="PJ221" s="1247"/>
      <c r="PK221" s="1247"/>
      <c r="PL221" s="1247"/>
      <c r="PM221" s="1247"/>
      <c r="PN221" s="1247"/>
      <c r="PO221" s="1247"/>
      <c r="PP221" s="1247"/>
      <c r="PQ221" s="1247"/>
      <c r="PR221" s="1247"/>
      <c r="PS221" s="1247"/>
      <c r="PT221" s="1247"/>
      <c r="PU221" s="1247"/>
      <c r="PV221" s="1247"/>
      <c r="PW221" s="1247"/>
      <c r="PX221" s="1247"/>
      <c r="PY221" s="1247"/>
      <c r="PZ221" s="1247"/>
      <c r="QA221" s="1247"/>
      <c r="QB221" s="1247"/>
      <c r="QC221" s="1247"/>
      <c r="QD221" s="1247"/>
      <c r="QE221" s="1247"/>
      <c r="QF221" s="1247"/>
      <c r="QG221" s="1247"/>
      <c r="QH221" s="1247"/>
      <c r="QI221" s="1247"/>
      <c r="QJ221" s="1247"/>
      <c r="QK221" s="1247"/>
      <c r="QL221" s="1247"/>
      <c r="QM221" s="1247"/>
      <c r="QN221" s="1247"/>
      <c r="QO221" s="1247"/>
      <c r="QP221" s="1247"/>
      <c r="QQ221" s="1247"/>
      <c r="QR221" s="1247"/>
      <c r="QS221" s="1247"/>
      <c r="QT221" s="1247"/>
      <c r="QU221" s="1247"/>
      <c r="QV221" s="1247"/>
      <c r="QW221" s="1247"/>
      <c r="QX221" s="1247"/>
      <c r="QY221" s="1247"/>
      <c r="QZ221" s="1247"/>
      <c r="RA221" s="1247"/>
      <c r="RB221" s="1247"/>
      <c r="RC221" s="1247"/>
      <c r="RD221" s="1247"/>
      <c r="RE221" s="1247"/>
      <c r="RF221" s="1247"/>
      <c r="RG221" s="1247"/>
      <c r="RH221" s="1247"/>
      <c r="RI221" s="1247"/>
      <c r="RJ221" s="1247"/>
      <c r="RK221" s="1247"/>
      <c r="RL221" s="1247"/>
      <c r="RM221" s="1247"/>
      <c r="RN221" s="1247"/>
      <c r="RO221" s="1247"/>
      <c r="RP221" s="1247"/>
      <c r="RQ221" s="1247"/>
      <c r="RR221" s="1247"/>
      <c r="RS221" s="1247"/>
      <c r="RT221" s="1247"/>
      <c r="RU221" s="1247"/>
      <c r="RV221" s="1247"/>
      <c r="RW221" s="1247"/>
      <c r="RX221" s="1247"/>
      <c r="RY221" s="1247"/>
      <c r="RZ221" s="1247"/>
      <c r="SA221" s="1247"/>
      <c r="SB221" s="1247"/>
      <c r="SC221" s="1247"/>
      <c r="SD221" s="1247"/>
      <c r="SE221" s="1247"/>
      <c r="SF221" s="1247"/>
      <c r="SG221" s="1247"/>
      <c r="SH221" s="1247"/>
      <c r="SI221" s="1247"/>
      <c r="SJ221" s="1247"/>
      <c r="SK221" s="1247"/>
      <c r="SL221" s="1247"/>
      <c r="SM221" s="1247"/>
      <c r="SN221" s="1247"/>
      <c r="SO221" s="1247"/>
      <c r="SP221" s="1247"/>
      <c r="SQ221" s="1247"/>
      <c r="SR221" s="1247"/>
      <c r="SS221" s="1247"/>
      <c r="ST221" s="1247"/>
      <c r="SU221" s="1247"/>
      <c r="SV221" s="1247"/>
      <c r="SW221" s="1247"/>
      <c r="SX221" s="1247"/>
      <c r="SY221" s="1247"/>
      <c r="SZ221" s="1247"/>
      <c r="TA221" s="1247"/>
      <c r="TB221" s="1247"/>
      <c r="TC221" s="1247"/>
      <c r="TD221" s="1247"/>
      <c r="TE221" s="1247"/>
      <c r="TF221" s="1247"/>
      <c r="TG221" s="1247"/>
      <c r="TH221" s="1247"/>
      <c r="TI221" s="1247"/>
      <c r="TJ221" s="1247"/>
      <c r="TK221" s="1247"/>
      <c r="TL221" s="1247"/>
      <c r="TM221" s="1247"/>
      <c r="TN221" s="1247"/>
      <c r="TO221" s="1247"/>
      <c r="TP221" s="1247"/>
      <c r="TQ221" s="1247"/>
      <c r="TR221" s="1247"/>
      <c r="TS221" s="1247"/>
      <c r="TT221" s="1247"/>
      <c r="TU221" s="1247"/>
      <c r="TV221" s="1247"/>
      <c r="TW221" s="1247"/>
      <c r="TX221" s="1247"/>
      <c r="TY221" s="1247"/>
      <c r="TZ221" s="1247"/>
      <c r="UA221" s="1247"/>
      <c r="UB221" s="1247"/>
      <c r="UC221" s="1247"/>
      <c r="UD221" s="1247"/>
      <c r="UE221" s="1247"/>
      <c r="UF221" s="1247"/>
      <c r="UG221" s="1247"/>
      <c r="UH221" s="1247"/>
      <c r="UI221" s="1247"/>
      <c r="UJ221" s="1247"/>
      <c r="UK221" s="1247"/>
      <c r="UL221" s="1247"/>
      <c r="UM221" s="1247"/>
      <c r="UN221" s="1247"/>
      <c r="UO221" s="1247"/>
      <c r="UP221" s="1247"/>
      <c r="UQ221" s="1247"/>
      <c r="UR221" s="1247"/>
      <c r="US221" s="1247"/>
      <c r="UT221" s="1247"/>
      <c r="UU221" s="1247"/>
      <c r="UV221" s="1247"/>
      <c r="UW221" s="1247"/>
      <c r="UX221" s="1247"/>
      <c r="UY221" s="1247"/>
      <c r="UZ221" s="1247"/>
      <c r="VA221" s="1247"/>
      <c r="VB221" s="1247"/>
      <c r="VC221" s="1247"/>
      <c r="VD221" s="1247"/>
      <c r="VE221" s="1247"/>
      <c r="VF221" s="1247"/>
      <c r="VG221" s="1247"/>
      <c r="VH221" s="1247"/>
      <c r="VI221" s="1247"/>
      <c r="VJ221" s="1247"/>
      <c r="VK221" s="1247"/>
      <c r="VL221" s="1247"/>
      <c r="VM221" s="1247"/>
      <c r="VN221" s="1247"/>
      <c r="VO221" s="1247"/>
      <c r="VP221" s="1247"/>
      <c r="VQ221" s="1247"/>
      <c r="VR221" s="1247"/>
      <c r="VS221" s="1247"/>
      <c r="VT221" s="1247"/>
      <c r="VU221" s="1247"/>
      <c r="VV221" s="1247"/>
      <c r="VW221" s="1247"/>
      <c r="VX221" s="1247"/>
      <c r="VY221" s="1247"/>
      <c r="VZ221" s="1247"/>
      <c r="WA221" s="1247"/>
      <c r="WB221" s="1247"/>
      <c r="WC221" s="1247"/>
      <c r="WD221" s="1247"/>
      <c r="WE221" s="1247"/>
      <c r="WF221" s="1247"/>
      <c r="WG221" s="1247"/>
      <c r="WH221" s="1247"/>
      <c r="WI221" s="1247"/>
      <c r="WJ221" s="1247"/>
      <c r="WK221" s="1247"/>
      <c r="WL221" s="1247"/>
      <c r="WM221" s="1247"/>
      <c r="WN221" s="1247"/>
      <c r="WO221" s="1247"/>
      <c r="WP221" s="1247"/>
      <c r="WQ221" s="1247"/>
      <c r="WR221" s="1247"/>
      <c r="WS221" s="1247"/>
      <c r="WT221" s="1247"/>
      <c r="WU221" s="1247"/>
      <c r="WV221" s="1247"/>
      <c r="WW221" s="1247"/>
      <c r="WX221" s="1247"/>
      <c r="WY221" s="1247"/>
      <c r="WZ221" s="1247"/>
      <c r="XA221" s="1247"/>
      <c r="XB221" s="1247"/>
      <c r="XC221" s="1247"/>
      <c r="XD221" s="1247"/>
      <c r="XE221" s="1247"/>
      <c r="XF221" s="1247"/>
      <c r="XG221" s="1247"/>
      <c r="XH221" s="1247"/>
      <c r="XI221" s="1247"/>
      <c r="XJ221" s="1247"/>
      <c r="XK221" s="1247"/>
      <c r="XL221" s="1247"/>
      <c r="XM221" s="1247"/>
      <c r="XN221" s="1247"/>
      <c r="XO221" s="1247"/>
      <c r="XP221" s="1247"/>
      <c r="XQ221" s="1247"/>
      <c r="XR221" s="1247"/>
      <c r="XS221" s="1247"/>
      <c r="XT221" s="1247"/>
      <c r="XU221" s="1247"/>
      <c r="XV221" s="1247"/>
      <c r="XW221" s="1247"/>
      <c r="XX221" s="1247"/>
      <c r="XY221" s="1247"/>
      <c r="XZ221" s="1247"/>
      <c r="YA221" s="1247"/>
      <c r="YB221" s="1247"/>
      <c r="YC221" s="1247"/>
      <c r="YD221" s="1247"/>
      <c r="YE221" s="1247"/>
      <c r="YF221" s="1247"/>
      <c r="YG221" s="1247"/>
      <c r="YH221" s="1247"/>
      <c r="YI221" s="1247"/>
      <c r="YJ221" s="1247"/>
      <c r="YK221" s="1247"/>
      <c r="YL221" s="1247"/>
      <c r="YM221" s="1247"/>
      <c r="YN221" s="1247"/>
      <c r="YO221" s="1247"/>
      <c r="YP221" s="1247"/>
      <c r="YQ221" s="1247"/>
      <c r="YR221" s="1247"/>
      <c r="YS221" s="1247"/>
      <c r="YT221" s="1247"/>
      <c r="YU221" s="1247"/>
      <c r="YV221" s="1247"/>
      <c r="YW221" s="1247"/>
      <c r="YX221" s="1247"/>
      <c r="YY221" s="1247"/>
      <c r="YZ221" s="1247"/>
      <c r="ZA221" s="1247"/>
      <c r="ZB221" s="1247"/>
      <c r="ZC221" s="1247"/>
      <c r="ZD221" s="1247"/>
      <c r="ZE221" s="1247"/>
      <c r="ZF221" s="1247"/>
      <c r="ZG221" s="1247"/>
      <c r="ZH221" s="1247"/>
      <c r="ZI221" s="1247"/>
      <c r="ZJ221" s="1247"/>
      <c r="ZK221" s="1247"/>
      <c r="ZL221" s="1247"/>
      <c r="ZM221" s="1247"/>
      <c r="ZN221" s="1247"/>
      <c r="ZO221" s="1247"/>
      <c r="ZP221" s="1247"/>
      <c r="ZQ221" s="1247"/>
      <c r="ZR221" s="1247"/>
      <c r="ZS221" s="1247"/>
      <c r="ZT221" s="1247"/>
      <c r="ZU221" s="1247"/>
      <c r="ZV221" s="1247"/>
      <c r="ZW221" s="1247"/>
      <c r="ZX221" s="1247"/>
      <c r="ZY221" s="1247"/>
      <c r="ZZ221" s="1247"/>
      <c r="AAA221" s="1247"/>
      <c r="AAB221" s="1247"/>
      <c r="AAC221" s="1247"/>
      <c r="AAD221" s="1247"/>
      <c r="AAE221" s="1247"/>
      <c r="AAF221" s="1247"/>
      <c r="AAG221" s="1247"/>
      <c r="AAH221" s="1247"/>
      <c r="AAI221" s="1247"/>
      <c r="AAJ221" s="1247"/>
      <c r="AAK221" s="1247"/>
      <c r="AAL221" s="1247"/>
      <c r="AAM221" s="1247"/>
      <c r="AAN221" s="1247"/>
      <c r="AAO221" s="1247"/>
      <c r="AAP221" s="1247"/>
      <c r="AAQ221" s="1247"/>
      <c r="AAR221" s="1247"/>
      <c r="AAS221" s="1247"/>
      <c r="AAT221" s="1247"/>
      <c r="AAU221" s="1247"/>
      <c r="AAV221" s="1247"/>
      <c r="AAW221" s="1247"/>
      <c r="AAX221" s="1247"/>
      <c r="AAY221" s="1247"/>
      <c r="AAZ221" s="1247"/>
      <c r="ABA221" s="1247"/>
      <c r="ABB221" s="1247"/>
      <c r="ABC221" s="1247"/>
      <c r="ABD221" s="1247"/>
      <c r="ABE221" s="1247"/>
      <c r="ABF221" s="1247"/>
      <c r="ABG221" s="1247"/>
      <c r="ABH221" s="1247"/>
      <c r="ABI221" s="1247"/>
      <c r="ABJ221" s="1247"/>
      <c r="ABK221" s="1247"/>
      <c r="ABL221" s="1247"/>
      <c r="ABM221" s="1247"/>
      <c r="ABN221" s="1247"/>
      <c r="ABO221" s="1247"/>
      <c r="ABP221" s="1247"/>
      <c r="ABQ221" s="1247"/>
      <c r="ABR221" s="1247"/>
      <c r="ABS221" s="1247"/>
      <c r="ABT221" s="1247"/>
      <c r="ABU221" s="1247"/>
      <c r="ABV221" s="1247"/>
      <c r="ABW221" s="1247"/>
      <c r="ABX221" s="1247"/>
      <c r="ABY221" s="1247"/>
      <c r="ABZ221" s="1247"/>
      <c r="ACA221" s="1247"/>
      <c r="ACB221" s="1247"/>
      <c r="ACC221" s="1247"/>
      <c r="ACD221" s="1247"/>
      <c r="ACE221" s="1247"/>
      <c r="ACF221" s="1247"/>
      <c r="ACG221" s="1247"/>
      <c r="ACH221" s="1247"/>
      <c r="ACI221" s="1247"/>
      <c r="ACJ221" s="1247"/>
      <c r="ACK221" s="1247"/>
      <c r="ACL221" s="1247"/>
      <c r="ACM221" s="1247"/>
      <c r="ACN221" s="1247"/>
      <c r="ACO221" s="1247"/>
      <c r="ACP221" s="1247"/>
      <c r="ACQ221" s="1247"/>
      <c r="ACR221" s="1247"/>
      <c r="ACS221" s="1247"/>
      <c r="ACT221" s="1247"/>
      <c r="ACU221" s="1247"/>
      <c r="ACV221" s="1247"/>
      <c r="ACW221" s="1247"/>
      <c r="ACX221" s="1247"/>
      <c r="ACY221" s="1247"/>
      <c r="ACZ221" s="1247"/>
      <c r="ADA221" s="1247"/>
      <c r="ADB221" s="1247"/>
      <c r="ADC221" s="1247"/>
      <c r="ADD221" s="1247"/>
      <c r="ADE221" s="1247"/>
      <c r="ADF221" s="1247"/>
      <c r="ADG221" s="1247"/>
    </row>
    <row r="222" spans="1:787" s="1412" customFormat="1" ht="13" collapsed="1">
      <c r="A222" s="1247"/>
      <c r="B222" s="1403" t="s">
        <v>699</v>
      </c>
      <c r="C222" s="1404"/>
      <c r="D222" s="1404" t="s">
        <v>498</v>
      </c>
      <c r="E222" s="1459"/>
      <c r="F222" s="1406"/>
      <c r="G222" s="1407" t="s">
        <v>4117</v>
      </c>
      <c r="H222" s="1408">
        <f>SUBTOTAL(9,H223:H294)</f>
        <v>336.68607200000002</v>
      </c>
      <c r="I222" s="1408">
        <f t="shared" ref="I222:T222" si="51">SUBTOTAL(9,I223:I294)</f>
        <v>0</v>
      </c>
      <c r="J222" s="1409">
        <f t="shared" si="51"/>
        <v>3053.0728850000005</v>
      </c>
      <c r="K222" s="1409">
        <f t="shared" si="51"/>
        <v>0</v>
      </c>
      <c r="L222" s="1409">
        <f t="shared" si="51"/>
        <v>81.776774000000017</v>
      </c>
      <c r="M222" s="1409">
        <f t="shared" si="51"/>
        <v>93.36778799999999</v>
      </c>
      <c r="N222" s="1409">
        <f t="shared" si="51"/>
        <v>81.289057999999983</v>
      </c>
      <c r="O222" s="1409">
        <f t="shared" si="51"/>
        <v>0</v>
      </c>
      <c r="P222" s="1409">
        <f t="shared" si="51"/>
        <v>4070.3024239999995</v>
      </c>
      <c r="Q222" s="1409">
        <f t="shared" si="51"/>
        <v>0</v>
      </c>
      <c r="R222" s="1409">
        <f t="shared" si="51"/>
        <v>7716.4950010000002</v>
      </c>
      <c r="S222" s="1409">
        <f t="shared" si="51"/>
        <v>0</v>
      </c>
      <c r="T222" s="1409">
        <f t="shared" si="51"/>
        <v>7716.4950010000002</v>
      </c>
      <c r="U222" s="1411"/>
      <c r="V222" s="1225">
        <f t="shared" si="48"/>
        <v>-4.8316906031686813E-13</v>
      </c>
      <c r="W222" s="1225">
        <f t="shared" si="49"/>
        <v>0</v>
      </c>
      <c r="X222" s="1225"/>
      <c r="Y222" s="1225"/>
      <c r="Z222" s="1247"/>
      <c r="AA222" s="1247"/>
      <c r="AB222" s="1247"/>
      <c r="AC222" s="1247"/>
      <c r="AD222" s="1247"/>
      <c r="AE222" s="1247"/>
      <c r="AF222" s="1247"/>
      <c r="AG222" s="1247"/>
      <c r="AH222" s="1247"/>
      <c r="AI222" s="1247"/>
      <c r="AJ222" s="1247"/>
      <c r="AK222" s="1247"/>
      <c r="AL222" s="1247"/>
      <c r="AM222" s="1247"/>
      <c r="AN222" s="1247"/>
      <c r="AO222" s="1247"/>
      <c r="AP222" s="1247"/>
      <c r="AQ222" s="1247"/>
      <c r="AR222" s="1247"/>
      <c r="AS222" s="1247"/>
      <c r="AT222" s="1247"/>
      <c r="AU222" s="1247"/>
      <c r="AV222" s="1247"/>
      <c r="AW222" s="1247"/>
      <c r="AX222" s="1247"/>
      <c r="AY222" s="1247"/>
      <c r="AZ222" s="1247"/>
      <c r="BA222" s="1247"/>
      <c r="BB222" s="1247"/>
      <c r="BC222" s="1247"/>
      <c r="BD222" s="1247"/>
      <c r="BE222" s="1247"/>
      <c r="BF222" s="1247"/>
      <c r="BG222" s="1247"/>
      <c r="BH222" s="1247"/>
      <c r="BI222" s="1247"/>
      <c r="BJ222" s="1247"/>
      <c r="BK222" s="1247"/>
      <c r="BL222" s="1247"/>
      <c r="BM222" s="1247"/>
      <c r="BN222" s="1247"/>
      <c r="BO222" s="1247"/>
      <c r="BP222" s="1247"/>
      <c r="BQ222" s="1247"/>
      <c r="BR222" s="1247"/>
      <c r="BS222" s="1247"/>
      <c r="BT222" s="1247"/>
      <c r="BU222" s="1247"/>
      <c r="BV222" s="1247"/>
      <c r="BW222" s="1247"/>
      <c r="BX222" s="1247"/>
      <c r="BY222" s="1247"/>
      <c r="BZ222" s="1247"/>
      <c r="CA222" s="1247"/>
      <c r="CB222" s="1247"/>
      <c r="CC222" s="1247"/>
      <c r="CD222" s="1247"/>
      <c r="CE222" s="1247"/>
      <c r="CF222" s="1247"/>
      <c r="CG222" s="1247"/>
      <c r="CH222" s="1247"/>
      <c r="CI222" s="1247"/>
      <c r="CJ222" s="1247"/>
      <c r="CK222" s="1247"/>
      <c r="CL222" s="1247"/>
      <c r="CM222" s="1247"/>
      <c r="CN222" s="1247"/>
      <c r="CO222" s="1247"/>
      <c r="CP222" s="1247"/>
      <c r="CQ222" s="1247"/>
      <c r="CR222" s="1247"/>
      <c r="CS222" s="1247"/>
      <c r="CT222" s="1247"/>
      <c r="CU222" s="1247"/>
      <c r="CV222" s="1247"/>
      <c r="CW222" s="1247"/>
      <c r="CX222" s="1247"/>
      <c r="CY222" s="1247"/>
      <c r="CZ222" s="1247"/>
      <c r="DA222" s="1247"/>
      <c r="DB222" s="1247"/>
      <c r="DC222" s="1247"/>
      <c r="DD222" s="1247"/>
      <c r="DE222" s="1247"/>
      <c r="DF222" s="1247"/>
      <c r="DG222" s="1247"/>
      <c r="DH222" s="1247"/>
      <c r="DI222" s="1247"/>
      <c r="DJ222" s="1247"/>
      <c r="DK222" s="1247"/>
      <c r="DL222" s="1247"/>
      <c r="DM222" s="1247"/>
      <c r="DN222" s="1247"/>
      <c r="DO222" s="1247"/>
      <c r="DP222" s="1247"/>
      <c r="DQ222" s="1247"/>
      <c r="DR222" s="1247"/>
      <c r="DS222" s="1247"/>
      <c r="DT222" s="1247"/>
      <c r="DU222" s="1247"/>
      <c r="DV222" s="1247"/>
      <c r="DW222" s="1247"/>
      <c r="DX222" s="1247"/>
      <c r="DY222" s="1247"/>
      <c r="DZ222" s="1247"/>
      <c r="EA222" s="1247"/>
      <c r="EB222" s="1247"/>
      <c r="EC222" s="1247"/>
      <c r="ED222" s="1247"/>
      <c r="EE222" s="1247"/>
      <c r="EF222" s="1247"/>
      <c r="EG222" s="1247"/>
      <c r="EH222" s="1247"/>
      <c r="EI222" s="1247"/>
      <c r="EJ222" s="1247"/>
      <c r="EK222" s="1247"/>
      <c r="EL222" s="1247"/>
      <c r="EM222" s="1247"/>
      <c r="EN222" s="1247"/>
      <c r="EO222" s="1247"/>
      <c r="EP222" s="1247"/>
      <c r="EQ222" s="1247"/>
      <c r="ER222" s="1247"/>
      <c r="ES222" s="1247"/>
      <c r="ET222" s="1247"/>
      <c r="EU222" s="1247"/>
      <c r="EV222" s="1247"/>
      <c r="EW222" s="1247"/>
      <c r="EX222" s="1247"/>
      <c r="EY222" s="1247"/>
      <c r="EZ222" s="1247"/>
      <c r="FA222" s="1247"/>
      <c r="FB222" s="1247"/>
      <c r="FC222" s="1247"/>
      <c r="FD222" s="1247"/>
      <c r="FE222" s="1247"/>
      <c r="FF222" s="1247"/>
      <c r="FG222" s="1247"/>
      <c r="FH222" s="1247"/>
      <c r="FI222" s="1247"/>
      <c r="FJ222" s="1247"/>
      <c r="FK222" s="1247"/>
      <c r="FL222" s="1247"/>
      <c r="FM222" s="1247"/>
      <c r="FN222" s="1247"/>
      <c r="FO222" s="1247"/>
      <c r="FP222" s="1247"/>
      <c r="FQ222" s="1247"/>
      <c r="FR222" s="1247"/>
      <c r="FS222" s="1247"/>
      <c r="FT222" s="1247"/>
      <c r="FU222" s="1247"/>
      <c r="FV222" s="1247"/>
      <c r="FW222" s="1247"/>
      <c r="FX222" s="1247"/>
      <c r="FY222" s="1247"/>
      <c r="FZ222" s="1247"/>
      <c r="GA222" s="1247"/>
      <c r="GB222" s="1247"/>
      <c r="GC222" s="1247"/>
      <c r="GD222" s="1247"/>
      <c r="GE222" s="1247"/>
      <c r="GF222" s="1247"/>
      <c r="GG222" s="1247"/>
      <c r="GH222" s="1247"/>
      <c r="GI222" s="1247"/>
      <c r="GJ222" s="1247"/>
      <c r="GK222" s="1247"/>
      <c r="GL222" s="1247"/>
      <c r="GM222" s="1247"/>
      <c r="GN222" s="1247"/>
      <c r="GO222" s="1247"/>
      <c r="GP222" s="1247"/>
      <c r="GQ222" s="1247"/>
      <c r="GR222" s="1247"/>
      <c r="GS222" s="1247"/>
      <c r="GT222" s="1247"/>
      <c r="GU222" s="1247"/>
      <c r="GV222" s="1247"/>
      <c r="GW222" s="1247"/>
      <c r="GX222" s="1247"/>
      <c r="GY222" s="1247"/>
      <c r="GZ222" s="1247"/>
      <c r="HA222" s="1247"/>
      <c r="HB222" s="1247"/>
      <c r="HC222" s="1247"/>
      <c r="HD222" s="1247"/>
      <c r="HE222" s="1247"/>
      <c r="HF222" s="1247"/>
      <c r="HG222" s="1247"/>
      <c r="HH222" s="1247"/>
      <c r="HI222" s="1247"/>
      <c r="HJ222" s="1247"/>
      <c r="HK222" s="1247"/>
      <c r="HL222" s="1247"/>
      <c r="HM222" s="1247"/>
      <c r="HN222" s="1247"/>
      <c r="HO222" s="1247"/>
      <c r="HP222" s="1247"/>
      <c r="HQ222" s="1247"/>
      <c r="HR222" s="1247"/>
      <c r="HS222" s="1247"/>
      <c r="HT222" s="1247"/>
      <c r="HU222" s="1247"/>
      <c r="HV222" s="1247"/>
      <c r="HW222" s="1247"/>
      <c r="HX222" s="1247"/>
      <c r="HY222" s="1247"/>
      <c r="HZ222" s="1247"/>
      <c r="IA222" s="1247"/>
      <c r="IB222" s="1247"/>
      <c r="IC222" s="1247"/>
      <c r="ID222" s="1247"/>
      <c r="IE222" s="1247"/>
      <c r="IF222" s="1247"/>
      <c r="IG222" s="1247"/>
      <c r="IH222" s="1247"/>
      <c r="II222" s="1247"/>
      <c r="IJ222" s="1247"/>
      <c r="IK222" s="1247"/>
      <c r="IL222" s="1247"/>
      <c r="IM222" s="1247"/>
      <c r="IN222" s="1247"/>
      <c r="IO222" s="1247"/>
      <c r="IP222" s="1247"/>
      <c r="IQ222" s="1247"/>
      <c r="IR222" s="1247"/>
      <c r="IS222" s="1247"/>
      <c r="IT222" s="1247"/>
      <c r="IU222" s="1247"/>
      <c r="IV222" s="1247"/>
      <c r="IW222" s="1247"/>
      <c r="IX222" s="1247"/>
      <c r="IY222" s="1247"/>
      <c r="IZ222" s="1247"/>
      <c r="JA222" s="1247"/>
      <c r="JB222" s="1247"/>
      <c r="JC222" s="1247"/>
      <c r="JD222" s="1247"/>
      <c r="JE222" s="1247"/>
      <c r="JF222" s="1247"/>
      <c r="JG222" s="1247"/>
      <c r="JH222" s="1247"/>
      <c r="JI222" s="1247"/>
      <c r="JJ222" s="1247"/>
      <c r="JK222" s="1247"/>
      <c r="JL222" s="1247"/>
      <c r="JM222" s="1247"/>
      <c r="JN222" s="1247"/>
      <c r="JO222" s="1247"/>
      <c r="JP222" s="1247"/>
      <c r="JQ222" s="1247"/>
      <c r="JR222" s="1247"/>
      <c r="JS222" s="1247"/>
      <c r="JT222" s="1247"/>
      <c r="JU222" s="1247"/>
      <c r="JV222" s="1247"/>
      <c r="JW222" s="1247"/>
      <c r="JX222" s="1247"/>
      <c r="JY222" s="1247"/>
      <c r="JZ222" s="1247"/>
      <c r="KA222" s="1247"/>
      <c r="KB222" s="1247"/>
      <c r="KC222" s="1247"/>
      <c r="KD222" s="1247"/>
      <c r="KE222" s="1247"/>
      <c r="KF222" s="1247"/>
      <c r="KG222" s="1247"/>
      <c r="KH222" s="1247"/>
      <c r="KI222" s="1247"/>
      <c r="KJ222" s="1247"/>
      <c r="KK222" s="1247"/>
      <c r="KL222" s="1247"/>
      <c r="KM222" s="1247"/>
      <c r="KN222" s="1247"/>
      <c r="KO222" s="1247"/>
      <c r="KP222" s="1247"/>
      <c r="KQ222" s="1247"/>
      <c r="KR222" s="1247"/>
      <c r="KS222" s="1247"/>
      <c r="KT222" s="1247"/>
      <c r="KU222" s="1247"/>
      <c r="KV222" s="1247"/>
      <c r="KW222" s="1247"/>
      <c r="KX222" s="1247"/>
      <c r="KY222" s="1247"/>
      <c r="KZ222" s="1247"/>
      <c r="LA222" s="1247"/>
      <c r="LB222" s="1247"/>
      <c r="LC222" s="1247"/>
      <c r="LD222" s="1247"/>
      <c r="LE222" s="1247"/>
      <c r="LF222" s="1247"/>
      <c r="LG222" s="1247"/>
      <c r="LH222" s="1247"/>
      <c r="LI222" s="1247"/>
      <c r="LJ222" s="1247"/>
      <c r="LK222" s="1247"/>
      <c r="LL222" s="1247"/>
      <c r="LM222" s="1247"/>
      <c r="LN222" s="1247"/>
      <c r="LO222" s="1247"/>
      <c r="LP222" s="1247"/>
      <c r="LQ222" s="1247"/>
      <c r="LR222" s="1247"/>
      <c r="LS222" s="1247"/>
      <c r="LT222" s="1247"/>
      <c r="LU222" s="1247"/>
      <c r="LV222" s="1247"/>
      <c r="LW222" s="1247"/>
      <c r="LX222" s="1247"/>
      <c r="LY222" s="1247"/>
      <c r="LZ222" s="1247"/>
      <c r="MA222" s="1247"/>
      <c r="MB222" s="1247"/>
      <c r="MC222" s="1247"/>
      <c r="MD222" s="1247"/>
      <c r="ME222" s="1247"/>
      <c r="MF222" s="1247"/>
      <c r="MG222" s="1247"/>
      <c r="MH222" s="1247"/>
      <c r="MI222" s="1247"/>
      <c r="MJ222" s="1247"/>
      <c r="MK222" s="1247"/>
      <c r="ML222" s="1247"/>
      <c r="MM222" s="1247"/>
      <c r="MN222" s="1247"/>
      <c r="MO222" s="1247"/>
      <c r="MP222" s="1247"/>
      <c r="MQ222" s="1247"/>
      <c r="MR222" s="1247"/>
      <c r="MS222" s="1247"/>
      <c r="MT222" s="1247"/>
      <c r="MU222" s="1247"/>
      <c r="MV222" s="1247"/>
      <c r="MW222" s="1247"/>
      <c r="MX222" s="1247"/>
      <c r="MY222" s="1247"/>
      <c r="MZ222" s="1247"/>
      <c r="NA222" s="1247"/>
      <c r="NB222" s="1247"/>
      <c r="NC222" s="1247"/>
      <c r="ND222" s="1247"/>
      <c r="NE222" s="1247"/>
      <c r="NF222" s="1247"/>
      <c r="NG222" s="1247"/>
      <c r="NH222" s="1247"/>
      <c r="NI222" s="1247"/>
      <c r="NJ222" s="1247"/>
      <c r="NK222" s="1247"/>
      <c r="NL222" s="1247"/>
      <c r="NM222" s="1247"/>
      <c r="NN222" s="1247"/>
      <c r="NO222" s="1247"/>
      <c r="NP222" s="1247"/>
      <c r="NQ222" s="1247"/>
      <c r="NR222" s="1247"/>
      <c r="NS222" s="1247"/>
      <c r="NT222" s="1247"/>
      <c r="NU222" s="1247"/>
      <c r="NV222" s="1247"/>
      <c r="NW222" s="1247"/>
      <c r="NX222" s="1247"/>
      <c r="NY222" s="1247"/>
      <c r="NZ222" s="1247"/>
      <c r="OA222" s="1247"/>
      <c r="OB222" s="1247"/>
      <c r="OC222" s="1247"/>
      <c r="OD222" s="1247"/>
      <c r="OE222" s="1247"/>
      <c r="OF222" s="1247"/>
      <c r="OG222" s="1247"/>
      <c r="OH222" s="1247"/>
      <c r="OI222" s="1247"/>
      <c r="OJ222" s="1247"/>
      <c r="OK222" s="1247"/>
      <c r="OL222" s="1247"/>
      <c r="OM222" s="1247"/>
      <c r="ON222" s="1247"/>
      <c r="OO222" s="1247"/>
      <c r="OP222" s="1247"/>
      <c r="OQ222" s="1247"/>
      <c r="OR222" s="1247"/>
      <c r="OS222" s="1247"/>
      <c r="OT222" s="1247"/>
      <c r="OU222" s="1247"/>
      <c r="OV222" s="1247"/>
      <c r="OW222" s="1247"/>
      <c r="OX222" s="1247"/>
      <c r="OY222" s="1247"/>
      <c r="OZ222" s="1247"/>
      <c r="PA222" s="1247"/>
      <c r="PB222" s="1247"/>
      <c r="PC222" s="1247"/>
      <c r="PD222" s="1247"/>
      <c r="PE222" s="1247"/>
      <c r="PF222" s="1247"/>
      <c r="PG222" s="1247"/>
      <c r="PH222" s="1247"/>
      <c r="PI222" s="1247"/>
      <c r="PJ222" s="1247"/>
      <c r="PK222" s="1247"/>
      <c r="PL222" s="1247"/>
      <c r="PM222" s="1247"/>
      <c r="PN222" s="1247"/>
      <c r="PO222" s="1247"/>
      <c r="PP222" s="1247"/>
      <c r="PQ222" s="1247"/>
      <c r="PR222" s="1247"/>
      <c r="PS222" s="1247"/>
      <c r="PT222" s="1247"/>
      <c r="PU222" s="1247"/>
      <c r="PV222" s="1247"/>
      <c r="PW222" s="1247"/>
      <c r="PX222" s="1247"/>
      <c r="PY222" s="1247"/>
      <c r="PZ222" s="1247"/>
      <c r="QA222" s="1247"/>
      <c r="QB222" s="1247"/>
      <c r="QC222" s="1247"/>
      <c r="QD222" s="1247"/>
      <c r="QE222" s="1247"/>
      <c r="QF222" s="1247"/>
      <c r="QG222" s="1247"/>
      <c r="QH222" s="1247"/>
      <c r="QI222" s="1247"/>
      <c r="QJ222" s="1247"/>
      <c r="QK222" s="1247"/>
      <c r="QL222" s="1247"/>
      <c r="QM222" s="1247"/>
      <c r="QN222" s="1247"/>
      <c r="QO222" s="1247"/>
      <c r="QP222" s="1247"/>
      <c r="QQ222" s="1247"/>
      <c r="QR222" s="1247"/>
      <c r="QS222" s="1247"/>
      <c r="QT222" s="1247"/>
      <c r="QU222" s="1247"/>
      <c r="QV222" s="1247"/>
      <c r="QW222" s="1247"/>
      <c r="QX222" s="1247"/>
      <c r="QY222" s="1247"/>
      <c r="QZ222" s="1247"/>
      <c r="RA222" s="1247"/>
      <c r="RB222" s="1247"/>
      <c r="RC222" s="1247"/>
      <c r="RD222" s="1247"/>
      <c r="RE222" s="1247"/>
      <c r="RF222" s="1247"/>
      <c r="RG222" s="1247"/>
      <c r="RH222" s="1247"/>
      <c r="RI222" s="1247"/>
      <c r="RJ222" s="1247"/>
      <c r="RK222" s="1247"/>
      <c r="RL222" s="1247"/>
      <c r="RM222" s="1247"/>
      <c r="RN222" s="1247"/>
      <c r="RO222" s="1247"/>
      <c r="RP222" s="1247"/>
      <c r="RQ222" s="1247"/>
      <c r="RR222" s="1247"/>
      <c r="RS222" s="1247"/>
      <c r="RT222" s="1247"/>
      <c r="RU222" s="1247"/>
      <c r="RV222" s="1247"/>
      <c r="RW222" s="1247"/>
      <c r="RX222" s="1247"/>
      <c r="RY222" s="1247"/>
      <c r="RZ222" s="1247"/>
      <c r="SA222" s="1247"/>
      <c r="SB222" s="1247"/>
      <c r="SC222" s="1247"/>
      <c r="SD222" s="1247"/>
      <c r="SE222" s="1247"/>
      <c r="SF222" s="1247"/>
      <c r="SG222" s="1247"/>
      <c r="SH222" s="1247"/>
      <c r="SI222" s="1247"/>
      <c r="SJ222" s="1247"/>
      <c r="SK222" s="1247"/>
      <c r="SL222" s="1247"/>
      <c r="SM222" s="1247"/>
      <c r="SN222" s="1247"/>
      <c r="SO222" s="1247"/>
      <c r="SP222" s="1247"/>
      <c r="SQ222" s="1247"/>
      <c r="SR222" s="1247"/>
      <c r="SS222" s="1247"/>
      <c r="ST222" s="1247"/>
      <c r="SU222" s="1247"/>
      <c r="SV222" s="1247"/>
      <c r="SW222" s="1247"/>
      <c r="SX222" s="1247"/>
      <c r="SY222" s="1247"/>
      <c r="SZ222" s="1247"/>
      <c r="TA222" s="1247"/>
      <c r="TB222" s="1247"/>
      <c r="TC222" s="1247"/>
      <c r="TD222" s="1247"/>
      <c r="TE222" s="1247"/>
      <c r="TF222" s="1247"/>
      <c r="TG222" s="1247"/>
      <c r="TH222" s="1247"/>
      <c r="TI222" s="1247"/>
      <c r="TJ222" s="1247"/>
      <c r="TK222" s="1247"/>
      <c r="TL222" s="1247"/>
      <c r="TM222" s="1247"/>
      <c r="TN222" s="1247"/>
      <c r="TO222" s="1247"/>
      <c r="TP222" s="1247"/>
      <c r="TQ222" s="1247"/>
      <c r="TR222" s="1247"/>
      <c r="TS222" s="1247"/>
      <c r="TT222" s="1247"/>
      <c r="TU222" s="1247"/>
      <c r="TV222" s="1247"/>
      <c r="TW222" s="1247"/>
      <c r="TX222" s="1247"/>
      <c r="TY222" s="1247"/>
      <c r="TZ222" s="1247"/>
      <c r="UA222" s="1247"/>
      <c r="UB222" s="1247"/>
      <c r="UC222" s="1247"/>
      <c r="UD222" s="1247"/>
      <c r="UE222" s="1247"/>
      <c r="UF222" s="1247"/>
      <c r="UG222" s="1247"/>
      <c r="UH222" s="1247"/>
      <c r="UI222" s="1247"/>
      <c r="UJ222" s="1247"/>
      <c r="UK222" s="1247"/>
      <c r="UL222" s="1247"/>
      <c r="UM222" s="1247"/>
      <c r="UN222" s="1247"/>
      <c r="UO222" s="1247"/>
      <c r="UP222" s="1247"/>
      <c r="UQ222" s="1247"/>
      <c r="UR222" s="1247"/>
      <c r="US222" s="1247"/>
      <c r="UT222" s="1247"/>
      <c r="UU222" s="1247"/>
      <c r="UV222" s="1247"/>
      <c r="UW222" s="1247"/>
      <c r="UX222" s="1247"/>
      <c r="UY222" s="1247"/>
      <c r="UZ222" s="1247"/>
      <c r="VA222" s="1247"/>
      <c r="VB222" s="1247"/>
      <c r="VC222" s="1247"/>
      <c r="VD222" s="1247"/>
      <c r="VE222" s="1247"/>
      <c r="VF222" s="1247"/>
      <c r="VG222" s="1247"/>
      <c r="VH222" s="1247"/>
      <c r="VI222" s="1247"/>
      <c r="VJ222" s="1247"/>
      <c r="VK222" s="1247"/>
      <c r="VL222" s="1247"/>
      <c r="VM222" s="1247"/>
      <c r="VN222" s="1247"/>
      <c r="VO222" s="1247"/>
      <c r="VP222" s="1247"/>
      <c r="VQ222" s="1247"/>
      <c r="VR222" s="1247"/>
      <c r="VS222" s="1247"/>
      <c r="VT222" s="1247"/>
      <c r="VU222" s="1247"/>
      <c r="VV222" s="1247"/>
      <c r="VW222" s="1247"/>
      <c r="VX222" s="1247"/>
      <c r="VY222" s="1247"/>
      <c r="VZ222" s="1247"/>
      <c r="WA222" s="1247"/>
      <c r="WB222" s="1247"/>
      <c r="WC222" s="1247"/>
      <c r="WD222" s="1247"/>
      <c r="WE222" s="1247"/>
      <c r="WF222" s="1247"/>
      <c r="WG222" s="1247"/>
      <c r="WH222" s="1247"/>
      <c r="WI222" s="1247"/>
      <c r="WJ222" s="1247"/>
      <c r="WK222" s="1247"/>
      <c r="WL222" s="1247"/>
      <c r="WM222" s="1247"/>
      <c r="WN222" s="1247"/>
      <c r="WO222" s="1247"/>
      <c r="WP222" s="1247"/>
      <c r="WQ222" s="1247"/>
      <c r="WR222" s="1247"/>
      <c r="WS222" s="1247"/>
      <c r="WT222" s="1247"/>
      <c r="WU222" s="1247"/>
      <c r="WV222" s="1247"/>
      <c r="WW222" s="1247"/>
      <c r="WX222" s="1247"/>
      <c r="WY222" s="1247"/>
      <c r="WZ222" s="1247"/>
      <c r="XA222" s="1247"/>
      <c r="XB222" s="1247"/>
      <c r="XC222" s="1247"/>
      <c r="XD222" s="1247"/>
      <c r="XE222" s="1247"/>
      <c r="XF222" s="1247"/>
      <c r="XG222" s="1247"/>
      <c r="XH222" s="1247"/>
      <c r="XI222" s="1247"/>
      <c r="XJ222" s="1247"/>
      <c r="XK222" s="1247"/>
      <c r="XL222" s="1247"/>
      <c r="XM222" s="1247"/>
      <c r="XN222" s="1247"/>
      <c r="XO222" s="1247"/>
      <c r="XP222" s="1247"/>
      <c r="XQ222" s="1247"/>
      <c r="XR222" s="1247"/>
      <c r="XS222" s="1247"/>
      <c r="XT222" s="1247"/>
      <c r="XU222" s="1247"/>
      <c r="XV222" s="1247"/>
      <c r="XW222" s="1247"/>
      <c r="XX222" s="1247"/>
      <c r="XY222" s="1247"/>
      <c r="XZ222" s="1247"/>
      <c r="YA222" s="1247"/>
      <c r="YB222" s="1247"/>
      <c r="YC222" s="1247"/>
      <c r="YD222" s="1247"/>
      <c r="YE222" s="1247"/>
      <c r="YF222" s="1247"/>
      <c r="YG222" s="1247"/>
      <c r="YH222" s="1247"/>
      <c r="YI222" s="1247"/>
      <c r="YJ222" s="1247"/>
      <c r="YK222" s="1247"/>
      <c r="YL222" s="1247"/>
      <c r="YM222" s="1247"/>
      <c r="YN222" s="1247"/>
      <c r="YO222" s="1247"/>
      <c r="YP222" s="1247"/>
      <c r="YQ222" s="1247"/>
      <c r="YR222" s="1247"/>
      <c r="YS222" s="1247"/>
      <c r="YT222" s="1247"/>
      <c r="YU222" s="1247"/>
      <c r="YV222" s="1247"/>
      <c r="YW222" s="1247"/>
      <c r="YX222" s="1247"/>
      <c r="YY222" s="1247"/>
      <c r="YZ222" s="1247"/>
      <c r="ZA222" s="1247"/>
      <c r="ZB222" s="1247"/>
      <c r="ZC222" s="1247"/>
      <c r="ZD222" s="1247"/>
      <c r="ZE222" s="1247"/>
      <c r="ZF222" s="1247"/>
      <c r="ZG222" s="1247"/>
      <c r="ZH222" s="1247"/>
      <c r="ZI222" s="1247"/>
      <c r="ZJ222" s="1247"/>
      <c r="ZK222" s="1247"/>
      <c r="ZL222" s="1247"/>
      <c r="ZM222" s="1247"/>
      <c r="ZN222" s="1247"/>
      <c r="ZO222" s="1247"/>
      <c r="ZP222" s="1247"/>
      <c r="ZQ222" s="1247"/>
      <c r="ZR222" s="1247"/>
      <c r="ZS222" s="1247"/>
      <c r="ZT222" s="1247"/>
      <c r="ZU222" s="1247"/>
      <c r="ZV222" s="1247"/>
      <c r="ZW222" s="1247"/>
      <c r="ZX222" s="1247"/>
      <c r="ZY222" s="1247"/>
      <c r="ZZ222" s="1247"/>
      <c r="AAA222" s="1247"/>
      <c r="AAB222" s="1247"/>
      <c r="AAC222" s="1247"/>
      <c r="AAD222" s="1247"/>
      <c r="AAE222" s="1247"/>
      <c r="AAF222" s="1247"/>
      <c r="AAG222" s="1247"/>
      <c r="AAH222" s="1247"/>
      <c r="AAI222" s="1247"/>
      <c r="AAJ222" s="1247"/>
      <c r="AAK222" s="1247"/>
      <c r="AAL222" s="1247"/>
      <c r="AAM222" s="1247"/>
      <c r="AAN222" s="1247"/>
      <c r="AAO222" s="1247"/>
      <c r="AAP222" s="1247"/>
      <c r="AAQ222" s="1247"/>
      <c r="AAR222" s="1247"/>
      <c r="AAS222" s="1247"/>
      <c r="AAT222" s="1247"/>
      <c r="AAU222" s="1247"/>
      <c r="AAV222" s="1247"/>
      <c r="AAW222" s="1247"/>
      <c r="AAX222" s="1247"/>
      <c r="AAY222" s="1247"/>
      <c r="AAZ222" s="1247"/>
      <c r="ABA222" s="1247"/>
      <c r="ABB222" s="1247"/>
      <c r="ABC222" s="1247"/>
      <c r="ABD222" s="1247"/>
      <c r="ABE222" s="1247"/>
      <c r="ABF222" s="1247"/>
      <c r="ABG222" s="1247"/>
      <c r="ABH222" s="1247"/>
      <c r="ABI222" s="1247"/>
      <c r="ABJ222" s="1247"/>
      <c r="ABK222" s="1247"/>
      <c r="ABL222" s="1247"/>
      <c r="ABM222" s="1247"/>
      <c r="ABN222" s="1247"/>
      <c r="ABO222" s="1247"/>
      <c r="ABP222" s="1247"/>
      <c r="ABQ222" s="1247"/>
      <c r="ABR222" s="1247"/>
      <c r="ABS222" s="1247"/>
      <c r="ABT222" s="1247"/>
      <c r="ABU222" s="1247"/>
      <c r="ABV222" s="1247"/>
      <c r="ABW222" s="1247"/>
      <c r="ABX222" s="1247"/>
      <c r="ABY222" s="1247"/>
      <c r="ABZ222" s="1247"/>
      <c r="ACA222" s="1247"/>
      <c r="ACB222" s="1247"/>
      <c r="ACC222" s="1247"/>
      <c r="ACD222" s="1247"/>
      <c r="ACE222" s="1247"/>
      <c r="ACF222" s="1247"/>
      <c r="ACG222" s="1247"/>
      <c r="ACH222" s="1247"/>
      <c r="ACI222" s="1247"/>
      <c r="ACJ222" s="1247"/>
      <c r="ACK222" s="1247"/>
      <c r="ACL222" s="1247"/>
      <c r="ACM222" s="1247"/>
      <c r="ACN222" s="1247"/>
      <c r="ACO222" s="1247"/>
      <c r="ACP222" s="1247"/>
      <c r="ACQ222" s="1247"/>
      <c r="ACR222" s="1247"/>
      <c r="ACS222" s="1247"/>
      <c r="ACT222" s="1247"/>
      <c r="ACU222" s="1247"/>
      <c r="ACV222" s="1247"/>
      <c r="ACW222" s="1247"/>
      <c r="ACX222" s="1247"/>
      <c r="ACY222" s="1247"/>
      <c r="ACZ222" s="1247"/>
      <c r="ADA222" s="1247"/>
      <c r="ADB222" s="1247"/>
      <c r="ADC222" s="1247"/>
      <c r="ADD222" s="1247"/>
      <c r="ADE222" s="1247"/>
      <c r="ADF222" s="1247"/>
      <c r="ADG222" s="1247"/>
    </row>
    <row r="223" spans="1:787" s="1421" customFormat="1" ht="13" hidden="1" outlineLevel="1">
      <c r="A223" s="1247"/>
      <c r="B223" s="1413" t="s">
        <v>499</v>
      </c>
      <c r="C223" s="1414"/>
      <c r="D223" s="1414" t="s">
        <v>35</v>
      </c>
      <c r="E223" s="1417"/>
      <c r="F223" s="1449"/>
      <c r="G223" s="1448" t="s">
        <v>4117</v>
      </c>
      <c r="H223" s="1418">
        <f>SUBTOTAL(9,H225:H261)</f>
        <v>211.33063200000001</v>
      </c>
      <c r="I223" s="1418">
        <f t="shared" ref="I223:T223" si="52">SUBTOTAL(9,I225:I261)</f>
        <v>0</v>
      </c>
      <c r="J223" s="1419">
        <f t="shared" si="52"/>
        <v>2069.041745</v>
      </c>
      <c r="K223" s="1419">
        <f t="shared" si="52"/>
        <v>0</v>
      </c>
      <c r="L223" s="1419">
        <f t="shared" si="52"/>
        <v>80.406350000000018</v>
      </c>
      <c r="M223" s="1419">
        <f t="shared" si="52"/>
        <v>85.942787999999979</v>
      </c>
      <c r="N223" s="1419">
        <f t="shared" si="52"/>
        <v>35.755947999999997</v>
      </c>
      <c r="O223" s="1419">
        <f t="shared" si="52"/>
        <v>0</v>
      </c>
      <c r="P223" s="1419">
        <f t="shared" si="52"/>
        <v>2934.9244680000002</v>
      </c>
      <c r="Q223" s="1419">
        <f t="shared" si="52"/>
        <v>0</v>
      </c>
      <c r="R223" s="1419">
        <f t="shared" si="52"/>
        <v>5417.4019310000003</v>
      </c>
      <c r="S223" s="1419">
        <f t="shared" si="52"/>
        <v>0</v>
      </c>
      <c r="T223" s="1419">
        <f t="shared" si="52"/>
        <v>5417.4019310000003</v>
      </c>
      <c r="U223" s="1443"/>
      <c r="V223" s="1225">
        <f t="shared" si="48"/>
        <v>-3.1263880373444408E-13</v>
      </c>
      <c r="W223" s="1225">
        <f t="shared" si="49"/>
        <v>0</v>
      </c>
      <c r="X223" s="1225"/>
      <c r="Y223" s="1225"/>
      <c r="Z223" s="1247"/>
      <c r="AA223" s="1247"/>
      <c r="AB223" s="1247"/>
      <c r="AC223" s="1247"/>
      <c r="AD223" s="1247"/>
      <c r="AE223" s="1247"/>
      <c r="AF223" s="1247"/>
      <c r="AG223" s="1247"/>
      <c r="AH223" s="1247"/>
      <c r="AI223" s="1247"/>
      <c r="AJ223" s="1247"/>
      <c r="AK223" s="1247"/>
      <c r="AL223" s="1247"/>
      <c r="AM223" s="1247"/>
      <c r="AN223" s="1247"/>
      <c r="AO223" s="1247"/>
      <c r="AP223" s="1247"/>
      <c r="AQ223" s="1247"/>
      <c r="AR223" s="1247"/>
      <c r="AS223" s="1247"/>
      <c r="AT223" s="1247"/>
      <c r="AU223" s="1247"/>
      <c r="AV223" s="1247"/>
      <c r="AW223" s="1247"/>
      <c r="AX223" s="1247"/>
      <c r="AY223" s="1247"/>
      <c r="AZ223" s="1247"/>
      <c r="BA223" s="1247"/>
      <c r="BB223" s="1247"/>
      <c r="BC223" s="1247"/>
      <c r="BD223" s="1247"/>
      <c r="BE223" s="1247"/>
      <c r="BF223" s="1247"/>
      <c r="BG223" s="1247"/>
      <c r="BH223" s="1247"/>
      <c r="BI223" s="1247"/>
      <c r="BJ223" s="1247"/>
      <c r="BK223" s="1247"/>
      <c r="BL223" s="1247"/>
      <c r="BM223" s="1247"/>
      <c r="BN223" s="1247"/>
      <c r="BO223" s="1247"/>
      <c r="BP223" s="1247"/>
      <c r="BQ223" s="1247"/>
      <c r="BR223" s="1247"/>
      <c r="BS223" s="1247"/>
      <c r="BT223" s="1247"/>
      <c r="BU223" s="1247"/>
      <c r="BV223" s="1247"/>
      <c r="BW223" s="1247"/>
      <c r="BX223" s="1247"/>
      <c r="BY223" s="1247"/>
      <c r="BZ223" s="1247"/>
      <c r="CA223" s="1247"/>
      <c r="CB223" s="1247"/>
      <c r="CC223" s="1247"/>
      <c r="CD223" s="1247"/>
      <c r="CE223" s="1247"/>
      <c r="CF223" s="1247"/>
      <c r="CG223" s="1247"/>
      <c r="CH223" s="1247"/>
      <c r="CI223" s="1247"/>
      <c r="CJ223" s="1247"/>
      <c r="CK223" s="1247"/>
      <c r="CL223" s="1247"/>
      <c r="CM223" s="1247"/>
      <c r="CN223" s="1247"/>
      <c r="CO223" s="1247"/>
      <c r="CP223" s="1247"/>
      <c r="CQ223" s="1247"/>
      <c r="CR223" s="1247"/>
      <c r="CS223" s="1247"/>
      <c r="CT223" s="1247"/>
      <c r="CU223" s="1247"/>
      <c r="CV223" s="1247"/>
      <c r="CW223" s="1247"/>
      <c r="CX223" s="1247"/>
      <c r="CY223" s="1247"/>
      <c r="CZ223" s="1247"/>
      <c r="DA223" s="1247"/>
      <c r="DB223" s="1247"/>
      <c r="DC223" s="1247"/>
      <c r="DD223" s="1247"/>
      <c r="DE223" s="1247"/>
      <c r="DF223" s="1247"/>
      <c r="DG223" s="1247"/>
      <c r="DH223" s="1247"/>
      <c r="DI223" s="1247"/>
      <c r="DJ223" s="1247"/>
      <c r="DK223" s="1247"/>
      <c r="DL223" s="1247"/>
      <c r="DM223" s="1247"/>
      <c r="DN223" s="1247"/>
      <c r="DO223" s="1247"/>
      <c r="DP223" s="1247"/>
      <c r="DQ223" s="1247"/>
      <c r="DR223" s="1247"/>
      <c r="DS223" s="1247"/>
      <c r="DT223" s="1247"/>
      <c r="DU223" s="1247"/>
      <c r="DV223" s="1247"/>
      <c r="DW223" s="1247"/>
      <c r="DX223" s="1247"/>
      <c r="DY223" s="1247"/>
      <c r="DZ223" s="1247"/>
      <c r="EA223" s="1247"/>
      <c r="EB223" s="1247"/>
      <c r="EC223" s="1247"/>
      <c r="ED223" s="1247"/>
      <c r="EE223" s="1247"/>
      <c r="EF223" s="1247"/>
      <c r="EG223" s="1247"/>
      <c r="EH223" s="1247"/>
      <c r="EI223" s="1247"/>
      <c r="EJ223" s="1247"/>
      <c r="EK223" s="1247"/>
      <c r="EL223" s="1247"/>
      <c r="EM223" s="1247"/>
      <c r="EN223" s="1247"/>
      <c r="EO223" s="1247"/>
      <c r="EP223" s="1247"/>
      <c r="EQ223" s="1247"/>
      <c r="ER223" s="1247"/>
      <c r="ES223" s="1247"/>
      <c r="ET223" s="1247"/>
      <c r="EU223" s="1247"/>
      <c r="EV223" s="1247"/>
      <c r="EW223" s="1247"/>
      <c r="EX223" s="1247"/>
      <c r="EY223" s="1247"/>
      <c r="EZ223" s="1247"/>
      <c r="FA223" s="1247"/>
      <c r="FB223" s="1247"/>
      <c r="FC223" s="1247"/>
      <c r="FD223" s="1247"/>
      <c r="FE223" s="1247"/>
      <c r="FF223" s="1247"/>
      <c r="FG223" s="1247"/>
      <c r="FH223" s="1247"/>
      <c r="FI223" s="1247"/>
      <c r="FJ223" s="1247"/>
      <c r="FK223" s="1247"/>
      <c r="FL223" s="1247"/>
      <c r="FM223" s="1247"/>
      <c r="FN223" s="1247"/>
      <c r="FO223" s="1247"/>
      <c r="FP223" s="1247"/>
      <c r="FQ223" s="1247"/>
      <c r="FR223" s="1247"/>
      <c r="FS223" s="1247"/>
      <c r="FT223" s="1247"/>
      <c r="FU223" s="1247"/>
      <c r="FV223" s="1247"/>
      <c r="FW223" s="1247"/>
      <c r="FX223" s="1247"/>
      <c r="FY223" s="1247"/>
      <c r="FZ223" s="1247"/>
      <c r="GA223" s="1247"/>
      <c r="GB223" s="1247"/>
      <c r="GC223" s="1247"/>
      <c r="GD223" s="1247"/>
      <c r="GE223" s="1247"/>
      <c r="GF223" s="1247"/>
      <c r="GG223" s="1247"/>
      <c r="GH223" s="1247"/>
      <c r="GI223" s="1247"/>
      <c r="GJ223" s="1247"/>
      <c r="GK223" s="1247"/>
      <c r="GL223" s="1247"/>
      <c r="GM223" s="1247"/>
      <c r="GN223" s="1247"/>
      <c r="GO223" s="1247"/>
      <c r="GP223" s="1247"/>
      <c r="GQ223" s="1247"/>
      <c r="GR223" s="1247"/>
      <c r="GS223" s="1247"/>
      <c r="GT223" s="1247"/>
      <c r="GU223" s="1247"/>
      <c r="GV223" s="1247"/>
      <c r="GW223" s="1247"/>
      <c r="GX223" s="1247"/>
      <c r="GY223" s="1247"/>
      <c r="GZ223" s="1247"/>
      <c r="HA223" s="1247"/>
      <c r="HB223" s="1247"/>
      <c r="HC223" s="1247"/>
      <c r="HD223" s="1247"/>
      <c r="HE223" s="1247"/>
      <c r="HF223" s="1247"/>
      <c r="HG223" s="1247"/>
      <c r="HH223" s="1247"/>
      <c r="HI223" s="1247"/>
      <c r="HJ223" s="1247"/>
      <c r="HK223" s="1247"/>
      <c r="HL223" s="1247"/>
      <c r="HM223" s="1247"/>
      <c r="HN223" s="1247"/>
      <c r="HO223" s="1247"/>
      <c r="HP223" s="1247"/>
      <c r="HQ223" s="1247"/>
      <c r="HR223" s="1247"/>
      <c r="HS223" s="1247"/>
      <c r="HT223" s="1247"/>
      <c r="HU223" s="1247"/>
      <c r="HV223" s="1247"/>
      <c r="HW223" s="1247"/>
      <c r="HX223" s="1247"/>
      <c r="HY223" s="1247"/>
      <c r="HZ223" s="1247"/>
      <c r="IA223" s="1247"/>
      <c r="IB223" s="1247"/>
      <c r="IC223" s="1247"/>
      <c r="ID223" s="1247"/>
      <c r="IE223" s="1247"/>
      <c r="IF223" s="1247"/>
      <c r="IG223" s="1247"/>
      <c r="IH223" s="1247"/>
      <c r="II223" s="1247"/>
      <c r="IJ223" s="1247"/>
      <c r="IK223" s="1247"/>
      <c r="IL223" s="1247"/>
      <c r="IM223" s="1247"/>
      <c r="IN223" s="1247"/>
      <c r="IO223" s="1247"/>
      <c r="IP223" s="1247"/>
      <c r="IQ223" s="1247"/>
      <c r="IR223" s="1247"/>
      <c r="IS223" s="1247"/>
      <c r="IT223" s="1247"/>
      <c r="IU223" s="1247"/>
      <c r="IV223" s="1247"/>
      <c r="IW223" s="1247"/>
      <c r="IX223" s="1247"/>
      <c r="IY223" s="1247"/>
      <c r="IZ223" s="1247"/>
      <c r="JA223" s="1247"/>
      <c r="JB223" s="1247"/>
      <c r="JC223" s="1247"/>
      <c r="JD223" s="1247"/>
      <c r="JE223" s="1247"/>
      <c r="JF223" s="1247"/>
      <c r="JG223" s="1247"/>
      <c r="JH223" s="1247"/>
      <c r="JI223" s="1247"/>
      <c r="JJ223" s="1247"/>
      <c r="JK223" s="1247"/>
      <c r="JL223" s="1247"/>
      <c r="JM223" s="1247"/>
      <c r="JN223" s="1247"/>
      <c r="JO223" s="1247"/>
      <c r="JP223" s="1247"/>
      <c r="JQ223" s="1247"/>
      <c r="JR223" s="1247"/>
      <c r="JS223" s="1247"/>
      <c r="JT223" s="1247"/>
      <c r="JU223" s="1247"/>
      <c r="JV223" s="1247"/>
      <c r="JW223" s="1247"/>
      <c r="JX223" s="1247"/>
      <c r="JY223" s="1247"/>
      <c r="JZ223" s="1247"/>
      <c r="KA223" s="1247"/>
      <c r="KB223" s="1247"/>
      <c r="KC223" s="1247"/>
      <c r="KD223" s="1247"/>
      <c r="KE223" s="1247"/>
      <c r="KF223" s="1247"/>
      <c r="KG223" s="1247"/>
      <c r="KH223" s="1247"/>
      <c r="KI223" s="1247"/>
      <c r="KJ223" s="1247"/>
      <c r="KK223" s="1247"/>
      <c r="KL223" s="1247"/>
      <c r="KM223" s="1247"/>
      <c r="KN223" s="1247"/>
      <c r="KO223" s="1247"/>
      <c r="KP223" s="1247"/>
      <c r="KQ223" s="1247"/>
      <c r="KR223" s="1247"/>
      <c r="KS223" s="1247"/>
      <c r="KT223" s="1247"/>
      <c r="KU223" s="1247"/>
      <c r="KV223" s="1247"/>
      <c r="KW223" s="1247"/>
      <c r="KX223" s="1247"/>
      <c r="KY223" s="1247"/>
      <c r="KZ223" s="1247"/>
      <c r="LA223" s="1247"/>
      <c r="LB223" s="1247"/>
      <c r="LC223" s="1247"/>
      <c r="LD223" s="1247"/>
      <c r="LE223" s="1247"/>
      <c r="LF223" s="1247"/>
      <c r="LG223" s="1247"/>
      <c r="LH223" s="1247"/>
      <c r="LI223" s="1247"/>
      <c r="LJ223" s="1247"/>
      <c r="LK223" s="1247"/>
      <c r="LL223" s="1247"/>
      <c r="LM223" s="1247"/>
      <c r="LN223" s="1247"/>
      <c r="LO223" s="1247"/>
      <c r="LP223" s="1247"/>
      <c r="LQ223" s="1247"/>
      <c r="LR223" s="1247"/>
      <c r="LS223" s="1247"/>
      <c r="LT223" s="1247"/>
      <c r="LU223" s="1247"/>
      <c r="LV223" s="1247"/>
      <c r="LW223" s="1247"/>
      <c r="LX223" s="1247"/>
      <c r="LY223" s="1247"/>
      <c r="LZ223" s="1247"/>
      <c r="MA223" s="1247"/>
      <c r="MB223" s="1247"/>
      <c r="MC223" s="1247"/>
      <c r="MD223" s="1247"/>
      <c r="ME223" s="1247"/>
      <c r="MF223" s="1247"/>
      <c r="MG223" s="1247"/>
      <c r="MH223" s="1247"/>
      <c r="MI223" s="1247"/>
      <c r="MJ223" s="1247"/>
      <c r="MK223" s="1247"/>
      <c r="ML223" s="1247"/>
      <c r="MM223" s="1247"/>
      <c r="MN223" s="1247"/>
      <c r="MO223" s="1247"/>
      <c r="MP223" s="1247"/>
      <c r="MQ223" s="1247"/>
      <c r="MR223" s="1247"/>
      <c r="MS223" s="1247"/>
      <c r="MT223" s="1247"/>
      <c r="MU223" s="1247"/>
      <c r="MV223" s="1247"/>
      <c r="MW223" s="1247"/>
      <c r="MX223" s="1247"/>
      <c r="MY223" s="1247"/>
      <c r="MZ223" s="1247"/>
      <c r="NA223" s="1247"/>
      <c r="NB223" s="1247"/>
      <c r="NC223" s="1247"/>
      <c r="ND223" s="1247"/>
      <c r="NE223" s="1247"/>
      <c r="NF223" s="1247"/>
      <c r="NG223" s="1247"/>
      <c r="NH223" s="1247"/>
      <c r="NI223" s="1247"/>
      <c r="NJ223" s="1247"/>
      <c r="NK223" s="1247"/>
      <c r="NL223" s="1247"/>
      <c r="NM223" s="1247"/>
      <c r="NN223" s="1247"/>
      <c r="NO223" s="1247"/>
      <c r="NP223" s="1247"/>
      <c r="NQ223" s="1247"/>
      <c r="NR223" s="1247"/>
      <c r="NS223" s="1247"/>
      <c r="NT223" s="1247"/>
      <c r="NU223" s="1247"/>
      <c r="NV223" s="1247"/>
      <c r="NW223" s="1247"/>
      <c r="NX223" s="1247"/>
      <c r="NY223" s="1247"/>
      <c r="NZ223" s="1247"/>
      <c r="OA223" s="1247"/>
      <c r="OB223" s="1247"/>
      <c r="OC223" s="1247"/>
      <c r="OD223" s="1247"/>
      <c r="OE223" s="1247"/>
      <c r="OF223" s="1247"/>
      <c r="OG223" s="1247"/>
      <c r="OH223" s="1247"/>
      <c r="OI223" s="1247"/>
      <c r="OJ223" s="1247"/>
      <c r="OK223" s="1247"/>
      <c r="OL223" s="1247"/>
      <c r="OM223" s="1247"/>
      <c r="ON223" s="1247"/>
      <c r="OO223" s="1247"/>
      <c r="OP223" s="1247"/>
      <c r="OQ223" s="1247"/>
      <c r="OR223" s="1247"/>
      <c r="OS223" s="1247"/>
      <c r="OT223" s="1247"/>
      <c r="OU223" s="1247"/>
      <c r="OV223" s="1247"/>
      <c r="OW223" s="1247"/>
      <c r="OX223" s="1247"/>
      <c r="OY223" s="1247"/>
      <c r="OZ223" s="1247"/>
      <c r="PA223" s="1247"/>
      <c r="PB223" s="1247"/>
      <c r="PC223" s="1247"/>
      <c r="PD223" s="1247"/>
      <c r="PE223" s="1247"/>
      <c r="PF223" s="1247"/>
      <c r="PG223" s="1247"/>
      <c r="PH223" s="1247"/>
      <c r="PI223" s="1247"/>
      <c r="PJ223" s="1247"/>
      <c r="PK223" s="1247"/>
      <c r="PL223" s="1247"/>
      <c r="PM223" s="1247"/>
      <c r="PN223" s="1247"/>
      <c r="PO223" s="1247"/>
      <c r="PP223" s="1247"/>
      <c r="PQ223" s="1247"/>
      <c r="PR223" s="1247"/>
      <c r="PS223" s="1247"/>
      <c r="PT223" s="1247"/>
      <c r="PU223" s="1247"/>
      <c r="PV223" s="1247"/>
      <c r="PW223" s="1247"/>
      <c r="PX223" s="1247"/>
      <c r="PY223" s="1247"/>
      <c r="PZ223" s="1247"/>
      <c r="QA223" s="1247"/>
      <c r="QB223" s="1247"/>
      <c r="QC223" s="1247"/>
      <c r="QD223" s="1247"/>
      <c r="QE223" s="1247"/>
      <c r="QF223" s="1247"/>
      <c r="QG223" s="1247"/>
      <c r="QH223" s="1247"/>
      <c r="QI223" s="1247"/>
      <c r="QJ223" s="1247"/>
      <c r="QK223" s="1247"/>
      <c r="QL223" s="1247"/>
      <c r="QM223" s="1247"/>
      <c r="QN223" s="1247"/>
      <c r="QO223" s="1247"/>
      <c r="QP223" s="1247"/>
      <c r="QQ223" s="1247"/>
      <c r="QR223" s="1247"/>
      <c r="QS223" s="1247"/>
      <c r="QT223" s="1247"/>
      <c r="QU223" s="1247"/>
      <c r="QV223" s="1247"/>
      <c r="QW223" s="1247"/>
      <c r="QX223" s="1247"/>
      <c r="QY223" s="1247"/>
      <c r="QZ223" s="1247"/>
      <c r="RA223" s="1247"/>
      <c r="RB223" s="1247"/>
      <c r="RC223" s="1247"/>
      <c r="RD223" s="1247"/>
      <c r="RE223" s="1247"/>
      <c r="RF223" s="1247"/>
      <c r="RG223" s="1247"/>
      <c r="RH223" s="1247"/>
      <c r="RI223" s="1247"/>
      <c r="RJ223" s="1247"/>
      <c r="RK223" s="1247"/>
      <c r="RL223" s="1247"/>
      <c r="RM223" s="1247"/>
      <c r="RN223" s="1247"/>
      <c r="RO223" s="1247"/>
      <c r="RP223" s="1247"/>
      <c r="RQ223" s="1247"/>
      <c r="RR223" s="1247"/>
      <c r="RS223" s="1247"/>
      <c r="RT223" s="1247"/>
      <c r="RU223" s="1247"/>
      <c r="RV223" s="1247"/>
      <c r="RW223" s="1247"/>
      <c r="RX223" s="1247"/>
      <c r="RY223" s="1247"/>
      <c r="RZ223" s="1247"/>
      <c r="SA223" s="1247"/>
      <c r="SB223" s="1247"/>
      <c r="SC223" s="1247"/>
      <c r="SD223" s="1247"/>
      <c r="SE223" s="1247"/>
      <c r="SF223" s="1247"/>
      <c r="SG223" s="1247"/>
      <c r="SH223" s="1247"/>
      <c r="SI223" s="1247"/>
      <c r="SJ223" s="1247"/>
      <c r="SK223" s="1247"/>
      <c r="SL223" s="1247"/>
      <c r="SM223" s="1247"/>
      <c r="SN223" s="1247"/>
      <c r="SO223" s="1247"/>
      <c r="SP223" s="1247"/>
      <c r="SQ223" s="1247"/>
      <c r="SR223" s="1247"/>
      <c r="SS223" s="1247"/>
      <c r="ST223" s="1247"/>
      <c r="SU223" s="1247"/>
      <c r="SV223" s="1247"/>
      <c r="SW223" s="1247"/>
      <c r="SX223" s="1247"/>
      <c r="SY223" s="1247"/>
      <c r="SZ223" s="1247"/>
      <c r="TA223" s="1247"/>
      <c r="TB223" s="1247"/>
      <c r="TC223" s="1247"/>
      <c r="TD223" s="1247"/>
      <c r="TE223" s="1247"/>
      <c r="TF223" s="1247"/>
      <c r="TG223" s="1247"/>
      <c r="TH223" s="1247"/>
      <c r="TI223" s="1247"/>
      <c r="TJ223" s="1247"/>
      <c r="TK223" s="1247"/>
      <c r="TL223" s="1247"/>
      <c r="TM223" s="1247"/>
      <c r="TN223" s="1247"/>
      <c r="TO223" s="1247"/>
      <c r="TP223" s="1247"/>
      <c r="TQ223" s="1247"/>
      <c r="TR223" s="1247"/>
      <c r="TS223" s="1247"/>
      <c r="TT223" s="1247"/>
      <c r="TU223" s="1247"/>
      <c r="TV223" s="1247"/>
      <c r="TW223" s="1247"/>
      <c r="TX223" s="1247"/>
      <c r="TY223" s="1247"/>
      <c r="TZ223" s="1247"/>
      <c r="UA223" s="1247"/>
      <c r="UB223" s="1247"/>
      <c r="UC223" s="1247"/>
      <c r="UD223" s="1247"/>
      <c r="UE223" s="1247"/>
      <c r="UF223" s="1247"/>
      <c r="UG223" s="1247"/>
      <c r="UH223" s="1247"/>
      <c r="UI223" s="1247"/>
      <c r="UJ223" s="1247"/>
      <c r="UK223" s="1247"/>
      <c r="UL223" s="1247"/>
      <c r="UM223" s="1247"/>
      <c r="UN223" s="1247"/>
      <c r="UO223" s="1247"/>
      <c r="UP223" s="1247"/>
      <c r="UQ223" s="1247"/>
      <c r="UR223" s="1247"/>
      <c r="US223" s="1247"/>
      <c r="UT223" s="1247"/>
      <c r="UU223" s="1247"/>
      <c r="UV223" s="1247"/>
      <c r="UW223" s="1247"/>
      <c r="UX223" s="1247"/>
      <c r="UY223" s="1247"/>
      <c r="UZ223" s="1247"/>
      <c r="VA223" s="1247"/>
      <c r="VB223" s="1247"/>
      <c r="VC223" s="1247"/>
      <c r="VD223" s="1247"/>
      <c r="VE223" s="1247"/>
      <c r="VF223" s="1247"/>
      <c r="VG223" s="1247"/>
      <c r="VH223" s="1247"/>
      <c r="VI223" s="1247"/>
      <c r="VJ223" s="1247"/>
      <c r="VK223" s="1247"/>
      <c r="VL223" s="1247"/>
      <c r="VM223" s="1247"/>
      <c r="VN223" s="1247"/>
      <c r="VO223" s="1247"/>
      <c r="VP223" s="1247"/>
      <c r="VQ223" s="1247"/>
      <c r="VR223" s="1247"/>
      <c r="VS223" s="1247"/>
      <c r="VT223" s="1247"/>
      <c r="VU223" s="1247"/>
      <c r="VV223" s="1247"/>
      <c r="VW223" s="1247"/>
      <c r="VX223" s="1247"/>
      <c r="VY223" s="1247"/>
      <c r="VZ223" s="1247"/>
      <c r="WA223" s="1247"/>
      <c r="WB223" s="1247"/>
      <c r="WC223" s="1247"/>
      <c r="WD223" s="1247"/>
      <c r="WE223" s="1247"/>
      <c r="WF223" s="1247"/>
      <c r="WG223" s="1247"/>
      <c r="WH223" s="1247"/>
      <c r="WI223" s="1247"/>
      <c r="WJ223" s="1247"/>
      <c r="WK223" s="1247"/>
      <c r="WL223" s="1247"/>
      <c r="WM223" s="1247"/>
      <c r="WN223" s="1247"/>
      <c r="WO223" s="1247"/>
      <c r="WP223" s="1247"/>
      <c r="WQ223" s="1247"/>
      <c r="WR223" s="1247"/>
      <c r="WS223" s="1247"/>
      <c r="WT223" s="1247"/>
      <c r="WU223" s="1247"/>
      <c r="WV223" s="1247"/>
      <c r="WW223" s="1247"/>
      <c r="WX223" s="1247"/>
      <c r="WY223" s="1247"/>
      <c r="WZ223" s="1247"/>
      <c r="XA223" s="1247"/>
      <c r="XB223" s="1247"/>
      <c r="XC223" s="1247"/>
      <c r="XD223" s="1247"/>
      <c r="XE223" s="1247"/>
      <c r="XF223" s="1247"/>
      <c r="XG223" s="1247"/>
      <c r="XH223" s="1247"/>
      <c r="XI223" s="1247"/>
      <c r="XJ223" s="1247"/>
      <c r="XK223" s="1247"/>
      <c r="XL223" s="1247"/>
      <c r="XM223" s="1247"/>
      <c r="XN223" s="1247"/>
      <c r="XO223" s="1247"/>
      <c r="XP223" s="1247"/>
      <c r="XQ223" s="1247"/>
      <c r="XR223" s="1247"/>
      <c r="XS223" s="1247"/>
      <c r="XT223" s="1247"/>
      <c r="XU223" s="1247"/>
      <c r="XV223" s="1247"/>
      <c r="XW223" s="1247"/>
      <c r="XX223" s="1247"/>
      <c r="XY223" s="1247"/>
      <c r="XZ223" s="1247"/>
      <c r="YA223" s="1247"/>
      <c r="YB223" s="1247"/>
      <c r="YC223" s="1247"/>
      <c r="YD223" s="1247"/>
      <c r="YE223" s="1247"/>
      <c r="YF223" s="1247"/>
      <c r="YG223" s="1247"/>
      <c r="YH223" s="1247"/>
      <c r="YI223" s="1247"/>
      <c r="YJ223" s="1247"/>
      <c r="YK223" s="1247"/>
      <c r="YL223" s="1247"/>
      <c r="YM223" s="1247"/>
      <c r="YN223" s="1247"/>
      <c r="YO223" s="1247"/>
      <c r="YP223" s="1247"/>
      <c r="YQ223" s="1247"/>
      <c r="YR223" s="1247"/>
      <c r="YS223" s="1247"/>
      <c r="YT223" s="1247"/>
      <c r="YU223" s="1247"/>
      <c r="YV223" s="1247"/>
      <c r="YW223" s="1247"/>
      <c r="YX223" s="1247"/>
      <c r="YY223" s="1247"/>
      <c r="YZ223" s="1247"/>
      <c r="ZA223" s="1247"/>
      <c r="ZB223" s="1247"/>
      <c r="ZC223" s="1247"/>
      <c r="ZD223" s="1247"/>
      <c r="ZE223" s="1247"/>
      <c r="ZF223" s="1247"/>
      <c r="ZG223" s="1247"/>
      <c r="ZH223" s="1247"/>
      <c r="ZI223" s="1247"/>
      <c r="ZJ223" s="1247"/>
      <c r="ZK223" s="1247"/>
      <c r="ZL223" s="1247"/>
      <c r="ZM223" s="1247"/>
      <c r="ZN223" s="1247"/>
      <c r="ZO223" s="1247"/>
      <c r="ZP223" s="1247"/>
      <c r="ZQ223" s="1247"/>
      <c r="ZR223" s="1247"/>
      <c r="ZS223" s="1247"/>
      <c r="ZT223" s="1247"/>
      <c r="ZU223" s="1247"/>
      <c r="ZV223" s="1247"/>
      <c r="ZW223" s="1247"/>
      <c r="ZX223" s="1247"/>
      <c r="ZY223" s="1247"/>
      <c r="ZZ223" s="1247"/>
      <c r="AAA223" s="1247"/>
      <c r="AAB223" s="1247"/>
      <c r="AAC223" s="1247"/>
      <c r="AAD223" s="1247"/>
      <c r="AAE223" s="1247"/>
      <c r="AAF223" s="1247"/>
      <c r="AAG223" s="1247"/>
      <c r="AAH223" s="1247"/>
      <c r="AAI223" s="1247"/>
      <c r="AAJ223" s="1247"/>
      <c r="AAK223" s="1247"/>
      <c r="AAL223" s="1247"/>
      <c r="AAM223" s="1247"/>
      <c r="AAN223" s="1247"/>
      <c r="AAO223" s="1247"/>
      <c r="AAP223" s="1247"/>
      <c r="AAQ223" s="1247"/>
      <c r="AAR223" s="1247"/>
      <c r="AAS223" s="1247"/>
      <c r="AAT223" s="1247"/>
      <c r="AAU223" s="1247"/>
      <c r="AAV223" s="1247"/>
      <c r="AAW223" s="1247"/>
      <c r="AAX223" s="1247"/>
      <c r="AAY223" s="1247"/>
      <c r="AAZ223" s="1247"/>
      <c r="ABA223" s="1247"/>
      <c r="ABB223" s="1247"/>
      <c r="ABC223" s="1247"/>
      <c r="ABD223" s="1247"/>
      <c r="ABE223" s="1247"/>
      <c r="ABF223" s="1247"/>
      <c r="ABG223" s="1247"/>
      <c r="ABH223" s="1247"/>
      <c r="ABI223" s="1247"/>
      <c r="ABJ223" s="1247"/>
      <c r="ABK223" s="1247"/>
      <c r="ABL223" s="1247"/>
      <c r="ABM223" s="1247"/>
      <c r="ABN223" s="1247"/>
      <c r="ABO223" s="1247"/>
      <c r="ABP223" s="1247"/>
      <c r="ABQ223" s="1247"/>
      <c r="ABR223" s="1247"/>
      <c r="ABS223" s="1247"/>
      <c r="ABT223" s="1247"/>
      <c r="ABU223" s="1247"/>
      <c r="ABV223" s="1247"/>
      <c r="ABW223" s="1247"/>
      <c r="ABX223" s="1247"/>
      <c r="ABY223" s="1247"/>
      <c r="ABZ223" s="1247"/>
      <c r="ACA223" s="1247"/>
      <c r="ACB223" s="1247"/>
      <c r="ACC223" s="1247"/>
      <c r="ACD223" s="1247"/>
      <c r="ACE223" s="1247"/>
      <c r="ACF223" s="1247"/>
      <c r="ACG223" s="1247"/>
      <c r="ACH223" s="1247"/>
      <c r="ACI223" s="1247"/>
      <c r="ACJ223" s="1247"/>
      <c r="ACK223" s="1247"/>
      <c r="ACL223" s="1247"/>
      <c r="ACM223" s="1247"/>
      <c r="ACN223" s="1247"/>
      <c r="ACO223" s="1247"/>
      <c r="ACP223" s="1247"/>
      <c r="ACQ223" s="1247"/>
      <c r="ACR223" s="1247"/>
      <c r="ACS223" s="1247"/>
      <c r="ACT223" s="1247"/>
      <c r="ACU223" s="1247"/>
      <c r="ACV223" s="1247"/>
      <c r="ACW223" s="1247"/>
      <c r="ACX223" s="1247"/>
      <c r="ACY223" s="1247"/>
      <c r="ACZ223" s="1247"/>
      <c r="ADA223" s="1247"/>
      <c r="ADB223" s="1247"/>
      <c r="ADC223" s="1247"/>
      <c r="ADD223" s="1247"/>
      <c r="ADE223" s="1247"/>
      <c r="ADF223" s="1247"/>
      <c r="ADG223" s="1247"/>
    </row>
    <row r="224" spans="1:787" s="1247" customFormat="1" ht="13" hidden="1" outlineLevel="2">
      <c r="B224" s="1422" t="s">
        <v>700</v>
      </c>
      <c r="C224" s="1423"/>
      <c r="D224" s="1423" t="s">
        <v>701</v>
      </c>
      <c r="E224" s="1431"/>
      <c r="F224" s="1425"/>
      <c r="G224" s="1431" t="s">
        <v>4117</v>
      </c>
      <c r="H224" s="1446">
        <f t="shared" ref="H224:T224" si="53">SUBTOTAL(9,H225:H235)</f>
        <v>73.697519999999997</v>
      </c>
      <c r="I224" s="1446">
        <f t="shared" si="53"/>
        <v>0</v>
      </c>
      <c r="J224" s="1427">
        <f t="shared" si="53"/>
        <v>494.78434000000004</v>
      </c>
      <c r="K224" s="1427">
        <f t="shared" si="53"/>
        <v>0</v>
      </c>
      <c r="L224" s="1427">
        <f t="shared" si="53"/>
        <v>76.743744000000007</v>
      </c>
      <c r="M224" s="1427">
        <f t="shared" si="53"/>
        <v>30.497183999999997</v>
      </c>
      <c r="N224" s="1427">
        <f t="shared" si="53"/>
        <v>14.114190000000001</v>
      </c>
      <c r="O224" s="1427">
        <f t="shared" si="53"/>
        <v>0</v>
      </c>
      <c r="P224" s="1427">
        <f t="shared" si="53"/>
        <v>859.97161799999992</v>
      </c>
      <c r="Q224" s="1427">
        <f t="shared" si="53"/>
        <v>0</v>
      </c>
      <c r="R224" s="1427">
        <f t="shared" si="53"/>
        <v>1549.8085960000003</v>
      </c>
      <c r="S224" s="1427">
        <f t="shared" si="53"/>
        <v>0</v>
      </c>
      <c r="T224" s="1427">
        <f t="shared" si="53"/>
        <v>1549.8085960000003</v>
      </c>
      <c r="U224" s="1429"/>
      <c r="V224" s="1225">
        <f t="shared" si="48"/>
        <v>-2.9132252166164108E-13</v>
      </c>
      <c r="W224" s="1225">
        <f t="shared" si="49"/>
        <v>0</v>
      </c>
      <c r="X224" s="1225"/>
      <c r="Y224" s="1225"/>
    </row>
    <row r="225" spans="2:25" s="1221" customFormat="1" ht="13" hidden="1" outlineLevel="3">
      <c r="B225" s="1433" t="s">
        <v>702</v>
      </c>
      <c r="C225" s="1434"/>
      <c r="D225" s="1434" t="s">
        <v>3630</v>
      </c>
      <c r="E225" s="1431" t="s">
        <v>3631</v>
      </c>
      <c r="F225" s="1425"/>
      <c r="G225" s="1431" t="s">
        <v>4117</v>
      </c>
      <c r="H225" s="1328">
        <f>VLOOKUP($D225,车位!$D:$V,12,FALSE)</f>
        <v>0</v>
      </c>
      <c r="I225" s="1328">
        <v>0</v>
      </c>
      <c r="J225" s="1437">
        <f>VLOOKUP($D225,高层!$D:$V,12,FALSE)</f>
        <v>388.56555000000003</v>
      </c>
      <c r="K225" s="1437">
        <f>VLOOKUP($D225,幼儿园!$D:$V,12,FALSE)</f>
        <v>0</v>
      </c>
      <c r="L225" s="1437">
        <f>VLOOKUP($D225,配套用房!$D:$V,12,FALSE)</f>
        <v>0</v>
      </c>
      <c r="M225" s="1437">
        <f>VLOOKUP($D225,临街商业!$D:$V,12,FALSE)</f>
        <v>13.554304</v>
      </c>
      <c r="N225" s="1437">
        <f>VLOOKUP($D225,人防车位!D:U,12,FALSE)</f>
        <v>0</v>
      </c>
      <c r="O225" s="1437">
        <f>VLOOKUP($D225,人才公寓销售!$D:$V,12,FALSE)</f>
        <v>0</v>
      </c>
      <c r="P225" s="1437">
        <f>VLOOKUP($D225,小高层!$D:$V,12,FALSE)</f>
        <v>538.48685799999998</v>
      </c>
      <c r="Q225" s="1437"/>
      <c r="R225" s="1172">
        <f>SUM(H225:Q225)</f>
        <v>940.60671200000002</v>
      </c>
      <c r="S225" s="1437"/>
      <c r="T225" s="1437">
        <f>R225+S225</f>
        <v>940.60671200000002</v>
      </c>
      <c r="U225" s="1438"/>
      <c r="V225" s="1225">
        <f t="shared" si="48"/>
        <v>0</v>
      </c>
      <c r="W225" s="1225">
        <f t="shared" si="49"/>
        <v>0</v>
      </c>
      <c r="X225" s="1225"/>
      <c r="Y225" s="1225"/>
    </row>
    <row r="226" spans="2:25" s="1221" customFormat="1" ht="13" hidden="1" outlineLevel="3">
      <c r="B226" s="1433" t="s">
        <v>1558</v>
      </c>
      <c r="C226" s="1434"/>
      <c r="D226" s="1434" t="s">
        <v>3632</v>
      </c>
      <c r="E226" s="1431" t="s">
        <v>3633</v>
      </c>
      <c r="F226" s="1425"/>
      <c r="G226" s="1431" t="s">
        <v>4117</v>
      </c>
      <c r="H226" s="1328">
        <f>VLOOKUP($D226,车位!$D:$V,12,FALSE)</f>
        <v>0</v>
      </c>
      <c r="I226" s="1328">
        <v>0</v>
      </c>
      <c r="J226" s="1437">
        <f>VLOOKUP($D226,高层!$D:$V,12,FALSE)</f>
        <v>0</v>
      </c>
      <c r="K226" s="1437">
        <f>VLOOKUP($D226,幼儿园!$D:$V,12,FALSE)</f>
        <v>0</v>
      </c>
      <c r="L226" s="1437">
        <f>VLOOKUP($D226,配套用房!$D:$V,12,FALSE)</f>
        <v>0</v>
      </c>
      <c r="M226" s="1437">
        <f>VLOOKUP($D226,临街商业!$D:$V,12,FALSE)</f>
        <v>0</v>
      </c>
      <c r="N226" s="1437">
        <f>VLOOKUP($D226,人防车位!D:U,12,FALSE)</f>
        <v>0</v>
      </c>
      <c r="O226" s="1437">
        <f>VLOOKUP($D226,人才公寓销售!$D:$V,12,FALSE)</f>
        <v>0</v>
      </c>
      <c r="P226" s="1437">
        <f>VLOOKUP($D226,小高层!$D:$V,12,FALSE)</f>
        <v>0</v>
      </c>
      <c r="Q226" s="1437"/>
      <c r="R226" s="1172">
        <f t="shared" ref="R226:R235" si="54">SUM(H226:Q226)</f>
        <v>0</v>
      </c>
      <c r="S226" s="1437"/>
      <c r="T226" s="1437">
        <f t="shared" ref="T226:T235" si="55">R226+S226</f>
        <v>0</v>
      </c>
      <c r="U226" s="1438"/>
      <c r="V226" s="1225">
        <f t="shared" si="48"/>
        <v>0</v>
      </c>
      <c r="W226" s="1225">
        <f t="shared" si="49"/>
        <v>0</v>
      </c>
      <c r="X226" s="1225"/>
      <c r="Y226" s="1225"/>
    </row>
    <row r="227" spans="2:25" s="1221" customFormat="1" ht="13" hidden="1" outlineLevel="3">
      <c r="B227" s="1433" t="s">
        <v>1566</v>
      </c>
      <c r="C227" s="1434"/>
      <c r="D227" s="1434" t="s">
        <v>3634</v>
      </c>
      <c r="E227" s="1431" t="s">
        <v>3635</v>
      </c>
      <c r="F227" s="1425" t="s">
        <v>3636</v>
      </c>
      <c r="G227" s="1431" t="s">
        <v>4153</v>
      </c>
      <c r="H227" s="1328">
        <f>VLOOKUP($D227,车位!$D:$V,12,FALSE)</f>
        <v>0</v>
      </c>
      <c r="I227" s="1328">
        <v>0</v>
      </c>
      <c r="J227" s="1437">
        <f>VLOOKUP($D227,高层!$D:$V,12,FALSE)</f>
        <v>0</v>
      </c>
      <c r="K227" s="1437">
        <f>VLOOKUP($D227,幼儿园!$D:$V,12,FALSE)</f>
        <v>0</v>
      </c>
      <c r="L227" s="1437">
        <f>VLOOKUP($D227,配套用房!$D:$V,12,FALSE)</f>
        <v>76.743744000000007</v>
      </c>
      <c r="M227" s="1437">
        <f>VLOOKUP($D227,临街商业!$D:$V,12,FALSE)</f>
        <v>0</v>
      </c>
      <c r="N227" s="1437">
        <f>VLOOKUP($D227,人防车位!D:U,12,FALSE)</f>
        <v>0</v>
      </c>
      <c r="O227" s="1437">
        <f>VLOOKUP($D227,人才公寓销售!$D:$V,12,FALSE)</f>
        <v>0</v>
      </c>
      <c r="P227" s="1437">
        <f>VLOOKUP($D227,小高层!$D:$V,12,FALSE)</f>
        <v>106.513884</v>
      </c>
      <c r="Q227" s="1437"/>
      <c r="R227" s="1172">
        <f t="shared" si="54"/>
        <v>183.25762800000001</v>
      </c>
      <c r="S227" s="1437"/>
      <c r="T227" s="1437">
        <f t="shared" si="55"/>
        <v>183.25762800000001</v>
      </c>
      <c r="U227" s="1438"/>
      <c r="V227" s="1225">
        <f t="shared" si="48"/>
        <v>0</v>
      </c>
      <c r="W227" s="1225">
        <f t="shared" si="49"/>
        <v>0</v>
      </c>
      <c r="X227" s="1225"/>
      <c r="Y227" s="1225"/>
    </row>
    <row r="228" spans="2:25" s="1221" customFormat="1" ht="13" hidden="1" outlineLevel="3">
      <c r="B228" s="1433" t="s">
        <v>1572</v>
      </c>
      <c r="C228" s="1434"/>
      <c r="D228" s="1434" t="s">
        <v>3637</v>
      </c>
      <c r="E228" s="1431" t="s">
        <v>3638</v>
      </c>
      <c r="F228" s="1425" t="s">
        <v>3636</v>
      </c>
      <c r="G228" s="1431" t="s">
        <v>4153</v>
      </c>
      <c r="H228" s="1328">
        <f>VLOOKUP($D228,车位!$D:$V,12,FALSE)</f>
        <v>0</v>
      </c>
      <c r="I228" s="1328">
        <v>0</v>
      </c>
      <c r="J228" s="1437">
        <f>VLOOKUP($D228,高层!$D:$V,12,FALSE)</f>
        <v>0</v>
      </c>
      <c r="K228" s="1437">
        <f>VLOOKUP($D228,幼儿园!$D:$V,12,FALSE)</f>
        <v>0</v>
      </c>
      <c r="L228" s="1437">
        <f>VLOOKUP($D228,配套用房!$D:$V,12,FALSE)</f>
        <v>0</v>
      </c>
      <c r="M228" s="1437">
        <f>VLOOKUP($D228,临街商业!$D:$V,12,FALSE)</f>
        <v>0</v>
      </c>
      <c r="N228" s="1437">
        <f>VLOOKUP($D228,人防车位!D:U,12,FALSE)</f>
        <v>0</v>
      </c>
      <c r="O228" s="1437">
        <f>VLOOKUP($D228,人才公寓销售!$D:$V,12,FALSE)</f>
        <v>0</v>
      </c>
      <c r="P228" s="1437">
        <f>VLOOKUP($D228,小高层!$D:$V,12,FALSE)</f>
        <v>0</v>
      </c>
      <c r="Q228" s="1437"/>
      <c r="R228" s="1172">
        <f t="shared" si="54"/>
        <v>0</v>
      </c>
      <c r="S228" s="1437"/>
      <c r="T228" s="1437">
        <f t="shared" si="55"/>
        <v>0</v>
      </c>
      <c r="U228" s="1438"/>
      <c r="V228" s="1225">
        <f t="shared" si="48"/>
        <v>0</v>
      </c>
      <c r="W228" s="1225">
        <f t="shared" si="49"/>
        <v>0</v>
      </c>
      <c r="X228" s="1225"/>
      <c r="Y228" s="1225"/>
    </row>
    <row r="229" spans="2:25" s="1221" customFormat="1" ht="13" hidden="1" outlineLevel="3">
      <c r="B229" s="1433" t="s">
        <v>1578</v>
      </c>
      <c r="C229" s="1434"/>
      <c r="D229" s="1434" t="s">
        <v>3639</v>
      </c>
      <c r="E229" s="1431" t="s">
        <v>3640</v>
      </c>
      <c r="F229" s="1425" t="s">
        <v>3636</v>
      </c>
      <c r="G229" s="1431" t="s">
        <v>4153</v>
      </c>
      <c r="H229" s="1328">
        <f>VLOOKUP($D229,车位!$D:$V,12,FALSE)</f>
        <v>0</v>
      </c>
      <c r="I229" s="1328">
        <v>0</v>
      </c>
      <c r="J229" s="1437">
        <f>VLOOKUP($D229,高层!$D:$V,12,FALSE)</f>
        <v>0</v>
      </c>
      <c r="K229" s="1437">
        <f>VLOOKUP($D229,幼儿园!$D:$V,12,FALSE)</f>
        <v>0</v>
      </c>
      <c r="L229" s="1437">
        <f>VLOOKUP($D229,配套用房!$D:$V,12,FALSE)</f>
        <v>0</v>
      </c>
      <c r="M229" s="1437">
        <f>VLOOKUP($D229,临街商业!$D:$V,12,FALSE)</f>
        <v>0</v>
      </c>
      <c r="N229" s="1437">
        <f>VLOOKUP($D229,人防车位!D:U,12,FALSE)</f>
        <v>0</v>
      </c>
      <c r="O229" s="1437">
        <f>VLOOKUP($D229,人才公寓销售!$D:$V,12,FALSE)</f>
        <v>0</v>
      </c>
      <c r="P229" s="1437">
        <f>VLOOKUP($D229,小高层!$D:$V,12,FALSE)</f>
        <v>0</v>
      </c>
      <c r="Q229" s="1437"/>
      <c r="R229" s="1172">
        <f t="shared" si="54"/>
        <v>0</v>
      </c>
      <c r="S229" s="1437"/>
      <c r="T229" s="1437">
        <f t="shared" si="55"/>
        <v>0</v>
      </c>
      <c r="U229" s="1438"/>
      <c r="V229" s="1225">
        <f t="shared" si="48"/>
        <v>0</v>
      </c>
      <c r="W229" s="1225">
        <f t="shared" si="49"/>
        <v>0</v>
      </c>
      <c r="X229" s="1225"/>
      <c r="Y229" s="1225"/>
    </row>
    <row r="230" spans="2:25" s="1221" customFormat="1" ht="13" hidden="1" outlineLevel="3">
      <c r="B230" s="1433" t="s">
        <v>705</v>
      </c>
      <c r="C230" s="1434"/>
      <c r="D230" s="1434" t="s">
        <v>3641</v>
      </c>
      <c r="E230" s="1431" t="s">
        <v>3642</v>
      </c>
      <c r="F230" s="1425" t="s">
        <v>1493</v>
      </c>
      <c r="G230" s="1431" t="s">
        <v>4119</v>
      </c>
      <c r="H230" s="1328">
        <f>VLOOKUP($D230,车位!$D:$V,12,FALSE)</f>
        <v>0</v>
      </c>
      <c r="I230" s="1328">
        <v>0</v>
      </c>
      <c r="J230" s="1437">
        <f>VLOOKUP($D230,高层!$D:$V,12,FALSE)</f>
        <v>0</v>
      </c>
      <c r="K230" s="1437">
        <f>VLOOKUP($D230,幼儿园!$D:$V,12,FALSE)</f>
        <v>0</v>
      </c>
      <c r="L230" s="1437">
        <f>VLOOKUP($D230,配套用房!$D:$V,12,FALSE)</f>
        <v>0</v>
      </c>
      <c r="M230" s="1437">
        <f>VLOOKUP($D230,临街商业!$D:$V,12,FALSE)</f>
        <v>0</v>
      </c>
      <c r="N230" s="1437">
        <f>VLOOKUP($D230,人防车位!D:U,12,FALSE)</f>
        <v>0</v>
      </c>
      <c r="O230" s="1437">
        <f>VLOOKUP($D230,人才公寓销售!$D:$V,12,FALSE)</f>
        <v>0</v>
      </c>
      <c r="P230" s="1437">
        <f>VLOOKUP($D230,小高层!$D:$V,12,FALSE)</f>
        <v>0</v>
      </c>
      <c r="Q230" s="1437"/>
      <c r="R230" s="1172">
        <f t="shared" si="54"/>
        <v>0</v>
      </c>
      <c r="S230" s="1437"/>
      <c r="T230" s="1437">
        <f t="shared" si="55"/>
        <v>0</v>
      </c>
      <c r="U230" s="1438"/>
      <c r="V230" s="1225">
        <f t="shared" si="48"/>
        <v>0</v>
      </c>
      <c r="W230" s="1225">
        <f t="shared" si="49"/>
        <v>0</v>
      </c>
      <c r="X230" s="1225"/>
      <c r="Y230" s="1225"/>
    </row>
    <row r="231" spans="2:25" s="1221" customFormat="1" ht="13" hidden="1" outlineLevel="3">
      <c r="B231" s="1433" t="s">
        <v>706</v>
      </c>
      <c r="C231" s="1434"/>
      <c r="D231" s="1434" t="s">
        <v>3643</v>
      </c>
      <c r="E231" s="1431" t="s">
        <v>3644</v>
      </c>
      <c r="F231" s="1425" t="s">
        <v>3636</v>
      </c>
      <c r="G231" s="1431" t="s">
        <v>4153</v>
      </c>
      <c r="H231" s="1328">
        <f>VLOOKUP($D231,车位!$D:$V,12,FALSE)</f>
        <v>73.697519999999997</v>
      </c>
      <c r="I231" s="1328">
        <v>0</v>
      </c>
      <c r="J231" s="1437">
        <f>VLOOKUP($D231,高层!$D:$V,12,FALSE)</f>
        <v>16.8</v>
      </c>
      <c r="K231" s="1437">
        <f>VLOOKUP($D231,幼儿园!$D:$V,12,FALSE)</f>
        <v>0</v>
      </c>
      <c r="L231" s="1437">
        <f>VLOOKUP($D231,配套用房!$D:$V,12,FALSE)</f>
        <v>0</v>
      </c>
      <c r="M231" s="1437">
        <f>VLOOKUP($D231,临街商业!$D:$V,12,FALSE)</f>
        <v>6.35358</v>
      </c>
      <c r="N231" s="1437">
        <f>VLOOKUP($D231,人防车位!D:U,12,FALSE)</f>
        <v>14.114190000000001</v>
      </c>
      <c r="O231" s="1437">
        <f>VLOOKUP($D231,人才公寓销售!$D:$V,12,FALSE)</f>
        <v>0</v>
      </c>
      <c r="P231" s="1437">
        <f>VLOOKUP($D231,小高层!$D:$V,12,FALSE)</f>
        <v>48.3</v>
      </c>
      <c r="Q231" s="1437"/>
      <c r="R231" s="1172">
        <f t="shared" si="54"/>
        <v>159.26528999999999</v>
      </c>
      <c r="S231" s="1437"/>
      <c r="T231" s="1437">
        <f t="shared" si="55"/>
        <v>159.26528999999999</v>
      </c>
      <c r="U231" s="1438"/>
      <c r="V231" s="1225">
        <f t="shared" si="48"/>
        <v>-2.2204460492503131E-14</v>
      </c>
      <c r="W231" s="1225">
        <f t="shared" si="49"/>
        <v>0</v>
      </c>
      <c r="X231" s="1225"/>
      <c r="Y231" s="1225"/>
    </row>
    <row r="232" spans="2:25" s="1221" customFormat="1" ht="13" hidden="1" outlineLevel="3">
      <c r="B232" s="1433" t="s">
        <v>707</v>
      </c>
      <c r="C232" s="1434"/>
      <c r="D232" s="1434" t="s">
        <v>97</v>
      </c>
      <c r="E232" s="1431" t="s">
        <v>3645</v>
      </c>
      <c r="F232" s="1425" t="s">
        <v>470</v>
      </c>
      <c r="G232" s="1431" t="s">
        <v>4154</v>
      </c>
      <c r="H232" s="1328">
        <f>VLOOKUP($D232,车位!$D:$V,12,FALSE)</f>
        <v>0</v>
      </c>
      <c r="I232" s="1328">
        <v>0</v>
      </c>
      <c r="J232" s="1437">
        <f>VLOOKUP($D232,高层!$D:$V,12,FALSE)</f>
        <v>8.6347900000000006</v>
      </c>
      <c r="K232" s="1437">
        <f>VLOOKUP($D232,幼儿园!$D:$V,12,FALSE)</f>
        <v>0</v>
      </c>
      <c r="L232" s="1437">
        <f>VLOOKUP($D232,配套用房!$D:$V,12,FALSE)</f>
        <v>0</v>
      </c>
      <c r="M232" s="1437">
        <f>VLOOKUP($D232,临街商业!$D:$V,12,FALSE)</f>
        <v>10.5893</v>
      </c>
      <c r="N232" s="1437">
        <f>VLOOKUP($D232,人防车位!D:U,12,FALSE)</f>
        <v>0</v>
      </c>
      <c r="O232" s="1437">
        <f>VLOOKUP($D232,人才公寓销售!$D:$V,12,FALSE)</f>
        <v>0</v>
      </c>
      <c r="P232" s="1437">
        <f>VLOOKUP($D232,小高层!$D:$V,12,FALSE)</f>
        <v>11.834876</v>
      </c>
      <c r="Q232" s="1437"/>
      <c r="R232" s="1172">
        <f t="shared" si="54"/>
        <v>31.058965999999998</v>
      </c>
      <c r="S232" s="1437"/>
      <c r="T232" s="1437">
        <f t="shared" si="55"/>
        <v>31.058965999999998</v>
      </c>
      <c r="U232" s="1438"/>
      <c r="V232" s="1225">
        <f t="shared" si="48"/>
        <v>0</v>
      </c>
      <c r="W232" s="1225">
        <f t="shared" si="49"/>
        <v>0</v>
      </c>
      <c r="X232" s="1225"/>
      <c r="Y232" s="1225"/>
    </row>
    <row r="233" spans="2:25" s="1221" customFormat="1" ht="13" hidden="1" outlineLevel="3">
      <c r="B233" s="1433" t="s">
        <v>709</v>
      </c>
      <c r="C233" s="1434"/>
      <c r="D233" s="1434" t="s">
        <v>3646</v>
      </c>
      <c r="E233" s="1431" t="s">
        <v>3647</v>
      </c>
      <c r="F233" s="1425" t="s">
        <v>1363</v>
      </c>
      <c r="G233" s="1431" t="s">
        <v>4155</v>
      </c>
      <c r="H233" s="1328">
        <f>VLOOKUP($D233,车位!$D:$V,12,FALSE)</f>
        <v>0</v>
      </c>
      <c r="I233" s="1328">
        <v>0</v>
      </c>
      <c r="J233" s="1437">
        <f>VLOOKUP($D233,高层!$D:$V,12,FALSE)</f>
        <v>0</v>
      </c>
      <c r="K233" s="1437">
        <f>VLOOKUP($D233,幼儿园!$D:$V,12,FALSE)</f>
        <v>0</v>
      </c>
      <c r="L233" s="1437">
        <f>VLOOKUP($D233,配套用房!$D:$V,12,FALSE)</f>
        <v>0</v>
      </c>
      <c r="M233" s="1437">
        <f>VLOOKUP($D233,临街商业!$D:$V,12,FALSE)</f>
        <v>0</v>
      </c>
      <c r="N233" s="1437">
        <f>VLOOKUP($D233,人防车位!D:U,12,FALSE)</f>
        <v>0</v>
      </c>
      <c r="O233" s="1437">
        <f>VLOOKUP($D233,人才公寓销售!$D:$V,12,FALSE)</f>
        <v>0</v>
      </c>
      <c r="P233" s="1437">
        <f>VLOOKUP($D233,小高层!$D:$V,12,FALSE)</f>
        <v>0</v>
      </c>
      <c r="Q233" s="1437"/>
      <c r="R233" s="1172">
        <f t="shared" si="54"/>
        <v>0</v>
      </c>
      <c r="S233" s="1437"/>
      <c r="T233" s="1437">
        <f t="shared" si="55"/>
        <v>0</v>
      </c>
      <c r="U233" s="1438"/>
      <c r="V233" s="1225">
        <f t="shared" si="48"/>
        <v>0</v>
      </c>
      <c r="W233" s="1225">
        <f t="shared" si="49"/>
        <v>0</v>
      </c>
      <c r="X233" s="1225"/>
      <c r="Y233" s="1225"/>
    </row>
    <row r="234" spans="2:25" s="1221" customFormat="1" ht="13" hidden="1" outlineLevel="3">
      <c r="B234" s="1433" t="s">
        <v>710</v>
      </c>
      <c r="C234" s="1434"/>
      <c r="D234" s="1434" t="s">
        <v>3648</v>
      </c>
      <c r="E234" s="1431" t="s">
        <v>3649</v>
      </c>
      <c r="F234" s="1425" t="s">
        <v>3636</v>
      </c>
      <c r="G234" s="1431" t="s">
        <v>4153</v>
      </c>
      <c r="H234" s="1328">
        <f>VLOOKUP($D234,车位!$D:$V,12,FALSE)</f>
        <v>0</v>
      </c>
      <c r="I234" s="1328">
        <v>0</v>
      </c>
      <c r="J234" s="1437">
        <f>VLOOKUP($D234,高层!$D:$V,12,FALSE)</f>
        <v>80.784000000000006</v>
      </c>
      <c r="K234" s="1437">
        <f>VLOOKUP($D234,幼儿园!$D:$V,12,FALSE)</f>
        <v>0</v>
      </c>
      <c r="L234" s="1437">
        <f>VLOOKUP($D234,配套用房!$D:$V,12,FALSE)</f>
        <v>0</v>
      </c>
      <c r="M234" s="1437">
        <f>VLOOKUP($D234,临街商业!$D:$V,12,FALSE)</f>
        <v>0</v>
      </c>
      <c r="N234" s="1437">
        <f>VLOOKUP($D234,人防车位!D:U,12,FALSE)</f>
        <v>0</v>
      </c>
      <c r="O234" s="1437">
        <f>VLOOKUP($D234,人才公寓销售!$D:$V,12,FALSE)</f>
        <v>0</v>
      </c>
      <c r="P234" s="1437">
        <f>VLOOKUP($D234,小高层!$D:$V,12,FALSE)</f>
        <v>154.83600000000001</v>
      </c>
      <c r="Q234" s="1437"/>
      <c r="R234" s="1172">
        <f t="shared" si="54"/>
        <v>235.62</v>
      </c>
      <c r="S234" s="1437"/>
      <c r="T234" s="1437">
        <f t="shared" si="55"/>
        <v>235.62</v>
      </c>
      <c r="U234" s="1438"/>
      <c r="V234" s="1225">
        <f t="shared" si="48"/>
        <v>0</v>
      </c>
      <c r="W234" s="1225">
        <f t="shared" si="49"/>
        <v>0</v>
      </c>
      <c r="X234" s="1225"/>
      <c r="Y234" s="1225"/>
    </row>
    <row r="235" spans="2:25" s="1221" customFormat="1" ht="13" hidden="1" outlineLevel="3">
      <c r="B235" s="1433" t="s">
        <v>3650</v>
      </c>
      <c r="C235" s="1434"/>
      <c r="D235" s="1434" t="s">
        <v>3651</v>
      </c>
      <c r="E235" s="1431" t="s">
        <v>3652</v>
      </c>
      <c r="F235" s="1425" t="s">
        <v>1606</v>
      </c>
      <c r="G235" s="1431" t="s">
        <v>4121</v>
      </c>
      <c r="H235" s="1328">
        <f>VLOOKUP($D235,车位!$D:$V,12,FALSE)</f>
        <v>0</v>
      </c>
      <c r="I235" s="1328">
        <v>0</v>
      </c>
      <c r="J235" s="1437">
        <f>VLOOKUP($D235,高层!$D:$V,12,FALSE)</f>
        <v>0</v>
      </c>
      <c r="K235" s="1437">
        <f>VLOOKUP($D235,幼儿园!$D:$V,12,FALSE)</f>
        <v>0</v>
      </c>
      <c r="L235" s="1437">
        <f>VLOOKUP($D235,配套用房!$D:$V,12,FALSE)</f>
        <v>0</v>
      </c>
      <c r="M235" s="1437">
        <f>VLOOKUP($D235,临街商业!$D:$V,12,FALSE)</f>
        <v>0</v>
      </c>
      <c r="N235" s="1437">
        <f>VLOOKUP($D235,人防车位!D:U,12,FALSE)</f>
        <v>0</v>
      </c>
      <c r="O235" s="1437">
        <f>VLOOKUP($D235,人才公寓销售!$D:$V,12,FALSE)</f>
        <v>0</v>
      </c>
      <c r="P235" s="1437">
        <f>VLOOKUP($D235,小高层!$D:$V,12,FALSE)</f>
        <v>0</v>
      </c>
      <c r="Q235" s="1437"/>
      <c r="R235" s="1172">
        <f t="shared" si="54"/>
        <v>0</v>
      </c>
      <c r="S235" s="1437"/>
      <c r="T235" s="1437">
        <f t="shared" si="55"/>
        <v>0</v>
      </c>
      <c r="U235" s="1438"/>
      <c r="V235" s="1225">
        <f t="shared" si="48"/>
        <v>0</v>
      </c>
      <c r="W235" s="1225">
        <f t="shared" si="49"/>
        <v>0</v>
      </c>
      <c r="X235" s="1225"/>
      <c r="Y235" s="1225"/>
    </row>
    <row r="236" spans="2:25" s="1247" customFormat="1" ht="13" hidden="1" outlineLevel="2">
      <c r="B236" s="1422" t="s">
        <v>712</v>
      </c>
      <c r="C236" s="1423"/>
      <c r="D236" s="1423" t="s">
        <v>713</v>
      </c>
      <c r="E236" s="1431"/>
      <c r="F236" s="1425"/>
      <c r="G236" s="1431" t="s">
        <v>4117</v>
      </c>
      <c r="H236" s="1446">
        <f>SUBTOTAL(9,H237:H244)</f>
        <v>32</v>
      </c>
      <c r="I236" s="1446">
        <f>SUBTOTAL(9,I237:I244)</f>
        <v>0</v>
      </c>
      <c r="J236" s="1427">
        <f>SUBTOTAL(9,J237:J244)</f>
        <v>324.96000000000004</v>
      </c>
      <c r="K236" s="1427">
        <f t="shared" ref="K236:T236" si="56">SUBTOTAL(9,K237:K244)</f>
        <v>0</v>
      </c>
      <c r="L236" s="1427">
        <f t="shared" si="56"/>
        <v>1.0699999999999998</v>
      </c>
      <c r="M236" s="1427">
        <f t="shared" si="56"/>
        <v>7.2600000000000007</v>
      </c>
      <c r="N236" s="1427">
        <f t="shared" si="56"/>
        <v>0</v>
      </c>
      <c r="O236" s="1427">
        <f t="shared" si="56"/>
        <v>0</v>
      </c>
      <c r="P236" s="1427">
        <f t="shared" si="56"/>
        <v>367.69939999999997</v>
      </c>
      <c r="Q236" s="1427">
        <f t="shared" si="56"/>
        <v>0</v>
      </c>
      <c r="R236" s="1427">
        <f t="shared" si="56"/>
        <v>732.98939999999993</v>
      </c>
      <c r="S236" s="1427">
        <f t="shared" si="56"/>
        <v>0</v>
      </c>
      <c r="T236" s="1427">
        <f t="shared" si="56"/>
        <v>732.98939999999993</v>
      </c>
      <c r="U236" s="1429"/>
      <c r="V236" s="1225">
        <f t="shared" si="48"/>
        <v>9.7699626167013776E-15</v>
      </c>
      <c r="W236" s="1225">
        <f t="shared" si="49"/>
        <v>0</v>
      </c>
      <c r="X236" s="1225"/>
      <c r="Y236" s="1225"/>
    </row>
    <row r="237" spans="2:25" s="1221" customFormat="1" ht="13" hidden="1" outlineLevel="3">
      <c r="B237" s="1433" t="s">
        <v>714</v>
      </c>
      <c r="C237" s="1434"/>
      <c r="D237" s="1434" t="s">
        <v>715</v>
      </c>
      <c r="E237" s="1431" t="s">
        <v>3653</v>
      </c>
      <c r="F237" s="1425" t="s">
        <v>3654</v>
      </c>
      <c r="G237" s="1431" t="s">
        <v>4156</v>
      </c>
      <c r="H237" s="1328">
        <f>VLOOKUP($D237,车位!$D:$V,12,FALSE)</f>
        <v>32</v>
      </c>
      <c r="I237" s="1328">
        <v>0</v>
      </c>
      <c r="J237" s="1437">
        <f>VLOOKUP($D237,高层!$D:$V,12,FALSE)</f>
        <v>25.92</v>
      </c>
      <c r="K237" s="1437">
        <f>VLOOKUP($D237,幼儿园!$D:$V,12,FALSE)</f>
        <v>0</v>
      </c>
      <c r="L237" s="1437">
        <f>VLOOKUP($D237,配套用房!$D:$V,12,FALSE)</f>
        <v>0.6</v>
      </c>
      <c r="M237" s="1437">
        <f>VLOOKUP($D237,临街商业!$D:$V,12,FALSE)</f>
        <v>0</v>
      </c>
      <c r="N237" s="1437">
        <f>VLOOKUP($D237,人防车位!D:U,12,FALSE)</f>
        <v>0</v>
      </c>
      <c r="O237" s="1437">
        <f>VLOOKUP($D237,人才公寓销售!$D:$V,12,FALSE)</f>
        <v>0</v>
      </c>
      <c r="P237" s="1437">
        <f>VLOOKUP($D237,小高层!$D:$V,12,FALSE)</f>
        <v>30.0564</v>
      </c>
      <c r="Q237" s="1437"/>
      <c r="R237" s="1172">
        <f>SUM(H237:Q237)</f>
        <v>88.576400000000007</v>
      </c>
      <c r="S237" s="1437"/>
      <c r="T237" s="1437">
        <f>R237+S237</f>
        <v>88.576400000000007</v>
      </c>
      <c r="U237" s="1438"/>
      <c r="V237" s="1225">
        <f t="shared" si="48"/>
        <v>0</v>
      </c>
      <c r="W237" s="1225">
        <f t="shared" si="49"/>
        <v>0</v>
      </c>
      <c r="X237" s="1225"/>
      <c r="Y237" s="1225"/>
    </row>
    <row r="238" spans="2:25" s="1221" customFormat="1" ht="13" hidden="1" outlineLevel="3">
      <c r="B238" s="1433" t="s">
        <v>717</v>
      </c>
      <c r="C238" s="1434"/>
      <c r="D238" s="1434" t="s">
        <v>3655</v>
      </c>
      <c r="E238" s="1431" t="s">
        <v>3656</v>
      </c>
      <c r="F238" s="1425" t="s">
        <v>3654</v>
      </c>
      <c r="G238" s="1431" t="s">
        <v>4156</v>
      </c>
      <c r="H238" s="1328">
        <f>VLOOKUP($D238,车位!$D:$V,12,FALSE)</f>
        <v>0</v>
      </c>
      <c r="I238" s="1328">
        <v>0</v>
      </c>
      <c r="J238" s="1437">
        <f>VLOOKUP($D238,高层!$D:$V,12,FALSE)</f>
        <v>39.6</v>
      </c>
      <c r="K238" s="1437">
        <f>VLOOKUP($D238,幼儿园!$D:$V,12,FALSE)</f>
        <v>0</v>
      </c>
      <c r="L238" s="1437">
        <f>VLOOKUP($D238,配套用房!$D:$V,12,FALSE)</f>
        <v>0</v>
      </c>
      <c r="M238" s="1437">
        <f>VLOOKUP($D238,临街商业!$D:$V,12,FALSE)</f>
        <v>0</v>
      </c>
      <c r="N238" s="1437">
        <f>VLOOKUP($D238,人防车位!D:U,12,FALSE)</f>
        <v>0</v>
      </c>
      <c r="O238" s="1437">
        <f>VLOOKUP($D238,人才公寓销售!$D:$V,12,FALSE)</f>
        <v>0</v>
      </c>
      <c r="P238" s="1437">
        <f>VLOOKUP($D238,小高层!$D:$V,12,FALSE)</f>
        <v>0</v>
      </c>
      <c r="Q238" s="1437"/>
      <c r="R238" s="1172">
        <f t="shared" ref="R238:R244" si="57">SUM(H238:Q238)</f>
        <v>39.6</v>
      </c>
      <c r="S238" s="1437"/>
      <c r="T238" s="1437">
        <f t="shared" ref="T238:T244" si="58">R238+S238</f>
        <v>39.6</v>
      </c>
      <c r="U238" s="1438"/>
      <c r="V238" s="1225">
        <f t="shared" si="48"/>
        <v>0</v>
      </c>
      <c r="W238" s="1225">
        <f t="shared" si="49"/>
        <v>0</v>
      </c>
      <c r="X238" s="1225"/>
      <c r="Y238" s="1225"/>
    </row>
    <row r="239" spans="2:25" s="1221" customFormat="1" ht="13" hidden="1" outlineLevel="3">
      <c r="B239" s="1433" t="s">
        <v>718</v>
      </c>
      <c r="C239" s="1434"/>
      <c r="D239" s="1434" t="s">
        <v>3657</v>
      </c>
      <c r="E239" s="1431" t="s">
        <v>3658</v>
      </c>
      <c r="F239" s="1425" t="s">
        <v>3654</v>
      </c>
      <c r="G239" s="1431" t="s">
        <v>4156</v>
      </c>
      <c r="H239" s="1328">
        <f>VLOOKUP($D239,车位!$D:$V,12,FALSE)</f>
        <v>0</v>
      </c>
      <c r="I239" s="1328">
        <v>0</v>
      </c>
      <c r="J239" s="1437">
        <f>VLOOKUP($D239,高层!$D:$V,12,FALSE)</f>
        <v>20.16</v>
      </c>
      <c r="K239" s="1437">
        <f>VLOOKUP($D239,幼儿园!$D:$V,12,FALSE)</f>
        <v>0</v>
      </c>
      <c r="L239" s="1437">
        <f>VLOOKUP($D239,配套用房!$D:$V,12,FALSE)</f>
        <v>0</v>
      </c>
      <c r="M239" s="1437">
        <f>VLOOKUP($D239,临街商业!$D:$V,12,FALSE)</f>
        <v>0</v>
      </c>
      <c r="N239" s="1437">
        <f>VLOOKUP($D239,人防车位!D:U,12,FALSE)</f>
        <v>0</v>
      </c>
      <c r="O239" s="1437">
        <f>VLOOKUP($D239,人才公寓销售!$D:$V,12,FALSE)</f>
        <v>0</v>
      </c>
      <c r="P239" s="1437">
        <f>VLOOKUP($D239,小高层!$D:$V,12,FALSE)</f>
        <v>40.147500000000001</v>
      </c>
      <c r="Q239" s="1437"/>
      <c r="R239" s="1172">
        <f t="shared" si="57"/>
        <v>60.307500000000005</v>
      </c>
      <c r="S239" s="1437"/>
      <c r="T239" s="1437">
        <f t="shared" si="58"/>
        <v>60.307500000000005</v>
      </c>
      <c r="U239" s="1438"/>
      <c r="V239" s="1225">
        <f t="shared" si="48"/>
        <v>0</v>
      </c>
      <c r="W239" s="1225">
        <f t="shared" si="49"/>
        <v>0</v>
      </c>
      <c r="X239" s="1225"/>
      <c r="Y239" s="1225"/>
    </row>
    <row r="240" spans="2:25" s="1221" customFormat="1" ht="13" hidden="1" outlineLevel="3">
      <c r="B240" s="1433" t="s">
        <v>1585</v>
      </c>
      <c r="C240" s="1434"/>
      <c r="D240" s="1434" t="s">
        <v>3659</v>
      </c>
      <c r="E240" s="1431" t="s">
        <v>3660</v>
      </c>
      <c r="F240" s="1425" t="s">
        <v>3654</v>
      </c>
      <c r="G240" s="1431" t="s">
        <v>4156</v>
      </c>
      <c r="H240" s="1328">
        <f>VLOOKUP($D240,车位!$D:$V,12,FALSE)</f>
        <v>0</v>
      </c>
      <c r="I240" s="1328">
        <v>0</v>
      </c>
      <c r="J240" s="1437">
        <f>VLOOKUP($D240,高层!$D:$V,12,FALSE)</f>
        <v>60.48</v>
      </c>
      <c r="K240" s="1437">
        <f>VLOOKUP($D240,幼儿园!$D:$V,12,FALSE)</f>
        <v>0</v>
      </c>
      <c r="L240" s="1437">
        <f>VLOOKUP($D240,配套用房!$D:$V,12,FALSE)</f>
        <v>0</v>
      </c>
      <c r="M240" s="1437">
        <f>VLOOKUP($D240,临街商业!$D:$V,12,FALSE)</f>
        <v>0</v>
      </c>
      <c r="N240" s="1437">
        <f>VLOOKUP($D240,人防车位!D:U,12,FALSE)</f>
        <v>0</v>
      </c>
      <c r="O240" s="1437">
        <f>VLOOKUP($D240,人才公寓销售!$D:$V,12,FALSE)</f>
        <v>0</v>
      </c>
      <c r="P240" s="1437">
        <f>VLOOKUP($D240,小高层!$D:$V,12,FALSE)</f>
        <v>72.72</v>
      </c>
      <c r="Q240" s="1437"/>
      <c r="R240" s="1172">
        <f t="shared" si="57"/>
        <v>133.19999999999999</v>
      </c>
      <c r="S240" s="1437"/>
      <c r="T240" s="1437">
        <f t="shared" si="58"/>
        <v>133.19999999999999</v>
      </c>
      <c r="U240" s="1438"/>
      <c r="V240" s="1225">
        <f t="shared" si="48"/>
        <v>0</v>
      </c>
      <c r="W240" s="1225">
        <f t="shared" si="49"/>
        <v>0</v>
      </c>
      <c r="X240" s="1225"/>
      <c r="Y240" s="1225"/>
    </row>
    <row r="241" spans="2:25" s="1221" customFormat="1" ht="13" hidden="1" outlineLevel="3">
      <c r="B241" s="1433" t="s">
        <v>1586</v>
      </c>
      <c r="C241" s="1434"/>
      <c r="D241" s="1434" t="s">
        <v>720</v>
      </c>
      <c r="E241" s="1431" t="s">
        <v>3661</v>
      </c>
      <c r="F241" s="1425" t="s">
        <v>3654</v>
      </c>
      <c r="G241" s="1431" t="s">
        <v>4156</v>
      </c>
      <c r="H241" s="1328">
        <f>VLOOKUP($D241,车位!$D:$V,12,FALSE)</f>
        <v>0</v>
      </c>
      <c r="I241" s="1328">
        <v>0</v>
      </c>
      <c r="J241" s="1437">
        <f>VLOOKUP($D241,高层!$D:$V,12,FALSE)</f>
        <v>15.12</v>
      </c>
      <c r="K241" s="1437">
        <f>VLOOKUP($D241,幼儿园!$D:$V,12,FALSE)</f>
        <v>0</v>
      </c>
      <c r="L241" s="1437">
        <f>VLOOKUP($D241,配套用房!$D:$V,12,FALSE)</f>
        <v>0.12</v>
      </c>
      <c r="M241" s="1437">
        <f>VLOOKUP($D241,临街商业!$D:$V,12,FALSE)</f>
        <v>1.32</v>
      </c>
      <c r="N241" s="1437">
        <f>VLOOKUP($D241,人防车位!D:U,12,FALSE)</f>
        <v>0</v>
      </c>
      <c r="O241" s="1437">
        <f>VLOOKUP($D241,人才公寓销售!$D:$V,12,FALSE)</f>
        <v>0</v>
      </c>
      <c r="P241" s="1437">
        <f>VLOOKUP($D241,小高层!$D:$V,12,FALSE)</f>
        <v>15.907500000000001</v>
      </c>
      <c r="Q241" s="1437"/>
      <c r="R241" s="1172">
        <f t="shared" si="57"/>
        <v>32.467500000000001</v>
      </c>
      <c r="S241" s="1437"/>
      <c r="T241" s="1437">
        <f t="shared" si="58"/>
        <v>32.467500000000001</v>
      </c>
      <c r="U241" s="1438"/>
      <c r="V241" s="1225">
        <f t="shared" si="48"/>
        <v>0</v>
      </c>
      <c r="W241" s="1225">
        <f t="shared" si="49"/>
        <v>0</v>
      </c>
      <c r="X241" s="1225"/>
      <c r="Y241" s="1225"/>
    </row>
    <row r="242" spans="2:25" s="1221" customFormat="1" ht="13" hidden="1" outlineLevel="3">
      <c r="B242" s="1433" t="s">
        <v>3662</v>
      </c>
      <c r="C242" s="1434"/>
      <c r="D242" s="1434" t="s">
        <v>3663</v>
      </c>
      <c r="E242" s="1431" t="s">
        <v>3664</v>
      </c>
      <c r="F242" s="1425" t="s">
        <v>3654</v>
      </c>
      <c r="G242" s="1431" t="s">
        <v>4156</v>
      </c>
      <c r="H242" s="1328">
        <f>VLOOKUP($D242,车位!$D:$V,12,FALSE)</f>
        <v>0</v>
      </c>
      <c r="I242" s="1328">
        <v>0</v>
      </c>
      <c r="J242" s="1437">
        <f>VLOOKUP($D242,高层!$D:$V,12,FALSE)</f>
        <v>163.68</v>
      </c>
      <c r="K242" s="1437">
        <f>VLOOKUP($D242,幼儿园!$D:$V,12,FALSE)</f>
        <v>0</v>
      </c>
      <c r="L242" s="1437">
        <f>VLOOKUP($D242,配套用房!$D:$V,12,FALSE)</f>
        <v>0.35</v>
      </c>
      <c r="M242" s="1437">
        <f>VLOOKUP($D242,临街商业!$D:$V,12,FALSE)</f>
        <v>5.94</v>
      </c>
      <c r="N242" s="1437">
        <f>VLOOKUP($D242,人防车位!D:U,12,FALSE)</f>
        <v>0</v>
      </c>
      <c r="O242" s="1437">
        <f>VLOOKUP($D242,人才公寓销售!$D:$V,12,FALSE)</f>
        <v>0</v>
      </c>
      <c r="P242" s="1437">
        <f>VLOOKUP($D242,小高层!$D:$V,12,FALSE)</f>
        <v>208.86799999999999</v>
      </c>
      <c r="Q242" s="1437"/>
      <c r="R242" s="1172">
        <f t="shared" si="57"/>
        <v>378.83799999999997</v>
      </c>
      <c r="S242" s="1437"/>
      <c r="T242" s="1437">
        <f t="shared" si="58"/>
        <v>378.83799999999997</v>
      </c>
      <c r="U242" s="1438"/>
      <c r="V242" s="1225">
        <f t="shared" si="48"/>
        <v>5.9507954119908391E-14</v>
      </c>
      <c r="W242" s="1225">
        <f t="shared" si="49"/>
        <v>0</v>
      </c>
      <c r="X242" s="1225"/>
      <c r="Y242" s="1225"/>
    </row>
    <row r="243" spans="2:25" s="1221" customFormat="1" ht="13" hidden="1" outlineLevel="3">
      <c r="B243" s="1433" t="s">
        <v>3665</v>
      </c>
      <c r="C243" s="1434"/>
      <c r="D243" s="1434" t="s">
        <v>3666</v>
      </c>
      <c r="E243" s="1431" t="s">
        <v>3667</v>
      </c>
      <c r="F243" s="1425" t="s">
        <v>3654</v>
      </c>
      <c r="G243" s="1431" t="s">
        <v>4156</v>
      </c>
      <c r="H243" s="1328">
        <f>VLOOKUP($D243,车位!$D:$V,12,FALSE)</f>
        <v>0</v>
      </c>
      <c r="I243" s="1328">
        <v>0</v>
      </c>
      <c r="J243" s="1437">
        <f>VLOOKUP($D243,高层!$D:$V,12,FALSE)</f>
        <v>0</v>
      </c>
      <c r="K243" s="1437">
        <f>VLOOKUP($D243,幼儿园!$D:$V,12,FALSE)</f>
        <v>0</v>
      </c>
      <c r="L243" s="1437">
        <f>VLOOKUP($D243,配套用房!$D:$V,12,FALSE)</f>
        <v>0</v>
      </c>
      <c r="M243" s="1437">
        <f>VLOOKUP($D243,临街商业!$D:$V,12,FALSE)</f>
        <v>0</v>
      </c>
      <c r="N243" s="1437">
        <f>VLOOKUP($D243,人防车位!D:U,12,FALSE)</f>
        <v>0</v>
      </c>
      <c r="O243" s="1437">
        <f>VLOOKUP($D243,人才公寓销售!$D:$V,12,FALSE)</f>
        <v>0</v>
      </c>
      <c r="P243" s="1437">
        <f>VLOOKUP($D243,小高层!$D:$V,12,FALSE)</f>
        <v>0</v>
      </c>
      <c r="Q243" s="1437"/>
      <c r="R243" s="1172">
        <f t="shared" si="57"/>
        <v>0</v>
      </c>
      <c r="S243" s="1437"/>
      <c r="T243" s="1437">
        <f t="shared" si="58"/>
        <v>0</v>
      </c>
      <c r="U243" s="1438"/>
      <c r="V243" s="1225">
        <f t="shared" si="48"/>
        <v>0</v>
      </c>
      <c r="W243" s="1225">
        <f t="shared" si="49"/>
        <v>0</v>
      </c>
      <c r="X243" s="1225"/>
      <c r="Y243" s="1225"/>
    </row>
    <row r="244" spans="2:25" s="1221" customFormat="1" ht="13" hidden="1" outlineLevel="3">
      <c r="B244" s="1433" t="s">
        <v>3668</v>
      </c>
      <c r="C244" s="1434"/>
      <c r="D244" s="1434" t="s">
        <v>3669</v>
      </c>
      <c r="E244" s="1431" t="s">
        <v>3670</v>
      </c>
      <c r="F244" s="1425" t="s">
        <v>3654</v>
      </c>
      <c r="G244" s="1431" t="s">
        <v>4156</v>
      </c>
      <c r="H244" s="1328">
        <f>VLOOKUP($D244,车位!$D:$V,12,FALSE)</f>
        <v>0</v>
      </c>
      <c r="I244" s="1328">
        <v>0</v>
      </c>
      <c r="J244" s="1437">
        <f>VLOOKUP($D244,高层!$D:$V,12,FALSE)</f>
        <v>0</v>
      </c>
      <c r="K244" s="1437">
        <f>VLOOKUP($D244,幼儿园!$D:$V,12,FALSE)</f>
        <v>0</v>
      </c>
      <c r="L244" s="1437">
        <f>VLOOKUP($D244,配套用房!$D:$V,12,FALSE)</f>
        <v>0</v>
      </c>
      <c r="M244" s="1437">
        <f>VLOOKUP($D244,临街商业!$D:$V,12,FALSE)</f>
        <v>0</v>
      </c>
      <c r="N244" s="1437">
        <f>VLOOKUP($D244,人防车位!D:U,12,FALSE)</f>
        <v>0</v>
      </c>
      <c r="O244" s="1437">
        <f>VLOOKUP($D244,人才公寓销售!$D:$V,12,FALSE)</f>
        <v>0</v>
      </c>
      <c r="P244" s="1437">
        <f>VLOOKUP($D244,小高层!$D:$V,12,FALSE)</f>
        <v>0</v>
      </c>
      <c r="Q244" s="1437"/>
      <c r="R244" s="1172">
        <f t="shared" si="57"/>
        <v>0</v>
      </c>
      <c r="S244" s="1437"/>
      <c r="T244" s="1437">
        <f t="shared" si="58"/>
        <v>0</v>
      </c>
      <c r="U244" s="1438"/>
      <c r="V244" s="1225">
        <f t="shared" si="48"/>
        <v>0</v>
      </c>
      <c r="W244" s="1225">
        <f t="shared" si="49"/>
        <v>0</v>
      </c>
      <c r="X244" s="1225"/>
      <c r="Y244" s="1225"/>
    </row>
    <row r="245" spans="2:25" s="1247" customFormat="1" ht="13" hidden="1" outlineLevel="2">
      <c r="B245" s="1422" t="s">
        <v>723</v>
      </c>
      <c r="C245" s="1423"/>
      <c r="D245" s="1423" t="s">
        <v>21</v>
      </c>
      <c r="E245" s="1431"/>
      <c r="F245" s="1425"/>
      <c r="G245" s="1431" t="s">
        <v>4117</v>
      </c>
      <c r="H245" s="1446">
        <f>SUBTOTAL(9,H246:H250)</f>
        <v>98.263360000000006</v>
      </c>
      <c r="I245" s="1446">
        <f>SUBTOTAL(9,I246:I250)</f>
        <v>0</v>
      </c>
      <c r="J245" s="1427">
        <f>SUBTOTAL(9,J246:J250)</f>
        <v>1230.1052199999999</v>
      </c>
      <c r="K245" s="1427">
        <f t="shared" ref="K245:T245" si="59">SUBTOTAL(9,K246:K250)</f>
        <v>0</v>
      </c>
      <c r="L245" s="1427">
        <f t="shared" si="59"/>
        <v>2.0499999999999998</v>
      </c>
      <c r="M245" s="1427">
        <f t="shared" si="59"/>
        <v>47.653424999999999</v>
      </c>
      <c r="N245" s="1427">
        <f t="shared" si="59"/>
        <v>18.818919999999999</v>
      </c>
      <c r="O245" s="1427">
        <f t="shared" si="59"/>
        <v>0</v>
      </c>
      <c r="P245" s="1427">
        <f t="shared" si="59"/>
        <v>1682.936136</v>
      </c>
      <c r="Q245" s="1427">
        <f t="shared" si="59"/>
        <v>0</v>
      </c>
      <c r="R245" s="1427">
        <f t="shared" si="59"/>
        <v>3079.827061</v>
      </c>
      <c r="S245" s="1427">
        <f t="shared" si="59"/>
        <v>0</v>
      </c>
      <c r="T245" s="1427">
        <f t="shared" si="59"/>
        <v>3079.827061</v>
      </c>
      <c r="U245" s="1429"/>
      <c r="V245" s="1225">
        <f t="shared" si="48"/>
        <v>-4.2632564145606011E-13</v>
      </c>
      <c r="W245" s="1225">
        <f t="shared" si="49"/>
        <v>0</v>
      </c>
      <c r="X245" s="1225"/>
      <c r="Y245" s="1225"/>
    </row>
    <row r="246" spans="2:25" s="1221" customFormat="1" ht="13" hidden="1" outlineLevel="3">
      <c r="B246" s="1433" t="s">
        <v>724</v>
      </c>
      <c r="C246" s="1434"/>
      <c r="D246" s="1434" t="s">
        <v>3671</v>
      </c>
      <c r="E246" s="1431" t="s">
        <v>3672</v>
      </c>
      <c r="F246" s="1425" t="s">
        <v>3636</v>
      </c>
      <c r="G246" s="1431" t="s">
        <v>4153</v>
      </c>
      <c r="H246" s="1328">
        <f>VLOOKUP($D246,车位!$D:$V,12,FALSE)</f>
        <v>0</v>
      </c>
      <c r="I246" s="1328">
        <v>0</v>
      </c>
      <c r="J246" s="1437">
        <f>VLOOKUP($D246,高层!$D:$V,12,FALSE)</f>
        <v>24</v>
      </c>
      <c r="K246" s="1437">
        <f>VLOOKUP($D246,幼儿园!$D:$V,12,FALSE)</f>
        <v>0</v>
      </c>
      <c r="L246" s="1437">
        <f>VLOOKUP($D246,配套用房!$D:$V,12,FALSE)</f>
        <v>1</v>
      </c>
      <c r="M246" s="1437">
        <f>VLOOKUP($D246,临街商业!$D:$V,12,FALSE)</f>
        <v>22.23753</v>
      </c>
      <c r="N246" s="1437">
        <f>VLOOKUP($D246,人防车位!D:U,12,FALSE)</f>
        <v>0</v>
      </c>
      <c r="O246" s="1437">
        <f>VLOOKUP($D246,人才公寓销售!$D:$V,12,FALSE)</f>
        <v>0</v>
      </c>
      <c r="P246" s="1437">
        <f>VLOOKUP($D246,小高层!$D:$V,12,FALSE)</f>
        <v>46</v>
      </c>
      <c r="Q246" s="1437"/>
      <c r="R246" s="1172">
        <f>SUM(H246:Q246)</f>
        <v>93.237529999999992</v>
      </c>
      <c r="S246" s="1437"/>
      <c r="T246" s="1437">
        <f>R246+S246</f>
        <v>93.237529999999992</v>
      </c>
      <c r="U246" s="1438"/>
      <c r="V246" s="1225">
        <f t="shared" si="48"/>
        <v>0</v>
      </c>
      <c r="W246" s="1225">
        <f t="shared" si="49"/>
        <v>0</v>
      </c>
      <c r="X246" s="1225"/>
      <c r="Y246" s="1225"/>
    </row>
    <row r="247" spans="2:25" s="1221" customFormat="1" ht="13" hidden="1" outlineLevel="3">
      <c r="B247" s="1433" t="s">
        <v>726</v>
      </c>
      <c r="C247" s="1434"/>
      <c r="D247" s="1434" t="s">
        <v>61</v>
      </c>
      <c r="E247" s="1431" t="s">
        <v>3673</v>
      </c>
      <c r="F247" s="1425" t="s">
        <v>3674</v>
      </c>
      <c r="G247" s="1431" t="s">
        <v>4157</v>
      </c>
      <c r="H247" s="1328">
        <f>VLOOKUP($D247,车位!$D:$V,12,FALSE)</f>
        <v>0</v>
      </c>
      <c r="I247" s="1328">
        <v>0</v>
      </c>
      <c r="J247" s="1437">
        <f>VLOOKUP($D247,高层!$D:$V,12,FALSE)</f>
        <v>86.4</v>
      </c>
      <c r="K247" s="1437">
        <f>VLOOKUP($D247,幼儿园!$D:$V,12,FALSE)</f>
        <v>0</v>
      </c>
      <c r="L247" s="1437">
        <f>VLOOKUP($D247,配套用房!$D:$V,12,FALSE)</f>
        <v>0</v>
      </c>
      <c r="M247" s="1437">
        <f>VLOOKUP($D247,临街商业!$D:$V,12,FALSE)</f>
        <v>0</v>
      </c>
      <c r="N247" s="1437">
        <f>VLOOKUP($D247,人防车位!D:U,12,FALSE)</f>
        <v>0</v>
      </c>
      <c r="O247" s="1437">
        <f>VLOOKUP($D247,人才公寓销售!$D:$V,12,FALSE)</f>
        <v>0</v>
      </c>
      <c r="P247" s="1437">
        <f>VLOOKUP($D247,小高层!$D:$V,12,FALSE)</f>
        <v>90.9</v>
      </c>
      <c r="Q247" s="1437"/>
      <c r="R247" s="1172">
        <f>SUM(H247:Q247)</f>
        <v>177.3</v>
      </c>
      <c r="S247" s="1437"/>
      <c r="T247" s="1437">
        <f>R247+S247</f>
        <v>177.3</v>
      </c>
      <c r="U247" s="1438"/>
      <c r="V247" s="1225">
        <f t="shared" si="48"/>
        <v>0</v>
      </c>
      <c r="W247" s="1225">
        <f t="shared" si="49"/>
        <v>0</v>
      </c>
      <c r="X247" s="1225"/>
      <c r="Y247" s="1225"/>
    </row>
    <row r="248" spans="2:25" s="1221" customFormat="1" ht="13" hidden="1" outlineLevel="3">
      <c r="B248" s="1433" t="s">
        <v>728</v>
      </c>
      <c r="C248" s="1434"/>
      <c r="D248" s="1434" t="s">
        <v>3675</v>
      </c>
      <c r="E248" s="1431" t="s">
        <v>3676</v>
      </c>
      <c r="F248" s="1425" t="s">
        <v>3677</v>
      </c>
      <c r="G248" s="1431" t="s">
        <v>4158</v>
      </c>
      <c r="H248" s="1328">
        <f>VLOOKUP($D248,车位!$D:$V,12,FALSE)</f>
        <v>98.263360000000006</v>
      </c>
      <c r="I248" s="1328">
        <v>0</v>
      </c>
      <c r="J248" s="1437">
        <f>VLOOKUP($D248,高层!$D:$V,12,FALSE)</f>
        <v>100.8</v>
      </c>
      <c r="K248" s="1437">
        <f>VLOOKUP($D248,幼儿园!$D:$V,12,FALSE)</f>
        <v>0</v>
      </c>
      <c r="L248" s="1437">
        <f>VLOOKUP($D248,配套用房!$D:$V,12,FALSE)</f>
        <v>1.05</v>
      </c>
      <c r="M248" s="1437">
        <f>VLOOKUP($D248,临街商业!$D:$V,12,FALSE)</f>
        <v>1.575E-3</v>
      </c>
      <c r="N248" s="1437">
        <f>VLOOKUP($D248,人防车位!D:U,12,FALSE)</f>
        <v>18.818919999999999</v>
      </c>
      <c r="O248" s="1437">
        <f>VLOOKUP($D248,人才公寓销售!$D:$V,12,FALSE)</f>
        <v>0</v>
      </c>
      <c r="P248" s="1437">
        <f>VLOOKUP($D248,小高层!$D:$V,12,FALSE)</f>
        <v>79.694999999999993</v>
      </c>
      <c r="Q248" s="1437"/>
      <c r="R248" s="1172">
        <f>SUM(H248:Q248)</f>
        <v>298.62885499999999</v>
      </c>
      <c r="S248" s="1437"/>
      <c r="T248" s="1437">
        <f>R248+S248</f>
        <v>298.62885499999999</v>
      </c>
      <c r="U248" s="1438"/>
      <c r="V248" s="1225">
        <f t="shared" si="48"/>
        <v>-2.5465740627339528E-15</v>
      </c>
      <c r="W248" s="1225">
        <f t="shared" si="49"/>
        <v>0</v>
      </c>
      <c r="X248" s="1225"/>
      <c r="Y248" s="1225"/>
    </row>
    <row r="249" spans="2:25" s="1221" customFormat="1" ht="13" hidden="1" outlineLevel="3">
      <c r="B249" s="1433" t="s">
        <v>730</v>
      </c>
      <c r="C249" s="1434"/>
      <c r="D249" s="1434" t="s">
        <v>62</v>
      </c>
      <c r="E249" s="1431" t="s">
        <v>3678</v>
      </c>
      <c r="F249" s="1425" t="s">
        <v>3679</v>
      </c>
      <c r="G249" s="1431" t="s">
        <v>4159</v>
      </c>
      <c r="H249" s="1328">
        <f>VLOOKUP($D249,车位!$D:$V,12,FALSE)</f>
        <v>0</v>
      </c>
      <c r="I249" s="1328">
        <v>0</v>
      </c>
      <c r="J249" s="1437">
        <f>VLOOKUP($D249,高层!$D:$V,12,FALSE)</f>
        <v>1018.90522</v>
      </c>
      <c r="K249" s="1437">
        <f>VLOOKUP($D249,幼儿园!$D:$V,12,FALSE)</f>
        <v>0</v>
      </c>
      <c r="L249" s="1437">
        <f>VLOOKUP($D249,配套用房!$D:$V,12,FALSE)</f>
        <v>0</v>
      </c>
      <c r="M249" s="1437">
        <f>VLOOKUP($D249,临街商业!$D:$V,12,FALSE)</f>
        <v>25.41432</v>
      </c>
      <c r="N249" s="1437">
        <f>VLOOKUP($D249,人防车位!D:U,12,FALSE)</f>
        <v>0</v>
      </c>
      <c r="O249" s="1437">
        <f>VLOOKUP($D249,人才公寓销售!$D:$V,12,FALSE)</f>
        <v>0</v>
      </c>
      <c r="P249" s="1437">
        <f>VLOOKUP($D249,小高层!$D:$V,12,FALSE)</f>
        <v>1466.341136</v>
      </c>
      <c r="Q249" s="1437"/>
      <c r="R249" s="1172">
        <f>SUM(H249:Q249)</f>
        <v>2510.660676</v>
      </c>
      <c r="S249" s="1437"/>
      <c r="T249" s="1437">
        <f>R249+S249</f>
        <v>2510.660676</v>
      </c>
      <c r="U249" s="1438"/>
      <c r="V249" s="1225">
        <f t="shared" si="48"/>
        <v>1.3855583347321954E-13</v>
      </c>
      <c r="W249" s="1225">
        <f t="shared" si="49"/>
        <v>0</v>
      </c>
      <c r="X249" s="1225"/>
      <c r="Y249" s="1225"/>
    </row>
    <row r="250" spans="2:25" s="1221" customFormat="1" ht="13" hidden="1" outlineLevel="3">
      <c r="B250" s="1433" t="s">
        <v>3680</v>
      </c>
      <c r="C250" s="1434"/>
      <c r="D250" s="1434" t="s">
        <v>3681</v>
      </c>
      <c r="E250" s="1431" t="s">
        <v>3682</v>
      </c>
      <c r="F250" s="1425" t="s">
        <v>3677</v>
      </c>
      <c r="G250" s="1431" t="s">
        <v>4158</v>
      </c>
      <c r="H250" s="1328">
        <f>VLOOKUP($D250,车位!$D:$V,12,FALSE)</f>
        <v>0</v>
      </c>
      <c r="I250" s="1328">
        <v>0</v>
      </c>
      <c r="J250" s="1437">
        <f>VLOOKUP($D250,高层!$D:$V,12,FALSE)</f>
        <v>0</v>
      </c>
      <c r="K250" s="1437">
        <f>VLOOKUP($D250,幼儿园!$D:$V,12,FALSE)</f>
        <v>0</v>
      </c>
      <c r="L250" s="1437">
        <f>VLOOKUP($D250,配套用房!$D:$V,12,FALSE)</f>
        <v>0</v>
      </c>
      <c r="M250" s="1437">
        <f>VLOOKUP($D250,临街商业!$D:$V,12,FALSE)</f>
        <v>0</v>
      </c>
      <c r="N250" s="1437">
        <f>VLOOKUP($D250,人防车位!D:U,12,FALSE)</f>
        <v>0</v>
      </c>
      <c r="O250" s="1437">
        <f>VLOOKUP($D250,人才公寓销售!$D:$V,12,FALSE)</f>
        <v>0</v>
      </c>
      <c r="P250" s="1437">
        <f>VLOOKUP($D250,小高层!$D:$V,12,FALSE)</f>
        <v>0</v>
      </c>
      <c r="Q250" s="1437"/>
      <c r="R250" s="1172">
        <f>SUM(H250:Q250)</f>
        <v>0</v>
      </c>
      <c r="S250" s="1437"/>
      <c r="T250" s="1437">
        <f>R250+S250</f>
        <v>0</v>
      </c>
      <c r="U250" s="1438"/>
      <c r="V250" s="1225">
        <f t="shared" si="48"/>
        <v>0</v>
      </c>
      <c r="W250" s="1225">
        <f t="shared" si="49"/>
        <v>0</v>
      </c>
      <c r="X250" s="1225"/>
      <c r="Y250" s="1225"/>
    </row>
    <row r="251" spans="2:25" s="1247" customFormat="1" ht="13" hidden="1" outlineLevel="2">
      <c r="B251" s="1422" t="s">
        <v>731</v>
      </c>
      <c r="C251" s="1423"/>
      <c r="D251" s="1423" t="s">
        <v>734</v>
      </c>
      <c r="E251" s="1424"/>
      <c r="F251" s="1425"/>
      <c r="G251" s="1431" t="s">
        <v>4117</v>
      </c>
      <c r="H251" s="1328"/>
      <c r="I251" s="1446">
        <f>SUBTOTAL(9,I252:I254)</f>
        <v>0</v>
      </c>
      <c r="J251" s="1427">
        <f t="shared" ref="J251:T251" si="60">SUBTOTAL(9,J252:J254)</f>
        <v>0</v>
      </c>
      <c r="K251" s="1427">
        <f t="shared" si="60"/>
        <v>0</v>
      </c>
      <c r="L251" s="1427">
        <f t="shared" si="60"/>
        <v>0</v>
      </c>
      <c r="M251" s="1427">
        <f t="shared" si="60"/>
        <v>0</v>
      </c>
      <c r="N251" s="1427">
        <f t="shared" si="60"/>
        <v>0</v>
      </c>
      <c r="O251" s="1427">
        <f t="shared" si="60"/>
        <v>0</v>
      </c>
      <c r="P251" s="1427">
        <f t="shared" si="60"/>
        <v>0</v>
      </c>
      <c r="Q251" s="1427">
        <f t="shared" si="60"/>
        <v>0</v>
      </c>
      <c r="R251" s="1427">
        <f t="shared" si="60"/>
        <v>0</v>
      </c>
      <c r="S251" s="1427">
        <f t="shared" si="60"/>
        <v>0</v>
      </c>
      <c r="T251" s="1427">
        <f t="shared" si="60"/>
        <v>0</v>
      </c>
      <c r="U251" s="1429"/>
      <c r="V251" s="1225">
        <f t="shared" si="48"/>
        <v>0</v>
      </c>
      <c r="W251" s="1225">
        <f t="shared" si="49"/>
        <v>0</v>
      </c>
      <c r="X251" s="1225"/>
      <c r="Y251" s="1225"/>
    </row>
    <row r="252" spans="2:25" s="1221" customFormat="1" ht="13" hidden="1" outlineLevel="3">
      <c r="B252" s="1433" t="s">
        <v>733</v>
      </c>
      <c r="C252" s="1434"/>
      <c r="D252" s="1434" t="s">
        <v>3683</v>
      </c>
      <c r="E252" s="1431" t="s">
        <v>3684</v>
      </c>
      <c r="F252" s="1425" t="s">
        <v>3342</v>
      </c>
      <c r="G252" s="1431" t="s">
        <v>4116</v>
      </c>
      <c r="H252" s="1328">
        <f>VLOOKUP($D252,车位!$D:$V,12,FALSE)</f>
        <v>0</v>
      </c>
      <c r="I252" s="1328">
        <v>0</v>
      </c>
      <c r="J252" s="1437">
        <f>VLOOKUP($D252,高层!$D:$V,12,FALSE)</f>
        <v>0</v>
      </c>
      <c r="K252" s="1437">
        <f>VLOOKUP($D252,幼儿园!$D:$V,12,FALSE)</f>
        <v>0</v>
      </c>
      <c r="L252" s="1437">
        <f>VLOOKUP($D252,配套用房!$D:$V,12,FALSE)</f>
        <v>0</v>
      </c>
      <c r="M252" s="1437">
        <f>VLOOKUP($D252,临街商业!$D:$V,12,FALSE)</f>
        <v>0</v>
      </c>
      <c r="N252" s="1437">
        <f>VLOOKUP($D252,人防车位!D:U,12,FALSE)</f>
        <v>0</v>
      </c>
      <c r="O252" s="1437">
        <f>VLOOKUP($D252,人才公寓销售!$D:$V,12,FALSE)</f>
        <v>0</v>
      </c>
      <c r="P252" s="1437">
        <f>VLOOKUP($D252,小高层!$D:$V,12,FALSE)</f>
        <v>0</v>
      </c>
      <c r="Q252" s="1437"/>
      <c r="R252" s="1172">
        <f>SUM(H252:Q252)</f>
        <v>0</v>
      </c>
      <c r="S252" s="1437"/>
      <c r="T252" s="1437">
        <f>R252+S252</f>
        <v>0</v>
      </c>
      <c r="U252" s="1438"/>
      <c r="V252" s="1225">
        <f t="shared" si="48"/>
        <v>0</v>
      </c>
      <c r="W252" s="1225">
        <f t="shared" si="49"/>
        <v>0</v>
      </c>
      <c r="X252" s="1225"/>
      <c r="Y252" s="1225"/>
    </row>
    <row r="253" spans="2:25" s="1221" customFormat="1" ht="13" hidden="1" outlineLevel="3">
      <c r="B253" s="1433" t="s">
        <v>735</v>
      </c>
      <c r="C253" s="1434"/>
      <c r="D253" s="1434" t="s">
        <v>3685</v>
      </c>
      <c r="E253" s="1431" t="s">
        <v>3686</v>
      </c>
      <c r="F253" s="1425" t="s">
        <v>3342</v>
      </c>
      <c r="G253" s="1431" t="s">
        <v>4116</v>
      </c>
      <c r="H253" s="1328">
        <f>VLOOKUP($D253,车位!$D:$V,12,FALSE)</f>
        <v>0</v>
      </c>
      <c r="I253" s="1328">
        <v>0</v>
      </c>
      <c r="J253" s="1437">
        <f>VLOOKUP($D253,高层!$D:$V,12,FALSE)</f>
        <v>0</v>
      </c>
      <c r="K253" s="1437">
        <f>VLOOKUP($D253,幼儿园!$D:$V,12,FALSE)</f>
        <v>0</v>
      </c>
      <c r="L253" s="1437">
        <f>VLOOKUP($D253,配套用房!$D:$V,12,FALSE)</f>
        <v>0</v>
      </c>
      <c r="M253" s="1437">
        <f>VLOOKUP($D253,临街商业!$D:$V,12,FALSE)</f>
        <v>0</v>
      </c>
      <c r="N253" s="1437">
        <f>VLOOKUP($D253,人防车位!D:U,12,FALSE)</f>
        <v>0</v>
      </c>
      <c r="O253" s="1437">
        <f>VLOOKUP($D253,人才公寓销售!$D:$V,12,FALSE)</f>
        <v>0</v>
      </c>
      <c r="P253" s="1437">
        <f>VLOOKUP($D253,小高层!$D:$V,12,FALSE)</f>
        <v>0</v>
      </c>
      <c r="Q253" s="1437"/>
      <c r="R253" s="1172">
        <f>SUM(H253:Q253)</f>
        <v>0</v>
      </c>
      <c r="S253" s="1437"/>
      <c r="T253" s="1437">
        <f>R253+S253</f>
        <v>0</v>
      </c>
      <c r="U253" s="1438"/>
      <c r="V253" s="1225">
        <f t="shared" si="48"/>
        <v>0</v>
      </c>
      <c r="W253" s="1225">
        <f t="shared" si="49"/>
        <v>0</v>
      </c>
      <c r="X253" s="1225"/>
      <c r="Y253" s="1225"/>
    </row>
    <row r="254" spans="2:25" s="1221" customFormat="1" ht="13" hidden="1" outlineLevel="3">
      <c r="B254" s="1433" t="s">
        <v>737</v>
      </c>
      <c r="C254" s="1434"/>
      <c r="D254" s="1434" t="s">
        <v>3687</v>
      </c>
      <c r="E254" s="1431" t="s">
        <v>3688</v>
      </c>
      <c r="F254" s="1425" t="s">
        <v>471</v>
      </c>
      <c r="G254" s="1431" t="s">
        <v>4160</v>
      </c>
      <c r="H254" s="1328">
        <f>VLOOKUP($D254,车位!$D:$V,12,FALSE)</f>
        <v>0</v>
      </c>
      <c r="I254" s="1328">
        <v>0</v>
      </c>
      <c r="J254" s="1437">
        <f>VLOOKUP($D254,高层!$D:$V,12,FALSE)</f>
        <v>0</v>
      </c>
      <c r="K254" s="1437">
        <f>VLOOKUP($D254,幼儿园!$D:$V,12,FALSE)</f>
        <v>0</v>
      </c>
      <c r="L254" s="1437">
        <f>VLOOKUP($D254,配套用房!$D:$V,12,FALSE)</f>
        <v>0</v>
      </c>
      <c r="M254" s="1437">
        <f>VLOOKUP($D254,临街商业!$D:$V,12,FALSE)</f>
        <v>0</v>
      </c>
      <c r="N254" s="1437">
        <f>VLOOKUP($D254,人防车位!D:U,12,FALSE)</f>
        <v>0</v>
      </c>
      <c r="O254" s="1437">
        <f>VLOOKUP($D254,人才公寓销售!$D:$V,12,FALSE)</f>
        <v>0</v>
      </c>
      <c r="P254" s="1437">
        <f>VLOOKUP($D254,小高层!$D:$V,12,FALSE)</f>
        <v>0</v>
      </c>
      <c r="Q254" s="1437"/>
      <c r="R254" s="1172">
        <f>SUM(H254:Q254)</f>
        <v>0</v>
      </c>
      <c r="S254" s="1437"/>
      <c r="T254" s="1437">
        <f>R254+S254</f>
        <v>0</v>
      </c>
      <c r="U254" s="1438"/>
      <c r="V254" s="1225">
        <f t="shared" si="48"/>
        <v>0</v>
      </c>
      <c r="W254" s="1225">
        <f t="shared" si="49"/>
        <v>0</v>
      </c>
      <c r="X254" s="1225"/>
      <c r="Y254" s="1225"/>
    </row>
    <row r="255" spans="2:25" s="1247" customFormat="1" ht="13" hidden="1" outlineLevel="2">
      <c r="B255" s="1422" t="s">
        <v>3689</v>
      </c>
      <c r="C255" s="1423"/>
      <c r="D255" s="1423" t="s">
        <v>3690</v>
      </c>
      <c r="E255" s="1424"/>
      <c r="F255" s="1425"/>
      <c r="G255" s="1431" t="s">
        <v>4117</v>
      </c>
      <c r="H255" s="1446"/>
      <c r="I255" s="1446">
        <f>SUBTOTAL(9,I256:I258)</f>
        <v>0</v>
      </c>
      <c r="J255" s="1427">
        <f t="shared" ref="J255:T255" si="61">SUBTOTAL(9,J256:J258)</f>
        <v>12.952185</v>
      </c>
      <c r="K255" s="1427">
        <f t="shared" si="61"/>
        <v>0</v>
      </c>
      <c r="L255" s="1427">
        <f t="shared" si="61"/>
        <v>0.34260599999999997</v>
      </c>
      <c r="M255" s="1427">
        <f t="shared" si="61"/>
        <v>0.31767899999999999</v>
      </c>
      <c r="N255" s="1427">
        <f t="shared" si="61"/>
        <v>0</v>
      </c>
      <c r="O255" s="1427">
        <f t="shared" si="61"/>
        <v>0</v>
      </c>
      <c r="P255" s="1427">
        <f t="shared" si="61"/>
        <v>17.752313999999998</v>
      </c>
      <c r="Q255" s="1427">
        <f t="shared" si="61"/>
        <v>0</v>
      </c>
      <c r="R255" s="1427">
        <f t="shared" si="61"/>
        <v>31.364783999999997</v>
      </c>
      <c r="S255" s="1427">
        <f t="shared" si="61"/>
        <v>0</v>
      </c>
      <c r="T255" s="1427">
        <f t="shared" si="61"/>
        <v>31.364783999999997</v>
      </c>
      <c r="U255" s="1429"/>
      <c r="V255" s="1225">
        <f t="shared" si="48"/>
        <v>1.7208456881689926E-15</v>
      </c>
      <c r="W255" s="1225">
        <f t="shared" si="49"/>
        <v>0</v>
      </c>
      <c r="X255" s="1225"/>
      <c r="Y255" s="1225"/>
    </row>
    <row r="256" spans="2:25" s="1221" customFormat="1" ht="13" hidden="1" outlineLevel="3">
      <c r="B256" s="1433" t="s">
        <v>3691</v>
      </c>
      <c r="C256" s="1434"/>
      <c r="D256" s="1434" t="s">
        <v>3692</v>
      </c>
      <c r="E256" s="1431" t="s">
        <v>3693</v>
      </c>
      <c r="F256" s="1425" t="s">
        <v>3694</v>
      </c>
      <c r="G256" s="1431" t="s">
        <v>4161</v>
      </c>
      <c r="H256" s="1328">
        <f>VLOOKUP($D256,车位!$D:$V,12,FALSE)</f>
        <v>0</v>
      </c>
      <c r="I256" s="1328">
        <v>0</v>
      </c>
      <c r="J256" s="1437">
        <f>VLOOKUP($D256,高层!$D:$V,12,FALSE)</f>
        <v>4.3173950000000003</v>
      </c>
      <c r="K256" s="1437">
        <f>VLOOKUP($D256,幼儿园!$D:$V,12,FALSE)</f>
        <v>0</v>
      </c>
      <c r="L256" s="1437">
        <f>VLOOKUP($D256,配套用房!$D:$V,12,FALSE)</f>
        <v>0.114202</v>
      </c>
      <c r="M256" s="1437">
        <f>VLOOKUP($D256,临街商业!$D:$V,12,FALSE)</f>
        <v>0.105893</v>
      </c>
      <c r="N256" s="1437">
        <f>VLOOKUP($D256,人防车位!D:U,12,FALSE)</f>
        <v>0</v>
      </c>
      <c r="O256" s="1437">
        <f>VLOOKUP($D256,人才公寓销售!$D:$V,12,FALSE)</f>
        <v>0</v>
      </c>
      <c r="P256" s="1437">
        <f>VLOOKUP($D256,小高层!$D:$V,12,FALSE)</f>
        <v>5.9174379999999998</v>
      </c>
      <c r="Q256" s="1437"/>
      <c r="R256" s="1172">
        <f t="shared" ref="R256:R261" si="62">SUM(H256:Q256)</f>
        <v>10.454927999999999</v>
      </c>
      <c r="S256" s="1437"/>
      <c r="T256" s="1437">
        <f t="shared" ref="T256:T261" si="63">R256+S256</f>
        <v>10.454927999999999</v>
      </c>
      <c r="U256" s="1438"/>
      <c r="V256" s="1225">
        <f t="shared" si="48"/>
        <v>1.762479051592436E-15</v>
      </c>
      <c r="W256" s="1225">
        <f t="shared" si="49"/>
        <v>0</v>
      </c>
      <c r="X256" s="1225"/>
      <c r="Y256" s="1225"/>
    </row>
    <row r="257" spans="1:787" s="1221" customFormat="1" ht="13" hidden="1" outlineLevel="3">
      <c r="B257" s="1433" t="s">
        <v>3695</v>
      </c>
      <c r="C257" s="1434"/>
      <c r="D257" s="1434" t="s">
        <v>3696</v>
      </c>
      <c r="E257" s="1431" t="s">
        <v>3697</v>
      </c>
      <c r="F257" s="1425" t="s">
        <v>3694</v>
      </c>
      <c r="G257" s="1431" t="s">
        <v>4161</v>
      </c>
      <c r="H257" s="1328">
        <f>VLOOKUP($D257,车位!$D:$V,12,FALSE)</f>
        <v>0</v>
      </c>
      <c r="I257" s="1328">
        <v>0</v>
      </c>
      <c r="J257" s="1437">
        <f>VLOOKUP($D257,高层!$D:$V,12,FALSE)</f>
        <v>4.3173950000000003</v>
      </c>
      <c r="K257" s="1437">
        <f>VLOOKUP($D257,幼儿园!$D:$V,12,FALSE)</f>
        <v>0</v>
      </c>
      <c r="L257" s="1437">
        <f>VLOOKUP($D257,配套用房!$D:$V,12,FALSE)</f>
        <v>0.114202</v>
      </c>
      <c r="M257" s="1437">
        <f>VLOOKUP($D257,临街商业!$D:$V,12,FALSE)</f>
        <v>0.105893</v>
      </c>
      <c r="N257" s="1437">
        <f>VLOOKUP($D257,人防车位!D:U,12,FALSE)</f>
        <v>0</v>
      </c>
      <c r="O257" s="1437">
        <f>VLOOKUP($D257,人才公寓销售!$D:$V,12,FALSE)</f>
        <v>0</v>
      </c>
      <c r="P257" s="1437">
        <f>VLOOKUP($D257,小高层!$D:$V,12,FALSE)</f>
        <v>5.9174379999999998</v>
      </c>
      <c r="Q257" s="1437"/>
      <c r="R257" s="1172">
        <f t="shared" si="62"/>
        <v>10.454927999999999</v>
      </c>
      <c r="S257" s="1437"/>
      <c r="T257" s="1437">
        <f t="shared" si="63"/>
        <v>10.454927999999999</v>
      </c>
      <c r="U257" s="1438"/>
      <c r="V257" s="1225">
        <f t="shared" si="48"/>
        <v>1.762479051592436E-15</v>
      </c>
      <c r="W257" s="1225">
        <f t="shared" si="49"/>
        <v>0</v>
      </c>
      <c r="X257" s="1225"/>
      <c r="Y257" s="1225"/>
    </row>
    <row r="258" spans="1:787" s="1221" customFormat="1" ht="13" hidden="1" outlineLevel="3">
      <c r="B258" s="1433" t="s">
        <v>3698</v>
      </c>
      <c r="C258" s="1434"/>
      <c r="D258" s="1434" t="s">
        <v>3699</v>
      </c>
      <c r="E258" s="1431" t="s">
        <v>3700</v>
      </c>
      <c r="F258" s="1425" t="s">
        <v>3694</v>
      </c>
      <c r="G258" s="1431" t="s">
        <v>4161</v>
      </c>
      <c r="H258" s="1328">
        <f>VLOOKUP($D258,车位!$D:$V,12,FALSE)</f>
        <v>0</v>
      </c>
      <c r="I258" s="1328">
        <v>0</v>
      </c>
      <c r="J258" s="1437">
        <f>VLOOKUP($D258,高层!$D:$V,12,FALSE)</f>
        <v>4.3173950000000003</v>
      </c>
      <c r="K258" s="1437">
        <f>VLOOKUP($D258,幼儿园!$D:$V,12,FALSE)</f>
        <v>0</v>
      </c>
      <c r="L258" s="1437">
        <f>VLOOKUP($D258,配套用房!$D:$V,12,FALSE)</f>
        <v>0.114202</v>
      </c>
      <c r="M258" s="1437">
        <f>VLOOKUP($D258,临街商业!$D:$V,12,FALSE)</f>
        <v>0.105893</v>
      </c>
      <c r="N258" s="1437">
        <f>VLOOKUP($D258,人防车位!D:U,12,FALSE)</f>
        <v>0</v>
      </c>
      <c r="O258" s="1437">
        <f>VLOOKUP($D258,人才公寓销售!$D:$V,12,FALSE)</f>
        <v>0</v>
      </c>
      <c r="P258" s="1437">
        <f>VLOOKUP($D258,小高层!$D:$V,12,FALSE)</f>
        <v>5.9174379999999998</v>
      </c>
      <c r="Q258" s="1437"/>
      <c r="R258" s="1172">
        <f t="shared" si="62"/>
        <v>10.454927999999999</v>
      </c>
      <c r="S258" s="1437"/>
      <c r="T258" s="1437">
        <f t="shared" si="63"/>
        <v>10.454927999999999</v>
      </c>
      <c r="U258" s="1438"/>
      <c r="V258" s="1225">
        <f t="shared" si="48"/>
        <v>1.762479051592436E-15</v>
      </c>
      <c r="W258" s="1225">
        <f t="shared" si="49"/>
        <v>0</v>
      </c>
      <c r="X258" s="1225"/>
      <c r="Y258" s="1225"/>
    </row>
    <row r="259" spans="1:787" s="1247" customFormat="1" ht="13" hidden="1" outlineLevel="2">
      <c r="B259" s="1422" t="s">
        <v>3701</v>
      </c>
      <c r="C259" s="1423"/>
      <c r="D259" s="1423" t="s">
        <v>740</v>
      </c>
      <c r="E259" s="1431" t="s">
        <v>3702</v>
      </c>
      <c r="F259" s="1425" t="s">
        <v>463</v>
      </c>
      <c r="G259" s="1431" t="s">
        <v>4162</v>
      </c>
      <c r="H259" s="1446">
        <f>VLOOKUP($D259,车位!$D:$V,12,FALSE)</f>
        <v>0</v>
      </c>
      <c r="I259" s="1446">
        <v>0</v>
      </c>
      <c r="J259" s="1427">
        <f>VLOOKUP($D259,高层!$D:$V,12,FALSE)</f>
        <v>6.24</v>
      </c>
      <c r="K259" s="1427">
        <f>VLOOKUP($D259,幼儿园!$D:$V,12,FALSE)</f>
        <v>0</v>
      </c>
      <c r="L259" s="1427">
        <f>VLOOKUP($D259,配套用房!$D:$V,12,FALSE)</f>
        <v>0.2</v>
      </c>
      <c r="M259" s="1427">
        <f>VLOOKUP($D259,临街商业!$D:$V,12,FALSE)</f>
        <v>0.2145</v>
      </c>
      <c r="N259" s="1427">
        <f>VLOOKUP($D259,人防车位!D:U,12,FALSE)</f>
        <v>0</v>
      </c>
      <c r="O259" s="1427">
        <f>VLOOKUP($D259,人才公寓销售!$D:$V,12,FALSE)</f>
        <v>0</v>
      </c>
      <c r="P259" s="1427">
        <f>VLOOKUP($D259,小高层!$D:$V,12,FALSE)</f>
        <v>6.5650000000000004</v>
      </c>
      <c r="Q259" s="1427"/>
      <c r="R259" s="1428">
        <f t="shared" si="62"/>
        <v>13.2195</v>
      </c>
      <c r="S259" s="1427"/>
      <c r="T259" s="1427">
        <f t="shared" si="63"/>
        <v>13.2195</v>
      </c>
      <c r="U259" s="1429"/>
      <c r="V259" s="1225">
        <f t="shared" si="48"/>
        <v>7.4940054162198066E-16</v>
      </c>
      <c r="W259" s="1225">
        <f t="shared" si="49"/>
        <v>0</v>
      </c>
      <c r="X259" s="1225"/>
      <c r="Y259" s="1225"/>
    </row>
    <row r="260" spans="1:787" s="1247" customFormat="1" ht="13" hidden="1" outlineLevel="2">
      <c r="B260" s="1422" t="s">
        <v>3703</v>
      </c>
      <c r="C260" s="1423"/>
      <c r="D260" s="1423" t="s">
        <v>3704</v>
      </c>
      <c r="E260" s="1431"/>
      <c r="F260" s="1425" t="s">
        <v>1424</v>
      </c>
      <c r="G260" s="1431" t="s">
        <v>4123</v>
      </c>
      <c r="H260" s="1446">
        <f>VLOOKUP($D260,车位!$D:$V,12,FALSE)</f>
        <v>0</v>
      </c>
      <c r="I260" s="1446">
        <v>0</v>
      </c>
      <c r="J260" s="1427">
        <f>VLOOKUP($D260,高层!$D:$V,12,FALSE)</f>
        <v>0</v>
      </c>
      <c r="K260" s="1427">
        <f>VLOOKUP($D260,幼儿园!$D:$V,12,FALSE)</f>
        <v>0</v>
      </c>
      <c r="L260" s="1427">
        <f>VLOOKUP($D260,配套用房!$D:$V,12,FALSE)</f>
        <v>0</v>
      </c>
      <c r="M260" s="1427">
        <f>VLOOKUP($D260,临街商业!$D:$V,12,FALSE)</f>
        <v>0</v>
      </c>
      <c r="N260" s="1427">
        <f>VLOOKUP($D260,人防车位!D:U,12,FALSE)</f>
        <v>0</v>
      </c>
      <c r="O260" s="1427">
        <f>VLOOKUP($D260,人才公寓销售!$D:$V,12,FALSE)</f>
        <v>0</v>
      </c>
      <c r="P260" s="1427">
        <f>VLOOKUP($D260,小高层!$D:$V,12,FALSE)</f>
        <v>0</v>
      </c>
      <c r="Q260" s="1427"/>
      <c r="R260" s="1428">
        <f t="shared" si="62"/>
        <v>0</v>
      </c>
      <c r="S260" s="1427"/>
      <c r="T260" s="1427">
        <f t="shared" si="63"/>
        <v>0</v>
      </c>
      <c r="U260" s="1429"/>
      <c r="V260" s="1225">
        <f t="shared" si="48"/>
        <v>0</v>
      </c>
      <c r="W260" s="1225">
        <f t="shared" si="49"/>
        <v>0</v>
      </c>
      <c r="X260" s="1225"/>
      <c r="Y260" s="1225"/>
    </row>
    <row r="261" spans="1:787" s="1247" customFormat="1" ht="13" hidden="1" outlineLevel="2">
      <c r="B261" s="1422" t="s">
        <v>3705</v>
      </c>
      <c r="C261" s="1423"/>
      <c r="D261" s="1423" t="s">
        <v>3706</v>
      </c>
      <c r="E261" s="1431" t="s">
        <v>3707</v>
      </c>
      <c r="F261" s="1425" t="s">
        <v>3694</v>
      </c>
      <c r="G261" s="1431" t="s">
        <v>4161</v>
      </c>
      <c r="H261" s="1446">
        <f>VLOOKUP($D261,车位!$D:$V,12,FALSE)</f>
        <v>7.3697520000000001</v>
      </c>
      <c r="I261" s="1446">
        <v>0</v>
      </c>
      <c r="J261" s="1427">
        <f>VLOOKUP($D261,高层!$D:$V,12,FALSE)</f>
        <v>0</v>
      </c>
      <c r="K261" s="1427">
        <f>VLOOKUP($D261,幼儿园!$D:$V,12,FALSE)</f>
        <v>0</v>
      </c>
      <c r="L261" s="1427">
        <f>VLOOKUP($D261,配套用房!$D:$V,12,FALSE)</f>
        <v>0</v>
      </c>
      <c r="M261" s="1427">
        <f>VLOOKUP($D261,临街商业!$D:$V,12,FALSE)</f>
        <v>0</v>
      </c>
      <c r="N261" s="1427">
        <f>VLOOKUP($D261,人防车位!D:U,12,FALSE)</f>
        <v>2.822838</v>
      </c>
      <c r="O261" s="1427">
        <f>VLOOKUP($D261,人才公寓销售!$D:$V,12,FALSE)</f>
        <v>0</v>
      </c>
      <c r="P261" s="1427">
        <f>VLOOKUP($D261,小高层!$D:$V,12,FALSE)</f>
        <v>0</v>
      </c>
      <c r="Q261" s="1427"/>
      <c r="R261" s="1428">
        <f t="shared" si="62"/>
        <v>10.192589999999999</v>
      </c>
      <c r="S261" s="1427"/>
      <c r="T261" s="1427">
        <f t="shared" si="63"/>
        <v>10.192589999999999</v>
      </c>
      <c r="U261" s="1429"/>
      <c r="V261" s="1225">
        <f t="shared" si="48"/>
        <v>0</v>
      </c>
      <c r="W261" s="1225">
        <f t="shared" si="49"/>
        <v>0</v>
      </c>
      <c r="X261" s="1225"/>
      <c r="Y261" s="1225"/>
    </row>
    <row r="262" spans="1:787" s="1421" customFormat="1" ht="13" hidden="1" outlineLevel="1">
      <c r="A262" s="1247"/>
      <c r="B262" s="1413" t="s">
        <v>501</v>
      </c>
      <c r="C262" s="1414"/>
      <c r="D262" s="1414" t="s">
        <v>3708</v>
      </c>
      <c r="E262" s="1417"/>
      <c r="F262" s="1461"/>
      <c r="G262" s="1418" t="s">
        <v>4117</v>
      </c>
      <c r="H262" s="1418">
        <f>SUBTOTAL(9,H263:H275)</f>
        <v>85.980440000000002</v>
      </c>
      <c r="I262" s="1418">
        <f t="shared" ref="I262:T262" si="64">SUBTOTAL(9,I263:I275)</f>
        <v>0</v>
      </c>
      <c r="J262" s="1419">
        <f t="shared" si="64"/>
        <v>656.22239999999999</v>
      </c>
      <c r="K262" s="1419">
        <f t="shared" si="64"/>
        <v>0</v>
      </c>
      <c r="L262" s="1419">
        <f t="shared" si="64"/>
        <v>0</v>
      </c>
      <c r="M262" s="1419">
        <f t="shared" si="64"/>
        <v>0</v>
      </c>
      <c r="N262" s="1419">
        <f t="shared" si="64"/>
        <v>32.933109999999999</v>
      </c>
      <c r="O262" s="1419">
        <f t="shared" si="64"/>
        <v>0</v>
      </c>
      <c r="P262" s="1419">
        <f t="shared" si="64"/>
        <v>773.99369999999999</v>
      </c>
      <c r="Q262" s="1419">
        <f t="shared" si="64"/>
        <v>0</v>
      </c>
      <c r="R262" s="1419">
        <f t="shared" si="64"/>
        <v>1549.1296499999999</v>
      </c>
      <c r="S262" s="1419">
        <f t="shared" si="64"/>
        <v>0</v>
      </c>
      <c r="T262" s="1419">
        <f t="shared" si="64"/>
        <v>1549.1296499999999</v>
      </c>
      <c r="U262" s="1443"/>
      <c r="V262" s="1225">
        <f t="shared" si="48"/>
        <v>2.2737367544323206E-13</v>
      </c>
      <c r="W262" s="1225">
        <f t="shared" si="49"/>
        <v>0</v>
      </c>
      <c r="X262" s="1225"/>
      <c r="Y262" s="1225"/>
      <c r="Z262" s="1247"/>
      <c r="AA262" s="1247"/>
      <c r="AB262" s="1247"/>
      <c r="AC262" s="1247"/>
      <c r="AD262" s="1247"/>
      <c r="AE262" s="1247"/>
      <c r="AF262" s="1247"/>
      <c r="AG262" s="1247"/>
      <c r="AH262" s="1247"/>
      <c r="AI262" s="1247"/>
      <c r="AJ262" s="1247"/>
      <c r="AK262" s="1247"/>
      <c r="AL262" s="1247"/>
      <c r="AM262" s="1247"/>
      <c r="AN262" s="1247"/>
      <c r="AO262" s="1247"/>
      <c r="AP262" s="1247"/>
      <c r="AQ262" s="1247"/>
      <c r="AR262" s="1247"/>
      <c r="AS262" s="1247"/>
      <c r="AT262" s="1247"/>
      <c r="AU262" s="1247"/>
      <c r="AV262" s="1247"/>
      <c r="AW262" s="1247"/>
      <c r="AX262" s="1247"/>
      <c r="AY262" s="1247"/>
      <c r="AZ262" s="1247"/>
      <c r="BA262" s="1247"/>
      <c r="BB262" s="1247"/>
      <c r="BC262" s="1247"/>
      <c r="BD262" s="1247"/>
      <c r="BE262" s="1247"/>
      <c r="BF262" s="1247"/>
      <c r="BG262" s="1247"/>
      <c r="BH262" s="1247"/>
      <c r="BI262" s="1247"/>
      <c r="BJ262" s="1247"/>
      <c r="BK262" s="1247"/>
      <c r="BL262" s="1247"/>
      <c r="BM262" s="1247"/>
      <c r="BN262" s="1247"/>
      <c r="BO262" s="1247"/>
      <c r="BP262" s="1247"/>
      <c r="BQ262" s="1247"/>
      <c r="BR262" s="1247"/>
      <c r="BS262" s="1247"/>
      <c r="BT262" s="1247"/>
      <c r="BU262" s="1247"/>
      <c r="BV262" s="1247"/>
      <c r="BW262" s="1247"/>
      <c r="BX262" s="1247"/>
      <c r="BY262" s="1247"/>
      <c r="BZ262" s="1247"/>
      <c r="CA262" s="1247"/>
      <c r="CB262" s="1247"/>
      <c r="CC262" s="1247"/>
      <c r="CD262" s="1247"/>
      <c r="CE262" s="1247"/>
      <c r="CF262" s="1247"/>
      <c r="CG262" s="1247"/>
      <c r="CH262" s="1247"/>
      <c r="CI262" s="1247"/>
      <c r="CJ262" s="1247"/>
      <c r="CK262" s="1247"/>
      <c r="CL262" s="1247"/>
      <c r="CM262" s="1247"/>
      <c r="CN262" s="1247"/>
      <c r="CO262" s="1247"/>
      <c r="CP262" s="1247"/>
      <c r="CQ262" s="1247"/>
      <c r="CR262" s="1247"/>
      <c r="CS262" s="1247"/>
      <c r="CT262" s="1247"/>
      <c r="CU262" s="1247"/>
      <c r="CV262" s="1247"/>
      <c r="CW262" s="1247"/>
      <c r="CX262" s="1247"/>
      <c r="CY262" s="1247"/>
      <c r="CZ262" s="1247"/>
      <c r="DA262" s="1247"/>
      <c r="DB262" s="1247"/>
      <c r="DC262" s="1247"/>
      <c r="DD262" s="1247"/>
      <c r="DE262" s="1247"/>
      <c r="DF262" s="1247"/>
      <c r="DG262" s="1247"/>
      <c r="DH262" s="1247"/>
      <c r="DI262" s="1247"/>
      <c r="DJ262" s="1247"/>
      <c r="DK262" s="1247"/>
      <c r="DL262" s="1247"/>
      <c r="DM262" s="1247"/>
      <c r="DN262" s="1247"/>
      <c r="DO262" s="1247"/>
      <c r="DP262" s="1247"/>
      <c r="DQ262" s="1247"/>
      <c r="DR262" s="1247"/>
      <c r="DS262" s="1247"/>
      <c r="DT262" s="1247"/>
      <c r="DU262" s="1247"/>
      <c r="DV262" s="1247"/>
      <c r="DW262" s="1247"/>
      <c r="DX262" s="1247"/>
      <c r="DY262" s="1247"/>
      <c r="DZ262" s="1247"/>
      <c r="EA262" s="1247"/>
      <c r="EB262" s="1247"/>
      <c r="EC262" s="1247"/>
      <c r="ED262" s="1247"/>
      <c r="EE262" s="1247"/>
      <c r="EF262" s="1247"/>
      <c r="EG262" s="1247"/>
      <c r="EH262" s="1247"/>
      <c r="EI262" s="1247"/>
      <c r="EJ262" s="1247"/>
      <c r="EK262" s="1247"/>
      <c r="EL262" s="1247"/>
      <c r="EM262" s="1247"/>
      <c r="EN262" s="1247"/>
      <c r="EO262" s="1247"/>
      <c r="EP262" s="1247"/>
      <c r="EQ262" s="1247"/>
      <c r="ER262" s="1247"/>
      <c r="ES262" s="1247"/>
      <c r="ET262" s="1247"/>
      <c r="EU262" s="1247"/>
      <c r="EV262" s="1247"/>
      <c r="EW262" s="1247"/>
      <c r="EX262" s="1247"/>
      <c r="EY262" s="1247"/>
      <c r="EZ262" s="1247"/>
      <c r="FA262" s="1247"/>
      <c r="FB262" s="1247"/>
      <c r="FC262" s="1247"/>
      <c r="FD262" s="1247"/>
      <c r="FE262" s="1247"/>
      <c r="FF262" s="1247"/>
      <c r="FG262" s="1247"/>
      <c r="FH262" s="1247"/>
      <c r="FI262" s="1247"/>
      <c r="FJ262" s="1247"/>
      <c r="FK262" s="1247"/>
      <c r="FL262" s="1247"/>
      <c r="FM262" s="1247"/>
      <c r="FN262" s="1247"/>
      <c r="FO262" s="1247"/>
      <c r="FP262" s="1247"/>
      <c r="FQ262" s="1247"/>
      <c r="FR262" s="1247"/>
      <c r="FS262" s="1247"/>
      <c r="FT262" s="1247"/>
      <c r="FU262" s="1247"/>
      <c r="FV262" s="1247"/>
      <c r="FW262" s="1247"/>
      <c r="FX262" s="1247"/>
      <c r="FY262" s="1247"/>
      <c r="FZ262" s="1247"/>
      <c r="GA262" s="1247"/>
      <c r="GB262" s="1247"/>
      <c r="GC262" s="1247"/>
      <c r="GD262" s="1247"/>
      <c r="GE262" s="1247"/>
      <c r="GF262" s="1247"/>
      <c r="GG262" s="1247"/>
      <c r="GH262" s="1247"/>
      <c r="GI262" s="1247"/>
      <c r="GJ262" s="1247"/>
      <c r="GK262" s="1247"/>
      <c r="GL262" s="1247"/>
      <c r="GM262" s="1247"/>
      <c r="GN262" s="1247"/>
      <c r="GO262" s="1247"/>
      <c r="GP262" s="1247"/>
      <c r="GQ262" s="1247"/>
      <c r="GR262" s="1247"/>
      <c r="GS262" s="1247"/>
      <c r="GT262" s="1247"/>
      <c r="GU262" s="1247"/>
      <c r="GV262" s="1247"/>
      <c r="GW262" s="1247"/>
      <c r="GX262" s="1247"/>
      <c r="GY262" s="1247"/>
      <c r="GZ262" s="1247"/>
      <c r="HA262" s="1247"/>
      <c r="HB262" s="1247"/>
      <c r="HC262" s="1247"/>
      <c r="HD262" s="1247"/>
      <c r="HE262" s="1247"/>
      <c r="HF262" s="1247"/>
      <c r="HG262" s="1247"/>
      <c r="HH262" s="1247"/>
      <c r="HI262" s="1247"/>
      <c r="HJ262" s="1247"/>
      <c r="HK262" s="1247"/>
      <c r="HL262" s="1247"/>
      <c r="HM262" s="1247"/>
      <c r="HN262" s="1247"/>
      <c r="HO262" s="1247"/>
      <c r="HP262" s="1247"/>
      <c r="HQ262" s="1247"/>
      <c r="HR262" s="1247"/>
      <c r="HS262" s="1247"/>
      <c r="HT262" s="1247"/>
      <c r="HU262" s="1247"/>
      <c r="HV262" s="1247"/>
      <c r="HW262" s="1247"/>
      <c r="HX262" s="1247"/>
      <c r="HY262" s="1247"/>
      <c r="HZ262" s="1247"/>
      <c r="IA262" s="1247"/>
      <c r="IB262" s="1247"/>
      <c r="IC262" s="1247"/>
      <c r="ID262" s="1247"/>
      <c r="IE262" s="1247"/>
      <c r="IF262" s="1247"/>
      <c r="IG262" s="1247"/>
      <c r="IH262" s="1247"/>
      <c r="II262" s="1247"/>
      <c r="IJ262" s="1247"/>
      <c r="IK262" s="1247"/>
      <c r="IL262" s="1247"/>
      <c r="IM262" s="1247"/>
      <c r="IN262" s="1247"/>
      <c r="IO262" s="1247"/>
      <c r="IP262" s="1247"/>
      <c r="IQ262" s="1247"/>
      <c r="IR262" s="1247"/>
      <c r="IS262" s="1247"/>
      <c r="IT262" s="1247"/>
      <c r="IU262" s="1247"/>
      <c r="IV262" s="1247"/>
      <c r="IW262" s="1247"/>
      <c r="IX262" s="1247"/>
      <c r="IY262" s="1247"/>
      <c r="IZ262" s="1247"/>
      <c r="JA262" s="1247"/>
      <c r="JB262" s="1247"/>
      <c r="JC262" s="1247"/>
      <c r="JD262" s="1247"/>
      <c r="JE262" s="1247"/>
      <c r="JF262" s="1247"/>
      <c r="JG262" s="1247"/>
      <c r="JH262" s="1247"/>
      <c r="JI262" s="1247"/>
      <c r="JJ262" s="1247"/>
      <c r="JK262" s="1247"/>
      <c r="JL262" s="1247"/>
      <c r="JM262" s="1247"/>
      <c r="JN262" s="1247"/>
      <c r="JO262" s="1247"/>
      <c r="JP262" s="1247"/>
      <c r="JQ262" s="1247"/>
      <c r="JR262" s="1247"/>
      <c r="JS262" s="1247"/>
      <c r="JT262" s="1247"/>
      <c r="JU262" s="1247"/>
      <c r="JV262" s="1247"/>
      <c r="JW262" s="1247"/>
      <c r="JX262" s="1247"/>
      <c r="JY262" s="1247"/>
      <c r="JZ262" s="1247"/>
      <c r="KA262" s="1247"/>
      <c r="KB262" s="1247"/>
      <c r="KC262" s="1247"/>
      <c r="KD262" s="1247"/>
      <c r="KE262" s="1247"/>
      <c r="KF262" s="1247"/>
      <c r="KG262" s="1247"/>
      <c r="KH262" s="1247"/>
      <c r="KI262" s="1247"/>
      <c r="KJ262" s="1247"/>
      <c r="KK262" s="1247"/>
      <c r="KL262" s="1247"/>
      <c r="KM262" s="1247"/>
      <c r="KN262" s="1247"/>
      <c r="KO262" s="1247"/>
      <c r="KP262" s="1247"/>
      <c r="KQ262" s="1247"/>
      <c r="KR262" s="1247"/>
      <c r="KS262" s="1247"/>
      <c r="KT262" s="1247"/>
      <c r="KU262" s="1247"/>
      <c r="KV262" s="1247"/>
      <c r="KW262" s="1247"/>
      <c r="KX262" s="1247"/>
      <c r="KY262" s="1247"/>
      <c r="KZ262" s="1247"/>
      <c r="LA262" s="1247"/>
      <c r="LB262" s="1247"/>
      <c r="LC262" s="1247"/>
      <c r="LD262" s="1247"/>
      <c r="LE262" s="1247"/>
      <c r="LF262" s="1247"/>
      <c r="LG262" s="1247"/>
      <c r="LH262" s="1247"/>
      <c r="LI262" s="1247"/>
      <c r="LJ262" s="1247"/>
      <c r="LK262" s="1247"/>
      <c r="LL262" s="1247"/>
      <c r="LM262" s="1247"/>
      <c r="LN262" s="1247"/>
      <c r="LO262" s="1247"/>
      <c r="LP262" s="1247"/>
      <c r="LQ262" s="1247"/>
      <c r="LR262" s="1247"/>
      <c r="LS262" s="1247"/>
      <c r="LT262" s="1247"/>
      <c r="LU262" s="1247"/>
      <c r="LV262" s="1247"/>
      <c r="LW262" s="1247"/>
      <c r="LX262" s="1247"/>
      <c r="LY262" s="1247"/>
      <c r="LZ262" s="1247"/>
      <c r="MA262" s="1247"/>
      <c r="MB262" s="1247"/>
      <c r="MC262" s="1247"/>
      <c r="MD262" s="1247"/>
      <c r="ME262" s="1247"/>
      <c r="MF262" s="1247"/>
      <c r="MG262" s="1247"/>
      <c r="MH262" s="1247"/>
      <c r="MI262" s="1247"/>
      <c r="MJ262" s="1247"/>
      <c r="MK262" s="1247"/>
      <c r="ML262" s="1247"/>
      <c r="MM262" s="1247"/>
      <c r="MN262" s="1247"/>
      <c r="MO262" s="1247"/>
      <c r="MP262" s="1247"/>
      <c r="MQ262" s="1247"/>
      <c r="MR262" s="1247"/>
      <c r="MS262" s="1247"/>
      <c r="MT262" s="1247"/>
      <c r="MU262" s="1247"/>
      <c r="MV262" s="1247"/>
      <c r="MW262" s="1247"/>
      <c r="MX262" s="1247"/>
      <c r="MY262" s="1247"/>
      <c r="MZ262" s="1247"/>
      <c r="NA262" s="1247"/>
      <c r="NB262" s="1247"/>
      <c r="NC262" s="1247"/>
      <c r="ND262" s="1247"/>
      <c r="NE262" s="1247"/>
      <c r="NF262" s="1247"/>
      <c r="NG262" s="1247"/>
      <c r="NH262" s="1247"/>
      <c r="NI262" s="1247"/>
      <c r="NJ262" s="1247"/>
      <c r="NK262" s="1247"/>
      <c r="NL262" s="1247"/>
      <c r="NM262" s="1247"/>
      <c r="NN262" s="1247"/>
      <c r="NO262" s="1247"/>
      <c r="NP262" s="1247"/>
      <c r="NQ262" s="1247"/>
      <c r="NR262" s="1247"/>
      <c r="NS262" s="1247"/>
      <c r="NT262" s="1247"/>
      <c r="NU262" s="1247"/>
      <c r="NV262" s="1247"/>
      <c r="NW262" s="1247"/>
      <c r="NX262" s="1247"/>
      <c r="NY262" s="1247"/>
      <c r="NZ262" s="1247"/>
      <c r="OA262" s="1247"/>
      <c r="OB262" s="1247"/>
      <c r="OC262" s="1247"/>
      <c r="OD262" s="1247"/>
      <c r="OE262" s="1247"/>
      <c r="OF262" s="1247"/>
      <c r="OG262" s="1247"/>
      <c r="OH262" s="1247"/>
      <c r="OI262" s="1247"/>
      <c r="OJ262" s="1247"/>
      <c r="OK262" s="1247"/>
      <c r="OL262" s="1247"/>
      <c r="OM262" s="1247"/>
      <c r="ON262" s="1247"/>
      <c r="OO262" s="1247"/>
      <c r="OP262" s="1247"/>
      <c r="OQ262" s="1247"/>
      <c r="OR262" s="1247"/>
      <c r="OS262" s="1247"/>
      <c r="OT262" s="1247"/>
      <c r="OU262" s="1247"/>
      <c r="OV262" s="1247"/>
      <c r="OW262" s="1247"/>
      <c r="OX262" s="1247"/>
      <c r="OY262" s="1247"/>
      <c r="OZ262" s="1247"/>
      <c r="PA262" s="1247"/>
      <c r="PB262" s="1247"/>
      <c r="PC262" s="1247"/>
      <c r="PD262" s="1247"/>
      <c r="PE262" s="1247"/>
      <c r="PF262" s="1247"/>
      <c r="PG262" s="1247"/>
      <c r="PH262" s="1247"/>
      <c r="PI262" s="1247"/>
      <c r="PJ262" s="1247"/>
      <c r="PK262" s="1247"/>
      <c r="PL262" s="1247"/>
      <c r="PM262" s="1247"/>
      <c r="PN262" s="1247"/>
      <c r="PO262" s="1247"/>
      <c r="PP262" s="1247"/>
      <c r="PQ262" s="1247"/>
      <c r="PR262" s="1247"/>
      <c r="PS262" s="1247"/>
      <c r="PT262" s="1247"/>
      <c r="PU262" s="1247"/>
      <c r="PV262" s="1247"/>
      <c r="PW262" s="1247"/>
      <c r="PX262" s="1247"/>
      <c r="PY262" s="1247"/>
      <c r="PZ262" s="1247"/>
      <c r="QA262" s="1247"/>
      <c r="QB262" s="1247"/>
      <c r="QC262" s="1247"/>
      <c r="QD262" s="1247"/>
      <c r="QE262" s="1247"/>
      <c r="QF262" s="1247"/>
      <c r="QG262" s="1247"/>
      <c r="QH262" s="1247"/>
      <c r="QI262" s="1247"/>
      <c r="QJ262" s="1247"/>
      <c r="QK262" s="1247"/>
      <c r="QL262" s="1247"/>
      <c r="QM262" s="1247"/>
      <c r="QN262" s="1247"/>
      <c r="QO262" s="1247"/>
      <c r="QP262" s="1247"/>
      <c r="QQ262" s="1247"/>
      <c r="QR262" s="1247"/>
      <c r="QS262" s="1247"/>
      <c r="QT262" s="1247"/>
      <c r="QU262" s="1247"/>
      <c r="QV262" s="1247"/>
      <c r="QW262" s="1247"/>
      <c r="QX262" s="1247"/>
      <c r="QY262" s="1247"/>
      <c r="QZ262" s="1247"/>
      <c r="RA262" s="1247"/>
      <c r="RB262" s="1247"/>
      <c r="RC262" s="1247"/>
      <c r="RD262" s="1247"/>
      <c r="RE262" s="1247"/>
      <c r="RF262" s="1247"/>
      <c r="RG262" s="1247"/>
      <c r="RH262" s="1247"/>
      <c r="RI262" s="1247"/>
      <c r="RJ262" s="1247"/>
      <c r="RK262" s="1247"/>
      <c r="RL262" s="1247"/>
      <c r="RM262" s="1247"/>
      <c r="RN262" s="1247"/>
      <c r="RO262" s="1247"/>
      <c r="RP262" s="1247"/>
      <c r="RQ262" s="1247"/>
      <c r="RR262" s="1247"/>
      <c r="RS262" s="1247"/>
      <c r="RT262" s="1247"/>
      <c r="RU262" s="1247"/>
      <c r="RV262" s="1247"/>
      <c r="RW262" s="1247"/>
      <c r="RX262" s="1247"/>
      <c r="RY262" s="1247"/>
      <c r="RZ262" s="1247"/>
      <c r="SA262" s="1247"/>
      <c r="SB262" s="1247"/>
      <c r="SC262" s="1247"/>
      <c r="SD262" s="1247"/>
      <c r="SE262" s="1247"/>
      <c r="SF262" s="1247"/>
      <c r="SG262" s="1247"/>
      <c r="SH262" s="1247"/>
      <c r="SI262" s="1247"/>
      <c r="SJ262" s="1247"/>
      <c r="SK262" s="1247"/>
      <c r="SL262" s="1247"/>
      <c r="SM262" s="1247"/>
      <c r="SN262" s="1247"/>
      <c r="SO262" s="1247"/>
      <c r="SP262" s="1247"/>
      <c r="SQ262" s="1247"/>
      <c r="SR262" s="1247"/>
      <c r="SS262" s="1247"/>
      <c r="ST262" s="1247"/>
      <c r="SU262" s="1247"/>
      <c r="SV262" s="1247"/>
      <c r="SW262" s="1247"/>
      <c r="SX262" s="1247"/>
      <c r="SY262" s="1247"/>
      <c r="SZ262" s="1247"/>
      <c r="TA262" s="1247"/>
      <c r="TB262" s="1247"/>
      <c r="TC262" s="1247"/>
      <c r="TD262" s="1247"/>
      <c r="TE262" s="1247"/>
      <c r="TF262" s="1247"/>
      <c r="TG262" s="1247"/>
      <c r="TH262" s="1247"/>
      <c r="TI262" s="1247"/>
      <c r="TJ262" s="1247"/>
      <c r="TK262" s="1247"/>
      <c r="TL262" s="1247"/>
      <c r="TM262" s="1247"/>
      <c r="TN262" s="1247"/>
      <c r="TO262" s="1247"/>
      <c r="TP262" s="1247"/>
      <c r="TQ262" s="1247"/>
      <c r="TR262" s="1247"/>
      <c r="TS262" s="1247"/>
      <c r="TT262" s="1247"/>
      <c r="TU262" s="1247"/>
      <c r="TV262" s="1247"/>
      <c r="TW262" s="1247"/>
      <c r="TX262" s="1247"/>
      <c r="TY262" s="1247"/>
      <c r="TZ262" s="1247"/>
      <c r="UA262" s="1247"/>
      <c r="UB262" s="1247"/>
      <c r="UC262" s="1247"/>
      <c r="UD262" s="1247"/>
      <c r="UE262" s="1247"/>
      <c r="UF262" s="1247"/>
      <c r="UG262" s="1247"/>
      <c r="UH262" s="1247"/>
      <c r="UI262" s="1247"/>
      <c r="UJ262" s="1247"/>
      <c r="UK262" s="1247"/>
      <c r="UL262" s="1247"/>
      <c r="UM262" s="1247"/>
      <c r="UN262" s="1247"/>
      <c r="UO262" s="1247"/>
      <c r="UP262" s="1247"/>
      <c r="UQ262" s="1247"/>
      <c r="UR262" s="1247"/>
      <c r="US262" s="1247"/>
      <c r="UT262" s="1247"/>
      <c r="UU262" s="1247"/>
      <c r="UV262" s="1247"/>
      <c r="UW262" s="1247"/>
      <c r="UX262" s="1247"/>
      <c r="UY262" s="1247"/>
      <c r="UZ262" s="1247"/>
      <c r="VA262" s="1247"/>
      <c r="VB262" s="1247"/>
      <c r="VC262" s="1247"/>
      <c r="VD262" s="1247"/>
      <c r="VE262" s="1247"/>
      <c r="VF262" s="1247"/>
      <c r="VG262" s="1247"/>
      <c r="VH262" s="1247"/>
      <c r="VI262" s="1247"/>
      <c r="VJ262" s="1247"/>
      <c r="VK262" s="1247"/>
      <c r="VL262" s="1247"/>
      <c r="VM262" s="1247"/>
      <c r="VN262" s="1247"/>
      <c r="VO262" s="1247"/>
      <c r="VP262" s="1247"/>
      <c r="VQ262" s="1247"/>
      <c r="VR262" s="1247"/>
      <c r="VS262" s="1247"/>
      <c r="VT262" s="1247"/>
      <c r="VU262" s="1247"/>
      <c r="VV262" s="1247"/>
      <c r="VW262" s="1247"/>
      <c r="VX262" s="1247"/>
      <c r="VY262" s="1247"/>
      <c r="VZ262" s="1247"/>
      <c r="WA262" s="1247"/>
      <c r="WB262" s="1247"/>
      <c r="WC262" s="1247"/>
      <c r="WD262" s="1247"/>
      <c r="WE262" s="1247"/>
      <c r="WF262" s="1247"/>
      <c r="WG262" s="1247"/>
      <c r="WH262" s="1247"/>
      <c r="WI262" s="1247"/>
      <c r="WJ262" s="1247"/>
      <c r="WK262" s="1247"/>
      <c r="WL262" s="1247"/>
      <c r="WM262" s="1247"/>
      <c r="WN262" s="1247"/>
      <c r="WO262" s="1247"/>
      <c r="WP262" s="1247"/>
      <c r="WQ262" s="1247"/>
      <c r="WR262" s="1247"/>
      <c r="WS262" s="1247"/>
      <c r="WT262" s="1247"/>
      <c r="WU262" s="1247"/>
      <c r="WV262" s="1247"/>
      <c r="WW262" s="1247"/>
      <c r="WX262" s="1247"/>
      <c r="WY262" s="1247"/>
      <c r="WZ262" s="1247"/>
      <c r="XA262" s="1247"/>
      <c r="XB262" s="1247"/>
      <c r="XC262" s="1247"/>
      <c r="XD262" s="1247"/>
      <c r="XE262" s="1247"/>
      <c r="XF262" s="1247"/>
      <c r="XG262" s="1247"/>
      <c r="XH262" s="1247"/>
      <c r="XI262" s="1247"/>
      <c r="XJ262" s="1247"/>
      <c r="XK262" s="1247"/>
      <c r="XL262" s="1247"/>
      <c r="XM262" s="1247"/>
      <c r="XN262" s="1247"/>
      <c r="XO262" s="1247"/>
      <c r="XP262" s="1247"/>
      <c r="XQ262" s="1247"/>
      <c r="XR262" s="1247"/>
      <c r="XS262" s="1247"/>
      <c r="XT262" s="1247"/>
      <c r="XU262" s="1247"/>
      <c r="XV262" s="1247"/>
      <c r="XW262" s="1247"/>
      <c r="XX262" s="1247"/>
      <c r="XY262" s="1247"/>
      <c r="XZ262" s="1247"/>
      <c r="YA262" s="1247"/>
      <c r="YB262" s="1247"/>
      <c r="YC262" s="1247"/>
      <c r="YD262" s="1247"/>
      <c r="YE262" s="1247"/>
      <c r="YF262" s="1247"/>
      <c r="YG262" s="1247"/>
      <c r="YH262" s="1247"/>
      <c r="YI262" s="1247"/>
      <c r="YJ262" s="1247"/>
      <c r="YK262" s="1247"/>
      <c r="YL262" s="1247"/>
      <c r="YM262" s="1247"/>
      <c r="YN262" s="1247"/>
      <c r="YO262" s="1247"/>
      <c r="YP262" s="1247"/>
      <c r="YQ262" s="1247"/>
      <c r="YR262" s="1247"/>
      <c r="YS262" s="1247"/>
      <c r="YT262" s="1247"/>
      <c r="YU262" s="1247"/>
      <c r="YV262" s="1247"/>
      <c r="YW262" s="1247"/>
      <c r="YX262" s="1247"/>
      <c r="YY262" s="1247"/>
      <c r="YZ262" s="1247"/>
      <c r="ZA262" s="1247"/>
      <c r="ZB262" s="1247"/>
      <c r="ZC262" s="1247"/>
      <c r="ZD262" s="1247"/>
      <c r="ZE262" s="1247"/>
      <c r="ZF262" s="1247"/>
      <c r="ZG262" s="1247"/>
      <c r="ZH262" s="1247"/>
      <c r="ZI262" s="1247"/>
      <c r="ZJ262" s="1247"/>
      <c r="ZK262" s="1247"/>
      <c r="ZL262" s="1247"/>
      <c r="ZM262" s="1247"/>
      <c r="ZN262" s="1247"/>
      <c r="ZO262" s="1247"/>
      <c r="ZP262" s="1247"/>
      <c r="ZQ262" s="1247"/>
      <c r="ZR262" s="1247"/>
      <c r="ZS262" s="1247"/>
      <c r="ZT262" s="1247"/>
      <c r="ZU262" s="1247"/>
      <c r="ZV262" s="1247"/>
      <c r="ZW262" s="1247"/>
      <c r="ZX262" s="1247"/>
      <c r="ZY262" s="1247"/>
      <c r="ZZ262" s="1247"/>
      <c r="AAA262" s="1247"/>
      <c r="AAB262" s="1247"/>
      <c r="AAC262" s="1247"/>
      <c r="AAD262" s="1247"/>
      <c r="AAE262" s="1247"/>
      <c r="AAF262" s="1247"/>
      <c r="AAG262" s="1247"/>
      <c r="AAH262" s="1247"/>
      <c r="AAI262" s="1247"/>
      <c r="AAJ262" s="1247"/>
      <c r="AAK262" s="1247"/>
      <c r="AAL262" s="1247"/>
      <c r="AAM262" s="1247"/>
      <c r="AAN262" s="1247"/>
      <c r="AAO262" s="1247"/>
      <c r="AAP262" s="1247"/>
      <c r="AAQ262" s="1247"/>
      <c r="AAR262" s="1247"/>
      <c r="AAS262" s="1247"/>
      <c r="AAT262" s="1247"/>
      <c r="AAU262" s="1247"/>
      <c r="AAV262" s="1247"/>
      <c r="AAW262" s="1247"/>
      <c r="AAX262" s="1247"/>
      <c r="AAY262" s="1247"/>
      <c r="AAZ262" s="1247"/>
      <c r="ABA262" s="1247"/>
      <c r="ABB262" s="1247"/>
      <c r="ABC262" s="1247"/>
      <c r="ABD262" s="1247"/>
      <c r="ABE262" s="1247"/>
      <c r="ABF262" s="1247"/>
      <c r="ABG262" s="1247"/>
      <c r="ABH262" s="1247"/>
      <c r="ABI262" s="1247"/>
      <c r="ABJ262" s="1247"/>
      <c r="ABK262" s="1247"/>
      <c r="ABL262" s="1247"/>
      <c r="ABM262" s="1247"/>
      <c r="ABN262" s="1247"/>
      <c r="ABO262" s="1247"/>
      <c r="ABP262" s="1247"/>
      <c r="ABQ262" s="1247"/>
      <c r="ABR262" s="1247"/>
      <c r="ABS262" s="1247"/>
      <c r="ABT262" s="1247"/>
      <c r="ABU262" s="1247"/>
      <c r="ABV262" s="1247"/>
      <c r="ABW262" s="1247"/>
      <c r="ABX262" s="1247"/>
      <c r="ABY262" s="1247"/>
      <c r="ABZ262" s="1247"/>
      <c r="ACA262" s="1247"/>
      <c r="ACB262" s="1247"/>
      <c r="ACC262" s="1247"/>
      <c r="ACD262" s="1247"/>
      <c r="ACE262" s="1247"/>
      <c r="ACF262" s="1247"/>
      <c r="ACG262" s="1247"/>
      <c r="ACH262" s="1247"/>
      <c r="ACI262" s="1247"/>
      <c r="ACJ262" s="1247"/>
      <c r="ACK262" s="1247"/>
      <c r="ACL262" s="1247"/>
      <c r="ACM262" s="1247"/>
      <c r="ACN262" s="1247"/>
      <c r="ACO262" s="1247"/>
      <c r="ACP262" s="1247"/>
      <c r="ACQ262" s="1247"/>
      <c r="ACR262" s="1247"/>
      <c r="ACS262" s="1247"/>
      <c r="ACT262" s="1247"/>
      <c r="ACU262" s="1247"/>
      <c r="ACV262" s="1247"/>
      <c r="ACW262" s="1247"/>
      <c r="ACX262" s="1247"/>
      <c r="ACY262" s="1247"/>
      <c r="ACZ262" s="1247"/>
      <c r="ADA262" s="1247"/>
      <c r="ADB262" s="1247"/>
      <c r="ADC262" s="1247"/>
      <c r="ADD262" s="1247"/>
      <c r="ADE262" s="1247"/>
      <c r="ADF262" s="1247"/>
      <c r="ADG262" s="1247"/>
    </row>
    <row r="263" spans="1:787" s="1247" customFormat="1" ht="13" hidden="1" outlineLevel="2">
      <c r="B263" s="1422" t="s">
        <v>742</v>
      </c>
      <c r="C263" s="1423"/>
      <c r="D263" s="1423" t="s">
        <v>51</v>
      </c>
      <c r="E263" s="1431" t="s">
        <v>3709</v>
      </c>
      <c r="F263" s="1425" t="s">
        <v>3577</v>
      </c>
      <c r="G263" s="1431" t="s">
        <v>4141</v>
      </c>
      <c r="H263" s="1446">
        <f>VLOOKUP($D263,车位!$D:$V,12,FALSE)</f>
        <v>0</v>
      </c>
      <c r="I263" s="1446">
        <v>0</v>
      </c>
      <c r="J263" s="1427">
        <f>VLOOKUP($D263,高层!$D:$V,12,FALSE)</f>
        <v>63.206400000000002</v>
      </c>
      <c r="K263" s="1427">
        <f>VLOOKUP($D263,幼儿园!$D:$V,12,FALSE)</f>
        <v>0</v>
      </c>
      <c r="L263" s="1427">
        <f>VLOOKUP($D263,配套用房!$D:$V,12,FALSE)</f>
        <v>0</v>
      </c>
      <c r="M263" s="1427">
        <f>VLOOKUP($D263,临街商业!$D:$V,12,FALSE)</f>
        <v>0</v>
      </c>
      <c r="N263" s="1427">
        <f>VLOOKUP($D263,人防车位!D:U,12,FALSE)</f>
        <v>0</v>
      </c>
      <c r="O263" s="1427">
        <f>VLOOKUP($D263,人才公寓销售!$D:$V,12,FALSE)</f>
        <v>0</v>
      </c>
      <c r="P263" s="1427">
        <f>VLOOKUP($D263,小高层!$D:$V,12,FALSE)</f>
        <v>100.3237</v>
      </c>
      <c r="Q263" s="1427"/>
      <c r="R263" s="1428">
        <f>SUM(H263:Q263)</f>
        <v>163.5301</v>
      </c>
      <c r="S263" s="1427"/>
      <c r="T263" s="1427">
        <f>R263+S263</f>
        <v>163.5301</v>
      </c>
      <c r="U263" s="1429"/>
      <c r="V263" s="1225">
        <f t="shared" si="48"/>
        <v>0</v>
      </c>
      <c r="W263" s="1225">
        <f t="shared" si="49"/>
        <v>0</v>
      </c>
      <c r="X263" s="1225"/>
      <c r="Y263" s="1225"/>
    </row>
    <row r="264" spans="1:787" s="1247" customFormat="1" ht="13" hidden="1" outlineLevel="2">
      <c r="B264" s="1422" t="s">
        <v>746</v>
      </c>
      <c r="C264" s="1423"/>
      <c r="D264" s="1423" t="s">
        <v>89</v>
      </c>
      <c r="E264" s="1431" t="s">
        <v>3710</v>
      </c>
      <c r="F264" s="1425" t="s">
        <v>3577</v>
      </c>
      <c r="G264" s="1431" t="s">
        <v>4141</v>
      </c>
      <c r="H264" s="1446">
        <f>VLOOKUP($D264,车位!$D:$V,12,FALSE)</f>
        <v>0</v>
      </c>
      <c r="I264" s="1446">
        <v>0</v>
      </c>
      <c r="J264" s="1427">
        <f>VLOOKUP($D264,高层!$D:$V,12,FALSE)</f>
        <v>72.191999999999993</v>
      </c>
      <c r="K264" s="1427">
        <f>VLOOKUP($D264,幼儿园!$D:$V,12,FALSE)</f>
        <v>0</v>
      </c>
      <c r="L264" s="1427">
        <f>VLOOKUP($D264,配套用房!$D:$V,12,FALSE)</f>
        <v>0</v>
      </c>
      <c r="M264" s="1427">
        <f>VLOOKUP($D264,临街商业!$D:$V,12,FALSE)</f>
        <v>0</v>
      </c>
      <c r="N264" s="1427">
        <f>VLOOKUP($D264,人防车位!D:U,12,FALSE)</f>
        <v>0</v>
      </c>
      <c r="O264" s="1427">
        <f>VLOOKUP($D264,人才公寓销售!$D:$V,12,FALSE)</f>
        <v>0</v>
      </c>
      <c r="P264" s="1427">
        <f>VLOOKUP($D264,小高层!$D:$V,12,FALSE)</f>
        <v>129.72</v>
      </c>
      <c r="Q264" s="1427"/>
      <c r="R264" s="1428">
        <f t="shared" ref="R264:R275" si="65">SUM(H264:Q264)</f>
        <v>201.91199999999998</v>
      </c>
      <c r="S264" s="1427"/>
      <c r="T264" s="1427">
        <f t="shared" ref="T264:T275" si="66">R264+S264</f>
        <v>201.91199999999998</v>
      </c>
      <c r="U264" s="1429"/>
      <c r="V264" s="1225">
        <f t="shared" si="48"/>
        <v>0</v>
      </c>
      <c r="W264" s="1225">
        <f t="shared" si="49"/>
        <v>0</v>
      </c>
      <c r="X264" s="1225"/>
      <c r="Y264" s="1225"/>
    </row>
    <row r="265" spans="1:787" s="1247" customFormat="1" ht="13" hidden="1" outlineLevel="2">
      <c r="B265" s="1422" t="s">
        <v>753</v>
      </c>
      <c r="C265" s="1423"/>
      <c r="D265" s="1423" t="s">
        <v>3711</v>
      </c>
      <c r="E265" s="1431" t="s">
        <v>3712</v>
      </c>
      <c r="F265" s="1425" t="s">
        <v>3577</v>
      </c>
      <c r="G265" s="1431" t="s">
        <v>4141</v>
      </c>
      <c r="H265" s="1446">
        <f>VLOOKUP($D265,车位!$D:$V,12,FALSE)</f>
        <v>0</v>
      </c>
      <c r="I265" s="1446">
        <v>0</v>
      </c>
      <c r="J265" s="1427">
        <f>VLOOKUP($D265,高层!$D:$V,12,FALSE)</f>
        <v>0</v>
      </c>
      <c r="K265" s="1427">
        <f>VLOOKUP($D265,幼儿园!$D:$V,12,FALSE)</f>
        <v>0</v>
      </c>
      <c r="L265" s="1427">
        <f>VLOOKUP($D265,配套用房!$D:$V,12,FALSE)</f>
        <v>0</v>
      </c>
      <c r="M265" s="1427">
        <f>VLOOKUP($D265,临街商业!$D:$V,12,FALSE)</f>
        <v>0</v>
      </c>
      <c r="N265" s="1427">
        <f>VLOOKUP($D265,人防车位!D:U,12,FALSE)</f>
        <v>0</v>
      </c>
      <c r="O265" s="1427">
        <f>VLOOKUP($D265,人才公寓销售!$D:$V,12,FALSE)</f>
        <v>0</v>
      </c>
      <c r="P265" s="1427">
        <f>VLOOKUP($D265,小高层!$D:$V,12,FALSE)</f>
        <v>0</v>
      </c>
      <c r="Q265" s="1427"/>
      <c r="R265" s="1428">
        <f t="shared" si="65"/>
        <v>0</v>
      </c>
      <c r="S265" s="1427"/>
      <c r="T265" s="1427">
        <f t="shared" si="66"/>
        <v>0</v>
      </c>
      <c r="U265" s="1429"/>
      <c r="V265" s="1225">
        <f t="shared" si="48"/>
        <v>0</v>
      </c>
      <c r="W265" s="1225">
        <f t="shared" si="49"/>
        <v>0</v>
      </c>
      <c r="X265" s="1225"/>
      <c r="Y265" s="1225"/>
    </row>
    <row r="266" spans="1:787" s="1247" customFormat="1" ht="13" hidden="1" outlineLevel="2">
      <c r="B266" s="1422" t="s">
        <v>755</v>
      </c>
      <c r="C266" s="1423"/>
      <c r="D266" s="1423" t="s">
        <v>90</v>
      </c>
      <c r="E266" s="1431" t="s">
        <v>3713</v>
      </c>
      <c r="F266" s="1425" t="s">
        <v>3577</v>
      </c>
      <c r="G266" s="1431" t="s">
        <v>4141</v>
      </c>
      <c r="H266" s="1446">
        <f>VLOOKUP($D266,车位!$D:$V,12,FALSE)</f>
        <v>0</v>
      </c>
      <c r="I266" s="1446">
        <v>0</v>
      </c>
      <c r="J266" s="1427">
        <f>VLOOKUP($D266,高层!$D:$V,12,FALSE)</f>
        <v>0</v>
      </c>
      <c r="K266" s="1427">
        <f>VLOOKUP($D266,幼儿园!$D:$V,12,FALSE)</f>
        <v>0</v>
      </c>
      <c r="L266" s="1427">
        <f>VLOOKUP($D266,配套用房!$D:$V,12,FALSE)</f>
        <v>0</v>
      </c>
      <c r="M266" s="1427">
        <f>VLOOKUP($D266,临街商业!$D:$V,12,FALSE)</f>
        <v>0</v>
      </c>
      <c r="N266" s="1427">
        <f>VLOOKUP($D266,人防车位!D:U,12,FALSE)</f>
        <v>0</v>
      </c>
      <c r="O266" s="1427">
        <f>VLOOKUP($D266,人才公寓销售!$D:$V,12,FALSE)</f>
        <v>0</v>
      </c>
      <c r="P266" s="1427">
        <f>VLOOKUP($D266,小高层!$D:$V,12,FALSE)</f>
        <v>0</v>
      </c>
      <c r="Q266" s="1427"/>
      <c r="R266" s="1428">
        <f t="shared" si="65"/>
        <v>0</v>
      </c>
      <c r="S266" s="1427"/>
      <c r="T266" s="1427">
        <f t="shared" si="66"/>
        <v>0</v>
      </c>
      <c r="U266" s="1429"/>
      <c r="V266" s="1225">
        <f t="shared" ref="V266:V329" si="67">H266+I266+J266+L266+N266+O266+P266+Q266+S266-T266+K266+M266</f>
        <v>0</v>
      </c>
      <c r="W266" s="1225">
        <f t="shared" ref="W266:W329" si="68">T266-R266</f>
        <v>0</v>
      </c>
      <c r="X266" s="1225"/>
      <c r="Y266" s="1225"/>
    </row>
    <row r="267" spans="1:787" s="1247" customFormat="1" ht="13" hidden="1" outlineLevel="2">
      <c r="B267" s="1422" t="s">
        <v>756</v>
      </c>
      <c r="C267" s="1423"/>
      <c r="D267" s="1423" t="s">
        <v>757</v>
      </c>
      <c r="E267" s="1431" t="s">
        <v>3714</v>
      </c>
      <c r="F267" s="1462" t="s">
        <v>3342</v>
      </c>
      <c r="G267" s="1431" t="s">
        <v>4116</v>
      </c>
      <c r="H267" s="1446">
        <f>VLOOKUP($D267,车位!$D:$V,12,FALSE)</f>
        <v>0</v>
      </c>
      <c r="I267" s="1446">
        <v>0</v>
      </c>
      <c r="J267" s="1427">
        <f>VLOOKUP($D267,高层!$D:$V,12,FALSE)</f>
        <v>52.704000000000001</v>
      </c>
      <c r="K267" s="1427">
        <f>VLOOKUP($D267,幼儿园!$D:$V,12,FALSE)</f>
        <v>0</v>
      </c>
      <c r="L267" s="1427">
        <f>VLOOKUP($D267,配套用房!$D:$V,12,FALSE)</f>
        <v>0</v>
      </c>
      <c r="M267" s="1427">
        <f>VLOOKUP($D267,临街商业!$D:$V,12,FALSE)</f>
        <v>0</v>
      </c>
      <c r="N267" s="1427">
        <f>VLOOKUP($D267,人防车位!D:U,12,FALSE)</f>
        <v>0</v>
      </c>
      <c r="O267" s="1427">
        <f>VLOOKUP($D267,人才公寓销售!$D:$V,12,FALSE)</f>
        <v>0</v>
      </c>
      <c r="P267" s="1427">
        <f>VLOOKUP($D267,小高层!$D:$V,12,FALSE)</f>
        <v>182.16</v>
      </c>
      <c r="Q267" s="1427"/>
      <c r="R267" s="1428">
        <f t="shared" si="65"/>
        <v>234.864</v>
      </c>
      <c r="S267" s="1427"/>
      <c r="T267" s="1427">
        <f t="shared" si="66"/>
        <v>234.864</v>
      </c>
      <c r="U267" s="1429"/>
      <c r="V267" s="1225">
        <f t="shared" si="67"/>
        <v>0</v>
      </c>
      <c r="W267" s="1225">
        <f t="shared" si="68"/>
        <v>0</v>
      </c>
      <c r="X267" s="1225"/>
      <c r="Y267" s="1225"/>
    </row>
    <row r="268" spans="1:787" s="1247" customFormat="1" ht="13" hidden="1" outlineLevel="2">
      <c r="B268" s="1422" t="s">
        <v>758</v>
      </c>
      <c r="C268" s="1423"/>
      <c r="D268" s="1423" t="s">
        <v>118</v>
      </c>
      <c r="E268" s="1431" t="s">
        <v>3715</v>
      </c>
      <c r="F268" s="1425" t="s">
        <v>3577</v>
      </c>
      <c r="G268" s="1431" t="s">
        <v>4141</v>
      </c>
      <c r="H268" s="1446">
        <f>VLOOKUP($D268,车位!$D:$V,12,FALSE)</f>
        <v>0</v>
      </c>
      <c r="I268" s="1446">
        <v>0</v>
      </c>
      <c r="J268" s="1427">
        <f>VLOOKUP($D268,高层!$D:$V,12,FALSE)</f>
        <v>436.8</v>
      </c>
      <c r="K268" s="1427">
        <f>VLOOKUP($D268,幼儿园!$D:$V,12,FALSE)</f>
        <v>0</v>
      </c>
      <c r="L268" s="1427">
        <f>VLOOKUP($D268,配套用房!$D:$V,12,FALSE)</f>
        <v>0</v>
      </c>
      <c r="M268" s="1427">
        <f>VLOOKUP($D268,临街商业!$D:$V,12,FALSE)</f>
        <v>0</v>
      </c>
      <c r="N268" s="1427">
        <f>VLOOKUP($D268,人防车位!D:U,12,FALSE)</f>
        <v>0</v>
      </c>
      <c r="O268" s="1427">
        <f>VLOOKUP($D268,人才公寓销售!$D:$V,12,FALSE)</f>
        <v>0</v>
      </c>
      <c r="P268" s="1427">
        <f>VLOOKUP($D268,小高层!$D:$V,12,FALSE)</f>
        <v>361.79</v>
      </c>
      <c r="Q268" s="1427"/>
      <c r="R268" s="1428">
        <f t="shared" si="65"/>
        <v>798.59</v>
      </c>
      <c r="S268" s="1427"/>
      <c r="T268" s="1427">
        <f t="shared" si="66"/>
        <v>798.59</v>
      </c>
      <c r="U268" s="1429"/>
      <c r="V268" s="1225">
        <f t="shared" si="67"/>
        <v>0</v>
      </c>
      <c r="W268" s="1225">
        <f t="shared" si="68"/>
        <v>0</v>
      </c>
      <c r="X268" s="1225"/>
      <c r="Y268" s="1225"/>
    </row>
    <row r="269" spans="1:787" s="1247" customFormat="1" ht="13" hidden="1" outlineLevel="2">
      <c r="B269" s="1422" t="s">
        <v>763</v>
      </c>
      <c r="C269" s="1423"/>
      <c r="D269" s="1423" t="s">
        <v>807</v>
      </c>
      <c r="E269" s="1431" t="s">
        <v>3716</v>
      </c>
      <c r="F269" s="1425" t="s">
        <v>3577</v>
      </c>
      <c r="G269" s="1431" t="s">
        <v>4141</v>
      </c>
      <c r="H269" s="1446">
        <f>VLOOKUP($D269,车位!$D:$V,12,FALSE)</f>
        <v>0</v>
      </c>
      <c r="I269" s="1446">
        <v>0</v>
      </c>
      <c r="J269" s="1427">
        <f>VLOOKUP($D269,高层!$D:$V,12,FALSE)</f>
        <v>0</v>
      </c>
      <c r="K269" s="1427">
        <f>VLOOKUP($D269,幼儿园!$D:$V,12,FALSE)</f>
        <v>0</v>
      </c>
      <c r="L269" s="1427">
        <f>VLOOKUP($D269,配套用房!$D:$V,12,FALSE)</f>
        <v>0</v>
      </c>
      <c r="M269" s="1427">
        <f>VLOOKUP($D269,临街商业!$D:$V,12,FALSE)</f>
        <v>0</v>
      </c>
      <c r="N269" s="1427">
        <f>VLOOKUP($D269,人防车位!D:U,12,FALSE)</f>
        <v>0</v>
      </c>
      <c r="O269" s="1427">
        <f>VLOOKUP($D269,人才公寓销售!$D:$V,12,FALSE)</f>
        <v>0</v>
      </c>
      <c r="P269" s="1427">
        <f>VLOOKUP($D269,小高层!$D:$V,12,FALSE)</f>
        <v>0</v>
      </c>
      <c r="Q269" s="1427"/>
      <c r="R269" s="1428">
        <f t="shared" si="65"/>
        <v>0</v>
      </c>
      <c r="S269" s="1427"/>
      <c r="T269" s="1427">
        <f t="shared" si="66"/>
        <v>0</v>
      </c>
      <c r="U269" s="1429"/>
      <c r="V269" s="1225">
        <f t="shared" si="67"/>
        <v>0</v>
      </c>
      <c r="W269" s="1225">
        <f t="shared" si="68"/>
        <v>0</v>
      </c>
      <c r="X269" s="1225"/>
      <c r="Y269" s="1225"/>
    </row>
    <row r="270" spans="1:787" s="1247" customFormat="1" ht="13" hidden="1" outlineLevel="2">
      <c r="B270" s="1422" t="s">
        <v>764</v>
      </c>
      <c r="C270" s="1423"/>
      <c r="D270" s="1423" t="s">
        <v>808</v>
      </c>
      <c r="E270" s="1431" t="s">
        <v>3717</v>
      </c>
      <c r="F270" s="1425" t="s">
        <v>3577</v>
      </c>
      <c r="G270" s="1431" t="s">
        <v>4141</v>
      </c>
      <c r="H270" s="1446">
        <f>VLOOKUP($D270,车位!$D:$V,12,FALSE)</f>
        <v>0</v>
      </c>
      <c r="I270" s="1446">
        <v>0</v>
      </c>
      <c r="J270" s="1427">
        <f>VLOOKUP($D270,高层!$D:$V,12,FALSE)</f>
        <v>0</v>
      </c>
      <c r="K270" s="1427">
        <f>VLOOKUP($D270,幼儿园!$D:$V,12,FALSE)</f>
        <v>0</v>
      </c>
      <c r="L270" s="1427">
        <f>VLOOKUP($D270,配套用房!$D:$V,12,FALSE)</f>
        <v>0</v>
      </c>
      <c r="M270" s="1427">
        <f>VLOOKUP($D270,临街商业!$D:$V,12,FALSE)</f>
        <v>0</v>
      </c>
      <c r="N270" s="1427">
        <f>VLOOKUP($D270,人防车位!D:U,12,FALSE)</f>
        <v>0</v>
      </c>
      <c r="O270" s="1427">
        <f>VLOOKUP($D270,人才公寓销售!$D:$V,12,FALSE)</f>
        <v>0</v>
      </c>
      <c r="P270" s="1427">
        <f>VLOOKUP($D270,小高层!$D:$V,12,FALSE)</f>
        <v>0</v>
      </c>
      <c r="Q270" s="1427"/>
      <c r="R270" s="1428">
        <f t="shared" si="65"/>
        <v>0</v>
      </c>
      <c r="S270" s="1427"/>
      <c r="T270" s="1427">
        <f t="shared" si="66"/>
        <v>0</v>
      </c>
      <c r="U270" s="1429"/>
      <c r="V270" s="1225">
        <f t="shared" si="67"/>
        <v>0</v>
      </c>
      <c r="W270" s="1225">
        <f t="shared" si="68"/>
        <v>0</v>
      </c>
      <c r="X270" s="1225"/>
      <c r="Y270" s="1225"/>
    </row>
    <row r="271" spans="1:787" s="1247" customFormat="1" ht="13" hidden="1" outlineLevel="2">
      <c r="B271" s="1422" t="s">
        <v>765</v>
      </c>
      <c r="C271" s="1423"/>
      <c r="D271" s="1423" t="s">
        <v>3718</v>
      </c>
      <c r="E271" s="1431" t="s">
        <v>3719</v>
      </c>
      <c r="F271" s="1462" t="s">
        <v>3342</v>
      </c>
      <c r="G271" s="1431" t="s">
        <v>4116</v>
      </c>
      <c r="H271" s="1446">
        <f>VLOOKUP($D271,车位!$D:$V,12,FALSE)</f>
        <v>0</v>
      </c>
      <c r="I271" s="1446">
        <v>0</v>
      </c>
      <c r="J271" s="1427">
        <f>VLOOKUP($D271,高层!$D:$V,12,FALSE)</f>
        <v>31.32</v>
      </c>
      <c r="K271" s="1427">
        <f>VLOOKUP($D271,幼儿园!$D:$V,12,FALSE)</f>
        <v>0</v>
      </c>
      <c r="L271" s="1427">
        <f>VLOOKUP($D271,配套用房!$D:$V,12,FALSE)</f>
        <v>0</v>
      </c>
      <c r="M271" s="1427">
        <f>VLOOKUP($D271,临街商业!$D:$V,12,FALSE)</f>
        <v>0</v>
      </c>
      <c r="N271" s="1427">
        <f>VLOOKUP($D271,人防车位!D:U,12,FALSE)</f>
        <v>0</v>
      </c>
      <c r="O271" s="1427">
        <f>VLOOKUP($D271,人才公寓销售!$D:$V,12,FALSE)</f>
        <v>0</v>
      </c>
      <c r="P271" s="1427">
        <f>VLOOKUP($D271,小高层!$D:$V,12,FALSE)</f>
        <v>0</v>
      </c>
      <c r="Q271" s="1427"/>
      <c r="R271" s="1428">
        <f t="shared" si="65"/>
        <v>31.32</v>
      </c>
      <c r="S271" s="1427"/>
      <c r="T271" s="1427">
        <f t="shared" si="66"/>
        <v>31.32</v>
      </c>
      <c r="U271" s="1429"/>
      <c r="V271" s="1225">
        <f t="shared" si="67"/>
        <v>0</v>
      </c>
      <c r="W271" s="1225">
        <f t="shared" si="68"/>
        <v>0</v>
      </c>
      <c r="X271" s="1225"/>
      <c r="Y271" s="1225"/>
    </row>
    <row r="272" spans="1:787" s="1247" customFormat="1" ht="13" hidden="1" outlineLevel="2">
      <c r="B272" s="1422" t="s">
        <v>810</v>
      </c>
      <c r="C272" s="1423"/>
      <c r="D272" s="1423" t="s">
        <v>3720</v>
      </c>
      <c r="E272" s="1431" t="s">
        <v>3721</v>
      </c>
      <c r="F272" s="1425" t="s">
        <v>3577</v>
      </c>
      <c r="G272" s="1431" t="s">
        <v>4141</v>
      </c>
      <c r="H272" s="1446">
        <f>VLOOKUP($D272,车位!$D:$V,12,FALSE)</f>
        <v>0</v>
      </c>
      <c r="I272" s="1446">
        <v>0</v>
      </c>
      <c r="J272" s="1427">
        <f>VLOOKUP($D272,高层!$D:$V,12,FALSE)</f>
        <v>0</v>
      </c>
      <c r="K272" s="1427">
        <f>VLOOKUP($D272,幼儿园!$D:$V,12,FALSE)</f>
        <v>0</v>
      </c>
      <c r="L272" s="1427">
        <f>VLOOKUP($D272,配套用房!$D:$V,12,FALSE)</f>
        <v>0</v>
      </c>
      <c r="M272" s="1427">
        <f>VLOOKUP($D272,临街商业!$D:$V,12,FALSE)</f>
        <v>0</v>
      </c>
      <c r="N272" s="1427">
        <f>VLOOKUP($D272,人防车位!D:U,12,FALSE)</f>
        <v>0</v>
      </c>
      <c r="O272" s="1427">
        <f>VLOOKUP($D272,人才公寓销售!$D:$V,12,FALSE)</f>
        <v>0</v>
      </c>
      <c r="P272" s="1427">
        <f>VLOOKUP($D272,小高层!$D:$V,12,FALSE)</f>
        <v>0</v>
      </c>
      <c r="Q272" s="1427"/>
      <c r="R272" s="1428">
        <f t="shared" si="65"/>
        <v>0</v>
      </c>
      <c r="S272" s="1427"/>
      <c r="T272" s="1427">
        <f t="shared" si="66"/>
        <v>0</v>
      </c>
      <c r="U272" s="1429"/>
      <c r="V272" s="1225">
        <f t="shared" si="67"/>
        <v>0</v>
      </c>
      <c r="W272" s="1225">
        <f t="shared" si="68"/>
        <v>0</v>
      </c>
      <c r="X272" s="1225"/>
      <c r="Y272" s="1225"/>
    </row>
    <row r="273" spans="1:787" s="1247" customFormat="1" ht="13" hidden="1" outlineLevel="2">
      <c r="B273" s="1422" t="s">
        <v>3722</v>
      </c>
      <c r="C273" s="1423"/>
      <c r="D273" s="1423" t="s">
        <v>3723</v>
      </c>
      <c r="E273" s="1431" t="s">
        <v>3724</v>
      </c>
      <c r="F273" s="1425" t="s">
        <v>3577</v>
      </c>
      <c r="G273" s="1431" t="s">
        <v>4141</v>
      </c>
      <c r="H273" s="1446">
        <f>VLOOKUP($D273,车位!$D:$V,12,FALSE)</f>
        <v>0</v>
      </c>
      <c r="I273" s="1446">
        <v>0</v>
      </c>
      <c r="J273" s="1427">
        <f>VLOOKUP($D273,高层!$D:$V,12,FALSE)</f>
        <v>0</v>
      </c>
      <c r="K273" s="1427">
        <f>VLOOKUP($D273,幼儿园!$D:$V,12,FALSE)</f>
        <v>0</v>
      </c>
      <c r="L273" s="1427">
        <f>VLOOKUP($D273,配套用房!$D:$V,12,FALSE)</f>
        <v>0</v>
      </c>
      <c r="M273" s="1427">
        <f>VLOOKUP($D273,临街商业!$D:$V,12,FALSE)</f>
        <v>0</v>
      </c>
      <c r="N273" s="1427">
        <f>VLOOKUP($D273,人防车位!D:U,12,FALSE)</f>
        <v>0</v>
      </c>
      <c r="O273" s="1427">
        <f>VLOOKUP($D273,人才公寓销售!$D:$V,12,FALSE)</f>
        <v>0</v>
      </c>
      <c r="P273" s="1427">
        <f>VLOOKUP($D273,小高层!$D:$V,12,FALSE)</f>
        <v>0</v>
      </c>
      <c r="Q273" s="1427"/>
      <c r="R273" s="1428">
        <f t="shared" si="65"/>
        <v>0</v>
      </c>
      <c r="S273" s="1427"/>
      <c r="T273" s="1427">
        <f t="shared" si="66"/>
        <v>0</v>
      </c>
      <c r="U273" s="1429"/>
      <c r="V273" s="1225">
        <f t="shared" si="67"/>
        <v>0</v>
      </c>
      <c r="W273" s="1225">
        <f t="shared" si="68"/>
        <v>0</v>
      </c>
      <c r="X273" s="1225"/>
      <c r="Y273" s="1225"/>
    </row>
    <row r="274" spans="1:787" s="1247" customFormat="1" ht="13" hidden="1" outlineLevel="2">
      <c r="B274" s="1422" t="s">
        <v>3725</v>
      </c>
      <c r="C274" s="1423"/>
      <c r="D274" s="1423" t="s">
        <v>811</v>
      </c>
      <c r="E274" s="1431" t="s">
        <v>3726</v>
      </c>
      <c r="F274" s="1425" t="s">
        <v>3624</v>
      </c>
      <c r="G274" s="1431" t="s">
        <v>4149</v>
      </c>
      <c r="H274" s="1446">
        <f>VLOOKUP($D274,车位!$D:$V,12,FALSE)</f>
        <v>0</v>
      </c>
      <c r="I274" s="1446">
        <v>0</v>
      </c>
      <c r="J274" s="1427">
        <f>VLOOKUP($D274,高层!$D:$V,12,FALSE)</f>
        <v>0</v>
      </c>
      <c r="K274" s="1427">
        <f>VLOOKUP($D274,幼儿园!$D:$V,12,FALSE)</f>
        <v>0</v>
      </c>
      <c r="L274" s="1427">
        <f>VLOOKUP($D274,配套用房!$D:$V,12,FALSE)</f>
        <v>0</v>
      </c>
      <c r="M274" s="1427">
        <f>VLOOKUP($D274,临街商业!$D:$V,12,FALSE)</f>
        <v>0</v>
      </c>
      <c r="N274" s="1427">
        <f>VLOOKUP($D274,人防车位!D:U,12,FALSE)</f>
        <v>0</v>
      </c>
      <c r="O274" s="1427">
        <f>VLOOKUP($D274,人才公寓销售!$D:$V,12,FALSE)</f>
        <v>0</v>
      </c>
      <c r="P274" s="1427">
        <f>VLOOKUP($D274,小高层!$D:$V,12,FALSE)</f>
        <v>0</v>
      </c>
      <c r="Q274" s="1427"/>
      <c r="R274" s="1428">
        <f t="shared" si="65"/>
        <v>0</v>
      </c>
      <c r="S274" s="1427"/>
      <c r="T274" s="1427">
        <f t="shared" si="66"/>
        <v>0</v>
      </c>
      <c r="U274" s="1429"/>
      <c r="V274" s="1225">
        <f t="shared" si="67"/>
        <v>0</v>
      </c>
      <c r="W274" s="1225">
        <f t="shared" si="68"/>
        <v>0</v>
      </c>
      <c r="X274" s="1225"/>
      <c r="Y274" s="1225"/>
    </row>
    <row r="275" spans="1:787" s="1247" customFormat="1" ht="13" hidden="1" outlineLevel="2">
      <c r="B275" s="1422" t="s">
        <v>3727</v>
      </c>
      <c r="C275" s="1423"/>
      <c r="D275" s="1423" t="s">
        <v>3728</v>
      </c>
      <c r="E275" s="1431" t="s">
        <v>3729</v>
      </c>
      <c r="F275" s="1425" t="s">
        <v>3730</v>
      </c>
      <c r="G275" s="1431" t="s">
        <v>4163</v>
      </c>
      <c r="H275" s="1446">
        <f>VLOOKUP($D275,车位!$D:$V,12,FALSE)</f>
        <v>85.980440000000002</v>
      </c>
      <c r="I275" s="1446">
        <v>0</v>
      </c>
      <c r="J275" s="1427">
        <f>VLOOKUP($D275,高层!$D:$V,12,FALSE)</f>
        <v>0</v>
      </c>
      <c r="K275" s="1427">
        <f>VLOOKUP($D275,幼儿园!$D:$V,12,FALSE)</f>
        <v>0</v>
      </c>
      <c r="L275" s="1427">
        <f>VLOOKUP($D275,配套用房!$D:$V,12,FALSE)</f>
        <v>0</v>
      </c>
      <c r="M275" s="1427">
        <f>VLOOKUP($D275,临街商业!$D:$V,12,FALSE)</f>
        <v>0</v>
      </c>
      <c r="N275" s="1427">
        <f>VLOOKUP($D275,人防车位!D:U,12,FALSE)</f>
        <v>32.933109999999999</v>
      </c>
      <c r="O275" s="1427">
        <f>VLOOKUP($D275,人才公寓销售!$D:$V,12,FALSE)</f>
        <v>0</v>
      </c>
      <c r="P275" s="1427">
        <f>VLOOKUP($D275,小高层!$D:$V,12,FALSE)</f>
        <v>0</v>
      </c>
      <c r="Q275" s="1427"/>
      <c r="R275" s="1428">
        <f t="shared" si="65"/>
        <v>118.91355</v>
      </c>
      <c r="S275" s="1427"/>
      <c r="T275" s="1427">
        <f t="shared" si="66"/>
        <v>118.91355</v>
      </c>
      <c r="U275" s="1429"/>
      <c r="V275" s="1225">
        <f t="shared" si="67"/>
        <v>0</v>
      </c>
      <c r="W275" s="1225">
        <f t="shared" si="68"/>
        <v>0</v>
      </c>
      <c r="X275" s="1225"/>
      <c r="Y275" s="1225"/>
    </row>
    <row r="276" spans="1:787" s="1421" customFormat="1" ht="13" hidden="1" outlineLevel="1">
      <c r="A276" s="1247"/>
      <c r="B276" s="1413" t="s">
        <v>502</v>
      </c>
      <c r="C276" s="1414"/>
      <c r="D276" s="1414" t="s">
        <v>84</v>
      </c>
      <c r="E276" s="1417"/>
      <c r="F276" s="1449"/>
      <c r="G276" s="1448" t="s">
        <v>4117</v>
      </c>
      <c r="H276" s="1418">
        <f>SUBTOTAL(9,H277:H284)</f>
        <v>0</v>
      </c>
      <c r="I276" s="1418">
        <f t="shared" ref="I276:T276" si="69">SUBTOTAL(9,I277:I284)</f>
        <v>0</v>
      </c>
      <c r="J276" s="1419">
        <f t="shared" si="69"/>
        <v>183.80874</v>
      </c>
      <c r="K276" s="1419">
        <f t="shared" si="69"/>
        <v>0</v>
      </c>
      <c r="L276" s="1419">
        <f t="shared" si="69"/>
        <v>1.3704240000000001</v>
      </c>
      <c r="M276" s="1419">
        <f t="shared" si="69"/>
        <v>7.4250000000000007</v>
      </c>
      <c r="N276" s="1419">
        <f t="shared" si="69"/>
        <v>0</v>
      </c>
      <c r="O276" s="1419">
        <f t="shared" si="69"/>
        <v>0</v>
      </c>
      <c r="P276" s="1419">
        <f t="shared" si="69"/>
        <v>209.88425599999999</v>
      </c>
      <c r="Q276" s="1419">
        <f t="shared" si="69"/>
        <v>0</v>
      </c>
      <c r="R276" s="1419">
        <f t="shared" si="69"/>
        <v>402.48842000000002</v>
      </c>
      <c r="S276" s="1419">
        <f t="shared" si="69"/>
        <v>0</v>
      </c>
      <c r="T276" s="1419">
        <f t="shared" si="69"/>
        <v>402.48842000000002</v>
      </c>
      <c r="U276" s="1443"/>
      <c r="V276" s="1225">
        <f t="shared" si="67"/>
        <v>-1.0658141036401503E-14</v>
      </c>
      <c r="W276" s="1225">
        <f t="shared" si="68"/>
        <v>0</v>
      </c>
      <c r="X276" s="1225"/>
      <c r="Y276" s="1225"/>
      <c r="Z276" s="1247"/>
      <c r="AA276" s="1247"/>
      <c r="AB276" s="1247"/>
      <c r="AC276" s="1247"/>
      <c r="AD276" s="1247"/>
      <c r="AE276" s="1247"/>
      <c r="AF276" s="1247"/>
      <c r="AG276" s="1247"/>
      <c r="AH276" s="1247"/>
      <c r="AI276" s="1247"/>
      <c r="AJ276" s="1247"/>
      <c r="AK276" s="1247"/>
      <c r="AL276" s="1247"/>
      <c r="AM276" s="1247"/>
      <c r="AN276" s="1247"/>
      <c r="AO276" s="1247"/>
      <c r="AP276" s="1247"/>
      <c r="AQ276" s="1247"/>
      <c r="AR276" s="1247"/>
      <c r="AS276" s="1247"/>
      <c r="AT276" s="1247"/>
      <c r="AU276" s="1247"/>
      <c r="AV276" s="1247"/>
      <c r="AW276" s="1247"/>
      <c r="AX276" s="1247"/>
      <c r="AY276" s="1247"/>
      <c r="AZ276" s="1247"/>
      <c r="BA276" s="1247"/>
      <c r="BB276" s="1247"/>
      <c r="BC276" s="1247"/>
      <c r="BD276" s="1247"/>
      <c r="BE276" s="1247"/>
      <c r="BF276" s="1247"/>
      <c r="BG276" s="1247"/>
      <c r="BH276" s="1247"/>
      <c r="BI276" s="1247"/>
      <c r="BJ276" s="1247"/>
      <c r="BK276" s="1247"/>
      <c r="BL276" s="1247"/>
      <c r="BM276" s="1247"/>
      <c r="BN276" s="1247"/>
      <c r="BO276" s="1247"/>
      <c r="BP276" s="1247"/>
      <c r="BQ276" s="1247"/>
      <c r="BR276" s="1247"/>
      <c r="BS276" s="1247"/>
      <c r="BT276" s="1247"/>
      <c r="BU276" s="1247"/>
      <c r="BV276" s="1247"/>
      <c r="BW276" s="1247"/>
      <c r="BX276" s="1247"/>
      <c r="BY276" s="1247"/>
      <c r="BZ276" s="1247"/>
      <c r="CA276" s="1247"/>
      <c r="CB276" s="1247"/>
      <c r="CC276" s="1247"/>
      <c r="CD276" s="1247"/>
      <c r="CE276" s="1247"/>
      <c r="CF276" s="1247"/>
      <c r="CG276" s="1247"/>
      <c r="CH276" s="1247"/>
      <c r="CI276" s="1247"/>
      <c r="CJ276" s="1247"/>
      <c r="CK276" s="1247"/>
      <c r="CL276" s="1247"/>
      <c r="CM276" s="1247"/>
      <c r="CN276" s="1247"/>
      <c r="CO276" s="1247"/>
      <c r="CP276" s="1247"/>
      <c r="CQ276" s="1247"/>
      <c r="CR276" s="1247"/>
      <c r="CS276" s="1247"/>
      <c r="CT276" s="1247"/>
      <c r="CU276" s="1247"/>
      <c r="CV276" s="1247"/>
      <c r="CW276" s="1247"/>
      <c r="CX276" s="1247"/>
      <c r="CY276" s="1247"/>
      <c r="CZ276" s="1247"/>
      <c r="DA276" s="1247"/>
      <c r="DB276" s="1247"/>
      <c r="DC276" s="1247"/>
      <c r="DD276" s="1247"/>
      <c r="DE276" s="1247"/>
      <c r="DF276" s="1247"/>
      <c r="DG276" s="1247"/>
      <c r="DH276" s="1247"/>
      <c r="DI276" s="1247"/>
      <c r="DJ276" s="1247"/>
      <c r="DK276" s="1247"/>
      <c r="DL276" s="1247"/>
      <c r="DM276" s="1247"/>
      <c r="DN276" s="1247"/>
      <c r="DO276" s="1247"/>
      <c r="DP276" s="1247"/>
      <c r="DQ276" s="1247"/>
      <c r="DR276" s="1247"/>
      <c r="DS276" s="1247"/>
      <c r="DT276" s="1247"/>
      <c r="DU276" s="1247"/>
      <c r="DV276" s="1247"/>
      <c r="DW276" s="1247"/>
      <c r="DX276" s="1247"/>
      <c r="DY276" s="1247"/>
      <c r="DZ276" s="1247"/>
      <c r="EA276" s="1247"/>
      <c r="EB276" s="1247"/>
      <c r="EC276" s="1247"/>
      <c r="ED276" s="1247"/>
      <c r="EE276" s="1247"/>
      <c r="EF276" s="1247"/>
      <c r="EG276" s="1247"/>
      <c r="EH276" s="1247"/>
      <c r="EI276" s="1247"/>
      <c r="EJ276" s="1247"/>
      <c r="EK276" s="1247"/>
      <c r="EL276" s="1247"/>
      <c r="EM276" s="1247"/>
      <c r="EN276" s="1247"/>
      <c r="EO276" s="1247"/>
      <c r="EP276" s="1247"/>
      <c r="EQ276" s="1247"/>
      <c r="ER276" s="1247"/>
      <c r="ES276" s="1247"/>
      <c r="ET276" s="1247"/>
      <c r="EU276" s="1247"/>
      <c r="EV276" s="1247"/>
      <c r="EW276" s="1247"/>
      <c r="EX276" s="1247"/>
      <c r="EY276" s="1247"/>
      <c r="EZ276" s="1247"/>
      <c r="FA276" s="1247"/>
      <c r="FB276" s="1247"/>
      <c r="FC276" s="1247"/>
      <c r="FD276" s="1247"/>
      <c r="FE276" s="1247"/>
      <c r="FF276" s="1247"/>
      <c r="FG276" s="1247"/>
      <c r="FH276" s="1247"/>
      <c r="FI276" s="1247"/>
      <c r="FJ276" s="1247"/>
      <c r="FK276" s="1247"/>
      <c r="FL276" s="1247"/>
      <c r="FM276" s="1247"/>
      <c r="FN276" s="1247"/>
      <c r="FO276" s="1247"/>
      <c r="FP276" s="1247"/>
      <c r="FQ276" s="1247"/>
      <c r="FR276" s="1247"/>
      <c r="FS276" s="1247"/>
      <c r="FT276" s="1247"/>
      <c r="FU276" s="1247"/>
      <c r="FV276" s="1247"/>
      <c r="FW276" s="1247"/>
      <c r="FX276" s="1247"/>
      <c r="FY276" s="1247"/>
      <c r="FZ276" s="1247"/>
      <c r="GA276" s="1247"/>
      <c r="GB276" s="1247"/>
      <c r="GC276" s="1247"/>
      <c r="GD276" s="1247"/>
      <c r="GE276" s="1247"/>
      <c r="GF276" s="1247"/>
      <c r="GG276" s="1247"/>
      <c r="GH276" s="1247"/>
      <c r="GI276" s="1247"/>
      <c r="GJ276" s="1247"/>
      <c r="GK276" s="1247"/>
      <c r="GL276" s="1247"/>
      <c r="GM276" s="1247"/>
      <c r="GN276" s="1247"/>
      <c r="GO276" s="1247"/>
      <c r="GP276" s="1247"/>
      <c r="GQ276" s="1247"/>
      <c r="GR276" s="1247"/>
      <c r="GS276" s="1247"/>
      <c r="GT276" s="1247"/>
      <c r="GU276" s="1247"/>
      <c r="GV276" s="1247"/>
      <c r="GW276" s="1247"/>
      <c r="GX276" s="1247"/>
      <c r="GY276" s="1247"/>
      <c r="GZ276" s="1247"/>
      <c r="HA276" s="1247"/>
      <c r="HB276" s="1247"/>
      <c r="HC276" s="1247"/>
      <c r="HD276" s="1247"/>
      <c r="HE276" s="1247"/>
      <c r="HF276" s="1247"/>
      <c r="HG276" s="1247"/>
      <c r="HH276" s="1247"/>
      <c r="HI276" s="1247"/>
      <c r="HJ276" s="1247"/>
      <c r="HK276" s="1247"/>
      <c r="HL276" s="1247"/>
      <c r="HM276" s="1247"/>
      <c r="HN276" s="1247"/>
      <c r="HO276" s="1247"/>
      <c r="HP276" s="1247"/>
      <c r="HQ276" s="1247"/>
      <c r="HR276" s="1247"/>
      <c r="HS276" s="1247"/>
      <c r="HT276" s="1247"/>
      <c r="HU276" s="1247"/>
      <c r="HV276" s="1247"/>
      <c r="HW276" s="1247"/>
      <c r="HX276" s="1247"/>
      <c r="HY276" s="1247"/>
      <c r="HZ276" s="1247"/>
      <c r="IA276" s="1247"/>
      <c r="IB276" s="1247"/>
      <c r="IC276" s="1247"/>
      <c r="ID276" s="1247"/>
      <c r="IE276" s="1247"/>
      <c r="IF276" s="1247"/>
      <c r="IG276" s="1247"/>
      <c r="IH276" s="1247"/>
      <c r="II276" s="1247"/>
      <c r="IJ276" s="1247"/>
      <c r="IK276" s="1247"/>
      <c r="IL276" s="1247"/>
      <c r="IM276" s="1247"/>
      <c r="IN276" s="1247"/>
      <c r="IO276" s="1247"/>
      <c r="IP276" s="1247"/>
      <c r="IQ276" s="1247"/>
      <c r="IR276" s="1247"/>
      <c r="IS276" s="1247"/>
      <c r="IT276" s="1247"/>
      <c r="IU276" s="1247"/>
      <c r="IV276" s="1247"/>
      <c r="IW276" s="1247"/>
      <c r="IX276" s="1247"/>
      <c r="IY276" s="1247"/>
      <c r="IZ276" s="1247"/>
      <c r="JA276" s="1247"/>
      <c r="JB276" s="1247"/>
      <c r="JC276" s="1247"/>
      <c r="JD276" s="1247"/>
      <c r="JE276" s="1247"/>
      <c r="JF276" s="1247"/>
      <c r="JG276" s="1247"/>
      <c r="JH276" s="1247"/>
      <c r="JI276" s="1247"/>
      <c r="JJ276" s="1247"/>
      <c r="JK276" s="1247"/>
      <c r="JL276" s="1247"/>
      <c r="JM276" s="1247"/>
      <c r="JN276" s="1247"/>
      <c r="JO276" s="1247"/>
      <c r="JP276" s="1247"/>
      <c r="JQ276" s="1247"/>
      <c r="JR276" s="1247"/>
      <c r="JS276" s="1247"/>
      <c r="JT276" s="1247"/>
      <c r="JU276" s="1247"/>
      <c r="JV276" s="1247"/>
      <c r="JW276" s="1247"/>
      <c r="JX276" s="1247"/>
      <c r="JY276" s="1247"/>
      <c r="JZ276" s="1247"/>
      <c r="KA276" s="1247"/>
      <c r="KB276" s="1247"/>
      <c r="KC276" s="1247"/>
      <c r="KD276" s="1247"/>
      <c r="KE276" s="1247"/>
      <c r="KF276" s="1247"/>
      <c r="KG276" s="1247"/>
      <c r="KH276" s="1247"/>
      <c r="KI276" s="1247"/>
      <c r="KJ276" s="1247"/>
      <c r="KK276" s="1247"/>
      <c r="KL276" s="1247"/>
      <c r="KM276" s="1247"/>
      <c r="KN276" s="1247"/>
      <c r="KO276" s="1247"/>
      <c r="KP276" s="1247"/>
      <c r="KQ276" s="1247"/>
      <c r="KR276" s="1247"/>
      <c r="KS276" s="1247"/>
      <c r="KT276" s="1247"/>
      <c r="KU276" s="1247"/>
      <c r="KV276" s="1247"/>
      <c r="KW276" s="1247"/>
      <c r="KX276" s="1247"/>
      <c r="KY276" s="1247"/>
      <c r="KZ276" s="1247"/>
      <c r="LA276" s="1247"/>
      <c r="LB276" s="1247"/>
      <c r="LC276" s="1247"/>
      <c r="LD276" s="1247"/>
      <c r="LE276" s="1247"/>
      <c r="LF276" s="1247"/>
      <c r="LG276" s="1247"/>
      <c r="LH276" s="1247"/>
      <c r="LI276" s="1247"/>
      <c r="LJ276" s="1247"/>
      <c r="LK276" s="1247"/>
      <c r="LL276" s="1247"/>
      <c r="LM276" s="1247"/>
      <c r="LN276" s="1247"/>
      <c r="LO276" s="1247"/>
      <c r="LP276" s="1247"/>
      <c r="LQ276" s="1247"/>
      <c r="LR276" s="1247"/>
      <c r="LS276" s="1247"/>
      <c r="LT276" s="1247"/>
      <c r="LU276" s="1247"/>
      <c r="LV276" s="1247"/>
      <c r="LW276" s="1247"/>
      <c r="LX276" s="1247"/>
      <c r="LY276" s="1247"/>
      <c r="LZ276" s="1247"/>
      <c r="MA276" s="1247"/>
      <c r="MB276" s="1247"/>
      <c r="MC276" s="1247"/>
      <c r="MD276" s="1247"/>
      <c r="ME276" s="1247"/>
      <c r="MF276" s="1247"/>
      <c r="MG276" s="1247"/>
      <c r="MH276" s="1247"/>
      <c r="MI276" s="1247"/>
      <c r="MJ276" s="1247"/>
      <c r="MK276" s="1247"/>
      <c r="ML276" s="1247"/>
      <c r="MM276" s="1247"/>
      <c r="MN276" s="1247"/>
      <c r="MO276" s="1247"/>
      <c r="MP276" s="1247"/>
      <c r="MQ276" s="1247"/>
      <c r="MR276" s="1247"/>
      <c r="MS276" s="1247"/>
      <c r="MT276" s="1247"/>
      <c r="MU276" s="1247"/>
      <c r="MV276" s="1247"/>
      <c r="MW276" s="1247"/>
      <c r="MX276" s="1247"/>
      <c r="MY276" s="1247"/>
      <c r="MZ276" s="1247"/>
      <c r="NA276" s="1247"/>
      <c r="NB276" s="1247"/>
      <c r="NC276" s="1247"/>
      <c r="ND276" s="1247"/>
      <c r="NE276" s="1247"/>
      <c r="NF276" s="1247"/>
      <c r="NG276" s="1247"/>
      <c r="NH276" s="1247"/>
      <c r="NI276" s="1247"/>
      <c r="NJ276" s="1247"/>
      <c r="NK276" s="1247"/>
      <c r="NL276" s="1247"/>
      <c r="NM276" s="1247"/>
      <c r="NN276" s="1247"/>
      <c r="NO276" s="1247"/>
      <c r="NP276" s="1247"/>
      <c r="NQ276" s="1247"/>
      <c r="NR276" s="1247"/>
      <c r="NS276" s="1247"/>
      <c r="NT276" s="1247"/>
      <c r="NU276" s="1247"/>
      <c r="NV276" s="1247"/>
      <c r="NW276" s="1247"/>
      <c r="NX276" s="1247"/>
      <c r="NY276" s="1247"/>
      <c r="NZ276" s="1247"/>
      <c r="OA276" s="1247"/>
      <c r="OB276" s="1247"/>
      <c r="OC276" s="1247"/>
      <c r="OD276" s="1247"/>
      <c r="OE276" s="1247"/>
      <c r="OF276" s="1247"/>
      <c r="OG276" s="1247"/>
      <c r="OH276" s="1247"/>
      <c r="OI276" s="1247"/>
      <c r="OJ276" s="1247"/>
      <c r="OK276" s="1247"/>
      <c r="OL276" s="1247"/>
      <c r="OM276" s="1247"/>
      <c r="ON276" s="1247"/>
      <c r="OO276" s="1247"/>
      <c r="OP276" s="1247"/>
      <c r="OQ276" s="1247"/>
      <c r="OR276" s="1247"/>
      <c r="OS276" s="1247"/>
      <c r="OT276" s="1247"/>
      <c r="OU276" s="1247"/>
      <c r="OV276" s="1247"/>
      <c r="OW276" s="1247"/>
      <c r="OX276" s="1247"/>
      <c r="OY276" s="1247"/>
      <c r="OZ276" s="1247"/>
      <c r="PA276" s="1247"/>
      <c r="PB276" s="1247"/>
      <c r="PC276" s="1247"/>
      <c r="PD276" s="1247"/>
      <c r="PE276" s="1247"/>
      <c r="PF276" s="1247"/>
      <c r="PG276" s="1247"/>
      <c r="PH276" s="1247"/>
      <c r="PI276" s="1247"/>
      <c r="PJ276" s="1247"/>
      <c r="PK276" s="1247"/>
      <c r="PL276" s="1247"/>
      <c r="PM276" s="1247"/>
      <c r="PN276" s="1247"/>
      <c r="PO276" s="1247"/>
      <c r="PP276" s="1247"/>
      <c r="PQ276" s="1247"/>
      <c r="PR276" s="1247"/>
      <c r="PS276" s="1247"/>
      <c r="PT276" s="1247"/>
      <c r="PU276" s="1247"/>
      <c r="PV276" s="1247"/>
      <c r="PW276" s="1247"/>
      <c r="PX276" s="1247"/>
      <c r="PY276" s="1247"/>
      <c r="PZ276" s="1247"/>
      <c r="QA276" s="1247"/>
      <c r="QB276" s="1247"/>
      <c r="QC276" s="1247"/>
      <c r="QD276" s="1247"/>
      <c r="QE276" s="1247"/>
      <c r="QF276" s="1247"/>
      <c r="QG276" s="1247"/>
      <c r="QH276" s="1247"/>
      <c r="QI276" s="1247"/>
      <c r="QJ276" s="1247"/>
      <c r="QK276" s="1247"/>
      <c r="QL276" s="1247"/>
      <c r="QM276" s="1247"/>
      <c r="QN276" s="1247"/>
      <c r="QO276" s="1247"/>
      <c r="QP276" s="1247"/>
      <c r="QQ276" s="1247"/>
      <c r="QR276" s="1247"/>
      <c r="QS276" s="1247"/>
      <c r="QT276" s="1247"/>
      <c r="QU276" s="1247"/>
      <c r="QV276" s="1247"/>
      <c r="QW276" s="1247"/>
      <c r="QX276" s="1247"/>
      <c r="QY276" s="1247"/>
      <c r="QZ276" s="1247"/>
      <c r="RA276" s="1247"/>
      <c r="RB276" s="1247"/>
      <c r="RC276" s="1247"/>
      <c r="RD276" s="1247"/>
      <c r="RE276" s="1247"/>
      <c r="RF276" s="1247"/>
      <c r="RG276" s="1247"/>
      <c r="RH276" s="1247"/>
      <c r="RI276" s="1247"/>
      <c r="RJ276" s="1247"/>
      <c r="RK276" s="1247"/>
      <c r="RL276" s="1247"/>
      <c r="RM276" s="1247"/>
      <c r="RN276" s="1247"/>
      <c r="RO276" s="1247"/>
      <c r="RP276" s="1247"/>
      <c r="RQ276" s="1247"/>
      <c r="RR276" s="1247"/>
      <c r="RS276" s="1247"/>
      <c r="RT276" s="1247"/>
      <c r="RU276" s="1247"/>
      <c r="RV276" s="1247"/>
      <c r="RW276" s="1247"/>
      <c r="RX276" s="1247"/>
      <c r="RY276" s="1247"/>
      <c r="RZ276" s="1247"/>
      <c r="SA276" s="1247"/>
      <c r="SB276" s="1247"/>
      <c r="SC276" s="1247"/>
      <c r="SD276" s="1247"/>
      <c r="SE276" s="1247"/>
      <c r="SF276" s="1247"/>
      <c r="SG276" s="1247"/>
      <c r="SH276" s="1247"/>
      <c r="SI276" s="1247"/>
      <c r="SJ276" s="1247"/>
      <c r="SK276" s="1247"/>
      <c r="SL276" s="1247"/>
      <c r="SM276" s="1247"/>
      <c r="SN276" s="1247"/>
      <c r="SO276" s="1247"/>
      <c r="SP276" s="1247"/>
      <c r="SQ276" s="1247"/>
      <c r="SR276" s="1247"/>
      <c r="SS276" s="1247"/>
      <c r="ST276" s="1247"/>
      <c r="SU276" s="1247"/>
      <c r="SV276" s="1247"/>
      <c r="SW276" s="1247"/>
      <c r="SX276" s="1247"/>
      <c r="SY276" s="1247"/>
      <c r="SZ276" s="1247"/>
      <c r="TA276" s="1247"/>
      <c r="TB276" s="1247"/>
      <c r="TC276" s="1247"/>
      <c r="TD276" s="1247"/>
      <c r="TE276" s="1247"/>
      <c r="TF276" s="1247"/>
      <c r="TG276" s="1247"/>
      <c r="TH276" s="1247"/>
      <c r="TI276" s="1247"/>
      <c r="TJ276" s="1247"/>
      <c r="TK276" s="1247"/>
      <c r="TL276" s="1247"/>
      <c r="TM276" s="1247"/>
      <c r="TN276" s="1247"/>
      <c r="TO276" s="1247"/>
      <c r="TP276" s="1247"/>
      <c r="TQ276" s="1247"/>
      <c r="TR276" s="1247"/>
      <c r="TS276" s="1247"/>
      <c r="TT276" s="1247"/>
      <c r="TU276" s="1247"/>
      <c r="TV276" s="1247"/>
      <c r="TW276" s="1247"/>
      <c r="TX276" s="1247"/>
      <c r="TY276" s="1247"/>
      <c r="TZ276" s="1247"/>
      <c r="UA276" s="1247"/>
      <c r="UB276" s="1247"/>
      <c r="UC276" s="1247"/>
      <c r="UD276" s="1247"/>
      <c r="UE276" s="1247"/>
      <c r="UF276" s="1247"/>
      <c r="UG276" s="1247"/>
      <c r="UH276" s="1247"/>
      <c r="UI276" s="1247"/>
      <c r="UJ276" s="1247"/>
      <c r="UK276" s="1247"/>
      <c r="UL276" s="1247"/>
      <c r="UM276" s="1247"/>
      <c r="UN276" s="1247"/>
      <c r="UO276" s="1247"/>
      <c r="UP276" s="1247"/>
      <c r="UQ276" s="1247"/>
      <c r="UR276" s="1247"/>
      <c r="US276" s="1247"/>
      <c r="UT276" s="1247"/>
      <c r="UU276" s="1247"/>
      <c r="UV276" s="1247"/>
      <c r="UW276" s="1247"/>
      <c r="UX276" s="1247"/>
      <c r="UY276" s="1247"/>
      <c r="UZ276" s="1247"/>
      <c r="VA276" s="1247"/>
      <c r="VB276" s="1247"/>
      <c r="VC276" s="1247"/>
      <c r="VD276" s="1247"/>
      <c r="VE276" s="1247"/>
      <c r="VF276" s="1247"/>
      <c r="VG276" s="1247"/>
      <c r="VH276" s="1247"/>
      <c r="VI276" s="1247"/>
      <c r="VJ276" s="1247"/>
      <c r="VK276" s="1247"/>
      <c r="VL276" s="1247"/>
      <c r="VM276" s="1247"/>
      <c r="VN276" s="1247"/>
      <c r="VO276" s="1247"/>
      <c r="VP276" s="1247"/>
      <c r="VQ276" s="1247"/>
      <c r="VR276" s="1247"/>
      <c r="VS276" s="1247"/>
      <c r="VT276" s="1247"/>
      <c r="VU276" s="1247"/>
      <c r="VV276" s="1247"/>
      <c r="VW276" s="1247"/>
      <c r="VX276" s="1247"/>
      <c r="VY276" s="1247"/>
      <c r="VZ276" s="1247"/>
      <c r="WA276" s="1247"/>
      <c r="WB276" s="1247"/>
      <c r="WC276" s="1247"/>
      <c r="WD276" s="1247"/>
      <c r="WE276" s="1247"/>
      <c r="WF276" s="1247"/>
      <c r="WG276" s="1247"/>
      <c r="WH276" s="1247"/>
      <c r="WI276" s="1247"/>
      <c r="WJ276" s="1247"/>
      <c r="WK276" s="1247"/>
      <c r="WL276" s="1247"/>
      <c r="WM276" s="1247"/>
      <c r="WN276" s="1247"/>
      <c r="WO276" s="1247"/>
      <c r="WP276" s="1247"/>
      <c r="WQ276" s="1247"/>
      <c r="WR276" s="1247"/>
      <c r="WS276" s="1247"/>
      <c r="WT276" s="1247"/>
      <c r="WU276" s="1247"/>
      <c r="WV276" s="1247"/>
      <c r="WW276" s="1247"/>
      <c r="WX276" s="1247"/>
      <c r="WY276" s="1247"/>
      <c r="WZ276" s="1247"/>
      <c r="XA276" s="1247"/>
      <c r="XB276" s="1247"/>
      <c r="XC276" s="1247"/>
      <c r="XD276" s="1247"/>
      <c r="XE276" s="1247"/>
      <c r="XF276" s="1247"/>
      <c r="XG276" s="1247"/>
      <c r="XH276" s="1247"/>
      <c r="XI276" s="1247"/>
      <c r="XJ276" s="1247"/>
      <c r="XK276" s="1247"/>
      <c r="XL276" s="1247"/>
      <c r="XM276" s="1247"/>
      <c r="XN276" s="1247"/>
      <c r="XO276" s="1247"/>
      <c r="XP276" s="1247"/>
      <c r="XQ276" s="1247"/>
      <c r="XR276" s="1247"/>
      <c r="XS276" s="1247"/>
      <c r="XT276" s="1247"/>
      <c r="XU276" s="1247"/>
      <c r="XV276" s="1247"/>
      <c r="XW276" s="1247"/>
      <c r="XX276" s="1247"/>
      <c r="XY276" s="1247"/>
      <c r="XZ276" s="1247"/>
      <c r="YA276" s="1247"/>
      <c r="YB276" s="1247"/>
      <c r="YC276" s="1247"/>
      <c r="YD276" s="1247"/>
      <c r="YE276" s="1247"/>
      <c r="YF276" s="1247"/>
      <c r="YG276" s="1247"/>
      <c r="YH276" s="1247"/>
      <c r="YI276" s="1247"/>
      <c r="YJ276" s="1247"/>
      <c r="YK276" s="1247"/>
      <c r="YL276" s="1247"/>
      <c r="YM276" s="1247"/>
      <c r="YN276" s="1247"/>
      <c r="YO276" s="1247"/>
      <c r="YP276" s="1247"/>
      <c r="YQ276" s="1247"/>
      <c r="YR276" s="1247"/>
      <c r="YS276" s="1247"/>
      <c r="YT276" s="1247"/>
      <c r="YU276" s="1247"/>
      <c r="YV276" s="1247"/>
      <c r="YW276" s="1247"/>
      <c r="YX276" s="1247"/>
      <c r="YY276" s="1247"/>
      <c r="YZ276" s="1247"/>
      <c r="ZA276" s="1247"/>
      <c r="ZB276" s="1247"/>
      <c r="ZC276" s="1247"/>
      <c r="ZD276" s="1247"/>
      <c r="ZE276" s="1247"/>
      <c r="ZF276" s="1247"/>
      <c r="ZG276" s="1247"/>
      <c r="ZH276" s="1247"/>
      <c r="ZI276" s="1247"/>
      <c r="ZJ276" s="1247"/>
      <c r="ZK276" s="1247"/>
      <c r="ZL276" s="1247"/>
      <c r="ZM276" s="1247"/>
      <c r="ZN276" s="1247"/>
      <c r="ZO276" s="1247"/>
      <c r="ZP276" s="1247"/>
      <c r="ZQ276" s="1247"/>
      <c r="ZR276" s="1247"/>
      <c r="ZS276" s="1247"/>
      <c r="ZT276" s="1247"/>
      <c r="ZU276" s="1247"/>
      <c r="ZV276" s="1247"/>
      <c r="ZW276" s="1247"/>
      <c r="ZX276" s="1247"/>
      <c r="ZY276" s="1247"/>
      <c r="ZZ276" s="1247"/>
      <c r="AAA276" s="1247"/>
      <c r="AAB276" s="1247"/>
      <c r="AAC276" s="1247"/>
      <c r="AAD276" s="1247"/>
      <c r="AAE276" s="1247"/>
      <c r="AAF276" s="1247"/>
      <c r="AAG276" s="1247"/>
      <c r="AAH276" s="1247"/>
      <c r="AAI276" s="1247"/>
      <c r="AAJ276" s="1247"/>
      <c r="AAK276" s="1247"/>
      <c r="AAL276" s="1247"/>
      <c r="AAM276" s="1247"/>
      <c r="AAN276" s="1247"/>
      <c r="AAO276" s="1247"/>
      <c r="AAP276" s="1247"/>
      <c r="AAQ276" s="1247"/>
      <c r="AAR276" s="1247"/>
      <c r="AAS276" s="1247"/>
      <c r="AAT276" s="1247"/>
      <c r="AAU276" s="1247"/>
      <c r="AAV276" s="1247"/>
      <c r="AAW276" s="1247"/>
      <c r="AAX276" s="1247"/>
      <c r="AAY276" s="1247"/>
      <c r="AAZ276" s="1247"/>
      <c r="ABA276" s="1247"/>
      <c r="ABB276" s="1247"/>
      <c r="ABC276" s="1247"/>
      <c r="ABD276" s="1247"/>
      <c r="ABE276" s="1247"/>
      <c r="ABF276" s="1247"/>
      <c r="ABG276" s="1247"/>
      <c r="ABH276" s="1247"/>
      <c r="ABI276" s="1247"/>
      <c r="ABJ276" s="1247"/>
      <c r="ABK276" s="1247"/>
      <c r="ABL276" s="1247"/>
      <c r="ABM276" s="1247"/>
      <c r="ABN276" s="1247"/>
      <c r="ABO276" s="1247"/>
      <c r="ABP276" s="1247"/>
      <c r="ABQ276" s="1247"/>
      <c r="ABR276" s="1247"/>
      <c r="ABS276" s="1247"/>
      <c r="ABT276" s="1247"/>
      <c r="ABU276" s="1247"/>
      <c r="ABV276" s="1247"/>
      <c r="ABW276" s="1247"/>
      <c r="ABX276" s="1247"/>
      <c r="ABY276" s="1247"/>
      <c r="ABZ276" s="1247"/>
      <c r="ACA276" s="1247"/>
      <c r="ACB276" s="1247"/>
      <c r="ACC276" s="1247"/>
      <c r="ACD276" s="1247"/>
      <c r="ACE276" s="1247"/>
      <c r="ACF276" s="1247"/>
      <c r="ACG276" s="1247"/>
      <c r="ACH276" s="1247"/>
      <c r="ACI276" s="1247"/>
      <c r="ACJ276" s="1247"/>
      <c r="ACK276" s="1247"/>
      <c r="ACL276" s="1247"/>
      <c r="ACM276" s="1247"/>
      <c r="ACN276" s="1247"/>
      <c r="ACO276" s="1247"/>
      <c r="ACP276" s="1247"/>
      <c r="ACQ276" s="1247"/>
      <c r="ACR276" s="1247"/>
      <c r="ACS276" s="1247"/>
      <c r="ACT276" s="1247"/>
      <c r="ACU276" s="1247"/>
      <c r="ACV276" s="1247"/>
      <c r="ACW276" s="1247"/>
      <c r="ACX276" s="1247"/>
      <c r="ACY276" s="1247"/>
      <c r="ACZ276" s="1247"/>
      <c r="ADA276" s="1247"/>
      <c r="ADB276" s="1247"/>
      <c r="ADC276" s="1247"/>
      <c r="ADD276" s="1247"/>
      <c r="ADE276" s="1247"/>
      <c r="ADF276" s="1247"/>
      <c r="ADG276" s="1247"/>
    </row>
    <row r="277" spans="1:787" s="1247" customFormat="1" ht="13" hidden="1" outlineLevel="2">
      <c r="B277" s="1422" t="s">
        <v>766</v>
      </c>
      <c r="C277" s="1423"/>
      <c r="D277" s="1423" t="s">
        <v>3731</v>
      </c>
      <c r="E277" s="1431"/>
      <c r="F277" s="1425"/>
      <c r="G277" s="1431" t="s">
        <v>4117</v>
      </c>
      <c r="H277" s="1446">
        <f>SUBTOTAL(9,H278:H282)</f>
        <v>0</v>
      </c>
      <c r="I277" s="1446">
        <f>SUBTOTAL(9,I278:I282)</f>
        <v>0</v>
      </c>
      <c r="J277" s="1427">
        <f t="shared" ref="J277:T277" si="70">SUBTOTAL(9,J278:J282)</f>
        <v>183.80874</v>
      </c>
      <c r="K277" s="1427">
        <f t="shared" si="70"/>
        <v>0</v>
      </c>
      <c r="L277" s="1427">
        <f t="shared" si="70"/>
        <v>1.3704240000000001</v>
      </c>
      <c r="M277" s="1427">
        <f t="shared" si="70"/>
        <v>7.4250000000000007</v>
      </c>
      <c r="N277" s="1427">
        <f t="shared" si="70"/>
        <v>0</v>
      </c>
      <c r="O277" s="1427">
        <f t="shared" si="70"/>
        <v>0</v>
      </c>
      <c r="P277" s="1427">
        <f t="shared" si="70"/>
        <v>209.88425599999999</v>
      </c>
      <c r="Q277" s="1427">
        <f t="shared" si="70"/>
        <v>0</v>
      </c>
      <c r="R277" s="1427">
        <f t="shared" si="70"/>
        <v>402.48842000000002</v>
      </c>
      <c r="S277" s="1427">
        <f t="shared" si="70"/>
        <v>0</v>
      </c>
      <c r="T277" s="1427">
        <f t="shared" si="70"/>
        <v>402.48842000000002</v>
      </c>
      <c r="U277" s="1429"/>
      <c r="V277" s="1225">
        <f t="shared" si="67"/>
        <v>-1.0658141036401503E-14</v>
      </c>
      <c r="W277" s="1225">
        <f t="shared" si="68"/>
        <v>0</v>
      </c>
      <c r="X277" s="1225"/>
      <c r="Y277" s="1225"/>
    </row>
    <row r="278" spans="1:787" s="1221" customFormat="1" ht="13" hidden="1" outlineLevel="3">
      <c r="B278" s="1433" t="s">
        <v>767</v>
      </c>
      <c r="C278" s="1434"/>
      <c r="D278" s="1434" t="s">
        <v>3732</v>
      </c>
      <c r="E278" s="1431" t="s">
        <v>3733</v>
      </c>
      <c r="F278" s="1425" t="s">
        <v>458</v>
      </c>
      <c r="G278" s="1431" t="s">
        <v>4164</v>
      </c>
      <c r="H278" s="1328">
        <f>VLOOKUP($D278,车位!$D:$V,12,FALSE)</f>
        <v>0</v>
      </c>
      <c r="I278" s="1328">
        <v>0</v>
      </c>
      <c r="J278" s="1437">
        <f>VLOOKUP($D278,高层!$D:$V,12,FALSE)</f>
        <v>51.80874</v>
      </c>
      <c r="K278" s="1437">
        <f>VLOOKUP($D278,幼儿园!$D:$V,12,FALSE)</f>
        <v>0</v>
      </c>
      <c r="L278" s="1437">
        <f>VLOOKUP($D278,配套用房!$D:$V,12,FALSE)</f>
        <v>1.3704240000000001</v>
      </c>
      <c r="M278" s="1437">
        <f>VLOOKUP($D278,临街商业!$D:$V,12,FALSE)</f>
        <v>0</v>
      </c>
      <c r="N278" s="1437">
        <f>VLOOKUP($D278,人防车位!D:U,12,FALSE)</f>
        <v>0</v>
      </c>
      <c r="O278" s="1437">
        <f>VLOOKUP($D278,人才公寓销售!$D:$V,12,FALSE)</f>
        <v>0</v>
      </c>
      <c r="P278" s="1437">
        <f>VLOOKUP($D278,小高层!$D:$V,12,FALSE)</f>
        <v>71.009255999999993</v>
      </c>
      <c r="Q278" s="1437"/>
      <c r="R278" s="1172">
        <f>SUM(H278:Q278)</f>
        <v>124.18841999999999</v>
      </c>
      <c r="S278" s="1437"/>
      <c r="T278" s="1437">
        <f>R278+S278</f>
        <v>124.18841999999999</v>
      </c>
      <c r="U278" s="1438"/>
      <c r="V278" s="1225">
        <f t="shared" si="67"/>
        <v>0</v>
      </c>
      <c r="W278" s="1225">
        <f t="shared" si="68"/>
        <v>0</v>
      </c>
      <c r="X278" s="1225"/>
      <c r="Y278" s="1225"/>
    </row>
    <row r="279" spans="1:787" s="1221" customFormat="1" ht="13" hidden="1" outlineLevel="3">
      <c r="B279" s="1433" t="s">
        <v>769</v>
      </c>
      <c r="C279" s="1434"/>
      <c r="D279" s="1434" t="s">
        <v>3734</v>
      </c>
      <c r="E279" s="1431" t="s">
        <v>3735</v>
      </c>
      <c r="F279" s="1425" t="s">
        <v>3736</v>
      </c>
      <c r="G279" s="1431" t="s">
        <v>4165</v>
      </c>
      <c r="H279" s="1328">
        <f>VLOOKUP($D279,车位!$D:$V,12,FALSE)</f>
        <v>0</v>
      </c>
      <c r="I279" s="1328">
        <v>0</v>
      </c>
      <c r="J279" s="1437">
        <f>VLOOKUP($D279,高层!$D:$V,12,FALSE)</f>
        <v>24</v>
      </c>
      <c r="K279" s="1437">
        <f>VLOOKUP($D279,幼儿园!$D:$V,12,FALSE)</f>
        <v>0</v>
      </c>
      <c r="L279" s="1437">
        <f>VLOOKUP($D279,配套用房!$D:$V,12,FALSE)</f>
        <v>0</v>
      </c>
      <c r="M279" s="1437">
        <f>VLOOKUP($D279,临街商业!$D:$V,12,FALSE)</f>
        <v>1.65</v>
      </c>
      <c r="N279" s="1437">
        <f>VLOOKUP($D279,人防车位!D:U,12,FALSE)</f>
        <v>0</v>
      </c>
      <c r="O279" s="1437">
        <f>VLOOKUP($D279,人才公寓销售!$D:$V,12,FALSE)</f>
        <v>0</v>
      </c>
      <c r="P279" s="1437">
        <f>VLOOKUP($D279,小高层!$D:$V,12,FALSE)</f>
        <v>25.25</v>
      </c>
      <c r="Q279" s="1437"/>
      <c r="R279" s="1172">
        <f t="shared" ref="R279:R284" si="71">SUM(H279:Q279)</f>
        <v>50.9</v>
      </c>
      <c r="S279" s="1437"/>
      <c r="T279" s="1437">
        <f t="shared" ref="T279:T284" si="72">R279+S279</f>
        <v>50.9</v>
      </c>
      <c r="U279" s="1438"/>
      <c r="V279" s="1225">
        <f t="shared" si="67"/>
        <v>0</v>
      </c>
      <c r="W279" s="1225">
        <f t="shared" si="68"/>
        <v>0</v>
      </c>
      <c r="X279" s="1225"/>
      <c r="Y279" s="1225"/>
    </row>
    <row r="280" spans="1:787" s="1221" customFormat="1" ht="13" hidden="1" outlineLevel="3">
      <c r="B280" s="1433" t="s">
        <v>770</v>
      </c>
      <c r="C280" s="1434"/>
      <c r="D280" s="1434" t="s">
        <v>771</v>
      </c>
      <c r="E280" s="1431" t="s">
        <v>3737</v>
      </c>
      <c r="F280" s="1425" t="s">
        <v>3738</v>
      </c>
      <c r="G280" s="1431" t="s">
        <v>4166</v>
      </c>
      <c r="H280" s="1328">
        <f>VLOOKUP($D280,车位!$D:$V,12,FALSE)</f>
        <v>0</v>
      </c>
      <c r="I280" s="1328">
        <v>0</v>
      </c>
      <c r="J280" s="1437">
        <f>VLOOKUP($D280,高层!$D:$V,12,FALSE)</f>
        <v>84</v>
      </c>
      <c r="K280" s="1437">
        <f>VLOOKUP($D280,幼儿园!$D:$V,12,FALSE)</f>
        <v>0</v>
      </c>
      <c r="L280" s="1437">
        <f>VLOOKUP($D280,配套用房!$D:$V,12,FALSE)</f>
        <v>0</v>
      </c>
      <c r="M280" s="1437">
        <f>VLOOKUP($D280,临街商业!$D:$V,12,FALSE)</f>
        <v>5.7750000000000004</v>
      </c>
      <c r="N280" s="1437">
        <f>VLOOKUP($D280,人防车位!D:U,12,FALSE)</f>
        <v>0</v>
      </c>
      <c r="O280" s="1437">
        <f>VLOOKUP($D280,人才公寓销售!$D:$V,12,FALSE)</f>
        <v>0</v>
      </c>
      <c r="P280" s="1437">
        <f>VLOOKUP($D280,小高层!$D:$V,12,FALSE)</f>
        <v>88.375</v>
      </c>
      <c r="Q280" s="1437"/>
      <c r="R280" s="1172">
        <f t="shared" si="71"/>
        <v>178.15</v>
      </c>
      <c r="S280" s="1437"/>
      <c r="T280" s="1437">
        <f t="shared" si="72"/>
        <v>178.15</v>
      </c>
      <c r="U280" s="1438"/>
      <c r="V280" s="1225">
        <f t="shared" si="67"/>
        <v>0</v>
      </c>
      <c r="W280" s="1225">
        <f t="shared" si="68"/>
        <v>0</v>
      </c>
      <c r="X280" s="1225"/>
      <c r="Y280" s="1225"/>
    </row>
    <row r="281" spans="1:787" s="1221" customFormat="1" ht="13" hidden="1" outlineLevel="3">
      <c r="B281" s="1433" t="s">
        <v>772</v>
      </c>
      <c r="C281" s="1434"/>
      <c r="D281" s="1434" t="s">
        <v>1598</v>
      </c>
      <c r="E281" s="1431" t="s">
        <v>3739</v>
      </c>
      <c r="F281" s="1425" t="s">
        <v>458</v>
      </c>
      <c r="G281" s="1431" t="s">
        <v>4164</v>
      </c>
      <c r="H281" s="1328">
        <f>VLOOKUP($D281,车位!$D:$V,12,FALSE)</f>
        <v>0</v>
      </c>
      <c r="I281" s="1328">
        <v>0</v>
      </c>
      <c r="J281" s="1437">
        <f>VLOOKUP($D281,高层!$D:$V,12,FALSE)</f>
        <v>0</v>
      </c>
      <c r="K281" s="1437">
        <f>VLOOKUP($D281,幼儿园!$D:$V,12,FALSE)</f>
        <v>0</v>
      </c>
      <c r="L281" s="1437">
        <f>VLOOKUP($D281,配套用房!$D:$V,12,FALSE)</f>
        <v>0</v>
      </c>
      <c r="M281" s="1437">
        <f>VLOOKUP($D281,临街商业!$D:$V,12,FALSE)</f>
        <v>0</v>
      </c>
      <c r="N281" s="1437">
        <f>VLOOKUP($D281,人防车位!D:U,12,FALSE)</f>
        <v>0</v>
      </c>
      <c r="O281" s="1437">
        <f>VLOOKUP($D281,人才公寓销售!$D:$V,12,FALSE)</f>
        <v>0</v>
      </c>
      <c r="P281" s="1437">
        <f>VLOOKUP($D281,小高层!$D:$V,12,FALSE)</f>
        <v>0</v>
      </c>
      <c r="Q281" s="1437"/>
      <c r="R281" s="1172">
        <f t="shared" si="71"/>
        <v>0</v>
      </c>
      <c r="S281" s="1437"/>
      <c r="T281" s="1437">
        <f t="shared" si="72"/>
        <v>0</v>
      </c>
      <c r="U281" s="1438"/>
      <c r="V281" s="1225">
        <f t="shared" si="67"/>
        <v>0</v>
      </c>
      <c r="W281" s="1225">
        <f t="shared" si="68"/>
        <v>0</v>
      </c>
      <c r="X281" s="1225"/>
      <c r="Y281" s="1225"/>
    </row>
    <row r="282" spans="1:787" s="1221" customFormat="1" ht="13" hidden="1" outlineLevel="3">
      <c r="B282" s="1433" t="s">
        <v>773</v>
      </c>
      <c r="C282" s="1434"/>
      <c r="D282" s="1434" t="s">
        <v>3740</v>
      </c>
      <c r="E282" s="1431" t="s">
        <v>3741</v>
      </c>
      <c r="F282" s="1425" t="s">
        <v>3742</v>
      </c>
      <c r="G282" s="1431" t="s">
        <v>4167</v>
      </c>
      <c r="H282" s="1328">
        <f>VLOOKUP($D282,车位!$D:$V,12,FALSE)</f>
        <v>0</v>
      </c>
      <c r="I282" s="1328">
        <v>0</v>
      </c>
      <c r="J282" s="1437">
        <f>VLOOKUP($D282,高层!$D:$V,12,FALSE)</f>
        <v>24</v>
      </c>
      <c r="K282" s="1437">
        <f>VLOOKUP($D282,幼儿园!$D:$V,12,FALSE)</f>
        <v>0</v>
      </c>
      <c r="L282" s="1437">
        <f>VLOOKUP($D282,配套用房!$D:$V,12,FALSE)</f>
        <v>0</v>
      </c>
      <c r="M282" s="1437">
        <f>VLOOKUP($D282,临街商业!$D:$V,12,FALSE)</f>
        <v>0</v>
      </c>
      <c r="N282" s="1437">
        <f>VLOOKUP($D282,人防车位!D:U,12,FALSE)</f>
        <v>0</v>
      </c>
      <c r="O282" s="1437">
        <f>VLOOKUP($D282,人才公寓销售!$D:$V,12,FALSE)</f>
        <v>0</v>
      </c>
      <c r="P282" s="1437">
        <f>VLOOKUP($D282,小高层!$D:$V,12,FALSE)</f>
        <v>25.25</v>
      </c>
      <c r="Q282" s="1437"/>
      <c r="R282" s="1172">
        <f t="shared" si="71"/>
        <v>49.25</v>
      </c>
      <c r="S282" s="1437"/>
      <c r="T282" s="1437">
        <f t="shared" si="72"/>
        <v>49.25</v>
      </c>
      <c r="U282" s="1438"/>
      <c r="V282" s="1225">
        <f t="shared" si="67"/>
        <v>0</v>
      </c>
      <c r="W282" s="1225">
        <f t="shared" si="68"/>
        <v>0</v>
      </c>
      <c r="X282" s="1225"/>
      <c r="Y282" s="1225"/>
    </row>
    <row r="283" spans="1:787" s="1247" customFormat="1" ht="13" hidden="1" outlineLevel="2">
      <c r="B283" s="1422" t="s">
        <v>777</v>
      </c>
      <c r="C283" s="1423"/>
      <c r="D283" s="1423" t="s">
        <v>814</v>
      </c>
      <c r="E283" s="1431" t="s">
        <v>3743</v>
      </c>
      <c r="F283" s="1425" t="s">
        <v>458</v>
      </c>
      <c r="G283" s="1431" t="s">
        <v>4164</v>
      </c>
      <c r="H283" s="1454">
        <f>VLOOKUP($D283,车位!$D:$V,12,FALSE)</f>
        <v>0</v>
      </c>
      <c r="I283" s="1454">
        <v>0</v>
      </c>
      <c r="J283" s="1427">
        <f>VLOOKUP($D283,高层!$D:$V,12,FALSE)</f>
        <v>0</v>
      </c>
      <c r="K283" s="1427">
        <f>VLOOKUP($D283,幼儿园!$D:$V,12,FALSE)</f>
        <v>0</v>
      </c>
      <c r="L283" s="1427">
        <f>VLOOKUP($D283,配套用房!$D:$V,12,FALSE)</f>
        <v>0</v>
      </c>
      <c r="M283" s="1427">
        <f>VLOOKUP($D283,临街商业!$D:$V,12,FALSE)</f>
        <v>0</v>
      </c>
      <c r="N283" s="1427">
        <f>VLOOKUP($D283,人防车位!D:U,12,FALSE)</f>
        <v>0</v>
      </c>
      <c r="O283" s="1427">
        <f>VLOOKUP($D283,人才公寓销售!$D:$V,12,FALSE)</f>
        <v>0</v>
      </c>
      <c r="P283" s="1427">
        <f>VLOOKUP($D283,小高层!$D:$V,12,FALSE)</f>
        <v>0</v>
      </c>
      <c r="Q283" s="1427"/>
      <c r="R283" s="1428">
        <f t="shared" si="71"/>
        <v>0</v>
      </c>
      <c r="S283" s="1427"/>
      <c r="T283" s="1427">
        <f t="shared" si="72"/>
        <v>0</v>
      </c>
      <c r="U283" s="1429"/>
      <c r="V283" s="1225">
        <f t="shared" si="67"/>
        <v>0</v>
      </c>
      <c r="W283" s="1225">
        <f t="shared" si="68"/>
        <v>0</v>
      </c>
      <c r="X283" s="1225"/>
      <c r="Y283" s="1225"/>
    </row>
    <row r="284" spans="1:787" s="1247" customFormat="1" ht="13" hidden="1" outlineLevel="2">
      <c r="B284" s="1422" t="s">
        <v>778</v>
      </c>
      <c r="C284" s="1423"/>
      <c r="D284" s="1423" t="s">
        <v>815</v>
      </c>
      <c r="E284" s="1431" t="s">
        <v>3744</v>
      </c>
      <c r="F284" s="1425" t="s">
        <v>458</v>
      </c>
      <c r="G284" s="1431" t="s">
        <v>4164</v>
      </c>
      <c r="H284" s="1454">
        <f>VLOOKUP($D284,车位!$D:$V,12,FALSE)</f>
        <v>0</v>
      </c>
      <c r="I284" s="1454">
        <v>0</v>
      </c>
      <c r="J284" s="1427">
        <f>VLOOKUP($D284,高层!$D:$V,12,FALSE)</f>
        <v>0</v>
      </c>
      <c r="K284" s="1427">
        <f>VLOOKUP($D284,幼儿园!$D:$V,12,FALSE)</f>
        <v>0</v>
      </c>
      <c r="L284" s="1427">
        <f>VLOOKUP($D284,配套用房!$D:$V,12,FALSE)</f>
        <v>0</v>
      </c>
      <c r="M284" s="1427">
        <f>VLOOKUP($D284,临街商业!$D:$V,12,FALSE)</f>
        <v>0</v>
      </c>
      <c r="N284" s="1427">
        <f>VLOOKUP($D284,人防车位!D:U,12,FALSE)</f>
        <v>0</v>
      </c>
      <c r="O284" s="1427">
        <f>VLOOKUP($D284,人才公寓销售!$D:$V,12,FALSE)</f>
        <v>0</v>
      </c>
      <c r="P284" s="1427">
        <f>VLOOKUP($D284,小高层!$D:$V,12,FALSE)</f>
        <v>0</v>
      </c>
      <c r="Q284" s="1427"/>
      <c r="R284" s="1428">
        <f t="shared" si="71"/>
        <v>0</v>
      </c>
      <c r="S284" s="1427"/>
      <c r="T284" s="1427">
        <f t="shared" si="72"/>
        <v>0</v>
      </c>
      <c r="U284" s="1429"/>
      <c r="V284" s="1225">
        <f t="shared" si="67"/>
        <v>0</v>
      </c>
      <c r="W284" s="1225">
        <f t="shared" si="68"/>
        <v>0</v>
      </c>
      <c r="X284" s="1225"/>
      <c r="Y284" s="1225"/>
    </row>
    <row r="285" spans="1:787" s="1421" customFormat="1" ht="13" hidden="1" outlineLevel="1">
      <c r="A285" s="1247"/>
      <c r="B285" s="1413" t="s">
        <v>503</v>
      </c>
      <c r="C285" s="1414"/>
      <c r="D285" s="1414" t="s">
        <v>92</v>
      </c>
      <c r="E285" s="1417"/>
      <c r="F285" s="1449"/>
      <c r="G285" s="1448" t="s">
        <v>4117</v>
      </c>
      <c r="H285" s="1418">
        <f>SUBTOTAL(9,H286:H294)</f>
        <v>39.375</v>
      </c>
      <c r="I285" s="1418">
        <f t="shared" ref="I285:T285" si="73">SUBTOTAL(9,I286:I294)</f>
        <v>0</v>
      </c>
      <c r="J285" s="1419">
        <f t="shared" si="73"/>
        <v>144</v>
      </c>
      <c r="K285" s="1419">
        <f t="shared" si="73"/>
        <v>0</v>
      </c>
      <c r="L285" s="1419">
        <f t="shared" si="73"/>
        <v>0</v>
      </c>
      <c r="M285" s="1419">
        <f t="shared" si="73"/>
        <v>0</v>
      </c>
      <c r="N285" s="1419">
        <f t="shared" si="73"/>
        <v>12.6</v>
      </c>
      <c r="O285" s="1419">
        <f t="shared" si="73"/>
        <v>0</v>
      </c>
      <c r="P285" s="1419">
        <f t="shared" si="73"/>
        <v>151.5</v>
      </c>
      <c r="Q285" s="1419">
        <f t="shared" si="73"/>
        <v>0</v>
      </c>
      <c r="R285" s="1419">
        <f t="shared" si="73"/>
        <v>347.47500000000002</v>
      </c>
      <c r="S285" s="1419">
        <f t="shared" si="73"/>
        <v>0</v>
      </c>
      <c r="T285" s="1419">
        <f t="shared" si="73"/>
        <v>347.47500000000002</v>
      </c>
      <c r="U285" s="1443"/>
      <c r="V285" s="1225">
        <f t="shared" si="67"/>
        <v>0</v>
      </c>
      <c r="W285" s="1225">
        <f t="shared" si="68"/>
        <v>0</v>
      </c>
      <c r="X285" s="1225"/>
      <c r="Y285" s="1225"/>
      <c r="Z285" s="1247"/>
      <c r="AA285" s="1247"/>
      <c r="AB285" s="1247"/>
      <c r="AC285" s="1247"/>
      <c r="AD285" s="1247"/>
      <c r="AE285" s="1247"/>
      <c r="AF285" s="1247"/>
      <c r="AG285" s="1247"/>
      <c r="AH285" s="1247"/>
      <c r="AI285" s="1247"/>
      <c r="AJ285" s="1247"/>
      <c r="AK285" s="1247"/>
      <c r="AL285" s="1247"/>
      <c r="AM285" s="1247"/>
      <c r="AN285" s="1247"/>
      <c r="AO285" s="1247"/>
      <c r="AP285" s="1247"/>
      <c r="AQ285" s="1247"/>
      <c r="AR285" s="1247"/>
      <c r="AS285" s="1247"/>
      <c r="AT285" s="1247"/>
      <c r="AU285" s="1247"/>
      <c r="AV285" s="1247"/>
      <c r="AW285" s="1247"/>
      <c r="AX285" s="1247"/>
      <c r="AY285" s="1247"/>
      <c r="AZ285" s="1247"/>
      <c r="BA285" s="1247"/>
      <c r="BB285" s="1247"/>
      <c r="BC285" s="1247"/>
      <c r="BD285" s="1247"/>
      <c r="BE285" s="1247"/>
      <c r="BF285" s="1247"/>
      <c r="BG285" s="1247"/>
      <c r="BH285" s="1247"/>
      <c r="BI285" s="1247"/>
      <c r="BJ285" s="1247"/>
      <c r="BK285" s="1247"/>
      <c r="BL285" s="1247"/>
      <c r="BM285" s="1247"/>
      <c r="BN285" s="1247"/>
      <c r="BO285" s="1247"/>
      <c r="BP285" s="1247"/>
      <c r="BQ285" s="1247"/>
      <c r="BR285" s="1247"/>
      <c r="BS285" s="1247"/>
      <c r="BT285" s="1247"/>
      <c r="BU285" s="1247"/>
      <c r="BV285" s="1247"/>
      <c r="BW285" s="1247"/>
      <c r="BX285" s="1247"/>
      <c r="BY285" s="1247"/>
      <c r="BZ285" s="1247"/>
      <c r="CA285" s="1247"/>
      <c r="CB285" s="1247"/>
      <c r="CC285" s="1247"/>
      <c r="CD285" s="1247"/>
      <c r="CE285" s="1247"/>
      <c r="CF285" s="1247"/>
      <c r="CG285" s="1247"/>
      <c r="CH285" s="1247"/>
      <c r="CI285" s="1247"/>
      <c r="CJ285" s="1247"/>
      <c r="CK285" s="1247"/>
      <c r="CL285" s="1247"/>
      <c r="CM285" s="1247"/>
      <c r="CN285" s="1247"/>
      <c r="CO285" s="1247"/>
      <c r="CP285" s="1247"/>
      <c r="CQ285" s="1247"/>
      <c r="CR285" s="1247"/>
      <c r="CS285" s="1247"/>
      <c r="CT285" s="1247"/>
      <c r="CU285" s="1247"/>
      <c r="CV285" s="1247"/>
      <c r="CW285" s="1247"/>
      <c r="CX285" s="1247"/>
      <c r="CY285" s="1247"/>
      <c r="CZ285" s="1247"/>
      <c r="DA285" s="1247"/>
      <c r="DB285" s="1247"/>
      <c r="DC285" s="1247"/>
      <c r="DD285" s="1247"/>
      <c r="DE285" s="1247"/>
      <c r="DF285" s="1247"/>
      <c r="DG285" s="1247"/>
      <c r="DH285" s="1247"/>
      <c r="DI285" s="1247"/>
      <c r="DJ285" s="1247"/>
      <c r="DK285" s="1247"/>
      <c r="DL285" s="1247"/>
      <c r="DM285" s="1247"/>
      <c r="DN285" s="1247"/>
      <c r="DO285" s="1247"/>
      <c r="DP285" s="1247"/>
      <c r="DQ285" s="1247"/>
      <c r="DR285" s="1247"/>
      <c r="DS285" s="1247"/>
      <c r="DT285" s="1247"/>
      <c r="DU285" s="1247"/>
      <c r="DV285" s="1247"/>
      <c r="DW285" s="1247"/>
      <c r="DX285" s="1247"/>
      <c r="DY285" s="1247"/>
      <c r="DZ285" s="1247"/>
      <c r="EA285" s="1247"/>
      <c r="EB285" s="1247"/>
      <c r="EC285" s="1247"/>
      <c r="ED285" s="1247"/>
      <c r="EE285" s="1247"/>
      <c r="EF285" s="1247"/>
      <c r="EG285" s="1247"/>
      <c r="EH285" s="1247"/>
      <c r="EI285" s="1247"/>
      <c r="EJ285" s="1247"/>
      <c r="EK285" s="1247"/>
      <c r="EL285" s="1247"/>
      <c r="EM285" s="1247"/>
      <c r="EN285" s="1247"/>
      <c r="EO285" s="1247"/>
      <c r="EP285" s="1247"/>
      <c r="EQ285" s="1247"/>
      <c r="ER285" s="1247"/>
      <c r="ES285" s="1247"/>
      <c r="ET285" s="1247"/>
      <c r="EU285" s="1247"/>
      <c r="EV285" s="1247"/>
      <c r="EW285" s="1247"/>
      <c r="EX285" s="1247"/>
      <c r="EY285" s="1247"/>
      <c r="EZ285" s="1247"/>
      <c r="FA285" s="1247"/>
      <c r="FB285" s="1247"/>
      <c r="FC285" s="1247"/>
      <c r="FD285" s="1247"/>
      <c r="FE285" s="1247"/>
      <c r="FF285" s="1247"/>
      <c r="FG285" s="1247"/>
      <c r="FH285" s="1247"/>
      <c r="FI285" s="1247"/>
      <c r="FJ285" s="1247"/>
      <c r="FK285" s="1247"/>
      <c r="FL285" s="1247"/>
      <c r="FM285" s="1247"/>
      <c r="FN285" s="1247"/>
      <c r="FO285" s="1247"/>
      <c r="FP285" s="1247"/>
      <c r="FQ285" s="1247"/>
      <c r="FR285" s="1247"/>
      <c r="FS285" s="1247"/>
      <c r="FT285" s="1247"/>
      <c r="FU285" s="1247"/>
      <c r="FV285" s="1247"/>
      <c r="FW285" s="1247"/>
      <c r="FX285" s="1247"/>
      <c r="FY285" s="1247"/>
      <c r="FZ285" s="1247"/>
      <c r="GA285" s="1247"/>
      <c r="GB285" s="1247"/>
      <c r="GC285" s="1247"/>
      <c r="GD285" s="1247"/>
      <c r="GE285" s="1247"/>
      <c r="GF285" s="1247"/>
      <c r="GG285" s="1247"/>
      <c r="GH285" s="1247"/>
      <c r="GI285" s="1247"/>
      <c r="GJ285" s="1247"/>
      <c r="GK285" s="1247"/>
      <c r="GL285" s="1247"/>
      <c r="GM285" s="1247"/>
      <c r="GN285" s="1247"/>
      <c r="GO285" s="1247"/>
      <c r="GP285" s="1247"/>
      <c r="GQ285" s="1247"/>
      <c r="GR285" s="1247"/>
      <c r="GS285" s="1247"/>
      <c r="GT285" s="1247"/>
      <c r="GU285" s="1247"/>
      <c r="GV285" s="1247"/>
      <c r="GW285" s="1247"/>
      <c r="GX285" s="1247"/>
      <c r="GY285" s="1247"/>
      <c r="GZ285" s="1247"/>
      <c r="HA285" s="1247"/>
      <c r="HB285" s="1247"/>
      <c r="HC285" s="1247"/>
      <c r="HD285" s="1247"/>
      <c r="HE285" s="1247"/>
      <c r="HF285" s="1247"/>
      <c r="HG285" s="1247"/>
      <c r="HH285" s="1247"/>
      <c r="HI285" s="1247"/>
      <c r="HJ285" s="1247"/>
      <c r="HK285" s="1247"/>
      <c r="HL285" s="1247"/>
      <c r="HM285" s="1247"/>
      <c r="HN285" s="1247"/>
      <c r="HO285" s="1247"/>
      <c r="HP285" s="1247"/>
      <c r="HQ285" s="1247"/>
      <c r="HR285" s="1247"/>
      <c r="HS285" s="1247"/>
      <c r="HT285" s="1247"/>
      <c r="HU285" s="1247"/>
      <c r="HV285" s="1247"/>
      <c r="HW285" s="1247"/>
      <c r="HX285" s="1247"/>
      <c r="HY285" s="1247"/>
      <c r="HZ285" s="1247"/>
      <c r="IA285" s="1247"/>
      <c r="IB285" s="1247"/>
      <c r="IC285" s="1247"/>
      <c r="ID285" s="1247"/>
      <c r="IE285" s="1247"/>
      <c r="IF285" s="1247"/>
      <c r="IG285" s="1247"/>
      <c r="IH285" s="1247"/>
      <c r="II285" s="1247"/>
      <c r="IJ285" s="1247"/>
      <c r="IK285" s="1247"/>
      <c r="IL285" s="1247"/>
      <c r="IM285" s="1247"/>
      <c r="IN285" s="1247"/>
      <c r="IO285" s="1247"/>
      <c r="IP285" s="1247"/>
      <c r="IQ285" s="1247"/>
      <c r="IR285" s="1247"/>
      <c r="IS285" s="1247"/>
      <c r="IT285" s="1247"/>
      <c r="IU285" s="1247"/>
      <c r="IV285" s="1247"/>
      <c r="IW285" s="1247"/>
      <c r="IX285" s="1247"/>
      <c r="IY285" s="1247"/>
      <c r="IZ285" s="1247"/>
      <c r="JA285" s="1247"/>
      <c r="JB285" s="1247"/>
      <c r="JC285" s="1247"/>
      <c r="JD285" s="1247"/>
      <c r="JE285" s="1247"/>
      <c r="JF285" s="1247"/>
      <c r="JG285" s="1247"/>
      <c r="JH285" s="1247"/>
      <c r="JI285" s="1247"/>
      <c r="JJ285" s="1247"/>
      <c r="JK285" s="1247"/>
      <c r="JL285" s="1247"/>
      <c r="JM285" s="1247"/>
      <c r="JN285" s="1247"/>
      <c r="JO285" s="1247"/>
      <c r="JP285" s="1247"/>
      <c r="JQ285" s="1247"/>
      <c r="JR285" s="1247"/>
      <c r="JS285" s="1247"/>
      <c r="JT285" s="1247"/>
      <c r="JU285" s="1247"/>
      <c r="JV285" s="1247"/>
      <c r="JW285" s="1247"/>
      <c r="JX285" s="1247"/>
      <c r="JY285" s="1247"/>
      <c r="JZ285" s="1247"/>
      <c r="KA285" s="1247"/>
      <c r="KB285" s="1247"/>
      <c r="KC285" s="1247"/>
      <c r="KD285" s="1247"/>
      <c r="KE285" s="1247"/>
      <c r="KF285" s="1247"/>
      <c r="KG285" s="1247"/>
      <c r="KH285" s="1247"/>
      <c r="KI285" s="1247"/>
      <c r="KJ285" s="1247"/>
      <c r="KK285" s="1247"/>
      <c r="KL285" s="1247"/>
      <c r="KM285" s="1247"/>
      <c r="KN285" s="1247"/>
      <c r="KO285" s="1247"/>
      <c r="KP285" s="1247"/>
      <c r="KQ285" s="1247"/>
      <c r="KR285" s="1247"/>
      <c r="KS285" s="1247"/>
      <c r="KT285" s="1247"/>
      <c r="KU285" s="1247"/>
      <c r="KV285" s="1247"/>
      <c r="KW285" s="1247"/>
      <c r="KX285" s="1247"/>
      <c r="KY285" s="1247"/>
      <c r="KZ285" s="1247"/>
      <c r="LA285" s="1247"/>
      <c r="LB285" s="1247"/>
      <c r="LC285" s="1247"/>
      <c r="LD285" s="1247"/>
      <c r="LE285" s="1247"/>
      <c r="LF285" s="1247"/>
      <c r="LG285" s="1247"/>
      <c r="LH285" s="1247"/>
      <c r="LI285" s="1247"/>
      <c r="LJ285" s="1247"/>
      <c r="LK285" s="1247"/>
      <c r="LL285" s="1247"/>
      <c r="LM285" s="1247"/>
      <c r="LN285" s="1247"/>
      <c r="LO285" s="1247"/>
      <c r="LP285" s="1247"/>
      <c r="LQ285" s="1247"/>
      <c r="LR285" s="1247"/>
      <c r="LS285" s="1247"/>
      <c r="LT285" s="1247"/>
      <c r="LU285" s="1247"/>
      <c r="LV285" s="1247"/>
      <c r="LW285" s="1247"/>
      <c r="LX285" s="1247"/>
      <c r="LY285" s="1247"/>
      <c r="LZ285" s="1247"/>
      <c r="MA285" s="1247"/>
      <c r="MB285" s="1247"/>
      <c r="MC285" s="1247"/>
      <c r="MD285" s="1247"/>
      <c r="ME285" s="1247"/>
      <c r="MF285" s="1247"/>
      <c r="MG285" s="1247"/>
      <c r="MH285" s="1247"/>
      <c r="MI285" s="1247"/>
      <c r="MJ285" s="1247"/>
      <c r="MK285" s="1247"/>
      <c r="ML285" s="1247"/>
      <c r="MM285" s="1247"/>
      <c r="MN285" s="1247"/>
      <c r="MO285" s="1247"/>
      <c r="MP285" s="1247"/>
      <c r="MQ285" s="1247"/>
      <c r="MR285" s="1247"/>
      <c r="MS285" s="1247"/>
      <c r="MT285" s="1247"/>
      <c r="MU285" s="1247"/>
      <c r="MV285" s="1247"/>
      <c r="MW285" s="1247"/>
      <c r="MX285" s="1247"/>
      <c r="MY285" s="1247"/>
      <c r="MZ285" s="1247"/>
      <c r="NA285" s="1247"/>
      <c r="NB285" s="1247"/>
      <c r="NC285" s="1247"/>
      <c r="ND285" s="1247"/>
      <c r="NE285" s="1247"/>
      <c r="NF285" s="1247"/>
      <c r="NG285" s="1247"/>
      <c r="NH285" s="1247"/>
      <c r="NI285" s="1247"/>
      <c r="NJ285" s="1247"/>
      <c r="NK285" s="1247"/>
      <c r="NL285" s="1247"/>
      <c r="NM285" s="1247"/>
      <c r="NN285" s="1247"/>
      <c r="NO285" s="1247"/>
      <c r="NP285" s="1247"/>
      <c r="NQ285" s="1247"/>
      <c r="NR285" s="1247"/>
      <c r="NS285" s="1247"/>
      <c r="NT285" s="1247"/>
      <c r="NU285" s="1247"/>
      <c r="NV285" s="1247"/>
      <c r="NW285" s="1247"/>
      <c r="NX285" s="1247"/>
      <c r="NY285" s="1247"/>
      <c r="NZ285" s="1247"/>
      <c r="OA285" s="1247"/>
      <c r="OB285" s="1247"/>
      <c r="OC285" s="1247"/>
      <c r="OD285" s="1247"/>
      <c r="OE285" s="1247"/>
      <c r="OF285" s="1247"/>
      <c r="OG285" s="1247"/>
      <c r="OH285" s="1247"/>
      <c r="OI285" s="1247"/>
      <c r="OJ285" s="1247"/>
      <c r="OK285" s="1247"/>
      <c r="OL285" s="1247"/>
      <c r="OM285" s="1247"/>
      <c r="ON285" s="1247"/>
      <c r="OO285" s="1247"/>
      <c r="OP285" s="1247"/>
      <c r="OQ285" s="1247"/>
      <c r="OR285" s="1247"/>
      <c r="OS285" s="1247"/>
      <c r="OT285" s="1247"/>
      <c r="OU285" s="1247"/>
      <c r="OV285" s="1247"/>
      <c r="OW285" s="1247"/>
      <c r="OX285" s="1247"/>
      <c r="OY285" s="1247"/>
      <c r="OZ285" s="1247"/>
      <c r="PA285" s="1247"/>
      <c r="PB285" s="1247"/>
      <c r="PC285" s="1247"/>
      <c r="PD285" s="1247"/>
      <c r="PE285" s="1247"/>
      <c r="PF285" s="1247"/>
      <c r="PG285" s="1247"/>
      <c r="PH285" s="1247"/>
      <c r="PI285" s="1247"/>
      <c r="PJ285" s="1247"/>
      <c r="PK285" s="1247"/>
      <c r="PL285" s="1247"/>
      <c r="PM285" s="1247"/>
      <c r="PN285" s="1247"/>
      <c r="PO285" s="1247"/>
      <c r="PP285" s="1247"/>
      <c r="PQ285" s="1247"/>
      <c r="PR285" s="1247"/>
      <c r="PS285" s="1247"/>
      <c r="PT285" s="1247"/>
      <c r="PU285" s="1247"/>
      <c r="PV285" s="1247"/>
      <c r="PW285" s="1247"/>
      <c r="PX285" s="1247"/>
      <c r="PY285" s="1247"/>
      <c r="PZ285" s="1247"/>
      <c r="QA285" s="1247"/>
      <c r="QB285" s="1247"/>
      <c r="QC285" s="1247"/>
      <c r="QD285" s="1247"/>
      <c r="QE285" s="1247"/>
      <c r="QF285" s="1247"/>
      <c r="QG285" s="1247"/>
      <c r="QH285" s="1247"/>
      <c r="QI285" s="1247"/>
      <c r="QJ285" s="1247"/>
      <c r="QK285" s="1247"/>
      <c r="QL285" s="1247"/>
      <c r="QM285" s="1247"/>
      <c r="QN285" s="1247"/>
      <c r="QO285" s="1247"/>
      <c r="QP285" s="1247"/>
      <c r="QQ285" s="1247"/>
      <c r="QR285" s="1247"/>
      <c r="QS285" s="1247"/>
      <c r="QT285" s="1247"/>
      <c r="QU285" s="1247"/>
      <c r="QV285" s="1247"/>
      <c r="QW285" s="1247"/>
      <c r="QX285" s="1247"/>
      <c r="QY285" s="1247"/>
      <c r="QZ285" s="1247"/>
      <c r="RA285" s="1247"/>
      <c r="RB285" s="1247"/>
      <c r="RC285" s="1247"/>
      <c r="RD285" s="1247"/>
      <c r="RE285" s="1247"/>
      <c r="RF285" s="1247"/>
      <c r="RG285" s="1247"/>
      <c r="RH285" s="1247"/>
      <c r="RI285" s="1247"/>
      <c r="RJ285" s="1247"/>
      <c r="RK285" s="1247"/>
      <c r="RL285" s="1247"/>
      <c r="RM285" s="1247"/>
      <c r="RN285" s="1247"/>
      <c r="RO285" s="1247"/>
      <c r="RP285" s="1247"/>
      <c r="RQ285" s="1247"/>
      <c r="RR285" s="1247"/>
      <c r="RS285" s="1247"/>
      <c r="RT285" s="1247"/>
      <c r="RU285" s="1247"/>
      <c r="RV285" s="1247"/>
      <c r="RW285" s="1247"/>
      <c r="RX285" s="1247"/>
      <c r="RY285" s="1247"/>
      <c r="RZ285" s="1247"/>
      <c r="SA285" s="1247"/>
      <c r="SB285" s="1247"/>
      <c r="SC285" s="1247"/>
      <c r="SD285" s="1247"/>
      <c r="SE285" s="1247"/>
      <c r="SF285" s="1247"/>
      <c r="SG285" s="1247"/>
      <c r="SH285" s="1247"/>
      <c r="SI285" s="1247"/>
      <c r="SJ285" s="1247"/>
      <c r="SK285" s="1247"/>
      <c r="SL285" s="1247"/>
      <c r="SM285" s="1247"/>
      <c r="SN285" s="1247"/>
      <c r="SO285" s="1247"/>
      <c r="SP285" s="1247"/>
      <c r="SQ285" s="1247"/>
      <c r="SR285" s="1247"/>
      <c r="SS285" s="1247"/>
      <c r="ST285" s="1247"/>
      <c r="SU285" s="1247"/>
      <c r="SV285" s="1247"/>
      <c r="SW285" s="1247"/>
      <c r="SX285" s="1247"/>
      <c r="SY285" s="1247"/>
      <c r="SZ285" s="1247"/>
      <c r="TA285" s="1247"/>
      <c r="TB285" s="1247"/>
      <c r="TC285" s="1247"/>
      <c r="TD285" s="1247"/>
      <c r="TE285" s="1247"/>
      <c r="TF285" s="1247"/>
      <c r="TG285" s="1247"/>
      <c r="TH285" s="1247"/>
      <c r="TI285" s="1247"/>
      <c r="TJ285" s="1247"/>
      <c r="TK285" s="1247"/>
      <c r="TL285" s="1247"/>
      <c r="TM285" s="1247"/>
      <c r="TN285" s="1247"/>
      <c r="TO285" s="1247"/>
      <c r="TP285" s="1247"/>
      <c r="TQ285" s="1247"/>
      <c r="TR285" s="1247"/>
      <c r="TS285" s="1247"/>
      <c r="TT285" s="1247"/>
      <c r="TU285" s="1247"/>
      <c r="TV285" s="1247"/>
      <c r="TW285" s="1247"/>
      <c r="TX285" s="1247"/>
      <c r="TY285" s="1247"/>
      <c r="TZ285" s="1247"/>
      <c r="UA285" s="1247"/>
      <c r="UB285" s="1247"/>
      <c r="UC285" s="1247"/>
      <c r="UD285" s="1247"/>
      <c r="UE285" s="1247"/>
      <c r="UF285" s="1247"/>
      <c r="UG285" s="1247"/>
      <c r="UH285" s="1247"/>
      <c r="UI285" s="1247"/>
      <c r="UJ285" s="1247"/>
      <c r="UK285" s="1247"/>
      <c r="UL285" s="1247"/>
      <c r="UM285" s="1247"/>
      <c r="UN285" s="1247"/>
      <c r="UO285" s="1247"/>
      <c r="UP285" s="1247"/>
      <c r="UQ285" s="1247"/>
      <c r="UR285" s="1247"/>
      <c r="US285" s="1247"/>
      <c r="UT285" s="1247"/>
      <c r="UU285" s="1247"/>
      <c r="UV285" s="1247"/>
      <c r="UW285" s="1247"/>
      <c r="UX285" s="1247"/>
      <c r="UY285" s="1247"/>
      <c r="UZ285" s="1247"/>
      <c r="VA285" s="1247"/>
      <c r="VB285" s="1247"/>
      <c r="VC285" s="1247"/>
      <c r="VD285" s="1247"/>
      <c r="VE285" s="1247"/>
      <c r="VF285" s="1247"/>
      <c r="VG285" s="1247"/>
      <c r="VH285" s="1247"/>
      <c r="VI285" s="1247"/>
      <c r="VJ285" s="1247"/>
      <c r="VK285" s="1247"/>
      <c r="VL285" s="1247"/>
      <c r="VM285" s="1247"/>
      <c r="VN285" s="1247"/>
      <c r="VO285" s="1247"/>
      <c r="VP285" s="1247"/>
      <c r="VQ285" s="1247"/>
      <c r="VR285" s="1247"/>
      <c r="VS285" s="1247"/>
      <c r="VT285" s="1247"/>
      <c r="VU285" s="1247"/>
      <c r="VV285" s="1247"/>
      <c r="VW285" s="1247"/>
      <c r="VX285" s="1247"/>
      <c r="VY285" s="1247"/>
      <c r="VZ285" s="1247"/>
      <c r="WA285" s="1247"/>
      <c r="WB285" s="1247"/>
      <c r="WC285" s="1247"/>
      <c r="WD285" s="1247"/>
      <c r="WE285" s="1247"/>
      <c r="WF285" s="1247"/>
      <c r="WG285" s="1247"/>
      <c r="WH285" s="1247"/>
      <c r="WI285" s="1247"/>
      <c r="WJ285" s="1247"/>
      <c r="WK285" s="1247"/>
      <c r="WL285" s="1247"/>
      <c r="WM285" s="1247"/>
      <c r="WN285" s="1247"/>
      <c r="WO285" s="1247"/>
      <c r="WP285" s="1247"/>
      <c r="WQ285" s="1247"/>
      <c r="WR285" s="1247"/>
      <c r="WS285" s="1247"/>
      <c r="WT285" s="1247"/>
      <c r="WU285" s="1247"/>
      <c r="WV285" s="1247"/>
      <c r="WW285" s="1247"/>
      <c r="WX285" s="1247"/>
      <c r="WY285" s="1247"/>
      <c r="WZ285" s="1247"/>
      <c r="XA285" s="1247"/>
      <c r="XB285" s="1247"/>
      <c r="XC285" s="1247"/>
      <c r="XD285" s="1247"/>
      <c r="XE285" s="1247"/>
      <c r="XF285" s="1247"/>
      <c r="XG285" s="1247"/>
      <c r="XH285" s="1247"/>
      <c r="XI285" s="1247"/>
      <c r="XJ285" s="1247"/>
      <c r="XK285" s="1247"/>
      <c r="XL285" s="1247"/>
      <c r="XM285" s="1247"/>
      <c r="XN285" s="1247"/>
      <c r="XO285" s="1247"/>
      <c r="XP285" s="1247"/>
      <c r="XQ285" s="1247"/>
      <c r="XR285" s="1247"/>
      <c r="XS285" s="1247"/>
      <c r="XT285" s="1247"/>
      <c r="XU285" s="1247"/>
      <c r="XV285" s="1247"/>
      <c r="XW285" s="1247"/>
      <c r="XX285" s="1247"/>
      <c r="XY285" s="1247"/>
      <c r="XZ285" s="1247"/>
      <c r="YA285" s="1247"/>
      <c r="YB285" s="1247"/>
      <c r="YC285" s="1247"/>
      <c r="YD285" s="1247"/>
      <c r="YE285" s="1247"/>
      <c r="YF285" s="1247"/>
      <c r="YG285" s="1247"/>
      <c r="YH285" s="1247"/>
      <c r="YI285" s="1247"/>
      <c r="YJ285" s="1247"/>
      <c r="YK285" s="1247"/>
      <c r="YL285" s="1247"/>
      <c r="YM285" s="1247"/>
      <c r="YN285" s="1247"/>
      <c r="YO285" s="1247"/>
      <c r="YP285" s="1247"/>
      <c r="YQ285" s="1247"/>
      <c r="YR285" s="1247"/>
      <c r="YS285" s="1247"/>
      <c r="YT285" s="1247"/>
      <c r="YU285" s="1247"/>
      <c r="YV285" s="1247"/>
      <c r="YW285" s="1247"/>
      <c r="YX285" s="1247"/>
      <c r="YY285" s="1247"/>
      <c r="YZ285" s="1247"/>
      <c r="ZA285" s="1247"/>
      <c r="ZB285" s="1247"/>
      <c r="ZC285" s="1247"/>
      <c r="ZD285" s="1247"/>
      <c r="ZE285" s="1247"/>
      <c r="ZF285" s="1247"/>
      <c r="ZG285" s="1247"/>
      <c r="ZH285" s="1247"/>
      <c r="ZI285" s="1247"/>
      <c r="ZJ285" s="1247"/>
      <c r="ZK285" s="1247"/>
      <c r="ZL285" s="1247"/>
      <c r="ZM285" s="1247"/>
      <c r="ZN285" s="1247"/>
      <c r="ZO285" s="1247"/>
      <c r="ZP285" s="1247"/>
      <c r="ZQ285" s="1247"/>
      <c r="ZR285" s="1247"/>
      <c r="ZS285" s="1247"/>
      <c r="ZT285" s="1247"/>
      <c r="ZU285" s="1247"/>
      <c r="ZV285" s="1247"/>
      <c r="ZW285" s="1247"/>
      <c r="ZX285" s="1247"/>
      <c r="ZY285" s="1247"/>
      <c r="ZZ285" s="1247"/>
      <c r="AAA285" s="1247"/>
      <c r="AAB285" s="1247"/>
      <c r="AAC285" s="1247"/>
      <c r="AAD285" s="1247"/>
      <c r="AAE285" s="1247"/>
      <c r="AAF285" s="1247"/>
      <c r="AAG285" s="1247"/>
      <c r="AAH285" s="1247"/>
      <c r="AAI285" s="1247"/>
      <c r="AAJ285" s="1247"/>
      <c r="AAK285" s="1247"/>
      <c r="AAL285" s="1247"/>
      <c r="AAM285" s="1247"/>
      <c r="AAN285" s="1247"/>
      <c r="AAO285" s="1247"/>
      <c r="AAP285" s="1247"/>
      <c r="AAQ285" s="1247"/>
      <c r="AAR285" s="1247"/>
      <c r="AAS285" s="1247"/>
      <c r="AAT285" s="1247"/>
      <c r="AAU285" s="1247"/>
      <c r="AAV285" s="1247"/>
      <c r="AAW285" s="1247"/>
      <c r="AAX285" s="1247"/>
      <c r="AAY285" s="1247"/>
      <c r="AAZ285" s="1247"/>
      <c r="ABA285" s="1247"/>
      <c r="ABB285" s="1247"/>
      <c r="ABC285" s="1247"/>
      <c r="ABD285" s="1247"/>
      <c r="ABE285" s="1247"/>
      <c r="ABF285" s="1247"/>
      <c r="ABG285" s="1247"/>
      <c r="ABH285" s="1247"/>
      <c r="ABI285" s="1247"/>
      <c r="ABJ285" s="1247"/>
      <c r="ABK285" s="1247"/>
      <c r="ABL285" s="1247"/>
      <c r="ABM285" s="1247"/>
      <c r="ABN285" s="1247"/>
      <c r="ABO285" s="1247"/>
      <c r="ABP285" s="1247"/>
      <c r="ABQ285" s="1247"/>
      <c r="ABR285" s="1247"/>
      <c r="ABS285" s="1247"/>
      <c r="ABT285" s="1247"/>
      <c r="ABU285" s="1247"/>
      <c r="ABV285" s="1247"/>
      <c r="ABW285" s="1247"/>
      <c r="ABX285" s="1247"/>
      <c r="ABY285" s="1247"/>
      <c r="ABZ285" s="1247"/>
      <c r="ACA285" s="1247"/>
      <c r="ACB285" s="1247"/>
      <c r="ACC285" s="1247"/>
      <c r="ACD285" s="1247"/>
      <c r="ACE285" s="1247"/>
      <c r="ACF285" s="1247"/>
      <c r="ACG285" s="1247"/>
      <c r="ACH285" s="1247"/>
      <c r="ACI285" s="1247"/>
      <c r="ACJ285" s="1247"/>
      <c r="ACK285" s="1247"/>
      <c r="ACL285" s="1247"/>
      <c r="ACM285" s="1247"/>
      <c r="ACN285" s="1247"/>
      <c r="ACO285" s="1247"/>
      <c r="ACP285" s="1247"/>
      <c r="ACQ285" s="1247"/>
      <c r="ACR285" s="1247"/>
      <c r="ACS285" s="1247"/>
      <c r="ACT285" s="1247"/>
      <c r="ACU285" s="1247"/>
      <c r="ACV285" s="1247"/>
      <c r="ACW285" s="1247"/>
      <c r="ACX285" s="1247"/>
      <c r="ACY285" s="1247"/>
      <c r="ACZ285" s="1247"/>
      <c r="ADA285" s="1247"/>
      <c r="ADB285" s="1247"/>
      <c r="ADC285" s="1247"/>
      <c r="ADD285" s="1247"/>
      <c r="ADE285" s="1247"/>
      <c r="ADF285" s="1247"/>
      <c r="ADG285" s="1247"/>
    </row>
    <row r="286" spans="1:787" s="1247" customFormat="1" ht="13" hidden="1" outlineLevel="2">
      <c r="B286" s="1422" t="s">
        <v>1600</v>
      </c>
      <c r="C286" s="1423"/>
      <c r="D286" s="1423" t="s">
        <v>3745</v>
      </c>
      <c r="E286" s="1431" t="s">
        <v>3746</v>
      </c>
      <c r="F286" s="1425" t="s">
        <v>461</v>
      </c>
      <c r="G286" s="1431" t="s">
        <v>4168</v>
      </c>
      <c r="H286" s="1454">
        <f>VLOOKUP($D286,车位!$D:$V,12,FALSE)</f>
        <v>0</v>
      </c>
      <c r="I286" s="1454">
        <v>0</v>
      </c>
      <c r="J286" s="1427">
        <f>VLOOKUP($D286,高层!$D:$V,12,FALSE)</f>
        <v>9.6</v>
      </c>
      <c r="K286" s="1427">
        <f>VLOOKUP($D286,幼儿园!$D:$V,12,FALSE)</f>
        <v>0</v>
      </c>
      <c r="L286" s="1427">
        <f>VLOOKUP($D286,配套用房!$D:$V,12,FALSE)</f>
        <v>0</v>
      </c>
      <c r="M286" s="1427">
        <f>VLOOKUP($D286,临街商业!$D:$V,12,FALSE)</f>
        <v>0</v>
      </c>
      <c r="N286" s="1427">
        <f>VLOOKUP($D286,人防车位!D:U,12,FALSE)</f>
        <v>0</v>
      </c>
      <c r="O286" s="1427">
        <f>VLOOKUP($D286,人才公寓销售!$D:$V,12,FALSE)</f>
        <v>0</v>
      </c>
      <c r="P286" s="1427">
        <f>VLOOKUP($D286,小高层!$D:$V,12,FALSE)</f>
        <v>10.1</v>
      </c>
      <c r="Q286" s="1427"/>
      <c r="R286" s="1428">
        <f>SUM(H286:Q286)</f>
        <v>19.7</v>
      </c>
      <c r="S286" s="1427"/>
      <c r="T286" s="1427">
        <f>R286+S286</f>
        <v>19.7</v>
      </c>
      <c r="U286" s="1429"/>
      <c r="V286" s="1225">
        <f t="shared" si="67"/>
        <v>0</v>
      </c>
      <c r="W286" s="1225">
        <f t="shared" si="68"/>
        <v>0</v>
      </c>
      <c r="X286" s="1225"/>
      <c r="Y286" s="1225"/>
    </row>
    <row r="287" spans="1:787" s="1247" customFormat="1" ht="13" hidden="1" outlineLevel="2">
      <c r="B287" s="1422" t="s">
        <v>1601</v>
      </c>
      <c r="C287" s="1423"/>
      <c r="D287" s="1423" t="s">
        <v>94</v>
      </c>
      <c r="E287" s="1431" t="s">
        <v>3747</v>
      </c>
      <c r="F287" s="1425" t="s">
        <v>1602</v>
      </c>
      <c r="G287" s="1431" t="s">
        <v>4169</v>
      </c>
      <c r="H287" s="1454">
        <f>VLOOKUP($D287,车位!$D:$V,12,FALSE)</f>
        <v>0</v>
      </c>
      <c r="I287" s="1454">
        <v>0</v>
      </c>
      <c r="J287" s="1427">
        <f>VLOOKUP($D287,高层!$D:$V,12,FALSE)</f>
        <v>134.4</v>
      </c>
      <c r="K287" s="1427">
        <f>VLOOKUP($D287,幼儿园!$D:$V,12,FALSE)</f>
        <v>0</v>
      </c>
      <c r="L287" s="1427">
        <f>VLOOKUP($D287,配套用房!$D:$V,12,FALSE)</f>
        <v>0</v>
      </c>
      <c r="M287" s="1427">
        <f>VLOOKUP($D287,临街商业!$D:$V,12,FALSE)</f>
        <v>0</v>
      </c>
      <c r="N287" s="1427">
        <f>VLOOKUP($D287,人防车位!D:U,12,FALSE)</f>
        <v>0</v>
      </c>
      <c r="O287" s="1427">
        <f>VLOOKUP($D287,人才公寓销售!$D:$V,12,FALSE)</f>
        <v>0</v>
      </c>
      <c r="P287" s="1427">
        <f>VLOOKUP($D287,小高层!$D:$V,12,FALSE)</f>
        <v>141.4</v>
      </c>
      <c r="Q287" s="1427"/>
      <c r="R287" s="1428">
        <f t="shared" ref="R287:R294" si="74">SUM(H287:Q287)</f>
        <v>275.8</v>
      </c>
      <c r="S287" s="1427"/>
      <c r="T287" s="1427">
        <f t="shared" ref="T287:T294" si="75">R287+S287</f>
        <v>275.8</v>
      </c>
      <c r="U287" s="1429"/>
      <c r="V287" s="1225">
        <f t="shared" si="67"/>
        <v>0</v>
      </c>
      <c r="W287" s="1225">
        <f t="shared" si="68"/>
        <v>0</v>
      </c>
      <c r="X287" s="1225"/>
      <c r="Y287" s="1225"/>
    </row>
    <row r="288" spans="1:787" s="1247" customFormat="1" ht="24" hidden="1" outlineLevel="2">
      <c r="B288" s="1422" t="s">
        <v>779</v>
      </c>
      <c r="C288" s="1423"/>
      <c r="D288" s="1423" t="s">
        <v>3748</v>
      </c>
      <c r="E288" s="1431" t="s">
        <v>3749</v>
      </c>
      <c r="F288" s="1425" t="s">
        <v>3531</v>
      </c>
      <c r="G288" s="1431" t="s">
        <v>4140</v>
      </c>
      <c r="H288" s="1454">
        <f>VLOOKUP($D288,车位!$D:$V,12,FALSE)</f>
        <v>0</v>
      </c>
      <c r="I288" s="1454">
        <v>0</v>
      </c>
      <c r="J288" s="1427">
        <f>VLOOKUP($D288,高层!$D:$V,12,FALSE)</f>
        <v>0</v>
      </c>
      <c r="K288" s="1427">
        <f>VLOOKUP($D288,幼儿园!$D:$V,12,FALSE)</f>
        <v>0</v>
      </c>
      <c r="L288" s="1427">
        <f>VLOOKUP($D288,配套用房!$D:$V,12,FALSE)</f>
        <v>0</v>
      </c>
      <c r="M288" s="1427">
        <f>VLOOKUP($D288,临街商业!$D:$V,12,FALSE)</f>
        <v>0</v>
      </c>
      <c r="N288" s="1427">
        <f>VLOOKUP($D288,人防车位!D:U,12,FALSE)</f>
        <v>0</v>
      </c>
      <c r="O288" s="1427">
        <f>VLOOKUP($D288,人才公寓销售!$D:$V,12,FALSE)</f>
        <v>0</v>
      </c>
      <c r="P288" s="1427">
        <f>VLOOKUP($D288,小高层!$D:$V,12,FALSE)</f>
        <v>0</v>
      </c>
      <c r="Q288" s="1427"/>
      <c r="R288" s="1428">
        <f t="shared" si="74"/>
        <v>0</v>
      </c>
      <c r="S288" s="1427"/>
      <c r="T288" s="1427">
        <f t="shared" si="75"/>
        <v>0</v>
      </c>
      <c r="U288" s="1429"/>
      <c r="V288" s="1225">
        <f t="shared" si="67"/>
        <v>0</v>
      </c>
      <c r="W288" s="1225">
        <f t="shared" si="68"/>
        <v>0</v>
      </c>
      <c r="X288" s="1225"/>
      <c r="Y288" s="1225"/>
    </row>
    <row r="289" spans="1:787" s="1247" customFormat="1" ht="13" hidden="1" outlineLevel="2">
      <c r="B289" s="1422" t="s">
        <v>780</v>
      </c>
      <c r="C289" s="1423"/>
      <c r="D289" s="1423" t="s">
        <v>95</v>
      </c>
      <c r="E289" s="1431" t="s">
        <v>3750</v>
      </c>
      <c r="F289" s="1425" t="s">
        <v>3531</v>
      </c>
      <c r="G289" s="1431" t="s">
        <v>4140</v>
      </c>
      <c r="H289" s="1454">
        <f>VLOOKUP($D289,车位!$D:$V,12,FALSE)</f>
        <v>0</v>
      </c>
      <c r="I289" s="1454">
        <v>0</v>
      </c>
      <c r="J289" s="1427">
        <f>VLOOKUP($D289,高层!$D:$V,12,FALSE)</f>
        <v>0</v>
      </c>
      <c r="K289" s="1427">
        <f>VLOOKUP($D289,幼儿园!$D:$V,12,FALSE)</f>
        <v>0</v>
      </c>
      <c r="L289" s="1427">
        <f>VLOOKUP($D289,配套用房!$D:$V,12,FALSE)</f>
        <v>0</v>
      </c>
      <c r="M289" s="1427">
        <f>VLOOKUP($D289,临街商业!$D:$V,12,FALSE)</f>
        <v>0</v>
      </c>
      <c r="N289" s="1427">
        <f>VLOOKUP($D289,人防车位!D:U,12,FALSE)</f>
        <v>0</v>
      </c>
      <c r="O289" s="1427">
        <f>VLOOKUP($D289,人才公寓销售!$D:$V,12,FALSE)</f>
        <v>0</v>
      </c>
      <c r="P289" s="1427">
        <f>VLOOKUP($D289,小高层!$D:$V,12,FALSE)</f>
        <v>0</v>
      </c>
      <c r="Q289" s="1427"/>
      <c r="R289" s="1428">
        <f t="shared" si="74"/>
        <v>0</v>
      </c>
      <c r="S289" s="1427"/>
      <c r="T289" s="1427">
        <f t="shared" si="75"/>
        <v>0</v>
      </c>
      <c r="U289" s="1429"/>
      <c r="V289" s="1225">
        <f t="shared" si="67"/>
        <v>0</v>
      </c>
      <c r="W289" s="1225">
        <f t="shared" si="68"/>
        <v>0</v>
      </c>
      <c r="X289" s="1225"/>
      <c r="Y289" s="1225"/>
    </row>
    <row r="290" spans="1:787" s="1247" customFormat="1" ht="13" hidden="1" outlineLevel="2">
      <c r="B290" s="1422" t="s">
        <v>781</v>
      </c>
      <c r="C290" s="1423"/>
      <c r="D290" s="1423" t="s">
        <v>3751</v>
      </c>
      <c r="E290" s="1431" t="s">
        <v>3752</v>
      </c>
      <c r="F290" s="1425" t="s">
        <v>3531</v>
      </c>
      <c r="G290" s="1431" t="s">
        <v>4140</v>
      </c>
      <c r="H290" s="1454">
        <f>VLOOKUP($D290,车位!$D:$V,12,FALSE)</f>
        <v>0</v>
      </c>
      <c r="I290" s="1454">
        <v>0</v>
      </c>
      <c r="J290" s="1427">
        <f>VLOOKUP($D290,高层!$D:$V,12,FALSE)</f>
        <v>0</v>
      </c>
      <c r="K290" s="1427">
        <f>VLOOKUP($D290,幼儿园!$D:$V,12,FALSE)</f>
        <v>0</v>
      </c>
      <c r="L290" s="1427">
        <f>VLOOKUP($D290,配套用房!$D:$V,12,FALSE)</f>
        <v>0</v>
      </c>
      <c r="M290" s="1427">
        <f>VLOOKUP($D290,临街商业!$D:$V,12,FALSE)</f>
        <v>0</v>
      </c>
      <c r="N290" s="1427">
        <f>VLOOKUP($D290,人防车位!D:U,12,FALSE)</f>
        <v>0</v>
      </c>
      <c r="O290" s="1427">
        <f>VLOOKUP($D290,人才公寓销售!$D:$V,12,FALSE)</f>
        <v>0</v>
      </c>
      <c r="P290" s="1427">
        <f>VLOOKUP($D290,小高层!$D:$V,12,FALSE)</f>
        <v>0</v>
      </c>
      <c r="Q290" s="1427"/>
      <c r="R290" s="1428">
        <f t="shared" si="74"/>
        <v>0</v>
      </c>
      <c r="S290" s="1427"/>
      <c r="T290" s="1427">
        <f t="shared" si="75"/>
        <v>0</v>
      </c>
      <c r="U290" s="1429"/>
      <c r="V290" s="1225">
        <f t="shared" si="67"/>
        <v>0</v>
      </c>
      <c r="W290" s="1225">
        <f t="shared" si="68"/>
        <v>0</v>
      </c>
      <c r="X290" s="1225"/>
      <c r="Y290" s="1225"/>
    </row>
    <row r="291" spans="1:787" s="1247" customFormat="1" ht="13" hidden="1" outlineLevel="2">
      <c r="B291" s="1422" t="s">
        <v>782</v>
      </c>
      <c r="C291" s="1423"/>
      <c r="D291" s="1423" t="s">
        <v>3753</v>
      </c>
      <c r="E291" s="1431" t="s">
        <v>3754</v>
      </c>
      <c r="F291" s="1425" t="s">
        <v>3531</v>
      </c>
      <c r="G291" s="1431" t="s">
        <v>4140</v>
      </c>
      <c r="H291" s="1454">
        <f>VLOOKUP($D291,车位!$D:$V,12,FALSE)</f>
        <v>0</v>
      </c>
      <c r="I291" s="1454">
        <v>0</v>
      </c>
      <c r="J291" s="1427">
        <f>VLOOKUP($D291,高层!$D:$V,12,FALSE)</f>
        <v>0</v>
      </c>
      <c r="K291" s="1427">
        <f>VLOOKUP($D291,幼儿园!$D:$V,12,FALSE)</f>
        <v>0</v>
      </c>
      <c r="L291" s="1427">
        <f>VLOOKUP($D291,配套用房!$D:$V,12,FALSE)</f>
        <v>0</v>
      </c>
      <c r="M291" s="1427">
        <f>VLOOKUP($D291,临街商业!$D:$V,12,FALSE)</f>
        <v>0</v>
      </c>
      <c r="N291" s="1427">
        <f>VLOOKUP($D291,人防车位!D:U,12,FALSE)</f>
        <v>0</v>
      </c>
      <c r="O291" s="1427">
        <f>VLOOKUP($D291,人才公寓销售!$D:$V,12,FALSE)</f>
        <v>0</v>
      </c>
      <c r="P291" s="1427">
        <f>VLOOKUP($D291,小高层!$D:$V,12,FALSE)</f>
        <v>0</v>
      </c>
      <c r="Q291" s="1427"/>
      <c r="R291" s="1428">
        <f t="shared" si="74"/>
        <v>0</v>
      </c>
      <c r="S291" s="1427"/>
      <c r="T291" s="1427">
        <f t="shared" si="75"/>
        <v>0</v>
      </c>
      <c r="U291" s="1429"/>
      <c r="V291" s="1225">
        <f t="shared" si="67"/>
        <v>0</v>
      </c>
      <c r="W291" s="1225">
        <f t="shared" si="68"/>
        <v>0</v>
      </c>
      <c r="X291" s="1225"/>
      <c r="Y291" s="1225"/>
    </row>
    <row r="292" spans="1:787" s="1247" customFormat="1" ht="13" hidden="1" outlineLevel="2">
      <c r="B292" s="1422" t="s">
        <v>3755</v>
      </c>
      <c r="C292" s="1423"/>
      <c r="D292" s="1423" t="s">
        <v>3756</v>
      </c>
      <c r="E292" s="1431" t="s">
        <v>3757</v>
      </c>
      <c r="F292" s="1425" t="s">
        <v>3531</v>
      </c>
      <c r="G292" s="1431" t="s">
        <v>4140</v>
      </c>
      <c r="H292" s="1454">
        <f>VLOOKUP($D292,车位!$D:$V,12,FALSE)</f>
        <v>0</v>
      </c>
      <c r="I292" s="1454">
        <v>0</v>
      </c>
      <c r="J292" s="1427">
        <f>VLOOKUP($D292,高层!$D:$V,12,FALSE)</f>
        <v>0</v>
      </c>
      <c r="K292" s="1427">
        <f>VLOOKUP($D292,幼儿园!$D:$V,12,FALSE)</f>
        <v>0</v>
      </c>
      <c r="L292" s="1427">
        <f>VLOOKUP($D292,配套用房!$D:$V,12,FALSE)</f>
        <v>0</v>
      </c>
      <c r="M292" s="1427">
        <f>VLOOKUP($D292,临街商业!$D:$V,12,FALSE)</f>
        <v>0</v>
      </c>
      <c r="N292" s="1427">
        <f>VLOOKUP($D292,人防车位!D:U,12,FALSE)</f>
        <v>0</v>
      </c>
      <c r="O292" s="1427">
        <f>VLOOKUP($D292,人才公寓销售!$D:$V,12,FALSE)</f>
        <v>0</v>
      </c>
      <c r="P292" s="1427">
        <f>VLOOKUP($D292,小高层!$D:$V,12,FALSE)</f>
        <v>0</v>
      </c>
      <c r="Q292" s="1427"/>
      <c r="R292" s="1428">
        <f t="shared" si="74"/>
        <v>0</v>
      </c>
      <c r="S292" s="1427"/>
      <c r="T292" s="1427">
        <f t="shared" si="75"/>
        <v>0</v>
      </c>
      <c r="U292" s="1429"/>
      <c r="V292" s="1225">
        <f t="shared" si="67"/>
        <v>0</v>
      </c>
      <c r="W292" s="1225">
        <f t="shared" si="68"/>
        <v>0</v>
      </c>
      <c r="X292" s="1225"/>
      <c r="Y292" s="1225"/>
    </row>
    <row r="293" spans="1:787" s="1247" customFormat="1" ht="13" hidden="1" outlineLevel="2">
      <c r="B293" s="1422" t="s">
        <v>3758</v>
      </c>
      <c r="C293" s="1423"/>
      <c r="D293" s="1423" t="s">
        <v>3759</v>
      </c>
      <c r="E293" s="1431" t="s">
        <v>3760</v>
      </c>
      <c r="F293" s="1425" t="s">
        <v>3531</v>
      </c>
      <c r="G293" s="1431" t="s">
        <v>4140</v>
      </c>
      <c r="H293" s="1454">
        <f>VLOOKUP($D293,车位!$D:$V,12,FALSE)</f>
        <v>0</v>
      </c>
      <c r="I293" s="1454">
        <v>0</v>
      </c>
      <c r="J293" s="1427">
        <f>VLOOKUP($D293,高层!$D:$V,12,FALSE)</f>
        <v>0</v>
      </c>
      <c r="K293" s="1427">
        <f>VLOOKUP($D293,幼儿园!$D:$V,12,FALSE)</f>
        <v>0</v>
      </c>
      <c r="L293" s="1427">
        <f>VLOOKUP($D293,配套用房!$D:$V,12,FALSE)</f>
        <v>0</v>
      </c>
      <c r="M293" s="1427">
        <f>VLOOKUP($D293,临街商业!$D:$V,12,FALSE)</f>
        <v>0</v>
      </c>
      <c r="N293" s="1427">
        <f>VLOOKUP($D293,人防车位!D:U,12,FALSE)</f>
        <v>0</v>
      </c>
      <c r="O293" s="1427">
        <f>VLOOKUP($D293,人才公寓销售!$D:$V,12,FALSE)</f>
        <v>0</v>
      </c>
      <c r="P293" s="1427">
        <f>VLOOKUP($D293,小高层!$D:$V,12,FALSE)</f>
        <v>0</v>
      </c>
      <c r="Q293" s="1427"/>
      <c r="R293" s="1428">
        <f t="shared" si="74"/>
        <v>0</v>
      </c>
      <c r="S293" s="1427"/>
      <c r="T293" s="1427">
        <f t="shared" si="75"/>
        <v>0</v>
      </c>
      <c r="U293" s="1429"/>
      <c r="V293" s="1225">
        <f t="shared" si="67"/>
        <v>0</v>
      </c>
      <c r="W293" s="1225">
        <f t="shared" si="68"/>
        <v>0</v>
      </c>
      <c r="X293" s="1225"/>
      <c r="Y293" s="1225"/>
    </row>
    <row r="294" spans="1:787" s="1247" customFormat="1" ht="13" hidden="1" outlineLevel="2">
      <c r="B294" s="1422" t="s">
        <v>3761</v>
      </c>
      <c r="C294" s="1423"/>
      <c r="D294" s="1423" t="s">
        <v>3762</v>
      </c>
      <c r="E294" s="1431" t="s">
        <v>3763</v>
      </c>
      <c r="F294" s="1425" t="s">
        <v>3531</v>
      </c>
      <c r="G294" s="1431" t="s">
        <v>4140</v>
      </c>
      <c r="H294" s="1454">
        <f>VLOOKUP($D294,车位!$D:$V,12,FALSE)</f>
        <v>39.375</v>
      </c>
      <c r="I294" s="1454">
        <v>0</v>
      </c>
      <c r="J294" s="1427">
        <f>VLOOKUP($D294,高层!$D:$V,12,FALSE)</f>
        <v>0</v>
      </c>
      <c r="K294" s="1427">
        <f>VLOOKUP($D294,幼儿园!$D:$V,12,FALSE)</f>
        <v>0</v>
      </c>
      <c r="L294" s="1427">
        <f>VLOOKUP($D294,配套用房!$D:$V,12,FALSE)</f>
        <v>0</v>
      </c>
      <c r="M294" s="1427">
        <f>VLOOKUP($D294,临街商业!$D:$V,12,FALSE)</f>
        <v>0</v>
      </c>
      <c r="N294" s="1427">
        <f>VLOOKUP($D294,人防车位!D:U,12,FALSE)</f>
        <v>12.6</v>
      </c>
      <c r="O294" s="1427">
        <f>VLOOKUP($D294,人才公寓销售!$D:$V,12,FALSE)</f>
        <v>0</v>
      </c>
      <c r="P294" s="1427">
        <f>VLOOKUP($D294,小高层!$D:$V,12,FALSE)</f>
        <v>0</v>
      </c>
      <c r="Q294" s="1427"/>
      <c r="R294" s="1428">
        <f t="shared" si="74"/>
        <v>51.975000000000001</v>
      </c>
      <c r="S294" s="1427"/>
      <c r="T294" s="1427">
        <f t="shared" si="75"/>
        <v>51.975000000000001</v>
      </c>
      <c r="U294" s="1429"/>
      <c r="V294" s="1225">
        <f t="shared" si="67"/>
        <v>0</v>
      </c>
      <c r="W294" s="1225">
        <f t="shared" si="68"/>
        <v>0</v>
      </c>
      <c r="X294" s="1225"/>
      <c r="Y294" s="1225"/>
    </row>
    <row r="295" spans="1:787" s="1412" customFormat="1" ht="13" collapsed="1">
      <c r="A295" s="1247"/>
      <c r="B295" s="1403" t="s">
        <v>1318</v>
      </c>
      <c r="C295" s="1404"/>
      <c r="D295" s="1404" t="s">
        <v>139</v>
      </c>
      <c r="E295" s="1459"/>
      <c r="F295" s="1406"/>
      <c r="G295" s="1407" t="s">
        <v>4117</v>
      </c>
      <c r="H295" s="1408">
        <f>H296+H305+H313</f>
        <v>0</v>
      </c>
      <c r="I295" s="1408"/>
      <c r="J295" s="1409">
        <f t="shared" ref="J295:P295" si="76">J296+J305+J313</f>
        <v>0</v>
      </c>
      <c r="K295" s="1409">
        <f t="shared" si="76"/>
        <v>0</v>
      </c>
      <c r="L295" s="1409">
        <f t="shared" si="76"/>
        <v>0</v>
      </c>
      <c r="M295" s="1409">
        <f t="shared" si="76"/>
        <v>0</v>
      </c>
      <c r="N295" s="1409">
        <f t="shared" si="76"/>
        <v>0</v>
      </c>
      <c r="O295" s="1409">
        <f t="shared" si="76"/>
        <v>0</v>
      </c>
      <c r="P295" s="1409">
        <f t="shared" si="76"/>
        <v>0</v>
      </c>
      <c r="Q295" s="1410">
        <f>SUBTOTAL(9,Q296:Q320)</f>
        <v>2033.413415</v>
      </c>
      <c r="R295" s="1410">
        <f>SUBTOTAL(9,R296:R320)</f>
        <v>2033.413415</v>
      </c>
      <c r="S295" s="1410">
        <f>SUBTOTAL(9,S296:S320)</f>
        <v>553.77687325430145</v>
      </c>
      <c r="T295" s="1410">
        <f>SUBTOTAL(9,T296:T320)</f>
        <v>2587.1902882543013</v>
      </c>
      <c r="U295" s="1411"/>
      <c r="V295" s="1225">
        <f t="shared" si="67"/>
        <v>0</v>
      </c>
      <c r="W295" s="1225">
        <f t="shared" si="68"/>
        <v>553.77687325430134</v>
      </c>
      <c r="X295" s="1225"/>
      <c r="Y295" s="1225"/>
      <c r="Z295" s="1247"/>
      <c r="AA295" s="1247"/>
      <c r="AB295" s="1247"/>
      <c r="AC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c r="AX295" s="1247"/>
      <c r="AY295" s="1247"/>
      <c r="AZ295" s="1247"/>
      <c r="BA295" s="1247"/>
      <c r="BB295" s="1247"/>
      <c r="BC295" s="1247"/>
      <c r="BD295" s="1247"/>
      <c r="BE295" s="1247"/>
      <c r="BF295" s="1247"/>
      <c r="BG295" s="1247"/>
      <c r="BH295" s="1247"/>
      <c r="BI295" s="1247"/>
      <c r="BJ295" s="1247"/>
      <c r="BK295" s="1247"/>
      <c r="BL295" s="1247"/>
      <c r="BM295" s="1247"/>
      <c r="BN295" s="1247"/>
      <c r="BO295" s="1247"/>
      <c r="BP295" s="1247"/>
      <c r="BQ295" s="1247"/>
      <c r="BR295" s="1247"/>
      <c r="BS295" s="1247"/>
      <c r="BT295" s="1247"/>
      <c r="BU295" s="1247"/>
      <c r="BV295" s="1247"/>
      <c r="BW295" s="1247"/>
      <c r="BX295" s="1247"/>
      <c r="BY295" s="1247"/>
      <c r="BZ295" s="1247"/>
      <c r="CA295" s="1247"/>
      <c r="CB295" s="1247"/>
      <c r="CC295" s="1247"/>
      <c r="CD295" s="1247"/>
      <c r="CE295" s="1247"/>
      <c r="CF295" s="1247"/>
      <c r="CG295" s="1247"/>
      <c r="CH295" s="1247"/>
      <c r="CI295" s="1247"/>
      <c r="CJ295" s="1247"/>
      <c r="CK295" s="1247"/>
      <c r="CL295" s="1247"/>
      <c r="CM295" s="1247"/>
      <c r="CN295" s="1247"/>
      <c r="CO295" s="1247"/>
      <c r="CP295" s="1247"/>
      <c r="CQ295" s="1247"/>
      <c r="CR295" s="1247"/>
      <c r="CS295" s="1247"/>
      <c r="CT295" s="1247"/>
      <c r="CU295" s="1247"/>
      <c r="CV295" s="1247"/>
      <c r="CW295" s="1247"/>
      <c r="CX295" s="1247"/>
      <c r="CY295" s="1247"/>
      <c r="CZ295" s="1247"/>
      <c r="DA295" s="1247"/>
      <c r="DB295" s="1247"/>
      <c r="DC295" s="1247"/>
      <c r="DD295" s="1247"/>
      <c r="DE295" s="1247"/>
      <c r="DF295" s="1247"/>
      <c r="DG295" s="1247"/>
      <c r="DH295" s="1247"/>
      <c r="DI295" s="1247"/>
      <c r="DJ295" s="1247"/>
      <c r="DK295" s="1247"/>
      <c r="DL295" s="1247"/>
      <c r="DM295" s="1247"/>
      <c r="DN295" s="1247"/>
      <c r="DO295" s="1247"/>
      <c r="DP295" s="1247"/>
      <c r="DQ295" s="1247"/>
      <c r="DR295" s="1247"/>
      <c r="DS295" s="1247"/>
      <c r="DT295" s="1247"/>
      <c r="DU295" s="1247"/>
      <c r="DV295" s="1247"/>
      <c r="DW295" s="1247"/>
      <c r="DX295" s="1247"/>
      <c r="DY295" s="1247"/>
      <c r="DZ295" s="1247"/>
      <c r="EA295" s="1247"/>
      <c r="EB295" s="1247"/>
      <c r="EC295" s="1247"/>
      <c r="ED295" s="1247"/>
      <c r="EE295" s="1247"/>
      <c r="EF295" s="1247"/>
      <c r="EG295" s="1247"/>
      <c r="EH295" s="1247"/>
      <c r="EI295" s="1247"/>
      <c r="EJ295" s="1247"/>
      <c r="EK295" s="1247"/>
      <c r="EL295" s="1247"/>
      <c r="EM295" s="1247"/>
      <c r="EN295" s="1247"/>
      <c r="EO295" s="1247"/>
      <c r="EP295" s="1247"/>
      <c r="EQ295" s="1247"/>
      <c r="ER295" s="1247"/>
      <c r="ES295" s="1247"/>
      <c r="ET295" s="1247"/>
      <c r="EU295" s="1247"/>
      <c r="EV295" s="1247"/>
      <c r="EW295" s="1247"/>
      <c r="EX295" s="1247"/>
      <c r="EY295" s="1247"/>
      <c r="EZ295" s="1247"/>
      <c r="FA295" s="1247"/>
      <c r="FB295" s="1247"/>
      <c r="FC295" s="1247"/>
      <c r="FD295" s="1247"/>
      <c r="FE295" s="1247"/>
      <c r="FF295" s="1247"/>
      <c r="FG295" s="1247"/>
      <c r="FH295" s="1247"/>
      <c r="FI295" s="1247"/>
      <c r="FJ295" s="1247"/>
      <c r="FK295" s="1247"/>
      <c r="FL295" s="1247"/>
      <c r="FM295" s="1247"/>
      <c r="FN295" s="1247"/>
      <c r="FO295" s="1247"/>
      <c r="FP295" s="1247"/>
      <c r="FQ295" s="1247"/>
      <c r="FR295" s="1247"/>
      <c r="FS295" s="1247"/>
      <c r="FT295" s="1247"/>
      <c r="FU295" s="1247"/>
      <c r="FV295" s="1247"/>
      <c r="FW295" s="1247"/>
      <c r="FX295" s="1247"/>
      <c r="FY295" s="1247"/>
      <c r="FZ295" s="1247"/>
      <c r="GA295" s="1247"/>
      <c r="GB295" s="1247"/>
      <c r="GC295" s="1247"/>
      <c r="GD295" s="1247"/>
      <c r="GE295" s="1247"/>
      <c r="GF295" s="1247"/>
      <c r="GG295" s="1247"/>
      <c r="GH295" s="1247"/>
      <c r="GI295" s="1247"/>
      <c r="GJ295" s="1247"/>
      <c r="GK295" s="1247"/>
      <c r="GL295" s="1247"/>
      <c r="GM295" s="1247"/>
      <c r="GN295" s="1247"/>
      <c r="GO295" s="1247"/>
      <c r="GP295" s="1247"/>
      <c r="GQ295" s="1247"/>
      <c r="GR295" s="1247"/>
      <c r="GS295" s="1247"/>
      <c r="GT295" s="1247"/>
      <c r="GU295" s="1247"/>
      <c r="GV295" s="1247"/>
      <c r="GW295" s="1247"/>
      <c r="GX295" s="1247"/>
      <c r="GY295" s="1247"/>
      <c r="GZ295" s="1247"/>
      <c r="HA295" s="1247"/>
      <c r="HB295" s="1247"/>
      <c r="HC295" s="1247"/>
      <c r="HD295" s="1247"/>
      <c r="HE295" s="1247"/>
      <c r="HF295" s="1247"/>
      <c r="HG295" s="1247"/>
      <c r="HH295" s="1247"/>
      <c r="HI295" s="1247"/>
      <c r="HJ295" s="1247"/>
      <c r="HK295" s="1247"/>
      <c r="HL295" s="1247"/>
      <c r="HM295" s="1247"/>
      <c r="HN295" s="1247"/>
      <c r="HO295" s="1247"/>
      <c r="HP295" s="1247"/>
      <c r="HQ295" s="1247"/>
      <c r="HR295" s="1247"/>
      <c r="HS295" s="1247"/>
      <c r="HT295" s="1247"/>
      <c r="HU295" s="1247"/>
      <c r="HV295" s="1247"/>
      <c r="HW295" s="1247"/>
      <c r="HX295" s="1247"/>
      <c r="HY295" s="1247"/>
      <c r="HZ295" s="1247"/>
      <c r="IA295" s="1247"/>
      <c r="IB295" s="1247"/>
      <c r="IC295" s="1247"/>
      <c r="ID295" s="1247"/>
      <c r="IE295" s="1247"/>
      <c r="IF295" s="1247"/>
      <c r="IG295" s="1247"/>
      <c r="IH295" s="1247"/>
      <c r="II295" s="1247"/>
      <c r="IJ295" s="1247"/>
      <c r="IK295" s="1247"/>
      <c r="IL295" s="1247"/>
      <c r="IM295" s="1247"/>
      <c r="IN295" s="1247"/>
      <c r="IO295" s="1247"/>
      <c r="IP295" s="1247"/>
      <c r="IQ295" s="1247"/>
      <c r="IR295" s="1247"/>
      <c r="IS295" s="1247"/>
      <c r="IT295" s="1247"/>
      <c r="IU295" s="1247"/>
      <c r="IV295" s="1247"/>
      <c r="IW295" s="1247"/>
      <c r="IX295" s="1247"/>
      <c r="IY295" s="1247"/>
      <c r="IZ295" s="1247"/>
      <c r="JA295" s="1247"/>
      <c r="JB295" s="1247"/>
      <c r="JC295" s="1247"/>
      <c r="JD295" s="1247"/>
      <c r="JE295" s="1247"/>
      <c r="JF295" s="1247"/>
      <c r="JG295" s="1247"/>
      <c r="JH295" s="1247"/>
      <c r="JI295" s="1247"/>
      <c r="JJ295" s="1247"/>
      <c r="JK295" s="1247"/>
      <c r="JL295" s="1247"/>
      <c r="JM295" s="1247"/>
      <c r="JN295" s="1247"/>
      <c r="JO295" s="1247"/>
      <c r="JP295" s="1247"/>
      <c r="JQ295" s="1247"/>
      <c r="JR295" s="1247"/>
      <c r="JS295" s="1247"/>
      <c r="JT295" s="1247"/>
      <c r="JU295" s="1247"/>
      <c r="JV295" s="1247"/>
      <c r="JW295" s="1247"/>
      <c r="JX295" s="1247"/>
      <c r="JY295" s="1247"/>
      <c r="JZ295" s="1247"/>
      <c r="KA295" s="1247"/>
      <c r="KB295" s="1247"/>
      <c r="KC295" s="1247"/>
      <c r="KD295" s="1247"/>
      <c r="KE295" s="1247"/>
      <c r="KF295" s="1247"/>
      <c r="KG295" s="1247"/>
      <c r="KH295" s="1247"/>
      <c r="KI295" s="1247"/>
      <c r="KJ295" s="1247"/>
      <c r="KK295" s="1247"/>
      <c r="KL295" s="1247"/>
      <c r="KM295" s="1247"/>
      <c r="KN295" s="1247"/>
      <c r="KO295" s="1247"/>
      <c r="KP295" s="1247"/>
      <c r="KQ295" s="1247"/>
      <c r="KR295" s="1247"/>
      <c r="KS295" s="1247"/>
      <c r="KT295" s="1247"/>
      <c r="KU295" s="1247"/>
      <c r="KV295" s="1247"/>
      <c r="KW295" s="1247"/>
      <c r="KX295" s="1247"/>
      <c r="KY295" s="1247"/>
      <c r="KZ295" s="1247"/>
      <c r="LA295" s="1247"/>
      <c r="LB295" s="1247"/>
      <c r="LC295" s="1247"/>
      <c r="LD295" s="1247"/>
      <c r="LE295" s="1247"/>
      <c r="LF295" s="1247"/>
      <c r="LG295" s="1247"/>
      <c r="LH295" s="1247"/>
      <c r="LI295" s="1247"/>
      <c r="LJ295" s="1247"/>
      <c r="LK295" s="1247"/>
      <c r="LL295" s="1247"/>
      <c r="LM295" s="1247"/>
      <c r="LN295" s="1247"/>
      <c r="LO295" s="1247"/>
      <c r="LP295" s="1247"/>
      <c r="LQ295" s="1247"/>
      <c r="LR295" s="1247"/>
      <c r="LS295" s="1247"/>
      <c r="LT295" s="1247"/>
      <c r="LU295" s="1247"/>
      <c r="LV295" s="1247"/>
      <c r="LW295" s="1247"/>
      <c r="LX295" s="1247"/>
      <c r="LY295" s="1247"/>
      <c r="LZ295" s="1247"/>
      <c r="MA295" s="1247"/>
      <c r="MB295" s="1247"/>
      <c r="MC295" s="1247"/>
      <c r="MD295" s="1247"/>
      <c r="ME295" s="1247"/>
      <c r="MF295" s="1247"/>
      <c r="MG295" s="1247"/>
      <c r="MH295" s="1247"/>
      <c r="MI295" s="1247"/>
      <c r="MJ295" s="1247"/>
      <c r="MK295" s="1247"/>
      <c r="ML295" s="1247"/>
      <c r="MM295" s="1247"/>
      <c r="MN295" s="1247"/>
      <c r="MO295" s="1247"/>
      <c r="MP295" s="1247"/>
      <c r="MQ295" s="1247"/>
      <c r="MR295" s="1247"/>
      <c r="MS295" s="1247"/>
      <c r="MT295" s="1247"/>
      <c r="MU295" s="1247"/>
      <c r="MV295" s="1247"/>
      <c r="MW295" s="1247"/>
      <c r="MX295" s="1247"/>
      <c r="MY295" s="1247"/>
      <c r="MZ295" s="1247"/>
      <c r="NA295" s="1247"/>
      <c r="NB295" s="1247"/>
      <c r="NC295" s="1247"/>
      <c r="ND295" s="1247"/>
      <c r="NE295" s="1247"/>
      <c r="NF295" s="1247"/>
      <c r="NG295" s="1247"/>
      <c r="NH295" s="1247"/>
      <c r="NI295" s="1247"/>
      <c r="NJ295" s="1247"/>
      <c r="NK295" s="1247"/>
      <c r="NL295" s="1247"/>
      <c r="NM295" s="1247"/>
      <c r="NN295" s="1247"/>
      <c r="NO295" s="1247"/>
      <c r="NP295" s="1247"/>
      <c r="NQ295" s="1247"/>
      <c r="NR295" s="1247"/>
      <c r="NS295" s="1247"/>
      <c r="NT295" s="1247"/>
      <c r="NU295" s="1247"/>
      <c r="NV295" s="1247"/>
      <c r="NW295" s="1247"/>
      <c r="NX295" s="1247"/>
      <c r="NY295" s="1247"/>
      <c r="NZ295" s="1247"/>
      <c r="OA295" s="1247"/>
      <c r="OB295" s="1247"/>
      <c r="OC295" s="1247"/>
      <c r="OD295" s="1247"/>
      <c r="OE295" s="1247"/>
      <c r="OF295" s="1247"/>
      <c r="OG295" s="1247"/>
      <c r="OH295" s="1247"/>
      <c r="OI295" s="1247"/>
      <c r="OJ295" s="1247"/>
      <c r="OK295" s="1247"/>
      <c r="OL295" s="1247"/>
      <c r="OM295" s="1247"/>
      <c r="ON295" s="1247"/>
      <c r="OO295" s="1247"/>
      <c r="OP295" s="1247"/>
      <c r="OQ295" s="1247"/>
      <c r="OR295" s="1247"/>
      <c r="OS295" s="1247"/>
      <c r="OT295" s="1247"/>
      <c r="OU295" s="1247"/>
      <c r="OV295" s="1247"/>
      <c r="OW295" s="1247"/>
      <c r="OX295" s="1247"/>
      <c r="OY295" s="1247"/>
      <c r="OZ295" s="1247"/>
      <c r="PA295" s="1247"/>
      <c r="PB295" s="1247"/>
      <c r="PC295" s="1247"/>
      <c r="PD295" s="1247"/>
      <c r="PE295" s="1247"/>
      <c r="PF295" s="1247"/>
      <c r="PG295" s="1247"/>
      <c r="PH295" s="1247"/>
      <c r="PI295" s="1247"/>
      <c r="PJ295" s="1247"/>
      <c r="PK295" s="1247"/>
      <c r="PL295" s="1247"/>
      <c r="PM295" s="1247"/>
      <c r="PN295" s="1247"/>
      <c r="PO295" s="1247"/>
      <c r="PP295" s="1247"/>
      <c r="PQ295" s="1247"/>
      <c r="PR295" s="1247"/>
      <c r="PS295" s="1247"/>
      <c r="PT295" s="1247"/>
      <c r="PU295" s="1247"/>
      <c r="PV295" s="1247"/>
      <c r="PW295" s="1247"/>
      <c r="PX295" s="1247"/>
      <c r="PY295" s="1247"/>
      <c r="PZ295" s="1247"/>
      <c r="QA295" s="1247"/>
      <c r="QB295" s="1247"/>
      <c r="QC295" s="1247"/>
      <c r="QD295" s="1247"/>
      <c r="QE295" s="1247"/>
      <c r="QF295" s="1247"/>
      <c r="QG295" s="1247"/>
      <c r="QH295" s="1247"/>
      <c r="QI295" s="1247"/>
      <c r="QJ295" s="1247"/>
      <c r="QK295" s="1247"/>
      <c r="QL295" s="1247"/>
      <c r="QM295" s="1247"/>
      <c r="QN295" s="1247"/>
      <c r="QO295" s="1247"/>
      <c r="QP295" s="1247"/>
      <c r="QQ295" s="1247"/>
      <c r="QR295" s="1247"/>
      <c r="QS295" s="1247"/>
      <c r="QT295" s="1247"/>
      <c r="QU295" s="1247"/>
      <c r="QV295" s="1247"/>
      <c r="QW295" s="1247"/>
      <c r="QX295" s="1247"/>
      <c r="QY295" s="1247"/>
      <c r="QZ295" s="1247"/>
      <c r="RA295" s="1247"/>
      <c r="RB295" s="1247"/>
      <c r="RC295" s="1247"/>
      <c r="RD295" s="1247"/>
      <c r="RE295" s="1247"/>
      <c r="RF295" s="1247"/>
      <c r="RG295" s="1247"/>
      <c r="RH295" s="1247"/>
      <c r="RI295" s="1247"/>
      <c r="RJ295" s="1247"/>
      <c r="RK295" s="1247"/>
      <c r="RL295" s="1247"/>
      <c r="RM295" s="1247"/>
      <c r="RN295" s="1247"/>
      <c r="RO295" s="1247"/>
      <c r="RP295" s="1247"/>
      <c r="RQ295" s="1247"/>
      <c r="RR295" s="1247"/>
      <c r="RS295" s="1247"/>
      <c r="RT295" s="1247"/>
      <c r="RU295" s="1247"/>
      <c r="RV295" s="1247"/>
      <c r="RW295" s="1247"/>
      <c r="RX295" s="1247"/>
      <c r="RY295" s="1247"/>
      <c r="RZ295" s="1247"/>
      <c r="SA295" s="1247"/>
      <c r="SB295" s="1247"/>
      <c r="SC295" s="1247"/>
      <c r="SD295" s="1247"/>
      <c r="SE295" s="1247"/>
      <c r="SF295" s="1247"/>
      <c r="SG295" s="1247"/>
      <c r="SH295" s="1247"/>
      <c r="SI295" s="1247"/>
      <c r="SJ295" s="1247"/>
      <c r="SK295" s="1247"/>
      <c r="SL295" s="1247"/>
      <c r="SM295" s="1247"/>
      <c r="SN295" s="1247"/>
      <c r="SO295" s="1247"/>
      <c r="SP295" s="1247"/>
      <c r="SQ295" s="1247"/>
      <c r="SR295" s="1247"/>
      <c r="SS295" s="1247"/>
      <c r="ST295" s="1247"/>
      <c r="SU295" s="1247"/>
      <c r="SV295" s="1247"/>
      <c r="SW295" s="1247"/>
      <c r="SX295" s="1247"/>
      <c r="SY295" s="1247"/>
      <c r="SZ295" s="1247"/>
      <c r="TA295" s="1247"/>
      <c r="TB295" s="1247"/>
      <c r="TC295" s="1247"/>
      <c r="TD295" s="1247"/>
      <c r="TE295" s="1247"/>
      <c r="TF295" s="1247"/>
      <c r="TG295" s="1247"/>
      <c r="TH295" s="1247"/>
      <c r="TI295" s="1247"/>
      <c r="TJ295" s="1247"/>
      <c r="TK295" s="1247"/>
      <c r="TL295" s="1247"/>
      <c r="TM295" s="1247"/>
      <c r="TN295" s="1247"/>
      <c r="TO295" s="1247"/>
      <c r="TP295" s="1247"/>
      <c r="TQ295" s="1247"/>
      <c r="TR295" s="1247"/>
      <c r="TS295" s="1247"/>
      <c r="TT295" s="1247"/>
      <c r="TU295" s="1247"/>
      <c r="TV295" s="1247"/>
      <c r="TW295" s="1247"/>
      <c r="TX295" s="1247"/>
      <c r="TY295" s="1247"/>
      <c r="TZ295" s="1247"/>
      <c r="UA295" s="1247"/>
      <c r="UB295" s="1247"/>
      <c r="UC295" s="1247"/>
      <c r="UD295" s="1247"/>
      <c r="UE295" s="1247"/>
      <c r="UF295" s="1247"/>
      <c r="UG295" s="1247"/>
      <c r="UH295" s="1247"/>
      <c r="UI295" s="1247"/>
      <c r="UJ295" s="1247"/>
      <c r="UK295" s="1247"/>
      <c r="UL295" s="1247"/>
      <c r="UM295" s="1247"/>
      <c r="UN295" s="1247"/>
      <c r="UO295" s="1247"/>
      <c r="UP295" s="1247"/>
      <c r="UQ295" s="1247"/>
      <c r="UR295" s="1247"/>
      <c r="US295" s="1247"/>
      <c r="UT295" s="1247"/>
      <c r="UU295" s="1247"/>
      <c r="UV295" s="1247"/>
      <c r="UW295" s="1247"/>
      <c r="UX295" s="1247"/>
      <c r="UY295" s="1247"/>
      <c r="UZ295" s="1247"/>
      <c r="VA295" s="1247"/>
      <c r="VB295" s="1247"/>
      <c r="VC295" s="1247"/>
      <c r="VD295" s="1247"/>
      <c r="VE295" s="1247"/>
      <c r="VF295" s="1247"/>
      <c r="VG295" s="1247"/>
      <c r="VH295" s="1247"/>
      <c r="VI295" s="1247"/>
      <c r="VJ295" s="1247"/>
      <c r="VK295" s="1247"/>
      <c r="VL295" s="1247"/>
      <c r="VM295" s="1247"/>
      <c r="VN295" s="1247"/>
      <c r="VO295" s="1247"/>
      <c r="VP295" s="1247"/>
      <c r="VQ295" s="1247"/>
      <c r="VR295" s="1247"/>
      <c r="VS295" s="1247"/>
      <c r="VT295" s="1247"/>
      <c r="VU295" s="1247"/>
      <c r="VV295" s="1247"/>
      <c r="VW295" s="1247"/>
      <c r="VX295" s="1247"/>
      <c r="VY295" s="1247"/>
      <c r="VZ295" s="1247"/>
      <c r="WA295" s="1247"/>
      <c r="WB295" s="1247"/>
      <c r="WC295" s="1247"/>
      <c r="WD295" s="1247"/>
      <c r="WE295" s="1247"/>
      <c r="WF295" s="1247"/>
      <c r="WG295" s="1247"/>
      <c r="WH295" s="1247"/>
      <c r="WI295" s="1247"/>
      <c r="WJ295" s="1247"/>
      <c r="WK295" s="1247"/>
      <c r="WL295" s="1247"/>
      <c r="WM295" s="1247"/>
      <c r="WN295" s="1247"/>
      <c r="WO295" s="1247"/>
      <c r="WP295" s="1247"/>
      <c r="WQ295" s="1247"/>
      <c r="WR295" s="1247"/>
      <c r="WS295" s="1247"/>
      <c r="WT295" s="1247"/>
      <c r="WU295" s="1247"/>
      <c r="WV295" s="1247"/>
      <c r="WW295" s="1247"/>
      <c r="WX295" s="1247"/>
      <c r="WY295" s="1247"/>
      <c r="WZ295" s="1247"/>
      <c r="XA295" s="1247"/>
      <c r="XB295" s="1247"/>
      <c r="XC295" s="1247"/>
      <c r="XD295" s="1247"/>
      <c r="XE295" s="1247"/>
      <c r="XF295" s="1247"/>
      <c r="XG295" s="1247"/>
      <c r="XH295" s="1247"/>
      <c r="XI295" s="1247"/>
      <c r="XJ295" s="1247"/>
      <c r="XK295" s="1247"/>
      <c r="XL295" s="1247"/>
      <c r="XM295" s="1247"/>
      <c r="XN295" s="1247"/>
      <c r="XO295" s="1247"/>
      <c r="XP295" s="1247"/>
      <c r="XQ295" s="1247"/>
      <c r="XR295" s="1247"/>
      <c r="XS295" s="1247"/>
      <c r="XT295" s="1247"/>
      <c r="XU295" s="1247"/>
      <c r="XV295" s="1247"/>
      <c r="XW295" s="1247"/>
      <c r="XX295" s="1247"/>
      <c r="XY295" s="1247"/>
      <c r="XZ295" s="1247"/>
      <c r="YA295" s="1247"/>
      <c r="YB295" s="1247"/>
      <c r="YC295" s="1247"/>
      <c r="YD295" s="1247"/>
      <c r="YE295" s="1247"/>
      <c r="YF295" s="1247"/>
      <c r="YG295" s="1247"/>
      <c r="YH295" s="1247"/>
      <c r="YI295" s="1247"/>
      <c r="YJ295" s="1247"/>
      <c r="YK295" s="1247"/>
      <c r="YL295" s="1247"/>
      <c r="YM295" s="1247"/>
      <c r="YN295" s="1247"/>
      <c r="YO295" s="1247"/>
      <c r="YP295" s="1247"/>
      <c r="YQ295" s="1247"/>
      <c r="YR295" s="1247"/>
      <c r="YS295" s="1247"/>
      <c r="YT295" s="1247"/>
      <c r="YU295" s="1247"/>
      <c r="YV295" s="1247"/>
      <c r="YW295" s="1247"/>
      <c r="YX295" s="1247"/>
      <c r="YY295" s="1247"/>
      <c r="YZ295" s="1247"/>
      <c r="ZA295" s="1247"/>
      <c r="ZB295" s="1247"/>
      <c r="ZC295" s="1247"/>
      <c r="ZD295" s="1247"/>
      <c r="ZE295" s="1247"/>
      <c r="ZF295" s="1247"/>
      <c r="ZG295" s="1247"/>
      <c r="ZH295" s="1247"/>
      <c r="ZI295" s="1247"/>
      <c r="ZJ295" s="1247"/>
      <c r="ZK295" s="1247"/>
      <c r="ZL295" s="1247"/>
      <c r="ZM295" s="1247"/>
      <c r="ZN295" s="1247"/>
      <c r="ZO295" s="1247"/>
      <c r="ZP295" s="1247"/>
      <c r="ZQ295" s="1247"/>
      <c r="ZR295" s="1247"/>
      <c r="ZS295" s="1247"/>
      <c r="ZT295" s="1247"/>
      <c r="ZU295" s="1247"/>
      <c r="ZV295" s="1247"/>
      <c r="ZW295" s="1247"/>
      <c r="ZX295" s="1247"/>
      <c r="ZY295" s="1247"/>
      <c r="ZZ295" s="1247"/>
      <c r="AAA295" s="1247"/>
      <c r="AAB295" s="1247"/>
      <c r="AAC295" s="1247"/>
      <c r="AAD295" s="1247"/>
      <c r="AAE295" s="1247"/>
      <c r="AAF295" s="1247"/>
      <c r="AAG295" s="1247"/>
      <c r="AAH295" s="1247"/>
      <c r="AAI295" s="1247"/>
      <c r="AAJ295" s="1247"/>
      <c r="AAK295" s="1247"/>
      <c r="AAL295" s="1247"/>
      <c r="AAM295" s="1247"/>
      <c r="AAN295" s="1247"/>
      <c r="AAO295" s="1247"/>
      <c r="AAP295" s="1247"/>
      <c r="AAQ295" s="1247"/>
      <c r="AAR295" s="1247"/>
      <c r="AAS295" s="1247"/>
      <c r="AAT295" s="1247"/>
      <c r="AAU295" s="1247"/>
      <c r="AAV295" s="1247"/>
      <c r="AAW295" s="1247"/>
      <c r="AAX295" s="1247"/>
      <c r="AAY295" s="1247"/>
      <c r="AAZ295" s="1247"/>
      <c r="ABA295" s="1247"/>
      <c r="ABB295" s="1247"/>
      <c r="ABC295" s="1247"/>
      <c r="ABD295" s="1247"/>
      <c r="ABE295" s="1247"/>
      <c r="ABF295" s="1247"/>
      <c r="ABG295" s="1247"/>
      <c r="ABH295" s="1247"/>
      <c r="ABI295" s="1247"/>
      <c r="ABJ295" s="1247"/>
      <c r="ABK295" s="1247"/>
      <c r="ABL295" s="1247"/>
      <c r="ABM295" s="1247"/>
      <c r="ABN295" s="1247"/>
      <c r="ABO295" s="1247"/>
      <c r="ABP295" s="1247"/>
      <c r="ABQ295" s="1247"/>
      <c r="ABR295" s="1247"/>
      <c r="ABS295" s="1247"/>
      <c r="ABT295" s="1247"/>
      <c r="ABU295" s="1247"/>
      <c r="ABV295" s="1247"/>
      <c r="ABW295" s="1247"/>
      <c r="ABX295" s="1247"/>
      <c r="ABY295" s="1247"/>
      <c r="ABZ295" s="1247"/>
      <c r="ACA295" s="1247"/>
      <c r="ACB295" s="1247"/>
      <c r="ACC295" s="1247"/>
      <c r="ACD295" s="1247"/>
      <c r="ACE295" s="1247"/>
      <c r="ACF295" s="1247"/>
      <c r="ACG295" s="1247"/>
      <c r="ACH295" s="1247"/>
      <c r="ACI295" s="1247"/>
      <c r="ACJ295" s="1247"/>
      <c r="ACK295" s="1247"/>
      <c r="ACL295" s="1247"/>
      <c r="ACM295" s="1247"/>
      <c r="ACN295" s="1247"/>
      <c r="ACO295" s="1247"/>
      <c r="ACP295" s="1247"/>
      <c r="ACQ295" s="1247"/>
      <c r="ACR295" s="1247"/>
      <c r="ACS295" s="1247"/>
      <c r="ACT295" s="1247"/>
      <c r="ACU295" s="1247"/>
      <c r="ACV295" s="1247"/>
      <c r="ACW295" s="1247"/>
      <c r="ACX295" s="1247"/>
      <c r="ACY295" s="1247"/>
      <c r="ACZ295" s="1247"/>
      <c r="ADA295" s="1247"/>
      <c r="ADB295" s="1247"/>
      <c r="ADC295" s="1247"/>
      <c r="ADD295" s="1247"/>
      <c r="ADE295" s="1247"/>
      <c r="ADF295" s="1247"/>
      <c r="ADG295" s="1247"/>
    </row>
    <row r="296" spans="1:787" s="1421" customFormat="1" ht="13" hidden="1" outlineLevel="1">
      <c r="A296" s="1247"/>
      <c r="B296" s="1413" t="s">
        <v>504</v>
      </c>
      <c r="C296" s="1414"/>
      <c r="D296" s="1414" t="s">
        <v>140</v>
      </c>
      <c r="E296" s="1417"/>
      <c r="F296" s="1449"/>
      <c r="G296" s="1448" t="s">
        <v>4117</v>
      </c>
      <c r="H296" s="1418"/>
      <c r="I296" s="1418"/>
      <c r="J296" s="1457"/>
      <c r="K296" s="1457"/>
      <c r="L296" s="1457"/>
      <c r="M296" s="1457"/>
      <c r="N296" s="1457"/>
      <c r="O296" s="1457"/>
      <c r="P296" s="1457"/>
      <c r="Q296" s="1419">
        <f>SUBTOTAL(9,Q297:Q304)</f>
        <v>0</v>
      </c>
      <c r="R296" s="1419">
        <f>SUBTOTAL(9,R297:R304)</f>
        <v>0</v>
      </c>
      <c r="S296" s="1419">
        <f>SUBTOTAL(9,S297:S304)</f>
        <v>0</v>
      </c>
      <c r="T296" s="1419">
        <f>SUBTOTAL(9,T297:T304)</f>
        <v>0</v>
      </c>
      <c r="U296" s="1443"/>
      <c r="V296" s="1225">
        <f t="shared" si="67"/>
        <v>0</v>
      </c>
      <c r="W296" s="1225">
        <f t="shared" si="68"/>
        <v>0</v>
      </c>
      <c r="X296" s="1225"/>
      <c r="Y296" s="1225"/>
      <c r="Z296" s="1247"/>
      <c r="AA296" s="1247"/>
      <c r="AB296" s="1247"/>
      <c r="AC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c r="AX296" s="1247"/>
      <c r="AY296" s="1247"/>
      <c r="AZ296" s="1247"/>
      <c r="BA296" s="1247"/>
      <c r="BB296" s="1247"/>
      <c r="BC296" s="1247"/>
      <c r="BD296" s="1247"/>
      <c r="BE296" s="1247"/>
      <c r="BF296" s="1247"/>
      <c r="BG296" s="1247"/>
      <c r="BH296" s="1247"/>
      <c r="BI296" s="1247"/>
      <c r="BJ296" s="1247"/>
      <c r="BK296" s="1247"/>
      <c r="BL296" s="1247"/>
      <c r="BM296" s="1247"/>
      <c r="BN296" s="1247"/>
      <c r="BO296" s="1247"/>
      <c r="BP296" s="1247"/>
      <c r="BQ296" s="1247"/>
      <c r="BR296" s="1247"/>
      <c r="BS296" s="1247"/>
      <c r="BT296" s="1247"/>
      <c r="BU296" s="1247"/>
      <c r="BV296" s="1247"/>
      <c r="BW296" s="1247"/>
      <c r="BX296" s="1247"/>
      <c r="BY296" s="1247"/>
      <c r="BZ296" s="1247"/>
      <c r="CA296" s="1247"/>
      <c r="CB296" s="1247"/>
      <c r="CC296" s="1247"/>
      <c r="CD296" s="1247"/>
      <c r="CE296" s="1247"/>
      <c r="CF296" s="1247"/>
      <c r="CG296" s="1247"/>
      <c r="CH296" s="1247"/>
      <c r="CI296" s="1247"/>
      <c r="CJ296" s="1247"/>
      <c r="CK296" s="1247"/>
      <c r="CL296" s="1247"/>
      <c r="CM296" s="1247"/>
      <c r="CN296" s="1247"/>
      <c r="CO296" s="1247"/>
      <c r="CP296" s="1247"/>
      <c r="CQ296" s="1247"/>
      <c r="CR296" s="1247"/>
      <c r="CS296" s="1247"/>
      <c r="CT296" s="1247"/>
      <c r="CU296" s="1247"/>
      <c r="CV296" s="1247"/>
      <c r="CW296" s="1247"/>
      <c r="CX296" s="1247"/>
      <c r="CY296" s="1247"/>
      <c r="CZ296" s="1247"/>
      <c r="DA296" s="1247"/>
      <c r="DB296" s="1247"/>
      <c r="DC296" s="1247"/>
      <c r="DD296" s="1247"/>
      <c r="DE296" s="1247"/>
      <c r="DF296" s="1247"/>
      <c r="DG296" s="1247"/>
      <c r="DH296" s="1247"/>
      <c r="DI296" s="1247"/>
      <c r="DJ296" s="1247"/>
      <c r="DK296" s="1247"/>
      <c r="DL296" s="1247"/>
      <c r="DM296" s="1247"/>
      <c r="DN296" s="1247"/>
      <c r="DO296" s="1247"/>
      <c r="DP296" s="1247"/>
      <c r="DQ296" s="1247"/>
      <c r="DR296" s="1247"/>
      <c r="DS296" s="1247"/>
      <c r="DT296" s="1247"/>
      <c r="DU296" s="1247"/>
      <c r="DV296" s="1247"/>
      <c r="DW296" s="1247"/>
      <c r="DX296" s="1247"/>
      <c r="DY296" s="1247"/>
      <c r="DZ296" s="1247"/>
      <c r="EA296" s="1247"/>
      <c r="EB296" s="1247"/>
      <c r="EC296" s="1247"/>
      <c r="ED296" s="1247"/>
      <c r="EE296" s="1247"/>
      <c r="EF296" s="1247"/>
      <c r="EG296" s="1247"/>
      <c r="EH296" s="1247"/>
      <c r="EI296" s="1247"/>
      <c r="EJ296" s="1247"/>
      <c r="EK296" s="1247"/>
      <c r="EL296" s="1247"/>
      <c r="EM296" s="1247"/>
      <c r="EN296" s="1247"/>
      <c r="EO296" s="1247"/>
      <c r="EP296" s="1247"/>
      <c r="EQ296" s="1247"/>
      <c r="ER296" s="1247"/>
      <c r="ES296" s="1247"/>
      <c r="ET296" s="1247"/>
      <c r="EU296" s="1247"/>
      <c r="EV296" s="1247"/>
      <c r="EW296" s="1247"/>
      <c r="EX296" s="1247"/>
      <c r="EY296" s="1247"/>
      <c r="EZ296" s="1247"/>
      <c r="FA296" s="1247"/>
      <c r="FB296" s="1247"/>
      <c r="FC296" s="1247"/>
      <c r="FD296" s="1247"/>
      <c r="FE296" s="1247"/>
      <c r="FF296" s="1247"/>
      <c r="FG296" s="1247"/>
      <c r="FH296" s="1247"/>
      <c r="FI296" s="1247"/>
      <c r="FJ296" s="1247"/>
      <c r="FK296" s="1247"/>
      <c r="FL296" s="1247"/>
      <c r="FM296" s="1247"/>
      <c r="FN296" s="1247"/>
      <c r="FO296" s="1247"/>
      <c r="FP296" s="1247"/>
      <c r="FQ296" s="1247"/>
      <c r="FR296" s="1247"/>
      <c r="FS296" s="1247"/>
      <c r="FT296" s="1247"/>
      <c r="FU296" s="1247"/>
      <c r="FV296" s="1247"/>
      <c r="FW296" s="1247"/>
      <c r="FX296" s="1247"/>
      <c r="FY296" s="1247"/>
      <c r="FZ296" s="1247"/>
      <c r="GA296" s="1247"/>
      <c r="GB296" s="1247"/>
      <c r="GC296" s="1247"/>
      <c r="GD296" s="1247"/>
      <c r="GE296" s="1247"/>
      <c r="GF296" s="1247"/>
      <c r="GG296" s="1247"/>
      <c r="GH296" s="1247"/>
      <c r="GI296" s="1247"/>
      <c r="GJ296" s="1247"/>
      <c r="GK296" s="1247"/>
      <c r="GL296" s="1247"/>
      <c r="GM296" s="1247"/>
      <c r="GN296" s="1247"/>
      <c r="GO296" s="1247"/>
      <c r="GP296" s="1247"/>
      <c r="GQ296" s="1247"/>
      <c r="GR296" s="1247"/>
      <c r="GS296" s="1247"/>
      <c r="GT296" s="1247"/>
      <c r="GU296" s="1247"/>
      <c r="GV296" s="1247"/>
      <c r="GW296" s="1247"/>
      <c r="GX296" s="1247"/>
      <c r="GY296" s="1247"/>
      <c r="GZ296" s="1247"/>
      <c r="HA296" s="1247"/>
      <c r="HB296" s="1247"/>
      <c r="HC296" s="1247"/>
      <c r="HD296" s="1247"/>
      <c r="HE296" s="1247"/>
      <c r="HF296" s="1247"/>
      <c r="HG296" s="1247"/>
      <c r="HH296" s="1247"/>
      <c r="HI296" s="1247"/>
      <c r="HJ296" s="1247"/>
      <c r="HK296" s="1247"/>
      <c r="HL296" s="1247"/>
      <c r="HM296" s="1247"/>
      <c r="HN296" s="1247"/>
      <c r="HO296" s="1247"/>
      <c r="HP296" s="1247"/>
      <c r="HQ296" s="1247"/>
      <c r="HR296" s="1247"/>
      <c r="HS296" s="1247"/>
      <c r="HT296" s="1247"/>
      <c r="HU296" s="1247"/>
      <c r="HV296" s="1247"/>
      <c r="HW296" s="1247"/>
      <c r="HX296" s="1247"/>
      <c r="HY296" s="1247"/>
      <c r="HZ296" s="1247"/>
      <c r="IA296" s="1247"/>
      <c r="IB296" s="1247"/>
      <c r="IC296" s="1247"/>
      <c r="ID296" s="1247"/>
      <c r="IE296" s="1247"/>
      <c r="IF296" s="1247"/>
      <c r="IG296" s="1247"/>
      <c r="IH296" s="1247"/>
      <c r="II296" s="1247"/>
      <c r="IJ296" s="1247"/>
      <c r="IK296" s="1247"/>
      <c r="IL296" s="1247"/>
      <c r="IM296" s="1247"/>
      <c r="IN296" s="1247"/>
      <c r="IO296" s="1247"/>
      <c r="IP296" s="1247"/>
      <c r="IQ296" s="1247"/>
      <c r="IR296" s="1247"/>
      <c r="IS296" s="1247"/>
      <c r="IT296" s="1247"/>
      <c r="IU296" s="1247"/>
      <c r="IV296" s="1247"/>
      <c r="IW296" s="1247"/>
      <c r="IX296" s="1247"/>
      <c r="IY296" s="1247"/>
      <c r="IZ296" s="1247"/>
      <c r="JA296" s="1247"/>
      <c r="JB296" s="1247"/>
      <c r="JC296" s="1247"/>
      <c r="JD296" s="1247"/>
      <c r="JE296" s="1247"/>
      <c r="JF296" s="1247"/>
      <c r="JG296" s="1247"/>
      <c r="JH296" s="1247"/>
      <c r="JI296" s="1247"/>
      <c r="JJ296" s="1247"/>
      <c r="JK296" s="1247"/>
      <c r="JL296" s="1247"/>
      <c r="JM296" s="1247"/>
      <c r="JN296" s="1247"/>
      <c r="JO296" s="1247"/>
      <c r="JP296" s="1247"/>
      <c r="JQ296" s="1247"/>
      <c r="JR296" s="1247"/>
      <c r="JS296" s="1247"/>
      <c r="JT296" s="1247"/>
      <c r="JU296" s="1247"/>
      <c r="JV296" s="1247"/>
      <c r="JW296" s="1247"/>
      <c r="JX296" s="1247"/>
      <c r="JY296" s="1247"/>
      <c r="JZ296" s="1247"/>
      <c r="KA296" s="1247"/>
      <c r="KB296" s="1247"/>
      <c r="KC296" s="1247"/>
      <c r="KD296" s="1247"/>
      <c r="KE296" s="1247"/>
      <c r="KF296" s="1247"/>
      <c r="KG296" s="1247"/>
      <c r="KH296" s="1247"/>
      <c r="KI296" s="1247"/>
      <c r="KJ296" s="1247"/>
      <c r="KK296" s="1247"/>
      <c r="KL296" s="1247"/>
      <c r="KM296" s="1247"/>
      <c r="KN296" s="1247"/>
      <c r="KO296" s="1247"/>
      <c r="KP296" s="1247"/>
      <c r="KQ296" s="1247"/>
      <c r="KR296" s="1247"/>
      <c r="KS296" s="1247"/>
      <c r="KT296" s="1247"/>
      <c r="KU296" s="1247"/>
      <c r="KV296" s="1247"/>
      <c r="KW296" s="1247"/>
      <c r="KX296" s="1247"/>
      <c r="KY296" s="1247"/>
      <c r="KZ296" s="1247"/>
      <c r="LA296" s="1247"/>
      <c r="LB296" s="1247"/>
      <c r="LC296" s="1247"/>
      <c r="LD296" s="1247"/>
      <c r="LE296" s="1247"/>
      <c r="LF296" s="1247"/>
      <c r="LG296" s="1247"/>
      <c r="LH296" s="1247"/>
      <c r="LI296" s="1247"/>
      <c r="LJ296" s="1247"/>
      <c r="LK296" s="1247"/>
      <c r="LL296" s="1247"/>
      <c r="LM296" s="1247"/>
      <c r="LN296" s="1247"/>
      <c r="LO296" s="1247"/>
      <c r="LP296" s="1247"/>
      <c r="LQ296" s="1247"/>
      <c r="LR296" s="1247"/>
      <c r="LS296" s="1247"/>
      <c r="LT296" s="1247"/>
      <c r="LU296" s="1247"/>
      <c r="LV296" s="1247"/>
      <c r="LW296" s="1247"/>
      <c r="LX296" s="1247"/>
      <c r="LY296" s="1247"/>
      <c r="LZ296" s="1247"/>
      <c r="MA296" s="1247"/>
      <c r="MB296" s="1247"/>
      <c r="MC296" s="1247"/>
      <c r="MD296" s="1247"/>
      <c r="ME296" s="1247"/>
      <c r="MF296" s="1247"/>
      <c r="MG296" s="1247"/>
      <c r="MH296" s="1247"/>
      <c r="MI296" s="1247"/>
      <c r="MJ296" s="1247"/>
      <c r="MK296" s="1247"/>
      <c r="ML296" s="1247"/>
      <c r="MM296" s="1247"/>
      <c r="MN296" s="1247"/>
      <c r="MO296" s="1247"/>
      <c r="MP296" s="1247"/>
      <c r="MQ296" s="1247"/>
      <c r="MR296" s="1247"/>
      <c r="MS296" s="1247"/>
      <c r="MT296" s="1247"/>
      <c r="MU296" s="1247"/>
      <c r="MV296" s="1247"/>
      <c r="MW296" s="1247"/>
      <c r="MX296" s="1247"/>
      <c r="MY296" s="1247"/>
      <c r="MZ296" s="1247"/>
      <c r="NA296" s="1247"/>
      <c r="NB296" s="1247"/>
      <c r="NC296" s="1247"/>
      <c r="ND296" s="1247"/>
      <c r="NE296" s="1247"/>
      <c r="NF296" s="1247"/>
      <c r="NG296" s="1247"/>
      <c r="NH296" s="1247"/>
      <c r="NI296" s="1247"/>
      <c r="NJ296" s="1247"/>
      <c r="NK296" s="1247"/>
      <c r="NL296" s="1247"/>
      <c r="NM296" s="1247"/>
      <c r="NN296" s="1247"/>
      <c r="NO296" s="1247"/>
      <c r="NP296" s="1247"/>
      <c r="NQ296" s="1247"/>
      <c r="NR296" s="1247"/>
      <c r="NS296" s="1247"/>
      <c r="NT296" s="1247"/>
      <c r="NU296" s="1247"/>
      <c r="NV296" s="1247"/>
      <c r="NW296" s="1247"/>
      <c r="NX296" s="1247"/>
      <c r="NY296" s="1247"/>
      <c r="NZ296" s="1247"/>
      <c r="OA296" s="1247"/>
      <c r="OB296" s="1247"/>
      <c r="OC296" s="1247"/>
      <c r="OD296" s="1247"/>
      <c r="OE296" s="1247"/>
      <c r="OF296" s="1247"/>
      <c r="OG296" s="1247"/>
      <c r="OH296" s="1247"/>
      <c r="OI296" s="1247"/>
      <c r="OJ296" s="1247"/>
      <c r="OK296" s="1247"/>
      <c r="OL296" s="1247"/>
      <c r="OM296" s="1247"/>
      <c r="ON296" s="1247"/>
      <c r="OO296" s="1247"/>
      <c r="OP296" s="1247"/>
      <c r="OQ296" s="1247"/>
      <c r="OR296" s="1247"/>
      <c r="OS296" s="1247"/>
      <c r="OT296" s="1247"/>
      <c r="OU296" s="1247"/>
      <c r="OV296" s="1247"/>
      <c r="OW296" s="1247"/>
      <c r="OX296" s="1247"/>
      <c r="OY296" s="1247"/>
      <c r="OZ296" s="1247"/>
      <c r="PA296" s="1247"/>
      <c r="PB296" s="1247"/>
      <c r="PC296" s="1247"/>
      <c r="PD296" s="1247"/>
      <c r="PE296" s="1247"/>
      <c r="PF296" s="1247"/>
      <c r="PG296" s="1247"/>
      <c r="PH296" s="1247"/>
      <c r="PI296" s="1247"/>
      <c r="PJ296" s="1247"/>
      <c r="PK296" s="1247"/>
      <c r="PL296" s="1247"/>
      <c r="PM296" s="1247"/>
      <c r="PN296" s="1247"/>
      <c r="PO296" s="1247"/>
      <c r="PP296" s="1247"/>
      <c r="PQ296" s="1247"/>
      <c r="PR296" s="1247"/>
      <c r="PS296" s="1247"/>
      <c r="PT296" s="1247"/>
      <c r="PU296" s="1247"/>
      <c r="PV296" s="1247"/>
      <c r="PW296" s="1247"/>
      <c r="PX296" s="1247"/>
      <c r="PY296" s="1247"/>
      <c r="PZ296" s="1247"/>
      <c r="QA296" s="1247"/>
      <c r="QB296" s="1247"/>
      <c r="QC296" s="1247"/>
      <c r="QD296" s="1247"/>
      <c r="QE296" s="1247"/>
      <c r="QF296" s="1247"/>
      <c r="QG296" s="1247"/>
      <c r="QH296" s="1247"/>
      <c r="QI296" s="1247"/>
      <c r="QJ296" s="1247"/>
      <c r="QK296" s="1247"/>
      <c r="QL296" s="1247"/>
      <c r="QM296" s="1247"/>
      <c r="QN296" s="1247"/>
      <c r="QO296" s="1247"/>
      <c r="QP296" s="1247"/>
      <c r="QQ296" s="1247"/>
      <c r="QR296" s="1247"/>
      <c r="QS296" s="1247"/>
      <c r="QT296" s="1247"/>
      <c r="QU296" s="1247"/>
      <c r="QV296" s="1247"/>
      <c r="QW296" s="1247"/>
      <c r="QX296" s="1247"/>
      <c r="QY296" s="1247"/>
      <c r="QZ296" s="1247"/>
      <c r="RA296" s="1247"/>
      <c r="RB296" s="1247"/>
      <c r="RC296" s="1247"/>
      <c r="RD296" s="1247"/>
      <c r="RE296" s="1247"/>
      <c r="RF296" s="1247"/>
      <c r="RG296" s="1247"/>
      <c r="RH296" s="1247"/>
      <c r="RI296" s="1247"/>
      <c r="RJ296" s="1247"/>
      <c r="RK296" s="1247"/>
      <c r="RL296" s="1247"/>
      <c r="RM296" s="1247"/>
      <c r="RN296" s="1247"/>
      <c r="RO296" s="1247"/>
      <c r="RP296" s="1247"/>
      <c r="RQ296" s="1247"/>
      <c r="RR296" s="1247"/>
      <c r="RS296" s="1247"/>
      <c r="RT296" s="1247"/>
      <c r="RU296" s="1247"/>
      <c r="RV296" s="1247"/>
      <c r="RW296" s="1247"/>
      <c r="RX296" s="1247"/>
      <c r="RY296" s="1247"/>
      <c r="RZ296" s="1247"/>
      <c r="SA296" s="1247"/>
      <c r="SB296" s="1247"/>
      <c r="SC296" s="1247"/>
      <c r="SD296" s="1247"/>
      <c r="SE296" s="1247"/>
      <c r="SF296" s="1247"/>
      <c r="SG296" s="1247"/>
      <c r="SH296" s="1247"/>
      <c r="SI296" s="1247"/>
      <c r="SJ296" s="1247"/>
      <c r="SK296" s="1247"/>
      <c r="SL296" s="1247"/>
      <c r="SM296" s="1247"/>
      <c r="SN296" s="1247"/>
      <c r="SO296" s="1247"/>
      <c r="SP296" s="1247"/>
      <c r="SQ296" s="1247"/>
      <c r="SR296" s="1247"/>
      <c r="SS296" s="1247"/>
      <c r="ST296" s="1247"/>
      <c r="SU296" s="1247"/>
      <c r="SV296" s="1247"/>
      <c r="SW296" s="1247"/>
      <c r="SX296" s="1247"/>
      <c r="SY296" s="1247"/>
      <c r="SZ296" s="1247"/>
      <c r="TA296" s="1247"/>
      <c r="TB296" s="1247"/>
      <c r="TC296" s="1247"/>
      <c r="TD296" s="1247"/>
      <c r="TE296" s="1247"/>
      <c r="TF296" s="1247"/>
      <c r="TG296" s="1247"/>
      <c r="TH296" s="1247"/>
      <c r="TI296" s="1247"/>
      <c r="TJ296" s="1247"/>
      <c r="TK296" s="1247"/>
      <c r="TL296" s="1247"/>
      <c r="TM296" s="1247"/>
      <c r="TN296" s="1247"/>
      <c r="TO296" s="1247"/>
      <c r="TP296" s="1247"/>
      <c r="TQ296" s="1247"/>
      <c r="TR296" s="1247"/>
      <c r="TS296" s="1247"/>
      <c r="TT296" s="1247"/>
      <c r="TU296" s="1247"/>
      <c r="TV296" s="1247"/>
      <c r="TW296" s="1247"/>
      <c r="TX296" s="1247"/>
      <c r="TY296" s="1247"/>
      <c r="TZ296" s="1247"/>
      <c r="UA296" s="1247"/>
      <c r="UB296" s="1247"/>
      <c r="UC296" s="1247"/>
      <c r="UD296" s="1247"/>
      <c r="UE296" s="1247"/>
      <c r="UF296" s="1247"/>
      <c r="UG296" s="1247"/>
      <c r="UH296" s="1247"/>
      <c r="UI296" s="1247"/>
      <c r="UJ296" s="1247"/>
      <c r="UK296" s="1247"/>
      <c r="UL296" s="1247"/>
      <c r="UM296" s="1247"/>
      <c r="UN296" s="1247"/>
      <c r="UO296" s="1247"/>
      <c r="UP296" s="1247"/>
      <c r="UQ296" s="1247"/>
      <c r="UR296" s="1247"/>
      <c r="US296" s="1247"/>
      <c r="UT296" s="1247"/>
      <c r="UU296" s="1247"/>
      <c r="UV296" s="1247"/>
      <c r="UW296" s="1247"/>
      <c r="UX296" s="1247"/>
      <c r="UY296" s="1247"/>
      <c r="UZ296" s="1247"/>
      <c r="VA296" s="1247"/>
      <c r="VB296" s="1247"/>
      <c r="VC296" s="1247"/>
      <c r="VD296" s="1247"/>
      <c r="VE296" s="1247"/>
      <c r="VF296" s="1247"/>
      <c r="VG296" s="1247"/>
      <c r="VH296" s="1247"/>
      <c r="VI296" s="1247"/>
      <c r="VJ296" s="1247"/>
      <c r="VK296" s="1247"/>
      <c r="VL296" s="1247"/>
      <c r="VM296" s="1247"/>
      <c r="VN296" s="1247"/>
      <c r="VO296" s="1247"/>
      <c r="VP296" s="1247"/>
      <c r="VQ296" s="1247"/>
      <c r="VR296" s="1247"/>
      <c r="VS296" s="1247"/>
      <c r="VT296" s="1247"/>
      <c r="VU296" s="1247"/>
      <c r="VV296" s="1247"/>
      <c r="VW296" s="1247"/>
      <c r="VX296" s="1247"/>
      <c r="VY296" s="1247"/>
      <c r="VZ296" s="1247"/>
      <c r="WA296" s="1247"/>
      <c r="WB296" s="1247"/>
      <c r="WC296" s="1247"/>
      <c r="WD296" s="1247"/>
      <c r="WE296" s="1247"/>
      <c r="WF296" s="1247"/>
      <c r="WG296" s="1247"/>
      <c r="WH296" s="1247"/>
      <c r="WI296" s="1247"/>
      <c r="WJ296" s="1247"/>
      <c r="WK296" s="1247"/>
      <c r="WL296" s="1247"/>
      <c r="WM296" s="1247"/>
      <c r="WN296" s="1247"/>
      <c r="WO296" s="1247"/>
      <c r="WP296" s="1247"/>
      <c r="WQ296" s="1247"/>
      <c r="WR296" s="1247"/>
      <c r="WS296" s="1247"/>
      <c r="WT296" s="1247"/>
      <c r="WU296" s="1247"/>
      <c r="WV296" s="1247"/>
      <c r="WW296" s="1247"/>
      <c r="WX296" s="1247"/>
      <c r="WY296" s="1247"/>
      <c r="WZ296" s="1247"/>
      <c r="XA296" s="1247"/>
      <c r="XB296" s="1247"/>
      <c r="XC296" s="1247"/>
      <c r="XD296" s="1247"/>
      <c r="XE296" s="1247"/>
      <c r="XF296" s="1247"/>
      <c r="XG296" s="1247"/>
      <c r="XH296" s="1247"/>
      <c r="XI296" s="1247"/>
      <c r="XJ296" s="1247"/>
      <c r="XK296" s="1247"/>
      <c r="XL296" s="1247"/>
      <c r="XM296" s="1247"/>
      <c r="XN296" s="1247"/>
      <c r="XO296" s="1247"/>
      <c r="XP296" s="1247"/>
      <c r="XQ296" s="1247"/>
      <c r="XR296" s="1247"/>
      <c r="XS296" s="1247"/>
      <c r="XT296" s="1247"/>
      <c r="XU296" s="1247"/>
      <c r="XV296" s="1247"/>
      <c r="XW296" s="1247"/>
      <c r="XX296" s="1247"/>
      <c r="XY296" s="1247"/>
      <c r="XZ296" s="1247"/>
      <c r="YA296" s="1247"/>
      <c r="YB296" s="1247"/>
      <c r="YC296" s="1247"/>
      <c r="YD296" s="1247"/>
      <c r="YE296" s="1247"/>
      <c r="YF296" s="1247"/>
      <c r="YG296" s="1247"/>
      <c r="YH296" s="1247"/>
      <c r="YI296" s="1247"/>
      <c r="YJ296" s="1247"/>
      <c r="YK296" s="1247"/>
      <c r="YL296" s="1247"/>
      <c r="YM296" s="1247"/>
      <c r="YN296" s="1247"/>
      <c r="YO296" s="1247"/>
      <c r="YP296" s="1247"/>
      <c r="YQ296" s="1247"/>
      <c r="YR296" s="1247"/>
      <c r="YS296" s="1247"/>
      <c r="YT296" s="1247"/>
      <c r="YU296" s="1247"/>
      <c r="YV296" s="1247"/>
      <c r="YW296" s="1247"/>
      <c r="YX296" s="1247"/>
      <c r="YY296" s="1247"/>
      <c r="YZ296" s="1247"/>
      <c r="ZA296" s="1247"/>
      <c r="ZB296" s="1247"/>
      <c r="ZC296" s="1247"/>
      <c r="ZD296" s="1247"/>
      <c r="ZE296" s="1247"/>
      <c r="ZF296" s="1247"/>
      <c r="ZG296" s="1247"/>
      <c r="ZH296" s="1247"/>
      <c r="ZI296" s="1247"/>
      <c r="ZJ296" s="1247"/>
      <c r="ZK296" s="1247"/>
      <c r="ZL296" s="1247"/>
      <c r="ZM296" s="1247"/>
      <c r="ZN296" s="1247"/>
      <c r="ZO296" s="1247"/>
      <c r="ZP296" s="1247"/>
      <c r="ZQ296" s="1247"/>
      <c r="ZR296" s="1247"/>
      <c r="ZS296" s="1247"/>
      <c r="ZT296" s="1247"/>
      <c r="ZU296" s="1247"/>
      <c r="ZV296" s="1247"/>
      <c r="ZW296" s="1247"/>
      <c r="ZX296" s="1247"/>
      <c r="ZY296" s="1247"/>
      <c r="ZZ296" s="1247"/>
      <c r="AAA296" s="1247"/>
      <c r="AAB296" s="1247"/>
      <c r="AAC296" s="1247"/>
      <c r="AAD296" s="1247"/>
      <c r="AAE296" s="1247"/>
      <c r="AAF296" s="1247"/>
      <c r="AAG296" s="1247"/>
      <c r="AAH296" s="1247"/>
      <c r="AAI296" s="1247"/>
      <c r="AAJ296" s="1247"/>
      <c r="AAK296" s="1247"/>
      <c r="AAL296" s="1247"/>
      <c r="AAM296" s="1247"/>
      <c r="AAN296" s="1247"/>
      <c r="AAO296" s="1247"/>
      <c r="AAP296" s="1247"/>
      <c r="AAQ296" s="1247"/>
      <c r="AAR296" s="1247"/>
      <c r="AAS296" s="1247"/>
      <c r="AAT296" s="1247"/>
      <c r="AAU296" s="1247"/>
      <c r="AAV296" s="1247"/>
      <c r="AAW296" s="1247"/>
      <c r="AAX296" s="1247"/>
      <c r="AAY296" s="1247"/>
      <c r="AAZ296" s="1247"/>
      <c r="ABA296" s="1247"/>
      <c r="ABB296" s="1247"/>
      <c r="ABC296" s="1247"/>
      <c r="ABD296" s="1247"/>
      <c r="ABE296" s="1247"/>
      <c r="ABF296" s="1247"/>
      <c r="ABG296" s="1247"/>
      <c r="ABH296" s="1247"/>
      <c r="ABI296" s="1247"/>
      <c r="ABJ296" s="1247"/>
      <c r="ABK296" s="1247"/>
      <c r="ABL296" s="1247"/>
      <c r="ABM296" s="1247"/>
      <c r="ABN296" s="1247"/>
      <c r="ABO296" s="1247"/>
      <c r="ABP296" s="1247"/>
      <c r="ABQ296" s="1247"/>
      <c r="ABR296" s="1247"/>
      <c r="ABS296" s="1247"/>
      <c r="ABT296" s="1247"/>
      <c r="ABU296" s="1247"/>
      <c r="ABV296" s="1247"/>
      <c r="ABW296" s="1247"/>
      <c r="ABX296" s="1247"/>
      <c r="ABY296" s="1247"/>
      <c r="ABZ296" s="1247"/>
      <c r="ACA296" s="1247"/>
      <c r="ACB296" s="1247"/>
      <c r="ACC296" s="1247"/>
      <c r="ACD296" s="1247"/>
      <c r="ACE296" s="1247"/>
      <c r="ACF296" s="1247"/>
      <c r="ACG296" s="1247"/>
      <c r="ACH296" s="1247"/>
      <c r="ACI296" s="1247"/>
      <c r="ACJ296" s="1247"/>
      <c r="ACK296" s="1247"/>
      <c r="ACL296" s="1247"/>
      <c r="ACM296" s="1247"/>
      <c r="ACN296" s="1247"/>
      <c r="ACO296" s="1247"/>
      <c r="ACP296" s="1247"/>
      <c r="ACQ296" s="1247"/>
      <c r="ACR296" s="1247"/>
      <c r="ACS296" s="1247"/>
      <c r="ACT296" s="1247"/>
      <c r="ACU296" s="1247"/>
      <c r="ACV296" s="1247"/>
      <c r="ACW296" s="1247"/>
      <c r="ACX296" s="1247"/>
      <c r="ACY296" s="1247"/>
      <c r="ACZ296" s="1247"/>
      <c r="ADA296" s="1247"/>
      <c r="ADB296" s="1247"/>
      <c r="ADC296" s="1247"/>
      <c r="ADD296" s="1247"/>
      <c r="ADE296" s="1247"/>
      <c r="ADF296" s="1247"/>
      <c r="ADG296" s="1247"/>
    </row>
    <row r="297" spans="1:787" s="1247" customFormat="1" ht="13" hidden="1" outlineLevel="2">
      <c r="B297" s="1422" t="s">
        <v>1320</v>
      </c>
      <c r="C297" s="1423"/>
      <c r="D297" s="1423" t="s">
        <v>1321</v>
      </c>
      <c r="E297" s="1431"/>
      <c r="F297" s="1425" t="s">
        <v>1363</v>
      </c>
      <c r="G297" s="1431" t="s">
        <v>4155</v>
      </c>
      <c r="H297" s="1446"/>
      <c r="I297" s="1446"/>
      <c r="J297" s="1427"/>
      <c r="K297" s="1427"/>
      <c r="L297" s="1427"/>
      <c r="M297" s="1427"/>
      <c r="N297" s="1427"/>
      <c r="O297" s="1427"/>
      <c r="P297" s="1427"/>
      <c r="Q297" s="1427">
        <f>VLOOKUP(D297,'当期公摊测算表（全期）'!D:W,12,FALSE)</f>
        <v>0</v>
      </c>
      <c r="R297" s="1428">
        <f>SUM(H297:Q297)</f>
        <v>0</v>
      </c>
      <c r="S297" s="1427">
        <f>VLOOKUP($D297,'当期公摊测算表（全期）'!D:W,17,FALSE)</f>
        <v>0</v>
      </c>
      <c r="T297" s="1427">
        <f>R297+S297</f>
        <v>0</v>
      </c>
      <c r="U297" s="1429"/>
      <c r="V297" s="1225">
        <f t="shared" si="67"/>
        <v>0</v>
      </c>
      <c r="W297" s="1225">
        <f t="shared" si="68"/>
        <v>0</v>
      </c>
      <c r="X297" s="1225"/>
      <c r="Y297" s="1225"/>
    </row>
    <row r="298" spans="1:787" s="1247" customFormat="1" ht="13" hidden="1" outlineLevel="2">
      <c r="B298" s="1422" t="s">
        <v>1322</v>
      </c>
      <c r="C298" s="1423"/>
      <c r="D298" s="1423" t="s">
        <v>1323</v>
      </c>
      <c r="E298" s="1431"/>
      <c r="F298" s="1425"/>
      <c r="G298" s="1431" t="s">
        <v>4117</v>
      </c>
      <c r="H298" s="1446"/>
      <c r="I298" s="1446"/>
      <c r="J298" s="1427"/>
      <c r="K298" s="1427"/>
      <c r="L298" s="1427"/>
      <c r="M298" s="1427"/>
      <c r="N298" s="1427"/>
      <c r="O298" s="1427"/>
      <c r="P298" s="1427"/>
      <c r="Q298" s="1427">
        <f>VLOOKUP(D298,'当期公摊测算表（全期）'!D:W,12,FALSE)</f>
        <v>0</v>
      </c>
      <c r="R298" s="1428">
        <f t="shared" ref="R298:R304" si="77">SUM(H298:Q298)</f>
        <v>0</v>
      </c>
      <c r="S298" s="1427">
        <f>VLOOKUP($D298,'当期公摊测算表（全期）'!D:W,17,FALSE)</f>
        <v>0</v>
      </c>
      <c r="T298" s="1427">
        <f t="shared" ref="T298:T304" si="78">R298+S298</f>
        <v>0</v>
      </c>
      <c r="U298" s="1429"/>
      <c r="V298" s="1225">
        <f t="shared" si="67"/>
        <v>0</v>
      </c>
      <c r="W298" s="1225">
        <f t="shared" si="68"/>
        <v>0</v>
      </c>
      <c r="X298" s="1225"/>
      <c r="Y298" s="1225"/>
    </row>
    <row r="299" spans="1:787" s="1247" customFormat="1" ht="13" hidden="1" outlineLevel="2">
      <c r="B299" s="1422" t="s">
        <v>1330</v>
      </c>
      <c r="C299" s="1423"/>
      <c r="D299" s="1423" t="s">
        <v>1331</v>
      </c>
      <c r="E299" s="1431"/>
      <c r="F299" s="1425" t="s">
        <v>1091</v>
      </c>
      <c r="G299" s="1431" t="s">
        <v>4182</v>
      </c>
      <c r="H299" s="1446"/>
      <c r="I299" s="1446"/>
      <c r="J299" s="1427"/>
      <c r="K299" s="1427"/>
      <c r="L299" s="1427"/>
      <c r="M299" s="1427"/>
      <c r="N299" s="1427"/>
      <c r="O299" s="1427"/>
      <c r="P299" s="1427"/>
      <c r="Q299" s="1427">
        <f>VLOOKUP(D299,'当期公摊测算表（全期）'!D:W,12,FALSE)</f>
        <v>0</v>
      </c>
      <c r="R299" s="1428">
        <f t="shared" si="77"/>
        <v>0</v>
      </c>
      <c r="S299" s="1427">
        <f>VLOOKUP($D299,'当期公摊测算表（全期）'!D:W,17,FALSE)</f>
        <v>0</v>
      </c>
      <c r="T299" s="1427">
        <f t="shared" si="78"/>
        <v>0</v>
      </c>
      <c r="U299" s="1429"/>
      <c r="V299" s="1225">
        <f t="shared" si="67"/>
        <v>0</v>
      </c>
      <c r="W299" s="1225">
        <f t="shared" si="68"/>
        <v>0</v>
      </c>
      <c r="X299" s="1225"/>
      <c r="Y299" s="1225"/>
    </row>
    <row r="300" spans="1:787" s="1247" customFormat="1" ht="13" hidden="1" outlineLevel="2">
      <c r="B300" s="1422" t="s">
        <v>1332</v>
      </c>
      <c r="C300" s="1423"/>
      <c r="D300" s="1423" t="s">
        <v>1333</v>
      </c>
      <c r="E300" s="1431"/>
      <c r="F300" s="1425" t="s">
        <v>1091</v>
      </c>
      <c r="G300" s="1431" t="s">
        <v>4182</v>
      </c>
      <c r="H300" s="1446"/>
      <c r="I300" s="1446"/>
      <c r="J300" s="1427"/>
      <c r="K300" s="1427"/>
      <c r="L300" s="1427"/>
      <c r="M300" s="1427"/>
      <c r="N300" s="1427"/>
      <c r="O300" s="1427"/>
      <c r="P300" s="1427"/>
      <c r="Q300" s="1427">
        <f>VLOOKUP(D300,'当期公摊测算表（全期）'!D:W,12,FALSE)</f>
        <v>0</v>
      </c>
      <c r="R300" s="1428">
        <f t="shared" si="77"/>
        <v>0</v>
      </c>
      <c r="S300" s="1427">
        <f>VLOOKUP($D300,'当期公摊测算表（全期）'!D:W,17,FALSE)</f>
        <v>0</v>
      </c>
      <c r="T300" s="1427">
        <f t="shared" si="78"/>
        <v>0</v>
      </c>
      <c r="U300" s="1429"/>
      <c r="V300" s="1225">
        <f t="shared" si="67"/>
        <v>0</v>
      </c>
      <c r="W300" s="1225">
        <f t="shared" si="68"/>
        <v>0</v>
      </c>
      <c r="X300" s="1225"/>
      <c r="Y300" s="1225"/>
    </row>
    <row r="301" spans="1:787" s="1247" customFormat="1" ht="13" hidden="1" outlineLevel="2">
      <c r="B301" s="1422" t="s">
        <v>1334</v>
      </c>
      <c r="C301" s="1423"/>
      <c r="D301" s="1423" t="s">
        <v>1335</v>
      </c>
      <c r="E301" s="1431"/>
      <c r="F301" s="1425" t="s">
        <v>1091</v>
      </c>
      <c r="G301" s="1431" t="s">
        <v>4182</v>
      </c>
      <c r="H301" s="1446"/>
      <c r="I301" s="1446"/>
      <c r="J301" s="1427"/>
      <c r="K301" s="1427"/>
      <c r="L301" s="1427"/>
      <c r="M301" s="1427"/>
      <c r="N301" s="1427"/>
      <c r="O301" s="1427"/>
      <c r="P301" s="1427"/>
      <c r="Q301" s="1427">
        <f>VLOOKUP(D301,'当期公摊测算表（全期）'!D:W,12,FALSE)</f>
        <v>0</v>
      </c>
      <c r="R301" s="1428">
        <f t="shared" si="77"/>
        <v>0</v>
      </c>
      <c r="S301" s="1427">
        <f>VLOOKUP($D301,'当期公摊测算表（全期）'!D:W,17,FALSE)</f>
        <v>0</v>
      </c>
      <c r="T301" s="1427">
        <f t="shared" si="78"/>
        <v>0</v>
      </c>
      <c r="U301" s="1429"/>
      <c r="V301" s="1225">
        <f t="shared" si="67"/>
        <v>0</v>
      </c>
      <c r="W301" s="1225">
        <f t="shared" si="68"/>
        <v>0</v>
      </c>
      <c r="X301" s="1225"/>
      <c r="Y301" s="1225"/>
    </row>
    <row r="302" spans="1:787" s="1247" customFormat="1" ht="13" hidden="1" outlineLevel="2">
      <c r="B302" s="1422" t="s">
        <v>1336</v>
      </c>
      <c r="C302" s="1423"/>
      <c r="D302" s="1423" t="s">
        <v>1337</v>
      </c>
      <c r="E302" s="1431"/>
      <c r="F302" s="1425" t="s">
        <v>3342</v>
      </c>
      <c r="G302" s="1431" t="s">
        <v>4116</v>
      </c>
      <c r="H302" s="1446"/>
      <c r="I302" s="1446"/>
      <c r="J302" s="1427"/>
      <c r="K302" s="1427"/>
      <c r="L302" s="1427"/>
      <c r="M302" s="1427"/>
      <c r="N302" s="1427"/>
      <c r="O302" s="1427"/>
      <c r="P302" s="1427"/>
      <c r="Q302" s="1427">
        <f>VLOOKUP(D302,'当期公摊测算表（全期）'!D:W,12,FALSE)</f>
        <v>0</v>
      </c>
      <c r="R302" s="1428">
        <f t="shared" si="77"/>
        <v>0</v>
      </c>
      <c r="S302" s="1427">
        <f>VLOOKUP($D302,'当期公摊测算表（全期）'!D:W,17,FALSE)</f>
        <v>0</v>
      </c>
      <c r="T302" s="1427">
        <f t="shared" si="78"/>
        <v>0</v>
      </c>
      <c r="U302" s="1429"/>
      <c r="V302" s="1225">
        <f t="shared" si="67"/>
        <v>0</v>
      </c>
      <c r="W302" s="1225">
        <f t="shared" si="68"/>
        <v>0</v>
      </c>
      <c r="X302" s="1225"/>
      <c r="Y302" s="1225"/>
    </row>
    <row r="303" spans="1:787" s="1247" customFormat="1" ht="13" hidden="1" outlineLevel="2">
      <c r="B303" s="1422" t="s">
        <v>1338</v>
      </c>
      <c r="C303" s="1423"/>
      <c r="D303" s="1423" t="s">
        <v>1339</v>
      </c>
      <c r="E303" s="1431"/>
      <c r="F303" s="1425" t="s">
        <v>453</v>
      </c>
      <c r="G303" s="1431" t="s">
        <v>4192</v>
      </c>
      <c r="H303" s="1446"/>
      <c r="I303" s="1446"/>
      <c r="J303" s="1427"/>
      <c r="K303" s="1427"/>
      <c r="L303" s="1427"/>
      <c r="M303" s="1427"/>
      <c r="N303" s="1427"/>
      <c r="O303" s="1427"/>
      <c r="P303" s="1427"/>
      <c r="Q303" s="1427">
        <f>VLOOKUP(D303,'当期公摊测算表（全期）'!D:W,12,FALSE)</f>
        <v>0</v>
      </c>
      <c r="R303" s="1428">
        <f t="shared" si="77"/>
        <v>0</v>
      </c>
      <c r="S303" s="1427">
        <f>VLOOKUP($D303,'当期公摊测算表（全期）'!D:W,17,FALSE)</f>
        <v>0</v>
      </c>
      <c r="T303" s="1427">
        <f t="shared" si="78"/>
        <v>0</v>
      </c>
      <c r="U303" s="1429"/>
      <c r="V303" s="1225">
        <f t="shared" si="67"/>
        <v>0</v>
      </c>
      <c r="W303" s="1225">
        <f t="shared" si="68"/>
        <v>0</v>
      </c>
      <c r="X303" s="1225"/>
      <c r="Y303" s="1225"/>
    </row>
    <row r="304" spans="1:787" s="1247" customFormat="1" ht="13" hidden="1" outlineLevel="2">
      <c r="B304" s="1422" t="s">
        <v>1344</v>
      </c>
      <c r="C304" s="1423"/>
      <c r="D304" s="1423" t="s">
        <v>3764</v>
      </c>
      <c r="E304" s="1431"/>
      <c r="F304" s="1425" t="s">
        <v>1091</v>
      </c>
      <c r="G304" s="1431" t="s">
        <v>4182</v>
      </c>
      <c r="H304" s="1446"/>
      <c r="I304" s="1446"/>
      <c r="J304" s="1427"/>
      <c r="K304" s="1427"/>
      <c r="L304" s="1427"/>
      <c r="M304" s="1427"/>
      <c r="N304" s="1427"/>
      <c r="O304" s="1427"/>
      <c r="P304" s="1427"/>
      <c r="Q304" s="1427">
        <f>VLOOKUP(D304,'当期公摊测算表（全期）'!D:W,12,FALSE)</f>
        <v>0</v>
      </c>
      <c r="R304" s="1428">
        <f t="shared" si="77"/>
        <v>0</v>
      </c>
      <c r="S304" s="1427">
        <f>VLOOKUP($D304,'当期公摊测算表（全期）'!D:W,17,FALSE)</f>
        <v>0</v>
      </c>
      <c r="T304" s="1427">
        <f t="shared" si="78"/>
        <v>0</v>
      </c>
      <c r="U304" s="1429"/>
      <c r="V304" s="1225">
        <f t="shared" si="67"/>
        <v>0</v>
      </c>
      <c r="W304" s="1225">
        <f t="shared" si="68"/>
        <v>0</v>
      </c>
      <c r="X304" s="1225"/>
      <c r="Y304" s="1225"/>
    </row>
    <row r="305" spans="1:787" s="1421" customFormat="1" ht="13" hidden="1" outlineLevel="1">
      <c r="A305" s="1247"/>
      <c r="B305" s="1413" t="s">
        <v>505</v>
      </c>
      <c r="C305" s="1414"/>
      <c r="D305" s="1414" t="s">
        <v>506</v>
      </c>
      <c r="E305" s="1417"/>
      <c r="F305" s="1449"/>
      <c r="G305" s="1448" t="s">
        <v>4117</v>
      </c>
      <c r="H305" s="1418"/>
      <c r="I305" s="1418"/>
      <c r="J305" s="1457"/>
      <c r="K305" s="1457"/>
      <c r="L305" s="1457"/>
      <c r="M305" s="1457"/>
      <c r="N305" s="1457"/>
      <c r="O305" s="1457"/>
      <c r="P305" s="1457"/>
      <c r="Q305" s="1419">
        <f>SUBTOTAL(9,Q306:Q312)</f>
        <v>415.57373999999993</v>
      </c>
      <c r="R305" s="1419">
        <f>SUBTOTAL(9,R306:R312)</f>
        <v>415.57373999999993</v>
      </c>
      <c r="S305" s="1419">
        <f>SUBTOTAL(9,S306:S312)</f>
        <v>0</v>
      </c>
      <c r="T305" s="1419">
        <f>SUBTOTAL(9,T306:T312)</f>
        <v>415.57373999999993</v>
      </c>
      <c r="U305" s="1443"/>
      <c r="V305" s="1225">
        <f t="shared" si="67"/>
        <v>0</v>
      </c>
      <c r="W305" s="1225">
        <f t="shared" si="68"/>
        <v>0</v>
      </c>
      <c r="X305" s="1225"/>
      <c r="Y305" s="1225"/>
      <c r="Z305" s="1247"/>
      <c r="AA305" s="1247"/>
      <c r="AB305" s="1247"/>
      <c r="AC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c r="AX305" s="1247"/>
      <c r="AY305" s="1247"/>
      <c r="AZ305" s="1247"/>
      <c r="BA305" s="1247"/>
      <c r="BB305" s="1247"/>
      <c r="BC305" s="1247"/>
      <c r="BD305" s="1247"/>
      <c r="BE305" s="1247"/>
      <c r="BF305" s="1247"/>
      <c r="BG305" s="1247"/>
      <c r="BH305" s="1247"/>
      <c r="BI305" s="1247"/>
      <c r="BJ305" s="1247"/>
      <c r="BK305" s="1247"/>
      <c r="BL305" s="1247"/>
      <c r="BM305" s="1247"/>
      <c r="BN305" s="1247"/>
      <c r="BO305" s="1247"/>
      <c r="BP305" s="1247"/>
      <c r="BQ305" s="1247"/>
      <c r="BR305" s="1247"/>
      <c r="BS305" s="1247"/>
      <c r="BT305" s="1247"/>
      <c r="BU305" s="1247"/>
      <c r="BV305" s="1247"/>
      <c r="BW305" s="1247"/>
      <c r="BX305" s="1247"/>
      <c r="BY305" s="1247"/>
      <c r="BZ305" s="1247"/>
      <c r="CA305" s="1247"/>
      <c r="CB305" s="1247"/>
      <c r="CC305" s="1247"/>
      <c r="CD305" s="1247"/>
      <c r="CE305" s="1247"/>
      <c r="CF305" s="1247"/>
      <c r="CG305" s="1247"/>
      <c r="CH305" s="1247"/>
      <c r="CI305" s="1247"/>
      <c r="CJ305" s="1247"/>
      <c r="CK305" s="1247"/>
      <c r="CL305" s="1247"/>
      <c r="CM305" s="1247"/>
      <c r="CN305" s="1247"/>
      <c r="CO305" s="1247"/>
      <c r="CP305" s="1247"/>
      <c r="CQ305" s="1247"/>
      <c r="CR305" s="1247"/>
      <c r="CS305" s="1247"/>
      <c r="CT305" s="1247"/>
      <c r="CU305" s="1247"/>
      <c r="CV305" s="1247"/>
      <c r="CW305" s="1247"/>
      <c r="CX305" s="1247"/>
      <c r="CY305" s="1247"/>
      <c r="CZ305" s="1247"/>
      <c r="DA305" s="1247"/>
      <c r="DB305" s="1247"/>
      <c r="DC305" s="1247"/>
      <c r="DD305" s="1247"/>
      <c r="DE305" s="1247"/>
      <c r="DF305" s="1247"/>
      <c r="DG305" s="1247"/>
      <c r="DH305" s="1247"/>
      <c r="DI305" s="1247"/>
      <c r="DJ305" s="1247"/>
      <c r="DK305" s="1247"/>
      <c r="DL305" s="1247"/>
      <c r="DM305" s="1247"/>
      <c r="DN305" s="1247"/>
      <c r="DO305" s="1247"/>
      <c r="DP305" s="1247"/>
      <c r="DQ305" s="1247"/>
      <c r="DR305" s="1247"/>
      <c r="DS305" s="1247"/>
      <c r="DT305" s="1247"/>
      <c r="DU305" s="1247"/>
      <c r="DV305" s="1247"/>
      <c r="DW305" s="1247"/>
      <c r="DX305" s="1247"/>
      <c r="DY305" s="1247"/>
      <c r="DZ305" s="1247"/>
      <c r="EA305" s="1247"/>
      <c r="EB305" s="1247"/>
      <c r="EC305" s="1247"/>
      <c r="ED305" s="1247"/>
      <c r="EE305" s="1247"/>
      <c r="EF305" s="1247"/>
      <c r="EG305" s="1247"/>
      <c r="EH305" s="1247"/>
      <c r="EI305" s="1247"/>
      <c r="EJ305" s="1247"/>
      <c r="EK305" s="1247"/>
      <c r="EL305" s="1247"/>
      <c r="EM305" s="1247"/>
      <c r="EN305" s="1247"/>
      <c r="EO305" s="1247"/>
      <c r="EP305" s="1247"/>
      <c r="EQ305" s="1247"/>
      <c r="ER305" s="1247"/>
      <c r="ES305" s="1247"/>
      <c r="ET305" s="1247"/>
      <c r="EU305" s="1247"/>
      <c r="EV305" s="1247"/>
      <c r="EW305" s="1247"/>
      <c r="EX305" s="1247"/>
      <c r="EY305" s="1247"/>
      <c r="EZ305" s="1247"/>
      <c r="FA305" s="1247"/>
      <c r="FB305" s="1247"/>
      <c r="FC305" s="1247"/>
      <c r="FD305" s="1247"/>
      <c r="FE305" s="1247"/>
      <c r="FF305" s="1247"/>
      <c r="FG305" s="1247"/>
      <c r="FH305" s="1247"/>
      <c r="FI305" s="1247"/>
      <c r="FJ305" s="1247"/>
      <c r="FK305" s="1247"/>
      <c r="FL305" s="1247"/>
      <c r="FM305" s="1247"/>
      <c r="FN305" s="1247"/>
      <c r="FO305" s="1247"/>
      <c r="FP305" s="1247"/>
      <c r="FQ305" s="1247"/>
      <c r="FR305" s="1247"/>
      <c r="FS305" s="1247"/>
      <c r="FT305" s="1247"/>
      <c r="FU305" s="1247"/>
      <c r="FV305" s="1247"/>
      <c r="FW305" s="1247"/>
      <c r="FX305" s="1247"/>
      <c r="FY305" s="1247"/>
      <c r="FZ305" s="1247"/>
      <c r="GA305" s="1247"/>
      <c r="GB305" s="1247"/>
      <c r="GC305" s="1247"/>
      <c r="GD305" s="1247"/>
      <c r="GE305" s="1247"/>
      <c r="GF305" s="1247"/>
      <c r="GG305" s="1247"/>
      <c r="GH305" s="1247"/>
      <c r="GI305" s="1247"/>
      <c r="GJ305" s="1247"/>
      <c r="GK305" s="1247"/>
      <c r="GL305" s="1247"/>
      <c r="GM305" s="1247"/>
      <c r="GN305" s="1247"/>
      <c r="GO305" s="1247"/>
      <c r="GP305" s="1247"/>
      <c r="GQ305" s="1247"/>
      <c r="GR305" s="1247"/>
      <c r="GS305" s="1247"/>
      <c r="GT305" s="1247"/>
      <c r="GU305" s="1247"/>
      <c r="GV305" s="1247"/>
      <c r="GW305" s="1247"/>
      <c r="GX305" s="1247"/>
      <c r="GY305" s="1247"/>
      <c r="GZ305" s="1247"/>
      <c r="HA305" s="1247"/>
      <c r="HB305" s="1247"/>
      <c r="HC305" s="1247"/>
      <c r="HD305" s="1247"/>
      <c r="HE305" s="1247"/>
      <c r="HF305" s="1247"/>
      <c r="HG305" s="1247"/>
      <c r="HH305" s="1247"/>
      <c r="HI305" s="1247"/>
      <c r="HJ305" s="1247"/>
      <c r="HK305" s="1247"/>
      <c r="HL305" s="1247"/>
      <c r="HM305" s="1247"/>
      <c r="HN305" s="1247"/>
      <c r="HO305" s="1247"/>
      <c r="HP305" s="1247"/>
      <c r="HQ305" s="1247"/>
      <c r="HR305" s="1247"/>
      <c r="HS305" s="1247"/>
      <c r="HT305" s="1247"/>
      <c r="HU305" s="1247"/>
      <c r="HV305" s="1247"/>
      <c r="HW305" s="1247"/>
      <c r="HX305" s="1247"/>
      <c r="HY305" s="1247"/>
      <c r="HZ305" s="1247"/>
      <c r="IA305" s="1247"/>
      <c r="IB305" s="1247"/>
      <c r="IC305" s="1247"/>
      <c r="ID305" s="1247"/>
      <c r="IE305" s="1247"/>
      <c r="IF305" s="1247"/>
      <c r="IG305" s="1247"/>
      <c r="IH305" s="1247"/>
      <c r="II305" s="1247"/>
      <c r="IJ305" s="1247"/>
      <c r="IK305" s="1247"/>
      <c r="IL305" s="1247"/>
      <c r="IM305" s="1247"/>
      <c r="IN305" s="1247"/>
      <c r="IO305" s="1247"/>
      <c r="IP305" s="1247"/>
      <c r="IQ305" s="1247"/>
      <c r="IR305" s="1247"/>
      <c r="IS305" s="1247"/>
      <c r="IT305" s="1247"/>
      <c r="IU305" s="1247"/>
      <c r="IV305" s="1247"/>
      <c r="IW305" s="1247"/>
      <c r="IX305" s="1247"/>
      <c r="IY305" s="1247"/>
      <c r="IZ305" s="1247"/>
      <c r="JA305" s="1247"/>
      <c r="JB305" s="1247"/>
      <c r="JC305" s="1247"/>
      <c r="JD305" s="1247"/>
      <c r="JE305" s="1247"/>
      <c r="JF305" s="1247"/>
      <c r="JG305" s="1247"/>
      <c r="JH305" s="1247"/>
      <c r="JI305" s="1247"/>
      <c r="JJ305" s="1247"/>
      <c r="JK305" s="1247"/>
      <c r="JL305" s="1247"/>
      <c r="JM305" s="1247"/>
      <c r="JN305" s="1247"/>
      <c r="JO305" s="1247"/>
      <c r="JP305" s="1247"/>
      <c r="JQ305" s="1247"/>
      <c r="JR305" s="1247"/>
      <c r="JS305" s="1247"/>
      <c r="JT305" s="1247"/>
      <c r="JU305" s="1247"/>
      <c r="JV305" s="1247"/>
      <c r="JW305" s="1247"/>
      <c r="JX305" s="1247"/>
      <c r="JY305" s="1247"/>
      <c r="JZ305" s="1247"/>
      <c r="KA305" s="1247"/>
      <c r="KB305" s="1247"/>
      <c r="KC305" s="1247"/>
      <c r="KD305" s="1247"/>
      <c r="KE305" s="1247"/>
      <c r="KF305" s="1247"/>
      <c r="KG305" s="1247"/>
      <c r="KH305" s="1247"/>
      <c r="KI305" s="1247"/>
      <c r="KJ305" s="1247"/>
      <c r="KK305" s="1247"/>
      <c r="KL305" s="1247"/>
      <c r="KM305" s="1247"/>
      <c r="KN305" s="1247"/>
      <c r="KO305" s="1247"/>
      <c r="KP305" s="1247"/>
      <c r="KQ305" s="1247"/>
      <c r="KR305" s="1247"/>
      <c r="KS305" s="1247"/>
      <c r="KT305" s="1247"/>
      <c r="KU305" s="1247"/>
      <c r="KV305" s="1247"/>
      <c r="KW305" s="1247"/>
      <c r="KX305" s="1247"/>
      <c r="KY305" s="1247"/>
      <c r="KZ305" s="1247"/>
      <c r="LA305" s="1247"/>
      <c r="LB305" s="1247"/>
      <c r="LC305" s="1247"/>
      <c r="LD305" s="1247"/>
      <c r="LE305" s="1247"/>
      <c r="LF305" s="1247"/>
      <c r="LG305" s="1247"/>
      <c r="LH305" s="1247"/>
      <c r="LI305" s="1247"/>
      <c r="LJ305" s="1247"/>
      <c r="LK305" s="1247"/>
      <c r="LL305" s="1247"/>
      <c r="LM305" s="1247"/>
      <c r="LN305" s="1247"/>
      <c r="LO305" s="1247"/>
      <c r="LP305" s="1247"/>
      <c r="LQ305" s="1247"/>
      <c r="LR305" s="1247"/>
      <c r="LS305" s="1247"/>
      <c r="LT305" s="1247"/>
      <c r="LU305" s="1247"/>
      <c r="LV305" s="1247"/>
      <c r="LW305" s="1247"/>
      <c r="LX305" s="1247"/>
      <c r="LY305" s="1247"/>
      <c r="LZ305" s="1247"/>
      <c r="MA305" s="1247"/>
      <c r="MB305" s="1247"/>
      <c r="MC305" s="1247"/>
      <c r="MD305" s="1247"/>
      <c r="ME305" s="1247"/>
      <c r="MF305" s="1247"/>
      <c r="MG305" s="1247"/>
      <c r="MH305" s="1247"/>
      <c r="MI305" s="1247"/>
      <c r="MJ305" s="1247"/>
      <c r="MK305" s="1247"/>
      <c r="ML305" s="1247"/>
      <c r="MM305" s="1247"/>
      <c r="MN305" s="1247"/>
      <c r="MO305" s="1247"/>
      <c r="MP305" s="1247"/>
      <c r="MQ305" s="1247"/>
      <c r="MR305" s="1247"/>
      <c r="MS305" s="1247"/>
      <c r="MT305" s="1247"/>
      <c r="MU305" s="1247"/>
      <c r="MV305" s="1247"/>
      <c r="MW305" s="1247"/>
      <c r="MX305" s="1247"/>
      <c r="MY305" s="1247"/>
      <c r="MZ305" s="1247"/>
      <c r="NA305" s="1247"/>
      <c r="NB305" s="1247"/>
      <c r="NC305" s="1247"/>
      <c r="ND305" s="1247"/>
      <c r="NE305" s="1247"/>
      <c r="NF305" s="1247"/>
      <c r="NG305" s="1247"/>
      <c r="NH305" s="1247"/>
      <c r="NI305" s="1247"/>
      <c r="NJ305" s="1247"/>
      <c r="NK305" s="1247"/>
      <c r="NL305" s="1247"/>
      <c r="NM305" s="1247"/>
      <c r="NN305" s="1247"/>
      <c r="NO305" s="1247"/>
      <c r="NP305" s="1247"/>
      <c r="NQ305" s="1247"/>
      <c r="NR305" s="1247"/>
      <c r="NS305" s="1247"/>
      <c r="NT305" s="1247"/>
      <c r="NU305" s="1247"/>
      <c r="NV305" s="1247"/>
      <c r="NW305" s="1247"/>
      <c r="NX305" s="1247"/>
      <c r="NY305" s="1247"/>
      <c r="NZ305" s="1247"/>
      <c r="OA305" s="1247"/>
      <c r="OB305" s="1247"/>
      <c r="OC305" s="1247"/>
      <c r="OD305" s="1247"/>
      <c r="OE305" s="1247"/>
      <c r="OF305" s="1247"/>
      <c r="OG305" s="1247"/>
      <c r="OH305" s="1247"/>
      <c r="OI305" s="1247"/>
      <c r="OJ305" s="1247"/>
      <c r="OK305" s="1247"/>
      <c r="OL305" s="1247"/>
      <c r="OM305" s="1247"/>
      <c r="ON305" s="1247"/>
      <c r="OO305" s="1247"/>
      <c r="OP305" s="1247"/>
      <c r="OQ305" s="1247"/>
      <c r="OR305" s="1247"/>
      <c r="OS305" s="1247"/>
      <c r="OT305" s="1247"/>
      <c r="OU305" s="1247"/>
      <c r="OV305" s="1247"/>
      <c r="OW305" s="1247"/>
      <c r="OX305" s="1247"/>
      <c r="OY305" s="1247"/>
      <c r="OZ305" s="1247"/>
      <c r="PA305" s="1247"/>
      <c r="PB305" s="1247"/>
      <c r="PC305" s="1247"/>
      <c r="PD305" s="1247"/>
      <c r="PE305" s="1247"/>
      <c r="PF305" s="1247"/>
      <c r="PG305" s="1247"/>
      <c r="PH305" s="1247"/>
      <c r="PI305" s="1247"/>
      <c r="PJ305" s="1247"/>
      <c r="PK305" s="1247"/>
      <c r="PL305" s="1247"/>
      <c r="PM305" s="1247"/>
      <c r="PN305" s="1247"/>
      <c r="PO305" s="1247"/>
      <c r="PP305" s="1247"/>
      <c r="PQ305" s="1247"/>
      <c r="PR305" s="1247"/>
      <c r="PS305" s="1247"/>
      <c r="PT305" s="1247"/>
      <c r="PU305" s="1247"/>
      <c r="PV305" s="1247"/>
      <c r="PW305" s="1247"/>
      <c r="PX305" s="1247"/>
      <c r="PY305" s="1247"/>
      <c r="PZ305" s="1247"/>
      <c r="QA305" s="1247"/>
      <c r="QB305" s="1247"/>
      <c r="QC305" s="1247"/>
      <c r="QD305" s="1247"/>
      <c r="QE305" s="1247"/>
      <c r="QF305" s="1247"/>
      <c r="QG305" s="1247"/>
      <c r="QH305" s="1247"/>
      <c r="QI305" s="1247"/>
      <c r="QJ305" s="1247"/>
      <c r="QK305" s="1247"/>
      <c r="QL305" s="1247"/>
      <c r="QM305" s="1247"/>
      <c r="QN305" s="1247"/>
      <c r="QO305" s="1247"/>
      <c r="QP305" s="1247"/>
      <c r="QQ305" s="1247"/>
      <c r="QR305" s="1247"/>
      <c r="QS305" s="1247"/>
      <c r="QT305" s="1247"/>
      <c r="QU305" s="1247"/>
      <c r="QV305" s="1247"/>
      <c r="QW305" s="1247"/>
      <c r="QX305" s="1247"/>
      <c r="QY305" s="1247"/>
      <c r="QZ305" s="1247"/>
      <c r="RA305" s="1247"/>
      <c r="RB305" s="1247"/>
      <c r="RC305" s="1247"/>
      <c r="RD305" s="1247"/>
      <c r="RE305" s="1247"/>
      <c r="RF305" s="1247"/>
      <c r="RG305" s="1247"/>
      <c r="RH305" s="1247"/>
      <c r="RI305" s="1247"/>
      <c r="RJ305" s="1247"/>
      <c r="RK305" s="1247"/>
      <c r="RL305" s="1247"/>
      <c r="RM305" s="1247"/>
      <c r="RN305" s="1247"/>
      <c r="RO305" s="1247"/>
      <c r="RP305" s="1247"/>
      <c r="RQ305" s="1247"/>
      <c r="RR305" s="1247"/>
      <c r="RS305" s="1247"/>
      <c r="RT305" s="1247"/>
      <c r="RU305" s="1247"/>
      <c r="RV305" s="1247"/>
      <c r="RW305" s="1247"/>
      <c r="RX305" s="1247"/>
      <c r="RY305" s="1247"/>
      <c r="RZ305" s="1247"/>
      <c r="SA305" s="1247"/>
      <c r="SB305" s="1247"/>
      <c r="SC305" s="1247"/>
      <c r="SD305" s="1247"/>
      <c r="SE305" s="1247"/>
      <c r="SF305" s="1247"/>
      <c r="SG305" s="1247"/>
      <c r="SH305" s="1247"/>
      <c r="SI305" s="1247"/>
      <c r="SJ305" s="1247"/>
      <c r="SK305" s="1247"/>
      <c r="SL305" s="1247"/>
      <c r="SM305" s="1247"/>
      <c r="SN305" s="1247"/>
      <c r="SO305" s="1247"/>
      <c r="SP305" s="1247"/>
      <c r="SQ305" s="1247"/>
      <c r="SR305" s="1247"/>
      <c r="SS305" s="1247"/>
      <c r="ST305" s="1247"/>
      <c r="SU305" s="1247"/>
      <c r="SV305" s="1247"/>
      <c r="SW305" s="1247"/>
      <c r="SX305" s="1247"/>
      <c r="SY305" s="1247"/>
      <c r="SZ305" s="1247"/>
      <c r="TA305" s="1247"/>
      <c r="TB305" s="1247"/>
      <c r="TC305" s="1247"/>
      <c r="TD305" s="1247"/>
      <c r="TE305" s="1247"/>
      <c r="TF305" s="1247"/>
      <c r="TG305" s="1247"/>
      <c r="TH305" s="1247"/>
      <c r="TI305" s="1247"/>
      <c r="TJ305" s="1247"/>
      <c r="TK305" s="1247"/>
      <c r="TL305" s="1247"/>
      <c r="TM305" s="1247"/>
      <c r="TN305" s="1247"/>
      <c r="TO305" s="1247"/>
      <c r="TP305" s="1247"/>
      <c r="TQ305" s="1247"/>
      <c r="TR305" s="1247"/>
      <c r="TS305" s="1247"/>
      <c r="TT305" s="1247"/>
      <c r="TU305" s="1247"/>
      <c r="TV305" s="1247"/>
      <c r="TW305" s="1247"/>
      <c r="TX305" s="1247"/>
      <c r="TY305" s="1247"/>
      <c r="TZ305" s="1247"/>
      <c r="UA305" s="1247"/>
      <c r="UB305" s="1247"/>
      <c r="UC305" s="1247"/>
      <c r="UD305" s="1247"/>
      <c r="UE305" s="1247"/>
      <c r="UF305" s="1247"/>
      <c r="UG305" s="1247"/>
      <c r="UH305" s="1247"/>
      <c r="UI305" s="1247"/>
      <c r="UJ305" s="1247"/>
      <c r="UK305" s="1247"/>
      <c r="UL305" s="1247"/>
      <c r="UM305" s="1247"/>
      <c r="UN305" s="1247"/>
      <c r="UO305" s="1247"/>
      <c r="UP305" s="1247"/>
      <c r="UQ305" s="1247"/>
      <c r="UR305" s="1247"/>
      <c r="US305" s="1247"/>
      <c r="UT305" s="1247"/>
      <c r="UU305" s="1247"/>
      <c r="UV305" s="1247"/>
      <c r="UW305" s="1247"/>
      <c r="UX305" s="1247"/>
      <c r="UY305" s="1247"/>
      <c r="UZ305" s="1247"/>
      <c r="VA305" s="1247"/>
      <c r="VB305" s="1247"/>
      <c r="VC305" s="1247"/>
      <c r="VD305" s="1247"/>
      <c r="VE305" s="1247"/>
      <c r="VF305" s="1247"/>
      <c r="VG305" s="1247"/>
      <c r="VH305" s="1247"/>
      <c r="VI305" s="1247"/>
      <c r="VJ305" s="1247"/>
      <c r="VK305" s="1247"/>
      <c r="VL305" s="1247"/>
      <c r="VM305" s="1247"/>
      <c r="VN305" s="1247"/>
      <c r="VO305" s="1247"/>
      <c r="VP305" s="1247"/>
      <c r="VQ305" s="1247"/>
      <c r="VR305" s="1247"/>
      <c r="VS305" s="1247"/>
      <c r="VT305" s="1247"/>
      <c r="VU305" s="1247"/>
      <c r="VV305" s="1247"/>
      <c r="VW305" s="1247"/>
      <c r="VX305" s="1247"/>
      <c r="VY305" s="1247"/>
      <c r="VZ305" s="1247"/>
      <c r="WA305" s="1247"/>
      <c r="WB305" s="1247"/>
      <c r="WC305" s="1247"/>
      <c r="WD305" s="1247"/>
      <c r="WE305" s="1247"/>
      <c r="WF305" s="1247"/>
      <c r="WG305" s="1247"/>
      <c r="WH305" s="1247"/>
      <c r="WI305" s="1247"/>
      <c r="WJ305" s="1247"/>
      <c r="WK305" s="1247"/>
      <c r="WL305" s="1247"/>
      <c r="WM305" s="1247"/>
      <c r="WN305" s="1247"/>
      <c r="WO305" s="1247"/>
      <c r="WP305" s="1247"/>
      <c r="WQ305" s="1247"/>
      <c r="WR305" s="1247"/>
      <c r="WS305" s="1247"/>
      <c r="WT305" s="1247"/>
      <c r="WU305" s="1247"/>
      <c r="WV305" s="1247"/>
      <c r="WW305" s="1247"/>
      <c r="WX305" s="1247"/>
      <c r="WY305" s="1247"/>
      <c r="WZ305" s="1247"/>
      <c r="XA305" s="1247"/>
      <c r="XB305" s="1247"/>
      <c r="XC305" s="1247"/>
      <c r="XD305" s="1247"/>
      <c r="XE305" s="1247"/>
      <c r="XF305" s="1247"/>
      <c r="XG305" s="1247"/>
      <c r="XH305" s="1247"/>
      <c r="XI305" s="1247"/>
      <c r="XJ305" s="1247"/>
      <c r="XK305" s="1247"/>
      <c r="XL305" s="1247"/>
      <c r="XM305" s="1247"/>
      <c r="XN305" s="1247"/>
      <c r="XO305" s="1247"/>
      <c r="XP305" s="1247"/>
      <c r="XQ305" s="1247"/>
      <c r="XR305" s="1247"/>
      <c r="XS305" s="1247"/>
      <c r="XT305" s="1247"/>
      <c r="XU305" s="1247"/>
      <c r="XV305" s="1247"/>
      <c r="XW305" s="1247"/>
      <c r="XX305" s="1247"/>
      <c r="XY305" s="1247"/>
      <c r="XZ305" s="1247"/>
      <c r="YA305" s="1247"/>
      <c r="YB305" s="1247"/>
      <c r="YC305" s="1247"/>
      <c r="YD305" s="1247"/>
      <c r="YE305" s="1247"/>
      <c r="YF305" s="1247"/>
      <c r="YG305" s="1247"/>
      <c r="YH305" s="1247"/>
      <c r="YI305" s="1247"/>
      <c r="YJ305" s="1247"/>
      <c r="YK305" s="1247"/>
      <c r="YL305" s="1247"/>
      <c r="YM305" s="1247"/>
      <c r="YN305" s="1247"/>
      <c r="YO305" s="1247"/>
      <c r="YP305" s="1247"/>
      <c r="YQ305" s="1247"/>
      <c r="YR305" s="1247"/>
      <c r="YS305" s="1247"/>
      <c r="YT305" s="1247"/>
      <c r="YU305" s="1247"/>
      <c r="YV305" s="1247"/>
      <c r="YW305" s="1247"/>
      <c r="YX305" s="1247"/>
      <c r="YY305" s="1247"/>
      <c r="YZ305" s="1247"/>
      <c r="ZA305" s="1247"/>
      <c r="ZB305" s="1247"/>
      <c r="ZC305" s="1247"/>
      <c r="ZD305" s="1247"/>
      <c r="ZE305" s="1247"/>
      <c r="ZF305" s="1247"/>
      <c r="ZG305" s="1247"/>
      <c r="ZH305" s="1247"/>
      <c r="ZI305" s="1247"/>
      <c r="ZJ305" s="1247"/>
      <c r="ZK305" s="1247"/>
      <c r="ZL305" s="1247"/>
      <c r="ZM305" s="1247"/>
      <c r="ZN305" s="1247"/>
      <c r="ZO305" s="1247"/>
      <c r="ZP305" s="1247"/>
      <c r="ZQ305" s="1247"/>
      <c r="ZR305" s="1247"/>
      <c r="ZS305" s="1247"/>
      <c r="ZT305" s="1247"/>
      <c r="ZU305" s="1247"/>
      <c r="ZV305" s="1247"/>
      <c r="ZW305" s="1247"/>
      <c r="ZX305" s="1247"/>
      <c r="ZY305" s="1247"/>
      <c r="ZZ305" s="1247"/>
      <c r="AAA305" s="1247"/>
      <c r="AAB305" s="1247"/>
      <c r="AAC305" s="1247"/>
      <c r="AAD305" s="1247"/>
      <c r="AAE305" s="1247"/>
      <c r="AAF305" s="1247"/>
      <c r="AAG305" s="1247"/>
      <c r="AAH305" s="1247"/>
      <c r="AAI305" s="1247"/>
      <c r="AAJ305" s="1247"/>
      <c r="AAK305" s="1247"/>
      <c r="AAL305" s="1247"/>
      <c r="AAM305" s="1247"/>
      <c r="AAN305" s="1247"/>
      <c r="AAO305" s="1247"/>
      <c r="AAP305" s="1247"/>
      <c r="AAQ305" s="1247"/>
      <c r="AAR305" s="1247"/>
      <c r="AAS305" s="1247"/>
      <c r="AAT305" s="1247"/>
      <c r="AAU305" s="1247"/>
      <c r="AAV305" s="1247"/>
      <c r="AAW305" s="1247"/>
      <c r="AAX305" s="1247"/>
      <c r="AAY305" s="1247"/>
      <c r="AAZ305" s="1247"/>
      <c r="ABA305" s="1247"/>
      <c r="ABB305" s="1247"/>
      <c r="ABC305" s="1247"/>
      <c r="ABD305" s="1247"/>
      <c r="ABE305" s="1247"/>
      <c r="ABF305" s="1247"/>
      <c r="ABG305" s="1247"/>
      <c r="ABH305" s="1247"/>
      <c r="ABI305" s="1247"/>
      <c r="ABJ305" s="1247"/>
      <c r="ABK305" s="1247"/>
      <c r="ABL305" s="1247"/>
      <c r="ABM305" s="1247"/>
      <c r="ABN305" s="1247"/>
      <c r="ABO305" s="1247"/>
      <c r="ABP305" s="1247"/>
      <c r="ABQ305" s="1247"/>
      <c r="ABR305" s="1247"/>
      <c r="ABS305" s="1247"/>
      <c r="ABT305" s="1247"/>
      <c r="ABU305" s="1247"/>
      <c r="ABV305" s="1247"/>
      <c r="ABW305" s="1247"/>
      <c r="ABX305" s="1247"/>
      <c r="ABY305" s="1247"/>
      <c r="ABZ305" s="1247"/>
      <c r="ACA305" s="1247"/>
      <c r="ACB305" s="1247"/>
      <c r="ACC305" s="1247"/>
      <c r="ACD305" s="1247"/>
      <c r="ACE305" s="1247"/>
      <c r="ACF305" s="1247"/>
      <c r="ACG305" s="1247"/>
      <c r="ACH305" s="1247"/>
      <c r="ACI305" s="1247"/>
      <c r="ACJ305" s="1247"/>
      <c r="ACK305" s="1247"/>
      <c r="ACL305" s="1247"/>
      <c r="ACM305" s="1247"/>
      <c r="ACN305" s="1247"/>
      <c r="ACO305" s="1247"/>
      <c r="ACP305" s="1247"/>
      <c r="ACQ305" s="1247"/>
      <c r="ACR305" s="1247"/>
      <c r="ACS305" s="1247"/>
      <c r="ACT305" s="1247"/>
      <c r="ACU305" s="1247"/>
      <c r="ACV305" s="1247"/>
      <c r="ACW305" s="1247"/>
      <c r="ACX305" s="1247"/>
      <c r="ACY305" s="1247"/>
      <c r="ACZ305" s="1247"/>
      <c r="ADA305" s="1247"/>
      <c r="ADB305" s="1247"/>
      <c r="ADC305" s="1247"/>
      <c r="ADD305" s="1247"/>
      <c r="ADE305" s="1247"/>
      <c r="ADF305" s="1247"/>
      <c r="ADG305" s="1247"/>
    </row>
    <row r="306" spans="1:787" s="1247" customFormat="1" ht="13" hidden="1" outlineLevel="2">
      <c r="B306" s="1422" t="s">
        <v>605</v>
      </c>
      <c r="C306" s="1423"/>
      <c r="D306" s="1423" t="s">
        <v>1349</v>
      </c>
      <c r="E306" s="1431" t="s">
        <v>3765</v>
      </c>
      <c r="F306" s="1425" t="s">
        <v>458</v>
      </c>
      <c r="G306" s="1431" t="s">
        <v>4164</v>
      </c>
      <c r="H306" s="1446"/>
      <c r="I306" s="1446"/>
      <c r="J306" s="1427"/>
      <c r="K306" s="1427"/>
      <c r="L306" s="1427"/>
      <c r="M306" s="1427"/>
      <c r="N306" s="1427"/>
      <c r="O306" s="1427"/>
      <c r="P306" s="1427"/>
      <c r="Q306" s="1427">
        <f>VLOOKUP(D306,'当期公摊测算表（全期）'!D:W,12,FALSE)</f>
        <v>69.262289999999993</v>
      </c>
      <c r="R306" s="1428">
        <f>SUM(H306:Q306)</f>
        <v>69.262289999999993</v>
      </c>
      <c r="S306" s="1427">
        <f>VLOOKUP($D306,'当期公摊测算表（全期）'!D:W,17,FALSE)</f>
        <v>0</v>
      </c>
      <c r="T306" s="1427">
        <f>R306+S306</f>
        <v>69.262289999999993</v>
      </c>
      <c r="U306" s="1429"/>
      <c r="V306" s="1225">
        <f t="shared" si="67"/>
        <v>0</v>
      </c>
      <c r="W306" s="1225">
        <f t="shared" si="68"/>
        <v>0</v>
      </c>
      <c r="X306" s="1225"/>
      <c r="Y306" s="1225"/>
    </row>
    <row r="307" spans="1:787" s="1247" customFormat="1" ht="13" hidden="1" outlineLevel="2">
      <c r="B307" s="1422" t="s">
        <v>606</v>
      </c>
      <c r="C307" s="1423"/>
      <c r="D307" s="1423" t="s">
        <v>1353</v>
      </c>
      <c r="E307" s="1431" t="s">
        <v>3766</v>
      </c>
      <c r="F307" s="1425" t="s">
        <v>458</v>
      </c>
      <c r="G307" s="1431" t="s">
        <v>4164</v>
      </c>
      <c r="H307" s="1446"/>
      <c r="I307" s="1446"/>
      <c r="J307" s="1427"/>
      <c r="K307" s="1427"/>
      <c r="L307" s="1427"/>
      <c r="M307" s="1427"/>
      <c r="N307" s="1427"/>
      <c r="O307" s="1427"/>
      <c r="P307" s="1427"/>
      <c r="Q307" s="1427">
        <f>VLOOKUP(D307,'当期公摊测算表（全期）'!D:W,12,FALSE)</f>
        <v>152.377038</v>
      </c>
      <c r="R307" s="1428">
        <f t="shared" ref="R307:R312" si="79">SUM(H307:Q307)</f>
        <v>152.377038</v>
      </c>
      <c r="S307" s="1427">
        <f>VLOOKUP($D307,'当期公摊测算表（全期）'!D:W,17,FALSE)</f>
        <v>0</v>
      </c>
      <c r="T307" s="1427">
        <f t="shared" ref="T307:T312" si="80">R307+S307</f>
        <v>152.377038</v>
      </c>
      <c r="U307" s="1429"/>
      <c r="V307" s="1225">
        <f t="shared" si="67"/>
        <v>0</v>
      </c>
      <c r="W307" s="1225">
        <f t="shared" si="68"/>
        <v>0</v>
      </c>
      <c r="X307" s="1225"/>
      <c r="Y307" s="1225"/>
    </row>
    <row r="308" spans="1:787" s="1247" customFormat="1" ht="13" hidden="1" outlineLevel="2">
      <c r="B308" s="1422" t="s">
        <v>607</v>
      </c>
      <c r="C308" s="1423"/>
      <c r="D308" s="1423" t="s">
        <v>546</v>
      </c>
      <c r="E308" s="1431" t="s">
        <v>3767</v>
      </c>
      <c r="F308" s="1425" t="s">
        <v>458</v>
      </c>
      <c r="G308" s="1431" t="s">
        <v>4164</v>
      </c>
      <c r="H308" s="1446"/>
      <c r="I308" s="1446"/>
      <c r="J308" s="1427"/>
      <c r="K308" s="1427"/>
      <c r="L308" s="1427"/>
      <c r="M308" s="1427"/>
      <c r="N308" s="1427"/>
      <c r="O308" s="1427"/>
      <c r="P308" s="1427"/>
      <c r="Q308" s="1427">
        <f>VLOOKUP(D308,'当期公摊测算表（全期）'!D:W,12,FALSE)</f>
        <v>6.9262290000000002</v>
      </c>
      <c r="R308" s="1428">
        <f t="shared" si="79"/>
        <v>6.9262290000000002</v>
      </c>
      <c r="S308" s="1427">
        <f>VLOOKUP($D308,'当期公摊测算表（全期）'!D:W,17,FALSE)</f>
        <v>0</v>
      </c>
      <c r="T308" s="1427">
        <f t="shared" si="80"/>
        <v>6.9262290000000002</v>
      </c>
      <c r="U308" s="1429"/>
      <c r="V308" s="1225">
        <f t="shared" si="67"/>
        <v>0</v>
      </c>
      <c r="W308" s="1225">
        <f t="shared" si="68"/>
        <v>0</v>
      </c>
      <c r="X308" s="1225"/>
      <c r="Y308" s="1225"/>
    </row>
    <row r="309" spans="1:787" s="1247" customFormat="1" ht="13" hidden="1" outlineLevel="2">
      <c r="B309" s="1422" t="s">
        <v>608</v>
      </c>
      <c r="C309" s="1423"/>
      <c r="D309" s="1423" t="s">
        <v>3768</v>
      </c>
      <c r="E309" s="1431" t="s">
        <v>3769</v>
      </c>
      <c r="F309" s="1425" t="s">
        <v>458</v>
      </c>
      <c r="G309" s="1431" t="s">
        <v>4164</v>
      </c>
      <c r="H309" s="1446"/>
      <c r="I309" s="1446"/>
      <c r="J309" s="1427"/>
      <c r="K309" s="1427"/>
      <c r="L309" s="1427"/>
      <c r="M309" s="1427"/>
      <c r="N309" s="1427"/>
      <c r="O309" s="1427"/>
      <c r="P309" s="1427"/>
      <c r="Q309" s="1427">
        <f>VLOOKUP(D309,'当期公摊测算表（全期）'!D:W,12,FALSE)</f>
        <v>166.22949600000001</v>
      </c>
      <c r="R309" s="1428">
        <f t="shared" si="79"/>
        <v>166.22949600000001</v>
      </c>
      <c r="S309" s="1427">
        <f>VLOOKUP($D309,'当期公摊测算表（全期）'!D:W,17,FALSE)</f>
        <v>0</v>
      </c>
      <c r="T309" s="1427">
        <f t="shared" si="80"/>
        <v>166.22949600000001</v>
      </c>
      <c r="U309" s="1429"/>
      <c r="V309" s="1225">
        <f t="shared" si="67"/>
        <v>0</v>
      </c>
      <c r="W309" s="1225">
        <f t="shared" si="68"/>
        <v>0</v>
      </c>
      <c r="X309" s="1225"/>
      <c r="Y309" s="1225"/>
    </row>
    <row r="310" spans="1:787" s="1247" customFormat="1" ht="13" hidden="1" outlineLevel="2">
      <c r="B310" s="1422" t="s">
        <v>609</v>
      </c>
      <c r="C310" s="1423"/>
      <c r="D310" s="1423" t="s">
        <v>49</v>
      </c>
      <c r="E310" s="1431" t="s">
        <v>3770</v>
      </c>
      <c r="F310" s="1425" t="s">
        <v>458</v>
      </c>
      <c r="G310" s="1431" t="s">
        <v>4164</v>
      </c>
      <c r="H310" s="1446"/>
      <c r="I310" s="1446"/>
      <c r="J310" s="1427"/>
      <c r="K310" s="1427"/>
      <c r="L310" s="1427"/>
      <c r="M310" s="1427"/>
      <c r="N310" s="1427"/>
      <c r="O310" s="1427"/>
      <c r="P310" s="1427"/>
      <c r="Q310" s="1427">
        <f>VLOOKUP(D310,'当期公摊测算表（全期）'!D:W,12,FALSE)</f>
        <v>6.9262290000000002</v>
      </c>
      <c r="R310" s="1428">
        <f t="shared" si="79"/>
        <v>6.9262290000000002</v>
      </c>
      <c r="S310" s="1427">
        <f>VLOOKUP($D310,'当期公摊测算表（全期）'!D:W,17,FALSE)</f>
        <v>0</v>
      </c>
      <c r="T310" s="1427">
        <f t="shared" si="80"/>
        <v>6.9262290000000002</v>
      </c>
      <c r="U310" s="1429"/>
      <c r="V310" s="1225">
        <f t="shared" si="67"/>
        <v>0</v>
      </c>
      <c r="W310" s="1225">
        <f t="shared" si="68"/>
        <v>0</v>
      </c>
      <c r="X310" s="1225"/>
      <c r="Y310" s="1225"/>
    </row>
    <row r="311" spans="1:787" s="1247" customFormat="1" ht="13" hidden="1" outlineLevel="2">
      <c r="B311" s="1422" t="s">
        <v>610</v>
      </c>
      <c r="C311" s="1423"/>
      <c r="D311" s="1423" t="s">
        <v>50</v>
      </c>
      <c r="E311" s="1431" t="s">
        <v>3771</v>
      </c>
      <c r="F311" s="1425" t="s">
        <v>458</v>
      </c>
      <c r="G311" s="1431" t="s">
        <v>4164</v>
      </c>
      <c r="H311" s="1446"/>
      <c r="I311" s="1446"/>
      <c r="J311" s="1427"/>
      <c r="K311" s="1427"/>
      <c r="L311" s="1427"/>
      <c r="M311" s="1427"/>
      <c r="N311" s="1427"/>
      <c r="O311" s="1427"/>
      <c r="P311" s="1427"/>
      <c r="Q311" s="1427">
        <f>VLOOKUP(D311,'当期公摊测算表（全期）'!D:W,12,FALSE)</f>
        <v>6.9262290000000002</v>
      </c>
      <c r="R311" s="1428">
        <f t="shared" si="79"/>
        <v>6.9262290000000002</v>
      </c>
      <c r="S311" s="1427">
        <f>VLOOKUP($D311,'当期公摊测算表（全期）'!D:W,17,FALSE)</f>
        <v>0</v>
      </c>
      <c r="T311" s="1427">
        <f t="shared" si="80"/>
        <v>6.9262290000000002</v>
      </c>
      <c r="U311" s="1429"/>
      <c r="V311" s="1225">
        <f t="shared" si="67"/>
        <v>0</v>
      </c>
      <c r="W311" s="1225">
        <f t="shared" si="68"/>
        <v>0</v>
      </c>
      <c r="X311" s="1225"/>
      <c r="Y311" s="1225"/>
    </row>
    <row r="312" spans="1:787" s="1247" customFormat="1" ht="13" hidden="1" outlineLevel="2">
      <c r="B312" s="1422" t="s">
        <v>547</v>
      </c>
      <c r="C312" s="1423"/>
      <c r="D312" s="1423" t="s">
        <v>3772</v>
      </c>
      <c r="E312" s="1431" t="s">
        <v>3773</v>
      </c>
      <c r="F312" s="1425" t="s">
        <v>458</v>
      </c>
      <c r="G312" s="1431" t="s">
        <v>4164</v>
      </c>
      <c r="H312" s="1446"/>
      <c r="I312" s="1446"/>
      <c r="J312" s="1427"/>
      <c r="K312" s="1427"/>
      <c r="L312" s="1427"/>
      <c r="M312" s="1427"/>
      <c r="N312" s="1427"/>
      <c r="O312" s="1427"/>
      <c r="P312" s="1427"/>
      <c r="Q312" s="1427">
        <f>VLOOKUP(D312,'当期公摊测算表（全期）'!D:W,12,FALSE)</f>
        <v>6.9262290000000002</v>
      </c>
      <c r="R312" s="1428">
        <f t="shared" si="79"/>
        <v>6.9262290000000002</v>
      </c>
      <c r="S312" s="1427">
        <f>VLOOKUP($D312,'当期公摊测算表（全期）'!D:W,17,FALSE)</f>
        <v>0</v>
      </c>
      <c r="T312" s="1427">
        <f t="shared" si="80"/>
        <v>6.9262290000000002</v>
      </c>
      <c r="U312" s="1429"/>
      <c r="V312" s="1225">
        <f t="shared" si="67"/>
        <v>0</v>
      </c>
      <c r="W312" s="1225">
        <f t="shared" si="68"/>
        <v>0</v>
      </c>
      <c r="X312" s="1225"/>
      <c r="Y312" s="1225"/>
    </row>
    <row r="313" spans="1:787" s="1421" customFormat="1" ht="13" hidden="1" outlineLevel="1">
      <c r="A313" s="1247"/>
      <c r="B313" s="1413" t="s">
        <v>507</v>
      </c>
      <c r="C313" s="1414"/>
      <c r="D313" s="1414" t="s">
        <v>508</v>
      </c>
      <c r="E313" s="1417"/>
      <c r="F313" s="1449"/>
      <c r="G313" s="1448" t="s">
        <v>4117</v>
      </c>
      <c r="H313" s="1418"/>
      <c r="I313" s="1418"/>
      <c r="J313" s="1457"/>
      <c r="K313" s="1457"/>
      <c r="L313" s="1457"/>
      <c r="M313" s="1457"/>
      <c r="N313" s="1457"/>
      <c r="O313" s="1457"/>
      <c r="P313" s="1457"/>
      <c r="Q313" s="1419">
        <f>SUBTOTAL(9,Q314:Q320)</f>
        <v>1617.8396749999999</v>
      </c>
      <c r="R313" s="1419">
        <f>SUBTOTAL(9,R314:R320)</f>
        <v>1617.8396749999999</v>
      </c>
      <c r="S313" s="1419">
        <f>SUBTOTAL(9,S314:S320)</f>
        <v>553.77687325430145</v>
      </c>
      <c r="T313" s="1419">
        <f>SUBTOTAL(9,T314:T320)</f>
        <v>2171.6165482543015</v>
      </c>
      <c r="U313" s="1443"/>
      <c r="V313" s="1225">
        <f t="shared" si="67"/>
        <v>0</v>
      </c>
      <c r="W313" s="1225">
        <f t="shared" si="68"/>
        <v>553.77687325430156</v>
      </c>
      <c r="X313" s="1225"/>
      <c r="Y313" s="1225"/>
      <c r="Z313" s="1247"/>
      <c r="AA313" s="1247"/>
      <c r="AB313" s="1247"/>
      <c r="AC313" s="1247"/>
      <c r="AD313" s="1247"/>
      <c r="AE313" s="1247"/>
      <c r="AF313" s="1247"/>
      <c r="AG313" s="1247"/>
      <c r="AH313" s="1247"/>
      <c r="AI313" s="1247"/>
      <c r="AJ313" s="1247"/>
      <c r="AK313" s="1247"/>
      <c r="AL313" s="1247"/>
      <c r="AM313" s="1247"/>
      <c r="AN313" s="1247"/>
      <c r="AO313" s="1247"/>
      <c r="AP313" s="1247"/>
      <c r="AQ313" s="1247"/>
      <c r="AR313" s="1247"/>
      <c r="AS313" s="1247"/>
      <c r="AT313" s="1247"/>
      <c r="AU313" s="1247"/>
      <c r="AV313" s="1247"/>
      <c r="AW313" s="1247"/>
      <c r="AX313" s="1247"/>
      <c r="AY313" s="1247"/>
      <c r="AZ313" s="1247"/>
      <c r="BA313" s="1247"/>
      <c r="BB313" s="1247"/>
      <c r="BC313" s="1247"/>
      <c r="BD313" s="1247"/>
      <c r="BE313" s="1247"/>
      <c r="BF313" s="1247"/>
      <c r="BG313" s="1247"/>
      <c r="BH313" s="1247"/>
      <c r="BI313" s="1247"/>
      <c r="BJ313" s="1247"/>
      <c r="BK313" s="1247"/>
      <c r="BL313" s="1247"/>
      <c r="BM313" s="1247"/>
      <c r="BN313" s="1247"/>
      <c r="BO313" s="1247"/>
      <c r="BP313" s="1247"/>
      <c r="BQ313" s="1247"/>
      <c r="BR313" s="1247"/>
      <c r="BS313" s="1247"/>
      <c r="BT313" s="1247"/>
      <c r="BU313" s="1247"/>
      <c r="BV313" s="1247"/>
      <c r="BW313" s="1247"/>
      <c r="BX313" s="1247"/>
      <c r="BY313" s="1247"/>
      <c r="BZ313" s="1247"/>
      <c r="CA313" s="1247"/>
      <c r="CB313" s="1247"/>
      <c r="CC313" s="1247"/>
      <c r="CD313" s="1247"/>
      <c r="CE313" s="1247"/>
      <c r="CF313" s="1247"/>
      <c r="CG313" s="1247"/>
      <c r="CH313" s="1247"/>
      <c r="CI313" s="1247"/>
      <c r="CJ313" s="1247"/>
      <c r="CK313" s="1247"/>
      <c r="CL313" s="1247"/>
      <c r="CM313" s="1247"/>
      <c r="CN313" s="1247"/>
      <c r="CO313" s="1247"/>
      <c r="CP313" s="1247"/>
      <c r="CQ313" s="1247"/>
      <c r="CR313" s="1247"/>
      <c r="CS313" s="1247"/>
      <c r="CT313" s="1247"/>
      <c r="CU313" s="1247"/>
      <c r="CV313" s="1247"/>
      <c r="CW313" s="1247"/>
      <c r="CX313" s="1247"/>
      <c r="CY313" s="1247"/>
      <c r="CZ313" s="1247"/>
      <c r="DA313" s="1247"/>
      <c r="DB313" s="1247"/>
      <c r="DC313" s="1247"/>
      <c r="DD313" s="1247"/>
      <c r="DE313" s="1247"/>
      <c r="DF313" s="1247"/>
      <c r="DG313" s="1247"/>
      <c r="DH313" s="1247"/>
      <c r="DI313" s="1247"/>
      <c r="DJ313" s="1247"/>
      <c r="DK313" s="1247"/>
      <c r="DL313" s="1247"/>
      <c r="DM313" s="1247"/>
      <c r="DN313" s="1247"/>
      <c r="DO313" s="1247"/>
      <c r="DP313" s="1247"/>
      <c r="DQ313" s="1247"/>
      <c r="DR313" s="1247"/>
      <c r="DS313" s="1247"/>
      <c r="DT313" s="1247"/>
      <c r="DU313" s="1247"/>
      <c r="DV313" s="1247"/>
      <c r="DW313" s="1247"/>
      <c r="DX313" s="1247"/>
      <c r="DY313" s="1247"/>
      <c r="DZ313" s="1247"/>
      <c r="EA313" s="1247"/>
      <c r="EB313" s="1247"/>
      <c r="EC313" s="1247"/>
      <c r="ED313" s="1247"/>
      <c r="EE313" s="1247"/>
      <c r="EF313" s="1247"/>
      <c r="EG313" s="1247"/>
      <c r="EH313" s="1247"/>
      <c r="EI313" s="1247"/>
      <c r="EJ313" s="1247"/>
      <c r="EK313" s="1247"/>
      <c r="EL313" s="1247"/>
      <c r="EM313" s="1247"/>
      <c r="EN313" s="1247"/>
      <c r="EO313" s="1247"/>
      <c r="EP313" s="1247"/>
      <c r="EQ313" s="1247"/>
      <c r="ER313" s="1247"/>
      <c r="ES313" s="1247"/>
      <c r="ET313" s="1247"/>
      <c r="EU313" s="1247"/>
      <c r="EV313" s="1247"/>
      <c r="EW313" s="1247"/>
      <c r="EX313" s="1247"/>
      <c r="EY313" s="1247"/>
      <c r="EZ313" s="1247"/>
      <c r="FA313" s="1247"/>
      <c r="FB313" s="1247"/>
      <c r="FC313" s="1247"/>
      <c r="FD313" s="1247"/>
      <c r="FE313" s="1247"/>
      <c r="FF313" s="1247"/>
      <c r="FG313" s="1247"/>
      <c r="FH313" s="1247"/>
      <c r="FI313" s="1247"/>
      <c r="FJ313" s="1247"/>
      <c r="FK313" s="1247"/>
      <c r="FL313" s="1247"/>
      <c r="FM313" s="1247"/>
      <c r="FN313" s="1247"/>
      <c r="FO313" s="1247"/>
      <c r="FP313" s="1247"/>
      <c r="FQ313" s="1247"/>
      <c r="FR313" s="1247"/>
      <c r="FS313" s="1247"/>
      <c r="FT313" s="1247"/>
      <c r="FU313" s="1247"/>
      <c r="FV313" s="1247"/>
      <c r="FW313" s="1247"/>
      <c r="FX313" s="1247"/>
      <c r="FY313" s="1247"/>
      <c r="FZ313" s="1247"/>
      <c r="GA313" s="1247"/>
      <c r="GB313" s="1247"/>
      <c r="GC313" s="1247"/>
      <c r="GD313" s="1247"/>
      <c r="GE313" s="1247"/>
      <c r="GF313" s="1247"/>
      <c r="GG313" s="1247"/>
      <c r="GH313" s="1247"/>
      <c r="GI313" s="1247"/>
      <c r="GJ313" s="1247"/>
      <c r="GK313" s="1247"/>
      <c r="GL313" s="1247"/>
      <c r="GM313" s="1247"/>
      <c r="GN313" s="1247"/>
      <c r="GO313" s="1247"/>
      <c r="GP313" s="1247"/>
      <c r="GQ313" s="1247"/>
      <c r="GR313" s="1247"/>
      <c r="GS313" s="1247"/>
      <c r="GT313" s="1247"/>
      <c r="GU313" s="1247"/>
      <c r="GV313" s="1247"/>
      <c r="GW313" s="1247"/>
      <c r="GX313" s="1247"/>
      <c r="GY313" s="1247"/>
      <c r="GZ313" s="1247"/>
      <c r="HA313" s="1247"/>
      <c r="HB313" s="1247"/>
      <c r="HC313" s="1247"/>
      <c r="HD313" s="1247"/>
      <c r="HE313" s="1247"/>
      <c r="HF313" s="1247"/>
      <c r="HG313" s="1247"/>
      <c r="HH313" s="1247"/>
      <c r="HI313" s="1247"/>
      <c r="HJ313" s="1247"/>
      <c r="HK313" s="1247"/>
      <c r="HL313" s="1247"/>
      <c r="HM313" s="1247"/>
      <c r="HN313" s="1247"/>
      <c r="HO313" s="1247"/>
      <c r="HP313" s="1247"/>
      <c r="HQ313" s="1247"/>
      <c r="HR313" s="1247"/>
      <c r="HS313" s="1247"/>
      <c r="HT313" s="1247"/>
      <c r="HU313" s="1247"/>
      <c r="HV313" s="1247"/>
      <c r="HW313" s="1247"/>
      <c r="HX313" s="1247"/>
      <c r="HY313" s="1247"/>
      <c r="HZ313" s="1247"/>
      <c r="IA313" s="1247"/>
      <c r="IB313" s="1247"/>
      <c r="IC313" s="1247"/>
      <c r="ID313" s="1247"/>
      <c r="IE313" s="1247"/>
      <c r="IF313" s="1247"/>
      <c r="IG313" s="1247"/>
      <c r="IH313" s="1247"/>
      <c r="II313" s="1247"/>
      <c r="IJ313" s="1247"/>
      <c r="IK313" s="1247"/>
      <c r="IL313" s="1247"/>
      <c r="IM313" s="1247"/>
      <c r="IN313" s="1247"/>
      <c r="IO313" s="1247"/>
      <c r="IP313" s="1247"/>
      <c r="IQ313" s="1247"/>
      <c r="IR313" s="1247"/>
      <c r="IS313" s="1247"/>
      <c r="IT313" s="1247"/>
      <c r="IU313" s="1247"/>
      <c r="IV313" s="1247"/>
      <c r="IW313" s="1247"/>
      <c r="IX313" s="1247"/>
      <c r="IY313" s="1247"/>
      <c r="IZ313" s="1247"/>
      <c r="JA313" s="1247"/>
      <c r="JB313" s="1247"/>
      <c r="JC313" s="1247"/>
      <c r="JD313" s="1247"/>
      <c r="JE313" s="1247"/>
      <c r="JF313" s="1247"/>
      <c r="JG313" s="1247"/>
      <c r="JH313" s="1247"/>
      <c r="JI313" s="1247"/>
      <c r="JJ313" s="1247"/>
      <c r="JK313" s="1247"/>
      <c r="JL313" s="1247"/>
      <c r="JM313" s="1247"/>
      <c r="JN313" s="1247"/>
      <c r="JO313" s="1247"/>
      <c r="JP313" s="1247"/>
      <c r="JQ313" s="1247"/>
      <c r="JR313" s="1247"/>
      <c r="JS313" s="1247"/>
      <c r="JT313" s="1247"/>
      <c r="JU313" s="1247"/>
      <c r="JV313" s="1247"/>
      <c r="JW313" s="1247"/>
      <c r="JX313" s="1247"/>
      <c r="JY313" s="1247"/>
      <c r="JZ313" s="1247"/>
      <c r="KA313" s="1247"/>
      <c r="KB313" s="1247"/>
      <c r="KC313" s="1247"/>
      <c r="KD313" s="1247"/>
      <c r="KE313" s="1247"/>
      <c r="KF313" s="1247"/>
      <c r="KG313" s="1247"/>
      <c r="KH313" s="1247"/>
      <c r="KI313" s="1247"/>
      <c r="KJ313" s="1247"/>
      <c r="KK313" s="1247"/>
      <c r="KL313" s="1247"/>
      <c r="KM313" s="1247"/>
      <c r="KN313" s="1247"/>
      <c r="KO313" s="1247"/>
      <c r="KP313" s="1247"/>
      <c r="KQ313" s="1247"/>
      <c r="KR313" s="1247"/>
      <c r="KS313" s="1247"/>
      <c r="KT313" s="1247"/>
      <c r="KU313" s="1247"/>
      <c r="KV313" s="1247"/>
      <c r="KW313" s="1247"/>
      <c r="KX313" s="1247"/>
      <c r="KY313" s="1247"/>
      <c r="KZ313" s="1247"/>
      <c r="LA313" s="1247"/>
      <c r="LB313" s="1247"/>
      <c r="LC313" s="1247"/>
      <c r="LD313" s="1247"/>
      <c r="LE313" s="1247"/>
      <c r="LF313" s="1247"/>
      <c r="LG313" s="1247"/>
      <c r="LH313" s="1247"/>
      <c r="LI313" s="1247"/>
      <c r="LJ313" s="1247"/>
      <c r="LK313" s="1247"/>
      <c r="LL313" s="1247"/>
      <c r="LM313" s="1247"/>
      <c r="LN313" s="1247"/>
      <c r="LO313" s="1247"/>
      <c r="LP313" s="1247"/>
      <c r="LQ313" s="1247"/>
      <c r="LR313" s="1247"/>
      <c r="LS313" s="1247"/>
      <c r="LT313" s="1247"/>
      <c r="LU313" s="1247"/>
      <c r="LV313" s="1247"/>
      <c r="LW313" s="1247"/>
      <c r="LX313" s="1247"/>
      <c r="LY313" s="1247"/>
      <c r="LZ313" s="1247"/>
      <c r="MA313" s="1247"/>
      <c r="MB313" s="1247"/>
      <c r="MC313" s="1247"/>
      <c r="MD313" s="1247"/>
      <c r="ME313" s="1247"/>
      <c r="MF313" s="1247"/>
      <c r="MG313" s="1247"/>
      <c r="MH313" s="1247"/>
      <c r="MI313" s="1247"/>
      <c r="MJ313" s="1247"/>
      <c r="MK313" s="1247"/>
      <c r="ML313" s="1247"/>
      <c r="MM313" s="1247"/>
      <c r="MN313" s="1247"/>
      <c r="MO313" s="1247"/>
      <c r="MP313" s="1247"/>
      <c r="MQ313" s="1247"/>
      <c r="MR313" s="1247"/>
      <c r="MS313" s="1247"/>
      <c r="MT313" s="1247"/>
      <c r="MU313" s="1247"/>
      <c r="MV313" s="1247"/>
      <c r="MW313" s="1247"/>
      <c r="MX313" s="1247"/>
      <c r="MY313" s="1247"/>
      <c r="MZ313" s="1247"/>
      <c r="NA313" s="1247"/>
      <c r="NB313" s="1247"/>
      <c r="NC313" s="1247"/>
      <c r="ND313" s="1247"/>
      <c r="NE313" s="1247"/>
      <c r="NF313" s="1247"/>
      <c r="NG313" s="1247"/>
      <c r="NH313" s="1247"/>
      <c r="NI313" s="1247"/>
      <c r="NJ313" s="1247"/>
      <c r="NK313" s="1247"/>
      <c r="NL313" s="1247"/>
      <c r="NM313" s="1247"/>
      <c r="NN313" s="1247"/>
      <c r="NO313" s="1247"/>
      <c r="NP313" s="1247"/>
      <c r="NQ313" s="1247"/>
      <c r="NR313" s="1247"/>
      <c r="NS313" s="1247"/>
      <c r="NT313" s="1247"/>
      <c r="NU313" s="1247"/>
      <c r="NV313" s="1247"/>
      <c r="NW313" s="1247"/>
      <c r="NX313" s="1247"/>
      <c r="NY313" s="1247"/>
      <c r="NZ313" s="1247"/>
      <c r="OA313" s="1247"/>
      <c r="OB313" s="1247"/>
      <c r="OC313" s="1247"/>
      <c r="OD313" s="1247"/>
      <c r="OE313" s="1247"/>
      <c r="OF313" s="1247"/>
      <c r="OG313" s="1247"/>
      <c r="OH313" s="1247"/>
      <c r="OI313" s="1247"/>
      <c r="OJ313" s="1247"/>
      <c r="OK313" s="1247"/>
      <c r="OL313" s="1247"/>
      <c r="OM313" s="1247"/>
      <c r="ON313" s="1247"/>
      <c r="OO313" s="1247"/>
      <c r="OP313" s="1247"/>
      <c r="OQ313" s="1247"/>
      <c r="OR313" s="1247"/>
      <c r="OS313" s="1247"/>
      <c r="OT313" s="1247"/>
      <c r="OU313" s="1247"/>
      <c r="OV313" s="1247"/>
      <c r="OW313" s="1247"/>
      <c r="OX313" s="1247"/>
      <c r="OY313" s="1247"/>
      <c r="OZ313" s="1247"/>
      <c r="PA313" s="1247"/>
      <c r="PB313" s="1247"/>
      <c r="PC313" s="1247"/>
      <c r="PD313" s="1247"/>
      <c r="PE313" s="1247"/>
      <c r="PF313" s="1247"/>
      <c r="PG313" s="1247"/>
      <c r="PH313" s="1247"/>
      <c r="PI313" s="1247"/>
      <c r="PJ313" s="1247"/>
      <c r="PK313" s="1247"/>
      <c r="PL313" s="1247"/>
      <c r="PM313" s="1247"/>
      <c r="PN313" s="1247"/>
      <c r="PO313" s="1247"/>
      <c r="PP313" s="1247"/>
      <c r="PQ313" s="1247"/>
      <c r="PR313" s="1247"/>
      <c r="PS313" s="1247"/>
      <c r="PT313" s="1247"/>
      <c r="PU313" s="1247"/>
      <c r="PV313" s="1247"/>
      <c r="PW313" s="1247"/>
      <c r="PX313" s="1247"/>
      <c r="PY313" s="1247"/>
      <c r="PZ313" s="1247"/>
      <c r="QA313" s="1247"/>
      <c r="QB313" s="1247"/>
      <c r="QC313" s="1247"/>
      <c r="QD313" s="1247"/>
      <c r="QE313" s="1247"/>
      <c r="QF313" s="1247"/>
      <c r="QG313" s="1247"/>
      <c r="QH313" s="1247"/>
      <c r="QI313" s="1247"/>
      <c r="QJ313" s="1247"/>
      <c r="QK313" s="1247"/>
      <c r="QL313" s="1247"/>
      <c r="QM313" s="1247"/>
      <c r="QN313" s="1247"/>
      <c r="QO313" s="1247"/>
      <c r="QP313" s="1247"/>
      <c r="QQ313" s="1247"/>
      <c r="QR313" s="1247"/>
      <c r="QS313" s="1247"/>
      <c r="QT313" s="1247"/>
      <c r="QU313" s="1247"/>
      <c r="QV313" s="1247"/>
      <c r="QW313" s="1247"/>
      <c r="QX313" s="1247"/>
      <c r="QY313" s="1247"/>
      <c r="QZ313" s="1247"/>
      <c r="RA313" s="1247"/>
      <c r="RB313" s="1247"/>
      <c r="RC313" s="1247"/>
      <c r="RD313" s="1247"/>
      <c r="RE313" s="1247"/>
      <c r="RF313" s="1247"/>
      <c r="RG313" s="1247"/>
      <c r="RH313" s="1247"/>
      <c r="RI313" s="1247"/>
      <c r="RJ313" s="1247"/>
      <c r="RK313" s="1247"/>
      <c r="RL313" s="1247"/>
      <c r="RM313" s="1247"/>
      <c r="RN313" s="1247"/>
      <c r="RO313" s="1247"/>
      <c r="RP313" s="1247"/>
      <c r="RQ313" s="1247"/>
      <c r="RR313" s="1247"/>
      <c r="RS313" s="1247"/>
      <c r="RT313" s="1247"/>
      <c r="RU313" s="1247"/>
      <c r="RV313" s="1247"/>
      <c r="RW313" s="1247"/>
      <c r="RX313" s="1247"/>
      <c r="RY313" s="1247"/>
      <c r="RZ313" s="1247"/>
      <c r="SA313" s="1247"/>
      <c r="SB313" s="1247"/>
      <c r="SC313" s="1247"/>
      <c r="SD313" s="1247"/>
      <c r="SE313" s="1247"/>
      <c r="SF313" s="1247"/>
      <c r="SG313" s="1247"/>
      <c r="SH313" s="1247"/>
      <c r="SI313" s="1247"/>
      <c r="SJ313" s="1247"/>
      <c r="SK313" s="1247"/>
      <c r="SL313" s="1247"/>
      <c r="SM313" s="1247"/>
      <c r="SN313" s="1247"/>
      <c r="SO313" s="1247"/>
      <c r="SP313" s="1247"/>
      <c r="SQ313" s="1247"/>
      <c r="SR313" s="1247"/>
      <c r="SS313" s="1247"/>
      <c r="ST313" s="1247"/>
      <c r="SU313" s="1247"/>
      <c r="SV313" s="1247"/>
      <c r="SW313" s="1247"/>
      <c r="SX313" s="1247"/>
      <c r="SY313" s="1247"/>
      <c r="SZ313" s="1247"/>
      <c r="TA313" s="1247"/>
      <c r="TB313" s="1247"/>
      <c r="TC313" s="1247"/>
      <c r="TD313" s="1247"/>
      <c r="TE313" s="1247"/>
      <c r="TF313" s="1247"/>
      <c r="TG313" s="1247"/>
      <c r="TH313" s="1247"/>
      <c r="TI313" s="1247"/>
      <c r="TJ313" s="1247"/>
      <c r="TK313" s="1247"/>
      <c r="TL313" s="1247"/>
      <c r="TM313" s="1247"/>
      <c r="TN313" s="1247"/>
      <c r="TO313" s="1247"/>
      <c r="TP313" s="1247"/>
      <c r="TQ313" s="1247"/>
      <c r="TR313" s="1247"/>
      <c r="TS313" s="1247"/>
      <c r="TT313" s="1247"/>
      <c r="TU313" s="1247"/>
      <c r="TV313" s="1247"/>
      <c r="TW313" s="1247"/>
      <c r="TX313" s="1247"/>
      <c r="TY313" s="1247"/>
      <c r="TZ313" s="1247"/>
      <c r="UA313" s="1247"/>
      <c r="UB313" s="1247"/>
      <c r="UC313" s="1247"/>
      <c r="UD313" s="1247"/>
      <c r="UE313" s="1247"/>
      <c r="UF313" s="1247"/>
      <c r="UG313" s="1247"/>
      <c r="UH313" s="1247"/>
      <c r="UI313" s="1247"/>
      <c r="UJ313" s="1247"/>
      <c r="UK313" s="1247"/>
      <c r="UL313" s="1247"/>
      <c r="UM313" s="1247"/>
      <c r="UN313" s="1247"/>
      <c r="UO313" s="1247"/>
      <c r="UP313" s="1247"/>
      <c r="UQ313" s="1247"/>
      <c r="UR313" s="1247"/>
      <c r="US313" s="1247"/>
      <c r="UT313" s="1247"/>
      <c r="UU313" s="1247"/>
      <c r="UV313" s="1247"/>
      <c r="UW313" s="1247"/>
      <c r="UX313" s="1247"/>
      <c r="UY313" s="1247"/>
      <c r="UZ313" s="1247"/>
      <c r="VA313" s="1247"/>
      <c r="VB313" s="1247"/>
      <c r="VC313" s="1247"/>
      <c r="VD313" s="1247"/>
      <c r="VE313" s="1247"/>
      <c r="VF313" s="1247"/>
      <c r="VG313" s="1247"/>
      <c r="VH313" s="1247"/>
      <c r="VI313" s="1247"/>
      <c r="VJ313" s="1247"/>
      <c r="VK313" s="1247"/>
      <c r="VL313" s="1247"/>
      <c r="VM313" s="1247"/>
      <c r="VN313" s="1247"/>
      <c r="VO313" s="1247"/>
      <c r="VP313" s="1247"/>
      <c r="VQ313" s="1247"/>
      <c r="VR313" s="1247"/>
      <c r="VS313" s="1247"/>
      <c r="VT313" s="1247"/>
      <c r="VU313" s="1247"/>
      <c r="VV313" s="1247"/>
      <c r="VW313" s="1247"/>
      <c r="VX313" s="1247"/>
      <c r="VY313" s="1247"/>
      <c r="VZ313" s="1247"/>
      <c r="WA313" s="1247"/>
      <c r="WB313" s="1247"/>
      <c r="WC313" s="1247"/>
      <c r="WD313" s="1247"/>
      <c r="WE313" s="1247"/>
      <c r="WF313" s="1247"/>
      <c r="WG313" s="1247"/>
      <c r="WH313" s="1247"/>
      <c r="WI313" s="1247"/>
      <c r="WJ313" s="1247"/>
      <c r="WK313" s="1247"/>
      <c r="WL313" s="1247"/>
      <c r="WM313" s="1247"/>
      <c r="WN313" s="1247"/>
      <c r="WO313" s="1247"/>
      <c r="WP313" s="1247"/>
      <c r="WQ313" s="1247"/>
      <c r="WR313" s="1247"/>
      <c r="WS313" s="1247"/>
      <c r="WT313" s="1247"/>
      <c r="WU313" s="1247"/>
      <c r="WV313" s="1247"/>
      <c r="WW313" s="1247"/>
      <c r="WX313" s="1247"/>
      <c r="WY313" s="1247"/>
      <c r="WZ313" s="1247"/>
      <c r="XA313" s="1247"/>
      <c r="XB313" s="1247"/>
      <c r="XC313" s="1247"/>
      <c r="XD313" s="1247"/>
      <c r="XE313" s="1247"/>
      <c r="XF313" s="1247"/>
      <c r="XG313" s="1247"/>
      <c r="XH313" s="1247"/>
      <c r="XI313" s="1247"/>
      <c r="XJ313" s="1247"/>
      <c r="XK313" s="1247"/>
      <c r="XL313" s="1247"/>
      <c r="XM313" s="1247"/>
      <c r="XN313" s="1247"/>
      <c r="XO313" s="1247"/>
      <c r="XP313" s="1247"/>
      <c r="XQ313" s="1247"/>
      <c r="XR313" s="1247"/>
      <c r="XS313" s="1247"/>
      <c r="XT313" s="1247"/>
      <c r="XU313" s="1247"/>
      <c r="XV313" s="1247"/>
      <c r="XW313" s="1247"/>
      <c r="XX313" s="1247"/>
      <c r="XY313" s="1247"/>
      <c r="XZ313" s="1247"/>
      <c r="YA313" s="1247"/>
      <c r="YB313" s="1247"/>
      <c r="YC313" s="1247"/>
      <c r="YD313" s="1247"/>
      <c r="YE313" s="1247"/>
      <c r="YF313" s="1247"/>
      <c r="YG313" s="1247"/>
      <c r="YH313" s="1247"/>
      <c r="YI313" s="1247"/>
      <c r="YJ313" s="1247"/>
      <c r="YK313" s="1247"/>
      <c r="YL313" s="1247"/>
      <c r="YM313" s="1247"/>
      <c r="YN313" s="1247"/>
      <c r="YO313" s="1247"/>
      <c r="YP313" s="1247"/>
      <c r="YQ313" s="1247"/>
      <c r="YR313" s="1247"/>
      <c r="YS313" s="1247"/>
      <c r="YT313" s="1247"/>
      <c r="YU313" s="1247"/>
      <c r="YV313" s="1247"/>
      <c r="YW313" s="1247"/>
      <c r="YX313" s="1247"/>
      <c r="YY313" s="1247"/>
      <c r="YZ313" s="1247"/>
      <c r="ZA313" s="1247"/>
      <c r="ZB313" s="1247"/>
      <c r="ZC313" s="1247"/>
      <c r="ZD313" s="1247"/>
      <c r="ZE313" s="1247"/>
      <c r="ZF313" s="1247"/>
      <c r="ZG313" s="1247"/>
      <c r="ZH313" s="1247"/>
      <c r="ZI313" s="1247"/>
      <c r="ZJ313" s="1247"/>
      <c r="ZK313" s="1247"/>
      <c r="ZL313" s="1247"/>
      <c r="ZM313" s="1247"/>
      <c r="ZN313" s="1247"/>
      <c r="ZO313" s="1247"/>
      <c r="ZP313" s="1247"/>
      <c r="ZQ313" s="1247"/>
      <c r="ZR313" s="1247"/>
      <c r="ZS313" s="1247"/>
      <c r="ZT313" s="1247"/>
      <c r="ZU313" s="1247"/>
      <c r="ZV313" s="1247"/>
      <c r="ZW313" s="1247"/>
      <c r="ZX313" s="1247"/>
      <c r="ZY313" s="1247"/>
      <c r="ZZ313" s="1247"/>
      <c r="AAA313" s="1247"/>
      <c r="AAB313" s="1247"/>
      <c r="AAC313" s="1247"/>
      <c r="AAD313" s="1247"/>
      <c r="AAE313" s="1247"/>
      <c r="AAF313" s="1247"/>
      <c r="AAG313" s="1247"/>
      <c r="AAH313" s="1247"/>
      <c r="AAI313" s="1247"/>
      <c r="AAJ313" s="1247"/>
      <c r="AAK313" s="1247"/>
      <c r="AAL313" s="1247"/>
      <c r="AAM313" s="1247"/>
      <c r="AAN313" s="1247"/>
      <c r="AAO313" s="1247"/>
      <c r="AAP313" s="1247"/>
      <c r="AAQ313" s="1247"/>
      <c r="AAR313" s="1247"/>
      <c r="AAS313" s="1247"/>
      <c r="AAT313" s="1247"/>
      <c r="AAU313" s="1247"/>
      <c r="AAV313" s="1247"/>
      <c r="AAW313" s="1247"/>
      <c r="AAX313" s="1247"/>
      <c r="AAY313" s="1247"/>
      <c r="AAZ313" s="1247"/>
      <c r="ABA313" s="1247"/>
      <c r="ABB313" s="1247"/>
      <c r="ABC313" s="1247"/>
      <c r="ABD313" s="1247"/>
      <c r="ABE313" s="1247"/>
      <c r="ABF313" s="1247"/>
      <c r="ABG313" s="1247"/>
      <c r="ABH313" s="1247"/>
      <c r="ABI313" s="1247"/>
      <c r="ABJ313" s="1247"/>
      <c r="ABK313" s="1247"/>
      <c r="ABL313" s="1247"/>
      <c r="ABM313" s="1247"/>
      <c r="ABN313" s="1247"/>
      <c r="ABO313" s="1247"/>
      <c r="ABP313" s="1247"/>
      <c r="ABQ313" s="1247"/>
      <c r="ABR313" s="1247"/>
      <c r="ABS313" s="1247"/>
      <c r="ABT313" s="1247"/>
      <c r="ABU313" s="1247"/>
      <c r="ABV313" s="1247"/>
      <c r="ABW313" s="1247"/>
      <c r="ABX313" s="1247"/>
      <c r="ABY313" s="1247"/>
      <c r="ABZ313" s="1247"/>
      <c r="ACA313" s="1247"/>
      <c r="ACB313" s="1247"/>
      <c r="ACC313" s="1247"/>
      <c r="ACD313" s="1247"/>
      <c r="ACE313" s="1247"/>
      <c r="ACF313" s="1247"/>
      <c r="ACG313" s="1247"/>
      <c r="ACH313" s="1247"/>
      <c r="ACI313" s="1247"/>
      <c r="ACJ313" s="1247"/>
      <c r="ACK313" s="1247"/>
      <c r="ACL313" s="1247"/>
      <c r="ACM313" s="1247"/>
      <c r="ACN313" s="1247"/>
      <c r="ACO313" s="1247"/>
      <c r="ACP313" s="1247"/>
      <c r="ACQ313" s="1247"/>
      <c r="ACR313" s="1247"/>
      <c r="ACS313" s="1247"/>
      <c r="ACT313" s="1247"/>
      <c r="ACU313" s="1247"/>
      <c r="ACV313" s="1247"/>
      <c r="ACW313" s="1247"/>
      <c r="ACX313" s="1247"/>
      <c r="ACY313" s="1247"/>
      <c r="ACZ313" s="1247"/>
      <c r="ADA313" s="1247"/>
      <c r="ADB313" s="1247"/>
      <c r="ADC313" s="1247"/>
      <c r="ADD313" s="1247"/>
      <c r="ADE313" s="1247"/>
      <c r="ADF313" s="1247"/>
      <c r="ADG313" s="1247"/>
    </row>
    <row r="314" spans="1:787" s="1247" customFormat="1" ht="13" hidden="1" outlineLevel="2">
      <c r="B314" s="1422" t="s">
        <v>1355</v>
      </c>
      <c r="C314" s="1423"/>
      <c r="D314" s="1423" t="s">
        <v>3774</v>
      </c>
      <c r="E314" s="1431" t="s">
        <v>3775</v>
      </c>
      <c r="F314" s="1425" t="s">
        <v>453</v>
      </c>
      <c r="G314" s="1431" t="s">
        <v>4192</v>
      </c>
      <c r="H314" s="1328"/>
      <c r="I314" s="1328"/>
      <c r="J314" s="1427"/>
      <c r="K314" s="1427"/>
      <c r="L314" s="1427"/>
      <c r="M314" s="1427"/>
      <c r="N314" s="1427"/>
      <c r="O314" s="1427"/>
      <c r="P314" s="1427"/>
      <c r="Q314" s="1427">
        <f>VLOOKUP(D314,'当期公摊测算表（全期）'!D:W,12,FALSE)</f>
        <v>593.585961</v>
      </c>
      <c r="R314" s="1428">
        <f>SUM(H314:Q314)</f>
        <v>593.585961</v>
      </c>
      <c r="S314" s="1427">
        <f>VLOOKUP($D314,'当期公摊测算表（全期）'!D:W,17,FALSE)</f>
        <v>0</v>
      </c>
      <c r="T314" s="1427">
        <f>R314+S314</f>
        <v>593.585961</v>
      </c>
      <c r="U314" s="1429"/>
      <c r="V314" s="1225">
        <f t="shared" si="67"/>
        <v>0</v>
      </c>
      <c r="W314" s="1225">
        <f t="shared" si="68"/>
        <v>0</v>
      </c>
      <c r="X314" s="1225"/>
      <c r="Y314" s="1225"/>
    </row>
    <row r="315" spans="1:787" s="1247" customFormat="1" ht="13" hidden="1" outlineLevel="2">
      <c r="B315" s="1422" t="s">
        <v>612</v>
      </c>
      <c r="C315" s="1423"/>
      <c r="D315" s="1423" t="s">
        <v>3776</v>
      </c>
      <c r="E315" s="1431" t="s">
        <v>3777</v>
      </c>
      <c r="F315" s="1425" t="s">
        <v>453</v>
      </c>
      <c r="G315" s="1431" t="s">
        <v>4192</v>
      </c>
      <c r="H315" s="1328"/>
      <c r="I315" s="1328"/>
      <c r="J315" s="1427"/>
      <c r="K315" s="1427"/>
      <c r="L315" s="1427"/>
      <c r="M315" s="1427"/>
      <c r="N315" s="1427"/>
      <c r="O315" s="1427"/>
      <c r="P315" s="1427"/>
      <c r="Q315" s="1427">
        <f>VLOOKUP(D315,'当期公摊测算表（全期）'!D:W,12,FALSE)</f>
        <v>773.34592499999997</v>
      </c>
      <c r="R315" s="1428">
        <f t="shared" ref="R315:R320" si="81">SUM(H315:Q315)</f>
        <v>773.34592499999997</v>
      </c>
      <c r="S315" s="1427">
        <f>VLOOKUP($D315,'当期公摊测算表（全期）'!D:W,17,FALSE)</f>
        <v>0</v>
      </c>
      <c r="T315" s="1427">
        <f t="shared" ref="T315:T320" si="82">R315+S315</f>
        <v>773.34592499999997</v>
      </c>
      <c r="U315" s="1429"/>
      <c r="V315" s="1225">
        <f t="shared" si="67"/>
        <v>0</v>
      </c>
      <c r="W315" s="1225">
        <f t="shared" si="68"/>
        <v>0</v>
      </c>
      <c r="X315" s="1225"/>
      <c r="Y315" s="1225"/>
    </row>
    <row r="316" spans="1:787" s="1247" customFormat="1" ht="13" hidden="1" outlineLevel="2">
      <c r="B316" s="1422" t="s">
        <v>616</v>
      </c>
      <c r="C316" s="1423"/>
      <c r="D316" s="1423" t="s">
        <v>3778</v>
      </c>
      <c r="E316" s="1431" t="s">
        <v>3779</v>
      </c>
      <c r="F316" s="1425" t="s">
        <v>453</v>
      </c>
      <c r="G316" s="1431" t="s">
        <v>4192</v>
      </c>
      <c r="H316" s="1328"/>
      <c r="I316" s="1328"/>
      <c r="J316" s="1427"/>
      <c r="K316" s="1427"/>
      <c r="L316" s="1427"/>
      <c r="M316" s="1427"/>
      <c r="N316" s="1427"/>
      <c r="O316" s="1427"/>
      <c r="P316" s="1427"/>
      <c r="Q316" s="1427">
        <f>VLOOKUP(D316,'当期公摊测算表（全期）'!D:W,12,FALSE)</f>
        <v>79.053139000000002</v>
      </c>
      <c r="R316" s="1428">
        <f t="shared" si="81"/>
        <v>79.053139000000002</v>
      </c>
      <c r="S316" s="1427">
        <f>VLOOKUP($D316,'当期公摊测算表（全期）'!D:W,17,FALSE)</f>
        <v>0</v>
      </c>
      <c r="T316" s="1427">
        <f t="shared" si="82"/>
        <v>79.053139000000002</v>
      </c>
      <c r="U316" s="1429"/>
      <c r="V316" s="1225">
        <f t="shared" si="67"/>
        <v>0</v>
      </c>
      <c r="W316" s="1225">
        <f t="shared" si="68"/>
        <v>0</v>
      </c>
      <c r="X316" s="1225"/>
      <c r="Y316" s="1225"/>
    </row>
    <row r="317" spans="1:787" s="1247" customFormat="1" ht="13" hidden="1" outlineLevel="2">
      <c r="B317" s="1422" t="s">
        <v>622</v>
      </c>
      <c r="C317" s="1423"/>
      <c r="D317" s="1423" t="s">
        <v>3780</v>
      </c>
      <c r="E317" s="1431" t="s">
        <v>3781</v>
      </c>
      <c r="F317" s="1425" t="s">
        <v>1363</v>
      </c>
      <c r="G317" s="1431" t="s">
        <v>4155</v>
      </c>
      <c r="H317" s="1328"/>
      <c r="I317" s="1328"/>
      <c r="J317" s="1427"/>
      <c r="K317" s="1427"/>
      <c r="L317" s="1427"/>
      <c r="M317" s="1427"/>
      <c r="N317" s="1427"/>
      <c r="O317" s="1427"/>
      <c r="P317" s="1427"/>
      <c r="Q317" s="1427">
        <f>VLOOKUP(D317,'当期公摊测算表（全期）'!D:W,12,FALSE)</f>
        <v>68.741860000000003</v>
      </c>
      <c r="R317" s="1428">
        <f t="shared" si="81"/>
        <v>68.741860000000003</v>
      </c>
      <c r="S317" s="1427">
        <f>VLOOKUP($D317,'当期公摊测算表（全期）'!D:W,17,FALSE)</f>
        <v>0</v>
      </c>
      <c r="T317" s="1427">
        <f t="shared" si="82"/>
        <v>68.741860000000003</v>
      </c>
      <c r="U317" s="1429"/>
      <c r="V317" s="1225">
        <f t="shared" si="67"/>
        <v>0</v>
      </c>
      <c r="W317" s="1225">
        <f t="shared" si="68"/>
        <v>0</v>
      </c>
      <c r="X317" s="1225"/>
      <c r="Y317" s="1225"/>
    </row>
    <row r="318" spans="1:787" s="1247" customFormat="1" ht="13" hidden="1" outlineLevel="2">
      <c r="B318" s="1422" t="s">
        <v>1369</v>
      </c>
      <c r="C318" s="1423"/>
      <c r="D318" s="1423" t="s">
        <v>3782</v>
      </c>
      <c r="E318" s="1431" t="s">
        <v>3783</v>
      </c>
      <c r="F318" s="1425" t="s">
        <v>1363</v>
      </c>
      <c r="G318" s="1431" t="s">
        <v>4155</v>
      </c>
      <c r="H318" s="1328"/>
      <c r="I318" s="1328"/>
      <c r="J318" s="1427"/>
      <c r="K318" s="1427"/>
      <c r="L318" s="1427"/>
      <c r="M318" s="1427"/>
      <c r="N318" s="1427"/>
      <c r="O318" s="1427"/>
      <c r="P318" s="1427"/>
      <c r="Q318" s="1427">
        <f>VLOOKUP(D318,'当期公摊测算表（全期）'!D:W,12,FALSE)</f>
        <v>103.11279</v>
      </c>
      <c r="R318" s="1428">
        <f t="shared" si="81"/>
        <v>103.11279</v>
      </c>
      <c r="S318" s="1427">
        <f>VLOOKUP($D318,'当期公摊测算表（全期）'!D:W,17,FALSE)</f>
        <v>0</v>
      </c>
      <c r="T318" s="1427">
        <f t="shared" si="82"/>
        <v>103.11279</v>
      </c>
      <c r="U318" s="1429"/>
      <c r="V318" s="1225">
        <f t="shared" si="67"/>
        <v>0</v>
      </c>
      <c r="W318" s="1225">
        <f t="shared" si="68"/>
        <v>0</v>
      </c>
      <c r="X318" s="1225"/>
      <c r="Y318" s="1225"/>
    </row>
    <row r="319" spans="1:787" s="1247" customFormat="1" ht="13" hidden="1" outlineLevel="2">
      <c r="B319" s="1422" t="s">
        <v>1372</v>
      </c>
      <c r="C319" s="1423"/>
      <c r="D319" s="1423" t="s">
        <v>3784</v>
      </c>
      <c r="E319" s="1431" t="s">
        <v>3785</v>
      </c>
      <c r="F319" s="1425" t="s">
        <v>453</v>
      </c>
      <c r="G319" s="1431" t="s">
        <v>4192</v>
      </c>
      <c r="H319" s="1328"/>
      <c r="I319" s="1328"/>
      <c r="J319" s="1427"/>
      <c r="K319" s="1427"/>
      <c r="L319" s="1427"/>
      <c r="M319" s="1427"/>
      <c r="N319" s="1427"/>
      <c r="O319" s="1427"/>
      <c r="P319" s="1427"/>
      <c r="Q319" s="1427">
        <f>VLOOKUP(D319,'当期公摊测算表（全期）'!D:W,12,FALSE)</f>
        <v>0</v>
      </c>
      <c r="R319" s="1428">
        <f t="shared" si="81"/>
        <v>0</v>
      </c>
      <c r="S319" s="1427">
        <f>VLOOKUP($D319,'当期公摊测算表（全期）'!D:W,17,FALSE)</f>
        <v>553.77687325430145</v>
      </c>
      <c r="T319" s="1427">
        <f t="shared" si="82"/>
        <v>553.77687325430145</v>
      </c>
      <c r="U319" s="1429"/>
      <c r="V319" s="1225">
        <f t="shared" si="67"/>
        <v>0</v>
      </c>
      <c r="W319" s="1225">
        <f t="shared" si="68"/>
        <v>553.77687325430145</v>
      </c>
      <c r="X319" s="1225"/>
      <c r="Y319" s="1225"/>
    </row>
    <row r="320" spans="1:787" s="1247" customFormat="1" ht="13" hidden="1" outlineLevel="2">
      <c r="B320" s="1422" t="s">
        <v>3786</v>
      </c>
      <c r="C320" s="1423"/>
      <c r="D320" s="1423" t="s">
        <v>3787</v>
      </c>
      <c r="E320" s="1431"/>
      <c r="F320" s="1425" t="s">
        <v>1424</v>
      </c>
      <c r="G320" s="1431" t="s">
        <v>4123</v>
      </c>
      <c r="H320" s="1328"/>
      <c r="I320" s="1328"/>
      <c r="J320" s="1427"/>
      <c r="K320" s="1427"/>
      <c r="L320" s="1427"/>
      <c r="M320" s="1427"/>
      <c r="N320" s="1427"/>
      <c r="O320" s="1427"/>
      <c r="P320" s="1427"/>
      <c r="Q320" s="1427">
        <f>VLOOKUP(D320,'当期公摊测算表（全期）'!D:W,12,FALSE)</f>
        <v>0</v>
      </c>
      <c r="R320" s="1428">
        <f t="shared" si="81"/>
        <v>0</v>
      </c>
      <c r="S320" s="1427">
        <f>VLOOKUP($D320,'当期公摊测算表（全期）'!D:W,17,FALSE)</f>
        <v>0</v>
      </c>
      <c r="T320" s="1427">
        <f t="shared" si="82"/>
        <v>0</v>
      </c>
      <c r="U320" s="1429"/>
      <c r="V320" s="1225">
        <f t="shared" si="67"/>
        <v>0</v>
      </c>
      <c r="W320" s="1225">
        <f t="shared" si="68"/>
        <v>0</v>
      </c>
      <c r="X320" s="1225"/>
      <c r="Y320" s="1225"/>
    </row>
    <row r="321" spans="1:787" s="1412" customFormat="1" ht="13" collapsed="1">
      <c r="A321" s="1247"/>
      <c r="B321" s="1403" t="s">
        <v>564</v>
      </c>
      <c r="C321" s="1404"/>
      <c r="D321" s="1404" t="s">
        <v>82</v>
      </c>
      <c r="E321" s="1459"/>
      <c r="F321" s="1463"/>
      <c r="G321" s="1459" t="s">
        <v>4117</v>
      </c>
      <c r="H321" s="1408">
        <f>H322+H331+H332+H338+H343+H344+H349+H350</f>
        <v>0</v>
      </c>
      <c r="I321" s="1408"/>
      <c r="J321" s="1409">
        <f t="shared" ref="J321:P321" si="83">J322+J331+J332+J338+J343+J344+J349+J350</f>
        <v>0</v>
      </c>
      <c r="K321" s="1409">
        <f t="shared" si="83"/>
        <v>0</v>
      </c>
      <c r="L321" s="1409">
        <f t="shared" si="83"/>
        <v>0</v>
      </c>
      <c r="M321" s="1409">
        <f t="shared" si="83"/>
        <v>0</v>
      </c>
      <c r="N321" s="1409">
        <f t="shared" si="83"/>
        <v>0</v>
      </c>
      <c r="O321" s="1409">
        <f t="shared" si="83"/>
        <v>0</v>
      </c>
      <c r="P321" s="1409">
        <f t="shared" si="83"/>
        <v>0</v>
      </c>
      <c r="Q321" s="1410">
        <f>SUBTOTAL(9,Q322:Q350)</f>
        <v>3817.0781219999999</v>
      </c>
      <c r="R321" s="1410">
        <f>SUBTOTAL(9,R322:R350)</f>
        <v>3817.0781219999999</v>
      </c>
      <c r="S321" s="1410">
        <f>SUBTOTAL(9,S322:S350)</f>
        <v>915.73870323065603</v>
      </c>
      <c r="T321" s="1410">
        <f>SUBTOTAL(9,T322:T350)</f>
        <v>4732.8168252306568</v>
      </c>
      <c r="U321" s="1411"/>
      <c r="V321" s="1225">
        <f t="shared" si="67"/>
        <v>-9.0949470177292824E-13</v>
      </c>
      <c r="W321" s="1225">
        <f t="shared" si="68"/>
        <v>915.73870323065694</v>
      </c>
      <c r="X321" s="1225"/>
      <c r="Y321" s="1225"/>
      <c r="Z321" s="1247"/>
      <c r="AA321" s="1247"/>
      <c r="AB321" s="1247"/>
      <c r="AC321" s="1247"/>
      <c r="AD321" s="1247"/>
      <c r="AE321" s="1247"/>
      <c r="AF321" s="1247"/>
      <c r="AG321" s="1247"/>
      <c r="AH321" s="1247"/>
      <c r="AI321" s="1247"/>
      <c r="AJ321" s="1247"/>
      <c r="AK321" s="1247"/>
      <c r="AL321" s="1247"/>
      <c r="AM321" s="1247"/>
      <c r="AN321" s="1247"/>
      <c r="AO321" s="1247"/>
      <c r="AP321" s="1247"/>
      <c r="AQ321" s="1247"/>
      <c r="AR321" s="1247"/>
      <c r="AS321" s="1247"/>
      <c r="AT321" s="1247"/>
      <c r="AU321" s="1247"/>
      <c r="AV321" s="1247"/>
      <c r="AW321" s="1247"/>
      <c r="AX321" s="1247"/>
      <c r="AY321" s="1247"/>
      <c r="AZ321" s="1247"/>
      <c r="BA321" s="1247"/>
      <c r="BB321" s="1247"/>
      <c r="BC321" s="1247"/>
      <c r="BD321" s="1247"/>
      <c r="BE321" s="1247"/>
      <c r="BF321" s="1247"/>
      <c r="BG321" s="1247"/>
      <c r="BH321" s="1247"/>
      <c r="BI321" s="1247"/>
      <c r="BJ321" s="1247"/>
      <c r="BK321" s="1247"/>
      <c r="BL321" s="1247"/>
      <c r="BM321" s="1247"/>
      <c r="BN321" s="1247"/>
      <c r="BO321" s="1247"/>
      <c r="BP321" s="1247"/>
      <c r="BQ321" s="1247"/>
      <c r="BR321" s="1247"/>
      <c r="BS321" s="1247"/>
      <c r="BT321" s="1247"/>
      <c r="BU321" s="1247"/>
      <c r="BV321" s="1247"/>
      <c r="BW321" s="1247"/>
      <c r="BX321" s="1247"/>
      <c r="BY321" s="1247"/>
      <c r="BZ321" s="1247"/>
      <c r="CA321" s="1247"/>
      <c r="CB321" s="1247"/>
      <c r="CC321" s="1247"/>
      <c r="CD321" s="1247"/>
      <c r="CE321" s="1247"/>
      <c r="CF321" s="1247"/>
      <c r="CG321" s="1247"/>
      <c r="CH321" s="1247"/>
      <c r="CI321" s="1247"/>
      <c r="CJ321" s="1247"/>
      <c r="CK321" s="1247"/>
      <c r="CL321" s="1247"/>
      <c r="CM321" s="1247"/>
      <c r="CN321" s="1247"/>
      <c r="CO321" s="1247"/>
      <c r="CP321" s="1247"/>
      <c r="CQ321" s="1247"/>
      <c r="CR321" s="1247"/>
      <c r="CS321" s="1247"/>
      <c r="CT321" s="1247"/>
      <c r="CU321" s="1247"/>
      <c r="CV321" s="1247"/>
      <c r="CW321" s="1247"/>
      <c r="CX321" s="1247"/>
      <c r="CY321" s="1247"/>
      <c r="CZ321" s="1247"/>
      <c r="DA321" s="1247"/>
      <c r="DB321" s="1247"/>
      <c r="DC321" s="1247"/>
      <c r="DD321" s="1247"/>
      <c r="DE321" s="1247"/>
      <c r="DF321" s="1247"/>
      <c r="DG321" s="1247"/>
      <c r="DH321" s="1247"/>
      <c r="DI321" s="1247"/>
      <c r="DJ321" s="1247"/>
      <c r="DK321" s="1247"/>
      <c r="DL321" s="1247"/>
      <c r="DM321" s="1247"/>
      <c r="DN321" s="1247"/>
      <c r="DO321" s="1247"/>
      <c r="DP321" s="1247"/>
      <c r="DQ321" s="1247"/>
      <c r="DR321" s="1247"/>
      <c r="DS321" s="1247"/>
      <c r="DT321" s="1247"/>
      <c r="DU321" s="1247"/>
      <c r="DV321" s="1247"/>
      <c r="DW321" s="1247"/>
      <c r="DX321" s="1247"/>
      <c r="DY321" s="1247"/>
      <c r="DZ321" s="1247"/>
      <c r="EA321" s="1247"/>
      <c r="EB321" s="1247"/>
      <c r="EC321" s="1247"/>
      <c r="ED321" s="1247"/>
      <c r="EE321" s="1247"/>
      <c r="EF321" s="1247"/>
      <c r="EG321" s="1247"/>
      <c r="EH321" s="1247"/>
      <c r="EI321" s="1247"/>
      <c r="EJ321" s="1247"/>
      <c r="EK321" s="1247"/>
      <c r="EL321" s="1247"/>
      <c r="EM321" s="1247"/>
      <c r="EN321" s="1247"/>
      <c r="EO321" s="1247"/>
      <c r="EP321" s="1247"/>
      <c r="EQ321" s="1247"/>
      <c r="ER321" s="1247"/>
      <c r="ES321" s="1247"/>
      <c r="ET321" s="1247"/>
      <c r="EU321" s="1247"/>
      <c r="EV321" s="1247"/>
      <c r="EW321" s="1247"/>
      <c r="EX321" s="1247"/>
      <c r="EY321" s="1247"/>
      <c r="EZ321" s="1247"/>
      <c r="FA321" s="1247"/>
      <c r="FB321" s="1247"/>
      <c r="FC321" s="1247"/>
      <c r="FD321" s="1247"/>
      <c r="FE321" s="1247"/>
      <c r="FF321" s="1247"/>
      <c r="FG321" s="1247"/>
      <c r="FH321" s="1247"/>
      <c r="FI321" s="1247"/>
      <c r="FJ321" s="1247"/>
      <c r="FK321" s="1247"/>
      <c r="FL321" s="1247"/>
      <c r="FM321" s="1247"/>
      <c r="FN321" s="1247"/>
      <c r="FO321" s="1247"/>
      <c r="FP321" s="1247"/>
      <c r="FQ321" s="1247"/>
      <c r="FR321" s="1247"/>
      <c r="FS321" s="1247"/>
      <c r="FT321" s="1247"/>
      <c r="FU321" s="1247"/>
      <c r="FV321" s="1247"/>
      <c r="FW321" s="1247"/>
      <c r="FX321" s="1247"/>
      <c r="FY321" s="1247"/>
      <c r="FZ321" s="1247"/>
      <c r="GA321" s="1247"/>
      <c r="GB321" s="1247"/>
      <c r="GC321" s="1247"/>
      <c r="GD321" s="1247"/>
      <c r="GE321" s="1247"/>
      <c r="GF321" s="1247"/>
      <c r="GG321" s="1247"/>
      <c r="GH321" s="1247"/>
      <c r="GI321" s="1247"/>
      <c r="GJ321" s="1247"/>
      <c r="GK321" s="1247"/>
      <c r="GL321" s="1247"/>
      <c r="GM321" s="1247"/>
      <c r="GN321" s="1247"/>
      <c r="GO321" s="1247"/>
      <c r="GP321" s="1247"/>
      <c r="GQ321" s="1247"/>
      <c r="GR321" s="1247"/>
      <c r="GS321" s="1247"/>
      <c r="GT321" s="1247"/>
      <c r="GU321" s="1247"/>
      <c r="GV321" s="1247"/>
      <c r="GW321" s="1247"/>
      <c r="GX321" s="1247"/>
      <c r="GY321" s="1247"/>
      <c r="GZ321" s="1247"/>
      <c r="HA321" s="1247"/>
      <c r="HB321" s="1247"/>
      <c r="HC321" s="1247"/>
      <c r="HD321" s="1247"/>
      <c r="HE321" s="1247"/>
      <c r="HF321" s="1247"/>
      <c r="HG321" s="1247"/>
      <c r="HH321" s="1247"/>
      <c r="HI321" s="1247"/>
      <c r="HJ321" s="1247"/>
      <c r="HK321" s="1247"/>
      <c r="HL321" s="1247"/>
      <c r="HM321" s="1247"/>
      <c r="HN321" s="1247"/>
      <c r="HO321" s="1247"/>
      <c r="HP321" s="1247"/>
      <c r="HQ321" s="1247"/>
      <c r="HR321" s="1247"/>
      <c r="HS321" s="1247"/>
      <c r="HT321" s="1247"/>
      <c r="HU321" s="1247"/>
      <c r="HV321" s="1247"/>
      <c r="HW321" s="1247"/>
      <c r="HX321" s="1247"/>
      <c r="HY321" s="1247"/>
      <c r="HZ321" s="1247"/>
      <c r="IA321" s="1247"/>
      <c r="IB321" s="1247"/>
      <c r="IC321" s="1247"/>
      <c r="ID321" s="1247"/>
      <c r="IE321" s="1247"/>
      <c r="IF321" s="1247"/>
      <c r="IG321" s="1247"/>
      <c r="IH321" s="1247"/>
      <c r="II321" s="1247"/>
      <c r="IJ321" s="1247"/>
      <c r="IK321" s="1247"/>
      <c r="IL321" s="1247"/>
      <c r="IM321" s="1247"/>
      <c r="IN321" s="1247"/>
      <c r="IO321" s="1247"/>
      <c r="IP321" s="1247"/>
      <c r="IQ321" s="1247"/>
      <c r="IR321" s="1247"/>
      <c r="IS321" s="1247"/>
      <c r="IT321" s="1247"/>
      <c r="IU321" s="1247"/>
      <c r="IV321" s="1247"/>
      <c r="IW321" s="1247"/>
      <c r="IX321" s="1247"/>
      <c r="IY321" s="1247"/>
      <c r="IZ321" s="1247"/>
      <c r="JA321" s="1247"/>
      <c r="JB321" s="1247"/>
      <c r="JC321" s="1247"/>
      <c r="JD321" s="1247"/>
      <c r="JE321" s="1247"/>
      <c r="JF321" s="1247"/>
      <c r="JG321" s="1247"/>
      <c r="JH321" s="1247"/>
      <c r="JI321" s="1247"/>
      <c r="JJ321" s="1247"/>
      <c r="JK321" s="1247"/>
      <c r="JL321" s="1247"/>
      <c r="JM321" s="1247"/>
      <c r="JN321" s="1247"/>
      <c r="JO321" s="1247"/>
      <c r="JP321" s="1247"/>
      <c r="JQ321" s="1247"/>
      <c r="JR321" s="1247"/>
      <c r="JS321" s="1247"/>
      <c r="JT321" s="1247"/>
      <c r="JU321" s="1247"/>
      <c r="JV321" s="1247"/>
      <c r="JW321" s="1247"/>
      <c r="JX321" s="1247"/>
      <c r="JY321" s="1247"/>
      <c r="JZ321" s="1247"/>
      <c r="KA321" s="1247"/>
      <c r="KB321" s="1247"/>
      <c r="KC321" s="1247"/>
      <c r="KD321" s="1247"/>
      <c r="KE321" s="1247"/>
      <c r="KF321" s="1247"/>
      <c r="KG321" s="1247"/>
      <c r="KH321" s="1247"/>
      <c r="KI321" s="1247"/>
      <c r="KJ321" s="1247"/>
      <c r="KK321" s="1247"/>
      <c r="KL321" s="1247"/>
      <c r="KM321" s="1247"/>
      <c r="KN321" s="1247"/>
      <c r="KO321" s="1247"/>
      <c r="KP321" s="1247"/>
      <c r="KQ321" s="1247"/>
      <c r="KR321" s="1247"/>
      <c r="KS321" s="1247"/>
      <c r="KT321" s="1247"/>
      <c r="KU321" s="1247"/>
      <c r="KV321" s="1247"/>
      <c r="KW321" s="1247"/>
      <c r="KX321" s="1247"/>
      <c r="KY321" s="1247"/>
      <c r="KZ321" s="1247"/>
      <c r="LA321" s="1247"/>
      <c r="LB321" s="1247"/>
      <c r="LC321" s="1247"/>
      <c r="LD321" s="1247"/>
      <c r="LE321" s="1247"/>
      <c r="LF321" s="1247"/>
      <c r="LG321" s="1247"/>
      <c r="LH321" s="1247"/>
      <c r="LI321" s="1247"/>
      <c r="LJ321" s="1247"/>
      <c r="LK321" s="1247"/>
      <c r="LL321" s="1247"/>
      <c r="LM321" s="1247"/>
      <c r="LN321" s="1247"/>
      <c r="LO321" s="1247"/>
      <c r="LP321" s="1247"/>
      <c r="LQ321" s="1247"/>
      <c r="LR321" s="1247"/>
      <c r="LS321" s="1247"/>
      <c r="LT321" s="1247"/>
      <c r="LU321" s="1247"/>
      <c r="LV321" s="1247"/>
      <c r="LW321" s="1247"/>
      <c r="LX321" s="1247"/>
      <c r="LY321" s="1247"/>
      <c r="LZ321" s="1247"/>
      <c r="MA321" s="1247"/>
      <c r="MB321" s="1247"/>
      <c r="MC321" s="1247"/>
      <c r="MD321" s="1247"/>
      <c r="ME321" s="1247"/>
      <c r="MF321" s="1247"/>
      <c r="MG321" s="1247"/>
      <c r="MH321" s="1247"/>
      <c r="MI321" s="1247"/>
      <c r="MJ321" s="1247"/>
      <c r="MK321" s="1247"/>
      <c r="ML321" s="1247"/>
      <c r="MM321" s="1247"/>
      <c r="MN321" s="1247"/>
      <c r="MO321" s="1247"/>
      <c r="MP321" s="1247"/>
      <c r="MQ321" s="1247"/>
      <c r="MR321" s="1247"/>
      <c r="MS321" s="1247"/>
      <c r="MT321" s="1247"/>
      <c r="MU321" s="1247"/>
      <c r="MV321" s="1247"/>
      <c r="MW321" s="1247"/>
      <c r="MX321" s="1247"/>
      <c r="MY321" s="1247"/>
      <c r="MZ321" s="1247"/>
      <c r="NA321" s="1247"/>
      <c r="NB321" s="1247"/>
      <c r="NC321" s="1247"/>
      <c r="ND321" s="1247"/>
      <c r="NE321" s="1247"/>
      <c r="NF321" s="1247"/>
      <c r="NG321" s="1247"/>
      <c r="NH321" s="1247"/>
      <c r="NI321" s="1247"/>
      <c r="NJ321" s="1247"/>
      <c r="NK321" s="1247"/>
      <c r="NL321" s="1247"/>
      <c r="NM321" s="1247"/>
      <c r="NN321" s="1247"/>
      <c r="NO321" s="1247"/>
      <c r="NP321" s="1247"/>
      <c r="NQ321" s="1247"/>
      <c r="NR321" s="1247"/>
      <c r="NS321" s="1247"/>
      <c r="NT321" s="1247"/>
      <c r="NU321" s="1247"/>
      <c r="NV321" s="1247"/>
      <c r="NW321" s="1247"/>
      <c r="NX321" s="1247"/>
      <c r="NY321" s="1247"/>
      <c r="NZ321" s="1247"/>
      <c r="OA321" s="1247"/>
      <c r="OB321" s="1247"/>
      <c r="OC321" s="1247"/>
      <c r="OD321" s="1247"/>
      <c r="OE321" s="1247"/>
      <c r="OF321" s="1247"/>
      <c r="OG321" s="1247"/>
      <c r="OH321" s="1247"/>
      <c r="OI321" s="1247"/>
      <c r="OJ321" s="1247"/>
      <c r="OK321" s="1247"/>
      <c r="OL321" s="1247"/>
      <c r="OM321" s="1247"/>
      <c r="ON321" s="1247"/>
      <c r="OO321" s="1247"/>
      <c r="OP321" s="1247"/>
      <c r="OQ321" s="1247"/>
      <c r="OR321" s="1247"/>
      <c r="OS321" s="1247"/>
      <c r="OT321" s="1247"/>
      <c r="OU321" s="1247"/>
      <c r="OV321" s="1247"/>
      <c r="OW321" s="1247"/>
      <c r="OX321" s="1247"/>
      <c r="OY321" s="1247"/>
      <c r="OZ321" s="1247"/>
      <c r="PA321" s="1247"/>
      <c r="PB321" s="1247"/>
      <c r="PC321" s="1247"/>
      <c r="PD321" s="1247"/>
      <c r="PE321" s="1247"/>
      <c r="PF321" s="1247"/>
      <c r="PG321" s="1247"/>
      <c r="PH321" s="1247"/>
      <c r="PI321" s="1247"/>
      <c r="PJ321" s="1247"/>
      <c r="PK321" s="1247"/>
      <c r="PL321" s="1247"/>
      <c r="PM321" s="1247"/>
      <c r="PN321" s="1247"/>
      <c r="PO321" s="1247"/>
      <c r="PP321" s="1247"/>
      <c r="PQ321" s="1247"/>
      <c r="PR321" s="1247"/>
      <c r="PS321" s="1247"/>
      <c r="PT321" s="1247"/>
      <c r="PU321" s="1247"/>
      <c r="PV321" s="1247"/>
      <c r="PW321" s="1247"/>
      <c r="PX321" s="1247"/>
      <c r="PY321" s="1247"/>
      <c r="PZ321" s="1247"/>
      <c r="QA321" s="1247"/>
      <c r="QB321" s="1247"/>
      <c r="QC321" s="1247"/>
      <c r="QD321" s="1247"/>
      <c r="QE321" s="1247"/>
      <c r="QF321" s="1247"/>
      <c r="QG321" s="1247"/>
      <c r="QH321" s="1247"/>
      <c r="QI321" s="1247"/>
      <c r="QJ321" s="1247"/>
      <c r="QK321" s="1247"/>
      <c r="QL321" s="1247"/>
      <c r="QM321" s="1247"/>
      <c r="QN321" s="1247"/>
      <c r="QO321" s="1247"/>
      <c r="QP321" s="1247"/>
      <c r="QQ321" s="1247"/>
      <c r="QR321" s="1247"/>
      <c r="QS321" s="1247"/>
      <c r="QT321" s="1247"/>
      <c r="QU321" s="1247"/>
      <c r="QV321" s="1247"/>
      <c r="QW321" s="1247"/>
      <c r="QX321" s="1247"/>
      <c r="QY321" s="1247"/>
      <c r="QZ321" s="1247"/>
      <c r="RA321" s="1247"/>
      <c r="RB321" s="1247"/>
      <c r="RC321" s="1247"/>
      <c r="RD321" s="1247"/>
      <c r="RE321" s="1247"/>
      <c r="RF321" s="1247"/>
      <c r="RG321" s="1247"/>
      <c r="RH321" s="1247"/>
      <c r="RI321" s="1247"/>
      <c r="RJ321" s="1247"/>
      <c r="RK321" s="1247"/>
      <c r="RL321" s="1247"/>
      <c r="RM321" s="1247"/>
      <c r="RN321" s="1247"/>
      <c r="RO321" s="1247"/>
      <c r="RP321" s="1247"/>
      <c r="RQ321" s="1247"/>
      <c r="RR321" s="1247"/>
      <c r="RS321" s="1247"/>
      <c r="RT321" s="1247"/>
      <c r="RU321" s="1247"/>
      <c r="RV321" s="1247"/>
      <c r="RW321" s="1247"/>
      <c r="RX321" s="1247"/>
      <c r="RY321" s="1247"/>
      <c r="RZ321" s="1247"/>
      <c r="SA321" s="1247"/>
      <c r="SB321" s="1247"/>
      <c r="SC321" s="1247"/>
      <c r="SD321" s="1247"/>
      <c r="SE321" s="1247"/>
      <c r="SF321" s="1247"/>
      <c r="SG321" s="1247"/>
      <c r="SH321" s="1247"/>
      <c r="SI321" s="1247"/>
      <c r="SJ321" s="1247"/>
      <c r="SK321" s="1247"/>
      <c r="SL321" s="1247"/>
      <c r="SM321" s="1247"/>
      <c r="SN321" s="1247"/>
      <c r="SO321" s="1247"/>
      <c r="SP321" s="1247"/>
      <c r="SQ321" s="1247"/>
      <c r="SR321" s="1247"/>
      <c r="SS321" s="1247"/>
      <c r="ST321" s="1247"/>
      <c r="SU321" s="1247"/>
      <c r="SV321" s="1247"/>
      <c r="SW321" s="1247"/>
      <c r="SX321" s="1247"/>
      <c r="SY321" s="1247"/>
      <c r="SZ321" s="1247"/>
      <c r="TA321" s="1247"/>
      <c r="TB321" s="1247"/>
      <c r="TC321" s="1247"/>
      <c r="TD321" s="1247"/>
      <c r="TE321" s="1247"/>
      <c r="TF321" s="1247"/>
      <c r="TG321" s="1247"/>
      <c r="TH321" s="1247"/>
      <c r="TI321" s="1247"/>
      <c r="TJ321" s="1247"/>
      <c r="TK321" s="1247"/>
      <c r="TL321" s="1247"/>
      <c r="TM321" s="1247"/>
      <c r="TN321" s="1247"/>
      <c r="TO321" s="1247"/>
      <c r="TP321" s="1247"/>
      <c r="TQ321" s="1247"/>
      <c r="TR321" s="1247"/>
      <c r="TS321" s="1247"/>
      <c r="TT321" s="1247"/>
      <c r="TU321" s="1247"/>
      <c r="TV321" s="1247"/>
      <c r="TW321" s="1247"/>
      <c r="TX321" s="1247"/>
      <c r="TY321" s="1247"/>
      <c r="TZ321" s="1247"/>
      <c r="UA321" s="1247"/>
      <c r="UB321" s="1247"/>
      <c r="UC321" s="1247"/>
      <c r="UD321" s="1247"/>
      <c r="UE321" s="1247"/>
      <c r="UF321" s="1247"/>
      <c r="UG321" s="1247"/>
      <c r="UH321" s="1247"/>
      <c r="UI321" s="1247"/>
      <c r="UJ321" s="1247"/>
      <c r="UK321" s="1247"/>
      <c r="UL321" s="1247"/>
      <c r="UM321" s="1247"/>
      <c r="UN321" s="1247"/>
      <c r="UO321" s="1247"/>
      <c r="UP321" s="1247"/>
      <c r="UQ321" s="1247"/>
      <c r="UR321" s="1247"/>
      <c r="US321" s="1247"/>
      <c r="UT321" s="1247"/>
      <c r="UU321" s="1247"/>
      <c r="UV321" s="1247"/>
      <c r="UW321" s="1247"/>
      <c r="UX321" s="1247"/>
      <c r="UY321" s="1247"/>
      <c r="UZ321" s="1247"/>
      <c r="VA321" s="1247"/>
      <c r="VB321" s="1247"/>
      <c r="VC321" s="1247"/>
      <c r="VD321" s="1247"/>
      <c r="VE321" s="1247"/>
      <c r="VF321" s="1247"/>
      <c r="VG321" s="1247"/>
      <c r="VH321" s="1247"/>
      <c r="VI321" s="1247"/>
      <c r="VJ321" s="1247"/>
      <c r="VK321" s="1247"/>
      <c r="VL321" s="1247"/>
      <c r="VM321" s="1247"/>
      <c r="VN321" s="1247"/>
      <c r="VO321" s="1247"/>
      <c r="VP321" s="1247"/>
      <c r="VQ321" s="1247"/>
      <c r="VR321" s="1247"/>
      <c r="VS321" s="1247"/>
      <c r="VT321" s="1247"/>
      <c r="VU321" s="1247"/>
      <c r="VV321" s="1247"/>
      <c r="VW321" s="1247"/>
      <c r="VX321" s="1247"/>
      <c r="VY321" s="1247"/>
      <c r="VZ321" s="1247"/>
      <c r="WA321" s="1247"/>
      <c r="WB321" s="1247"/>
      <c r="WC321" s="1247"/>
      <c r="WD321" s="1247"/>
      <c r="WE321" s="1247"/>
      <c r="WF321" s="1247"/>
      <c r="WG321" s="1247"/>
      <c r="WH321" s="1247"/>
      <c r="WI321" s="1247"/>
      <c r="WJ321" s="1247"/>
      <c r="WK321" s="1247"/>
      <c r="WL321" s="1247"/>
      <c r="WM321" s="1247"/>
      <c r="WN321" s="1247"/>
      <c r="WO321" s="1247"/>
      <c r="WP321" s="1247"/>
      <c r="WQ321" s="1247"/>
      <c r="WR321" s="1247"/>
      <c r="WS321" s="1247"/>
      <c r="WT321" s="1247"/>
      <c r="WU321" s="1247"/>
      <c r="WV321" s="1247"/>
      <c r="WW321" s="1247"/>
      <c r="WX321" s="1247"/>
      <c r="WY321" s="1247"/>
      <c r="WZ321" s="1247"/>
      <c r="XA321" s="1247"/>
      <c r="XB321" s="1247"/>
      <c r="XC321" s="1247"/>
      <c r="XD321" s="1247"/>
      <c r="XE321" s="1247"/>
      <c r="XF321" s="1247"/>
      <c r="XG321" s="1247"/>
      <c r="XH321" s="1247"/>
      <c r="XI321" s="1247"/>
      <c r="XJ321" s="1247"/>
      <c r="XK321" s="1247"/>
      <c r="XL321" s="1247"/>
      <c r="XM321" s="1247"/>
      <c r="XN321" s="1247"/>
      <c r="XO321" s="1247"/>
      <c r="XP321" s="1247"/>
      <c r="XQ321" s="1247"/>
      <c r="XR321" s="1247"/>
      <c r="XS321" s="1247"/>
      <c r="XT321" s="1247"/>
      <c r="XU321" s="1247"/>
      <c r="XV321" s="1247"/>
      <c r="XW321" s="1247"/>
      <c r="XX321" s="1247"/>
      <c r="XY321" s="1247"/>
      <c r="XZ321" s="1247"/>
      <c r="YA321" s="1247"/>
      <c r="YB321" s="1247"/>
      <c r="YC321" s="1247"/>
      <c r="YD321" s="1247"/>
      <c r="YE321" s="1247"/>
      <c r="YF321" s="1247"/>
      <c r="YG321" s="1247"/>
      <c r="YH321" s="1247"/>
      <c r="YI321" s="1247"/>
      <c r="YJ321" s="1247"/>
      <c r="YK321" s="1247"/>
      <c r="YL321" s="1247"/>
      <c r="YM321" s="1247"/>
      <c r="YN321" s="1247"/>
      <c r="YO321" s="1247"/>
      <c r="YP321" s="1247"/>
      <c r="YQ321" s="1247"/>
      <c r="YR321" s="1247"/>
      <c r="YS321" s="1247"/>
      <c r="YT321" s="1247"/>
      <c r="YU321" s="1247"/>
      <c r="YV321" s="1247"/>
      <c r="YW321" s="1247"/>
      <c r="YX321" s="1247"/>
      <c r="YY321" s="1247"/>
      <c r="YZ321" s="1247"/>
      <c r="ZA321" s="1247"/>
      <c r="ZB321" s="1247"/>
      <c r="ZC321" s="1247"/>
      <c r="ZD321" s="1247"/>
      <c r="ZE321" s="1247"/>
      <c r="ZF321" s="1247"/>
      <c r="ZG321" s="1247"/>
      <c r="ZH321" s="1247"/>
      <c r="ZI321" s="1247"/>
      <c r="ZJ321" s="1247"/>
      <c r="ZK321" s="1247"/>
      <c r="ZL321" s="1247"/>
      <c r="ZM321" s="1247"/>
      <c r="ZN321" s="1247"/>
      <c r="ZO321" s="1247"/>
      <c r="ZP321" s="1247"/>
      <c r="ZQ321" s="1247"/>
      <c r="ZR321" s="1247"/>
      <c r="ZS321" s="1247"/>
      <c r="ZT321" s="1247"/>
      <c r="ZU321" s="1247"/>
      <c r="ZV321" s="1247"/>
      <c r="ZW321" s="1247"/>
      <c r="ZX321" s="1247"/>
      <c r="ZY321" s="1247"/>
      <c r="ZZ321" s="1247"/>
      <c r="AAA321" s="1247"/>
      <c r="AAB321" s="1247"/>
      <c r="AAC321" s="1247"/>
      <c r="AAD321" s="1247"/>
      <c r="AAE321" s="1247"/>
      <c r="AAF321" s="1247"/>
      <c r="AAG321" s="1247"/>
      <c r="AAH321" s="1247"/>
      <c r="AAI321" s="1247"/>
      <c r="AAJ321" s="1247"/>
      <c r="AAK321" s="1247"/>
      <c r="AAL321" s="1247"/>
      <c r="AAM321" s="1247"/>
      <c r="AAN321" s="1247"/>
      <c r="AAO321" s="1247"/>
      <c r="AAP321" s="1247"/>
      <c r="AAQ321" s="1247"/>
      <c r="AAR321" s="1247"/>
      <c r="AAS321" s="1247"/>
      <c r="AAT321" s="1247"/>
      <c r="AAU321" s="1247"/>
      <c r="AAV321" s="1247"/>
      <c r="AAW321" s="1247"/>
      <c r="AAX321" s="1247"/>
      <c r="AAY321" s="1247"/>
      <c r="AAZ321" s="1247"/>
      <c r="ABA321" s="1247"/>
      <c r="ABB321" s="1247"/>
      <c r="ABC321" s="1247"/>
      <c r="ABD321" s="1247"/>
      <c r="ABE321" s="1247"/>
      <c r="ABF321" s="1247"/>
      <c r="ABG321" s="1247"/>
      <c r="ABH321" s="1247"/>
      <c r="ABI321" s="1247"/>
      <c r="ABJ321" s="1247"/>
      <c r="ABK321" s="1247"/>
      <c r="ABL321" s="1247"/>
      <c r="ABM321" s="1247"/>
      <c r="ABN321" s="1247"/>
      <c r="ABO321" s="1247"/>
      <c r="ABP321" s="1247"/>
      <c r="ABQ321" s="1247"/>
      <c r="ABR321" s="1247"/>
      <c r="ABS321" s="1247"/>
      <c r="ABT321" s="1247"/>
      <c r="ABU321" s="1247"/>
      <c r="ABV321" s="1247"/>
      <c r="ABW321" s="1247"/>
      <c r="ABX321" s="1247"/>
      <c r="ABY321" s="1247"/>
      <c r="ABZ321" s="1247"/>
      <c r="ACA321" s="1247"/>
      <c r="ACB321" s="1247"/>
      <c r="ACC321" s="1247"/>
      <c r="ACD321" s="1247"/>
      <c r="ACE321" s="1247"/>
      <c r="ACF321" s="1247"/>
      <c r="ACG321" s="1247"/>
      <c r="ACH321" s="1247"/>
      <c r="ACI321" s="1247"/>
      <c r="ACJ321" s="1247"/>
      <c r="ACK321" s="1247"/>
      <c r="ACL321" s="1247"/>
      <c r="ACM321" s="1247"/>
      <c r="ACN321" s="1247"/>
      <c r="ACO321" s="1247"/>
      <c r="ACP321" s="1247"/>
      <c r="ACQ321" s="1247"/>
      <c r="ACR321" s="1247"/>
      <c r="ACS321" s="1247"/>
      <c r="ACT321" s="1247"/>
      <c r="ACU321" s="1247"/>
      <c r="ACV321" s="1247"/>
      <c r="ACW321" s="1247"/>
      <c r="ACX321" s="1247"/>
      <c r="ACY321" s="1247"/>
      <c r="ACZ321" s="1247"/>
      <c r="ADA321" s="1247"/>
      <c r="ADB321" s="1247"/>
      <c r="ADC321" s="1247"/>
      <c r="ADD321" s="1247"/>
      <c r="ADE321" s="1247"/>
      <c r="ADF321" s="1247"/>
      <c r="ADG321" s="1247"/>
    </row>
    <row r="322" spans="1:787" s="1421" customFormat="1" ht="13" hidden="1" outlineLevel="1">
      <c r="A322" s="1247"/>
      <c r="B322" s="1413" t="s">
        <v>509</v>
      </c>
      <c r="C322" s="1414"/>
      <c r="D322" s="1414" t="s">
        <v>65</v>
      </c>
      <c r="E322" s="1417"/>
      <c r="F322" s="1449"/>
      <c r="G322" s="1448" t="s">
        <v>4117</v>
      </c>
      <c r="H322" s="1418"/>
      <c r="I322" s="1418"/>
      <c r="J322" s="1457"/>
      <c r="K322" s="1457"/>
      <c r="L322" s="1457"/>
      <c r="M322" s="1457"/>
      <c r="N322" s="1457"/>
      <c r="O322" s="1457"/>
      <c r="P322" s="1457"/>
      <c r="Q322" s="1419">
        <f>SUBTOTAL(9,Q323:Q330)</f>
        <v>818.82079099999987</v>
      </c>
      <c r="R322" s="1419">
        <f>SUBTOTAL(9,R323:R330)</f>
        <v>818.82079099999987</v>
      </c>
      <c r="S322" s="1419">
        <f>SUBTOTAL(9,S323:S330)</f>
        <v>203.85809840990225</v>
      </c>
      <c r="T322" s="1419">
        <f>SUBTOTAL(9,T323:T330)</f>
        <v>1022.6788894099022</v>
      </c>
      <c r="U322" s="1443"/>
      <c r="V322" s="1225">
        <f t="shared" si="67"/>
        <v>-1.1368683772161603E-13</v>
      </c>
      <c r="W322" s="1225">
        <f t="shared" si="68"/>
        <v>203.85809840990237</v>
      </c>
      <c r="X322" s="1225"/>
      <c r="Y322" s="1225"/>
      <c r="Z322" s="1247"/>
      <c r="AA322" s="1247"/>
      <c r="AB322" s="1247"/>
      <c r="AC322" s="1247"/>
      <c r="AD322" s="1247"/>
      <c r="AE322" s="1247"/>
      <c r="AF322" s="1247"/>
      <c r="AG322" s="1247"/>
      <c r="AH322" s="1247"/>
      <c r="AI322" s="1247"/>
      <c r="AJ322" s="1247"/>
      <c r="AK322" s="1247"/>
      <c r="AL322" s="1247"/>
      <c r="AM322" s="1247"/>
      <c r="AN322" s="1247"/>
      <c r="AO322" s="1247"/>
      <c r="AP322" s="1247"/>
      <c r="AQ322" s="1247"/>
      <c r="AR322" s="1247"/>
      <c r="AS322" s="1247"/>
      <c r="AT322" s="1247"/>
      <c r="AU322" s="1247"/>
      <c r="AV322" s="1247"/>
      <c r="AW322" s="1247"/>
      <c r="AX322" s="1247"/>
      <c r="AY322" s="1247"/>
      <c r="AZ322" s="1247"/>
      <c r="BA322" s="1247"/>
      <c r="BB322" s="1247"/>
      <c r="BC322" s="1247"/>
      <c r="BD322" s="1247"/>
      <c r="BE322" s="1247"/>
      <c r="BF322" s="1247"/>
      <c r="BG322" s="1247"/>
      <c r="BH322" s="1247"/>
      <c r="BI322" s="1247"/>
      <c r="BJ322" s="1247"/>
      <c r="BK322" s="1247"/>
      <c r="BL322" s="1247"/>
      <c r="BM322" s="1247"/>
      <c r="BN322" s="1247"/>
      <c r="BO322" s="1247"/>
      <c r="BP322" s="1247"/>
      <c r="BQ322" s="1247"/>
      <c r="BR322" s="1247"/>
      <c r="BS322" s="1247"/>
      <c r="BT322" s="1247"/>
      <c r="BU322" s="1247"/>
      <c r="BV322" s="1247"/>
      <c r="BW322" s="1247"/>
      <c r="BX322" s="1247"/>
      <c r="BY322" s="1247"/>
      <c r="BZ322" s="1247"/>
      <c r="CA322" s="1247"/>
      <c r="CB322" s="1247"/>
      <c r="CC322" s="1247"/>
      <c r="CD322" s="1247"/>
      <c r="CE322" s="1247"/>
      <c r="CF322" s="1247"/>
      <c r="CG322" s="1247"/>
      <c r="CH322" s="1247"/>
      <c r="CI322" s="1247"/>
      <c r="CJ322" s="1247"/>
      <c r="CK322" s="1247"/>
      <c r="CL322" s="1247"/>
      <c r="CM322" s="1247"/>
      <c r="CN322" s="1247"/>
      <c r="CO322" s="1247"/>
      <c r="CP322" s="1247"/>
      <c r="CQ322" s="1247"/>
      <c r="CR322" s="1247"/>
      <c r="CS322" s="1247"/>
      <c r="CT322" s="1247"/>
      <c r="CU322" s="1247"/>
      <c r="CV322" s="1247"/>
      <c r="CW322" s="1247"/>
      <c r="CX322" s="1247"/>
      <c r="CY322" s="1247"/>
      <c r="CZ322" s="1247"/>
      <c r="DA322" s="1247"/>
      <c r="DB322" s="1247"/>
      <c r="DC322" s="1247"/>
      <c r="DD322" s="1247"/>
      <c r="DE322" s="1247"/>
      <c r="DF322" s="1247"/>
      <c r="DG322" s="1247"/>
      <c r="DH322" s="1247"/>
      <c r="DI322" s="1247"/>
      <c r="DJ322" s="1247"/>
      <c r="DK322" s="1247"/>
      <c r="DL322" s="1247"/>
      <c r="DM322" s="1247"/>
      <c r="DN322" s="1247"/>
      <c r="DO322" s="1247"/>
      <c r="DP322" s="1247"/>
      <c r="DQ322" s="1247"/>
      <c r="DR322" s="1247"/>
      <c r="DS322" s="1247"/>
      <c r="DT322" s="1247"/>
      <c r="DU322" s="1247"/>
      <c r="DV322" s="1247"/>
      <c r="DW322" s="1247"/>
      <c r="DX322" s="1247"/>
      <c r="DY322" s="1247"/>
      <c r="DZ322" s="1247"/>
      <c r="EA322" s="1247"/>
      <c r="EB322" s="1247"/>
      <c r="EC322" s="1247"/>
      <c r="ED322" s="1247"/>
      <c r="EE322" s="1247"/>
      <c r="EF322" s="1247"/>
      <c r="EG322" s="1247"/>
      <c r="EH322" s="1247"/>
      <c r="EI322" s="1247"/>
      <c r="EJ322" s="1247"/>
      <c r="EK322" s="1247"/>
      <c r="EL322" s="1247"/>
      <c r="EM322" s="1247"/>
      <c r="EN322" s="1247"/>
      <c r="EO322" s="1247"/>
      <c r="EP322" s="1247"/>
      <c r="EQ322" s="1247"/>
      <c r="ER322" s="1247"/>
      <c r="ES322" s="1247"/>
      <c r="ET322" s="1247"/>
      <c r="EU322" s="1247"/>
      <c r="EV322" s="1247"/>
      <c r="EW322" s="1247"/>
      <c r="EX322" s="1247"/>
      <c r="EY322" s="1247"/>
      <c r="EZ322" s="1247"/>
      <c r="FA322" s="1247"/>
      <c r="FB322" s="1247"/>
      <c r="FC322" s="1247"/>
      <c r="FD322" s="1247"/>
      <c r="FE322" s="1247"/>
      <c r="FF322" s="1247"/>
      <c r="FG322" s="1247"/>
      <c r="FH322" s="1247"/>
      <c r="FI322" s="1247"/>
      <c r="FJ322" s="1247"/>
      <c r="FK322" s="1247"/>
      <c r="FL322" s="1247"/>
      <c r="FM322" s="1247"/>
      <c r="FN322" s="1247"/>
      <c r="FO322" s="1247"/>
      <c r="FP322" s="1247"/>
      <c r="FQ322" s="1247"/>
      <c r="FR322" s="1247"/>
      <c r="FS322" s="1247"/>
      <c r="FT322" s="1247"/>
      <c r="FU322" s="1247"/>
      <c r="FV322" s="1247"/>
      <c r="FW322" s="1247"/>
      <c r="FX322" s="1247"/>
      <c r="FY322" s="1247"/>
      <c r="FZ322" s="1247"/>
      <c r="GA322" s="1247"/>
      <c r="GB322" s="1247"/>
      <c r="GC322" s="1247"/>
      <c r="GD322" s="1247"/>
      <c r="GE322" s="1247"/>
      <c r="GF322" s="1247"/>
      <c r="GG322" s="1247"/>
      <c r="GH322" s="1247"/>
      <c r="GI322" s="1247"/>
      <c r="GJ322" s="1247"/>
      <c r="GK322" s="1247"/>
      <c r="GL322" s="1247"/>
      <c r="GM322" s="1247"/>
      <c r="GN322" s="1247"/>
      <c r="GO322" s="1247"/>
      <c r="GP322" s="1247"/>
      <c r="GQ322" s="1247"/>
      <c r="GR322" s="1247"/>
      <c r="GS322" s="1247"/>
      <c r="GT322" s="1247"/>
      <c r="GU322" s="1247"/>
      <c r="GV322" s="1247"/>
      <c r="GW322" s="1247"/>
      <c r="GX322" s="1247"/>
      <c r="GY322" s="1247"/>
      <c r="GZ322" s="1247"/>
      <c r="HA322" s="1247"/>
      <c r="HB322" s="1247"/>
      <c r="HC322" s="1247"/>
      <c r="HD322" s="1247"/>
      <c r="HE322" s="1247"/>
      <c r="HF322" s="1247"/>
      <c r="HG322" s="1247"/>
      <c r="HH322" s="1247"/>
      <c r="HI322" s="1247"/>
      <c r="HJ322" s="1247"/>
      <c r="HK322" s="1247"/>
      <c r="HL322" s="1247"/>
      <c r="HM322" s="1247"/>
      <c r="HN322" s="1247"/>
      <c r="HO322" s="1247"/>
      <c r="HP322" s="1247"/>
      <c r="HQ322" s="1247"/>
      <c r="HR322" s="1247"/>
      <c r="HS322" s="1247"/>
      <c r="HT322" s="1247"/>
      <c r="HU322" s="1247"/>
      <c r="HV322" s="1247"/>
      <c r="HW322" s="1247"/>
      <c r="HX322" s="1247"/>
      <c r="HY322" s="1247"/>
      <c r="HZ322" s="1247"/>
      <c r="IA322" s="1247"/>
      <c r="IB322" s="1247"/>
      <c r="IC322" s="1247"/>
      <c r="ID322" s="1247"/>
      <c r="IE322" s="1247"/>
      <c r="IF322" s="1247"/>
      <c r="IG322" s="1247"/>
      <c r="IH322" s="1247"/>
      <c r="II322" s="1247"/>
      <c r="IJ322" s="1247"/>
      <c r="IK322" s="1247"/>
      <c r="IL322" s="1247"/>
      <c r="IM322" s="1247"/>
      <c r="IN322" s="1247"/>
      <c r="IO322" s="1247"/>
      <c r="IP322" s="1247"/>
      <c r="IQ322" s="1247"/>
      <c r="IR322" s="1247"/>
      <c r="IS322" s="1247"/>
      <c r="IT322" s="1247"/>
      <c r="IU322" s="1247"/>
      <c r="IV322" s="1247"/>
      <c r="IW322" s="1247"/>
      <c r="IX322" s="1247"/>
      <c r="IY322" s="1247"/>
      <c r="IZ322" s="1247"/>
      <c r="JA322" s="1247"/>
      <c r="JB322" s="1247"/>
      <c r="JC322" s="1247"/>
      <c r="JD322" s="1247"/>
      <c r="JE322" s="1247"/>
      <c r="JF322" s="1247"/>
      <c r="JG322" s="1247"/>
      <c r="JH322" s="1247"/>
      <c r="JI322" s="1247"/>
      <c r="JJ322" s="1247"/>
      <c r="JK322" s="1247"/>
      <c r="JL322" s="1247"/>
      <c r="JM322" s="1247"/>
      <c r="JN322" s="1247"/>
      <c r="JO322" s="1247"/>
      <c r="JP322" s="1247"/>
      <c r="JQ322" s="1247"/>
      <c r="JR322" s="1247"/>
      <c r="JS322" s="1247"/>
      <c r="JT322" s="1247"/>
      <c r="JU322" s="1247"/>
      <c r="JV322" s="1247"/>
      <c r="JW322" s="1247"/>
      <c r="JX322" s="1247"/>
      <c r="JY322" s="1247"/>
      <c r="JZ322" s="1247"/>
      <c r="KA322" s="1247"/>
      <c r="KB322" s="1247"/>
      <c r="KC322" s="1247"/>
      <c r="KD322" s="1247"/>
      <c r="KE322" s="1247"/>
      <c r="KF322" s="1247"/>
      <c r="KG322" s="1247"/>
      <c r="KH322" s="1247"/>
      <c r="KI322" s="1247"/>
      <c r="KJ322" s="1247"/>
      <c r="KK322" s="1247"/>
      <c r="KL322" s="1247"/>
      <c r="KM322" s="1247"/>
      <c r="KN322" s="1247"/>
      <c r="KO322" s="1247"/>
      <c r="KP322" s="1247"/>
      <c r="KQ322" s="1247"/>
      <c r="KR322" s="1247"/>
      <c r="KS322" s="1247"/>
      <c r="KT322" s="1247"/>
      <c r="KU322" s="1247"/>
      <c r="KV322" s="1247"/>
      <c r="KW322" s="1247"/>
      <c r="KX322" s="1247"/>
      <c r="KY322" s="1247"/>
      <c r="KZ322" s="1247"/>
      <c r="LA322" s="1247"/>
      <c r="LB322" s="1247"/>
      <c r="LC322" s="1247"/>
      <c r="LD322" s="1247"/>
      <c r="LE322" s="1247"/>
      <c r="LF322" s="1247"/>
      <c r="LG322" s="1247"/>
      <c r="LH322" s="1247"/>
      <c r="LI322" s="1247"/>
      <c r="LJ322" s="1247"/>
      <c r="LK322" s="1247"/>
      <c r="LL322" s="1247"/>
      <c r="LM322" s="1247"/>
      <c r="LN322" s="1247"/>
      <c r="LO322" s="1247"/>
      <c r="LP322" s="1247"/>
      <c r="LQ322" s="1247"/>
      <c r="LR322" s="1247"/>
      <c r="LS322" s="1247"/>
      <c r="LT322" s="1247"/>
      <c r="LU322" s="1247"/>
      <c r="LV322" s="1247"/>
      <c r="LW322" s="1247"/>
      <c r="LX322" s="1247"/>
      <c r="LY322" s="1247"/>
      <c r="LZ322" s="1247"/>
      <c r="MA322" s="1247"/>
      <c r="MB322" s="1247"/>
      <c r="MC322" s="1247"/>
      <c r="MD322" s="1247"/>
      <c r="ME322" s="1247"/>
      <c r="MF322" s="1247"/>
      <c r="MG322" s="1247"/>
      <c r="MH322" s="1247"/>
      <c r="MI322" s="1247"/>
      <c r="MJ322" s="1247"/>
      <c r="MK322" s="1247"/>
      <c r="ML322" s="1247"/>
      <c r="MM322" s="1247"/>
      <c r="MN322" s="1247"/>
      <c r="MO322" s="1247"/>
      <c r="MP322" s="1247"/>
      <c r="MQ322" s="1247"/>
      <c r="MR322" s="1247"/>
      <c r="MS322" s="1247"/>
      <c r="MT322" s="1247"/>
      <c r="MU322" s="1247"/>
      <c r="MV322" s="1247"/>
      <c r="MW322" s="1247"/>
      <c r="MX322" s="1247"/>
      <c r="MY322" s="1247"/>
      <c r="MZ322" s="1247"/>
      <c r="NA322" s="1247"/>
      <c r="NB322" s="1247"/>
      <c r="NC322" s="1247"/>
      <c r="ND322" s="1247"/>
      <c r="NE322" s="1247"/>
      <c r="NF322" s="1247"/>
      <c r="NG322" s="1247"/>
      <c r="NH322" s="1247"/>
      <c r="NI322" s="1247"/>
      <c r="NJ322" s="1247"/>
      <c r="NK322" s="1247"/>
      <c r="NL322" s="1247"/>
      <c r="NM322" s="1247"/>
      <c r="NN322" s="1247"/>
      <c r="NO322" s="1247"/>
      <c r="NP322" s="1247"/>
      <c r="NQ322" s="1247"/>
      <c r="NR322" s="1247"/>
      <c r="NS322" s="1247"/>
      <c r="NT322" s="1247"/>
      <c r="NU322" s="1247"/>
      <c r="NV322" s="1247"/>
      <c r="NW322" s="1247"/>
      <c r="NX322" s="1247"/>
      <c r="NY322" s="1247"/>
      <c r="NZ322" s="1247"/>
      <c r="OA322" s="1247"/>
      <c r="OB322" s="1247"/>
      <c r="OC322" s="1247"/>
      <c r="OD322" s="1247"/>
      <c r="OE322" s="1247"/>
      <c r="OF322" s="1247"/>
      <c r="OG322" s="1247"/>
      <c r="OH322" s="1247"/>
      <c r="OI322" s="1247"/>
      <c r="OJ322" s="1247"/>
      <c r="OK322" s="1247"/>
      <c r="OL322" s="1247"/>
      <c r="OM322" s="1247"/>
      <c r="ON322" s="1247"/>
      <c r="OO322" s="1247"/>
      <c r="OP322" s="1247"/>
      <c r="OQ322" s="1247"/>
      <c r="OR322" s="1247"/>
      <c r="OS322" s="1247"/>
      <c r="OT322" s="1247"/>
      <c r="OU322" s="1247"/>
      <c r="OV322" s="1247"/>
      <c r="OW322" s="1247"/>
      <c r="OX322" s="1247"/>
      <c r="OY322" s="1247"/>
      <c r="OZ322" s="1247"/>
      <c r="PA322" s="1247"/>
      <c r="PB322" s="1247"/>
      <c r="PC322" s="1247"/>
      <c r="PD322" s="1247"/>
      <c r="PE322" s="1247"/>
      <c r="PF322" s="1247"/>
      <c r="PG322" s="1247"/>
      <c r="PH322" s="1247"/>
      <c r="PI322" s="1247"/>
      <c r="PJ322" s="1247"/>
      <c r="PK322" s="1247"/>
      <c r="PL322" s="1247"/>
      <c r="PM322" s="1247"/>
      <c r="PN322" s="1247"/>
      <c r="PO322" s="1247"/>
      <c r="PP322" s="1247"/>
      <c r="PQ322" s="1247"/>
      <c r="PR322" s="1247"/>
      <c r="PS322" s="1247"/>
      <c r="PT322" s="1247"/>
      <c r="PU322" s="1247"/>
      <c r="PV322" s="1247"/>
      <c r="PW322" s="1247"/>
      <c r="PX322" s="1247"/>
      <c r="PY322" s="1247"/>
      <c r="PZ322" s="1247"/>
      <c r="QA322" s="1247"/>
      <c r="QB322" s="1247"/>
      <c r="QC322" s="1247"/>
      <c r="QD322" s="1247"/>
      <c r="QE322" s="1247"/>
      <c r="QF322" s="1247"/>
      <c r="QG322" s="1247"/>
      <c r="QH322" s="1247"/>
      <c r="QI322" s="1247"/>
      <c r="QJ322" s="1247"/>
      <c r="QK322" s="1247"/>
      <c r="QL322" s="1247"/>
      <c r="QM322" s="1247"/>
      <c r="QN322" s="1247"/>
      <c r="QO322" s="1247"/>
      <c r="QP322" s="1247"/>
      <c r="QQ322" s="1247"/>
      <c r="QR322" s="1247"/>
      <c r="QS322" s="1247"/>
      <c r="QT322" s="1247"/>
      <c r="QU322" s="1247"/>
      <c r="QV322" s="1247"/>
      <c r="QW322" s="1247"/>
      <c r="QX322" s="1247"/>
      <c r="QY322" s="1247"/>
      <c r="QZ322" s="1247"/>
      <c r="RA322" s="1247"/>
      <c r="RB322" s="1247"/>
      <c r="RC322" s="1247"/>
      <c r="RD322" s="1247"/>
      <c r="RE322" s="1247"/>
      <c r="RF322" s="1247"/>
      <c r="RG322" s="1247"/>
      <c r="RH322" s="1247"/>
      <c r="RI322" s="1247"/>
      <c r="RJ322" s="1247"/>
      <c r="RK322" s="1247"/>
      <c r="RL322" s="1247"/>
      <c r="RM322" s="1247"/>
      <c r="RN322" s="1247"/>
      <c r="RO322" s="1247"/>
      <c r="RP322" s="1247"/>
      <c r="RQ322" s="1247"/>
      <c r="RR322" s="1247"/>
      <c r="RS322" s="1247"/>
      <c r="RT322" s="1247"/>
      <c r="RU322" s="1247"/>
      <c r="RV322" s="1247"/>
      <c r="RW322" s="1247"/>
      <c r="RX322" s="1247"/>
      <c r="RY322" s="1247"/>
      <c r="RZ322" s="1247"/>
      <c r="SA322" s="1247"/>
      <c r="SB322" s="1247"/>
      <c r="SC322" s="1247"/>
      <c r="SD322" s="1247"/>
      <c r="SE322" s="1247"/>
      <c r="SF322" s="1247"/>
      <c r="SG322" s="1247"/>
      <c r="SH322" s="1247"/>
      <c r="SI322" s="1247"/>
      <c r="SJ322" s="1247"/>
      <c r="SK322" s="1247"/>
      <c r="SL322" s="1247"/>
      <c r="SM322" s="1247"/>
      <c r="SN322" s="1247"/>
      <c r="SO322" s="1247"/>
      <c r="SP322" s="1247"/>
      <c r="SQ322" s="1247"/>
      <c r="SR322" s="1247"/>
      <c r="SS322" s="1247"/>
      <c r="ST322" s="1247"/>
      <c r="SU322" s="1247"/>
      <c r="SV322" s="1247"/>
      <c r="SW322" s="1247"/>
      <c r="SX322" s="1247"/>
      <c r="SY322" s="1247"/>
      <c r="SZ322" s="1247"/>
      <c r="TA322" s="1247"/>
      <c r="TB322" s="1247"/>
      <c r="TC322" s="1247"/>
      <c r="TD322" s="1247"/>
      <c r="TE322" s="1247"/>
      <c r="TF322" s="1247"/>
      <c r="TG322" s="1247"/>
      <c r="TH322" s="1247"/>
      <c r="TI322" s="1247"/>
      <c r="TJ322" s="1247"/>
      <c r="TK322" s="1247"/>
      <c r="TL322" s="1247"/>
      <c r="TM322" s="1247"/>
      <c r="TN322" s="1247"/>
      <c r="TO322" s="1247"/>
      <c r="TP322" s="1247"/>
      <c r="TQ322" s="1247"/>
      <c r="TR322" s="1247"/>
      <c r="TS322" s="1247"/>
      <c r="TT322" s="1247"/>
      <c r="TU322" s="1247"/>
      <c r="TV322" s="1247"/>
      <c r="TW322" s="1247"/>
      <c r="TX322" s="1247"/>
      <c r="TY322" s="1247"/>
      <c r="TZ322" s="1247"/>
      <c r="UA322" s="1247"/>
      <c r="UB322" s="1247"/>
      <c r="UC322" s="1247"/>
      <c r="UD322" s="1247"/>
      <c r="UE322" s="1247"/>
      <c r="UF322" s="1247"/>
      <c r="UG322" s="1247"/>
      <c r="UH322" s="1247"/>
      <c r="UI322" s="1247"/>
      <c r="UJ322" s="1247"/>
      <c r="UK322" s="1247"/>
      <c r="UL322" s="1247"/>
      <c r="UM322" s="1247"/>
      <c r="UN322" s="1247"/>
      <c r="UO322" s="1247"/>
      <c r="UP322" s="1247"/>
      <c r="UQ322" s="1247"/>
      <c r="UR322" s="1247"/>
      <c r="US322" s="1247"/>
      <c r="UT322" s="1247"/>
      <c r="UU322" s="1247"/>
      <c r="UV322" s="1247"/>
      <c r="UW322" s="1247"/>
      <c r="UX322" s="1247"/>
      <c r="UY322" s="1247"/>
      <c r="UZ322" s="1247"/>
      <c r="VA322" s="1247"/>
      <c r="VB322" s="1247"/>
      <c r="VC322" s="1247"/>
      <c r="VD322" s="1247"/>
      <c r="VE322" s="1247"/>
      <c r="VF322" s="1247"/>
      <c r="VG322" s="1247"/>
      <c r="VH322" s="1247"/>
      <c r="VI322" s="1247"/>
      <c r="VJ322" s="1247"/>
      <c r="VK322" s="1247"/>
      <c r="VL322" s="1247"/>
      <c r="VM322" s="1247"/>
      <c r="VN322" s="1247"/>
      <c r="VO322" s="1247"/>
      <c r="VP322" s="1247"/>
      <c r="VQ322" s="1247"/>
      <c r="VR322" s="1247"/>
      <c r="VS322" s="1247"/>
      <c r="VT322" s="1247"/>
      <c r="VU322" s="1247"/>
      <c r="VV322" s="1247"/>
      <c r="VW322" s="1247"/>
      <c r="VX322" s="1247"/>
      <c r="VY322" s="1247"/>
      <c r="VZ322" s="1247"/>
      <c r="WA322" s="1247"/>
      <c r="WB322" s="1247"/>
      <c r="WC322" s="1247"/>
      <c r="WD322" s="1247"/>
      <c r="WE322" s="1247"/>
      <c r="WF322" s="1247"/>
      <c r="WG322" s="1247"/>
      <c r="WH322" s="1247"/>
      <c r="WI322" s="1247"/>
      <c r="WJ322" s="1247"/>
      <c r="WK322" s="1247"/>
      <c r="WL322" s="1247"/>
      <c r="WM322" s="1247"/>
      <c r="WN322" s="1247"/>
      <c r="WO322" s="1247"/>
      <c r="WP322" s="1247"/>
      <c r="WQ322" s="1247"/>
      <c r="WR322" s="1247"/>
      <c r="WS322" s="1247"/>
      <c r="WT322" s="1247"/>
      <c r="WU322" s="1247"/>
      <c r="WV322" s="1247"/>
      <c r="WW322" s="1247"/>
      <c r="WX322" s="1247"/>
      <c r="WY322" s="1247"/>
      <c r="WZ322" s="1247"/>
      <c r="XA322" s="1247"/>
      <c r="XB322" s="1247"/>
      <c r="XC322" s="1247"/>
      <c r="XD322" s="1247"/>
      <c r="XE322" s="1247"/>
      <c r="XF322" s="1247"/>
      <c r="XG322" s="1247"/>
      <c r="XH322" s="1247"/>
      <c r="XI322" s="1247"/>
      <c r="XJ322" s="1247"/>
      <c r="XK322" s="1247"/>
      <c r="XL322" s="1247"/>
      <c r="XM322" s="1247"/>
      <c r="XN322" s="1247"/>
      <c r="XO322" s="1247"/>
      <c r="XP322" s="1247"/>
      <c r="XQ322" s="1247"/>
      <c r="XR322" s="1247"/>
      <c r="XS322" s="1247"/>
      <c r="XT322" s="1247"/>
      <c r="XU322" s="1247"/>
      <c r="XV322" s="1247"/>
      <c r="XW322" s="1247"/>
      <c r="XX322" s="1247"/>
      <c r="XY322" s="1247"/>
      <c r="XZ322" s="1247"/>
      <c r="YA322" s="1247"/>
      <c r="YB322" s="1247"/>
      <c r="YC322" s="1247"/>
      <c r="YD322" s="1247"/>
      <c r="YE322" s="1247"/>
      <c r="YF322" s="1247"/>
      <c r="YG322" s="1247"/>
      <c r="YH322" s="1247"/>
      <c r="YI322" s="1247"/>
      <c r="YJ322" s="1247"/>
      <c r="YK322" s="1247"/>
      <c r="YL322" s="1247"/>
      <c r="YM322" s="1247"/>
      <c r="YN322" s="1247"/>
      <c r="YO322" s="1247"/>
      <c r="YP322" s="1247"/>
      <c r="YQ322" s="1247"/>
      <c r="YR322" s="1247"/>
      <c r="YS322" s="1247"/>
      <c r="YT322" s="1247"/>
      <c r="YU322" s="1247"/>
      <c r="YV322" s="1247"/>
      <c r="YW322" s="1247"/>
      <c r="YX322" s="1247"/>
      <c r="YY322" s="1247"/>
      <c r="YZ322" s="1247"/>
      <c r="ZA322" s="1247"/>
      <c r="ZB322" s="1247"/>
      <c r="ZC322" s="1247"/>
      <c r="ZD322" s="1247"/>
      <c r="ZE322" s="1247"/>
      <c r="ZF322" s="1247"/>
      <c r="ZG322" s="1247"/>
      <c r="ZH322" s="1247"/>
      <c r="ZI322" s="1247"/>
      <c r="ZJ322" s="1247"/>
      <c r="ZK322" s="1247"/>
      <c r="ZL322" s="1247"/>
      <c r="ZM322" s="1247"/>
      <c r="ZN322" s="1247"/>
      <c r="ZO322" s="1247"/>
      <c r="ZP322" s="1247"/>
      <c r="ZQ322" s="1247"/>
      <c r="ZR322" s="1247"/>
      <c r="ZS322" s="1247"/>
      <c r="ZT322" s="1247"/>
      <c r="ZU322" s="1247"/>
      <c r="ZV322" s="1247"/>
      <c r="ZW322" s="1247"/>
      <c r="ZX322" s="1247"/>
      <c r="ZY322" s="1247"/>
      <c r="ZZ322" s="1247"/>
      <c r="AAA322" s="1247"/>
      <c r="AAB322" s="1247"/>
      <c r="AAC322" s="1247"/>
      <c r="AAD322" s="1247"/>
      <c r="AAE322" s="1247"/>
      <c r="AAF322" s="1247"/>
      <c r="AAG322" s="1247"/>
      <c r="AAH322" s="1247"/>
      <c r="AAI322" s="1247"/>
      <c r="AAJ322" s="1247"/>
      <c r="AAK322" s="1247"/>
      <c r="AAL322" s="1247"/>
      <c r="AAM322" s="1247"/>
      <c r="AAN322" s="1247"/>
      <c r="AAO322" s="1247"/>
      <c r="AAP322" s="1247"/>
      <c r="AAQ322" s="1247"/>
      <c r="AAR322" s="1247"/>
      <c r="AAS322" s="1247"/>
      <c r="AAT322" s="1247"/>
      <c r="AAU322" s="1247"/>
      <c r="AAV322" s="1247"/>
      <c r="AAW322" s="1247"/>
      <c r="AAX322" s="1247"/>
      <c r="AAY322" s="1247"/>
      <c r="AAZ322" s="1247"/>
      <c r="ABA322" s="1247"/>
      <c r="ABB322" s="1247"/>
      <c r="ABC322" s="1247"/>
      <c r="ABD322" s="1247"/>
      <c r="ABE322" s="1247"/>
      <c r="ABF322" s="1247"/>
      <c r="ABG322" s="1247"/>
      <c r="ABH322" s="1247"/>
      <c r="ABI322" s="1247"/>
      <c r="ABJ322" s="1247"/>
      <c r="ABK322" s="1247"/>
      <c r="ABL322" s="1247"/>
      <c r="ABM322" s="1247"/>
      <c r="ABN322" s="1247"/>
      <c r="ABO322" s="1247"/>
      <c r="ABP322" s="1247"/>
      <c r="ABQ322" s="1247"/>
      <c r="ABR322" s="1247"/>
      <c r="ABS322" s="1247"/>
      <c r="ABT322" s="1247"/>
      <c r="ABU322" s="1247"/>
      <c r="ABV322" s="1247"/>
      <c r="ABW322" s="1247"/>
      <c r="ABX322" s="1247"/>
      <c r="ABY322" s="1247"/>
      <c r="ABZ322" s="1247"/>
      <c r="ACA322" s="1247"/>
      <c r="ACB322" s="1247"/>
      <c r="ACC322" s="1247"/>
      <c r="ACD322" s="1247"/>
      <c r="ACE322" s="1247"/>
      <c r="ACF322" s="1247"/>
      <c r="ACG322" s="1247"/>
      <c r="ACH322" s="1247"/>
      <c r="ACI322" s="1247"/>
      <c r="ACJ322" s="1247"/>
      <c r="ACK322" s="1247"/>
      <c r="ACL322" s="1247"/>
      <c r="ACM322" s="1247"/>
      <c r="ACN322" s="1247"/>
      <c r="ACO322" s="1247"/>
      <c r="ACP322" s="1247"/>
      <c r="ACQ322" s="1247"/>
      <c r="ACR322" s="1247"/>
      <c r="ACS322" s="1247"/>
      <c r="ACT322" s="1247"/>
      <c r="ACU322" s="1247"/>
      <c r="ACV322" s="1247"/>
      <c r="ACW322" s="1247"/>
      <c r="ACX322" s="1247"/>
      <c r="ACY322" s="1247"/>
      <c r="ACZ322" s="1247"/>
      <c r="ADA322" s="1247"/>
      <c r="ADB322" s="1247"/>
      <c r="ADC322" s="1247"/>
      <c r="ADD322" s="1247"/>
      <c r="ADE322" s="1247"/>
      <c r="ADF322" s="1247"/>
      <c r="ADG322" s="1247"/>
    </row>
    <row r="323" spans="1:787" s="1247" customFormat="1" ht="13" hidden="1" outlineLevel="2">
      <c r="B323" s="1422" t="s">
        <v>629</v>
      </c>
      <c r="C323" s="1423"/>
      <c r="D323" s="1423" t="s">
        <v>3788</v>
      </c>
      <c r="E323" s="1431"/>
      <c r="F323" s="1425"/>
      <c r="G323" s="1431" t="s">
        <v>4117</v>
      </c>
      <c r="H323" s="1446"/>
      <c r="I323" s="1446"/>
      <c r="J323" s="1427"/>
      <c r="K323" s="1427"/>
      <c r="L323" s="1427"/>
      <c r="M323" s="1427"/>
      <c r="N323" s="1427"/>
      <c r="O323" s="1427"/>
      <c r="P323" s="1427"/>
      <c r="Q323" s="1427">
        <f>SUBTOTAL(9,Q324:Q327)</f>
        <v>625.87519599999996</v>
      </c>
      <c r="R323" s="1427">
        <f>SUBTOTAL(9,R324:R327)</f>
        <v>625.87519599999996</v>
      </c>
      <c r="S323" s="1427">
        <f>SUBTOTAL(9,S324:S327)</f>
        <v>203.85809840990225</v>
      </c>
      <c r="T323" s="1427">
        <f>SUBTOTAL(9,T324:T327)</f>
        <v>829.73329440990221</v>
      </c>
      <c r="U323" s="1429"/>
      <c r="V323" s="1225">
        <f t="shared" si="67"/>
        <v>0</v>
      </c>
      <c r="W323" s="1225">
        <f t="shared" si="68"/>
        <v>203.85809840990225</v>
      </c>
      <c r="X323" s="1225"/>
      <c r="Y323" s="1225"/>
    </row>
    <row r="324" spans="1:787" s="1221" customFormat="1" ht="13" hidden="1" outlineLevel="3">
      <c r="B324" s="1433" t="s">
        <v>3789</v>
      </c>
      <c r="C324" s="1434"/>
      <c r="D324" s="1434" t="s">
        <v>3790</v>
      </c>
      <c r="E324" s="1431" t="s">
        <v>3791</v>
      </c>
      <c r="F324" s="1425" t="s">
        <v>3792</v>
      </c>
      <c r="G324" s="1431" t="s">
        <v>4193</v>
      </c>
      <c r="H324" s="1464"/>
      <c r="I324" s="1464"/>
      <c r="J324" s="1437"/>
      <c r="K324" s="1437"/>
      <c r="L324" s="1437"/>
      <c r="M324" s="1437"/>
      <c r="N324" s="1437"/>
      <c r="O324" s="1437"/>
      <c r="P324" s="1437"/>
      <c r="Q324" s="1437">
        <f>VLOOKUP(D324,'当期公摊测算表（全期）'!D:W,12,FALSE)</f>
        <v>5.2274640000000003</v>
      </c>
      <c r="R324" s="1172">
        <f>SUM(H324:Q324)</f>
        <v>5.2274640000000003</v>
      </c>
      <c r="S324" s="1437">
        <f>VLOOKUP($D324,'当期公摊测算表（全期）'!D:W,17,FALSE)</f>
        <v>203.85809840990225</v>
      </c>
      <c r="T324" s="1437">
        <f>R324+S324</f>
        <v>209.08556240990225</v>
      </c>
      <c r="U324" s="1438"/>
      <c r="V324" s="1225">
        <f t="shared" si="67"/>
        <v>0</v>
      </c>
      <c r="W324" s="1225">
        <f t="shared" si="68"/>
        <v>203.85809840990225</v>
      </c>
      <c r="X324" s="1225"/>
      <c r="Y324" s="1225"/>
    </row>
    <row r="325" spans="1:787" s="1221" customFormat="1" ht="13" hidden="1" outlineLevel="3">
      <c r="B325" s="1433" t="s">
        <v>3793</v>
      </c>
      <c r="C325" s="1434"/>
      <c r="D325" s="1434" t="s">
        <v>3794</v>
      </c>
      <c r="E325" s="1431" t="s">
        <v>3795</v>
      </c>
      <c r="F325" s="1425" t="s">
        <v>3792</v>
      </c>
      <c r="G325" s="1431" t="s">
        <v>4193</v>
      </c>
      <c r="H325" s="1464"/>
      <c r="I325" s="1464"/>
      <c r="J325" s="1437"/>
      <c r="K325" s="1437"/>
      <c r="L325" s="1437"/>
      <c r="M325" s="1437"/>
      <c r="N325" s="1437"/>
      <c r="O325" s="1437"/>
      <c r="P325" s="1437"/>
      <c r="Q325" s="1437">
        <f>VLOOKUP(D325,'当期公摊测算表（全期）'!D:W,12,FALSE)</f>
        <v>230.00841600000001</v>
      </c>
      <c r="R325" s="1172">
        <f t="shared" ref="R325:R331" si="84">SUM(H325:Q325)</f>
        <v>230.00841600000001</v>
      </c>
      <c r="S325" s="1437">
        <f>VLOOKUP($D325,'当期公摊测算表（全期）'!D:W,17,FALSE)</f>
        <v>0</v>
      </c>
      <c r="T325" s="1437">
        <f t="shared" ref="T325:T331" si="85">R325+S325</f>
        <v>230.00841600000001</v>
      </c>
      <c r="U325" s="1438"/>
      <c r="V325" s="1225">
        <f t="shared" si="67"/>
        <v>0</v>
      </c>
      <c r="W325" s="1225">
        <f t="shared" si="68"/>
        <v>0</v>
      </c>
      <c r="X325" s="1225"/>
      <c r="Y325" s="1225"/>
    </row>
    <row r="326" spans="1:787" s="1221" customFormat="1" ht="13" hidden="1" outlineLevel="3">
      <c r="B326" s="1433" t="s">
        <v>3796</v>
      </c>
      <c r="C326" s="1434"/>
      <c r="D326" s="1434" t="s">
        <v>3797</v>
      </c>
      <c r="E326" s="1431" t="s">
        <v>3798</v>
      </c>
      <c r="F326" s="1425" t="s">
        <v>3792</v>
      </c>
      <c r="G326" s="1431" t="s">
        <v>4193</v>
      </c>
      <c r="H326" s="1464"/>
      <c r="I326" s="1464"/>
      <c r="J326" s="1437"/>
      <c r="K326" s="1437"/>
      <c r="L326" s="1437"/>
      <c r="M326" s="1437"/>
      <c r="N326" s="1437"/>
      <c r="O326" s="1437"/>
      <c r="P326" s="1437"/>
      <c r="Q326" s="1437">
        <f>VLOOKUP(D326,'当期公摊测算表（全期）'!D:W,12,FALSE)</f>
        <v>304.754076</v>
      </c>
      <c r="R326" s="1172">
        <f t="shared" si="84"/>
        <v>304.754076</v>
      </c>
      <c r="S326" s="1437">
        <f>VLOOKUP($D326,'当期公摊测算表（全期）'!D:W,17,FALSE)</f>
        <v>0</v>
      </c>
      <c r="T326" s="1437">
        <f t="shared" si="85"/>
        <v>304.754076</v>
      </c>
      <c r="U326" s="1438"/>
      <c r="V326" s="1225">
        <f t="shared" si="67"/>
        <v>0</v>
      </c>
      <c r="W326" s="1225">
        <f t="shared" si="68"/>
        <v>0</v>
      </c>
      <c r="X326" s="1225"/>
      <c r="Y326" s="1225"/>
    </row>
    <row r="327" spans="1:787" s="1221" customFormat="1" ht="13" hidden="1" outlineLevel="3">
      <c r="B327" s="1433" t="s">
        <v>3799</v>
      </c>
      <c r="C327" s="1434"/>
      <c r="D327" s="1434" t="s">
        <v>3800</v>
      </c>
      <c r="E327" s="1431" t="s">
        <v>3801</v>
      </c>
      <c r="F327" s="1425" t="s">
        <v>3792</v>
      </c>
      <c r="G327" s="1431" t="s">
        <v>4193</v>
      </c>
      <c r="H327" s="1464"/>
      <c r="I327" s="1464"/>
      <c r="J327" s="1437"/>
      <c r="K327" s="1437"/>
      <c r="L327" s="1437"/>
      <c r="M327" s="1437"/>
      <c r="N327" s="1437"/>
      <c r="O327" s="1437"/>
      <c r="P327" s="1437"/>
      <c r="Q327" s="1437">
        <f>VLOOKUP(D327,'当期公摊测算表（全期）'!D:W,12,FALSE)</f>
        <v>85.885239999999996</v>
      </c>
      <c r="R327" s="1172">
        <f t="shared" si="84"/>
        <v>85.885239999999996</v>
      </c>
      <c r="S327" s="1437">
        <f>VLOOKUP($D327,'当期公摊测算表（全期）'!D:W,17,FALSE)</f>
        <v>0</v>
      </c>
      <c r="T327" s="1437">
        <f t="shared" si="85"/>
        <v>85.885239999999996</v>
      </c>
      <c r="U327" s="1438"/>
      <c r="V327" s="1225">
        <f t="shared" si="67"/>
        <v>0</v>
      </c>
      <c r="W327" s="1225">
        <f t="shared" si="68"/>
        <v>0</v>
      </c>
      <c r="X327" s="1225"/>
      <c r="Y327" s="1225"/>
    </row>
    <row r="328" spans="1:787" s="1247" customFormat="1" ht="13" hidden="1" outlineLevel="2">
      <c r="B328" s="1422" t="s">
        <v>630</v>
      </c>
      <c r="C328" s="1423"/>
      <c r="D328" s="1423" t="s">
        <v>3802</v>
      </c>
      <c r="E328" s="1431" t="s">
        <v>3803</v>
      </c>
      <c r="F328" s="1425" t="s">
        <v>3792</v>
      </c>
      <c r="G328" s="1431" t="s">
        <v>4193</v>
      </c>
      <c r="H328" s="1446"/>
      <c r="I328" s="1446"/>
      <c r="J328" s="1427"/>
      <c r="K328" s="1427"/>
      <c r="L328" s="1427"/>
      <c r="M328" s="1427"/>
      <c r="N328" s="1427"/>
      <c r="O328" s="1427"/>
      <c r="P328" s="1427"/>
      <c r="Q328" s="1427">
        <f>VLOOKUP(D328,'当期公摊测算表（全期）'!D:W,12,FALSE)</f>
        <v>130.609534</v>
      </c>
      <c r="R328" s="1428">
        <f t="shared" si="84"/>
        <v>130.609534</v>
      </c>
      <c r="S328" s="1427">
        <f>VLOOKUP($D328,'当期公摊测算表（全期）'!D:W,17,FALSE)</f>
        <v>0</v>
      </c>
      <c r="T328" s="1427">
        <f t="shared" si="85"/>
        <v>130.609534</v>
      </c>
      <c r="U328" s="1429"/>
      <c r="V328" s="1225">
        <f t="shared" si="67"/>
        <v>0</v>
      </c>
      <c r="W328" s="1225">
        <f t="shared" si="68"/>
        <v>0</v>
      </c>
      <c r="X328" s="1225"/>
      <c r="Y328" s="1225"/>
    </row>
    <row r="329" spans="1:787" s="1247" customFormat="1" ht="13" hidden="1" outlineLevel="2">
      <c r="B329" s="1422" t="s">
        <v>631</v>
      </c>
      <c r="C329" s="1423"/>
      <c r="D329" s="1423" t="s">
        <v>3804</v>
      </c>
      <c r="E329" s="1431" t="s">
        <v>3805</v>
      </c>
      <c r="F329" s="1425" t="s">
        <v>3792</v>
      </c>
      <c r="G329" s="1431" t="s">
        <v>4193</v>
      </c>
      <c r="H329" s="1446"/>
      <c r="I329" s="1446"/>
      <c r="J329" s="1427"/>
      <c r="K329" s="1427"/>
      <c r="L329" s="1427"/>
      <c r="M329" s="1427"/>
      <c r="N329" s="1427"/>
      <c r="O329" s="1427"/>
      <c r="P329" s="1427"/>
      <c r="Q329" s="1427">
        <f>VLOOKUP(D329,'当期公摊测算表（全期）'!D:W,12,FALSE)</f>
        <v>48.483603000000002</v>
      </c>
      <c r="R329" s="1428">
        <f t="shared" si="84"/>
        <v>48.483603000000002</v>
      </c>
      <c r="S329" s="1427">
        <f>VLOOKUP($D329,'当期公摊测算表（全期）'!D:W,17,FALSE)</f>
        <v>0</v>
      </c>
      <c r="T329" s="1427">
        <f t="shared" si="85"/>
        <v>48.483603000000002</v>
      </c>
      <c r="U329" s="1429"/>
      <c r="V329" s="1225">
        <f t="shared" si="67"/>
        <v>0</v>
      </c>
      <c r="W329" s="1225">
        <f t="shared" si="68"/>
        <v>0</v>
      </c>
      <c r="X329" s="1225"/>
      <c r="Y329" s="1225"/>
    </row>
    <row r="330" spans="1:787" s="1247" customFormat="1" ht="13" hidden="1" outlineLevel="2">
      <c r="B330" s="1422" t="s">
        <v>632</v>
      </c>
      <c r="C330" s="1423"/>
      <c r="D330" s="1423" t="s">
        <v>3806</v>
      </c>
      <c r="E330" s="1431" t="s">
        <v>3807</v>
      </c>
      <c r="F330" s="1425" t="s">
        <v>3792</v>
      </c>
      <c r="G330" s="1431" t="s">
        <v>4193</v>
      </c>
      <c r="H330" s="1446"/>
      <c r="I330" s="1446"/>
      <c r="J330" s="1427"/>
      <c r="K330" s="1427"/>
      <c r="L330" s="1427"/>
      <c r="M330" s="1427"/>
      <c r="N330" s="1427"/>
      <c r="O330" s="1427"/>
      <c r="P330" s="1427"/>
      <c r="Q330" s="1427">
        <f>VLOOKUP(D330,'当期公摊测算表（全期）'!D:W,12,FALSE)</f>
        <v>13.852458</v>
      </c>
      <c r="R330" s="1428">
        <f t="shared" si="84"/>
        <v>13.852458</v>
      </c>
      <c r="S330" s="1427">
        <f>VLOOKUP($D330,'当期公摊测算表（全期）'!D:W,17,FALSE)</f>
        <v>0</v>
      </c>
      <c r="T330" s="1427">
        <f t="shared" si="85"/>
        <v>13.852458</v>
      </c>
      <c r="U330" s="1429"/>
      <c r="V330" s="1225">
        <f t="shared" ref="V330:V356" si="86">H330+I330+J330+L330+N330+O330+P330+Q330+S330-T330+K330+M330</f>
        <v>0</v>
      </c>
      <c r="W330" s="1225">
        <f t="shared" ref="W330:W356" si="87">T330-R330</f>
        <v>0</v>
      </c>
      <c r="X330" s="1225"/>
      <c r="Y330" s="1225"/>
    </row>
    <row r="331" spans="1:787" s="1421" customFormat="1" ht="13" hidden="1" outlineLevel="1">
      <c r="A331" s="1247"/>
      <c r="B331" s="1413" t="s">
        <v>510</v>
      </c>
      <c r="C331" s="1414"/>
      <c r="D331" s="1414" t="s">
        <v>124</v>
      </c>
      <c r="E331" s="1417"/>
      <c r="F331" s="1416" t="s">
        <v>3808</v>
      </c>
      <c r="G331" s="1417" t="s">
        <v>4194</v>
      </c>
      <c r="H331" s="1460"/>
      <c r="I331" s="1460"/>
      <c r="J331" s="1457"/>
      <c r="K331" s="1457"/>
      <c r="L331" s="1457"/>
      <c r="M331" s="1457"/>
      <c r="N331" s="1457"/>
      <c r="O331" s="1457"/>
      <c r="P331" s="1457"/>
      <c r="Q331" s="1419">
        <f>VLOOKUP(D331,'当期公摊测算表（全期）'!D:W,12,FALSE)</f>
        <v>579.03274399999998</v>
      </c>
      <c r="R331" s="1419">
        <f t="shared" si="84"/>
        <v>579.03274399999998</v>
      </c>
      <c r="S331" s="1419">
        <f>VLOOKUP($D331,'当期公摊测算表（全期）'!D:W,17,FALSE)</f>
        <v>0</v>
      </c>
      <c r="T331" s="1419">
        <f t="shared" si="85"/>
        <v>579.03274399999998</v>
      </c>
      <c r="U331" s="1443"/>
      <c r="V331" s="1225">
        <f t="shared" si="86"/>
        <v>0</v>
      </c>
      <c r="W331" s="1225">
        <f t="shared" si="87"/>
        <v>0</v>
      </c>
      <c r="X331" s="1225"/>
      <c r="Y331" s="1225"/>
      <c r="Z331" s="1247"/>
      <c r="AA331" s="1247"/>
      <c r="AB331" s="1247"/>
      <c r="AC331" s="1247"/>
      <c r="AD331" s="1247"/>
      <c r="AE331" s="1247"/>
      <c r="AF331" s="1247"/>
      <c r="AG331" s="1247"/>
      <c r="AH331" s="1247"/>
      <c r="AI331" s="1247"/>
      <c r="AJ331" s="1247"/>
      <c r="AK331" s="1247"/>
      <c r="AL331" s="1247"/>
      <c r="AM331" s="1247"/>
      <c r="AN331" s="1247"/>
      <c r="AO331" s="1247"/>
      <c r="AP331" s="1247"/>
      <c r="AQ331" s="1247"/>
      <c r="AR331" s="1247"/>
      <c r="AS331" s="1247"/>
      <c r="AT331" s="1247"/>
      <c r="AU331" s="1247"/>
      <c r="AV331" s="1247"/>
      <c r="AW331" s="1247"/>
      <c r="AX331" s="1247"/>
      <c r="AY331" s="1247"/>
      <c r="AZ331" s="1247"/>
      <c r="BA331" s="1247"/>
      <c r="BB331" s="1247"/>
      <c r="BC331" s="1247"/>
      <c r="BD331" s="1247"/>
      <c r="BE331" s="1247"/>
      <c r="BF331" s="1247"/>
      <c r="BG331" s="1247"/>
      <c r="BH331" s="1247"/>
      <c r="BI331" s="1247"/>
      <c r="BJ331" s="1247"/>
      <c r="BK331" s="1247"/>
      <c r="BL331" s="1247"/>
      <c r="BM331" s="1247"/>
      <c r="BN331" s="1247"/>
      <c r="BO331" s="1247"/>
      <c r="BP331" s="1247"/>
      <c r="BQ331" s="1247"/>
      <c r="BR331" s="1247"/>
      <c r="BS331" s="1247"/>
      <c r="BT331" s="1247"/>
      <c r="BU331" s="1247"/>
      <c r="BV331" s="1247"/>
      <c r="BW331" s="1247"/>
      <c r="BX331" s="1247"/>
      <c r="BY331" s="1247"/>
      <c r="BZ331" s="1247"/>
      <c r="CA331" s="1247"/>
      <c r="CB331" s="1247"/>
      <c r="CC331" s="1247"/>
      <c r="CD331" s="1247"/>
      <c r="CE331" s="1247"/>
      <c r="CF331" s="1247"/>
      <c r="CG331" s="1247"/>
      <c r="CH331" s="1247"/>
      <c r="CI331" s="1247"/>
      <c r="CJ331" s="1247"/>
      <c r="CK331" s="1247"/>
      <c r="CL331" s="1247"/>
      <c r="CM331" s="1247"/>
      <c r="CN331" s="1247"/>
      <c r="CO331" s="1247"/>
      <c r="CP331" s="1247"/>
      <c r="CQ331" s="1247"/>
      <c r="CR331" s="1247"/>
      <c r="CS331" s="1247"/>
      <c r="CT331" s="1247"/>
      <c r="CU331" s="1247"/>
      <c r="CV331" s="1247"/>
      <c r="CW331" s="1247"/>
      <c r="CX331" s="1247"/>
      <c r="CY331" s="1247"/>
      <c r="CZ331" s="1247"/>
      <c r="DA331" s="1247"/>
      <c r="DB331" s="1247"/>
      <c r="DC331" s="1247"/>
      <c r="DD331" s="1247"/>
      <c r="DE331" s="1247"/>
      <c r="DF331" s="1247"/>
      <c r="DG331" s="1247"/>
      <c r="DH331" s="1247"/>
      <c r="DI331" s="1247"/>
      <c r="DJ331" s="1247"/>
      <c r="DK331" s="1247"/>
      <c r="DL331" s="1247"/>
      <c r="DM331" s="1247"/>
      <c r="DN331" s="1247"/>
      <c r="DO331" s="1247"/>
      <c r="DP331" s="1247"/>
      <c r="DQ331" s="1247"/>
      <c r="DR331" s="1247"/>
      <c r="DS331" s="1247"/>
      <c r="DT331" s="1247"/>
      <c r="DU331" s="1247"/>
      <c r="DV331" s="1247"/>
      <c r="DW331" s="1247"/>
      <c r="DX331" s="1247"/>
      <c r="DY331" s="1247"/>
      <c r="DZ331" s="1247"/>
      <c r="EA331" s="1247"/>
      <c r="EB331" s="1247"/>
      <c r="EC331" s="1247"/>
      <c r="ED331" s="1247"/>
      <c r="EE331" s="1247"/>
      <c r="EF331" s="1247"/>
      <c r="EG331" s="1247"/>
      <c r="EH331" s="1247"/>
      <c r="EI331" s="1247"/>
      <c r="EJ331" s="1247"/>
      <c r="EK331" s="1247"/>
      <c r="EL331" s="1247"/>
      <c r="EM331" s="1247"/>
      <c r="EN331" s="1247"/>
      <c r="EO331" s="1247"/>
      <c r="EP331" s="1247"/>
      <c r="EQ331" s="1247"/>
      <c r="ER331" s="1247"/>
      <c r="ES331" s="1247"/>
      <c r="ET331" s="1247"/>
      <c r="EU331" s="1247"/>
      <c r="EV331" s="1247"/>
      <c r="EW331" s="1247"/>
      <c r="EX331" s="1247"/>
      <c r="EY331" s="1247"/>
      <c r="EZ331" s="1247"/>
      <c r="FA331" s="1247"/>
      <c r="FB331" s="1247"/>
      <c r="FC331" s="1247"/>
      <c r="FD331" s="1247"/>
      <c r="FE331" s="1247"/>
      <c r="FF331" s="1247"/>
      <c r="FG331" s="1247"/>
      <c r="FH331" s="1247"/>
      <c r="FI331" s="1247"/>
      <c r="FJ331" s="1247"/>
      <c r="FK331" s="1247"/>
      <c r="FL331" s="1247"/>
      <c r="FM331" s="1247"/>
      <c r="FN331" s="1247"/>
      <c r="FO331" s="1247"/>
      <c r="FP331" s="1247"/>
      <c r="FQ331" s="1247"/>
      <c r="FR331" s="1247"/>
      <c r="FS331" s="1247"/>
      <c r="FT331" s="1247"/>
      <c r="FU331" s="1247"/>
      <c r="FV331" s="1247"/>
      <c r="FW331" s="1247"/>
      <c r="FX331" s="1247"/>
      <c r="FY331" s="1247"/>
      <c r="FZ331" s="1247"/>
      <c r="GA331" s="1247"/>
      <c r="GB331" s="1247"/>
      <c r="GC331" s="1247"/>
      <c r="GD331" s="1247"/>
      <c r="GE331" s="1247"/>
      <c r="GF331" s="1247"/>
      <c r="GG331" s="1247"/>
      <c r="GH331" s="1247"/>
      <c r="GI331" s="1247"/>
      <c r="GJ331" s="1247"/>
      <c r="GK331" s="1247"/>
      <c r="GL331" s="1247"/>
      <c r="GM331" s="1247"/>
      <c r="GN331" s="1247"/>
      <c r="GO331" s="1247"/>
      <c r="GP331" s="1247"/>
      <c r="GQ331" s="1247"/>
      <c r="GR331" s="1247"/>
      <c r="GS331" s="1247"/>
      <c r="GT331" s="1247"/>
      <c r="GU331" s="1247"/>
      <c r="GV331" s="1247"/>
      <c r="GW331" s="1247"/>
      <c r="GX331" s="1247"/>
      <c r="GY331" s="1247"/>
      <c r="GZ331" s="1247"/>
      <c r="HA331" s="1247"/>
      <c r="HB331" s="1247"/>
      <c r="HC331" s="1247"/>
      <c r="HD331" s="1247"/>
      <c r="HE331" s="1247"/>
      <c r="HF331" s="1247"/>
      <c r="HG331" s="1247"/>
      <c r="HH331" s="1247"/>
      <c r="HI331" s="1247"/>
      <c r="HJ331" s="1247"/>
      <c r="HK331" s="1247"/>
      <c r="HL331" s="1247"/>
      <c r="HM331" s="1247"/>
      <c r="HN331" s="1247"/>
      <c r="HO331" s="1247"/>
      <c r="HP331" s="1247"/>
      <c r="HQ331" s="1247"/>
      <c r="HR331" s="1247"/>
      <c r="HS331" s="1247"/>
      <c r="HT331" s="1247"/>
      <c r="HU331" s="1247"/>
      <c r="HV331" s="1247"/>
      <c r="HW331" s="1247"/>
      <c r="HX331" s="1247"/>
      <c r="HY331" s="1247"/>
      <c r="HZ331" s="1247"/>
      <c r="IA331" s="1247"/>
      <c r="IB331" s="1247"/>
      <c r="IC331" s="1247"/>
      <c r="ID331" s="1247"/>
      <c r="IE331" s="1247"/>
      <c r="IF331" s="1247"/>
      <c r="IG331" s="1247"/>
      <c r="IH331" s="1247"/>
      <c r="II331" s="1247"/>
      <c r="IJ331" s="1247"/>
      <c r="IK331" s="1247"/>
      <c r="IL331" s="1247"/>
      <c r="IM331" s="1247"/>
      <c r="IN331" s="1247"/>
      <c r="IO331" s="1247"/>
      <c r="IP331" s="1247"/>
      <c r="IQ331" s="1247"/>
      <c r="IR331" s="1247"/>
      <c r="IS331" s="1247"/>
      <c r="IT331" s="1247"/>
      <c r="IU331" s="1247"/>
      <c r="IV331" s="1247"/>
      <c r="IW331" s="1247"/>
      <c r="IX331" s="1247"/>
      <c r="IY331" s="1247"/>
      <c r="IZ331" s="1247"/>
      <c r="JA331" s="1247"/>
      <c r="JB331" s="1247"/>
      <c r="JC331" s="1247"/>
      <c r="JD331" s="1247"/>
      <c r="JE331" s="1247"/>
      <c r="JF331" s="1247"/>
      <c r="JG331" s="1247"/>
      <c r="JH331" s="1247"/>
      <c r="JI331" s="1247"/>
      <c r="JJ331" s="1247"/>
      <c r="JK331" s="1247"/>
      <c r="JL331" s="1247"/>
      <c r="JM331" s="1247"/>
      <c r="JN331" s="1247"/>
      <c r="JO331" s="1247"/>
      <c r="JP331" s="1247"/>
      <c r="JQ331" s="1247"/>
      <c r="JR331" s="1247"/>
      <c r="JS331" s="1247"/>
      <c r="JT331" s="1247"/>
      <c r="JU331" s="1247"/>
      <c r="JV331" s="1247"/>
      <c r="JW331" s="1247"/>
      <c r="JX331" s="1247"/>
      <c r="JY331" s="1247"/>
      <c r="JZ331" s="1247"/>
      <c r="KA331" s="1247"/>
      <c r="KB331" s="1247"/>
      <c r="KC331" s="1247"/>
      <c r="KD331" s="1247"/>
      <c r="KE331" s="1247"/>
      <c r="KF331" s="1247"/>
      <c r="KG331" s="1247"/>
      <c r="KH331" s="1247"/>
      <c r="KI331" s="1247"/>
      <c r="KJ331" s="1247"/>
      <c r="KK331" s="1247"/>
      <c r="KL331" s="1247"/>
      <c r="KM331" s="1247"/>
      <c r="KN331" s="1247"/>
      <c r="KO331" s="1247"/>
      <c r="KP331" s="1247"/>
      <c r="KQ331" s="1247"/>
      <c r="KR331" s="1247"/>
      <c r="KS331" s="1247"/>
      <c r="KT331" s="1247"/>
      <c r="KU331" s="1247"/>
      <c r="KV331" s="1247"/>
      <c r="KW331" s="1247"/>
      <c r="KX331" s="1247"/>
      <c r="KY331" s="1247"/>
      <c r="KZ331" s="1247"/>
      <c r="LA331" s="1247"/>
      <c r="LB331" s="1247"/>
      <c r="LC331" s="1247"/>
      <c r="LD331" s="1247"/>
      <c r="LE331" s="1247"/>
      <c r="LF331" s="1247"/>
      <c r="LG331" s="1247"/>
      <c r="LH331" s="1247"/>
      <c r="LI331" s="1247"/>
      <c r="LJ331" s="1247"/>
      <c r="LK331" s="1247"/>
      <c r="LL331" s="1247"/>
      <c r="LM331" s="1247"/>
      <c r="LN331" s="1247"/>
      <c r="LO331" s="1247"/>
      <c r="LP331" s="1247"/>
      <c r="LQ331" s="1247"/>
      <c r="LR331" s="1247"/>
      <c r="LS331" s="1247"/>
      <c r="LT331" s="1247"/>
      <c r="LU331" s="1247"/>
      <c r="LV331" s="1247"/>
      <c r="LW331" s="1247"/>
      <c r="LX331" s="1247"/>
      <c r="LY331" s="1247"/>
      <c r="LZ331" s="1247"/>
      <c r="MA331" s="1247"/>
      <c r="MB331" s="1247"/>
      <c r="MC331" s="1247"/>
      <c r="MD331" s="1247"/>
      <c r="ME331" s="1247"/>
      <c r="MF331" s="1247"/>
      <c r="MG331" s="1247"/>
      <c r="MH331" s="1247"/>
      <c r="MI331" s="1247"/>
      <c r="MJ331" s="1247"/>
      <c r="MK331" s="1247"/>
      <c r="ML331" s="1247"/>
      <c r="MM331" s="1247"/>
      <c r="MN331" s="1247"/>
      <c r="MO331" s="1247"/>
      <c r="MP331" s="1247"/>
      <c r="MQ331" s="1247"/>
      <c r="MR331" s="1247"/>
      <c r="MS331" s="1247"/>
      <c r="MT331" s="1247"/>
      <c r="MU331" s="1247"/>
      <c r="MV331" s="1247"/>
      <c r="MW331" s="1247"/>
      <c r="MX331" s="1247"/>
      <c r="MY331" s="1247"/>
      <c r="MZ331" s="1247"/>
      <c r="NA331" s="1247"/>
      <c r="NB331" s="1247"/>
      <c r="NC331" s="1247"/>
      <c r="ND331" s="1247"/>
      <c r="NE331" s="1247"/>
      <c r="NF331" s="1247"/>
      <c r="NG331" s="1247"/>
      <c r="NH331" s="1247"/>
      <c r="NI331" s="1247"/>
      <c r="NJ331" s="1247"/>
      <c r="NK331" s="1247"/>
      <c r="NL331" s="1247"/>
      <c r="NM331" s="1247"/>
      <c r="NN331" s="1247"/>
      <c r="NO331" s="1247"/>
      <c r="NP331" s="1247"/>
      <c r="NQ331" s="1247"/>
      <c r="NR331" s="1247"/>
      <c r="NS331" s="1247"/>
      <c r="NT331" s="1247"/>
      <c r="NU331" s="1247"/>
      <c r="NV331" s="1247"/>
      <c r="NW331" s="1247"/>
      <c r="NX331" s="1247"/>
      <c r="NY331" s="1247"/>
      <c r="NZ331" s="1247"/>
      <c r="OA331" s="1247"/>
      <c r="OB331" s="1247"/>
      <c r="OC331" s="1247"/>
      <c r="OD331" s="1247"/>
      <c r="OE331" s="1247"/>
      <c r="OF331" s="1247"/>
      <c r="OG331" s="1247"/>
      <c r="OH331" s="1247"/>
      <c r="OI331" s="1247"/>
      <c r="OJ331" s="1247"/>
      <c r="OK331" s="1247"/>
      <c r="OL331" s="1247"/>
      <c r="OM331" s="1247"/>
      <c r="ON331" s="1247"/>
      <c r="OO331" s="1247"/>
      <c r="OP331" s="1247"/>
      <c r="OQ331" s="1247"/>
      <c r="OR331" s="1247"/>
      <c r="OS331" s="1247"/>
      <c r="OT331" s="1247"/>
      <c r="OU331" s="1247"/>
      <c r="OV331" s="1247"/>
      <c r="OW331" s="1247"/>
      <c r="OX331" s="1247"/>
      <c r="OY331" s="1247"/>
      <c r="OZ331" s="1247"/>
      <c r="PA331" s="1247"/>
      <c r="PB331" s="1247"/>
      <c r="PC331" s="1247"/>
      <c r="PD331" s="1247"/>
      <c r="PE331" s="1247"/>
      <c r="PF331" s="1247"/>
      <c r="PG331" s="1247"/>
      <c r="PH331" s="1247"/>
      <c r="PI331" s="1247"/>
      <c r="PJ331" s="1247"/>
      <c r="PK331" s="1247"/>
      <c r="PL331" s="1247"/>
      <c r="PM331" s="1247"/>
      <c r="PN331" s="1247"/>
      <c r="PO331" s="1247"/>
      <c r="PP331" s="1247"/>
      <c r="PQ331" s="1247"/>
      <c r="PR331" s="1247"/>
      <c r="PS331" s="1247"/>
      <c r="PT331" s="1247"/>
      <c r="PU331" s="1247"/>
      <c r="PV331" s="1247"/>
      <c r="PW331" s="1247"/>
      <c r="PX331" s="1247"/>
      <c r="PY331" s="1247"/>
      <c r="PZ331" s="1247"/>
      <c r="QA331" s="1247"/>
      <c r="QB331" s="1247"/>
      <c r="QC331" s="1247"/>
      <c r="QD331" s="1247"/>
      <c r="QE331" s="1247"/>
      <c r="QF331" s="1247"/>
      <c r="QG331" s="1247"/>
      <c r="QH331" s="1247"/>
      <c r="QI331" s="1247"/>
      <c r="QJ331" s="1247"/>
      <c r="QK331" s="1247"/>
      <c r="QL331" s="1247"/>
      <c r="QM331" s="1247"/>
      <c r="QN331" s="1247"/>
      <c r="QO331" s="1247"/>
      <c r="QP331" s="1247"/>
      <c r="QQ331" s="1247"/>
      <c r="QR331" s="1247"/>
      <c r="QS331" s="1247"/>
      <c r="QT331" s="1247"/>
      <c r="QU331" s="1247"/>
      <c r="QV331" s="1247"/>
      <c r="QW331" s="1247"/>
      <c r="QX331" s="1247"/>
      <c r="QY331" s="1247"/>
      <c r="QZ331" s="1247"/>
      <c r="RA331" s="1247"/>
      <c r="RB331" s="1247"/>
      <c r="RC331" s="1247"/>
      <c r="RD331" s="1247"/>
      <c r="RE331" s="1247"/>
      <c r="RF331" s="1247"/>
      <c r="RG331" s="1247"/>
      <c r="RH331" s="1247"/>
      <c r="RI331" s="1247"/>
      <c r="RJ331" s="1247"/>
      <c r="RK331" s="1247"/>
      <c r="RL331" s="1247"/>
      <c r="RM331" s="1247"/>
      <c r="RN331" s="1247"/>
      <c r="RO331" s="1247"/>
      <c r="RP331" s="1247"/>
      <c r="RQ331" s="1247"/>
      <c r="RR331" s="1247"/>
      <c r="RS331" s="1247"/>
      <c r="RT331" s="1247"/>
      <c r="RU331" s="1247"/>
      <c r="RV331" s="1247"/>
      <c r="RW331" s="1247"/>
      <c r="RX331" s="1247"/>
      <c r="RY331" s="1247"/>
      <c r="RZ331" s="1247"/>
      <c r="SA331" s="1247"/>
      <c r="SB331" s="1247"/>
      <c r="SC331" s="1247"/>
      <c r="SD331" s="1247"/>
      <c r="SE331" s="1247"/>
      <c r="SF331" s="1247"/>
      <c r="SG331" s="1247"/>
      <c r="SH331" s="1247"/>
      <c r="SI331" s="1247"/>
      <c r="SJ331" s="1247"/>
      <c r="SK331" s="1247"/>
      <c r="SL331" s="1247"/>
      <c r="SM331" s="1247"/>
      <c r="SN331" s="1247"/>
      <c r="SO331" s="1247"/>
      <c r="SP331" s="1247"/>
      <c r="SQ331" s="1247"/>
      <c r="SR331" s="1247"/>
      <c r="SS331" s="1247"/>
      <c r="ST331" s="1247"/>
      <c r="SU331" s="1247"/>
      <c r="SV331" s="1247"/>
      <c r="SW331" s="1247"/>
      <c r="SX331" s="1247"/>
      <c r="SY331" s="1247"/>
      <c r="SZ331" s="1247"/>
      <c r="TA331" s="1247"/>
      <c r="TB331" s="1247"/>
      <c r="TC331" s="1247"/>
      <c r="TD331" s="1247"/>
      <c r="TE331" s="1247"/>
      <c r="TF331" s="1247"/>
      <c r="TG331" s="1247"/>
      <c r="TH331" s="1247"/>
      <c r="TI331" s="1247"/>
      <c r="TJ331" s="1247"/>
      <c r="TK331" s="1247"/>
      <c r="TL331" s="1247"/>
      <c r="TM331" s="1247"/>
      <c r="TN331" s="1247"/>
      <c r="TO331" s="1247"/>
      <c r="TP331" s="1247"/>
      <c r="TQ331" s="1247"/>
      <c r="TR331" s="1247"/>
      <c r="TS331" s="1247"/>
      <c r="TT331" s="1247"/>
      <c r="TU331" s="1247"/>
      <c r="TV331" s="1247"/>
      <c r="TW331" s="1247"/>
      <c r="TX331" s="1247"/>
      <c r="TY331" s="1247"/>
      <c r="TZ331" s="1247"/>
      <c r="UA331" s="1247"/>
      <c r="UB331" s="1247"/>
      <c r="UC331" s="1247"/>
      <c r="UD331" s="1247"/>
      <c r="UE331" s="1247"/>
      <c r="UF331" s="1247"/>
      <c r="UG331" s="1247"/>
      <c r="UH331" s="1247"/>
      <c r="UI331" s="1247"/>
      <c r="UJ331" s="1247"/>
      <c r="UK331" s="1247"/>
      <c r="UL331" s="1247"/>
      <c r="UM331" s="1247"/>
      <c r="UN331" s="1247"/>
      <c r="UO331" s="1247"/>
      <c r="UP331" s="1247"/>
      <c r="UQ331" s="1247"/>
      <c r="UR331" s="1247"/>
      <c r="US331" s="1247"/>
      <c r="UT331" s="1247"/>
      <c r="UU331" s="1247"/>
      <c r="UV331" s="1247"/>
      <c r="UW331" s="1247"/>
      <c r="UX331" s="1247"/>
      <c r="UY331" s="1247"/>
      <c r="UZ331" s="1247"/>
      <c r="VA331" s="1247"/>
      <c r="VB331" s="1247"/>
      <c r="VC331" s="1247"/>
      <c r="VD331" s="1247"/>
      <c r="VE331" s="1247"/>
      <c r="VF331" s="1247"/>
      <c r="VG331" s="1247"/>
      <c r="VH331" s="1247"/>
      <c r="VI331" s="1247"/>
      <c r="VJ331" s="1247"/>
      <c r="VK331" s="1247"/>
      <c r="VL331" s="1247"/>
      <c r="VM331" s="1247"/>
      <c r="VN331" s="1247"/>
      <c r="VO331" s="1247"/>
      <c r="VP331" s="1247"/>
      <c r="VQ331" s="1247"/>
      <c r="VR331" s="1247"/>
      <c r="VS331" s="1247"/>
      <c r="VT331" s="1247"/>
      <c r="VU331" s="1247"/>
      <c r="VV331" s="1247"/>
      <c r="VW331" s="1247"/>
      <c r="VX331" s="1247"/>
      <c r="VY331" s="1247"/>
      <c r="VZ331" s="1247"/>
      <c r="WA331" s="1247"/>
      <c r="WB331" s="1247"/>
      <c r="WC331" s="1247"/>
      <c r="WD331" s="1247"/>
      <c r="WE331" s="1247"/>
      <c r="WF331" s="1247"/>
      <c r="WG331" s="1247"/>
      <c r="WH331" s="1247"/>
      <c r="WI331" s="1247"/>
      <c r="WJ331" s="1247"/>
      <c r="WK331" s="1247"/>
      <c r="WL331" s="1247"/>
      <c r="WM331" s="1247"/>
      <c r="WN331" s="1247"/>
      <c r="WO331" s="1247"/>
      <c r="WP331" s="1247"/>
      <c r="WQ331" s="1247"/>
      <c r="WR331" s="1247"/>
      <c r="WS331" s="1247"/>
      <c r="WT331" s="1247"/>
      <c r="WU331" s="1247"/>
      <c r="WV331" s="1247"/>
      <c r="WW331" s="1247"/>
      <c r="WX331" s="1247"/>
      <c r="WY331" s="1247"/>
      <c r="WZ331" s="1247"/>
      <c r="XA331" s="1247"/>
      <c r="XB331" s="1247"/>
      <c r="XC331" s="1247"/>
      <c r="XD331" s="1247"/>
      <c r="XE331" s="1247"/>
      <c r="XF331" s="1247"/>
      <c r="XG331" s="1247"/>
      <c r="XH331" s="1247"/>
      <c r="XI331" s="1247"/>
      <c r="XJ331" s="1247"/>
      <c r="XK331" s="1247"/>
      <c r="XL331" s="1247"/>
      <c r="XM331" s="1247"/>
      <c r="XN331" s="1247"/>
      <c r="XO331" s="1247"/>
      <c r="XP331" s="1247"/>
      <c r="XQ331" s="1247"/>
      <c r="XR331" s="1247"/>
      <c r="XS331" s="1247"/>
      <c r="XT331" s="1247"/>
      <c r="XU331" s="1247"/>
      <c r="XV331" s="1247"/>
      <c r="XW331" s="1247"/>
      <c r="XX331" s="1247"/>
      <c r="XY331" s="1247"/>
      <c r="XZ331" s="1247"/>
      <c r="YA331" s="1247"/>
      <c r="YB331" s="1247"/>
      <c r="YC331" s="1247"/>
      <c r="YD331" s="1247"/>
      <c r="YE331" s="1247"/>
      <c r="YF331" s="1247"/>
      <c r="YG331" s="1247"/>
      <c r="YH331" s="1247"/>
      <c r="YI331" s="1247"/>
      <c r="YJ331" s="1247"/>
      <c r="YK331" s="1247"/>
      <c r="YL331" s="1247"/>
      <c r="YM331" s="1247"/>
      <c r="YN331" s="1247"/>
      <c r="YO331" s="1247"/>
      <c r="YP331" s="1247"/>
      <c r="YQ331" s="1247"/>
      <c r="YR331" s="1247"/>
      <c r="YS331" s="1247"/>
      <c r="YT331" s="1247"/>
      <c r="YU331" s="1247"/>
      <c r="YV331" s="1247"/>
      <c r="YW331" s="1247"/>
      <c r="YX331" s="1247"/>
      <c r="YY331" s="1247"/>
      <c r="YZ331" s="1247"/>
      <c r="ZA331" s="1247"/>
      <c r="ZB331" s="1247"/>
      <c r="ZC331" s="1247"/>
      <c r="ZD331" s="1247"/>
      <c r="ZE331" s="1247"/>
      <c r="ZF331" s="1247"/>
      <c r="ZG331" s="1247"/>
      <c r="ZH331" s="1247"/>
      <c r="ZI331" s="1247"/>
      <c r="ZJ331" s="1247"/>
      <c r="ZK331" s="1247"/>
      <c r="ZL331" s="1247"/>
      <c r="ZM331" s="1247"/>
      <c r="ZN331" s="1247"/>
      <c r="ZO331" s="1247"/>
      <c r="ZP331" s="1247"/>
      <c r="ZQ331" s="1247"/>
      <c r="ZR331" s="1247"/>
      <c r="ZS331" s="1247"/>
      <c r="ZT331" s="1247"/>
      <c r="ZU331" s="1247"/>
      <c r="ZV331" s="1247"/>
      <c r="ZW331" s="1247"/>
      <c r="ZX331" s="1247"/>
      <c r="ZY331" s="1247"/>
      <c r="ZZ331" s="1247"/>
      <c r="AAA331" s="1247"/>
      <c r="AAB331" s="1247"/>
      <c r="AAC331" s="1247"/>
      <c r="AAD331" s="1247"/>
      <c r="AAE331" s="1247"/>
      <c r="AAF331" s="1247"/>
      <c r="AAG331" s="1247"/>
      <c r="AAH331" s="1247"/>
      <c r="AAI331" s="1247"/>
      <c r="AAJ331" s="1247"/>
      <c r="AAK331" s="1247"/>
      <c r="AAL331" s="1247"/>
      <c r="AAM331" s="1247"/>
      <c r="AAN331" s="1247"/>
      <c r="AAO331" s="1247"/>
      <c r="AAP331" s="1247"/>
      <c r="AAQ331" s="1247"/>
      <c r="AAR331" s="1247"/>
      <c r="AAS331" s="1247"/>
      <c r="AAT331" s="1247"/>
      <c r="AAU331" s="1247"/>
      <c r="AAV331" s="1247"/>
      <c r="AAW331" s="1247"/>
      <c r="AAX331" s="1247"/>
      <c r="AAY331" s="1247"/>
      <c r="AAZ331" s="1247"/>
      <c r="ABA331" s="1247"/>
      <c r="ABB331" s="1247"/>
      <c r="ABC331" s="1247"/>
      <c r="ABD331" s="1247"/>
      <c r="ABE331" s="1247"/>
      <c r="ABF331" s="1247"/>
      <c r="ABG331" s="1247"/>
      <c r="ABH331" s="1247"/>
      <c r="ABI331" s="1247"/>
      <c r="ABJ331" s="1247"/>
      <c r="ABK331" s="1247"/>
      <c r="ABL331" s="1247"/>
      <c r="ABM331" s="1247"/>
      <c r="ABN331" s="1247"/>
      <c r="ABO331" s="1247"/>
      <c r="ABP331" s="1247"/>
      <c r="ABQ331" s="1247"/>
      <c r="ABR331" s="1247"/>
      <c r="ABS331" s="1247"/>
      <c r="ABT331" s="1247"/>
      <c r="ABU331" s="1247"/>
      <c r="ABV331" s="1247"/>
      <c r="ABW331" s="1247"/>
      <c r="ABX331" s="1247"/>
      <c r="ABY331" s="1247"/>
      <c r="ABZ331" s="1247"/>
      <c r="ACA331" s="1247"/>
      <c r="ACB331" s="1247"/>
      <c r="ACC331" s="1247"/>
      <c r="ACD331" s="1247"/>
      <c r="ACE331" s="1247"/>
      <c r="ACF331" s="1247"/>
      <c r="ACG331" s="1247"/>
      <c r="ACH331" s="1247"/>
      <c r="ACI331" s="1247"/>
      <c r="ACJ331" s="1247"/>
      <c r="ACK331" s="1247"/>
      <c r="ACL331" s="1247"/>
      <c r="ACM331" s="1247"/>
      <c r="ACN331" s="1247"/>
      <c r="ACO331" s="1247"/>
      <c r="ACP331" s="1247"/>
      <c r="ACQ331" s="1247"/>
      <c r="ACR331" s="1247"/>
      <c r="ACS331" s="1247"/>
      <c r="ACT331" s="1247"/>
      <c r="ACU331" s="1247"/>
      <c r="ACV331" s="1247"/>
      <c r="ACW331" s="1247"/>
      <c r="ACX331" s="1247"/>
      <c r="ACY331" s="1247"/>
      <c r="ACZ331" s="1247"/>
      <c r="ADA331" s="1247"/>
      <c r="ADB331" s="1247"/>
      <c r="ADC331" s="1247"/>
      <c r="ADD331" s="1247"/>
      <c r="ADE331" s="1247"/>
      <c r="ADF331" s="1247"/>
      <c r="ADG331" s="1247"/>
    </row>
    <row r="332" spans="1:787" s="1421" customFormat="1" ht="13" hidden="1" outlineLevel="1">
      <c r="A332" s="1247"/>
      <c r="B332" s="1413" t="s">
        <v>511</v>
      </c>
      <c r="C332" s="1414"/>
      <c r="D332" s="1414" t="s">
        <v>66</v>
      </c>
      <c r="E332" s="1417"/>
      <c r="F332" s="1449"/>
      <c r="G332" s="1448" t="s">
        <v>4117</v>
      </c>
      <c r="H332" s="1418"/>
      <c r="I332" s="1418"/>
      <c r="J332" s="1457"/>
      <c r="K332" s="1457"/>
      <c r="L332" s="1457"/>
      <c r="M332" s="1457"/>
      <c r="N332" s="1457"/>
      <c r="O332" s="1457"/>
      <c r="P332" s="1457"/>
      <c r="Q332" s="1419">
        <f>SUBTOTAL(9,Q333:Q337)</f>
        <v>1756.907248</v>
      </c>
      <c r="R332" s="1419">
        <f>SUBTOTAL(9,R333:R337)</f>
        <v>1756.907248</v>
      </c>
      <c r="S332" s="1419">
        <f>SUBTOTAL(9,S333:S337)</f>
        <v>122.59507632256773</v>
      </c>
      <c r="T332" s="1419">
        <f>SUBTOTAL(9,T333:T337)</f>
        <v>1879.5023243225678</v>
      </c>
      <c r="U332" s="1443"/>
      <c r="V332" s="1225">
        <f t="shared" si="86"/>
        <v>0</v>
      </c>
      <c r="W332" s="1225">
        <f t="shared" si="87"/>
        <v>122.59507632256782</v>
      </c>
      <c r="X332" s="1225"/>
      <c r="Y332" s="1225"/>
      <c r="Z332" s="1247"/>
      <c r="AA332" s="1247"/>
      <c r="AB332" s="1247"/>
      <c r="AC332" s="1247"/>
      <c r="AD332" s="1247"/>
      <c r="AE332" s="1247"/>
      <c r="AF332" s="1247"/>
      <c r="AG332" s="1247"/>
      <c r="AH332" s="1247"/>
      <c r="AI332" s="1247"/>
      <c r="AJ332" s="1247"/>
      <c r="AK332" s="1247"/>
      <c r="AL332" s="1247"/>
      <c r="AM332" s="1247"/>
      <c r="AN332" s="1247"/>
      <c r="AO332" s="1247"/>
      <c r="AP332" s="1247"/>
      <c r="AQ332" s="1247"/>
      <c r="AR332" s="1247"/>
      <c r="AS332" s="1247"/>
      <c r="AT332" s="1247"/>
      <c r="AU332" s="1247"/>
      <c r="AV332" s="1247"/>
      <c r="AW332" s="1247"/>
      <c r="AX332" s="1247"/>
      <c r="AY332" s="1247"/>
      <c r="AZ332" s="1247"/>
      <c r="BA332" s="1247"/>
      <c r="BB332" s="1247"/>
      <c r="BC332" s="1247"/>
      <c r="BD332" s="1247"/>
      <c r="BE332" s="1247"/>
      <c r="BF332" s="1247"/>
      <c r="BG332" s="1247"/>
      <c r="BH332" s="1247"/>
      <c r="BI332" s="1247"/>
      <c r="BJ332" s="1247"/>
      <c r="BK332" s="1247"/>
      <c r="BL332" s="1247"/>
      <c r="BM332" s="1247"/>
      <c r="BN332" s="1247"/>
      <c r="BO332" s="1247"/>
      <c r="BP332" s="1247"/>
      <c r="BQ332" s="1247"/>
      <c r="BR332" s="1247"/>
      <c r="BS332" s="1247"/>
      <c r="BT332" s="1247"/>
      <c r="BU332" s="1247"/>
      <c r="BV332" s="1247"/>
      <c r="BW332" s="1247"/>
      <c r="BX332" s="1247"/>
      <c r="BY332" s="1247"/>
      <c r="BZ332" s="1247"/>
      <c r="CA332" s="1247"/>
      <c r="CB332" s="1247"/>
      <c r="CC332" s="1247"/>
      <c r="CD332" s="1247"/>
      <c r="CE332" s="1247"/>
      <c r="CF332" s="1247"/>
      <c r="CG332" s="1247"/>
      <c r="CH332" s="1247"/>
      <c r="CI332" s="1247"/>
      <c r="CJ332" s="1247"/>
      <c r="CK332" s="1247"/>
      <c r="CL332" s="1247"/>
      <c r="CM332" s="1247"/>
      <c r="CN332" s="1247"/>
      <c r="CO332" s="1247"/>
      <c r="CP332" s="1247"/>
      <c r="CQ332" s="1247"/>
      <c r="CR332" s="1247"/>
      <c r="CS332" s="1247"/>
      <c r="CT332" s="1247"/>
      <c r="CU332" s="1247"/>
      <c r="CV332" s="1247"/>
      <c r="CW332" s="1247"/>
      <c r="CX332" s="1247"/>
      <c r="CY332" s="1247"/>
      <c r="CZ332" s="1247"/>
      <c r="DA332" s="1247"/>
      <c r="DB332" s="1247"/>
      <c r="DC332" s="1247"/>
      <c r="DD332" s="1247"/>
      <c r="DE332" s="1247"/>
      <c r="DF332" s="1247"/>
      <c r="DG332" s="1247"/>
      <c r="DH332" s="1247"/>
      <c r="DI332" s="1247"/>
      <c r="DJ332" s="1247"/>
      <c r="DK332" s="1247"/>
      <c r="DL332" s="1247"/>
      <c r="DM332" s="1247"/>
      <c r="DN332" s="1247"/>
      <c r="DO332" s="1247"/>
      <c r="DP332" s="1247"/>
      <c r="DQ332" s="1247"/>
      <c r="DR332" s="1247"/>
      <c r="DS332" s="1247"/>
      <c r="DT332" s="1247"/>
      <c r="DU332" s="1247"/>
      <c r="DV332" s="1247"/>
      <c r="DW332" s="1247"/>
      <c r="DX332" s="1247"/>
      <c r="DY332" s="1247"/>
      <c r="DZ332" s="1247"/>
      <c r="EA332" s="1247"/>
      <c r="EB332" s="1247"/>
      <c r="EC332" s="1247"/>
      <c r="ED332" s="1247"/>
      <c r="EE332" s="1247"/>
      <c r="EF332" s="1247"/>
      <c r="EG332" s="1247"/>
      <c r="EH332" s="1247"/>
      <c r="EI332" s="1247"/>
      <c r="EJ332" s="1247"/>
      <c r="EK332" s="1247"/>
      <c r="EL332" s="1247"/>
      <c r="EM332" s="1247"/>
      <c r="EN332" s="1247"/>
      <c r="EO332" s="1247"/>
      <c r="EP332" s="1247"/>
      <c r="EQ332" s="1247"/>
      <c r="ER332" s="1247"/>
      <c r="ES332" s="1247"/>
      <c r="ET332" s="1247"/>
      <c r="EU332" s="1247"/>
      <c r="EV332" s="1247"/>
      <c r="EW332" s="1247"/>
      <c r="EX332" s="1247"/>
      <c r="EY332" s="1247"/>
      <c r="EZ332" s="1247"/>
      <c r="FA332" s="1247"/>
      <c r="FB332" s="1247"/>
      <c r="FC332" s="1247"/>
      <c r="FD332" s="1247"/>
      <c r="FE332" s="1247"/>
      <c r="FF332" s="1247"/>
      <c r="FG332" s="1247"/>
      <c r="FH332" s="1247"/>
      <c r="FI332" s="1247"/>
      <c r="FJ332" s="1247"/>
      <c r="FK332" s="1247"/>
      <c r="FL332" s="1247"/>
      <c r="FM332" s="1247"/>
      <c r="FN332" s="1247"/>
      <c r="FO332" s="1247"/>
      <c r="FP332" s="1247"/>
      <c r="FQ332" s="1247"/>
      <c r="FR332" s="1247"/>
      <c r="FS332" s="1247"/>
      <c r="FT332" s="1247"/>
      <c r="FU332" s="1247"/>
      <c r="FV332" s="1247"/>
      <c r="FW332" s="1247"/>
      <c r="FX332" s="1247"/>
      <c r="FY332" s="1247"/>
      <c r="FZ332" s="1247"/>
      <c r="GA332" s="1247"/>
      <c r="GB332" s="1247"/>
      <c r="GC332" s="1247"/>
      <c r="GD332" s="1247"/>
      <c r="GE332" s="1247"/>
      <c r="GF332" s="1247"/>
      <c r="GG332" s="1247"/>
      <c r="GH332" s="1247"/>
      <c r="GI332" s="1247"/>
      <c r="GJ332" s="1247"/>
      <c r="GK332" s="1247"/>
      <c r="GL332" s="1247"/>
      <c r="GM332" s="1247"/>
      <c r="GN332" s="1247"/>
      <c r="GO332" s="1247"/>
      <c r="GP332" s="1247"/>
      <c r="GQ332" s="1247"/>
      <c r="GR332" s="1247"/>
      <c r="GS332" s="1247"/>
      <c r="GT332" s="1247"/>
      <c r="GU332" s="1247"/>
      <c r="GV332" s="1247"/>
      <c r="GW332" s="1247"/>
      <c r="GX332" s="1247"/>
      <c r="GY332" s="1247"/>
      <c r="GZ332" s="1247"/>
      <c r="HA332" s="1247"/>
      <c r="HB332" s="1247"/>
      <c r="HC332" s="1247"/>
      <c r="HD332" s="1247"/>
      <c r="HE332" s="1247"/>
      <c r="HF332" s="1247"/>
      <c r="HG332" s="1247"/>
      <c r="HH332" s="1247"/>
      <c r="HI332" s="1247"/>
      <c r="HJ332" s="1247"/>
      <c r="HK332" s="1247"/>
      <c r="HL332" s="1247"/>
      <c r="HM332" s="1247"/>
      <c r="HN332" s="1247"/>
      <c r="HO332" s="1247"/>
      <c r="HP332" s="1247"/>
      <c r="HQ332" s="1247"/>
      <c r="HR332" s="1247"/>
      <c r="HS332" s="1247"/>
      <c r="HT332" s="1247"/>
      <c r="HU332" s="1247"/>
      <c r="HV332" s="1247"/>
      <c r="HW332" s="1247"/>
      <c r="HX332" s="1247"/>
      <c r="HY332" s="1247"/>
      <c r="HZ332" s="1247"/>
      <c r="IA332" s="1247"/>
      <c r="IB332" s="1247"/>
      <c r="IC332" s="1247"/>
      <c r="ID332" s="1247"/>
      <c r="IE332" s="1247"/>
      <c r="IF332" s="1247"/>
      <c r="IG332" s="1247"/>
      <c r="IH332" s="1247"/>
      <c r="II332" s="1247"/>
      <c r="IJ332" s="1247"/>
      <c r="IK332" s="1247"/>
      <c r="IL332" s="1247"/>
      <c r="IM332" s="1247"/>
      <c r="IN332" s="1247"/>
      <c r="IO332" s="1247"/>
      <c r="IP332" s="1247"/>
      <c r="IQ332" s="1247"/>
      <c r="IR332" s="1247"/>
      <c r="IS332" s="1247"/>
      <c r="IT332" s="1247"/>
      <c r="IU332" s="1247"/>
      <c r="IV332" s="1247"/>
      <c r="IW332" s="1247"/>
      <c r="IX332" s="1247"/>
      <c r="IY332" s="1247"/>
      <c r="IZ332" s="1247"/>
      <c r="JA332" s="1247"/>
      <c r="JB332" s="1247"/>
      <c r="JC332" s="1247"/>
      <c r="JD332" s="1247"/>
      <c r="JE332" s="1247"/>
      <c r="JF332" s="1247"/>
      <c r="JG332" s="1247"/>
      <c r="JH332" s="1247"/>
      <c r="JI332" s="1247"/>
      <c r="JJ332" s="1247"/>
      <c r="JK332" s="1247"/>
      <c r="JL332" s="1247"/>
      <c r="JM332" s="1247"/>
      <c r="JN332" s="1247"/>
      <c r="JO332" s="1247"/>
      <c r="JP332" s="1247"/>
      <c r="JQ332" s="1247"/>
      <c r="JR332" s="1247"/>
      <c r="JS332" s="1247"/>
      <c r="JT332" s="1247"/>
      <c r="JU332" s="1247"/>
      <c r="JV332" s="1247"/>
      <c r="JW332" s="1247"/>
      <c r="JX332" s="1247"/>
      <c r="JY332" s="1247"/>
      <c r="JZ332" s="1247"/>
      <c r="KA332" s="1247"/>
      <c r="KB332" s="1247"/>
      <c r="KC332" s="1247"/>
      <c r="KD332" s="1247"/>
      <c r="KE332" s="1247"/>
      <c r="KF332" s="1247"/>
      <c r="KG332" s="1247"/>
      <c r="KH332" s="1247"/>
      <c r="KI332" s="1247"/>
      <c r="KJ332" s="1247"/>
      <c r="KK332" s="1247"/>
      <c r="KL332" s="1247"/>
      <c r="KM332" s="1247"/>
      <c r="KN332" s="1247"/>
      <c r="KO332" s="1247"/>
      <c r="KP332" s="1247"/>
      <c r="KQ332" s="1247"/>
      <c r="KR332" s="1247"/>
      <c r="KS332" s="1247"/>
      <c r="KT332" s="1247"/>
      <c r="KU332" s="1247"/>
      <c r="KV332" s="1247"/>
      <c r="KW332" s="1247"/>
      <c r="KX332" s="1247"/>
      <c r="KY332" s="1247"/>
      <c r="KZ332" s="1247"/>
      <c r="LA332" s="1247"/>
      <c r="LB332" s="1247"/>
      <c r="LC332" s="1247"/>
      <c r="LD332" s="1247"/>
      <c r="LE332" s="1247"/>
      <c r="LF332" s="1247"/>
      <c r="LG332" s="1247"/>
      <c r="LH332" s="1247"/>
      <c r="LI332" s="1247"/>
      <c r="LJ332" s="1247"/>
      <c r="LK332" s="1247"/>
      <c r="LL332" s="1247"/>
      <c r="LM332" s="1247"/>
      <c r="LN332" s="1247"/>
      <c r="LO332" s="1247"/>
      <c r="LP332" s="1247"/>
      <c r="LQ332" s="1247"/>
      <c r="LR332" s="1247"/>
      <c r="LS332" s="1247"/>
      <c r="LT332" s="1247"/>
      <c r="LU332" s="1247"/>
      <c r="LV332" s="1247"/>
      <c r="LW332" s="1247"/>
      <c r="LX332" s="1247"/>
      <c r="LY332" s="1247"/>
      <c r="LZ332" s="1247"/>
      <c r="MA332" s="1247"/>
      <c r="MB332" s="1247"/>
      <c r="MC332" s="1247"/>
      <c r="MD332" s="1247"/>
      <c r="ME332" s="1247"/>
      <c r="MF332" s="1247"/>
      <c r="MG332" s="1247"/>
      <c r="MH332" s="1247"/>
      <c r="MI332" s="1247"/>
      <c r="MJ332" s="1247"/>
      <c r="MK332" s="1247"/>
      <c r="ML332" s="1247"/>
      <c r="MM332" s="1247"/>
      <c r="MN332" s="1247"/>
      <c r="MO332" s="1247"/>
      <c r="MP332" s="1247"/>
      <c r="MQ332" s="1247"/>
      <c r="MR332" s="1247"/>
      <c r="MS332" s="1247"/>
      <c r="MT332" s="1247"/>
      <c r="MU332" s="1247"/>
      <c r="MV332" s="1247"/>
      <c r="MW332" s="1247"/>
      <c r="MX332" s="1247"/>
      <c r="MY332" s="1247"/>
      <c r="MZ332" s="1247"/>
      <c r="NA332" s="1247"/>
      <c r="NB332" s="1247"/>
      <c r="NC332" s="1247"/>
      <c r="ND332" s="1247"/>
      <c r="NE332" s="1247"/>
      <c r="NF332" s="1247"/>
      <c r="NG332" s="1247"/>
      <c r="NH332" s="1247"/>
      <c r="NI332" s="1247"/>
      <c r="NJ332" s="1247"/>
      <c r="NK332" s="1247"/>
      <c r="NL332" s="1247"/>
      <c r="NM332" s="1247"/>
      <c r="NN332" s="1247"/>
      <c r="NO332" s="1247"/>
      <c r="NP332" s="1247"/>
      <c r="NQ332" s="1247"/>
      <c r="NR332" s="1247"/>
      <c r="NS332" s="1247"/>
      <c r="NT332" s="1247"/>
      <c r="NU332" s="1247"/>
      <c r="NV332" s="1247"/>
      <c r="NW332" s="1247"/>
      <c r="NX332" s="1247"/>
      <c r="NY332" s="1247"/>
      <c r="NZ332" s="1247"/>
      <c r="OA332" s="1247"/>
      <c r="OB332" s="1247"/>
      <c r="OC332" s="1247"/>
      <c r="OD332" s="1247"/>
      <c r="OE332" s="1247"/>
      <c r="OF332" s="1247"/>
      <c r="OG332" s="1247"/>
      <c r="OH332" s="1247"/>
      <c r="OI332" s="1247"/>
      <c r="OJ332" s="1247"/>
      <c r="OK332" s="1247"/>
      <c r="OL332" s="1247"/>
      <c r="OM332" s="1247"/>
      <c r="ON332" s="1247"/>
      <c r="OO332" s="1247"/>
      <c r="OP332" s="1247"/>
      <c r="OQ332" s="1247"/>
      <c r="OR332" s="1247"/>
      <c r="OS332" s="1247"/>
      <c r="OT332" s="1247"/>
      <c r="OU332" s="1247"/>
      <c r="OV332" s="1247"/>
      <c r="OW332" s="1247"/>
      <c r="OX332" s="1247"/>
      <c r="OY332" s="1247"/>
      <c r="OZ332" s="1247"/>
      <c r="PA332" s="1247"/>
      <c r="PB332" s="1247"/>
      <c r="PC332" s="1247"/>
      <c r="PD332" s="1247"/>
      <c r="PE332" s="1247"/>
      <c r="PF332" s="1247"/>
      <c r="PG332" s="1247"/>
      <c r="PH332" s="1247"/>
      <c r="PI332" s="1247"/>
      <c r="PJ332" s="1247"/>
      <c r="PK332" s="1247"/>
      <c r="PL332" s="1247"/>
      <c r="PM332" s="1247"/>
      <c r="PN332" s="1247"/>
      <c r="PO332" s="1247"/>
      <c r="PP332" s="1247"/>
      <c r="PQ332" s="1247"/>
      <c r="PR332" s="1247"/>
      <c r="PS332" s="1247"/>
      <c r="PT332" s="1247"/>
      <c r="PU332" s="1247"/>
      <c r="PV332" s="1247"/>
      <c r="PW332" s="1247"/>
      <c r="PX332" s="1247"/>
      <c r="PY332" s="1247"/>
      <c r="PZ332" s="1247"/>
      <c r="QA332" s="1247"/>
      <c r="QB332" s="1247"/>
      <c r="QC332" s="1247"/>
      <c r="QD332" s="1247"/>
      <c r="QE332" s="1247"/>
      <c r="QF332" s="1247"/>
      <c r="QG332" s="1247"/>
      <c r="QH332" s="1247"/>
      <c r="QI332" s="1247"/>
      <c r="QJ332" s="1247"/>
      <c r="QK332" s="1247"/>
      <c r="QL332" s="1247"/>
      <c r="QM332" s="1247"/>
      <c r="QN332" s="1247"/>
      <c r="QO332" s="1247"/>
      <c r="QP332" s="1247"/>
      <c r="QQ332" s="1247"/>
      <c r="QR332" s="1247"/>
      <c r="QS332" s="1247"/>
      <c r="QT332" s="1247"/>
      <c r="QU332" s="1247"/>
      <c r="QV332" s="1247"/>
      <c r="QW332" s="1247"/>
      <c r="QX332" s="1247"/>
      <c r="QY332" s="1247"/>
      <c r="QZ332" s="1247"/>
      <c r="RA332" s="1247"/>
      <c r="RB332" s="1247"/>
      <c r="RC332" s="1247"/>
      <c r="RD332" s="1247"/>
      <c r="RE332" s="1247"/>
      <c r="RF332" s="1247"/>
      <c r="RG332" s="1247"/>
      <c r="RH332" s="1247"/>
      <c r="RI332" s="1247"/>
      <c r="RJ332" s="1247"/>
      <c r="RK332" s="1247"/>
      <c r="RL332" s="1247"/>
      <c r="RM332" s="1247"/>
      <c r="RN332" s="1247"/>
      <c r="RO332" s="1247"/>
      <c r="RP332" s="1247"/>
      <c r="RQ332" s="1247"/>
      <c r="RR332" s="1247"/>
      <c r="RS332" s="1247"/>
      <c r="RT332" s="1247"/>
      <c r="RU332" s="1247"/>
      <c r="RV332" s="1247"/>
      <c r="RW332" s="1247"/>
      <c r="RX332" s="1247"/>
      <c r="RY332" s="1247"/>
      <c r="RZ332" s="1247"/>
      <c r="SA332" s="1247"/>
      <c r="SB332" s="1247"/>
      <c r="SC332" s="1247"/>
      <c r="SD332" s="1247"/>
      <c r="SE332" s="1247"/>
      <c r="SF332" s="1247"/>
      <c r="SG332" s="1247"/>
      <c r="SH332" s="1247"/>
      <c r="SI332" s="1247"/>
      <c r="SJ332" s="1247"/>
      <c r="SK332" s="1247"/>
      <c r="SL332" s="1247"/>
      <c r="SM332" s="1247"/>
      <c r="SN332" s="1247"/>
      <c r="SO332" s="1247"/>
      <c r="SP332" s="1247"/>
      <c r="SQ332" s="1247"/>
      <c r="SR332" s="1247"/>
      <c r="SS332" s="1247"/>
      <c r="ST332" s="1247"/>
      <c r="SU332" s="1247"/>
      <c r="SV332" s="1247"/>
      <c r="SW332" s="1247"/>
      <c r="SX332" s="1247"/>
      <c r="SY332" s="1247"/>
      <c r="SZ332" s="1247"/>
      <c r="TA332" s="1247"/>
      <c r="TB332" s="1247"/>
      <c r="TC332" s="1247"/>
      <c r="TD332" s="1247"/>
      <c r="TE332" s="1247"/>
      <c r="TF332" s="1247"/>
      <c r="TG332" s="1247"/>
      <c r="TH332" s="1247"/>
      <c r="TI332" s="1247"/>
      <c r="TJ332" s="1247"/>
      <c r="TK332" s="1247"/>
      <c r="TL332" s="1247"/>
      <c r="TM332" s="1247"/>
      <c r="TN332" s="1247"/>
      <c r="TO332" s="1247"/>
      <c r="TP332" s="1247"/>
      <c r="TQ332" s="1247"/>
      <c r="TR332" s="1247"/>
      <c r="TS332" s="1247"/>
      <c r="TT332" s="1247"/>
      <c r="TU332" s="1247"/>
      <c r="TV332" s="1247"/>
      <c r="TW332" s="1247"/>
      <c r="TX332" s="1247"/>
      <c r="TY332" s="1247"/>
      <c r="TZ332" s="1247"/>
      <c r="UA332" s="1247"/>
      <c r="UB332" s="1247"/>
      <c r="UC332" s="1247"/>
      <c r="UD332" s="1247"/>
      <c r="UE332" s="1247"/>
      <c r="UF332" s="1247"/>
      <c r="UG332" s="1247"/>
      <c r="UH332" s="1247"/>
      <c r="UI332" s="1247"/>
      <c r="UJ332" s="1247"/>
      <c r="UK332" s="1247"/>
      <c r="UL332" s="1247"/>
      <c r="UM332" s="1247"/>
      <c r="UN332" s="1247"/>
      <c r="UO332" s="1247"/>
      <c r="UP332" s="1247"/>
      <c r="UQ332" s="1247"/>
      <c r="UR332" s="1247"/>
      <c r="US332" s="1247"/>
      <c r="UT332" s="1247"/>
      <c r="UU332" s="1247"/>
      <c r="UV332" s="1247"/>
      <c r="UW332" s="1247"/>
      <c r="UX332" s="1247"/>
      <c r="UY332" s="1247"/>
      <c r="UZ332" s="1247"/>
      <c r="VA332" s="1247"/>
      <c r="VB332" s="1247"/>
      <c r="VC332" s="1247"/>
      <c r="VD332" s="1247"/>
      <c r="VE332" s="1247"/>
      <c r="VF332" s="1247"/>
      <c r="VG332" s="1247"/>
      <c r="VH332" s="1247"/>
      <c r="VI332" s="1247"/>
      <c r="VJ332" s="1247"/>
      <c r="VK332" s="1247"/>
      <c r="VL332" s="1247"/>
      <c r="VM332" s="1247"/>
      <c r="VN332" s="1247"/>
      <c r="VO332" s="1247"/>
      <c r="VP332" s="1247"/>
      <c r="VQ332" s="1247"/>
      <c r="VR332" s="1247"/>
      <c r="VS332" s="1247"/>
      <c r="VT332" s="1247"/>
      <c r="VU332" s="1247"/>
      <c r="VV332" s="1247"/>
      <c r="VW332" s="1247"/>
      <c r="VX332" s="1247"/>
      <c r="VY332" s="1247"/>
      <c r="VZ332" s="1247"/>
      <c r="WA332" s="1247"/>
      <c r="WB332" s="1247"/>
      <c r="WC332" s="1247"/>
      <c r="WD332" s="1247"/>
      <c r="WE332" s="1247"/>
      <c r="WF332" s="1247"/>
      <c r="WG332" s="1247"/>
      <c r="WH332" s="1247"/>
      <c r="WI332" s="1247"/>
      <c r="WJ332" s="1247"/>
      <c r="WK332" s="1247"/>
      <c r="WL332" s="1247"/>
      <c r="WM332" s="1247"/>
      <c r="WN332" s="1247"/>
      <c r="WO332" s="1247"/>
      <c r="WP332" s="1247"/>
      <c r="WQ332" s="1247"/>
      <c r="WR332" s="1247"/>
      <c r="WS332" s="1247"/>
      <c r="WT332" s="1247"/>
      <c r="WU332" s="1247"/>
      <c r="WV332" s="1247"/>
      <c r="WW332" s="1247"/>
      <c r="WX332" s="1247"/>
      <c r="WY332" s="1247"/>
      <c r="WZ332" s="1247"/>
      <c r="XA332" s="1247"/>
      <c r="XB332" s="1247"/>
      <c r="XC332" s="1247"/>
      <c r="XD332" s="1247"/>
      <c r="XE332" s="1247"/>
      <c r="XF332" s="1247"/>
      <c r="XG332" s="1247"/>
      <c r="XH332" s="1247"/>
      <c r="XI332" s="1247"/>
      <c r="XJ332" s="1247"/>
      <c r="XK332" s="1247"/>
      <c r="XL332" s="1247"/>
      <c r="XM332" s="1247"/>
      <c r="XN332" s="1247"/>
      <c r="XO332" s="1247"/>
      <c r="XP332" s="1247"/>
      <c r="XQ332" s="1247"/>
      <c r="XR332" s="1247"/>
      <c r="XS332" s="1247"/>
      <c r="XT332" s="1247"/>
      <c r="XU332" s="1247"/>
      <c r="XV332" s="1247"/>
      <c r="XW332" s="1247"/>
      <c r="XX332" s="1247"/>
      <c r="XY332" s="1247"/>
      <c r="XZ332" s="1247"/>
      <c r="YA332" s="1247"/>
      <c r="YB332" s="1247"/>
      <c r="YC332" s="1247"/>
      <c r="YD332" s="1247"/>
      <c r="YE332" s="1247"/>
      <c r="YF332" s="1247"/>
      <c r="YG332" s="1247"/>
      <c r="YH332" s="1247"/>
      <c r="YI332" s="1247"/>
      <c r="YJ332" s="1247"/>
      <c r="YK332" s="1247"/>
      <c r="YL332" s="1247"/>
      <c r="YM332" s="1247"/>
      <c r="YN332" s="1247"/>
      <c r="YO332" s="1247"/>
      <c r="YP332" s="1247"/>
      <c r="YQ332" s="1247"/>
      <c r="YR332" s="1247"/>
      <c r="YS332" s="1247"/>
      <c r="YT332" s="1247"/>
      <c r="YU332" s="1247"/>
      <c r="YV332" s="1247"/>
      <c r="YW332" s="1247"/>
      <c r="YX332" s="1247"/>
      <c r="YY332" s="1247"/>
      <c r="YZ332" s="1247"/>
      <c r="ZA332" s="1247"/>
      <c r="ZB332" s="1247"/>
      <c r="ZC332" s="1247"/>
      <c r="ZD332" s="1247"/>
      <c r="ZE332" s="1247"/>
      <c r="ZF332" s="1247"/>
      <c r="ZG332" s="1247"/>
      <c r="ZH332" s="1247"/>
      <c r="ZI332" s="1247"/>
      <c r="ZJ332" s="1247"/>
      <c r="ZK332" s="1247"/>
      <c r="ZL332" s="1247"/>
      <c r="ZM332" s="1247"/>
      <c r="ZN332" s="1247"/>
      <c r="ZO332" s="1247"/>
      <c r="ZP332" s="1247"/>
      <c r="ZQ332" s="1247"/>
      <c r="ZR332" s="1247"/>
      <c r="ZS332" s="1247"/>
      <c r="ZT332" s="1247"/>
      <c r="ZU332" s="1247"/>
      <c r="ZV332" s="1247"/>
      <c r="ZW332" s="1247"/>
      <c r="ZX332" s="1247"/>
      <c r="ZY332" s="1247"/>
      <c r="ZZ332" s="1247"/>
      <c r="AAA332" s="1247"/>
      <c r="AAB332" s="1247"/>
      <c r="AAC332" s="1247"/>
      <c r="AAD332" s="1247"/>
      <c r="AAE332" s="1247"/>
      <c r="AAF332" s="1247"/>
      <c r="AAG332" s="1247"/>
      <c r="AAH332" s="1247"/>
      <c r="AAI332" s="1247"/>
      <c r="AAJ332" s="1247"/>
      <c r="AAK332" s="1247"/>
      <c r="AAL332" s="1247"/>
      <c r="AAM332" s="1247"/>
      <c r="AAN332" s="1247"/>
      <c r="AAO332" s="1247"/>
      <c r="AAP332" s="1247"/>
      <c r="AAQ332" s="1247"/>
      <c r="AAR332" s="1247"/>
      <c r="AAS332" s="1247"/>
      <c r="AAT332" s="1247"/>
      <c r="AAU332" s="1247"/>
      <c r="AAV332" s="1247"/>
      <c r="AAW332" s="1247"/>
      <c r="AAX332" s="1247"/>
      <c r="AAY332" s="1247"/>
      <c r="AAZ332" s="1247"/>
      <c r="ABA332" s="1247"/>
      <c r="ABB332" s="1247"/>
      <c r="ABC332" s="1247"/>
      <c r="ABD332" s="1247"/>
      <c r="ABE332" s="1247"/>
      <c r="ABF332" s="1247"/>
      <c r="ABG332" s="1247"/>
      <c r="ABH332" s="1247"/>
      <c r="ABI332" s="1247"/>
      <c r="ABJ332" s="1247"/>
      <c r="ABK332" s="1247"/>
      <c r="ABL332" s="1247"/>
      <c r="ABM332" s="1247"/>
      <c r="ABN332" s="1247"/>
      <c r="ABO332" s="1247"/>
      <c r="ABP332" s="1247"/>
      <c r="ABQ332" s="1247"/>
      <c r="ABR332" s="1247"/>
      <c r="ABS332" s="1247"/>
      <c r="ABT332" s="1247"/>
      <c r="ABU332" s="1247"/>
      <c r="ABV332" s="1247"/>
      <c r="ABW332" s="1247"/>
      <c r="ABX332" s="1247"/>
      <c r="ABY332" s="1247"/>
      <c r="ABZ332" s="1247"/>
      <c r="ACA332" s="1247"/>
      <c r="ACB332" s="1247"/>
      <c r="ACC332" s="1247"/>
      <c r="ACD332" s="1247"/>
      <c r="ACE332" s="1247"/>
      <c r="ACF332" s="1247"/>
      <c r="ACG332" s="1247"/>
      <c r="ACH332" s="1247"/>
      <c r="ACI332" s="1247"/>
      <c r="ACJ332" s="1247"/>
      <c r="ACK332" s="1247"/>
      <c r="ACL332" s="1247"/>
      <c r="ACM332" s="1247"/>
      <c r="ACN332" s="1247"/>
      <c r="ACO332" s="1247"/>
      <c r="ACP332" s="1247"/>
      <c r="ACQ332" s="1247"/>
      <c r="ACR332" s="1247"/>
      <c r="ACS332" s="1247"/>
      <c r="ACT332" s="1247"/>
      <c r="ACU332" s="1247"/>
      <c r="ACV332" s="1247"/>
      <c r="ACW332" s="1247"/>
      <c r="ACX332" s="1247"/>
      <c r="ACY332" s="1247"/>
      <c r="ACZ332" s="1247"/>
      <c r="ADA332" s="1247"/>
      <c r="ADB332" s="1247"/>
      <c r="ADC332" s="1247"/>
      <c r="ADD332" s="1247"/>
      <c r="ADE332" s="1247"/>
      <c r="ADF332" s="1247"/>
      <c r="ADG332" s="1247"/>
    </row>
    <row r="333" spans="1:787" s="1247" customFormat="1" ht="13" hidden="1" outlineLevel="2">
      <c r="B333" s="1422" t="s">
        <v>569</v>
      </c>
      <c r="C333" s="1423"/>
      <c r="D333" s="1423" t="s">
        <v>1394</v>
      </c>
      <c r="E333" s="1431"/>
      <c r="F333" s="1425" t="s">
        <v>3809</v>
      </c>
      <c r="G333" s="1431" t="s">
        <v>4195</v>
      </c>
      <c r="H333" s="1446"/>
      <c r="I333" s="1446"/>
      <c r="J333" s="1427"/>
      <c r="K333" s="1427"/>
      <c r="L333" s="1427"/>
      <c r="M333" s="1427"/>
      <c r="N333" s="1427"/>
      <c r="O333" s="1427"/>
      <c r="P333" s="1427"/>
      <c r="Q333" s="1427">
        <f>VLOOKUP(D333,'当期公摊测算表（全期）'!D:W,12,FALSE)</f>
        <v>207.78686999999999</v>
      </c>
      <c r="R333" s="1428">
        <f>SUM(H333:Q333)</f>
        <v>207.78686999999999</v>
      </c>
      <c r="S333" s="1427">
        <f>VLOOKUP($D333,'当期公摊测算表（全期）'!D:W,17,FALSE)</f>
        <v>0</v>
      </c>
      <c r="T333" s="1427">
        <f>R333+S333</f>
        <v>207.78686999999999</v>
      </c>
      <c r="U333" s="1429"/>
      <c r="V333" s="1225">
        <f t="shared" si="86"/>
        <v>0</v>
      </c>
      <c r="W333" s="1225">
        <f t="shared" si="87"/>
        <v>0</v>
      </c>
      <c r="X333" s="1225"/>
      <c r="Y333" s="1225"/>
    </row>
    <row r="334" spans="1:787" s="1247" customFormat="1" ht="13" hidden="1" outlineLevel="2">
      <c r="B334" s="1422" t="s">
        <v>1396</v>
      </c>
      <c r="C334" s="1423"/>
      <c r="D334" s="1423" t="s">
        <v>3810</v>
      </c>
      <c r="E334" s="1431"/>
      <c r="F334" s="1425" t="s">
        <v>3809</v>
      </c>
      <c r="G334" s="1431" t="s">
        <v>4195</v>
      </c>
      <c r="H334" s="1446"/>
      <c r="I334" s="1446"/>
      <c r="J334" s="1427"/>
      <c r="K334" s="1427"/>
      <c r="L334" s="1427"/>
      <c r="M334" s="1427"/>
      <c r="N334" s="1427"/>
      <c r="O334" s="1427"/>
      <c r="P334" s="1427"/>
      <c r="Q334" s="1427">
        <f>VLOOKUP(D334,'当期公摊测算表（全期）'!D:W,12,FALSE)</f>
        <v>27.704916000000001</v>
      </c>
      <c r="R334" s="1428">
        <f>SUM(H334:Q334)</f>
        <v>27.704916000000001</v>
      </c>
      <c r="S334" s="1427">
        <f>VLOOKUP($D334,'当期公摊测算表（全期）'!D:W,17,FALSE)</f>
        <v>0</v>
      </c>
      <c r="T334" s="1427">
        <f>R334+S334</f>
        <v>27.704916000000001</v>
      </c>
      <c r="U334" s="1429"/>
      <c r="V334" s="1225">
        <f t="shared" si="86"/>
        <v>0</v>
      </c>
      <c r="W334" s="1225">
        <f t="shared" si="87"/>
        <v>0</v>
      </c>
      <c r="X334" s="1225"/>
      <c r="Y334" s="1225"/>
    </row>
    <row r="335" spans="1:787" s="1247" customFormat="1" ht="13" hidden="1" outlineLevel="2">
      <c r="B335" s="1422" t="s">
        <v>571</v>
      </c>
      <c r="C335" s="1423"/>
      <c r="D335" s="1423" t="s">
        <v>1403</v>
      </c>
      <c r="E335" s="1431"/>
      <c r="F335" s="1425" t="s">
        <v>3809</v>
      </c>
      <c r="G335" s="1431" t="s">
        <v>4195</v>
      </c>
      <c r="H335" s="1446"/>
      <c r="I335" s="1446"/>
      <c r="J335" s="1427"/>
      <c r="K335" s="1427"/>
      <c r="L335" s="1427"/>
      <c r="M335" s="1427"/>
      <c r="N335" s="1427"/>
      <c r="O335" s="1427"/>
      <c r="P335" s="1427"/>
      <c r="Q335" s="1427">
        <f>VLOOKUP(D335,'当期公摊测算表（全期）'!D:W,12,FALSE)</f>
        <v>13.852458</v>
      </c>
      <c r="R335" s="1428">
        <f>SUM(H335:Q335)</f>
        <v>13.852458</v>
      </c>
      <c r="S335" s="1427">
        <f>VLOOKUP($D335,'当期公摊测算表（全期）'!D:W,17,FALSE)</f>
        <v>0</v>
      </c>
      <c r="T335" s="1427">
        <f>R335+S335</f>
        <v>13.852458</v>
      </c>
      <c r="U335" s="1429"/>
      <c r="V335" s="1225">
        <f t="shared" si="86"/>
        <v>0</v>
      </c>
      <c r="W335" s="1225">
        <f t="shared" si="87"/>
        <v>0</v>
      </c>
      <c r="X335" s="1225"/>
      <c r="Y335" s="1225"/>
    </row>
    <row r="336" spans="1:787" s="1247" customFormat="1" ht="13" hidden="1" outlineLevel="2">
      <c r="B336" s="1422" t="s">
        <v>573</v>
      </c>
      <c r="C336" s="1423"/>
      <c r="D336" s="1423" t="s">
        <v>3811</v>
      </c>
      <c r="E336" s="1431"/>
      <c r="F336" s="1425" t="s">
        <v>3812</v>
      </c>
      <c r="G336" s="1431" t="s">
        <v>4196</v>
      </c>
      <c r="H336" s="1446"/>
      <c r="I336" s="1446"/>
      <c r="J336" s="1427"/>
      <c r="K336" s="1427"/>
      <c r="L336" s="1427"/>
      <c r="M336" s="1427"/>
      <c r="N336" s="1427"/>
      <c r="O336" s="1427"/>
      <c r="P336" s="1427"/>
      <c r="Q336" s="1427">
        <f>VLOOKUP(D336,'当期公摊测算表（全期）'!D:W,12,FALSE)</f>
        <v>180.081954</v>
      </c>
      <c r="R336" s="1428">
        <f>SUM(H336:Q336)</f>
        <v>180.081954</v>
      </c>
      <c r="S336" s="1427">
        <f>VLOOKUP($D336,'当期公摊测算表（全期）'!D:W,17,FALSE)</f>
        <v>122.59507632256773</v>
      </c>
      <c r="T336" s="1427">
        <f>R336+S336</f>
        <v>302.6770303225677</v>
      </c>
      <c r="U336" s="1429"/>
      <c r="V336" s="1225">
        <f t="shared" si="86"/>
        <v>0</v>
      </c>
      <c r="W336" s="1225">
        <f t="shared" si="87"/>
        <v>122.59507632256771</v>
      </c>
      <c r="X336" s="1225"/>
      <c r="Y336" s="1225"/>
    </row>
    <row r="337" spans="1:787" s="1247" customFormat="1" ht="13" hidden="1" outlineLevel="2">
      <c r="B337" s="1422" t="s">
        <v>575</v>
      </c>
      <c r="C337" s="1423"/>
      <c r="D337" s="1423" t="s">
        <v>3813</v>
      </c>
      <c r="E337" s="1431"/>
      <c r="F337" s="1425" t="s">
        <v>1424</v>
      </c>
      <c r="G337" s="1431" t="s">
        <v>4123</v>
      </c>
      <c r="H337" s="1328"/>
      <c r="I337" s="1328"/>
      <c r="J337" s="1427"/>
      <c r="K337" s="1427"/>
      <c r="L337" s="1427"/>
      <c r="M337" s="1427"/>
      <c r="N337" s="1427"/>
      <c r="O337" s="1427"/>
      <c r="P337" s="1427"/>
      <c r="Q337" s="1427">
        <f>VLOOKUP(D337,'当期公摊测算表（全期）'!D:W,12,FALSE)</f>
        <v>1327.4810500000001</v>
      </c>
      <c r="R337" s="1428">
        <f>SUM(H337:Q337)</f>
        <v>1327.4810500000001</v>
      </c>
      <c r="S337" s="1427">
        <f>VLOOKUP($D337,'当期公摊测算表（全期）'!D:W,17,FALSE)</f>
        <v>0</v>
      </c>
      <c r="T337" s="1427">
        <f>R337+S337</f>
        <v>1327.4810500000001</v>
      </c>
      <c r="U337" s="1429"/>
      <c r="V337" s="1225">
        <f t="shared" si="86"/>
        <v>0</v>
      </c>
      <c r="W337" s="1225">
        <f t="shared" si="87"/>
        <v>0</v>
      </c>
      <c r="X337" s="1225"/>
      <c r="Y337" s="1225"/>
    </row>
    <row r="338" spans="1:787" s="1421" customFormat="1" ht="13" hidden="1" outlineLevel="1">
      <c r="A338" s="1247"/>
      <c r="B338" s="1413" t="s">
        <v>512</v>
      </c>
      <c r="C338" s="1414"/>
      <c r="D338" s="1414" t="s">
        <v>513</v>
      </c>
      <c r="E338" s="1417"/>
      <c r="F338" s="1449"/>
      <c r="G338" s="1448" t="s">
        <v>4117</v>
      </c>
      <c r="H338" s="1418"/>
      <c r="I338" s="1418"/>
      <c r="J338" s="1457"/>
      <c r="K338" s="1457"/>
      <c r="L338" s="1457"/>
      <c r="M338" s="1457"/>
      <c r="N338" s="1457"/>
      <c r="O338" s="1457"/>
      <c r="P338" s="1457"/>
      <c r="Q338" s="1419">
        <f>SUBTOTAL(9,Q339:Q342)</f>
        <v>222.381148</v>
      </c>
      <c r="R338" s="1419">
        <f>SUBTOTAL(9,R339:R342)</f>
        <v>222.381148</v>
      </c>
      <c r="S338" s="1419">
        <f>SUBTOTAL(9,S339:S342)</f>
        <v>514.46750482421896</v>
      </c>
      <c r="T338" s="1419">
        <f>SUBTOTAL(9,T339:T342)</f>
        <v>736.8486528242189</v>
      </c>
      <c r="U338" s="1443"/>
      <c r="V338" s="1225">
        <f t="shared" si="86"/>
        <v>1.1368683772161603E-13</v>
      </c>
      <c r="W338" s="1225">
        <f t="shared" si="87"/>
        <v>514.46750482421885</v>
      </c>
      <c r="X338" s="1225"/>
      <c r="Y338" s="1225"/>
      <c r="Z338" s="1247"/>
      <c r="AA338" s="1247"/>
      <c r="AB338" s="1247"/>
      <c r="AC338" s="1247"/>
      <c r="AD338" s="1247"/>
      <c r="AE338" s="1247"/>
      <c r="AF338" s="1247"/>
      <c r="AG338" s="1247"/>
      <c r="AH338" s="1247"/>
      <c r="AI338" s="1247"/>
      <c r="AJ338" s="1247"/>
      <c r="AK338" s="1247"/>
      <c r="AL338" s="1247"/>
      <c r="AM338" s="1247"/>
      <c r="AN338" s="1247"/>
      <c r="AO338" s="1247"/>
      <c r="AP338" s="1247"/>
      <c r="AQ338" s="1247"/>
      <c r="AR338" s="1247"/>
      <c r="AS338" s="1247"/>
      <c r="AT338" s="1247"/>
      <c r="AU338" s="1247"/>
      <c r="AV338" s="1247"/>
      <c r="AW338" s="1247"/>
      <c r="AX338" s="1247"/>
      <c r="AY338" s="1247"/>
      <c r="AZ338" s="1247"/>
      <c r="BA338" s="1247"/>
      <c r="BB338" s="1247"/>
      <c r="BC338" s="1247"/>
      <c r="BD338" s="1247"/>
      <c r="BE338" s="1247"/>
      <c r="BF338" s="1247"/>
      <c r="BG338" s="1247"/>
      <c r="BH338" s="1247"/>
      <c r="BI338" s="1247"/>
      <c r="BJ338" s="1247"/>
      <c r="BK338" s="1247"/>
      <c r="BL338" s="1247"/>
      <c r="BM338" s="1247"/>
      <c r="BN338" s="1247"/>
      <c r="BO338" s="1247"/>
      <c r="BP338" s="1247"/>
      <c r="BQ338" s="1247"/>
      <c r="BR338" s="1247"/>
      <c r="BS338" s="1247"/>
      <c r="BT338" s="1247"/>
      <c r="BU338" s="1247"/>
      <c r="BV338" s="1247"/>
      <c r="BW338" s="1247"/>
      <c r="BX338" s="1247"/>
      <c r="BY338" s="1247"/>
      <c r="BZ338" s="1247"/>
      <c r="CA338" s="1247"/>
      <c r="CB338" s="1247"/>
      <c r="CC338" s="1247"/>
      <c r="CD338" s="1247"/>
      <c r="CE338" s="1247"/>
      <c r="CF338" s="1247"/>
      <c r="CG338" s="1247"/>
      <c r="CH338" s="1247"/>
      <c r="CI338" s="1247"/>
      <c r="CJ338" s="1247"/>
      <c r="CK338" s="1247"/>
      <c r="CL338" s="1247"/>
      <c r="CM338" s="1247"/>
      <c r="CN338" s="1247"/>
      <c r="CO338" s="1247"/>
      <c r="CP338" s="1247"/>
      <c r="CQ338" s="1247"/>
      <c r="CR338" s="1247"/>
      <c r="CS338" s="1247"/>
      <c r="CT338" s="1247"/>
      <c r="CU338" s="1247"/>
      <c r="CV338" s="1247"/>
      <c r="CW338" s="1247"/>
      <c r="CX338" s="1247"/>
      <c r="CY338" s="1247"/>
      <c r="CZ338" s="1247"/>
      <c r="DA338" s="1247"/>
      <c r="DB338" s="1247"/>
      <c r="DC338" s="1247"/>
      <c r="DD338" s="1247"/>
      <c r="DE338" s="1247"/>
      <c r="DF338" s="1247"/>
      <c r="DG338" s="1247"/>
      <c r="DH338" s="1247"/>
      <c r="DI338" s="1247"/>
      <c r="DJ338" s="1247"/>
      <c r="DK338" s="1247"/>
      <c r="DL338" s="1247"/>
      <c r="DM338" s="1247"/>
      <c r="DN338" s="1247"/>
      <c r="DO338" s="1247"/>
      <c r="DP338" s="1247"/>
      <c r="DQ338" s="1247"/>
      <c r="DR338" s="1247"/>
      <c r="DS338" s="1247"/>
      <c r="DT338" s="1247"/>
      <c r="DU338" s="1247"/>
      <c r="DV338" s="1247"/>
      <c r="DW338" s="1247"/>
      <c r="DX338" s="1247"/>
      <c r="DY338" s="1247"/>
      <c r="DZ338" s="1247"/>
      <c r="EA338" s="1247"/>
      <c r="EB338" s="1247"/>
      <c r="EC338" s="1247"/>
      <c r="ED338" s="1247"/>
      <c r="EE338" s="1247"/>
      <c r="EF338" s="1247"/>
      <c r="EG338" s="1247"/>
      <c r="EH338" s="1247"/>
      <c r="EI338" s="1247"/>
      <c r="EJ338" s="1247"/>
      <c r="EK338" s="1247"/>
      <c r="EL338" s="1247"/>
      <c r="EM338" s="1247"/>
      <c r="EN338" s="1247"/>
      <c r="EO338" s="1247"/>
      <c r="EP338" s="1247"/>
      <c r="EQ338" s="1247"/>
      <c r="ER338" s="1247"/>
      <c r="ES338" s="1247"/>
      <c r="ET338" s="1247"/>
      <c r="EU338" s="1247"/>
      <c r="EV338" s="1247"/>
      <c r="EW338" s="1247"/>
      <c r="EX338" s="1247"/>
      <c r="EY338" s="1247"/>
      <c r="EZ338" s="1247"/>
      <c r="FA338" s="1247"/>
      <c r="FB338" s="1247"/>
      <c r="FC338" s="1247"/>
      <c r="FD338" s="1247"/>
      <c r="FE338" s="1247"/>
      <c r="FF338" s="1247"/>
      <c r="FG338" s="1247"/>
      <c r="FH338" s="1247"/>
      <c r="FI338" s="1247"/>
      <c r="FJ338" s="1247"/>
      <c r="FK338" s="1247"/>
      <c r="FL338" s="1247"/>
      <c r="FM338" s="1247"/>
      <c r="FN338" s="1247"/>
      <c r="FO338" s="1247"/>
      <c r="FP338" s="1247"/>
      <c r="FQ338" s="1247"/>
      <c r="FR338" s="1247"/>
      <c r="FS338" s="1247"/>
      <c r="FT338" s="1247"/>
      <c r="FU338" s="1247"/>
      <c r="FV338" s="1247"/>
      <c r="FW338" s="1247"/>
      <c r="FX338" s="1247"/>
      <c r="FY338" s="1247"/>
      <c r="FZ338" s="1247"/>
      <c r="GA338" s="1247"/>
      <c r="GB338" s="1247"/>
      <c r="GC338" s="1247"/>
      <c r="GD338" s="1247"/>
      <c r="GE338" s="1247"/>
      <c r="GF338" s="1247"/>
      <c r="GG338" s="1247"/>
      <c r="GH338" s="1247"/>
      <c r="GI338" s="1247"/>
      <c r="GJ338" s="1247"/>
      <c r="GK338" s="1247"/>
      <c r="GL338" s="1247"/>
      <c r="GM338" s="1247"/>
      <c r="GN338" s="1247"/>
      <c r="GO338" s="1247"/>
      <c r="GP338" s="1247"/>
      <c r="GQ338" s="1247"/>
      <c r="GR338" s="1247"/>
      <c r="GS338" s="1247"/>
      <c r="GT338" s="1247"/>
      <c r="GU338" s="1247"/>
      <c r="GV338" s="1247"/>
      <c r="GW338" s="1247"/>
      <c r="GX338" s="1247"/>
      <c r="GY338" s="1247"/>
      <c r="GZ338" s="1247"/>
      <c r="HA338" s="1247"/>
      <c r="HB338" s="1247"/>
      <c r="HC338" s="1247"/>
      <c r="HD338" s="1247"/>
      <c r="HE338" s="1247"/>
      <c r="HF338" s="1247"/>
      <c r="HG338" s="1247"/>
      <c r="HH338" s="1247"/>
      <c r="HI338" s="1247"/>
      <c r="HJ338" s="1247"/>
      <c r="HK338" s="1247"/>
      <c r="HL338" s="1247"/>
      <c r="HM338" s="1247"/>
      <c r="HN338" s="1247"/>
      <c r="HO338" s="1247"/>
      <c r="HP338" s="1247"/>
      <c r="HQ338" s="1247"/>
      <c r="HR338" s="1247"/>
      <c r="HS338" s="1247"/>
      <c r="HT338" s="1247"/>
      <c r="HU338" s="1247"/>
      <c r="HV338" s="1247"/>
      <c r="HW338" s="1247"/>
      <c r="HX338" s="1247"/>
      <c r="HY338" s="1247"/>
      <c r="HZ338" s="1247"/>
      <c r="IA338" s="1247"/>
      <c r="IB338" s="1247"/>
      <c r="IC338" s="1247"/>
      <c r="ID338" s="1247"/>
      <c r="IE338" s="1247"/>
      <c r="IF338" s="1247"/>
      <c r="IG338" s="1247"/>
      <c r="IH338" s="1247"/>
      <c r="II338" s="1247"/>
      <c r="IJ338" s="1247"/>
      <c r="IK338" s="1247"/>
      <c r="IL338" s="1247"/>
      <c r="IM338" s="1247"/>
      <c r="IN338" s="1247"/>
      <c r="IO338" s="1247"/>
      <c r="IP338" s="1247"/>
      <c r="IQ338" s="1247"/>
      <c r="IR338" s="1247"/>
      <c r="IS338" s="1247"/>
      <c r="IT338" s="1247"/>
      <c r="IU338" s="1247"/>
      <c r="IV338" s="1247"/>
      <c r="IW338" s="1247"/>
      <c r="IX338" s="1247"/>
      <c r="IY338" s="1247"/>
      <c r="IZ338" s="1247"/>
      <c r="JA338" s="1247"/>
      <c r="JB338" s="1247"/>
      <c r="JC338" s="1247"/>
      <c r="JD338" s="1247"/>
      <c r="JE338" s="1247"/>
      <c r="JF338" s="1247"/>
      <c r="JG338" s="1247"/>
      <c r="JH338" s="1247"/>
      <c r="JI338" s="1247"/>
      <c r="JJ338" s="1247"/>
      <c r="JK338" s="1247"/>
      <c r="JL338" s="1247"/>
      <c r="JM338" s="1247"/>
      <c r="JN338" s="1247"/>
      <c r="JO338" s="1247"/>
      <c r="JP338" s="1247"/>
      <c r="JQ338" s="1247"/>
      <c r="JR338" s="1247"/>
      <c r="JS338" s="1247"/>
      <c r="JT338" s="1247"/>
      <c r="JU338" s="1247"/>
      <c r="JV338" s="1247"/>
      <c r="JW338" s="1247"/>
      <c r="JX338" s="1247"/>
      <c r="JY338" s="1247"/>
      <c r="JZ338" s="1247"/>
      <c r="KA338" s="1247"/>
      <c r="KB338" s="1247"/>
      <c r="KC338" s="1247"/>
      <c r="KD338" s="1247"/>
      <c r="KE338" s="1247"/>
      <c r="KF338" s="1247"/>
      <c r="KG338" s="1247"/>
      <c r="KH338" s="1247"/>
      <c r="KI338" s="1247"/>
      <c r="KJ338" s="1247"/>
      <c r="KK338" s="1247"/>
      <c r="KL338" s="1247"/>
      <c r="KM338" s="1247"/>
      <c r="KN338" s="1247"/>
      <c r="KO338" s="1247"/>
      <c r="KP338" s="1247"/>
      <c r="KQ338" s="1247"/>
      <c r="KR338" s="1247"/>
      <c r="KS338" s="1247"/>
      <c r="KT338" s="1247"/>
      <c r="KU338" s="1247"/>
      <c r="KV338" s="1247"/>
      <c r="KW338" s="1247"/>
      <c r="KX338" s="1247"/>
      <c r="KY338" s="1247"/>
      <c r="KZ338" s="1247"/>
      <c r="LA338" s="1247"/>
      <c r="LB338" s="1247"/>
      <c r="LC338" s="1247"/>
      <c r="LD338" s="1247"/>
      <c r="LE338" s="1247"/>
      <c r="LF338" s="1247"/>
      <c r="LG338" s="1247"/>
      <c r="LH338" s="1247"/>
      <c r="LI338" s="1247"/>
      <c r="LJ338" s="1247"/>
      <c r="LK338" s="1247"/>
      <c r="LL338" s="1247"/>
      <c r="LM338" s="1247"/>
      <c r="LN338" s="1247"/>
      <c r="LO338" s="1247"/>
      <c r="LP338" s="1247"/>
      <c r="LQ338" s="1247"/>
      <c r="LR338" s="1247"/>
      <c r="LS338" s="1247"/>
      <c r="LT338" s="1247"/>
      <c r="LU338" s="1247"/>
      <c r="LV338" s="1247"/>
      <c r="LW338" s="1247"/>
      <c r="LX338" s="1247"/>
      <c r="LY338" s="1247"/>
      <c r="LZ338" s="1247"/>
      <c r="MA338" s="1247"/>
      <c r="MB338" s="1247"/>
      <c r="MC338" s="1247"/>
      <c r="MD338" s="1247"/>
      <c r="ME338" s="1247"/>
      <c r="MF338" s="1247"/>
      <c r="MG338" s="1247"/>
      <c r="MH338" s="1247"/>
      <c r="MI338" s="1247"/>
      <c r="MJ338" s="1247"/>
      <c r="MK338" s="1247"/>
      <c r="ML338" s="1247"/>
      <c r="MM338" s="1247"/>
      <c r="MN338" s="1247"/>
      <c r="MO338" s="1247"/>
      <c r="MP338" s="1247"/>
      <c r="MQ338" s="1247"/>
      <c r="MR338" s="1247"/>
      <c r="MS338" s="1247"/>
      <c r="MT338" s="1247"/>
      <c r="MU338" s="1247"/>
      <c r="MV338" s="1247"/>
      <c r="MW338" s="1247"/>
      <c r="MX338" s="1247"/>
      <c r="MY338" s="1247"/>
      <c r="MZ338" s="1247"/>
      <c r="NA338" s="1247"/>
      <c r="NB338" s="1247"/>
      <c r="NC338" s="1247"/>
      <c r="ND338" s="1247"/>
      <c r="NE338" s="1247"/>
      <c r="NF338" s="1247"/>
      <c r="NG338" s="1247"/>
      <c r="NH338" s="1247"/>
      <c r="NI338" s="1247"/>
      <c r="NJ338" s="1247"/>
      <c r="NK338" s="1247"/>
      <c r="NL338" s="1247"/>
      <c r="NM338" s="1247"/>
      <c r="NN338" s="1247"/>
      <c r="NO338" s="1247"/>
      <c r="NP338" s="1247"/>
      <c r="NQ338" s="1247"/>
      <c r="NR338" s="1247"/>
      <c r="NS338" s="1247"/>
      <c r="NT338" s="1247"/>
      <c r="NU338" s="1247"/>
      <c r="NV338" s="1247"/>
      <c r="NW338" s="1247"/>
      <c r="NX338" s="1247"/>
      <c r="NY338" s="1247"/>
      <c r="NZ338" s="1247"/>
      <c r="OA338" s="1247"/>
      <c r="OB338" s="1247"/>
      <c r="OC338" s="1247"/>
      <c r="OD338" s="1247"/>
      <c r="OE338" s="1247"/>
      <c r="OF338" s="1247"/>
      <c r="OG338" s="1247"/>
      <c r="OH338" s="1247"/>
      <c r="OI338" s="1247"/>
      <c r="OJ338" s="1247"/>
      <c r="OK338" s="1247"/>
      <c r="OL338" s="1247"/>
      <c r="OM338" s="1247"/>
      <c r="ON338" s="1247"/>
      <c r="OO338" s="1247"/>
      <c r="OP338" s="1247"/>
      <c r="OQ338" s="1247"/>
      <c r="OR338" s="1247"/>
      <c r="OS338" s="1247"/>
      <c r="OT338" s="1247"/>
      <c r="OU338" s="1247"/>
      <c r="OV338" s="1247"/>
      <c r="OW338" s="1247"/>
      <c r="OX338" s="1247"/>
      <c r="OY338" s="1247"/>
      <c r="OZ338" s="1247"/>
      <c r="PA338" s="1247"/>
      <c r="PB338" s="1247"/>
      <c r="PC338" s="1247"/>
      <c r="PD338" s="1247"/>
      <c r="PE338" s="1247"/>
      <c r="PF338" s="1247"/>
      <c r="PG338" s="1247"/>
      <c r="PH338" s="1247"/>
      <c r="PI338" s="1247"/>
      <c r="PJ338" s="1247"/>
      <c r="PK338" s="1247"/>
      <c r="PL338" s="1247"/>
      <c r="PM338" s="1247"/>
      <c r="PN338" s="1247"/>
      <c r="PO338" s="1247"/>
      <c r="PP338" s="1247"/>
      <c r="PQ338" s="1247"/>
      <c r="PR338" s="1247"/>
      <c r="PS338" s="1247"/>
      <c r="PT338" s="1247"/>
      <c r="PU338" s="1247"/>
      <c r="PV338" s="1247"/>
      <c r="PW338" s="1247"/>
      <c r="PX338" s="1247"/>
      <c r="PY338" s="1247"/>
      <c r="PZ338" s="1247"/>
      <c r="QA338" s="1247"/>
      <c r="QB338" s="1247"/>
      <c r="QC338" s="1247"/>
      <c r="QD338" s="1247"/>
      <c r="QE338" s="1247"/>
      <c r="QF338" s="1247"/>
      <c r="QG338" s="1247"/>
      <c r="QH338" s="1247"/>
      <c r="QI338" s="1247"/>
      <c r="QJ338" s="1247"/>
      <c r="QK338" s="1247"/>
      <c r="QL338" s="1247"/>
      <c r="QM338" s="1247"/>
      <c r="QN338" s="1247"/>
      <c r="QO338" s="1247"/>
      <c r="QP338" s="1247"/>
      <c r="QQ338" s="1247"/>
      <c r="QR338" s="1247"/>
      <c r="QS338" s="1247"/>
      <c r="QT338" s="1247"/>
      <c r="QU338" s="1247"/>
      <c r="QV338" s="1247"/>
      <c r="QW338" s="1247"/>
      <c r="QX338" s="1247"/>
      <c r="QY338" s="1247"/>
      <c r="QZ338" s="1247"/>
      <c r="RA338" s="1247"/>
      <c r="RB338" s="1247"/>
      <c r="RC338" s="1247"/>
      <c r="RD338" s="1247"/>
      <c r="RE338" s="1247"/>
      <c r="RF338" s="1247"/>
      <c r="RG338" s="1247"/>
      <c r="RH338" s="1247"/>
      <c r="RI338" s="1247"/>
      <c r="RJ338" s="1247"/>
      <c r="RK338" s="1247"/>
      <c r="RL338" s="1247"/>
      <c r="RM338" s="1247"/>
      <c r="RN338" s="1247"/>
      <c r="RO338" s="1247"/>
      <c r="RP338" s="1247"/>
      <c r="RQ338" s="1247"/>
      <c r="RR338" s="1247"/>
      <c r="RS338" s="1247"/>
      <c r="RT338" s="1247"/>
      <c r="RU338" s="1247"/>
      <c r="RV338" s="1247"/>
      <c r="RW338" s="1247"/>
      <c r="RX338" s="1247"/>
      <c r="RY338" s="1247"/>
      <c r="RZ338" s="1247"/>
      <c r="SA338" s="1247"/>
      <c r="SB338" s="1247"/>
      <c r="SC338" s="1247"/>
      <c r="SD338" s="1247"/>
      <c r="SE338" s="1247"/>
      <c r="SF338" s="1247"/>
      <c r="SG338" s="1247"/>
      <c r="SH338" s="1247"/>
      <c r="SI338" s="1247"/>
      <c r="SJ338" s="1247"/>
      <c r="SK338" s="1247"/>
      <c r="SL338" s="1247"/>
      <c r="SM338" s="1247"/>
      <c r="SN338" s="1247"/>
      <c r="SO338" s="1247"/>
      <c r="SP338" s="1247"/>
      <c r="SQ338" s="1247"/>
      <c r="SR338" s="1247"/>
      <c r="SS338" s="1247"/>
      <c r="ST338" s="1247"/>
      <c r="SU338" s="1247"/>
      <c r="SV338" s="1247"/>
      <c r="SW338" s="1247"/>
      <c r="SX338" s="1247"/>
      <c r="SY338" s="1247"/>
      <c r="SZ338" s="1247"/>
      <c r="TA338" s="1247"/>
      <c r="TB338" s="1247"/>
      <c r="TC338" s="1247"/>
      <c r="TD338" s="1247"/>
      <c r="TE338" s="1247"/>
      <c r="TF338" s="1247"/>
      <c r="TG338" s="1247"/>
      <c r="TH338" s="1247"/>
      <c r="TI338" s="1247"/>
      <c r="TJ338" s="1247"/>
      <c r="TK338" s="1247"/>
      <c r="TL338" s="1247"/>
      <c r="TM338" s="1247"/>
      <c r="TN338" s="1247"/>
      <c r="TO338" s="1247"/>
      <c r="TP338" s="1247"/>
      <c r="TQ338" s="1247"/>
      <c r="TR338" s="1247"/>
      <c r="TS338" s="1247"/>
      <c r="TT338" s="1247"/>
      <c r="TU338" s="1247"/>
      <c r="TV338" s="1247"/>
      <c r="TW338" s="1247"/>
      <c r="TX338" s="1247"/>
      <c r="TY338" s="1247"/>
      <c r="TZ338" s="1247"/>
      <c r="UA338" s="1247"/>
      <c r="UB338" s="1247"/>
      <c r="UC338" s="1247"/>
      <c r="UD338" s="1247"/>
      <c r="UE338" s="1247"/>
      <c r="UF338" s="1247"/>
      <c r="UG338" s="1247"/>
      <c r="UH338" s="1247"/>
      <c r="UI338" s="1247"/>
      <c r="UJ338" s="1247"/>
      <c r="UK338" s="1247"/>
      <c r="UL338" s="1247"/>
      <c r="UM338" s="1247"/>
      <c r="UN338" s="1247"/>
      <c r="UO338" s="1247"/>
      <c r="UP338" s="1247"/>
      <c r="UQ338" s="1247"/>
      <c r="UR338" s="1247"/>
      <c r="US338" s="1247"/>
      <c r="UT338" s="1247"/>
      <c r="UU338" s="1247"/>
      <c r="UV338" s="1247"/>
      <c r="UW338" s="1247"/>
      <c r="UX338" s="1247"/>
      <c r="UY338" s="1247"/>
      <c r="UZ338" s="1247"/>
      <c r="VA338" s="1247"/>
      <c r="VB338" s="1247"/>
      <c r="VC338" s="1247"/>
      <c r="VD338" s="1247"/>
      <c r="VE338" s="1247"/>
      <c r="VF338" s="1247"/>
      <c r="VG338" s="1247"/>
      <c r="VH338" s="1247"/>
      <c r="VI338" s="1247"/>
      <c r="VJ338" s="1247"/>
      <c r="VK338" s="1247"/>
      <c r="VL338" s="1247"/>
      <c r="VM338" s="1247"/>
      <c r="VN338" s="1247"/>
      <c r="VO338" s="1247"/>
      <c r="VP338" s="1247"/>
      <c r="VQ338" s="1247"/>
      <c r="VR338" s="1247"/>
      <c r="VS338" s="1247"/>
      <c r="VT338" s="1247"/>
      <c r="VU338" s="1247"/>
      <c r="VV338" s="1247"/>
      <c r="VW338" s="1247"/>
      <c r="VX338" s="1247"/>
      <c r="VY338" s="1247"/>
      <c r="VZ338" s="1247"/>
      <c r="WA338" s="1247"/>
      <c r="WB338" s="1247"/>
      <c r="WC338" s="1247"/>
      <c r="WD338" s="1247"/>
      <c r="WE338" s="1247"/>
      <c r="WF338" s="1247"/>
      <c r="WG338" s="1247"/>
      <c r="WH338" s="1247"/>
      <c r="WI338" s="1247"/>
      <c r="WJ338" s="1247"/>
      <c r="WK338" s="1247"/>
      <c r="WL338" s="1247"/>
      <c r="WM338" s="1247"/>
      <c r="WN338" s="1247"/>
      <c r="WO338" s="1247"/>
      <c r="WP338" s="1247"/>
      <c r="WQ338" s="1247"/>
      <c r="WR338" s="1247"/>
      <c r="WS338" s="1247"/>
      <c r="WT338" s="1247"/>
      <c r="WU338" s="1247"/>
      <c r="WV338" s="1247"/>
      <c r="WW338" s="1247"/>
      <c r="WX338" s="1247"/>
      <c r="WY338" s="1247"/>
      <c r="WZ338" s="1247"/>
      <c r="XA338" s="1247"/>
      <c r="XB338" s="1247"/>
      <c r="XC338" s="1247"/>
      <c r="XD338" s="1247"/>
      <c r="XE338" s="1247"/>
      <c r="XF338" s="1247"/>
      <c r="XG338" s="1247"/>
      <c r="XH338" s="1247"/>
      <c r="XI338" s="1247"/>
      <c r="XJ338" s="1247"/>
      <c r="XK338" s="1247"/>
      <c r="XL338" s="1247"/>
      <c r="XM338" s="1247"/>
      <c r="XN338" s="1247"/>
      <c r="XO338" s="1247"/>
      <c r="XP338" s="1247"/>
      <c r="XQ338" s="1247"/>
      <c r="XR338" s="1247"/>
      <c r="XS338" s="1247"/>
      <c r="XT338" s="1247"/>
      <c r="XU338" s="1247"/>
      <c r="XV338" s="1247"/>
      <c r="XW338" s="1247"/>
      <c r="XX338" s="1247"/>
      <c r="XY338" s="1247"/>
      <c r="XZ338" s="1247"/>
      <c r="YA338" s="1247"/>
      <c r="YB338" s="1247"/>
      <c r="YC338" s="1247"/>
      <c r="YD338" s="1247"/>
      <c r="YE338" s="1247"/>
      <c r="YF338" s="1247"/>
      <c r="YG338" s="1247"/>
      <c r="YH338" s="1247"/>
      <c r="YI338" s="1247"/>
      <c r="YJ338" s="1247"/>
      <c r="YK338" s="1247"/>
      <c r="YL338" s="1247"/>
      <c r="YM338" s="1247"/>
      <c r="YN338" s="1247"/>
      <c r="YO338" s="1247"/>
      <c r="YP338" s="1247"/>
      <c r="YQ338" s="1247"/>
      <c r="YR338" s="1247"/>
      <c r="YS338" s="1247"/>
      <c r="YT338" s="1247"/>
      <c r="YU338" s="1247"/>
      <c r="YV338" s="1247"/>
      <c r="YW338" s="1247"/>
      <c r="YX338" s="1247"/>
      <c r="YY338" s="1247"/>
      <c r="YZ338" s="1247"/>
      <c r="ZA338" s="1247"/>
      <c r="ZB338" s="1247"/>
      <c r="ZC338" s="1247"/>
      <c r="ZD338" s="1247"/>
      <c r="ZE338" s="1247"/>
      <c r="ZF338" s="1247"/>
      <c r="ZG338" s="1247"/>
      <c r="ZH338" s="1247"/>
      <c r="ZI338" s="1247"/>
      <c r="ZJ338" s="1247"/>
      <c r="ZK338" s="1247"/>
      <c r="ZL338" s="1247"/>
      <c r="ZM338" s="1247"/>
      <c r="ZN338" s="1247"/>
      <c r="ZO338" s="1247"/>
      <c r="ZP338" s="1247"/>
      <c r="ZQ338" s="1247"/>
      <c r="ZR338" s="1247"/>
      <c r="ZS338" s="1247"/>
      <c r="ZT338" s="1247"/>
      <c r="ZU338" s="1247"/>
      <c r="ZV338" s="1247"/>
      <c r="ZW338" s="1247"/>
      <c r="ZX338" s="1247"/>
      <c r="ZY338" s="1247"/>
      <c r="ZZ338" s="1247"/>
      <c r="AAA338" s="1247"/>
      <c r="AAB338" s="1247"/>
      <c r="AAC338" s="1247"/>
      <c r="AAD338" s="1247"/>
      <c r="AAE338" s="1247"/>
      <c r="AAF338" s="1247"/>
      <c r="AAG338" s="1247"/>
      <c r="AAH338" s="1247"/>
      <c r="AAI338" s="1247"/>
      <c r="AAJ338" s="1247"/>
      <c r="AAK338" s="1247"/>
      <c r="AAL338" s="1247"/>
      <c r="AAM338" s="1247"/>
      <c r="AAN338" s="1247"/>
      <c r="AAO338" s="1247"/>
      <c r="AAP338" s="1247"/>
      <c r="AAQ338" s="1247"/>
      <c r="AAR338" s="1247"/>
      <c r="AAS338" s="1247"/>
      <c r="AAT338" s="1247"/>
      <c r="AAU338" s="1247"/>
      <c r="AAV338" s="1247"/>
      <c r="AAW338" s="1247"/>
      <c r="AAX338" s="1247"/>
      <c r="AAY338" s="1247"/>
      <c r="AAZ338" s="1247"/>
      <c r="ABA338" s="1247"/>
      <c r="ABB338" s="1247"/>
      <c r="ABC338" s="1247"/>
      <c r="ABD338" s="1247"/>
      <c r="ABE338" s="1247"/>
      <c r="ABF338" s="1247"/>
      <c r="ABG338" s="1247"/>
      <c r="ABH338" s="1247"/>
      <c r="ABI338" s="1247"/>
      <c r="ABJ338" s="1247"/>
      <c r="ABK338" s="1247"/>
      <c r="ABL338" s="1247"/>
      <c r="ABM338" s="1247"/>
      <c r="ABN338" s="1247"/>
      <c r="ABO338" s="1247"/>
      <c r="ABP338" s="1247"/>
      <c r="ABQ338" s="1247"/>
      <c r="ABR338" s="1247"/>
      <c r="ABS338" s="1247"/>
      <c r="ABT338" s="1247"/>
      <c r="ABU338" s="1247"/>
      <c r="ABV338" s="1247"/>
      <c r="ABW338" s="1247"/>
      <c r="ABX338" s="1247"/>
      <c r="ABY338" s="1247"/>
      <c r="ABZ338" s="1247"/>
      <c r="ACA338" s="1247"/>
      <c r="ACB338" s="1247"/>
      <c r="ACC338" s="1247"/>
      <c r="ACD338" s="1247"/>
      <c r="ACE338" s="1247"/>
      <c r="ACF338" s="1247"/>
      <c r="ACG338" s="1247"/>
      <c r="ACH338" s="1247"/>
      <c r="ACI338" s="1247"/>
      <c r="ACJ338" s="1247"/>
      <c r="ACK338" s="1247"/>
      <c r="ACL338" s="1247"/>
      <c r="ACM338" s="1247"/>
      <c r="ACN338" s="1247"/>
      <c r="ACO338" s="1247"/>
      <c r="ACP338" s="1247"/>
      <c r="ACQ338" s="1247"/>
      <c r="ACR338" s="1247"/>
      <c r="ACS338" s="1247"/>
      <c r="ACT338" s="1247"/>
      <c r="ACU338" s="1247"/>
      <c r="ACV338" s="1247"/>
      <c r="ACW338" s="1247"/>
      <c r="ACX338" s="1247"/>
      <c r="ACY338" s="1247"/>
      <c r="ACZ338" s="1247"/>
      <c r="ADA338" s="1247"/>
      <c r="ADB338" s="1247"/>
      <c r="ADC338" s="1247"/>
      <c r="ADD338" s="1247"/>
      <c r="ADE338" s="1247"/>
      <c r="ADF338" s="1247"/>
      <c r="ADG338" s="1247"/>
    </row>
    <row r="339" spans="1:787" s="1247" customFormat="1" ht="13" hidden="1" outlineLevel="2">
      <c r="B339" s="1422" t="s">
        <v>1427</v>
      </c>
      <c r="C339" s="1423"/>
      <c r="D339" s="1423" t="s">
        <v>3814</v>
      </c>
      <c r="E339" s="1431" t="s">
        <v>3815</v>
      </c>
      <c r="F339" s="1425" t="s">
        <v>3816</v>
      </c>
      <c r="G339" s="1431" t="s">
        <v>4197</v>
      </c>
      <c r="H339" s="1446"/>
      <c r="I339" s="1446"/>
      <c r="J339" s="1427"/>
      <c r="K339" s="1427"/>
      <c r="L339" s="1427"/>
      <c r="M339" s="1427"/>
      <c r="N339" s="1427"/>
      <c r="O339" s="1427"/>
      <c r="P339" s="1427"/>
      <c r="Q339" s="1427">
        <f>VLOOKUP(D339,'当期公摊测算表（全期）'!D:W,12,FALSE)</f>
        <v>55.92</v>
      </c>
      <c r="R339" s="1428">
        <f>SUM(H339:Q339)</f>
        <v>55.92</v>
      </c>
      <c r="S339" s="1427">
        <f>VLOOKUP($D339,'当期公摊测算表（全期）'!D:W,17,FALSE)</f>
        <v>391.90735803205462</v>
      </c>
      <c r="T339" s="1427">
        <f>R339+S339</f>
        <v>447.82735803205463</v>
      </c>
      <c r="U339" s="1429"/>
      <c r="V339" s="1225">
        <f t="shared" si="86"/>
        <v>0</v>
      </c>
      <c r="W339" s="1225">
        <f t="shared" si="87"/>
        <v>391.90735803205462</v>
      </c>
      <c r="X339" s="1225"/>
      <c r="Y339" s="1225"/>
    </row>
    <row r="340" spans="1:787" s="1247" customFormat="1" ht="13" hidden="1" outlineLevel="2">
      <c r="B340" s="1422" t="s">
        <v>1436</v>
      </c>
      <c r="C340" s="1423"/>
      <c r="D340" s="1423" t="s">
        <v>1437</v>
      </c>
      <c r="E340" s="1431" t="s">
        <v>3817</v>
      </c>
      <c r="F340" s="1425" t="s">
        <v>3818</v>
      </c>
      <c r="G340" s="1431" t="s">
        <v>4198</v>
      </c>
      <c r="H340" s="1446"/>
      <c r="I340" s="1446"/>
      <c r="J340" s="1427"/>
      <c r="K340" s="1427"/>
      <c r="L340" s="1427"/>
      <c r="M340" s="1427"/>
      <c r="N340" s="1427"/>
      <c r="O340" s="1427"/>
      <c r="P340" s="1427"/>
      <c r="Q340" s="1427">
        <f>VLOOKUP(D340,'当期公摊测算表（全期）'!D:W,12,FALSE)</f>
        <v>30.000147999999999</v>
      </c>
      <c r="R340" s="1428">
        <f>SUM(H340:Q340)</f>
        <v>30.000147999999999</v>
      </c>
      <c r="S340" s="1427">
        <f>VLOOKUP($D340,'当期公摊测算表（全期）'!D:W,17,FALSE)</f>
        <v>81.411470981205824</v>
      </c>
      <c r="T340" s="1427">
        <f>R340+S340</f>
        <v>111.41161898120582</v>
      </c>
      <c r="U340" s="1429"/>
      <c r="V340" s="1225">
        <f t="shared" si="86"/>
        <v>0</v>
      </c>
      <c r="W340" s="1225">
        <f t="shared" si="87"/>
        <v>81.411470981205824</v>
      </c>
      <c r="X340" s="1225"/>
      <c r="Y340" s="1225"/>
    </row>
    <row r="341" spans="1:787" s="1247" customFormat="1" ht="13" hidden="1" outlineLevel="2">
      <c r="B341" s="1422" t="s">
        <v>1444</v>
      </c>
      <c r="C341" s="1423"/>
      <c r="D341" s="1423" t="s">
        <v>1445</v>
      </c>
      <c r="E341" s="1431" t="s">
        <v>3819</v>
      </c>
      <c r="F341" s="1425" t="s">
        <v>3820</v>
      </c>
      <c r="G341" s="1431" t="s">
        <v>4199</v>
      </c>
      <c r="H341" s="1446"/>
      <c r="I341" s="1446"/>
      <c r="J341" s="1427"/>
      <c r="K341" s="1427"/>
      <c r="L341" s="1427"/>
      <c r="M341" s="1427"/>
      <c r="N341" s="1427"/>
      <c r="O341" s="1427"/>
      <c r="P341" s="1427"/>
      <c r="Q341" s="1427">
        <f>VLOOKUP(D341,'当期公摊测算表（全期）'!D:W,12,FALSE)</f>
        <v>136.46100000000001</v>
      </c>
      <c r="R341" s="1428">
        <f>SUM(H341:Q341)</f>
        <v>136.46100000000001</v>
      </c>
      <c r="S341" s="1427">
        <f>VLOOKUP($D341,'当期公摊测算表（全期）'!D:W,17,FALSE)</f>
        <v>41.148675810958501</v>
      </c>
      <c r="T341" s="1427">
        <f>R341+S341</f>
        <v>177.60967581095852</v>
      </c>
      <c r="U341" s="1429"/>
      <c r="V341" s="1225">
        <f t="shared" si="86"/>
        <v>0</v>
      </c>
      <c r="W341" s="1225">
        <f t="shared" si="87"/>
        <v>41.148675810958508</v>
      </c>
      <c r="X341" s="1225"/>
      <c r="Y341" s="1225"/>
    </row>
    <row r="342" spans="1:787" s="1247" customFormat="1" ht="13" hidden="1" outlineLevel="2">
      <c r="B342" s="1422" t="s">
        <v>1452</v>
      </c>
      <c r="C342" s="1423"/>
      <c r="D342" s="1423" t="s">
        <v>1453</v>
      </c>
      <c r="E342" s="1431"/>
      <c r="F342" s="1425" t="s">
        <v>3820</v>
      </c>
      <c r="G342" s="1431" t="s">
        <v>4199</v>
      </c>
      <c r="H342" s="1446"/>
      <c r="I342" s="1446"/>
      <c r="J342" s="1427"/>
      <c r="K342" s="1427"/>
      <c r="L342" s="1427"/>
      <c r="M342" s="1427"/>
      <c r="N342" s="1427"/>
      <c r="O342" s="1427"/>
      <c r="P342" s="1427"/>
      <c r="Q342" s="1427">
        <f>VLOOKUP(D342,'当期公摊测算表（全期）'!D:W,12,FALSE)</f>
        <v>0</v>
      </c>
      <c r="R342" s="1428">
        <f>SUM(H342:Q342)</f>
        <v>0</v>
      </c>
      <c r="S342" s="1427">
        <f>VLOOKUP($D342,'当期公摊测算表（全期）'!D:W,17,FALSE)</f>
        <v>0</v>
      </c>
      <c r="T342" s="1427">
        <f>R342+S342</f>
        <v>0</v>
      </c>
      <c r="U342" s="1429"/>
      <c r="V342" s="1225">
        <f t="shared" si="86"/>
        <v>0</v>
      </c>
      <c r="W342" s="1225">
        <f t="shared" si="87"/>
        <v>0</v>
      </c>
      <c r="X342" s="1225"/>
      <c r="Y342" s="1225"/>
    </row>
    <row r="343" spans="1:787" s="1421" customFormat="1" ht="13" hidden="1" outlineLevel="1">
      <c r="A343" s="1247"/>
      <c r="B343" s="1413" t="s">
        <v>514</v>
      </c>
      <c r="C343" s="1414"/>
      <c r="D343" s="1414" t="s">
        <v>67</v>
      </c>
      <c r="E343" s="1417"/>
      <c r="F343" s="1416" t="s">
        <v>3821</v>
      </c>
      <c r="G343" s="1417" t="s">
        <v>4200</v>
      </c>
      <c r="H343" s="1418"/>
      <c r="I343" s="1418"/>
      <c r="J343" s="1457"/>
      <c r="K343" s="1457"/>
      <c r="L343" s="1457"/>
      <c r="M343" s="1457"/>
      <c r="N343" s="1457"/>
      <c r="O343" s="1457"/>
      <c r="P343" s="1457"/>
      <c r="Q343" s="1419">
        <f>VLOOKUP(D343,'当期公摊测算表（全期）'!D:W,12,FALSE)</f>
        <v>166.22949600000001</v>
      </c>
      <c r="R343" s="1419">
        <f>SUM(H343:Q343)</f>
        <v>166.22949600000001</v>
      </c>
      <c r="S343" s="1419">
        <f>VLOOKUP($D343,'当期公摊测算表（全期）'!D:W,17,FALSE)</f>
        <v>74.818023673967161</v>
      </c>
      <c r="T343" s="1419">
        <f>R343+S343</f>
        <v>241.04751967396717</v>
      </c>
      <c r="U343" s="1443"/>
      <c r="V343" s="1225">
        <f t="shared" si="86"/>
        <v>0</v>
      </c>
      <c r="W343" s="1225">
        <f t="shared" si="87"/>
        <v>74.818023673967161</v>
      </c>
      <c r="X343" s="1225"/>
      <c r="Y343" s="1225"/>
      <c r="Z343" s="1247"/>
      <c r="AA343" s="1247"/>
      <c r="AB343" s="1247"/>
      <c r="AC343" s="1247"/>
      <c r="AD343" s="1247"/>
      <c r="AE343" s="1247"/>
      <c r="AF343" s="1247"/>
      <c r="AG343" s="1247"/>
      <c r="AH343" s="1247"/>
      <c r="AI343" s="1247"/>
      <c r="AJ343" s="1247"/>
      <c r="AK343" s="1247"/>
      <c r="AL343" s="1247"/>
      <c r="AM343" s="1247"/>
      <c r="AN343" s="1247"/>
      <c r="AO343" s="1247"/>
      <c r="AP343" s="1247"/>
      <c r="AQ343" s="1247"/>
      <c r="AR343" s="1247"/>
      <c r="AS343" s="1247"/>
      <c r="AT343" s="1247"/>
      <c r="AU343" s="1247"/>
      <c r="AV343" s="1247"/>
      <c r="AW343" s="1247"/>
      <c r="AX343" s="1247"/>
      <c r="AY343" s="1247"/>
      <c r="AZ343" s="1247"/>
      <c r="BA343" s="1247"/>
      <c r="BB343" s="1247"/>
      <c r="BC343" s="1247"/>
      <c r="BD343" s="1247"/>
      <c r="BE343" s="1247"/>
      <c r="BF343" s="1247"/>
      <c r="BG343" s="1247"/>
      <c r="BH343" s="1247"/>
      <c r="BI343" s="1247"/>
      <c r="BJ343" s="1247"/>
      <c r="BK343" s="1247"/>
      <c r="BL343" s="1247"/>
      <c r="BM343" s="1247"/>
      <c r="BN343" s="1247"/>
      <c r="BO343" s="1247"/>
      <c r="BP343" s="1247"/>
      <c r="BQ343" s="1247"/>
      <c r="BR343" s="1247"/>
      <c r="BS343" s="1247"/>
      <c r="BT343" s="1247"/>
      <c r="BU343" s="1247"/>
      <c r="BV343" s="1247"/>
      <c r="BW343" s="1247"/>
      <c r="BX343" s="1247"/>
      <c r="BY343" s="1247"/>
      <c r="BZ343" s="1247"/>
      <c r="CA343" s="1247"/>
      <c r="CB343" s="1247"/>
      <c r="CC343" s="1247"/>
      <c r="CD343" s="1247"/>
      <c r="CE343" s="1247"/>
      <c r="CF343" s="1247"/>
      <c r="CG343" s="1247"/>
      <c r="CH343" s="1247"/>
      <c r="CI343" s="1247"/>
      <c r="CJ343" s="1247"/>
      <c r="CK343" s="1247"/>
      <c r="CL343" s="1247"/>
      <c r="CM343" s="1247"/>
      <c r="CN343" s="1247"/>
      <c r="CO343" s="1247"/>
      <c r="CP343" s="1247"/>
      <c r="CQ343" s="1247"/>
      <c r="CR343" s="1247"/>
      <c r="CS343" s="1247"/>
      <c r="CT343" s="1247"/>
      <c r="CU343" s="1247"/>
      <c r="CV343" s="1247"/>
      <c r="CW343" s="1247"/>
      <c r="CX343" s="1247"/>
      <c r="CY343" s="1247"/>
      <c r="CZ343" s="1247"/>
      <c r="DA343" s="1247"/>
      <c r="DB343" s="1247"/>
      <c r="DC343" s="1247"/>
      <c r="DD343" s="1247"/>
      <c r="DE343" s="1247"/>
      <c r="DF343" s="1247"/>
      <c r="DG343" s="1247"/>
      <c r="DH343" s="1247"/>
      <c r="DI343" s="1247"/>
      <c r="DJ343" s="1247"/>
      <c r="DK343" s="1247"/>
      <c r="DL343" s="1247"/>
      <c r="DM343" s="1247"/>
      <c r="DN343" s="1247"/>
      <c r="DO343" s="1247"/>
      <c r="DP343" s="1247"/>
      <c r="DQ343" s="1247"/>
      <c r="DR343" s="1247"/>
      <c r="DS343" s="1247"/>
      <c r="DT343" s="1247"/>
      <c r="DU343" s="1247"/>
      <c r="DV343" s="1247"/>
      <c r="DW343" s="1247"/>
      <c r="DX343" s="1247"/>
      <c r="DY343" s="1247"/>
      <c r="DZ343" s="1247"/>
      <c r="EA343" s="1247"/>
      <c r="EB343" s="1247"/>
      <c r="EC343" s="1247"/>
      <c r="ED343" s="1247"/>
      <c r="EE343" s="1247"/>
      <c r="EF343" s="1247"/>
      <c r="EG343" s="1247"/>
      <c r="EH343" s="1247"/>
      <c r="EI343" s="1247"/>
      <c r="EJ343" s="1247"/>
      <c r="EK343" s="1247"/>
      <c r="EL343" s="1247"/>
      <c r="EM343" s="1247"/>
      <c r="EN343" s="1247"/>
      <c r="EO343" s="1247"/>
      <c r="EP343" s="1247"/>
      <c r="EQ343" s="1247"/>
      <c r="ER343" s="1247"/>
      <c r="ES343" s="1247"/>
      <c r="ET343" s="1247"/>
      <c r="EU343" s="1247"/>
      <c r="EV343" s="1247"/>
      <c r="EW343" s="1247"/>
      <c r="EX343" s="1247"/>
      <c r="EY343" s="1247"/>
      <c r="EZ343" s="1247"/>
      <c r="FA343" s="1247"/>
      <c r="FB343" s="1247"/>
      <c r="FC343" s="1247"/>
      <c r="FD343" s="1247"/>
      <c r="FE343" s="1247"/>
      <c r="FF343" s="1247"/>
      <c r="FG343" s="1247"/>
      <c r="FH343" s="1247"/>
      <c r="FI343" s="1247"/>
      <c r="FJ343" s="1247"/>
      <c r="FK343" s="1247"/>
      <c r="FL343" s="1247"/>
      <c r="FM343" s="1247"/>
      <c r="FN343" s="1247"/>
      <c r="FO343" s="1247"/>
      <c r="FP343" s="1247"/>
      <c r="FQ343" s="1247"/>
      <c r="FR343" s="1247"/>
      <c r="FS343" s="1247"/>
      <c r="FT343" s="1247"/>
      <c r="FU343" s="1247"/>
      <c r="FV343" s="1247"/>
      <c r="FW343" s="1247"/>
      <c r="FX343" s="1247"/>
      <c r="FY343" s="1247"/>
      <c r="FZ343" s="1247"/>
      <c r="GA343" s="1247"/>
      <c r="GB343" s="1247"/>
      <c r="GC343" s="1247"/>
      <c r="GD343" s="1247"/>
      <c r="GE343" s="1247"/>
      <c r="GF343" s="1247"/>
      <c r="GG343" s="1247"/>
      <c r="GH343" s="1247"/>
      <c r="GI343" s="1247"/>
      <c r="GJ343" s="1247"/>
      <c r="GK343" s="1247"/>
      <c r="GL343" s="1247"/>
      <c r="GM343" s="1247"/>
      <c r="GN343" s="1247"/>
      <c r="GO343" s="1247"/>
      <c r="GP343" s="1247"/>
      <c r="GQ343" s="1247"/>
      <c r="GR343" s="1247"/>
      <c r="GS343" s="1247"/>
      <c r="GT343" s="1247"/>
      <c r="GU343" s="1247"/>
      <c r="GV343" s="1247"/>
      <c r="GW343" s="1247"/>
      <c r="GX343" s="1247"/>
      <c r="GY343" s="1247"/>
      <c r="GZ343" s="1247"/>
      <c r="HA343" s="1247"/>
      <c r="HB343" s="1247"/>
      <c r="HC343" s="1247"/>
      <c r="HD343" s="1247"/>
      <c r="HE343" s="1247"/>
      <c r="HF343" s="1247"/>
      <c r="HG343" s="1247"/>
      <c r="HH343" s="1247"/>
      <c r="HI343" s="1247"/>
      <c r="HJ343" s="1247"/>
      <c r="HK343" s="1247"/>
      <c r="HL343" s="1247"/>
      <c r="HM343" s="1247"/>
      <c r="HN343" s="1247"/>
      <c r="HO343" s="1247"/>
      <c r="HP343" s="1247"/>
      <c r="HQ343" s="1247"/>
      <c r="HR343" s="1247"/>
      <c r="HS343" s="1247"/>
      <c r="HT343" s="1247"/>
      <c r="HU343" s="1247"/>
      <c r="HV343" s="1247"/>
      <c r="HW343" s="1247"/>
      <c r="HX343" s="1247"/>
      <c r="HY343" s="1247"/>
      <c r="HZ343" s="1247"/>
      <c r="IA343" s="1247"/>
      <c r="IB343" s="1247"/>
      <c r="IC343" s="1247"/>
      <c r="ID343" s="1247"/>
      <c r="IE343" s="1247"/>
      <c r="IF343" s="1247"/>
      <c r="IG343" s="1247"/>
      <c r="IH343" s="1247"/>
      <c r="II343" s="1247"/>
      <c r="IJ343" s="1247"/>
      <c r="IK343" s="1247"/>
      <c r="IL343" s="1247"/>
      <c r="IM343" s="1247"/>
      <c r="IN343" s="1247"/>
      <c r="IO343" s="1247"/>
      <c r="IP343" s="1247"/>
      <c r="IQ343" s="1247"/>
      <c r="IR343" s="1247"/>
      <c r="IS343" s="1247"/>
      <c r="IT343" s="1247"/>
      <c r="IU343" s="1247"/>
      <c r="IV343" s="1247"/>
      <c r="IW343" s="1247"/>
      <c r="IX343" s="1247"/>
      <c r="IY343" s="1247"/>
      <c r="IZ343" s="1247"/>
      <c r="JA343" s="1247"/>
      <c r="JB343" s="1247"/>
      <c r="JC343" s="1247"/>
      <c r="JD343" s="1247"/>
      <c r="JE343" s="1247"/>
      <c r="JF343" s="1247"/>
      <c r="JG343" s="1247"/>
      <c r="JH343" s="1247"/>
      <c r="JI343" s="1247"/>
      <c r="JJ343" s="1247"/>
      <c r="JK343" s="1247"/>
      <c r="JL343" s="1247"/>
      <c r="JM343" s="1247"/>
      <c r="JN343" s="1247"/>
      <c r="JO343" s="1247"/>
      <c r="JP343" s="1247"/>
      <c r="JQ343" s="1247"/>
      <c r="JR343" s="1247"/>
      <c r="JS343" s="1247"/>
      <c r="JT343" s="1247"/>
      <c r="JU343" s="1247"/>
      <c r="JV343" s="1247"/>
      <c r="JW343" s="1247"/>
      <c r="JX343" s="1247"/>
      <c r="JY343" s="1247"/>
      <c r="JZ343" s="1247"/>
      <c r="KA343" s="1247"/>
      <c r="KB343" s="1247"/>
      <c r="KC343" s="1247"/>
      <c r="KD343" s="1247"/>
      <c r="KE343" s="1247"/>
      <c r="KF343" s="1247"/>
      <c r="KG343" s="1247"/>
      <c r="KH343" s="1247"/>
      <c r="KI343" s="1247"/>
      <c r="KJ343" s="1247"/>
      <c r="KK343" s="1247"/>
      <c r="KL343" s="1247"/>
      <c r="KM343" s="1247"/>
      <c r="KN343" s="1247"/>
      <c r="KO343" s="1247"/>
      <c r="KP343" s="1247"/>
      <c r="KQ343" s="1247"/>
      <c r="KR343" s="1247"/>
      <c r="KS343" s="1247"/>
      <c r="KT343" s="1247"/>
      <c r="KU343" s="1247"/>
      <c r="KV343" s="1247"/>
      <c r="KW343" s="1247"/>
      <c r="KX343" s="1247"/>
      <c r="KY343" s="1247"/>
      <c r="KZ343" s="1247"/>
      <c r="LA343" s="1247"/>
      <c r="LB343" s="1247"/>
      <c r="LC343" s="1247"/>
      <c r="LD343" s="1247"/>
      <c r="LE343" s="1247"/>
      <c r="LF343" s="1247"/>
      <c r="LG343" s="1247"/>
      <c r="LH343" s="1247"/>
      <c r="LI343" s="1247"/>
      <c r="LJ343" s="1247"/>
      <c r="LK343" s="1247"/>
      <c r="LL343" s="1247"/>
      <c r="LM343" s="1247"/>
      <c r="LN343" s="1247"/>
      <c r="LO343" s="1247"/>
      <c r="LP343" s="1247"/>
      <c r="LQ343" s="1247"/>
      <c r="LR343" s="1247"/>
      <c r="LS343" s="1247"/>
      <c r="LT343" s="1247"/>
      <c r="LU343" s="1247"/>
      <c r="LV343" s="1247"/>
      <c r="LW343" s="1247"/>
      <c r="LX343" s="1247"/>
      <c r="LY343" s="1247"/>
      <c r="LZ343" s="1247"/>
      <c r="MA343" s="1247"/>
      <c r="MB343" s="1247"/>
      <c r="MC343" s="1247"/>
      <c r="MD343" s="1247"/>
      <c r="ME343" s="1247"/>
      <c r="MF343" s="1247"/>
      <c r="MG343" s="1247"/>
      <c r="MH343" s="1247"/>
      <c r="MI343" s="1247"/>
      <c r="MJ343" s="1247"/>
      <c r="MK343" s="1247"/>
      <c r="ML343" s="1247"/>
      <c r="MM343" s="1247"/>
      <c r="MN343" s="1247"/>
      <c r="MO343" s="1247"/>
      <c r="MP343" s="1247"/>
      <c r="MQ343" s="1247"/>
      <c r="MR343" s="1247"/>
      <c r="MS343" s="1247"/>
      <c r="MT343" s="1247"/>
      <c r="MU343" s="1247"/>
      <c r="MV343" s="1247"/>
      <c r="MW343" s="1247"/>
      <c r="MX343" s="1247"/>
      <c r="MY343" s="1247"/>
      <c r="MZ343" s="1247"/>
      <c r="NA343" s="1247"/>
      <c r="NB343" s="1247"/>
      <c r="NC343" s="1247"/>
      <c r="ND343" s="1247"/>
      <c r="NE343" s="1247"/>
      <c r="NF343" s="1247"/>
      <c r="NG343" s="1247"/>
      <c r="NH343" s="1247"/>
      <c r="NI343" s="1247"/>
      <c r="NJ343" s="1247"/>
      <c r="NK343" s="1247"/>
      <c r="NL343" s="1247"/>
      <c r="NM343" s="1247"/>
      <c r="NN343" s="1247"/>
      <c r="NO343" s="1247"/>
      <c r="NP343" s="1247"/>
      <c r="NQ343" s="1247"/>
      <c r="NR343" s="1247"/>
      <c r="NS343" s="1247"/>
      <c r="NT343" s="1247"/>
      <c r="NU343" s="1247"/>
      <c r="NV343" s="1247"/>
      <c r="NW343" s="1247"/>
      <c r="NX343" s="1247"/>
      <c r="NY343" s="1247"/>
      <c r="NZ343" s="1247"/>
      <c r="OA343" s="1247"/>
      <c r="OB343" s="1247"/>
      <c r="OC343" s="1247"/>
      <c r="OD343" s="1247"/>
      <c r="OE343" s="1247"/>
      <c r="OF343" s="1247"/>
      <c r="OG343" s="1247"/>
      <c r="OH343" s="1247"/>
      <c r="OI343" s="1247"/>
      <c r="OJ343" s="1247"/>
      <c r="OK343" s="1247"/>
      <c r="OL343" s="1247"/>
      <c r="OM343" s="1247"/>
      <c r="ON343" s="1247"/>
      <c r="OO343" s="1247"/>
      <c r="OP343" s="1247"/>
      <c r="OQ343" s="1247"/>
      <c r="OR343" s="1247"/>
      <c r="OS343" s="1247"/>
      <c r="OT343" s="1247"/>
      <c r="OU343" s="1247"/>
      <c r="OV343" s="1247"/>
      <c r="OW343" s="1247"/>
      <c r="OX343" s="1247"/>
      <c r="OY343" s="1247"/>
      <c r="OZ343" s="1247"/>
      <c r="PA343" s="1247"/>
      <c r="PB343" s="1247"/>
      <c r="PC343" s="1247"/>
      <c r="PD343" s="1247"/>
      <c r="PE343" s="1247"/>
      <c r="PF343" s="1247"/>
      <c r="PG343" s="1247"/>
      <c r="PH343" s="1247"/>
      <c r="PI343" s="1247"/>
      <c r="PJ343" s="1247"/>
      <c r="PK343" s="1247"/>
      <c r="PL343" s="1247"/>
      <c r="PM343" s="1247"/>
      <c r="PN343" s="1247"/>
      <c r="PO343" s="1247"/>
      <c r="PP343" s="1247"/>
      <c r="PQ343" s="1247"/>
      <c r="PR343" s="1247"/>
      <c r="PS343" s="1247"/>
      <c r="PT343" s="1247"/>
      <c r="PU343" s="1247"/>
      <c r="PV343" s="1247"/>
      <c r="PW343" s="1247"/>
      <c r="PX343" s="1247"/>
      <c r="PY343" s="1247"/>
      <c r="PZ343" s="1247"/>
      <c r="QA343" s="1247"/>
      <c r="QB343" s="1247"/>
      <c r="QC343" s="1247"/>
      <c r="QD343" s="1247"/>
      <c r="QE343" s="1247"/>
      <c r="QF343" s="1247"/>
      <c r="QG343" s="1247"/>
      <c r="QH343" s="1247"/>
      <c r="QI343" s="1247"/>
      <c r="QJ343" s="1247"/>
      <c r="QK343" s="1247"/>
      <c r="QL343" s="1247"/>
      <c r="QM343" s="1247"/>
      <c r="QN343" s="1247"/>
      <c r="QO343" s="1247"/>
      <c r="QP343" s="1247"/>
      <c r="QQ343" s="1247"/>
      <c r="QR343" s="1247"/>
      <c r="QS343" s="1247"/>
      <c r="QT343" s="1247"/>
      <c r="QU343" s="1247"/>
      <c r="QV343" s="1247"/>
      <c r="QW343" s="1247"/>
      <c r="QX343" s="1247"/>
      <c r="QY343" s="1247"/>
      <c r="QZ343" s="1247"/>
      <c r="RA343" s="1247"/>
      <c r="RB343" s="1247"/>
      <c r="RC343" s="1247"/>
      <c r="RD343" s="1247"/>
      <c r="RE343" s="1247"/>
      <c r="RF343" s="1247"/>
      <c r="RG343" s="1247"/>
      <c r="RH343" s="1247"/>
      <c r="RI343" s="1247"/>
      <c r="RJ343" s="1247"/>
      <c r="RK343" s="1247"/>
      <c r="RL343" s="1247"/>
      <c r="RM343" s="1247"/>
      <c r="RN343" s="1247"/>
      <c r="RO343" s="1247"/>
      <c r="RP343" s="1247"/>
      <c r="RQ343" s="1247"/>
      <c r="RR343" s="1247"/>
      <c r="RS343" s="1247"/>
      <c r="RT343" s="1247"/>
      <c r="RU343" s="1247"/>
      <c r="RV343" s="1247"/>
      <c r="RW343" s="1247"/>
      <c r="RX343" s="1247"/>
      <c r="RY343" s="1247"/>
      <c r="RZ343" s="1247"/>
      <c r="SA343" s="1247"/>
      <c r="SB343" s="1247"/>
      <c r="SC343" s="1247"/>
      <c r="SD343" s="1247"/>
      <c r="SE343" s="1247"/>
      <c r="SF343" s="1247"/>
      <c r="SG343" s="1247"/>
      <c r="SH343" s="1247"/>
      <c r="SI343" s="1247"/>
      <c r="SJ343" s="1247"/>
      <c r="SK343" s="1247"/>
      <c r="SL343" s="1247"/>
      <c r="SM343" s="1247"/>
      <c r="SN343" s="1247"/>
      <c r="SO343" s="1247"/>
      <c r="SP343" s="1247"/>
      <c r="SQ343" s="1247"/>
      <c r="SR343" s="1247"/>
      <c r="SS343" s="1247"/>
      <c r="ST343" s="1247"/>
      <c r="SU343" s="1247"/>
      <c r="SV343" s="1247"/>
      <c r="SW343" s="1247"/>
      <c r="SX343" s="1247"/>
      <c r="SY343" s="1247"/>
      <c r="SZ343" s="1247"/>
      <c r="TA343" s="1247"/>
      <c r="TB343" s="1247"/>
      <c r="TC343" s="1247"/>
      <c r="TD343" s="1247"/>
      <c r="TE343" s="1247"/>
      <c r="TF343" s="1247"/>
      <c r="TG343" s="1247"/>
      <c r="TH343" s="1247"/>
      <c r="TI343" s="1247"/>
      <c r="TJ343" s="1247"/>
      <c r="TK343" s="1247"/>
      <c r="TL343" s="1247"/>
      <c r="TM343" s="1247"/>
      <c r="TN343" s="1247"/>
      <c r="TO343" s="1247"/>
      <c r="TP343" s="1247"/>
      <c r="TQ343" s="1247"/>
      <c r="TR343" s="1247"/>
      <c r="TS343" s="1247"/>
      <c r="TT343" s="1247"/>
      <c r="TU343" s="1247"/>
      <c r="TV343" s="1247"/>
      <c r="TW343" s="1247"/>
      <c r="TX343" s="1247"/>
      <c r="TY343" s="1247"/>
      <c r="TZ343" s="1247"/>
      <c r="UA343" s="1247"/>
      <c r="UB343" s="1247"/>
      <c r="UC343" s="1247"/>
      <c r="UD343" s="1247"/>
      <c r="UE343" s="1247"/>
      <c r="UF343" s="1247"/>
      <c r="UG343" s="1247"/>
      <c r="UH343" s="1247"/>
      <c r="UI343" s="1247"/>
      <c r="UJ343" s="1247"/>
      <c r="UK343" s="1247"/>
      <c r="UL343" s="1247"/>
      <c r="UM343" s="1247"/>
      <c r="UN343" s="1247"/>
      <c r="UO343" s="1247"/>
      <c r="UP343" s="1247"/>
      <c r="UQ343" s="1247"/>
      <c r="UR343" s="1247"/>
      <c r="US343" s="1247"/>
      <c r="UT343" s="1247"/>
      <c r="UU343" s="1247"/>
      <c r="UV343" s="1247"/>
      <c r="UW343" s="1247"/>
      <c r="UX343" s="1247"/>
      <c r="UY343" s="1247"/>
      <c r="UZ343" s="1247"/>
      <c r="VA343" s="1247"/>
      <c r="VB343" s="1247"/>
      <c r="VC343" s="1247"/>
      <c r="VD343" s="1247"/>
      <c r="VE343" s="1247"/>
      <c r="VF343" s="1247"/>
      <c r="VG343" s="1247"/>
      <c r="VH343" s="1247"/>
      <c r="VI343" s="1247"/>
      <c r="VJ343" s="1247"/>
      <c r="VK343" s="1247"/>
      <c r="VL343" s="1247"/>
      <c r="VM343" s="1247"/>
      <c r="VN343" s="1247"/>
      <c r="VO343" s="1247"/>
      <c r="VP343" s="1247"/>
      <c r="VQ343" s="1247"/>
      <c r="VR343" s="1247"/>
      <c r="VS343" s="1247"/>
      <c r="VT343" s="1247"/>
      <c r="VU343" s="1247"/>
      <c r="VV343" s="1247"/>
      <c r="VW343" s="1247"/>
      <c r="VX343" s="1247"/>
      <c r="VY343" s="1247"/>
      <c r="VZ343" s="1247"/>
      <c r="WA343" s="1247"/>
      <c r="WB343" s="1247"/>
      <c r="WC343" s="1247"/>
      <c r="WD343" s="1247"/>
      <c r="WE343" s="1247"/>
      <c r="WF343" s="1247"/>
      <c r="WG343" s="1247"/>
      <c r="WH343" s="1247"/>
      <c r="WI343" s="1247"/>
      <c r="WJ343" s="1247"/>
      <c r="WK343" s="1247"/>
      <c r="WL343" s="1247"/>
      <c r="WM343" s="1247"/>
      <c r="WN343" s="1247"/>
      <c r="WO343" s="1247"/>
      <c r="WP343" s="1247"/>
      <c r="WQ343" s="1247"/>
      <c r="WR343" s="1247"/>
      <c r="WS343" s="1247"/>
      <c r="WT343" s="1247"/>
      <c r="WU343" s="1247"/>
      <c r="WV343" s="1247"/>
      <c r="WW343" s="1247"/>
      <c r="WX343" s="1247"/>
      <c r="WY343" s="1247"/>
      <c r="WZ343" s="1247"/>
      <c r="XA343" s="1247"/>
      <c r="XB343" s="1247"/>
      <c r="XC343" s="1247"/>
      <c r="XD343" s="1247"/>
      <c r="XE343" s="1247"/>
      <c r="XF343" s="1247"/>
      <c r="XG343" s="1247"/>
      <c r="XH343" s="1247"/>
      <c r="XI343" s="1247"/>
      <c r="XJ343" s="1247"/>
      <c r="XK343" s="1247"/>
      <c r="XL343" s="1247"/>
      <c r="XM343" s="1247"/>
      <c r="XN343" s="1247"/>
      <c r="XO343" s="1247"/>
      <c r="XP343" s="1247"/>
      <c r="XQ343" s="1247"/>
      <c r="XR343" s="1247"/>
      <c r="XS343" s="1247"/>
      <c r="XT343" s="1247"/>
      <c r="XU343" s="1247"/>
      <c r="XV343" s="1247"/>
      <c r="XW343" s="1247"/>
      <c r="XX343" s="1247"/>
      <c r="XY343" s="1247"/>
      <c r="XZ343" s="1247"/>
      <c r="YA343" s="1247"/>
      <c r="YB343" s="1247"/>
      <c r="YC343" s="1247"/>
      <c r="YD343" s="1247"/>
      <c r="YE343" s="1247"/>
      <c r="YF343" s="1247"/>
      <c r="YG343" s="1247"/>
      <c r="YH343" s="1247"/>
      <c r="YI343" s="1247"/>
      <c r="YJ343" s="1247"/>
      <c r="YK343" s="1247"/>
      <c r="YL343" s="1247"/>
      <c r="YM343" s="1247"/>
      <c r="YN343" s="1247"/>
      <c r="YO343" s="1247"/>
      <c r="YP343" s="1247"/>
      <c r="YQ343" s="1247"/>
      <c r="YR343" s="1247"/>
      <c r="YS343" s="1247"/>
      <c r="YT343" s="1247"/>
      <c r="YU343" s="1247"/>
      <c r="YV343" s="1247"/>
      <c r="YW343" s="1247"/>
      <c r="YX343" s="1247"/>
      <c r="YY343" s="1247"/>
      <c r="YZ343" s="1247"/>
      <c r="ZA343" s="1247"/>
      <c r="ZB343" s="1247"/>
      <c r="ZC343" s="1247"/>
      <c r="ZD343" s="1247"/>
      <c r="ZE343" s="1247"/>
      <c r="ZF343" s="1247"/>
      <c r="ZG343" s="1247"/>
      <c r="ZH343" s="1247"/>
      <c r="ZI343" s="1247"/>
      <c r="ZJ343" s="1247"/>
      <c r="ZK343" s="1247"/>
      <c r="ZL343" s="1247"/>
      <c r="ZM343" s="1247"/>
      <c r="ZN343" s="1247"/>
      <c r="ZO343" s="1247"/>
      <c r="ZP343" s="1247"/>
      <c r="ZQ343" s="1247"/>
      <c r="ZR343" s="1247"/>
      <c r="ZS343" s="1247"/>
      <c r="ZT343" s="1247"/>
      <c r="ZU343" s="1247"/>
      <c r="ZV343" s="1247"/>
      <c r="ZW343" s="1247"/>
      <c r="ZX343" s="1247"/>
      <c r="ZY343" s="1247"/>
      <c r="ZZ343" s="1247"/>
      <c r="AAA343" s="1247"/>
      <c r="AAB343" s="1247"/>
      <c r="AAC343" s="1247"/>
      <c r="AAD343" s="1247"/>
      <c r="AAE343" s="1247"/>
      <c r="AAF343" s="1247"/>
      <c r="AAG343" s="1247"/>
      <c r="AAH343" s="1247"/>
      <c r="AAI343" s="1247"/>
      <c r="AAJ343" s="1247"/>
      <c r="AAK343" s="1247"/>
      <c r="AAL343" s="1247"/>
      <c r="AAM343" s="1247"/>
      <c r="AAN343" s="1247"/>
      <c r="AAO343" s="1247"/>
      <c r="AAP343" s="1247"/>
      <c r="AAQ343" s="1247"/>
      <c r="AAR343" s="1247"/>
      <c r="AAS343" s="1247"/>
      <c r="AAT343" s="1247"/>
      <c r="AAU343" s="1247"/>
      <c r="AAV343" s="1247"/>
      <c r="AAW343" s="1247"/>
      <c r="AAX343" s="1247"/>
      <c r="AAY343" s="1247"/>
      <c r="AAZ343" s="1247"/>
      <c r="ABA343" s="1247"/>
      <c r="ABB343" s="1247"/>
      <c r="ABC343" s="1247"/>
      <c r="ABD343" s="1247"/>
      <c r="ABE343" s="1247"/>
      <c r="ABF343" s="1247"/>
      <c r="ABG343" s="1247"/>
      <c r="ABH343" s="1247"/>
      <c r="ABI343" s="1247"/>
      <c r="ABJ343" s="1247"/>
      <c r="ABK343" s="1247"/>
      <c r="ABL343" s="1247"/>
      <c r="ABM343" s="1247"/>
      <c r="ABN343" s="1247"/>
      <c r="ABO343" s="1247"/>
      <c r="ABP343" s="1247"/>
      <c r="ABQ343" s="1247"/>
      <c r="ABR343" s="1247"/>
      <c r="ABS343" s="1247"/>
      <c r="ABT343" s="1247"/>
      <c r="ABU343" s="1247"/>
      <c r="ABV343" s="1247"/>
      <c r="ABW343" s="1247"/>
      <c r="ABX343" s="1247"/>
      <c r="ABY343" s="1247"/>
      <c r="ABZ343" s="1247"/>
      <c r="ACA343" s="1247"/>
      <c r="ACB343" s="1247"/>
      <c r="ACC343" s="1247"/>
      <c r="ACD343" s="1247"/>
      <c r="ACE343" s="1247"/>
      <c r="ACF343" s="1247"/>
      <c r="ACG343" s="1247"/>
      <c r="ACH343" s="1247"/>
      <c r="ACI343" s="1247"/>
      <c r="ACJ343" s="1247"/>
      <c r="ACK343" s="1247"/>
      <c r="ACL343" s="1247"/>
      <c r="ACM343" s="1247"/>
      <c r="ACN343" s="1247"/>
      <c r="ACO343" s="1247"/>
      <c r="ACP343" s="1247"/>
      <c r="ACQ343" s="1247"/>
      <c r="ACR343" s="1247"/>
      <c r="ACS343" s="1247"/>
      <c r="ACT343" s="1247"/>
      <c r="ACU343" s="1247"/>
      <c r="ACV343" s="1247"/>
      <c r="ACW343" s="1247"/>
      <c r="ACX343" s="1247"/>
      <c r="ACY343" s="1247"/>
      <c r="ACZ343" s="1247"/>
      <c r="ADA343" s="1247"/>
      <c r="ADB343" s="1247"/>
      <c r="ADC343" s="1247"/>
      <c r="ADD343" s="1247"/>
      <c r="ADE343" s="1247"/>
      <c r="ADF343" s="1247"/>
      <c r="ADG343" s="1247"/>
    </row>
    <row r="344" spans="1:787" s="1421" customFormat="1" ht="13" hidden="1" outlineLevel="1">
      <c r="A344" s="1247"/>
      <c r="B344" s="1413" t="s">
        <v>1010</v>
      </c>
      <c r="C344" s="1414"/>
      <c r="D344" s="1414" t="s">
        <v>1011</v>
      </c>
      <c r="E344" s="1417"/>
      <c r="F344" s="1416"/>
      <c r="G344" s="1417" t="s">
        <v>4117</v>
      </c>
      <c r="H344" s="1418"/>
      <c r="I344" s="1418"/>
      <c r="J344" s="1457"/>
      <c r="K344" s="1457"/>
      <c r="L344" s="1457"/>
      <c r="M344" s="1457"/>
      <c r="N344" s="1457"/>
      <c r="O344" s="1457"/>
      <c r="P344" s="1457"/>
      <c r="Q344" s="1419">
        <f>SUBTOTAL(9,Q345:Q348)</f>
        <v>273.70669500000002</v>
      </c>
      <c r="R344" s="1419">
        <f>SUBTOTAL(9,R345:R348)</f>
        <v>273.70669500000002</v>
      </c>
      <c r="S344" s="1419">
        <f>SUBTOTAL(9,S345:S348)</f>
        <v>0</v>
      </c>
      <c r="T344" s="1419">
        <f>SUBTOTAL(9,T345:T348)</f>
        <v>273.70669500000002</v>
      </c>
      <c r="U344" s="1443"/>
      <c r="V344" s="1225">
        <f t="shared" si="86"/>
        <v>0</v>
      </c>
      <c r="W344" s="1225">
        <f t="shared" si="87"/>
        <v>0</v>
      </c>
      <c r="X344" s="1225"/>
      <c r="Y344" s="1225"/>
      <c r="Z344" s="1247"/>
      <c r="AA344" s="1247"/>
      <c r="AB344" s="1247"/>
      <c r="AC344" s="1247"/>
      <c r="AD344" s="1247"/>
      <c r="AE344" s="1247"/>
      <c r="AF344" s="1247"/>
      <c r="AG344" s="1247"/>
      <c r="AH344" s="1247"/>
      <c r="AI344" s="1247"/>
      <c r="AJ344" s="1247"/>
      <c r="AK344" s="1247"/>
      <c r="AL344" s="1247"/>
      <c r="AM344" s="1247"/>
      <c r="AN344" s="1247"/>
      <c r="AO344" s="1247"/>
      <c r="AP344" s="1247"/>
      <c r="AQ344" s="1247"/>
      <c r="AR344" s="1247"/>
      <c r="AS344" s="1247"/>
      <c r="AT344" s="1247"/>
      <c r="AU344" s="1247"/>
      <c r="AV344" s="1247"/>
      <c r="AW344" s="1247"/>
      <c r="AX344" s="1247"/>
      <c r="AY344" s="1247"/>
      <c r="AZ344" s="1247"/>
      <c r="BA344" s="1247"/>
      <c r="BB344" s="1247"/>
      <c r="BC344" s="1247"/>
      <c r="BD344" s="1247"/>
      <c r="BE344" s="1247"/>
      <c r="BF344" s="1247"/>
      <c r="BG344" s="1247"/>
      <c r="BH344" s="1247"/>
      <c r="BI344" s="1247"/>
      <c r="BJ344" s="1247"/>
      <c r="BK344" s="1247"/>
      <c r="BL344" s="1247"/>
      <c r="BM344" s="1247"/>
      <c r="BN344" s="1247"/>
      <c r="BO344" s="1247"/>
      <c r="BP344" s="1247"/>
      <c r="BQ344" s="1247"/>
      <c r="BR344" s="1247"/>
      <c r="BS344" s="1247"/>
      <c r="BT344" s="1247"/>
      <c r="BU344" s="1247"/>
      <c r="BV344" s="1247"/>
      <c r="BW344" s="1247"/>
      <c r="BX344" s="1247"/>
      <c r="BY344" s="1247"/>
      <c r="BZ344" s="1247"/>
      <c r="CA344" s="1247"/>
      <c r="CB344" s="1247"/>
      <c r="CC344" s="1247"/>
      <c r="CD344" s="1247"/>
      <c r="CE344" s="1247"/>
      <c r="CF344" s="1247"/>
      <c r="CG344" s="1247"/>
      <c r="CH344" s="1247"/>
      <c r="CI344" s="1247"/>
      <c r="CJ344" s="1247"/>
      <c r="CK344" s="1247"/>
      <c r="CL344" s="1247"/>
      <c r="CM344" s="1247"/>
      <c r="CN344" s="1247"/>
      <c r="CO344" s="1247"/>
      <c r="CP344" s="1247"/>
      <c r="CQ344" s="1247"/>
      <c r="CR344" s="1247"/>
      <c r="CS344" s="1247"/>
      <c r="CT344" s="1247"/>
      <c r="CU344" s="1247"/>
      <c r="CV344" s="1247"/>
      <c r="CW344" s="1247"/>
      <c r="CX344" s="1247"/>
      <c r="CY344" s="1247"/>
      <c r="CZ344" s="1247"/>
      <c r="DA344" s="1247"/>
      <c r="DB344" s="1247"/>
      <c r="DC344" s="1247"/>
      <c r="DD344" s="1247"/>
      <c r="DE344" s="1247"/>
      <c r="DF344" s="1247"/>
      <c r="DG344" s="1247"/>
      <c r="DH344" s="1247"/>
      <c r="DI344" s="1247"/>
      <c r="DJ344" s="1247"/>
      <c r="DK344" s="1247"/>
      <c r="DL344" s="1247"/>
      <c r="DM344" s="1247"/>
      <c r="DN344" s="1247"/>
      <c r="DO344" s="1247"/>
      <c r="DP344" s="1247"/>
      <c r="DQ344" s="1247"/>
      <c r="DR344" s="1247"/>
      <c r="DS344" s="1247"/>
      <c r="DT344" s="1247"/>
      <c r="DU344" s="1247"/>
      <c r="DV344" s="1247"/>
      <c r="DW344" s="1247"/>
      <c r="DX344" s="1247"/>
      <c r="DY344" s="1247"/>
      <c r="DZ344" s="1247"/>
      <c r="EA344" s="1247"/>
      <c r="EB344" s="1247"/>
      <c r="EC344" s="1247"/>
      <c r="ED344" s="1247"/>
      <c r="EE344" s="1247"/>
      <c r="EF344" s="1247"/>
      <c r="EG344" s="1247"/>
      <c r="EH344" s="1247"/>
      <c r="EI344" s="1247"/>
      <c r="EJ344" s="1247"/>
      <c r="EK344" s="1247"/>
      <c r="EL344" s="1247"/>
      <c r="EM344" s="1247"/>
      <c r="EN344" s="1247"/>
      <c r="EO344" s="1247"/>
      <c r="EP344" s="1247"/>
      <c r="EQ344" s="1247"/>
      <c r="ER344" s="1247"/>
      <c r="ES344" s="1247"/>
      <c r="ET344" s="1247"/>
      <c r="EU344" s="1247"/>
      <c r="EV344" s="1247"/>
      <c r="EW344" s="1247"/>
      <c r="EX344" s="1247"/>
      <c r="EY344" s="1247"/>
      <c r="EZ344" s="1247"/>
      <c r="FA344" s="1247"/>
      <c r="FB344" s="1247"/>
      <c r="FC344" s="1247"/>
      <c r="FD344" s="1247"/>
      <c r="FE344" s="1247"/>
      <c r="FF344" s="1247"/>
      <c r="FG344" s="1247"/>
      <c r="FH344" s="1247"/>
      <c r="FI344" s="1247"/>
      <c r="FJ344" s="1247"/>
      <c r="FK344" s="1247"/>
      <c r="FL344" s="1247"/>
      <c r="FM344" s="1247"/>
      <c r="FN344" s="1247"/>
      <c r="FO344" s="1247"/>
      <c r="FP344" s="1247"/>
      <c r="FQ344" s="1247"/>
      <c r="FR344" s="1247"/>
      <c r="FS344" s="1247"/>
      <c r="FT344" s="1247"/>
      <c r="FU344" s="1247"/>
      <c r="FV344" s="1247"/>
      <c r="FW344" s="1247"/>
      <c r="FX344" s="1247"/>
      <c r="FY344" s="1247"/>
      <c r="FZ344" s="1247"/>
      <c r="GA344" s="1247"/>
      <c r="GB344" s="1247"/>
      <c r="GC344" s="1247"/>
      <c r="GD344" s="1247"/>
      <c r="GE344" s="1247"/>
      <c r="GF344" s="1247"/>
      <c r="GG344" s="1247"/>
      <c r="GH344" s="1247"/>
      <c r="GI344" s="1247"/>
      <c r="GJ344" s="1247"/>
      <c r="GK344" s="1247"/>
      <c r="GL344" s="1247"/>
      <c r="GM344" s="1247"/>
      <c r="GN344" s="1247"/>
      <c r="GO344" s="1247"/>
      <c r="GP344" s="1247"/>
      <c r="GQ344" s="1247"/>
      <c r="GR344" s="1247"/>
      <c r="GS344" s="1247"/>
      <c r="GT344" s="1247"/>
      <c r="GU344" s="1247"/>
      <c r="GV344" s="1247"/>
      <c r="GW344" s="1247"/>
      <c r="GX344" s="1247"/>
      <c r="GY344" s="1247"/>
      <c r="GZ344" s="1247"/>
      <c r="HA344" s="1247"/>
      <c r="HB344" s="1247"/>
      <c r="HC344" s="1247"/>
      <c r="HD344" s="1247"/>
      <c r="HE344" s="1247"/>
      <c r="HF344" s="1247"/>
      <c r="HG344" s="1247"/>
      <c r="HH344" s="1247"/>
      <c r="HI344" s="1247"/>
      <c r="HJ344" s="1247"/>
      <c r="HK344" s="1247"/>
      <c r="HL344" s="1247"/>
      <c r="HM344" s="1247"/>
      <c r="HN344" s="1247"/>
      <c r="HO344" s="1247"/>
      <c r="HP344" s="1247"/>
      <c r="HQ344" s="1247"/>
      <c r="HR344" s="1247"/>
      <c r="HS344" s="1247"/>
      <c r="HT344" s="1247"/>
      <c r="HU344" s="1247"/>
      <c r="HV344" s="1247"/>
      <c r="HW344" s="1247"/>
      <c r="HX344" s="1247"/>
      <c r="HY344" s="1247"/>
      <c r="HZ344" s="1247"/>
      <c r="IA344" s="1247"/>
      <c r="IB344" s="1247"/>
      <c r="IC344" s="1247"/>
      <c r="ID344" s="1247"/>
      <c r="IE344" s="1247"/>
      <c r="IF344" s="1247"/>
      <c r="IG344" s="1247"/>
      <c r="IH344" s="1247"/>
      <c r="II344" s="1247"/>
      <c r="IJ344" s="1247"/>
      <c r="IK344" s="1247"/>
      <c r="IL344" s="1247"/>
      <c r="IM344" s="1247"/>
      <c r="IN344" s="1247"/>
      <c r="IO344" s="1247"/>
      <c r="IP344" s="1247"/>
      <c r="IQ344" s="1247"/>
      <c r="IR344" s="1247"/>
      <c r="IS344" s="1247"/>
      <c r="IT344" s="1247"/>
      <c r="IU344" s="1247"/>
      <c r="IV344" s="1247"/>
      <c r="IW344" s="1247"/>
      <c r="IX344" s="1247"/>
      <c r="IY344" s="1247"/>
      <c r="IZ344" s="1247"/>
      <c r="JA344" s="1247"/>
      <c r="JB344" s="1247"/>
      <c r="JC344" s="1247"/>
      <c r="JD344" s="1247"/>
      <c r="JE344" s="1247"/>
      <c r="JF344" s="1247"/>
      <c r="JG344" s="1247"/>
      <c r="JH344" s="1247"/>
      <c r="JI344" s="1247"/>
      <c r="JJ344" s="1247"/>
      <c r="JK344" s="1247"/>
      <c r="JL344" s="1247"/>
      <c r="JM344" s="1247"/>
      <c r="JN344" s="1247"/>
      <c r="JO344" s="1247"/>
      <c r="JP344" s="1247"/>
      <c r="JQ344" s="1247"/>
      <c r="JR344" s="1247"/>
      <c r="JS344" s="1247"/>
      <c r="JT344" s="1247"/>
      <c r="JU344" s="1247"/>
      <c r="JV344" s="1247"/>
      <c r="JW344" s="1247"/>
      <c r="JX344" s="1247"/>
      <c r="JY344" s="1247"/>
      <c r="JZ344" s="1247"/>
      <c r="KA344" s="1247"/>
      <c r="KB344" s="1247"/>
      <c r="KC344" s="1247"/>
      <c r="KD344" s="1247"/>
      <c r="KE344" s="1247"/>
      <c r="KF344" s="1247"/>
      <c r="KG344" s="1247"/>
      <c r="KH344" s="1247"/>
      <c r="KI344" s="1247"/>
      <c r="KJ344" s="1247"/>
      <c r="KK344" s="1247"/>
      <c r="KL344" s="1247"/>
      <c r="KM344" s="1247"/>
      <c r="KN344" s="1247"/>
      <c r="KO344" s="1247"/>
      <c r="KP344" s="1247"/>
      <c r="KQ344" s="1247"/>
      <c r="KR344" s="1247"/>
      <c r="KS344" s="1247"/>
      <c r="KT344" s="1247"/>
      <c r="KU344" s="1247"/>
      <c r="KV344" s="1247"/>
      <c r="KW344" s="1247"/>
      <c r="KX344" s="1247"/>
      <c r="KY344" s="1247"/>
      <c r="KZ344" s="1247"/>
      <c r="LA344" s="1247"/>
      <c r="LB344" s="1247"/>
      <c r="LC344" s="1247"/>
      <c r="LD344" s="1247"/>
      <c r="LE344" s="1247"/>
      <c r="LF344" s="1247"/>
      <c r="LG344" s="1247"/>
      <c r="LH344" s="1247"/>
      <c r="LI344" s="1247"/>
      <c r="LJ344" s="1247"/>
      <c r="LK344" s="1247"/>
      <c r="LL344" s="1247"/>
      <c r="LM344" s="1247"/>
      <c r="LN344" s="1247"/>
      <c r="LO344" s="1247"/>
      <c r="LP344" s="1247"/>
      <c r="LQ344" s="1247"/>
      <c r="LR344" s="1247"/>
      <c r="LS344" s="1247"/>
      <c r="LT344" s="1247"/>
      <c r="LU344" s="1247"/>
      <c r="LV344" s="1247"/>
      <c r="LW344" s="1247"/>
      <c r="LX344" s="1247"/>
      <c r="LY344" s="1247"/>
      <c r="LZ344" s="1247"/>
      <c r="MA344" s="1247"/>
      <c r="MB344" s="1247"/>
      <c r="MC344" s="1247"/>
      <c r="MD344" s="1247"/>
      <c r="ME344" s="1247"/>
      <c r="MF344" s="1247"/>
      <c r="MG344" s="1247"/>
      <c r="MH344" s="1247"/>
      <c r="MI344" s="1247"/>
      <c r="MJ344" s="1247"/>
      <c r="MK344" s="1247"/>
      <c r="ML344" s="1247"/>
      <c r="MM344" s="1247"/>
      <c r="MN344" s="1247"/>
      <c r="MO344" s="1247"/>
      <c r="MP344" s="1247"/>
      <c r="MQ344" s="1247"/>
      <c r="MR344" s="1247"/>
      <c r="MS344" s="1247"/>
      <c r="MT344" s="1247"/>
      <c r="MU344" s="1247"/>
      <c r="MV344" s="1247"/>
      <c r="MW344" s="1247"/>
      <c r="MX344" s="1247"/>
      <c r="MY344" s="1247"/>
      <c r="MZ344" s="1247"/>
      <c r="NA344" s="1247"/>
      <c r="NB344" s="1247"/>
      <c r="NC344" s="1247"/>
      <c r="ND344" s="1247"/>
      <c r="NE344" s="1247"/>
      <c r="NF344" s="1247"/>
      <c r="NG344" s="1247"/>
      <c r="NH344" s="1247"/>
      <c r="NI344" s="1247"/>
      <c r="NJ344" s="1247"/>
      <c r="NK344" s="1247"/>
      <c r="NL344" s="1247"/>
      <c r="NM344" s="1247"/>
      <c r="NN344" s="1247"/>
      <c r="NO344" s="1247"/>
      <c r="NP344" s="1247"/>
      <c r="NQ344" s="1247"/>
      <c r="NR344" s="1247"/>
      <c r="NS344" s="1247"/>
      <c r="NT344" s="1247"/>
      <c r="NU344" s="1247"/>
      <c r="NV344" s="1247"/>
      <c r="NW344" s="1247"/>
      <c r="NX344" s="1247"/>
      <c r="NY344" s="1247"/>
      <c r="NZ344" s="1247"/>
      <c r="OA344" s="1247"/>
      <c r="OB344" s="1247"/>
      <c r="OC344" s="1247"/>
      <c r="OD344" s="1247"/>
      <c r="OE344" s="1247"/>
      <c r="OF344" s="1247"/>
      <c r="OG344" s="1247"/>
      <c r="OH344" s="1247"/>
      <c r="OI344" s="1247"/>
      <c r="OJ344" s="1247"/>
      <c r="OK344" s="1247"/>
      <c r="OL344" s="1247"/>
      <c r="OM344" s="1247"/>
      <c r="ON344" s="1247"/>
      <c r="OO344" s="1247"/>
      <c r="OP344" s="1247"/>
      <c r="OQ344" s="1247"/>
      <c r="OR344" s="1247"/>
      <c r="OS344" s="1247"/>
      <c r="OT344" s="1247"/>
      <c r="OU344" s="1247"/>
      <c r="OV344" s="1247"/>
      <c r="OW344" s="1247"/>
      <c r="OX344" s="1247"/>
      <c r="OY344" s="1247"/>
      <c r="OZ344" s="1247"/>
      <c r="PA344" s="1247"/>
      <c r="PB344" s="1247"/>
      <c r="PC344" s="1247"/>
      <c r="PD344" s="1247"/>
      <c r="PE344" s="1247"/>
      <c r="PF344" s="1247"/>
      <c r="PG344" s="1247"/>
      <c r="PH344" s="1247"/>
      <c r="PI344" s="1247"/>
      <c r="PJ344" s="1247"/>
      <c r="PK344" s="1247"/>
      <c r="PL344" s="1247"/>
      <c r="PM344" s="1247"/>
      <c r="PN344" s="1247"/>
      <c r="PO344" s="1247"/>
      <c r="PP344" s="1247"/>
      <c r="PQ344" s="1247"/>
      <c r="PR344" s="1247"/>
      <c r="PS344" s="1247"/>
      <c r="PT344" s="1247"/>
      <c r="PU344" s="1247"/>
      <c r="PV344" s="1247"/>
      <c r="PW344" s="1247"/>
      <c r="PX344" s="1247"/>
      <c r="PY344" s="1247"/>
      <c r="PZ344" s="1247"/>
      <c r="QA344" s="1247"/>
      <c r="QB344" s="1247"/>
      <c r="QC344" s="1247"/>
      <c r="QD344" s="1247"/>
      <c r="QE344" s="1247"/>
      <c r="QF344" s="1247"/>
      <c r="QG344" s="1247"/>
      <c r="QH344" s="1247"/>
      <c r="QI344" s="1247"/>
      <c r="QJ344" s="1247"/>
      <c r="QK344" s="1247"/>
      <c r="QL344" s="1247"/>
      <c r="QM344" s="1247"/>
      <c r="QN344" s="1247"/>
      <c r="QO344" s="1247"/>
      <c r="QP344" s="1247"/>
      <c r="QQ344" s="1247"/>
      <c r="QR344" s="1247"/>
      <c r="QS344" s="1247"/>
      <c r="QT344" s="1247"/>
      <c r="QU344" s="1247"/>
      <c r="QV344" s="1247"/>
      <c r="QW344" s="1247"/>
      <c r="QX344" s="1247"/>
      <c r="QY344" s="1247"/>
      <c r="QZ344" s="1247"/>
      <c r="RA344" s="1247"/>
      <c r="RB344" s="1247"/>
      <c r="RC344" s="1247"/>
      <c r="RD344" s="1247"/>
      <c r="RE344" s="1247"/>
      <c r="RF344" s="1247"/>
      <c r="RG344" s="1247"/>
      <c r="RH344" s="1247"/>
      <c r="RI344" s="1247"/>
      <c r="RJ344" s="1247"/>
      <c r="RK344" s="1247"/>
      <c r="RL344" s="1247"/>
      <c r="RM344" s="1247"/>
      <c r="RN344" s="1247"/>
      <c r="RO344" s="1247"/>
      <c r="RP344" s="1247"/>
      <c r="RQ344" s="1247"/>
      <c r="RR344" s="1247"/>
      <c r="RS344" s="1247"/>
      <c r="RT344" s="1247"/>
      <c r="RU344" s="1247"/>
      <c r="RV344" s="1247"/>
      <c r="RW344" s="1247"/>
      <c r="RX344" s="1247"/>
      <c r="RY344" s="1247"/>
      <c r="RZ344" s="1247"/>
      <c r="SA344" s="1247"/>
      <c r="SB344" s="1247"/>
      <c r="SC344" s="1247"/>
      <c r="SD344" s="1247"/>
      <c r="SE344" s="1247"/>
      <c r="SF344" s="1247"/>
      <c r="SG344" s="1247"/>
      <c r="SH344" s="1247"/>
      <c r="SI344" s="1247"/>
      <c r="SJ344" s="1247"/>
      <c r="SK344" s="1247"/>
      <c r="SL344" s="1247"/>
      <c r="SM344" s="1247"/>
      <c r="SN344" s="1247"/>
      <c r="SO344" s="1247"/>
      <c r="SP344" s="1247"/>
      <c r="SQ344" s="1247"/>
      <c r="SR344" s="1247"/>
      <c r="SS344" s="1247"/>
      <c r="ST344" s="1247"/>
      <c r="SU344" s="1247"/>
      <c r="SV344" s="1247"/>
      <c r="SW344" s="1247"/>
      <c r="SX344" s="1247"/>
      <c r="SY344" s="1247"/>
      <c r="SZ344" s="1247"/>
      <c r="TA344" s="1247"/>
      <c r="TB344" s="1247"/>
      <c r="TC344" s="1247"/>
      <c r="TD344" s="1247"/>
      <c r="TE344" s="1247"/>
      <c r="TF344" s="1247"/>
      <c r="TG344" s="1247"/>
      <c r="TH344" s="1247"/>
      <c r="TI344" s="1247"/>
      <c r="TJ344" s="1247"/>
      <c r="TK344" s="1247"/>
      <c r="TL344" s="1247"/>
      <c r="TM344" s="1247"/>
      <c r="TN344" s="1247"/>
      <c r="TO344" s="1247"/>
      <c r="TP344" s="1247"/>
      <c r="TQ344" s="1247"/>
      <c r="TR344" s="1247"/>
      <c r="TS344" s="1247"/>
      <c r="TT344" s="1247"/>
      <c r="TU344" s="1247"/>
      <c r="TV344" s="1247"/>
      <c r="TW344" s="1247"/>
      <c r="TX344" s="1247"/>
      <c r="TY344" s="1247"/>
      <c r="TZ344" s="1247"/>
      <c r="UA344" s="1247"/>
      <c r="UB344" s="1247"/>
      <c r="UC344" s="1247"/>
      <c r="UD344" s="1247"/>
      <c r="UE344" s="1247"/>
      <c r="UF344" s="1247"/>
      <c r="UG344" s="1247"/>
      <c r="UH344" s="1247"/>
      <c r="UI344" s="1247"/>
      <c r="UJ344" s="1247"/>
      <c r="UK344" s="1247"/>
      <c r="UL344" s="1247"/>
      <c r="UM344" s="1247"/>
      <c r="UN344" s="1247"/>
      <c r="UO344" s="1247"/>
      <c r="UP344" s="1247"/>
      <c r="UQ344" s="1247"/>
      <c r="UR344" s="1247"/>
      <c r="US344" s="1247"/>
      <c r="UT344" s="1247"/>
      <c r="UU344" s="1247"/>
      <c r="UV344" s="1247"/>
      <c r="UW344" s="1247"/>
      <c r="UX344" s="1247"/>
      <c r="UY344" s="1247"/>
      <c r="UZ344" s="1247"/>
      <c r="VA344" s="1247"/>
      <c r="VB344" s="1247"/>
      <c r="VC344" s="1247"/>
      <c r="VD344" s="1247"/>
      <c r="VE344" s="1247"/>
      <c r="VF344" s="1247"/>
      <c r="VG344" s="1247"/>
      <c r="VH344" s="1247"/>
      <c r="VI344" s="1247"/>
      <c r="VJ344" s="1247"/>
      <c r="VK344" s="1247"/>
      <c r="VL344" s="1247"/>
      <c r="VM344" s="1247"/>
      <c r="VN344" s="1247"/>
      <c r="VO344" s="1247"/>
      <c r="VP344" s="1247"/>
      <c r="VQ344" s="1247"/>
      <c r="VR344" s="1247"/>
      <c r="VS344" s="1247"/>
      <c r="VT344" s="1247"/>
      <c r="VU344" s="1247"/>
      <c r="VV344" s="1247"/>
      <c r="VW344" s="1247"/>
      <c r="VX344" s="1247"/>
      <c r="VY344" s="1247"/>
      <c r="VZ344" s="1247"/>
      <c r="WA344" s="1247"/>
      <c r="WB344" s="1247"/>
      <c r="WC344" s="1247"/>
      <c r="WD344" s="1247"/>
      <c r="WE344" s="1247"/>
      <c r="WF344" s="1247"/>
      <c r="WG344" s="1247"/>
      <c r="WH344" s="1247"/>
      <c r="WI344" s="1247"/>
      <c r="WJ344" s="1247"/>
      <c r="WK344" s="1247"/>
      <c r="WL344" s="1247"/>
      <c r="WM344" s="1247"/>
      <c r="WN344" s="1247"/>
      <c r="WO344" s="1247"/>
      <c r="WP344" s="1247"/>
      <c r="WQ344" s="1247"/>
      <c r="WR344" s="1247"/>
      <c r="WS344" s="1247"/>
      <c r="WT344" s="1247"/>
      <c r="WU344" s="1247"/>
      <c r="WV344" s="1247"/>
      <c r="WW344" s="1247"/>
      <c r="WX344" s="1247"/>
      <c r="WY344" s="1247"/>
      <c r="WZ344" s="1247"/>
      <c r="XA344" s="1247"/>
      <c r="XB344" s="1247"/>
      <c r="XC344" s="1247"/>
      <c r="XD344" s="1247"/>
      <c r="XE344" s="1247"/>
      <c r="XF344" s="1247"/>
      <c r="XG344" s="1247"/>
      <c r="XH344" s="1247"/>
      <c r="XI344" s="1247"/>
      <c r="XJ344" s="1247"/>
      <c r="XK344" s="1247"/>
      <c r="XL344" s="1247"/>
      <c r="XM344" s="1247"/>
      <c r="XN344" s="1247"/>
      <c r="XO344" s="1247"/>
      <c r="XP344" s="1247"/>
      <c r="XQ344" s="1247"/>
      <c r="XR344" s="1247"/>
      <c r="XS344" s="1247"/>
      <c r="XT344" s="1247"/>
      <c r="XU344" s="1247"/>
      <c r="XV344" s="1247"/>
      <c r="XW344" s="1247"/>
      <c r="XX344" s="1247"/>
      <c r="XY344" s="1247"/>
      <c r="XZ344" s="1247"/>
      <c r="YA344" s="1247"/>
      <c r="YB344" s="1247"/>
      <c r="YC344" s="1247"/>
      <c r="YD344" s="1247"/>
      <c r="YE344" s="1247"/>
      <c r="YF344" s="1247"/>
      <c r="YG344" s="1247"/>
      <c r="YH344" s="1247"/>
      <c r="YI344" s="1247"/>
      <c r="YJ344" s="1247"/>
      <c r="YK344" s="1247"/>
      <c r="YL344" s="1247"/>
      <c r="YM344" s="1247"/>
      <c r="YN344" s="1247"/>
      <c r="YO344" s="1247"/>
      <c r="YP344" s="1247"/>
      <c r="YQ344" s="1247"/>
      <c r="YR344" s="1247"/>
      <c r="YS344" s="1247"/>
      <c r="YT344" s="1247"/>
      <c r="YU344" s="1247"/>
      <c r="YV344" s="1247"/>
      <c r="YW344" s="1247"/>
      <c r="YX344" s="1247"/>
      <c r="YY344" s="1247"/>
      <c r="YZ344" s="1247"/>
      <c r="ZA344" s="1247"/>
      <c r="ZB344" s="1247"/>
      <c r="ZC344" s="1247"/>
      <c r="ZD344" s="1247"/>
      <c r="ZE344" s="1247"/>
      <c r="ZF344" s="1247"/>
      <c r="ZG344" s="1247"/>
      <c r="ZH344" s="1247"/>
      <c r="ZI344" s="1247"/>
      <c r="ZJ344" s="1247"/>
      <c r="ZK344" s="1247"/>
      <c r="ZL344" s="1247"/>
      <c r="ZM344" s="1247"/>
      <c r="ZN344" s="1247"/>
      <c r="ZO344" s="1247"/>
      <c r="ZP344" s="1247"/>
      <c r="ZQ344" s="1247"/>
      <c r="ZR344" s="1247"/>
      <c r="ZS344" s="1247"/>
      <c r="ZT344" s="1247"/>
      <c r="ZU344" s="1247"/>
      <c r="ZV344" s="1247"/>
      <c r="ZW344" s="1247"/>
      <c r="ZX344" s="1247"/>
      <c r="ZY344" s="1247"/>
      <c r="ZZ344" s="1247"/>
      <c r="AAA344" s="1247"/>
      <c r="AAB344" s="1247"/>
      <c r="AAC344" s="1247"/>
      <c r="AAD344" s="1247"/>
      <c r="AAE344" s="1247"/>
      <c r="AAF344" s="1247"/>
      <c r="AAG344" s="1247"/>
      <c r="AAH344" s="1247"/>
      <c r="AAI344" s="1247"/>
      <c r="AAJ344" s="1247"/>
      <c r="AAK344" s="1247"/>
      <c r="AAL344" s="1247"/>
      <c r="AAM344" s="1247"/>
      <c r="AAN344" s="1247"/>
      <c r="AAO344" s="1247"/>
      <c r="AAP344" s="1247"/>
      <c r="AAQ344" s="1247"/>
      <c r="AAR344" s="1247"/>
      <c r="AAS344" s="1247"/>
      <c r="AAT344" s="1247"/>
      <c r="AAU344" s="1247"/>
      <c r="AAV344" s="1247"/>
      <c r="AAW344" s="1247"/>
      <c r="AAX344" s="1247"/>
      <c r="AAY344" s="1247"/>
      <c r="AAZ344" s="1247"/>
      <c r="ABA344" s="1247"/>
      <c r="ABB344" s="1247"/>
      <c r="ABC344" s="1247"/>
      <c r="ABD344" s="1247"/>
      <c r="ABE344" s="1247"/>
      <c r="ABF344" s="1247"/>
      <c r="ABG344" s="1247"/>
      <c r="ABH344" s="1247"/>
      <c r="ABI344" s="1247"/>
      <c r="ABJ344" s="1247"/>
      <c r="ABK344" s="1247"/>
      <c r="ABL344" s="1247"/>
      <c r="ABM344" s="1247"/>
      <c r="ABN344" s="1247"/>
      <c r="ABO344" s="1247"/>
      <c r="ABP344" s="1247"/>
      <c r="ABQ344" s="1247"/>
      <c r="ABR344" s="1247"/>
      <c r="ABS344" s="1247"/>
      <c r="ABT344" s="1247"/>
      <c r="ABU344" s="1247"/>
      <c r="ABV344" s="1247"/>
      <c r="ABW344" s="1247"/>
      <c r="ABX344" s="1247"/>
      <c r="ABY344" s="1247"/>
      <c r="ABZ344" s="1247"/>
      <c r="ACA344" s="1247"/>
      <c r="ACB344" s="1247"/>
      <c r="ACC344" s="1247"/>
      <c r="ACD344" s="1247"/>
      <c r="ACE344" s="1247"/>
      <c r="ACF344" s="1247"/>
      <c r="ACG344" s="1247"/>
      <c r="ACH344" s="1247"/>
      <c r="ACI344" s="1247"/>
      <c r="ACJ344" s="1247"/>
      <c r="ACK344" s="1247"/>
      <c r="ACL344" s="1247"/>
      <c r="ACM344" s="1247"/>
      <c r="ACN344" s="1247"/>
      <c r="ACO344" s="1247"/>
      <c r="ACP344" s="1247"/>
      <c r="ACQ344" s="1247"/>
      <c r="ACR344" s="1247"/>
      <c r="ACS344" s="1247"/>
      <c r="ACT344" s="1247"/>
      <c r="ACU344" s="1247"/>
      <c r="ACV344" s="1247"/>
      <c r="ACW344" s="1247"/>
      <c r="ACX344" s="1247"/>
      <c r="ACY344" s="1247"/>
      <c r="ACZ344" s="1247"/>
      <c r="ADA344" s="1247"/>
      <c r="ADB344" s="1247"/>
      <c r="ADC344" s="1247"/>
      <c r="ADD344" s="1247"/>
      <c r="ADE344" s="1247"/>
      <c r="ADF344" s="1247"/>
      <c r="ADG344" s="1247"/>
    </row>
    <row r="345" spans="1:787" s="1247" customFormat="1" ht="13" hidden="1" outlineLevel="2">
      <c r="B345" s="1422" t="s">
        <v>1463</v>
      </c>
      <c r="C345" s="1423"/>
      <c r="D345" s="1423" t="s">
        <v>1465</v>
      </c>
      <c r="E345" s="1431"/>
      <c r="F345" s="1425" t="s">
        <v>1011</v>
      </c>
      <c r="G345" s="1431" t="s">
        <v>4201</v>
      </c>
      <c r="H345" s="1446"/>
      <c r="I345" s="1446"/>
      <c r="J345" s="1427"/>
      <c r="K345" s="1427"/>
      <c r="L345" s="1427"/>
      <c r="M345" s="1427"/>
      <c r="N345" s="1427"/>
      <c r="O345" s="1427"/>
      <c r="P345" s="1427"/>
      <c r="Q345" s="1427">
        <f>VLOOKUP(D345,'当期公摊测算表（全期）'!D:W,12,FALSE)</f>
        <v>41.557374000000003</v>
      </c>
      <c r="R345" s="1428">
        <f t="shared" ref="R345:R350" si="88">SUM(H345:Q345)</f>
        <v>41.557374000000003</v>
      </c>
      <c r="S345" s="1427">
        <f>VLOOKUP($D345,'当期公摊测算表（全期）'!D:W,17,FALSE)</f>
        <v>0</v>
      </c>
      <c r="T345" s="1427">
        <f t="shared" ref="T345:T350" si="89">R345+S345</f>
        <v>41.557374000000003</v>
      </c>
      <c r="U345" s="1429"/>
      <c r="V345" s="1225">
        <f t="shared" si="86"/>
        <v>0</v>
      </c>
      <c r="W345" s="1225">
        <f t="shared" si="87"/>
        <v>0</v>
      </c>
      <c r="X345" s="1225"/>
      <c r="Y345" s="1225"/>
    </row>
    <row r="346" spans="1:787" s="1247" customFormat="1" ht="13" hidden="1" outlineLevel="2">
      <c r="B346" s="1422" t="s">
        <v>1466</v>
      </c>
      <c r="C346" s="1423"/>
      <c r="D346" s="1423" t="s">
        <v>1468</v>
      </c>
      <c r="E346" s="1431"/>
      <c r="F346" s="1425" t="s">
        <v>1011</v>
      </c>
      <c r="G346" s="1431" t="s">
        <v>4201</v>
      </c>
      <c r="H346" s="1446"/>
      <c r="I346" s="1446"/>
      <c r="J346" s="1427"/>
      <c r="K346" s="1427"/>
      <c r="L346" s="1427"/>
      <c r="M346" s="1427"/>
      <c r="N346" s="1427"/>
      <c r="O346" s="1427"/>
      <c r="P346" s="1427"/>
      <c r="Q346" s="1427">
        <f>VLOOKUP(D346,'当期公摊测算表（全期）'!D:W,12,FALSE)</f>
        <v>157.91802100000001</v>
      </c>
      <c r="R346" s="1428">
        <f t="shared" si="88"/>
        <v>157.91802100000001</v>
      </c>
      <c r="S346" s="1427">
        <f>VLOOKUP($D346,'当期公摊测算表（全期）'!D:W,17,FALSE)</f>
        <v>0</v>
      </c>
      <c r="T346" s="1427">
        <f t="shared" si="89"/>
        <v>157.91802100000001</v>
      </c>
      <c r="U346" s="1429"/>
      <c r="V346" s="1225">
        <f t="shared" si="86"/>
        <v>0</v>
      </c>
      <c r="W346" s="1225">
        <f t="shared" si="87"/>
        <v>0</v>
      </c>
      <c r="X346" s="1225"/>
      <c r="Y346" s="1225"/>
    </row>
    <row r="347" spans="1:787" s="1247" customFormat="1" ht="13" hidden="1" outlineLevel="2">
      <c r="B347" s="1422" t="s">
        <v>3822</v>
      </c>
      <c r="C347" s="1423"/>
      <c r="D347" s="1423" t="s">
        <v>3823</v>
      </c>
      <c r="E347" s="1431"/>
      <c r="F347" s="1425" t="s">
        <v>1011</v>
      </c>
      <c r="G347" s="1431" t="s">
        <v>4201</v>
      </c>
      <c r="H347" s="1446"/>
      <c r="I347" s="1446"/>
      <c r="J347" s="1427"/>
      <c r="K347" s="1427"/>
      <c r="L347" s="1427"/>
      <c r="M347" s="1427"/>
      <c r="N347" s="1427"/>
      <c r="O347" s="1427"/>
      <c r="P347" s="1427"/>
      <c r="Q347" s="1427">
        <f>VLOOKUP(D347,'当期公摊测算表（全期）'!D:W,12,FALSE)</f>
        <v>0</v>
      </c>
      <c r="R347" s="1428">
        <f t="shared" si="88"/>
        <v>0</v>
      </c>
      <c r="S347" s="1427">
        <f>VLOOKUP($D347,'当期公摊测算表（全期）'!D:W,17,FALSE)</f>
        <v>0</v>
      </c>
      <c r="T347" s="1427">
        <f t="shared" si="89"/>
        <v>0</v>
      </c>
      <c r="U347" s="1429"/>
      <c r="V347" s="1225">
        <f t="shared" si="86"/>
        <v>0</v>
      </c>
      <c r="W347" s="1225">
        <f t="shared" si="87"/>
        <v>0</v>
      </c>
      <c r="X347" s="1225"/>
      <c r="Y347" s="1225"/>
    </row>
    <row r="348" spans="1:787" s="1247" customFormat="1" ht="13" hidden="1" outlineLevel="2">
      <c r="B348" s="1422" t="s">
        <v>3824</v>
      </c>
      <c r="C348" s="1423"/>
      <c r="D348" s="1423" t="s">
        <v>3825</v>
      </c>
      <c r="E348" s="1431"/>
      <c r="F348" s="1425" t="s">
        <v>1011</v>
      </c>
      <c r="G348" s="1431" t="s">
        <v>4201</v>
      </c>
      <c r="H348" s="1446"/>
      <c r="I348" s="1446"/>
      <c r="J348" s="1427"/>
      <c r="K348" s="1427"/>
      <c r="L348" s="1427"/>
      <c r="M348" s="1427"/>
      <c r="N348" s="1427"/>
      <c r="O348" s="1427"/>
      <c r="P348" s="1427"/>
      <c r="Q348" s="1427">
        <f>VLOOKUP(D348,'当期公摊测算表（全期）'!D:W,12,FALSE)</f>
        <v>74.231300000000005</v>
      </c>
      <c r="R348" s="1428">
        <f t="shared" si="88"/>
        <v>74.231300000000005</v>
      </c>
      <c r="S348" s="1427">
        <f>VLOOKUP($D348,'当期公摊测算表（全期）'!D:W,17,FALSE)</f>
        <v>0</v>
      </c>
      <c r="T348" s="1427">
        <f t="shared" si="89"/>
        <v>74.231300000000005</v>
      </c>
      <c r="U348" s="1429"/>
      <c r="V348" s="1225">
        <f t="shared" si="86"/>
        <v>0</v>
      </c>
      <c r="W348" s="1225">
        <f t="shared" si="87"/>
        <v>0</v>
      </c>
      <c r="X348" s="1225"/>
      <c r="Y348" s="1225"/>
    </row>
    <row r="349" spans="1:787" s="1421" customFormat="1" ht="13" hidden="1" outlineLevel="1">
      <c r="A349" s="1247"/>
      <c r="B349" s="1413" t="s">
        <v>3149</v>
      </c>
      <c r="C349" s="1414"/>
      <c r="D349" s="1414" t="s">
        <v>3150</v>
      </c>
      <c r="E349" s="1417"/>
      <c r="F349" s="1416" t="s">
        <v>3573</v>
      </c>
      <c r="G349" s="1417" t="s">
        <v>4191</v>
      </c>
      <c r="H349" s="1418"/>
      <c r="I349" s="1418"/>
      <c r="J349" s="1457"/>
      <c r="K349" s="1457"/>
      <c r="L349" s="1457"/>
      <c r="M349" s="1457"/>
      <c r="N349" s="1457"/>
      <c r="O349" s="1457"/>
      <c r="P349" s="1457"/>
      <c r="Q349" s="1419">
        <f>VLOOKUP(D349,'当期公摊测算表（全期）'!D:W,12,FALSE)</f>
        <v>0</v>
      </c>
      <c r="R349" s="1419">
        <f t="shared" si="88"/>
        <v>0</v>
      </c>
      <c r="S349" s="1419">
        <f>VLOOKUP($D349,'当期公摊测算表（全期）'!D:W,17,FALSE)</f>
        <v>0</v>
      </c>
      <c r="T349" s="1419">
        <f t="shared" si="89"/>
        <v>0</v>
      </c>
      <c r="U349" s="1443"/>
      <c r="V349" s="1225">
        <f t="shared" si="86"/>
        <v>0</v>
      </c>
      <c r="W349" s="1225">
        <f t="shared" si="87"/>
        <v>0</v>
      </c>
      <c r="X349" s="1225"/>
      <c r="Y349" s="1225"/>
      <c r="Z349" s="1247"/>
      <c r="AA349" s="1247"/>
      <c r="AB349" s="1247"/>
      <c r="AC349" s="1247"/>
      <c r="AD349" s="1247"/>
      <c r="AE349" s="1247"/>
      <c r="AF349" s="1247"/>
      <c r="AG349" s="1247"/>
      <c r="AH349" s="1247"/>
      <c r="AI349" s="1247"/>
      <c r="AJ349" s="1247"/>
      <c r="AK349" s="1247"/>
      <c r="AL349" s="1247"/>
      <c r="AM349" s="1247"/>
      <c r="AN349" s="1247"/>
      <c r="AO349" s="1247"/>
      <c r="AP349" s="1247"/>
      <c r="AQ349" s="1247"/>
      <c r="AR349" s="1247"/>
      <c r="AS349" s="1247"/>
      <c r="AT349" s="1247"/>
      <c r="AU349" s="1247"/>
      <c r="AV349" s="1247"/>
      <c r="AW349" s="1247"/>
      <c r="AX349" s="1247"/>
      <c r="AY349" s="1247"/>
      <c r="AZ349" s="1247"/>
      <c r="BA349" s="1247"/>
      <c r="BB349" s="1247"/>
      <c r="BC349" s="1247"/>
      <c r="BD349" s="1247"/>
      <c r="BE349" s="1247"/>
      <c r="BF349" s="1247"/>
      <c r="BG349" s="1247"/>
      <c r="BH349" s="1247"/>
      <c r="BI349" s="1247"/>
      <c r="BJ349" s="1247"/>
      <c r="BK349" s="1247"/>
      <c r="BL349" s="1247"/>
      <c r="BM349" s="1247"/>
      <c r="BN349" s="1247"/>
      <c r="BO349" s="1247"/>
      <c r="BP349" s="1247"/>
      <c r="BQ349" s="1247"/>
      <c r="BR349" s="1247"/>
      <c r="BS349" s="1247"/>
      <c r="BT349" s="1247"/>
      <c r="BU349" s="1247"/>
      <c r="BV349" s="1247"/>
      <c r="BW349" s="1247"/>
      <c r="BX349" s="1247"/>
      <c r="BY349" s="1247"/>
      <c r="BZ349" s="1247"/>
      <c r="CA349" s="1247"/>
      <c r="CB349" s="1247"/>
      <c r="CC349" s="1247"/>
      <c r="CD349" s="1247"/>
      <c r="CE349" s="1247"/>
      <c r="CF349" s="1247"/>
      <c r="CG349" s="1247"/>
      <c r="CH349" s="1247"/>
      <c r="CI349" s="1247"/>
      <c r="CJ349" s="1247"/>
      <c r="CK349" s="1247"/>
      <c r="CL349" s="1247"/>
      <c r="CM349" s="1247"/>
      <c r="CN349" s="1247"/>
      <c r="CO349" s="1247"/>
      <c r="CP349" s="1247"/>
      <c r="CQ349" s="1247"/>
      <c r="CR349" s="1247"/>
      <c r="CS349" s="1247"/>
      <c r="CT349" s="1247"/>
      <c r="CU349" s="1247"/>
      <c r="CV349" s="1247"/>
      <c r="CW349" s="1247"/>
      <c r="CX349" s="1247"/>
      <c r="CY349" s="1247"/>
      <c r="CZ349" s="1247"/>
      <c r="DA349" s="1247"/>
      <c r="DB349" s="1247"/>
      <c r="DC349" s="1247"/>
      <c r="DD349" s="1247"/>
      <c r="DE349" s="1247"/>
      <c r="DF349" s="1247"/>
      <c r="DG349" s="1247"/>
      <c r="DH349" s="1247"/>
      <c r="DI349" s="1247"/>
      <c r="DJ349" s="1247"/>
      <c r="DK349" s="1247"/>
      <c r="DL349" s="1247"/>
      <c r="DM349" s="1247"/>
      <c r="DN349" s="1247"/>
      <c r="DO349" s="1247"/>
      <c r="DP349" s="1247"/>
      <c r="DQ349" s="1247"/>
      <c r="DR349" s="1247"/>
      <c r="DS349" s="1247"/>
      <c r="DT349" s="1247"/>
      <c r="DU349" s="1247"/>
      <c r="DV349" s="1247"/>
      <c r="DW349" s="1247"/>
      <c r="DX349" s="1247"/>
      <c r="DY349" s="1247"/>
      <c r="DZ349" s="1247"/>
      <c r="EA349" s="1247"/>
      <c r="EB349" s="1247"/>
      <c r="EC349" s="1247"/>
      <c r="ED349" s="1247"/>
      <c r="EE349" s="1247"/>
      <c r="EF349" s="1247"/>
      <c r="EG349" s="1247"/>
      <c r="EH349" s="1247"/>
      <c r="EI349" s="1247"/>
      <c r="EJ349" s="1247"/>
      <c r="EK349" s="1247"/>
      <c r="EL349" s="1247"/>
      <c r="EM349" s="1247"/>
      <c r="EN349" s="1247"/>
      <c r="EO349" s="1247"/>
      <c r="EP349" s="1247"/>
      <c r="EQ349" s="1247"/>
      <c r="ER349" s="1247"/>
      <c r="ES349" s="1247"/>
      <c r="ET349" s="1247"/>
      <c r="EU349" s="1247"/>
      <c r="EV349" s="1247"/>
      <c r="EW349" s="1247"/>
      <c r="EX349" s="1247"/>
      <c r="EY349" s="1247"/>
      <c r="EZ349" s="1247"/>
      <c r="FA349" s="1247"/>
      <c r="FB349" s="1247"/>
      <c r="FC349" s="1247"/>
      <c r="FD349" s="1247"/>
      <c r="FE349" s="1247"/>
      <c r="FF349" s="1247"/>
      <c r="FG349" s="1247"/>
      <c r="FH349" s="1247"/>
      <c r="FI349" s="1247"/>
      <c r="FJ349" s="1247"/>
      <c r="FK349" s="1247"/>
      <c r="FL349" s="1247"/>
      <c r="FM349" s="1247"/>
      <c r="FN349" s="1247"/>
      <c r="FO349" s="1247"/>
      <c r="FP349" s="1247"/>
      <c r="FQ349" s="1247"/>
      <c r="FR349" s="1247"/>
      <c r="FS349" s="1247"/>
      <c r="FT349" s="1247"/>
      <c r="FU349" s="1247"/>
      <c r="FV349" s="1247"/>
      <c r="FW349" s="1247"/>
      <c r="FX349" s="1247"/>
      <c r="FY349" s="1247"/>
      <c r="FZ349" s="1247"/>
      <c r="GA349" s="1247"/>
      <c r="GB349" s="1247"/>
      <c r="GC349" s="1247"/>
      <c r="GD349" s="1247"/>
      <c r="GE349" s="1247"/>
      <c r="GF349" s="1247"/>
      <c r="GG349" s="1247"/>
      <c r="GH349" s="1247"/>
      <c r="GI349" s="1247"/>
      <c r="GJ349" s="1247"/>
      <c r="GK349" s="1247"/>
      <c r="GL349" s="1247"/>
      <c r="GM349" s="1247"/>
      <c r="GN349" s="1247"/>
      <c r="GO349" s="1247"/>
      <c r="GP349" s="1247"/>
      <c r="GQ349" s="1247"/>
      <c r="GR349" s="1247"/>
      <c r="GS349" s="1247"/>
      <c r="GT349" s="1247"/>
      <c r="GU349" s="1247"/>
      <c r="GV349" s="1247"/>
      <c r="GW349" s="1247"/>
      <c r="GX349" s="1247"/>
      <c r="GY349" s="1247"/>
      <c r="GZ349" s="1247"/>
      <c r="HA349" s="1247"/>
      <c r="HB349" s="1247"/>
      <c r="HC349" s="1247"/>
      <c r="HD349" s="1247"/>
      <c r="HE349" s="1247"/>
      <c r="HF349" s="1247"/>
      <c r="HG349" s="1247"/>
      <c r="HH349" s="1247"/>
      <c r="HI349" s="1247"/>
      <c r="HJ349" s="1247"/>
      <c r="HK349" s="1247"/>
      <c r="HL349" s="1247"/>
      <c r="HM349" s="1247"/>
      <c r="HN349" s="1247"/>
      <c r="HO349" s="1247"/>
      <c r="HP349" s="1247"/>
      <c r="HQ349" s="1247"/>
      <c r="HR349" s="1247"/>
      <c r="HS349" s="1247"/>
      <c r="HT349" s="1247"/>
      <c r="HU349" s="1247"/>
      <c r="HV349" s="1247"/>
      <c r="HW349" s="1247"/>
      <c r="HX349" s="1247"/>
      <c r="HY349" s="1247"/>
      <c r="HZ349" s="1247"/>
      <c r="IA349" s="1247"/>
      <c r="IB349" s="1247"/>
      <c r="IC349" s="1247"/>
      <c r="ID349" s="1247"/>
      <c r="IE349" s="1247"/>
      <c r="IF349" s="1247"/>
      <c r="IG349" s="1247"/>
      <c r="IH349" s="1247"/>
      <c r="II349" s="1247"/>
      <c r="IJ349" s="1247"/>
      <c r="IK349" s="1247"/>
      <c r="IL349" s="1247"/>
      <c r="IM349" s="1247"/>
      <c r="IN349" s="1247"/>
      <c r="IO349" s="1247"/>
      <c r="IP349" s="1247"/>
      <c r="IQ349" s="1247"/>
      <c r="IR349" s="1247"/>
      <c r="IS349" s="1247"/>
      <c r="IT349" s="1247"/>
      <c r="IU349" s="1247"/>
      <c r="IV349" s="1247"/>
      <c r="IW349" s="1247"/>
      <c r="IX349" s="1247"/>
      <c r="IY349" s="1247"/>
      <c r="IZ349" s="1247"/>
      <c r="JA349" s="1247"/>
      <c r="JB349" s="1247"/>
      <c r="JC349" s="1247"/>
      <c r="JD349" s="1247"/>
      <c r="JE349" s="1247"/>
      <c r="JF349" s="1247"/>
      <c r="JG349" s="1247"/>
      <c r="JH349" s="1247"/>
      <c r="JI349" s="1247"/>
      <c r="JJ349" s="1247"/>
      <c r="JK349" s="1247"/>
      <c r="JL349" s="1247"/>
      <c r="JM349" s="1247"/>
      <c r="JN349" s="1247"/>
      <c r="JO349" s="1247"/>
      <c r="JP349" s="1247"/>
      <c r="JQ349" s="1247"/>
      <c r="JR349" s="1247"/>
      <c r="JS349" s="1247"/>
      <c r="JT349" s="1247"/>
      <c r="JU349" s="1247"/>
      <c r="JV349" s="1247"/>
      <c r="JW349" s="1247"/>
      <c r="JX349" s="1247"/>
      <c r="JY349" s="1247"/>
      <c r="JZ349" s="1247"/>
      <c r="KA349" s="1247"/>
      <c r="KB349" s="1247"/>
      <c r="KC349" s="1247"/>
      <c r="KD349" s="1247"/>
      <c r="KE349" s="1247"/>
      <c r="KF349" s="1247"/>
      <c r="KG349" s="1247"/>
      <c r="KH349" s="1247"/>
      <c r="KI349" s="1247"/>
      <c r="KJ349" s="1247"/>
      <c r="KK349" s="1247"/>
      <c r="KL349" s="1247"/>
      <c r="KM349" s="1247"/>
      <c r="KN349" s="1247"/>
      <c r="KO349" s="1247"/>
      <c r="KP349" s="1247"/>
      <c r="KQ349" s="1247"/>
      <c r="KR349" s="1247"/>
      <c r="KS349" s="1247"/>
      <c r="KT349" s="1247"/>
      <c r="KU349" s="1247"/>
      <c r="KV349" s="1247"/>
      <c r="KW349" s="1247"/>
      <c r="KX349" s="1247"/>
      <c r="KY349" s="1247"/>
      <c r="KZ349" s="1247"/>
      <c r="LA349" s="1247"/>
      <c r="LB349" s="1247"/>
      <c r="LC349" s="1247"/>
      <c r="LD349" s="1247"/>
      <c r="LE349" s="1247"/>
      <c r="LF349" s="1247"/>
      <c r="LG349" s="1247"/>
      <c r="LH349" s="1247"/>
      <c r="LI349" s="1247"/>
      <c r="LJ349" s="1247"/>
      <c r="LK349" s="1247"/>
      <c r="LL349" s="1247"/>
      <c r="LM349" s="1247"/>
      <c r="LN349" s="1247"/>
      <c r="LO349" s="1247"/>
      <c r="LP349" s="1247"/>
      <c r="LQ349" s="1247"/>
      <c r="LR349" s="1247"/>
      <c r="LS349" s="1247"/>
      <c r="LT349" s="1247"/>
      <c r="LU349" s="1247"/>
      <c r="LV349" s="1247"/>
      <c r="LW349" s="1247"/>
      <c r="LX349" s="1247"/>
      <c r="LY349" s="1247"/>
      <c r="LZ349" s="1247"/>
      <c r="MA349" s="1247"/>
      <c r="MB349" s="1247"/>
      <c r="MC349" s="1247"/>
      <c r="MD349" s="1247"/>
      <c r="ME349" s="1247"/>
      <c r="MF349" s="1247"/>
      <c r="MG349" s="1247"/>
      <c r="MH349" s="1247"/>
      <c r="MI349" s="1247"/>
      <c r="MJ349" s="1247"/>
      <c r="MK349" s="1247"/>
      <c r="ML349" s="1247"/>
      <c r="MM349" s="1247"/>
      <c r="MN349" s="1247"/>
      <c r="MO349" s="1247"/>
      <c r="MP349" s="1247"/>
      <c r="MQ349" s="1247"/>
      <c r="MR349" s="1247"/>
      <c r="MS349" s="1247"/>
      <c r="MT349" s="1247"/>
      <c r="MU349" s="1247"/>
      <c r="MV349" s="1247"/>
      <c r="MW349" s="1247"/>
      <c r="MX349" s="1247"/>
      <c r="MY349" s="1247"/>
      <c r="MZ349" s="1247"/>
      <c r="NA349" s="1247"/>
      <c r="NB349" s="1247"/>
      <c r="NC349" s="1247"/>
      <c r="ND349" s="1247"/>
      <c r="NE349" s="1247"/>
      <c r="NF349" s="1247"/>
      <c r="NG349" s="1247"/>
      <c r="NH349" s="1247"/>
      <c r="NI349" s="1247"/>
      <c r="NJ349" s="1247"/>
      <c r="NK349" s="1247"/>
      <c r="NL349" s="1247"/>
      <c r="NM349" s="1247"/>
      <c r="NN349" s="1247"/>
      <c r="NO349" s="1247"/>
      <c r="NP349" s="1247"/>
      <c r="NQ349" s="1247"/>
      <c r="NR349" s="1247"/>
      <c r="NS349" s="1247"/>
      <c r="NT349" s="1247"/>
      <c r="NU349" s="1247"/>
      <c r="NV349" s="1247"/>
      <c r="NW349" s="1247"/>
      <c r="NX349" s="1247"/>
      <c r="NY349" s="1247"/>
      <c r="NZ349" s="1247"/>
      <c r="OA349" s="1247"/>
      <c r="OB349" s="1247"/>
      <c r="OC349" s="1247"/>
      <c r="OD349" s="1247"/>
      <c r="OE349" s="1247"/>
      <c r="OF349" s="1247"/>
      <c r="OG349" s="1247"/>
      <c r="OH349" s="1247"/>
      <c r="OI349" s="1247"/>
      <c r="OJ349" s="1247"/>
      <c r="OK349" s="1247"/>
      <c r="OL349" s="1247"/>
      <c r="OM349" s="1247"/>
      <c r="ON349" s="1247"/>
      <c r="OO349" s="1247"/>
      <c r="OP349" s="1247"/>
      <c r="OQ349" s="1247"/>
      <c r="OR349" s="1247"/>
      <c r="OS349" s="1247"/>
      <c r="OT349" s="1247"/>
      <c r="OU349" s="1247"/>
      <c r="OV349" s="1247"/>
      <c r="OW349" s="1247"/>
      <c r="OX349" s="1247"/>
      <c r="OY349" s="1247"/>
      <c r="OZ349" s="1247"/>
      <c r="PA349" s="1247"/>
      <c r="PB349" s="1247"/>
      <c r="PC349" s="1247"/>
      <c r="PD349" s="1247"/>
      <c r="PE349" s="1247"/>
      <c r="PF349" s="1247"/>
      <c r="PG349" s="1247"/>
      <c r="PH349" s="1247"/>
      <c r="PI349" s="1247"/>
      <c r="PJ349" s="1247"/>
      <c r="PK349" s="1247"/>
      <c r="PL349" s="1247"/>
      <c r="PM349" s="1247"/>
      <c r="PN349" s="1247"/>
      <c r="PO349" s="1247"/>
      <c r="PP349" s="1247"/>
      <c r="PQ349" s="1247"/>
      <c r="PR349" s="1247"/>
      <c r="PS349" s="1247"/>
      <c r="PT349" s="1247"/>
      <c r="PU349" s="1247"/>
      <c r="PV349" s="1247"/>
      <c r="PW349" s="1247"/>
      <c r="PX349" s="1247"/>
      <c r="PY349" s="1247"/>
      <c r="PZ349" s="1247"/>
      <c r="QA349" s="1247"/>
      <c r="QB349" s="1247"/>
      <c r="QC349" s="1247"/>
      <c r="QD349" s="1247"/>
      <c r="QE349" s="1247"/>
      <c r="QF349" s="1247"/>
      <c r="QG349" s="1247"/>
      <c r="QH349" s="1247"/>
      <c r="QI349" s="1247"/>
      <c r="QJ349" s="1247"/>
      <c r="QK349" s="1247"/>
      <c r="QL349" s="1247"/>
      <c r="QM349" s="1247"/>
      <c r="QN349" s="1247"/>
      <c r="QO349" s="1247"/>
      <c r="QP349" s="1247"/>
      <c r="QQ349" s="1247"/>
      <c r="QR349" s="1247"/>
      <c r="QS349" s="1247"/>
      <c r="QT349" s="1247"/>
      <c r="QU349" s="1247"/>
      <c r="QV349" s="1247"/>
      <c r="QW349" s="1247"/>
      <c r="QX349" s="1247"/>
      <c r="QY349" s="1247"/>
      <c r="QZ349" s="1247"/>
      <c r="RA349" s="1247"/>
      <c r="RB349" s="1247"/>
      <c r="RC349" s="1247"/>
      <c r="RD349" s="1247"/>
      <c r="RE349" s="1247"/>
      <c r="RF349" s="1247"/>
      <c r="RG349" s="1247"/>
      <c r="RH349" s="1247"/>
      <c r="RI349" s="1247"/>
      <c r="RJ349" s="1247"/>
      <c r="RK349" s="1247"/>
      <c r="RL349" s="1247"/>
      <c r="RM349" s="1247"/>
      <c r="RN349" s="1247"/>
      <c r="RO349" s="1247"/>
      <c r="RP349" s="1247"/>
      <c r="RQ349" s="1247"/>
      <c r="RR349" s="1247"/>
      <c r="RS349" s="1247"/>
      <c r="RT349" s="1247"/>
      <c r="RU349" s="1247"/>
      <c r="RV349" s="1247"/>
      <c r="RW349" s="1247"/>
      <c r="RX349" s="1247"/>
      <c r="RY349" s="1247"/>
      <c r="RZ349" s="1247"/>
      <c r="SA349" s="1247"/>
      <c r="SB349" s="1247"/>
      <c r="SC349" s="1247"/>
      <c r="SD349" s="1247"/>
      <c r="SE349" s="1247"/>
      <c r="SF349" s="1247"/>
      <c r="SG349" s="1247"/>
      <c r="SH349" s="1247"/>
      <c r="SI349" s="1247"/>
      <c r="SJ349" s="1247"/>
      <c r="SK349" s="1247"/>
      <c r="SL349" s="1247"/>
      <c r="SM349" s="1247"/>
      <c r="SN349" s="1247"/>
      <c r="SO349" s="1247"/>
      <c r="SP349" s="1247"/>
      <c r="SQ349" s="1247"/>
      <c r="SR349" s="1247"/>
      <c r="SS349" s="1247"/>
      <c r="ST349" s="1247"/>
      <c r="SU349" s="1247"/>
      <c r="SV349" s="1247"/>
      <c r="SW349" s="1247"/>
      <c r="SX349" s="1247"/>
      <c r="SY349" s="1247"/>
      <c r="SZ349" s="1247"/>
      <c r="TA349" s="1247"/>
      <c r="TB349" s="1247"/>
      <c r="TC349" s="1247"/>
      <c r="TD349" s="1247"/>
      <c r="TE349" s="1247"/>
      <c r="TF349" s="1247"/>
      <c r="TG349" s="1247"/>
      <c r="TH349" s="1247"/>
      <c r="TI349" s="1247"/>
      <c r="TJ349" s="1247"/>
      <c r="TK349" s="1247"/>
      <c r="TL349" s="1247"/>
      <c r="TM349" s="1247"/>
      <c r="TN349" s="1247"/>
      <c r="TO349" s="1247"/>
      <c r="TP349" s="1247"/>
      <c r="TQ349" s="1247"/>
      <c r="TR349" s="1247"/>
      <c r="TS349" s="1247"/>
      <c r="TT349" s="1247"/>
      <c r="TU349" s="1247"/>
      <c r="TV349" s="1247"/>
      <c r="TW349" s="1247"/>
      <c r="TX349" s="1247"/>
      <c r="TY349" s="1247"/>
      <c r="TZ349" s="1247"/>
      <c r="UA349" s="1247"/>
      <c r="UB349" s="1247"/>
      <c r="UC349" s="1247"/>
      <c r="UD349" s="1247"/>
      <c r="UE349" s="1247"/>
      <c r="UF349" s="1247"/>
      <c r="UG349" s="1247"/>
      <c r="UH349" s="1247"/>
      <c r="UI349" s="1247"/>
      <c r="UJ349" s="1247"/>
      <c r="UK349" s="1247"/>
      <c r="UL349" s="1247"/>
      <c r="UM349" s="1247"/>
      <c r="UN349" s="1247"/>
      <c r="UO349" s="1247"/>
      <c r="UP349" s="1247"/>
      <c r="UQ349" s="1247"/>
      <c r="UR349" s="1247"/>
      <c r="US349" s="1247"/>
      <c r="UT349" s="1247"/>
      <c r="UU349" s="1247"/>
      <c r="UV349" s="1247"/>
      <c r="UW349" s="1247"/>
      <c r="UX349" s="1247"/>
      <c r="UY349" s="1247"/>
      <c r="UZ349" s="1247"/>
      <c r="VA349" s="1247"/>
      <c r="VB349" s="1247"/>
      <c r="VC349" s="1247"/>
      <c r="VD349" s="1247"/>
      <c r="VE349" s="1247"/>
      <c r="VF349" s="1247"/>
      <c r="VG349" s="1247"/>
      <c r="VH349" s="1247"/>
      <c r="VI349" s="1247"/>
      <c r="VJ349" s="1247"/>
      <c r="VK349" s="1247"/>
      <c r="VL349" s="1247"/>
      <c r="VM349" s="1247"/>
      <c r="VN349" s="1247"/>
      <c r="VO349" s="1247"/>
      <c r="VP349" s="1247"/>
      <c r="VQ349" s="1247"/>
      <c r="VR349" s="1247"/>
      <c r="VS349" s="1247"/>
      <c r="VT349" s="1247"/>
      <c r="VU349" s="1247"/>
      <c r="VV349" s="1247"/>
      <c r="VW349" s="1247"/>
      <c r="VX349" s="1247"/>
      <c r="VY349" s="1247"/>
      <c r="VZ349" s="1247"/>
      <c r="WA349" s="1247"/>
      <c r="WB349" s="1247"/>
      <c r="WC349" s="1247"/>
      <c r="WD349" s="1247"/>
      <c r="WE349" s="1247"/>
      <c r="WF349" s="1247"/>
      <c r="WG349" s="1247"/>
      <c r="WH349" s="1247"/>
      <c r="WI349" s="1247"/>
      <c r="WJ349" s="1247"/>
      <c r="WK349" s="1247"/>
      <c r="WL349" s="1247"/>
      <c r="WM349" s="1247"/>
      <c r="WN349" s="1247"/>
      <c r="WO349" s="1247"/>
      <c r="WP349" s="1247"/>
      <c r="WQ349" s="1247"/>
      <c r="WR349" s="1247"/>
      <c r="WS349" s="1247"/>
      <c r="WT349" s="1247"/>
      <c r="WU349" s="1247"/>
      <c r="WV349" s="1247"/>
      <c r="WW349" s="1247"/>
      <c r="WX349" s="1247"/>
      <c r="WY349" s="1247"/>
      <c r="WZ349" s="1247"/>
      <c r="XA349" s="1247"/>
      <c r="XB349" s="1247"/>
      <c r="XC349" s="1247"/>
      <c r="XD349" s="1247"/>
      <c r="XE349" s="1247"/>
      <c r="XF349" s="1247"/>
      <c r="XG349" s="1247"/>
      <c r="XH349" s="1247"/>
      <c r="XI349" s="1247"/>
      <c r="XJ349" s="1247"/>
      <c r="XK349" s="1247"/>
      <c r="XL349" s="1247"/>
      <c r="XM349" s="1247"/>
      <c r="XN349" s="1247"/>
      <c r="XO349" s="1247"/>
      <c r="XP349" s="1247"/>
      <c r="XQ349" s="1247"/>
      <c r="XR349" s="1247"/>
      <c r="XS349" s="1247"/>
      <c r="XT349" s="1247"/>
      <c r="XU349" s="1247"/>
      <c r="XV349" s="1247"/>
      <c r="XW349" s="1247"/>
      <c r="XX349" s="1247"/>
      <c r="XY349" s="1247"/>
      <c r="XZ349" s="1247"/>
      <c r="YA349" s="1247"/>
      <c r="YB349" s="1247"/>
      <c r="YC349" s="1247"/>
      <c r="YD349" s="1247"/>
      <c r="YE349" s="1247"/>
      <c r="YF349" s="1247"/>
      <c r="YG349" s="1247"/>
      <c r="YH349" s="1247"/>
      <c r="YI349" s="1247"/>
      <c r="YJ349" s="1247"/>
      <c r="YK349" s="1247"/>
      <c r="YL349" s="1247"/>
      <c r="YM349" s="1247"/>
      <c r="YN349" s="1247"/>
      <c r="YO349" s="1247"/>
      <c r="YP349" s="1247"/>
      <c r="YQ349" s="1247"/>
      <c r="YR349" s="1247"/>
      <c r="YS349" s="1247"/>
      <c r="YT349" s="1247"/>
      <c r="YU349" s="1247"/>
      <c r="YV349" s="1247"/>
      <c r="YW349" s="1247"/>
      <c r="YX349" s="1247"/>
      <c r="YY349" s="1247"/>
      <c r="YZ349" s="1247"/>
      <c r="ZA349" s="1247"/>
      <c r="ZB349" s="1247"/>
      <c r="ZC349" s="1247"/>
      <c r="ZD349" s="1247"/>
      <c r="ZE349" s="1247"/>
      <c r="ZF349" s="1247"/>
      <c r="ZG349" s="1247"/>
      <c r="ZH349" s="1247"/>
      <c r="ZI349" s="1247"/>
      <c r="ZJ349" s="1247"/>
      <c r="ZK349" s="1247"/>
      <c r="ZL349" s="1247"/>
      <c r="ZM349" s="1247"/>
      <c r="ZN349" s="1247"/>
      <c r="ZO349" s="1247"/>
      <c r="ZP349" s="1247"/>
      <c r="ZQ349" s="1247"/>
      <c r="ZR349" s="1247"/>
      <c r="ZS349" s="1247"/>
      <c r="ZT349" s="1247"/>
      <c r="ZU349" s="1247"/>
      <c r="ZV349" s="1247"/>
      <c r="ZW349" s="1247"/>
      <c r="ZX349" s="1247"/>
      <c r="ZY349" s="1247"/>
      <c r="ZZ349" s="1247"/>
      <c r="AAA349" s="1247"/>
      <c r="AAB349" s="1247"/>
      <c r="AAC349" s="1247"/>
      <c r="AAD349" s="1247"/>
      <c r="AAE349" s="1247"/>
      <c r="AAF349" s="1247"/>
      <c r="AAG349" s="1247"/>
      <c r="AAH349" s="1247"/>
      <c r="AAI349" s="1247"/>
      <c r="AAJ349" s="1247"/>
      <c r="AAK349" s="1247"/>
      <c r="AAL349" s="1247"/>
      <c r="AAM349" s="1247"/>
      <c r="AAN349" s="1247"/>
      <c r="AAO349" s="1247"/>
      <c r="AAP349" s="1247"/>
      <c r="AAQ349" s="1247"/>
      <c r="AAR349" s="1247"/>
      <c r="AAS349" s="1247"/>
      <c r="AAT349" s="1247"/>
      <c r="AAU349" s="1247"/>
      <c r="AAV349" s="1247"/>
      <c r="AAW349" s="1247"/>
      <c r="AAX349" s="1247"/>
      <c r="AAY349" s="1247"/>
      <c r="AAZ349" s="1247"/>
      <c r="ABA349" s="1247"/>
      <c r="ABB349" s="1247"/>
      <c r="ABC349" s="1247"/>
      <c r="ABD349" s="1247"/>
      <c r="ABE349" s="1247"/>
      <c r="ABF349" s="1247"/>
      <c r="ABG349" s="1247"/>
      <c r="ABH349" s="1247"/>
      <c r="ABI349" s="1247"/>
      <c r="ABJ349" s="1247"/>
      <c r="ABK349" s="1247"/>
      <c r="ABL349" s="1247"/>
      <c r="ABM349" s="1247"/>
      <c r="ABN349" s="1247"/>
      <c r="ABO349" s="1247"/>
      <c r="ABP349" s="1247"/>
      <c r="ABQ349" s="1247"/>
      <c r="ABR349" s="1247"/>
      <c r="ABS349" s="1247"/>
      <c r="ABT349" s="1247"/>
      <c r="ABU349" s="1247"/>
      <c r="ABV349" s="1247"/>
      <c r="ABW349" s="1247"/>
      <c r="ABX349" s="1247"/>
      <c r="ABY349" s="1247"/>
      <c r="ABZ349" s="1247"/>
      <c r="ACA349" s="1247"/>
      <c r="ACB349" s="1247"/>
      <c r="ACC349" s="1247"/>
      <c r="ACD349" s="1247"/>
      <c r="ACE349" s="1247"/>
      <c r="ACF349" s="1247"/>
      <c r="ACG349" s="1247"/>
      <c r="ACH349" s="1247"/>
      <c r="ACI349" s="1247"/>
      <c r="ACJ349" s="1247"/>
      <c r="ACK349" s="1247"/>
      <c r="ACL349" s="1247"/>
      <c r="ACM349" s="1247"/>
      <c r="ACN349" s="1247"/>
      <c r="ACO349" s="1247"/>
      <c r="ACP349" s="1247"/>
      <c r="ACQ349" s="1247"/>
      <c r="ACR349" s="1247"/>
      <c r="ACS349" s="1247"/>
      <c r="ACT349" s="1247"/>
      <c r="ACU349" s="1247"/>
      <c r="ACV349" s="1247"/>
      <c r="ACW349" s="1247"/>
      <c r="ACX349" s="1247"/>
      <c r="ACY349" s="1247"/>
      <c r="ACZ349" s="1247"/>
      <c r="ADA349" s="1247"/>
      <c r="ADB349" s="1247"/>
      <c r="ADC349" s="1247"/>
      <c r="ADD349" s="1247"/>
      <c r="ADE349" s="1247"/>
      <c r="ADF349" s="1247"/>
      <c r="ADG349" s="1247"/>
    </row>
    <row r="350" spans="1:787" s="1421" customFormat="1" ht="13" hidden="1" outlineLevel="1">
      <c r="A350" s="1247"/>
      <c r="B350" s="1413" t="s">
        <v>3151</v>
      </c>
      <c r="C350" s="1414"/>
      <c r="D350" s="1414" t="s">
        <v>3152</v>
      </c>
      <c r="E350" s="1417"/>
      <c r="F350" s="1416" t="s">
        <v>3826</v>
      </c>
      <c r="G350" s="1417" t="s">
        <v>4202</v>
      </c>
      <c r="H350" s="1418"/>
      <c r="I350" s="1418"/>
      <c r="J350" s="1457"/>
      <c r="K350" s="1457"/>
      <c r="L350" s="1457"/>
      <c r="M350" s="1457"/>
      <c r="N350" s="1457"/>
      <c r="O350" s="1457"/>
      <c r="P350" s="1457"/>
      <c r="Q350" s="1419">
        <f>VLOOKUP(D350,'当期公摊测算表（全期）'!D:W,12,FALSE)</f>
        <v>0</v>
      </c>
      <c r="R350" s="1419">
        <f t="shared" si="88"/>
        <v>0</v>
      </c>
      <c r="S350" s="1419">
        <f>VLOOKUP($D350,'当期公摊测算表（全期）'!D:W,17,FALSE)</f>
        <v>0</v>
      </c>
      <c r="T350" s="1419">
        <f t="shared" si="89"/>
        <v>0</v>
      </c>
      <c r="U350" s="1443"/>
      <c r="V350" s="1225">
        <f t="shared" si="86"/>
        <v>0</v>
      </c>
      <c r="W350" s="1225">
        <f t="shared" si="87"/>
        <v>0</v>
      </c>
      <c r="X350" s="1225"/>
      <c r="Y350" s="1225"/>
      <c r="Z350" s="1247"/>
      <c r="AA350" s="1247"/>
      <c r="AB350" s="1247"/>
      <c r="AC350" s="1247"/>
      <c r="AD350" s="1247"/>
      <c r="AE350" s="1247"/>
      <c r="AF350" s="1247"/>
      <c r="AG350" s="1247"/>
      <c r="AH350" s="1247"/>
      <c r="AI350" s="1247"/>
      <c r="AJ350" s="1247"/>
      <c r="AK350" s="1247"/>
      <c r="AL350" s="1247"/>
      <c r="AM350" s="1247"/>
      <c r="AN350" s="1247"/>
      <c r="AO350" s="1247"/>
      <c r="AP350" s="1247"/>
      <c r="AQ350" s="1247"/>
      <c r="AR350" s="1247"/>
      <c r="AS350" s="1247"/>
      <c r="AT350" s="1247"/>
      <c r="AU350" s="1247"/>
      <c r="AV350" s="1247"/>
      <c r="AW350" s="1247"/>
      <c r="AX350" s="1247"/>
      <c r="AY350" s="1247"/>
      <c r="AZ350" s="1247"/>
      <c r="BA350" s="1247"/>
      <c r="BB350" s="1247"/>
      <c r="BC350" s="1247"/>
      <c r="BD350" s="1247"/>
      <c r="BE350" s="1247"/>
      <c r="BF350" s="1247"/>
      <c r="BG350" s="1247"/>
      <c r="BH350" s="1247"/>
      <c r="BI350" s="1247"/>
      <c r="BJ350" s="1247"/>
      <c r="BK350" s="1247"/>
      <c r="BL350" s="1247"/>
      <c r="BM350" s="1247"/>
      <c r="BN350" s="1247"/>
      <c r="BO350" s="1247"/>
      <c r="BP350" s="1247"/>
      <c r="BQ350" s="1247"/>
      <c r="BR350" s="1247"/>
      <c r="BS350" s="1247"/>
      <c r="BT350" s="1247"/>
      <c r="BU350" s="1247"/>
      <c r="BV350" s="1247"/>
      <c r="BW350" s="1247"/>
      <c r="BX350" s="1247"/>
      <c r="BY350" s="1247"/>
      <c r="BZ350" s="1247"/>
      <c r="CA350" s="1247"/>
      <c r="CB350" s="1247"/>
      <c r="CC350" s="1247"/>
      <c r="CD350" s="1247"/>
      <c r="CE350" s="1247"/>
      <c r="CF350" s="1247"/>
      <c r="CG350" s="1247"/>
      <c r="CH350" s="1247"/>
      <c r="CI350" s="1247"/>
      <c r="CJ350" s="1247"/>
      <c r="CK350" s="1247"/>
      <c r="CL350" s="1247"/>
      <c r="CM350" s="1247"/>
      <c r="CN350" s="1247"/>
      <c r="CO350" s="1247"/>
      <c r="CP350" s="1247"/>
      <c r="CQ350" s="1247"/>
      <c r="CR350" s="1247"/>
      <c r="CS350" s="1247"/>
      <c r="CT350" s="1247"/>
      <c r="CU350" s="1247"/>
      <c r="CV350" s="1247"/>
      <c r="CW350" s="1247"/>
      <c r="CX350" s="1247"/>
      <c r="CY350" s="1247"/>
      <c r="CZ350" s="1247"/>
      <c r="DA350" s="1247"/>
      <c r="DB350" s="1247"/>
      <c r="DC350" s="1247"/>
      <c r="DD350" s="1247"/>
      <c r="DE350" s="1247"/>
      <c r="DF350" s="1247"/>
      <c r="DG350" s="1247"/>
      <c r="DH350" s="1247"/>
      <c r="DI350" s="1247"/>
      <c r="DJ350" s="1247"/>
      <c r="DK350" s="1247"/>
      <c r="DL350" s="1247"/>
      <c r="DM350" s="1247"/>
      <c r="DN350" s="1247"/>
      <c r="DO350" s="1247"/>
      <c r="DP350" s="1247"/>
      <c r="DQ350" s="1247"/>
      <c r="DR350" s="1247"/>
      <c r="DS350" s="1247"/>
      <c r="DT350" s="1247"/>
      <c r="DU350" s="1247"/>
      <c r="DV350" s="1247"/>
      <c r="DW350" s="1247"/>
      <c r="DX350" s="1247"/>
      <c r="DY350" s="1247"/>
      <c r="DZ350" s="1247"/>
      <c r="EA350" s="1247"/>
      <c r="EB350" s="1247"/>
      <c r="EC350" s="1247"/>
      <c r="ED350" s="1247"/>
      <c r="EE350" s="1247"/>
      <c r="EF350" s="1247"/>
      <c r="EG350" s="1247"/>
      <c r="EH350" s="1247"/>
      <c r="EI350" s="1247"/>
      <c r="EJ350" s="1247"/>
      <c r="EK350" s="1247"/>
      <c r="EL350" s="1247"/>
      <c r="EM350" s="1247"/>
      <c r="EN350" s="1247"/>
      <c r="EO350" s="1247"/>
      <c r="EP350" s="1247"/>
      <c r="EQ350" s="1247"/>
      <c r="ER350" s="1247"/>
      <c r="ES350" s="1247"/>
      <c r="ET350" s="1247"/>
      <c r="EU350" s="1247"/>
      <c r="EV350" s="1247"/>
      <c r="EW350" s="1247"/>
      <c r="EX350" s="1247"/>
      <c r="EY350" s="1247"/>
      <c r="EZ350" s="1247"/>
      <c r="FA350" s="1247"/>
      <c r="FB350" s="1247"/>
      <c r="FC350" s="1247"/>
      <c r="FD350" s="1247"/>
      <c r="FE350" s="1247"/>
      <c r="FF350" s="1247"/>
      <c r="FG350" s="1247"/>
      <c r="FH350" s="1247"/>
      <c r="FI350" s="1247"/>
      <c r="FJ350" s="1247"/>
      <c r="FK350" s="1247"/>
      <c r="FL350" s="1247"/>
      <c r="FM350" s="1247"/>
      <c r="FN350" s="1247"/>
      <c r="FO350" s="1247"/>
      <c r="FP350" s="1247"/>
      <c r="FQ350" s="1247"/>
      <c r="FR350" s="1247"/>
      <c r="FS350" s="1247"/>
      <c r="FT350" s="1247"/>
      <c r="FU350" s="1247"/>
      <c r="FV350" s="1247"/>
      <c r="FW350" s="1247"/>
      <c r="FX350" s="1247"/>
      <c r="FY350" s="1247"/>
      <c r="FZ350" s="1247"/>
      <c r="GA350" s="1247"/>
      <c r="GB350" s="1247"/>
      <c r="GC350" s="1247"/>
      <c r="GD350" s="1247"/>
      <c r="GE350" s="1247"/>
      <c r="GF350" s="1247"/>
      <c r="GG350" s="1247"/>
      <c r="GH350" s="1247"/>
      <c r="GI350" s="1247"/>
      <c r="GJ350" s="1247"/>
      <c r="GK350" s="1247"/>
      <c r="GL350" s="1247"/>
      <c r="GM350" s="1247"/>
      <c r="GN350" s="1247"/>
      <c r="GO350" s="1247"/>
      <c r="GP350" s="1247"/>
      <c r="GQ350" s="1247"/>
      <c r="GR350" s="1247"/>
      <c r="GS350" s="1247"/>
      <c r="GT350" s="1247"/>
      <c r="GU350" s="1247"/>
      <c r="GV350" s="1247"/>
      <c r="GW350" s="1247"/>
      <c r="GX350" s="1247"/>
      <c r="GY350" s="1247"/>
      <c r="GZ350" s="1247"/>
      <c r="HA350" s="1247"/>
      <c r="HB350" s="1247"/>
      <c r="HC350" s="1247"/>
      <c r="HD350" s="1247"/>
      <c r="HE350" s="1247"/>
      <c r="HF350" s="1247"/>
      <c r="HG350" s="1247"/>
      <c r="HH350" s="1247"/>
      <c r="HI350" s="1247"/>
      <c r="HJ350" s="1247"/>
      <c r="HK350" s="1247"/>
      <c r="HL350" s="1247"/>
      <c r="HM350" s="1247"/>
      <c r="HN350" s="1247"/>
      <c r="HO350" s="1247"/>
      <c r="HP350" s="1247"/>
      <c r="HQ350" s="1247"/>
      <c r="HR350" s="1247"/>
      <c r="HS350" s="1247"/>
      <c r="HT350" s="1247"/>
      <c r="HU350" s="1247"/>
      <c r="HV350" s="1247"/>
      <c r="HW350" s="1247"/>
      <c r="HX350" s="1247"/>
      <c r="HY350" s="1247"/>
      <c r="HZ350" s="1247"/>
      <c r="IA350" s="1247"/>
      <c r="IB350" s="1247"/>
      <c r="IC350" s="1247"/>
      <c r="ID350" s="1247"/>
      <c r="IE350" s="1247"/>
      <c r="IF350" s="1247"/>
      <c r="IG350" s="1247"/>
      <c r="IH350" s="1247"/>
      <c r="II350" s="1247"/>
      <c r="IJ350" s="1247"/>
      <c r="IK350" s="1247"/>
      <c r="IL350" s="1247"/>
      <c r="IM350" s="1247"/>
      <c r="IN350" s="1247"/>
      <c r="IO350" s="1247"/>
      <c r="IP350" s="1247"/>
      <c r="IQ350" s="1247"/>
      <c r="IR350" s="1247"/>
      <c r="IS350" s="1247"/>
      <c r="IT350" s="1247"/>
      <c r="IU350" s="1247"/>
      <c r="IV350" s="1247"/>
      <c r="IW350" s="1247"/>
      <c r="IX350" s="1247"/>
      <c r="IY350" s="1247"/>
      <c r="IZ350" s="1247"/>
      <c r="JA350" s="1247"/>
      <c r="JB350" s="1247"/>
      <c r="JC350" s="1247"/>
      <c r="JD350" s="1247"/>
      <c r="JE350" s="1247"/>
      <c r="JF350" s="1247"/>
      <c r="JG350" s="1247"/>
      <c r="JH350" s="1247"/>
      <c r="JI350" s="1247"/>
      <c r="JJ350" s="1247"/>
      <c r="JK350" s="1247"/>
      <c r="JL350" s="1247"/>
      <c r="JM350" s="1247"/>
      <c r="JN350" s="1247"/>
      <c r="JO350" s="1247"/>
      <c r="JP350" s="1247"/>
      <c r="JQ350" s="1247"/>
      <c r="JR350" s="1247"/>
      <c r="JS350" s="1247"/>
      <c r="JT350" s="1247"/>
      <c r="JU350" s="1247"/>
      <c r="JV350" s="1247"/>
      <c r="JW350" s="1247"/>
      <c r="JX350" s="1247"/>
      <c r="JY350" s="1247"/>
      <c r="JZ350" s="1247"/>
      <c r="KA350" s="1247"/>
      <c r="KB350" s="1247"/>
      <c r="KC350" s="1247"/>
      <c r="KD350" s="1247"/>
      <c r="KE350" s="1247"/>
      <c r="KF350" s="1247"/>
      <c r="KG350" s="1247"/>
      <c r="KH350" s="1247"/>
      <c r="KI350" s="1247"/>
      <c r="KJ350" s="1247"/>
      <c r="KK350" s="1247"/>
      <c r="KL350" s="1247"/>
      <c r="KM350" s="1247"/>
      <c r="KN350" s="1247"/>
      <c r="KO350" s="1247"/>
      <c r="KP350" s="1247"/>
      <c r="KQ350" s="1247"/>
      <c r="KR350" s="1247"/>
      <c r="KS350" s="1247"/>
      <c r="KT350" s="1247"/>
      <c r="KU350" s="1247"/>
      <c r="KV350" s="1247"/>
      <c r="KW350" s="1247"/>
      <c r="KX350" s="1247"/>
      <c r="KY350" s="1247"/>
      <c r="KZ350" s="1247"/>
      <c r="LA350" s="1247"/>
      <c r="LB350" s="1247"/>
      <c r="LC350" s="1247"/>
      <c r="LD350" s="1247"/>
      <c r="LE350" s="1247"/>
      <c r="LF350" s="1247"/>
      <c r="LG350" s="1247"/>
      <c r="LH350" s="1247"/>
      <c r="LI350" s="1247"/>
      <c r="LJ350" s="1247"/>
      <c r="LK350" s="1247"/>
      <c r="LL350" s="1247"/>
      <c r="LM350" s="1247"/>
      <c r="LN350" s="1247"/>
      <c r="LO350" s="1247"/>
      <c r="LP350" s="1247"/>
      <c r="LQ350" s="1247"/>
      <c r="LR350" s="1247"/>
      <c r="LS350" s="1247"/>
      <c r="LT350" s="1247"/>
      <c r="LU350" s="1247"/>
      <c r="LV350" s="1247"/>
      <c r="LW350" s="1247"/>
      <c r="LX350" s="1247"/>
      <c r="LY350" s="1247"/>
      <c r="LZ350" s="1247"/>
      <c r="MA350" s="1247"/>
      <c r="MB350" s="1247"/>
      <c r="MC350" s="1247"/>
      <c r="MD350" s="1247"/>
      <c r="ME350" s="1247"/>
      <c r="MF350" s="1247"/>
      <c r="MG350" s="1247"/>
      <c r="MH350" s="1247"/>
      <c r="MI350" s="1247"/>
      <c r="MJ350" s="1247"/>
      <c r="MK350" s="1247"/>
      <c r="ML350" s="1247"/>
      <c r="MM350" s="1247"/>
      <c r="MN350" s="1247"/>
      <c r="MO350" s="1247"/>
      <c r="MP350" s="1247"/>
      <c r="MQ350" s="1247"/>
      <c r="MR350" s="1247"/>
      <c r="MS350" s="1247"/>
      <c r="MT350" s="1247"/>
      <c r="MU350" s="1247"/>
      <c r="MV350" s="1247"/>
      <c r="MW350" s="1247"/>
      <c r="MX350" s="1247"/>
      <c r="MY350" s="1247"/>
      <c r="MZ350" s="1247"/>
      <c r="NA350" s="1247"/>
      <c r="NB350" s="1247"/>
      <c r="NC350" s="1247"/>
      <c r="ND350" s="1247"/>
      <c r="NE350" s="1247"/>
      <c r="NF350" s="1247"/>
      <c r="NG350" s="1247"/>
      <c r="NH350" s="1247"/>
      <c r="NI350" s="1247"/>
      <c r="NJ350" s="1247"/>
      <c r="NK350" s="1247"/>
      <c r="NL350" s="1247"/>
      <c r="NM350" s="1247"/>
      <c r="NN350" s="1247"/>
      <c r="NO350" s="1247"/>
      <c r="NP350" s="1247"/>
      <c r="NQ350" s="1247"/>
      <c r="NR350" s="1247"/>
      <c r="NS350" s="1247"/>
      <c r="NT350" s="1247"/>
      <c r="NU350" s="1247"/>
      <c r="NV350" s="1247"/>
      <c r="NW350" s="1247"/>
      <c r="NX350" s="1247"/>
      <c r="NY350" s="1247"/>
      <c r="NZ350" s="1247"/>
      <c r="OA350" s="1247"/>
      <c r="OB350" s="1247"/>
      <c r="OC350" s="1247"/>
      <c r="OD350" s="1247"/>
      <c r="OE350" s="1247"/>
      <c r="OF350" s="1247"/>
      <c r="OG350" s="1247"/>
      <c r="OH350" s="1247"/>
      <c r="OI350" s="1247"/>
      <c r="OJ350" s="1247"/>
      <c r="OK350" s="1247"/>
      <c r="OL350" s="1247"/>
      <c r="OM350" s="1247"/>
      <c r="ON350" s="1247"/>
      <c r="OO350" s="1247"/>
      <c r="OP350" s="1247"/>
      <c r="OQ350" s="1247"/>
      <c r="OR350" s="1247"/>
      <c r="OS350" s="1247"/>
      <c r="OT350" s="1247"/>
      <c r="OU350" s="1247"/>
      <c r="OV350" s="1247"/>
      <c r="OW350" s="1247"/>
      <c r="OX350" s="1247"/>
      <c r="OY350" s="1247"/>
      <c r="OZ350" s="1247"/>
      <c r="PA350" s="1247"/>
      <c r="PB350" s="1247"/>
      <c r="PC350" s="1247"/>
      <c r="PD350" s="1247"/>
      <c r="PE350" s="1247"/>
      <c r="PF350" s="1247"/>
      <c r="PG350" s="1247"/>
      <c r="PH350" s="1247"/>
      <c r="PI350" s="1247"/>
      <c r="PJ350" s="1247"/>
      <c r="PK350" s="1247"/>
      <c r="PL350" s="1247"/>
      <c r="PM350" s="1247"/>
      <c r="PN350" s="1247"/>
      <c r="PO350" s="1247"/>
      <c r="PP350" s="1247"/>
      <c r="PQ350" s="1247"/>
      <c r="PR350" s="1247"/>
      <c r="PS350" s="1247"/>
      <c r="PT350" s="1247"/>
      <c r="PU350" s="1247"/>
      <c r="PV350" s="1247"/>
      <c r="PW350" s="1247"/>
      <c r="PX350" s="1247"/>
      <c r="PY350" s="1247"/>
      <c r="PZ350" s="1247"/>
      <c r="QA350" s="1247"/>
      <c r="QB350" s="1247"/>
      <c r="QC350" s="1247"/>
      <c r="QD350" s="1247"/>
      <c r="QE350" s="1247"/>
      <c r="QF350" s="1247"/>
      <c r="QG350" s="1247"/>
      <c r="QH350" s="1247"/>
      <c r="QI350" s="1247"/>
      <c r="QJ350" s="1247"/>
      <c r="QK350" s="1247"/>
      <c r="QL350" s="1247"/>
      <c r="QM350" s="1247"/>
      <c r="QN350" s="1247"/>
      <c r="QO350" s="1247"/>
      <c r="QP350" s="1247"/>
      <c r="QQ350" s="1247"/>
      <c r="QR350" s="1247"/>
      <c r="QS350" s="1247"/>
      <c r="QT350" s="1247"/>
      <c r="QU350" s="1247"/>
      <c r="QV350" s="1247"/>
      <c r="QW350" s="1247"/>
      <c r="QX350" s="1247"/>
      <c r="QY350" s="1247"/>
      <c r="QZ350" s="1247"/>
      <c r="RA350" s="1247"/>
      <c r="RB350" s="1247"/>
      <c r="RC350" s="1247"/>
      <c r="RD350" s="1247"/>
      <c r="RE350" s="1247"/>
      <c r="RF350" s="1247"/>
      <c r="RG350" s="1247"/>
      <c r="RH350" s="1247"/>
      <c r="RI350" s="1247"/>
      <c r="RJ350" s="1247"/>
      <c r="RK350" s="1247"/>
      <c r="RL350" s="1247"/>
      <c r="RM350" s="1247"/>
      <c r="RN350" s="1247"/>
      <c r="RO350" s="1247"/>
      <c r="RP350" s="1247"/>
      <c r="RQ350" s="1247"/>
      <c r="RR350" s="1247"/>
      <c r="RS350" s="1247"/>
      <c r="RT350" s="1247"/>
      <c r="RU350" s="1247"/>
      <c r="RV350" s="1247"/>
      <c r="RW350" s="1247"/>
      <c r="RX350" s="1247"/>
      <c r="RY350" s="1247"/>
      <c r="RZ350" s="1247"/>
      <c r="SA350" s="1247"/>
      <c r="SB350" s="1247"/>
      <c r="SC350" s="1247"/>
      <c r="SD350" s="1247"/>
      <c r="SE350" s="1247"/>
      <c r="SF350" s="1247"/>
      <c r="SG350" s="1247"/>
      <c r="SH350" s="1247"/>
      <c r="SI350" s="1247"/>
      <c r="SJ350" s="1247"/>
      <c r="SK350" s="1247"/>
      <c r="SL350" s="1247"/>
      <c r="SM350" s="1247"/>
      <c r="SN350" s="1247"/>
      <c r="SO350" s="1247"/>
      <c r="SP350" s="1247"/>
      <c r="SQ350" s="1247"/>
      <c r="SR350" s="1247"/>
      <c r="SS350" s="1247"/>
      <c r="ST350" s="1247"/>
      <c r="SU350" s="1247"/>
      <c r="SV350" s="1247"/>
      <c r="SW350" s="1247"/>
      <c r="SX350" s="1247"/>
      <c r="SY350" s="1247"/>
      <c r="SZ350" s="1247"/>
      <c r="TA350" s="1247"/>
      <c r="TB350" s="1247"/>
      <c r="TC350" s="1247"/>
      <c r="TD350" s="1247"/>
      <c r="TE350" s="1247"/>
      <c r="TF350" s="1247"/>
      <c r="TG350" s="1247"/>
      <c r="TH350" s="1247"/>
      <c r="TI350" s="1247"/>
      <c r="TJ350" s="1247"/>
      <c r="TK350" s="1247"/>
      <c r="TL350" s="1247"/>
      <c r="TM350" s="1247"/>
      <c r="TN350" s="1247"/>
      <c r="TO350" s="1247"/>
      <c r="TP350" s="1247"/>
      <c r="TQ350" s="1247"/>
      <c r="TR350" s="1247"/>
      <c r="TS350" s="1247"/>
      <c r="TT350" s="1247"/>
      <c r="TU350" s="1247"/>
      <c r="TV350" s="1247"/>
      <c r="TW350" s="1247"/>
      <c r="TX350" s="1247"/>
      <c r="TY350" s="1247"/>
      <c r="TZ350" s="1247"/>
      <c r="UA350" s="1247"/>
      <c r="UB350" s="1247"/>
      <c r="UC350" s="1247"/>
      <c r="UD350" s="1247"/>
      <c r="UE350" s="1247"/>
      <c r="UF350" s="1247"/>
      <c r="UG350" s="1247"/>
      <c r="UH350" s="1247"/>
      <c r="UI350" s="1247"/>
      <c r="UJ350" s="1247"/>
      <c r="UK350" s="1247"/>
      <c r="UL350" s="1247"/>
      <c r="UM350" s="1247"/>
      <c r="UN350" s="1247"/>
      <c r="UO350" s="1247"/>
      <c r="UP350" s="1247"/>
      <c r="UQ350" s="1247"/>
      <c r="UR350" s="1247"/>
      <c r="US350" s="1247"/>
      <c r="UT350" s="1247"/>
      <c r="UU350" s="1247"/>
      <c r="UV350" s="1247"/>
      <c r="UW350" s="1247"/>
      <c r="UX350" s="1247"/>
      <c r="UY350" s="1247"/>
      <c r="UZ350" s="1247"/>
      <c r="VA350" s="1247"/>
      <c r="VB350" s="1247"/>
      <c r="VC350" s="1247"/>
      <c r="VD350" s="1247"/>
      <c r="VE350" s="1247"/>
      <c r="VF350" s="1247"/>
      <c r="VG350" s="1247"/>
      <c r="VH350" s="1247"/>
      <c r="VI350" s="1247"/>
      <c r="VJ350" s="1247"/>
      <c r="VK350" s="1247"/>
      <c r="VL350" s="1247"/>
      <c r="VM350" s="1247"/>
      <c r="VN350" s="1247"/>
      <c r="VO350" s="1247"/>
      <c r="VP350" s="1247"/>
      <c r="VQ350" s="1247"/>
      <c r="VR350" s="1247"/>
      <c r="VS350" s="1247"/>
      <c r="VT350" s="1247"/>
      <c r="VU350" s="1247"/>
      <c r="VV350" s="1247"/>
      <c r="VW350" s="1247"/>
      <c r="VX350" s="1247"/>
      <c r="VY350" s="1247"/>
      <c r="VZ350" s="1247"/>
      <c r="WA350" s="1247"/>
      <c r="WB350" s="1247"/>
      <c r="WC350" s="1247"/>
      <c r="WD350" s="1247"/>
      <c r="WE350" s="1247"/>
      <c r="WF350" s="1247"/>
      <c r="WG350" s="1247"/>
      <c r="WH350" s="1247"/>
      <c r="WI350" s="1247"/>
      <c r="WJ350" s="1247"/>
      <c r="WK350" s="1247"/>
      <c r="WL350" s="1247"/>
      <c r="WM350" s="1247"/>
      <c r="WN350" s="1247"/>
      <c r="WO350" s="1247"/>
      <c r="WP350" s="1247"/>
      <c r="WQ350" s="1247"/>
      <c r="WR350" s="1247"/>
      <c r="WS350" s="1247"/>
      <c r="WT350" s="1247"/>
      <c r="WU350" s="1247"/>
      <c r="WV350" s="1247"/>
      <c r="WW350" s="1247"/>
      <c r="WX350" s="1247"/>
      <c r="WY350" s="1247"/>
      <c r="WZ350" s="1247"/>
      <c r="XA350" s="1247"/>
      <c r="XB350" s="1247"/>
      <c r="XC350" s="1247"/>
      <c r="XD350" s="1247"/>
      <c r="XE350" s="1247"/>
      <c r="XF350" s="1247"/>
      <c r="XG350" s="1247"/>
      <c r="XH350" s="1247"/>
      <c r="XI350" s="1247"/>
      <c r="XJ350" s="1247"/>
      <c r="XK350" s="1247"/>
      <c r="XL350" s="1247"/>
      <c r="XM350" s="1247"/>
      <c r="XN350" s="1247"/>
      <c r="XO350" s="1247"/>
      <c r="XP350" s="1247"/>
      <c r="XQ350" s="1247"/>
      <c r="XR350" s="1247"/>
      <c r="XS350" s="1247"/>
      <c r="XT350" s="1247"/>
      <c r="XU350" s="1247"/>
      <c r="XV350" s="1247"/>
      <c r="XW350" s="1247"/>
      <c r="XX350" s="1247"/>
      <c r="XY350" s="1247"/>
      <c r="XZ350" s="1247"/>
      <c r="YA350" s="1247"/>
      <c r="YB350" s="1247"/>
      <c r="YC350" s="1247"/>
      <c r="YD350" s="1247"/>
      <c r="YE350" s="1247"/>
      <c r="YF350" s="1247"/>
      <c r="YG350" s="1247"/>
      <c r="YH350" s="1247"/>
      <c r="YI350" s="1247"/>
      <c r="YJ350" s="1247"/>
      <c r="YK350" s="1247"/>
      <c r="YL350" s="1247"/>
      <c r="YM350" s="1247"/>
      <c r="YN350" s="1247"/>
      <c r="YO350" s="1247"/>
      <c r="YP350" s="1247"/>
      <c r="YQ350" s="1247"/>
      <c r="YR350" s="1247"/>
      <c r="YS350" s="1247"/>
      <c r="YT350" s="1247"/>
      <c r="YU350" s="1247"/>
      <c r="YV350" s="1247"/>
      <c r="YW350" s="1247"/>
      <c r="YX350" s="1247"/>
      <c r="YY350" s="1247"/>
      <c r="YZ350" s="1247"/>
      <c r="ZA350" s="1247"/>
      <c r="ZB350" s="1247"/>
      <c r="ZC350" s="1247"/>
      <c r="ZD350" s="1247"/>
      <c r="ZE350" s="1247"/>
      <c r="ZF350" s="1247"/>
      <c r="ZG350" s="1247"/>
      <c r="ZH350" s="1247"/>
      <c r="ZI350" s="1247"/>
      <c r="ZJ350" s="1247"/>
      <c r="ZK350" s="1247"/>
      <c r="ZL350" s="1247"/>
      <c r="ZM350" s="1247"/>
      <c r="ZN350" s="1247"/>
      <c r="ZO350" s="1247"/>
      <c r="ZP350" s="1247"/>
      <c r="ZQ350" s="1247"/>
      <c r="ZR350" s="1247"/>
      <c r="ZS350" s="1247"/>
      <c r="ZT350" s="1247"/>
      <c r="ZU350" s="1247"/>
      <c r="ZV350" s="1247"/>
      <c r="ZW350" s="1247"/>
      <c r="ZX350" s="1247"/>
      <c r="ZY350" s="1247"/>
      <c r="ZZ350" s="1247"/>
      <c r="AAA350" s="1247"/>
      <c r="AAB350" s="1247"/>
      <c r="AAC350" s="1247"/>
      <c r="AAD350" s="1247"/>
      <c r="AAE350" s="1247"/>
      <c r="AAF350" s="1247"/>
      <c r="AAG350" s="1247"/>
      <c r="AAH350" s="1247"/>
      <c r="AAI350" s="1247"/>
      <c r="AAJ350" s="1247"/>
      <c r="AAK350" s="1247"/>
      <c r="AAL350" s="1247"/>
      <c r="AAM350" s="1247"/>
      <c r="AAN350" s="1247"/>
      <c r="AAO350" s="1247"/>
      <c r="AAP350" s="1247"/>
      <c r="AAQ350" s="1247"/>
      <c r="AAR350" s="1247"/>
      <c r="AAS350" s="1247"/>
      <c r="AAT350" s="1247"/>
      <c r="AAU350" s="1247"/>
      <c r="AAV350" s="1247"/>
      <c r="AAW350" s="1247"/>
      <c r="AAX350" s="1247"/>
      <c r="AAY350" s="1247"/>
      <c r="AAZ350" s="1247"/>
      <c r="ABA350" s="1247"/>
      <c r="ABB350" s="1247"/>
      <c r="ABC350" s="1247"/>
      <c r="ABD350" s="1247"/>
      <c r="ABE350" s="1247"/>
      <c r="ABF350" s="1247"/>
      <c r="ABG350" s="1247"/>
      <c r="ABH350" s="1247"/>
      <c r="ABI350" s="1247"/>
      <c r="ABJ350" s="1247"/>
      <c r="ABK350" s="1247"/>
      <c r="ABL350" s="1247"/>
      <c r="ABM350" s="1247"/>
      <c r="ABN350" s="1247"/>
      <c r="ABO350" s="1247"/>
      <c r="ABP350" s="1247"/>
      <c r="ABQ350" s="1247"/>
      <c r="ABR350" s="1247"/>
      <c r="ABS350" s="1247"/>
      <c r="ABT350" s="1247"/>
      <c r="ABU350" s="1247"/>
      <c r="ABV350" s="1247"/>
      <c r="ABW350" s="1247"/>
      <c r="ABX350" s="1247"/>
      <c r="ABY350" s="1247"/>
      <c r="ABZ350" s="1247"/>
      <c r="ACA350" s="1247"/>
      <c r="ACB350" s="1247"/>
      <c r="ACC350" s="1247"/>
      <c r="ACD350" s="1247"/>
      <c r="ACE350" s="1247"/>
      <c r="ACF350" s="1247"/>
      <c r="ACG350" s="1247"/>
      <c r="ACH350" s="1247"/>
      <c r="ACI350" s="1247"/>
      <c r="ACJ350" s="1247"/>
      <c r="ACK350" s="1247"/>
      <c r="ACL350" s="1247"/>
      <c r="ACM350" s="1247"/>
      <c r="ACN350" s="1247"/>
      <c r="ACO350" s="1247"/>
      <c r="ACP350" s="1247"/>
      <c r="ACQ350" s="1247"/>
      <c r="ACR350" s="1247"/>
      <c r="ACS350" s="1247"/>
      <c r="ACT350" s="1247"/>
      <c r="ACU350" s="1247"/>
      <c r="ACV350" s="1247"/>
      <c r="ACW350" s="1247"/>
      <c r="ACX350" s="1247"/>
      <c r="ACY350" s="1247"/>
      <c r="ACZ350" s="1247"/>
      <c r="ADA350" s="1247"/>
      <c r="ADB350" s="1247"/>
      <c r="ADC350" s="1247"/>
      <c r="ADD350" s="1247"/>
      <c r="ADE350" s="1247"/>
      <c r="ADF350" s="1247"/>
      <c r="ADG350" s="1247"/>
    </row>
    <row r="351" spans="1:787" s="1412" customFormat="1" ht="13" collapsed="1">
      <c r="A351" s="1247"/>
      <c r="B351" s="1403" t="s">
        <v>1469</v>
      </c>
      <c r="C351" s="1404"/>
      <c r="D351" s="1404" t="s">
        <v>142</v>
      </c>
      <c r="E351" s="1459"/>
      <c r="F351" s="1463"/>
      <c r="G351" s="1459" t="s">
        <v>4117</v>
      </c>
      <c r="H351" s="1408">
        <f>SUM(H352:H355)</f>
        <v>0</v>
      </c>
      <c r="I351" s="1408"/>
      <c r="J351" s="1409">
        <f t="shared" ref="J351:P351" si="90">SUM(J352:J355)</f>
        <v>0</v>
      </c>
      <c r="K351" s="1409">
        <f t="shared" si="90"/>
        <v>0</v>
      </c>
      <c r="L351" s="1409">
        <f t="shared" si="90"/>
        <v>0</v>
      </c>
      <c r="M351" s="1409">
        <f t="shared" si="90"/>
        <v>0</v>
      </c>
      <c r="N351" s="1409">
        <f t="shared" si="90"/>
        <v>0</v>
      </c>
      <c r="O351" s="1409">
        <f t="shared" si="90"/>
        <v>0</v>
      </c>
      <c r="P351" s="1409">
        <f t="shared" si="90"/>
        <v>0</v>
      </c>
      <c r="Q351" s="1409">
        <f ca="1">SUBTOTAL(9,Q352:Q355)</f>
        <v>2140.8711183671458</v>
      </c>
      <c r="R351" s="1409">
        <f ca="1">SUBTOTAL(9,R352:R355)</f>
        <v>2140.8711183671458</v>
      </c>
      <c r="S351" s="1409">
        <f>SUBTOTAL(9,S352:S355)</f>
        <v>0</v>
      </c>
      <c r="T351" s="1409">
        <f ca="1">SUBTOTAL(9,T352:T355)</f>
        <v>2140.8711183671458</v>
      </c>
      <c r="U351" s="1411"/>
      <c r="V351" s="1225">
        <f t="shared" ca="1" si="86"/>
        <v>0</v>
      </c>
      <c r="W351" s="1225">
        <f t="shared" ca="1" si="87"/>
        <v>0</v>
      </c>
      <c r="X351" s="1225"/>
      <c r="Y351" s="1225"/>
      <c r="Z351" s="1247"/>
      <c r="AA351" s="1247"/>
      <c r="AB351" s="1247"/>
      <c r="AC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c r="AX351" s="1247"/>
      <c r="AY351" s="1247"/>
      <c r="AZ351" s="1247"/>
      <c r="BA351" s="1247"/>
      <c r="BB351" s="1247"/>
      <c r="BC351" s="1247"/>
      <c r="BD351" s="1247"/>
      <c r="BE351" s="1247"/>
      <c r="BF351" s="1247"/>
      <c r="BG351" s="1247"/>
      <c r="BH351" s="1247"/>
      <c r="BI351" s="1247"/>
      <c r="BJ351" s="1247"/>
      <c r="BK351" s="1247"/>
      <c r="BL351" s="1247"/>
      <c r="BM351" s="1247"/>
      <c r="BN351" s="1247"/>
      <c r="BO351" s="1247"/>
      <c r="BP351" s="1247"/>
      <c r="BQ351" s="1247"/>
      <c r="BR351" s="1247"/>
      <c r="BS351" s="1247"/>
      <c r="BT351" s="1247"/>
      <c r="BU351" s="1247"/>
      <c r="BV351" s="1247"/>
      <c r="BW351" s="1247"/>
      <c r="BX351" s="1247"/>
      <c r="BY351" s="1247"/>
      <c r="BZ351" s="1247"/>
      <c r="CA351" s="1247"/>
      <c r="CB351" s="1247"/>
      <c r="CC351" s="1247"/>
      <c r="CD351" s="1247"/>
      <c r="CE351" s="1247"/>
      <c r="CF351" s="1247"/>
      <c r="CG351" s="1247"/>
      <c r="CH351" s="1247"/>
      <c r="CI351" s="1247"/>
      <c r="CJ351" s="1247"/>
      <c r="CK351" s="1247"/>
      <c r="CL351" s="1247"/>
      <c r="CM351" s="1247"/>
      <c r="CN351" s="1247"/>
      <c r="CO351" s="1247"/>
      <c r="CP351" s="1247"/>
      <c r="CQ351" s="1247"/>
      <c r="CR351" s="1247"/>
      <c r="CS351" s="1247"/>
      <c r="CT351" s="1247"/>
      <c r="CU351" s="1247"/>
      <c r="CV351" s="1247"/>
      <c r="CW351" s="1247"/>
      <c r="CX351" s="1247"/>
      <c r="CY351" s="1247"/>
      <c r="CZ351" s="1247"/>
      <c r="DA351" s="1247"/>
      <c r="DB351" s="1247"/>
      <c r="DC351" s="1247"/>
      <c r="DD351" s="1247"/>
      <c r="DE351" s="1247"/>
      <c r="DF351" s="1247"/>
      <c r="DG351" s="1247"/>
      <c r="DH351" s="1247"/>
      <c r="DI351" s="1247"/>
      <c r="DJ351" s="1247"/>
      <c r="DK351" s="1247"/>
      <c r="DL351" s="1247"/>
      <c r="DM351" s="1247"/>
      <c r="DN351" s="1247"/>
      <c r="DO351" s="1247"/>
      <c r="DP351" s="1247"/>
      <c r="DQ351" s="1247"/>
      <c r="DR351" s="1247"/>
      <c r="DS351" s="1247"/>
      <c r="DT351" s="1247"/>
      <c r="DU351" s="1247"/>
      <c r="DV351" s="1247"/>
      <c r="DW351" s="1247"/>
      <c r="DX351" s="1247"/>
      <c r="DY351" s="1247"/>
      <c r="DZ351" s="1247"/>
      <c r="EA351" s="1247"/>
      <c r="EB351" s="1247"/>
      <c r="EC351" s="1247"/>
      <c r="ED351" s="1247"/>
      <c r="EE351" s="1247"/>
      <c r="EF351" s="1247"/>
      <c r="EG351" s="1247"/>
      <c r="EH351" s="1247"/>
      <c r="EI351" s="1247"/>
      <c r="EJ351" s="1247"/>
      <c r="EK351" s="1247"/>
      <c r="EL351" s="1247"/>
      <c r="EM351" s="1247"/>
      <c r="EN351" s="1247"/>
      <c r="EO351" s="1247"/>
      <c r="EP351" s="1247"/>
      <c r="EQ351" s="1247"/>
      <c r="ER351" s="1247"/>
      <c r="ES351" s="1247"/>
      <c r="ET351" s="1247"/>
      <c r="EU351" s="1247"/>
      <c r="EV351" s="1247"/>
      <c r="EW351" s="1247"/>
      <c r="EX351" s="1247"/>
      <c r="EY351" s="1247"/>
      <c r="EZ351" s="1247"/>
      <c r="FA351" s="1247"/>
      <c r="FB351" s="1247"/>
      <c r="FC351" s="1247"/>
      <c r="FD351" s="1247"/>
      <c r="FE351" s="1247"/>
      <c r="FF351" s="1247"/>
      <c r="FG351" s="1247"/>
      <c r="FH351" s="1247"/>
      <c r="FI351" s="1247"/>
      <c r="FJ351" s="1247"/>
      <c r="FK351" s="1247"/>
      <c r="FL351" s="1247"/>
      <c r="FM351" s="1247"/>
      <c r="FN351" s="1247"/>
      <c r="FO351" s="1247"/>
      <c r="FP351" s="1247"/>
      <c r="FQ351" s="1247"/>
      <c r="FR351" s="1247"/>
      <c r="FS351" s="1247"/>
      <c r="FT351" s="1247"/>
      <c r="FU351" s="1247"/>
      <c r="FV351" s="1247"/>
      <c r="FW351" s="1247"/>
      <c r="FX351" s="1247"/>
      <c r="FY351" s="1247"/>
      <c r="FZ351" s="1247"/>
      <c r="GA351" s="1247"/>
      <c r="GB351" s="1247"/>
      <c r="GC351" s="1247"/>
      <c r="GD351" s="1247"/>
      <c r="GE351" s="1247"/>
      <c r="GF351" s="1247"/>
      <c r="GG351" s="1247"/>
      <c r="GH351" s="1247"/>
      <c r="GI351" s="1247"/>
      <c r="GJ351" s="1247"/>
      <c r="GK351" s="1247"/>
      <c r="GL351" s="1247"/>
      <c r="GM351" s="1247"/>
      <c r="GN351" s="1247"/>
      <c r="GO351" s="1247"/>
      <c r="GP351" s="1247"/>
      <c r="GQ351" s="1247"/>
      <c r="GR351" s="1247"/>
      <c r="GS351" s="1247"/>
      <c r="GT351" s="1247"/>
      <c r="GU351" s="1247"/>
      <c r="GV351" s="1247"/>
      <c r="GW351" s="1247"/>
      <c r="GX351" s="1247"/>
      <c r="GY351" s="1247"/>
      <c r="GZ351" s="1247"/>
      <c r="HA351" s="1247"/>
      <c r="HB351" s="1247"/>
      <c r="HC351" s="1247"/>
      <c r="HD351" s="1247"/>
      <c r="HE351" s="1247"/>
      <c r="HF351" s="1247"/>
      <c r="HG351" s="1247"/>
      <c r="HH351" s="1247"/>
      <c r="HI351" s="1247"/>
      <c r="HJ351" s="1247"/>
      <c r="HK351" s="1247"/>
      <c r="HL351" s="1247"/>
      <c r="HM351" s="1247"/>
      <c r="HN351" s="1247"/>
      <c r="HO351" s="1247"/>
      <c r="HP351" s="1247"/>
      <c r="HQ351" s="1247"/>
      <c r="HR351" s="1247"/>
      <c r="HS351" s="1247"/>
      <c r="HT351" s="1247"/>
      <c r="HU351" s="1247"/>
      <c r="HV351" s="1247"/>
      <c r="HW351" s="1247"/>
      <c r="HX351" s="1247"/>
      <c r="HY351" s="1247"/>
      <c r="HZ351" s="1247"/>
      <c r="IA351" s="1247"/>
      <c r="IB351" s="1247"/>
      <c r="IC351" s="1247"/>
      <c r="ID351" s="1247"/>
      <c r="IE351" s="1247"/>
      <c r="IF351" s="1247"/>
      <c r="IG351" s="1247"/>
      <c r="IH351" s="1247"/>
      <c r="II351" s="1247"/>
      <c r="IJ351" s="1247"/>
      <c r="IK351" s="1247"/>
      <c r="IL351" s="1247"/>
      <c r="IM351" s="1247"/>
      <c r="IN351" s="1247"/>
      <c r="IO351" s="1247"/>
      <c r="IP351" s="1247"/>
      <c r="IQ351" s="1247"/>
      <c r="IR351" s="1247"/>
      <c r="IS351" s="1247"/>
      <c r="IT351" s="1247"/>
      <c r="IU351" s="1247"/>
      <c r="IV351" s="1247"/>
      <c r="IW351" s="1247"/>
      <c r="IX351" s="1247"/>
      <c r="IY351" s="1247"/>
      <c r="IZ351" s="1247"/>
      <c r="JA351" s="1247"/>
      <c r="JB351" s="1247"/>
      <c r="JC351" s="1247"/>
      <c r="JD351" s="1247"/>
      <c r="JE351" s="1247"/>
      <c r="JF351" s="1247"/>
      <c r="JG351" s="1247"/>
      <c r="JH351" s="1247"/>
      <c r="JI351" s="1247"/>
      <c r="JJ351" s="1247"/>
      <c r="JK351" s="1247"/>
      <c r="JL351" s="1247"/>
      <c r="JM351" s="1247"/>
      <c r="JN351" s="1247"/>
      <c r="JO351" s="1247"/>
      <c r="JP351" s="1247"/>
      <c r="JQ351" s="1247"/>
      <c r="JR351" s="1247"/>
      <c r="JS351" s="1247"/>
      <c r="JT351" s="1247"/>
      <c r="JU351" s="1247"/>
      <c r="JV351" s="1247"/>
      <c r="JW351" s="1247"/>
      <c r="JX351" s="1247"/>
      <c r="JY351" s="1247"/>
      <c r="JZ351" s="1247"/>
      <c r="KA351" s="1247"/>
      <c r="KB351" s="1247"/>
      <c r="KC351" s="1247"/>
      <c r="KD351" s="1247"/>
      <c r="KE351" s="1247"/>
      <c r="KF351" s="1247"/>
      <c r="KG351" s="1247"/>
      <c r="KH351" s="1247"/>
      <c r="KI351" s="1247"/>
      <c r="KJ351" s="1247"/>
      <c r="KK351" s="1247"/>
      <c r="KL351" s="1247"/>
      <c r="KM351" s="1247"/>
      <c r="KN351" s="1247"/>
      <c r="KO351" s="1247"/>
      <c r="KP351" s="1247"/>
      <c r="KQ351" s="1247"/>
      <c r="KR351" s="1247"/>
      <c r="KS351" s="1247"/>
      <c r="KT351" s="1247"/>
      <c r="KU351" s="1247"/>
      <c r="KV351" s="1247"/>
      <c r="KW351" s="1247"/>
      <c r="KX351" s="1247"/>
      <c r="KY351" s="1247"/>
      <c r="KZ351" s="1247"/>
      <c r="LA351" s="1247"/>
      <c r="LB351" s="1247"/>
      <c r="LC351" s="1247"/>
      <c r="LD351" s="1247"/>
      <c r="LE351" s="1247"/>
      <c r="LF351" s="1247"/>
      <c r="LG351" s="1247"/>
      <c r="LH351" s="1247"/>
      <c r="LI351" s="1247"/>
      <c r="LJ351" s="1247"/>
      <c r="LK351" s="1247"/>
      <c r="LL351" s="1247"/>
      <c r="LM351" s="1247"/>
      <c r="LN351" s="1247"/>
      <c r="LO351" s="1247"/>
      <c r="LP351" s="1247"/>
      <c r="LQ351" s="1247"/>
      <c r="LR351" s="1247"/>
      <c r="LS351" s="1247"/>
      <c r="LT351" s="1247"/>
      <c r="LU351" s="1247"/>
      <c r="LV351" s="1247"/>
      <c r="LW351" s="1247"/>
      <c r="LX351" s="1247"/>
      <c r="LY351" s="1247"/>
      <c r="LZ351" s="1247"/>
      <c r="MA351" s="1247"/>
      <c r="MB351" s="1247"/>
      <c r="MC351" s="1247"/>
      <c r="MD351" s="1247"/>
      <c r="ME351" s="1247"/>
      <c r="MF351" s="1247"/>
      <c r="MG351" s="1247"/>
      <c r="MH351" s="1247"/>
      <c r="MI351" s="1247"/>
      <c r="MJ351" s="1247"/>
      <c r="MK351" s="1247"/>
      <c r="ML351" s="1247"/>
      <c r="MM351" s="1247"/>
      <c r="MN351" s="1247"/>
      <c r="MO351" s="1247"/>
      <c r="MP351" s="1247"/>
      <c r="MQ351" s="1247"/>
      <c r="MR351" s="1247"/>
      <c r="MS351" s="1247"/>
      <c r="MT351" s="1247"/>
      <c r="MU351" s="1247"/>
      <c r="MV351" s="1247"/>
      <c r="MW351" s="1247"/>
      <c r="MX351" s="1247"/>
      <c r="MY351" s="1247"/>
      <c r="MZ351" s="1247"/>
      <c r="NA351" s="1247"/>
      <c r="NB351" s="1247"/>
      <c r="NC351" s="1247"/>
      <c r="ND351" s="1247"/>
      <c r="NE351" s="1247"/>
      <c r="NF351" s="1247"/>
      <c r="NG351" s="1247"/>
      <c r="NH351" s="1247"/>
      <c r="NI351" s="1247"/>
      <c r="NJ351" s="1247"/>
      <c r="NK351" s="1247"/>
      <c r="NL351" s="1247"/>
      <c r="NM351" s="1247"/>
      <c r="NN351" s="1247"/>
      <c r="NO351" s="1247"/>
      <c r="NP351" s="1247"/>
      <c r="NQ351" s="1247"/>
      <c r="NR351" s="1247"/>
      <c r="NS351" s="1247"/>
      <c r="NT351" s="1247"/>
      <c r="NU351" s="1247"/>
      <c r="NV351" s="1247"/>
      <c r="NW351" s="1247"/>
      <c r="NX351" s="1247"/>
      <c r="NY351" s="1247"/>
      <c r="NZ351" s="1247"/>
      <c r="OA351" s="1247"/>
      <c r="OB351" s="1247"/>
      <c r="OC351" s="1247"/>
      <c r="OD351" s="1247"/>
      <c r="OE351" s="1247"/>
      <c r="OF351" s="1247"/>
      <c r="OG351" s="1247"/>
      <c r="OH351" s="1247"/>
      <c r="OI351" s="1247"/>
      <c r="OJ351" s="1247"/>
      <c r="OK351" s="1247"/>
      <c r="OL351" s="1247"/>
      <c r="OM351" s="1247"/>
      <c r="ON351" s="1247"/>
      <c r="OO351" s="1247"/>
      <c r="OP351" s="1247"/>
      <c r="OQ351" s="1247"/>
      <c r="OR351" s="1247"/>
      <c r="OS351" s="1247"/>
      <c r="OT351" s="1247"/>
      <c r="OU351" s="1247"/>
      <c r="OV351" s="1247"/>
      <c r="OW351" s="1247"/>
      <c r="OX351" s="1247"/>
      <c r="OY351" s="1247"/>
      <c r="OZ351" s="1247"/>
      <c r="PA351" s="1247"/>
      <c r="PB351" s="1247"/>
      <c r="PC351" s="1247"/>
      <c r="PD351" s="1247"/>
      <c r="PE351" s="1247"/>
      <c r="PF351" s="1247"/>
      <c r="PG351" s="1247"/>
      <c r="PH351" s="1247"/>
      <c r="PI351" s="1247"/>
      <c r="PJ351" s="1247"/>
      <c r="PK351" s="1247"/>
      <c r="PL351" s="1247"/>
      <c r="PM351" s="1247"/>
      <c r="PN351" s="1247"/>
      <c r="PO351" s="1247"/>
      <c r="PP351" s="1247"/>
      <c r="PQ351" s="1247"/>
      <c r="PR351" s="1247"/>
      <c r="PS351" s="1247"/>
      <c r="PT351" s="1247"/>
      <c r="PU351" s="1247"/>
      <c r="PV351" s="1247"/>
      <c r="PW351" s="1247"/>
      <c r="PX351" s="1247"/>
      <c r="PY351" s="1247"/>
      <c r="PZ351" s="1247"/>
      <c r="QA351" s="1247"/>
      <c r="QB351" s="1247"/>
      <c r="QC351" s="1247"/>
      <c r="QD351" s="1247"/>
      <c r="QE351" s="1247"/>
      <c r="QF351" s="1247"/>
      <c r="QG351" s="1247"/>
      <c r="QH351" s="1247"/>
      <c r="QI351" s="1247"/>
      <c r="QJ351" s="1247"/>
      <c r="QK351" s="1247"/>
      <c r="QL351" s="1247"/>
      <c r="QM351" s="1247"/>
      <c r="QN351" s="1247"/>
      <c r="QO351" s="1247"/>
      <c r="QP351" s="1247"/>
      <c r="QQ351" s="1247"/>
      <c r="QR351" s="1247"/>
      <c r="QS351" s="1247"/>
      <c r="QT351" s="1247"/>
      <c r="QU351" s="1247"/>
      <c r="QV351" s="1247"/>
      <c r="QW351" s="1247"/>
      <c r="QX351" s="1247"/>
      <c r="QY351" s="1247"/>
      <c r="QZ351" s="1247"/>
      <c r="RA351" s="1247"/>
      <c r="RB351" s="1247"/>
      <c r="RC351" s="1247"/>
      <c r="RD351" s="1247"/>
      <c r="RE351" s="1247"/>
      <c r="RF351" s="1247"/>
      <c r="RG351" s="1247"/>
      <c r="RH351" s="1247"/>
      <c r="RI351" s="1247"/>
      <c r="RJ351" s="1247"/>
      <c r="RK351" s="1247"/>
      <c r="RL351" s="1247"/>
      <c r="RM351" s="1247"/>
      <c r="RN351" s="1247"/>
      <c r="RO351" s="1247"/>
      <c r="RP351" s="1247"/>
      <c r="RQ351" s="1247"/>
      <c r="RR351" s="1247"/>
      <c r="RS351" s="1247"/>
      <c r="RT351" s="1247"/>
      <c r="RU351" s="1247"/>
      <c r="RV351" s="1247"/>
      <c r="RW351" s="1247"/>
      <c r="RX351" s="1247"/>
      <c r="RY351" s="1247"/>
      <c r="RZ351" s="1247"/>
      <c r="SA351" s="1247"/>
      <c r="SB351" s="1247"/>
      <c r="SC351" s="1247"/>
      <c r="SD351" s="1247"/>
      <c r="SE351" s="1247"/>
      <c r="SF351" s="1247"/>
      <c r="SG351" s="1247"/>
      <c r="SH351" s="1247"/>
      <c r="SI351" s="1247"/>
      <c r="SJ351" s="1247"/>
      <c r="SK351" s="1247"/>
      <c r="SL351" s="1247"/>
      <c r="SM351" s="1247"/>
      <c r="SN351" s="1247"/>
      <c r="SO351" s="1247"/>
      <c r="SP351" s="1247"/>
      <c r="SQ351" s="1247"/>
      <c r="SR351" s="1247"/>
      <c r="SS351" s="1247"/>
      <c r="ST351" s="1247"/>
      <c r="SU351" s="1247"/>
      <c r="SV351" s="1247"/>
      <c r="SW351" s="1247"/>
      <c r="SX351" s="1247"/>
      <c r="SY351" s="1247"/>
      <c r="SZ351" s="1247"/>
      <c r="TA351" s="1247"/>
      <c r="TB351" s="1247"/>
      <c r="TC351" s="1247"/>
      <c r="TD351" s="1247"/>
      <c r="TE351" s="1247"/>
      <c r="TF351" s="1247"/>
      <c r="TG351" s="1247"/>
      <c r="TH351" s="1247"/>
      <c r="TI351" s="1247"/>
      <c r="TJ351" s="1247"/>
      <c r="TK351" s="1247"/>
      <c r="TL351" s="1247"/>
      <c r="TM351" s="1247"/>
      <c r="TN351" s="1247"/>
      <c r="TO351" s="1247"/>
      <c r="TP351" s="1247"/>
      <c r="TQ351" s="1247"/>
      <c r="TR351" s="1247"/>
      <c r="TS351" s="1247"/>
      <c r="TT351" s="1247"/>
      <c r="TU351" s="1247"/>
      <c r="TV351" s="1247"/>
      <c r="TW351" s="1247"/>
      <c r="TX351" s="1247"/>
      <c r="TY351" s="1247"/>
      <c r="TZ351" s="1247"/>
      <c r="UA351" s="1247"/>
      <c r="UB351" s="1247"/>
      <c r="UC351" s="1247"/>
      <c r="UD351" s="1247"/>
      <c r="UE351" s="1247"/>
      <c r="UF351" s="1247"/>
      <c r="UG351" s="1247"/>
      <c r="UH351" s="1247"/>
      <c r="UI351" s="1247"/>
      <c r="UJ351" s="1247"/>
      <c r="UK351" s="1247"/>
      <c r="UL351" s="1247"/>
      <c r="UM351" s="1247"/>
      <c r="UN351" s="1247"/>
      <c r="UO351" s="1247"/>
      <c r="UP351" s="1247"/>
      <c r="UQ351" s="1247"/>
      <c r="UR351" s="1247"/>
      <c r="US351" s="1247"/>
      <c r="UT351" s="1247"/>
      <c r="UU351" s="1247"/>
      <c r="UV351" s="1247"/>
      <c r="UW351" s="1247"/>
      <c r="UX351" s="1247"/>
      <c r="UY351" s="1247"/>
      <c r="UZ351" s="1247"/>
      <c r="VA351" s="1247"/>
      <c r="VB351" s="1247"/>
      <c r="VC351" s="1247"/>
      <c r="VD351" s="1247"/>
      <c r="VE351" s="1247"/>
      <c r="VF351" s="1247"/>
      <c r="VG351" s="1247"/>
      <c r="VH351" s="1247"/>
      <c r="VI351" s="1247"/>
      <c r="VJ351" s="1247"/>
      <c r="VK351" s="1247"/>
      <c r="VL351" s="1247"/>
      <c r="VM351" s="1247"/>
      <c r="VN351" s="1247"/>
      <c r="VO351" s="1247"/>
      <c r="VP351" s="1247"/>
      <c r="VQ351" s="1247"/>
      <c r="VR351" s="1247"/>
      <c r="VS351" s="1247"/>
      <c r="VT351" s="1247"/>
      <c r="VU351" s="1247"/>
      <c r="VV351" s="1247"/>
      <c r="VW351" s="1247"/>
      <c r="VX351" s="1247"/>
      <c r="VY351" s="1247"/>
      <c r="VZ351" s="1247"/>
      <c r="WA351" s="1247"/>
      <c r="WB351" s="1247"/>
      <c r="WC351" s="1247"/>
      <c r="WD351" s="1247"/>
      <c r="WE351" s="1247"/>
      <c r="WF351" s="1247"/>
      <c r="WG351" s="1247"/>
      <c r="WH351" s="1247"/>
      <c r="WI351" s="1247"/>
      <c r="WJ351" s="1247"/>
      <c r="WK351" s="1247"/>
      <c r="WL351" s="1247"/>
      <c r="WM351" s="1247"/>
      <c r="WN351" s="1247"/>
      <c r="WO351" s="1247"/>
      <c r="WP351" s="1247"/>
      <c r="WQ351" s="1247"/>
      <c r="WR351" s="1247"/>
      <c r="WS351" s="1247"/>
      <c r="WT351" s="1247"/>
      <c r="WU351" s="1247"/>
      <c r="WV351" s="1247"/>
      <c r="WW351" s="1247"/>
      <c r="WX351" s="1247"/>
      <c r="WY351" s="1247"/>
      <c r="WZ351" s="1247"/>
      <c r="XA351" s="1247"/>
      <c r="XB351" s="1247"/>
      <c r="XC351" s="1247"/>
      <c r="XD351" s="1247"/>
      <c r="XE351" s="1247"/>
      <c r="XF351" s="1247"/>
      <c r="XG351" s="1247"/>
      <c r="XH351" s="1247"/>
      <c r="XI351" s="1247"/>
      <c r="XJ351" s="1247"/>
      <c r="XK351" s="1247"/>
      <c r="XL351" s="1247"/>
      <c r="XM351" s="1247"/>
      <c r="XN351" s="1247"/>
      <c r="XO351" s="1247"/>
      <c r="XP351" s="1247"/>
      <c r="XQ351" s="1247"/>
      <c r="XR351" s="1247"/>
      <c r="XS351" s="1247"/>
      <c r="XT351" s="1247"/>
      <c r="XU351" s="1247"/>
      <c r="XV351" s="1247"/>
      <c r="XW351" s="1247"/>
      <c r="XX351" s="1247"/>
      <c r="XY351" s="1247"/>
      <c r="XZ351" s="1247"/>
      <c r="YA351" s="1247"/>
      <c r="YB351" s="1247"/>
      <c r="YC351" s="1247"/>
      <c r="YD351" s="1247"/>
      <c r="YE351" s="1247"/>
      <c r="YF351" s="1247"/>
      <c r="YG351" s="1247"/>
      <c r="YH351" s="1247"/>
      <c r="YI351" s="1247"/>
      <c r="YJ351" s="1247"/>
      <c r="YK351" s="1247"/>
      <c r="YL351" s="1247"/>
      <c r="YM351" s="1247"/>
      <c r="YN351" s="1247"/>
      <c r="YO351" s="1247"/>
      <c r="YP351" s="1247"/>
      <c r="YQ351" s="1247"/>
      <c r="YR351" s="1247"/>
      <c r="YS351" s="1247"/>
      <c r="YT351" s="1247"/>
      <c r="YU351" s="1247"/>
      <c r="YV351" s="1247"/>
      <c r="YW351" s="1247"/>
      <c r="YX351" s="1247"/>
      <c r="YY351" s="1247"/>
      <c r="YZ351" s="1247"/>
      <c r="ZA351" s="1247"/>
      <c r="ZB351" s="1247"/>
      <c r="ZC351" s="1247"/>
      <c r="ZD351" s="1247"/>
      <c r="ZE351" s="1247"/>
      <c r="ZF351" s="1247"/>
      <c r="ZG351" s="1247"/>
      <c r="ZH351" s="1247"/>
      <c r="ZI351" s="1247"/>
      <c r="ZJ351" s="1247"/>
      <c r="ZK351" s="1247"/>
      <c r="ZL351" s="1247"/>
      <c r="ZM351" s="1247"/>
      <c r="ZN351" s="1247"/>
      <c r="ZO351" s="1247"/>
      <c r="ZP351" s="1247"/>
      <c r="ZQ351" s="1247"/>
      <c r="ZR351" s="1247"/>
      <c r="ZS351" s="1247"/>
      <c r="ZT351" s="1247"/>
      <c r="ZU351" s="1247"/>
      <c r="ZV351" s="1247"/>
      <c r="ZW351" s="1247"/>
      <c r="ZX351" s="1247"/>
      <c r="ZY351" s="1247"/>
      <c r="ZZ351" s="1247"/>
      <c r="AAA351" s="1247"/>
      <c r="AAB351" s="1247"/>
      <c r="AAC351" s="1247"/>
      <c r="AAD351" s="1247"/>
      <c r="AAE351" s="1247"/>
      <c r="AAF351" s="1247"/>
      <c r="AAG351" s="1247"/>
      <c r="AAH351" s="1247"/>
      <c r="AAI351" s="1247"/>
      <c r="AAJ351" s="1247"/>
      <c r="AAK351" s="1247"/>
      <c r="AAL351" s="1247"/>
      <c r="AAM351" s="1247"/>
      <c r="AAN351" s="1247"/>
      <c r="AAO351" s="1247"/>
      <c r="AAP351" s="1247"/>
      <c r="AAQ351" s="1247"/>
      <c r="AAR351" s="1247"/>
      <c r="AAS351" s="1247"/>
      <c r="AAT351" s="1247"/>
      <c r="AAU351" s="1247"/>
      <c r="AAV351" s="1247"/>
      <c r="AAW351" s="1247"/>
      <c r="AAX351" s="1247"/>
      <c r="AAY351" s="1247"/>
      <c r="AAZ351" s="1247"/>
      <c r="ABA351" s="1247"/>
      <c r="ABB351" s="1247"/>
      <c r="ABC351" s="1247"/>
      <c r="ABD351" s="1247"/>
      <c r="ABE351" s="1247"/>
      <c r="ABF351" s="1247"/>
      <c r="ABG351" s="1247"/>
      <c r="ABH351" s="1247"/>
      <c r="ABI351" s="1247"/>
      <c r="ABJ351" s="1247"/>
      <c r="ABK351" s="1247"/>
      <c r="ABL351" s="1247"/>
      <c r="ABM351" s="1247"/>
      <c r="ABN351" s="1247"/>
      <c r="ABO351" s="1247"/>
      <c r="ABP351" s="1247"/>
      <c r="ABQ351" s="1247"/>
      <c r="ABR351" s="1247"/>
      <c r="ABS351" s="1247"/>
      <c r="ABT351" s="1247"/>
      <c r="ABU351" s="1247"/>
      <c r="ABV351" s="1247"/>
      <c r="ABW351" s="1247"/>
      <c r="ABX351" s="1247"/>
      <c r="ABY351" s="1247"/>
      <c r="ABZ351" s="1247"/>
      <c r="ACA351" s="1247"/>
      <c r="ACB351" s="1247"/>
      <c r="ACC351" s="1247"/>
      <c r="ACD351" s="1247"/>
      <c r="ACE351" s="1247"/>
      <c r="ACF351" s="1247"/>
      <c r="ACG351" s="1247"/>
      <c r="ACH351" s="1247"/>
      <c r="ACI351" s="1247"/>
      <c r="ACJ351" s="1247"/>
      <c r="ACK351" s="1247"/>
      <c r="ACL351" s="1247"/>
      <c r="ACM351" s="1247"/>
      <c r="ACN351" s="1247"/>
      <c r="ACO351" s="1247"/>
      <c r="ACP351" s="1247"/>
      <c r="ACQ351" s="1247"/>
      <c r="ACR351" s="1247"/>
      <c r="ACS351" s="1247"/>
      <c r="ACT351" s="1247"/>
      <c r="ACU351" s="1247"/>
      <c r="ACV351" s="1247"/>
      <c r="ACW351" s="1247"/>
      <c r="ACX351" s="1247"/>
      <c r="ACY351" s="1247"/>
      <c r="ACZ351" s="1247"/>
      <c r="ADA351" s="1247"/>
      <c r="ADB351" s="1247"/>
      <c r="ADC351" s="1247"/>
      <c r="ADD351" s="1247"/>
      <c r="ADE351" s="1247"/>
      <c r="ADF351" s="1247"/>
      <c r="ADG351" s="1247"/>
    </row>
    <row r="352" spans="1:787" s="1421" customFormat="1" ht="13" hidden="1" outlineLevel="1">
      <c r="A352" s="1247"/>
      <c r="B352" s="1413" t="s">
        <v>1472</v>
      </c>
      <c r="C352" s="1414"/>
      <c r="D352" s="1414" t="s">
        <v>3153</v>
      </c>
      <c r="E352" s="1417"/>
      <c r="F352" s="1416" t="s">
        <v>142</v>
      </c>
      <c r="G352" s="1417" t="s">
        <v>4203</v>
      </c>
      <c r="H352" s="1418"/>
      <c r="I352" s="1418"/>
      <c r="J352" s="1457"/>
      <c r="K352" s="1457"/>
      <c r="L352" s="1457"/>
      <c r="M352" s="1457"/>
      <c r="N352" s="1457"/>
      <c r="O352" s="1457"/>
      <c r="P352" s="1457"/>
      <c r="Q352" s="1419">
        <f ca="1">VLOOKUP(D352,'当期公摊测算表（全期）'!D:W,12,FALSE)</f>
        <v>2140.8711183671458</v>
      </c>
      <c r="R352" s="1419">
        <f ca="1">SUM(H352:Q352)</f>
        <v>2140.8711183671458</v>
      </c>
      <c r="S352" s="1419">
        <f>VLOOKUP($D352,'当期公摊测算表（全期）'!D:W,17,FALSE)</f>
        <v>0</v>
      </c>
      <c r="T352" s="1419">
        <f ca="1">R352+S352</f>
        <v>2140.8711183671458</v>
      </c>
      <c r="U352" s="1443"/>
      <c r="V352" s="1225">
        <f t="shared" ca="1" si="86"/>
        <v>0</v>
      </c>
      <c r="W352" s="1225">
        <f t="shared" ca="1" si="87"/>
        <v>0</v>
      </c>
      <c r="X352" s="1225"/>
      <c r="Y352" s="1225"/>
      <c r="Z352" s="1247"/>
      <c r="AA352" s="1247"/>
      <c r="AB352" s="1247"/>
      <c r="AC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c r="AX352" s="1247"/>
      <c r="AY352" s="1247"/>
      <c r="AZ352" s="1247"/>
      <c r="BA352" s="1247"/>
      <c r="BB352" s="1247"/>
      <c r="BC352" s="1247"/>
      <c r="BD352" s="1247"/>
      <c r="BE352" s="1247"/>
      <c r="BF352" s="1247"/>
      <c r="BG352" s="1247"/>
      <c r="BH352" s="1247"/>
      <c r="BI352" s="1247"/>
      <c r="BJ352" s="1247"/>
      <c r="BK352" s="1247"/>
      <c r="BL352" s="1247"/>
      <c r="BM352" s="1247"/>
      <c r="BN352" s="1247"/>
      <c r="BO352" s="1247"/>
      <c r="BP352" s="1247"/>
      <c r="BQ352" s="1247"/>
      <c r="BR352" s="1247"/>
      <c r="BS352" s="1247"/>
      <c r="BT352" s="1247"/>
      <c r="BU352" s="1247"/>
      <c r="BV352" s="1247"/>
      <c r="BW352" s="1247"/>
      <c r="BX352" s="1247"/>
      <c r="BY352" s="1247"/>
      <c r="BZ352" s="1247"/>
      <c r="CA352" s="1247"/>
      <c r="CB352" s="1247"/>
      <c r="CC352" s="1247"/>
      <c r="CD352" s="1247"/>
      <c r="CE352" s="1247"/>
      <c r="CF352" s="1247"/>
      <c r="CG352" s="1247"/>
      <c r="CH352" s="1247"/>
      <c r="CI352" s="1247"/>
      <c r="CJ352" s="1247"/>
      <c r="CK352" s="1247"/>
      <c r="CL352" s="1247"/>
      <c r="CM352" s="1247"/>
      <c r="CN352" s="1247"/>
      <c r="CO352" s="1247"/>
      <c r="CP352" s="1247"/>
      <c r="CQ352" s="1247"/>
      <c r="CR352" s="1247"/>
      <c r="CS352" s="1247"/>
      <c r="CT352" s="1247"/>
      <c r="CU352" s="1247"/>
      <c r="CV352" s="1247"/>
      <c r="CW352" s="1247"/>
      <c r="CX352" s="1247"/>
      <c r="CY352" s="1247"/>
      <c r="CZ352" s="1247"/>
      <c r="DA352" s="1247"/>
      <c r="DB352" s="1247"/>
      <c r="DC352" s="1247"/>
      <c r="DD352" s="1247"/>
      <c r="DE352" s="1247"/>
      <c r="DF352" s="1247"/>
      <c r="DG352" s="1247"/>
      <c r="DH352" s="1247"/>
      <c r="DI352" s="1247"/>
      <c r="DJ352" s="1247"/>
      <c r="DK352" s="1247"/>
      <c r="DL352" s="1247"/>
      <c r="DM352" s="1247"/>
      <c r="DN352" s="1247"/>
      <c r="DO352" s="1247"/>
      <c r="DP352" s="1247"/>
      <c r="DQ352" s="1247"/>
      <c r="DR352" s="1247"/>
      <c r="DS352" s="1247"/>
      <c r="DT352" s="1247"/>
      <c r="DU352" s="1247"/>
      <c r="DV352" s="1247"/>
      <c r="DW352" s="1247"/>
      <c r="DX352" s="1247"/>
      <c r="DY352" s="1247"/>
      <c r="DZ352" s="1247"/>
      <c r="EA352" s="1247"/>
      <c r="EB352" s="1247"/>
      <c r="EC352" s="1247"/>
      <c r="ED352" s="1247"/>
      <c r="EE352" s="1247"/>
      <c r="EF352" s="1247"/>
      <c r="EG352" s="1247"/>
      <c r="EH352" s="1247"/>
      <c r="EI352" s="1247"/>
      <c r="EJ352" s="1247"/>
      <c r="EK352" s="1247"/>
      <c r="EL352" s="1247"/>
      <c r="EM352" s="1247"/>
      <c r="EN352" s="1247"/>
      <c r="EO352" s="1247"/>
      <c r="EP352" s="1247"/>
      <c r="EQ352" s="1247"/>
      <c r="ER352" s="1247"/>
      <c r="ES352" s="1247"/>
      <c r="ET352" s="1247"/>
      <c r="EU352" s="1247"/>
      <c r="EV352" s="1247"/>
      <c r="EW352" s="1247"/>
      <c r="EX352" s="1247"/>
      <c r="EY352" s="1247"/>
      <c r="EZ352" s="1247"/>
      <c r="FA352" s="1247"/>
      <c r="FB352" s="1247"/>
      <c r="FC352" s="1247"/>
      <c r="FD352" s="1247"/>
      <c r="FE352" s="1247"/>
      <c r="FF352" s="1247"/>
      <c r="FG352" s="1247"/>
      <c r="FH352" s="1247"/>
      <c r="FI352" s="1247"/>
      <c r="FJ352" s="1247"/>
      <c r="FK352" s="1247"/>
      <c r="FL352" s="1247"/>
      <c r="FM352" s="1247"/>
      <c r="FN352" s="1247"/>
      <c r="FO352" s="1247"/>
      <c r="FP352" s="1247"/>
      <c r="FQ352" s="1247"/>
      <c r="FR352" s="1247"/>
      <c r="FS352" s="1247"/>
      <c r="FT352" s="1247"/>
      <c r="FU352" s="1247"/>
      <c r="FV352" s="1247"/>
      <c r="FW352" s="1247"/>
      <c r="FX352" s="1247"/>
      <c r="FY352" s="1247"/>
      <c r="FZ352" s="1247"/>
      <c r="GA352" s="1247"/>
      <c r="GB352" s="1247"/>
      <c r="GC352" s="1247"/>
      <c r="GD352" s="1247"/>
      <c r="GE352" s="1247"/>
      <c r="GF352" s="1247"/>
      <c r="GG352" s="1247"/>
      <c r="GH352" s="1247"/>
      <c r="GI352" s="1247"/>
      <c r="GJ352" s="1247"/>
      <c r="GK352" s="1247"/>
      <c r="GL352" s="1247"/>
      <c r="GM352" s="1247"/>
      <c r="GN352" s="1247"/>
      <c r="GO352" s="1247"/>
      <c r="GP352" s="1247"/>
      <c r="GQ352" s="1247"/>
      <c r="GR352" s="1247"/>
      <c r="GS352" s="1247"/>
      <c r="GT352" s="1247"/>
      <c r="GU352" s="1247"/>
      <c r="GV352" s="1247"/>
      <c r="GW352" s="1247"/>
      <c r="GX352" s="1247"/>
      <c r="GY352" s="1247"/>
      <c r="GZ352" s="1247"/>
      <c r="HA352" s="1247"/>
      <c r="HB352" s="1247"/>
      <c r="HC352" s="1247"/>
      <c r="HD352" s="1247"/>
      <c r="HE352" s="1247"/>
      <c r="HF352" s="1247"/>
      <c r="HG352" s="1247"/>
      <c r="HH352" s="1247"/>
      <c r="HI352" s="1247"/>
      <c r="HJ352" s="1247"/>
      <c r="HK352" s="1247"/>
      <c r="HL352" s="1247"/>
      <c r="HM352" s="1247"/>
      <c r="HN352" s="1247"/>
      <c r="HO352" s="1247"/>
      <c r="HP352" s="1247"/>
      <c r="HQ352" s="1247"/>
      <c r="HR352" s="1247"/>
      <c r="HS352" s="1247"/>
      <c r="HT352" s="1247"/>
      <c r="HU352" s="1247"/>
      <c r="HV352" s="1247"/>
      <c r="HW352" s="1247"/>
      <c r="HX352" s="1247"/>
      <c r="HY352" s="1247"/>
      <c r="HZ352" s="1247"/>
      <c r="IA352" s="1247"/>
      <c r="IB352" s="1247"/>
      <c r="IC352" s="1247"/>
      <c r="ID352" s="1247"/>
      <c r="IE352" s="1247"/>
      <c r="IF352" s="1247"/>
      <c r="IG352" s="1247"/>
      <c r="IH352" s="1247"/>
      <c r="II352" s="1247"/>
      <c r="IJ352" s="1247"/>
      <c r="IK352" s="1247"/>
      <c r="IL352" s="1247"/>
      <c r="IM352" s="1247"/>
      <c r="IN352" s="1247"/>
      <c r="IO352" s="1247"/>
      <c r="IP352" s="1247"/>
      <c r="IQ352" s="1247"/>
      <c r="IR352" s="1247"/>
      <c r="IS352" s="1247"/>
      <c r="IT352" s="1247"/>
      <c r="IU352" s="1247"/>
      <c r="IV352" s="1247"/>
      <c r="IW352" s="1247"/>
      <c r="IX352" s="1247"/>
      <c r="IY352" s="1247"/>
      <c r="IZ352" s="1247"/>
      <c r="JA352" s="1247"/>
      <c r="JB352" s="1247"/>
      <c r="JC352" s="1247"/>
      <c r="JD352" s="1247"/>
      <c r="JE352" s="1247"/>
      <c r="JF352" s="1247"/>
      <c r="JG352" s="1247"/>
      <c r="JH352" s="1247"/>
      <c r="JI352" s="1247"/>
      <c r="JJ352" s="1247"/>
      <c r="JK352" s="1247"/>
      <c r="JL352" s="1247"/>
      <c r="JM352" s="1247"/>
      <c r="JN352" s="1247"/>
      <c r="JO352" s="1247"/>
      <c r="JP352" s="1247"/>
      <c r="JQ352" s="1247"/>
      <c r="JR352" s="1247"/>
      <c r="JS352" s="1247"/>
      <c r="JT352" s="1247"/>
      <c r="JU352" s="1247"/>
      <c r="JV352" s="1247"/>
      <c r="JW352" s="1247"/>
      <c r="JX352" s="1247"/>
      <c r="JY352" s="1247"/>
      <c r="JZ352" s="1247"/>
      <c r="KA352" s="1247"/>
      <c r="KB352" s="1247"/>
      <c r="KC352" s="1247"/>
      <c r="KD352" s="1247"/>
      <c r="KE352" s="1247"/>
      <c r="KF352" s="1247"/>
      <c r="KG352" s="1247"/>
      <c r="KH352" s="1247"/>
      <c r="KI352" s="1247"/>
      <c r="KJ352" s="1247"/>
      <c r="KK352" s="1247"/>
      <c r="KL352" s="1247"/>
      <c r="KM352" s="1247"/>
      <c r="KN352" s="1247"/>
      <c r="KO352" s="1247"/>
      <c r="KP352" s="1247"/>
      <c r="KQ352" s="1247"/>
      <c r="KR352" s="1247"/>
      <c r="KS352" s="1247"/>
      <c r="KT352" s="1247"/>
      <c r="KU352" s="1247"/>
      <c r="KV352" s="1247"/>
      <c r="KW352" s="1247"/>
      <c r="KX352" s="1247"/>
      <c r="KY352" s="1247"/>
      <c r="KZ352" s="1247"/>
      <c r="LA352" s="1247"/>
      <c r="LB352" s="1247"/>
      <c r="LC352" s="1247"/>
      <c r="LD352" s="1247"/>
      <c r="LE352" s="1247"/>
      <c r="LF352" s="1247"/>
      <c r="LG352" s="1247"/>
      <c r="LH352" s="1247"/>
      <c r="LI352" s="1247"/>
      <c r="LJ352" s="1247"/>
      <c r="LK352" s="1247"/>
      <c r="LL352" s="1247"/>
      <c r="LM352" s="1247"/>
      <c r="LN352" s="1247"/>
      <c r="LO352" s="1247"/>
      <c r="LP352" s="1247"/>
      <c r="LQ352" s="1247"/>
      <c r="LR352" s="1247"/>
      <c r="LS352" s="1247"/>
      <c r="LT352" s="1247"/>
      <c r="LU352" s="1247"/>
      <c r="LV352" s="1247"/>
      <c r="LW352" s="1247"/>
      <c r="LX352" s="1247"/>
      <c r="LY352" s="1247"/>
      <c r="LZ352" s="1247"/>
      <c r="MA352" s="1247"/>
      <c r="MB352" s="1247"/>
      <c r="MC352" s="1247"/>
      <c r="MD352" s="1247"/>
      <c r="ME352" s="1247"/>
      <c r="MF352" s="1247"/>
      <c r="MG352" s="1247"/>
      <c r="MH352" s="1247"/>
      <c r="MI352" s="1247"/>
      <c r="MJ352" s="1247"/>
      <c r="MK352" s="1247"/>
      <c r="ML352" s="1247"/>
      <c r="MM352" s="1247"/>
      <c r="MN352" s="1247"/>
      <c r="MO352" s="1247"/>
      <c r="MP352" s="1247"/>
      <c r="MQ352" s="1247"/>
      <c r="MR352" s="1247"/>
      <c r="MS352" s="1247"/>
      <c r="MT352" s="1247"/>
      <c r="MU352" s="1247"/>
      <c r="MV352" s="1247"/>
      <c r="MW352" s="1247"/>
      <c r="MX352" s="1247"/>
      <c r="MY352" s="1247"/>
      <c r="MZ352" s="1247"/>
      <c r="NA352" s="1247"/>
      <c r="NB352" s="1247"/>
      <c r="NC352" s="1247"/>
      <c r="ND352" s="1247"/>
      <c r="NE352" s="1247"/>
      <c r="NF352" s="1247"/>
      <c r="NG352" s="1247"/>
      <c r="NH352" s="1247"/>
      <c r="NI352" s="1247"/>
      <c r="NJ352" s="1247"/>
      <c r="NK352" s="1247"/>
      <c r="NL352" s="1247"/>
      <c r="NM352" s="1247"/>
      <c r="NN352" s="1247"/>
      <c r="NO352" s="1247"/>
      <c r="NP352" s="1247"/>
      <c r="NQ352" s="1247"/>
      <c r="NR352" s="1247"/>
      <c r="NS352" s="1247"/>
      <c r="NT352" s="1247"/>
      <c r="NU352" s="1247"/>
      <c r="NV352" s="1247"/>
      <c r="NW352" s="1247"/>
      <c r="NX352" s="1247"/>
      <c r="NY352" s="1247"/>
      <c r="NZ352" s="1247"/>
      <c r="OA352" s="1247"/>
      <c r="OB352" s="1247"/>
      <c r="OC352" s="1247"/>
      <c r="OD352" s="1247"/>
      <c r="OE352" s="1247"/>
      <c r="OF352" s="1247"/>
      <c r="OG352" s="1247"/>
      <c r="OH352" s="1247"/>
      <c r="OI352" s="1247"/>
      <c r="OJ352" s="1247"/>
      <c r="OK352" s="1247"/>
      <c r="OL352" s="1247"/>
      <c r="OM352" s="1247"/>
      <c r="ON352" s="1247"/>
      <c r="OO352" s="1247"/>
      <c r="OP352" s="1247"/>
      <c r="OQ352" s="1247"/>
      <c r="OR352" s="1247"/>
      <c r="OS352" s="1247"/>
      <c r="OT352" s="1247"/>
      <c r="OU352" s="1247"/>
      <c r="OV352" s="1247"/>
      <c r="OW352" s="1247"/>
      <c r="OX352" s="1247"/>
      <c r="OY352" s="1247"/>
      <c r="OZ352" s="1247"/>
      <c r="PA352" s="1247"/>
      <c r="PB352" s="1247"/>
      <c r="PC352" s="1247"/>
      <c r="PD352" s="1247"/>
      <c r="PE352" s="1247"/>
      <c r="PF352" s="1247"/>
      <c r="PG352" s="1247"/>
      <c r="PH352" s="1247"/>
      <c r="PI352" s="1247"/>
      <c r="PJ352" s="1247"/>
      <c r="PK352" s="1247"/>
      <c r="PL352" s="1247"/>
      <c r="PM352" s="1247"/>
      <c r="PN352" s="1247"/>
      <c r="PO352" s="1247"/>
      <c r="PP352" s="1247"/>
      <c r="PQ352" s="1247"/>
      <c r="PR352" s="1247"/>
      <c r="PS352" s="1247"/>
      <c r="PT352" s="1247"/>
      <c r="PU352" s="1247"/>
      <c r="PV352" s="1247"/>
      <c r="PW352" s="1247"/>
      <c r="PX352" s="1247"/>
      <c r="PY352" s="1247"/>
      <c r="PZ352" s="1247"/>
      <c r="QA352" s="1247"/>
      <c r="QB352" s="1247"/>
      <c r="QC352" s="1247"/>
      <c r="QD352" s="1247"/>
      <c r="QE352" s="1247"/>
      <c r="QF352" s="1247"/>
      <c r="QG352" s="1247"/>
      <c r="QH352" s="1247"/>
      <c r="QI352" s="1247"/>
      <c r="QJ352" s="1247"/>
      <c r="QK352" s="1247"/>
      <c r="QL352" s="1247"/>
      <c r="QM352" s="1247"/>
      <c r="QN352" s="1247"/>
      <c r="QO352" s="1247"/>
      <c r="QP352" s="1247"/>
      <c r="QQ352" s="1247"/>
      <c r="QR352" s="1247"/>
      <c r="QS352" s="1247"/>
      <c r="QT352" s="1247"/>
      <c r="QU352" s="1247"/>
      <c r="QV352" s="1247"/>
      <c r="QW352" s="1247"/>
      <c r="QX352" s="1247"/>
      <c r="QY352" s="1247"/>
      <c r="QZ352" s="1247"/>
      <c r="RA352" s="1247"/>
      <c r="RB352" s="1247"/>
      <c r="RC352" s="1247"/>
      <c r="RD352" s="1247"/>
      <c r="RE352" s="1247"/>
      <c r="RF352" s="1247"/>
      <c r="RG352" s="1247"/>
      <c r="RH352" s="1247"/>
      <c r="RI352" s="1247"/>
      <c r="RJ352" s="1247"/>
      <c r="RK352" s="1247"/>
      <c r="RL352" s="1247"/>
      <c r="RM352" s="1247"/>
      <c r="RN352" s="1247"/>
      <c r="RO352" s="1247"/>
      <c r="RP352" s="1247"/>
      <c r="RQ352" s="1247"/>
      <c r="RR352" s="1247"/>
      <c r="RS352" s="1247"/>
      <c r="RT352" s="1247"/>
      <c r="RU352" s="1247"/>
      <c r="RV352" s="1247"/>
      <c r="RW352" s="1247"/>
      <c r="RX352" s="1247"/>
      <c r="RY352" s="1247"/>
      <c r="RZ352" s="1247"/>
      <c r="SA352" s="1247"/>
      <c r="SB352" s="1247"/>
      <c r="SC352" s="1247"/>
      <c r="SD352" s="1247"/>
      <c r="SE352" s="1247"/>
      <c r="SF352" s="1247"/>
      <c r="SG352" s="1247"/>
      <c r="SH352" s="1247"/>
      <c r="SI352" s="1247"/>
      <c r="SJ352" s="1247"/>
      <c r="SK352" s="1247"/>
      <c r="SL352" s="1247"/>
      <c r="SM352" s="1247"/>
      <c r="SN352" s="1247"/>
      <c r="SO352" s="1247"/>
      <c r="SP352" s="1247"/>
      <c r="SQ352" s="1247"/>
      <c r="SR352" s="1247"/>
      <c r="SS352" s="1247"/>
      <c r="ST352" s="1247"/>
      <c r="SU352" s="1247"/>
      <c r="SV352" s="1247"/>
      <c r="SW352" s="1247"/>
      <c r="SX352" s="1247"/>
      <c r="SY352" s="1247"/>
      <c r="SZ352" s="1247"/>
      <c r="TA352" s="1247"/>
      <c r="TB352" s="1247"/>
      <c r="TC352" s="1247"/>
      <c r="TD352" s="1247"/>
      <c r="TE352" s="1247"/>
      <c r="TF352" s="1247"/>
      <c r="TG352" s="1247"/>
      <c r="TH352" s="1247"/>
      <c r="TI352" s="1247"/>
      <c r="TJ352" s="1247"/>
      <c r="TK352" s="1247"/>
      <c r="TL352" s="1247"/>
      <c r="TM352" s="1247"/>
      <c r="TN352" s="1247"/>
      <c r="TO352" s="1247"/>
      <c r="TP352" s="1247"/>
      <c r="TQ352" s="1247"/>
      <c r="TR352" s="1247"/>
      <c r="TS352" s="1247"/>
      <c r="TT352" s="1247"/>
      <c r="TU352" s="1247"/>
      <c r="TV352" s="1247"/>
      <c r="TW352" s="1247"/>
      <c r="TX352" s="1247"/>
      <c r="TY352" s="1247"/>
      <c r="TZ352" s="1247"/>
      <c r="UA352" s="1247"/>
      <c r="UB352" s="1247"/>
      <c r="UC352" s="1247"/>
      <c r="UD352" s="1247"/>
      <c r="UE352" s="1247"/>
      <c r="UF352" s="1247"/>
      <c r="UG352" s="1247"/>
      <c r="UH352" s="1247"/>
      <c r="UI352" s="1247"/>
      <c r="UJ352" s="1247"/>
      <c r="UK352" s="1247"/>
      <c r="UL352" s="1247"/>
      <c r="UM352" s="1247"/>
      <c r="UN352" s="1247"/>
      <c r="UO352" s="1247"/>
      <c r="UP352" s="1247"/>
      <c r="UQ352" s="1247"/>
      <c r="UR352" s="1247"/>
      <c r="US352" s="1247"/>
      <c r="UT352" s="1247"/>
      <c r="UU352" s="1247"/>
      <c r="UV352" s="1247"/>
      <c r="UW352" s="1247"/>
      <c r="UX352" s="1247"/>
      <c r="UY352" s="1247"/>
      <c r="UZ352" s="1247"/>
      <c r="VA352" s="1247"/>
      <c r="VB352" s="1247"/>
      <c r="VC352" s="1247"/>
      <c r="VD352" s="1247"/>
      <c r="VE352" s="1247"/>
      <c r="VF352" s="1247"/>
      <c r="VG352" s="1247"/>
      <c r="VH352" s="1247"/>
      <c r="VI352" s="1247"/>
      <c r="VJ352" s="1247"/>
      <c r="VK352" s="1247"/>
      <c r="VL352" s="1247"/>
      <c r="VM352" s="1247"/>
      <c r="VN352" s="1247"/>
      <c r="VO352" s="1247"/>
      <c r="VP352" s="1247"/>
      <c r="VQ352" s="1247"/>
      <c r="VR352" s="1247"/>
      <c r="VS352" s="1247"/>
      <c r="VT352" s="1247"/>
      <c r="VU352" s="1247"/>
      <c r="VV352" s="1247"/>
      <c r="VW352" s="1247"/>
      <c r="VX352" s="1247"/>
      <c r="VY352" s="1247"/>
      <c r="VZ352" s="1247"/>
      <c r="WA352" s="1247"/>
      <c r="WB352" s="1247"/>
      <c r="WC352" s="1247"/>
      <c r="WD352" s="1247"/>
      <c r="WE352" s="1247"/>
      <c r="WF352" s="1247"/>
      <c r="WG352" s="1247"/>
      <c r="WH352" s="1247"/>
      <c r="WI352" s="1247"/>
      <c r="WJ352" s="1247"/>
      <c r="WK352" s="1247"/>
      <c r="WL352" s="1247"/>
      <c r="WM352" s="1247"/>
      <c r="WN352" s="1247"/>
      <c r="WO352" s="1247"/>
      <c r="WP352" s="1247"/>
      <c r="WQ352" s="1247"/>
      <c r="WR352" s="1247"/>
      <c r="WS352" s="1247"/>
      <c r="WT352" s="1247"/>
      <c r="WU352" s="1247"/>
      <c r="WV352" s="1247"/>
      <c r="WW352" s="1247"/>
      <c r="WX352" s="1247"/>
      <c r="WY352" s="1247"/>
      <c r="WZ352" s="1247"/>
      <c r="XA352" s="1247"/>
      <c r="XB352" s="1247"/>
      <c r="XC352" s="1247"/>
      <c r="XD352" s="1247"/>
      <c r="XE352" s="1247"/>
      <c r="XF352" s="1247"/>
      <c r="XG352" s="1247"/>
      <c r="XH352" s="1247"/>
      <c r="XI352" s="1247"/>
      <c r="XJ352" s="1247"/>
      <c r="XK352" s="1247"/>
      <c r="XL352" s="1247"/>
      <c r="XM352" s="1247"/>
      <c r="XN352" s="1247"/>
      <c r="XO352" s="1247"/>
      <c r="XP352" s="1247"/>
      <c r="XQ352" s="1247"/>
      <c r="XR352" s="1247"/>
      <c r="XS352" s="1247"/>
      <c r="XT352" s="1247"/>
      <c r="XU352" s="1247"/>
      <c r="XV352" s="1247"/>
      <c r="XW352" s="1247"/>
      <c r="XX352" s="1247"/>
      <c r="XY352" s="1247"/>
      <c r="XZ352" s="1247"/>
      <c r="YA352" s="1247"/>
      <c r="YB352" s="1247"/>
      <c r="YC352" s="1247"/>
      <c r="YD352" s="1247"/>
      <c r="YE352" s="1247"/>
      <c r="YF352" s="1247"/>
      <c r="YG352" s="1247"/>
      <c r="YH352" s="1247"/>
      <c r="YI352" s="1247"/>
      <c r="YJ352" s="1247"/>
      <c r="YK352" s="1247"/>
      <c r="YL352" s="1247"/>
      <c r="YM352" s="1247"/>
      <c r="YN352" s="1247"/>
      <c r="YO352" s="1247"/>
      <c r="YP352" s="1247"/>
      <c r="YQ352" s="1247"/>
      <c r="YR352" s="1247"/>
      <c r="YS352" s="1247"/>
      <c r="YT352" s="1247"/>
      <c r="YU352" s="1247"/>
      <c r="YV352" s="1247"/>
      <c r="YW352" s="1247"/>
      <c r="YX352" s="1247"/>
      <c r="YY352" s="1247"/>
      <c r="YZ352" s="1247"/>
      <c r="ZA352" s="1247"/>
      <c r="ZB352" s="1247"/>
      <c r="ZC352" s="1247"/>
      <c r="ZD352" s="1247"/>
      <c r="ZE352" s="1247"/>
      <c r="ZF352" s="1247"/>
      <c r="ZG352" s="1247"/>
      <c r="ZH352" s="1247"/>
      <c r="ZI352" s="1247"/>
      <c r="ZJ352" s="1247"/>
      <c r="ZK352" s="1247"/>
      <c r="ZL352" s="1247"/>
      <c r="ZM352" s="1247"/>
      <c r="ZN352" s="1247"/>
      <c r="ZO352" s="1247"/>
      <c r="ZP352" s="1247"/>
      <c r="ZQ352" s="1247"/>
      <c r="ZR352" s="1247"/>
      <c r="ZS352" s="1247"/>
      <c r="ZT352" s="1247"/>
      <c r="ZU352" s="1247"/>
      <c r="ZV352" s="1247"/>
      <c r="ZW352" s="1247"/>
      <c r="ZX352" s="1247"/>
      <c r="ZY352" s="1247"/>
      <c r="ZZ352" s="1247"/>
      <c r="AAA352" s="1247"/>
      <c r="AAB352" s="1247"/>
      <c r="AAC352" s="1247"/>
      <c r="AAD352" s="1247"/>
      <c r="AAE352" s="1247"/>
      <c r="AAF352" s="1247"/>
      <c r="AAG352" s="1247"/>
      <c r="AAH352" s="1247"/>
      <c r="AAI352" s="1247"/>
      <c r="AAJ352" s="1247"/>
      <c r="AAK352" s="1247"/>
      <c r="AAL352" s="1247"/>
      <c r="AAM352" s="1247"/>
      <c r="AAN352" s="1247"/>
      <c r="AAO352" s="1247"/>
      <c r="AAP352" s="1247"/>
      <c r="AAQ352" s="1247"/>
      <c r="AAR352" s="1247"/>
      <c r="AAS352" s="1247"/>
      <c r="AAT352" s="1247"/>
      <c r="AAU352" s="1247"/>
      <c r="AAV352" s="1247"/>
      <c r="AAW352" s="1247"/>
      <c r="AAX352" s="1247"/>
      <c r="AAY352" s="1247"/>
      <c r="AAZ352" s="1247"/>
      <c r="ABA352" s="1247"/>
      <c r="ABB352" s="1247"/>
      <c r="ABC352" s="1247"/>
      <c r="ABD352" s="1247"/>
      <c r="ABE352" s="1247"/>
      <c r="ABF352" s="1247"/>
      <c r="ABG352" s="1247"/>
      <c r="ABH352" s="1247"/>
      <c r="ABI352" s="1247"/>
      <c r="ABJ352" s="1247"/>
      <c r="ABK352" s="1247"/>
      <c r="ABL352" s="1247"/>
      <c r="ABM352" s="1247"/>
      <c r="ABN352" s="1247"/>
      <c r="ABO352" s="1247"/>
      <c r="ABP352" s="1247"/>
      <c r="ABQ352" s="1247"/>
      <c r="ABR352" s="1247"/>
      <c r="ABS352" s="1247"/>
      <c r="ABT352" s="1247"/>
      <c r="ABU352" s="1247"/>
      <c r="ABV352" s="1247"/>
      <c r="ABW352" s="1247"/>
      <c r="ABX352" s="1247"/>
      <c r="ABY352" s="1247"/>
      <c r="ABZ352" s="1247"/>
      <c r="ACA352" s="1247"/>
      <c r="ACB352" s="1247"/>
      <c r="ACC352" s="1247"/>
      <c r="ACD352" s="1247"/>
      <c r="ACE352" s="1247"/>
      <c r="ACF352" s="1247"/>
      <c r="ACG352" s="1247"/>
      <c r="ACH352" s="1247"/>
      <c r="ACI352" s="1247"/>
      <c r="ACJ352" s="1247"/>
      <c r="ACK352" s="1247"/>
      <c r="ACL352" s="1247"/>
      <c r="ACM352" s="1247"/>
      <c r="ACN352" s="1247"/>
      <c r="ACO352" s="1247"/>
      <c r="ACP352" s="1247"/>
      <c r="ACQ352" s="1247"/>
      <c r="ACR352" s="1247"/>
      <c r="ACS352" s="1247"/>
      <c r="ACT352" s="1247"/>
      <c r="ACU352" s="1247"/>
      <c r="ACV352" s="1247"/>
      <c r="ACW352" s="1247"/>
      <c r="ACX352" s="1247"/>
      <c r="ACY352" s="1247"/>
      <c r="ACZ352" s="1247"/>
      <c r="ADA352" s="1247"/>
      <c r="ADB352" s="1247"/>
      <c r="ADC352" s="1247"/>
      <c r="ADD352" s="1247"/>
      <c r="ADE352" s="1247"/>
      <c r="ADF352" s="1247"/>
      <c r="ADG352" s="1247"/>
    </row>
    <row r="353" spans="1:787" s="1421" customFormat="1" ht="13" hidden="1" outlineLevel="1">
      <c r="A353" s="1247"/>
      <c r="B353" s="1413" t="s">
        <v>1474</v>
      </c>
      <c r="C353" s="1414"/>
      <c r="D353" s="1414" t="s">
        <v>3154</v>
      </c>
      <c r="E353" s="1417"/>
      <c r="F353" s="1416" t="s">
        <v>142</v>
      </c>
      <c r="G353" s="1417" t="s">
        <v>4203</v>
      </c>
      <c r="H353" s="1418"/>
      <c r="I353" s="1418"/>
      <c r="J353" s="1457"/>
      <c r="K353" s="1457"/>
      <c r="L353" s="1457"/>
      <c r="M353" s="1457"/>
      <c r="N353" s="1457"/>
      <c r="O353" s="1457"/>
      <c r="P353" s="1457"/>
      <c r="Q353" s="1419">
        <f>VLOOKUP(D353,'当期公摊测算表（全期）'!D:W,12,FALSE)</f>
        <v>0</v>
      </c>
      <c r="R353" s="1419">
        <f>SUM(H353:Q353)</f>
        <v>0</v>
      </c>
      <c r="S353" s="1419">
        <f>VLOOKUP($D353,'当期公摊测算表（全期）'!D:W,17,FALSE)</f>
        <v>0</v>
      </c>
      <c r="T353" s="1419">
        <f>R353+S353</f>
        <v>0</v>
      </c>
      <c r="U353" s="1443"/>
      <c r="V353" s="1225">
        <f t="shared" si="86"/>
        <v>0</v>
      </c>
      <c r="W353" s="1225">
        <f t="shared" si="87"/>
        <v>0</v>
      </c>
      <c r="X353" s="1225"/>
      <c r="Y353" s="1225"/>
      <c r="Z353" s="1247"/>
      <c r="AA353" s="1247"/>
      <c r="AB353" s="1247"/>
      <c r="AC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c r="AX353" s="1247"/>
      <c r="AY353" s="1247"/>
      <c r="AZ353" s="1247"/>
      <c r="BA353" s="1247"/>
      <c r="BB353" s="1247"/>
      <c r="BC353" s="1247"/>
      <c r="BD353" s="1247"/>
      <c r="BE353" s="1247"/>
      <c r="BF353" s="1247"/>
      <c r="BG353" s="1247"/>
      <c r="BH353" s="1247"/>
      <c r="BI353" s="1247"/>
      <c r="BJ353" s="1247"/>
      <c r="BK353" s="1247"/>
      <c r="BL353" s="1247"/>
      <c r="BM353" s="1247"/>
      <c r="BN353" s="1247"/>
      <c r="BO353" s="1247"/>
      <c r="BP353" s="1247"/>
      <c r="BQ353" s="1247"/>
      <c r="BR353" s="1247"/>
      <c r="BS353" s="1247"/>
      <c r="BT353" s="1247"/>
      <c r="BU353" s="1247"/>
      <c r="BV353" s="1247"/>
      <c r="BW353" s="1247"/>
      <c r="BX353" s="1247"/>
      <c r="BY353" s="1247"/>
      <c r="BZ353" s="1247"/>
      <c r="CA353" s="1247"/>
      <c r="CB353" s="1247"/>
      <c r="CC353" s="1247"/>
      <c r="CD353" s="1247"/>
      <c r="CE353" s="1247"/>
      <c r="CF353" s="1247"/>
      <c r="CG353" s="1247"/>
      <c r="CH353" s="1247"/>
      <c r="CI353" s="1247"/>
      <c r="CJ353" s="1247"/>
      <c r="CK353" s="1247"/>
      <c r="CL353" s="1247"/>
      <c r="CM353" s="1247"/>
      <c r="CN353" s="1247"/>
      <c r="CO353" s="1247"/>
      <c r="CP353" s="1247"/>
      <c r="CQ353" s="1247"/>
      <c r="CR353" s="1247"/>
      <c r="CS353" s="1247"/>
      <c r="CT353" s="1247"/>
      <c r="CU353" s="1247"/>
      <c r="CV353" s="1247"/>
      <c r="CW353" s="1247"/>
      <c r="CX353" s="1247"/>
      <c r="CY353" s="1247"/>
      <c r="CZ353" s="1247"/>
      <c r="DA353" s="1247"/>
      <c r="DB353" s="1247"/>
      <c r="DC353" s="1247"/>
      <c r="DD353" s="1247"/>
      <c r="DE353" s="1247"/>
      <c r="DF353" s="1247"/>
      <c r="DG353" s="1247"/>
      <c r="DH353" s="1247"/>
      <c r="DI353" s="1247"/>
      <c r="DJ353" s="1247"/>
      <c r="DK353" s="1247"/>
      <c r="DL353" s="1247"/>
      <c r="DM353" s="1247"/>
      <c r="DN353" s="1247"/>
      <c r="DO353" s="1247"/>
      <c r="DP353" s="1247"/>
      <c r="DQ353" s="1247"/>
      <c r="DR353" s="1247"/>
      <c r="DS353" s="1247"/>
      <c r="DT353" s="1247"/>
      <c r="DU353" s="1247"/>
      <c r="DV353" s="1247"/>
      <c r="DW353" s="1247"/>
      <c r="DX353" s="1247"/>
      <c r="DY353" s="1247"/>
      <c r="DZ353" s="1247"/>
      <c r="EA353" s="1247"/>
      <c r="EB353" s="1247"/>
      <c r="EC353" s="1247"/>
      <c r="ED353" s="1247"/>
      <c r="EE353" s="1247"/>
      <c r="EF353" s="1247"/>
      <c r="EG353" s="1247"/>
      <c r="EH353" s="1247"/>
      <c r="EI353" s="1247"/>
      <c r="EJ353" s="1247"/>
      <c r="EK353" s="1247"/>
      <c r="EL353" s="1247"/>
      <c r="EM353" s="1247"/>
      <c r="EN353" s="1247"/>
      <c r="EO353" s="1247"/>
      <c r="EP353" s="1247"/>
      <c r="EQ353" s="1247"/>
      <c r="ER353" s="1247"/>
      <c r="ES353" s="1247"/>
      <c r="ET353" s="1247"/>
      <c r="EU353" s="1247"/>
      <c r="EV353" s="1247"/>
      <c r="EW353" s="1247"/>
      <c r="EX353" s="1247"/>
      <c r="EY353" s="1247"/>
      <c r="EZ353" s="1247"/>
      <c r="FA353" s="1247"/>
      <c r="FB353" s="1247"/>
      <c r="FC353" s="1247"/>
      <c r="FD353" s="1247"/>
      <c r="FE353" s="1247"/>
      <c r="FF353" s="1247"/>
      <c r="FG353" s="1247"/>
      <c r="FH353" s="1247"/>
      <c r="FI353" s="1247"/>
      <c r="FJ353" s="1247"/>
      <c r="FK353" s="1247"/>
      <c r="FL353" s="1247"/>
      <c r="FM353" s="1247"/>
      <c r="FN353" s="1247"/>
      <c r="FO353" s="1247"/>
      <c r="FP353" s="1247"/>
      <c r="FQ353" s="1247"/>
      <c r="FR353" s="1247"/>
      <c r="FS353" s="1247"/>
      <c r="FT353" s="1247"/>
      <c r="FU353" s="1247"/>
      <c r="FV353" s="1247"/>
      <c r="FW353" s="1247"/>
      <c r="FX353" s="1247"/>
      <c r="FY353" s="1247"/>
      <c r="FZ353" s="1247"/>
      <c r="GA353" s="1247"/>
      <c r="GB353" s="1247"/>
      <c r="GC353" s="1247"/>
      <c r="GD353" s="1247"/>
      <c r="GE353" s="1247"/>
      <c r="GF353" s="1247"/>
      <c r="GG353" s="1247"/>
      <c r="GH353" s="1247"/>
      <c r="GI353" s="1247"/>
      <c r="GJ353" s="1247"/>
      <c r="GK353" s="1247"/>
      <c r="GL353" s="1247"/>
      <c r="GM353" s="1247"/>
      <c r="GN353" s="1247"/>
      <c r="GO353" s="1247"/>
      <c r="GP353" s="1247"/>
      <c r="GQ353" s="1247"/>
      <c r="GR353" s="1247"/>
      <c r="GS353" s="1247"/>
      <c r="GT353" s="1247"/>
      <c r="GU353" s="1247"/>
      <c r="GV353" s="1247"/>
      <c r="GW353" s="1247"/>
      <c r="GX353" s="1247"/>
      <c r="GY353" s="1247"/>
      <c r="GZ353" s="1247"/>
      <c r="HA353" s="1247"/>
      <c r="HB353" s="1247"/>
      <c r="HC353" s="1247"/>
      <c r="HD353" s="1247"/>
      <c r="HE353" s="1247"/>
      <c r="HF353" s="1247"/>
      <c r="HG353" s="1247"/>
      <c r="HH353" s="1247"/>
      <c r="HI353" s="1247"/>
      <c r="HJ353" s="1247"/>
      <c r="HK353" s="1247"/>
      <c r="HL353" s="1247"/>
      <c r="HM353" s="1247"/>
      <c r="HN353" s="1247"/>
      <c r="HO353" s="1247"/>
      <c r="HP353" s="1247"/>
      <c r="HQ353" s="1247"/>
      <c r="HR353" s="1247"/>
      <c r="HS353" s="1247"/>
      <c r="HT353" s="1247"/>
      <c r="HU353" s="1247"/>
      <c r="HV353" s="1247"/>
      <c r="HW353" s="1247"/>
      <c r="HX353" s="1247"/>
      <c r="HY353" s="1247"/>
      <c r="HZ353" s="1247"/>
      <c r="IA353" s="1247"/>
      <c r="IB353" s="1247"/>
      <c r="IC353" s="1247"/>
      <c r="ID353" s="1247"/>
      <c r="IE353" s="1247"/>
      <c r="IF353" s="1247"/>
      <c r="IG353" s="1247"/>
      <c r="IH353" s="1247"/>
      <c r="II353" s="1247"/>
      <c r="IJ353" s="1247"/>
      <c r="IK353" s="1247"/>
      <c r="IL353" s="1247"/>
      <c r="IM353" s="1247"/>
      <c r="IN353" s="1247"/>
      <c r="IO353" s="1247"/>
      <c r="IP353" s="1247"/>
      <c r="IQ353" s="1247"/>
      <c r="IR353" s="1247"/>
      <c r="IS353" s="1247"/>
      <c r="IT353" s="1247"/>
      <c r="IU353" s="1247"/>
      <c r="IV353" s="1247"/>
      <c r="IW353" s="1247"/>
      <c r="IX353" s="1247"/>
      <c r="IY353" s="1247"/>
      <c r="IZ353" s="1247"/>
      <c r="JA353" s="1247"/>
      <c r="JB353" s="1247"/>
      <c r="JC353" s="1247"/>
      <c r="JD353" s="1247"/>
      <c r="JE353" s="1247"/>
      <c r="JF353" s="1247"/>
      <c r="JG353" s="1247"/>
      <c r="JH353" s="1247"/>
      <c r="JI353" s="1247"/>
      <c r="JJ353" s="1247"/>
      <c r="JK353" s="1247"/>
      <c r="JL353" s="1247"/>
      <c r="JM353" s="1247"/>
      <c r="JN353" s="1247"/>
      <c r="JO353" s="1247"/>
      <c r="JP353" s="1247"/>
      <c r="JQ353" s="1247"/>
      <c r="JR353" s="1247"/>
      <c r="JS353" s="1247"/>
      <c r="JT353" s="1247"/>
      <c r="JU353" s="1247"/>
      <c r="JV353" s="1247"/>
      <c r="JW353" s="1247"/>
      <c r="JX353" s="1247"/>
      <c r="JY353" s="1247"/>
      <c r="JZ353" s="1247"/>
      <c r="KA353" s="1247"/>
      <c r="KB353" s="1247"/>
      <c r="KC353" s="1247"/>
      <c r="KD353" s="1247"/>
      <c r="KE353" s="1247"/>
      <c r="KF353" s="1247"/>
      <c r="KG353" s="1247"/>
      <c r="KH353" s="1247"/>
      <c r="KI353" s="1247"/>
      <c r="KJ353" s="1247"/>
      <c r="KK353" s="1247"/>
      <c r="KL353" s="1247"/>
      <c r="KM353" s="1247"/>
      <c r="KN353" s="1247"/>
      <c r="KO353" s="1247"/>
      <c r="KP353" s="1247"/>
      <c r="KQ353" s="1247"/>
      <c r="KR353" s="1247"/>
      <c r="KS353" s="1247"/>
      <c r="KT353" s="1247"/>
      <c r="KU353" s="1247"/>
      <c r="KV353" s="1247"/>
      <c r="KW353" s="1247"/>
      <c r="KX353" s="1247"/>
      <c r="KY353" s="1247"/>
      <c r="KZ353" s="1247"/>
      <c r="LA353" s="1247"/>
      <c r="LB353" s="1247"/>
      <c r="LC353" s="1247"/>
      <c r="LD353" s="1247"/>
      <c r="LE353" s="1247"/>
      <c r="LF353" s="1247"/>
      <c r="LG353" s="1247"/>
      <c r="LH353" s="1247"/>
      <c r="LI353" s="1247"/>
      <c r="LJ353" s="1247"/>
      <c r="LK353" s="1247"/>
      <c r="LL353" s="1247"/>
      <c r="LM353" s="1247"/>
      <c r="LN353" s="1247"/>
      <c r="LO353" s="1247"/>
      <c r="LP353" s="1247"/>
      <c r="LQ353" s="1247"/>
      <c r="LR353" s="1247"/>
      <c r="LS353" s="1247"/>
      <c r="LT353" s="1247"/>
      <c r="LU353" s="1247"/>
      <c r="LV353" s="1247"/>
      <c r="LW353" s="1247"/>
      <c r="LX353" s="1247"/>
      <c r="LY353" s="1247"/>
      <c r="LZ353" s="1247"/>
      <c r="MA353" s="1247"/>
      <c r="MB353" s="1247"/>
      <c r="MC353" s="1247"/>
      <c r="MD353" s="1247"/>
      <c r="ME353" s="1247"/>
      <c r="MF353" s="1247"/>
      <c r="MG353" s="1247"/>
      <c r="MH353" s="1247"/>
      <c r="MI353" s="1247"/>
      <c r="MJ353" s="1247"/>
      <c r="MK353" s="1247"/>
      <c r="ML353" s="1247"/>
      <c r="MM353" s="1247"/>
      <c r="MN353" s="1247"/>
      <c r="MO353" s="1247"/>
      <c r="MP353" s="1247"/>
      <c r="MQ353" s="1247"/>
      <c r="MR353" s="1247"/>
      <c r="MS353" s="1247"/>
      <c r="MT353" s="1247"/>
      <c r="MU353" s="1247"/>
      <c r="MV353" s="1247"/>
      <c r="MW353" s="1247"/>
      <c r="MX353" s="1247"/>
      <c r="MY353" s="1247"/>
      <c r="MZ353" s="1247"/>
      <c r="NA353" s="1247"/>
      <c r="NB353" s="1247"/>
      <c r="NC353" s="1247"/>
      <c r="ND353" s="1247"/>
      <c r="NE353" s="1247"/>
      <c r="NF353" s="1247"/>
      <c r="NG353" s="1247"/>
      <c r="NH353" s="1247"/>
      <c r="NI353" s="1247"/>
      <c r="NJ353" s="1247"/>
      <c r="NK353" s="1247"/>
      <c r="NL353" s="1247"/>
      <c r="NM353" s="1247"/>
      <c r="NN353" s="1247"/>
      <c r="NO353" s="1247"/>
      <c r="NP353" s="1247"/>
      <c r="NQ353" s="1247"/>
      <c r="NR353" s="1247"/>
      <c r="NS353" s="1247"/>
      <c r="NT353" s="1247"/>
      <c r="NU353" s="1247"/>
      <c r="NV353" s="1247"/>
      <c r="NW353" s="1247"/>
      <c r="NX353" s="1247"/>
      <c r="NY353" s="1247"/>
      <c r="NZ353" s="1247"/>
      <c r="OA353" s="1247"/>
      <c r="OB353" s="1247"/>
      <c r="OC353" s="1247"/>
      <c r="OD353" s="1247"/>
      <c r="OE353" s="1247"/>
      <c r="OF353" s="1247"/>
      <c r="OG353" s="1247"/>
      <c r="OH353" s="1247"/>
      <c r="OI353" s="1247"/>
      <c r="OJ353" s="1247"/>
      <c r="OK353" s="1247"/>
      <c r="OL353" s="1247"/>
      <c r="OM353" s="1247"/>
      <c r="ON353" s="1247"/>
      <c r="OO353" s="1247"/>
      <c r="OP353" s="1247"/>
      <c r="OQ353" s="1247"/>
      <c r="OR353" s="1247"/>
      <c r="OS353" s="1247"/>
      <c r="OT353" s="1247"/>
      <c r="OU353" s="1247"/>
      <c r="OV353" s="1247"/>
      <c r="OW353" s="1247"/>
      <c r="OX353" s="1247"/>
      <c r="OY353" s="1247"/>
      <c r="OZ353" s="1247"/>
      <c r="PA353" s="1247"/>
      <c r="PB353" s="1247"/>
      <c r="PC353" s="1247"/>
      <c r="PD353" s="1247"/>
      <c r="PE353" s="1247"/>
      <c r="PF353" s="1247"/>
      <c r="PG353" s="1247"/>
      <c r="PH353" s="1247"/>
      <c r="PI353" s="1247"/>
      <c r="PJ353" s="1247"/>
      <c r="PK353" s="1247"/>
      <c r="PL353" s="1247"/>
      <c r="PM353" s="1247"/>
      <c r="PN353" s="1247"/>
      <c r="PO353" s="1247"/>
      <c r="PP353" s="1247"/>
      <c r="PQ353" s="1247"/>
      <c r="PR353" s="1247"/>
      <c r="PS353" s="1247"/>
      <c r="PT353" s="1247"/>
      <c r="PU353" s="1247"/>
      <c r="PV353" s="1247"/>
      <c r="PW353" s="1247"/>
      <c r="PX353" s="1247"/>
      <c r="PY353" s="1247"/>
      <c r="PZ353" s="1247"/>
      <c r="QA353" s="1247"/>
      <c r="QB353" s="1247"/>
      <c r="QC353" s="1247"/>
      <c r="QD353" s="1247"/>
      <c r="QE353" s="1247"/>
      <c r="QF353" s="1247"/>
      <c r="QG353" s="1247"/>
      <c r="QH353" s="1247"/>
      <c r="QI353" s="1247"/>
      <c r="QJ353" s="1247"/>
      <c r="QK353" s="1247"/>
      <c r="QL353" s="1247"/>
      <c r="QM353" s="1247"/>
      <c r="QN353" s="1247"/>
      <c r="QO353" s="1247"/>
      <c r="QP353" s="1247"/>
      <c r="QQ353" s="1247"/>
      <c r="QR353" s="1247"/>
      <c r="QS353" s="1247"/>
      <c r="QT353" s="1247"/>
      <c r="QU353" s="1247"/>
      <c r="QV353" s="1247"/>
      <c r="QW353" s="1247"/>
      <c r="QX353" s="1247"/>
      <c r="QY353" s="1247"/>
      <c r="QZ353" s="1247"/>
      <c r="RA353" s="1247"/>
      <c r="RB353" s="1247"/>
      <c r="RC353" s="1247"/>
      <c r="RD353" s="1247"/>
      <c r="RE353" s="1247"/>
      <c r="RF353" s="1247"/>
      <c r="RG353" s="1247"/>
      <c r="RH353" s="1247"/>
      <c r="RI353" s="1247"/>
      <c r="RJ353" s="1247"/>
      <c r="RK353" s="1247"/>
      <c r="RL353" s="1247"/>
      <c r="RM353" s="1247"/>
      <c r="RN353" s="1247"/>
      <c r="RO353" s="1247"/>
      <c r="RP353" s="1247"/>
      <c r="RQ353" s="1247"/>
      <c r="RR353" s="1247"/>
      <c r="RS353" s="1247"/>
      <c r="RT353" s="1247"/>
      <c r="RU353" s="1247"/>
      <c r="RV353" s="1247"/>
      <c r="RW353" s="1247"/>
      <c r="RX353" s="1247"/>
      <c r="RY353" s="1247"/>
      <c r="RZ353" s="1247"/>
      <c r="SA353" s="1247"/>
      <c r="SB353" s="1247"/>
      <c r="SC353" s="1247"/>
      <c r="SD353" s="1247"/>
      <c r="SE353" s="1247"/>
      <c r="SF353" s="1247"/>
      <c r="SG353" s="1247"/>
      <c r="SH353" s="1247"/>
      <c r="SI353" s="1247"/>
      <c r="SJ353" s="1247"/>
      <c r="SK353" s="1247"/>
      <c r="SL353" s="1247"/>
      <c r="SM353" s="1247"/>
      <c r="SN353" s="1247"/>
      <c r="SO353" s="1247"/>
      <c r="SP353" s="1247"/>
      <c r="SQ353" s="1247"/>
      <c r="SR353" s="1247"/>
      <c r="SS353" s="1247"/>
      <c r="ST353" s="1247"/>
      <c r="SU353" s="1247"/>
      <c r="SV353" s="1247"/>
      <c r="SW353" s="1247"/>
      <c r="SX353" s="1247"/>
      <c r="SY353" s="1247"/>
      <c r="SZ353" s="1247"/>
      <c r="TA353" s="1247"/>
      <c r="TB353" s="1247"/>
      <c r="TC353" s="1247"/>
      <c r="TD353" s="1247"/>
      <c r="TE353" s="1247"/>
      <c r="TF353" s="1247"/>
      <c r="TG353" s="1247"/>
      <c r="TH353" s="1247"/>
      <c r="TI353" s="1247"/>
      <c r="TJ353" s="1247"/>
      <c r="TK353" s="1247"/>
      <c r="TL353" s="1247"/>
      <c r="TM353" s="1247"/>
      <c r="TN353" s="1247"/>
      <c r="TO353" s="1247"/>
      <c r="TP353" s="1247"/>
      <c r="TQ353" s="1247"/>
      <c r="TR353" s="1247"/>
      <c r="TS353" s="1247"/>
      <c r="TT353" s="1247"/>
      <c r="TU353" s="1247"/>
      <c r="TV353" s="1247"/>
      <c r="TW353" s="1247"/>
      <c r="TX353" s="1247"/>
      <c r="TY353" s="1247"/>
      <c r="TZ353" s="1247"/>
      <c r="UA353" s="1247"/>
      <c r="UB353" s="1247"/>
      <c r="UC353" s="1247"/>
      <c r="UD353" s="1247"/>
      <c r="UE353" s="1247"/>
      <c r="UF353" s="1247"/>
      <c r="UG353" s="1247"/>
      <c r="UH353" s="1247"/>
      <c r="UI353" s="1247"/>
      <c r="UJ353" s="1247"/>
      <c r="UK353" s="1247"/>
      <c r="UL353" s="1247"/>
      <c r="UM353" s="1247"/>
      <c r="UN353" s="1247"/>
      <c r="UO353" s="1247"/>
      <c r="UP353" s="1247"/>
      <c r="UQ353" s="1247"/>
      <c r="UR353" s="1247"/>
      <c r="US353" s="1247"/>
      <c r="UT353" s="1247"/>
      <c r="UU353" s="1247"/>
      <c r="UV353" s="1247"/>
      <c r="UW353" s="1247"/>
      <c r="UX353" s="1247"/>
      <c r="UY353" s="1247"/>
      <c r="UZ353" s="1247"/>
      <c r="VA353" s="1247"/>
      <c r="VB353" s="1247"/>
      <c r="VC353" s="1247"/>
      <c r="VD353" s="1247"/>
      <c r="VE353" s="1247"/>
      <c r="VF353" s="1247"/>
      <c r="VG353" s="1247"/>
      <c r="VH353" s="1247"/>
      <c r="VI353" s="1247"/>
      <c r="VJ353" s="1247"/>
      <c r="VK353" s="1247"/>
      <c r="VL353" s="1247"/>
      <c r="VM353" s="1247"/>
      <c r="VN353" s="1247"/>
      <c r="VO353" s="1247"/>
      <c r="VP353" s="1247"/>
      <c r="VQ353" s="1247"/>
      <c r="VR353" s="1247"/>
      <c r="VS353" s="1247"/>
      <c r="VT353" s="1247"/>
      <c r="VU353" s="1247"/>
      <c r="VV353" s="1247"/>
      <c r="VW353" s="1247"/>
      <c r="VX353" s="1247"/>
      <c r="VY353" s="1247"/>
      <c r="VZ353" s="1247"/>
      <c r="WA353" s="1247"/>
      <c r="WB353" s="1247"/>
      <c r="WC353" s="1247"/>
      <c r="WD353" s="1247"/>
      <c r="WE353" s="1247"/>
      <c r="WF353" s="1247"/>
      <c r="WG353" s="1247"/>
      <c r="WH353" s="1247"/>
      <c r="WI353" s="1247"/>
      <c r="WJ353" s="1247"/>
      <c r="WK353" s="1247"/>
      <c r="WL353" s="1247"/>
      <c r="WM353" s="1247"/>
      <c r="WN353" s="1247"/>
      <c r="WO353" s="1247"/>
      <c r="WP353" s="1247"/>
      <c r="WQ353" s="1247"/>
      <c r="WR353" s="1247"/>
      <c r="WS353" s="1247"/>
      <c r="WT353" s="1247"/>
      <c r="WU353" s="1247"/>
      <c r="WV353" s="1247"/>
      <c r="WW353" s="1247"/>
      <c r="WX353" s="1247"/>
      <c r="WY353" s="1247"/>
      <c r="WZ353" s="1247"/>
      <c r="XA353" s="1247"/>
      <c r="XB353" s="1247"/>
      <c r="XC353" s="1247"/>
      <c r="XD353" s="1247"/>
      <c r="XE353" s="1247"/>
      <c r="XF353" s="1247"/>
      <c r="XG353" s="1247"/>
      <c r="XH353" s="1247"/>
      <c r="XI353" s="1247"/>
      <c r="XJ353" s="1247"/>
      <c r="XK353" s="1247"/>
      <c r="XL353" s="1247"/>
      <c r="XM353" s="1247"/>
      <c r="XN353" s="1247"/>
      <c r="XO353" s="1247"/>
      <c r="XP353" s="1247"/>
      <c r="XQ353" s="1247"/>
      <c r="XR353" s="1247"/>
      <c r="XS353" s="1247"/>
      <c r="XT353" s="1247"/>
      <c r="XU353" s="1247"/>
      <c r="XV353" s="1247"/>
      <c r="XW353" s="1247"/>
      <c r="XX353" s="1247"/>
      <c r="XY353" s="1247"/>
      <c r="XZ353" s="1247"/>
      <c r="YA353" s="1247"/>
      <c r="YB353" s="1247"/>
      <c r="YC353" s="1247"/>
      <c r="YD353" s="1247"/>
      <c r="YE353" s="1247"/>
      <c r="YF353" s="1247"/>
      <c r="YG353" s="1247"/>
      <c r="YH353" s="1247"/>
      <c r="YI353" s="1247"/>
      <c r="YJ353" s="1247"/>
      <c r="YK353" s="1247"/>
      <c r="YL353" s="1247"/>
      <c r="YM353" s="1247"/>
      <c r="YN353" s="1247"/>
      <c r="YO353" s="1247"/>
      <c r="YP353" s="1247"/>
      <c r="YQ353" s="1247"/>
      <c r="YR353" s="1247"/>
      <c r="YS353" s="1247"/>
      <c r="YT353" s="1247"/>
      <c r="YU353" s="1247"/>
      <c r="YV353" s="1247"/>
      <c r="YW353" s="1247"/>
      <c r="YX353" s="1247"/>
      <c r="YY353" s="1247"/>
      <c r="YZ353" s="1247"/>
      <c r="ZA353" s="1247"/>
      <c r="ZB353" s="1247"/>
      <c r="ZC353" s="1247"/>
      <c r="ZD353" s="1247"/>
      <c r="ZE353" s="1247"/>
      <c r="ZF353" s="1247"/>
      <c r="ZG353" s="1247"/>
      <c r="ZH353" s="1247"/>
      <c r="ZI353" s="1247"/>
      <c r="ZJ353" s="1247"/>
      <c r="ZK353" s="1247"/>
      <c r="ZL353" s="1247"/>
      <c r="ZM353" s="1247"/>
      <c r="ZN353" s="1247"/>
      <c r="ZO353" s="1247"/>
      <c r="ZP353" s="1247"/>
      <c r="ZQ353" s="1247"/>
      <c r="ZR353" s="1247"/>
      <c r="ZS353" s="1247"/>
      <c r="ZT353" s="1247"/>
      <c r="ZU353" s="1247"/>
      <c r="ZV353" s="1247"/>
      <c r="ZW353" s="1247"/>
      <c r="ZX353" s="1247"/>
      <c r="ZY353" s="1247"/>
      <c r="ZZ353" s="1247"/>
      <c r="AAA353" s="1247"/>
      <c r="AAB353" s="1247"/>
      <c r="AAC353" s="1247"/>
      <c r="AAD353" s="1247"/>
      <c r="AAE353" s="1247"/>
      <c r="AAF353" s="1247"/>
      <c r="AAG353" s="1247"/>
      <c r="AAH353" s="1247"/>
      <c r="AAI353" s="1247"/>
      <c r="AAJ353" s="1247"/>
      <c r="AAK353" s="1247"/>
      <c r="AAL353" s="1247"/>
      <c r="AAM353" s="1247"/>
      <c r="AAN353" s="1247"/>
      <c r="AAO353" s="1247"/>
      <c r="AAP353" s="1247"/>
      <c r="AAQ353" s="1247"/>
      <c r="AAR353" s="1247"/>
      <c r="AAS353" s="1247"/>
      <c r="AAT353" s="1247"/>
      <c r="AAU353" s="1247"/>
      <c r="AAV353" s="1247"/>
      <c r="AAW353" s="1247"/>
      <c r="AAX353" s="1247"/>
      <c r="AAY353" s="1247"/>
      <c r="AAZ353" s="1247"/>
      <c r="ABA353" s="1247"/>
      <c r="ABB353" s="1247"/>
      <c r="ABC353" s="1247"/>
      <c r="ABD353" s="1247"/>
      <c r="ABE353" s="1247"/>
      <c r="ABF353" s="1247"/>
      <c r="ABG353" s="1247"/>
      <c r="ABH353" s="1247"/>
      <c r="ABI353" s="1247"/>
      <c r="ABJ353" s="1247"/>
      <c r="ABK353" s="1247"/>
      <c r="ABL353" s="1247"/>
      <c r="ABM353" s="1247"/>
      <c r="ABN353" s="1247"/>
      <c r="ABO353" s="1247"/>
      <c r="ABP353" s="1247"/>
      <c r="ABQ353" s="1247"/>
      <c r="ABR353" s="1247"/>
      <c r="ABS353" s="1247"/>
      <c r="ABT353" s="1247"/>
      <c r="ABU353" s="1247"/>
      <c r="ABV353" s="1247"/>
      <c r="ABW353" s="1247"/>
      <c r="ABX353" s="1247"/>
      <c r="ABY353" s="1247"/>
      <c r="ABZ353" s="1247"/>
      <c r="ACA353" s="1247"/>
      <c r="ACB353" s="1247"/>
      <c r="ACC353" s="1247"/>
      <c r="ACD353" s="1247"/>
      <c r="ACE353" s="1247"/>
      <c r="ACF353" s="1247"/>
      <c r="ACG353" s="1247"/>
      <c r="ACH353" s="1247"/>
      <c r="ACI353" s="1247"/>
      <c r="ACJ353" s="1247"/>
      <c r="ACK353" s="1247"/>
      <c r="ACL353" s="1247"/>
      <c r="ACM353" s="1247"/>
      <c r="ACN353" s="1247"/>
      <c r="ACO353" s="1247"/>
      <c r="ACP353" s="1247"/>
      <c r="ACQ353" s="1247"/>
      <c r="ACR353" s="1247"/>
      <c r="ACS353" s="1247"/>
      <c r="ACT353" s="1247"/>
      <c r="ACU353" s="1247"/>
      <c r="ACV353" s="1247"/>
      <c r="ACW353" s="1247"/>
      <c r="ACX353" s="1247"/>
      <c r="ACY353" s="1247"/>
      <c r="ACZ353" s="1247"/>
      <c r="ADA353" s="1247"/>
      <c r="ADB353" s="1247"/>
      <c r="ADC353" s="1247"/>
      <c r="ADD353" s="1247"/>
      <c r="ADE353" s="1247"/>
      <c r="ADF353" s="1247"/>
      <c r="ADG353" s="1247"/>
    </row>
    <row r="354" spans="1:787" s="1421" customFormat="1" ht="13" hidden="1" outlineLevel="1">
      <c r="A354" s="1247"/>
      <c r="B354" s="1413" t="s">
        <v>1476</v>
      </c>
      <c r="C354" s="1414"/>
      <c r="D354" s="1414" t="s">
        <v>3155</v>
      </c>
      <c r="E354" s="1442"/>
      <c r="F354" s="1416" t="s">
        <v>142</v>
      </c>
      <c r="G354" s="1417" t="s">
        <v>4203</v>
      </c>
      <c r="H354" s="1418"/>
      <c r="I354" s="1418"/>
      <c r="J354" s="1457"/>
      <c r="K354" s="1457"/>
      <c r="L354" s="1457"/>
      <c r="M354" s="1457"/>
      <c r="N354" s="1457"/>
      <c r="O354" s="1457"/>
      <c r="P354" s="1457"/>
      <c r="Q354" s="1419">
        <f>VLOOKUP(D354,'当期公摊测算表（全期）'!D:W,12,FALSE)</f>
        <v>0</v>
      </c>
      <c r="R354" s="1419">
        <f>SUM(H354:Q354)</f>
        <v>0</v>
      </c>
      <c r="S354" s="1419">
        <f>VLOOKUP($D354,'当期公摊测算表（全期）'!D:W,17,FALSE)</f>
        <v>0</v>
      </c>
      <c r="T354" s="1419">
        <f>R354+S354</f>
        <v>0</v>
      </c>
      <c r="U354" s="1443"/>
      <c r="V354" s="1225">
        <f t="shared" si="86"/>
        <v>0</v>
      </c>
      <c r="W354" s="1225">
        <f t="shared" si="87"/>
        <v>0</v>
      </c>
      <c r="X354" s="1225"/>
      <c r="Y354" s="1225"/>
      <c r="Z354" s="1247"/>
      <c r="AA354" s="1247"/>
      <c r="AB354" s="1247"/>
      <c r="AC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c r="AX354" s="1247"/>
      <c r="AY354" s="1247"/>
      <c r="AZ354" s="1247"/>
      <c r="BA354" s="1247"/>
      <c r="BB354" s="1247"/>
      <c r="BC354" s="1247"/>
      <c r="BD354" s="1247"/>
      <c r="BE354" s="1247"/>
      <c r="BF354" s="1247"/>
      <c r="BG354" s="1247"/>
      <c r="BH354" s="1247"/>
      <c r="BI354" s="1247"/>
      <c r="BJ354" s="1247"/>
      <c r="BK354" s="1247"/>
      <c r="BL354" s="1247"/>
      <c r="BM354" s="1247"/>
      <c r="BN354" s="1247"/>
      <c r="BO354" s="1247"/>
      <c r="BP354" s="1247"/>
      <c r="BQ354" s="1247"/>
      <c r="BR354" s="1247"/>
      <c r="BS354" s="1247"/>
      <c r="BT354" s="1247"/>
      <c r="BU354" s="1247"/>
      <c r="BV354" s="1247"/>
      <c r="BW354" s="1247"/>
      <c r="BX354" s="1247"/>
      <c r="BY354" s="1247"/>
      <c r="BZ354" s="1247"/>
      <c r="CA354" s="1247"/>
      <c r="CB354" s="1247"/>
      <c r="CC354" s="1247"/>
      <c r="CD354" s="1247"/>
      <c r="CE354" s="1247"/>
      <c r="CF354" s="1247"/>
      <c r="CG354" s="1247"/>
      <c r="CH354" s="1247"/>
      <c r="CI354" s="1247"/>
      <c r="CJ354" s="1247"/>
      <c r="CK354" s="1247"/>
      <c r="CL354" s="1247"/>
      <c r="CM354" s="1247"/>
      <c r="CN354" s="1247"/>
      <c r="CO354" s="1247"/>
      <c r="CP354" s="1247"/>
      <c r="CQ354" s="1247"/>
      <c r="CR354" s="1247"/>
      <c r="CS354" s="1247"/>
      <c r="CT354" s="1247"/>
      <c r="CU354" s="1247"/>
      <c r="CV354" s="1247"/>
      <c r="CW354" s="1247"/>
      <c r="CX354" s="1247"/>
      <c r="CY354" s="1247"/>
      <c r="CZ354" s="1247"/>
      <c r="DA354" s="1247"/>
      <c r="DB354" s="1247"/>
      <c r="DC354" s="1247"/>
      <c r="DD354" s="1247"/>
      <c r="DE354" s="1247"/>
      <c r="DF354" s="1247"/>
      <c r="DG354" s="1247"/>
      <c r="DH354" s="1247"/>
      <c r="DI354" s="1247"/>
      <c r="DJ354" s="1247"/>
      <c r="DK354" s="1247"/>
      <c r="DL354" s="1247"/>
      <c r="DM354" s="1247"/>
      <c r="DN354" s="1247"/>
      <c r="DO354" s="1247"/>
      <c r="DP354" s="1247"/>
      <c r="DQ354" s="1247"/>
      <c r="DR354" s="1247"/>
      <c r="DS354" s="1247"/>
      <c r="DT354" s="1247"/>
      <c r="DU354" s="1247"/>
      <c r="DV354" s="1247"/>
      <c r="DW354" s="1247"/>
      <c r="DX354" s="1247"/>
      <c r="DY354" s="1247"/>
      <c r="DZ354" s="1247"/>
      <c r="EA354" s="1247"/>
      <c r="EB354" s="1247"/>
      <c r="EC354" s="1247"/>
      <c r="ED354" s="1247"/>
      <c r="EE354" s="1247"/>
      <c r="EF354" s="1247"/>
      <c r="EG354" s="1247"/>
      <c r="EH354" s="1247"/>
      <c r="EI354" s="1247"/>
      <c r="EJ354" s="1247"/>
      <c r="EK354" s="1247"/>
      <c r="EL354" s="1247"/>
      <c r="EM354" s="1247"/>
      <c r="EN354" s="1247"/>
      <c r="EO354" s="1247"/>
      <c r="EP354" s="1247"/>
      <c r="EQ354" s="1247"/>
      <c r="ER354" s="1247"/>
      <c r="ES354" s="1247"/>
      <c r="ET354" s="1247"/>
      <c r="EU354" s="1247"/>
      <c r="EV354" s="1247"/>
      <c r="EW354" s="1247"/>
      <c r="EX354" s="1247"/>
      <c r="EY354" s="1247"/>
      <c r="EZ354" s="1247"/>
      <c r="FA354" s="1247"/>
      <c r="FB354" s="1247"/>
      <c r="FC354" s="1247"/>
      <c r="FD354" s="1247"/>
      <c r="FE354" s="1247"/>
      <c r="FF354" s="1247"/>
      <c r="FG354" s="1247"/>
      <c r="FH354" s="1247"/>
      <c r="FI354" s="1247"/>
      <c r="FJ354" s="1247"/>
      <c r="FK354" s="1247"/>
      <c r="FL354" s="1247"/>
      <c r="FM354" s="1247"/>
      <c r="FN354" s="1247"/>
      <c r="FO354" s="1247"/>
      <c r="FP354" s="1247"/>
      <c r="FQ354" s="1247"/>
      <c r="FR354" s="1247"/>
      <c r="FS354" s="1247"/>
      <c r="FT354" s="1247"/>
      <c r="FU354" s="1247"/>
      <c r="FV354" s="1247"/>
      <c r="FW354" s="1247"/>
      <c r="FX354" s="1247"/>
      <c r="FY354" s="1247"/>
      <c r="FZ354" s="1247"/>
      <c r="GA354" s="1247"/>
      <c r="GB354" s="1247"/>
      <c r="GC354" s="1247"/>
      <c r="GD354" s="1247"/>
      <c r="GE354" s="1247"/>
      <c r="GF354" s="1247"/>
      <c r="GG354" s="1247"/>
      <c r="GH354" s="1247"/>
      <c r="GI354" s="1247"/>
      <c r="GJ354" s="1247"/>
      <c r="GK354" s="1247"/>
      <c r="GL354" s="1247"/>
      <c r="GM354" s="1247"/>
      <c r="GN354" s="1247"/>
      <c r="GO354" s="1247"/>
      <c r="GP354" s="1247"/>
      <c r="GQ354" s="1247"/>
      <c r="GR354" s="1247"/>
      <c r="GS354" s="1247"/>
      <c r="GT354" s="1247"/>
      <c r="GU354" s="1247"/>
      <c r="GV354" s="1247"/>
      <c r="GW354" s="1247"/>
      <c r="GX354" s="1247"/>
      <c r="GY354" s="1247"/>
      <c r="GZ354" s="1247"/>
      <c r="HA354" s="1247"/>
      <c r="HB354" s="1247"/>
      <c r="HC354" s="1247"/>
      <c r="HD354" s="1247"/>
      <c r="HE354" s="1247"/>
      <c r="HF354" s="1247"/>
      <c r="HG354" s="1247"/>
      <c r="HH354" s="1247"/>
      <c r="HI354" s="1247"/>
      <c r="HJ354" s="1247"/>
      <c r="HK354" s="1247"/>
      <c r="HL354" s="1247"/>
      <c r="HM354" s="1247"/>
      <c r="HN354" s="1247"/>
      <c r="HO354" s="1247"/>
      <c r="HP354" s="1247"/>
      <c r="HQ354" s="1247"/>
      <c r="HR354" s="1247"/>
      <c r="HS354" s="1247"/>
      <c r="HT354" s="1247"/>
      <c r="HU354" s="1247"/>
      <c r="HV354" s="1247"/>
      <c r="HW354" s="1247"/>
      <c r="HX354" s="1247"/>
      <c r="HY354" s="1247"/>
      <c r="HZ354" s="1247"/>
      <c r="IA354" s="1247"/>
      <c r="IB354" s="1247"/>
      <c r="IC354" s="1247"/>
      <c r="ID354" s="1247"/>
      <c r="IE354" s="1247"/>
      <c r="IF354" s="1247"/>
      <c r="IG354" s="1247"/>
      <c r="IH354" s="1247"/>
      <c r="II354" s="1247"/>
      <c r="IJ354" s="1247"/>
      <c r="IK354" s="1247"/>
      <c r="IL354" s="1247"/>
      <c r="IM354" s="1247"/>
      <c r="IN354" s="1247"/>
      <c r="IO354" s="1247"/>
      <c r="IP354" s="1247"/>
      <c r="IQ354" s="1247"/>
      <c r="IR354" s="1247"/>
      <c r="IS354" s="1247"/>
      <c r="IT354" s="1247"/>
      <c r="IU354" s="1247"/>
      <c r="IV354" s="1247"/>
      <c r="IW354" s="1247"/>
      <c r="IX354" s="1247"/>
      <c r="IY354" s="1247"/>
      <c r="IZ354" s="1247"/>
      <c r="JA354" s="1247"/>
      <c r="JB354" s="1247"/>
      <c r="JC354" s="1247"/>
      <c r="JD354" s="1247"/>
      <c r="JE354" s="1247"/>
      <c r="JF354" s="1247"/>
      <c r="JG354" s="1247"/>
      <c r="JH354" s="1247"/>
      <c r="JI354" s="1247"/>
      <c r="JJ354" s="1247"/>
      <c r="JK354" s="1247"/>
      <c r="JL354" s="1247"/>
      <c r="JM354" s="1247"/>
      <c r="JN354" s="1247"/>
      <c r="JO354" s="1247"/>
      <c r="JP354" s="1247"/>
      <c r="JQ354" s="1247"/>
      <c r="JR354" s="1247"/>
      <c r="JS354" s="1247"/>
      <c r="JT354" s="1247"/>
      <c r="JU354" s="1247"/>
      <c r="JV354" s="1247"/>
      <c r="JW354" s="1247"/>
      <c r="JX354" s="1247"/>
      <c r="JY354" s="1247"/>
      <c r="JZ354" s="1247"/>
      <c r="KA354" s="1247"/>
      <c r="KB354" s="1247"/>
      <c r="KC354" s="1247"/>
      <c r="KD354" s="1247"/>
      <c r="KE354" s="1247"/>
      <c r="KF354" s="1247"/>
      <c r="KG354" s="1247"/>
      <c r="KH354" s="1247"/>
      <c r="KI354" s="1247"/>
      <c r="KJ354" s="1247"/>
      <c r="KK354" s="1247"/>
      <c r="KL354" s="1247"/>
      <c r="KM354" s="1247"/>
      <c r="KN354" s="1247"/>
      <c r="KO354" s="1247"/>
      <c r="KP354" s="1247"/>
      <c r="KQ354" s="1247"/>
      <c r="KR354" s="1247"/>
      <c r="KS354" s="1247"/>
      <c r="KT354" s="1247"/>
      <c r="KU354" s="1247"/>
      <c r="KV354" s="1247"/>
      <c r="KW354" s="1247"/>
      <c r="KX354" s="1247"/>
      <c r="KY354" s="1247"/>
      <c r="KZ354" s="1247"/>
      <c r="LA354" s="1247"/>
      <c r="LB354" s="1247"/>
      <c r="LC354" s="1247"/>
      <c r="LD354" s="1247"/>
      <c r="LE354" s="1247"/>
      <c r="LF354" s="1247"/>
      <c r="LG354" s="1247"/>
      <c r="LH354" s="1247"/>
      <c r="LI354" s="1247"/>
      <c r="LJ354" s="1247"/>
      <c r="LK354" s="1247"/>
      <c r="LL354" s="1247"/>
      <c r="LM354" s="1247"/>
      <c r="LN354" s="1247"/>
      <c r="LO354" s="1247"/>
      <c r="LP354" s="1247"/>
      <c r="LQ354" s="1247"/>
      <c r="LR354" s="1247"/>
      <c r="LS354" s="1247"/>
      <c r="LT354" s="1247"/>
      <c r="LU354" s="1247"/>
      <c r="LV354" s="1247"/>
      <c r="LW354" s="1247"/>
      <c r="LX354" s="1247"/>
      <c r="LY354" s="1247"/>
      <c r="LZ354" s="1247"/>
      <c r="MA354" s="1247"/>
      <c r="MB354" s="1247"/>
      <c r="MC354" s="1247"/>
      <c r="MD354" s="1247"/>
      <c r="ME354" s="1247"/>
      <c r="MF354" s="1247"/>
      <c r="MG354" s="1247"/>
      <c r="MH354" s="1247"/>
      <c r="MI354" s="1247"/>
      <c r="MJ354" s="1247"/>
      <c r="MK354" s="1247"/>
      <c r="ML354" s="1247"/>
      <c r="MM354" s="1247"/>
      <c r="MN354" s="1247"/>
      <c r="MO354" s="1247"/>
      <c r="MP354" s="1247"/>
      <c r="MQ354" s="1247"/>
      <c r="MR354" s="1247"/>
      <c r="MS354" s="1247"/>
      <c r="MT354" s="1247"/>
      <c r="MU354" s="1247"/>
      <c r="MV354" s="1247"/>
      <c r="MW354" s="1247"/>
      <c r="MX354" s="1247"/>
      <c r="MY354" s="1247"/>
      <c r="MZ354" s="1247"/>
      <c r="NA354" s="1247"/>
      <c r="NB354" s="1247"/>
      <c r="NC354" s="1247"/>
      <c r="ND354" s="1247"/>
      <c r="NE354" s="1247"/>
      <c r="NF354" s="1247"/>
      <c r="NG354" s="1247"/>
      <c r="NH354" s="1247"/>
      <c r="NI354" s="1247"/>
      <c r="NJ354" s="1247"/>
      <c r="NK354" s="1247"/>
      <c r="NL354" s="1247"/>
      <c r="NM354" s="1247"/>
      <c r="NN354" s="1247"/>
      <c r="NO354" s="1247"/>
      <c r="NP354" s="1247"/>
      <c r="NQ354" s="1247"/>
      <c r="NR354" s="1247"/>
      <c r="NS354" s="1247"/>
      <c r="NT354" s="1247"/>
      <c r="NU354" s="1247"/>
      <c r="NV354" s="1247"/>
      <c r="NW354" s="1247"/>
      <c r="NX354" s="1247"/>
      <c r="NY354" s="1247"/>
      <c r="NZ354" s="1247"/>
      <c r="OA354" s="1247"/>
      <c r="OB354" s="1247"/>
      <c r="OC354" s="1247"/>
      <c r="OD354" s="1247"/>
      <c r="OE354" s="1247"/>
      <c r="OF354" s="1247"/>
      <c r="OG354" s="1247"/>
      <c r="OH354" s="1247"/>
      <c r="OI354" s="1247"/>
      <c r="OJ354" s="1247"/>
      <c r="OK354" s="1247"/>
      <c r="OL354" s="1247"/>
      <c r="OM354" s="1247"/>
      <c r="ON354" s="1247"/>
      <c r="OO354" s="1247"/>
      <c r="OP354" s="1247"/>
      <c r="OQ354" s="1247"/>
      <c r="OR354" s="1247"/>
      <c r="OS354" s="1247"/>
      <c r="OT354" s="1247"/>
      <c r="OU354" s="1247"/>
      <c r="OV354" s="1247"/>
      <c r="OW354" s="1247"/>
      <c r="OX354" s="1247"/>
      <c r="OY354" s="1247"/>
      <c r="OZ354" s="1247"/>
      <c r="PA354" s="1247"/>
      <c r="PB354" s="1247"/>
      <c r="PC354" s="1247"/>
      <c r="PD354" s="1247"/>
      <c r="PE354" s="1247"/>
      <c r="PF354" s="1247"/>
      <c r="PG354" s="1247"/>
      <c r="PH354" s="1247"/>
      <c r="PI354" s="1247"/>
      <c r="PJ354" s="1247"/>
      <c r="PK354" s="1247"/>
      <c r="PL354" s="1247"/>
      <c r="PM354" s="1247"/>
      <c r="PN354" s="1247"/>
      <c r="PO354" s="1247"/>
      <c r="PP354" s="1247"/>
      <c r="PQ354" s="1247"/>
      <c r="PR354" s="1247"/>
      <c r="PS354" s="1247"/>
      <c r="PT354" s="1247"/>
      <c r="PU354" s="1247"/>
      <c r="PV354" s="1247"/>
      <c r="PW354" s="1247"/>
      <c r="PX354" s="1247"/>
      <c r="PY354" s="1247"/>
      <c r="PZ354" s="1247"/>
      <c r="QA354" s="1247"/>
      <c r="QB354" s="1247"/>
      <c r="QC354" s="1247"/>
      <c r="QD354" s="1247"/>
      <c r="QE354" s="1247"/>
      <c r="QF354" s="1247"/>
      <c r="QG354" s="1247"/>
      <c r="QH354" s="1247"/>
      <c r="QI354" s="1247"/>
      <c r="QJ354" s="1247"/>
      <c r="QK354" s="1247"/>
      <c r="QL354" s="1247"/>
      <c r="QM354" s="1247"/>
      <c r="QN354" s="1247"/>
      <c r="QO354" s="1247"/>
      <c r="QP354" s="1247"/>
      <c r="QQ354" s="1247"/>
      <c r="QR354" s="1247"/>
      <c r="QS354" s="1247"/>
      <c r="QT354" s="1247"/>
      <c r="QU354" s="1247"/>
      <c r="QV354" s="1247"/>
      <c r="QW354" s="1247"/>
      <c r="QX354" s="1247"/>
      <c r="QY354" s="1247"/>
      <c r="QZ354" s="1247"/>
      <c r="RA354" s="1247"/>
      <c r="RB354" s="1247"/>
      <c r="RC354" s="1247"/>
      <c r="RD354" s="1247"/>
      <c r="RE354" s="1247"/>
      <c r="RF354" s="1247"/>
      <c r="RG354" s="1247"/>
      <c r="RH354" s="1247"/>
      <c r="RI354" s="1247"/>
      <c r="RJ354" s="1247"/>
      <c r="RK354" s="1247"/>
      <c r="RL354" s="1247"/>
      <c r="RM354" s="1247"/>
      <c r="RN354" s="1247"/>
      <c r="RO354" s="1247"/>
      <c r="RP354" s="1247"/>
      <c r="RQ354" s="1247"/>
      <c r="RR354" s="1247"/>
      <c r="RS354" s="1247"/>
      <c r="RT354" s="1247"/>
      <c r="RU354" s="1247"/>
      <c r="RV354" s="1247"/>
      <c r="RW354" s="1247"/>
      <c r="RX354" s="1247"/>
      <c r="RY354" s="1247"/>
      <c r="RZ354" s="1247"/>
      <c r="SA354" s="1247"/>
      <c r="SB354" s="1247"/>
      <c r="SC354" s="1247"/>
      <c r="SD354" s="1247"/>
      <c r="SE354" s="1247"/>
      <c r="SF354" s="1247"/>
      <c r="SG354" s="1247"/>
      <c r="SH354" s="1247"/>
      <c r="SI354" s="1247"/>
      <c r="SJ354" s="1247"/>
      <c r="SK354" s="1247"/>
      <c r="SL354" s="1247"/>
      <c r="SM354" s="1247"/>
      <c r="SN354" s="1247"/>
      <c r="SO354" s="1247"/>
      <c r="SP354" s="1247"/>
      <c r="SQ354" s="1247"/>
      <c r="SR354" s="1247"/>
      <c r="SS354" s="1247"/>
      <c r="ST354" s="1247"/>
      <c r="SU354" s="1247"/>
      <c r="SV354" s="1247"/>
      <c r="SW354" s="1247"/>
      <c r="SX354" s="1247"/>
      <c r="SY354" s="1247"/>
      <c r="SZ354" s="1247"/>
      <c r="TA354" s="1247"/>
      <c r="TB354" s="1247"/>
      <c r="TC354" s="1247"/>
      <c r="TD354" s="1247"/>
      <c r="TE354" s="1247"/>
      <c r="TF354" s="1247"/>
      <c r="TG354" s="1247"/>
      <c r="TH354" s="1247"/>
      <c r="TI354" s="1247"/>
      <c r="TJ354" s="1247"/>
      <c r="TK354" s="1247"/>
      <c r="TL354" s="1247"/>
      <c r="TM354" s="1247"/>
      <c r="TN354" s="1247"/>
      <c r="TO354" s="1247"/>
      <c r="TP354" s="1247"/>
      <c r="TQ354" s="1247"/>
      <c r="TR354" s="1247"/>
      <c r="TS354" s="1247"/>
      <c r="TT354" s="1247"/>
      <c r="TU354" s="1247"/>
      <c r="TV354" s="1247"/>
      <c r="TW354" s="1247"/>
      <c r="TX354" s="1247"/>
      <c r="TY354" s="1247"/>
      <c r="TZ354" s="1247"/>
      <c r="UA354" s="1247"/>
      <c r="UB354" s="1247"/>
      <c r="UC354" s="1247"/>
      <c r="UD354" s="1247"/>
      <c r="UE354" s="1247"/>
      <c r="UF354" s="1247"/>
      <c r="UG354" s="1247"/>
      <c r="UH354" s="1247"/>
      <c r="UI354" s="1247"/>
      <c r="UJ354" s="1247"/>
      <c r="UK354" s="1247"/>
      <c r="UL354" s="1247"/>
      <c r="UM354" s="1247"/>
      <c r="UN354" s="1247"/>
      <c r="UO354" s="1247"/>
      <c r="UP354" s="1247"/>
      <c r="UQ354" s="1247"/>
      <c r="UR354" s="1247"/>
      <c r="US354" s="1247"/>
      <c r="UT354" s="1247"/>
      <c r="UU354" s="1247"/>
      <c r="UV354" s="1247"/>
      <c r="UW354" s="1247"/>
      <c r="UX354" s="1247"/>
      <c r="UY354" s="1247"/>
      <c r="UZ354" s="1247"/>
      <c r="VA354" s="1247"/>
      <c r="VB354" s="1247"/>
      <c r="VC354" s="1247"/>
      <c r="VD354" s="1247"/>
      <c r="VE354" s="1247"/>
      <c r="VF354" s="1247"/>
      <c r="VG354" s="1247"/>
      <c r="VH354" s="1247"/>
      <c r="VI354" s="1247"/>
      <c r="VJ354" s="1247"/>
      <c r="VK354" s="1247"/>
      <c r="VL354" s="1247"/>
      <c r="VM354" s="1247"/>
      <c r="VN354" s="1247"/>
      <c r="VO354" s="1247"/>
      <c r="VP354" s="1247"/>
      <c r="VQ354" s="1247"/>
      <c r="VR354" s="1247"/>
      <c r="VS354" s="1247"/>
      <c r="VT354" s="1247"/>
      <c r="VU354" s="1247"/>
      <c r="VV354" s="1247"/>
      <c r="VW354" s="1247"/>
      <c r="VX354" s="1247"/>
      <c r="VY354" s="1247"/>
      <c r="VZ354" s="1247"/>
      <c r="WA354" s="1247"/>
      <c r="WB354" s="1247"/>
      <c r="WC354" s="1247"/>
      <c r="WD354" s="1247"/>
      <c r="WE354" s="1247"/>
      <c r="WF354" s="1247"/>
      <c r="WG354" s="1247"/>
      <c r="WH354" s="1247"/>
      <c r="WI354" s="1247"/>
      <c r="WJ354" s="1247"/>
      <c r="WK354" s="1247"/>
      <c r="WL354" s="1247"/>
      <c r="WM354" s="1247"/>
      <c r="WN354" s="1247"/>
      <c r="WO354" s="1247"/>
      <c r="WP354" s="1247"/>
      <c r="WQ354" s="1247"/>
      <c r="WR354" s="1247"/>
      <c r="WS354" s="1247"/>
      <c r="WT354" s="1247"/>
      <c r="WU354" s="1247"/>
      <c r="WV354" s="1247"/>
      <c r="WW354" s="1247"/>
      <c r="WX354" s="1247"/>
      <c r="WY354" s="1247"/>
      <c r="WZ354" s="1247"/>
      <c r="XA354" s="1247"/>
      <c r="XB354" s="1247"/>
      <c r="XC354" s="1247"/>
      <c r="XD354" s="1247"/>
      <c r="XE354" s="1247"/>
      <c r="XF354" s="1247"/>
      <c r="XG354" s="1247"/>
      <c r="XH354" s="1247"/>
      <c r="XI354" s="1247"/>
      <c r="XJ354" s="1247"/>
      <c r="XK354" s="1247"/>
      <c r="XL354" s="1247"/>
      <c r="XM354" s="1247"/>
      <c r="XN354" s="1247"/>
      <c r="XO354" s="1247"/>
      <c r="XP354" s="1247"/>
      <c r="XQ354" s="1247"/>
      <c r="XR354" s="1247"/>
      <c r="XS354" s="1247"/>
      <c r="XT354" s="1247"/>
      <c r="XU354" s="1247"/>
      <c r="XV354" s="1247"/>
      <c r="XW354" s="1247"/>
      <c r="XX354" s="1247"/>
      <c r="XY354" s="1247"/>
      <c r="XZ354" s="1247"/>
      <c r="YA354" s="1247"/>
      <c r="YB354" s="1247"/>
      <c r="YC354" s="1247"/>
      <c r="YD354" s="1247"/>
      <c r="YE354" s="1247"/>
      <c r="YF354" s="1247"/>
      <c r="YG354" s="1247"/>
      <c r="YH354" s="1247"/>
      <c r="YI354" s="1247"/>
      <c r="YJ354" s="1247"/>
      <c r="YK354" s="1247"/>
      <c r="YL354" s="1247"/>
      <c r="YM354" s="1247"/>
      <c r="YN354" s="1247"/>
      <c r="YO354" s="1247"/>
      <c r="YP354" s="1247"/>
      <c r="YQ354" s="1247"/>
      <c r="YR354" s="1247"/>
      <c r="YS354" s="1247"/>
      <c r="YT354" s="1247"/>
      <c r="YU354" s="1247"/>
      <c r="YV354" s="1247"/>
      <c r="YW354" s="1247"/>
      <c r="YX354" s="1247"/>
      <c r="YY354" s="1247"/>
      <c r="YZ354" s="1247"/>
      <c r="ZA354" s="1247"/>
      <c r="ZB354" s="1247"/>
      <c r="ZC354" s="1247"/>
      <c r="ZD354" s="1247"/>
      <c r="ZE354" s="1247"/>
      <c r="ZF354" s="1247"/>
      <c r="ZG354" s="1247"/>
      <c r="ZH354" s="1247"/>
      <c r="ZI354" s="1247"/>
      <c r="ZJ354" s="1247"/>
      <c r="ZK354" s="1247"/>
      <c r="ZL354" s="1247"/>
      <c r="ZM354" s="1247"/>
      <c r="ZN354" s="1247"/>
      <c r="ZO354" s="1247"/>
      <c r="ZP354" s="1247"/>
      <c r="ZQ354" s="1247"/>
      <c r="ZR354" s="1247"/>
      <c r="ZS354" s="1247"/>
      <c r="ZT354" s="1247"/>
      <c r="ZU354" s="1247"/>
      <c r="ZV354" s="1247"/>
      <c r="ZW354" s="1247"/>
      <c r="ZX354" s="1247"/>
      <c r="ZY354" s="1247"/>
      <c r="ZZ354" s="1247"/>
      <c r="AAA354" s="1247"/>
      <c r="AAB354" s="1247"/>
      <c r="AAC354" s="1247"/>
      <c r="AAD354" s="1247"/>
      <c r="AAE354" s="1247"/>
      <c r="AAF354" s="1247"/>
      <c r="AAG354" s="1247"/>
      <c r="AAH354" s="1247"/>
      <c r="AAI354" s="1247"/>
      <c r="AAJ354" s="1247"/>
      <c r="AAK354" s="1247"/>
      <c r="AAL354" s="1247"/>
      <c r="AAM354" s="1247"/>
      <c r="AAN354" s="1247"/>
      <c r="AAO354" s="1247"/>
      <c r="AAP354" s="1247"/>
      <c r="AAQ354" s="1247"/>
      <c r="AAR354" s="1247"/>
      <c r="AAS354" s="1247"/>
      <c r="AAT354" s="1247"/>
      <c r="AAU354" s="1247"/>
      <c r="AAV354" s="1247"/>
      <c r="AAW354" s="1247"/>
      <c r="AAX354" s="1247"/>
      <c r="AAY354" s="1247"/>
      <c r="AAZ354" s="1247"/>
      <c r="ABA354" s="1247"/>
      <c r="ABB354" s="1247"/>
      <c r="ABC354" s="1247"/>
      <c r="ABD354" s="1247"/>
      <c r="ABE354" s="1247"/>
      <c r="ABF354" s="1247"/>
      <c r="ABG354" s="1247"/>
      <c r="ABH354" s="1247"/>
      <c r="ABI354" s="1247"/>
      <c r="ABJ354" s="1247"/>
      <c r="ABK354" s="1247"/>
      <c r="ABL354" s="1247"/>
      <c r="ABM354" s="1247"/>
      <c r="ABN354" s="1247"/>
      <c r="ABO354" s="1247"/>
      <c r="ABP354" s="1247"/>
      <c r="ABQ354" s="1247"/>
      <c r="ABR354" s="1247"/>
      <c r="ABS354" s="1247"/>
      <c r="ABT354" s="1247"/>
      <c r="ABU354" s="1247"/>
      <c r="ABV354" s="1247"/>
      <c r="ABW354" s="1247"/>
      <c r="ABX354" s="1247"/>
      <c r="ABY354" s="1247"/>
      <c r="ABZ354" s="1247"/>
      <c r="ACA354" s="1247"/>
      <c r="ACB354" s="1247"/>
      <c r="ACC354" s="1247"/>
      <c r="ACD354" s="1247"/>
      <c r="ACE354" s="1247"/>
      <c r="ACF354" s="1247"/>
      <c r="ACG354" s="1247"/>
      <c r="ACH354" s="1247"/>
      <c r="ACI354" s="1247"/>
      <c r="ACJ354" s="1247"/>
      <c r="ACK354" s="1247"/>
      <c r="ACL354" s="1247"/>
      <c r="ACM354" s="1247"/>
      <c r="ACN354" s="1247"/>
      <c r="ACO354" s="1247"/>
      <c r="ACP354" s="1247"/>
      <c r="ACQ354" s="1247"/>
      <c r="ACR354" s="1247"/>
      <c r="ACS354" s="1247"/>
      <c r="ACT354" s="1247"/>
      <c r="ACU354" s="1247"/>
      <c r="ACV354" s="1247"/>
      <c r="ACW354" s="1247"/>
      <c r="ACX354" s="1247"/>
      <c r="ACY354" s="1247"/>
      <c r="ACZ354" s="1247"/>
      <c r="ADA354" s="1247"/>
      <c r="ADB354" s="1247"/>
      <c r="ADC354" s="1247"/>
      <c r="ADD354" s="1247"/>
      <c r="ADE354" s="1247"/>
      <c r="ADF354" s="1247"/>
      <c r="ADG354" s="1247"/>
    </row>
    <row r="355" spans="1:787" s="1421" customFormat="1" ht="24" hidden="1" outlineLevel="1">
      <c r="A355" s="1247"/>
      <c r="B355" s="1413" t="s">
        <v>3156</v>
      </c>
      <c r="C355" s="1414"/>
      <c r="D355" s="1414" t="s">
        <v>3157</v>
      </c>
      <c r="E355" s="1442"/>
      <c r="F355" s="1416" t="s">
        <v>142</v>
      </c>
      <c r="G355" s="1417" t="s">
        <v>4203</v>
      </c>
      <c r="H355" s="1418"/>
      <c r="I355" s="1418"/>
      <c r="J355" s="1457"/>
      <c r="K355" s="1457"/>
      <c r="L355" s="1457"/>
      <c r="M355" s="1457"/>
      <c r="N355" s="1457"/>
      <c r="O355" s="1457"/>
      <c r="P355" s="1457"/>
      <c r="Q355" s="1419">
        <f>VLOOKUP(D355,'当期公摊测算表（全期）'!D:W,12,FALSE)</f>
        <v>0</v>
      </c>
      <c r="R355" s="1419">
        <f>SUM(H355:Q355)</f>
        <v>0</v>
      </c>
      <c r="S355" s="1419">
        <f>VLOOKUP($D355,'当期公摊测算表（全期）'!D:W,17,FALSE)</f>
        <v>0</v>
      </c>
      <c r="T355" s="1419">
        <f>R355+S355</f>
        <v>0</v>
      </c>
      <c r="U355" s="1443"/>
      <c r="V355" s="1225">
        <f t="shared" si="86"/>
        <v>0</v>
      </c>
      <c r="W355" s="1225">
        <f t="shared" si="87"/>
        <v>0</v>
      </c>
      <c r="X355" s="1225"/>
      <c r="Y355" s="1225"/>
      <c r="Z355" s="1247"/>
      <c r="AA355" s="1247"/>
      <c r="AB355" s="1247"/>
      <c r="AC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c r="AX355" s="1247"/>
      <c r="AY355" s="1247"/>
      <c r="AZ355" s="1247"/>
      <c r="BA355" s="1247"/>
      <c r="BB355" s="1247"/>
      <c r="BC355" s="1247"/>
      <c r="BD355" s="1247"/>
      <c r="BE355" s="1247"/>
      <c r="BF355" s="1247"/>
      <c r="BG355" s="1247"/>
      <c r="BH355" s="1247"/>
      <c r="BI355" s="1247"/>
      <c r="BJ355" s="1247"/>
      <c r="BK355" s="1247"/>
      <c r="BL355" s="1247"/>
      <c r="BM355" s="1247"/>
      <c r="BN355" s="1247"/>
      <c r="BO355" s="1247"/>
      <c r="BP355" s="1247"/>
      <c r="BQ355" s="1247"/>
      <c r="BR355" s="1247"/>
      <c r="BS355" s="1247"/>
      <c r="BT355" s="1247"/>
      <c r="BU355" s="1247"/>
      <c r="BV355" s="1247"/>
      <c r="BW355" s="1247"/>
      <c r="BX355" s="1247"/>
      <c r="BY355" s="1247"/>
      <c r="BZ355" s="1247"/>
      <c r="CA355" s="1247"/>
      <c r="CB355" s="1247"/>
      <c r="CC355" s="1247"/>
      <c r="CD355" s="1247"/>
      <c r="CE355" s="1247"/>
      <c r="CF355" s="1247"/>
      <c r="CG355" s="1247"/>
      <c r="CH355" s="1247"/>
      <c r="CI355" s="1247"/>
      <c r="CJ355" s="1247"/>
      <c r="CK355" s="1247"/>
      <c r="CL355" s="1247"/>
      <c r="CM355" s="1247"/>
      <c r="CN355" s="1247"/>
      <c r="CO355" s="1247"/>
      <c r="CP355" s="1247"/>
      <c r="CQ355" s="1247"/>
      <c r="CR355" s="1247"/>
      <c r="CS355" s="1247"/>
      <c r="CT355" s="1247"/>
      <c r="CU355" s="1247"/>
      <c r="CV355" s="1247"/>
      <c r="CW355" s="1247"/>
      <c r="CX355" s="1247"/>
      <c r="CY355" s="1247"/>
      <c r="CZ355" s="1247"/>
      <c r="DA355" s="1247"/>
      <c r="DB355" s="1247"/>
      <c r="DC355" s="1247"/>
      <c r="DD355" s="1247"/>
      <c r="DE355" s="1247"/>
      <c r="DF355" s="1247"/>
      <c r="DG355" s="1247"/>
      <c r="DH355" s="1247"/>
      <c r="DI355" s="1247"/>
      <c r="DJ355" s="1247"/>
      <c r="DK355" s="1247"/>
      <c r="DL355" s="1247"/>
      <c r="DM355" s="1247"/>
      <c r="DN355" s="1247"/>
      <c r="DO355" s="1247"/>
      <c r="DP355" s="1247"/>
      <c r="DQ355" s="1247"/>
      <c r="DR355" s="1247"/>
      <c r="DS355" s="1247"/>
      <c r="DT355" s="1247"/>
      <c r="DU355" s="1247"/>
      <c r="DV355" s="1247"/>
      <c r="DW355" s="1247"/>
      <c r="DX355" s="1247"/>
      <c r="DY355" s="1247"/>
      <c r="DZ355" s="1247"/>
      <c r="EA355" s="1247"/>
      <c r="EB355" s="1247"/>
      <c r="EC355" s="1247"/>
      <c r="ED355" s="1247"/>
      <c r="EE355" s="1247"/>
      <c r="EF355" s="1247"/>
      <c r="EG355" s="1247"/>
      <c r="EH355" s="1247"/>
      <c r="EI355" s="1247"/>
      <c r="EJ355" s="1247"/>
      <c r="EK355" s="1247"/>
      <c r="EL355" s="1247"/>
      <c r="EM355" s="1247"/>
      <c r="EN355" s="1247"/>
      <c r="EO355" s="1247"/>
      <c r="EP355" s="1247"/>
      <c r="EQ355" s="1247"/>
      <c r="ER355" s="1247"/>
      <c r="ES355" s="1247"/>
      <c r="ET355" s="1247"/>
      <c r="EU355" s="1247"/>
      <c r="EV355" s="1247"/>
      <c r="EW355" s="1247"/>
      <c r="EX355" s="1247"/>
      <c r="EY355" s="1247"/>
      <c r="EZ355" s="1247"/>
      <c r="FA355" s="1247"/>
      <c r="FB355" s="1247"/>
      <c r="FC355" s="1247"/>
      <c r="FD355" s="1247"/>
      <c r="FE355" s="1247"/>
      <c r="FF355" s="1247"/>
      <c r="FG355" s="1247"/>
      <c r="FH355" s="1247"/>
      <c r="FI355" s="1247"/>
      <c r="FJ355" s="1247"/>
      <c r="FK355" s="1247"/>
      <c r="FL355" s="1247"/>
      <c r="FM355" s="1247"/>
      <c r="FN355" s="1247"/>
      <c r="FO355" s="1247"/>
      <c r="FP355" s="1247"/>
      <c r="FQ355" s="1247"/>
      <c r="FR355" s="1247"/>
      <c r="FS355" s="1247"/>
      <c r="FT355" s="1247"/>
      <c r="FU355" s="1247"/>
      <c r="FV355" s="1247"/>
      <c r="FW355" s="1247"/>
      <c r="FX355" s="1247"/>
      <c r="FY355" s="1247"/>
      <c r="FZ355" s="1247"/>
      <c r="GA355" s="1247"/>
      <c r="GB355" s="1247"/>
      <c r="GC355" s="1247"/>
      <c r="GD355" s="1247"/>
      <c r="GE355" s="1247"/>
      <c r="GF355" s="1247"/>
      <c r="GG355" s="1247"/>
      <c r="GH355" s="1247"/>
      <c r="GI355" s="1247"/>
      <c r="GJ355" s="1247"/>
      <c r="GK355" s="1247"/>
      <c r="GL355" s="1247"/>
      <c r="GM355" s="1247"/>
      <c r="GN355" s="1247"/>
      <c r="GO355" s="1247"/>
      <c r="GP355" s="1247"/>
      <c r="GQ355" s="1247"/>
      <c r="GR355" s="1247"/>
      <c r="GS355" s="1247"/>
      <c r="GT355" s="1247"/>
      <c r="GU355" s="1247"/>
      <c r="GV355" s="1247"/>
      <c r="GW355" s="1247"/>
      <c r="GX355" s="1247"/>
      <c r="GY355" s="1247"/>
      <c r="GZ355" s="1247"/>
      <c r="HA355" s="1247"/>
      <c r="HB355" s="1247"/>
      <c r="HC355" s="1247"/>
      <c r="HD355" s="1247"/>
      <c r="HE355" s="1247"/>
      <c r="HF355" s="1247"/>
      <c r="HG355" s="1247"/>
      <c r="HH355" s="1247"/>
      <c r="HI355" s="1247"/>
      <c r="HJ355" s="1247"/>
      <c r="HK355" s="1247"/>
      <c r="HL355" s="1247"/>
      <c r="HM355" s="1247"/>
      <c r="HN355" s="1247"/>
      <c r="HO355" s="1247"/>
      <c r="HP355" s="1247"/>
      <c r="HQ355" s="1247"/>
      <c r="HR355" s="1247"/>
      <c r="HS355" s="1247"/>
      <c r="HT355" s="1247"/>
      <c r="HU355" s="1247"/>
      <c r="HV355" s="1247"/>
      <c r="HW355" s="1247"/>
      <c r="HX355" s="1247"/>
      <c r="HY355" s="1247"/>
      <c r="HZ355" s="1247"/>
      <c r="IA355" s="1247"/>
      <c r="IB355" s="1247"/>
      <c r="IC355" s="1247"/>
      <c r="ID355" s="1247"/>
      <c r="IE355" s="1247"/>
      <c r="IF355" s="1247"/>
      <c r="IG355" s="1247"/>
      <c r="IH355" s="1247"/>
      <c r="II355" s="1247"/>
      <c r="IJ355" s="1247"/>
      <c r="IK355" s="1247"/>
      <c r="IL355" s="1247"/>
      <c r="IM355" s="1247"/>
      <c r="IN355" s="1247"/>
      <c r="IO355" s="1247"/>
      <c r="IP355" s="1247"/>
      <c r="IQ355" s="1247"/>
      <c r="IR355" s="1247"/>
      <c r="IS355" s="1247"/>
      <c r="IT355" s="1247"/>
      <c r="IU355" s="1247"/>
      <c r="IV355" s="1247"/>
      <c r="IW355" s="1247"/>
      <c r="IX355" s="1247"/>
      <c r="IY355" s="1247"/>
      <c r="IZ355" s="1247"/>
      <c r="JA355" s="1247"/>
      <c r="JB355" s="1247"/>
      <c r="JC355" s="1247"/>
      <c r="JD355" s="1247"/>
      <c r="JE355" s="1247"/>
      <c r="JF355" s="1247"/>
      <c r="JG355" s="1247"/>
      <c r="JH355" s="1247"/>
      <c r="JI355" s="1247"/>
      <c r="JJ355" s="1247"/>
      <c r="JK355" s="1247"/>
      <c r="JL355" s="1247"/>
      <c r="JM355" s="1247"/>
      <c r="JN355" s="1247"/>
      <c r="JO355" s="1247"/>
      <c r="JP355" s="1247"/>
      <c r="JQ355" s="1247"/>
      <c r="JR355" s="1247"/>
      <c r="JS355" s="1247"/>
      <c r="JT355" s="1247"/>
      <c r="JU355" s="1247"/>
      <c r="JV355" s="1247"/>
      <c r="JW355" s="1247"/>
      <c r="JX355" s="1247"/>
      <c r="JY355" s="1247"/>
      <c r="JZ355" s="1247"/>
      <c r="KA355" s="1247"/>
      <c r="KB355" s="1247"/>
      <c r="KC355" s="1247"/>
      <c r="KD355" s="1247"/>
      <c r="KE355" s="1247"/>
      <c r="KF355" s="1247"/>
      <c r="KG355" s="1247"/>
      <c r="KH355" s="1247"/>
      <c r="KI355" s="1247"/>
      <c r="KJ355" s="1247"/>
      <c r="KK355" s="1247"/>
      <c r="KL355" s="1247"/>
      <c r="KM355" s="1247"/>
      <c r="KN355" s="1247"/>
      <c r="KO355" s="1247"/>
      <c r="KP355" s="1247"/>
      <c r="KQ355" s="1247"/>
      <c r="KR355" s="1247"/>
      <c r="KS355" s="1247"/>
      <c r="KT355" s="1247"/>
      <c r="KU355" s="1247"/>
      <c r="KV355" s="1247"/>
      <c r="KW355" s="1247"/>
      <c r="KX355" s="1247"/>
      <c r="KY355" s="1247"/>
      <c r="KZ355" s="1247"/>
      <c r="LA355" s="1247"/>
      <c r="LB355" s="1247"/>
      <c r="LC355" s="1247"/>
      <c r="LD355" s="1247"/>
      <c r="LE355" s="1247"/>
      <c r="LF355" s="1247"/>
      <c r="LG355" s="1247"/>
      <c r="LH355" s="1247"/>
      <c r="LI355" s="1247"/>
      <c r="LJ355" s="1247"/>
      <c r="LK355" s="1247"/>
      <c r="LL355" s="1247"/>
      <c r="LM355" s="1247"/>
      <c r="LN355" s="1247"/>
      <c r="LO355" s="1247"/>
      <c r="LP355" s="1247"/>
      <c r="LQ355" s="1247"/>
      <c r="LR355" s="1247"/>
      <c r="LS355" s="1247"/>
      <c r="LT355" s="1247"/>
      <c r="LU355" s="1247"/>
      <c r="LV355" s="1247"/>
      <c r="LW355" s="1247"/>
      <c r="LX355" s="1247"/>
      <c r="LY355" s="1247"/>
      <c r="LZ355" s="1247"/>
      <c r="MA355" s="1247"/>
      <c r="MB355" s="1247"/>
      <c r="MC355" s="1247"/>
      <c r="MD355" s="1247"/>
      <c r="ME355" s="1247"/>
      <c r="MF355" s="1247"/>
      <c r="MG355" s="1247"/>
      <c r="MH355" s="1247"/>
      <c r="MI355" s="1247"/>
      <c r="MJ355" s="1247"/>
      <c r="MK355" s="1247"/>
      <c r="ML355" s="1247"/>
      <c r="MM355" s="1247"/>
      <c r="MN355" s="1247"/>
      <c r="MO355" s="1247"/>
      <c r="MP355" s="1247"/>
      <c r="MQ355" s="1247"/>
      <c r="MR355" s="1247"/>
      <c r="MS355" s="1247"/>
      <c r="MT355" s="1247"/>
      <c r="MU355" s="1247"/>
      <c r="MV355" s="1247"/>
      <c r="MW355" s="1247"/>
      <c r="MX355" s="1247"/>
      <c r="MY355" s="1247"/>
      <c r="MZ355" s="1247"/>
      <c r="NA355" s="1247"/>
      <c r="NB355" s="1247"/>
      <c r="NC355" s="1247"/>
      <c r="ND355" s="1247"/>
      <c r="NE355" s="1247"/>
      <c r="NF355" s="1247"/>
      <c r="NG355" s="1247"/>
      <c r="NH355" s="1247"/>
      <c r="NI355" s="1247"/>
      <c r="NJ355" s="1247"/>
      <c r="NK355" s="1247"/>
      <c r="NL355" s="1247"/>
      <c r="NM355" s="1247"/>
      <c r="NN355" s="1247"/>
      <c r="NO355" s="1247"/>
      <c r="NP355" s="1247"/>
      <c r="NQ355" s="1247"/>
      <c r="NR355" s="1247"/>
      <c r="NS355" s="1247"/>
      <c r="NT355" s="1247"/>
      <c r="NU355" s="1247"/>
      <c r="NV355" s="1247"/>
      <c r="NW355" s="1247"/>
      <c r="NX355" s="1247"/>
      <c r="NY355" s="1247"/>
      <c r="NZ355" s="1247"/>
      <c r="OA355" s="1247"/>
      <c r="OB355" s="1247"/>
      <c r="OC355" s="1247"/>
      <c r="OD355" s="1247"/>
      <c r="OE355" s="1247"/>
      <c r="OF355" s="1247"/>
      <c r="OG355" s="1247"/>
      <c r="OH355" s="1247"/>
      <c r="OI355" s="1247"/>
      <c r="OJ355" s="1247"/>
      <c r="OK355" s="1247"/>
      <c r="OL355" s="1247"/>
      <c r="OM355" s="1247"/>
      <c r="ON355" s="1247"/>
      <c r="OO355" s="1247"/>
      <c r="OP355" s="1247"/>
      <c r="OQ355" s="1247"/>
      <c r="OR355" s="1247"/>
      <c r="OS355" s="1247"/>
      <c r="OT355" s="1247"/>
      <c r="OU355" s="1247"/>
      <c r="OV355" s="1247"/>
      <c r="OW355" s="1247"/>
      <c r="OX355" s="1247"/>
      <c r="OY355" s="1247"/>
      <c r="OZ355" s="1247"/>
      <c r="PA355" s="1247"/>
      <c r="PB355" s="1247"/>
      <c r="PC355" s="1247"/>
      <c r="PD355" s="1247"/>
      <c r="PE355" s="1247"/>
      <c r="PF355" s="1247"/>
      <c r="PG355" s="1247"/>
      <c r="PH355" s="1247"/>
      <c r="PI355" s="1247"/>
      <c r="PJ355" s="1247"/>
      <c r="PK355" s="1247"/>
      <c r="PL355" s="1247"/>
      <c r="PM355" s="1247"/>
      <c r="PN355" s="1247"/>
      <c r="PO355" s="1247"/>
      <c r="PP355" s="1247"/>
      <c r="PQ355" s="1247"/>
      <c r="PR355" s="1247"/>
      <c r="PS355" s="1247"/>
      <c r="PT355" s="1247"/>
      <c r="PU355" s="1247"/>
      <c r="PV355" s="1247"/>
      <c r="PW355" s="1247"/>
      <c r="PX355" s="1247"/>
      <c r="PY355" s="1247"/>
      <c r="PZ355" s="1247"/>
      <c r="QA355" s="1247"/>
      <c r="QB355" s="1247"/>
      <c r="QC355" s="1247"/>
      <c r="QD355" s="1247"/>
      <c r="QE355" s="1247"/>
      <c r="QF355" s="1247"/>
      <c r="QG355" s="1247"/>
      <c r="QH355" s="1247"/>
      <c r="QI355" s="1247"/>
      <c r="QJ355" s="1247"/>
      <c r="QK355" s="1247"/>
      <c r="QL355" s="1247"/>
      <c r="QM355" s="1247"/>
      <c r="QN355" s="1247"/>
      <c r="QO355" s="1247"/>
      <c r="QP355" s="1247"/>
      <c r="QQ355" s="1247"/>
      <c r="QR355" s="1247"/>
      <c r="QS355" s="1247"/>
      <c r="QT355" s="1247"/>
      <c r="QU355" s="1247"/>
      <c r="QV355" s="1247"/>
      <c r="QW355" s="1247"/>
      <c r="QX355" s="1247"/>
      <c r="QY355" s="1247"/>
      <c r="QZ355" s="1247"/>
      <c r="RA355" s="1247"/>
      <c r="RB355" s="1247"/>
      <c r="RC355" s="1247"/>
      <c r="RD355" s="1247"/>
      <c r="RE355" s="1247"/>
      <c r="RF355" s="1247"/>
      <c r="RG355" s="1247"/>
      <c r="RH355" s="1247"/>
      <c r="RI355" s="1247"/>
      <c r="RJ355" s="1247"/>
      <c r="RK355" s="1247"/>
      <c r="RL355" s="1247"/>
      <c r="RM355" s="1247"/>
      <c r="RN355" s="1247"/>
      <c r="RO355" s="1247"/>
      <c r="RP355" s="1247"/>
      <c r="RQ355" s="1247"/>
      <c r="RR355" s="1247"/>
      <c r="RS355" s="1247"/>
      <c r="RT355" s="1247"/>
      <c r="RU355" s="1247"/>
      <c r="RV355" s="1247"/>
      <c r="RW355" s="1247"/>
      <c r="RX355" s="1247"/>
      <c r="RY355" s="1247"/>
      <c r="RZ355" s="1247"/>
      <c r="SA355" s="1247"/>
      <c r="SB355" s="1247"/>
      <c r="SC355" s="1247"/>
      <c r="SD355" s="1247"/>
      <c r="SE355" s="1247"/>
      <c r="SF355" s="1247"/>
      <c r="SG355" s="1247"/>
      <c r="SH355" s="1247"/>
      <c r="SI355" s="1247"/>
      <c r="SJ355" s="1247"/>
      <c r="SK355" s="1247"/>
      <c r="SL355" s="1247"/>
      <c r="SM355" s="1247"/>
      <c r="SN355" s="1247"/>
      <c r="SO355" s="1247"/>
      <c r="SP355" s="1247"/>
      <c r="SQ355" s="1247"/>
      <c r="SR355" s="1247"/>
      <c r="SS355" s="1247"/>
      <c r="ST355" s="1247"/>
      <c r="SU355" s="1247"/>
      <c r="SV355" s="1247"/>
      <c r="SW355" s="1247"/>
      <c r="SX355" s="1247"/>
      <c r="SY355" s="1247"/>
      <c r="SZ355" s="1247"/>
      <c r="TA355" s="1247"/>
      <c r="TB355" s="1247"/>
      <c r="TC355" s="1247"/>
      <c r="TD355" s="1247"/>
      <c r="TE355" s="1247"/>
      <c r="TF355" s="1247"/>
      <c r="TG355" s="1247"/>
      <c r="TH355" s="1247"/>
      <c r="TI355" s="1247"/>
      <c r="TJ355" s="1247"/>
      <c r="TK355" s="1247"/>
      <c r="TL355" s="1247"/>
      <c r="TM355" s="1247"/>
      <c r="TN355" s="1247"/>
      <c r="TO355" s="1247"/>
      <c r="TP355" s="1247"/>
      <c r="TQ355" s="1247"/>
      <c r="TR355" s="1247"/>
      <c r="TS355" s="1247"/>
      <c r="TT355" s="1247"/>
      <c r="TU355" s="1247"/>
      <c r="TV355" s="1247"/>
      <c r="TW355" s="1247"/>
      <c r="TX355" s="1247"/>
      <c r="TY355" s="1247"/>
      <c r="TZ355" s="1247"/>
      <c r="UA355" s="1247"/>
      <c r="UB355" s="1247"/>
      <c r="UC355" s="1247"/>
      <c r="UD355" s="1247"/>
      <c r="UE355" s="1247"/>
      <c r="UF355" s="1247"/>
      <c r="UG355" s="1247"/>
      <c r="UH355" s="1247"/>
      <c r="UI355" s="1247"/>
      <c r="UJ355" s="1247"/>
      <c r="UK355" s="1247"/>
      <c r="UL355" s="1247"/>
      <c r="UM355" s="1247"/>
      <c r="UN355" s="1247"/>
      <c r="UO355" s="1247"/>
      <c r="UP355" s="1247"/>
      <c r="UQ355" s="1247"/>
      <c r="UR355" s="1247"/>
      <c r="US355" s="1247"/>
      <c r="UT355" s="1247"/>
      <c r="UU355" s="1247"/>
      <c r="UV355" s="1247"/>
      <c r="UW355" s="1247"/>
      <c r="UX355" s="1247"/>
      <c r="UY355" s="1247"/>
      <c r="UZ355" s="1247"/>
      <c r="VA355" s="1247"/>
      <c r="VB355" s="1247"/>
      <c r="VC355" s="1247"/>
      <c r="VD355" s="1247"/>
      <c r="VE355" s="1247"/>
      <c r="VF355" s="1247"/>
      <c r="VG355" s="1247"/>
      <c r="VH355" s="1247"/>
      <c r="VI355" s="1247"/>
      <c r="VJ355" s="1247"/>
      <c r="VK355" s="1247"/>
      <c r="VL355" s="1247"/>
      <c r="VM355" s="1247"/>
      <c r="VN355" s="1247"/>
      <c r="VO355" s="1247"/>
      <c r="VP355" s="1247"/>
      <c r="VQ355" s="1247"/>
      <c r="VR355" s="1247"/>
      <c r="VS355" s="1247"/>
      <c r="VT355" s="1247"/>
      <c r="VU355" s="1247"/>
      <c r="VV355" s="1247"/>
      <c r="VW355" s="1247"/>
      <c r="VX355" s="1247"/>
      <c r="VY355" s="1247"/>
      <c r="VZ355" s="1247"/>
      <c r="WA355" s="1247"/>
      <c r="WB355" s="1247"/>
      <c r="WC355" s="1247"/>
      <c r="WD355" s="1247"/>
      <c r="WE355" s="1247"/>
      <c r="WF355" s="1247"/>
      <c r="WG355" s="1247"/>
      <c r="WH355" s="1247"/>
      <c r="WI355" s="1247"/>
      <c r="WJ355" s="1247"/>
      <c r="WK355" s="1247"/>
      <c r="WL355" s="1247"/>
      <c r="WM355" s="1247"/>
      <c r="WN355" s="1247"/>
      <c r="WO355" s="1247"/>
      <c r="WP355" s="1247"/>
      <c r="WQ355" s="1247"/>
      <c r="WR355" s="1247"/>
      <c r="WS355" s="1247"/>
      <c r="WT355" s="1247"/>
      <c r="WU355" s="1247"/>
      <c r="WV355" s="1247"/>
      <c r="WW355" s="1247"/>
      <c r="WX355" s="1247"/>
      <c r="WY355" s="1247"/>
      <c r="WZ355" s="1247"/>
      <c r="XA355" s="1247"/>
      <c r="XB355" s="1247"/>
      <c r="XC355" s="1247"/>
      <c r="XD355" s="1247"/>
      <c r="XE355" s="1247"/>
      <c r="XF355" s="1247"/>
      <c r="XG355" s="1247"/>
      <c r="XH355" s="1247"/>
      <c r="XI355" s="1247"/>
      <c r="XJ355" s="1247"/>
      <c r="XK355" s="1247"/>
      <c r="XL355" s="1247"/>
      <c r="XM355" s="1247"/>
      <c r="XN355" s="1247"/>
      <c r="XO355" s="1247"/>
      <c r="XP355" s="1247"/>
      <c r="XQ355" s="1247"/>
      <c r="XR355" s="1247"/>
      <c r="XS355" s="1247"/>
      <c r="XT355" s="1247"/>
      <c r="XU355" s="1247"/>
      <c r="XV355" s="1247"/>
      <c r="XW355" s="1247"/>
      <c r="XX355" s="1247"/>
      <c r="XY355" s="1247"/>
      <c r="XZ355" s="1247"/>
      <c r="YA355" s="1247"/>
      <c r="YB355" s="1247"/>
      <c r="YC355" s="1247"/>
      <c r="YD355" s="1247"/>
      <c r="YE355" s="1247"/>
      <c r="YF355" s="1247"/>
      <c r="YG355" s="1247"/>
      <c r="YH355" s="1247"/>
      <c r="YI355" s="1247"/>
      <c r="YJ355" s="1247"/>
      <c r="YK355" s="1247"/>
      <c r="YL355" s="1247"/>
      <c r="YM355" s="1247"/>
      <c r="YN355" s="1247"/>
      <c r="YO355" s="1247"/>
      <c r="YP355" s="1247"/>
      <c r="YQ355" s="1247"/>
      <c r="YR355" s="1247"/>
      <c r="YS355" s="1247"/>
      <c r="YT355" s="1247"/>
      <c r="YU355" s="1247"/>
      <c r="YV355" s="1247"/>
      <c r="YW355" s="1247"/>
      <c r="YX355" s="1247"/>
      <c r="YY355" s="1247"/>
      <c r="YZ355" s="1247"/>
      <c r="ZA355" s="1247"/>
      <c r="ZB355" s="1247"/>
      <c r="ZC355" s="1247"/>
      <c r="ZD355" s="1247"/>
      <c r="ZE355" s="1247"/>
      <c r="ZF355" s="1247"/>
      <c r="ZG355" s="1247"/>
      <c r="ZH355" s="1247"/>
      <c r="ZI355" s="1247"/>
      <c r="ZJ355" s="1247"/>
      <c r="ZK355" s="1247"/>
      <c r="ZL355" s="1247"/>
      <c r="ZM355" s="1247"/>
      <c r="ZN355" s="1247"/>
      <c r="ZO355" s="1247"/>
      <c r="ZP355" s="1247"/>
      <c r="ZQ355" s="1247"/>
      <c r="ZR355" s="1247"/>
      <c r="ZS355" s="1247"/>
      <c r="ZT355" s="1247"/>
      <c r="ZU355" s="1247"/>
      <c r="ZV355" s="1247"/>
      <c r="ZW355" s="1247"/>
      <c r="ZX355" s="1247"/>
      <c r="ZY355" s="1247"/>
      <c r="ZZ355" s="1247"/>
      <c r="AAA355" s="1247"/>
      <c r="AAB355" s="1247"/>
      <c r="AAC355" s="1247"/>
      <c r="AAD355" s="1247"/>
      <c r="AAE355" s="1247"/>
      <c r="AAF355" s="1247"/>
      <c r="AAG355" s="1247"/>
      <c r="AAH355" s="1247"/>
      <c r="AAI355" s="1247"/>
      <c r="AAJ355" s="1247"/>
      <c r="AAK355" s="1247"/>
      <c r="AAL355" s="1247"/>
      <c r="AAM355" s="1247"/>
      <c r="AAN355" s="1247"/>
      <c r="AAO355" s="1247"/>
      <c r="AAP355" s="1247"/>
      <c r="AAQ355" s="1247"/>
      <c r="AAR355" s="1247"/>
      <c r="AAS355" s="1247"/>
      <c r="AAT355" s="1247"/>
      <c r="AAU355" s="1247"/>
      <c r="AAV355" s="1247"/>
      <c r="AAW355" s="1247"/>
      <c r="AAX355" s="1247"/>
      <c r="AAY355" s="1247"/>
      <c r="AAZ355" s="1247"/>
      <c r="ABA355" s="1247"/>
      <c r="ABB355" s="1247"/>
      <c r="ABC355" s="1247"/>
      <c r="ABD355" s="1247"/>
      <c r="ABE355" s="1247"/>
      <c r="ABF355" s="1247"/>
      <c r="ABG355" s="1247"/>
      <c r="ABH355" s="1247"/>
      <c r="ABI355" s="1247"/>
      <c r="ABJ355" s="1247"/>
      <c r="ABK355" s="1247"/>
      <c r="ABL355" s="1247"/>
      <c r="ABM355" s="1247"/>
      <c r="ABN355" s="1247"/>
      <c r="ABO355" s="1247"/>
      <c r="ABP355" s="1247"/>
      <c r="ABQ355" s="1247"/>
      <c r="ABR355" s="1247"/>
      <c r="ABS355" s="1247"/>
      <c r="ABT355" s="1247"/>
      <c r="ABU355" s="1247"/>
      <c r="ABV355" s="1247"/>
      <c r="ABW355" s="1247"/>
      <c r="ABX355" s="1247"/>
      <c r="ABY355" s="1247"/>
      <c r="ABZ355" s="1247"/>
      <c r="ACA355" s="1247"/>
      <c r="ACB355" s="1247"/>
      <c r="ACC355" s="1247"/>
      <c r="ACD355" s="1247"/>
      <c r="ACE355" s="1247"/>
      <c r="ACF355" s="1247"/>
      <c r="ACG355" s="1247"/>
      <c r="ACH355" s="1247"/>
      <c r="ACI355" s="1247"/>
      <c r="ACJ355" s="1247"/>
      <c r="ACK355" s="1247"/>
      <c r="ACL355" s="1247"/>
      <c r="ACM355" s="1247"/>
      <c r="ACN355" s="1247"/>
      <c r="ACO355" s="1247"/>
      <c r="ACP355" s="1247"/>
      <c r="ACQ355" s="1247"/>
      <c r="ACR355" s="1247"/>
      <c r="ACS355" s="1247"/>
      <c r="ACT355" s="1247"/>
      <c r="ACU355" s="1247"/>
      <c r="ACV355" s="1247"/>
      <c r="ACW355" s="1247"/>
      <c r="ACX355" s="1247"/>
      <c r="ACY355" s="1247"/>
      <c r="ACZ355" s="1247"/>
      <c r="ADA355" s="1247"/>
      <c r="ADB355" s="1247"/>
      <c r="ADC355" s="1247"/>
      <c r="ADD355" s="1247"/>
      <c r="ADE355" s="1247"/>
      <c r="ADF355" s="1247"/>
      <c r="ADG355" s="1247"/>
    </row>
    <row r="356" spans="1:787" s="1473" customFormat="1" ht="13">
      <c r="A356" s="1247"/>
      <c r="B356" s="1465"/>
      <c r="C356" s="1466"/>
      <c r="D356" s="1467" t="s">
        <v>1012</v>
      </c>
      <c r="E356" s="1468"/>
      <c r="F356" s="1469"/>
      <c r="G356" s="1470" t="s">
        <v>4117</v>
      </c>
      <c r="H356" s="1468">
        <f>H9+H64+H97+H196+H222+H295+H321+H351</f>
        <v>8726.4481069999983</v>
      </c>
      <c r="I356" s="1468">
        <f>I9+I64+I97+I196+I222+I295+I321+I351</f>
        <v>0</v>
      </c>
      <c r="J356" s="1471">
        <f t="shared" ref="J356:T356" si="91">J9+J64+J97+J196+J222+J295+J321+J351</f>
        <v>16200.315334000003</v>
      </c>
      <c r="K356" s="1471">
        <f t="shared" si="91"/>
        <v>0</v>
      </c>
      <c r="L356" s="1471">
        <f t="shared" si="91"/>
        <v>525.01565400000004</v>
      </c>
      <c r="M356" s="1471">
        <f t="shared" si="91"/>
        <v>403.47546599999987</v>
      </c>
      <c r="N356" s="1471">
        <f t="shared" si="91"/>
        <v>3999.6917109999999</v>
      </c>
      <c r="O356" s="1471">
        <f t="shared" si="91"/>
        <v>0</v>
      </c>
      <c r="P356" s="1471">
        <f t="shared" si="91"/>
        <v>22208.710981999997</v>
      </c>
      <c r="Q356" s="1471">
        <f ca="1">Q9+Q64+Q97+Q196+Q222+Q295+Q321+Q351</f>
        <v>17565.987845367141</v>
      </c>
      <c r="R356" s="1471">
        <f t="shared" ca="1" si="91"/>
        <v>69629.645099367175</v>
      </c>
      <c r="S356" s="1471">
        <f t="shared" si="91"/>
        <v>36744.266866513142</v>
      </c>
      <c r="T356" s="1471">
        <f t="shared" ca="1" si="91"/>
        <v>106373.9119658803</v>
      </c>
      <c r="U356" s="1472"/>
      <c r="V356" s="1225">
        <f t="shared" ca="1" si="86"/>
        <v>-1.8189894035458565E-11</v>
      </c>
      <c r="W356" s="1225">
        <f t="shared" ca="1" si="87"/>
        <v>36744.26686651312</v>
      </c>
      <c r="X356" s="1225"/>
      <c r="Y356" s="1247"/>
      <c r="Z356" s="1247"/>
      <c r="AA356" s="1247"/>
      <c r="AB356" s="1247"/>
      <c r="AC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c r="AX356" s="1247"/>
      <c r="AY356" s="1247"/>
      <c r="AZ356" s="1247"/>
      <c r="BA356" s="1247"/>
      <c r="BB356" s="1247"/>
      <c r="BC356" s="1247"/>
      <c r="BD356" s="1247"/>
      <c r="BE356" s="1247"/>
      <c r="BF356" s="1247"/>
      <c r="BG356" s="1247"/>
      <c r="BH356" s="1247"/>
      <c r="BI356" s="1247"/>
      <c r="BJ356" s="1247"/>
      <c r="BK356" s="1247"/>
      <c r="BL356" s="1247"/>
      <c r="BM356" s="1247"/>
      <c r="BN356" s="1247"/>
      <c r="BO356" s="1247"/>
      <c r="BP356" s="1247"/>
      <c r="BQ356" s="1247"/>
      <c r="BR356" s="1247"/>
      <c r="BS356" s="1247"/>
      <c r="BT356" s="1247"/>
      <c r="BU356" s="1247"/>
      <c r="BV356" s="1247"/>
      <c r="BW356" s="1247"/>
      <c r="BX356" s="1247"/>
      <c r="BY356" s="1247"/>
      <c r="BZ356" s="1247"/>
      <c r="CA356" s="1247"/>
      <c r="CB356" s="1247"/>
      <c r="CC356" s="1247"/>
      <c r="CD356" s="1247"/>
      <c r="CE356" s="1247"/>
      <c r="CF356" s="1247"/>
      <c r="CG356" s="1247"/>
      <c r="CH356" s="1247"/>
      <c r="CI356" s="1247"/>
      <c r="CJ356" s="1247"/>
      <c r="CK356" s="1247"/>
      <c r="CL356" s="1247"/>
      <c r="CM356" s="1247"/>
      <c r="CN356" s="1247"/>
      <c r="CO356" s="1247"/>
      <c r="CP356" s="1247"/>
      <c r="CQ356" s="1247"/>
      <c r="CR356" s="1247"/>
      <c r="CS356" s="1247"/>
      <c r="CT356" s="1247"/>
      <c r="CU356" s="1247"/>
      <c r="CV356" s="1247"/>
      <c r="CW356" s="1247"/>
      <c r="CX356" s="1247"/>
      <c r="CY356" s="1247"/>
      <c r="CZ356" s="1247"/>
      <c r="DA356" s="1247"/>
      <c r="DB356" s="1247"/>
      <c r="DC356" s="1247"/>
      <c r="DD356" s="1247"/>
      <c r="DE356" s="1247"/>
      <c r="DF356" s="1247"/>
      <c r="DG356" s="1247"/>
      <c r="DH356" s="1247"/>
      <c r="DI356" s="1247"/>
      <c r="DJ356" s="1247"/>
      <c r="DK356" s="1247"/>
      <c r="DL356" s="1247"/>
      <c r="DM356" s="1247"/>
      <c r="DN356" s="1247"/>
      <c r="DO356" s="1247"/>
      <c r="DP356" s="1247"/>
      <c r="DQ356" s="1247"/>
      <c r="DR356" s="1247"/>
      <c r="DS356" s="1247"/>
      <c r="DT356" s="1247"/>
      <c r="DU356" s="1247"/>
      <c r="DV356" s="1247"/>
      <c r="DW356" s="1247"/>
      <c r="DX356" s="1247"/>
      <c r="DY356" s="1247"/>
      <c r="DZ356" s="1247"/>
      <c r="EA356" s="1247"/>
      <c r="EB356" s="1247"/>
      <c r="EC356" s="1247"/>
      <c r="ED356" s="1247"/>
      <c r="EE356" s="1247"/>
      <c r="EF356" s="1247"/>
      <c r="EG356" s="1247"/>
      <c r="EH356" s="1247"/>
      <c r="EI356" s="1247"/>
      <c r="EJ356" s="1247"/>
      <c r="EK356" s="1247"/>
      <c r="EL356" s="1247"/>
      <c r="EM356" s="1247"/>
      <c r="EN356" s="1247"/>
      <c r="EO356" s="1247"/>
      <c r="EP356" s="1247"/>
      <c r="EQ356" s="1247"/>
      <c r="ER356" s="1247"/>
      <c r="ES356" s="1247"/>
      <c r="ET356" s="1247"/>
      <c r="EU356" s="1247"/>
      <c r="EV356" s="1247"/>
      <c r="EW356" s="1247"/>
      <c r="EX356" s="1247"/>
      <c r="EY356" s="1247"/>
      <c r="EZ356" s="1247"/>
      <c r="FA356" s="1247"/>
      <c r="FB356" s="1247"/>
      <c r="FC356" s="1247"/>
      <c r="FD356" s="1247"/>
      <c r="FE356" s="1247"/>
      <c r="FF356" s="1247"/>
      <c r="FG356" s="1247"/>
      <c r="FH356" s="1247"/>
      <c r="FI356" s="1247"/>
      <c r="FJ356" s="1247"/>
      <c r="FK356" s="1247"/>
      <c r="FL356" s="1247"/>
      <c r="FM356" s="1247"/>
      <c r="FN356" s="1247"/>
      <c r="FO356" s="1247"/>
      <c r="FP356" s="1247"/>
      <c r="FQ356" s="1247"/>
      <c r="FR356" s="1247"/>
      <c r="FS356" s="1247"/>
      <c r="FT356" s="1247"/>
      <c r="FU356" s="1247"/>
      <c r="FV356" s="1247"/>
      <c r="FW356" s="1247"/>
      <c r="FX356" s="1247"/>
      <c r="FY356" s="1247"/>
      <c r="FZ356" s="1247"/>
      <c r="GA356" s="1247"/>
      <c r="GB356" s="1247"/>
      <c r="GC356" s="1247"/>
      <c r="GD356" s="1247"/>
      <c r="GE356" s="1247"/>
      <c r="GF356" s="1247"/>
      <c r="GG356" s="1247"/>
      <c r="GH356" s="1247"/>
      <c r="GI356" s="1247"/>
      <c r="GJ356" s="1247"/>
      <c r="GK356" s="1247"/>
      <c r="GL356" s="1247"/>
      <c r="GM356" s="1247"/>
      <c r="GN356" s="1247"/>
      <c r="GO356" s="1247"/>
      <c r="GP356" s="1247"/>
      <c r="GQ356" s="1247"/>
      <c r="GR356" s="1247"/>
      <c r="GS356" s="1247"/>
      <c r="GT356" s="1247"/>
      <c r="GU356" s="1247"/>
      <c r="GV356" s="1247"/>
      <c r="GW356" s="1247"/>
      <c r="GX356" s="1247"/>
      <c r="GY356" s="1247"/>
      <c r="GZ356" s="1247"/>
      <c r="HA356" s="1247"/>
      <c r="HB356" s="1247"/>
      <c r="HC356" s="1247"/>
      <c r="HD356" s="1247"/>
      <c r="HE356" s="1247"/>
      <c r="HF356" s="1247"/>
      <c r="HG356" s="1247"/>
      <c r="HH356" s="1247"/>
      <c r="HI356" s="1247"/>
      <c r="HJ356" s="1247"/>
      <c r="HK356" s="1247"/>
      <c r="HL356" s="1247"/>
      <c r="HM356" s="1247"/>
      <c r="HN356" s="1247"/>
      <c r="HO356" s="1247"/>
      <c r="HP356" s="1247"/>
      <c r="HQ356" s="1247"/>
      <c r="HR356" s="1247"/>
      <c r="HS356" s="1247"/>
      <c r="HT356" s="1247"/>
      <c r="HU356" s="1247"/>
      <c r="HV356" s="1247"/>
      <c r="HW356" s="1247"/>
      <c r="HX356" s="1247"/>
      <c r="HY356" s="1247"/>
      <c r="HZ356" s="1247"/>
      <c r="IA356" s="1247"/>
      <c r="IB356" s="1247"/>
      <c r="IC356" s="1247"/>
      <c r="ID356" s="1247"/>
      <c r="IE356" s="1247"/>
      <c r="IF356" s="1247"/>
      <c r="IG356" s="1247"/>
      <c r="IH356" s="1247"/>
      <c r="II356" s="1247"/>
      <c r="IJ356" s="1247"/>
      <c r="IK356" s="1247"/>
      <c r="IL356" s="1247"/>
      <c r="IM356" s="1247"/>
      <c r="IN356" s="1247"/>
      <c r="IO356" s="1247"/>
      <c r="IP356" s="1247"/>
      <c r="IQ356" s="1247"/>
      <c r="IR356" s="1247"/>
      <c r="IS356" s="1247"/>
      <c r="IT356" s="1247"/>
      <c r="IU356" s="1247"/>
      <c r="IV356" s="1247"/>
      <c r="IW356" s="1247"/>
      <c r="IX356" s="1247"/>
      <c r="IY356" s="1247"/>
      <c r="IZ356" s="1247"/>
      <c r="JA356" s="1247"/>
      <c r="JB356" s="1247"/>
      <c r="JC356" s="1247"/>
      <c r="JD356" s="1247"/>
      <c r="JE356" s="1247"/>
      <c r="JF356" s="1247"/>
      <c r="JG356" s="1247"/>
      <c r="JH356" s="1247"/>
      <c r="JI356" s="1247"/>
      <c r="JJ356" s="1247"/>
      <c r="JK356" s="1247"/>
      <c r="JL356" s="1247"/>
      <c r="JM356" s="1247"/>
      <c r="JN356" s="1247"/>
      <c r="JO356" s="1247"/>
      <c r="JP356" s="1247"/>
      <c r="JQ356" s="1247"/>
      <c r="JR356" s="1247"/>
      <c r="JS356" s="1247"/>
      <c r="JT356" s="1247"/>
      <c r="JU356" s="1247"/>
      <c r="JV356" s="1247"/>
      <c r="JW356" s="1247"/>
      <c r="JX356" s="1247"/>
      <c r="JY356" s="1247"/>
      <c r="JZ356" s="1247"/>
      <c r="KA356" s="1247"/>
      <c r="KB356" s="1247"/>
      <c r="KC356" s="1247"/>
      <c r="KD356" s="1247"/>
      <c r="KE356" s="1247"/>
      <c r="KF356" s="1247"/>
      <c r="KG356" s="1247"/>
      <c r="KH356" s="1247"/>
      <c r="KI356" s="1247"/>
      <c r="KJ356" s="1247"/>
      <c r="KK356" s="1247"/>
      <c r="KL356" s="1247"/>
      <c r="KM356" s="1247"/>
      <c r="KN356" s="1247"/>
      <c r="KO356" s="1247"/>
      <c r="KP356" s="1247"/>
      <c r="KQ356" s="1247"/>
      <c r="KR356" s="1247"/>
      <c r="KS356" s="1247"/>
      <c r="KT356" s="1247"/>
      <c r="KU356" s="1247"/>
      <c r="KV356" s="1247"/>
      <c r="KW356" s="1247"/>
      <c r="KX356" s="1247"/>
      <c r="KY356" s="1247"/>
      <c r="KZ356" s="1247"/>
      <c r="LA356" s="1247"/>
      <c r="LB356" s="1247"/>
      <c r="LC356" s="1247"/>
      <c r="LD356" s="1247"/>
      <c r="LE356" s="1247"/>
      <c r="LF356" s="1247"/>
      <c r="LG356" s="1247"/>
      <c r="LH356" s="1247"/>
      <c r="LI356" s="1247"/>
      <c r="LJ356" s="1247"/>
      <c r="LK356" s="1247"/>
      <c r="LL356" s="1247"/>
      <c r="LM356" s="1247"/>
      <c r="LN356" s="1247"/>
      <c r="LO356" s="1247"/>
      <c r="LP356" s="1247"/>
      <c r="LQ356" s="1247"/>
      <c r="LR356" s="1247"/>
      <c r="LS356" s="1247"/>
      <c r="LT356" s="1247"/>
      <c r="LU356" s="1247"/>
      <c r="LV356" s="1247"/>
      <c r="LW356" s="1247"/>
      <c r="LX356" s="1247"/>
      <c r="LY356" s="1247"/>
      <c r="LZ356" s="1247"/>
      <c r="MA356" s="1247"/>
      <c r="MB356" s="1247"/>
      <c r="MC356" s="1247"/>
      <c r="MD356" s="1247"/>
      <c r="ME356" s="1247"/>
      <c r="MF356" s="1247"/>
      <c r="MG356" s="1247"/>
      <c r="MH356" s="1247"/>
      <c r="MI356" s="1247"/>
      <c r="MJ356" s="1247"/>
      <c r="MK356" s="1247"/>
      <c r="ML356" s="1247"/>
      <c r="MM356" s="1247"/>
      <c r="MN356" s="1247"/>
      <c r="MO356" s="1247"/>
      <c r="MP356" s="1247"/>
      <c r="MQ356" s="1247"/>
      <c r="MR356" s="1247"/>
      <c r="MS356" s="1247"/>
      <c r="MT356" s="1247"/>
      <c r="MU356" s="1247"/>
      <c r="MV356" s="1247"/>
      <c r="MW356" s="1247"/>
      <c r="MX356" s="1247"/>
      <c r="MY356" s="1247"/>
      <c r="MZ356" s="1247"/>
      <c r="NA356" s="1247"/>
      <c r="NB356" s="1247"/>
      <c r="NC356" s="1247"/>
      <c r="ND356" s="1247"/>
      <c r="NE356" s="1247"/>
      <c r="NF356" s="1247"/>
      <c r="NG356" s="1247"/>
      <c r="NH356" s="1247"/>
      <c r="NI356" s="1247"/>
      <c r="NJ356" s="1247"/>
      <c r="NK356" s="1247"/>
      <c r="NL356" s="1247"/>
      <c r="NM356" s="1247"/>
      <c r="NN356" s="1247"/>
      <c r="NO356" s="1247"/>
      <c r="NP356" s="1247"/>
      <c r="NQ356" s="1247"/>
      <c r="NR356" s="1247"/>
      <c r="NS356" s="1247"/>
      <c r="NT356" s="1247"/>
      <c r="NU356" s="1247"/>
      <c r="NV356" s="1247"/>
      <c r="NW356" s="1247"/>
      <c r="NX356" s="1247"/>
      <c r="NY356" s="1247"/>
      <c r="NZ356" s="1247"/>
      <c r="OA356" s="1247"/>
      <c r="OB356" s="1247"/>
      <c r="OC356" s="1247"/>
      <c r="OD356" s="1247"/>
      <c r="OE356" s="1247"/>
      <c r="OF356" s="1247"/>
      <c r="OG356" s="1247"/>
      <c r="OH356" s="1247"/>
      <c r="OI356" s="1247"/>
      <c r="OJ356" s="1247"/>
      <c r="OK356" s="1247"/>
      <c r="OL356" s="1247"/>
      <c r="OM356" s="1247"/>
      <c r="ON356" s="1247"/>
      <c r="OO356" s="1247"/>
      <c r="OP356" s="1247"/>
      <c r="OQ356" s="1247"/>
      <c r="OR356" s="1247"/>
      <c r="OS356" s="1247"/>
      <c r="OT356" s="1247"/>
      <c r="OU356" s="1247"/>
      <c r="OV356" s="1247"/>
      <c r="OW356" s="1247"/>
      <c r="OX356" s="1247"/>
      <c r="OY356" s="1247"/>
      <c r="OZ356" s="1247"/>
      <c r="PA356" s="1247"/>
      <c r="PB356" s="1247"/>
      <c r="PC356" s="1247"/>
      <c r="PD356" s="1247"/>
      <c r="PE356" s="1247"/>
      <c r="PF356" s="1247"/>
      <c r="PG356" s="1247"/>
      <c r="PH356" s="1247"/>
      <c r="PI356" s="1247"/>
      <c r="PJ356" s="1247"/>
      <c r="PK356" s="1247"/>
      <c r="PL356" s="1247"/>
      <c r="PM356" s="1247"/>
      <c r="PN356" s="1247"/>
      <c r="PO356" s="1247"/>
      <c r="PP356" s="1247"/>
      <c r="PQ356" s="1247"/>
      <c r="PR356" s="1247"/>
      <c r="PS356" s="1247"/>
      <c r="PT356" s="1247"/>
      <c r="PU356" s="1247"/>
      <c r="PV356" s="1247"/>
      <c r="PW356" s="1247"/>
      <c r="PX356" s="1247"/>
      <c r="PY356" s="1247"/>
      <c r="PZ356" s="1247"/>
      <c r="QA356" s="1247"/>
      <c r="QB356" s="1247"/>
      <c r="QC356" s="1247"/>
      <c r="QD356" s="1247"/>
      <c r="QE356" s="1247"/>
      <c r="QF356" s="1247"/>
      <c r="QG356" s="1247"/>
      <c r="QH356" s="1247"/>
      <c r="QI356" s="1247"/>
      <c r="QJ356" s="1247"/>
      <c r="QK356" s="1247"/>
      <c r="QL356" s="1247"/>
      <c r="QM356" s="1247"/>
      <c r="QN356" s="1247"/>
      <c r="QO356" s="1247"/>
      <c r="QP356" s="1247"/>
      <c r="QQ356" s="1247"/>
      <c r="QR356" s="1247"/>
      <c r="QS356" s="1247"/>
      <c r="QT356" s="1247"/>
      <c r="QU356" s="1247"/>
      <c r="QV356" s="1247"/>
      <c r="QW356" s="1247"/>
      <c r="QX356" s="1247"/>
      <c r="QY356" s="1247"/>
      <c r="QZ356" s="1247"/>
      <c r="RA356" s="1247"/>
      <c r="RB356" s="1247"/>
      <c r="RC356" s="1247"/>
      <c r="RD356" s="1247"/>
      <c r="RE356" s="1247"/>
      <c r="RF356" s="1247"/>
      <c r="RG356" s="1247"/>
      <c r="RH356" s="1247"/>
      <c r="RI356" s="1247"/>
      <c r="RJ356" s="1247"/>
      <c r="RK356" s="1247"/>
      <c r="RL356" s="1247"/>
      <c r="RM356" s="1247"/>
      <c r="RN356" s="1247"/>
      <c r="RO356" s="1247"/>
      <c r="RP356" s="1247"/>
      <c r="RQ356" s="1247"/>
      <c r="RR356" s="1247"/>
      <c r="RS356" s="1247"/>
      <c r="RT356" s="1247"/>
      <c r="RU356" s="1247"/>
      <c r="RV356" s="1247"/>
      <c r="RW356" s="1247"/>
      <c r="RX356" s="1247"/>
      <c r="RY356" s="1247"/>
      <c r="RZ356" s="1247"/>
      <c r="SA356" s="1247"/>
      <c r="SB356" s="1247"/>
      <c r="SC356" s="1247"/>
      <c r="SD356" s="1247"/>
      <c r="SE356" s="1247"/>
      <c r="SF356" s="1247"/>
      <c r="SG356" s="1247"/>
      <c r="SH356" s="1247"/>
      <c r="SI356" s="1247"/>
      <c r="SJ356" s="1247"/>
      <c r="SK356" s="1247"/>
      <c r="SL356" s="1247"/>
      <c r="SM356" s="1247"/>
      <c r="SN356" s="1247"/>
      <c r="SO356" s="1247"/>
      <c r="SP356" s="1247"/>
      <c r="SQ356" s="1247"/>
      <c r="SR356" s="1247"/>
      <c r="SS356" s="1247"/>
      <c r="ST356" s="1247"/>
      <c r="SU356" s="1247"/>
      <c r="SV356" s="1247"/>
      <c r="SW356" s="1247"/>
      <c r="SX356" s="1247"/>
      <c r="SY356" s="1247"/>
      <c r="SZ356" s="1247"/>
      <c r="TA356" s="1247"/>
      <c r="TB356" s="1247"/>
      <c r="TC356" s="1247"/>
      <c r="TD356" s="1247"/>
      <c r="TE356" s="1247"/>
      <c r="TF356" s="1247"/>
      <c r="TG356" s="1247"/>
      <c r="TH356" s="1247"/>
      <c r="TI356" s="1247"/>
      <c r="TJ356" s="1247"/>
      <c r="TK356" s="1247"/>
      <c r="TL356" s="1247"/>
      <c r="TM356" s="1247"/>
      <c r="TN356" s="1247"/>
      <c r="TO356" s="1247"/>
      <c r="TP356" s="1247"/>
      <c r="TQ356" s="1247"/>
      <c r="TR356" s="1247"/>
      <c r="TS356" s="1247"/>
      <c r="TT356" s="1247"/>
      <c r="TU356" s="1247"/>
      <c r="TV356" s="1247"/>
      <c r="TW356" s="1247"/>
      <c r="TX356" s="1247"/>
      <c r="TY356" s="1247"/>
      <c r="TZ356" s="1247"/>
      <c r="UA356" s="1247"/>
      <c r="UB356" s="1247"/>
      <c r="UC356" s="1247"/>
      <c r="UD356" s="1247"/>
      <c r="UE356" s="1247"/>
      <c r="UF356" s="1247"/>
      <c r="UG356" s="1247"/>
      <c r="UH356" s="1247"/>
      <c r="UI356" s="1247"/>
      <c r="UJ356" s="1247"/>
      <c r="UK356" s="1247"/>
      <c r="UL356" s="1247"/>
      <c r="UM356" s="1247"/>
      <c r="UN356" s="1247"/>
      <c r="UO356" s="1247"/>
      <c r="UP356" s="1247"/>
      <c r="UQ356" s="1247"/>
      <c r="UR356" s="1247"/>
      <c r="US356" s="1247"/>
      <c r="UT356" s="1247"/>
      <c r="UU356" s="1247"/>
      <c r="UV356" s="1247"/>
      <c r="UW356" s="1247"/>
      <c r="UX356" s="1247"/>
      <c r="UY356" s="1247"/>
      <c r="UZ356" s="1247"/>
      <c r="VA356" s="1247"/>
      <c r="VB356" s="1247"/>
      <c r="VC356" s="1247"/>
      <c r="VD356" s="1247"/>
      <c r="VE356" s="1247"/>
      <c r="VF356" s="1247"/>
      <c r="VG356" s="1247"/>
      <c r="VH356" s="1247"/>
      <c r="VI356" s="1247"/>
      <c r="VJ356" s="1247"/>
      <c r="VK356" s="1247"/>
      <c r="VL356" s="1247"/>
      <c r="VM356" s="1247"/>
      <c r="VN356" s="1247"/>
      <c r="VO356" s="1247"/>
      <c r="VP356" s="1247"/>
      <c r="VQ356" s="1247"/>
      <c r="VR356" s="1247"/>
      <c r="VS356" s="1247"/>
      <c r="VT356" s="1247"/>
      <c r="VU356" s="1247"/>
      <c r="VV356" s="1247"/>
      <c r="VW356" s="1247"/>
      <c r="VX356" s="1247"/>
      <c r="VY356" s="1247"/>
      <c r="VZ356" s="1247"/>
      <c r="WA356" s="1247"/>
      <c r="WB356" s="1247"/>
      <c r="WC356" s="1247"/>
      <c r="WD356" s="1247"/>
      <c r="WE356" s="1247"/>
      <c r="WF356" s="1247"/>
      <c r="WG356" s="1247"/>
      <c r="WH356" s="1247"/>
      <c r="WI356" s="1247"/>
      <c r="WJ356" s="1247"/>
      <c r="WK356" s="1247"/>
      <c r="WL356" s="1247"/>
      <c r="WM356" s="1247"/>
      <c r="WN356" s="1247"/>
      <c r="WO356" s="1247"/>
      <c r="WP356" s="1247"/>
      <c r="WQ356" s="1247"/>
      <c r="WR356" s="1247"/>
      <c r="WS356" s="1247"/>
      <c r="WT356" s="1247"/>
      <c r="WU356" s="1247"/>
      <c r="WV356" s="1247"/>
      <c r="WW356" s="1247"/>
      <c r="WX356" s="1247"/>
      <c r="WY356" s="1247"/>
      <c r="WZ356" s="1247"/>
      <c r="XA356" s="1247"/>
      <c r="XB356" s="1247"/>
      <c r="XC356" s="1247"/>
      <c r="XD356" s="1247"/>
      <c r="XE356" s="1247"/>
      <c r="XF356" s="1247"/>
      <c r="XG356" s="1247"/>
      <c r="XH356" s="1247"/>
      <c r="XI356" s="1247"/>
      <c r="XJ356" s="1247"/>
      <c r="XK356" s="1247"/>
      <c r="XL356" s="1247"/>
      <c r="XM356" s="1247"/>
      <c r="XN356" s="1247"/>
      <c r="XO356" s="1247"/>
      <c r="XP356" s="1247"/>
      <c r="XQ356" s="1247"/>
      <c r="XR356" s="1247"/>
      <c r="XS356" s="1247"/>
      <c r="XT356" s="1247"/>
      <c r="XU356" s="1247"/>
      <c r="XV356" s="1247"/>
      <c r="XW356" s="1247"/>
      <c r="XX356" s="1247"/>
      <c r="XY356" s="1247"/>
      <c r="XZ356" s="1247"/>
      <c r="YA356" s="1247"/>
      <c r="YB356" s="1247"/>
      <c r="YC356" s="1247"/>
      <c r="YD356" s="1247"/>
      <c r="YE356" s="1247"/>
      <c r="YF356" s="1247"/>
      <c r="YG356" s="1247"/>
      <c r="YH356" s="1247"/>
      <c r="YI356" s="1247"/>
      <c r="YJ356" s="1247"/>
      <c r="YK356" s="1247"/>
      <c r="YL356" s="1247"/>
      <c r="YM356" s="1247"/>
      <c r="YN356" s="1247"/>
      <c r="YO356" s="1247"/>
      <c r="YP356" s="1247"/>
      <c r="YQ356" s="1247"/>
      <c r="YR356" s="1247"/>
      <c r="YS356" s="1247"/>
      <c r="YT356" s="1247"/>
      <c r="YU356" s="1247"/>
      <c r="YV356" s="1247"/>
      <c r="YW356" s="1247"/>
      <c r="YX356" s="1247"/>
      <c r="YY356" s="1247"/>
      <c r="YZ356" s="1247"/>
      <c r="ZA356" s="1247"/>
      <c r="ZB356" s="1247"/>
      <c r="ZC356" s="1247"/>
      <c r="ZD356" s="1247"/>
      <c r="ZE356" s="1247"/>
      <c r="ZF356" s="1247"/>
      <c r="ZG356" s="1247"/>
      <c r="ZH356" s="1247"/>
      <c r="ZI356" s="1247"/>
      <c r="ZJ356" s="1247"/>
      <c r="ZK356" s="1247"/>
      <c r="ZL356" s="1247"/>
      <c r="ZM356" s="1247"/>
      <c r="ZN356" s="1247"/>
      <c r="ZO356" s="1247"/>
      <c r="ZP356" s="1247"/>
      <c r="ZQ356" s="1247"/>
      <c r="ZR356" s="1247"/>
      <c r="ZS356" s="1247"/>
      <c r="ZT356" s="1247"/>
      <c r="ZU356" s="1247"/>
      <c r="ZV356" s="1247"/>
      <c r="ZW356" s="1247"/>
      <c r="ZX356" s="1247"/>
      <c r="ZY356" s="1247"/>
      <c r="ZZ356" s="1247"/>
      <c r="AAA356" s="1247"/>
      <c r="AAB356" s="1247"/>
      <c r="AAC356" s="1247"/>
      <c r="AAD356" s="1247"/>
      <c r="AAE356" s="1247"/>
      <c r="AAF356" s="1247"/>
      <c r="AAG356" s="1247"/>
      <c r="AAH356" s="1247"/>
      <c r="AAI356" s="1247"/>
      <c r="AAJ356" s="1247"/>
      <c r="AAK356" s="1247"/>
      <c r="AAL356" s="1247"/>
      <c r="AAM356" s="1247"/>
      <c r="AAN356" s="1247"/>
      <c r="AAO356" s="1247"/>
      <c r="AAP356" s="1247"/>
      <c r="AAQ356" s="1247"/>
      <c r="AAR356" s="1247"/>
      <c r="AAS356" s="1247"/>
      <c r="AAT356" s="1247"/>
      <c r="AAU356" s="1247"/>
      <c r="AAV356" s="1247"/>
      <c r="AAW356" s="1247"/>
      <c r="AAX356" s="1247"/>
      <c r="AAY356" s="1247"/>
      <c r="AAZ356" s="1247"/>
      <c r="ABA356" s="1247"/>
      <c r="ABB356" s="1247"/>
      <c r="ABC356" s="1247"/>
      <c r="ABD356" s="1247"/>
      <c r="ABE356" s="1247"/>
      <c r="ABF356" s="1247"/>
      <c r="ABG356" s="1247"/>
      <c r="ABH356" s="1247"/>
      <c r="ABI356" s="1247"/>
      <c r="ABJ356" s="1247"/>
      <c r="ABK356" s="1247"/>
      <c r="ABL356" s="1247"/>
      <c r="ABM356" s="1247"/>
      <c r="ABN356" s="1247"/>
      <c r="ABO356" s="1247"/>
      <c r="ABP356" s="1247"/>
      <c r="ABQ356" s="1247"/>
      <c r="ABR356" s="1247"/>
      <c r="ABS356" s="1247"/>
      <c r="ABT356" s="1247"/>
      <c r="ABU356" s="1247"/>
      <c r="ABV356" s="1247"/>
      <c r="ABW356" s="1247"/>
      <c r="ABX356" s="1247"/>
      <c r="ABY356" s="1247"/>
      <c r="ABZ356" s="1247"/>
      <c r="ACA356" s="1247"/>
      <c r="ACB356" s="1247"/>
      <c r="ACC356" s="1247"/>
      <c r="ACD356" s="1247"/>
      <c r="ACE356" s="1247"/>
      <c r="ACF356" s="1247"/>
      <c r="ACG356" s="1247"/>
      <c r="ACH356" s="1247"/>
      <c r="ACI356" s="1247"/>
      <c r="ACJ356" s="1247"/>
      <c r="ACK356" s="1247"/>
      <c r="ACL356" s="1247"/>
      <c r="ACM356" s="1247"/>
      <c r="ACN356" s="1247"/>
      <c r="ACO356" s="1247"/>
      <c r="ACP356" s="1247"/>
      <c r="ACQ356" s="1247"/>
      <c r="ACR356" s="1247"/>
      <c r="ACS356" s="1247"/>
      <c r="ACT356" s="1247"/>
      <c r="ACU356" s="1247"/>
      <c r="ACV356" s="1247"/>
      <c r="ACW356" s="1247"/>
      <c r="ACX356" s="1247"/>
      <c r="ACY356" s="1247"/>
      <c r="ACZ356" s="1247"/>
      <c r="ADA356" s="1247"/>
      <c r="ADB356" s="1247"/>
      <c r="ADC356" s="1247"/>
      <c r="ADD356" s="1247"/>
      <c r="ADE356" s="1247"/>
      <c r="ADF356" s="1247"/>
      <c r="ADG356" s="1247"/>
    </row>
    <row r="357" spans="1:787" s="1412" customFormat="1" ht="13">
      <c r="A357" s="1247"/>
      <c r="B357" s="1403">
        <v>5001.09</v>
      </c>
      <c r="C357" s="1474" t="s">
        <v>1013</v>
      </c>
      <c r="D357" s="1475" t="s">
        <v>53</v>
      </c>
      <c r="E357" s="1450"/>
      <c r="F357" s="1476"/>
      <c r="G357" s="1477"/>
      <c r="H357" s="1478"/>
      <c r="I357" s="1478"/>
      <c r="J357" s="1410"/>
      <c r="K357" s="1410"/>
      <c r="L357" s="1410"/>
      <c r="M357" s="1410"/>
      <c r="N357" s="1410"/>
      <c r="O357" s="1479"/>
      <c r="P357" s="1410"/>
      <c r="Q357" s="1410"/>
      <c r="R357" s="1410"/>
      <c r="S357" s="1410"/>
      <c r="T357" s="1480"/>
      <c r="U357" s="1411"/>
      <c r="V357" s="1247"/>
      <c r="W357" s="1247"/>
      <c r="X357" s="1247"/>
      <c r="Y357" s="1247"/>
      <c r="Z357" s="1247"/>
      <c r="AA357" s="1247"/>
      <c r="AB357" s="1247"/>
      <c r="AC357" s="1247"/>
      <c r="AD357" s="1247"/>
      <c r="AE357" s="1247"/>
      <c r="AF357" s="1247"/>
      <c r="AG357" s="1247"/>
      <c r="AH357" s="1247"/>
      <c r="AI357" s="1247"/>
      <c r="AJ357" s="1247"/>
      <c r="AK357" s="1247"/>
      <c r="AL357" s="1247"/>
      <c r="AM357" s="1247"/>
      <c r="AN357" s="1247"/>
      <c r="AO357" s="1247"/>
      <c r="AP357" s="1247"/>
      <c r="AQ357" s="1247"/>
      <c r="AR357" s="1247"/>
      <c r="AS357" s="1247"/>
      <c r="AT357" s="1247"/>
      <c r="AU357" s="1247"/>
      <c r="AV357" s="1247"/>
      <c r="AW357" s="1247"/>
      <c r="AX357" s="1247"/>
      <c r="AY357" s="1247"/>
      <c r="AZ357" s="1247"/>
      <c r="BA357" s="1247"/>
      <c r="BB357" s="1247"/>
      <c r="BC357" s="1247"/>
      <c r="BD357" s="1247"/>
      <c r="BE357" s="1247"/>
      <c r="BF357" s="1247"/>
      <c r="BG357" s="1247"/>
      <c r="BH357" s="1247"/>
      <c r="BI357" s="1247"/>
      <c r="BJ357" s="1247"/>
      <c r="BK357" s="1247"/>
      <c r="BL357" s="1247"/>
      <c r="BM357" s="1247"/>
      <c r="BN357" s="1247"/>
      <c r="BO357" s="1247"/>
      <c r="BP357" s="1247"/>
      <c r="BQ357" s="1247"/>
      <c r="BR357" s="1247"/>
      <c r="BS357" s="1247"/>
      <c r="BT357" s="1247"/>
      <c r="BU357" s="1247"/>
      <c r="BV357" s="1247"/>
      <c r="BW357" s="1247"/>
      <c r="BX357" s="1247"/>
      <c r="BY357" s="1247"/>
      <c r="BZ357" s="1247"/>
      <c r="CA357" s="1247"/>
      <c r="CB357" s="1247"/>
      <c r="CC357" s="1247"/>
      <c r="CD357" s="1247"/>
      <c r="CE357" s="1247"/>
      <c r="CF357" s="1247"/>
      <c r="CG357" s="1247"/>
      <c r="CH357" s="1247"/>
      <c r="CI357" s="1247"/>
      <c r="CJ357" s="1247"/>
      <c r="CK357" s="1247"/>
      <c r="CL357" s="1247"/>
      <c r="CM357" s="1247"/>
      <c r="CN357" s="1247"/>
      <c r="CO357" s="1247"/>
      <c r="CP357" s="1247"/>
      <c r="CQ357" s="1247"/>
      <c r="CR357" s="1247"/>
      <c r="CS357" s="1247"/>
      <c r="CT357" s="1247"/>
      <c r="CU357" s="1247"/>
      <c r="CV357" s="1247"/>
      <c r="CW357" s="1247"/>
      <c r="CX357" s="1247"/>
      <c r="CY357" s="1247"/>
      <c r="CZ357" s="1247"/>
      <c r="DA357" s="1247"/>
      <c r="DB357" s="1247"/>
      <c r="DC357" s="1247"/>
      <c r="DD357" s="1247"/>
      <c r="DE357" s="1247"/>
      <c r="DF357" s="1247"/>
      <c r="DG357" s="1247"/>
      <c r="DH357" s="1247"/>
      <c r="DI357" s="1247"/>
      <c r="DJ357" s="1247"/>
      <c r="DK357" s="1247"/>
      <c r="DL357" s="1247"/>
      <c r="DM357" s="1247"/>
      <c r="DN357" s="1247"/>
      <c r="DO357" s="1247"/>
      <c r="DP357" s="1247"/>
      <c r="DQ357" s="1247"/>
      <c r="DR357" s="1247"/>
      <c r="DS357" s="1247"/>
      <c r="DT357" s="1247"/>
      <c r="DU357" s="1247"/>
      <c r="DV357" s="1247"/>
      <c r="DW357" s="1247"/>
      <c r="DX357" s="1247"/>
      <c r="DY357" s="1247"/>
      <c r="DZ357" s="1247"/>
      <c r="EA357" s="1247"/>
      <c r="EB357" s="1247"/>
      <c r="EC357" s="1247"/>
      <c r="ED357" s="1247"/>
      <c r="EE357" s="1247"/>
      <c r="EF357" s="1247"/>
      <c r="EG357" s="1247"/>
      <c r="EH357" s="1247"/>
      <c r="EI357" s="1247"/>
      <c r="EJ357" s="1247"/>
      <c r="EK357" s="1247"/>
      <c r="EL357" s="1247"/>
      <c r="EM357" s="1247"/>
      <c r="EN357" s="1247"/>
      <c r="EO357" s="1247"/>
      <c r="EP357" s="1247"/>
      <c r="EQ357" s="1247"/>
      <c r="ER357" s="1247"/>
      <c r="ES357" s="1247"/>
      <c r="ET357" s="1247"/>
      <c r="EU357" s="1247"/>
      <c r="EV357" s="1247"/>
      <c r="EW357" s="1247"/>
      <c r="EX357" s="1247"/>
      <c r="EY357" s="1247"/>
      <c r="EZ357" s="1247"/>
      <c r="FA357" s="1247"/>
      <c r="FB357" s="1247"/>
      <c r="FC357" s="1247"/>
      <c r="FD357" s="1247"/>
      <c r="FE357" s="1247"/>
      <c r="FF357" s="1247"/>
      <c r="FG357" s="1247"/>
      <c r="FH357" s="1247"/>
      <c r="FI357" s="1247"/>
      <c r="FJ357" s="1247"/>
      <c r="FK357" s="1247"/>
      <c r="FL357" s="1247"/>
      <c r="FM357" s="1247"/>
      <c r="FN357" s="1247"/>
      <c r="FO357" s="1247"/>
      <c r="FP357" s="1247"/>
      <c r="FQ357" s="1247"/>
      <c r="FR357" s="1247"/>
      <c r="FS357" s="1247"/>
      <c r="FT357" s="1247"/>
      <c r="FU357" s="1247"/>
      <c r="FV357" s="1247"/>
      <c r="FW357" s="1247"/>
      <c r="FX357" s="1247"/>
      <c r="FY357" s="1247"/>
      <c r="FZ357" s="1247"/>
      <c r="GA357" s="1247"/>
      <c r="GB357" s="1247"/>
      <c r="GC357" s="1247"/>
      <c r="GD357" s="1247"/>
      <c r="GE357" s="1247"/>
      <c r="GF357" s="1247"/>
      <c r="GG357" s="1247"/>
      <c r="GH357" s="1247"/>
      <c r="GI357" s="1247"/>
      <c r="GJ357" s="1247"/>
      <c r="GK357" s="1247"/>
      <c r="GL357" s="1247"/>
      <c r="GM357" s="1247"/>
      <c r="GN357" s="1247"/>
      <c r="GO357" s="1247"/>
      <c r="GP357" s="1247"/>
      <c r="GQ357" s="1247"/>
      <c r="GR357" s="1247"/>
      <c r="GS357" s="1247"/>
      <c r="GT357" s="1247"/>
      <c r="GU357" s="1247"/>
      <c r="GV357" s="1247"/>
      <c r="GW357" s="1247"/>
      <c r="GX357" s="1247"/>
      <c r="GY357" s="1247"/>
      <c r="GZ357" s="1247"/>
      <c r="HA357" s="1247"/>
      <c r="HB357" s="1247"/>
      <c r="HC357" s="1247"/>
      <c r="HD357" s="1247"/>
      <c r="HE357" s="1247"/>
      <c r="HF357" s="1247"/>
      <c r="HG357" s="1247"/>
      <c r="HH357" s="1247"/>
      <c r="HI357" s="1247"/>
      <c r="HJ357" s="1247"/>
      <c r="HK357" s="1247"/>
      <c r="HL357" s="1247"/>
      <c r="HM357" s="1247"/>
      <c r="HN357" s="1247"/>
      <c r="HO357" s="1247"/>
      <c r="HP357" s="1247"/>
      <c r="HQ357" s="1247"/>
      <c r="HR357" s="1247"/>
      <c r="HS357" s="1247"/>
      <c r="HT357" s="1247"/>
      <c r="HU357" s="1247"/>
      <c r="HV357" s="1247"/>
      <c r="HW357" s="1247"/>
      <c r="HX357" s="1247"/>
      <c r="HY357" s="1247"/>
      <c r="HZ357" s="1247"/>
      <c r="IA357" s="1247"/>
      <c r="IB357" s="1247"/>
      <c r="IC357" s="1247"/>
      <c r="ID357" s="1247"/>
      <c r="IE357" s="1247"/>
      <c r="IF357" s="1247"/>
      <c r="IG357" s="1247"/>
      <c r="IH357" s="1247"/>
      <c r="II357" s="1247"/>
      <c r="IJ357" s="1247"/>
      <c r="IK357" s="1247"/>
      <c r="IL357" s="1247"/>
      <c r="IM357" s="1247"/>
      <c r="IN357" s="1247"/>
      <c r="IO357" s="1247"/>
      <c r="IP357" s="1247"/>
      <c r="IQ357" s="1247"/>
      <c r="IR357" s="1247"/>
      <c r="IS357" s="1247"/>
      <c r="IT357" s="1247"/>
      <c r="IU357" s="1247"/>
      <c r="IV357" s="1247"/>
      <c r="IW357" s="1247"/>
      <c r="IX357" s="1247"/>
      <c r="IY357" s="1247"/>
      <c r="IZ357" s="1247"/>
      <c r="JA357" s="1247"/>
      <c r="JB357" s="1247"/>
      <c r="JC357" s="1247"/>
      <c r="JD357" s="1247"/>
      <c r="JE357" s="1247"/>
      <c r="JF357" s="1247"/>
      <c r="JG357" s="1247"/>
      <c r="JH357" s="1247"/>
      <c r="JI357" s="1247"/>
      <c r="JJ357" s="1247"/>
      <c r="JK357" s="1247"/>
      <c r="JL357" s="1247"/>
      <c r="JM357" s="1247"/>
      <c r="JN357" s="1247"/>
      <c r="JO357" s="1247"/>
      <c r="JP357" s="1247"/>
      <c r="JQ357" s="1247"/>
      <c r="JR357" s="1247"/>
      <c r="JS357" s="1247"/>
      <c r="JT357" s="1247"/>
      <c r="JU357" s="1247"/>
      <c r="JV357" s="1247"/>
      <c r="JW357" s="1247"/>
      <c r="JX357" s="1247"/>
      <c r="JY357" s="1247"/>
      <c r="JZ357" s="1247"/>
      <c r="KA357" s="1247"/>
      <c r="KB357" s="1247"/>
      <c r="KC357" s="1247"/>
      <c r="KD357" s="1247"/>
      <c r="KE357" s="1247"/>
      <c r="KF357" s="1247"/>
      <c r="KG357" s="1247"/>
      <c r="KH357" s="1247"/>
      <c r="KI357" s="1247"/>
      <c r="KJ357" s="1247"/>
      <c r="KK357" s="1247"/>
      <c r="KL357" s="1247"/>
      <c r="KM357" s="1247"/>
      <c r="KN357" s="1247"/>
      <c r="KO357" s="1247"/>
      <c r="KP357" s="1247"/>
      <c r="KQ357" s="1247"/>
      <c r="KR357" s="1247"/>
      <c r="KS357" s="1247"/>
      <c r="KT357" s="1247"/>
      <c r="KU357" s="1247"/>
      <c r="KV357" s="1247"/>
      <c r="KW357" s="1247"/>
      <c r="KX357" s="1247"/>
      <c r="KY357" s="1247"/>
      <c r="KZ357" s="1247"/>
      <c r="LA357" s="1247"/>
      <c r="LB357" s="1247"/>
      <c r="LC357" s="1247"/>
      <c r="LD357" s="1247"/>
      <c r="LE357" s="1247"/>
      <c r="LF357" s="1247"/>
      <c r="LG357" s="1247"/>
      <c r="LH357" s="1247"/>
      <c r="LI357" s="1247"/>
      <c r="LJ357" s="1247"/>
      <c r="LK357" s="1247"/>
      <c r="LL357" s="1247"/>
      <c r="LM357" s="1247"/>
      <c r="LN357" s="1247"/>
      <c r="LO357" s="1247"/>
      <c r="LP357" s="1247"/>
      <c r="LQ357" s="1247"/>
      <c r="LR357" s="1247"/>
      <c r="LS357" s="1247"/>
      <c r="LT357" s="1247"/>
      <c r="LU357" s="1247"/>
      <c r="LV357" s="1247"/>
      <c r="LW357" s="1247"/>
      <c r="LX357" s="1247"/>
      <c r="LY357" s="1247"/>
      <c r="LZ357" s="1247"/>
      <c r="MA357" s="1247"/>
      <c r="MB357" s="1247"/>
      <c r="MC357" s="1247"/>
      <c r="MD357" s="1247"/>
      <c r="ME357" s="1247"/>
      <c r="MF357" s="1247"/>
      <c r="MG357" s="1247"/>
      <c r="MH357" s="1247"/>
      <c r="MI357" s="1247"/>
      <c r="MJ357" s="1247"/>
      <c r="MK357" s="1247"/>
      <c r="ML357" s="1247"/>
      <c r="MM357" s="1247"/>
      <c r="MN357" s="1247"/>
      <c r="MO357" s="1247"/>
      <c r="MP357" s="1247"/>
      <c r="MQ357" s="1247"/>
      <c r="MR357" s="1247"/>
      <c r="MS357" s="1247"/>
      <c r="MT357" s="1247"/>
      <c r="MU357" s="1247"/>
      <c r="MV357" s="1247"/>
      <c r="MW357" s="1247"/>
      <c r="MX357" s="1247"/>
      <c r="MY357" s="1247"/>
      <c r="MZ357" s="1247"/>
      <c r="NA357" s="1247"/>
      <c r="NB357" s="1247"/>
      <c r="NC357" s="1247"/>
      <c r="ND357" s="1247"/>
      <c r="NE357" s="1247"/>
      <c r="NF357" s="1247"/>
      <c r="NG357" s="1247"/>
      <c r="NH357" s="1247"/>
      <c r="NI357" s="1247"/>
      <c r="NJ357" s="1247"/>
      <c r="NK357" s="1247"/>
      <c r="NL357" s="1247"/>
      <c r="NM357" s="1247"/>
      <c r="NN357" s="1247"/>
      <c r="NO357" s="1247"/>
      <c r="NP357" s="1247"/>
      <c r="NQ357" s="1247"/>
      <c r="NR357" s="1247"/>
      <c r="NS357" s="1247"/>
      <c r="NT357" s="1247"/>
      <c r="NU357" s="1247"/>
      <c r="NV357" s="1247"/>
      <c r="NW357" s="1247"/>
      <c r="NX357" s="1247"/>
      <c r="NY357" s="1247"/>
      <c r="NZ357" s="1247"/>
      <c r="OA357" s="1247"/>
      <c r="OB357" s="1247"/>
      <c r="OC357" s="1247"/>
      <c r="OD357" s="1247"/>
      <c r="OE357" s="1247"/>
      <c r="OF357" s="1247"/>
      <c r="OG357" s="1247"/>
      <c r="OH357" s="1247"/>
      <c r="OI357" s="1247"/>
      <c r="OJ357" s="1247"/>
      <c r="OK357" s="1247"/>
      <c r="OL357" s="1247"/>
      <c r="OM357" s="1247"/>
      <c r="ON357" s="1247"/>
      <c r="OO357" s="1247"/>
      <c r="OP357" s="1247"/>
      <c r="OQ357" s="1247"/>
      <c r="OR357" s="1247"/>
      <c r="OS357" s="1247"/>
      <c r="OT357" s="1247"/>
      <c r="OU357" s="1247"/>
      <c r="OV357" s="1247"/>
      <c r="OW357" s="1247"/>
      <c r="OX357" s="1247"/>
      <c r="OY357" s="1247"/>
      <c r="OZ357" s="1247"/>
      <c r="PA357" s="1247"/>
      <c r="PB357" s="1247"/>
      <c r="PC357" s="1247"/>
      <c r="PD357" s="1247"/>
      <c r="PE357" s="1247"/>
      <c r="PF357" s="1247"/>
      <c r="PG357" s="1247"/>
      <c r="PH357" s="1247"/>
      <c r="PI357" s="1247"/>
      <c r="PJ357" s="1247"/>
      <c r="PK357" s="1247"/>
      <c r="PL357" s="1247"/>
      <c r="PM357" s="1247"/>
      <c r="PN357" s="1247"/>
      <c r="PO357" s="1247"/>
      <c r="PP357" s="1247"/>
      <c r="PQ357" s="1247"/>
      <c r="PR357" s="1247"/>
      <c r="PS357" s="1247"/>
      <c r="PT357" s="1247"/>
      <c r="PU357" s="1247"/>
      <c r="PV357" s="1247"/>
      <c r="PW357" s="1247"/>
      <c r="PX357" s="1247"/>
      <c r="PY357" s="1247"/>
      <c r="PZ357" s="1247"/>
      <c r="QA357" s="1247"/>
      <c r="QB357" s="1247"/>
      <c r="QC357" s="1247"/>
      <c r="QD357" s="1247"/>
      <c r="QE357" s="1247"/>
      <c r="QF357" s="1247"/>
      <c r="QG357" s="1247"/>
      <c r="QH357" s="1247"/>
      <c r="QI357" s="1247"/>
      <c r="QJ357" s="1247"/>
      <c r="QK357" s="1247"/>
      <c r="QL357" s="1247"/>
      <c r="QM357" s="1247"/>
      <c r="QN357" s="1247"/>
      <c r="QO357" s="1247"/>
      <c r="QP357" s="1247"/>
      <c r="QQ357" s="1247"/>
      <c r="QR357" s="1247"/>
      <c r="QS357" s="1247"/>
      <c r="QT357" s="1247"/>
      <c r="QU357" s="1247"/>
      <c r="QV357" s="1247"/>
      <c r="QW357" s="1247"/>
      <c r="QX357" s="1247"/>
      <c r="QY357" s="1247"/>
      <c r="QZ357" s="1247"/>
      <c r="RA357" s="1247"/>
      <c r="RB357" s="1247"/>
      <c r="RC357" s="1247"/>
      <c r="RD357" s="1247"/>
      <c r="RE357" s="1247"/>
      <c r="RF357" s="1247"/>
      <c r="RG357" s="1247"/>
      <c r="RH357" s="1247"/>
      <c r="RI357" s="1247"/>
      <c r="RJ357" s="1247"/>
      <c r="RK357" s="1247"/>
      <c r="RL357" s="1247"/>
      <c r="RM357" s="1247"/>
      <c r="RN357" s="1247"/>
      <c r="RO357" s="1247"/>
      <c r="RP357" s="1247"/>
      <c r="RQ357" s="1247"/>
      <c r="RR357" s="1247"/>
      <c r="RS357" s="1247"/>
      <c r="RT357" s="1247"/>
      <c r="RU357" s="1247"/>
      <c r="RV357" s="1247"/>
      <c r="RW357" s="1247"/>
      <c r="RX357" s="1247"/>
      <c r="RY357" s="1247"/>
      <c r="RZ357" s="1247"/>
      <c r="SA357" s="1247"/>
      <c r="SB357" s="1247"/>
      <c r="SC357" s="1247"/>
      <c r="SD357" s="1247"/>
      <c r="SE357" s="1247"/>
      <c r="SF357" s="1247"/>
      <c r="SG357" s="1247"/>
      <c r="SH357" s="1247"/>
      <c r="SI357" s="1247"/>
      <c r="SJ357" s="1247"/>
      <c r="SK357" s="1247"/>
      <c r="SL357" s="1247"/>
      <c r="SM357" s="1247"/>
      <c r="SN357" s="1247"/>
      <c r="SO357" s="1247"/>
      <c r="SP357" s="1247"/>
      <c r="SQ357" s="1247"/>
      <c r="SR357" s="1247"/>
      <c r="SS357" s="1247"/>
      <c r="ST357" s="1247"/>
      <c r="SU357" s="1247"/>
      <c r="SV357" s="1247"/>
      <c r="SW357" s="1247"/>
      <c r="SX357" s="1247"/>
      <c r="SY357" s="1247"/>
      <c r="SZ357" s="1247"/>
      <c r="TA357" s="1247"/>
      <c r="TB357" s="1247"/>
      <c r="TC357" s="1247"/>
      <c r="TD357" s="1247"/>
      <c r="TE357" s="1247"/>
      <c r="TF357" s="1247"/>
      <c r="TG357" s="1247"/>
      <c r="TH357" s="1247"/>
      <c r="TI357" s="1247"/>
      <c r="TJ357" s="1247"/>
      <c r="TK357" s="1247"/>
      <c r="TL357" s="1247"/>
      <c r="TM357" s="1247"/>
      <c r="TN357" s="1247"/>
      <c r="TO357" s="1247"/>
      <c r="TP357" s="1247"/>
      <c r="TQ357" s="1247"/>
      <c r="TR357" s="1247"/>
      <c r="TS357" s="1247"/>
      <c r="TT357" s="1247"/>
      <c r="TU357" s="1247"/>
      <c r="TV357" s="1247"/>
      <c r="TW357" s="1247"/>
      <c r="TX357" s="1247"/>
      <c r="TY357" s="1247"/>
      <c r="TZ357" s="1247"/>
      <c r="UA357" s="1247"/>
      <c r="UB357" s="1247"/>
      <c r="UC357" s="1247"/>
      <c r="UD357" s="1247"/>
      <c r="UE357" s="1247"/>
      <c r="UF357" s="1247"/>
      <c r="UG357" s="1247"/>
      <c r="UH357" s="1247"/>
      <c r="UI357" s="1247"/>
      <c r="UJ357" s="1247"/>
      <c r="UK357" s="1247"/>
      <c r="UL357" s="1247"/>
      <c r="UM357" s="1247"/>
      <c r="UN357" s="1247"/>
      <c r="UO357" s="1247"/>
      <c r="UP357" s="1247"/>
      <c r="UQ357" s="1247"/>
      <c r="UR357" s="1247"/>
      <c r="US357" s="1247"/>
      <c r="UT357" s="1247"/>
      <c r="UU357" s="1247"/>
      <c r="UV357" s="1247"/>
      <c r="UW357" s="1247"/>
      <c r="UX357" s="1247"/>
      <c r="UY357" s="1247"/>
      <c r="UZ357" s="1247"/>
      <c r="VA357" s="1247"/>
      <c r="VB357" s="1247"/>
      <c r="VC357" s="1247"/>
      <c r="VD357" s="1247"/>
      <c r="VE357" s="1247"/>
      <c r="VF357" s="1247"/>
      <c r="VG357" s="1247"/>
      <c r="VH357" s="1247"/>
      <c r="VI357" s="1247"/>
      <c r="VJ357" s="1247"/>
      <c r="VK357" s="1247"/>
      <c r="VL357" s="1247"/>
      <c r="VM357" s="1247"/>
      <c r="VN357" s="1247"/>
      <c r="VO357" s="1247"/>
      <c r="VP357" s="1247"/>
      <c r="VQ357" s="1247"/>
      <c r="VR357" s="1247"/>
      <c r="VS357" s="1247"/>
      <c r="VT357" s="1247"/>
      <c r="VU357" s="1247"/>
      <c r="VV357" s="1247"/>
      <c r="VW357" s="1247"/>
      <c r="VX357" s="1247"/>
      <c r="VY357" s="1247"/>
      <c r="VZ357" s="1247"/>
      <c r="WA357" s="1247"/>
      <c r="WB357" s="1247"/>
      <c r="WC357" s="1247"/>
      <c r="WD357" s="1247"/>
      <c r="WE357" s="1247"/>
      <c r="WF357" s="1247"/>
      <c r="WG357" s="1247"/>
      <c r="WH357" s="1247"/>
      <c r="WI357" s="1247"/>
      <c r="WJ357" s="1247"/>
      <c r="WK357" s="1247"/>
      <c r="WL357" s="1247"/>
      <c r="WM357" s="1247"/>
      <c r="WN357" s="1247"/>
      <c r="WO357" s="1247"/>
      <c r="WP357" s="1247"/>
      <c r="WQ357" s="1247"/>
      <c r="WR357" s="1247"/>
      <c r="WS357" s="1247"/>
      <c r="WT357" s="1247"/>
      <c r="WU357" s="1247"/>
      <c r="WV357" s="1247"/>
      <c r="WW357" s="1247"/>
      <c r="WX357" s="1247"/>
      <c r="WY357" s="1247"/>
      <c r="WZ357" s="1247"/>
      <c r="XA357" s="1247"/>
      <c r="XB357" s="1247"/>
      <c r="XC357" s="1247"/>
      <c r="XD357" s="1247"/>
      <c r="XE357" s="1247"/>
      <c r="XF357" s="1247"/>
      <c r="XG357" s="1247"/>
      <c r="XH357" s="1247"/>
      <c r="XI357" s="1247"/>
      <c r="XJ357" s="1247"/>
      <c r="XK357" s="1247"/>
      <c r="XL357" s="1247"/>
      <c r="XM357" s="1247"/>
      <c r="XN357" s="1247"/>
      <c r="XO357" s="1247"/>
      <c r="XP357" s="1247"/>
      <c r="XQ357" s="1247"/>
      <c r="XR357" s="1247"/>
      <c r="XS357" s="1247"/>
      <c r="XT357" s="1247"/>
      <c r="XU357" s="1247"/>
      <c r="XV357" s="1247"/>
      <c r="XW357" s="1247"/>
      <c r="XX357" s="1247"/>
      <c r="XY357" s="1247"/>
      <c r="XZ357" s="1247"/>
      <c r="YA357" s="1247"/>
      <c r="YB357" s="1247"/>
      <c r="YC357" s="1247"/>
      <c r="YD357" s="1247"/>
      <c r="YE357" s="1247"/>
      <c r="YF357" s="1247"/>
      <c r="YG357" s="1247"/>
      <c r="YH357" s="1247"/>
      <c r="YI357" s="1247"/>
      <c r="YJ357" s="1247"/>
      <c r="YK357" s="1247"/>
      <c r="YL357" s="1247"/>
      <c r="YM357" s="1247"/>
      <c r="YN357" s="1247"/>
      <c r="YO357" s="1247"/>
      <c r="YP357" s="1247"/>
      <c r="YQ357" s="1247"/>
      <c r="YR357" s="1247"/>
      <c r="YS357" s="1247"/>
      <c r="YT357" s="1247"/>
      <c r="YU357" s="1247"/>
      <c r="YV357" s="1247"/>
      <c r="YW357" s="1247"/>
      <c r="YX357" s="1247"/>
      <c r="YY357" s="1247"/>
      <c r="YZ357" s="1247"/>
      <c r="ZA357" s="1247"/>
      <c r="ZB357" s="1247"/>
      <c r="ZC357" s="1247"/>
      <c r="ZD357" s="1247"/>
      <c r="ZE357" s="1247"/>
      <c r="ZF357" s="1247"/>
      <c r="ZG357" s="1247"/>
      <c r="ZH357" s="1247"/>
      <c r="ZI357" s="1247"/>
      <c r="ZJ357" s="1247"/>
      <c r="ZK357" s="1247"/>
      <c r="ZL357" s="1247"/>
      <c r="ZM357" s="1247"/>
      <c r="ZN357" s="1247"/>
      <c r="ZO357" s="1247"/>
      <c r="ZP357" s="1247"/>
      <c r="ZQ357" s="1247"/>
      <c r="ZR357" s="1247"/>
      <c r="ZS357" s="1247"/>
      <c r="ZT357" s="1247"/>
      <c r="ZU357" s="1247"/>
      <c r="ZV357" s="1247"/>
      <c r="ZW357" s="1247"/>
      <c r="ZX357" s="1247"/>
      <c r="ZY357" s="1247"/>
      <c r="ZZ357" s="1247"/>
      <c r="AAA357" s="1247"/>
      <c r="AAB357" s="1247"/>
      <c r="AAC357" s="1247"/>
      <c r="AAD357" s="1247"/>
      <c r="AAE357" s="1247"/>
      <c r="AAF357" s="1247"/>
      <c r="AAG357" s="1247"/>
      <c r="AAH357" s="1247"/>
      <c r="AAI357" s="1247"/>
      <c r="AAJ357" s="1247"/>
      <c r="AAK357" s="1247"/>
      <c r="AAL357" s="1247"/>
      <c r="AAM357" s="1247"/>
      <c r="AAN357" s="1247"/>
      <c r="AAO357" s="1247"/>
      <c r="AAP357" s="1247"/>
      <c r="AAQ357" s="1247"/>
      <c r="AAR357" s="1247"/>
      <c r="AAS357" s="1247"/>
      <c r="AAT357" s="1247"/>
      <c r="AAU357" s="1247"/>
      <c r="AAV357" s="1247"/>
      <c r="AAW357" s="1247"/>
      <c r="AAX357" s="1247"/>
      <c r="AAY357" s="1247"/>
      <c r="AAZ357" s="1247"/>
      <c r="ABA357" s="1247"/>
      <c r="ABB357" s="1247"/>
      <c r="ABC357" s="1247"/>
      <c r="ABD357" s="1247"/>
      <c r="ABE357" s="1247"/>
      <c r="ABF357" s="1247"/>
      <c r="ABG357" s="1247"/>
      <c r="ABH357" s="1247"/>
      <c r="ABI357" s="1247"/>
      <c r="ABJ357" s="1247"/>
      <c r="ABK357" s="1247"/>
      <c r="ABL357" s="1247"/>
      <c r="ABM357" s="1247"/>
      <c r="ABN357" s="1247"/>
      <c r="ABO357" s="1247"/>
      <c r="ABP357" s="1247"/>
      <c r="ABQ357" s="1247"/>
      <c r="ABR357" s="1247"/>
      <c r="ABS357" s="1247"/>
      <c r="ABT357" s="1247"/>
      <c r="ABU357" s="1247"/>
      <c r="ABV357" s="1247"/>
      <c r="ABW357" s="1247"/>
      <c r="ABX357" s="1247"/>
      <c r="ABY357" s="1247"/>
      <c r="ABZ357" s="1247"/>
      <c r="ACA357" s="1247"/>
      <c r="ACB357" s="1247"/>
      <c r="ACC357" s="1247"/>
      <c r="ACD357" s="1247"/>
      <c r="ACE357" s="1247"/>
      <c r="ACF357" s="1247"/>
      <c r="ACG357" s="1247"/>
      <c r="ACH357" s="1247"/>
      <c r="ACI357" s="1247"/>
      <c r="ACJ357" s="1247"/>
      <c r="ACK357" s="1247"/>
      <c r="ACL357" s="1247"/>
      <c r="ACM357" s="1247"/>
      <c r="ACN357" s="1247"/>
      <c r="ACO357" s="1247"/>
      <c r="ACP357" s="1247"/>
      <c r="ACQ357" s="1247"/>
      <c r="ACR357" s="1247"/>
      <c r="ACS357" s="1247"/>
      <c r="ACT357" s="1247"/>
      <c r="ACU357" s="1247"/>
      <c r="ACV357" s="1247"/>
      <c r="ACW357" s="1247"/>
      <c r="ACX357" s="1247"/>
      <c r="ACY357" s="1247"/>
      <c r="ACZ357" s="1247"/>
      <c r="ADA357" s="1247"/>
      <c r="ADB357" s="1247"/>
      <c r="ADC357" s="1247"/>
      <c r="ADD357" s="1247"/>
      <c r="ADE357" s="1247"/>
      <c r="ADF357" s="1247"/>
      <c r="ADG357" s="1247"/>
    </row>
    <row r="358" spans="1:787" s="1221" customFormat="1" ht="13">
      <c r="B358" s="1433"/>
      <c r="C358" s="1481">
        <v>1</v>
      </c>
      <c r="D358" s="1482" t="s">
        <v>29</v>
      </c>
      <c r="E358" s="1328"/>
      <c r="F358" s="1188"/>
      <c r="G358" s="1328"/>
      <c r="H358" s="1483"/>
      <c r="I358" s="1483"/>
      <c r="J358" s="1484"/>
      <c r="K358" s="1484"/>
      <c r="L358" s="1484"/>
      <c r="M358" s="1484"/>
      <c r="N358" s="1484"/>
      <c r="O358" s="1484"/>
      <c r="P358" s="1484"/>
      <c r="Q358" s="1484"/>
      <c r="R358" s="1484"/>
      <c r="S358" s="1484"/>
      <c r="T358" s="1437"/>
      <c r="U358" s="1438"/>
      <c r="V358" s="1225"/>
      <c r="W358" s="1225"/>
      <c r="X358" s="1225"/>
      <c r="Y358" s="1225"/>
    </row>
    <row r="359" spans="1:787" s="1221" customFormat="1" ht="13">
      <c r="B359" s="1433"/>
      <c r="C359" s="1481">
        <v>2</v>
      </c>
      <c r="D359" s="1482" t="s">
        <v>30</v>
      </c>
      <c r="E359" s="1328"/>
      <c r="F359" s="1188"/>
      <c r="G359" s="1328"/>
      <c r="H359" s="1483"/>
      <c r="I359" s="1483"/>
      <c r="J359" s="1484"/>
      <c r="K359" s="1484"/>
      <c r="L359" s="1484"/>
      <c r="M359" s="1484"/>
      <c r="N359" s="1484"/>
      <c r="O359" s="1484"/>
      <c r="P359" s="1484"/>
      <c r="Q359" s="1484"/>
      <c r="R359" s="1484"/>
      <c r="S359" s="1484"/>
      <c r="T359" s="1437"/>
      <c r="U359" s="1438"/>
      <c r="V359" s="1225"/>
      <c r="W359" s="1225"/>
      <c r="X359" s="1225"/>
      <c r="Y359" s="1225"/>
    </row>
    <row r="360" spans="1:787" s="1221" customFormat="1" ht="13">
      <c r="B360" s="1433"/>
      <c r="C360" s="1481">
        <v>3</v>
      </c>
      <c r="D360" s="1482" t="s">
        <v>31</v>
      </c>
      <c r="E360" s="1328"/>
      <c r="F360" s="1188"/>
      <c r="G360" s="1328"/>
      <c r="H360" s="1483"/>
      <c r="I360" s="1483"/>
      <c r="J360" s="1484"/>
      <c r="K360" s="1484"/>
      <c r="L360" s="1484"/>
      <c r="M360" s="1484"/>
      <c r="N360" s="1484"/>
      <c r="O360" s="1484"/>
      <c r="P360" s="1484"/>
      <c r="Q360" s="1484"/>
      <c r="R360" s="1484"/>
      <c r="S360" s="1484"/>
      <c r="T360" s="1437"/>
      <c r="U360" s="1438"/>
      <c r="V360" s="1225">
        <f ca="1">+'当期公摊测算表（全期）'!O194+车位!O209+人防车位!O209+高层!O203+临街商业!O203+小高层!O203+人才公寓销售!O203+'当期公摊测算表（全期）'!T194</f>
        <v>106929.16257996479</v>
      </c>
      <c r="W360" s="1225"/>
      <c r="X360" s="1225"/>
      <c r="Y360" s="1225"/>
    </row>
    <row r="361" spans="1:787" s="1473" customFormat="1" ht="13.5" thickBot="1">
      <c r="A361" s="1247"/>
      <c r="B361" s="1485"/>
      <c r="C361" s="1486"/>
      <c r="D361" s="1487" t="s">
        <v>32</v>
      </c>
      <c r="E361" s="1488"/>
      <c r="F361" s="1489"/>
      <c r="G361" s="1490"/>
      <c r="H361" s="1491"/>
      <c r="I361" s="1491"/>
      <c r="J361" s="1492"/>
      <c r="K361" s="1492"/>
      <c r="L361" s="1492"/>
      <c r="M361" s="1492"/>
      <c r="N361" s="1492"/>
      <c r="O361" s="1492"/>
      <c r="P361" s="1492"/>
      <c r="Q361" s="1492"/>
      <c r="R361" s="1492"/>
      <c r="S361" s="1492"/>
      <c r="T361" s="1493"/>
      <c r="U361" s="1494"/>
      <c r="V361" s="1247"/>
      <c r="W361" s="1247"/>
      <c r="X361" s="1247"/>
      <c r="Y361" s="1247"/>
      <c r="Z361" s="1247"/>
      <c r="AA361" s="1247"/>
      <c r="AB361" s="1247"/>
      <c r="AC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c r="AX361" s="1247"/>
      <c r="AY361" s="1247"/>
      <c r="AZ361" s="1247"/>
      <c r="BA361" s="1247"/>
      <c r="BB361" s="1247"/>
      <c r="BC361" s="1247"/>
      <c r="BD361" s="1247"/>
      <c r="BE361" s="1247"/>
      <c r="BF361" s="1247"/>
      <c r="BG361" s="1247"/>
      <c r="BH361" s="1247"/>
      <c r="BI361" s="1247"/>
      <c r="BJ361" s="1247"/>
      <c r="BK361" s="1247"/>
      <c r="BL361" s="1247"/>
      <c r="BM361" s="1247"/>
      <c r="BN361" s="1247"/>
      <c r="BO361" s="1247"/>
      <c r="BP361" s="1247"/>
      <c r="BQ361" s="1247"/>
      <c r="BR361" s="1247"/>
      <c r="BS361" s="1247"/>
      <c r="BT361" s="1247"/>
      <c r="BU361" s="1247"/>
      <c r="BV361" s="1247"/>
      <c r="BW361" s="1247"/>
      <c r="BX361" s="1247"/>
      <c r="BY361" s="1247"/>
      <c r="BZ361" s="1247"/>
      <c r="CA361" s="1247"/>
      <c r="CB361" s="1247"/>
      <c r="CC361" s="1247"/>
      <c r="CD361" s="1247"/>
      <c r="CE361" s="1247"/>
      <c r="CF361" s="1247"/>
      <c r="CG361" s="1247"/>
      <c r="CH361" s="1247"/>
      <c r="CI361" s="1247"/>
      <c r="CJ361" s="1247"/>
      <c r="CK361" s="1247"/>
      <c r="CL361" s="1247"/>
      <c r="CM361" s="1247"/>
      <c r="CN361" s="1247"/>
      <c r="CO361" s="1247"/>
      <c r="CP361" s="1247"/>
      <c r="CQ361" s="1247"/>
      <c r="CR361" s="1247"/>
      <c r="CS361" s="1247"/>
      <c r="CT361" s="1247"/>
      <c r="CU361" s="1247"/>
      <c r="CV361" s="1247"/>
      <c r="CW361" s="1247"/>
      <c r="CX361" s="1247"/>
      <c r="CY361" s="1247"/>
      <c r="CZ361" s="1247"/>
      <c r="DA361" s="1247"/>
      <c r="DB361" s="1247"/>
      <c r="DC361" s="1247"/>
      <c r="DD361" s="1247"/>
      <c r="DE361" s="1247"/>
      <c r="DF361" s="1247"/>
      <c r="DG361" s="1247"/>
      <c r="DH361" s="1247"/>
      <c r="DI361" s="1247"/>
      <c r="DJ361" s="1247"/>
      <c r="DK361" s="1247"/>
      <c r="DL361" s="1247"/>
      <c r="DM361" s="1247"/>
      <c r="DN361" s="1247"/>
      <c r="DO361" s="1247"/>
      <c r="DP361" s="1247"/>
      <c r="DQ361" s="1247"/>
      <c r="DR361" s="1247"/>
      <c r="DS361" s="1247"/>
      <c r="DT361" s="1247"/>
      <c r="DU361" s="1247"/>
      <c r="DV361" s="1247"/>
      <c r="DW361" s="1247"/>
      <c r="DX361" s="1247"/>
      <c r="DY361" s="1247"/>
      <c r="DZ361" s="1247"/>
      <c r="EA361" s="1247"/>
      <c r="EB361" s="1247"/>
      <c r="EC361" s="1247"/>
      <c r="ED361" s="1247"/>
      <c r="EE361" s="1247"/>
      <c r="EF361" s="1247"/>
      <c r="EG361" s="1247"/>
      <c r="EH361" s="1247"/>
      <c r="EI361" s="1247"/>
      <c r="EJ361" s="1247"/>
      <c r="EK361" s="1247"/>
      <c r="EL361" s="1247"/>
      <c r="EM361" s="1247"/>
      <c r="EN361" s="1247"/>
      <c r="EO361" s="1247"/>
      <c r="EP361" s="1247"/>
      <c r="EQ361" s="1247"/>
      <c r="ER361" s="1247"/>
      <c r="ES361" s="1247"/>
      <c r="ET361" s="1247"/>
      <c r="EU361" s="1247"/>
      <c r="EV361" s="1247"/>
      <c r="EW361" s="1247"/>
      <c r="EX361" s="1247"/>
      <c r="EY361" s="1247"/>
      <c r="EZ361" s="1247"/>
      <c r="FA361" s="1247"/>
      <c r="FB361" s="1247"/>
      <c r="FC361" s="1247"/>
      <c r="FD361" s="1247"/>
      <c r="FE361" s="1247"/>
      <c r="FF361" s="1247"/>
      <c r="FG361" s="1247"/>
      <c r="FH361" s="1247"/>
      <c r="FI361" s="1247"/>
      <c r="FJ361" s="1247"/>
      <c r="FK361" s="1247"/>
      <c r="FL361" s="1247"/>
      <c r="FM361" s="1247"/>
      <c r="FN361" s="1247"/>
      <c r="FO361" s="1247"/>
      <c r="FP361" s="1247"/>
      <c r="FQ361" s="1247"/>
      <c r="FR361" s="1247"/>
      <c r="FS361" s="1247"/>
      <c r="FT361" s="1247"/>
      <c r="FU361" s="1247"/>
      <c r="FV361" s="1247"/>
      <c r="FW361" s="1247"/>
      <c r="FX361" s="1247"/>
      <c r="FY361" s="1247"/>
      <c r="FZ361" s="1247"/>
      <c r="GA361" s="1247"/>
      <c r="GB361" s="1247"/>
      <c r="GC361" s="1247"/>
      <c r="GD361" s="1247"/>
      <c r="GE361" s="1247"/>
      <c r="GF361" s="1247"/>
      <c r="GG361" s="1247"/>
      <c r="GH361" s="1247"/>
      <c r="GI361" s="1247"/>
      <c r="GJ361" s="1247"/>
      <c r="GK361" s="1247"/>
      <c r="GL361" s="1247"/>
      <c r="GM361" s="1247"/>
      <c r="GN361" s="1247"/>
      <c r="GO361" s="1247"/>
      <c r="GP361" s="1247"/>
      <c r="GQ361" s="1247"/>
      <c r="GR361" s="1247"/>
      <c r="GS361" s="1247"/>
      <c r="GT361" s="1247"/>
      <c r="GU361" s="1247"/>
      <c r="GV361" s="1247"/>
      <c r="GW361" s="1247"/>
      <c r="GX361" s="1247"/>
      <c r="GY361" s="1247"/>
      <c r="GZ361" s="1247"/>
      <c r="HA361" s="1247"/>
      <c r="HB361" s="1247"/>
      <c r="HC361" s="1247"/>
      <c r="HD361" s="1247"/>
      <c r="HE361" s="1247"/>
      <c r="HF361" s="1247"/>
      <c r="HG361" s="1247"/>
      <c r="HH361" s="1247"/>
      <c r="HI361" s="1247"/>
      <c r="HJ361" s="1247"/>
      <c r="HK361" s="1247"/>
      <c r="HL361" s="1247"/>
      <c r="HM361" s="1247"/>
      <c r="HN361" s="1247"/>
      <c r="HO361" s="1247"/>
      <c r="HP361" s="1247"/>
      <c r="HQ361" s="1247"/>
      <c r="HR361" s="1247"/>
      <c r="HS361" s="1247"/>
      <c r="HT361" s="1247"/>
      <c r="HU361" s="1247"/>
      <c r="HV361" s="1247"/>
      <c r="HW361" s="1247"/>
      <c r="HX361" s="1247"/>
      <c r="HY361" s="1247"/>
      <c r="HZ361" s="1247"/>
      <c r="IA361" s="1247"/>
      <c r="IB361" s="1247"/>
      <c r="IC361" s="1247"/>
      <c r="ID361" s="1247"/>
      <c r="IE361" s="1247"/>
      <c r="IF361" s="1247"/>
      <c r="IG361" s="1247"/>
      <c r="IH361" s="1247"/>
      <c r="II361" s="1247"/>
      <c r="IJ361" s="1247"/>
      <c r="IK361" s="1247"/>
      <c r="IL361" s="1247"/>
      <c r="IM361" s="1247"/>
      <c r="IN361" s="1247"/>
      <c r="IO361" s="1247"/>
      <c r="IP361" s="1247"/>
      <c r="IQ361" s="1247"/>
      <c r="IR361" s="1247"/>
      <c r="IS361" s="1247"/>
      <c r="IT361" s="1247"/>
      <c r="IU361" s="1247"/>
      <c r="IV361" s="1247"/>
      <c r="IW361" s="1247"/>
      <c r="IX361" s="1247"/>
      <c r="IY361" s="1247"/>
      <c r="IZ361" s="1247"/>
      <c r="JA361" s="1247"/>
      <c r="JB361" s="1247"/>
      <c r="JC361" s="1247"/>
      <c r="JD361" s="1247"/>
      <c r="JE361" s="1247"/>
      <c r="JF361" s="1247"/>
      <c r="JG361" s="1247"/>
      <c r="JH361" s="1247"/>
      <c r="JI361" s="1247"/>
      <c r="JJ361" s="1247"/>
      <c r="JK361" s="1247"/>
      <c r="JL361" s="1247"/>
      <c r="JM361" s="1247"/>
      <c r="JN361" s="1247"/>
      <c r="JO361" s="1247"/>
      <c r="JP361" s="1247"/>
      <c r="JQ361" s="1247"/>
      <c r="JR361" s="1247"/>
      <c r="JS361" s="1247"/>
      <c r="JT361" s="1247"/>
      <c r="JU361" s="1247"/>
      <c r="JV361" s="1247"/>
      <c r="JW361" s="1247"/>
      <c r="JX361" s="1247"/>
      <c r="JY361" s="1247"/>
      <c r="JZ361" s="1247"/>
      <c r="KA361" s="1247"/>
      <c r="KB361" s="1247"/>
      <c r="KC361" s="1247"/>
      <c r="KD361" s="1247"/>
      <c r="KE361" s="1247"/>
      <c r="KF361" s="1247"/>
      <c r="KG361" s="1247"/>
      <c r="KH361" s="1247"/>
      <c r="KI361" s="1247"/>
      <c r="KJ361" s="1247"/>
      <c r="KK361" s="1247"/>
      <c r="KL361" s="1247"/>
      <c r="KM361" s="1247"/>
      <c r="KN361" s="1247"/>
      <c r="KO361" s="1247"/>
      <c r="KP361" s="1247"/>
      <c r="KQ361" s="1247"/>
      <c r="KR361" s="1247"/>
      <c r="KS361" s="1247"/>
      <c r="KT361" s="1247"/>
      <c r="KU361" s="1247"/>
      <c r="KV361" s="1247"/>
      <c r="KW361" s="1247"/>
      <c r="KX361" s="1247"/>
      <c r="KY361" s="1247"/>
      <c r="KZ361" s="1247"/>
      <c r="LA361" s="1247"/>
      <c r="LB361" s="1247"/>
      <c r="LC361" s="1247"/>
      <c r="LD361" s="1247"/>
      <c r="LE361" s="1247"/>
      <c r="LF361" s="1247"/>
      <c r="LG361" s="1247"/>
      <c r="LH361" s="1247"/>
      <c r="LI361" s="1247"/>
      <c r="LJ361" s="1247"/>
      <c r="LK361" s="1247"/>
      <c r="LL361" s="1247"/>
      <c r="LM361" s="1247"/>
      <c r="LN361" s="1247"/>
      <c r="LO361" s="1247"/>
      <c r="LP361" s="1247"/>
      <c r="LQ361" s="1247"/>
      <c r="LR361" s="1247"/>
      <c r="LS361" s="1247"/>
      <c r="LT361" s="1247"/>
      <c r="LU361" s="1247"/>
      <c r="LV361" s="1247"/>
      <c r="LW361" s="1247"/>
      <c r="LX361" s="1247"/>
      <c r="LY361" s="1247"/>
      <c r="LZ361" s="1247"/>
      <c r="MA361" s="1247"/>
      <c r="MB361" s="1247"/>
      <c r="MC361" s="1247"/>
      <c r="MD361" s="1247"/>
      <c r="ME361" s="1247"/>
      <c r="MF361" s="1247"/>
      <c r="MG361" s="1247"/>
      <c r="MH361" s="1247"/>
      <c r="MI361" s="1247"/>
      <c r="MJ361" s="1247"/>
      <c r="MK361" s="1247"/>
      <c r="ML361" s="1247"/>
      <c r="MM361" s="1247"/>
      <c r="MN361" s="1247"/>
      <c r="MO361" s="1247"/>
      <c r="MP361" s="1247"/>
      <c r="MQ361" s="1247"/>
      <c r="MR361" s="1247"/>
      <c r="MS361" s="1247"/>
      <c r="MT361" s="1247"/>
      <c r="MU361" s="1247"/>
      <c r="MV361" s="1247"/>
      <c r="MW361" s="1247"/>
      <c r="MX361" s="1247"/>
      <c r="MY361" s="1247"/>
      <c r="MZ361" s="1247"/>
      <c r="NA361" s="1247"/>
      <c r="NB361" s="1247"/>
      <c r="NC361" s="1247"/>
      <c r="ND361" s="1247"/>
      <c r="NE361" s="1247"/>
      <c r="NF361" s="1247"/>
      <c r="NG361" s="1247"/>
      <c r="NH361" s="1247"/>
      <c r="NI361" s="1247"/>
      <c r="NJ361" s="1247"/>
      <c r="NK361" s="1247"/>
      <c r="NL361" s="1247"/>
      <c r="NM361" s="1247"/>
      <c r="NN361" s="1247"/>
      <c r="NO361" s="1247"/>
      <c r="NP361" s="1247"/>
      <c r="NQ361" s="1247"/>
      <c r="NR361" s="1247"/>
      <c r="NS361" s="1247"/>
      <c r="NT361" s="1247"/>
      <c r="NU361" s="1247"/>
      <c r="NV361" s="1247"/>
      <c r="NW361" s="1247"/>
      <c r="NX361" s="1247"/>
      <c r="NY361" s="1247"/>
      <c r="NZ361" s="1247"/>
      <c r="OA361" s="1247"/>
      <c r="OB361" s="1247"/>
      <c r="OC361" s="1247"/>
      <c r="OD361" s="1247"/>
      <c r="OE361" s="1247"/>
      <c r="OF361" s="1247"/>
      <c r="OG361" s="1247"/>
      <c r="OH361" s="1247"/>
      <c r="OI361" s="1247"/>
      <c r="OJ361" s="1247"/>
      <c r="OK361" s="1247"/>
      <c r="OL361" s="1247"/>
      <c r="OM361" s="1247"/>
      <c r="ON361" s="1247"/>
      <c r="OO361" s="1247"/>
      <c r="OP361" s="1247"/>
      <c r="OQ361" s="1247"/>
      <c r="OR361" s="1247"/>
      <c r="OS361" s="1247"/>
      <c r="OT361" s="1247"/>
      <c r="OU361" s="1247"/>
      <c r="OV361" s="1247"/>
      <c r="OW361" s="1247"/>
      <c r="OX361" s="1247"/>
      <c r="OY361" s="1247"/>
      <c r="OZ361" s="1247"/>
      <c r="PA361" s="1247"/>
      <c r="PB361" s="1247"/>
      <c r="PC361" s="1247"/>
      <c r="PD361" s="1247"/>
      <c r="PE361" s="1247"/>
      <c r="PF361" s="1247"/>
      <c r="PG361" s="1247"/>
      <c r="PH361" s="1247"/>
      <c r="PI361" s="1247"/>
      <c r="PJ361" s="1247"/>
      <c r="PK361" s="1247"/>
      <c r="PL361" s="1247"/>
      <c r="PM361" s="1247"/>
      <c r="PN361" s="1247"/>
      <c r="PO361" s="1247"/>
      <c r="PP361" s="1247"/>
      <c r="PQ361" s="1247"/>
      <c r="PR361" s="1247"/>
      <c r="PS361" s="1247"/>
      <c r="PT361" s="1247"/>
      <c r="PU361" s="1247"/>
      <c r="PV361" s="1247"/>
      <c r="PW361" s="1247"/>
      <c r="PX361" s="1247"/>
      <c r="PY361" s="1247"/>
      <c r="PZ361" s="1247"/>
      <c r="QA361" s="1247"/>
      <c r="QB361" s="1247"/>
      <c r="QC361" s="1247"/>
      <c r="QD361" s="1247"/>
      <c r="QE361" s="1247"/>
      <c r="QF361" s="1247"/>
      <c r="QG361" s="1247"/>
      <c r="QH361" s="1247"/>
      <c r="QI361" s="1247"/>
      <c r="QJ361" s="1247"/>
      <c r="QK361" s="1247"/>
      <c r="QL361" s="1247"/>
      <c r="QM361" s="1247"/>
      <c r="QN361" s="1247"/>
      <c r="QO361" s="1247"/>
      <c r="QP361" s="1247"/>
      <c r="QQ361" s="1247"/>
      <c r="QR361" s="1247"/>
      <c r="QS361" s="1247"/>
      <c r="QT361" s="1247"/>
      <c r="QU361" s="1247"/>
      <c r="QV361" s="1247"/>
      <c r="QW361" s="1247"/>
      <c r="QX361" s="1247"/>
      <c r="QY361" s="1247"/>
      <c r="QZ361" s="1247"/>
      <c r="RA361" s="1247"/>
      <c r="RB361" s="1247"/>
      <c r="RC361" s="1247"/>
      <c r="RD361" s="1247"/>
      <c r="RE361" s="1247"/>
      <c r="RF361" s="1247"/>
      <c r="RG361" s="1247"/>
      <c r="RH361" s="1247"/>
      <c r="RI361" s="1247"/>
      <c r="RJ361" s="1247"/>
      <c r="RK361" s="1247"/>
      <c r="RL361" s="1247"/>
      <c r="RM361" s="1247"/>
      <c r="RN361" s="1247"/>
      <c r="RO361" s="1247"/>
      <c r="RP361" s="1247"/>
      <c r="RQ361" s="1247"/>
      <c r="RR361" s="1247"/>
      <c r="RS361" s="1247"/>
      <c r="RT361" s="1247"/>
      <c r="RU361" s="1247"/>
      <c r="RV361" s="1247"/>
      <c r="RW361" s="1247"/>
      <c r="RX361" s="1247"/>
      <c r="RY361" s="1247"/>
      <c r="RZ361" s="1247"/>
      <c r="SA361" s="1247"/>
      <c r="SB361" s="1247"/>
      <c r="SC361" s="1247"/>
      <c r="SD361" s="1247"/>
      <c r="SE361" s="1247"/>
      <c r="SF361" s="1247"/>
      <c r="SG361" s="1247"/>
      <c r="SH361" s="1247"/>
      <c r="SI361" s="1247"/>
      <c r="SJ361" s="1247"/>
      <c r="SK361" s="1247"/>
      <c r="SL361" s="1247"/>
      <c r="SM361" s="1247"/>
      <c r="SN361" s="1247"/>
      <c r="SO361" s="1247"/>
      <c r="SP361" s="1247"/>
      <c r="SQ361" s="1247"/>
      <c r="SR361" s="1247"/>
      <c r="SS361" s="1247"/>
      <c r="ST361" s="1247"/>
      <c r="SU361" s="1247"/>
      <c r="SV361" s="1247"/>
      <c r="SW361" s="1247"/>
      <c r="SX361" s="1247"/>
      <c r="SY361" s="1247"/>
      <c r="SZ361" s="1247"/>
      <c r="TA361" s="1247"/>
      <c r="TB361" s="1247"/>
      <c r="TC361" s="1247"/>
      <c r="TD361" s="1247"/>
      <c r="TE361" s="1247"/>
      <c r="TF361" s="1247"/>
      <c r="TG361" s="1247"/>
      <c r="TH361" s="1247"/>
      <c r="TI361" s="1247"/>
      <c r="TJ361" s="1247"/>
      <c r="TK361" s="1247"/>
      <c r="TL361" s="1247"/>
      <c r="TM361" s="1247"/>
      <c r="TN361" s="1247"/>
      <c r="TO361" s="1247"/>
      <c r="TP361" s="1247"/>
      <c r="TQ361" s="1247"/>
      <c r="TR361" s="1247"/>
      <c r="TS361" s="1247"/>
      <c r="TT361" s="1247"/>
      <c r="TU361" s="1247"/>
      <c r="TV361" s="1247"/>
      <c r="TW361" s="1247"/>
      <c r="TX361" s="1247"/>
      <c r="TY361" s="1247"/>
      <c r="TZ361" s="1247"/>
      <c r="UA361" s="1247"/>
      <c r="UB361" s="1247"/>
      <c r="UC361" s="1247"/>
      <c r="UD361" s="1247"/>
      <c r="UE361" s="1247"/>
      <c r="UF361" s="1247"/>
      <c r="UG361" s="1247"/>
      <c r="UH361" s="1247"/>
      <c r="UI361" s="1247"/>
      <c r="UJ361" s="1247"/>
      <c r="UK361" s="1247"/>
      <c r="UL361" s="1247"/>
      <c r="UM361" s="1247"/>
      <c r="UN361" s="1247"/>
      <c r="UO361" s="1247"/>
      <c r="UP361" s="1247"/>
      <c r="UQ361" s="1247"/>
      <c r="UR361" s="1247"/>
      <c r="US361" s="1247"/>
      <c r="UT361" s="1247"/>
      <c r="UU361" s="1247"/>
      <c r="UV361" s="1247"/>
      <c r="UW361" s="1247"/>
      <c r="UX361" s="1247"/>
      <c r="UY361" s="1247"/>
      <c r="UZ361" s="1247"/>
      <c r="VA361" s="1247"/>
      <c r="VB361" s="1247"/>
      <c r="VC361" s="1247"/>
      <c r="VD361" s="1247"/>
      <c r="VE361" s="1247"/>
      <c r="VF361" s="1247"/>
      <c r="VG361" s="1247"/>
      <c r="VH361" s="1247"/>
      <c r="VI361" s="1247"/>
      <c r="VJ361" s="1247"/>
      <c r="VK361" s="1247"/>
      <c r="VL361" s="1247"/>
      <c r="VM361" s="1247"/>
      <c r="VN361" s="1247"/>
      <c r="VO361" s="1247"/>
      <c r="VP361" s="1247"/>
      <c r="VQ361" s="1247"/>
      <c r="VR361" s="1247"/>
      <c r="VS361" s="1247"/>
      <c r="VT361" s="1247"/>
      <c r="VU361" s="1247"/>
      <c r="VV361" s="1247"/>
      <c r="VW361" s="1247"/>
      <c r="VX361" s="1247"/>
      <c r="VY361" s="1247"/>
      <c r="VZ361" s="1247"/>
      <c r="WA361" s="1247"/>
      <c r="WB361" s="1247"/>
      <c r="WC361" s="1247"/>
      <c r="WD361" s="1247"/>
      <c r="WE361" s="1247"/>
      <c r="WF361" s="1247"/>
      <c r="WG361" s="1247"/>
      <c r="WH361" s="1247"/>
      <c r="WI361" s="1247"/>
      <c r="WJ361" s="1247"/>
      <c r="WK361" s="1247"/>
      <c r="WL361" s="1247"/>
      <c r="WM361" s="1247"/>
      <c r="WN361" s="1247"/>
      <c r="WO361" s="1247"/>
      <c r="WP361" s="1247"/>
      <c r="WQ361" s="1247"/>
      <c r="WR361" s="1247"/>
      <c r="WS361" s="1247"/>
      <c r="WT361" s="1247"/>
      <c r="WU361" s="1247"/>
      <c r="WV361" s="1247"/>
      <c r="WW361" s="1247"/>
      <c r="WX361" s="1247"/>
      <c r="WY361" s="1247"/>
      <c r="WZ361" s="1247"/>
      <c r="XA361" s="1247"/>
      <c r="XB361" s="1247"/>
      <c r="XC361" s="1247"/>
      <c r="XD361" s="1247"/>
      <c r="XE361" s="1247"/>
      <c r="XF361" s="1247"/>
      <c r="XG361" s="1247"/>
      <c r="XH361" s="1247"/>
      <c r="XI361" s="1247"/>
      <c r="XJ361" s="1247"/>
      <c r="XK361" s="1247"/>
      <c r="XL361" s="1247"/>
      <c r="XM361" s="1247"/>
      <c r="XN361" s="1247"/>
      <c r="XO361" s="1247"/>
      <c r="XP361" s="1247"/>
      <c r="XQ361" s="1247"/>
      <c r="XR361" s="1247"/>
      <c r="XS361" s="1247"/>
      <c r="XT361" s="1247"/>
      <c r="XU361" s="1247"/>
      <c r="XV361" s="1247"/>
      <c r="XW361" s="1247"/>
      <c r="XX361" s="1247"/>
      <c r="XY361" s="1247"/>
      <c r="XZ361" s="1247"/>
      <c r="YA361" s="1247"/>
      <c r="YB361" s="1247"/>
      <c r="YC361" s="1247"/>
      <c r="YD361" s="1247"/>
      <c r="YE361" s="1247"/>
      <c r="YF361" s="1247"/>
      <c r="YG361" s="1247"/>
      <c r="YH361" s="1247"/>
      <c r="YI361" s="1247"/>
      <c r="YJ361" s="1247"/>
      <c r="YK361" s="1247"/>
      <c r="YL361" s="1247"/>
      <c r="YM361" s="1247"/>
      <c r="YN361" s="1247"/>
      <c r="YO361" s="1247"/>
      <c r="YP361" s="1247"/>
      <c r="YQ361" s="1247"/>
      <c r="YR361" s="1247"/>
      <c r="YS361" s="1247"/>
      <c r="YT361" s="1247"/>
      <c r="YU361" s="1247"/>
      <c r="YV361" s="1247"/>
      <c r="YW361" s="1247"/>
      <c r="YX361" s="1247"/>
      <c r="YY361" s="1247"/>
      <c r="YZ361" s="1247"/>
      <c r="ZA361" s="1247"/>
      <c r="ZB361" s="1247"/>
      <c r="ZC361" s="1247"/>
      <c r="ZD361" s="1247"/>
      <c r="ZE361" s="1247"/>
      <c r="ZF361" s="1247"/>
      <c r="ZG361" s="1247"/>
      <c r="ZH361" s="1247"/>
      <c r="ZI361" s="1247"/>
      <c r="ZJ361" s="1247"/>
      <c r="ZK361" s="1247"/>
      <c r="ZL361" s="1247"/>
      <c r="ZM361" s="1247"/>
      <c r="ZN361" s="1247"/>
      <c r="ZO361" s="1247"/>
      <c r="ZP361" s="1247"/>
      <c r="ZQ361" s="1247"/>
      <c r="ZR361" s="1247"/>
      <c r="ZS361" s="1247"/>
      <c r="ZT361" s="1247"/>
      <c r="ZU361" s="1247"/>
      <c r="ZV361" s="1247"/>
      <c r="ZW361" s="1247"/>
      <c r="ZX361" s="1247"/>
      <c r="ZY361" s="1247"/>
      <c r="ZZ361" s="1247"/>
      <c r="AAA361" s="1247"/>
      <c r="AAB361" s="1247"/>
      <c r="AAC361" s="1247"/>
      <c r="AAD361" s="1247"/>
      <c r="AAE361" s="1247"/>
      <c r="AAF361" s="1247"/>
      <c r="AAG361" s="1247"/>
      <c r="AAH361" s="1247"/>
      <c r="AAI361" s="1247"/>
      <c r="AAJ361" s="1247"/>
      <c r="AAK361" s="1247"/>
      <c r="AAL361" s="1247"/>
      <c r="AAM361" s="1247"/>
      <c r="AAN361" s="1247"/>
      <c r="AAO361" s="1247"/>
      <c r="AAP361" s="1247"/>
      <c r="AAQ361" s="1247"/>
      <c r="AAR361" s="1247"/>
      <c r="AAS361" s="1247"/>
      <c r="AAT361" s="1247"/>
      <c r="AAU361" s="1247"/>
      <c r="AAV361" s="1247"/>
      <c r="AAW361" s="1247"/>
      <c r="AAX361" s="1247"/>
      <c r="AAY361" s="1247"/>
      <c r="AAZ361" s="1247"/>
      <c r="ABA361" s="1247"/>
      <c r="ABB361" s="1247"/>
      <c r="ABC361" s="1247"/>
      <c r="ABD361" s="1247"/>
      <c r="ABE361" s="1247"/>
      <c r="ABF361" s="1247"/>
      <c r="ABG361" s="1247"/>
      <c r="ABH361" s="1247"/>
      <c r="ABI361" s="1247"/>
      <c r="ABJ361" s="1247"/>
      <c r="ABK361" s="1247"/>
      <c r="ABL361" s="1247"/>
      <c r="ABM361" s="1247"/>
      <c r="ABN361" s="1247"/>
      <c r="ABO361" s="1247"/>
      <c r="ABP361" s="1247"/>
      <c r="ABQ361" s="1247"/>
      <c r="ABR361" s="1247"/>
      <c r="ABS361" s="1247"/>
      <c r="ABT361" s="1247"/>
      <c r="ABU361" s="1247"/>
      <c r="ABV361" s="1247"/>
      <c r="ABW361" s="1247"/>
      <c r="ABX361" s="1247"/>
      <c r="ABY361" s="1247"/>
      <c r="ABZ361" s="1247"/>
      <c r="ACA361" s="1247"/>
      <c r="ACB361" s="1247"/>
      <c r="ACC361" s="1247"/>
      <c r="ACD361" s="1247"/>
      <c r="ACE361" s="1247"/>
      <c r="ACF361" s="1247"/>
      <c r="ACG361" s="1247"/>
      <c r="ACH361" s="1247"/>
      <c r="ACI361" s="1247"/>
      <c r="ACJ361" s="1247"/>
      <c r="ACK361" s="1247"/>
      <c r="ACL361" s="1247"/>
      <c r="ACM361" s="1247"/>
      <c r="ACN361" s="1247"/>
      <c r="ACO361" s="1247"/>
      <c r="ACP361" s="1247"/>
      <c r="ACQ361" s="1247"/>
      <c r="ACR361" s="1247"/>
      <c r="ACS361" s="1247"/>
      <c r="ACT361" s="1247"/>
      <c r="ACU361" s="1247"/>
      <c r="ACV361" s="1247"/>
      <c r="ACW361" s="1247"/>
      <c r="ACX361" s="1247"/>
      <c r="ACY361" s="1247"/>
      <c r="ACZ361" s="1247"/>
      <c r="ADA361" s="1247"/>
      <c r="ADB361" s="1247"/>
      <c r="ADC361" s="1247"/>
      <c r="ADD361" s="1247"/>
      <c r="ADE361" s="1247"/>
      <c r="ADF361" s="1247"/>
      <c r="ADG361" s="1247"/>
    </row>
    <row r="362" spans="1:787" s="1273" customFormat="1" ht="13">
      <c r="A362" s="1247"/>
      <c r="C362" s="1392"/>
      <c r="D362" s="1495"/>
      <c r="E362" s="1496"/>
      <c r="F362" s="1497"/>
      <c r="G362" s="1312"/>
      <c r="H362" s="1288"/>
      <c r="I362" s="1288"/>
      <c r="J362" s="1224"/>
      <c r="K362" s="1224"/>
      <c r="L362" s="1224"/>
      <c r="M362" s="1224"/>
      <c r="N362" s="1224"/>
      <c r="O362" s="1224"/>
      <c r="P362" s="1224"/>
      <c r="Q362" s="1224"/>
      <c r="R362" s="1224">
        <f ca="1">687531869.14/10000-R356</f>
        <v>-876.45818536716979</v>
      </c>
      <c r="S362" s="1224" t="s">
        <v>3145</v>
      </c>
      <c r="T362" s="1498">
        <f ca="1">T356-'成本汇总（分摊）'!BJ49</f>
        <v>5.131441866979003E-7</v>
      </c>
      <c r="U362" s="1224"/>
      <c r="V362" s="1221"/>
      <c r="W362" s="1247"/>
      <c r="X362" s="1247"/>
      <c r="Y362" s="1247"/>
      <c r="Z362" s="1247"/>
      <c r="AA362" s="1247"/>
      <c r="AB362" s="1247"/>
      <c r="AC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c r="AX362" s="1247"/>
      <c r="AY362" s="1247"/>
      <c r="AZ362" s="1247"/>
      <c r="BA362" s="1247"/>
      <c r="BB362" s="1247"/>
      <c r="BC362" s="1247"/>
      <c r="BD362" s="1247"/>
      <c r="BE362" s="1247"/>
      <c r="BF362" s="1247"/>
      <c r="BG362" s="1247"/>
      <c r="BH362" s="1247"/>
      <c r="BI362" s="1247"/>
      <c r="BJ362" s="1247"/>
      <c r="BK362" s="1247"/>
      <c r="BL362" s="1247"/>
      <c r="BM362" s="1247"/>
      <c r="BN362" s="1247"/>
      <c r="BO362" s="1247"/>
      <c r="BP362" s="1247"/>
      <c r="BQ362" s="1247"/>
      <c r="BR362" s="1247"/>
      <c r="BS362" s="1247"/>
      <c r="BT362" s="1247"/>
      <c r="BU362" s="1247"/>
      <c r="BV362" s="1247"/>
      <c r="BW362" s="1247"/>
      <c r="BX362" s="1247"/>
      <c r="BY362" s="1247"/>
      <c r="BZ362" s="1247"/>
      <c r="CA362" s="1247"/>
      <c r="CB362" s="1247"/>
      <c r="CC362" s="1247"/>
      <c r="CD362" s="1247"/>
      <c r="CE362" s="1247"/>
      <c r="CF362" s="1247"/>
      <c r="CG362" s="1247"/>
      <c r="CH362" s="1247"/>
      <c r="CI362" s="1247"/>
      <c r="CJ362" s="1247"/>
      <c r="CK362" s="1247"/>
      <c r="CL362" s="1247"/>
      <c r="CM362" s="1247"/>
      <c r="CN362" s="1247"/>
      <c r="CO362" s="1247"/>
      <c r="CP362" s="1247"/>
      <c r="CQ362" s="1247"/>
      <c r="CR362" s="1247"/>
      <c r="CS362" s="1247"/>
      <c r="CT362" s="1247"/>
      <c r="CU362" s="1247"/>
      <c r="CV362" s="1247"/>
      <c r="CW362" s="1247"/>
      <c r="CX362" s="1247"/>
      <c r="CY362" s="1247"/>
      <c r="CZ362" s="1247"/>
      <c r="DA362" s="1247"/>
      <c r="DB362" s="1247"/>
      <c r="DC362" s="1247"/>
      <c r="DD362" s="1247"/>
      <c r="DE362" s="1247"/>
      <c r="DF362" s="1247"/>
      <c r="DG362" s="1247"/>
      <c r="DH362" s="1247"/>
      <c r="DI362" s="1247"/>
      <c r="DJ362" s="1247"/>
      <c r="DK362" s="1247"/>
      <c r="DL362" s="1247"/>
      <c r="DM362" s="1247"/>
      <c r="DN362" s="1247"/>
      <c r="DO362" s="1247"/>
      <c r="DP362" s="1247"/>
      <c r="DQ362" s="1247"/>
      <c r="DR362" s="1247"/>
      <c r="DS362" s="1247"/>
      <c r="DT362" s="1247"/>
      <c r="DU362" s="1247"/>
      <c r="DV362" s="1247"/>
      <c r="DW362" s="1247"/>
      <c r="DX362" s="1247"/>
      <c r="DY362" s="1247"/>
      <c r="DZ362" s="1247"/>
      <c r="EA362" s="1247"/>
      <c r="EB362" s="1247"/>
      <c r="EC362" s="1247"/>
      <c r="ED362" s="1247"/>
      <c r="EE362" s="1247"/>
      <c r="EF362" s="1247"/>
      <c r="EG362" s="1247"/>
      <c r="EH362" s="1247"/>
      <c r="EI362" s="1247"/>
      <c r="EJ362" s="1247"/>
      <c r="EK362" s="1247"/>
      <c r="EL362" s="1247"/>
      <c r="EM362" s="1247"/>
      <c r="EN362" s="1247"/>
      <c r="EO362" s="1247"/>
      <c r="EP362" s="1247"/>
      <c r="EQ362" s="1247"/>
      <c r="ER362" s="1247"/>
      <c r="ES362" s="1247"/>
      <c r="ET362" s="1247"/>
      <c r="EU362" s="1247"/>
      <c r="EV362" s="1247"/>
      <c r="EW362" s="1247"/>
      <c r="EX362" s="1247"/>
      <c r="EY362" s="1247"/>
      <c r="EZ362" s="1247"/>
      <c r="FA362" s="1247"/>
      <c r="FB362" s="1247"/>
      <c r="FC362" s="1247"/>
      <c r="FD362" s="1247"/>
      <c r="FE362" s="1247"/>
      <c r="FF362" s="1247"/>
      <c r="FG362" s="1247"/>
      <c r="FH362" s="1247"/>
      <c r="FI362" s="1247"/>
      <c r="FJ362" s="1247"/>
      <c r="FK362" s="1247"/>
      <c r="FL362" s="1247"/>
      <c r="FM362" s="1247"/>
      <c r="FN362" s="1247"/>
      <c r="FO362" s="1247"/>
      <c r="FP362" s="1247"/>
      <c r="FQ362" s="1247"/>
      <c r="FR362" s="1247"/>
      <c r="FS362" s="1247"/>
      <c r="FT362" s="1247"/>
      <c r="FU362" s="1247"/>
      <c r="FV362" s="1247"/>
      <c r="FW362" s="1247"/>
      <c r="FX362" s="1247"/>
      <c r="FY362" s="1247"/>
      <c r="FZ362" s="1247"/>
      <c r="GA362" s="1247"/>
      <c r="GB362" s="1247"/>
      <c r="GC362" s="1247"/>
      <c r="GD362" s="1247"/>
      <c r="GE362" s="1247"/>
      <c r="GF362" s="1247"/>
      <c r="GG362" s="1247"/>
      <c r="GH362" s="1247"/>
      <c r="GI362" s="1247"/>
      <c r="GJ362" s="1247"/>
      <c r="GK362" s="1247"/>
      <c r="GL362" s="1247"/>
      <c r="GM362" s="1247"/>
      <c r="GN362" s="1247"/>
      <c r="GO362" s="1247"/>
      <c r="GP362" s="1247"/>
      <c r="GQ362" s="1247"/>
      <c r="GR362" s="1247"/>
      <c r="GS362" s="1247"/>
      <c r="GT362" s="1247"/>
      <c r="GU362" s="1247"/>
      <c r="GV362" s="1247"/>
      <c r="GW362" s="1247"/>
      <c r="GX362" s="1247"/>
      <c r="GY362" s="1247"/>
      <c r="GZ362" s="1247"/>
      <c r="HA362" s="1247"/>
      <c r="HB362" s="1247"/>
      <c r="HC362" s="1247"/>
      <c r="HD362" s="1247"/>
      <c r="HE362" s="1247"/>
      <c r="HF362" s="1247"/>
      <c r="HG362" s="1247"/>
      <c r="HH362" s="1247"/>
      <c r="HI362" s="1247"/>
      <c r="HJ362" s="1247"/>
      <c r="HK362" s="1247"/>
      <c r="HL362" s="1247"/>
      <c r="HM362" s="1247"/>
      <c r="HN362" s="1247"/>
      <c r="HO362" s="1247"/>
      <c r="HP362" s="1247"/>
      <c r="HQ362" s="1247"/>
      <c r="HR362" s="1247"/>
      <c r="HS362" s="1247"/>
      <c r="HT362" s="1247"/>
      <c r="HU362" s="1247"/>
      <c r="HV362" s="1247"/>
      <c r="HW362" s="1247"/>
      <c r="HX362" s="1247"/>
      <c r="HY362" s="1247"/>
      <c r="HZ362" s="1247"/>
      <c r="IA362" s="1247"/>
      <c r="IB362" s="1247"/>
      <c r="IC362" s="1247"/>
      <c r="ID362" s="1247"/>
      <c r="IE362" s="1247"/>
      <c r="IF362" s="1247"/>
      <c r="IG362" s="1247"/>
      <c r="IH362" s="1247"/>
      <c r="II362" s="1247"/>
      <c r="IJ362" s="1247"/>
      <c r="IK362" s="1247"/>
      <c r="IL362" s="1247"/>
      <c r="IM362" s="1247"/>
      <c r="IN362" s="1247"/>
      <c r="IO362" s="1247"/>
      <c r="IP362" s="1247"/>
      <c r="IQ362" s="1247"/>
      <c r="IR362" s="1247"/>
      <c r="IS362" s="1247"/>
      <c r="IT362" s="1247"/>
      <c r="IU362" s="1247"/>
      <c r="IV362" s="1247"/>
      <c r="IW362" s="1247"/>
      <c r="IX362" s="1247"/>
      <c r="IY362" s="1247"/>
      <c r="IZ362" s="1247"/>
      <c r="JA362" s="1247"/>
      <c r="JB362" s="1247"/>
      <c r="JC362" s="1247"/>
      <c r="JD362" s="1247"/>
      <c r="JE362" s="1247"/>
      <c r="JF362" s="1247"/>
      <c r="JG362" s="1247"/>
      <c r="JH362" s="1247"/>
      <c r="JI362" s="1247"/>
      <c r="JJ362" s="1247"/>
      <c r="JK362" s="1247"/>
      <c r="JL362" s="1247"/>
      <c r="JM362" s="1247"/>
      <c r="JN362" s="1247"/>
      <c r="JO362" s="1247"/>
      <c r="JP362" s="1247"/>
      <c r="JQ362" s="1247"/>
      <c r="JR362" s="1247"/>
      <c r="JS362" s="1247"/>
      <c r="JT362" s="1247"/>
      <c r="JU362" s="1247"/>
      <c r="JV362" s="1247"/>
      <c r="JW362" s="1247"/>
      <c r="JX362" s="1247"/>
      <c r="JY362" s="1247"/>
      <c r="JZ362" s="1247"/>
      <c r="KA362" s="1247"/>
      <c r="KB362" s="1247"/>
      <c r="KC362" s="1247"/>
      <c r="KD362" s="1247"/>
      <c r="KE362" s="1247"/>
      <c r="KF362" s="1247"/>
      <c r="KG362" s="1247"/>
      <c r="KH362" s="1247"/>
      <c r="KI362" s="1247"/>
      <c r="KJ362" s="1247"/>
      <c r="KK362" s="1247"/>
      <c r="KL362" s="1247"/>
      <c r="KM362" s="1247"/>
      <c r="KN362" s="1247"/>
      <c r="KO362" s="1247"/>
      <c r="KP362" s="1247"/>
      <c r="KQ362" s="1247"/>
      <c r="KR362" s="1247"/>
      <c r="KS362" s="1247"/>
      <c r="KT362" s="1247"/>
      <c r="KU362" s="1247"/>
      <c r="KV362" s="1247"/>
      <c r="KW362" s="1247"/>
      <c r="KX362" s="1247"/>
      <c r="KY362" s="1247"/>
      <c r="KZ362" s="1247"/>
      <c r="LA362" s="1247"/>
      <c r="LB362" s="1247"/>
      <c r="LC362" s="1247"/>
      <c r="LD362" s="1247"/>
      <c r="LE362" s="1247"/>
      <c r="LF362" s="1247"/>
      <c r="LG362" s="1247"/>
      <c r="LH362" s="1247"/>
      <c r="LI362" s="1247"/>
      <c r="LJ362" s="1247"/>
      <c r="LK362" s="1247"/>
      <c r="LL362" s="1247"/>
      <c r="LM362" s="1247"/>
      <c r="LN362" s="1247"/>
      <c r="LO362" s="1247"/>
      <c r="LP362" s="1247"/>
      <c r="LQ362" s="1247"/>
      <c r="LR362" s="1247"/>
      <c r="LS362" s="1247"/>
      <c r="LT362" s="1247"/>
      <c r="LU362" s="1247"/>
      <c r="LV362" s="1247"/>
      <c r="LW362" s="1247"/>
      <c r="LX362" s="1247"/>
      <c r="LY362" s="1247"/>
      <c r="LZ362" s="1247"/>
      <c r="MA362" s="1247"/>
      <c r="MB362" s="1247"/>
      <c r="MC362" s="1247"/>
      <c r="MD362" s="1247"/>
      <c r="ME362" s="1247"/>
      <c r="MF362" s="1247"/>
      <c r="MG362" s="1247"/>
      <c r="MH362" s="1247"/>
      <c r="MI362" s="1247"/>
      <c r="MJ362" s="1247"/>
      <c r="MK362" s="1247"/>
      <c r="ML362" s="1247"/>
      <c r="MM362" s="1247"/>
      <c r="MN362" s="1247"/>
      <c r="MO362" s="1247"/>
      <c r="MP362" s="1247"/>
      <c r="MQ362" s="1247"/>
      <c r="MR362" s="1247"/>
      <c r="MS362" s="1247"/>
      <c r="MT362" s="1247"/>
      <c r="MU362" s="1247"/>
      <c r="MV362" s="1247"/>
      <c r="MW362" s="1247"/>
      <c r="MX362" s="1247"/>
      <c r="MY362" s="1247"/>
      <c r="MZ362" s="1247"/>
      <c r="NA362" s="1247"/>
      <c r="NB362" s="1247"/>
      <c r="NC362" s="1247"/>
      <c r="ND362" s="1247"/>
      <c r="NE362" s="1247"/>
      <c r="NF362" s="1247"/>
      <c r="NG362" s="1247"/>
      <c r="NH362" s="1247"/>
      <c r="NI362" s="1247"/>
      <c r="NJ362" s="1247"/>
      <c r="NK362" s="1247"/>
      <c r="NL362" s="1247"/>
      <c r="NM362" s="1247"/>
      <c r="NN362" s="1247"/>
      <c r="NO362" s="1247"/>
      <c r="NP362" s="1247"/>
      <c r="NQ362" s="1247"/>
      <c r="NR362" s="1247"/>
      <c r="NS362" s="1247"/>
      <c r="NT362" s="1247"/>
      <c r="NU362" s="1247"/>
      <c r="NV362" s="1247"/>
      <c r="NW362" s="1247"/>
      <c r="NX362" s="1247"/>
      <c r="NY362" s="1247"/>
      <c r="NZ362" s="1247"/>
      <c r="OA362" s="1247"/>
      <c r="OB362" s="1247"/>
      <c r="OC362" s="1247"/>
      <c r="OD362" s="1247"/>
      <c r="OE362" s="1247"/>
      <c r="OF362" s="1247"/>
      <c r="OG362" s="1247"/>
      <c r="OH362" s="1247"/>
      <c r="OI362" s="1247"/>
      <c r="OJ362" s="1247"/>
      <c r="OK362" s="1247"/>
      <c r="OL362" s="1247"/>
      <c r="OM362" s="1247"/>
      <c r="ON362" s="1247"/>
      <c r="OO362" s="1247"/>
      <c r="OP362" s="1247"/>
      <c r="OQ362" s="1247"/>
      <c r="OR362" s="1247"/>
      <c r="OS362" s="1247"/>
      <c r="OT362" s="1247"/>
      <c r="OU362" s="1247"/>
      <c r="OV362" s="1247"/>
      <c r="OW362" s="1247"/>
      <c r="OX362" s="1247"/>
      <c r="OY362" s="1247"/>
      <c r="OZ362" s="1247"/>
      <c r="PA362" s="1247"/>
      <c r="PB362" s="1247"/>
      <c r="PC362" s="1247"/>
      <c r="PD362" s="1247"/>
      <c r="PE362" s="1247"/>
      <c r="PF362" s="1247"/>
      <c r="PG362" s="1247"/>
      <c r="PH362" s="1247"/>
      <c r="PI362" s="1247"/>
      <c r="PJ362" s="1247"/>
      <c r="PK362" s="1247"/>
      <c r="PL362" s="1247"/>
      <c r="PM362" s="1247"/>
      <c r="PN362" s="1247"/>
      <c r="PO362" s="1247"/>
      <c r="PP362" s="1247"/>
      <c r="PQ362" s="1247"/>
      <c r="PR362" s="1247"/>
      <c r="PS362" s="1247"/>
      <c r="PT362" s="1247"/>
      <c r="PU362" s="1247"/>
      <c r="PV362" s="1247"/>
      <c r="PW362" s="1247"/>
      <c r="PX362" s="1247"/>
      <c r="PY362" s="1247"/>
      <c r="PZ362" s="1247"/>
      <c r="QA362" s="1247"/>
      <c r="QB362" s="1247"/>
      <c r="QC362" s="1247"/>
      <c r="QD362" s="1247"/>
      <c r="QE362" s="1247"/>
      <c r="QF362" s="1247"/>
      <c r="QG362" s="1247"/>
      <c r="QH362" s="1247"/>
      <c r="QI362" s="1247"/>
      <c r="QJ362" s="1247"/>
      <c r="QK362" s="1247"/>
      <c r="QL362" s="1247"/>
      <c r="QM362" s="1247"/>
      <c r="QN362" s="1247"/>
      <c r="QO362" s="1247"/>
      <c r="QP362" s="1247"/>
      <c r="QQ362" s="1247"/>
      <c r="QR362" s="1247"/>
      <c r="QS362" s="1247"/>
      <c r="QT362" s="1247"/>
      <c r="QU362" s="1247"/>
      <c r="QV362" s="1247"/>
      <c r="QW362" s="1247"/>
      <c r="QX362" s="1247"/>
      <c r="QY362" s="1247"/>
      <c r="QZ362" s="1247"/>
      <c r="RA362" s="1247"/>
      <c r="RB362" s="1247"/>
      <c r="RC362" s="1247"/>
      <c r="RD362" s="1247"/>
      <c r="RE362" s="1247"/>
      <c r="RF362" s="1247"/>
      <c r="RG362" s="1247"/>
      <c r="RH362" s="1247"/>
      <c r="RI362" s="1247"/>
      <c r="RJ362" s="1247"/>
      <c r="RK362" s="1247"/>
      <c r="RL362" s="1247"/>
      <c r="RM362" s="1247"/>
      <c r="RN362" s="1247"/>
      <c r="RO362" s="1247"/>
      <c r="RP362" s="1247"/>
      <c r="RQ362" s="1247"/>
      <c r="RR362" s="1247"/>
      <c r="RS362" s="1247"/>
      <c r="RT362" s="1247"/>
      <c r="RU362" s="1247"/>
      <c r="RV362" s="1247"/>
      <c r="RW362" s="1247"/>
      <c r="RX362" s="1247"/>
      <c r="RY362" s="1247"/>
      <c r="RZ362" s="1247"/>
      <c r="SA362" s="1247"/>
      <c r="SB362" s="1247"/>
      <c r="SC362" s="1247"/>
      <c r="SD362" s="1247"/>
      <c r="SE362" s="1247"/>
      <c r="SF362" s="1247"/>
      <c r="SG362" s="1247"/>
      <c r="SH362" s="1247"/>
      <c r="SI362" s="1247"/>
      <c r="SJ362" s="1247"/>
      <c r="SK362" s="1247"/>
      <c r="SL362" s="1247"/>
      <c r="SM362" s="1247"/>
      <c r="SN362" s="1247"/>
      <c r="SO362" s="1247"/>
      <c r="SP362" s="1247"/>
      <c r="SQ362" s="1247"/>
      <c r="SR362" s="1247"/>
      <c r="SS362" s="1247"/>
      <c r="ST362" s="1247"/>
      <c r="SU362" s="1247"/>
      <c r="SV362" s="1247"/>
      <c r="SW362" s="1247"/>
      <c r="SX362" s="1247"/>
      <c r="SY362" s="1247"/>
      <c r="SZ362" s="1247"/>
      <c r="TA362" s="1247"/>
      <c r="TB362" s="1247"/>
      <c r="TC362" s="1247"/>
      <c r="TD362" s="1247"/>
      <c r="TE362" s="1247"/>
      <c r="TF362" s="1247"/>
      <c r="TG362" s="1247"/>
      <c r="TH362" s="1247"/>
      <c r="TI362" s="1247"/>
      <c r="TJ362" s="1247"/>
      <c r="TK362" s="1247"/>
      <c r="TL362" s="1247"/>
      <c r="TM362" s="1247"/>
      <c r="TN362" s="1247"/>
      <c r="TO362" s="1247"/>
      <c r="TP362" s="1247"/>
      <c r="TQ362" s="1247"/>
      <c r="TR362" s="1247"/>
      <c r="TS362" s="1247"/>
      <c r="TT362" s="1247"/>
      <c r="TU362" s="1247"/>
      <c r="TV362" s="1247"/>
      <c r="TW362" s="1247"/>
      <c r="TX362" s="1247"/>
      <c r="TY362" s="1247"/>
      <c r="TZ362" s="1247"/>
      <c r="UA362" s="1247"/>
      <c r="UB362" s="1247"/>
      <c r="UC362" s="1247"/>
      <c r="UD362" s="1247"/>
      <c r="UE362" s="1247"/>
      <c r="UF362" s="1247"/>
      <c r="UG362" s="1247"/>
      <c r="UH362" s="1247"/>
      <c r="UI362" s="1247"/>
      <c r="UJ362" s="1247"/>
      <c r="UK362" s="1247"/>
      <c r="UL362" s="1247"/>
      <c r="UM362" s="1247"/>
      <c r="UN362" s="1247"/>
      <c r="UO362" s="1247"/>
      <c r="UP362" s="1247"/>
      <c r="UQ362" s="1247"/>
      <c r="UR362" s="1247"/>
      <c r="US362" s="1247"/>
      <c r="UT362" s="1247"/>
      <c r="UU362" s="1247"/>
      <c r="UV362" s="1247"/>
      <c r="UW362" s="1247"/>
      <c r="UX362" s="1247"/>
      <c r="UY362" s="1247"/>
      <c r="UZ362" s="1247"/>
      <c r="VA362" s="1247"/>
      <c r="VB362" s="1247"/>
      <c r="VC362" s="1247"/>
      <c r="VD362" s="1247"/>
      <c r="VE362" s="1247"/>
      <c r="VF362" s="1247"/>
      <c r="VG362" s="1247"/>
      <c r="VH362" s="1247"/>
      <c r="VI362" s="1247"/>
      <c r="VJ362" s="1247"/>
      <c r="VK362" s="1247"/>
      <c r="VL362" s="1247"/>
      <c r="VM362" s="1247"/>
      <c r="VN362" s="1247"/>
      <c r="VO362" s="1247"/>
      <c r="VP362" s="1247"/>
      <c r="VQ362" s="1247"/>
      <c r="VR362" s="1247"/>
      <c r="VS362" s="1247"/>
      <c r="VT362" s="1247"/>
      <c r="VU362" s="1247"/>
      <c r="VV362" s="1247"/>
      <c r="VW362" s="1247"/>
      <c r="VX362" s="1247"/>
      <c r="VY362" s="1247"/>
      <c r="VZ362" s="1247"/>
      <c r="WA362" s="1247"/>
      <c r="WB362" s="1247"/>
      <c r="WC362" s="1247"/>
      <c r="WD362" s="1247"/>
      <c r="WE362" s="1247"/>
      <c r="WF362" s="1247"/>
      <c r="WG362" s="1247"/>
      <c r="WH362" s="1247"/>
      <c r="WI362" s="1247"/>
      <c r="WJ362" s="1247"/>
      <c r="WK362" s="1247"/>
      <c r="WL362" s="1247"/>
      <c r="WM362" s="1247"/>
      <c r="WN362" s="1247"/>
      <c r="WO362" s="1247"/>
      <c r="WP362" s="1247"/>
      <c r="WQ362" s="1247"/>
      <c r="WR362" s="1247"/>
      <c r="WS362" s="1247"/>
      <c r="WT362" s="1247"/>
      <c r="WU362" s="1247"/>
      <c r="WV362" s="1247"/>
      <c r="WW362" s="1247"/>
      <c r="WX362" s="1247"/>
      <c r="WY362" s="1247"/>
      <c r="WZ362" s="1247"/>
      <c r="XA362" s="1247"/>
      <c r="XB362" s="1247"/>
      <c r="XC362" s="1247"/>
      <c r="XD362" s="1247"/>
      <c r="XE362" s="1247"/>
      <c r="XF362" s="1247"/>
      <c r="XG362" s="1247"/>
      <c r="XH362" s="1247"/>
      <c r="XI362" s="1247"/>
      <c r="XJ362" s="1247"/>
      <c r="XK362" s="1247"/>
      <c r="XL362" s="1247"/>
      <c r="XM362" s="1247"/>
      <c r="XN362" s="1247"/>
      <c r="XO362" s="1247"/>
      <c r="XP362" s="1247"/>
      <c r="XQ362" s="1247"/>
      <c r="XR362" s="1247"/>
      <c r="XS362" s="1247"/>
      <c r="XT362" s="1247"/>
      <c r="XU362" s="1247"/>
      <c r="XV362" s="1247"/>
      <c r="XW362" s="1247"/>
      <c r="XX362" s="1247"/>
      <c r="XY362" s="1247"/>
      <c r="XZ362" s="1247"/>
      <c r="YA362" s="1247"/>
      <c r="YB362" s="1247"/>
      <c r="YC362" s="1247"/>
      <c r="YD362" s="1247"/>
      <c r="YE362" s="1247"/>
      <c r="YF362" s="1247"/>
      <c r="YG362" s="1247"/>
      <c r="YH362" s="1247"/>
      <c r="YI362" s="1247"/>
      <c r="YJ362" s="1247"/>
      <c r="YK362" s="1247"/>
      <c r="YL362" s="1247"/>
      <c r="YM362" s="1247"/>
      <c r="YN362" s="1247"/>
      <c r="YO362" s="1247"/>
      <c r="YP362" s="1247"/>
      <c r="YQ362" s="1247"/>
      <c r="YR362" s="1247"/>
      <c r="YS362" s="1247"/>
      <c r="YT362" s="1247"/>
      <c r="YU362" s="1247"/>
      <c r="YV362" s="1247"/>
      <c r="YW362" s="1247"/>
      <c r="YX362" s="1247"/>
      <c r="YY362" s="1247"/>
      <c r="YZ362" s="1247"/>
      <c r="ZA362" s="1247"/>
      <c r="ZB362" s="1247"/>
      <c r="ZC362" s="1247"/>
      <c r="ZD362" s="1247"/>
      <c r="ZE362" s="1247"/>
      <c r="ZF362" s="1247"/>
      <c r="ZG362" s="1247"/>
      <c r="ZH362" s="1247"/>
      <c r="ZI362" s="1247"/>
      <c r="ZJ362" s="1247"/>
      <c r="ZK362" s="1247"/>
      <c r="ZL362" s="1247"/>
      <c r="ZM362" s="1247"/>
      <c r="ZN362" s="1247"/>
      <c r="ZO362" s="1247"/>
      <c r="ZP362" s="1247"/>
      <c r="ZQ362" s="1247"/>
      <c r="ZR362" s="1247"/>
      <c r="ZS362" s="1247"/>
      <c r="ZT362" s="1247"/>
      <c r="ZU362" s="1247"/>
      <c r="ZV362" s="1247"/>
      <c r="ZW362" s="1247"/>
      <c r="ZX362" s="1247"/>
      <c r="ZY362" s="1247"/>
      <c r="ZZ362" s="1247"/>
      <c r="AAA362" s="1247"/>
      <c r="AAB362" s="1247"/>
      <c r="AAC362" s="1247"/>
      <c r="AAD362" s="1247"/>
      <c r="AAE362" s="1247"/>
      <c r="AAF362" s="1247"/>
      <c r="AAG362" s="1247"/>
      <c r="AAH362" s="1247"/>
      <c r="AAI362" s="1247"/>
      <c r="AAJ362" s="1247"/>
      <c r="AAK362" s="1247"/>
      <c r="AAL362" s="1247"/>
      <c r="AAM362" s="1247"/>
      <c r="AAN362" s="1247"/>
      <c r="AAO362" s="1247"/>
      <c r="AAP362" s="1247"/>
      <c r="AAQ362" s="1247"/>
      <c r="AAR362" s="1247"/>
      <c r="AAS362" s="1247"/>
      <c r="AAT362" s="1247"/>
      <c r="AAU362" s="1247"/>
      <c r="AAV362" s="1247"/>
      <c r="AAW362" s="1247"/>
      <c r="AAX362" s="1247"/>
      <c r="AAY362" s="1247"/>
      <c r="AAZ362" s="1247"/>
      <c r="ABA362" s="1247"/>
      <c r="ABB362" s="1247"/>
      <c r="ABC362" s="1247"/>
      <c r="ABD362" s="1247"/>
      <c r="ABE362" s="1247"/>
      <c r="ABF362" s="1247"/>
      <c r="ABG362" s="1247"/>
      <c r="ABH362" s="1247"/>
      <c r="ABI362" s="1247"/>
      <c r="ABJ362" s="1247"/>
      <c r="ABK362" s="1247"/>
      <c r="ABL362" s="1247"/>
      <c r="ABM362" s="1247"/>
      <c r="ABN362" s="1247"/>
      <c r="ABO362" s="1247"/>
      <c r="ABP362" s="1247"/>
      <c r="ABQ362" s="1247"/>
      <c r="ABR362" s="1247"/>
      <c r="ABS362" s="1247"/>
      <c r="ABT362" s="1247"/>
      <c r="ABU362" s="1247"/>
      <c r="ABV362" s="1247"/>
      <c r="ABW362" s="1247"/>
      <c r="ABX362" s="1247"/>
      <c r="ABY362" s="1247"/>
      <c r="ABZ362" s="1247"/>
      <c r="ACA362" s="1247"/>
      <c r="ACB362" s="1247"/>
      <c r="ACC362" s="1247"/>
      <c r="ACD362" s="1247"/>
      <c r="ACE362" s="1247"/>
      <c r="ACF362" s="1247"/>
      <c r="ACG362" s="1247"/>
      <c r="ACH362" s="1247"/>
      <c r="ACI362" s="1247"/>
      <c r="ACJ362" s="1247"/>
      <c r="ACK362" s="1247"/>
      <c r="ACL362" s="1247"/>
      <c r="ACM362" s="1247"/>
      <c r="ACN362" s="1247"/>
      <c r="ACO362" s="1247"/>
      <c r="ACP362" s="1247"/>
      <c r="ACQ362" s="1247"/>
      <c r="ACR362" s="1247"/>
      <c r="ACS362" s="1247"/>
      <c r="ACT362" s="1247"/>
      <c r="ACU362" s="1247"/>
      <c r="ACV362" s="1247"/>
      <c r="ACW362" s="1247"/>
      <c r="ACX362" s="1247"/>
      <c r="ACY362" s="1247"/>
      <c r="ACZ362" s="1247"/>
      <c r="ADA362" s="1247"/>
      <c r="ADB362" s="1247"/>
      <c r="ADC362" s="1247"/>
      <c r="ADD362" s="1247"/>
      <c r="ADE362" s="1247"/>
      <c r="ADF362" s="1247"/>
      <c r="ADG362" s="1247"/>
    </row>
    <row r="363" spans="1:787" s="1273" customFormat="1" ht="13">
      <c r="A363" s="1247"/>
      <c r="C363" s="1392"/>
      <c r="D363" s="1495"/>
      <c r="E363" s="1496"/>
      <c r="F363" s="1497"/>
      <c r="G363" s="1312"/>
      <c r="H363" s="1288">
        <v>13381.454323</v>
      </c>
      <c r="I363" s="1288">
        <v>3744.5628019999999</v>
      </c>
      <c r="J363" s="1224">
        <v>21284.820485</v>
      </c>
      <c r="K363" s="1224"/>
      <c r="L363" s="1224">
        <v>559.11837600000001</v>
      </c>
      <c r="M363" s="1224">
        <v>559.11837600000001</v>
      </c>
      <c r="N363" s="1224"/>
      <c r="O363" s="1224"/>
      <c r="P363" s="1224">
        <v>16708.512347</v>
      </c>
      <c r="Q363" s="1224">
        <v>48916.539750999997</v>
      </c>
      <c r="R363" s="1224">
        <v>104595.008084</v>
      </c>
      <c r="S363" s="1224">
        <v>1239.4266224867799</v>
      </c>
      <c r="T363" s="1498">
        <v>105834.43470648699</v>
      </c>
      <c r="U363" s="1224"/>
      <c r="V363" s="1221"/>
      <c r="W363" s="1247"/>
      <c r="X363" s="1247"/>
      <c r="Y363" s="1247"/>
      <c r="Z363" s="1247"/>
      <c r="AA363" s="1247"/>
      <c r="AB363" s="1247"/>
      <c r="AC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c r="AX363" s="1247"/>
      <c r="AY363" s="1247"/>
      <c r="AZ363" s="1247"/>
      <c r="BA363" s="1247"/>
      <c r="BB363" s="1247"/>
      <c r="BC363" s="1247"/>
      <c r="BD363" s="1247"/>
      <c r="BE363" s="1247"/>
      <c r="BF363" s="1247"/>
      <c r="BG363" s="1247"/>
      <c r="BH363" s="1247"/>
      <c r="BI363" s="1247"/>
      <c r="BJ363" s="1247"/>
      <c r="BK363" s="1247"/>
      <c r="BL363" s="1247"/>
      <c r="BM363" s="1247"/>
      <c r="BN363" s="1247"/>
      <c r="BO363" s="1247"/>
      <c r="BP363" s="1247"/>
      <c r="BQ363" s="1247"/>
      <c r="BR363" s="1247"/>
      <c r="BS363" s="1247"/>
      <c r="BT363" s="1247"/>
      <c r="BU363" s="1247"/>
      <c r="BV363" s="1247"/>
      <c r="BW363" s="1247"/>
      <c r="BX363" s="1247"/>
      <c r="BY363" s="1247"/>
      <c r="BZ363" s="1247"/>
      <c r="CA363" s="1247"/>
      <c r="CB363" s="1247"/>
      <c r="CC363" s="1247"/>
      <c r="CD363" s="1247"/>
      <c r="CE363" s="1247"/>
      <c r="CF363" s="1247"/>
      <c r="CG363" s="1247"/>
      <c r="CH363" s="1247"/>
      <c r="CI363" s="1247"/>
      <c r="CJ363" s="1247"/>
      <c r="CK363" s="1247"/>
      <c r="CL363" s="1247"/>
      <c r="CM363" s="1247"/>
      <c r="CN363" s="1247"/>
      <c r="CO363" s="1247"/>
      <c r="CP363" s="1247"/>
      <c r="CQ363" s="1247"/>
      <c r="CR363" s="1247"/>
      <c r="CS363" s="1247"/>
      <c r="CT363" s="1247"/>
      <c r="CU363" s="1247"/>
      <c r="CV363" s="1247"/>
      <c r="CW363" s="1247"/>
      <c r="CX363" s="1247"/>
      <c r="CY363" s="1247"/>
      <c r="CZ363" s="1247"/>
      <c r="DA363" s="1247"/>
      <c r="DB363" s="1247"/>
      <c r="DC363" s="1247"/>
      <c r="DD363" s="1247"/>
      <c r="DE363" s="1247"/>
      <c r="DF363" s="1247"/>
      <c r="DG363" s="1247"/>
      <c r="DH363" s="1247"/>
      <c r="DI363" s="1247"/>
      <c r="DJ363" s="1247"/>
      <c r="DK363" s="1247"/>
      <c r="DL363" s="1247"/>
      <c r="DM363" s="1247"/>
      <c r="DN363" s="1247"/>
      <c r="DO363" s="1247"/>
      <c r="DP363" s="1247"/>
      <c r="DQ363" s="1247"/>
      <c r="DR363" s="1247"/>
      <c r="DS363" s="1247"/>
      <c r="DT363" s="1247"/>
      <c r="DU363" s="1247"/>
      <c r="DV363" s="1247"/>
      <c r="DW363" s="1247"/>
      <c r="DX363" s="1247"/>
      <c r="DY363" s="1247"/>
      <c r="DZ363" s="1247"/>
      <c r="EA363" s="1247"/>
      <c r="EB363" s="1247"/>
      <c r="EC363" s="1247"/>
      <c r="ED363" s="1247"/>
      <c r="EE363" s="1247"/>
      <c r="EF363" s="1247"/>
      <c r="EG363" s="1247"/>
      <c r="EH363" s="1247"/>
      <c r="EI363" s="1247"/>
      <c r="EJ363" s="1247"/>
      <c r="EK363" s="1247"/>
      <c r="EL363" s="1247"/>
      <c r="EM363" s="1247"/>
      <c r="EN363" s="1247"/>
      <c r="EO363" s="1247"/>
      <c r="EP363" s="1247"/>
      <c r="EQ363" s="1247"/>
      <c r="ER363" s="1247"/>
      <c r="ES363" s="1247"/>
      <c r="ET363" s="1247"/>
      <c r="EU363" s="1247"/>
      <c r="EV363" s="1247"/>
      <c r="EW363" s="1247"/>
      <c r="EX363" s="1247"/>
      <c r="EY363" s="1247"/>
      <c r="EZ363" s="1247"/>
      <c r="FA363" s="1247"/>
      <c r="FB363" s="1247"/>
      <c r="FC363" s="1247"/>
      <c r="FD363" s="1247"/>
      <c r="FE363" s="1247"/>
      <c r="FF363" s="1247"/>
      <c r="FG363" s="1247"/>
      <c r="FH363" s="1247"/>
      <c r="FI363" s="1247"/>
      <c r="FJ363" s="1247"/>
      <c r="FK363" s="1247"/>
      <c r="FL363" s="1247"/>
      <c r="FM363" s="1247"/>
      <c r="FN363" s="1247"/>
      <c r="FO363" s="1247"/>
      <c r="FP363" s="1247"/>
      <c r="FQ363" s="1247"/>
      <c r="FR363" s="1247"/>
      <c r="FS363" s="1247"/>
      <c r="FT363" s="1247"/>
      <c r="FU363" s="1247"/>
      <c r="FV363" s="1247"/>
      <c r="FW363" s="1247"/>
      <c r="FX363" s="1247"/>
      <c r="FY363" s="1247"/>
      <c r="FZ363" s="1247"/>
      <c r="GA363" s="1247"/>
      <c r="GB363" s="1247"/>
      <c r="GC363" s="1247"/>
      <c r="GD363" s="1247"/>
      <c r="GE363" s="1247"/>
      <c r="GF363" s="1247"/>
      <c r="GG363" s="1247"/>
      <c r="GH363" s="1247"/>
      <c r="GI363" s="1247"/>
      <c r="GJ363" s="1247"/>
      <c r="GK363" s="1247"/>
      <c r="GL363" s="1247"/>
      <c r="GM363" s="1247"/>
      <c r="GN363" s="1247"/>
      <c r="GO363" s="1247"/>
      <c r="GP363" s="1247"/>
      <c r="GQ363" s="1247"/>
      <c r="GR363" s="1247"/>
      <c r="GS363" s="1247"/>
      <c r="GT363" s="1247"/>
      <c r="GU363" s="1247"/>
      <c r="GV363" s="1247"/>
      <c r="GW363" s="1247"/>
      <c r="GX363" s="1247"/>
      <c r="GY363" s="1247"/>
      <c r="GZ363" s="1247"/>
      <c r="HA363" s="1247"/>
      <c r="HB363" s="1247"/>
      <c r="HC363" s="1247"/>
      <c r="HD363" s="1247"/>
      <c r="HE363" s="1247"/>
      <c r="HF363" s="1247"/>
      <c r="HG363" s="1247"/>
      <c r="HH363" s="1247"/>
      <c r="HI363" s="1247"/>
      <c r="HJ363" s="1247"/>
      <c r="HK363" s="1247"/>
      <c r="HL363" s="1247"/>
      <c r="HM363" s="1247"/>
      <c r="HN363" s="1247"/>
      <c r="HO363" s="1247"/>
      <c r="HP363" s="1247"/>
      <c r="HQ363" s="1247"/>
      <c r="HR363" s="1247"/>
      <c r="HS363" s="1247"/>
      <c r="HT363" s="1247"/>
      <c r="HU363" s="1247"/>
      <c r="HV363" s="1247"/>
      <c r="HW363" s="1247"/>
      <c r="HX363" s="1247"/>
      <c r="HY363" s="1247"/>
      <c r="HZ363" s="1247"/>
      <c r="IA363" s="1247"/>
      <c r="IB363" s="1247"/>
      <c r="IC363" s="1247"/>
      <c r="ID363" s="1247"/>
      <c r="IE363" s="1247"/>
      <c r="IF363" s="1247"/>
      <c r="IG363" s="1247"/>
      <c r="IH363" s="1247"/>
      <c r="II363" s="1247"/>
      <c r="IJ363" s="1247"/>
      <c r="IK363" s="1247"/>
      <c r="IL363" s="1247"/>
      <c r="IM363" s="1247"/>
      <c r="IN363" s="1247"/>
      <c r="IO363" s="1247"/>
      <c r="IP363" s="1247"/>
      <c r="IQ363" s="1247"/>
      <c r="IR363" s="1247"/>
      <c r="IS363" s="1247"/>
      <c r="IT363" s="1247"/>
      <c r="IU363" s="1247"/>
      <c r="IV363" s="1247"/>
      <c r="IW363" s="1247"/>
      <c r="IX363" s="1247"/>
      <c r="IY363" s="1247"/>
      <c r="IZ363" s="1247"/>
      <c r="JA363" s="1247"/>
      <c r="JB363" s="1247"/>
      <c r="JC363" s="1247"/>
      <c r="JD363" s="1247"/>
      <c r="JE363" s="1247"/>
      <c r="JF363" s="1247"/>
      <c r="JG363" s="1247"/>
      <c r="JH363" s="1247"/>
      <c r="JI363" s="1247"/>
      <c r="JJ363" s="1247"/>
      <c r="JK363" s="1247"/>
      <c r="JL363" s="1247"/>
      <c r="JM363" s="1247"/>
      <c r="JN363" s="1247"/>
      <c r="JO363" s="1247"/>
      <c r="JP363" s="1247"/>
      <c r="JQ363" s="1247"/>
      <c r="JR363" s="1247"/>
      <c r="JS363" s="1247"/>
      <c r="JT363" s="1247"/>
      <c r="JU363" s="1247"/>
      <c r="JV363" s="1247"/>
      <c r="JW363" s="1247"/>
      <c r="JX363" s="1247"/>
      <c r="JY363" s="1247"/>
      <c r="JZ363" s="1247"/>
      <c r="KA363" s="1247"/>
      <c r="KB363" s="1247"/>
      <c r="KC363" s="1247"/>
      <c r="KD363" s="1247"/>
      <c r="KE363" s="1247"/>
      <c r="KF363" s="1247"/>
      <c r="KG363" s="1247"/>
      <c r="KH363" s="1247"/>
      <c r="KI363" s="1247"/>
      <c r="KJ363" s="1247"/>
      <c r="KK363" s="1247"/>
      <c r="KL363" s="1247"/>
      <c r="KM363" s="1247"/>
      <c r="KN363" s="1247"/>
      <c r="KO363" s="1247"/>
      <c r="KP363" s="1247"/>
      <c r="KQ363" s="1247"/>
      <c r="KR363" s="1247"/>
      <c r="KS363" s="1247"/>
      <c r="KT363" s="1247"/>
      <c r="KU363" s="1247"/>
      <c r="KV363" s="1247"/>
      <c r="KW363" s="1247"/>
      <c r="KX363" s="1247"/>
      <c r="KY363" s="1247"/>
      <c r="KZ363" s="1247"/>
      <c r="LA363" s="1247"/>
      <c r="LB363" s="1247"/>
      <c r="LC363" s="1247"/>
      <c r="LD363" s="1247"/>
      <c r="LE363" s="1247"/>
      <c r="LF363" s="1247"/>
      <c r="LG363" s="1247"/>
      <c r="LH363" s="1247"/>
      <c r="LI363" s="1247"/>
      <c r="LJ363" s="1247"/>
      <c r="LK363" s="1247"/>
      <c r="LL363" s="1247"/>
      <c r="LM363" s="1247"/>
      <c r="LN363" s="1247"/>
      <c r="LO363" s="1247"/>
      <c r="LP363" s="1247"/>
      <c r="LQ363" s="1247"/>
      <c r="LR363" s="1247"/>
      <c r="LS363" s="1247"/>
      <c r="LT363" s="1247"/>
      <c r="LU363" s="1247"/>
      <c r="LV363" s="1247"/>
      <c r="LW363" s="1247"/>
      <c r="LX363" s="1247"/>
      <c r="LY363" s="1247"/>
      <c r="LZ363" s="1247"/>
      <c r="MA363" s="1247"/>
      <c r="MB363" s="1247"/>
      <c r="MC363" s="1247"/>
      <c r="MD363" s="1247"/>
      <c r="ME363" s="1247"/>
      <c r="MF363" s="1247"/>
      <c r="MG363" s="1247"/>
      <c r="MH363" s="1247"/>
      <c r="MI363" s="1247"/>
      <c r="MJ363" s="1247"/>
      <c r="MK363" s="1247"/>
      <c r="ML363" s="1247"/>
      <c r="MM363" s="1247"/>
      <c r="MN363" s="1247"/>
      <c r="MO363" s="1247"/>
      <c r="MP363" s="1247"/>
      <c r="MQ363" s="1247"/>
      <c r="MR363" s="1247"/>
      <c r="MS363" s="1247"/>
      <c r="MT363" s="1247"/>
      <c r="MU363" s="1247"/>
      <c r="MV363" s="1247"/>
      <c r="MW363" s="1247"/>
      <c r="MX363" s="1247"/>
      <c r="MY363" s="1247"/>
      <c r="MZ363" s="1247"/>
      <c r="NA363" s="1247"/>
      <c r="NB363" s="1247"/>
      <c r="NC363" s="1247"/>
      <c r="ND363" s="1247"/>
      <c r="NE363" s="1247"/>
      <c r="NF363" s="1247"/>
      <c r="NG363" s="1247"/>
      <c r="NH363" s="1247"/>
      <c r="NI363" s="1247"/>
      <c r="NJ363" s="1247"/>
      <c r="NK363" s="1247"/>
      <c r="NL363" s="1247"/>
      <c r="NM363" s="1247"/>
      <c r="NN363" s="1247"/>
      <c r="NO363" s="1247"/>
      <c r="NP363" s="1247"/>
      <c r="NQ363" s="1247"/>
      <c r="NR363" s="1247"/>
      <c r="NS363" s="1247"/>
      <c r="NT363" s="1247"/>
      <c r="NU363" s="1247"/>
      <c r="NV363" s="1247"/>
      <c r="NW363" s="1247"/>
      <c r="NX363" s="1247"/>
      <c r="NY363" s="1247"/>
      <c r="NZ363" s="1247"/>
      <c r="OA363" s="1247"/>
      <c r="OB363" s="1247"/>
      <c r="OC363" s="1247"/>
      <c r="OD363" s="1247"/>
      <c r="OE363" s="1247"/>
      <c r="OF363" s="1247"/>
      <c r="OG363" s="1247"/>
      <c r="OH363" s="1247"/>
      <c r="OI363" s="1247"/>
      <c r="OJ363" s="1247"/>
      <c r="OK363" s="1247"/>
      <c r="OL363" s="1247"/>
      <c r="OM363" s="1247"/>
      <c r="ON363" s="1247"/>
      <c r="OO363" s="1247"/>
      <c r="OP363" s="1247"/>
      <c r="OQ363" s="1247"/>
      <c r="OR363" s="1247"/>
      <c r="OS363" s="1247"/>
      <c r="OT363" s="1247"/>
      <c r="OU363" s="1247"/>
      <c r="OV363" s="1247"/>
      <c r="OW363" s="1247"/>
      <c r="OX363" s="1247"/>
      <c r="OY363" s="1247"/>
      <c r="OZ363" s="1247"/>
      <c r="PA363" s="1247"/>
      <c r="PB363" s="1247"/>
      <c r="PC363" s="1247"/>
      <c r="PD363" s="1247"/>
      <c r="PE363" s="1247"/>
      <c r="PF363" s="1247"/>
      <c r="PG363" s="1247"/>
      <c r="PH363" s="1247"/>
      <c r="PI363" s="1247"/>
      <c r="PJ363" s="1247"/>
      <c r="PK363" s="1247"/>
      <c r="PL363" s="1247"/>
      <c r="PM363" s="1247"/>
      <c r="PN363" s="1247"/>
      <c r="PO363" s="1247"/>
      <c r="PP363" s="1247"/>
      <c r="PQ363" s="1247"/>
      <c r="PR363" s="1247"/>
      <c r="PS363" s="1247"/>
      <c r="PT363" s="1247"/>
      <c r="PU363" s="1247"/>
      <c r="PV363" s="1247"/>
      <c r="PW363" s="1247"/>
      <c r="PX363" s="1247"/>
      <c r="PY363" s="1247"/>
      <c r="PZ363" s="1247"/>
      <c r="QA363" s="1247"/>
      <c r="QB363" s="1247"/>
      <c r="QC363" s="1247"/>
      <c r="QD363" s="1247"/>
      <c r="QE363" s="1247"/>
      <c r="QF363" s="1247"/>
      <c r="QG363" s="1247"/>
      <c r="QH363" s="1247"/>
      <c r="QI363" s="1247"/>
      <c r="QJ363" s="1247"/>
      <c r="QK363" s="1247"/>
      <c r="QL363" s="1247"/>
      <c r="QM363" s="1247"/>
      <c r="QN363" s="1247"/>
      <c r="QO363" s="1247"/>
      <c r="QP363" s="1247"/>
      <c r="QQ363" s="1247"/>
      <c r="QR363" s="1247"/>
      <c r="QS363" s="1247"/>
      <c r="QT363" s="1247"/>
      <c r="QU363" s="1247"/>
      <c r="QV363" s="1247"/>
      <c r="QW363" s="1247"/>
      <c r="QX363" s="1247"/>
      <c r="QY363" s="1247"/>
      <c r="QZ363" s="1247"/>
      <c r="RA363" s="1247"/>
      <c r="RB363" s="1247"/>
      <c r="RC363" s="1247"/>
      <c r="RD363" s="1247"/>
      <c r="RE363" s="1247"/>
      <c r="RF363" s="1247"/>
      <c r="RG363" s="1247"/>
      <c r="RH363" s="1247"/>
      <c r="RI363" s="1247"/>
      <c r="RJ363" s="1247"/>
      <c r="RK363" s="1247"/>
      <c r="RL363" s="1247"/>
      <c r="RM363" s="1247"/>
      <c r="RN363" s="1247"/>
      <c r="RO363" s="1247"/>
      <c r="RP363" s="1247"/>
      <c r="RQ363" s="1247"/>
      <c r="RR363" s="1247"/>
      <c r="RS363" s="1247"/>
      <c r="RT363" s="1247"/>
      <c r="RU363" s="1247"/>
      <c r="RV363" s="1247"/>
      <c r="RW363" s="1247"/>
      <c r="RX363" s="1247"/>
      <c r="RY363" s="1247"/>
      <c r="RZ363" s="1247"/>
      <c r="SA363" s="1247"/>
      <c r="SB363" s="1247"/>
      <c r="SC363" s="1247"/>
      <c r="SD363" s="1247"/>
      <c r="SE363" s="1247"/>
      <c r="SF363" s="1247"/>
      <c r="SG363" s="1247"/>
      <c r="SH363" s="1247"/>
      <c r="SI363" s="1247"/>
      <c r="SJ363" s="1247"/>
      <c r="SK363" s="1247"/>
      <c r="SL363" s="1247"/>
      <c r="SM363" s="1247"/>
      <c r="SN363" s="1247"/>
      <c r="SO363" s="1247"/>
      <c r="SP363" s="1247"/>
      <c r="SQ363" s="1247"/>
      <c r="SR363" s="1247"/>
      <c r="SS363" s="1247"/>
      <c r="ST363" s="1247"/>
      <c r="SU363" s="1247"/>
      <c r="SV363" s="1247"/>
      <c r="SW363" s="1247"/>
      <c r="SX363" s="1247"/>
      <c r="SY363" s="1247"/>
      <c r="SZ363" s="1247"/>
      <c r="TA363" s="1247"/>
      <c r="TB363" s="1247"/>
      <c r="TC363" s="1247"/>
      <c r="TD363" s="1247"/>
      <c r="TE363" s="1247"/>
      <c r="TF363" s="1247"/>
      <c r="TG363" s="1247"/>
      <c r="TH363" s="1247"/>
      <c r="TI363" s="1247"/>
      <c r="TJ363" s="1247"/>
      <c r="TK363" s="1247"/>
      <c r="TL363" s="1247"/>
      <c r="TM363" s="1247"/>
      <c r="TN363" s="1247"/>
      <c r="TO363" s="1247"/>
      <c r="TP363" s="1247"/>
      <c r="TQ363" s="1247"/>
      <c r="TR363" s="1247"/>
      <c r="TS363" s="1247"/>
      <c r="TT363" s="1247"/>
      <c r="TU363" s="1247"/>
      <c r="TV363" s="1247"/>
      <c r="TW363" s="1247"/>
      <c r="TX363" s="1247"/>
      <c r="TY363" s="1247"/>
      <c r="TZ363" s="1247"/>
      <c r="UA363" s="1247"/>
      <c r="UB363" s="1247"/>
      <c r="UC363" s="1247"/>
      <c r="UD363" s="1247"/>
      <c r="UE363" s="1247"/>
      <c r="UF363" s="1247"/>
      <c r="UG363" s="1247"/>
      <c r="UH363" s="1247"/>
      <c r="UI363" s="1247"/>
      <c r="UJ363" s="1247"/>
      <c r="UK363" s="1247"/>
      <c r="UL363" s="1247"/>
      <c r="UM363" s="1247"/>
      <c r="UN363" s="1247"/>
      <c r="UO363" s="1247"/>
      <c r="UP363" s="1247"/>
      <c r="UQ363" s="1247"/>
      <c r="UR363" s="1247"/>
      <c r="US363" s="1247"/>
      <c r="UT363" s="1247"/>
      <c r="UU363" s="1247"/>
      <c r="UV363" s="1247"/>
      <c r="UW363" s="1247"/>
      <c r="UX363" s="1247"/>
      <c r="UY363" s="1247"/>
      <c r="UZ363" s="1247"/>
      <c r="VA363" s="1247"/>
      <c r="VB363" s="1247"/>
      <c r="VC363" s="1247"/>
      <c r="VD363" s="1247"/>
      <c r="VE363" s="1247"/>
      <c r="VF363" s="1247"/>
      <c r="VG363" s="1247"/>
      <c r="VH363" s="1247"/>
      <c r="VI363" s="1247"/>
      <c r="VJ363" s="1247"/>
      <c r="VK363" s="1247"/>
      <c r="VL363" s="1247"/>
      <c r="VM363" s="1247"/>
      <c r="VN363" s="1247"/>
      <c r="VO363" s="1247"/>
      <c r="VP363" s="1247"/>
      <c r="VQ363" s="1247"/>
      <c r="VR363" s="1247"/>
      <c r="VS363" s="1247"/>
      <c r="VT363" s="1247"/>
      <c r="VU363" s="1247"/>
      <c r="VV363" s="1247"/>
      <c r="VW363" s="1247"/>
      <c r="VX363" s="1247"/>
      <c r="VY363" s="1247"/>
      <c r="VZ363" s="1247"/>
      <c r="WA363" s="1247"/>
      <c r="WB363" s="1247"/>
      <c r="WC363" s="1247"/>
      <c r="WD363" s="1247"/>
      <c r="WE363" s="1247"/>
      <c r="WF363" s="1247"/>
      <c r="WG363" s="1247"/>
      <c r="WH363" s="1247"/>
      <c r="WI363" s="1247"/>
      <c r="WJ363" s="1247"/>
      <c r="WK363" s="1247"/>
      <c r="WL363" s="1247"/>
      <c r="WM363" s="1247"/>
      <c r="WN363" s="1247"/>
      <c r="WO363" s="1247"/>
      <c r="WP363" s="1247"/>
      <c r="WQ363" s="1247"/>
      <c r="WR363" s="1247"/>
      <c r="WS363" s="1247"/>
      <c r="WT363" s="1247"/>
      <c r="WU363" s="1247"/>
      <c r="WV363" s="1247"/>
      <c r="WW363" s="1247"/>
      <c r="WX363" s="1247"/>
      <c r="WY363" s="1247"/>
      <c r="WZ363" s="1247"/>
      <c r="XA363" s="1247"/>
      <c r="XB363" s="1247"/>
      <c r="XC363" s="1247"/>
      <c r="XD363" s="1247"/>
      <c r="XE363" s="1247"/>
      <c r="XF363" s="1247"/>
      <c r="XG363" s="1247"/>
      <c r="XH363" s="1247"/>
      <c r="XI363" s="1247"/>
      <c r="XJ363" s="1247"/>
      <c r="XK363" s="1247"/>
      <c r="XL363" s="1247"/>
      <c r="XM363" s="1247"/>
      <c r="XN363" s="1247"/>
      <c r="XO363" s="1247"/>
      <c r="XP363" s="1247"/>
      <c r="XQ363" s="1247"/>
      <c r="XR363" s="1247"/>
      <c r="XS363" s="1247"/>
      <c r="XT363" s="1247"/>
      <c r="XU363" s="1247"/>
      <c r="XV363" s="1247"/>
      <c r="XW363" s="1247"/>
      <c r="XX363" s="1247"/>
      <c r="XY363" s="1247"/>
      <c r="XZ363" s="1247"/>
      <c r="YA363" s="1247"/>
      <c r="YB363" s="1247"/>
      <c r="YC363" s="1247"/>
      <c r="YD363" s="1247"/>
      <c r="YE363" s="1247"/>
      <c r="YF363" s="1247"/>
      <c r="YG363" s="1247"/>
      <c r="YH363" s="1247"/>
      <c r="YI363" s="1247"/>
      <c r="YJ363" s="1247"/>
      <c r="YK363" s="1247"/>
      <c r="YL363" s="1247"/>
      <c r="YM363" s="1247"/>
      <c r="YN363" s="1247"/>
      <c r="YO363" s="1247"/>
      <c r="YP363" s="1247"/>
      <c r="YQ363" s="1247"/>
      <c r="YR363" s="1247"/>
      <c r="YS363" s="1247"/>
      <c r="YT363" s="1247"/>
      <c r="YU363" s="1247"/>
      <c r="YV363" s="1247"/>
      <c r="YW363" s="1247"/>
      <c r="YX363" s="1247"/>
      <c r="YY363" s="1247"/>
      <c r="YZ363" s="1247"/>
      <c r="ZA363" s="1247"/>
      <c r="ZB363" s="1247"/>
      <c r="ZC363" s="1247"/>
      <c r="ZD363" s="1247"/>
      <c r="ZE363" s="1247"/>
      <c r="ZF363" s="1247"/>
      <c r="ZG363" s="1247"/>
      <c r="ZH363" s="1247"/>
      <c r="ZI363" s="1247"/>
      <c r="ZJ363" s="1247"/>
      <c r="ZK363" s="1247"/>
      <c r="ZL363" s="1247"/>
      <c r="ZM363" s="1247"/>
      <c r="ZN363" s="1247"/>
      <c r="ZO363" s="1247"/>
      <c r="ZP363" s="1247"/>
      <c r="ZQ363" s="1247"/>
      <c r="ZR363" s="1247"/>
      <c r="ZS363" s="1247"/>
      <c r="ZT363" s="1247"/>
      <c r="ZU363" s="1247"/>
      <c r="ZV363" s="1247"/>
      <c r="ZW363" s="1247"/>
      <c r="ZX363" s="1247"/>
      <c r="ZY363" s="1247"/>
      <c r="ZZ363" s="1247"/>
      <c r="AAA363" s="1247"/>
      <c r="AAB363" s="1247"/>
      <c r="AAC363" s="1247"/>
      <c r="AAD363" s="1247"/>
      <c r="AAE363" s="1247"/>
      <c r="AAF363" s="1247"/>
      <c r="AAG363" s="1247"/>
      <c r="AAH363" s="1247"/>
      <c r="AAI363" s="1247"/>
      <c r="AAJ363" s="1247"/>
      <c r="AAK363" s="1247"/>
      <c r="AAL363" s="1247"/>
      <c r="AAM363" s="1247"/>
      <c r="AAN363" s="1247"/>
      <c r="AAO363" s="1247"/>
      <c r="AAP363" s="1247"/>
      <c r="AAQ363" s="1247"/>
      <c r="AAR363" s="1247"/>
      <c r="AAS363" s="1247"/>
      <c r="AAT363" s="1247"/>
      <c r="AAU363" s="1247"/>
      <c r="AAV363" s="1247"/>
      <c r="AAW363" s="1247"/>
      <c r="AAX363" s="1247"/>
      <c r="AAY363" s="1247"/>
      <c r="AAZ363" s="1247"/>
      <c r="ABA363" s="1247"/>
      <c r="ABB363" s="1247"/>
      <c r="ABC363" s="1247"/>
      <c r="ABD363" s="1247"/>
      <c r="ABE363" s="1247"/>
      <c r="ABF363" s="1247"/>
      <c r="ABG363" s="1247"/>
      <c r="ABH363" s="1247"/>
      <c r="ABI363" s="1247"/>
      <c r="ABJ363" s="1247"/>
      <c r="ABK363" s="1247"/>
      <c r="ABL363" s="1247"/>
      <c r="ABM363" s="1247"/>
      <c r="ABN363" s="1247"/>
      <c r="ABO363" s="1247"/>
      <c r="ABP363" s="1247"/>
      <c r="ABQ363" s="1247"/>
      <c r="ABR363" s="1247"/>
      <c r="ABS363" s="1247"/>
      <c r="ABT363" s="1247"/>
      <c r="ABU363" s="1247"/>
      <c r="ABV363" s="1247"/>
      <c r="ABW363" s="1247"/>
      <c r="ABX363" s="1247"/>
      <c r="ABY363" s="1247"/>
      <c r="ABZ363" s="1247"/>
      <c r="ACA363" s="1247"/>
      <c r="ACB363" s="1247"/>
      <c r="ACC363" s="1247"/>
      <c r="ACD363" s="1247"/>
      <c r="ACE363" s="1247"/>
      <c r="ACF363" s="1247"/>
      <c r="ACG363" s="1247"/>
      <c r="ACH363" s="1247"/>
      <c r="ACI363" s="1247"/>
      <c r="ACJ363" s="1247"/>
      <c r="ACK363" s="1247"/>
      <c r="ACL363" s="1247"/>
      <c r="ACM363" s="1247"/>
      <c r="ACN363" s="1247"/>
      <c r="ACO363" s="1247"/>
      <c r="ACP363" s="1247"/>
      <c r="ACQ363" s="1247"/>
      <c r="ACR363" s="1247"/>
      <c r="ACS363" s="1247"/>
      <c r="ACT363" s="1247"/>
      <c r="ACU363" s="1247"/>
      <c r="ACV363" s="1247"/>
      <c r="ACW363" s="1247"/>
      <c r="ACX363" s="1247"/>
      <c r="ACY363" s="1247"/>
      <c r="ACZ363" s="1247"/>
      <c r="ADA363" s="1247"/>
      <c r="ADB363" s="1247"/>
      <c r="ADC363" s="1247"/>
      <c r="ADD363" s="1247"/>
      <c r="ADE363" s="1247"/>
      <c r="ADF363" s="1247"/>
      <c r="ADG363" s="1247"/>
    </row>
    <row r="364" spans="1:787" s="1273" customFormat="1" ht="13.5" thickBot="1">
      <c r="A364" s="1247"/>
      <c r="C364" s="1392"/>
      <c r="D364" s="1495"/>
      <c r="E364" s="1496"/>
      <c r="F364" s="1497"/>
      <c r="G364" s="1312"/>
      <c r="H364" s="1288">
        <f>H356-H363</f>
        <v>-4655.0062160000016</v>
      </c>
      <c r="I364" s="1288">
        <f t="shared" ref="I364:T364" si="92">I356-I363</f>
        <v>-3744.5628019999999</v>
      </c>
      <c r="J364" s="1288">
        <f t="shared" si="92"/>
        <v>-5084.5051509999976</v>
      </c>
      <c r="K364" s="1288"/>
      <c r="L364" s="1288">
        <f t="shared" si="92"/>
        <v>-34.102721999999972</v>
      </c>
      <c r="M364" s="1288">
        <f t="shared" si="92"/>
        <v>-155.64291000000014</v>
      </c>
      <c r="N364" s="1288">
        <f t="shared" si="92"/>
        <v>3999.6917109999999</v>
      </c>
      <c r="O364" s="1288">
        <f t="shared" si="92"/>
        <v>0</v>
      </c>
      <c r="P364" s="1288">
        <f t="shared" si="92"/>
        <v>5500.198634999997</v>
      </c>
      <c r="Q364" s="1288">
        <f t="shared" ca="1" si="92"/>
        <v>-31350.551905632856</v>
      </c>
      <c r="R364" s="1288">
        <f t="shared" ca="1" si="92"/>
        <v>-34965.362984632826</v>
      </c>
      <c r="S364" s="1288">
        <f t="shared" si="92"/>
        <v>35504.84024402636</v>
      </c>
      <c r="T364" s="1288">
        <f t="shared" ca="1" si="92"/>
        <v>539.47725939330121</v>
      </c>
      <c r="U364" s="1224"/>
      <c r="V364" s="1221"/>
      <c r="W364" s="1247"/>
      <c r="X364" s="1247"/>
      <c r="Y364" s="1247"/>
      <c r="Z364" s="1247"/>
      <c r="AA364" s="1247"/>
      <c r="AB364" s="1247"/>
      <c r="AC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c r="AX364" s="1247"/>
      <c r="AY364" s="1247"/>
      <c r="AZ364" s="1247"/>
      <c r="BA364" s="1247"/>
      <c r="BB364" s="1247"/>
      <c r="BC364" s="1247"/>
      <c r="BD364" s="1247"/>
      <c r="BE364" s="1247"/>
      <c r="BF364" s="1247"/>
      <c r="BG364" s="1247"/>
      <c r="BH364" s="1247"/>
      <c r="BI364" s="1247"/>
      <c r="BJ364" s="1247"/>
      <c r="BK364" s="1247"/>
      <c r="BL364" s="1247"/>
      <c r="BM364" s="1247"/>
      <c r="BN364" s="1247"/>
      <c r="BO364" s="1247"/>
      <c r="BP364" s="1247"/>
      <c r="BQ364" s="1247"/>
      <c r="BR364" s="1247"/>
      <c r="BS364" s="1247"/>
      <c r="BT364" s="1247"/>
      <c r="BU364" s="1247"/>
      <c r="BV364" s="1247"/>
      <c r="BW364" s="1247"/>
      <c r="BX364" s="1247"/>
      <c r="BY364" s="1247"/>
      <c r="BZ364" s="1247"/>
      <c r="CA364" s="1247"/>
      <c r="CB364" s="1247"/>
      <c r="CC364" s="1247"/>
      <c r="CD364" s="1247"/>
      <c r="CE364" s="1247"/>
      <c r="CF364" s="1247"/>
      <c r="CG364" s="1247"/>
      <c r="CH364" s="1247"/>
      <c r="CI364" s="1247"/>
      <c r="CJ364" s="1247"/>
      <c r="CK364" s="1247"/>
      <c r="CL364" s="1247"/>
      <c r="CM364" s="1247"/>
      <c r="CN364" s="1247"/>
      <c r="CO364" s="1247"/>
      <c r="CP364" s="1247"/>
      <c r="CQ364" s="1247"/>
      <c r="CR364" s="1247"/>
      <c r="CS364" s="1247"/>
      <c r="CT364" s="1247"/>
      <c r="CU364" s="1247"/>
      <c r="CV364" s="1247"/>
      <c r="CW364" s="1247"/>
      <c r="CX364" s="1247"/>
      <c r="CY364" s="1247"/>
      <c r="CZ364" s="1247"/>
      <c r="DA364" s="1247"/>
      <c r="DB364" s="1247"/>
      <c r="DC364" s="1247"/>
      <c r="DD364" s="1247"/>
      <c r="DE364" s="1247"/>
      <c r="DF364" s="1247"/>
      <c r="DG364" s="1247"/>
      <c r="DH364" s="1247"/>
      <c r="DI364" s="1247"/>
      <c r="DJ364" s="1247"/>
      <c r="DK364" s="1247"/>
      <c r="DL364" s="1247"/>
      <c r="DM364" s="1247"/>
      <c r="DN364" s="1247"/>
      <c r="DO364" s="1247"/>
      <c r="DP364" s="1247"/>
      <c r="DQ364" s="1247"/>
      <c r="DR364" s="1247"/>
      <c r="DS364" s="1247"/>
      <c r="DT364" s="1247"/>
      <c r="DU364" s="1247"/>
      <c r="DV364" s="1247"/>
      <c r="DW364" s="1247"/>
      <c r="DX364" s="1247"/>
      <c r="DY364" s="1247"/>
      <c r="DZ364" s="1247"/>
      <c r="EA364" s="1247"/>
      <c r="EB364" s="1247"/>
      <c r="EC364" s="1247"/>
      <c r="ED364" s="1247"/>
      <c r="EE364" s="1247"/>
      <c r="EF364" s="1247"/>
      <c r="EG364" s="1247"/>
      <c r="EH364" s="1247"/>
      <c r="EI364" s="1247"/>
      <c r="EJ364" s="1247"/>
      <c r="EK364" s="1247"/>
      <c r="EL364" s="1247"/>
      <c r="EM364" s="1247"/>
      <c r="EN364" s="1247"/>
      <c r="EO364" s="1247"/>
      <c r="EP364" s="1247"/>
      <c r="EQ364" s="1247"/>
      <c r="ER364" s="1247"/>
      <c r="ES364" s="1247"/>
      <c r="ET364" s="1247"/>
      <c r="EU364" s="1247"/>
      <c r="EV364" s="1247"/>
      <c r="EW364" s="1247"/>
      <c r="EX364" s="1247"/>
      <c r="EY364" s="1247"/>
      <c r="EZ364" s="1247"/>
      <c r="FA364" s="1247"/>
      <c r="FB364" s="1247"/>
      <c r="FC364" s="1247"/>
      <c r="FD364" s="1247"/>
      <c r="FE364" s="1247"/>
      <c r="FF364" s="1247"/>
      <c r="FG364" s="1247"/>
      <c r="FH364" s="1247"/>
      <c r="FI364" s="1247"/>
      <c r="FJ364" s="1247"/>
      <c r="FK364" s="1247"/>
      <c r="FL364" s="1247"/>
      <c r="FM364" s="1247"/>
      <c r="FN364" s="1247"/>
      <c r="FO364" s="1247"/>
      <c r="FP364" s="1247"/>
      <c r="FQ364" s="1247"/>
      <c r="FR364" s="1247"/>
      <c r="FS364" s="1247"/>
      <c r="FT364" s="1247"/>
      <c r="FU364" s="1247"/>
      <c r="FV364" s="1247"/>
      <c r="FW364" s="1247"/>
      <c r="FX364" s="1247"/>
      <c r="FY364" s="1247"/>
      <c r="FZ364" s="1247"/>
      <c r="GA364" s="1247"/>
      <c r="GB364" s="1247"/>
      <c r="GC364" s="1247"/>
      <c r="GD364" s="1247"/>
      <c r="GE364" s="1247"/>
      <c r="GF364" s="1247"/>
      <c r="GG364" s="1247"/>
      <c r="GH364" s="1247"/>
      <c r="GI364" s="1247"/>
      <c r="GJ364" s="1247"/>
      <c r="GK364" s="1247"/>
      <c r="GL364" s="1247"/>
      <c r="GM364" s="1247"/>
      <c r="GN364" s="1247"/>
      <c r="GO364" s="1247"/>
      <c r="GP364" s="1247"/>
      <c r="GQ364" s="1247"/>
      <c r="GR364" s="1247"/>
      <c r="GS364" s="1247"/>
      <c r="GT364" s="1247"/>
      <c r="GU364" s="1247"/>
      <c r="GV364" s="1247"/>
      <c r="GW364" s="1247"/>
      <c r="GX364" s="1247"/>
      <c r="GY364" s="1247"/>
      <c r="GZ364" s="1247"/>
      <c r="HA364" s="1247"/>
      <c r="HB364" s="1247"/>
      <c r="HC364" s="1247"/>
      <c r="HD364" s="1247"/>
      <c r="HE364" s="1247"/>
      <c r="HF364" s="1247"/>
      <c r="HG364" s="1247"/>
      <c r="HH364" s="1247"/>
      <c r="HI364" s="1247"/>
      <c r="HJ364" s="1247"/>
      <c r="HK364" s="1247"/>
      <c r="HL364" s="1247"/>
      <c r="HM364" s="1247"/>
      <c r="HN364" s="1247"/>
      <c r="HO364" s="1247"/>
      <c r="HP364" s="1247"/>
      <c r="HQ364" s="1247"/>
      <c r="HR364" s="1247"/>
      <c r="HS364" s="1247"/>
      <c r="HT364" s="1247"/>
      <c r="HU364" s="1247"/>
      <c r="HV364" s="1247"/>
      <c r="HW364" s="1247"/>
      <c r="HX364" s="1247"/>
      <c r="HY364" s="1247"/>
      <c r="HZ364" s="1247"/>
      <c r="IA364" s="1247"/>
      <c r="IB364" s="1247"/>
      <c r="IC364" s="1247"/>
      <c r="ID364" s="1247"/>
      <c r="IE364" s="1247"/>
      <c r="IF364" s="1247"/>
      <c r="IG364" s="1247"/>
      <c r="IH364" s="1247"/>
      <c r="II364" s="1247"/>
      <c r="IJ364" s="1247"/>
      <c r="IK364" s="1247"/>
      <c r="IL364" s="1247"/>
      <c r="IM364" s="1247"/>
      <c r="IN364" s="1247"/>
      <c r="IO364" s="1247"/>
      <c r="IP364" s="1247"/>
      <c r="IQ364" s="1247"/>
      <c r="IR364" s="1247"/>
      <c r="IS364" s="1247"/>
      <c r="IT364" s="1247"/>
      <c r="IU364" s="1247"/>
      <c r="IV364" s="1247"/>
      <c r="IW364" s="1247"/>
      <c r="IX364" s="1247"/>
      <c r="IY364" s="1247"/>
      <c r="IZ364" s="1247"/>
      <c r="JA364" s="1247"/>
      <c r="JB364" s="1247"/>
      <c r="JC364" s="1247"/>
      <c r="JD364" s="1247"/>
      <c r="JE364" s="1247"/>
      <c r="JF364" s="1247"/>
      <c r="JG364" s="1247"/>
      <c r="JH364" s="1247"/>
      <c r="JI364" s="1247"/>
      <c r="JJ364" s="1247"/>
      <c r="JK364" s="1247"/>
      <c r="JL364" s="1247"/>
      <c r="JM364" s="1247"/>
      <c r="JN364" s="1247"/>
      <c r="JO364" s="1247"/>
      <c r="JP364" s="1247"/>
      <c r="JQ364" s="1247"/>
      <c r="JR364" s="1247"/>
      <c r="JS364" s="1247"/>
      <c r="JT364" s="1247"/>
      <c r="JU364" s="1247"/>
      <c r="JV364" s="1247"/>
      <c r="JW364" s="1247"/>
      <c r="JX364" s="1247"/>
      <c r="JY364" s="1247"/>
      <c r="JZ364" s="1247"/>
      <c r="KA364" s="1247"/>
      <c r="KB364" s="1247"/>
      <c r="KC364" s="1247"/>
      <c r="KD364" s="1247"/>
      <c r="KE364" s="1247"/>
      <c r="KF364" s="1247"/>
      <c r="KG364" s="1247"/>
      <c r="KH364" s="1247"/>
      <c r="KI364" s="1247"/>
      <c r="KJ364" s="1247"/>
      <c r="KK364" s="1247"/>
      <c r="KL364" s="1247"/>
      <c r="KM364" s="1247"/>
      <c r="KN364" s="1247"/>
      <c r="KO364" s="1247"/>
      <c r="KP364" s="1247"/>
      <c r="KQ364" s="1247"/>
      <c r="KR364" s="1247"/>
      <c r="KS364" s="1247"/>
      <c r="KT364" s="1247"/>
      <c r="KU364" s="1247"/>
      <c r="KV364" s="1247"/>
      <c r="KW364" s="1247"/>
      <c r="KX364" s="1247"/>
      <c r="KY364" s="1247"/>
      <c r="KZ364" s="1247"/>
      <c r="LA364" s="1247"/>
      <c r="LB364" s="1247"/>
      <c r="LC364" s="1247"/>
      <c r="LD364" s="1247"/>
      <c r="LE364" s="1247"/>
      <c r="LF364" s="1247"/>
      <c r="LG364" s="1247"/>
      <c r="LH364" s="1247"/>
      <c r="LI364" s="1247"/>
      <c r="LJ364" s="1247"/>
      <c r="LK364" s="1247"/>
      <c r="LL364" s="1247"/>
      <c r="LM364" s="1247"/>
      <c r="LN364" s="1247"/>
      <c r="LO364" s="1247"/>
      <c r="LP364" s="1247"/>
      <c r="LQ364" s="1247"/>
      <c r="LR364" s="1247"/>
      <c r="LS364" s="1247"/>
      <c r="LT364" s="1247"/>
      <c r="LU364" s="1247"/>
      <c r="LV364" s="1247"/>
      <c r="LW364" s="1247"/>
      <c r="LX364" s="1247"/>
      <c r="LY364" s="1247"/>
      <c r="LZ364" s="1247"/>
      <c r="MA364" s="1247"/>
      <c r="MB364" s="1247"/>
      <c r="MC364" s="1247"/>
      <c r="MD364" s="1247"/>
      <c r="ME364" s="1247"/>
      <c r="MF364" s="1247"/>
      <c r="MG364" s="1247"/>
      <c r="MH364" s="1247"/>
      <c r="MI364" s="1247"/>
      <c r="MJ364" s="1247"/>
      <c r="MK364" s="1247"/>
      <c r="ML364" s="1247"/>
      <c r="MM364" s="1247"/>
      <c r="MN364" s="1247"/>
      <c r="MO364" s="1247"/>
      <c r="MP364" s="1247"/>
      <c r="MQ364" s="1247"/>
      <c r="MR364" s="1247"/>
      <c r="MS364" s="1247"/>
      <c r="MT364" s="1247"/>
      <c r="MU364" s="1247"/>
      <c r="MV364" s="1247"/>
      <c r="MW364" s="1247"/>
      <c r="MX364" s="1247"/>
      <c r="MY364" s="1247"/>
      <c r="MZ364" s="1247"/>
      <c r="NA364" s="1247"/>
      <c r="NB364" s="1247"/>
      <c r="NC364" s="1247"/>
      <c r="ND364" s="1247"/>
      <c r="NE364" s="1247"/>
      <c r="NF364" s="1247"/>
      <c r="NG364" s="1247"/>
      <c r="NH364" s="1247"/>
      <c r="NI364" s="1247"/>
      <c r="NJ364" s="1247"/>
      <c r="NK364" s="1247"/>
      <c r="NL364" s="1247"/>
      <c r="NM364" s="1247"/>
      <c r="NN364" s="1247"/>
      <c r="NO364" s="1247"/>
      <c r="NP364" s="1247"/>
      <c r="NQ364" s="1247"/>
      <c r="NR364" s="1247"/>
      <c r="NS364" s="1247"/>
      <c r="NT364" s="1247"/>
      <c r="NU364" s="1247"/>
      <c r="NV364" s="1247"/>
      <c r="NW364" s="1247"/>
      <c r="NX364" s="1247"/>
      <c r="NY364" s="1247"/>
      <c r="NZ364" s="1247"/>
      <c r="OA364" s="1247"/>
      <c r="OB364" s="1247"/>
      <c r="OC364" s="1247"/>
      <c r="OD364" s="1247"/>
      <c r="OE364" s="1247"/>
      <c r="OF364" s="1247"/>
      <c r="OG364" s="1247"/>
      <c r="OH364" s="1247"/>
      <c r="OI364" s="1247"/>
      <c r="OJ364" s="1247"/>
      <c r="OK364" s="1247"/>
      <c r="OL364" s="1247"/>
      <c r="OM364" s="1247"/>
      <c r="ON364" s="1247"/>
      <c r="OO364" s="1247"/>
      <c r="OP364" s="1247"/>
      <c r="OQ364" s="1247"/>
      <c r="OR364" s="1247"/>
      <c r="OS364" s="1247"/>
      <c r="OT364" s="1247"/>
      <c r="OU364" s="1247"/>
      <c r="OV364" s="1247"/>
      <c r="OW364" s="1247"/>
      <c r="OX364" s="1247"/>
      <c r="OY364" s="1247"/>
      <c r="OZ364" s="1247"/>
      <c r="PA364" s="1247"/>
      <c r="PB364" s="1247"/>
      <c r="PC364" s="1247"/>
      <c r="PD364" s="1247"/>
      <c r="PE364" s="1247"/>
      <c r="PF364" s="1247"/>
      <c r="PG364" s="1247"/>
      <c r="PH364" s="1247"/>
      <c r="PI364" s="1247"/>
      <c r="PJ364" s="1247"/>
      <c r="PK364" s="1247"/>
      <c r="PL364" s="1247"/>
      <c r="PM364" s="1247"/>
      <c r="PN364" s="1247"/>
      <c r="PO364" s="1247"/>
      <c r="PP364" s="1247"/>
      <c r="PQ364" s="1247"/>
      <c r="PR364" s="1247"/>
      <c r="PS364" s="1247"/>
      <c r="PT364" s="1247"/>
      <c r="PU364" s="1247"/>
      <c r="PV364" s="1247"/>
      <c r="PW364" s="1247"/>
      <c r="PX364" s="1247"/>
      <c r="PY364" s="1247"/>
      <c r="PZ364" s="1247"/>
      <c r="QA364" s="1247"/>
      <c r="QB364" s="1247"/>
      <c r="QC364" s="1247"/>
      <c r="QD364" s="1247"/>
      <c r="QE364" s="1247"/>
      <c r="QF364" s="1247"/>
      <c r="QG364" s="1247"/>
      <c r="QH364" s="1247"/>
      <c r="QI364" s="1247"/>
      <c r="QJ364" s="1247"/>
      <c r="QK364" s="1247"/>
      <c r="QL364" s="1247"/>
      <c r="QM364" s="1247"/>
      <c r="QN364" s="1247"/>
      <c r="QO364" s="1247"/>
      <c r="QP364" s="1247"/>
      <c r="QQ364" s="1247"/>
      <c r="QR364" s="1247"/>
      <c r="QS364" s="1247"/>
      <c r="QT364" s="1247"/>
      <c r="QU364" s="1247"/>
      <c r="QV364" s="1247"/>
      <c r="QW364" s="1247"/>
      <c r="QX364" s="1247"/>
      <c r="QY364" s="1247"/>
      <c r="QZ364" s="1247"/>
      <c r="RA364" s="1247"/>
      <c r="RB364" s="1247"/>
      <c r="RC364" s="1247"/>
      <c r="RD364" s="1247"/>
      <c r="RE364" s="1247"/>
      <c r="RF364" s="1247"/>
      <c r="RG364" s="1247"/>
      <c r="RH364" s="1247"/>
      <c r="RI364" s="1247"/>
      <c r="RJ364" s="1247"/>
      <c r="RK364" s="1247"/>
      <c r="RL364" s="1247"/>
      <c r="RM364" s="1247"/>
      <c r="RN364" s="1247"/>
      <c r="RO364" s="1247"/>
      <c r="RP364" s="1247"/>
      <c r="RQ364" s="1247"/>
      <c r="RR364" s="1247"/>
      <c r="RS364" s="1247"/>
      <c r="RT364" s="1247"/>
      <c r="RU364" s="1247"/>
      <c r="RV364" s="1247"/>
      <c r="RW364" s="1247"/>
      <c r="RX364" s="1247"/>
      <c r="RY364" s="1247"/>
      <c r="RZ364" s="1247"/>
      <c r="SA364" s="1247"/>
      <c r="SB364" s="1247"/>
      <c r="SC364" s="1247"/>
      <c r="SD364" s="1247"/>
      <c r="SE364" s="1247"/>
      <c r="SF364" s="1247"/>
      <c r="SG364" s="1247"/>
      <c r="SH364" s="1247"/>
      <c r="SI364" s="1247"/>
      <c r="SJ364" s="1247"/>
      <c r="SK364" s="1247"/>
      <c r="SL364" s="1247"/>
      <c r="SM364" s="1247"/>
      <c r="SN364" s="1247"/>
      <c r="SO364" s="1247"/>
      <c r="SP364" s="1247"/>
      <c r="SQ364" s="1247"/>
      <c r="SR364" s="1247"/>
      <c r="SS364" s="1247"/>
      <c r="ST364" s="1247"/>
      <c r="SU364" s="1247"/>
      <c r="SV364" s="1247"/>
      <c r="SW364" s="1247"/>
      <c r="SX364" s="1247"/>
      <c r="SY364" s="1247"/>
      <c r="SZ364" s="1247"/>
      <c r="TA364" s="1247"/>
      <c r="TB364" s="1247"/>
      <c r="TC364" s="1247"/>
      <c r="TD364" s="1247"/>
      <c r="TE364" s="1247"/>
      <c r="TF364" s="1247"/>
      <c r="TG364" s="1247"/>
      <c r="TH364" s="1247"/>
      <c r="TI364" s="1247"/>
      <c r="TJ364" s="1247"/>
      <c r="TK364" s="1247"/>
      <c r="TL364" s="1247"/>
      <c r="TM364" s="1247"/>
      <c r="TN364" s="1247"/>
      <c r="TO364" s="1247"/>
      <c r="TP364" s="1247"/>
      <c r="TQ364" s="1247"/>
      <c r="TR364" s="1247"/>
      <c r="TS364" s="1247"/>
      <c r="TT364" s="1247"/>
      <c r="TU364" s="1247"/>
      <c r="TV364" s="1247"/>
      <c r="TW364" s="1247"/>
      <c r="TX364" s="1247"/>
      <c r="TY364" s="1247"/>
      <c r="TZ364" s="1247"/>
      <c r="UA364" s="1247"/>
      <c r="UB364" s="1247"/>
      <c r="UC364" s="1247"/>
      <c r="UD364" s="1247"/>
      <c r="UE364" s="1247"/>
      <c r="UF364" s="1247"/>
      <c r="UG364" s="1247"/>
      <c r="UH364" s="1247"/>
      <c r="UI364" s="1247"/>
      <c r="UJ364" s="1247"/>
      <c r="UK364" s="1247"/>
      <c r="UL364" s="1247"/>
      <c r="UM364" s="1247"/>
      <c r="UN364" s="1247"/>
      <c r="UO364" s="1247"/>
      <c r="UP364" s="1247"/>
      <c r="UQ364" s="1247"/>
      <c r="UR364" s="1247"/>
      <c r="US364" s="1247"/>
      <c r="UT364" s="1247"/>
      <c r="UU364" s="1247"/>
      <c r="UV364" s="1247"/>
      <c r="UW364" s="1247"/>
      <c r="UX364" s="1247"/>
      <c r="UY364" s="1247"/>
      <c r="UZ364" s="1247"/>
      <c r="VA364" s="1247"/>
      <c r="VB364" s="1247"/>
      <c r="VC364" s="1247"/>
      <c r="VD364" s="1247"/>
      <c r="VE364" s="1247"/>
      <c r="VF364" s="1247"/>
      <c r="VG364" s="1247"/>
      <c r="VH364" s="1247"/>
      <c r="VI364" s="1247"/>
      <c r="VJ364" s="1247"/>
      <c r="VK364" s="1247"/>
      <c r="VL364" s="1247"/>
      <c r="VM364" s="1247"/>
      <c r="VN364" s="1247"/>
      <c r="VO364" s="1247"/>
      <c r="VP364" s="1247"/>
      <c r="VQ364" s="1247"/>
      <c r="VR364" s="1247"/>
      <c r="VS364" s="1247"/>
      <c r="VT364" s="1247"/>
      <c r="VU364" s="1247"/>
      <c r="VV364" s="1247"/>
      <c r="VW364" s="1247"/>
      <c r="VX364" s="1247"/>
      <c r="VY364" s="1247"/>
      <c r="VZ364" s="1247"/>
      <c r="WA364" s="1247"/>
      <c r="WB364" s="1247"/>
      <c r="WC364" s="1247"/>
      <c r="WD364" s="1247"/>
      <c r="WE364" s="1247"/>
      <c r="WF364" s="1247"/>
      <c r="WG364" s="1247"/>
      <c r="WH364" s="1247"/>
      <c r="WI364" s="1247"/>
      <c r="WJ364" s="1247"/>
      <c r="WK364" s="1247"/>
      <c r="WL364" s="1247"/>
      <c r="WM364" s="1247"/>
      <c r="WN364" s="1247"/>
      <c r="WO364" s="1247"/>
      <c r="WP364" s="1247"/>
      <c r="WQ364" s="1247"/>
      <c r="WR364" s="1247"/>
      <c r="WS364" s="1247"/>
      <c r="WT364" s="1247"/>
      <c r="WU364" s="1247"/>
      <c r="WV364" s="1247"/>
      <c r="WW364" s="1247"/>
      <c r="WX364" s="1247"/>
      <c r="WY364" s="1247"/>
      <c r="WZ364" s="1247"/>
      <c r="XA364" s="1247"/>
      <c r="XB364" s="1247"/>
      <c r="XC364" s="1247"/>
      <c r="XD364" s="1247"/>
      <c r="XE364" s="1247"/>
      <c r="XF364" s="1247"/>
      <c r="XG364" s="1247"/>
      <c r="XH364" s="1247"/>
      <c r="XI364" s="1247"/>
      <c r="XJ364" s="1247"/>
      <c r="XK364" s="1247"/>
      <c r="XL364" s="1247"/>
      <c r="XM364" s="1247"/>
      <c r="XN364" s="1247"/>
      <c r="XO364" s="1247"/>
      <c r="XP364" s="1247"/>
      <c r="XQ364" s="1247"/>
      <c r="XR364" s="1247"/>
      <c r="XS364" s="1247"/>
      <c r="XT364" s="1247"/>
      <c r="XU364" s="1247"/>
      <c r="XV364" s="1247"/>
      <c r="XW364" s="1247"/>
      <c r="XX364" s="1247"/>
      <c r="XY364" s="1247"/>
      <c r="XZ364" s="1247"/>
      <c r="YA364" s="1247"/>
      <c r="YB364" s="1247"/>
      <c r="YC364" s="1247"/>
      <c r="YD364" s="1247"/>
      <c r="YE364" s="1247"/>
      <c r="YF364" s="1247"/>
      <c r="YG364" s="1247"/>
      <c r="YH364" s="1247"/>
      <c r="YI364" s="1247"/>
      <c r="YJ364" s="1247"/>
      <c r="YK364" s="1247"/>
      <c r="YL364" s="1247"/>
      <c r="YM364" s="1247"/>
      <c r="YN364" s="1247"/>
      <c r="YO364" s="1247"/>
      <c r="YP364" s="1247"/>
      <c r="YQ364" s="1247"/>
      <c r="YR364" s="1247"/>
      <c r="YS364" s="1247"/>
      <c r="YT364" s="1247"/>
      <c r="YU364" s="1247"/>
      <c r="YV364" s="1247"/>
      <c r="YW364" s="1247"/>
      <c r="YX364" s="1247"/>
      <c r="YY364" s="1247"/>
      <c r="YZ364" s="1247"/>
      <c r="ZA364" s="1247"/>
      <c r="ZB364" s="1247"/>
      <c r="ZC364" s="1247"/>
      <c r="ZD364" s="1247"/>
      <c r="ZE364" s="1247"/>
      <c r="ZF364" s="1247"/>
      <c r="ZG364" s="1247"/>
      <c r="ZH364" s="1247"/>
      <c r="ZI364" s="1247"/>
      <c r="ZJ364" s="1247"/>
      <c r="ZK364" s="1247"/>
      <c r="ZL364" s="1247"/>
      <c r="ZM364" s="1247"/>
      <c r="ZN364" s="1247"/>
      <c r="ZO364" s="1247"/>
      <c r="ZP364" s="1247"/>
      <c r="ZQ364" s="1247"/>
      <c r="ZR364" s="1247"/>
      <c r="ZS364" s="1247"/>
      <c r="ZT364" s="1247"/>
      <c r="ZU364" s="1247"/>
      <c r="ZV364" s="1247"/>
      <c r="ZW364" s="1247"/>
      <c r="ZX364" s="1247"/>
      <c r="ZY364" s="1247"/>
      <c r="ZZ364" s="1247"/>
      <c r="AAA364" s="1247"/>
      <c r="AAB364" s="1247"/>
      <c r="AAC364" s="1247"/>
      <c r="AAD364" s="1247"/>
      <c r="AAE364" s="1247"/>
      <c r="AAF364" s="1247"/>
      <c r="AAG364" s="1247"/>
      <c r="AAH364" s="1247"/>
      <c r="AAI364" s="1247"/>
      <c r="AAJ364" s="1247"/>
      <c r="AAK364" s="1247"/>
      <c r="AAL364" s="1247"/>
      <c r="AAM364" s="1247"/>
      <c r="AAN364" s="1247"/>
      <c r="AAO364" s="1247"/>
      <c r="AAP364" s="1247"/>
      <c r="AAQ364" s="1247"/>
      <c r="AAR364" s="1247"/>
      <c r="AAS364" s="1247"/>
      <c r="AAT364" s="1247"/>
      <c r="AAU364" s="1247"/>
      <c r="AAV364" s="1247"/>
      <c r="AAW364" s="1247"/>
      <c r="AAX364" s="1247"/>
      <c r="AAY364" s="1247"/>
      <c r="AAZ364" s="1247"/>
      <c r="ABA364" s="1247"/>
      <c r="ABB364" s="1247"/>
      <c r="ABC364" s="1247"/>
      <c r="ABD364" s="1247"/>
      <c r="ABE364" s="1247"/>
      <c r="ABF364" s="1247"/>
      <c r="ABG364" s="1247"/>
      <c r="ABH364" s="1247"/>
      <c r="ABI364" s="1247"/>
      <c r="ABJ364" s="1247"/>
      <c r="ABK364" s="1247"/>
      <c r="ABL364" s="1247"/>
      <c r="ABM364" s="1247"/>
      <c r="ABN364" s="1247"/>
      <c r="ABO364" s="1247"/>
      <c r="ABP364" s="1247"/>
      <c r="ABQ364" s="1247"/>
      <c r="ABR364" s="1247"/>
      <c r="ABS364" s="1247"/>
      <c r="ABT364" s="1247"/>
      <c r="ABU364" s="1247"/>
      <c r="ABV364" s="1247"/>
      <c r="ABW364" s="1247"/>
      <c r="ABX364" s="1247"/>
      <c r="ABY364" s="1247"/>
      <c r="ABZ364" s="1247"/>
      <c r="ACA364" s="1247"/>
      <c r="ACB364" s="1247"/>
      <c r="ACC364" s="1247"/>
      <c r="ACD364" s="1247"/>
      <c r="ACE364" s="1247"/>
      <c r="ACF364" s="1247"/>
      <c r="ACG364" s="1247"/>
      <c r="ACH364" s="1247"/>
      <c r="ACI364" s="1247"/>
      <c r="ACJ364" s="1247"/>
      <c r="ACK364" s="1247"/>
      <c r="ACL364" s="1247"/>
      <c r="ACM364" s="1247"/>
      <c r="ACN364" s="1247"/>
      <c r="ACO364" s="1247"/>
      <c r="ACP364" s="1247"/>
      <c r="ACQ364" s="1247"/>
      <c r="ACR364" s="1247"/>
      <c r="ACS364" s="1247"/>
      <c r="ACT364" s="1247"/>
      <c r="ACU364" s="1247"/>
      <c r="ACV364" s="1247"/>
      <c r="ACW364" s="1247"/>
      <c r="ACX364" s="1247"/>
      <c r="ACY364" s="1247"/>
      <c r="ACZ364" s="1247"/>
      <c r="ADA364" s="1247"/>
      <c r="ADB364" s="1247"/>
      <c r="ADC364" s="1247"/>
      <c r="ADD364" s="1247"/>
      <c r="ADE364" s="1247"/>
      <c r="ADF364" s="1247"/>
      <c r="ADG364" s="1247"/>
    </row>
    <row r="365" spans="1:787" ht="13.5" customHeight="1">
      <c r="B365" s="1217"/>
      <c r="C365" s="2350" t="s">
        <v>358</v>
      </c>
      <c r="D365" s="1362" t="s">
        <v>3185</v>
      </c>
      <c r="E365" s="1499"/>
      <c r="F365" s="1500"/>
      <c r="G365" s="1499"/>
      <c r="H365" s="1315">
        <f>H356-车位!O209</f>
        <v>0</v>
      </c>
      <c r="I365" s="1315">
        <v>0</v>
      </c>
      <c r="J365" s="1315">
        <f>J356-高层!O203</f>
        <v>0</v>
      </c>
      <c r="K365" s="1315"/>
      <c r="L365" s="1315">
        <f>L356-配套用房!O203</f>
        <v>0</v>
      </c>
      <c r="M365" s="1315">
        <f>M356-临街商业!P203</f>
        <v>403.47546599999987</v>
      </c>
      <c r="N365" s="1315" t="e">
        <f>N356-人防车位!#REF!</f>
        <v>#REF!</v>
      </c>
      <c r="O365" s="1315">
        <f>O356-人才公寓销售!O203</f>
        <v>0</v>
      </c>
      <c r="P365" s="1315">
        <f>P356-小高层!O203</f>
        <v>0</v>
      </c>
      <c r="Q365" s="1315">
        <f ca="1">Q356-'当期公摊测算表（全期）'!O194</f>
        <v>-525.01565400000254</v>
      </c>
      <c r="R365" s="1315" t="e">
        <f ca="1">R356-#REF!</f>
        <v>#REF!</v>
      </c>
      <c r="S365" s="1315"/>
      <c r="T365" s="1498"/>
      <c r="U365" s="1224"/>
      <c r="V365" s="1221"/>
      <c r="W365" s="1221"/>
      <c r="X365" s="1221"/>
      <c r="Y365" s="1221"/>
    </row>
    <row r="366" spans="1:787" ht="13.5" customHeight="1">
      <c r="B366" s="1217"/>
      <c r="C366" s="2351"/>
      <c r="D366" s="1367" t="s">
        <v>3187</v>
      </c>
      <c r="E366" s="1499"/>
      <c r="F366" s="1500"/>
      <c r="G366" s="1499"/>
      <c r="H366" s="1315"/>
      <c r="I366" s="1315"/>
      <c r="J366" s="1224"/>
      <c r="K366" s="1224"/>
      <c r="L366" s="1224"/>
      <c r="M366" s="1224"/>
      <c r="N366" s="1224"/>
      <c r="O366" s="1224"/>
      <c r="P366" s="1224"/>
      <c r="Q366" s="1224"/>
      <c r="R366" s="1224"/>
      <c r="S366" s="1224"/>
      <c r="T366" s="1498"/>
      <c r="U366" s="1224"/>
      <c r="V366" s="1221"/>
      <c r="W366" s="1221"/>
      <c r="X366" s="1221"/>
      <c r="Y366" s="1221"/>
    </row>
    <row r="367" spans="1:787" ht="14.25" customHeight="1">
      <c r="B367" s="1217"/>
      <c r="C367" s="2351"/>
      <c r="D367" s="1371" t="s">
        <v>3189</v>
      </c>
      <c r="E367" s="1499"/>
      <c r="F367" s="1500"/>
      <c r="G367" s="1499"/>
      <c r="H367" s="1288"/>
      <c r="I367" s="1288"/>
      <c r="J367" s="1224"/>
      <c r="K367" s="1224"/>
      <c r="L367" s="1224"/>
      <c r="M367" s="1224"/>
      <c r="N367" s="1224"/>
      <c r="O367" s="1224"/>
      <c r="P367" s="1224"/>
      <c r="Q367" s="1224"/>
      <c r="R367" s="1224"/>
      <c r="S367" s="1224"/>
      <c r="T367" s="1224"/>
      <c r="U367" s="1224"/>
      <c r="V367" s="1221"/>
      <c r="W367" s="1221"/>
      <c r="X367" s="1221"/>
      <c r="Y367" s="1221"/>
    </row>
    <row r="368" spans="1:787">
      <c r="B368" s="1217"/>
      <c r="C368" s="2350" t="s">
        <v>3163</v>
      </c>
      <c r="D368" s="1376" t="s">
        <v>3191</v>
      </c>
      <c r="E368" s="1501"/>
      <c r="F368" s="1502"/>
      <c r="G368" s="1503"/>
      <c r="H368" s="1288"/>
      <c r="I368" s="1288"/>
      <c r="J368" s="1224"/>
      <c r="K368" s="1224"/>
      <c r="L368" s="1224"/>
      <c r="M368" s="1224"/>
      <c r="N368" s="1224"/>
      <c r="O368" s="1224"/>
      <c r="P368" s="1224"/>
      <c r="Q368" s="1224"/>
      <c r="R368" s="1224"/>
      <c r="S368" s="1224"/>
      <c r="T368" s="1224"/>
      <c r="U368" s="1224"/>
      <c r="V368" s="1221"/>
      <c r="W368" s="1221"/>
      <c r="X368" s="1221"/>
      <c r="Y368" s="1221"/>
    </row>
    <row r="369" spans="2:25">
      <c r="B369" s="1217"/>
      <c r="C369" s="2351"/>
      <c r="D369" s="1377" t="s">
        <v>3192</v>
      </c>
      <c r="E369" s="1501"/>
      <c r="F369" s="1502"/>
      <c r="G369" s="1503"/>
      <c r="H369" s="1288"/>
      <c r="I369" s="1288"/>
      <c r="J369" s="1224"/>
      <c r="K369" s="1224"/>
      <c r="L369" s="1224"/>
      <c r="M369" s="1224"/>
      <c r="N369" s="1224"/>
      <c r="O369" s="1224"/>
      <c r="P369" s="1224"/>
      <c r="Q369" s="1224"/>
      <c r="R369" s="1224"/>
      <c r="S369" s="1224"/>
      <c r="T369" s="1224"/>
      <c r="U369" s="1224"/>
      <c r="V369" s="1221"/>
      <c r="W369" s="1221"/>
      <c r="X369" s="1221"/>
      <c r="Y369" s="1221"/>
    </row>
    <row r="370" spans="2:25">
      <c r="B370" s="1217"/>
      <c r="C370" s="2351"/>
      <c r="D370" s="1378" t="s">
        <v>53</v>
      </c>
      <c r="E370" s="1501"/>
      <c r="F370" s="1502"/>
      <c r="G370" s="1503"/>
      <c r="H370" s="1315"/>
      <c r="I370" s="1315"/>
      <c r="J370" s="1224"/>
      <c r="K370" s="1224"/>
      <c r="L370" s="1224"/>
      <c r="M370" s="1224"/>
      <c r="N370" s="1224"/>
      <c r="O370" s="1224"/>
      <c r="P370" s="1224"/>
      <c r="Q370" s="1224"/>
      <c r="R370" s="1224"/>
      <c r="S370" s="1224"/>
      <c r="T370" s="1224"/>
      <c r="U370" s="1224"/>
      <c r="V370" s="1221"/>
      <c r="W370" s="1221"/>
      <c r="X370" s="1221"/>
      <c r="Y370" s="1221"/>
    </row>
    <row r="371" spans="2:25">
      <c r="B371" s="1217"/>
      <c r="C371" s="2351"/>
      <c r="D371" s="1379" t="s">
        <v>3193</v>
      </c>
      <c r="E371" s="1503"/>
      <c r="F371" s="1502"/>
      <c r="G371" s="1503"/>
      <c r="H371" s="1315"/>
      <c r="I371" s="1315"/>
      <c r="J371" s="1224"/>
      <c r="K371" s="1224"/>
      <c r="L371" s="1224"/>
      <c r="M371" s="1224"/>
      <c r="N371" s="1224"/>
      <c r="O371" s="1224"/>
      <c r="P371" s="1224"/>
      <c r="Q371" s="1224"/>
      <c r="R371" s="1224"/>
      <c r="S371" s="1224"/>
      <c r="T371" s="1224"/>
      <c r="U371" s="1224"/>
      <c r="V371" s="1221"/>
      <c r="W371" s="1221"/>
      <c r="X371" s="1221"/>
      <c r="Y371" s="1221"/>
    </row>
    <row r="372" spans="2:25">
      <c r="B372" s="1217"/>
      <c r="C372" s="2351"/>
      <c r="D372" s="1379" t="s">
        <v>3194</v>
      </c>
      <c r="E372" s="1503"/>
      <c r="F372" s="1502"/>
      <c r="G372" s="1503"/>
      <c r="H372" s="1315"/>
      <c r="I372" s="1315"/>
      <c r="J372" s="1224"/>
      <c r="K372" s="1224"/>
      <c r="L372" s="1224"/>
      <c r="M372" s="1224"/>
      <c r="N372" s="1224"/>
      <c r="O372" s="1224"/>
      <c r="P372" s="1224"/>
      <c r="Q372" s="1224"/>
      <c r="R372" s="1224"/>
      <c r="S372" s="1224"/>
      <c r="T372" s="1224"/>
      <c r="U372" s="1224"/>
      <c r="V372" s="1221"/>
      <c r="W372" s="1221"/>
      <c r="X372" s="1221"/>
      <c r="Y372" s="1221"/>
    </row>
    <row r="373" spans="2:25">
      <c r="C373" s="2351"/>
      <c r="D373" s="1380" t="s">
        <v>3195</v>
      </c>
      <c r="E373" s="1501"/>
      <c r="F373" s="1502"/>
      <c r="G373" s="1503"/>
      <c r="H373" s="1315"/>
      <c r="I373" s="1315"/>
      <c r="J373" s="1224"/>
      <c r="K373" s="1224"/>
      <c r="L373" s="1224"/>
      <c r="M373" s="1224"/>
      <c r="N373" s="1224"/>
      <c r="O373" s="1224"/>
      <c r="P373" s="1224"/>
      <c r="Q373" s="1224"/>
      <c r="R373" s="1224"/>
      <c r="S373" s="1224"/>
      <c r="T373" s="1224"/>
      <c r="U373" s="1224"/>
    </row>
    <row r="374" spans="2:25">
      <c r="C374" s="2351"/>
      <c r="D374" s="1381" t="s">
        <v>3196</v>
      </c>
      <c r="E374" s="1503"/>
      <c r="F374" s="1502"/>
      <c r="G374" s="1503"/>
      <c r="H374" s="1315"/>
      <c r="I374" s="1315"/>
      <c r="J374" s="1224"/>
      <c r="K374" s="1224"/>
      <c r="L374" s="1224"/>
      <c r="M374" s="1224"/>
      <c r="N374" s="1224"/>
      <c r="O374" s="1224"/>
      <c r="P374" s="1224"/>
      <c r="Q374" s="1224"/>
      <c r="R374" s="1224"/>
      <c r="S374" s="1224"/>
      <c r="T374" s="1224"/>
      <c r="U374" s="1224"/>
    </row>
    <row r="375" spans="2:25">
      <c r="C375" s="2351"/>
      <c r="D375" s="1382" t="s">
        <v>3197</v>
      </c>
      <c r="E375" s="1503"/>
      <c r="F375" s="1502"/>
      <c r="G375" s="1503"/>
      <c r="H375" s="1315"/>
      <c r="I375" s="1315"/>
      <c r="J375" s="1224"/>
      <c r="K375" s="1224"/>
      <c r="L375" s="1224"/>
      <c r="M375" s="1224"/>
      <c r="N375" s="1224"/>
      <c r="O375" s="1224"/>
      <c r="P375" s="1224"/>
      <c r="Q375" s="1224"/>
      <c r="R375" s="1224"/>
      <c r="S375" s="1224"/>
      <c r="T375" s="1224"/>
      <c r="U375" s="1224"/>
    </row>
    <row r="376" spans="2:25">
      <c r="C376" s="2351"/>
      <c r="D376" s="1376" t="s">
        <v>264</v>
      </c>
      <c r="E376" s="1501"/>
      <c r="F376" s="1502"/>
      <c r="G376" s="1503"/>
      <c r="H376" s="1315"/>
      <c r="I376" s="1315"/>
      <c r="J376" s="1224"/>
      <c r="K376" s="1224"/>
      <c r="L376" s="1224"/>
      <c r="M376" s="1224"/>
      <c r="N376" s="1224"/>
      <c r="O376" s="1224"/>
      <c r="P376" s="1224"/>
      <c r="Q376" s="1224"/>
      <c r="R376" s="1224"/>
      <c r="S376" s="1224"/>
      <c r="T376" s="1224"/>
      <c r="U376" s="1224"/>
    </row>
    <row r="377" spans="2:25">
      <c r="C377" s="2351"/>
      <c r="D377" s="1376" t="s">
        <v>3198</v>
      </c>
      <c r="E377" s="1501"/>
      <c r="F377" s="1502"/>
      <c r="G377" s="1503"/>
      <c r="H377" s="1315"/>
      <c r="I377" s="1315"/>
      <c r="J377" s="1224"/>
      <c r="K377" s="1224"/>
      <c r="L377" s="1224"/>
      <c r="M377" s="1224"/>
      <c r="N377" s="1224"/>
      <c r="O377" s="1224"/>
      <c r="P377" s="1224"/>
      <c r="Q377" s="1224"/>
      <c r="R377" s="1224"/>
      <c r="S377" s="1224"/>
      <c r="T377" s="1224"/>
      <c r="U377" s="1224"/>
    </row>
    <row r="378" spans="2:25">
      <c r="C378" s="2351"/>
      <c r="D378" s="1376" t="s">
        <v>3199</v>
      </c>
      <c r="E378" s="1501"/>
      <c r="F378" s="1502"/>
      <c r="G378" s="1503"/>
      <c r="H378" s="1315"/>
      <c r="I378" s="1315"/>
      <c r="J378" s="1224"/>
      <c r="K378" s="1224"/>
      <c r="L378" s="1224"/>
      <c r="M378" s="1224"/>
      <c r="N378" s="1224"/>
      <c r="O378" s="1224"/>
      <c r="P378" s="1224"/>
      <c r="Q378" s="1224"/>
      <c r="R378" s="1224"/>
      <c r="S378" s="1224"/>
      <c r="T378" s="1224"/>
      <c r="U378" s="1224"/>
    </row>
    <row r="379" spans="2:25">
      <c r="C379" s="2351"/>
      <c r="D379" s="1376" t="s">
        <v>371</v>
      </c>
      <c r="E379" s="1501"/>
      <c r="F379" s="1502"/>
      <c r="G379" s="1503"/>
      <c r="H379" s="1315"/>
      <c r="I379" s="1315"/>
      <c r="J379" s="1224"/>
      <c r="K379" s="1224"/>
      <c r="L379" s="1224"/>
      <c r="M379" s="1224"/>
      <c r="N379" s="1224"/>
      <c r="O379" s="1224"/>
      <c r="P379" s="1224"/>
      <c r="Q379" s="1224"/>
      <c r="R379" s="1224"/>
      <c r="S379" s="1224"/>
      <c r="T379" s="1224"/>
      <c r="U379" s="1224"/>
    </row>
    <row r="380" spans="2:25">
      <c r="C380" s="2356"/>
      <c r="D380" s="1376" t="s">
        <v>234</v>
      </c>
      <c r="E380" s="1501"/>
      <c r="F380" s="1502"/>
      <c r="G380" s="1503"/>
      <c r="H380" s="1315"/>
      <c r="I380" s="1315"/>
      <c r="J380" s="1224"/>
      <c r="K380" s="1224"/>
      <c r="L380" s="1224"/>
      <c r="M380" s="1224"/>
      <c r="N380" s="1224"/>
      <c r="O380" s="1224"/>
      <c r="P380" s="1224"/>
      <c r="Q380" s="1224"/>
      <c r="R380" s="1224"/>
      <c r="S380" s="1224"/>
      <c r="T380" s="1224"/>
      <c r="U380" s="1224"/>
    </row>
    <row r="381" spans="2:25">
      <c r="C381" s="1385"/>
      <c r="D381" s="1386"/>
      <c r="E381" s="1387"/>
      <c r="F381" s="1504"/>
      <c r="G381" s="1387"/>
      <c r="H381" s="1315"/>
      <c r="I381" s="1315"/>
      <c r="J381" s="1224"/>
      <c r="K381" s="1224"/>
      <c r="L381" s="1224"/>
      <c r="M381" s="1224"/>
      <c r="N381" s="1224"/>
      <c r="O381" s="1224"/>
      <c r="P381" s="1224"/>
      <c r="Q381" s="1224"/>
      <c r="R381" s="1224"/>
      <c r="S381" s="1224"/>
      <c r="T381" s="1224"/>
      <c r="U381" s="1224"/>
    </row>
    <row r="382" spans="2:25">
      <c r="C382" s="2344" t="s">
        <v>3200</v>
      </c>
      <c r="D382" s="1388" t="s">
        <v>3201</v>
      </c>
      <c r="E382" s="1499"/>
      <c r="F382" s="1500"/>
      <c r="G382" s="1499"/>
      <c r="H382" s="1224"/>
      <c r="I382" s="1224"/>
      <c r="J382" s="1224"/>
      <c r="K382" s="1224"/>
      <c r="L382" s="1224"/>
      <c r="M382" s="1224"/>
      <c r="N382" s="1224"/>
      <c r="O382" s="1224"/>
      <c r="P382" s="1224"/>
      <c r="Q382" s="1224"/>
      <c r="R382" s="1224"/>
      <c r="S382" s="1224"/>
      <c r="T382" s="1224"/>
      <c r="U382" s="1224"/>
    </row>
    <row r="383" spans="2:25">
      <c r="C383" s="2345"/>
      <c r="D383" s="1388" t="s">
        <v>3202</v>
      </c>
      <c r="E383" s="1499"/>
      <c r="F383" s="1500"/>
      <c r="G383" s="1499"/>
      <c r="H383" s="1224"/>
      <c r="I383" s="1224"/>
      <c r="J383" s="1224"/>
      <c r="K383" s="1224"/>
      <c r="L383" s="1224"/>
      <c r="M383" s="1224"/>
      <c r="N383" s="1224"/>
      <c r="O383" s="1224"/>
      <c r="P383" s="1224"/>
      <c r="Q383" s="1224"/>
      <c r="R383" s="1224"/>
      <c r="S383" s="1224"/>
      <c r="T383" s="1224"/>
      <c r="U383" s="1224"/>
    </row>
    <row r="384" spans="2:25">
      <c r="C384" s="2345"/>
      <c r="D384" s="1388" t="s">
        <v>54</v>
      </c>
      <c r="E384" s="1499"/>
      <c r="F384" s="1500"/>
      <c r="G384" s="1499"/>
      <c r="H384" s="1224"/>
      <c r="I384" s="1224"/>
      <c r="J384" s="1224"/>
      <c r="K384" s="1224"/>
      <c r="L384" s="1224"/>
      <c r="M384" s="1224"/>
      <c r="N384" s="1224"/>
      <c r="O384" s="1224"/>
      <c r="P384" s="1224"/>
      <c r="Q384" s="1224"/>
      <c r="R384" s="1224"/>
      <c r="S384" s="1224"/>
      <c r="T384" s="1224"/>
      <c r="U384" s="1224"/>
    </row>
    <row r="385" spans="3:21">
      <c r="C385" s="2345"/>
      <c r="D385" s="1388" t="s">
        <v>3180</v>
      </c>
      <c r="E385" s="1499"/>
      <c r="F385" s="1500"/>
      <c r="G385" s="1499"/>
      <c r="H385" s="1224"/>
      <c r="I385" s="1224"/>
      <c r="J385" s="1224"/>
      <c r="K385" s="1224"/>
      <c r="L385" s="1224"/>
      <c r="M385" s="1224"/>
      <c r="N385" s="1224"/>
      <c r="O385" s="1224"/>
      <c r="P385" s="1224"/>
      <c r="Q385" s="1224"/>
      <c r="R385" s="1224"/>
      <c r="S385" s="1224"/>
      <c r="T385" s="1224"/>
      <c r="U385" s="1224"/>
    </row>
    <row r="386" spans="3:21" ht="15" thickBot="1">
      <c r="C386" s="2345"/>
      <c r="D386" s="1390" t="s">
        <v>3203</v>
      </c>
      <c r="E386" s="1499"/>
      <c r="F386" s="1500"/>
      <c r="G386" s="1499"/>
      <c r="H386" s="1224"/>
      <c r="I386" s="1224"/>
      <c r="J386" s="1224"/>
      <c r="K386" s="1224"/>
      <c r="L386" s="1224"/>
      <c r="M386" s="1224"/>
      <c r="N386" s="1224"/>
      <c r="O386" s="1224"/>
      <c r="P386" s="1224"/>
      <c r="Q386" s="1224"/>
      <c r="R386" s="1224"/>
      <c r="S386" s="1224"/>
      <c r="T386" s="1224"/>
      <c r="U386" s="1224"/>
    </row>
    <row r="387" spans="3:21">
      <c r="C387" s="2346"/>
      <c r="D387" s="1391" t="s">
        <v>3204</v>
      </c>
      <c r="E387" s="1503"/>
      <c r="F387" s="1502"/>
      <c r="G387" s="1503"/>
      <c r="H387" s="1224"/>
      <c r="I387" s="1224"/>
      <c r="J387" s="1224"/>
      <c r="K387" s="1224"/>
      <c r="L387" s="1224"/>
      <c r="M387" s="1224"/>
      <c r="N387" s="1224"/>
      <c r="O387" s="1224"/>
      <c r="P387" s="1224"/>
      <c r="Q387" s="1224"/>
      <c r="R387" s="1224"/>
      <c r="S387" s="1224"/>
      <c r="T387" s="1224"/>
      <c r="U387" s="1224"/>
    </row>
    <row r="388" spans="3:21">
      <c r="C388" s="1392"/>
      <c r="D388" s="1360"/>
      <c r="E388" s="1312"/>
      <c r="F388" s="1497"/>
      <c r="G388" s="1312"/>
      <c r="H388" s="1315"/>
      <c r="I388" s="1315"/>
      <c r="J388" s="1315"/>
      <c r="K388" s="1315"/>
      <c r="L388" s="1315"/>
      <c r="M388" s="1315"/>
      <c r="N388" s="1315"/>
      <c r="O388" s="1315"/>
      <c r="P388" s="1315"/>
      <c r="Q388" s="1315"/>
      <c r="R388" s="1315"/>
      <c r="S388" s="1315"/>
      <c r="T388" s="1224"/>
      <c r="U388" s="1224"/>
    </row>
    <row r="394" spans="3:21">
      <c r="Q394" s="1508">
        <f ca="1">SUBTOTAL(9,Q9:Q357)</f>
        <v>35131.975690734282</v>
      </c>
      <c r="R394" s="1508"/>
      <c r="S394" s="1508">
        <f>SUBTOTAL(9,S9:S357)</f>
        <v>73488.533733026285</v>
      </c>
    </row>
  </sheetData>
  <protectedRanges>
    <protectedRange password="CC6F" sqref="D365:G369" name="区域1_1"/>
  </protectedRanges>
  <autoFilter ref="A5:ADG380"/>
  <mergeCells count="16">
    <mergeCell ref="B2:B5"/>
    <mergeCell ref="C2:C5"/>
    <mergeCell ref="D2:D5"/>
    <mergeCell ref="E2:E5"/>
    <mergeCell ref="F2:F5"/>
    <mergeCell ref="C365:C367"/>
    <mergeCell ref="C368:C380"/>
    <mergeCell ref="C382:C387"/>
    <mergeCell ref="H2:T2"/>
    <mergeCell ref="U2:U4"/>
    <mergeCell ref="H3:P3"/>
    <mergeCell ref="Q3:Q4"/>
    <mergeCell ref="R3:R4"/>
    <mergeCell ref="S3:S4"/>
    <mergeCell ref="T3:T4"/>
    <mergeCell ref="G2:G5"/>
  </mergeCells>
  <phoneticPr fontId="19" type="noConversion"/>
  <printOptions horizontalCentered="1"/>
  <pageMargins left="0" right="0" top="0.66929133858267698" bottom="0.98425196850393704" header="0.118110236220472" footer="0.118110236220472"/>
  <pageSetup paperSize="9" scale="93" orientation="landscape"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heetPr>
  <dimension ref="B1:Q77"/>
  <sheetViews>
    <sheetView topLeftCell="A10" zoomScale="70" zoomScaleNormal="70" workbookViewId="0">
      <pane xSplit="3" ySplit="4" topLeftCell="H14" activePane="bottomRight" state="frozen"/>
      <selection activeCell="D8" sqref="D8"/>
      <selection pane="topRight" activeCell="D8" sqref="D8"/>
      <selection pane="bottomLeft" activeCell="D8" sqref="D8"/>
      <selection pane="bottomRight" activeCell="I15" sqref="I15"/>
    </sheetView>
  </sheetViews>
  <sheetFormatPr defaultColWidth="10" defaultRowHeight="13" outlineLevelRow="2"/>
  <cols>
    <col min="1" max="1" width="4.6640625" style="1513" customWidth="1"/>
    <col min="2" max="2" width="24.6640625" style="1650" customWidth="1"/>
    <col min="3" max="3" width="23.33203125" style="1513" customWidth="1"/>
    <col min="4" max="6" width="17" style="1513" customWidth="1"/>
    <col min="7" max="7" width="15.6640625" style="1513" customWidth="1"/>
    <col min="8" max="8" width="17.6640625" style="1513" customWidth="1"/>
    <col min="9" max="9" width="16.6640625" style="1513" customWidth="1"/>
    <col min="10" max="10" width="23.6640625" style="1513" customWidth="1"/>
    <col min="11" max="11" width="14.6640625" style="1513" customWidth="1"/>
    <col min="12" max="12" width="18.6640625" style="1513" customWidth="1"/>
    <col min="13" max="13" width="21.6640625" style="1513" customWidth="1"/>
    <col min="14" max="14" width="18.6640625" style="1513" customWidth="1"/>
    <col min="15" max="15" width="10" style="1513"/>
    <col min="16" max="16" width="14.6640625" style="1513" customWidth="1"/>
    <col min="17" max="16384" width="10" style="1513"/>
  </cols>
  <sheetData>
    <row r="1" spans="2:16" ht="13.5" thickBot="1"/>
    <row r="2" spans="2:16" ht="15">
      <c r="B2" s="1509" t="s">
        <v>3835</v>
      </c>
      <c r="C2" s="1510"/>
      <c r="D2" s="1511"/>
      <c r="E2" s="1511"/>
      <c r="F2" s="1511"/>
      <c r="G2" s="1511"/>
      <c r="H2" s="1512"/>
    </row>
    <row r="3" spans="2:16" ht="15">
      <c r="B3" s="1514" t="s">
        <v>3836</v>
      </c>
      <c r="C3" s="1515"/>
      <c r="D3" s="1516"/>
      <c r="E3" s="1516"/>
      <c r="F3" s="1516"/>
      <c r="G3" s="1516"/>
      <c r="H3" s="1517"/>
    </row>
    <row r="4" spans="2:16" ht="15">
      <c r="B4" s="1518" t="s">
        <v>3837</v>
      </c>
      <c r="C4" s="1519"/>
      <c r="D4" s="1520"/>
      <c r="E4" s="1520"/>
      <c r="F4" s="1520"/>
      <c r="G4" s="1520"/>
      <c r="H4" s="1521"/>
    </row>
    <row r="5" spans="2:16" ht="15">
      <c r="B5" s="1518" t="s">
        <v>3838</v>
      </c>
      <c r="C5" s="1519"/>
      <c r="D5" s="1520"/>
      <c r="E5" s="1520"/>
      <c r="F5" s="1520"/>
      <c r="G5" s="1520"/>
      <c r="H5" s="1521"/>
    </row>
    <row r="6" spans="2:16" ht="15">
      <c r="B6" s="1518" t="s">
        <v>3839</v>
      </c>
      <c r="C6" s="1519"/>
      <c r="D6" s="1520"/>
      <c r="E6" s="1520"/>
      <c r="F6" s="1520"/>
      <c r="G6" s="1520"/>
      <c r="H6" s="1521"/>
    </row>
    <row r="7" spans="2:16" ht="15.5" thickBot="1">
      <c r="B7" s="1522" t="s">
        <v>3840</v>
      </c>
      <c r="C7" s="1523"/>
      <c r="D7" s="1524"/>
      <c r="E7" s="1524"/>
      <c r="F7" s="1524"/>
      <c r="G7" s="1524"/>
      <c r="H7" s="1525"/>
    </row>
    <row r="10" spans="2:16" ht="42" customHeight="1" thickBot="1">
      <c r="B10" s="2395" t="s">
        <v>791</v>
      </c>
      <c r="C10" s="2395"/>
      <c r="D10" s="2395"/>
      <c r="E10" s="2395"/>
      <c r="F10" s="2395"/>
      <c r="G10" s="2395"/>
      <c r="H10" s="2395"/>
      <c r="I10" s="2395"/>
      <c r="J10" s="2395"/>
      <c r="K10" s="2395"/>
      <c r="L10" s="2395"/>
      <c r="M10" s="2395"/>
      <c r="N10" s="2395"/>
    </row>
    <row r="11" spans="2:16" ht="32" customHeight="1">
      <c r="B11" s="1526" t="s">
        <v>25</v>
      </c>
      <c r="C11" s="1527" t="s">
        <v>23</v>
      </c>
      <c r="D11" s="1527" t="s">
        <v>13</v>
      </c>
      <c r="E11" s="1527" t="s">
        <v>3841</v>
      </c>
      <c r="F11" s="1527" t="s">
        <v>3842</v>
      </c>
      <c r="G11" s="1527" t="s">
        <v>109</v>
      </c>
      <c r="H11" s="1528" t="s">
        <v>110</v>
      </c>
      <c r="I11" s="1529" t="s">
        <v>3843</v>
      </c>
      <c r="J11" s="1527" t="s">
        <v>3844</v>
      </c>
      <c r="K11" s="1530" t="s">
        <v>3845</v>
      </c>
      <c r="L11" s="1530" t="s">
        <v>3846</v>
      </c>
      <c r="M11" s="1530" t="s">
        <v>3847</v>
      </c>
      <c r="N11" s="1531" t="s">
        <v>16</v>
      </c>
    </row>
    <row r="12" spans="2:16">
      <c r="B12" s="1532">
        <v>5001</v>
      </c>
      <c r="C12" s="1533" t="s">
        <v>3848</v>
      </c>
      <c r="D12" s="1534"/>
      <c r="E12" s="1534"/>
      <c r="F12" s="1535"/>
      <c r="G12" s="1535"/>
      <c r="H12" s="1536"/>
      <c r="I12" s="1537">
        <v>2588.26385600001</v>
      </c>
      <c r="J12" s="1538">
        <f>SUBTOTAL(9,J13:J30)</f>
        <v>35089.667752000008</v>
      </c>
      <c r="K12" s="1539"/>
      <c r="L12" s="1538"/>
      <c r="M12" s="1540">
        <f>SUBTOTAL(9,M13:M30)</f>
        <v>32293.568439999999</v>
      </c>
      <c r="N12" s="1541"/>
    </row>
    <row r="13" spans="2:16">
      <c r="B13" s="1542">
        <v>5001.01</v>
      </c>
      <c r="C13" s="1543" t="s">
        <v>475</v>
      </c>
      <c r="D13" s="1544"/>
      <c r="E13" s="1544"/>
      <c r="F13" s="1545"/>
      <c r="G13" s="1545"/>
      <c r="H13" s="1546"/>
      <c r="I13" s="1547"/>
      <c r="J13" s="1548">
        <f>SUBTOTAL(9,J14:J30)</f>
        <v>35089.667752000008</v>
      </c>
      <c r="K13" s="1549"/>
      <c r="L13" s="1548"/>
      <c r="M13" s="1550">
        <f>SUBTOTAL(9,M14:M30)</f>
        <v>32293.568439999999</v>
      </c>
      <c r="N13" s="1551"/>
    </row>
    <row r="14" spans="2:16">
      <c r="B14" s="1552" t="s">
        <v>476</v>
      </c>
      <c r="C14" s="1553" t="s">
        <v>376</v>
      </c>
      <c r="D14" s="1554" t="s">
        <v>431</v>
      </c>
      <c r="E14" s="1554"/>
      <c r="F14" s="1483"/>
      <c r="G14" s="1483"/>
      <c r="H14" s="1555"/>
      <c r="I14" s="1484"/>
      <c r="J14" s="1484">
        <f>SUBTOTAL(9,J15:J30)</f>
        <v>35089.667752000008</v>
      </c>
      <c r="K14" s="1556"/>
      <c r="L14" s="1557"/>
      <c r="M14" s="1498">
        <f>SUBTOTAL(9,M15:M30)</f>
        <v>32293.568439999999</v>
      </c>
      <c r="N14" s="1558"/>
    </row>
    <row r="15" spans="2:16" ht="12.75" customHeight="1" outlineLevel="1">
      <c r="B15" s="1552" t="s">
        <v>1080</v>
      </c>
      <c r="C15" s="1553" t="s">
        <v>76</v>
      </c>
      <c r="D15" s="1554" t="s">
        <v>431</v>
      </c>
      <c r="E15" s="1554"/>
      <c r="F15" s="1559">
        <v>1</v>
      </c>
      <c r="G15" s="1483"/>
      <c r="H15" s="1484">
        <f>+'全期规划指标 '!D54</f>
        <v>103749.59999999999</v>
      </c>
      <c r="I15" s="1484">
        <v>3264</v>
      </c>
      <c r="J15" s="1560">
        <f>ROUND((F15*H15*I15)/10000,6)</f>
        <v>33863.869440000002</v>
      </c>
      <c r="K15" s="1561">
        <v>0.09</v>
      </c>
      <c r="L15" s="1557"/>
      <c r="M15" s="1498">
        <f>ROUND(J15/(1+K15),6)</f>
        <v>31067.770128</v>
      </c>
      <c r="N15" s="1558"/>
      <c r="P15" s="1562">
        <f>(665.55+178.85)</f>
        <v>844.4</v>
      </c>
    </row>
    <row r="16" spans="2:16" ht="11.5" customHeight="1" outlineLevel="1">
      <c r="B16" s="1552" t="s">
        <v>1089</v>
      </c>
      <c r="C16" s="1553" t="s">
        <v>529</v>
      </c>
      <c r="D16" s="1554" t="s">
        <v>431</v>
      </c>
      <c r="E16" s="1554"/>
      <c r="F16" s="1483"/>
      <c r="G16" s="1483"/>
      <c r="H16" s="1555"/>
      <c r="I16" s="1484"/>
      <c r="J16" s="1560"/>
      <c r="K16" s="1561"/>
      <c r="L16" s="1557"/>
      <c r="M16" s="1498"/>
      <c r="N16" s="1558"/>
      <c r="P16" s="1562">
        <f>I15*H15/10000</f>
        <v>33863.869439999995</v>
      </c>
    </row>
    <row r="17" spans="2:16" ht="15.75" customHeight="1" outlineLevel="1">
      <c r="B17" s="1552" t="s">
        <v>1094</v>
      </c>
      <c r="C17" s="1553" t="s">
        <v>530</v>
      </c>
      <c r="D17" s="1554" t="s">
        <v>431</v>
      </c>
      <c r="E17" s="1554"/>
      <c r="F17" s="1563">
        <v>0.03</v>
      </c>
      <c r="G17" s="1483"/>
      <c r="H17" s="1484">
        <v>1</v>
      </c>
      <c r="I17" s="1484">
        <f>J15+'当期公摊测算表（全期）'!O39+'当期公摊测算表（全期）'!O119</f>
        <v>37401.623728000006</v>
      </c>
      <c r="J17" s="1560">
        <f>ROUND((F17*H17*I17),6)</f>
        <v>1122.048712</v>
      </c>
      <c r="K17" s="1561">
        <v>0</v>
      </c>
      <c r="L17" s="1557"/>
      <c r="M17" s="1498">
        <f t="shared" ref="M17:M30" si="0">ROUND(J17/(1+K17),6)</f>
        <v>1122.048712</v>
      </c>
      <c r="N17" s="1558"/>
      <c r="P17" s="1562">
        <f>H15-'全期规划指标 '!H32</f>
        <v>102607.57999999999</v>
      </c>
    </row>
    <row r="18" spans="2:16" outlineLevel="1">
      <c r="B18" s="1552" t="s">
        <v>3216</v>
      </c>
      <c r="C18" s="1553" t="s">
        <v>518</v>
      </c>
      <c r="D18" s="1554"/>
      <c r="E18" s="1554"/>
      <c r="F18" s="1483"/>
      <c r="G18" s="1483"/>
      <c r="H18" s="1484"/>
      <c r="I18" s="1564"/>
      <c r="J18" s="1560"/>
      <c r="K18" s="1561"/>
      <c r="L18" s="1484"/>
      <c r="M18" s="1483"/>
      <c r="N18" s="1558"/>
      <c r="P18" s="1562">
        <f>P16/P17*10000</f>
        <v>3300.3282447554066</v>
      </c>
    </row>
    <row r="19" spans="2:16" outlineLevel="2">
      <c r="B19" s="1552" t="s">
        <v>3217</v>
      </c>
      <c r="C19" s="1553" t="s">
        <v>3218</v>
      </c>
      <c r="D19" s="1554" t="s">
        <v>431</v>
      </c>
      <c r="E19" s="1554"/>
      <c r="F19" s="1483"/>
      <c r="G19" s="1483"/>
      <c r="H19" s="1484"/>
      <c r="I19" s="1564"/>
      <c r="J19" s="1560"/>
      <c r="K19" s="1561">
        <v>0.09</v>
      </c>
      <c r="L19" s="1557"/>
      <c r="M19" s="1498">
        <f t="shared" si="0"/>
        <v>0</v>
      </c>
      <c r="N19" s="1558"/>
      <c r="P19" s="1562"/>
    </row>
    <row r="20" spans="2:16" outlineLevel="2">
      <c r="B20" s="1552" t="s">
        <v>3221</v>
      </c>
      <c r="C20" s="1553" t="s">
        <v>3222</v>
      </c>
      <c r="D20" s="1554" t="s">
        <v>431</v>
      </c>
      <c r="E20" s="1554"/>
      <c r="F20" s="1483"/>
      <c r="G20" s="1483"/>
      <c r="H20" s="1484"/>
      <c r="I20" s="1564"/>
      <c r="J20" s="1560"/>
      <c r="K20" s="1561">
        <v>0.09</v>
      </c>
      <c r="L20" s="1557"/>
      <c r="M20" s="1498">
        <f t="shared" si="0"/>
        <v>0</v>
      </c>
      <c r="N20" s="1558"/>
      <c r="P20" s="1562"/>
    </row>
    <row r="21" spans="2:16" outlineLevel="2">
      <c r="B21" s="1552" t="s">
        <v>3224</v>
      </c>
      <c r="C21" s="1553" t="s">
        <v>3225</v>
      </c>
      <c r="D21" s="1554" t="s">
        <v>431</v>
      </c>
      <c r="E21" s="1554"/>
      <c r="F21" s="1483">
        <v>1</v>
      </c>
      <c r="G21" s="1483"/>
      <c r="H21" s="1484">
        <v>1</v>
      </c>
      <c r="I21" s="1564">
        <f>'当期公摊测算表（全期）'!T14</f>
        <v>0</v>
      </c>
      <c r="J21" s="1560">
        <f t="shared" ref="J21" si="1">ROUND((F21*H21*I21),6)</f>
        <v>0</v>
      </c>
      <c r="K21" s="1561">
        <v>0.09</v>
      </c>
      <c r="L21" s="1557"/>
      <c r="M21" s="1498">
        <f t="shared" si="0"/>
        <v>0</v>
      </c>
      <c r="N21" s="1558"/>
      <c r="P21" s="1562"/>
    </row>
    <row r="22" spans="2:16" outlineLevel="2">
      <c r="B22" s="1552" t="s">
        <v>3227</v>
      </c>
      <c r="C22" s="1553" t="s">
        <v>3228</v>
      </c>
      <c r="D22" s="1554" t="s">
        <v>431</v>
      </c>
      <c r="E22" s="1554"/>
      <c r="F22" s="1483"/>
      <c r="G22" s="1483"/>
      <c r="H22" s="1484"/>
      <c r="I22" s="1564"/>
      <c r="J22" s="1484"/>
      <c r="K22" s="1561">
        <v>0.09</v>
      </c>
      <c r="L22" s="1557"/>
      <c r="M22" s="1498">
        <f t="shared" si="0"/>
        <v>0</v>
      </c>
      <c r="N22" s="1558"/>
      <c r="P22" s="1562"/>
    </row>
    <row r="23" spans="2:16" outlineLevel="2">
      <c r="B23" s="1552" t="s">
        <v>3230</v>
      </c>
      <c r="C23" s="1553" t="s">
        <v>3231</v>
      </c>
      <c r="D23" s="1554" t="s">
        <v>431</v>
      </c>
      <c r="E23" s="1554"/>
      <c r="F23" s="1483"/>
      <c r="G23" s="1483"/>
      <c r="H23" s="1484"/>
      <c r="I23" s="1564"/>
      <c r="J23" s="1484"/>
      <c r="K23" s="1561">
        <v>0.09</v>
      </c>
      <c r="L23" s="1557"/>
      <c r="M23" s="1498">
        <f t="shared" si="0"/>
        <v>0</v>
      </c>
      <c r="N23" s="1558"/>
    </row>
    <row r="24" spans="2:16" outlineLevel="2">
      <c r="B24" s="1552" t="s">
        <v>3233</v>
      </c>
      <c r="C24" s="1553" t="s">
        <v>3234</v>
      </c>
      <c r="D24" s="1554" t="s">
        <v>431</v>
      </c>
      <c r="E24" s="1554"/>
      <c r="F24" s="1483"/>
      <c r="G24" s="1483"/>
      <c r="H24" s="1484"/>
      <c r="I24" s="1564"/>
      <c r="J24" s="1484"/>
      <c r="K24" s="1561">
        <v>0.09</v>
      </c>
      <c r="L24" s="1557"/>
      <c r="M24" s="1498">
        <f t="shared" si="0"/>
        <v>0</v>
      </c>
      <c r="N24" s="1558"/>
    </row>
    <row r="25" spans="2:16" outlineLevel="2">
      <c r="B25" s="1552" t="s">
        <v>3236</v>
      </c>
      <c r="C25" s="1553" t="s">
        <v>3237</v>
      </c>
      <c r="D25" s="1554" t="s">
        <v>431</v>
      </c>
      <c r="E25" s="1554"/>
      <c r="F25" s="1483"/>
      <c r="G25" s="1483"/>
      <c r="H25" s="1484"/>
      <c r="I25" s="1564"/>
      <c r="J25" s="1484"/>
      <c r="K25" s="1561">
        <v>0.03</v>
      </c>
      <c r="L25" s="1557"/>
      <c r="M25" s="1498">
        <f t="shared" si="0"/>
        <v>0</v>
      </c>
      <c r="N25" s="1558"/>
    </row>
    <row r="26" spans="2:16" s="1566" customFormat="1" outlineLevel="1">
      <c r="B26" s="1552" t="s">
        <v>3239</v>
      </c>
      <c r="C26" s="1553" t="s">
        <v>532</v>
      </c>
      <c r="D26" s="1554" t="s">
        <v>431</v>
      </c>
      <c r="E26" s="1554"/>
      <c r="F26" s="1563"/>
      <c r="G26" s="1483"/>
      <c r="H26" s="1484"/>
      <c r="I26" s="1564"/>
      <c r="J26" s="1484"/>
      <c r="K26" s="1561">
        <v>0</v>
      </c>
      <c r="L26" s="1557"/>
      <c r="M26" s="1498">
        <f t="shared" si="0"/>
        <v>0</v>
      </c>
      <c r="N26" s="1565"/>
    </row>
    <row r="27" spans="2:16" s="1566" customFormat="1" outlineLevel="1">
      <c r="B27" s="1552" t="s">
        <v>3240</v>
      </c>
      <c r="C27" s="1553" t="s">
        <v>3241</v>
      </c>
      <c r="D27" s="1554" t="s">
        <v>431</v>
      </c>
      <c r="E27" s="1554"/>
      <c r="F27" s="1483"/>
      <c r="G27" s="1483"/>
      <c r="H27" s="1484"/>
      <c r="I27" s="1564"/>
      <c r="J27" s="1484"/>
      <c r="K27" s="1561">
        <v>0.09</v>
      </c>
      <c r="L27" s="1557"/>
      <c r="M27" s="1498">
        <f t="shared" si="0"/>
        <v>0</v>
      </c>
      <c r="N27" s="1565"/>
    </row>
    <row r="28" spans="2:16" s="1566" customFormat="1" outlineLevel="1">
      <c r="B28" s="1552" t="s">
        <v>3242</v>
      </c>
      <c r="C28" s="1553" t="s">
        <v>3243</v>
      </c>
      <c r="D28" s="1554" t="s">
        <v>431</v>
      </c>
      <c r="E28" s="1554"/>
      <c r="F28" s="1559">
        <v>2.5</v>
      </c>
      <c r="G28" s="1483"/>
      <c r="H28" s="1484">
        <f>'全期规划指标 '!D2</f>
        <v>43229</v>
      </c>
      <c r="I28" s="1564">
        <v>9.6</v>
      </c>
      <c r="J28" s="1484">
        <f>F28*H28*I28/10000</f>
        <v>103.7496</v>
      </c>
      <c r="K28" s="1561">
        <v>0</v>
      </c>
      <c r="L28" s="1557"/>
      <c r="M28" s="1498">
        <f t="shared" si="0"/>
        <v>103.7496</v>
      </c>
      <c r="N28" s="1565"/>
    </row>
    <row r="29" spans="2:16" s="1566" customFormat="1" outlineLevel="1">
      <c r="B29" s="1552" t="s">
        <v>3244</v>
      </c>
      <c r="C29" s="1553" t="s">
        <v>3245</v>
      </c>
      <c r="D29" s="1554" t="s">
        <v>431</v>
      </c>
      <c r="E29" s="1554"/>
      <c r="F29" s="1483"/>
      <c r="G29" s="1483"/>
      <c r="H29" s="1567"/>
      <c r="I29" s="1564"/>
      <c r="J29" s="1484"/>
      <c r="K29" s="1561">
        <v>0.06</v>
      </c>
      <c r="L29" s="1557"/>
      <c r="M29" s="1498">
        <f t="shared" si="0"/>
        <v>0</v>
      </c>
      <c r="N29" s="1565"/>
    </row>
    <row r="30" spans="2:16" s="1566" customFormat="1" outlineLevel="1">
      <c r="B30" s="1552" t="s">
        <v>3246</v>
      </c>
      <c r="C30" s="1553" t="s">
        <v>3247</v>
      </c>
      <c r="D30" s="1554" t="s">
        <v>3849</v>
      </c>
      <c r="E30" s="1554"/>
      <c r="F30" s="1483"/>
      <c r="G30" s="1483"/>
      <c r="H30" s="1567"/>
      <c r="I30" s="1564"/>
      <c r="J30" s="1484"/>
      <c r="K30" s="1561">
        <v>0</v>
      </c>
      <c r="L30" s="1557"/>
      <c r="M30" s="1498">
        <f t="shared" si="0"/>
        <v>0</v>
      </c>
      <c r="N30" s="1565"/>
    </row>
    <row r="31" spans="2:16" ht="13.5" thickBot="1">
      <c r="B31" s="1568"/>
      <c r="C31" s="1569" t="s">
        <v>3850</v>
      </c>
      <c r="D31" s="1570"/>
      <c r="E31" s="1570"/>
      <c r="F31" s="1571"/>
      <c r="G31" s="1571"/>
      <c r="H31" s="1572"/>
      <c r="I31" s="1573"/>
      <c r="J31" s="1574">
        <f>J12-J30</f>
        <v>35089.667752000008</v>
      </c>
      <c r="K31" s="1575"/>
      <c r="L31" s="1574"/>
      <c r="M31" s="1576">
        <f>M12-M30</f>
        <v>32293.568439999999</v>
      </c>
      <c r="N31" s="1577"/>
    </row>
    <row r="32" spans="2:16">
      <c r="B32" s="1578"/>
      <c r="C32" s="1579"/>
      <c r="D32" s="1579"/>
      <c r="E32" s="1579"/>
      <c r="F32" s="1579"/>
      <c r="G32" s="1579"/>
      <c r="H32" s="1579"/>
      <c r="I32" s="1579"/>
      <c r="J32" s="1579"/>
      <c r="K32" s="1579"/>
    </row>
    <row r="33" spans="2:13" s="1581" customFormat="1">
      <c r="B33" s="1580"/>
    </row>
    <row r="34" spans="2:13" s="1581" customFormat="1" ht="15" thickBot="1">
      <c r="B34" s="1582"/>
      <c r="C34" s="1582"/>
      <c r="D34" s="1582"/>
      <c r="E34" s="1583"/>
      <c r="F34" s="1583"/>
      <c r="G34" s="1583"/>
      <c r="H34" s="1583"/>
      <c r="I34" s="1583"/>
      <c r="J34" s="1583"/>
      <c r="K34" s="1583"/>
      <c r="L34" s="1582"/>
      <c r="M34" s="1582"/>
    </row>
    <row r="35" spans="2:13" s="1581" customFormat="1" ht="21" customHeight="1">
      <c r="B35" s="2396" t="s">
        <v>3851</v>
      </c>
      <c r="C35" s="2397"/>
      <c r="D35" s="2397"/>
      <c r="E35" s="2398"/>
      <c r="F35" s="1584"/>
      <c r="G35" s="1583"/>
      <c r="H35" s="2399" t="s">
        <v>3852</v>
      </c>
      <c r="I35" s="2400"/>
      <c r="J35" s="2400"/>
      <c r="K35" s="2400"/>
      <c r="L35" s="2400"/>
      <c r="M35" s="2401"/>
    </row>
    <row r="36" spans="2:13" s="1581" customFormat="1" ht="27.75" customHeight="1" outlineLevel="1">
      <c r="B36" s="1585" t="s">
        <v>3853</v>
      </c>
      <c r="C36" s="1586" t="s">
        <v>3854</v>
      </c>
      <c r="D36" s="1586" t="s">
        <v>3855</v>
      </c>
      <c r="E36" s="1586" t="s">
        <v>3856</v>
      </c>
      <c r="F36" s="1587" t="s">
        <v>369</v>
      </c>
      <c r="G36" s="1583"/>
      <c r="H36" s="1588" t="s">
        <v>3857</v>
      </c>
      <c r="I36" s="1589"/>
      <c r="J36" s="2388" t="s">
        <v>3858</v>
      </c>
      <c r="K36" s="2388"/>
      <c r="L36" s="2388"/>
      <c r="M36" s="2389"/>
    </row>
    <row r="37" spans="2:13" s="1581" customFormat="1" ht="20.5" customHeight="1" outlineLevel="1">
      <c r="B37" s="1590" t="s">
        <v>3859</v>
      </c>
      <c r="C37" s="1591">
        <f>'全期规划指标 '!I51-'全期规划指标 '!I50</f>
        <v>103407.26</v>
      </c>
      <c r="D37" s="1591">
        <f>E37*10000/C37</f>
        <v>3393.3466327219203</v>
      </c>
      <c r="E37" s="1591">
        <f>E40-E38</f>
        <v>35089.667752000008</v>
      </c>
      <c r="F37" s="1592"/>
      <c r="G37" s="1583"/>
      <c r="H37" s="1552" t="s">
        <v>3860</v>
      </c>
      <c r="I37" s="1553"/>
      <c r="J37" s="2388" t="s">
        <v>3861</v>
      </c>
      <c r="K37" s="2388"/>
      <c r="L37" s="2388"/>
      <c r="M37" s="2389"/>
    </row>
    <row r="38" spans="2:13" s="1581" customFormat="1" ht="20.5" customHeight="1" outlineLevel="1">
      <c r="B38" s="1590" t="s">
        <v>3862</v>
      </c>
      <c r="C38" s="1591">
        <f>'全期规划指标 '!J51</f>
        <v>0</v>
      </c>
      <c r="D38" s="1591"/>
      <c r="E38" s="1591">
        <f>C38*D38/10000</f>
        <v>0</v>
      </c>
      <c r="F38" s="1592"/>
      <c r="G38" s="1583"/>
      <c r="H38" s="1552" t="s">
        <v>3863</v>
      </c>
      <c r="I38" s="1553"/>
      <c r="J38" s="2388" t="s">
        <v>3864</v>
      </c>
      <c r="K38" s="2388"/>
      <c r="L38" s="2388"/>
      <c r="M38" s="2389"/>
    </row>
    <row r="39" spans="2:13" s="1581" customFormat="1" ht="20.5" customHeight="1" outlineLevel="1">
      <c r="B39" s="1590" t="s">
        <v>3865</v>
      </c>
      <c r="C39" s="1591">
        <v>0</v>
      </c>
      <c r="D39" s="1591">
        <v>0</v>
      </c>
      <c r="E39" s="1591">
        <v>0</v>
      </c>
      <c r="F39" s="1592" t="s">
        <v>3866</v>
      </c>
      <c r="G39" s="1583"/>
      <c r="H39" s="1552" t="s">
        <v>3867</v>
      </c>
      <c r="I39" s="1553"/>
      <c r="J39" s="2388" t="s">
        <v>3868</v>
      </c>
      <c r="K39" s="2388"/>
      <c r="L39" s="2388"/>
      <c r="M39" s="2389"/>
    </row>
    <row r="40" spans="2:13" s="1581" customFormat="1" ht="20.5" customHeight="1" outlineLevel="1" thickBot="1">
      <c r="B40" s="1593" t="s">
        <v>3869</v>
      </c>
      <c r="C40" s="1594">
        <f>C37+C38+C39</f>
        <v>103407.26</v>
      </c>
      <c r="D40" s="1594">
        <f>J12*10000/C40</f>
        <v>3393.3466327219203</v>
      </c>
      <c r="E40" s="1595">
        <f>J12</f>
        <v>35089.667752000008</v>
      </c>
      <c r="F40" s="1596"/>
      <c r="G40" s="1583"/>
      <c r="H40" s="1597" t="s">
        <v>3870</v>
      </c>
      <c r="I40" s="1598"/>
      <c r="J40" s="2390" t="s">
        <v>3871</v>
      </c>
      <c r="K40" s="2390"/>
      <c r="L40" s="2390"/>
      <c r="M40" s="2391"/>
    </row>
    <row r="41" spans="2:13" s="1581" customFormat="1" ht="15.5">
      <c r="B41" s="1599" t="s">
        <v>3872</v>
      </c>
      <c r="C41" s="1600"/>
      <c r="D41" s="1600"/>
      <c r="E41" s="1600"/>
      <c r="F41" s="1600"/>
      <c r="G41" s="1600"/>
      <c r="H41" s="1583"/>
      <c r="I41" s="1601"/>
      <c r="J41" s="1602"/>
      <c r="K41" s="1602"/>
      <c r="L41" s="1602"/>
      <c r="M41" s="1602"/>
    </row>
    <row r="42" spans="2:13" s="1581" customFormat="1" ht="13.5" thickBot="1">
      <c r="B42" s="1580"/>
    </row>
    <row r="43" spans="2:13" s="1581" customFormat="1" ht="18" customHeight="1">
      <c r="B43" s="2402" t="s">
        <v>3873</v>
      </c>
      <c r="C43" s="2403"/>
      <c r="D43" s="2403"/>
      <c r="E43" s="2403"/>
      <c r="F43" s="2404"/>
      <c r="H43" s="2399" t="s">
        <v>3852</v>
      </c>
      <c r="I43" s="2400"/>
      <c r="J43" s="2400"/>
      <c r="K43" s="2400"/>
      <c r="L43" s="2400"/>
      <c r="M43" s="2401"/>
    </row>
    <row r="44" spans="2:13" s="1581" customFormat="1" ht="22.25" customHeight="1">
      <c r="B44" s="1603" t="s">
        <v>3853</v>
      </c>
      <c r="C44" s="1604" t="s">
        <v>3874</v>
      </c>
      <c r="D44" s="1604" t="s">
        <v>3119</v>
      </c>
      <c r="E44" s="1604"/>
      <c r="F44" s="1605" t="s">
        <v>3875</v>
      </c>
      <c r="H44" s="1588" t="s">
        <v>3876</v>
      </c>
      <c r="I44" s="1589"/>
      <c r="J44" s="2388" t="s">
        <v>3877</v>
      </c>
      <c r="K44" s="2388"/>
      <c r="L44" s="2388"/>
      <c r="M44" s="2389"/>
    </row>
    <row r="45" spans="2:13" s="1581" customFormat="1" ht="22.25" customHeight="1">
      <c r="B45" s="1606" t="s">
        <v>520</v>
      </c>
      <c r="C45" s="1607">
        <f>SUM(D45:F45)</f>
        <v>103407.25999999998</v>
      </c>
      <c r="D45" s="1608">
        <f>'全期规划指标 '!I20+'全期规划指标 '!I22+'全期规划指标 '!I23+'全期规划指标 '!I24+'全期规划指标 '!H26</f>
        <v>103407.25999999998</v>
      </c>
      <c r="E45" s="1608"/>
      <c r="F45" s="1609"/>
      <c r="G45" s="1610"/>
      <c r="H45" s="1552" t="s">
        <v>3878</v>
      </c>
      <c r="I45" s="1553"/>
      <c r="J45" s="2388" t="s">
        <v>3879</v>
      </c>
      <c r="K45" s="2388"/>
      <c r="L45" s="2388"/>
      <c r="M45" s="2389"/>
    </row>
    <row r="46" spans="2:13" s="1581" customFormat="1" ht="22.25" customHeight="1">
      <c r="B46" s="1611" t="s">
        <v>3880</v>
      </c>
      <c r="C46" s="1607">
        <f>SUM(D46:F46)</f>
        <v>43229</v>
      </c>
      <c r="D46" s="1608">
        <v>43229</v>
      </c>
      <c r="E46" s="1608"/>
      <c r="F46" s="1609"/>
      <c r="G46" s="1610" t="s">
        <v>3881</v>
      </c>
      <c r="H46" s="1552" t="s">
        <v>3882</v>
      </c>
      <c r="I46" s="1553"/>
      <c r="J46" s="2388" t="s">
        <v>3883</v>
      </c>
      <c r="K46" s="2388"/>
      <c r="L46" s="2388"/>
      <c r="M46" s="2389"/>
    </row>
    <row r="47" spans="2:13" s="1581" customFormat="1" ht="22.25" customHeight="1">
      <c r="B47" s="1611" t="s">
        <v>3884</v>
      </c>
      <c r="C47" s="1607"/>
      <c r="D47" s="1608"/>
      <c r="E47" s="1608"/>
      <c r="F47" s="1609"/>
      <c r="G47" s="1610"/>
      <c r="H47" s="1552" t="s">
        <v>3885</v>
      </c>
      <c r="I47" s="1553"/>
      <c r="J47" s="2388" t="s">
        <v>3886</v>
      </c>
      <c r="K47" s="2388"/>
      <c r="L47" s="2388"/>
      <c r="M47" s="2389"/>
    </row>
    <row r="48" spans="2:13" s="1581" customFormat="1" ht="22.25" customHeight="1" thickBot="1">
      <c r="B48" s="1611" t="s">
        <v>3887</v>
      </c>
      <c r="C48" s="1607"/>
      <c r="D48" s="1608"/>
      <c r="E48" s="1608"/>
      <c r="F48" s="1609"/>
      <c r="H48" s="1612" t="s">
        <v>3888</v>
      </c>
      <c r="I48" s="1613"/>
      <c r="J48" s="2390" t="s">
        <v>3889</v>
      </c>
      <c r="K48" s="2390"/>
      <c r="L48" s="2390"/>
      <c r="M48" s="2391"/>
    </row>
    <row r="49" spans="2:17" s="1581" customFormat="1" ht="22.25" customHeight="1">
      <c r="B49" s="1603" t="s">
        <v>3890</v>
      </c>
      <c r="C49" s="1607">
        <f>+C46+C47+C48</f>
        <v>43229</v>
      </c>
      <c r="D49" s="1607">
        <f>+D46+D47+D48</f>
        <v>43229</v>
      </c>
      <c r="E49" s="1607"/>
      <c r="F49" s="1609"/>
    </row>
    <row r="50" spans="2:17" s="1581" customFormat="1" ht="22.25" customHeight="1" thickBot="1">
      <c r="B50" s="1614" t="s">
        <v>3891</v>
      </c>
      <c r="C50" s="1594">
        <f>E37</f>
        <v>35089.667752000008</v>
      </c>
      <c r="D50" s="1615">
        <f>$C$50/$C$49*D49</f>
        <v>35089.667752000008</v>
      </c>
      <c r="E50" s="1615"/>
      <c r="F50" s="1616"/>
    </row>
    <row r="51" spans="2:17" s="1581" customFormat="1" ht="14.5">
      <c r="B51" s="1617" t="s">
        <v>3892</v>
      </c>
      <c r="C51" s="1582"/>
      <c r="D51" s="1582"/>
      <c r="E51" s="1583"/>
      <c r="F51" s="1618"/>
      <c r="G51" s="1583"/>
      <c r="H51" s="1583"/>
      <c r="I51" s="1583"/>
      <c r="J51" s="1583"/>
      <c r="K51" s="1583"/>
      <c r="L51" s="1582"/>
      <c r="M51" s="1582"/>
    </row>
    <row r="52" spans="2:17" s="1623" customFormat="1" ht="15.5">
      <c r="B52" s="1619"/>
      <c r="C52" s="1620"/>
      <c r="D52" s="1621"/>
      <c r="E52" s="1620"/>
      <c r="F52" s="1620"/>
      <c r="G52" s="1620"/>
      <c r="H52" s="1620"/>
      <c r="I52" s="1620"/>
      <c r="J52" s="1620"/>
      <c r="K52" s="1620"/>
      <c r="L52" s="1620"/>
      <c r="M52" s="1622"/>
    </row>
    <row r="53" spans="2:17" s="1623" customFormat="1" ht="15.5">
      <c r="B53" s="1619"/>
      <c r="C53" s="1620"/>
      <c r="D53" s="1624"/>
      <c r="E53" s="1620"/>
      <c r="F53" s="1620"/>
      <c r="G53" s="1620"/>
      <c r="H53" s="1620"/>
      <c r="I53" s="1620"/>
      <c r="J53" s="1620"/>
      <c r="K53" s="1620"/>
      <c r="L53" s="1620"/>
      <c r="M53" s="1622"/>
    </row>
    <row r="54" spans="2:17" s="1623" customFormat="1" ht="16" thickBot="1">
      <c r="B54" s="1620"/>
      <c r="C54" s="1620"/>
      <c r="D54" s="1624"/>
      <c r="E54" s="1620"/>
      <c r="F54" s="1620"/>
      <c r="G54" s="1620"/>
      <c r="H54" s="1620"/>
      <c r="I54" s="1620"/>
      <c r="J54" s="1620"/>
      <c r="K54" s="1620"/>
      <c r="L54" s="1620"/>
      <c r="M54" s="1622"/>
    </row>
    <row r="55" spans="2:17" s="1581" customFormat="1" ht="22.25" customHeight="1">
      <c r="B55" s="1625" t="s">
        <v>3893</v>
      </c>
      <c r="C55" s="1626"/>
      <c r="D55" s="1626"/>
      <c r="E55" s="1626"/>
      <c r="F55" s="1626"/>
      <c r="G55" s="1626"/>
      <c r="H55" s="1626"/>
      <c r="I55" s="1626"/>
      <c r="J55" s="1627"/>
      <c r="K55" s="1582"/>
      <c r="L55" s="2392" t="s">
        <v>3852</v>
      </c>
      <c r="M55" s="2393"/>
      <c r="N55" s="2393"/>
      <c r="O55" s="2393"/>
      <c r="P55" s="2393"/>
      <c r="Q55" s="2394"/>
    </row>
    <row r="56" spans="2:17" s="1581" customFormat="1" ht="22.25" customHeight="1">
      <c r="B56" s="1603" t="s">
        <v>3894</v>
      </c>
      <c r="C56" s="1628" t="s">
        <v>3895</v>
      </c>
      <c r="D56" s="1628" t="s">
        <v>3896</v>
      </c>
      <c r="E56" s="1628" t="s">
        <v>134</v>
      </c>
      <c r="F56" s="1628" t="s">
        <v>525</v>
      </c>
      <c r="G56" s="1628" t="s">
        <v>527</v>
      </c>
      <c r="H56" s="1628" t="s">
        <v>3897</v>
      </c>
      <c r="I56" s="1628" t="s">
        <v>3855</v>
      </c>
      <c r="J56" s="1629" t="s">
        <v>3898</v>
      </c>
      <c r="K56" s="1583"/>
      <c r="L56" s="1552" t="s">
        <v>3899</v>
      </c>
      <c r="M56" s="1553"/>
      <c r="N56" s="2388" t="s">
        <v>3900</v>
      </c>
      <c r="O56" s="2388"/>
      <c r="P56" s="2388"/>
      <c r="Q56" s="2389"/>
    </row>
    <row r="57" spans="2:17" s="1581" customFormat="1" ht="22.25" customHeight="1">
      <c r="B57" s="1603" t="s">
        <v>3901</v>
      </c>
      <c r="C57" s="1630"/>
      <c r="D57" s="1631">
        <f>SUM(D58:D61)</f>
        <v>103407.26</v>
      </c>
      <c r="E57" s="1632">
        <f>D57/F57</f>
        <v>2.3920807791066183</v>
      </c>
      <c r="F57" s="1631">
        <f>+D46</f>
        <v>43229</v>
      </c>
      <c r="G57" s="1632">
        <f>+H57/(F58+F59+F61+F60)</f>
        <v>0.81171592569802697</v>
      </c>
      <c r="H57" s="1631">
        <f>+D50</f>
        <v>35089.667752000008</v>
      </c>
      <c r="I57" s="1632"/>
      <c r="J57" s="1633">
        <f>M12</f>
        <v>32293.568439999999</v>
      </c>
      <c r="K57" s="1583"/>
      <c r="L57" s="1552" t="s">
        <v>3902</v>
      </c>
      <c r="M57" s="1553"/>
      <c r="N57" s="2388" t="s">
        <v>3903</v>
      </c>
      <c r="O57" s="2388"/>
      <c r="P57" s="2388"/>
      <c r="Q57" s="2389"/>
    </row>
    <row r="58" spans="2:17" s="1581" customFormat="1" ht="22.25" customHeight="1">
      <c r="B58" s="1634" t="str">
        <f>'全期规划指标 '!C20</f>
        <v>高层（27F）</v>
      </c>
      <c r="C58" s="1635" t="s">
        <v>3904</v>
      </c>
      <c r="D58" s="1636">
        <f>+'全期规划指标 '!I20</f>
        <v>43173.95</v>
      </c>
      <c r="E58" s="1636">
        <f>+D58/F58</f>
        <v>3.267288481913122</v>
      </c>
      <c r="F58" s="1636">
        <f>43229-F59-F60-F61</f>
        <v>13214</v>
      </c>
      <c r="G58" s="1636">
        <f>+G57</f>
        <v>0.81171592569802697</v>
      </c>
      <c r="H58" s="1636">
        <f>+F58*G58</f>
        <v>10726.014242173729</v>
      </c>
      <c r="I58" s="1636">
        <f>+H58/D58*10000</f>
        <v>2484.3717663483953</v>
      </c>
      <c r="J58" s="1637">
        <f>J$57/H$57*H58</f>
        <v>9871.3181745161819</v>
      </c>
      <c r="K58" s="1638"/>
      <c r="L58" s="1552" t="s">
        <v>3905</v>
      </c>
      <c r="M58" s="1553"/>
      <c r="N58" s="2388" t="s">
        <v>3906</v>
      </c>
      <c r="O58" s="2388"/>
      <c r="P58" s="2388"/>
      <c r="Q58" s="2389"/>
    </row>
    <row r="59" spans="2:17" s="1581" customFormat="1" ht="22.25" customHeight="1" thickBot="1">
      <c r="B59" s="1634" t="str">
        <f>'全期规划指标 '!C22</f>
        <v>人才公寓26F（可售、T7）</v>
      </c>
      <c r="C59" s="1635" t="s">
        <v>3904</v>
      </c>
      <c r="D59" s="1636">
        <f>+'全期规划指标 '!I22</f>
        <v>0</v>
      </c>
      <c r="E59" s="1636" t="e">
        <f>+D59/F59</f>
        <v>#DIV/0!</v>
      </c>
      <c r="F59" s="1636"/>
      <c r="G59" s="1636">
        <f>+G57</f>
        <v>0.81171592569802697</v>
      </c>
      <c r="H59" s="1636">
        <f>+F59*G59</f>
        <v>0</v>
      </c>
      <c r="I59" s="1636" t="e">
        <f>+H59/D59*10000</f>
        <v>#DIV/0!</v>
      </c>
      <c r="J59" s="1637">
        <f t="shared" ref="J59:J61" si="2">J$57/H$57*H59</f>
        <v>0</v>
      </c>
      <c r="K59" s="1638"/>
      <c r="L59" s="1597" t="s">
        <v>3907</v>
      </c>
      <c r="M59" s="1598"/>
      <c r="N59" s="2390" t="s">
        <v>3908</v>
      </c>
      <c r="O59" s="2390"/>
      <c r="P59" s="2390"/>
      <c r="Q59" s="2391"/>
    </row>
    <row r="60" spans="2:17" s="1581" customFormat="1" ht="22.25" customHeight="1">
      <c r="B60" s="1634" t="str">
        <f>'全期规划指标 '!C26</f>
        <v>临街商业</v>
      </c>
      <c r="C60" s="1635" t="s">
        <v>3904</v>
      </c>
      <c r="D60" s="1636">
        <f>'全期规划指标 '!I26</f>
        <v>1058.93</v>
      </c>
      <c r="E60" s="1636">
        <f>+D60/F60</f>
        <v>1.0589300000000001</v>
      </c>
      <c r="F60" s="1636">
        <v>1000</v>
      </c>
      <c r="G60" s="1636">
        <f>+G58</f>
        <v>0.81171592569802697</v>
      </c>
      <c r="H60" s="1636">
        <f>+F60*G60</f>
        <v>811.71592569802692</v>
      </c>
      <c r="I60" s="1636">
        <f>+H60/D60*10000</f>
        <v>7665.4351628344357</v>
      </c>
      <c r="J60" s="1637">
        <f t="shared" si="2"/>
        <v>747.0348247704087</v>
      </c>
      <c r="K60" s="1638"/>
      <c r="L60" s="1639"/>
      <c r="M60" s="1639"/>
    </row>
    <row r="61" spans="2:17" s="1581" customFormat="1" ht="22.25" customHeight="1">
      <c r="B61" s="1634" t="str">
        <f>'全期规划指标 '!C24</f>
        <v>小高层（8~11F）</v>
      </c>
      <c r="C61" s="1635" t="s">
        <v>3904</v>
      </c>
      <c r="D61" s="1636">
        <f>'全期规划指标 '!I24</f>
        <v>59174.38</v>
      </c>
      <c r="E61" s="1636">
        <f>+D61/F61</f>
        <v>2.0394409788040666</v>
      </c>
      <c r="F61" s="1636">
        <v>29015</v>
      </c>
      <c r="G61" s="1636">
        <f>G57</f>
        <v>0.81171592569802697</v>
      </c>
      <c r="H61" s="1636">
        <f>+F61*G61</f>
        <v>23551.937584128253</v>
      </c>
      <c r="I61" s="1636">
        <f>+H61/D61*10000</f>
        <v>3980.0902999115924</v>
      </c>
      <c r="J61" s="1637">
        <f t="shared" si="2"/>
        <v>21675.215440713408</v>
      </c>
      <c r="K61" s="1638"/>
      <c r="L61" s="1639"/>
      <c r="M61" s="1639"/>
    </row>
    <row r="62" spans="2:17" s="1581" customFormat="1" ht="22.25" customHeight="1">
      <c r="B62" s="1603" t="s">
        <v>3909</v>
      </c>
      <c r="C62" s="1630"/>
      <c r="D62" s="1631">
        <f>SUM(D63:D64)</f>
        <v>0</v>
      </c>
      <c r="E62" s="1632" t="e">
        <f>D62/F62</f>
        <v>#DIV/0!</v>
      </c>
      <c r="F62" s="1631">
        <f>+E46</f>
        <v>0</v>
      </c>
      <c r="G62" s="1632" t="e">
        <f>+H62/F62</f>
        <v>#DIV/0!</v>
      </c>
      <c r="H62" s="1631">
        <f>+E50</f>
        <v>0</v>
      </c>
      <c r="I62" s="1632"/>
      <c r="J62" s="1633">
        <f>SUM(J63:J64)</f>
        <v>0</v>
      </c>
      <c r="K62" s="1638"/>
      <c r="L62" s="1639"/>
      <c r="M62" s="1639"/>
    </row>
    <row r="63" spans="2:17" s="1581" customFormat="1" ht="22.25" customHeight="1">
      <c r="B63" s="1634"/>
      <c r="C63" s="1635"/>
      <c r="D63" s="1636"/>
      <c r="E63" s="1636"/>
      <c r="F63" s="1636"/>
      <c r="G63" s="1636"/>
      <c r="H63" s="1636"/>
      <c r="I63" s="1636"/>
      <c r="J63" s="1637"/>
      <c r="K63" s="1640"/>
      <c r="L63" s="1639"/>
      <c r="M63" s="1639"/>
    </row>
    <row r="64" spans="2:17" s="1581" customFormat="1" ht="22.25" customHeight="1">
      <c r="B64" s="1634" t="s">
        <v>3910</v>
      </c>
      <c r="C64" s="1635"/>
      <c r="D64" s="1636"/>
      <c r="E64" s="1636"/>
      <c r="F64" s="1636"/>
      <c r="G64" s="1636"/>
      <c r="H64" s="1636"/>
      <c r="I64" s="1636"/>
      <c r="J64" s="1637"/>
      <c r="K64" s="1640"/>
      <c r="L64" s="1639"/>
      <c r="M64" s="1639"/>
    </row>
    <row r="65" spans="2:17" s="1581" customFormat="1" ht="22.25" customHeight="1">
      <c r="B65" s="1603"/>
      <c r="C65" s="1630"/>
      <c r="D65" s="1631">
        <f>SUM(D66:D68)</f>
        <v>0</v>
      </c>
      <c r="E65" s="1632"/>
      <c r="F65" s="1631">
        <f>SUM(F66:F68)</f>
        <v>0</v>
      </c>
      <c r="G65" s="1632"/>
      <c r="H65" s="1631">
        <f>SUM(H66:H68)</f>
        <v>0</v>
      </c>
      <c r="I65" s="1632"/>
      <c r="J65" s="1633">
        <f>SUM(J66:J68)</f>
        <v>0</v>
      </c>
      <c r="K65" s="1638"/>
      <c r="L65" s="1639"/>
      <c r="M65" s="1639"/>
    </row>
    <row r="66" spans="2:17" s="1581" customFormat="1" ht="22.25" customHeight="1">
      <c r="B66" s="1634" t="str">
        <f>'全期规划指标 '!C26</f>
        <v>临街商业</v>
      </c>
      <c r="C66" s="1635" t="s">
        <v>3904</v>
      </c>
      <c r="D66" s="1636"/>
      <c r="E66" s="1636"/>
      <c r="F66" s="1636"/>
      <c r="G66" s="1636"/>
      <c r="H66" s="1636"/>
      <c r="I66" s="1636"/>
      <c r="J66" s="1637"/>
      <c r="K66" s="1638"/>
      <c r="L66" s="1639"/>
      <c r="M66" s="1639"/>
    </row>
    <row r="67" spans="2:17" s="1581" customFormat="1" ht="22.25" customHeight="1">
      <c r="B67" s="1634">
        <f>'全期规划指标 '!C28</f>
        <v>0</v>
      </c>
      <c r="C67" s="1635" t="s">
        <v>3904</v>
      </c>
      <c r="D67" s="1636"/>
      <c r="E67" s="1636"/>
      <c r="F67" s="1636"/>
      <c r="G67" s="1636"/>
      <c r="H67" s="1636"/>
      <c r="I67" s="1636"/>
      <c r="J67" s="1637"/>
      <c r="K67" s="1638"/>
      <c r="L67" s="1639"/>
      <c r="M67" s="1639"/>
    </row>
    <row r="68" spans="2:17" s="1581" customFormat="1" ht="21" customHeight="1">
      <c r="B68" s="1641" t="s">
        <v>3910</v>
      </c>
      <c r="C68" s="1642"/>
      <c r="D68" s="1607"/>
      <c r="E68" s="1607"/>
      <c r="F68" s="1607"/>
      <c r="G68" s="1607"/>
      <c r="H68" s="1607"/>
      <c r="I68" s="1607"/>
      <c r="J68" s="1643"/>
      <c r="K68" s="1583"/>
      <c r="L68" s="1582"/>
      <c r="M68" s="1582"/>
    </row>
    <row r="69" spans="2:17" s="1649" customFormat="1" ht="21" customHeight="1" thickBot="1">
      <c r="B69" s="1614" t="s">
        <v>3911</v>
      </c>
      <c r="C69" s="1644"/>
      <c r="D69" s="1645">
        <f>D57+D62+D65</f>
        <v>103407.26</v>
      </c>
      <c r="E69" s="1645">
        <f>D69/F69</f>
        <v>2.3920807791066183</v>
      </c>
      <c r="F69" s="1645">
        <f>F57+F62+F65</f>
        <v>43229</v>
      </c>
      <c r="G69" s="1645"/>
      <c r="H69" s="1645">
        <f>H57+H62+H65</f>
        <v>35089.667752000008</v>
      </c>
      <c r="I69" s="1645">
        <f>+H69/D69*10000</f>
        <v>3393.3466327219203</v>
      </c>
      <c r="J69" s="1646">
        <f>J57+J62+J65</f>
        <v>32293.568439999999</v>
      </c>
      <c r="K69" s="1647"/>
      <c r="L69" s="1648"/>
      <c r="M69" s="1648"/>
    </row>
    <row r="70" spans="2:17" s="1581" customFormat="1" ht="21" customHeight="1">
      <c r="B70" s="1582" t="s">
        <v>3912</v>
      </c>
      <c r="C70" s="1582"/>
      <c r="D70" s="1618"/>
      <c r="E70" s="1618"/>
      <c r="F70" s="1618"/>
      <c r="G70" s="1583"/>
      <c r="H70" s="1583"/>
      <c r="I70" s="1583"/>
      <c r="J70" s="1583"/>
      <c r="K70" s="1583"/>
      <c r="L70" s="1582"/>
      <c r="M70" s="1582"/>
    </row>
    <row r="71" spans="2:17" s="1581" customFormat="1" ht="21" customHeight="1">
      <c r="B71" s="1617" t="s">
        <v>3913</v>
      </c>
      <c r="C71" s="1513"/>
      <c r="D71" s="1513"/>
      <c r="E71" s="1513"/>
      <c r="F71" s="1513"/>
      <c r="G71" s="1513"/>
      <c r="H71" s="1513"/>
      <c r="I71" s="1513"/>
      <c r="J71" s="1513"/>
      <c r="K71" s="1583"/>
      <c r="L71" s="1582"/>
      <c r="M71" s="1582"/>
    </row>
    <row r="72" spans="2:17" s="1581" customFormat="1" ht="14.5">
      <c r="B72" s="1617" t="s">
        <v>3914</v>
      </c>
      <c r="C72" s="1513"/>
      <c r="D72" s="1513"/>
      <c r="E72" s="1513"/>
      <c r="F72" s="1513"/>
      <c r="G72" s="1513"/>
      <c r="H72" s="1513"/>
      <c r="I72" s="1513"/>
      <c r="J72" s="1513"/>
      <c r="K72" s="1583"/>
      <c r="L72" s="1582"/>
      <c r="M72" s="1582"/>
    </row>
    <row r="73" spans="2:17" s="1581" customFormat="1" ht="14.5">
      <c r="B73" s="1650"/>
      <c r="C73" s="1513"/>
      <c r="D73" s="1513"/>
      <c r="E73" s="1513"/>
      <c r="F73" s="1513"/>
      <c r="G73" s="1513"/>
      <c r="H73" s="1513"/>
      <c r="I73" s="1513"/>
      <c r="J73" s="1513"/>
      <c r="K73" s="1583"/>
      <c r="L73" s="1582"/>
      <c r="M73" s="1582"/>
    </row>
    <row r="74" spans="2:17" s="1581" customFormat="1" ht="14.5">
      <c r="B74" s="1650"/>
      <c r="C74" s="1513"/>
      <c r="D74" s="1513"/>
      <c r="E74" s="1513"/>
      <c r="F74" s="1513"/>
      <c r="G74" s="1513"/>
      <c r="H74" s="1513"/>
      <c r="I74" s="1513"/>
      <c r="J74" s="1513"/>
      <c r="K74" s="1583"/>
      <c r="L74" s="1582"/>
      <c r="M74" s="1582"/>
    </row>
    <row r="75" spans="2:17" s="1581" customFormat="1" ht="14.5">
      <c r="B75" s="1650"/>
      <c r="C75" s="1513"/>
      <c r="D75" s="1513"/>
      <c r="E75" s="1513"/>
      <c r="F75" s="1513"/>
      <c r="G75" s="1513"/>
      <c r="H75" s="1513"/>
      <c r="I75" s="1513"/>
      <c r="J75" s="1513"/>
      <c r="K75" s="1583"/>
      <c r="L75" s="1582"/>
      <c r="M75" s="1582"/>
    </row>
    <row r="76" spans="2:17" s="1581" customFormat="1" ht="14.5">
      <c r="B76" s="1650"/>
      <c r="C76" s="1513"/>
      <c r="D76" s="1513"/>
      <c r="E76" s="1513"/>
      <c r="F76" s="1513"/>
      <c r="G76" s="1513"/>
      <c r="H76" s="1513"/>
      <c r="I76" s="1513"/>
      <c r="J76" s="1513"/>
      <c r="K76" s="1583"/>
      <c r="L76" s="1582"/>
      <c r="M76" s="1582"/>
    </row>
    <row r="77" spans="2:17" s="1581" customFormat="1" ht="14.5">
      <c r="B77" s="1650"/>
      <c r="C77" s="1513"/>
      <c r="D77" s="1513"/>
      <c r="E77" s="1513"/>
      <c r="F77" s="1513"/>
      <c r="G77" s="1513"/>
      <c r="H77" s="1513"/>
      <c r="I77" s="1513"/>
      <c r="J77" s="1513"/>
      <c r="K77" s="1583"/>
      <c r="L77" s="1513"/>
      <c r="M77" s="1513"/>
      <c r="N77" s="1513"/>
      <c r="O77" s="1513"/>
      <c r="P77" s="1513"/>
      <c r="Q77" s="1513"/>
    </row>
  </sheetData>
  <mergeCells count="20">
    <mergeCell ref="J45:M45"/>
    <mergeCell ref="B10:N10"/>
    <mergeCell ref="B35:E35"/>
    <mergeCell ref="H35:M35"/>
    <mergeCell ref="J36:M36"/>
    <mergeCell ref="J37:M37"/>
    <mergeCell ref="J38:M38"/>
    <mergeCell ref="J39:M39"/>
    <mergeCell ref="J40:M40"/>
    <mergeCell ref="B43:F43"/>
    <mergeCell ref="H43:M43"/>
    <mergeCell ref="J44:M44"/>
    <mergeCell ref="N58:Q58"/>
    <mergeCell ref="N59:Q59"/>
    <mergeCell ref="J46:M46"/>
    <mergeCell ref="J47:M47"/>
    <mergeCell ref="J48:M48"/>
    <mergeCell ref="L55:Q55"/>
    <mergeCell ref="N56:Q56"/>
    <mergeCell ref="N57:Q57"/>
  </mergeCells>
  <phoneticPr fontId="19" type="noConversion"/>
  <printOptions horizontalCentered="1"/>
  <pageMargins left="0.37" right="0.28999999999999998" top="0.59055118110236204" bottom="0.59055118110236204" header="0.511811023622047" footer="0.511811023622047"/>
  <pageSetup paperSize="9" orientation="landscape"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outlinePr summaryBelow="0"/>
  </sheetPr>
  <dimension ref="A1:AB195"/>
  <sheetViews>
    <sheetView zoomScale="70" zoomScaleNormal="70" workbookViewId="0">
      <pane xSplit="5" ySplit="9" topLeftCell="G181" activePane="bottomRight" state="frozen"/>
      <selection activeCell="D8" sqref="D8"/>
      <selection pane="topRight" activeCell="D8" sqref="D8"/>
      <selection pane="bottomLeft" activeCell="D8" sqref="D8"/>
      <selection pane="bottomRight" activeCell="O189" sqref="O189"/>
    </sheetView>
  </sheetViews>
  <sheetFormatPr defaultColWidth="10" defaultRowHeight="12" outlineLevelRow="4"/>
  <cols>
    <col min="1" max="1" width="14.9140625" style="1656" customWidth="1"/>
    <col min="2" max="2" width="16.6640625" style="1784" customWidth="1"/>
    <col min="3" max="3" width="6.6640625" style="1664" customWidth="1"/>
    <col min="4" max="5" width="13.6640625" style="1891" customWidth="1"/>
    <col min="6" max="6" width="14.6640625" style="1892" customWidth="1"/>
    <col min="7" max="7" width="12.08203125" style="1892" customWidth="1"/>
    <col min="8" max="8" width="11.6640625" style="1893" customWidth="1"/>
    <col min="9" max="9" width="14.33203125" style="1893" customWidth="1"/>
    <col min="10" max="10" width="14.6640625" style="1893" customWidth="1"/>
    <col min="11" max="11" width="9.33203125" style="1894" customWidth="1"/>
    <col min="12" max="12" width="20.08203125" style="1893" customWidth="1"/>
    <col min="13" max="13" width="12" style="1895" customWidth="1"/>
    <col min="14" max="14" width="8.6640625" style="1895" customWidth="1"/>
    <col min="15" max="15" width="12" style="1895" customWidth="1"/>
    <col min="16" max="16" width="9.6640625" style="1895" customWidth="1"/>
    <col min="17" max="17" width="11.6640625" style="1895" customWidth="1"/>
    <col min="18" max="18" width="11.33203125" style="1896" customWidth="1"/>
    <col min="19" max="19" width="11.6640625" style="1894" customWidth="1"/>
    <col min="20" max="23" width="12" style="1895" customWidth="1"/>
    <col min="24" max="24" width="13.6640625" style="1897" customWidth="1"/>
    <col min="25" max="25" width="12" style="1895" customWidth="1"/>
    <col min="26" max="26" width="13.33203125" style="1656" customWidth="1"/>
    <col min="27" max="27" width="10" style="1656"/>
    <col min="28" max="28" width="10.33203125" style="1656" customWidth="1"/>
    <col min="29" max="16384" width="10" style="1656"/>
  </cols>
  <sheetData>
    <row r="1" spans="2:25" ht="15.65" customHeight="1" thickBot="1">
      <c r="B1" s="1651" t="s">
        <v>1049</v>
      </c>
      <c r="C1" s="1652"/>
      <c r="D1" s="1652" t="s">
        <v>3915</v>
      </c>
      <c r="E1" s="1652"/>
      <c r="F1" s="1652"/>
      <c r="G1" s="1652"/>
      <c r="H1" s="1652"/>
      <c r="I1" s="1652"/>
      <c r="J1" s="1653"/>
      <c r="K1" s="1652"/>
      <c r="L1" s="1652"/>
      <c r="M1" s="1654"/>
      <c r="N1" s="1654"/>
      <c r="O1" s="1654"/>
      <c r="P1" s="1654"/>
      <c r="Q1" s="1654"/>
      <c r="R1" s="1654"/>
      <c r="S1" s="1654"/>
      <c r="T1" s="1654"/>
      <c r="U1" s="1654"/>
      <c r="V1" s="1654"/>
      <c r="W1" s="1654"/>
      <c r="X1" s="1655"/>
      <c r="Y1" s="1654"/>
    </row>
    <row r="2" spans="2:25" ht="15.65" customHeight="1">
      <c r="B2" s="1652"/>
      <c r="C2" s="2411" t="s">
        <v>3916</v>
      </c>
      <c r="D2" s="1657" t="s">
        <v>431</v>
      </c>
      <c r="E2" s="1658">
        <f>+'全期规划指标 '!D2</f>
        <v>43229</v>
      </c>
      <c r="F2" s="1659" t="s">
        <v>12</v>
      </c>
      <c r="G2" s="1660">
        <f>+'全期规划指标 '!D3</f>
        <v>8858.07</v>
      </c>
      <c r="H2" s="1659" t="s">
        <v>3917</v>
      </c>
      <c r="I2" s="1661">
        <f>+'全期规划指标 '!D25+'全期规划指标 '!D26</f>
        <v>43229</v>
      </c>
      <c r="J2" s="1662" t="s">
        <v>107</v>
      </c>
      <c r="K2" s="1663">
        <f>'全期规划指标 '!F51</f>
        <v>16</v>
      </c>
      <c r="L2" s="1654"/>
      <c r="M2" s="1664"/>
      <c r="N2" s="1664"/>
      <c r="O2" s="1656"/>
      <c r="P2" s="1664"/>
      <c r="Q2" s="1656"/>
      <c r="R2" s="1656"/>
      <c r="S2" s="1656"/>
      <c r="T2" s="1656"/>
      <c r="U2" s="1656"/>
      <c r="V2" s="1656"/>
      <c r="W2" s="1656"/>
      <c r="X2" s="1656"/>
      <c r="Y2" s="1656"/>
    </row>
    <row r="3" spans="2:25" ht="15.65" customHeight="1">
      <c r="B3" s="1652"/>
      <c r="C3" s="2412"/>
      <c r="D3" s="1665" t="s">
        <v>10</v>
      </c>
      <c r="E3" s="1666">
        <f>+'全期规划指标 '!H51</f>
        <v>138524.57999999999</v>
      </c>
      <c r="F3" s="1667" t="s">
        <v>3918</v>
      </c>
      <c r="G3" s="1668">
        <f>+'全期规划指标 '!H50</f>
        <v>33975.300000000003</v>
      </c>
      <c r="H3" s="1667" t="s">
        <v>3919</v>
      </c>
      <c r="I3" s="1669">
        <f>'全期规划指标 '!D36</f>
        <v>0</v>
      </c>
      <c r="J3" s="1670" t="s">
        <v>18</v>
      </c>
      <c r="K3" s="1671">
        <f>'全期规划指标 '!Q25+'全期规划指标 '!Q31</f>
        <v>36</v>
      </c>
      <c r="L3" s="1654"/>
      <c r="M3" s="1664">
        <f>M37*5.226</f>
        <v>225914.75399999999</v>
      </c>
      <c r="N3" s="1664"/>
      <c r="O3" s="1656"/>
      <c r="P3" s="1664"/>
      <c r="Q3" s="1656"/>
      <c r="R3" s="1656"/>
      <c r="S3" s="1656"/>
      <c r="T3" s="1656"/>
      <c r="U3" s="1656"/>
      <c r="V3" s="1656"/>
      <c r="W3" s="1656"/>
      <c r="X3" s="1656"/>
      <c r="Y3" s="1656"/>
    </row>
    <row r="4" spans="2:25" ht="15.65" customHeight="1">
      <c r="B4" s="1652"/>
      <c r="C4" s="2412"/>
      <c r="D4" s="1672" t="s">
        <v>3920</v>
      </c>
      <c r="E4" s="1666">
        <f>+'全期规划指标 '!D4</f>
        <v>104549.27999999998</v>
      </c>
      <c r="F4" s="1672" t="s">
        <v>3921</v>
      </c>
      <c r="G4" s="1668">
        <f>'全期规划指标 '!I25+'全期规划指标 '!I31</f>
        <v>103407.25999999998</v>
      </c>
      <c r="H4" s="1667" t="s">
        <v>3922</v>
      </c>
      <c r="I4" s="1673">
        <f>地价分摊表!E37/地价分摊表!E40</f>
        <v>1</v>
      </c>
      <c r="J4" s="1670" t="s">
        <v>3923</v>
      </c>
      <c r="K4" s="1671">
        <f>'全期规划指标 '!S25+'全期规划指标 '!S31</f>
        <v>494</v>
      </c>
      <c r="L4" s="1654"/>
      <c r="M4" s="1664">
        <f>+M165/E4</f>
        <v>0.32875338787603325</v>
      </c>
      <c r="N4" s="1664"/>
      <c r="O4" s="1656"/>
      <c r="P4" s="1664"/>
      <c r="Q4" s="1656"/>
      <c r="R4" s="1656"/>
      <c r="S4" s="1656"/>
      <c r="T4" s="1656"/>
      <c r="U4" s="1656"/>
      <c r="V4" s="1656"/>
      <c r="W4" s="1656"/>
      <c r="X4" s="1656"/>
      <c r="Y4" s="1656"/>
    </row>
    <row r="5" spans="2:25" ht="15.65" customHeight="1" thickBot="1">
      <c r="B5" s="1652"/>
      <c r="C5" s="2413"/>
      <c r="D5" s="1674" t="s">
        <v>566</v>
      </c>
      <c r="E5" s="1675">
        <f>+'全期规划指标 '!B8</f>
        <v>34370.93</v>
      </c>
      <c r="F5" s="1676" t="s">
        <v>3924</v>
      </c>
      <c r="G5" s="1677">
        <v>0</v>
      </c>
      <c r="H5" s="1674" t="s">
        <v>3925</v>
      </c>
      <c r="I5" s="1678">
        <f>地价分摊表!E38/地价分摊表!E40</f>
        <v>0</v>
      </c>
      <c r="J5" s="1679" t="s">
        <v>3926</v>
      </c>
      <c r="K5" s="1680">
        <f>'全期规划指标 '!R25+'全期规划指标 '!R31</f>
        <v>1018</v>
      </c>
      <c r="L5" s="1654"/>
      <c r="M5" s="1681"/>
      <c r="N5" s="1681"/>
      <c r="O5" s="1654"/>
      <c r="P5" s="1654"/>
      <c r="Q5" s="1654"/>
      <c r="R5" s="1654"/>
      <c r="S5" s="1654"/>
      <c r="T5" s="1654"/>
      <c r="U5" s="1654"/>
      <c r="V5" s="1654"/>
      <c r="W5" s="1654"/>
      <c r="X5" s="1656"/>
      <c r="Y5" s="1654"/>
    </row>
    <row r="6" spans="2:25" ht="7.25" customHeight="1" thickBot="1">
      <c r="B6" s="1652"/>
      <c r="C6" s="1652"/>
      <c r="D6" s="1652"/>
      <c r="E6" s="1652"/>
      <c r="F6" s="1652"/>
      <c r="G6" s="1652"/>
      <c r="H6" s="1652"/>
      <c r="I6" s="1652"/>
      <c r="J6" s="1653"/>
      <c r="K6" s="1652"/>
      <c r="L6" s="1652"/>
      <c r="M6" s="1654"/>
      <c r="N6" s="1654"/>
      <c r="O6" s="1654"/>
      <c r="P6" s="1654"/>
      <c r="Q6" s="1654"/>
      <c r="R6" s="1654"/>
      <c r="S6" s="1654"/>
      <c r="T6" s="1654"/>
      <c r="U6" s="1654"/>
      <c r="V6" s="1654"/>
      <c r="W6" s="1654"/>
      <c r="X6" s="1655"/>
      <c r="Y6" s="1654"/>
    </row>
    <row r="7" spans="2:25" s="1682" customFormat="1" ht="33" customHeight="1">
      <c r="B7" s="2414" t="s">
        <v>3131</v>
      </c>
      <c r="C7" s="2416" t="s">
        <v>25</v>
      </c>
      <c r="D7" s="2416" t="s">
        <v>23</v>
      </c>
      <c r="E7" s="2416" t="s">
        <v>3927</v>
      </c>
      <c r="F7" s="2416" t="s">
        <v>444</v>
      </c>
      <c r="G7" s="2416" t="s">
        <v>3928</v>
      </c>
      <c r="H7" s="2405" t="s">
        <v>3929</v>
      </c>
      <c r="I7" s="2405"/>
      <c r="J7" s="2418" t="s">
        <v>108</v>
      </c>
      <c r="K7" s="2405" t="s">
        <v>109</v>
      </c>
      <c r="L7" s="2405" t="s">
        <v>3930</v>
      </c>
      <c r="M7" s="2407" t="s">
        <v>3931</v>
      </c>
      <c r="N7" s="2407" t="s">
        <v>1067</v>
      </c>
      <c r="O7" s="2405" t="s">
        <v>3932</v>
      </c>
      <c r="P7" s="2405" t="s">
        <v>3933</v>
      </c>
      <c r="Q7" s="2405" t="s">
        <v>3934</v>
      </c>
      <c r="R7" s="2405" t="s">
        <v>515</v>
      </c>
      <c r="S7" s="2405" t="s">
        <v>1019</v>
      </c>
      <c r="T7" s="2405" t="s">
        <v>3935</v>
      </c>
      <c r="U7" s="2405" t="s">
        <v>3936</v>
      </c>
      <c r="V7" s="2405" t="s">
        <v>1019</v>
      </c>
      <c r="W7" s="2405" t="s">
        <v>3934</v>
      </c>
      <c r="X7" s="2409" t="s">
        <v>3937</v>
      </c>
      <c r="Y7" s="2405" t="s">
        <v>3938</v>
      </c>
    </row>
    <row r="8" spans="2:25" s="1682" customFormat="1">
      <c r="B8" s="2415"/>
      <c r="C8" s="2417"/>
      <c r="D8" s="2417"/>
      <c r="E8" s="2417"/>
      <c r="F8" s="2417"/>
      <c r="G8" s="2417"/>
      <c r="H8" s="1683" t="s">
        <v>13</v>
      </c>
      <c r="I8" s="1683" t="s">
        <v>3939</v>
      </c>
      <c r="J8" s="2419"/>
      <c r="K8" s="2406"/>
      <c r="L8" s="2406"/>
      <c r="M8" s="2408"/>
      <c r="N8" s="2408"/>
      <c r="O8" s="2406"/>
      <c r="P8" s="2406"/>
      <c r="Q8" s="2406"/>
      <c r="R8" s="2406"/>
      <c r="S8" s="2406"/>
      <c r="T8" s="2406"/>
      <c r="U8" s="2406"/>
      <c r="V8" s="2406"/>
      <c r="W8" s="2406"/>
      <c r="X8" s="2410"/>
      <c r="Y8" s="2406"/>
    </row>
    <row r="9" spans="2:25" s="1693" customFormat="1">
      <c r="B9" s="1684">
        <v>5001.01</v>
      </c>
      <c r="C9" s="1685" t="s">
        <v>26</v>
      </c>
      <c r="D9" s="1686" t="s">
        <v>475</v>
      </c>
      <c r="E9" s="1686"/>
      <c r="F9" s="1687"/>
      <c r="G9" s="1687"/>
      <c r="H9" s="1688"/>
      <c r="I9" s="1689"/>
      <c r="J9" s="1690"/>
      <c r="K9" s="1689"/>
      <c r="L9" s="1689"/>
      <c r="M9" s="1689"/>
      <c r="N9" s="1689"/>
      <c r="O9" s="1689">
        <f>SUBTOTAL(9,O10:O71)</f>
        <v>3986.1729319999995</v>
      </c>
      <c r="P9" s="1689"/>
      <c r="Q9" s="1689">
        <f>SUBTOTAL(9,Q10:Q71)</f>
        <v>3973.3833829999994</v>
      </c>
      <c r="R9" s="1691"/>
      <c r="S9" s="1689">
        <f>SUBTOTAL(9,S10:S71)</f>
        <v>12.78954900000001</v>
      </c>
      <c r="T9" s="1689">
        <f>SUBTOTAL(9,T10:T71)</f>
        <v>35830.001904112694</v>
      </c>
      <c r="U9" s="1689">
        <f>SUBTOTAL(9,U10:U71)</f>
        <v>39260.924222000016</v>
      </c>
      <c r="V9" s="1689">
        <f>SUBTOTAL(9,V10:V71)</f>
        <v>12.78954900000001</v>
      </c>
      <c r="W9" s="1689">
        <f>SUBTOTAL(9,W10:W71)</f>
        <v>39248.134673000015</v>
      </c>
      <c r="X9" s="1692"/>
      <c r="Y9" s="1689">
        <f t="shared" ref="Y9:Y72" si="0">U9/$G$4*10000</f>
        <v>3796.7280268329346</v>
      </c>
    </row>
    <row r="10" spans="2:25" s="1703" customFormat="1" ht="12" customHeight="1" outlineLevel="1">
      <c r="B10" s="1694" t="s">
        <v>476</v>
      </c>
      <c r="C10" s="1695">
        <v>1</v>
      </c>
      <c r="D10" s="1696" t="s">
        <v>376</v>
      </c>
      <c r="E10" s="1697"/>
      <c r="F10" s="1698"/>
      <c r="G10" s="1698"/>
      <c r="H10" s="1698"/>
      <c r="I10" s="1699"/>
      <c r="J10" s="1700"/>
      <c r="K10" s="1699"/>
      <c r="L10" s="1699"/>
      <c r="M10" s="1699"/>
      <c r="N10" s="1699"/>
      <c r="O10" s="1701">
        <f>SUBTOTAL(9,O11:O26)</f>
        <v>0</v>
      </c>
      <c r="P10" s="1699"/>
      <c r="Q10" s="1701">
        <f>SUBTOTAL(9,Q11:Q26)</f>
        <v>0</v>
      </c>
      <c r="R10" s="1701"/>
      <c r="S10" s="1701">
        <f>SUBTOTAL(9,S11:S26)</f>
        <v>0</v>
      </c>
      <c r="T10" s="1701">
        <f>SUBTOTAL(9,T11:T26)</f>
        <v>35089.667752000008</v>
      </c>
      <c r="U10" s="1701">
        <f>SUBTOTAL(9,U11:U26)</f>
        <v>35089.667752000008</v>
      </c>
      <c r="V10" s="1701">
        <f>SUBTOTAL(9,V11:V26)</f>
        <v>0</v>
      </c>
      <c r="W10" s="1701">
        <f>SUBTOTAL(9,W11:W26)</f>
        <v>35089.667752000008</v>
      </c>
      <c r="X10" s="1702"/>
      <c r="Y10" s="1701">
        <f t="shared" si="0"/>
        <v>3393.3466327219207</v>
      </c>
    </row>
    <row r="11" spans="2:25" s="1703" customFormat="1" ht="12" customHeight="1" outlineLevel="2">
      <c r="B11" s="1704" t="s">
        <v>1080</v>
      </c>
      <c r="C11" s="1705"/>
      <c r="D11" s="1704" t="s">
        <v>76</v>
      </c>
      <c r="E11" s="1706"/>
      <c r="F11" s="1707" t="s">
        <v>3215</v>
      </c>
      <c r="G11" s="1708" t="s">
        <v>4175</v>
      </c>
      <c r="H11" s="1709" t="s">
        <v>431</v>
      </c>
      <c r="I11" s="1710"/>
      <c r="J11" s="1711"/>
      <c r="K11" s="1710"/>
      <c r="L11" s="1710"/>
      <c r="M11" s="1710">
        <f>I11*J11</f>
        <v>0</v>
      </c>
      <c r="N11" s="1710"/>
      <c r="O11" s="1710">
        <f t="shared" ref="O11:O13" si="1">ROUND(M11*ROUND(N11,2)/10000,6)</f>
        <v>0</v>
      </c>
      <c r="P11" s="1712">
        <f>IFERROR(ROUND(Q11*10000/M11,2),0)</f>
        <v>0</v>
      </c>
      <c r="Q11" s="1712">
        <f>ROUND(O11/(1+R11),6)</f>
        <v>0</v>
      </c>
      <c r="R11" s="1713">
        <v>0</v>
      </c>
      <c r="S11" s="1712">
        <f>O11-Q11</f>
        <v>0</v>
      </c>
      <c r="T11" s="1712">
        <f>+地价分摊表!J15</f>
        <v>33863.869440000002</v>
      </c>
      <c r="U11" s="1714">
        <f>O11+ROUND(T11,6)</f>
        <v>33863.869440000002</v>
      </c>
      <c r="V11" s="1714">
        <f>U11-W11</f>
        <v>0</v>
      </c>
      <c r="W11" s="1714">
        <f>ROUND(U11/(1+R11),6)</f>
        <v>33863.869440000002</v>
      </c>
      <c r="X11" s="1715"/>
      <c r="Y11" s="1714">
        <f t="shared" si="0"/>
        <v>3274.8057960340511</v>
      </c>
    </row>
    <row r="12" spans="2:25" s="1703" customFormat="1" ht="12" customHeight="1" outlineLevel="2">
      <c r="B12" s="1704" t="s">
        <v>1089</v>
      </c>
      <c r="C12" s="1705"/>
      <c r="D12" s="1704" t="s">
        <v>529</v>
      </c>
      <c r="E12" s="1706"/>
      <c r="F12" s="1707" t="s">
        <v>3215</v>
      </c>
      <c r="G12" s="1708" t="s">
        <v>4175</v>
      </c>
      <c r="H12" s="1709" t="s">
        <v>431</v>
      </c>
      <c r="I12" s="1710"/>
      <c r="J12" s="1711"/>
      <c r="K12" s="1710"/>
      <c r="L12" s="1710"/>
      <c r="M12" s="1710">
        <f>I12*J12</f>
        <v>0</v>
      </c>
      <c r="N12" s="1710"/>
      <c r="O12" s="1710">
        <f t="shared" si="1"/>
        <v>0</v>
      </c>
      <c r="P12" s="1710"/>
      <c r="Q12" s="1712">
        <f>ROUND(O12/(1+R12),6)</f>
        <v>0</v>
      </c>
      <c r="R12" s="1713">
        <v>0</v>
      </c>
      <c r="S12" s="1712">
        <f>O12-Q12</f>
        <v>0</v>
      </c>
      <c r="T12" s="1712">
        <v>0</v>
      </c>
      <c r="U12" s="1714">
        <f>O12+ROUND(T12,6)</f>
        <v>0</v>
      </c>
      <c r="V12" s="1714">
        <f>U12-W12</f>
        <v>0</v>
      </c>
      <c r="W12" s="1714">
        <f>ROUND(U12/(1+R12),6)</f>
        <v>0</v>
      </c>
      <c r="X12" s="1715"/>
      <c r="Y12" s="1714">
        <f t="shared" si="0"/>
        <v>0</v>
      </c>
    </row>
    <row r="13" spans="2:25" s="1703" customFormat="1" ht="12" customHeight="1" outlineLevel="2">
      <c r="B13" s="1704" t="s">
        <v>1094</v>
      </c>
      <c r="C13" s="1705"/>
      <c r="D13" s="1704" t="s">
        <v>530</v>
      </c>
      <c r="E13" s="1706"/>
      <c r="F13" s="1707" t="s">
        <v>3215</v>
      </c>
      <c r="G13" s="1708" t="s">
        <v>4175</v>
      </c>
      <c r="H13" s="1709" t="s">
        <v>431</v>
      </c>
      <c r="I13" s="1710"/>
      <c r="J13" s="1711"/>
      <c r="K13" s="1710"/>
      <c r="L13" s="1710"/>
      <c r="M13" s="1710">
        <f>I13*J13</f>
        <v>0</v>
      </c>
      <c r="N13" s="1710"/>
      <c r="O13" s="1710">
        <f t="shared" si="1"/>
        <v>0</v>
      </c>
      <c r="P13" s="1710"/>
      <c r="Q13" s="1712">
        <f>ROUND(O13/(1+R13),6)</f>
        <v>0</v>
      </c>
      <c r="R13" s="1713">
        <v>0</v>
      </c>
      <c r="S13" s="1712">
        <f>O13-Q13</f>
        <v>0</v>
      </c>
      <c r="T13" s="1712">
        <f>+地价分摊表!J17</f>
        <v>1122.048712</v>
      </c>
      <c r="U13" s="1714">
        <f>O13+ROUND(T13,6)</f>
        <v>1122.048712</v>
      </c>
      <c r="V13" s="1714">
        <f>U13-W13</f>
        <v>0</v>
      </c>
      <c r="W13" s="1714">
        <f>ROUND(U13/(1+R13),6)</f>
        <v>1122.048712</v>
      </c>
      <c r="X13" s="1715"/>
      <c r="Y13" s="1714">
        <f t="shared" si="0"/>
        <v>108.50773069511757</v>
      </c>
    </row>
    <row r="14" spans="2:25" s="1703" customFormat="1" ht="12" customHeight="1" outlineLevel="2">
      <c r="B14" s="1716" t="s">
        <v>3216</v>
      </c>
      <c r="C14" s="1717"/>
      <c r="D14" s="1716" t="s">
        <v>518</v>
      </c>
      <c r="E14" s="1718"/>
      <c r="F14" s="1719"/>
      <c r="G14" s="1719" t="s">
        <v>4117</v>
      </c>
      <c r="H14" s="1719"/>
      <c r="I14" s="1720"/>
      <c r="J14" s="1721"/>
      <c r="K14" s="1720"/>
      <c r="L14" s="1720"/>
      <c r="M14" s="1720"/>
      <c r="N14" s="1720"/>
      <c r="O14" s="1722">
        <f>SUBTOTAL(9,O15:O22)</f>
        <v>0</v>
      </c>
      <c r="P14" s="1720"/>
      <c r="Q14" s="1722">
        <f>SUBTOTAL(9,Q15:Q21)</f>
        <v>0</v>
      </c>
      <c r="R14" s="1723"/>
      <c r="S14" s="1722">
        <f>SUBTOTAL(9,S15:S21)</f>
        <v>0</v>
      </c>
      <c r="T14" s="1722">
        <v>0</v>
      </c>
      <c r="U14" s="1722">
        <f>SUBTOTAL(9,U15:U21)</f>
        <v>0</v>
      </c>
      <c r="V14" s="1722">
        <f>SUBTOTAL(9,V15:V21)</f>
        <v>0</v>
      </c>
      <c r="W14" s="1722">
        <f>SUBTOTAL(9,W15:W21)</f>
        <v>0</v>
      </c>
      <c r="X14" s="1724"/>
      <c r="Y14" s="1722">
        <f t="shared" si="0"/>
        <v>0</v>
      </c>
    </row>
    <row r="15" spans="2:25" s="1703" customFormat="1" ht="12" customHeight="1" outlineLevel="3">
      <c r="B15" s="1704" t="s">
        <v>3217</v>
      </c>
      <c r="C15" s="1725"/>
      <c r="D15" s="1704" t="s">
        <v>3218</v>
      </c>
      <c r="E15" s="1706" t="s">
        <v>3219</v>
      </c>
      <c r="F15" s="1707" t="s">
        <v>3220</v>
      </c>
      <c r="G15" s="1726" t="s">
        <v>4176</v>
      </c>
      <c r="H15" s="1727" t="s">
        <v>431</v>
      </c>
      <c r="I15" s="1714">
        <f>$E$2</f>
        <v>43229</v>
      </c>
      <c r="J15" s="1711">
        <v>1</v>
      </c>
      <c r="K15" s="1710" t="s">
        <v>101</v>
      </c>
      <c r="L15" s="1727" t="s">
        <v>431</v>
      </c>
      <c r="M15" s="1710">
        <f>I15*J15</f>
        <v>43229</v>
      </c>
      <c r="N15" s="1710"/>
      <c r="O15" s="1710">
        <f t="shared" ref="O15:O26" si="2">ROUND(M15*ROUND(N15,2)/10000,6)</f>
        <v>0</v>
      </c>
      <c r="P15" s="1712">
        <f>IFERROR(ROUND(Q15*10000/M15,2),0)</f>
        <v>0</v>
      </c>
      <c r="Q15" s="1712">
        <f t="shared" ref="Q15:Q26" si="3">ROUND(O15/(1+R15),6)</f>
        <v>0</v>
      </c>
      <c r="R15" s="1713">
        <v>0.09</v>
      </c>
      <c r="S15" s="1712">
        <f t="shared" ref="S15:S26" si="4">O15-Q15</f>
        <v>0</v>
      </c>
      <c r="T15" s="1712">
        <v>0</v>
      </c>
      <c r="U15" s="1714">
        <f t="shared" ref="U15:U26" si="5">O15+ROUND(T15,6)</f>
        <v>0</v>
      </c>
      <c r="V15" s="1714">
        <f>U15-W15</f>
        <v>0</v>
      </c>
      <c r="W15" s="1714">
        <f t="shared" ref="W15:W26" si="6">ROUND(U15/(1+R15),6)</f>
        <v>0</v>
      </c>
      <c r="X15" s="1715"/>
      <c r="Y15" s="1714">
        <f t="shared" si="0"/>
        <v>0</v>
      </c>
    </row>
    <row r="16" spans="2:25" s="1703" customFormat="1" ht="12" customHeight="1" outlineLevel="3">
      <c r="B16" s="1704" t="s">
        <v>3221</v>
      </c>
      <c r="C16" s="1725"/>
      <c r="D16" s="1704" t="s">
        <v>3222</v>
      </c>
      <c r="E16" s="1706" t="s">
        <v>3223</v>
      </c>
      <c r="F16" s="1707" t="s">
        <v>3220</v>
      </c>
      <c r="G16" s="1726" t="s">
        <v>4176</v>
      </c>
      <c r="H16" s="1727" t="s">
        <v>431</v>
      </c>
      <c r="I16" s="1710"/>
      <c r="J16" s="1711"/>
      <c r="K16" s="1710" t="s">
        <v>101</v>
      </c>
      <c r="L16" s="1727" t="s">
        <v>431</v>
      </c>
      <c r="M16" s="1710">
        <f>I16*J16</f>
        <v>0</v>
      </c>
      <c r="N16" s="1710"/>
      <c r="O16" s="1710">
        <f t="shared" si="2"/>
        <v>0</v>
      </c>
      <c r="P16" s="1710"/>
      <c r="Q16" s="1712">
        <f t="shared" si="3"/>
        <v>0</v>
      </c>
      <c r="R16" s="1713">
        <v>0.09</v>
      </c>
      <c r="S16" s="1712">
        <f t="shared" si="4"/>
        <v>0</v>
      </c>
      <c r="T16" s="1712">
        <v>0</v>
      </c>
      <c r="U16" s="1714">
        <f t="shared" si="5"/>
        <v>0</v>
      </c>
      <c r="V16" s="1714">
        <f t="shared" ref="V16:V26" si="7">U16-W16</f>
        <v>0</v>
      </c>
      <c r="W16" s="1714">
        <f t="shared" si="6"/>
        <v>0</v>
      </c>
      <c r="X16" s="1715"/>
      <c r="Y16" s="1714">
        <f t="shared" si="0"/>
        <v>0</v>
      </c>
    </row>
    <row r="17" spans="1:25" s="1703" customFormat="1" ht="12" customHeight="1" outlineLevel="3">
      <c r="B17" s="1704" t="s">
        <v>3224</v>
      </c>
      <c r="C17" s="1725"/>
      <c r="D17" s="1704" t="s">
        <v>3225</v>
      </c>
      <c r="E17" s="1706" t="s">
        <v>3226</v>
      </c>
      <c r="F17" s="1707" t="s">
        <v>3220</v>
      </c>
      <c r="G17" s="1726" t="s">
        <v>4176</v>
      </c>
      <c r="H17" s="1727" t="s">
        <v>431</v>
      </c>
      <c r="I17" s="1710"/>
      <c r="J17" s="1711"/>
      <c r="K17" s="1710" t="s">
        <v>101</v>
      </c>
      <c r="L17" s="1727" t="s">
        <v>431</v>
      </c>
      <c r="M17" s="1710">
        <f t="shared" ref="M17:M26" si="8">I17*J17</f>
        <v>0</v>
      </c>
      <c r="N17" s="1710"/>
      <c r="O17" s="1710">
        <f t="shared" si="2"/>
        <v>0</v>
      </c>
      <c r="P17" s="1710"/>
      <c r="Q17" s="1712">
        <f t="shared" si="3"/>
        <v>0</v>
      </c>
      <c r="R17" s="1713">
        <v>0.09</v>
      </c>
      <c r="S17" s="1712">
        <f t="shared" si="4"/>
        <v>0</v>
      </c>
      <c r="T17" s="1712">
        <v>0</v>
      </c>
      <c r="U17" s="1714">
        <f t="shared" si="5"/>
        <v>0</v>
      </c>
      <c r="V17" s="1714">
        <f t="shared" si="7"/>
        <v>0</v>
      </c>
      <c r="W17" s="1714">
        <f t="shared" si="6"/>
        <v>0</v>
      </c>
      <c r="X17" s="1715"/>
      <c r="Y17" s="1714">
        <f t="shared" si="0"/>
        <v>0</v>
      </c>
    </row>
    <row r="18" spans="1:25" s="1703" customFormat="1" ht="12" customHeight="1" outlineLevel="3">
      <c r="B18" s="1704" t="s">
        <v>3227</v>
      </c>
      <c r="C18" s="1725"/>
      <c r="D18" s="1704" t="s">
        <v>3228</v>
      </c>
      <c r="E18" s="1706" t="s">
        <v>3229</v>
      </c>
      <c r="F18" s="1707" t="s">
        <v>3220</v>
      </c>
      <c r="G18" s="1726" t="s">
        <v>4176</v>
      </c>
      <c r="H18" s="1727" t="s">
        <v>431</v>
      </c>
      <c r="I18" s="1710"/>
      <c r="J18" s="1711"/>
      <c r="K18" s="1710" t="s">
        <v>101</v>
      </c>
      <c r="L18" s="1727" t="s">
        <v>431</v>
      </c>
      <c r="M18" s="1710">
        <f t="shared" si="8"/>
        <v>0</v>
      </c>
      <c r="N18" s="1710"/>
      <c r="O18" s="1710">
        <f t="shared" si="2"/>
        <v>0</v>
      </c>
      <c r="P18" s="1710"/>
      <c r="Q18" s="1712">
        <f t="shared" si="3"/>
        <v>0</v>
      </c>
      <c r="R18" s="1713">
        <v>0.09</v>
      </c>
      <c r="S18" s="1712">
        <f t="shared" si="4"/>
        <v>0</v>
      </c>
      <c r="T18" s="1712">
        <v>0</v>
      </c>
      <c r="U18" s="1714">
        <f t="shared" si="5"/>
        <v>0</v>
      </c>
      <c r="V18" s="1714">
        <f t="shared" si="7"/>
        <v>0</v>
      </c>
      <c r="W18" s="1714">
        <f t="shared" si="6"/>
        <v>0</v>
      </c>
      <c r="X18" s="1715"/>
      <c r="Y18" s="1714">
        <f t="shared" si="0"/>
        <v>0</v>
      </c>
    </row>
    <row r="19" spans="1:25" s="1703" customFormat="1" ht="12" customHeight="1" outlineLevel="3">
      <c r="B19" s="1728" t="s">
        <v>3230</v>
      </c>
      <c r="C19" s="1725"/>
      <c r="D19" s="1728" t="s">
        <v>3231</v>
      </c>
      <c r="E19" s="1706" t="s">
        <v>3232</v>
      </c>
      <c r="F19" s="1707" t="s">
        <v>3220</v>
      </c>
      <c r="G19" s="1726" t="s">
        <v>4176</v>
      </c>
      <c r="H19" s="1727" t="s">
        <v>431</v>
      </c>
      <c r="I19" s="1710"/>
      <c r="J19" s="1711"/>
      <c r="K19" s="1710" t="s">
        <v>101</v>
      </c>
      <c r="L19" s="1727" t="s">
        <v>431</v>
      </c>
      <c r="M19" s="1710">
        <f t="shared" si="8"/>
        <v>0</v>
      </c>
      <c r="N19" s="1710"/>
      <c r="O19" s="1710">
        <f t="shared" si="2"/>
        <v>0</v>
      </c>
      <c r="P19" s="1710"/>
      <c r="Q19" s="1712">
        <f t="shared" si="3"/>
        <v>0</v>
      </c>
      <c r="R19" s="1713">
        <v>0.09</v>
      </c>
      <c r="S19" s="1712">
        <f t="shared" si="4"/>
        <v>0</v>
      </c>
      <c r="T19" s="1712">
        <v>0</v>
      </c>
      <c r="U19" s="1714">
        <f t="shared" si="5"/>
        <v>0</v>
      </c>
      <c r="V19" s="1714">
        <f t="shared" si="7"/>
        <v>0</v>
      </c>
      <c r="W19" s="1714">
        <f t="shared" si="6"/>
        <v>0</v>
      </c>
      <c r="X19" s="1715"/>
      <c r="Y19" s="1714">
        <f t="shared" si="0"/>
        <v>0</v>
      </c>
    </row>
    <row r="20" spans="1:25" s="1703" customFormat="1" ht="12" customHeight="1" outlineLevel="3">
      <c r="B20" s="1728" t="s">
        <v>3233</v>
      </c>
      <c r="C20" s="1725"/>
      <c r="D20" s="1728" t="s">
        <v>3234</v>
      </c>
      <c r="E20" s="1706" t="s">
        <v>3235</v>
      </c>
      <c r="F20" s="1707" t="s">
        <v>3220</v>
      </c>
      <c r="G20" s="1726" t="s">
        <v>4176</v>
      </c>
      <c r="H20" s="1727" t="s">
        <v>431</v>
      </c>
      <c r="I20" s="1710"/>
      <c r="J20" s="1711"/>
      <c r="K20" s="1710" t="s">
        <v>101</v>
      </c>
      <c r="L20" s="1727" t="s">
        <v>431</v>
      </c>
      <c r="M20" s="1710">
        <f t="shared" si="8"/>
        <v>0</v>
      </c>
      <c r="N20" s="1710"/>
      <c r="O20" s="1710">
        <f t="shared" si="2"/>
        <v>0</v>
      </c>
      <c r="P20" s="1710"/>
      <c r="Q20" s="1712">
        <f t="shared" si="3"/>
        <v>0</v>
      </c>
      <c r="R20" s="1713">
        <v>0.09</v>
      </c>
      <c r="S20" s="1712">
        <f t="shared" si="4"/>
        <v>0</v>
      </c>
      <c r="T20" s="1712">
        <v>0</v>
      </c>
      <c r="U20" s="1714">
        <f t="shared" si="5"/>
        <v>0</v>
      </c>
      <c r="V20" s="1714">
        <f t="shared" si="7"/>
        <v>0</v>
      </c>
      <c r="W20" s="1714">
        <f t="shared" si="6"/>
        <v>0</v>
      </c>
      <c r="X20" s="1715"/>
      <c r="Y20" s="1714">
        <f t="shared" si="0"/>
        <v>0</v>
      </c>
    </row>
    <row r="21" spans="1:25" s="1703" customFormat="1" ht="12" customHeight="1" outlineLevel="3">
      <c r="B21" s="1728" t="s">
        <v>3236</v>
      </c>
      <c r="C21" s="1725"/>
      <c r="D21" s="1728" t="s">
        <v>3237</v>
      </c>
      <c r="E21" s="1706" t="s">
        <v>3238</v>
      </c>
      <c r="F21" s="1707" t="s">
        <v>3220</v>
      </c>
      <c r="G21" s="1726" t="s">
        <v>4176</v>
      </c>
      <c r="H21" s="1727" t="s">
        <v>431</v>
      </c>
      <c r="I21" s="1714">
        <f>$E$2</f>
        <v>43229</v>
      </c>
      <c r="J21" s="1711">
        <v>1</v>
      </c>
      <c r="K21" s="1710" t="s">
        <v>101</v>
      </c>
      <c r="L21" s="1727" t="s">
        <v>431</v>
      </c>
      <c r="M21" s="1710">
        <f t="shared" si="8"/>
        <v>43229</v>
      </c>
      <c r="N21" s="1710"/>
      <c r="O21" s="1710">
        <f t="shared" si="2"/>
        <v>0</v>
      </c>
      <c r="P21" s="1712">
        <f>IFERROR(ROUND(Q21*10000/M21,2),0)</f>
        <v>0</v>
      </c>
      <c r="Q21" s="1712">
        <f t="shared" si="3"/>
        <v>0</v>
      </c>
      <c r="R21" s="1713">
        <v>0.03</v>
      </c>
      <c r="S21" s="1712">
        <f t="shared" si="4"/>
        <v>0</v>
      </c>
      <c r="T21" s="1712">
        <v>0</v>
      </c>
      <c r="U21" s="1714">
        <f t="shared" si="5"/>
        <v>0</v>
      </c>
      <c r="V21" s="1714">
        <f t="shared" si="7"/>
        <v>0</v>
      </c>
      <c r="W21" s="1714">
        <f t="shared" si="6"/>
        <v>0</v>
      </c>
      <c r="X21" s="1715"/>
      <c r="Y21" s="1714">
        <f t="shared" si="0"/>
        <v>0</v>
      </c>
    </row>
    <row r="22" spans="1:25" s="1703" customFormat="1" ht="12" customHeight="1" outlineLevel="2">
      <c r="B22" s="1704" t="s">
        <v>3239</v>
      </c>
      <c r="C22" s="1725"/>
      <c r="D22" s="1704" t="s">
        <v>532</v>
      </c>
      <c r="E22" s="1706"/>
      <c r="F22" s="1707" t="s">
        <v>786</v>
      </c>
      <c r="G22" s="1726" t="s">
        <v>4177</v>
      </c>
      <c r="H22" s="1727" t="s">
        <v>431</v>
      </c>
      <c r="I22" s="1714">
        <f>$E$2</f>
        <v>43229</v>
      </c>
      <c r="J22" s="1711">
        <v>1</v>
      </c>
      <c r="K22" s="1710" t="s">
        <v>101</v>
      </c>
      <c r="L22" s="1727" t="s">
        <v>431</v>
      </c>
      <c r="M22" s="1710">
        <f t="shared" si="8"/>
        <v>43229</v>
      </c>
      <c r="N22" s="1710"/>
      <c r="O22" s="1710">
        <f t="shared" si="2"/>
        <v>0</v>
      </c>
      <c r="P22" s="1712">
        <f>IFERROR(ROUND(Q22*10000/M22,2),0)</f>
        <v>0</v>
      </c>
      <c r="Q22" s="1712">
        <f t="shared" si="3"/>
        <v>0</v>
      </c>
      <c r="R22" s="1713">
        <v>0</v>
      </c>
      <c r="S22" s="1712">
        <f t="shared" si="4"/>
        <v>0</v>
      </c>
      <c r="T22" s="1712">
        <v>0</v>
      </c>
      <c r="U22" s="1714">
        <f t="shared" si="5"/>
        <v>0</v>
      </c>
      <c r="V22" s="1714">
        <f t="shared" si="7"/>
        <v>0</v>
      </c>
      <c r="W22" s="1714">
        <f t="shared" si="6"/>
        <v>0</v>
      </c>
      <c r="X22" s="1715"/>
      <c r="Y22" s="1714">
        <f t="shared" si="0"/>
        <v>0</v>
      </c>
    </row>
    <row r="23" spans="1:25" s="1703" customFormat="1" ht="12" customHeight="1" outlineLevel="2">
      <c r="B23" s="1704" t="s">
        <v>3240</v>
      </c>
      <c r="C23" s="1725"/>
      <c r="D23" s="1704" t="s">
        <v>3241</v>
      </c>
      <c r="E23" s="1706"/>
      <c r="F23" s="1707" t="s">
        <v>3215</v>
      </c>
      <c r="G23" s="1726" t="s">
        <v>4175</v>
      </c>
      <c r="H23" s="1727" t="s">
        <v>10</v>
      </c>
      <c r="I23" s="1710"/>
      <c r="J23" s="1711"/>
      <c r="K23" s="1710" t="s">
        <v>101</v>
      </c>
      <c r="L23" s="1727" t="s">
        <v>10</v>
      </c>
      <c r="M23" s="1710">
        <f t="shared" si="8"/>
        <v>0</v>
      </c>
      <c r="N23" s="1710"/>
      <c r="O23" s="1710">
        <f t="shared" si="2"/>
        <v>0</v>
      </c>
      <c r="P23" s="1710"/>
      <c r="Q23" s="1712">
        <f t="shared" si="3"/>
        <v>0</v>
      </c>
      <c r="R23" s="1713">
        <v>0.09</v>
      </c>
      <c r="S23" s="1712">
        <f t="shared" si="4"/>
        <v>0</v>
      </c>
      <c r="T23" s="1712">
        <v>0</v>
      </c>
      <c r="U23" s="1714">
        <f t="shared" si="5"/>
        <v>0</v>
      </c>
      <c r="V23" s="1714">
        <f t="shared" si="7"/>
        <v>0</v>
      </c>
      <c r="W23" s="1714">
        <f t="shared" si="6"/>
        <v>0</v>
      </c>
      <c r="X23" s="1715"/>
      <c r="Y23" s="1714">
        <f t="shared" si="0"/>
        <v>0</v>
      </c>
    </row>
    <row r="24" spans="1:25" s="1703" customFormat="1" ht="12" customHeight="1" outlineLevel="2">
      <c r="B24" s="1728" t="s">
        <v>3242</v>
      </c>
      <c r="C24" s="1725"/>
      <c r="D24" s="1728" t="s">
        <v>3243</v>
      </c>
      <c r="E24" s="1706"/>
      <c r="F24" s="1707" t="s">
        <v>3215</v>
      </c>
      <c r="G24" s="1708" t="s">
        <v>4175</v>
      </c>
      <c r="H24" s="1727" t="s">
        <v>431</v>
      </c>
      <c r="I24" s="1710"/>
      <c r="J24" s="1711"/>
      <c r="K24" s="1710" t="s">
        <v>101</v>
      </c>
      <c r="L24" s="1727" t="s">
        <v>431</v>
      </c>
      <c r="M24" s="1710">
        <f t="shared" si="8"/>
        <v>0</v>
      </c>
      <c r="N24" s="1710"/>
      <c r="O24" s="1710">
        <f t="shared" si="2"/>
        <v>0</v>
      </c>
      <c r="P24" s="1710"/>
      <c r="Q24" s="1712">
        <f t="shared" si="3"/>
        <v>0</v>
      </c>
      <c r="R24" s="1713">
        <v>0</v>
      </c>
      <c r="S24" s="1712">
        <f t="shared" si="4"/>
        <v>0</v>
      </c>
      <c r="T24" s="1712">
        <f>+地价分摊表!J28</f>
        <v>103.7496</v>
      </c>
      <c r="U24" s="1714">
        <f t="shared" si="5"/>
        <v>103.7496</v>
      </c>
      <c r="V24" s="1714">
        <f t="shared" si="7"/>
        <v>0</v>
      </c>
      <c r="W24" s="1714">
        <f t="shared" si="6"/>
        <v>103.7496</v>
      </c>
      <c r="X24" s="1715"/>
      <c r="Y24" s="1714">
        <f t="shared" si="0"/>
        <v>10.033105992751381</v>
      </c>
    </row>
    <row r="25" spans="1:25" s="1703" customFormat="1" ht="12" customHeight="1" outlineLevel="2">
      <c r="B25" s="1728" t="s">
        <v>3244</v>
      </c>
      <c r="C25" s="1725"/>
      <c r="D25" s="1728" t="s">
        <v>3245</v>
      </c>
      <c r="E25" s="1706"/>
      <c r="F25" s="1707" t="s">
        <v>3215</v>
      </c>
      <c r="G25" s="1708" t="s">
        <v>4175</v>
      </c>
      <c r="H25" s="1727" t="s">
        <v>431</v>
      </c>
      <c r="I25" s="1710"/>
      <c r="J25" s="1711"/>
      <c r="K25" s="1710" t="s">
        <v>101</v>
      </c>
      <c r="L25" s="1727" t="s">
        <v>431</v>
      </c>
      <c r="M25" s="1710">
        <f t="shared" si="8"/>
        <v>0</v>
      </c>
      <c r="N25" s="1710"/>
      <c r="O25" s="1710">
        <f t="shared" si="2"/>
        <v>0</v>
      </c>
      <c r="P25" s="1710"/>
      <c r="Q25" s="1712">
        <f t="shared" si="3"/>
        <v>0</v>
      </c>
      <c r="R25" s="1713">
        <v>0.06</v>
      </c>
      <c r="S25" s="1712">
        <f t="shared" si="4"/>
        <v>0</v>
      </c>
      <c r="T25" s="1712"/>
      <c r="U25" s="1714">
        <f t="shared" si="5"/>
        <v>0</v>
      </c>
      <c r="V25" s="1714">
        <f t="shared" si="7"/>
        <v>0</v>
      </c>
      <c r="W25" s="1714">
        <f t="shared" si="6"/>
        <v>0</v>
      </c>
      <c r="X25" s="1715"/>
      <c r="Y25" s="1714">
        <f t="shared" si="0"/>
        <v>0</v>
      </c>
    </row>
    <row r="26" spans="1:25" s="1703" customFormat="1" ht="12" customHeight="1" outlineLevel="2">
      <c r="B26" s="1728" t="s">
        <v>3246</v>
      </c>
      <c r="C26" s="1725"/>
      <c r="D26" s="1728" t="s">
        <v>3247</v>
      </c>
      <c r="E26" s="1706"/>
      <c r="F26" s="1707" t="s">
        <v>3215</v>
      </c>
      <c r="G26" s="1708" t="s">
        <v>4175</v>
      </c>
      <c r="H26" s="1727" t="s">
        <v>3918</v>
      </c>
      <c r="I26" s="1710"/>
      <c r="J26" s="1711"/>
      <c r="K26" s="1710" t="s">
        <v>101</v>
      </c>
      <c r="L26" s="1727" t="s">
        <v>3918</v>
      </c>
      <c r="M26" s="1710">
        <f t="shared" si="8"/>
        <v>0</v>
      </c>
      <c r="N26" s="1710"/>
      <c r="O26" s="1710">
        <f t="shared" si="2"/>
        <v>0</v>
      </c>
      <c r="P26" s="1710"/>
      <c r="Q26" s="1712">
        <f t="shared" si="3"/>
        <v>0</v>
      </c>
      <c r="R26" s="1713">
        <v>0</v>
      </c>
      <c r="S26" s="1712">
        <f t="shared" si="4"/>
        <v>0</v>
      </c>
      <c r="T26" s="1712"/>
      <c r="U26" s="1714">
        <f t="shared" si="5"/>
        <v>0</v>
      </c>
      <c r="V26" s="1714">
        <f t="shared" si="7"/>
        <v>0</v>
      </c>
      <c r="W26" s="1714">
        <f t="shared" si="6"/>
        <v>0</v>
      </c>
      <c r="X26" s="1715"/>
      <c r="Y26" s="1714">
        <f t="shared" si="0"/>
        <v>0</v>
      </c>
    </row>
    <row r="27" spans="1:25" ht="12" customHeight="1" outlineLevel="1">
      <c r="B27" s="1694" t="s">
        <v>477</v>
      </c>
      <c r="C27" s="1729">
        <v>2</v>
      </c>
      <c r="D27" s="1730" t="s">
        <v>377</v>
      </c>
      <c r="E27" s="1731"/>
      <c r="F27" s="1697"/>
      <c r="G27" s="1697" t="s">
        <v>4117</v>
      </c>
      <c r="H27" s="1732"/>
      <c r="I27" s="1733"/>
      <c r="J27" s="1734"/>
      <c r="K27" s="1733"/>
      <c r="L27" s="1733"/>
      <c r="M27" s="1733"/>
      <c r="N27" s="1733"/>
      <c r="O27" s="1733">
        <f>SUBTOTAL(9,O28:O71)</f>
        <v>3986.1729319999995</v>
      </c>
      <c r="P27" s="1733"/>
      <c r="Q27" s="1733">
        <f>SUBTOTAL(9,Q28:Q71)</f>
        <v>3973.3833829999994</v>
      </c>
      <c r="R27" s="1735"/>
      <c r="S27" s="1733">
        <f>SUBTOTAL(9,S28:S71)</f>
        <v>12.78954900000001</v>
      </c>
      <c r="T27" s="1733">
        <v>185.08353802817055</v>
      </c>
      <c r="U27" s="1733">
        <f>SUBTOTAL(9,U28:U71)</f>
        <v>4171.2564699999994</v>
      </c>
      <c r="V27" s="1733">
        <f>SUBTOTAL(9,V28:V71)</f>
        <v>12.78954900000001</v>
      </c>
      <c r="W27" s="1733">
        <f>SUBTOTAL(9,W28:W71)</f>
        <v>4158.4669209999993</v>
      </c>
      <c r="X27" s="1736"/>
      <c r="Y27" s="1733">
        <f t="shared" si="0"/>
        <v>403.38139411101309</v>
      </c>
    </row>
    <row r="28" spans="1:25" ht="12" customHeight="1" outlineLevel="2">
      <c r="B28" s="1737" t="s">
        <v>3248</v>
      </c>
      <c r="C28" s="1738"/>
      <c r="D28" s="1739" t="s">
        <v>1097</v>
      </c>
      <c r="E28" s="1740"/>
      <c r="F28" s="1741"/>
      <c r="G28" s="1741" t="s">
        <v>4117</v>
      </c>
      <c r="H28" s="1742"/>
      <c r="I28" s="1743"/>
      <c r="J28" s="1744"/>
      <c r="K28" s="1743"/>
      <c r="L28" s="1743"/>
      <c r="M28" s="1743"/>
      <c r="N28" s="1743"/>
      <c r="O28" s="1743">
        <f>SUBTOTAL(9,O29:O37)</f>
        <v>114.646023</v>
      </c>
      <c r="P28" s="1743"/>
      <c r="Q28" s="1743">
        <f>SUBTOTAL(9,Q29:Q37)</f>
        <v>108.21601800000001</v>
      </c>
      <c r="R28" s="1745"/>
      <c r="S28" s="1743">
        <f>SUBTOTAL(9,S29:S37)</f>
        <v>6.4300050000000031</v>
      </c>
      <c r="T28" s="1743">
        <v>0</v>
      </c>
      <c r="U28" s="1743">
        <f>SUBTOTAL(9,U29:U37)</f>
        <v>114.646023</v>
      </c>
      <c r="V28" s="1743">
        <f>SUBTOTAL(9,V29:V37)</f>
        <v>6.4300050000000031</v>
      </c>
      <c r="W28" s="1743">
        <f>SUBTOTAL(9,W29:W37)</f>
        <v>108.21601800000001</v>
      </c>
      <c r="X28" s="1746"/>
      <c r="Y28" s="1743">
        <f t="shared" si="0"/>
        <v>11.086844676089477</v>
      </c>
    </row>
    <row r="29" spans="1:25" ht="12" customHeight="1" outlineLevel="3">
      <c r="A29" s="1747" t="s">
        <v>3101</v>
      </c>
      <c r="B29" s="1748" t="s">
        <v>3249</v>
      </c>
      <c r="C29" s="1749"/>
      <c r="D29" s="1750" t="s">
        <v>1099</v>
      </c>
      <c r="E29" s="1709"/>
      <c r="F29" s="1726" t="s">
        <v>3250</v>
      </c>
      <c r="G29" s="1751" t="s">
        <v>4178</v>
      </c>
      <c r="H29" s="1752" t="s">
        <v>431</v>
      </c>
      <c r="I29" s="1714">
        <f>$E$2</f>
        <v>43229</v>
      </c>
      <c r="J29" s="1753">
        <v>1</v>
      </c>
      <c r="K29" s="1714" t="s">
        <v>101</v>
      </c>
      <c r="L29" s="1714" t="s">
        <v>431</v>
      </c>
      <c r="M29" s="1754">
        <f>ROUND(I29,2)*ROUND(J29,4)</f>
        <v>43229</v>
      </c>
      <c r="N29" s="1755">
        <v>1</v>
      </c>
      <c r="O29" s="1756">
        <f t="shared" ref="O29:O37" si="9">ROUND(M29*ROUND(N29,2)/10000,6)</f>
        <v>4.3228999999999997</v>
      </c>
      <c r="P29" s="1712">
        <f t="shared" ref="P29:P37" si="10">IFERROR(ROUND(Q29*10000/M29,2),0)</f>
        <v>0.94</v>
      </c>
      <c r="Q29" s="1712">
        <f t="shared" ref="Q29:Q37" si="11">ROUND(O29/(1+R29),6)</f>
        <v>4.0782080000000001</v>
      </c>
      <c r="R29" s="1757">
        <v>0.06</v>
      </c>
      <c r="S29" s="1712">
        <f t="shared" ref="S29:S37" si="12">O29-Q29</f>
        <v>0.24469199999999969</v>
      </c>
      <c r="T29" s="1712"/>
      <c r="U29" s="1714">
        <f t="shared" ref="U29:U37" si="13">O29+ROUND(T29,6)</f>
        <v>4.3228999999999997</v>
      </c>
      <c r="V29" s="1714">
        <f>U29-W29</f>
        <v>0.24469199999999969</v>
      </c>
      <c r="W29" s="1714">
        <f t="shared" ref="W29:W37" si="14">ROUND(U29/(1+R29),6)</f>
        <v>4.0782080000000001</v>
      </c>
      <c r="X29" s="1758"/>
      <c r="Y29" s="1714">
        <f t="shared" si="0"/>
        <v>0.41804608303130758</v>
      </c>
    </row>
    <row r="30" spans="1:25" ht="12" customHeight="1" outlineLevel="3">
      <c r="A30" s="1747" t="s">
        <v>3101</v>
      </c>
      <c r="B30" s="1748" t="s">
        <v>3251</v>
      </c>
      <c r="C30" s="1749"/>
      <c r="D30" s="1750" t="s">
        <v>1104</v>
      </c>
      <c r="E30" s="1759" t="s">
        <v>3252</v>
      </c>
      <c r="F30" s="1726" t="s">
        <v>3250</v>
      </c>
      <c r="G30" s="1751" t="s">
        <v>4178</v>
      </c>
      <c r="H30" s="1727" t="s">
        <v>18</v>
      </c>
      <c r="I30" s="1714">
        <f>K3</f>
        <v>36</v>
      </c>
      <c r="J30" s="1753">
        <v>10</v>
      </c>
      <c r="K30" s="1714" t="s">
        <v>3940</v>
      </c>
      <c r="L30" s="1714" t="s">
        <v>3941</v>
      </c>
      <c r="M30" s="1754">
        <f t="shared" ref="M30:M37" si="15">ROUND(I30,2)*ROUND(J30,4)</f>
        <v>360</v>
      </c>
      <c r="N30" s="1714">
        <v>120</v>
      </c>
      <c r="O30" s="1756">
        <f t="shared" si="9"/>
        <v>4.32</v>
      </c>
      <c r="P30" s="1712">
        <f t="shared" si="10"/>
        <v>113.21</v>
      </c>
      <c r="Q30" s="1712">
        <f t="shared" si="11"/>
        <v>4.0754720000000004</v>
      </c>
      <c r="R30" s="1757">
        <v>0.06</v>
      </c>
      <c r="S30" s="1712">
        <f t="shared" si="12"/>
        <v>0.24452799999999986</v>
      </c>
      <c r="T30" s="1712"/>
      <c r="U30" s="1714">
        <f t="shared" si="13"/>
        <v>4.32</v>
      </c>
      <c r="V30" s="1714">
        <f t="shared" ref="V30:V37" si="16">U30-W30</f>
        <v>0.24452799999999986</v>
      </c>
      <c r="W30" s="1714">
        <f t="shared" si="14"/>
        <v>4.0754720000000004</v>
      </c>
      <c r="X30" s="1758"/>
      <c r="Y30" s="1714">
        <f t="shared" si="0"/>
        <v>0.417765638505459</v>
      </c>
    </row>
    <row r="31" spans="1:25" ht="12" customHeight="1" outlineLevel="3">
      <c r="A31" s="1747" t="s">
        <v>3101</v>
      </c>
      <c r="B31" s="1748" t="s">
        <v>3253</v>
      </c>
      <c r="C31" s="1749"/>
      <c r="D31" s="1750" t="s">
        <v>1109</v>
      </c>
      <c r="E31" s="1759" t="s">
        <v>3254</v>
      </c>
      <c r="F31" s="1726" t="s">
        <v>3250</v>
      </c>
      <c r="G31" s="1751" t="s">
        <v>4178</v>
      </c>
      <c r="H31" s="1727" t="s">
        <v>18</v>
      </c>
      <c r="I31" s="1714">
        <f>K3</f>
        <v>36</v>
      </c>
      <c r="J31" s="1753">
        <v>100</v>
      </c>
      <c r="K31" s="1714" t="s">
        <v>3940</v>
      </c>
      <c r="L31" s="1714" t="s">
        <v>3942</v>
      </c>
      <c r="M31" s="1754">
        <f t="shared" si="15"/>
        <v>3600</v>
      </c>
      <c r="N31" s="1714">
        <v>120</v>
      </c>
      <c r="O31" s="1756">
        <f t="shared" si="9"/>
        <v>43.2</v>
      </c>
      <c r="P31" s="1712">
        <f t="shared" si="10"/>
        <v>113.21</v>
      </c>
      <c r="Q31" s="1712">
        <f t="shared" si="11"/>
        <v>40.754716999999999</v>
      </c>
      <c r="R31" s="1757">
        <v>0.06</v>
      </c>
      <c r="S31" s="1712">
        <f t="shared" si="12"/>
        <v>2.4452830000000034</v>
      </c>
      <c r="T31" s="1712"/>
      <c r="U31" s="1714">
        <f t="shared" si="13"/>
        <v>43.2</v>
      </c>
      <c r="V31" s="1714">
        <f t="shared" si="16"/>
        <v>2.4452830000000034</v>
      </c>
      <c r="W31" s="1714">
        <f t="shared" si="14"/>
        <v>40.754716999999999</v>
      </c>
      <c r="X31" s="1758"/>
      <c r="Y31" s="1714">
        <f t="shared" si="0"/>
        <v>4.1776563850545898</v>
      </c>
    </row>
    <row r="32" spans="1:25" ht="12" customHeight="1" outlineLevel="3">
      <c r="A32" s="1747" t="s">
        <v>3101</v>
      </c>
      <c r="B32" s="1748" t="s">
        <v>3255</v>
      </c>
      <c r="C32" s="1749"/>
      <c r="D32" s="1750" t="s">
        <v>1111</v>
      </c>
      <c r="E32" s="1709"/>
      <c r="F32" s="1726" t="s">
        <v>3250</v>
      </c>
      <c r="G32" s="1751" t="s">
        <v>4178</v>
      </c>
      <c r="H32" s="1760" t="s">
        <v>107</v>
      </c>
      <c r="I32" s="1755">
        <f>$K$2</f>
        <v>16</v>
      </c>
      <c r="J32" s="1761">
        <v>1</v>
      </c>
      <c r="K32" s="1714" t="s">
        <v>101</v>
      </c>
      <c r="L32" s="1714" t="s">
        <v>107</v>
      </c>
      <c r="M32" s="1754">
        <f t="shared" si="15"/>
        <v>16</v>
      </c>
      <c r="N32" s="1714">
        <v>5000</v>
      </c>
      <c r="O32" s="1756">
        <f t="shared" si="9"/>
        <v>8</v>
      </c>
      <c r="P32" s="1712">
        <f t="shared" si="10"/>
        <v>4716.9799999999996</v>
      </c>
      <c r="Q32" s="1712">
        <f t="shared" si="11"/>
        <v>7.5471700000000004</v>
      </c>
      <c r="R32" s="1757">
        <v>0.06</v>
      </c>
      <c r="S32" s="1712">
        <f t="shared" si="12"/>
        <v>0.45282999999999962</v>
      </c>
      <c r="T32" s="1712"/>
      <c r="U32" s="1714">
        <f t="shared" si="13"/>
        <v>8</v>
      </c>
      <c r="V32" s="1714">
        <f t="shared" si="16"/>
        <v>0.45282999999999962</v>
      </c>
      <c r="W32" s="1714">
        <f t="shared" si="14"/>
        <v>7.5471700000000004</v>
      </c>
      <c r="X32" s="1758"/>
      <c r="Y32" s="1714">
        <f t="shared" si="0"/>
        <v>0.77364007130640544</v>
      </c>
    </row>
    <row r="33" spans="1:28" ht="12" customHeight="1" outlineLevel="3">
      <c r="A33" s="1747" t="s">
        <v>3101</v>
      </c>
      <c r="B33" s="1748" t="s">
        <v>3256</v>
      </c>
      <c r="C33" s="1749"/>
      <c r="D33" s="1750" t="s">
        <v>3257</v>
      </c>
      <c r="E33" s="1709"/>
      <c r="F33" s="1726" t="s">
        <v>3250</v>
      </c>
      <c r="G33" s="1751" t="s">
        <v>4178</v>
      </c>
      <c r="H33" s="1727" t="s">
        <v>10</v>
      </c>
      <c r="I33" s="1714">
        <f>$E$3</f>
        <v>138524.57999999999</v>
      </c>
      <c r="J33" s="1753">
        <v>1</v>
      </c>
      <c r="K33" s="1714" t="s">
        <v>101</v>
      </c>
      <c r="L33" s="1714" t="s">
        <v>10</v>
      </c>
      <c r="M33" s="1754">
        <f t="shared" si="15"/>
        <v>138524.57999999999</v>
      </c>
      <c r="N33" s="1714">
        <v>3.02</v>
      </c>
      <c r="O33" s="1756">
        <f t="shared" si="9"/>
        <v>41.834423000000001</v>
      </c>
      <c r="P33" s="1712">
        <f t="shared" si="10"/>
        <v>2.85</v>
      </c>
      <c r="Q33" s="1712">
        <f t="shared" si="11"/>
        <v>39.466436999999999</v>
      </c>
      <c r="R33" s="1757">
        <v>0.06</v>
      </c>
      <c r="S33" s="1712">
        <f t="shared" si="12"/>
        <v>2.3679860000000019</v>
      </c>
      <c r="T33" s="1712"/>
      <c r="U33" s="1714">
        <f t="shared" si="13"/>
        <v>41.834423000000001</v>
      </c>
      <c r="V33" s="1714">
        <f t="shared" si="16"/>
        <v>2.3679860000000019</v>
      </c>
      <c r="W33" s="1714">
        <f t="shared" si="14"/>
        <v>39.466436999999999</v>
      </c>
      <c r="X33" s="1758"/>
      <c r="Y33" s="1714">
        <f t="shared" si="0"/>
        <v>4.0455982490977913</v>
      </c>
    </row>
    <row r="34" spans="1:28" ht="12" customHeight="1" outlineLevel="3">
      <c r="A34" s="1747" t="s">
        <v>3101</v>
      </c>
      <c r="B34" s="1762" t="s">
        <v>3258</v>
      </c>
      <c r="C34" s="1749"/>
      <c r="D34" s="1750" t="s">
        <v>1114</v>
      </c>
      <c r="E34" s="1709"/>
      <c r="F34" s="1726" t="s">
        <v>3250</v>
      </c>
      <c r="G34" s="1751" t="s">
        <v>4178</v>
      </c>
      <c r="H34" s="1752" t="s">
        <v>431</v>
      </c>
      <c r="I34" s="1714">
        <f>+'全期规划指标 '!D51</f>
        <v>43229</v>
      </c>
      <c r="J34" s="1753">
        <v>1</v>
      </c>
      <c r="K34" s="1714" t="s">
        <v>101</v>
      </c>
      <c r="L34" s="1714" t="s">
        <v>431</v>
      </c>
      <c r="M34" s="1754">
        <f t="shared" si="15"/>
        <v>43229</v>
      </c>
      <c r="N34" s="1714">
        <v>0.5</v>
      </c>
      <c r="O34" s="1756">
        <f t="shared" si="9"/>
        <v>2.1614499999999999</v>
      </c>
      <c r="P34" s="1712">
        <f t="shared" si="10"/>
        <v>0.49</v>
      </c>
      <c r="Q34" s="1712">
        <f t="shared" si="11"/>
        <v>2.0984950000000002</v>
      </c>
      <c r="R34" s="1757">
        <v>0.03</v>
      </c>
      <c r="S34" s="1712">
        <f t="shared" si="12"/>
        <v>6.295499999999965E-2</v>
      </c>
      <c r="T34" s="1712"/>
      <c r="U34" s="1714">
        <f t="shared" si="13"/>
        <v>2.1614499999999999</v>
      </c>
      <c r="V34" s="1714">
        <f t="shared" si="16"/>
        <v>6.295499999999965E-2</v>
      </c>
      <c r="W34" s="1714">
        <f t="shared" si="14"/>
        <v>2.0984950000000002</v>
      </c>
      <c r="X34" s="1758"/>
      <c r="Y34" s="1714">
        <f t="shared" si="0"/>
        <v>0.20902304151565379</v>
      </c>
    </row>
    <row r="35" spans="1:28" ht="12" customHeight="1" outlineLevel="3">
      <c r="A35" s="1747" t="s">
        <v>3101</v>
      </c>
      <c r="B35" s="1762" t="s">
        <v>3259</v>
      </c>
      <c r="C35" s="1749"/>
      <c r="D35" s="1750" t="s">
        <v>1118</v>
      </c>
      <c r="E35" s="1709"/>
      <c r="F35" s="1726" t="s">
        <v>3250</v>
      </c>
      <c r="G35" s="1751" t="s">
        <v>4178</v>
      </c>
      <c r="H35" s="1760" t="s">
        <v>107</v>
      </c>
      <c r="I35" s="1755">
        <f>$K$2</f>
        <v>16</v>
      </c>
      <c r="J35" s="1753">
        <v>1</v>
      </c>
      <c r="K35" s="1714" t="s">
        <v>3943</v>
      </c>
      <c r="L35" s="1714" t="s">
        <v>107</v>
      </c>
      <c r="M35" s="1754">
        <f t="shared" si="15"/>
        <v>16</v>
      </c>
      <c r="N35" s="1714">
        <v>0</v>
      </c>
      <c r="O35" s="1756">
        <f t="shared" si="9"/>
        <v>0</v>
      </c>
      <c r="P35" s="1712">
        <f t="shared" si="10"/>
        <v>0</v>
      </c>
      <c r="Q35" s="1712">
        <f t="shared" si="11"/>
        <v>0</v>
      </c>
      <c r="R35" s="1757">
        <v>0.06</v>
      </c>
      <c r="S35" s="1712">
        <f t="shared" si="12"/>
        <v>0</v>
      </c>
      <c r="T35" s="1712"/>
      <c r="U35" s="1714">
        <f t="shared" si="13"/>
        <v>0</v>
      </c>
      <c r="V35" s="1714">
        <f t="shared" si="16"/>
        <v>0</v>
      </c>
      <c r="W35" s="1714">
        <f t="shared" si="14"/>
        <v>0</v>
      </c>
      <c r="X35" s="1758"/>
      <c r="Y35" s="1714">
        <f t="shared" si="0"/>
        <v>0</v>
      </c>
    </row>
    <row r="36" spans="1:28" ht="12" customHeight="1" outlineLevel="3">
      <c r="A36" s="1747" t="s">
        <v>3101</v>
      </c>
      <c r="B36" s="1762" t="s">
        <v>3260</v>
      </c>
      <c r="C36" s="1749"/>
      <c r="D36" s="1750" t="s">
        <v>3261</v>
      </c>
      <c r="E36" s="1709" t="s">
        <v>3262</v>
      </c>
      <c r="F36" s="1763" t="s">
        <v>1282</v>
      </c>
      <c r="G36" s="1707" t="s">
        <v>4179</v>
      </c>
      <c r="H36" s="1727" t="s">
        <v>9</v>
      </c>
      <c r="I36" s="1755">
        <f>G2</f>
        <v>8858.07</v>
      </c>
      <c r="J36" s="1764"/>
      <c r="K36" s="1714" t="s">
        <v>101</v>
      </c>
      <c r="L36" s="1714" t="s">
        <v>9</v>
      </c>
      <c r="M36" s="1754">
        <f t="shared" si="15"/>
        <v>0</v>
      </c>
      <c r="N36" s="1755">
        <v>0</v>
      </c>
      <c r="O36" s="1712">
        <f t="shared" si="9"/>
        <v>0</v>
      </c>
      <c r="P36" s="1712">
        <f t="shared" si="10"/>
        <v>0</v>
      </c>
      <c r="Q36" s="1712">
        <f t="shared" si="11"/>
        <v>0</v>
      </c>
      <c r="R36" s="1757">
        <v>0.06</v>
      </c>
      <c r="S36" s="1712">
        <f t="shared" si="12"/>
        <v>0</v>
      </c>
      <c r="T36" s="1712"/>
      <c r="U36" s="1714">
        <f t="shared" si="13"/>
        <v>0</v>
      </c>
      <c r="V36" s="1714">
        <f t="shared" si="16"/>
        <v>0</v>
      </c>
      <c r="W36" s="1714">
        <f t="shared" si="14"/>
        <v>0</v>
      </c>
      <c r="X36" s="1758"/>
      <c r="Y36" s="1714">
        <f t="shared" si="0"/>
        <v>0</v>
      </c>
      <c r="AB36" s="1714"/>
    </row>
    <row r="37" spans="1:28" ht="15" customHeight="1" outlineLevel="3">
      <c r="A37" s="1747" t="s">
        <v>3101</v>
      </c>
      <c r="B37" s="1762" t="s">
        <v>3263</v>
      </c>
      <c r="C37" s="1749"/>
      <c r="D37" s="1750" t="s">
        <v>3264</v>
      </c>
      <c r="E37" s="1709"/>
      <c r="F37" s="1726" t="s">
        <v>3250</v>
      </c>
      <c r="G37" s="1751" t="s">
        <v>4178</v>
      </c>
      <c r="H37" s="1752" t="s">
        <v>431</v>
      </c>
      <c r="I37" s="1714">
        <f>$E$2</f>
        <v>43229</v>
      </c>
      <c r="J37" s="1753">
        <v>1</v>
      </c>
      <c r="K37" s="1714" t="s">
        <v>101</v>
      </c>
      <c r="L37" s="1714" t="s">
        <v>431</v>
      </c>
      <c r="M37" s="1754">
        <f t="shared" si="15"/>
        <v>43229</v>
      </c>
      <c r="N37" s="1765">
        <v>2.5</v>
      </c>
      <c r="O37" s="1766">
        <f t="shared" si="9"/>
        <v>10.80725</v>
      </c>
      <c r="P37" s="1712">
        <f t="shared" si="10"/>
        <v>2.36</v>
      </c>
      <c r="Q37" s="1712">
        <f t="shared" si="11"/>
        <v>10.195519000000001</v>
      </c>
      <c r="R37" s="1757">
        <v>0.06</v>
      </c>
      <c r="S37" s="1712">
        <f t="shared" si="12"/>
        <v>0.61173099999999891</v>
      </c>
      <c r="T37" s="1712"/>
      <c r="U37" s="1714">
        <f t="shared" si="13"/>
        <v>10.80725</v>
      </c>
      <c r="V37" s="1714">
        <f t="shared" si="16"/>
        <v>0.61173099999999891</v>
      </c>
      <c r="W37" s="1714">
        <f t="shared" si="14"/>
        <v>10.195519000000001</v>
      </c>
      <c r="X37" s="1758"/>
      <c r="Y37" s="1714">
        <f t="shared" si="0"/>
        <v>1.0451152075782688</v>
      </c>
    </row>
    <row r="38" spans="1:28" ht="12" customHeight="1" outlineLevel="2">
      <c r="B38" s="1737" t="s">
        <v>3265</v>
      </c>
      <c r="C38" s="1738"/>
      <c r="D38" s="1739" t="s">
        <v>3266</v>
      </c>
      <c r="E38" s="1740"/>
      <c r="F38" s="1741"/>
      <c r="G38" s="1741" t="s">
        <v>4117</v>
      </c>
      <c r="H38" s="1742"/>
      <c r="I38" s="1743"/>
      <c r="J38" s="1744"/>
      <c r="K38" s="1743"/>
      <c r="L38" s="1743"/>
      <c r="M38" s="1743"/>
      <c r="N38" s="1743"/>
      <c r="O38" s="1743">
        <f>SUBTOTAL(9,O39:O40)</f>
        <v>2349.895184</v>
      </c>
      <c r="P38" s="1743"/>
      <c r="Q38" s="1743">
        <f>SUBTOTAL(9,Q39:Q40)</f>
        <v>2349.895184</v>
      </c>
      <c r="R38" s="1745"/>
      <c r="S38" s="1743">
        <f>SUBTOTAL(9,S39:S40)</f>
        <v>0</v>
      </c>
      <c r="T38" s="1743">
        <v>0</v>
      </c>
      <c r="U38" s="1743">
        <f>SUBTOTAL(9,U39:U40)</f>
        <v>2349.895184</v>
      </c>
      <c r="V38" s="1743">
        <f>SUBTOTAL(9,V39:V40)</f>
        <v>0</v>
      </c>
      <c r="W38" s="1743">
        <f>SUBTOTAL(9,W39:W40)</f>
        <v>2349.895184</v>
      </c>
      <c r="X38" s="1746"/>
      <c r="Y38" s="1743">
        <f t="shared" si="0"/>
        <v>227.24663471404239</v>
      </c>
    </row>
    <row r="39" spans="1:28" ht="12" customHeight="1" outlineLevel="3">
      <c r="A39" s="1747" t="s">
        <v>3103</v>
      </c>
      <c r="B39" s="1748" t="s">
        <v>3267</v>
      </c>
      <c r="C39" s="1749"/>
      <c r="D39" s="1767" t="s">
        <v>3268</v>
      </c>
      <c r="E39" s="1709"/>
      <c r="F39" s="1708" t="s">
        <v>3269</v>
      </c>
      <c r="G39" s="1707" t="s">
        <v>4180</v>
      </c>
      <c r="H39" s="1727" t="s">
        <v>10</v>
      </c>
      <c r="I39" s="1714">
        <f>E3-'全期规划指标 '!H41-'全期规划指标 '!H42-'全期规划指标 '!H30</f>
        <v>129115.12</v>
      </c>
      <c r="J39" s="1753">
        <v>1</v>
      </c>
      <c r="K39" s="1714" t="s">
        <v>101</v>
      </c>
      <c r="L39" s="1714" t="s">
        <v>10</v>
      </c>
      <c r="M39" s="1754">
        <f>ROUND(I39,2)*ROUND(J39,4)</f>
        <v>129115.12</v>
      </c>
      <c r="N39" s="1755">
        <v>182</v>
      </c>
      <c r="O39" s="1756">
        <f>ROUND(M39*ROUND(N39,2)/10000,6)</f>
        <v>2349.895184</v>
      </c>
      <c r="P39" s="1712">
        <f>IFERROR(ROUND(Q39*10000/M39,2),0)</f>
        <v>182</v>
      </c>
      <c r="Q39" s="1712">
        <f>ROUND(O39/(1+R39),6)</f>
        <v>2349.895184</v>
      </c>
      <c r="R39" s="1757">
        <v>0</v>
      </c>
      <c r="S39" s="1712">
        <f>O39-Q39</f>
        <v>0</v>
      </c>
      <c r="T39" s="1712"/>
      <c r="U39" s="1714">
        <f>O39+ROUND(T39,6)</f>
        <v>2349.895184</v>
      </c>
      <c r="V39" s="1714">
        <f>U39-W39</f>
        <v>0</v>
      </c>
      <c r="W39" s="1714">
        <f>ROUND(U39/(1+R39),6)</f>
        <v>2349.895184</v>
      </c>
      <c r="X39" s="1758"/>
      <c r="Y39" s="1714">
        <f t="shared" si="0"/>
        <v>227.24663471404239</v>
      </c>
    </row>
    <row r="40" spans="1:28" ht="12" customHeight="1" outlineLevel="3">
      <c r="A40" s="1747" t="s">
        <v>3103</v>
      </c>
      <c r="B40" s="1748" t="s">
        <v>3270</v>
      </c>
      <c r="C40" s="1749"/>
      <c r="D40" s="1768" t="s">
        <v>3271</v>
      </c>
      <c r="E40" s="1709"/>
      <c r="F40" s="1708" t="s">
        <v>1307</v>
      </c>
      <c r="G40" s="1707" t="s">
        <v>4131</v>
      </c>
      <c r="H40" s="1727" t="s">
        <v>10</v>
      </c>
      <c r="I40" s="1714">
        <f>$E$3</f>
        <v>138524.57999999999</v>
      </c>
      <c r="J40" s="1769">
        <v>1</v>
      </c>
      <c r="K40" s="1714" t="s">
        <v>101</v>
      </c>
      <c r="L40" s="1714" t="s">
        <v>10</v>
      </c>
      <c r="M40" s="1754">
        <f>ROUND(I40,2)*ROUND(J40,4)</f>
        <v>138524.57999999999</v>
      </c>
      <c r="N40" s="1755">
        <v>0</v>
      </c>
      <c r="O40" s="1712">
        <f>ROUND(M40*ROUND(N40,2)/10000,6)</f>
        <v>0</v>
      </c>
      <c r="P40" s="1712">
        <f>IFERROR(ROUND(Q40*10000/M40,2),0)</f>
        <v>0</v>
      </c>
      <c r="Q40" s="1712">
        <f>ROUND(O40/(1+R40),6)</f>
        <v>0</v>
      </c>
      <c r="R40" s="1757">
        <v>0</v>
      </c>
      <c r="S40" s="1712">
        <f>O40-Q40</f>
        <v>0</v>
      </c>
      <c r="T40" s="1712"/>
      <c r="U40" s="1714">
        <f>O40+ROUND(T40,6)</f>
        <v>0</v>
      </c>
      <c r="V40" s="1714">
        <f>U40-W40</f>
        <v>0</v>
      </c>
      <c r="W40" s="1714">
        <f>ROUND(U40/(1+R40),6)</f>
        <v>0</v>
      </c>
      <c r="X40" s="1758"/>
      <c r="Y40" s="1714">
        <f t="shared" si="0"/>
        <v>0</v>
      </c>
    </row>
    <row r="41" spans="1:28" ht="12" customHeight="1" outlineLevel="2">
      <c r="B41" s="1737" t="s">
        <v>3272</v>
      </c>
      <c r="C41" s="1738"/>
      <c r="D41" s="1770" t="s">
        <v>3273</v>
      </c>
      <c r="E41" s="1740"/>
      <c r="F41" s="1741"/>
      <c r="G41" s="1741" t="s">
        <v>4117</v>
      </c>
      <c r="H41" s="1742"/>
      <c r="I41" s="1743"/>
      <c r="J41" s="1744"/>
      <c r="K41" s="1743"/>
      <c r="L41" s="1743"/>
      <c r="M41" s="1743"/>
      <c r="N41" s="1743"/>
      <c r="O41" s="1743">
        <f>SUBTOTAL(9,O42:O67)</f>
        <v>305.66296199999999</v>
      </c>
      <c r="P41" s="1743"/>
      <c r="Q41" s="1743">
        <f>SUBTOTAL(9,Q42:Q67)</f>
        <v>299.30341799999997</v>
      </c>
      <c r="R41" s="1745"/>
      <c r="S41" s="1743">
        <f>SUBTOTAL(9,S42:S67)</f>
        <v>6.3595440000000067</v>
      </c>
      <c r="T41" s="1743">
        <v>185.08353802817055</v>
      </c>
      <c r="U41" s="1743">
        <f>SUBTOTAL(9,U42:U67)</f>
        <v>490.74649999999997</v>
      </c>
      <c r="V41" s="1743">
        <f>SUBTOTAL(9,V42:V67)</f>
        <v>6.3595440000000067</v>
      </c>
      <c r="W41" s="1743">
        <f>SUBTOTAL(9,W42:W67)</f>
        <v>484.386956</v>
      </c>
      <c r="X41" s="1746"/>
      <c r="Y41" s="1743">
        <f t="shared" si="0"/>
        <v>47.457644656671114</v>
      </c>
    </row>
    <row r="42" spans="1:28" ht="12" customHeight="1" outlineLevel="3">
      <c r="A42" s="1747" t="s">
        <v>3101</v>
      </c>
      <c r="B42" s="1748" t="s">
        <v>3274</v>
      </c>
      <c r="C42" s="1749"/>
      <c r="D42" s="1767" t="s">
        <v>3275</v>
      </c>
      <c r="E42" s="1709"/>
      <c r="F42" s="1708" t="s">
        <v>3269</v>
      </c>
      <c r="G42" s="1707" t="s">
        <v>4180</v>
      </c>
      <c r="H42" s="1727" t="s">
        <v>10</v>
      </c>
      <c r="I42" s="1714">
        <f>$E$3</f>
        <v>138524.57999999999</v>
      </c>
      <c r="J42" s="1769"/>
      <c r="K42" s="1714" t="s">
        <v>101</v>
      </c>
      <c r="L42" s="1714" t="s">
        <v>10</v>
      </c>
      <c r="M42" s="1754">
        <f t="shared" ref="M42:M58" si="17">ROUND(I42,2)*ROUND(J42,4)</f>
        <v>0</v>
      </c>
      <c r="N42" s="1755"/>
      <c r="O42" s="1712">
        <f t="shared" ref="O42:O58" si="18">ROUND(M42*ROUND(N42,2)/10000,6)</f>
        <v>0</v>
      </c>
      <c r="P42" s="1712">
        <f t="shared" ref="P42:P58" si="19">IFERROR(ROUND(Q42*10000/M42,2),0)</f>
        <v>0</v>
      </c>
      <c r="Q42" s="1712">
        <f t="shared" ref="Q42:Q58" si="20">ROUND(O42/(1+R42),6)</f>
        <v>0</v>
      </c>
      <c r="R42" s="1757">
        <v>0</v>
      </c>
      <c r="S42" s="1712">
        <f t="shared" ref="S42:S58" si="21">O42-Q42</f>
        <v>0</v>
      </c>
      <c r="T42" s="1712"/>
      <c r="U42" s="1714">
        <f t="shared" ref="U42:U58" si="22">O42+ROUND(T42,6)</f>
        <v>0</v>
      </c>
      <c r="V42" s="1714">
        <f>U42-W42</f>
        <v>0</v>
      </c>
      <c r="W42" s="1714">
        <f t="shared" ref="W42:W58" si="23">ROUND(U42/(1+R42),6)</f>
        <v>0</v>
      </c>
      <c r="X42" s="1758"/>
      <c r="Y42" s="1714">
        <f t="shared" si="0"/>
        <v>0</v>
      </c>
    </row>
    <row r="43" spans="1:28" ht="12" customHeight="1" outlineLevel="3">
      <c r="A43" s="1747" t="s">
        <v>3101</v>
      </c>
      <c r="B43" s="1771" t="s">
        <v>3276</v>
      </c>
      <c r="C43" s="1749"/>
      <c r="D43" s="1767" t="s">
        <v>3277</v>
      </c>
      <c r="E43" s="1709"/>
      <c r="F43" s="1708" t="s">
        <v>3269</v>
      </c>
      <c r="G43" s="1751" t="s">
        <v>4180</v>
      </c>
      <c r="H43" s="1727" t="s">
        <v>10</v>
      </c>
      <c r="I43" s="1714">
        <f t="shared" ref="I43:I67" si="24">$E$3</f>
        <v>138524.57999999999</v>
      </c>
      <c r="J43" s="1753">
        <v>1</v>
      </c>
      <c r="K43" s="1714" t="s">
        <v>101</v>
      </c>
      <c r="L43" s="1714" t="s">
        <v>10</v>
      </c>
      <c r="M43" s="1754">
        <f t="shared" si="17"/>
        <v>138524.57999999999</v>
      </c>
      <c r="N43" s="1772">
        <v>2.7</v>
      </c>
      <c r="O43" s="1712">
        <f t="shared" si="18"/>
        <v>37.401637000000001</v>
      </c>
      <c r="P43" s="1712">
        <f t="shared" si="19"/>
        <v>2.5499999999999998</v>
      </c>
      <c r="Q43" s="1712">
        <f t="shared" si="20"/>
        <v>35.284562999999999</v>
      </c>
      <c r="R43" s="1757">
        <v>0.06</v>
      </c>
      <c r="S43" s="1712">
        <f t="shared" si="21"/>
        <v>2.1170740000000023</v>
      </c>
      <c r="T43" s="1712"/>
      <c r="U43" s="1714">
        <f t="shared" si="22"/>
        <v>37.401637000000001</v>
      </c>
      <c r="V43" s="1714">
        <f t="shared" ref="V43:V58" si="25">U43-W43</f>
        <v>2.1170740000000023</v>
      </c>
      <c r="W43" s="1714">
        <f t="shared" si="23"/>
        <v>35.284562999999999</v>
      </c>
      <c r="X43" s="1758"/>
      <c r="Y43" s="1714">
        <f t="shared" si="0"/>
        <v>3.6169256394570373</v>
      </c>
    </row>
    <row r="44" spans="1:28" ht="12" customHeight="1" outlineLevel="3">
      <c r="A44" s="1747" t="s">
        <v>3101</v>
      </c>
      <c r="B44" s="1748" t="s">
        <v>3278</v>
      </c>
      <c r="C44" s="1749"/>
      <c r="D44" s="1767" t="s">
        <v>1102</v>
      </c>
      <c r="E44" s="1709"/>
      <c r="F44" s="1708" t="s">
        <v>3269</v>
      </c>
      <c r="G44" s="1707" t="s">
        <v>4180</v>
      </c>
      <c r="H44" s="1727" t="s">
        <v>10</v>
      </c>
      <c r="I44" s="1714">
        <f t="shared" si="24"/>
        <v>138524.57999999999</v>
      </c>
      <c r="J44" s="1769">
        <v>1</v>
      </c>
      <c r="K44" s="1714" t="s">
        <v>101</v>
      </c>
      <c r="L44" s="1714" t="s">
        <v>10</v>
      </c>
      <c r="M44" s="1754">
        <f t="shared" si="17"/>
        <v>138524.57999999999</v>
      </c>
      <c r="N44" s="1755">
        <v>0</v>
      </c>
      <c r="O44" s="1712">
        <f t="shared" si="18"/>
        <v>0</v>
      </c>
      <c r="P44" s="1712">
        <f t="shared" si="19"/>
        <v>0</v>
      </c>
      <c r="Q44" s="1712">
        <f t="shared" si="20"/>
        <v>0</v>
      </c>
      <c r="R44" s="1757">
        <v>0.06</v>
      </c>
      <c r="S44" s="1712">
        <f t="shared" si="21"/>
        <v>0</v>
      </c>
      <c r="T44" s="1712"/>
      <c r="U44" s="1714">
        <f t="shared" si="22"/>
        <v>0</v>
      </c>
      <c r="V44" s="1714">
        <f t="shared" si="25"/>
        <v>0</v>
      </c>
      <c r="W44" s="1714">
        <f t="shared" si="23"/>
        <v>0</v>
      </c>
      <c r="X44" s="1758"/>
      <c r="Y44" s="1714">
        <f t="shared" si="0"/>
        <v>0</v>
      </c>
    </row>
    <row r="45" spans="1:28" ht="12" customHeight="1" outlineLevel="3">
      <c r="A45" s="1747" t="s">
        <v>3101</v>
      </c>
      <c r="B45" s="1771" t="s">
        <v>3279</v>
      </c>
      <c r="C45" s="1749"/>
      <c r="D45" s="1767" t="s">
        <v>3280</v>
      </c>
      <c r="E45" s="1709"/>
      <c r="F45" s="1708" t="s">
        <v>3269</v>
      </c>
      <c r="G45" s="1707" t="s">
        <v>4180</v>
      </c>
      <c r="H45" s="1727" t="s">
        <v>10</v>
      </c>
      <c r="I45" s="1714">
        <f t="shared" si="24"/>
        <v>138524.57999999999</v>
      </c>
      <c r="J45" s="1769">
        <v>1</v>
      </c>
      <c r="K45" s="1714" t="s">
        <v>101</v>
      </c>
      <c r="L45" s="1714" t="s">
        <v>10</v>
      </c>
      <c r="M45" s="1754">
        <f t="shared" si="17"/>
        <v>138524.57999999999</v>
      </c>
      <c r="N45" s="1755">
        <v>0</v>
      </c>
      <c r="O45" s="1712">
        <f t="shared" si="18"/>
        <v>0</v>
      </c>
      <c r="P45" s="1712">
        <f t="shared" si="19"/>
        <v>0</v>
      </c>
      <c r="Q45" s="1712">
        <f t="shared" si="20"/>
        <v>0</v>
      </c>
      <c r="R45" s="1757">
        <v>0.06</v>
      </c>
      <c r="S45" s="1712">
        <f t="shared" si="21"/>
        <v>0</v>
      </c>
      <c r="T45" s="1712"/>
      <c r="U45" s="1714">
        <f t="shared" si="22"/>
        <v>0</v>
      </c>
      <c r="V45" s="1714">
        <f t="shared" si="25"/>
        <v>0</v>
      </c>
      <c r="W45" s="1714">
        <f t="shared" si="23"/>
        <v>0</v>
      </c>
      <c r="X45" s="1758"/>
      <c r="Y45" s="1714">
        <f t="shared" si="0"/>
        <v>0</v>
      </c>
    </row>
    <row r="46" spans="1:28" ht="12" customHeight="1" outlineLevel="3">
      <c r="A46" s="1747" t="s">
        <v>3101</v>
      </c>
      <c r="B46" s="1748" t="s">
        <v>3281</v>
      </c>
      <c r="C46" s="1749"/>
      <c r="D46" s="1767" t="s">
        <v>3282</v>
      </c>
      <c r="E46" s="1709"/>
      <c r="F46" s="1708" t="s">
        <v>3269</v>
      </c>
      <c r="G46" s="1707" t="s">
        <v>4180</v>
      </c>
      <c r="H46" s="1727" t="s">
        <v>10</v>
      </c>
      <c r="I46" s="1714">
        <f t="shared" si="24"/>
        <v>138524.57999999999</v>
      </c>
      <c r="J46" s="1769">
        <v>1</v>
      </c>
      <c r="K46" s="1714" t="s">
        <v>101</v>
      </c>
      <c r="L46" s="1714" t="s">
        <v>10</v>
      </c>
      <c r="M46" s="1754">
        <f t="shared" si="17"/>
        <v>138524.57999999999</v>
      </c>
      <c r="N46" s="1755"/>
      <c r="O46" s="1712">
        <f t="shared" si="18"/>
        <v>0</v>
      </c>
      <c r="P46" s="1712">
        <f t="shared" si="19"/>
        <v>0</v>
      </c>
      <c r="Q46" s="1712">
        <f t="shared" si="20"/>
        <v>0</v>
      </c>
      <c r="R46" s="1757">
        <v>0.06</v>
      </c>
      <c r="S46" s="1712">
        <f t="shared" si="21"/>
        <v>0</v>
      </c>
      <c r="T46" s="1712"/>
      <c r="U46" s="1714">
        <f t="shared" si="22"/>
        <v>0</v>
      </c>
      <c r="V46" s="1714">
        <f t="shared" si="25"/>
        <v>0</v>
      </c>
      <c r="W46" s="1714">
        <f t="shared" si="23"/>
        <v>0</v>
      </c>
      <c r="X46" s="1758"/>
      <c r="Y46" s="1714">
        <f t="shared" si="0"/>
        <v>0</v>
      </c>
    </row>
    <row r="47" spans="1:28" ht="12" customHeight="1" outlineLevel="3">
      <c r="A47" s="1747" t="s">
        <v>3101</v>
      </c>
      <c r="B47" s="1771" t="s">
        <v>3283</v>
      </c>
      <c r="C47" s="1749"/>
      <c r="D47" s="1767" t="s">
        <v>3284</v>
      </c>
      <c r="E47" s="1709"/>
      <c r="F47" s="1708" t="s">
        <v>3269</v>
      </c>
      <c r="G47" s="1707" t="s">
        <v>4180</v>
      </c>
      <c r="H47" s="1727" t="s">
        <v>10</v>
      </c>
      <c r="I47" s="1714">
        <f t="shared" si="24"/>
        <v>138524.57999999999</v>
      </c>
      <c r="J47" s="1764">
        <v>1</v>
      </c>
      <c r="K47" s="1714" t="s">
        <v>101</v>
      </c>
      <c r="L47" s="1755" t="s">
        <v>10</v>
      </c>
      <c r="M47" s="1754">
        <f t="shared" si="17"/>
        <v>138524.57999999999</v>
      </c>
      <c r="N47" s="1755"/>
      <c r="O47" s="1712">
        <f t="shared" si="18"/>
        <v>0</v>
      </c>
      <c r="P47" s="1712">
        <f t="shared" si="19"/>
        <v>0</v>
      </c>
      <c r="Q47" s="1712">
        <f t="shared" si="20"/>
        <v>0</v>
      </c>
      <c r="R47" s="1757">
        <v>0.06</v>
      </c>
      <c r="S47" s="1712">
        <f t="shared" si="21"/>
        <v>0</v>
      </c>
      <c r="T47" s="1712"/>
      <c r="U47" s="1714">
        <f t="shared" si="22"/>
        <v>0</v>
      </c>
      <c r="V47" s="1714">
        <f t="shared" si="25"/>
        <v>0</v>
      </c>
      <c r="W47" s="1714">
        <f t="shared" si="23"/>
        <v>0</v>
      </c>
      <c r="X47" s="1758"/>
      <c r="Y47" s="1714">
        <f t="shared" si="0"/>
        <v>0</v>
      </c>
    </row>
    <row r="48" spans="1:28" ht="12" customHeight="1" outlineLevel="3">
      <c r="A48" s="1747" t="s">
        <v>3101</v>
      </c>
      <c r="B48" s="1748" t="s">
        <v>3285</v>
      </c>
      <c r="C48" s="1749"/>
      <c r="D48" s="1767" t="s">
        <v>3286</v>
      </c>
      <c r="E48" s="1709"/>
      <c r="F48" s="1708" t="s">
        <v>3269</v>
      </c>
      <c r="G48" s="1707" t="s">
        <v>4180</v>
      </c>
      <c r="H48" s="1727" t="s">
        <v>10</v>
      </c>
      <c r="I48" s="1714">
        <f t="shared" si="24"/>
        <v>138524.57999999999</v>
      </c>
      <c r="J48" s="1769"/>
      <c r="K48" s="1714" t="s">
        <v>101</v>
      </c>
      <c r="L48" s="1755" t="s">
        <v>10</v>
      </c>
      <c r="M48" s="1754">
        <f t="shared" si="17"/>
        <v>0</v>
      </c>
      <c r="N48" s="1755"/>
      <c r="O48" s="1712">
        <f t="shared" si="18"/>
        <v>0</v>
      </c>
      <c r="P48" s="1712">
        <f t="shared" si="19"/>
        <v>0</v>
      </c>
      <c r="Q48" s="1712">
        <f t="shared" si="20"/>
        <v>0</v>
      </c>
      <c r="R48" s="1757">
        <v>0.06</v>
      </c>
      <c r="S48" s="1712">
        <f t="shared" si="21"/>
        <v>0</v>
      </c>
      <c r="T48" s="1712"/>
      <c r="U48" s="1714">
        <f t="shared" si="22"/>
        <v>0</v>
      </c>
      <c r="V48" s="1714">
        <f t="shared" si="25"/>
        <v>0</v>
      </c>
      <c r="W48" s="1714">
        <f t="shared" si="23"/>
        <v>0</v>
      </c>
      <c r="X48" s="1758"/>
      <c r="Y48" s="1714">
        <f t="shared" si="0"/>
        <v>0</v>
      </c>
    </row>
    <row r="49" spans="1:25" ht="12" customHeight="1" outlineLevel="3">
      <c r="A49" s="1747" t="s">
        <v>3101</v>
      </c>
      <c r="B49" s="1771" t="s">
        <v>3287</v>
      </c>
      <c r="C49" s="1749"/>
      <c r="D49" s="1767" t="s">
        <v>3288</v>
      </c>
      <c r="E49" s="1709"/>
      <c r="F49" s="1708" t="s">
        <v>3269</v>
      </c>
      <c r="G49" s="1707" t="s">
        <v>4180</v>
      </c>
      <c r="H49" s="1727" t="s">
        <v>10</v>
      </c>
      <c r="I49" s="1714">
        <f t="shared" si="24"/>
        <v>138524.57999999999</v>
      </c>
      <c r="J49" s="1753">
        <v>6.8901522942851137E-2</v>
      </c>
      <c r="K49" s="1714" t="s">
        <v>101</v>
      </c>
      <c r="L49" s="1755" t="s">
        <v>10</v>
      </c>
      <c r="M49" s="1754">
        <f t="shared" si="17"/>
        <v>9544.343562</v>
      </c>
      <c r="N49" s="1772">
        <v>4</v>
      </c>
      <c r="O49" s="1712">
        <f t="shared" si="18"/>
        <v>3.8177370000000002</v>
      </c>
      <c r="P49" s="1712">
        <f t="shared" si="19"/>
        <v>3.77</v>
      </c>
      <c r="Q49" s="1712">
        <f t="shared" si="20"/>
        <v>3.601639</v>
      </c>
      <c r="R49" s="1757">
        <v>0.06</v>
      </c>
      <c r="S49" s="1712">
        <f t="shared" si="21"/>
        <v>0.21609800000000012</v>
      </c>
      <c r="T49" s="1712"/>
      <c r="U49" s="1714">
        <f t="shared" si="22"/>
        <v>3.8177370000000002</v>
      </c>
      <c r="V49" s="1714">
        <f t="shared" si="25"/>
        <v>0.21609800000000012</v>
      </c>
      <c r="W49" s="1714">
        <f t="shared" si="23"/>
        <v>3.601639</v>
      </c>
      <c r="X49" s="1758"/>
      <c r="Y49" s="1714">
        <f t="shared" si="0"/>
        <v>0.36919429061363784</v>
      </c>
    </row>
    <row r="50" spans="1:25" ht="12" customHeight="1" outlineLevel="3">
      <c r="A50" s="1747" t="s">
        <v>3101</v>
      </c>
      <c r="B50" s="1748" t="s">
        <v>3289</v>
      </c>
      <c r="C50" s="1749"/>
      <c r="D50" s="1767" t="s">
        <v>1178</v>
      </c>
      <c r="E50" s="1709"/>
      <c r="F50" s="1708" t="s">
        <v>3269</v>
      </c>
      <c r="G50" s="1707" t="s">
        <v>4180</v>
      </c>
      <c r="H50" s="1727" t="s">
        <v>10</v>
      </c>
      <c r="I50" s="1714">
        <f t="shared" si="24"/>
        <v>138524.57999999999</v>
      </c>
      <c r="J50" s="1769"/>
      <c r="K50" s="1714" t="s">
        <v>101</v>
      </c>
      <c r="L50" s="1755" t="s">
        <v>10</v>
      </c>
      <c r="M50" s="1754">
        <f t="shared" si="17"/>
        <v>0</v>
      </c>
      <c r="N50" s="1755"/>
      <c r="O50" s="1712">
        <f t="shared" si="18"/>
        <v>0</v>
      </c>
      <c r="P50" s="1712">
        <f t="shared" si="19"/>
        <v>0</v>
      </c>
      <c r="Q50" s="1712">
        <f t="shared" si="20"/>
        <v>0</v>
      </c>
      <c r="R50" s="1757">
        <v>0.06</v>
      </c>
      <c r="S50" s="1712">
        <f t="shared" si="21"/>
        <v>0</v>
      </c>
      <c r="T50" s="1712"/>
      <c r="U50" s="1714">
        <f t="shared" si="22"/>
        <v>0</v>
      </c>
      <c r="V50" s="1714">
        <f t="shared" si="25"/>
        <v>0</v>
      </c>
      <c r="W50" s="1714">
        <f t="shared" si="23"/>
        <v>0</v>
      </c>
      <c r="X50" s="1758"/>
      <c r="Y50" s="1714">
        <f t="shared" si="0"/>
        <v>0</v>
      </c>
    </row>
    <row r="51" spans="1:25" ht="12" customHeight="1" outlineLevel="3">
      <c r="A51" s="1747" t="s">
        <v>3101</v>
      </c>
      <c r="B51" s="1771" t="s">
        <v>3290</v>
      </c>
      <c r="C51" s="1749"/>
      <c r="D51" s="1767" t="s">
        <v>1135</v>
      </c>
      <c r="E51" s="1709"/>
      <c r="F51" s="1708" t="s">
        <v>3269</v>
      </c>
      <c r="G51" s="1707" t="s">
        <v>4180</v>
      </c>
      <c r="H51" s="1727" t="s">
        <v>10</v>
      </c>
      <c r="I51" s="1714">
        <f t="shared" si="24"/>
        <v>138524.57999999999</v>
      </c>
      <c r="J51" s="1769">
        <v>1</v>
      </c>
      <c r="K51" s="1714" t="s">
        <v>101</v>
      </c>
      <c r="L51" s="1755" t="s">
        <v>10</v>
      </c>
      <c r="M51" s="1754">
        <f t="shared" si="17"/>
        <v>138524.57999999999</v>
      </c>
      <c r="N51" s="1755"/>
      <c r="O51" s="1712">
        <f t="shared" si="18"/>
        <v>0</v>
      </c>
      <c r="P51" s="1712">
        <f t="shared" si="19"/>
        <v>0</v>
      </c>
      <c r="Q51" s="1712">
        <f t="shared" si="20"/>
        <v>0</v>
      </c>
      <c r="R51" s="1757">
        <v>0</v>
      </c>
      <c r="S51" s="1712">
        <f t="shared" si="21"/>
        <v>0</v>
      </c>
      <c r="T51" s="1712"/>
      <c r="U51" s="1714">
        <f t="shared" si="22"/>
        <v>0</v>
      </c>
      <c r="V51" s="1714">
        <f t="shared" si="25"/>
        <v>0</v>
      </c>
      <c r="W51" s="1714">
        <f t="shared" si="23"/>
        <v>0</v>
      </c>
      <c r="X51" s="1758"/>
      <c r="Y51" s="1714">
        <f t="shared" si="0"/>
        <v>0</v>
      </c>
    </row>
    <row r="52" spans="1:25" ht="12" customHeight="1" outlineLevel="3">
      <c r="A52" s="1747" t="s">
        <v>3101</v>
      </c>
      <c r="B52" s="1748" t="s">
        <v>3291</v>
      </c>
      <c r="C52" s="1749"/>
      <c r="D52" s="1767" t="s">
        <v>3292</v>
      </c>
      <c r="E52" s="1709"/>
      <c r="F52" s="1708" t="s">
        <v>3269</v>
      </c>
      <c r="G52" s="1707" t="s">
        <v>4180</v>
      </c>
      <c r="H52" s="1727" t="s">
        <v>10</v>
      </c>
      <c r="I52" s="1714">
        <f t="shared" si="24"/>
        <v>138524.57999999999</v>
      </c>
      <c r="J52" s="1769">
        <v>1</v>
      </c>
      <c r="K52" s="1714" t="s">
        <v>101</v>
      </c>
      <c r="L52" s="1755" t="s">
        <v>10</v>
      </c>
      <c r="M52" s="1754">
        <f t="shared" si="17"/>
        <v>138524.57999999999</v>
      </c>
      <c r="N52" s="1755">
        <v>0</v>
      </c>
      <c r="O52" s="1712">
        <f t="shared" si="18"/>
        <v>0</v>
      </c>
      <c r="P52" s="1712">
        <f t="shared" si="19"/>
        <v>0</v>
      </c>
      <c r="Q52" s="1712">
        <f t="shared" si="20"/>
        <v>0</v>
      </c>
      <c r="R52" s="1757">
        <v>0</v>
      </c>
      <c r="S52" s="1712">
        <f t="shared" si="21"/>
        <v>0</v>
      </c>
      <c r="T52" s="1712"/>
      <c r="U52" s="1714">
        <f t="shared" si="22"/>
        <v>0</v>
      </c>
      <c r="V52" s="1714">
        <f t="shared" si="25"/>
        <v>0</v>
      </c>
      <c r="W52" s="1714">
        <f t="shared" si="23"/>
        <v>0</v>
      </c>
      <c r="X52" s="1758"/>
      <c r="Y52" s="1714">
        <f t="shared" si="0"/>
        <v>0</v>
      </c>
    </row>
    <row r="53" spans="1:25" ht="12" customHeight="1" outlineLevel="3">
      <c r="A53" s="1747" t="s">
        <v>3101</v>
      </c>
      <c r="B53" s="1771" t="s">
        <v>3293</v>
      </c>
      <c r="C53" s="1749"/>
      <c r="D53" s="1767" t="s">
        <v>3294</v>
      </c>
      <c r="E53" s="1709"/>
      <c r="F53" s="1708" t="s">
        <v>3269</v>
      </c>
      <c r="G53" s="1707" t="s">
        <v>4180</v>
      </c>
      <c r="H53" s="1727" t="s">
        <v>3920</v>
      </c>
      <c r="I53" s="1714">
        <f>$E$4</f>
        <v>104549.27999999998</v>
      </c>
      <c r="J53" s="1753">
        <v>1</v>
      </c>
      <c r="K53" s="1714" t="s">
        <v>101</v>
      </c>
      <c r="L53" s="1755" t="s">
        <v>3920</v>
      </c>
      <c r="M53" s="1754">
        <f t="shared" si="17"/>
        <v>104549.28</v>
      </c>
      <c r="N53" s="1772">
        <v>1.5</v>
      </c>
      <c r="O53" s="1712">
        <f t="shared" si="18"/>
        <v>15.682392</v>
      </c>
      <c r="P53" s="1712">
        <f t="shared" si="19"/>
        <v>1.42</v>
      </c>
      <c r="Q53" s="1712">
        <f t="shared" si="20"/>
        <v>14.794708999999999</v>
      </c>
      <c r="R53" s="1757">
        <v>0.06</v>
      </c>
      <c r="S53" s="1712">
        <f t="shared" si="21"/>
        <v>0.88768300000000089</v>
      </c>
      <c r="T53" s="1712"/>
      <c r="U53" s="1714">
        <f t="shared" si="22"/>
        <v>15.682392</v>
      </c>
      <c r="V53" s="1714">
        <f t="shared" si="25"/>
        <v>0.88768300000000089</v>
      </c>
      <c r="W53" s="1714">
        <f t="shared" si="23"/>
        <v>14.794708999999999</v>
      </c>
      <c r="X53" s="1758"/>
      <c r="Y53" s="1714">
        <f t="shared" si="0"/>
        <v>1.5165658581418753</v>
      </c>
    </row>
    <row r="54" spans="1:25" ht="12" customHeight="1" outlineLevel="3">
      <c r="A54" s="1747" t="s">
        <v>3101</v>
      </c>
      <c r="B54" s="1748" t="s">
        <v>3295</v>
      </c>
      <c r="C54" s="1749"/>
      <c r="D54" s="1767" t="s">
        <v>1172</v>
      </c>
      <c r="E54" s="1709"/>
      <c r="F54" s="1708" t="s">
        <v>3269</v>
      </c>
      <c r="G54" s="1707" t="s">
        <v>4180</v>
      </c>
      <c r="H54" s="1727" t="s">
        <v>3920</v>
      </c>
      <c r="I54" s="1714">
        <f>$E$4</f>
        <v>104549.27999999998</v>
      </c>
      <c r="J54" s="1769">
        <v>1</v>
      </c>
      <c r="K54" s="1714" t="s">
        <v>101</v>
      </c>
      <c r="L54" s="1755" t="s">
        <v>3920</v>
      </c>
      <c r="M54" s="1754">
        <f t="shared" si="17"/>
        <v>104549.28</v>
      </c>
      <c r="N54" s="1755">
        <v>0</v>
      </c>
      <c r="O54" s="1712">
        <f t="shared" si="18"/>
        <v>0</v>
      </c>
      <c r="P54" s="1712">
        <f t="shared" si="19"/>
        <v>0</v>
      </c>
      <c r="Q54" s="1712">
        <f t="shared" si="20"/>
        <v>0</v>
      </c>
      <c r="R54" s="1757">
        <v>0</v>
      </c>
      <c r="S54" s="1712">
        <f t="shared" si="21"/>
        <v>0</v>
      </c>
      <c r="T54" s="1712"/>
      <c r="U54" s="1714">
        <f t="shared" si="22"/>
        <v>0</v>
      </c>
      <c r="V54" s="1714">
        <f t="shared" si="25"/>
        <v>0</v>
      </c>
      <c r="W54" s="1714">
        <f t="shared" si="23"/>
        <v>0</v>
      </c>
      <c r="X54" s="1758"/>
      <c r="Y54" s="1714">
        <f t="shared" si="0"/>
        <v>0</v>
      </c>
    </row>
    <row r="55" spans="1:25" ht="12" customHeight="1" outlineLevel="3">
      <c r="A55" s="1747" t="s">
        <v>3101</v>
      </c>
      <c r="B55" s="1771" t="s">
        <v>3296</v>
      </c>
      <c r="C55" s="1749"/>
      <c r="D55" s="1767" t="s">
        <v>3297</v>
      </c>
      <c r="E55" s="1709"/>
      <c r="F55" s="1708" t="s">
        <v>3269</v>
      </c>
      <c r="G55" s="1707" t="s">
        <v>4180</v>
      </c>
      <c r="H55" s="1727" t="s">
        <v>10</v>
      </c>
      <c r="I55" s="1714">
        <f t="shared" si="24"/>
        <v>138524.57999999999</v>
      </c>
      <c r="J55" s="1769">
        <v>1</v>
      </c>
      <c r="K55" s="1714" t="s">
        <v>101</v>
      </c>
      <c r="L55" s="1755" t="s">
        <v>10</v>
      </c>
      <c r="M55" s="1754">
        <f t="shared" si="17"/>
        <v>138524.57999999999</v>
      </c>
      <c r="N55" s="1755">
        <v>0.9</v>
      </c>
      <c r="O55" s="1712">
        <f t="shared" si="18"/>
        <v>12.467212</v>
      </c>
      <c r="P55" s="1712">
        <f t="shared" si="19"/>
        <v>0.85</v>
      </c>
      <c r="Q55" s="1712">
        <f t="shared" si="20"/>
        <v>11.761521</v>
      </c>
      <c r="R55" s="1757">
        <v>0.06</v>
      </c>
      <c r="S55" s="1712">
        <f t="shared" si="21"/>
        <v>0.70569099999999985</v>
      </c>
      <c r="T55" s="1712"/>
      <c r="U55" s="1714">
        <f t="shared" si="22"/>
        <v>12.467212</v>
      </c>
      <c r="V55" s="1714">
        <f t="shared" si="25"/>
        <v>0.70569099999999985</v>
      </c>
      <c r="W55" s="1714">
        <f t="shared" si="23"/>
        <v>11.761521</v>
      </c>
      <c r="X55" s="1758"/>
      <c r="Y55" s="1714">
        <f t="shared" si="0"/>
        <v>1.2056418475840092</v>
      </c>
    </row>
    <row r="56" spans="1:25" ht="12" customHeight="1" outlineLevel="3">
      <c r="A56" s="1747" t="s">
        <v>3101</v>
      </c>
      <c r="B56" s="1748" t="s">
        <v>3298</v>
      </c>
      <c r="C56" s="1749"/>
      <c r="D56" s="1767" t="s">
        <v>3299</v>
      </c>
      <c r="E56" s="1709"/>
      <c r="F56" s="1708" t="s">
        <v>3269</v>
      </c>
      <c r="G56" s="1707" t="s">
        <v>4180</v>
      </c>
      <c r="H56" s="1727" t="s">
        <v>10</v>
      </c>
      <c r="I56" s="1714">
        <f t="shared" si="24"/>
        <v>138524.57999999999</v>
      </c>
      <c r="J56" s="1769">
        <v>1</v>
      </c>
      <c r="K56" s="1714" t="s">
        <v>101</v>
      </c>
      <c r="L56" s="1755" t="s">
        <v>10</v>
      </c>
      <c r="M56" s="1754">
        <f t="shared" si="17"/>
        <v>138524.57999999999</v>
      </c>
      <c r="N56" s="1755">
        <v>0.77</v>
      </c>
      <c r="O56" s="1712">
        <f t="shared" si="18"/>
        <v>10.666392999999999</v>
      </c>
      <c r="P56" s="1712">
        <f t="shared" si="19"/>
        <v>0.77</v>
      </c>
      <c r="Q56" s="1712">
        <f t="shared" si="20"/>
        <v>10.666392999999999</v>
      </c>
      <c r="R56" s="1757">
        <v>0</v>
      </c>
      <c r="S56" s="1712">
        <f t="shared" si="21"/>
        <v>0</v>
      </c>
      <c r="T56" s="1712"/>
      <c r="U56" s="1714">
        <f t="shared" si="22"/>
        <v>10.666392999999999</v>
      </c>
      <c r="V56" s="1714">
        <f t="shared" si="25"/>
        <v>0</v>
      </c>
      <c r="W56" s="1714">
        <f t="shared" si="23"/>
        <v>10.666392999999999</v>
      </c>
      <c r="X56" s="1758"/>
      <c r="Y56" s="1714">
        <f t="shared" si="0"/>
        <v>1.031493630137768</v>
      </c>
    </row>
    <row r="57" spans="1:25" ht="12" customHeight="1" outlineLevel="3">
      <c r="A57" s="1747" t="s">
        <v>3101</v>
      </c>
      <c r="B57" s="1771" t="s">
        <v>3300</v>
      </c>
      <c r="C57" s="1749"/>
      <c r="D57" s="1767" t="s">
        <v>3301</v>
      </c>
      <c r="E57" s="1709"/>
      <c r="F57" s="1708" t="s">
        <v>3269</v>
      </c>
      <c r="G57" s="1707" t="s">
        <v>4180</v>
      </c>
      <c r="H57" s="1727" t="s">
        <v>10</v>
      </c>
      <c r="I57" s="1714">
        <f t="shared" si="24"/>
        <v>138524.57999999999</v>
      </c>
      <c r="J57" s="1769"/>
      <c r="K57" s="1714" t="s">
        <v>101</v>
      </c>
      <c r="L57" s="1755" t="s">
        <v>10</v>
      </c>
      <c r="M57" s="1754">
        <f t="shared" si="17"/>
        <v>0</v>
      </c>
      <c r="N57" s="1755"/>
      <c r="O57" s="1712">
        <f t="shared" si="18"/>
        <v>0</v>
      </c>
      <c r="P57" s="1712">
        <f t="shared" si="19"/>
        <v>0</v>
      </c>
      <c r="Q57" s="1712">
        <f t="shared" si="20"/>
        <v>0</v>
      </c>
      <c r="R57" s="1757">
        <v>0</v>
      </c>
      <c r="S57" s="1712">
        <f t="shared" si="21"/>
        <v>0</v>
      </c>
      <c r="T57" s="1712"/>
      <c r="U57" s="1714">
        <f t="shared" si="22"/>
        <v>0</v>
      </c>
      <c r="V57" s="1714">
        <f t="shared" si="25"/>
        <v>0</v>
      </c>
      <c r="W57" s="1714">
        <f t="shared" si="23"/>
        <v>0</v>
      </c>
      <c r="X57" s="1758"/>
      <c r="Y57" s="1714">
        <f t="shared" si="0"/>
        <v>0</v>
      </c>
    </row>
    <row r="58" spans="1:25" ht="12" customHeight="1" outlineLevel="3">
      <c r="A58" s="1747" t="s">
        <v>3101</v>
      </c>
      <c r="B58" s="1748" t="s">
        <v>3302</v>
      </c>
      <c r="C58" s="1749"/>
      <c r="D58" s="1767" t="s">
        <v>3303</v>
      </c>
      <c r="E58" s="1709"/>
      <c r="F58" s="1708" t="s">
        <v>3269</v>
      </c>
      <c r="G58" s="1707" t="s">
        <v>4180</v>
      </c>
      <c r="H58" s="1727" t="s">
        <v>10</v>
      </c>
      <c r="I58" s="1714">
        <f t="shared" si="24"/>
        <v>138524.57999999999</v>
      </c>
      <c r="J58" s="1769"/>
      <c r="K58" s="1714" t="s">
        <v>101</v>
      </c>
      <c r="L58" s="1755" t="s">
        <v>10</v>
      </c>
      <c r="M58" s="1754">
        <f t="shared" si="17"/>
        <v>0</v>
      </c>
      <c r="N58" s="1755"/>
      <c r="O58" s="1712">
        <f t="shared" si="18"/>
        <v>0</v>
      </c>
      <c r="P58" s="1712">
        <f t="shared" si="19"/>
        <v>0</v>
      </c>
      <c r="Q58" s="1712">
        <f t="shared" si="20"/>
        <v>0</v>
      </c>
      <c r="R58" s="1757">
        <v>0</v>
      </c>
      <c r="S58" s="1712">
        <f t="shared" si="21"/>
        <v>0</v>
      </c>
      <c r="T58" s="1712"/>
      <c r="U58" s="1714">
        <f t="shared" si="22"/>
        <v>0</v>
      </c>
      <c r="V58" s="1714">
        <f t="shared" si="25"/>
        <v>0</v>
      </c>
      <c r="W58" s="1714">
        <f t="shared" si="23"/>
        <v>0</v>
      </c>
      <c r="X58" s="1758"/>
      <c r="Y58" s="1714">
        <f t="shared" si="0"/>
        <v>0</v>
      </c>
    </row>
    <row r="59" spans="1:25" ht="12" customHeight="1" outlineLevel="3">
      <c r="B59" s="1771" t="s">
        <v>3304</v>
      </c>
      <c r="C59" s="1749"/>
      <c r="D59" s="1767" t="s">
        <v>3305</v>
      </c>
      <c r="E59" s="1709"/>
      <c r="F59" s="1708"/>
      <c r="G59" s="1707" t="s">
        <v>4117</v>
      </c>
      <c r="H59" s="1727"/>
      <c r="I59" s="1714"/>
      <c r="J59" s="1769"/>
      <c r="K59" s="1714"/>
      <c r="L59" s="1755"/>
      <c r="M59" s="1754"/>
      <c r="N59" s="1755"/>
      <c r="O59" s="1755">
        <f t="shared" ref="O59" si="26">SUBTOTAL(9,O60:O67)</f>
        <v>225.627591</v>
      </c>
      <c r="P59" s="1714">
        <f t="shared" ref="P59:W59" si="27">SUBTOTAL(9,P60:P67)</f>
        <v>95.52</v>
      </c>
      <c r="Q59" s="1714">
        <f t="shared" si="27"/>
        <v>223.194593</v>
      </c>
      <c r="R59" s="1714">
        <f t="shared" si="27"/>
        <v>0.3</v>
      </c>
      <c r="S59" s="1714">
        <f t="shared" si="27"/>
        <v>2.4329980000000035</v>
      </c>
      <c r="T59" s="1714">
        <v>185.08353802817055</v>
      </c>
      <c r="U59" s="1714">
        <f t="shared" si="27"/>
        <v>410.71112900000003</v>
      </c>
      <c r="V59" s="1714">
        <f t="shared" si="27"/>
        <v>2.4329980000000035</v>
      </c>
      <c r="W59" s="1714">
        <f t="shared" si="27"/>
        <v>408.27813099999997</v>
      </c>
      <c r="X59" s="1758"/>
      <c r="Y59" s="1714">
        <f t="shared" si="0"/>
        <v>39.71782339073679</v>
      </c>
    </row>
    <row r="60" spans="1:25" ht="12" customHeight="1" outlineLevel="4">
      <c r="A60" s="1747" t="s">
        <v>3101</v>
      </c>
      <c r="B60" s="1773" t="s">
        <v>3944</v>
      </c>
      <c r="C60" s="1774"/>
      <c r="D60" s="1775" t="s">
        <v>1142</v>
      </c>
      <c r="E60" s="1776"/>
      <c r="F60" s="1777" t="s">
        <v>3269</v>
      </c>
      <c r="G60" s="1778" t="s">
        <v>4180</v>
      </c>
      <c r="H60" s="1779" t="s">
        <v>10</v>
      </c>
      <c r="I60" s="1779">
        <f t="shared" si="24"/>
        <v>138524.57999999999</v>
      </c>
      <c r="J60" s="1772">
        <v>1</v>
      </c>
      <c r="K60" s="1779" t="s">
        <v>101</v>
      </c>
      <c r="L60" s="1779" t="s">
        <v>10</v>
      </c>
      <c r="M60" s="1779">
        <f t="shared" ref="M60:M67" si="28">ROUND(I60,2)*ROUND(J60,4)</f>
        <v>138524.57999999999</v>
      </c>
      <c r="N60" s="1772"/>
      <c r="O60" s="1779">
        <f t="shared" ref="O60:O67" si="29">ROUND(M60*ROUND(N60,2)/10000,6)</f>
        <v>0</v>
      </c>
      <c r="P60" s="1779">
        <f t="shared" ref="P60:P67" si="30">IFERROR(ROUND(Q60*10000/M60,2),0)</f>
        <v>0</v>
      </c>
      <c r="Q60" s="1780">
        <f t="shared" ref="Q60:Q67" si="31">ROUND(O60/(1+R60),6)</f>
        <v>0</v>
      </c>
      <c r="R60" s="1781">
        <v>0.09</v>
      </c>
      <c r="S60" s="1779">
        <f t="shared" ref="S60:S67" si="32">O60-Q60</f>
        <v>0</v>
      </c>
      <c r="T60" s="1779"/>
      <c r="U60" s="1779">
        <f t="shared" ref="U60:U67" si="33">O60+ROUND(T60,6)</f>
        <v>0</v>
      </c>
      <c r="V60" s="1779">
        <f>U60-W60</f>
        <v>0</v>
      </c>
      <c r="W60" s="1779">
        <f t="shared" ref="W60:W67" si="34">ROUND(U60/(1+R60),6)</f>
        <v>0</v>
      </c>
      <c r="X60" s="1782"/>
      <c r="Y60" s="1779">
        <f t="shared" si="0"/>
        <v>0</v>
      </c>
    </row>
    <row r="61" spans="1:25" ht="12" customHeight="1" outlineLevel="4">
      <c r="A61" s="1747" t="s">
        <v>3101</v>
      </c>
      <c r="B61" s="1773" t="s">
        <v>3945</v>
      </c>
      <c r="C61" s="1774"/>
      <c r="D61" s="1775" t="s">
        <v>3946</v>
      </c>
      <c r="E61" s="1776"/>
      <c r="F61" s="1777" t="s">
        <v>3269</v>
      </c>
      <c r="G61" s="1778" t="s">
        <v>4180</v>
      </c>
      <c r="H61" s="1779" t="s">
        <v>5</v>
      </c>
      <c r="I61" s="1779">
        <f>K5</f>
        <v>1018</v>
      </c>
      <c r="J61" s="1779">
        <v>1</v>
      </c>
      <c r="K61" s="1779" t="s">
        <v>3947</v>
      </c>
      <c r="L61" s="1779" t="s">
        <v>5</v>
      </c>
      <c r="M61" s="1779">
        <f t="shared" si="28"/>
        <v>1018</v>
      </c>
      <c r="N61" s="1779">
        <v>80</v>
      </c>
      <c r="O61" s="1779">
        <f t="shared" si="29"/>
        <v>8.1440000000000001</v>
      </c>
      <c r="P61" s="1779">
        <f t="shared" si="30"/>
        <v>80</v>
      </c>
      <c r="Q61" s="1780">
        <f t="shared" si="31"/>
        <v>8.1440000000000001</v>
      </c>
      <c r="R61" s="1781">
        <v>0</v>
      </c>
      <c r="S61" s="1779">
        <f t="shared" si="32"/>
        <v>0</v>
      </c>
      <c r="T61" s="1779"/>
      <c r="U61" s="1779">
        <f t="shared" si="33"/>
        <v>8.1440000000000001</v>
      </c>
      <c r="V61" s="1779">
        <f t="shared" ref="V61:V67" si="35">U61-W61</f>
        <v>0</v>
      </c>
      <c r="W61" s="1779">
        <f t="shared" si="34"/>
        <v>8.1440000000000001</v>
      </c>
      <c r="X61" s="1782"/>
      <c r="Y61" s="1779">
        <f t="shared" si="0"/>
        <v>0.78756559258992076</v>
      </c>
    </row>
    <row r="62" spans="1:25" ht="12" customHeight="1" outlineLevel="4">
      <c r="A62" s="1747" t="s">
        <v>3101</v>
      </c>
      <c r="B62" s="1773" t="s">
        <v>3948</v>
      </c>
      <c r="C62" s="1774"/>
      <c r="D62" s="1775" t="s">
        <v>3949</v>
      </c>
      <c r="E62" s="1776"/>
      <c r="F62" s="1777" t="s">
        <v>3269</v>
      </c>
      <c r="G62" s="1778" t="s">
        <v>4180</v>
      </c>
      <c r="H62" s="1779" t="s">
        <v>10</v>
      </c>
      <c r="I62" s="1779">
        <f t="shared" si="24"/>
        <v>138524.57999999999</v>
      </c>
      <c r="J62" s="1772">
        <v>1</v>
      </c>
      <c r="K62" s="1779" t="s">
        <v>101</v>
      </c>
      <c r="L62" s="1779" t="s">
        <v>10</v>
      </c>
      <c r="M62" s="1779">
        <f t="shared" si="28"/>
        <v>138524.57999999999</v>
      </c>
      <c r="N62" s="1772">
        <v>0.2</v>
      </c>
      <c r="O62" s="1779">
        <f t="shared" si="29"/>
        <v>2.770492</v>
      </c>
      <c r="P62" s="1779">
        <f t="shared" si="30"/>
        <v>0.19</v>
      </c>
      <c r="Q62" s="1780">
        <f t="shared" si="31"/>
        <v>2.6897980000000001</v>
      </c>
      <c r="R62" s="1781">
        <v>0.03</v>
      </c>
      <c r="S62" s="1779">
        <f t="shared" si="32"/>
        <v>8.0693999999999821E-2</v>
      </c>
      <c r="T62" s="1779"/>
      <c r="U62" s="1779">
        <f t="shared" si="33"/>
        <v>2.770492</v>
      </c>
      <c r="V62" s="1779">
        <f t="shared" si="35"/>
        <v>8.0693999999999821E-2</v>
      </c>
      <c r="W62" s="1779">
        <f t="shared" si="34"/>
        <v>2.6897980000000001</v>
      </c>
      <c r="X62" s="1782"/>
      <c r="Y62" s="1779">
        <f t="shared" si="0"/>
        <v>0.26792045355422822</v>
      </c>
    </row>
    <row r="63" spans="1:25" ht="12" customHeight="1" outlineLevel="4">
      <c r="A63" s="1747" t="s">
        <v>3101</v>
      </c>
      <c r="B63" s="1773" t="s">
        <v>3950</v>
      </c>
      <c r="C63" s="1774"/>
      <c r="D63" s="1775" t="s">
        <v>3951</v>
      </c>
      <c r="E63" s="1776"/>
      <c r="F63" s="1777" t="s">
        <v>3269</v>
      </c>
      <c r="G63" s="1778" t="s">
        <v>4180</v>
      </c>
      <c r="H63" s="1779" t="s">
        <v>10</v>
      </c>
      <c r="I63" s="1779">
        <f t="shared" si="24"/>
        <v>138524.57999999999</v>
      </c>
      <c r="J63" s="1779">
        <v>1</v>
      </c>
      <c r="K63" s="1779" t="s">
        <v>101</v>
      </c>
      <c r="L63" s="1779" t="s">
        <v>10</v>
      </c>
      <c r="M63" s="1779">
        <f t="shared" si="28"/>
        <v>138524.57999999999</v>
      </c>
      <c r="N63" s="1779">
        <v>0</v>
      </c>
      <c r="O63" s="1779">
        <f t="shared" si="29"/>
        <v>0</v>
      </c>
      <c r="P63" s="1779">
        <f t="shared" si="30"/>
        <v>0</v>
      </c>
      <c r="Q63" s="1780">
        <f t="shared" si="31"/>
        <v>0</v>
      </c>
      <c r="R63" s="1781">
        <v>0.06</v>
      </c>
      <c r="S63" s="1779">
        <f t="shared" si="32"/>
        <v>0</v>
      </c>
      <c r="T63" s="1779"/>
      <c r="U63" s="1779">
        <f t="shared" si="33"/>
        <v>0</v>
      </c>
      <c r="V63" s="1779">
        <f t="shared" si="35"/>
        <v>0</v>
      </c>
      <c r="W63" s="1779">
        <f t="shared" si="34"/>
        <v>0</v>
      </c>
      <c r="X63" s="1782"/>
      <c r="Y63" s="1779">
        <f t="shared" si="0"/>
        <v>0</v>
      </c>
    </row>
    <row r="64" spans="1:25" ht="12" customHeight="1" outlineLevel="4">
      <c r="A64" s="1747" t="s">
        <v>3101</v>
      </c>
      <c r="B64" s="1773" t="s">
        <v>3952</v>
      </c>
      <c r="C64" s="1774"/>
      <c r="D64" s="1775" t="s">
        <v>3953</v>
      </c>
      <c r="E64" s="1776"/>
      <c r="F64" s="1777" t="s">
        <v>3269</v>
      </c>
      <c r="G64" s="1778" t="s">
        <v>4180</v>
      </c>
      <c r="H64" s="1779" t="s">
        <v>10</v>
      </c>
      <c r="I64" s="1779">
        <f t="shared" si="24"/>
        <v>138524.57999999999</v>
      </c>
      <c r="J64" s="1779">
        <v>1</v>
      </c>
      <c r="K64" s="1779" t="s">
        <v>101</v>
      </c>
      <c r="L64" s="1779" t="s">
        <v>10</v>
      </c>
      <c r="M64" s="1779">
        <f t="shared" si="28"/>
        <v>138524.57999999999</v>
      </c>
      <c r="N64" s="1772">
        <v>3</v>
      </c>
      <c r="O64" s="1779">
        <f t="shared" si="29"/>
        <v>41.557374000000003</v>
      </c>
      <c r="P64" s="1779">
        <f t="shared" si="30"/>
        <v>2.83</v>
      </c>
      <c r="Q64" s="1780">
        <f t="shared" si="31"/>
        <v>39.205069999999999</v>
      </c>
      <c r="R64" s="1781">
        <v>0.06</v>
      </c>
      <c r="S64" s="1779">
        <f t="shared" si="32"/>
        <v>2.3523040000000037</v>
      </c>
      <c r="T64" s="1779"/>
      <c r="U64" s="1779">
        <f t="shared" si="33"/>
        <v>41.557374000000003</v>
      </c>
      <c r="V64" s="1779">
        <f t="shared" si="35"/>
        <v>2.3523040000000037</v>
      </c>
      <c r="W64" s="1779">
        <f t="shared" si="34"/>
        <v>39.205069999999999</v>
      </c>
      <c r="X64" s="1782"/>
      <c r="Y64" s="1779">
        <f t="shared" si="0"/>
        <v>4.0188062230833701</v>
      </c>
    </row>
    <row r="65" spans="1:26" ht="12" customHeight="1" outlineLevel="4">
      <c r="A65" s="1747" t="s">
        <v>3101</v>
      </c>
      <c r="B65" s="1773" t="s">
        <v>3954</v>
      </c>
      <c r="C65" s="1774"/>
      <c r="D65" s="1775" t="s">
        <v>3955</v>
      </c>
      <c r="E65" s="1776"/>
      <c r="F65" s="1777" t="s">
        <v>3269</v>
      </c>
      <c r="G65" s="1778" t="s">
        <v>4180</v>
      </c>
      <c r="H65" s="1779" t="s">
        <v>10</v>
      </c>
      <c r="I65" s="1779">
        <f t="shared" si="24"/>
        <v>138524.57999999999</v>
      </c>
      <c r="J65" s="1779">
        <v>1</v>
      </c>
      <c r="K65" s="1779" t="s">
        <v>101</v>
      </c>
      <c r="L65" s="1779" t="s">
        <v>10</v>
      </c>
      <c r="M65" s="1779">
        <f t="shared" si="28"/>
        <v>138524.57999999999</v>
      </c>
      <c r="N65" s="1779">
        <v>0</v>
      </c>
      <c r="O65" s="1779">
        <f t="shared" si="29"/>
        <v>0</v>
      </c>
      <c r="P65" s="1779">
        <f t="shared" si="30"/>
        <v>0</v>
      </c>
      <c r="Q65" s="1780">
        <f t="shared" si="31"/>
        <v>0</v>
      </c>
      <c r="R65" s="1781">
        <v>0.06</v>
      </c>
      <c r="S65" s="1779">
        <f t="shared" si="32"/>
        <v>0</v>
      </c>
      <c r="T65" s="1779"/>
      <c r="U65" s="1779">
        <f t="shared" si="33"/>
        <v>0</v>
      </c>
      <c r="V65" s="1779">
        <f t="shared" si="35"/>
        <v>0</v>
      </c>
      <c r="W65" s="1779">
        <f t="shared" si="34"/>
        <v>0</v>
      </c>
      <c r="X65" s="1782"/>
      <c r="Y65" s="1779">
        <f t="shared" si="0"/>
        <v>0</v>
      </c>
    </row>
    <row r="66" spans="1:26" ht="12" customHeight="1" outlineLevel="4">
      <c r="A66" s="1747" t="s">
        <v>3101</v>
      </c>
      <c r="B66" s="1773" t="s">
        <v>3956</v>
      </c>
      <c r="C66" s="1774"/>
      <c r="D66" s="1775" t="s">
        <v>3957</v>
      </c>
      <c r="E66" s="1776"/>
      <c r="F66" s="1777" t="s">
        <v>3269</v>
      </c>
      <c r="G66" s="1778" t="s">
        <v>4180</v>
      </c>
      <c r="H66" s="1779" t="s">
        <v>10</v>
      </c>
      <c r="I66" s="1779">
        <f t="shared" si="24"/>
        <v>138524.57999999999</v>
      </c>
      <c r="J66" s="1779">
        <v>1</v>
      </c>
      <c r="K66" s="1779" t="s">
        <v>101</v>
      </c>
      <c r="L66" s="1779" t="s">
        <v>10</v>
      </c>
      <c r="M66" s="1779">
        <f t="shared" si="28"/>
        <v>138524.57999999999</v>
      </c>
      <c r="N66" s="1772">
        <v>0</v>
      </c>
      <c r="O66" s="1779">
        <f t="shared" si="29"/>
        <v>0</v>
      </c>
      <c r="P66" s="1779">
        <f t="shared" si="30"/>
        <v>0</v>
      </c>
      <c r="Q66" s="1780">
        <f t="shared" si="31"/>
        <v>0</v>
      </c>
      <c r="R66" s="1781">
        <v>0</v>
      </c>
      <c r="S66" s="1779">
        <f t="shared" si="32"/>
        <v>0</v>
      </c>
      <c r="T66" s="1779"/>
      <c r="U66" s="1779">
        <f t="shared" si="33"/>
        <v>0</v>
      </c>
      <c r="V66" s="1779">
        <f t="shared" si="35"/>
        <v>0</v>
      </c>
      <c r="W66" s="1779">
        <f t="shared" si="34"/>
        <v>0</v>
      </c>
      <c r="X66" s="1782"/>
      <c r="Y66" s="1779">
        <f t="shared" si="0"/>
        <v>0</v>
      </c>
      <c r="Z66" s="1783"/>
    </row>
    <row r="67" spans="1:26" ht="12" customHeight="1" outlineLevel="4">
      <c r="A67" s="1747" t="s">
        <v>3101</v>
      </c>
      <c r="B67" s="1773" t="s">
        <v>3958</v>
      </c>
      <c r="C67" s="1774"/>
      <c r="D67" s="1775" t="s">
        <v>3959</v>
      </c>
      <c r="E67" s="1776"/>
      <c r="F67" s="1777" t="s">
        <v>3269</v>
      </c>
      <c r="G67" s="1778" t="s">
        <v>4180</v>
      </c>
      <c r="H67" s="1779" t="s">
        <v>10</v>
      </c>
      <c r="I67" s="1779">
        <f t="shared" si="24"/>
        <v>138524.57999999999</v>
      </c>
      <c r="J67" s="1779">
        <v>1</v>
      </c>
      <c r="K67" s="1779" t="s">
        <v>101</v>
      </c>
      <c r="L67" s="1779" t="s">
        <v>10</v>
      </c>
      <c r="M67" s="1779">
        <f t="shared" si="28"/>
        <v>138524.57999999999</v>
      </c>
      <c r="N67" s="1772">
        <v>12.5</v>
      </c>
      <c r="O67" s="1779">
        <f t="shared" si="29"/>
        <v>173.15572499999999</v>
      </c>
      <c r="P67" s="1779">
        <f t="shared" si="30"/>
        <v>12.5</v>
      </c>
      <c r="Q67" s="1780">
        <f t="shared" si="31"/>
        <v>173.15572499999999</v>
      </c>
      <c r="R67" s="1781">
        <v>0</v>
      </c>
      <c r="S67" s="1779">
        <f t="shared" si="32"/>
        <v>0</v>
      </c>
      <c r="T67" s="1779">
        <v>185.08353802817055</v>
      </c>
      <c r="U67" s="1779">
        <f t="shared" si="33"/>
        <v>358.23926299999999</v>
      </c>
      <c r="V67" s="1779">
        <f t="shared" si="35"/>
        <v>0</v>
      </c>
      <c r="W67" s="1779">
        <f t="shared" si="34"/>
        <v>358.23926299999999</v>
      </c>
      <c r="X67" s="1782"/>
      <c r="Y67" s="1779">
        <f t="shared" si="0"/>
        <v>34.64353112150927</v>
      </c>
      <c r="Z67" s="1783" t="s">
        <v>3960</v>
      </c>
    </row>
    <row r="68" spans="1:26" ht="12" customHeight="1" outlineLevel="2">
      <c r="B68" s="1737" t="s">
        <v>3306</v>
      </c>
      <c r="C68" s="1738"/>
      <c r="D68" s="1739" t="s">
        <v>1211</v>
      </c>
      <c r="E68" s="1740"/>
      <c r="F68" s="1741"/>
      <c r="G68" s="1741" t="s">
        <v>4117</v>
      </c>
      <c r="H68" s="1742"/>
      <c r="I68" s="1743"/>
      <c r="J68" s="1744"/>
      <c r="K68" s="1743"/>
      <c r="L68" s="1743"/>
      <c r="M68" s="1743"/>
      <c r="N68" s="1743"/>
      <c r="O68" s="1743">
        <f>SUBTOTAL(9,O69:O71)</f>
        <v>1215.9687630000001</v>
      </c>
      <c r="P68" s="1743"/>
      <c r="Q68" s="1743">
        <f>SUBTOTAL(9,Q69:Q71)</f>
        <v>1215.9687630000001</v>
      </c>
      <c r="R68" s="1745"/>
      <c r="S68" s="1743">
        <f>SUBTOTAL(9,S69:S71)</f>
        <v>0</v>
      </c>
      <c r="T68" s="1743">
        <v>0</v>
      </c>
      <c r="U68" s="1743">
        <f>SUBTOTAL(9,U69:U71)</f>
        <v>1215.9687630000001</v>
      </c>
      <c r="V68" s="1743">
        <f>SUBTOTAL(9,V69:V71)</f>
        <v>0</v>
      </c>
      <c r="W68" s="1743">
        <f>SUBTOTAL(9,W69:W71)</f>
        <v>1215.9687630000001</v>
      </c>
      <c r="X68" s="1746"/>
      <c r="Y68" s="1743">
        <f t="shared" si="0"/>
        <v>117.59027006421022</v>
      </c>
      <c r="Z68" s="1783" t="s">
        <v>3961</v>
      </c>
    </row>
    <row r="69" spans="1:26" s="1784" customFormat="1" ht="12" customHeight="1" outlineLevel="3">
      <c r="A69" s="1747" t="s">
        <v>3101</v>
      </c>
      <c r="B69" s="1771" t="s">
        <v>3307</v>
      </c>
      <c r="C69" s="1749"/>
      <c r="D69" s="1750" t="s">
        <v>447</v>
      </c>
      <c r="E69" s="1709"/>
      <c r="F69" s="1763" t="s">
        <v>1211</v>
      </c>
      <c r="G69" s="1707" t="s">
        <v>4181</v>
      </c>
      <c r="H69" s="1727" t="s">
        <v>10</v>
      </c>
      <c r="I69" s="1714">
        <f>$E$3</f>
        <v>138524.57999999999</v>
      </c>
      <c r="J69" s="1769"/>
      <c r="K69" s="1714" t="s">
        <v>101</v>
      </c>
      <c r="L69" s="1714" t="s">
        <v>10</v>
      </c>
      <c r="M69" s="1754">
        <f>ROUND(I69,2)*ROUND(J69,4)</f>
        <v>0</v>
      </c>
      <c r="N69" s="1714"/>
      <c r="O69" s="1712">
        <f>ROUND(M69*ROUND(N69,2)/10000,6)</f>
        <v>0</v>
      </c>
      <c r="P69" s="1712">
        <f>IFERROR(ROUND(Q69*10000/M69,2),0)</f>
        <v>0</v>
      </c>
      <c r="Q69" s="1712">
        <f>ROUND(O69/(1+R69),6)</f>
        <v>0</v>
      </c>
      <c r="R69" s="1757">
        <v>0</v>
      </c>
      <c r="S69" s="1712">
        <f>O69-Q69</f>
        <v>0</v>
      </c>
      <c r="T69" s="1712"/>
      <c r="U69" s="1714">
        <f>O69+ROUND(T69,6)</f>
        <v>0</v>
      </c>
      <c r="V69" s="1714">
        <f>U69-W69</f>
        <v>0</v>
      </c>
      <c r="W69" s="1714">
        <f>ROUND(U69/(1+R69),6)</f>
        <v>0</v>
      </c>
      <c r="X69" s="1758"/>
      <c r="Y69" s="1714">
        <f t="shared" si="0"/>
        <v>0</v>
      </c>
    </row>
    <row r="70" spans="1:26" s="1784" customFormat="1" ht="12" customHeight="1" outlineLevel="3">
      <c r="A70" s="1747" t="s">
        <v>3101</v>
      </c>
      <c r="B70" s="1771" t="s">
        <v>3308</v>
      </c>
      <c r="C70" s="1749"/>
      <c r="D70" s="1750" t="s">
        <v>448</v>
      </c>
      <c r="E70" s="1709"/>
      <c r="F70" s="1763" t="s">
        <v>1211</v>
      </c>
      <c r="G70" s="1707" t="s">
        <v>4181</v>
      </c>
      <c r="H70" s="1727" t="s">
        <v>10</v>
      </c>
      <c r="I70" s="1714">
        <f>$E$3</f>
        <v>138524.57999999999</v>
      </c>
      <c r="J70" s="1769">
        <v>1</v>
      </c>
      <c r="K70" s="1714" t="s">
        <v>101</v>
      </c>
      <c r="L70" s="1714" t="s">
        <v>10</v>
      </c>
      <c r="M70" s="1754">
        <f>ROUND(I70,2)*ROUND(J70,4)</f>
        <v>138524.57999999999</v>
      </c>
      <c r="N70" s="1755">
        <f>3.2*3800000/138524.91</f>
        <v>87.782045842874041</v>
      </c>
      <c r="O70" s="1712">
        <f>ROUND(M70*ROUND(N70,2)/10000,6)</f>
        <v>1215.9687630000001</v>
      </c>
      <c r="P70" s="1712">
        <f>IFERROR(ROUND(Q70*10000/M70,2),0)</f>
        <v>87.78</v>
      </c>
      <c r="Q70" s="1712">
        <f>ROUND(O70/(1+R70),6)</f>
        <v>1215.9687630000001</v>
      </c>
      <c r="R70" s="1757">
        <v>0</v>
      </c>
      <c r="S70" s="1712">
        <f>O70-Q70</f>
        <v>0</v>
      </c>
      <c r="T70" s="1712"/>
      <c r="U70" s="1714">
        <f>O70+ROUND(T70,6)</f>
        <v>1215.9687630000001</v>
      </c>
      <c r="V70" s="1714">
        <f>U70-W70</f>
        <v>0</v>
      </c>
      <c r="W70" s="1714">
        <f>ROUND(U70/(1+R70),6)</f>
        <v>1215.9687630000001</v>
      </c>
      <c r="X70" s="1758"/>
      <c r="Y70" s="1714">
        <f t="shared" si="0"/>
        <v>117.59027006421022</v>
      </c>
    </row>
    <row r="71" spans="1:26" s="1784" customFormat="1" ht="12" customHeight="1" outlineLevel="3">
      <c r="A71" s="1747" t="s">
        <v>3101</v>
      </c>
      <c r="B71" s="1771" t="s">
        <v>3309</v>
      </c>
      <c r="C71" s="1749"/>
      <c r="D71" s="1750" t="s">
        <v>449</v>
      </c>
      <c r="E71" s="1709"/>
      <c r="F71" s="1763" t="s">
        <v>1211</v>
      </c>
      <c r="G71" s="1707" t="s">
        <v>4181</v>
      </c>
      <c r="H71" s="1727" t="s">
        <v>10</v>
      </c>
      <c r="I71" s="1714">
        <f>$E$3</f>
        <v>138524.57999999999</v>
      </c>
      <c r="J71" s="1769"/>
      <c r="K71" s="1714" t="s">
        <v>101</v>
      </c>
      <c r="L71" s="1714" t="s">
        <v>10</v>
      </c>
      <c r="M71" s="1754">
        <f>ROUND(I71,2)*ROUND(J71,4)</f>
        <v>0</v>
      </c>
      <c r="N71" s="1714"/>
      <c r="O71" s="1712">
        <f>ROUND(M71*ROUND(N71,2)/10000,6)</f>
        <v>0</v>
      </c>
      <c r="P71" s="1712">
        <f>IFERROR(ROUND(Q71*10000/M71,2),0)</f>
        <v>0</v>
      </c>
      <c r="Q71" s="1712">
        <f>ROUND(O71/(1+R71),6)</f>
        <v>0</v>
      </c>
      <c r="R71" s="1757">
        <v>0</v>
      </c>
      <c r="S71" s="1712">
        <f>O71-Q71</f>
        <v>0</v>
      </c>
      <c r="T71" s="1712"/>
      <c r="U71" s="1714">
        <f>O71+ROUND(T71,6)</f>
        <v>0</v>
      </c>
      <c r="V71" s="1714">
        <f>U71-W71</f>
        <v>0</v>
      </c>
      <c r="W71" s="1714">
        <f>ROUND(U71/(1+R71),6)</f>
        <v>0</v>
      </c>
      <c r="X71" s="1758"/>
      <c r="Y71" s="1714">
        <f t="shared" si="0"/>
        <v>0</v>
      </c>
    </row>
    <row r="72" spans="1:26" s="1693" customFormat="1">
      <c r="B72" s="1785" t="s">
        <v>3310</v>
      </c>
      <c r="C72" s="1685" t="s">
        <v>27</v>
      </c>
      <c r="D72" s="1686" t="s">
        <v>480</v>
      </c>
      <c r="E72" s="1686"/>
      <c r="F72" s="1687"/>
      <c r="G72" s="1687" t="s">
        <v>4117</v>
      </c>
      <c r="H72" s="1688"/>
      <c r="I72" s="1689"/>
      <c r="J72" s="1690"/>
      <c r="K72" s="1689"/>
      <c r="L72" s="1689"/>
      <c r="M72" s="1689"/>
      <c r="N72" s="1689"/>
      <c r="O72" s="1689">
        <f>SUBTOTAL(9,O73:O104)</f>
        <v>2291.4220190000001</v>
      </c>
      <c r="P72" s="1689"/>
      <c r="Q72" s="1689">
        <f>SUBTOTAL(9,Q73:Q104)</f>
        <v>2102.2220359999997</v>
      </c>
      <c r="R72" s="1691"/>
      <c r="S72" s="1689">
        <f>SUBTOTAL(9,S73:S104)</f>
        <v>189.19998299999997</v>
      </c>
      <c r="T72" s="1689">
        <v>0</v>
      </c>
      <c r="U72" s="1689">
        <f>SUBTOTAL(9,U73:U104)</f>
        <v>2291.4220190000001</v>
      </c>
      <c r="V72" s="1689">
        <f>SUBTOTAL(9,V73:V104)</f>
        <v>189.19998299999997</v>
      </c>
      <c r="W72" s="1689">
        <f>SUBTOTAL(9,W73:W104)</f>
        <v>2102.2220359999997</v>
      </c>
      <c r="X72" s="1692"/>
      <c r="Y72" s="1689">
        <f t="shared" si="0"/>
        <v>221.59198677152847</v>
      </c>
    </row>
    <row r="73" spans="1:26" ht="12" customHeight="1" outlineLevel="1">
      <c r="B73" s="1786" t="s">
        <v>481</v>
      </c>
      <c r="C73" s="1729">
        <v>1</v>
      </c>
      <c r="D73" s="1787" t="s">
        <v>63</v>
      </c>
      <c r="E73" s="1787"/>
      <c r="F73" s="1788"/>
      <c r="G73" s="1788" t="s">
        <v>4117</v>
      </c>
      <c r="H73" s="1788"/>
      <c r="I73" s="1733"/>
      <c r="J73" s="1734"/>
      <c r="K73" s="1733"/>
      <c r="L73" s="1733"/>
      <c r="M73" s="1733"/>
      <c r="N73" s="1733"/>
      <c r="O73" s="1701">
        <f>SUBTOTAL(9,O74:O81)</f>
        <v>525.01565399999993</v>
      </c>
      <c r="P73" s="1733"/>
      <c r="Q73" s="1701">
        <f>SUBTOTAL(9,Q74:Q81)</f>
        <v>481.66573799999998</v>
      </c>
      <c r="R73" s="1735"/>
      <c r="S73" s="1701">
        <f>SUBTOTAL(9,S74:S81)</f>
        <v>43.349915999999951</v>
      </c>
      <c r="T73" s="1701">
        <v>0</v>
      </c>
      <c r="U73" s="1701">
        <f>SUBTOTAL(9,U74:U81)</f>
        <v>525.01565399999993</v>
      </c>
      <c r="V73" s="1701">
        <f>SUBTOTAL(9,V74:V81)</f>
        <v>43.349915999999951</v>
      </c>
      <c r="W73" s="1701">
        <f>SUBTOTAL(9,W74:W81)</f>
        <v>481.66573799999998</v>
      </c>
      <c r="X73" s="1736"/>
      <c r="Y73" s="1701">
        <f t="shared" ref="Y73:Y136" si="36">U73/$G$4*10000</f>
        <v>50.771643499692388</v>
      </c>
    </row>
    <row r="74" spans="1:26" s="1784" customFormat="1" ht="12" customHeight="1" outlineLevel="2">
      <c r="A74" s="1747" t="s">
        <v>3105</v>
      </c>
      <c r="B74" s="1771" t="s">
        <v>1221</v>
      </c>
      <c r="C74" s="1789"/>
      <c r="D74" s="1790" t="s">
        <v>1225</v>
      </c>
      <c r="E74" s="1791"/>
      <c r="F74" s="1707" t="s">
        <v>3962</v>
      </c>
      <c r="G74" s="1707" t="s">
        <v>4117</v>
      </c>
      <c r="H74" s="1705" t="s">
        <v>10</v>
      </c>
      <c r="I74" s="1755">
        <f t="shared" ref="I74:I80" si="37">$E$3</f>
        <v>138524.57999999999</v>
      </c>
      <c r="J74" s="1764"/>
      <c r="K74" s="1755" t="s">
        <v>101</v>
      </c>
      <c r="L74" s="1755" t="s">
        <v>3963</v>
      </c>
      <c r="M74" s="1754">
        <v>1250.6300000000001</v>
      </c>
      <c r="N74" s="1792">
        <f>+O74/M74*10000</f>
        <v>4198.0094352446358</v>
      </c>
      <c r="O74" s="1714">
        <f>+配套用房!O203</f>
        <v>525.01565399999993</v>
      </c>
      <c r="P74" s="1755">
        <f>IFERROR(ROUND(Q74*10000/M74,2),0)</f>
        <v>3851.38</v>
      </c>
      <c r="Q74" s="1710">
        <f>ROUND(O74/(1+R74),6)</f>
        <v>481.66573799999998</v>
      </c>
      <c r="R74" s="1793">
        <v>0.09</v>
      </c>
      <c r="S74" s="1714">
        <f>O74-Q74</f>
        <v>43.349915999999951</v>
      </c>
      <c r="T74" s="1755"/>
      <c r="U74" s="1755">
        <f>O74+ROUND(T74,6)</f>
        <v>525.01565399999993</v>
      </c>
      <c r="V74" s="1755">
        <f t="shared" ref="V74:V81" si="38">U74-W74</f>
        <v>43.349915999999951</v>
      </c>
      <c r="W74" s="1755">
        <f>ROUND(U74/(1+R74),6)</f>
        <v>481.66573799999998</v>
      </c>
      <c r="X74" s="1794"/>
      <c r="Y74" s="1755">
        <f t="shared" si="36"/>
        <v>50.771643499692388</v>
      </c>
    </row>
    <row r="75" spans="1:26" s="1784" customFormat="1" ht="12" customHeight="1" outlineLevel="2">
      <c r="A75" s="1747" t="s">
        <v>3105</v>
      </c>
      <c r="B75" s="1771" t="s">
        <v>1224</v>
      </c>
      <c r="C75" s="1789"/>
      <c r="D75" s="1790" t="s">
        <v>149</v>
      </c>
      <c r="E75" s="1791"/>
      <c r="F75" s="1707" t="s">
        <v>3962</v>
      </c>
      <c r="G75" s="1707" t="s">
        <v>4117</v>
      </c>
      <c r="H75" s="1705" t="s">
        <v>10</v>
      </c>
      <c r="I75" s="1714">
        <f t="shared" si="37"/>
        <v>138524.57999999999</v>
      </c>
      <c r="J75" s="1795"/>
      <c r="K75" s="1755" t="s">
        <v>101</v>
      </c>
      <c r="L75" s="1755" t="s">
        <v>3964</v>
      </c>
      <c r="M75" s="1755"/>
      <c r="N75" s="1755"/>
      <c r="O75" s="1714"/>
      <c r="P75" s="1755"/>
      <c r="Q75" s="1710"/>
      <c r="R75" s="1793"/>
      <c r="S75" s="1714"/>
      <c r="T75" s="1755"/>
      <c r="U75" s="1755">
        <f>O75+T75</f>
        <v>0</v>
      </c>
      <c r="V75" s="1755">
        <f t="shared" si="38"/>
        <v>0</v>
      </c>
      <c r="W75" s="1755">
        <f>U75/(1+R75)</f>
        <v>0</v>
      </c>
      <c r="X75" s="1794"/>
      <c r="Y75" s="1755">
        <f t="shared" si="36"/>
        <v>0</v>
      </c>
    </row>
    <row r="76" spans="1:26" s="1784" customFormat="1" ht="12" customHeight="1" outlineLevel="2">
      <c r="A76" s="1747" t="s">
        <v>3105</v>
      </c>
      <c r="B76" s="1771" t="s">
        <v>1231</v>
      </c>
      <c r="C76" s="1789"/>
      <c r="D76" s="1790" t="s">
        <v>3311</v>
      </c>
      <c r="E76" s="1791"/>
      <c r="F76" s="1707" t="s">
        <v>3962</v>
      </c>
      <c r="G76" s="1707" t="s">
        <v>4117</v>
      </c>
      <c r="H76" s="1705" t="s">
        <v>10</v>
      </c>
      <c r="I76" s="1714">
        <f t="shared" si="37"/>
        <v>138524.57999999999</v>
      </c>
      <c r="J76" s="1795">
        <v>1</v>
      </c>
      <c r="K76" s="1755" t="s">
        <v>101</v>
      </c>
      <c r="L76" s="1714" t="str">
        <f>+F4</f>
        <v>销售物业可售面积（不含车位）</v>
      </c>
      <c r="M76" s="1755">
        <f>+G4</f>
        <v>103407.25999999998</v>
      </c>
      <c r="N76" s="1755"/>
      <c r="O76" s="1712">
        <f t="shared" ref="O76:O81" si="39">ROUND(M76*ROUND(N76,2)/10000,6)</f>
        <v>0</v>
      </c>
      <c r="P76" s="1712">
        <f t="shared" ref="P76:P81" si="40">IFERROR(ROUND(Q76*10000/M76,2),0)</f>
        <v>0</v>
      </c>
      <c r="Q76" s="1710">
        <f t="shared" ref="Q76:Q81" si="41">ROUND(O76/(1+R76),6)</f>
        <v>0</v>
      </c>
      <c r="R76" s="1793">
        <v>0.09</v>
      </c>
      <c r="S76" s="1714">
        <f t="shared" ref="S76:S81" si="42">O76-Q76</f>
        <v>0</v>
      </c>
      <c r="T76" s="1755"/>
      <c r="U76" s="1755">
        <f>O76+T76</f>
        <v>0</v>
      </c>
      <c r="V76" s="1755">
        <f t="shared" si="38"/>
        <v>0</v>
      </c>
      <c r="W76" s="1755">
        <f>U76/(1+R76)</f>
        <v>0</v>
      </c>
      <c r="X76" s="1794"/>
      <c r="Y76" s="1755">
        <f t="shared" si="36"/>
        <v>0</v>
      </c>
    </row>
    <row r="77" spans="1:26" s="1784" customFormat="1" ht="12" customHeight="1" outlineLevel="2">
      <c r="A77" s="1747" t="s">
        <v>3105</v>
      </c>
      <c r="B77" s="1771" t="s">
        <v>1236</v>
      </c>
      <c r="C77" s="1789"/>
      <c r="D77" s="1790" t="s">
        <v>3312</v>
      </c>
      <c r="E77" s="1791"/>
      <c r="F77" s="1707" t="s">
        <v>3962</v>
      </c>
      <c r="G77" s="1707" t="s">
        <v>4117</v>
      </c>
      <c r="H77" s="1705" t="s">
        <v>10</v>
      </c>
      <c r="I77" s="1714">
        <f t="shared" si="37"/>
        <v>138524.57999999999</v>
      </c>
      <c r="J77" s="1795">
        <v>1</v>
      </c>
      <c r="K77" s="1755" t="s">
        <v>101</v>
      </c>
      <c r="L77" s="1755" t="s">
        <v>3965</v>
      </c>
      <c r="M77" s="1755">
        <v>0</v>
      </c>
      <c r="N77" s="1755"/>
      <c r="O77" s="1712">
        <f t="shared" si="39"/>
        <v>0</v>
      </c>
      <c r="P77" s="1755">
        <f t="shared" si="40"/>
        <v>0</v>
      </c>
      <c r="Q77" s="1710">
        <f t="shared" si="41"/>
        <v>0</v>
      </c>
      <c r="R77" s="1793">
        <v>0.09</v>
      </c>
      <c r="S77" s="1714">
        <f t="shared" si="42"/>
        <v>0</v>
      </c>
      <c r="T77" s="1755"/>
      <c r="U77" s="1755">
        <f>O77+T77</f>
        <v>0</v>
      </c>
      <c r="V77" s="1755">
        <f t="shared" si="38"/>
        <v>0</v>
      </c>
      <c r="W77" s="1755">
        <f>U77/(1+R77)</f>
        <v>0</v>
      </c>
      <c r="X77" s="1794"/>
      <c r="Y77" s="1755">
        <f t="shared" si="36"/>
        <v>0</v>
      </c>
    </row>
    <row r="78" spans="1:26" s="1784" customFormat="1" ht="12" customHeight="1" outlineLevel="2">
      <c r="A78" s="1747" t="s">
        <v>3105</v>
      </c>
      <c r="B78" s="1771" t="s">
        <v>1238</v>
      </c>
      <c r="C78" s="1789"/>
      <c r="D78" s="1790" t="s">
        <v>3313</v>
      </c>
      <c r="E78" s="1759" t="s">
        <v>3314</v>
      </c>
      <c r="F78" s="1796" t="s">
        <v>1091</v>
      </c>
      <c r="G78" s="1707" t="s">
        <v>4182</v>
      </c>
      <c r="H78" s="1705" t="s">
        <v>10</v>
      </c>
      <c r="I78" s="1714">
        <f t="shared" si="37"/>
        <v>138524.57999999999</v>
      </c>
      <c r="J78" s="1795"/>
      <c r="K78" s="1755" t="s">
        <v>101</v>
      </c>
      <c r="L78" s="1755" t="s">
        <v>3966</v>
      </c>
      <c r="M78" s="1754">
        <f>ROUND(I78,2)*ROUND(J78,4)</f>
        <v>0</v>
      </c>
      <c r="N78" s="1755"/>
      <c r="O78" s="1712">
        <f t="shared" si="39"/>
        <v>0</v>
      </c>
      <c r="P78" s="1712">
        <f t="shared" si="40"/>
        <v>0</v>
      </c>
      <c r="Q78" s="1712">
        <f t="shared" si="41"/>
        <v>0</v>
      </c>
      <c r="R78" s="1757">
        <v>0</v>
      </c>
      <c r="S78" s="1712">
        <f t="shared" si="42"/>
        <v>0</v>
      </c>
      <c r="T78" s="1712"/>
      <c r="U78" s="1714">
        <f>O78+ROUND(T78,6)</f>
        <v>0</v>
      </c>
      <c r="V78" s="1714">
        <f t="shared" si="38"/>
        <v>0</v>
      </c>
      <c r="W78" s="1714">
        <f>ROUND(U78/(1+R78),6)</f>
        <v>0</v>
      </c>
      <c r="X78" s="1794"/>
      <c r="Y78" s="1714">
        <f t="shared" si="36"/>
        <v>0</v>
      </c>
    </row>
    <row r="79" spans="1:26" s="1784" customFormat="1" ht="12" customHeight="1" outlineLevel="2">
      <c r="A79" s="1747" t="s">
        <v>3105</v>
      </c>
      <c r="B79" s="1771" t="s">
        <v>1240</v>
      </c>
      <c r="C79" s="1789"/>
      <c r="D79" s="1790" t="s">
        <v>1237</v>
      </c>
      <c r="E79" s="1791"/>
      <c r="F79" s="1796" t="s">
        <v>1091</v>
      </c>
      <c r="G79" s="1707" t="s">
        <v>4182</v>
      </c>
      <c r="H79" s="1705" t="s">
        <v>10</v>
      </c>
      <c r="I79" s="1714">
        <f t="shared" si="37"/>
        <v>138524.57999999999</v>
      </c>
      <c r="J79" s="1795"/>
      <c r="K79" s="1755" t="s">
        <v>101</v>
      </c>
      <c r="L79" s="1755" t="s">
        <v>3967</v>
      </c>
      <c r="M79" s="1754">
        <f>ROUND(I79,2)*ROUND(J79,4)</f>
        <v>0</v>
      </c>
      <c r="N79" s="1755"/>
      <c r="O79" s="1712">
        <f t="shared" si="39"/>
        <v>0</v>
      </c>
      <c r="P79" s="1712">
        <f t="shared" si="40"/>
        <v>0</v>
      </c>
      <c r="Q79" s="1712">
        <f t="shared" si="41"/>
        <v>0</v>
      </c>
      <c r="R79" s="1757">
        <v>0.09</v>
      </c>
      <c r="S79" s="1712">
        <f t="shared" si="42"/>
        <v>0</v>
      </c>
      <c r="T79" s="1712"/>
      <c r="U79" s="1714">
        <f>O79+ROUND(T79,6)</f>
        <v>0</v>
      </c>
      <c r="V79" s="1714">
        <f t="shared" si="38"/>
        <v>0</v>
      </c>
      <c r="W79" s="1714">
        <f>ROUND(U79/(1+R79),6)</f>
        <v>0</v>
      </c>
      <c r="X79" s="1794"/>
      <c r="Y79" s="1714">
        <f t="shared" si="36"/>
        <v>0</v>
      </c>
    </row>
    <row r="80" spans="1:26" s="1784" customFormat="1" ht="12" customHeight="1" outlineLevel="2">
      <c r="A80" s="1747" t="s">
        <v>3105</v>
      </c>
      <c r="B80" s="1771" t="s">
        <v>1242</v>
      </c>
      <c r="C80" s="1789"/>
      <c r="D80" s="1790" t="s">
        <v>3315</v>
      </c>
      <c r="E80" s="1791"/>
      <c r="F80" s="1796" t="s">
        <v>1091</v>
      </c>
      <c r="G80" s="1707" t="s">
        <v>4182</v>
      </c>
      <c r="H80" s="1705" t="s">
        <v>10</v>
      </c>
      <c r="I80" s="1714">
        <f t="shared" si="37"/>
        <v>138524.57999999999</v>
      </c>
      <c r="J80" s="1795"/>
      <c r="K80" s="1755" t="s">
        <v>101</v>
      </c>
      <c r="L80" s="1755" t="s">
        <v>3968</v>
      </c>
      <c r="M80" s="1754">
        <f>ROUND(I80,2)*ROUND(J80,4)</f>
        <v>0</v>
      </c>
      <c r="N80" s="1755"/>
      <c r="O80" s="1712">
        <f t="shared" si="39"/>
        <v>0</v>
      </c>
      <c r="P80" s="1712">
        <f t="shared" si="40"/>
        <v>0</v>
      </c>
      <c r="Q80" s="1712">
        <f t="shared" si="41"/>
        <v>0</v>
      </c>
      <c r="R80" s="1757">
        <v>0.09</v>
      </c>
      <c r="S80" s="1712">
        <f t="shared" si="42"/>
        <v>0</v>
      </c>
      <c r="T80" s="1712"/>
      <c r="U80" s="1714">
        <f>O80+ROUND(T80,6)</f>
        <v>0</v>
      </c>
      <c r="V80" s="1714">
        <f t="shared" si="38"/>
        <v>0</v>
      </c>
      <c r="W80" s="1714">
        <f>ROUND(U80/(1+R80),6)</f>
        <v>0</v>
      </c>
      <c r="X80" s="1794"/>
      <c r="Y80" s="1714">
        <f t="shared" si="36"/>
        <v>0</v>
      </c>
    </row>
    <row r="81" spans="1:25" s="1784" customFormat="1" ht="12" customHeight="1" outlineLevel="2">
      <c r="A81" s="1747" t="s">
        <v>3105</v>
      </c>
      <c r="B81" s="1771" t="s">
        <v>3316</v>
      </c>
      <c r="C81" s="1789"/>
      <c r="D81" s="1790" t="s">
        <v>3317</v>
      </c>
      <c r="E81" s="1791"/>
      <c r="F81" s="1797" t="s">
        <v>453</v>
      </c>
      <c r="G81" s="1707" t="s">
        <v>4192</v>
      </c>
      <c r="H81" s="1705" t="s">
        <v>3969</v>
      </c>
      <c r="I81" s="1714">
        <v>8000</v>
      </c>
      <c r="J81" s="1798">
        <v>1</v>
      </c>
      <c r="K81" s="1755" t="s">
        <v>101</v>
      </c>
      <c r="L81" s="1755" t="s">
        <v>3970</v>
      </c>
      <c r="M81" s="1754">
        <f>ROUND(I81,2)*ROUND(J81,4)</f>
        <v>8000</v>
      </c>
      <c r="N81" s="1755">
        <v>0</v>
      </c>
      <c r="O81" s="1756">
        <f t="shared" si="39"/>
        <v>0</v>
      </c>
      <c r="P81" s="1712">
        <f t="shared" si="40"/>
        <v>0</v>
      </c>
      <c r="Q81" s="1712">
        <f t="shared" si="41"/>
        <v>0</v>
      </c>
      <c r="R81" s="1757">
        <v>0.09</v>
      </c>
      <c r="S81" s="1712">
        <f t="shared" si="42"/>
        <v>0</v>
      </c>
      <c r="T81" s="1712"/>
      <c r="U81" s="1714">
        <f>O81+ROUND(T81,6)</f>
        <v>0</v>
      </c>
      <c r="V81" s="1714">
        <f t="shared" si="38"/>
        <v>0</v>
      </c>
      <c r="W81" s="1714">
        <f>ROUND(U81/(1+R81),6)</f>
        <v>0</v>
      </c>
      <c r="X81" s="1794"/>
      <c r="Y81" s="1714">
        <f t="shared" si="36"/>
        <v>0</v>
      </c>
    </row>
    <row r="82" spans="1:25" ht="12" customHeight="1" outlineLevel="1">
      <c r="B82" s="1786" t="s">
        <v>482</v>
      </c>
      <c r="C82" s="1729">
        <v>2</v>
      </c>
      <c r="D82" s="1787" t="s">
        <v>64</v>
      </c>
      <c r="E82" s="1787"/>
      <c r="F82" s="1788"/>
      <c r="G82" s="1788" t="s">
        <v>4117</v>
      </c>
      <c r="H82" s="1788"/>
      <c r="I82" s="1733"/>
      <c r="J82" s="1734"/>
      <c r="K82" s="1733"/>
      <c r="L82" s="1733"/>
      <c r="M82" s="1733"/>
      <c r="N82" s="1733"/>
      <c r="O82" s="1701">
        <f>SUBTOTAL(9,O83:O92)</f>
        <v>0</v>
      </c>
      <c r="P82" s="1733"/>
      <c r="Q82" s="1701">
        <f>SUBTOTAL(9,Q83:Q92)</f>
        <v>0</v>
      </c>
      <c r="R82" s="1735"/>
      <c r="S82" s="1701">
        <f>SUBTOTAL(9,S83:S92)</f>
        <v>0</v>
      </c>
      <c r="T82" s="1701">
        <v>0</v>
      </c>
      <c r="U82" s="1701">
        <f>SUBTOTAL(9,U83:U92)</f>
        <v>0</v>
      </c>
      <c r="V82" s="1701">
        <f>SUBTOTAL(9,V83:V92)</f>
        <v>0</v>
      </c>
      <c r="W82" s="1701">
        <f>SUBTOTAL(9,W83:W92)</f>
        <v>0</v>
      </c>
      <c r="X82" s="1736"/>
      <c r="Y82" s="1701">
        <f t="shared" si="36"/>
        <v>0</v>
      </c>
    </row>
    <row r="83" spans="1:25" s="1784" customFormat="1" ht="12" customHeight="1" outlineLevel="2">
      <c r="B83" s="1737" t="s">
        <v>1246</v>
      </c>
      <c r="C83" s="1738"/>
      <c r="D83" s="1739" t="s">
        <v>2017</v>
      </c>
      <c r="E83" s="1799"/>
      <c r="F83" s="1716"/>
      <c r="G83" s="1716" t="s">
        <v>4117</v>
      </c>
      <c r="H83" s="1800"/>
      <c r="I83" s="1743"/>
      <c r="J83" s="1744"/>
      <c r="K83" s="1743"/>
      <c r="L83" s="1743"/>
      <c r="M83" s="1743"/>
      <c r="N83" s="1743"/>
      <c r="O83" s="1743">
        <f>SUBTOTAL(9,O84:O85)</f>
        <v>0</v>
      </c>
      <c r="P83" s="1743"/>
      <c r="Q83" s="1743">
        <f>SUBTOTAL(9,Q84:Q85)</f>
        <v>0</v>
      </c>
      <c r="R83" s="1745"/>
      <c r="S83" s="1743">
        <f>SUBTOTAL(9,S84:S85)</f>
        <v>0</v>
      </c>
      <c r="T83" s="1743">
        <v>0</v>
      </c>
      <c r="U83" s="1743">
        <f>SUBTOTAL(9,U84:U85)</f>
        <v>0</v>
      </c>
      <c r="V83" s="1743">
        <f>SUBTOTAL(9,V84:V85)</f>
        <v>0</v>
      </c>
      <c r="W83" s="1743">
        <f>SUBTOTAL(9,W84:W85)</f>
        <v>0</v>
      </c>
      <c r="X83" s="1746"/>
      <c r="Y83" s="1743">
        <f t="shared" si="36"/>
        <v>0</v>
      </c>
    </row>
    <row r="84" spans="1:25" s="1784" customFormat="1" ht="12" customHeight="1" outlineLevel="3">
      <c r="A84" s="1747" t="s">
        <v>3104</v>
      </c>
      <c r="B84" s="1771" t="s">
        <v>3318</v>
      </c>
      <c r="C84" s="1749"/>
      <c r="D84" s="1790" t="s">
        <v>3319</v>
      </c>
      <c r="E84" s="1791"/>
      <c r="F84" s="1707" t="s">
        <v>3962</v>
      </c>
      <c r="G84" s="1704" t="s">
        <v>4117</v>
      </c>
      <c r="H84" s="1760" t="s">
        <v>3971</v>
      </c>
      <c r="I84" s="1755"/>
      <c r="J84" s="1764"/>
      <c r="K84" s="1755" t="s">
        <v>101</v>
      </c>
      <c r="L84" s="1755" t="s">
        <v>3918</v>
      </c>
      <c r="M84" s="1755"/>
      <c r="N84" s="1755"/>
      <c r="O84" s="1714"/>
      <c r="P84" s="1755"/>
      <c r="Q84" s="1710"/>
      <c r="R84" s="1793"/>
      <c r="S84" s="1714"/>
      <c r="T84" s="1755"/>
      <c r="U84" s="1755"/>
      <c r="V84" s="1755"/>
      <c r="W84" s="1755"/>
      <c r="X84" s="1794"/>
      <c r="Y84" s="1755">
        <f t="shared" si="36"/>
        <v>0</v>
      </c>
    </row>
    <row r="85" spans="1:25" s="1784" customFormat="1" ht="12" customHeight="1" outlineLevel="3">
      <c r="A85" s="1747" t="s">
        <v>3104</v>
      </c>
      <c r="B85" s="1771" t="s">
        <v>3320</v>
      </c>
      <c r="C85" s="1749"/>
      <c r="D85" s="1790" t="s">
        <v>3321</v>
      </c>
      <c r="E85" s="1791"/>
      <c r="F85" s="1707" t="s">
        <v>3962</v>
      </c>
      <c r="G85" s="1704" t="s">
        <v>4117</v>
      </c>
      <c r="H85" s="1760" t="s">
        <v>3972</v>
      </c>
      <c r="I85" s="1755"/>
      <c r="J85" s="1764"/>
      <c r="K85" s="1755" t="s">
        <v>101</v>
      </c>
      <c r="L85" s="1755" t="s">
        <v>3918</v>
      </c>
      <c r="M85" s="1755"/>
      <c r="N85" s="1755"/>
      <c r="O85" s="1755"/>
      <c r="P85" s="1755"/>
      <c r="Q85" s="1710"/>
      <c r="R85" s="1793"/>
      <c r="S85" s="1755"/>
      <c r="T85" s="1755"/>
      <c r="U85" s="1755"/>
      <c r="V85" s="1755"/>
      <c r="W85" s="1755"/>
      <c r="X85" s="1794"/>
      <c r="Y85" s="1755">
        <f t="shared" si="36"/>
        <v>0</v>
      </c>
    </row>
    <row r="86" spans="1:25" s="1784" customFormat="1" ht="12" customHeight="1" outlineLevel="2">
      <c r="B86" s="1737" t="s">
        <v>1249</v>
      </c>
      <c r="C86" s="1738"/>
      <c r="D86" s="1739" t="s">
        <v>3322</v>
      </c>
      <c r="E86" s="1799"/>
      <c r="F86" s="1739"/>
      <c r="G86" s="1739" t="s">
        <v>4117</v>
      </c>
      <c r="H86" s="1800"/>
      <c r="I86" s="1743"/>
      <c r="J86" s="1744"/>
      <c r="K86" s="1743"/>
      <c r="L86" s="1743"/>
      <c r="M86" s="1743"/>
      <c r="N86" s="1743"/>
      <c r="O86" s="1743">
        <f>SUBTOTAL(9,O87:O88)</f>
        <v>0</v>
      </c>
      <c r="P86" s="1743"/>
      <c r="Q86" s="1743">
        <f>SUBTOTAL(9,Q87:Q88)</f>
        <v>0</v>
      </c>
      <c r="R86" s="1745"/>
      <c r="S86" s="1743">
        <f>SUBTOTAL(9,S87:S88)</f>
        <v>0</v>
      </c>
      <c r="T86" s="1743">
        <v>0</v>
      </c>
      <c r="U86" s="1743">
        <f>SUBTOTAL(9,U87:U88)</f>
        <v>0</v>
      </c>
      <c r="V86" s="1743">
        <f>SUBTOTAL(9,V87:V88)</f>
        <v>0</v>
      </c>
      <c r="W86" s="1743">
        <f>SUBTOTAL(9,W87:W88)</f>
        <v>0</v>
      </c>
      <c r="X86" s="1746"/>
      <c r="Y86" s="1743">
        <f t="shared" si="36"/>
        <v>0</v>
      </c>
    </row>
    <row r="87" spans="1:25" s="1784" customFormat="1" ht="12" customHeight="1" outlineLevel="3">
      <c r="A87" s="1747" t="s">
        <v>3104</v>
      </c>
      <c r="B87" s="1771" t="s">
        <v>3323</v>
      </c>
      <c r="C87" s="1749"/>
      <c r="D87" s="1790" t="s">
        <v>3324</v>
      </c>
      <c r="E87" s="1759" t="s">
        <v>3325</v>
      </c>
      <c r="F87" s="1704" t="s">
        <v>3326</v>
      </c>
      <c r="G87" s="1707" t="s">
        <v>4183</v>
      </c>
      <c r="H87" s="1760" t="s">
        <v>3971</v>
      </c>
      <c r="I87" s="1755">
        <f>'全期规划指标 '!H42</f>
        <v>0</v>
      </c>
      <c r="J87" s="1764">
        <v>1</v>
      </c>
      <c r="K87" s="1755" t="s">
        <v>101</v>
      </c>
      <c r="L87" s="1755" t="s">
        <v>3971</v>
      </c>
      <c r="M87" s="1754">
        <f>ROUND(I87,2)*ROUND(J87,4)</f>
        <v>0</v>
      </c>
      <c r="N87" s="1755"/>
      <c r="O87" s="1712">
        <f>ROUND(M87*ROUND(N87,2)/10000,6)</f>
        <v>0</v>
      </c>
      <c r="P87" s="1712">
        <f>IFERROR(ROUND(Q87*10000/M87,2),0)</f>
        <v>0</v>
      </c>
      <c r="Q87" s="1712">
        <f>ROUND(O87/(1+R87),6)</f>
        <v>0</v>
      </c>
      <c r="R87" s="1757">
        <v>0.13</v>
      </c>
      <c r="S87" s="1712">
        <f>O87-Q87</f>
        <v>0</v>
      </c>
      <c r="T87" s="1712"/>
      <c r="U87" s="1714">
        <f>O87+ROUND(T87,6)</f>
        <v>0</v>
      </c>
      <c r="V87" s="1714">
        <f>U87-W87</f>
        <v>0</v>
      </c>
      <c r="W87" s="1714">
        <f>ROUND(U87/(1+R87),6)</f>
        <v>0</v>
      </c>
      <c r="X87" s="1794"/>
      <c r="Y87" s="1714">
        <f t="shared" si="36"/>
        <v>0</v>
      </c>
    </row>
    <row r="88" spans="1:25" s="1784" customFormat="1" ht="12" customHeight="1" outlineLevel="3">
      <c r="A88" s="1747" t="s">
        <v>3104</v>
      </c>
      <c r="B88" s="1771" t="s">
        <v>3327</v>
      </c>
      <c r="C88" s="1749"/>
      <c r="D88" s="1790" t="s">
        <v>3328</v>
      </c>
      <c r="E88" s="1759" t="s">
        <v>3329</v>
      </c>
      <c r="F88" s="1704" t="s">
        <v>3326</v>
      </c>
      <c r="G88" s="1707" t="s">
        <v>4183</v>
      </c>
      <c r="H88" s="1760" t="s">
        <v>3972</v>
      </c>
      <c r="I88" s="1755"/>
      <c r="J88" s="1764"/>
      <c r="K88" s="1755" t="s">
        <v>101</v>
      </c>
      <c r="L88" s="1755" t="s">
        <v>3972</v>
      </c>
      <c r="M88" s="1754">
        <f>ROUND(I88,2)*ROUND(J88,4)</f>
        <v>0</v>
      </c>
      <c r="N88" s="1755"/>
      <c r="O88" s="1712">
        <f>ROUND(M88*ROUND(N88,2)/10000,6)</f>
        <v>0</v>
      </c>
      <c r="P88" s="1712">
        <f>IFERROR(ROUND(Q88*10000/M88,2),0)</f>
        <v>0</v>
      </c>
      <c r="Q88" s="1712">
        <f>ROUND(O88/(1+R88),6)</f>
        <v>0</v>
      </c>
      <c r="R88" s="1757">
        <v>0.13</v>
      </c>
      <c r="S88" s="1712">
        <f>O88-Q88</f>
        <v>0</v>
      </c>
      <c r="T88" s="1712"/>
      <c r="U88" s="1714">
        <f>O88+ROUND(T88,6)</f>
        <v>0</v>
      </c>
      <c r="V88" s="1714">
        <f>U88-W88</f>
        <v>0</v>
      </c>
      <c r="W88" s="1714">
        <f>ROUND(U88/(1+R88),6)</f>
        <v>0</v>
      </c>
      <c r="X88" s="1794"/>
      <c r="Y88" s="1714">
        <f t="shared" si="36"/>
        <v>0</v>
      </c>
    </row>
    <row r="89" spans="1:25" s="1784" customFormat="1" ht="12" customHeight="1" outlineLevel="2">
      <c r="B89" s="1737" t="s">
        <v>1253</v>
      </c>
      <c r="C89" s="1738"/>
      <c r="D89" s="1739" t="s">
        <v>3330</v>
      </c>
      <c r="E89" s="1799"/>
      <c r="F89" s="1801"/>
      <c r="G89" s="1801" t="s">
        <v>4117</v>
      </c>
      <c r="H89" s="1800"/>
      <c r="I89" s="1743"/>
      <c r="J89" s="1744"/>
      <c r="K89" s="1743"/>
      <c r="L89" s="1743"/>
      <c r="M89" s="1743"/>
      <c r="N89" s="1743"/>
      <c r="O89" s="1743">
        <f>SUBTOTAL(9,O90:O91)</f>
        <v>0</v>
      </c>
      <c r="P89" s="1743"/>
      <c r="Q89" s="1743">
        <f>SUBTOTAL(9,Q90:Q91)</f>
        <v>0</v>
      </c>
      <c r="R89" s="1745"/>
      <c r="S89" s="1743">
        <f>SUBTOTAL(9,S90:S91)</f>
        <v>0</v>
      </c>
      <c r="T89" s="1743">
        <v>0</v>
      </c>
      <c r="U89" s="1743">
        <f>SUBTOTAL(9,U90:U91)</f>
        <v>0</v>
      </c>
      <c r="V89" s="1743">
        <f>SUBTOTAL(9,V90:V91)</f>
        <v>0</v>
      </c>
      <c r="W89" s="1743">
        <f>SUBTOTAL(9,W90:W91)</f>
        <v>0</v>
      </c>
      <c r="X89" s="1746"/>
      <c r="Y89" s="1743">
        <f t="shared" si="36"/>
        <v>0</v>
      </c>
    </row>
    <row r="90" spans="1:25" s="1784" customFormat="1" ht="12" customHeight="1" outlineLevel="3">
      <c r="A90" s="1747" t="s">
        <v>3104</v>
      </c>
      <c r="B90" s="1771" t="s">
        <v>3331</v>
      </c>
      <c r="C90" s="1749"/>
      <c r="D90" s="1802" t="s">
        <v>3332</v>
      </c>
      <c r="E90" s="1803"/>
      <c r="F90" s="1707" t="s">
        <v>3962</v>
      </c>
      <c r="G90" s="1804" t="s">
        <v>4117</v>
      </c>
      <c r="H90" s="1760" t="s">
        <v>3918</v>
      </c>
      <c r="I90" s="1714"/>
      <c r="J90" s="1769"/>
      <c r="K90" s="1714" t="s">
        <v>101</v>
      </c>
      <c r="L90" s="1714" t="s">
        <v>3918</v>
      </c>
      <c r="M90" s="1714"/>
      <c r="N90" s="1714"/>
      <c r="O90" s="1714"/>
      <c r="P90" s="1714"/>
      <c r="Q90" s="1710"/>
      <c r="R90" s="1805"/>
      <c r="S90" s="1755"/>
      <c r="T90" s="1714"/>
      <c r="U90" s="1714"/>
      <c r="V90" s="1714"/>
      <c r="W90" s="1714"/>
      <c r="X90" s="1806"/>
      <c r="Y90" s="1714">
        <f t="shared" si="36"/>
        <v>0</v>
      </c>
    </row>
    <row r="91" spans="1:25" s="1784" customFormat="1" ht="12" customHeight="1" outlineLevel="3">
      <c r="A91" s="1747" t="s">
        <v>3104</v>
      </c>
      <c r="B91" s="1771" t="s">
        <v>3333</v>
      </c>
      <c r="C91" s="1749"/>
      <c r="D91" s="1802" t="s">
        <v>3334</v>
      </c>
      <c r="E91" s="1803"/>
      <c r="F91" s="1707" t="s">
        <v>3962</v>
      </c>
      <c r="G91" s="1707" t="s">
        <v>4117</v>
      </c>
      <c r="H91" s="1760" t="s">
        <v>3918</v>
      </c>
      <c r="I91" s="1714"/>
      <c r="J91" s="1769"/>
      <c r="K91" s="1714" t="s">
        <v>101</v>
      </c>
      <c r="L91" s="1714" t="s">
        <v>3918</v>
      </c>
      <c r="M91" s="1714"/>
      <c r="N91" s="1714"/>
      <c r="O91" s="1714"/>
      <c r="P91" s="1714"/>
      <c r="Q91" s="1710"/>
      <c r="R91" s="1805"/>
      <c r="S91" s="1755"/>
      <c r="T91" s="1714"/>
      <c r="U91" s="1714"/>
      <c r="V91" s="1714"/>
      <c r="W91" s="1714"/>
      <c r="X91" s="1806"/>
      <c r="Y91" s="1714">
        <f t="shared" si="36"/>
        <v>0</v>
      </c>
    </row>
    <row r="92" spans="1:25" s="1784" customFormat="1" ht="12" customHeight="1" outlineLevel="2">
      <c r="A92" s="1747" t="s">
        <v>3104</v>
      </c>
      <c r="B92" s="1807" t="s">
        <v>1255</v>
      </c>
      <c r="C92" s="1789"/>
      <c r="D92" s="1790" t="s">
        <v>1256</v>
      </c>
      <c r="E92" s="1808" t="s">
        <v>3335</v>
      </c>
      <c r="F92" s="1790" t="s">
        <v>3035</v>
      </c>
      <c r="G92" s="1790" t="s">
        <v>4184</v>
      </c>
      <c r="H92" s="1808" t="s">
        <v>3973</v>
      </c>
      <c r="I92" s="1755"/>
      <c r="J92" s="1764"/>
      <c r="K92" s="1755" t="s">
        <v>3974</v>
      </c>
      <c r="L92" s="1755" t="s">
        <v>3973</v>
      </c>
      <c r="M92" s="1754">
        <f t="shared" ref="M92:M104" si="43">ROUND(I92,2)*ROUND(J92,4)</f>
        <v>0</v>
      </c>
      <c r="N92" s="1755"/>
      <c r="O92" s="1712">
        <f>ROUND(M92*ROUND(N92,2)/10000,6)</f>
        <v>0</v>
      </c>
      <c r="P92" s="1712">
        <f>IFERROR(ROUND(Q92*10000/M92,2),0)</f>
        <v>0</v>
      </c>
      <c r="Q92" s="1712">
        <f>ROUND(O92/(1+R92),6)</f>
        <v>0</v>
      </c>
      <c r="R92" s="1757">
        <v>0.13</v>
      </c>
      <c r="S92" s="1712">
        <f>O92-Q92</f>
        <v>0</v>
      </c>
      <c r="T92" s="1712"/>
      <c r="U92" s="1714">
        <f>O92+ROUND(T92,6)</f>
        <v>0</v>
      </c>
      <c r="V92" s="1714">
        <f>U92-W92</f>
        <v>0</v>
      </c>
      <c r="W92" s="1714">
        <f>ROUND(U92/(1+R92),6)</f>
        <v>0</v>
      </c>
      <c r="X92" s="1809"/>
      <c r="Y92" s="1714">
        <f t="shared" si="36"/>
        <v>0</v>
      </c>
    </row>
    <row r="93" spans="1:25" ht="12" customHeight="1" outlineLevel="1">
      <c r="B93" s="1786" t="s">
        <v>483</v>
      </c>
      <c r="C93" s="1729">
        <v>3</v>
      </c>
      <c r="D93" s="1787" t="s">
        <v>484</v>
      </c>
      <c r="E93" s="1787"/>
      <c r="F93" s="1788"/>
      <c r="G93" s="1788" t="s">
        <v>4117</v>
      </c>
      <c r="H93" s="1788"/>
      <c r="I93" s="1733"/>
      <c r="J93" s="1734"/>
      <c r="K93" s="1733"/>
      <c r="L93" s="1733"/>
      <c r="M93" s="1733"/>
      <c r="N93" s="1733"/>
      <c r="O93" s="1701">
        <f>SUBTOTAL(9,O94:O101)</f>
        <v>1512.9547379999999</v>
      </c>
      <c r="P93" s="1733"/>
      <c r="Q93" s="1701">
        <f>SUBTOTAL(9,Q94:Q101)</f>
        <v>1388.03187</v>
      </c>
      <c r="R93" s="1735"/>
      <c r="S93" s="1701">
        <f>SUBTOTAL(9,S94:S101)</f>
        <v>124.92286800000002</v>
      </c>
      <c r="T93" s="1701">
        <v>0</v>
      </c>
      <c r="U93" s="1701">
        <f>SUBTOTAL(9,U94:U101)</f>
        <v>1512.9547379999999</v>
      </c>
      <c r="V93" s="1701">
        <f>SUBTOTAL(9,V94:V101)</f>
        <v>124.92286800000002</v>
      </c>
      <c r="W93" s="1701">
        <f>SUBTOTAL(9,W94:W101)</f>
        <v>1388.03187</v>
      </c>
      <c r="X93" s="1736"/>
      <c r="Y93" s="1701">
        <f t="shared" si="36"/>
        <v>146.31030142371051</v>
      </c>
    </row>
    <row r="94" spans="1:25" s="1784" customFormat="1" ht="12" customHeight="1" outlineLevel="2">
      <c r="A94" s="1747" t="s">
        <v>3106</v>
      </c>
      <c r="B94" s="1771" t="s">
        <v>1276</v>
      </c>
      <c r="C94" s="1789"/>
      <c r="D94" s="1790" t="s">
        <v>3336</v>
      </c>
      <c r="E94" s="1759" t="s">
        <v>3337</v>
      </c>
      <c r="F94" s="1707" t="s">
        <v>3338</v>
      </c>
      <c r="G94" s="1707" t="s">
        <v>4185</v>
      </c>
      <c r="H94" s="1810" t="s">
        <v>3918</v>
      </c>
      <c r="I94" s="1714">
        <f>$G$3</f>
        <v>33975.300000000003</v>
      </c>
      <c r="J94" s="1753">
        <f>11-1.2</f>
        <v>9.8000000000000007</v>
      </c>
      <c r="K94" s="1755" t="s">
        <v>103</v>
      </c>
      <c r="L94" s="1755" t="s">
        <v>3975</v>
      </c>
      <c r="M94" s="1754">
        <f t="shared" si="43"/>
        <v>332957.94000000006</v>
      </c>
      <c r="N94" s="1772">
        <v>27</v>
      </c>
      <c r="O94" s="1712">
        <f t="shared" ref="O94:O101" si="44">ROUND(M94*ROUND(N94,2)/10000,6)</f>
        <v>898.98643800000002</v>
      </c>
      <c r="P94" s="1712">
        <f t="shared" ref="P94:P101" si="45">IFERROR(ROUND(Q94*10000/M94,2),0)</f>
        <v>24.77</v>
      </c>
      <c r="Q94" s="1712">
        <f t="shared" ref="Q94:Q101" si="46">ROUND(O94/(1+R94),6)</f>
        <v>824.75819999999999</v>
      </c>
      <c r="R94" s="1757">
        <v>0.09</v>
      </c>
      <c r="S94" s="1712">
        <f t="shared" ref="S94:S101" si="47">O94-Q94</f>
        <v>74.228238000000033</v>
      </c>
      <c r="T94" s="1712"/>
      <c r="U94" s="1714">
        <f t="shared" ref="U94:U101" si="48">O94+ROUND(T94,6)</f>
        <v>898.98643800000002</v>
      </c>
      <c r="V94" s="1714">
        <f>U94-W94</f>
        <v>74.228238000000033</v>
      </c>
      <c r="W94" s="1714">
        <f t="shared" ref="W94:W101" si="49">ROUND(U94/(1+R94),6)</f>
        <v>824.75819999999999</v>
      </c>
      <c r="X94" s="1794"/>
      <c r="Y94" s="1714">
        <f t="shared" si="36"/>
        <v>86.936491499726429</v>
      </c>
    </row>
    <row r="95" spans="1:25" s="1784" customFormat="1" ht="12" customHeight="1" outlineLevel="2">
      <c r="A95" s="1747" t="s">
        <v>3108</v>
      </c>
      <c r="B95" s="1771" t="s">
        <v>1281</v>
      </c>
      <c r="C95" s="1811"/>
      <c r="D95" s="1790" t="s">
        <v>385</v>
      </c>
      <c r="E95" s="1759" t="s">
        <v>3339</v>
      </c>
      <c r="F95" s="1707" t="s">
        <v>1282</v>
      </c>
      <c r="G95" s="1707" t="s">
        <v>4179</v>
      </c>
      <c r="H95" s="1810" t="s">
        <v>3918</v>
      </c>
      <c r="I95" s="1714">
        <f>$G$3</f>
        <v>33975.300000000003</v>
      </c>
      <c r="J95" s="1753">
        <v>1</v>
      </c>
      <c r="K95" s="1755" t="s">
        <v>101</v>
      </c>
      <c r="L95" s="1810" t="s">
        <v>3918</v>
      </c>
      <c r="M95" s="1754">
        <f t="shared" si="43"/>
        <v>33975.300000000003</v>
      </c>
      <c r="N95" s="1772">
        <v>50</v>
      </c>
      <c r="O95" s="1712">
        <f t="shared" si="44"/>
        <v>169.87649999999999</v>
      </c>
      <c r="P95" s="1712">
        <f t="shared" si="45"/>
        <v>45.87</v>
      </c>
      <c r="Q95" s="1712">
        <f t="shared" si="46"/>
        <v>155.85</v>
      </c>
      <c r="R95" s="1757">
        <v>0.09</v>
      </c>
      <c r="S95" s="1712">
        <f t="shared" si="47"/>
        <v>14.026499999999999</v>
      </c>
      <c r="T95" s="1712"/>
      <c r="U95" s="1714">
        <f t="shared" si="48"/>
        <v>169.87649999999999</v>
      </c>
      <c r="V95" s="1714">
        <f t="shared" ref="V95:V101" si="50">U95-W95</f>
        <v>14.026499999999999</v>
      </c>
      <c r="W95" s="1714">
        <f t="shared" si="49"/>
        <v>155.85</v>
      </c>
      <c r="X95" s="1794"/>
      <c r="Y95" s="1714">
        <f t="shared" si="36"/>
        <v>16.427908446660322</v>
      </c>
    </row>
    <row r="96" spans="1:25" s="1784" customFormat="1" ht="12" customHeight="1" outlineLevel="2">
      <c r="A96" s="1747" t="s">
        <v>3108</v>
      </c>
      <c r="B96" s="1771" t="s">
        <v>1284</v>
      </c>
      <c r="C96" s="1811"/>
      <c r="D96" s="1790" t="s">
        <v>3340</v>
      </c>
      <c r="E96" s="1759" t="s">
        <v>3341</v>
      </c>
      <c r="F96" s="1812" t="s">
        <v>3342</v>
      </c>
      <c r="G96" s="1707" t="s">
        <v>4116</v>
      </c>
      <c r="H96" s="1810" t="s">
        <v>3918</v>
      </c>
      <c r="I96" s="1714">
        <f>$G$3</f>
        <v>33975.300000000003</v>
      </c>
      <c r="J96" s="1764"/>
      <c r="K96" s="1755" t="s">
        <v>101</v>
      </c>
      <c r="L96" s="1810" t="s">
        <v>3918</v>
      </c>
      <c r="M96" s="1754">
        <f t="shared" si="43"/>
        <v>0</v>
      </c>
      <c r="N96" s="1755"/>
      <c r="O96" s="1712">
        <f t="shared" si="44"/>
        <v>0</v>
      </c>
      <c r="P96" s="1712">
        <f t="shared" si="45"/>
        <v>0</v>
      </c>
      <c r="Q96" s="1712">
        <f t="shared" si="46"/>
        <v>0</v>
      </c>
      <c r="R96" s="1757">
        <v>0.09</v>
      </c>
      <c r="S96" s="1712">
        <f t="shared" si="47"/>
        <v>0</v>
      </c>
      <c r="T96" s="1712"/>
      <c r="U96" s="1714">
        <f t="shared" si="48"/>
        <v>0</v>
      </c>
      <c r="V96" s="1714">
        <f t="shared" si="50"/>
        <v>0</v>
      </c>
      <c r="W96" s="1714">
        <f t="shared" si="49"/>
        <v>0</v>
      </c>
      <c r="X96" s="1794"/>
      <c r="Y96" s="1714">
        <f t="shared" si="36"/>
        <v>0</v>
      </c>
    </row>
    <row r="97" spans="1:25" s="1784" customFormat="1" ht="12" customHeight="1" outlineLevel="2">
      <c r="A97" s="1813" t="s">
        <v>3069</v>
      </c>
      <c r="B97" s="1771" t="s">
        <v>1286</v>
      </c>
      <c r="C97" s="1811"/>
      <c r="D97" s="1790" t="s">
        <v>3343</v>
      </c>
      <c r="E97" s="1759" t="s">
        <v>3344</v>
      </c>
      <c r="F97" s="1812" t="s">
        <v>3342</v>
      </c>
      <c r="G97" s="1707" t="s">
        <v>4116</v>
      </c>
      <c r="H97" s="1810" t="s">
        <v>3918</v>
      </c>
      <c r="I97" s="1714">
        <f>$G$3</f>
        <v>33975.300000000003</v>
      </c>
      <c r="J97" s="1753">
        <v>1</v>
      </c>
      <c r="K97" s="1755" t="s">
        <v>101</v>
      </c>
      <c r="L97" s="1810" t="s">
        <v>3918</v>
      </c>
      <c r="M97" s="1754">
        <f t="shared" si="43"/>
        <v>33975.300000000003</v>
      </c>
      <c r="N97" s="1772">
        <v>60</v>
      </c>
      <c r="O97" s="1712">
        <f t="shared" si="44"/>
        <v>203.8518</v>
      </c>
      <c r="P97" s="1712">
        <f t="shared" si="45"/>
        <v>55.05</v>
      </c>
      <c r="Q97" s="1712">
        <f t="shared" si="46"/>
        <v>187.02</v>
      </c>
      <c r="R97" s="1757">
        <v>0.09</v>
      </c>
      <c r="S97" s="1712">
        <f t="shared" si="47"/>
        <v>16.831799999999987</v>
      </c>
      <c r="T97" s="1712"/>
      <c r="U97" s="1714">
        <f t="shared" si="48"/>
        <v>203.8518</v>
      </c>
      <c r="V97" s="1714">
        <f t="shared" si="50"/>
        <v>16.831799999999987</v>
      </c>
      <c r="W97" s="1714">
        <f t="shared" si="49"/>
        <v>187.02</v>
      </c>
      <c r="X97" s="1794"/>
      <c r="Y97" s="1714">
        <f t="shared" si="36"/>
        <v>19.713490135992387</v>
      </c>
    </row>
    <row r="98" spans="1:25" s="1784" customFormat="1" ht="12" customHeight="1" outlineLevel="2">
      <c r="A98" s="1747" t="s">
        <v>3107</v>
      </c>
      <c r="B98" s="1771" t="s">
        <v>1289</v>
      </c>
      <c r="C98" s="1811"/>
      <c r="D98" s="1790" t="s">
        <v>1287</v>
      </c>
      <c r="E98" s="1759" t="s">
        <v>3345</v>
      </c>
      <c r="F98" s="1707" t="s">
        <v>3346</v>
      </c>
      <c r="G98" s="1707" t="s">
        <v>4186</v>
      </c>
      <c r="H98" s="1814" t="s">
        <v>107</v>
      </c>
      <c r="I98" s="1714">
        <v>88</v>
      </c>
      <c r="J98" s="1753">
        <v>210</v>
      </c>
      <c r="K98" s="1755" t="s">
        <v>3976</v>
      </c>
      <c r="L98" s="1755" t="s">
        <v>3977</v>
      </c>
      <c r="M98" s="1754">
        <f t="shared" si="43"/>
        <v>18480</v>
      </c>
      <c r="N98" s="1772">
        <v>130</v>
      </c>
      <c r="O98" s="1712">
        <f t="shared" si="44"/>
        <v>240.24</v>
      </c>
      <c r="P98" s="1712">
        <f t="shared" si="45"/>
        <v>119.27</v>
      </c>
      <c r="Q98" s="1712">
        <f t="shared" si="46"/>
        <v>220.40367000000001</v>
      </c>
      <c r="R98" s="1757">
        <v>0.09</v>
      </c>
      <c r="S98" s="1712">
        <f t="shared" si="47"/>
        <v>19.836330000000004</v>
      </c>
      <c r="T98" s="1712"/>
      <c r="U98" s="1714">
        <f t="shared" si="48"/>
        <v>240.24</v>
      </c>
      <c r="V98" s="1714">
        <f t="shared" si="50"/>
        <v>19.836330000000004</v>
      </c>
      <c r="W98" s="1714">
        <f t="shared" si="49"/>
        <v>220.40367000000001</v>
      </c>
      <c r="X98" s="1794"/>
      <c r="Y98" s="1714">
        <f t="shared" si="36"/>
        <v>23.232411341331357</v>
      </c>
    </row>
    <row r="99" spans="1:25" s="1784" customFormat="1" ht="12" customHeight="1" outlineLevel="2">
      <c r="A99" s="1747" t="s">
        <v>3107</v>
      </c>
      <c r="B99" s="1771" t="s">
        <v>3347</v>
      </c>
      <c r="C99" s="1811"/>
      <c r="D99" s="1790" t="s">
        <v>3348</v>
      </c>
      <c r="E99" s="1759" t="s">
        <v>3349</v>
      </c>
      <c r="F99" s="1707" t="s">
        <v>3350</v>
      </c>
      <c r="G99" s="1707" t="s">
        <v>4187</v>
      </c>
      <c r="H99" s="1814" t="s">
        <v>12</v>
      </c>
      <c r="I99" s="1714">
        <f>$G$2</f>
        <v>8858.07</v>
      </c>
      <c r="J99" s="1764">
        <v>0.5</v>
      </c>
      <c r="K99" s="1755" t="s">
        <v>101</v>
      </c>
      <c r="L99" s="1814" t="s">
        <v>12</v>
      </c>
      <c r="M99" s="1754">
        <f t="shared" si="43"/>
        <v>4429.0349999999999</v>
      </c>
      <c r="N99" s="1755">
        <v>0</v>
      </c>
      <c r="O99" s="1712">
        <f t="shared" si="44"/>
        <v>0</v>
      </c>
      <c r="P99" s="1712">
        <f t="shared" si="45"/>
        <v>0</v>
      </c>
      <c r="Q99" s="1712">
        <f t="shared" si="46"/>
        <v>0</v>
      </c>
      <c r="R99" s="1757">
        <v>0.06</v>
      </c>
      <c r="S99" s="1712">
        <f t="shared" si="47"/>
        <v>0</v>
      </c>
      <c r="T99" s="1712"/>
      <c r="U99" s="1714">
        <f t="shared" si="48"/>
        <v>0</v>
      </c>
      <c r="V99" s="1714">
        <f t="shared" si="50"/>
        <v>0</v>
      </c>
      <c r="W99" s="1714">
        <f t="shared" si="49"/>
        <v>0</v>
      </c>
      <c r="X99" s="1794"/>
      <c r="Y99" s="1714">
        <f t="shared" si="36"/>
        <v>0</v>
      </c>
    </row>
    <row r="100" spans="1:25" s="1784" customFormat="1" ht="12" customHeight="1" outlineLevel="2">
      <c r="A100" s="1747" t="s">
        <v>3108</v>
      </c>
      <c r="B100" s="1771" t="s">
        <v>3351</v>
      </c>
      <c r="C100" s="1811"/>
      <c r="D100" s="1790" t="s">
        <v>3352</v>
      </c>
      <c r="E100" s="1759" t="s">
        <v>3353</v>
      </c>
      <c r="F100" s="1707" t="s">
        <v>1282</v>
      </c>
      <c r="G100" s="1707" t="s">
        <v>4179</v>
      </c>
      <c r="H100" s="1814" t="s">
        <v>12</v>
      </c>
      <c r="I100" s="1755">
        <f>$G$2</f>
        <v>8858.07</v>
      </c>
      <c r="J100" s="1764"/>
      <c r="K100" s="1755" t="s">
        <v>101</v>
      </c>
      <c r="L100" s="1814" t="s">
        <v>12</v>
      </c>
      <c r="M100" s="1754">
        <f t="shared" si="43"/>
        <v>0</v>
      </c>
      <c r="N100" s="1755"/>
      <c r="O100" s="1712">
        <f t="shared" si="44"/>
        <v>0</v>
      </c>
      <c r="P100" s="1712">
        <f t="shared" si="45"/>
        <v>0</v>
      </c>
      <c r="Q100" s="1712">
        <f t="shared" si="46"/>
        <v>0</v>
      </c>
      <c r="R100" s="1757">
        <v>0.09</v>
      </c>
      <c r="S100" s="1712">
        <f t="shared" si="47"/>
        <v>0</v>
      </c>
      <c r="T100" s="1712"/>
      <c r="U100" s="1714">
        <f t="shared" si="48"/>
        <v>0</v>
      </c>
      <c r="V100" s="1714">
        <f t="shared" si="50"/>
        <v>0</v>
      </c>
      <c r="W100" s="1714">
        <f t="shared" si="49"/>
        <v>0</v>
      </c>
      <c r="X100" s="1794"/>
      <c r="Y100" s="1714">
        <f t="shared" si="36"/>
        <v>0</v>
      </c>
    </row>
    <row r="101" spans="1:25" s="1784" customFormat="1" ht="12" customHeight="1" outlineLevel="2">
      <c r="A101" s="1747" t="s">
        <v>3108</v>
      </c>
      <c r="B101" s="1771" t="s">
        <v>3354</v>
      </c>
      <c r="C101" s="1811"/>
      <c r="D101" s="1815" t="s">
        <v>3355</v>
      </c>
      <c r="E101" s="1816" t="s">
        <v>3356</v>
      </c>
      <c r="F101" s="1707" t="s">
        <v>1282</v>
      </c>
      <c r="G101" s="1707" t="s">
        <v>4179</v>
      </c>
      <c r="H101" s="1810" t="s">
        <v>3918</v>
      </c>
      <c r="I101" s="1714">
        <f>$G$3</f>
        <v>33975.300000000003</v>
      </c>
      <c r="J101" s="1764"/>
      <c r="K101" s="1755" t="s">
        <v>101</v>
      </c>
      <c r="L101" s="1810" t="s">
        <v>3918</v>
      </c>
      <c r="M101" s="1754">
        <f t="shared" si="43"/>
        <v>0</v>
      </c>
      <c r="N101" s="1755"/>
      <c r="O101" s="1712">
        <f t="shared" si="44"/>
        <v>0</v>
      </c>
      <c r="P101" s="1712">
        <f t="shared" si="45"/>
        <v>0</v>
      </c>
      <c r="Q101" s="1712">
        <f t="shared" si="46"/>
        <v>0</v>
      </c>
      <c r="R101" s="1757">
        <v>0.09</v>
      </c>
      <c r="S101" s="1712">
        <f t="shared" si="47"/>
        <v>0</v>
      </c>
      <c r="T101" s="1712"/>
      <c r="U101" s="1714">
        <f t="shared" si="48"/>
        <v>0</v>
      </c>
      <c r="V101" s="1714">
        <f t="shared" si="50"/>
        <v>0</v>
      </c>
      <c r="W101" s="1714">
        <f t="shared" si="49"/>
        <v>0</v>
      </c>
      <c r="X101" s="1758"/>
      <c r="Y101" s="1714">
        <f t="shared" si="36"/>
        <v>0</v>
      </c>
    </row>
    <row r="102" spans="1:25" ht="12" customHeight="1" outlineLevel="1">
      <c r="B102" s="1786" t="s">
        <v>485</v>
      </c>
      <c r="C102" s="1729">
        <v>4</v>
      </c>
      <c r="D102" s="1787" t="s">
        <v>40</v>
      </c>
      <c r="E102" s="1817"/>
      <c r="F102" s="1788"/>
      <c r="G102" s="1788" t="s">
        <v>4117</v>
      </c>
      <c r="H102" s="1818"/>
      <c r="I102" s="1733"/>
      <c r="J102" s="1734"/>
      <c r="K102" s="1733"/>
      <c r="L102" s="1733"/>
      <c r="M102" s="1733"/>
      <c r="N102" s="1733"/>
      <c r="O102" s="1701">
        <f>SUBTOTAL(9,O103:O104)</f>
        <v>253.451627</v>
      </c>
      <c r="P102" s="1733"/>
      <c r="Q102" s="1701">
        <f>SUBTOTAL(9,Q103:Q104)</f>
        <v>232.524428</v>
      </c>
      <c r="R102" s="1735"/>
      <c r="S102" s="1701">
        <f>SUBTOTAL(9,S103:S104)</f>
        <v>20.927199000000009</v>
      </c>
      <c r="T102" s="1701">
        <v>0</v>
      </c>
      <c r="U102" s="1701">
        <f>SUBTOTAL(9,U103:U104)</f>
        <v>253.451627</v>
      </c>
      <c r="V102" s="1701">
        <f>SUBTOTAL(9,V103:V104)</f>
        <v>20.927199000000009</v>
      </c>
      <c r="W102" s="1701">
        <f>SUBTOTAL(9,W103:W104)</f>
        <v>232.524428</v>
      </c>
      <c r="X102" s="1819"/>
      <c r="Y102" s="1701">
        <f t="shared" si="36"/>
        <v>24.51004184812556</v>
      </c>
    </row>
    <row r="103" spans="1:25" s="1784" customFormat="1" ht="12" customHeight="1" outlineLevel="2">
      <c r="A103" s="1747" t="s">
        <v>3106</v>
      </c>
      <c r="B103" s="1820" t="s">
        <v>585</v>
      </c>
      <c r="C103" s="1789"/>
      <c r="D103" s="1790" t="s">
        <v>535</v>
      </c>
      <c r="E103" s="1759" t="s">
        <v>3357</v>
      </c>
      <c r="F103" s="1707" t="s">
        <v>3338</v>
      </c>
      <c r="G103" s="1707" t="s">
        <v>4185</v>
      </c>
      <c r="H103" s="1810" t="s">
        <v>431</v>
      </c>
      <c r="I103" s="1714">
        <f>$E$2</f>
        <v>43229</v>
      </c>
      <c r="J103" s="1753">
        <v>2</v>
      </c>
      <c r="K103" s="1755" t="s">
        <v>103</v>
      </c>
      <c r="L103" s="1755" t="s">
        <v>3975</v>
      </c>
      <c r="M103" s="1754">
        <f t="shared" si="43"/>
        <v>86458</v>
      </c>
      <c r="N103" s="1772">
        <v>27</v>
      </c>
      <c r="O103" s="1712">
        <f>ROUND(M103*ROUND(N103,2)/10000,6)</f>
        <v>233.4366</v>
      </c>
      <c r="P103" s="1712">
        <f>IFERROR(ROUND(Q103*10000/M103,2),0)</f>
        <v>24.77</v>
      </c>
      <c r="Q103" s="1712">
        <f>ROUND(O103/(1+R103),6)</f>
        <v>214.16201799999999</v>
      </c>
      <c r="R103" s="1757">
        <v>0.09</v>
      </c>
      <c r="S103" s="1712">
        <f>O103-Q103</f>
        <v>19.274582000000009</v>
      </c>
      <c r="T103" s="1712"/>
      <c r="U103" s="1714">
        <f>O103+ROUND(T103,6)</f>
        <v>233.4366</v>
      </c>
      <c r="V103" s="1714">
        <f>U103-W103</f>
        <v>19.274582000000009</v>
      </c>
      <c r="W103" s="1714">
        <f>ROUND(U103/(1+R103),6)</f>
        <v>214.16201799999999</v>
      </c>
      <c r="X103" s="1794"/>
      <c r="Y103" s="1714">
        <f t="shared" si="36"/>
        <v>22.574488483690608</v>
      </c>
    </row>
    <row r="104" spans="1:25" s="1784" customFormat="1" ht="12" customHeight="1" outlineLevel="2">
      <c r="A104" s="1747" t="s">
        <v>3106</v>
      </c>
      <c r="B104" s="1820" t="s">
        <v>536</v>
      </c>
      <c r="C104" s="1789"/>
      <c r="D104" s="1790" t="s">
        <v>3358</v>
      </c>
      <c r="E104" s="1759" t="s">
        <v>3359</v>
      </c>
      <c r="F104" s="1707" t="s">
        <v>3338</v>
      </c>
      <c r="G104" s="1707" t="s">
        <v>4185</v>
      </c>
      <c r="H104" s="1810" t="s">
        <v>431</v>
      </c>
      <c r="I104" s="1714">
        <f>$E$2</f>
        <v>43229</v>
      </c>
      <c r="J104" s="1753">
        <v>1</v>
      </c>
      <c r="K104" s="1755" t="s">
        <v>103</v>
      </c>
      <c r="L104" s="1755" t="s">
        <v>3978</v>
      </c>
      <c r="M104" s="1754">
        <f t="shared" si="43"/>
        <v>43229</v>
      </c>
      <c r="N104" s="1772">
        <f>200000/43229</f>
        <v>4.6265238612968149</v>
      </c>
      <c r="O104" s="1712">
        <f>ROUND(M104*ROUND(N104,2)/10000,6)</f>
        <v>20.015027</v>
      </c>
      <c r="P104" s="1712">
        <f>IFERROR(ROUND(Q104*10000/M104,2),0)</f>
        <v>4.25</v>
      </c>
      <c r="Q104" s="1712">
        <f>ROUND(O104/(1+R104),6)</f>
        <v>18.362410000000001</v>
      </c>
      <c r="R104" s="1757">
        <v>0.09</v>
      </c>
      <c r="S104" s="1712">
        <f>O104-Q104</f>
        <v>1.6526169999999993</v>
      </c>
      <c r="T104" s="1712"/>
      <c r="U104" s="1714">
        <f>O104+ROUND(T104,6)</f>
        <v>20.015027</v>
      </c>
      <c r="V104" s="1714">
        <f>U104-W104</f>
        <v>1.6526169999999993</v>
      </c>
      <c r="W104" s="1714">
        <f>ROUND(U104/(1+R104),6)</f>
        <v>18.362410000000001</v>
      </c>
      <c r="X104" s="1794"/>
      <c r="Y104" s="1714">
        <f t="shared" si="36"/>
        <v>1.9355533644349538</v>
      </c>
    </row>
    <row r="105" spans="1:25" s="1693" customFormat="1">
      <c r="B105" s="1785" t="s">
        <v>537</v>
      </c>
      <c r="C105" s="1685" t="s">
        <v>28</v>
      </c>
      <c r="D105" s="1686" t="s">
        <v>486</v>
      </c>
      <c r="E105" s="1686"/>
      <c r="F105" s="1687"/>
      <c r="G105" s="1687" t="s">
        <v>4117</v>
      </c>
      <c r="H105" s="1688"/>
      <c r="I105" s="1689"/>
      <c r="J105" s="1690"/>
      <c r="K105" s="1689"/>
      <c r="L105" s="1689"/>
      <c r="M105" s="1689"/>
      <c r="N105" s="1689"/>
      <c r="O105" s="1689">
        <f>SUBTOTAL(9,O106:O131)</f>
        <v>3822.045893</v>
      </c>
      <c r="P105" s="1689"/>
      <c r="Q105" s="1689">
        <f>SUBTOTAL(9,Q106:Q131)</f>
        <v>3603.4211279999995</v>
      </c>
      <c r="R105" s="1691"/>
      <c r="S105" s="1689">
        <f>SUBTOTAL(9,S106:S131)</f>
        <v>218.62476500000002</v>
      </c>
      <c r="T105" s="1689">
        <v>0</v>
      </c>
      <c r="U105" s="1689">
        <f>SUBTOTAL(9,U106:U131)</f>
        <v>3822.045893</v>
      </c>
      <c r="V105" s="1689">
        <f>SUBTOTAL(9,V106:V131)</f>
        <v>218.62476500000002</v>
      </c>
      <c r="W105" s="1689">
        <f>SUBTOTAL(9,W106:W131)</f>
        <v>3603.4211279999995</v>
      </c>
      <c r="X105" s="1692"/>
      <c r="Y105" s="1689">
        <f t="shared" si="36"/>
        <v>369.6109821496093</v>
      </c>
    </row>
    <row r="106" spans="1:25" ht="12" customHeight="1" outlineLevel="1">
      <c r="B106" s="1786" t="s">
        <v>492</v>
      </c>
      <c r="C106" s="1729">
        <v>3</v>
      </c>
      <c r="D106" s="1787" t="s">
        <v>493</v>
      </c>
      <c r="E106" s="1787"/>
      <c r="F106" s="1697"/>
      <c r="G106" s="1697" t="s">
        <v>4117</v>
      </c>
      <c r="H106" s="1787"/>
      <c r="I106" s="1733"/>
      <c r="J106" s="1734"/>
      <c r="K106" s="1733"/>
      <c r="L106" s="1733"/>
      <c r="M106" s="1733"/>
      <c r="N106" s="1733"/>
      <c r="O106" s="1701">
        <f>SUBTOTAL(9,O107:O130)</f>
        <v>3822.045893</v>
      </c>
      <c r="P106" s="1733"/>
      <c r="Q106" s="1701">
        <f>SUBTOTAL(9,Q107:Q130)</f>
        <v>3603.4211279999995</v>
      </c>
      <c r="R106" s="1735"/>
      <c r="S106" s="1701">
        <f>SUBTOTAL(9,S107:S130)</f>
        <v>218.62476500000002</v>
      </c>
      <c r="T106" s="1701">
        <v>0</v>
      </c>
      <c r="U106" s="1701">
        <f>SUBTOTAL(9,U107:U130)</f>
        <v>3822.045893</v>
      </c>
      <c r="V106" s="1701">
        <f>SUBTOTAL(9,V107:V130)</f>
        <v>218.62476500000002</v>
      </c>
      <c r="W106" s="1701">
        <f>SUBTOTAL(9,W107:W130)</f>
        <v>3603.4211279999995</v>
      </c>
      <c r="X106" s="1736"/>
      <c r="Y106" s="1701">
        <f t="shared" si="36"/>
        <v>369.6109821496093</v>
      </c>
    </row>
    <row r="107" spans="1:25" s="1784" customFormat="1" ht="12" customHeight="1" outlineLevel="2">
      <c r="B107" s="1821" t="s">
        <v>586</v>
      </c>
      <c r="C107" s="1738"/>
      <c r="D107" s="1739" t="s">
        <v>1292</v>
      </c>
      <c r="E107" s="1740"/>
      <c r="F107" s="1716"/>
      <c r="G107" s="1716" t="s">
        <v>4117</v>
      </c>
      <c r="H107" s="1800"/>
      <c r="I107" s="1743"/>
      <c r="J107" s="1744"/>
      <c r="K107" s="1743"/>
      <c r="L107" s="1743"/>
      <c r="M107" s="1743"/>
      <c r="N107" s="1743"/>
      <c r="O107" s="1743">
        <f>SUBTOTAL(9,O108:O117)</f>
        <v>874.08881000000008</v>
      </c>
      <c r="P107" s="1743"/>
      <c r="Q107" s="1743">
        <f>SUBTOTAL(9,Q108:Q117)</f>
        <v>800.79323599999987</v>
      </c>
      <c r="R107" s="1745"/>
      <c r="S107" s="1743">
        <f>SUBTOTAL(9,S108:S117)</f>
        <v>73.295574000000016</v>
      </c>
      <c r="T107" s="1743">
        <v>0</v>
      </c>
      <c r="U107" s="1743">
        <f>SUBTOTAL(9,U108:U117)</f>
        <v>874.08881000000008</v>
      </c>
      <c r="V107" s="1743">
        <f>SUBTOTAL(9,V108:V117)</f>
        <v>73.295574000000016</v>
      </c>
      <c r="W107" s="1743">
        <f>SUBTOTAL(9,W108:W117)</f>
        <v>800.79323599999987</v>
      </c>
      <c r="X107" s="1822"/>
      <c r="Y107" s="1743">
        <f t="shared" si="36"/>
        <v>84.52876616206639</v>
      </c>
    </row>
    <row r="108" spans="1:25" s="1784" customFormat="1" ht="12" customHeight="1" outlineLevel="3">
      <c r="B108" s="1820" t="s">
        <v>587</v>
      </c>
      <c r="C108" s="1749"/>
      <c r="D108" s="1823" t="s">
        <v>538</v>
      </c>
      <c r="E108" s="1759" t="s">
        <v>3532</v>
      </c>
      <c r="F108" s="1707"/>
      <c r="G108" s="1707"/>
      <c r="H108" s="1810"/>
      <c r="I108" s="1714"/>
      <c r="J108" s="1769"/>
      <c r="K108" s="1714"/>
      <c r="L108" s="1714"/>
      <c r="M108" s="1714"/>
      <c r="N108" s="1755"/>
      <c r="O108" s="1714">
        <f>SUBTOTAL(9,O109:O110)</f>
        <v>623.36060999999995</v>
      </c>
      <c r="P108" s="1714"/>
      <c r="Q108" s="1710">
        <f>SUBTOTAL(9,Q109:Q110)</f>
        <v>571.89046799999994</v>
      </c>
      <c r="R108" s="1805"/>
      <c r="S108" s="1714">
        <f>SUBTOTAL(9,S109:S110)</f>
        <v>51.47014200000001</v>
      </c>
      <c r="T108" s="1714">
        <v>0</v>
      </c>
      <c r="U108" s="1714">
        <f>SUBTOTAL(9,U109:U110)</f>
        <v>623.36060999999995</v>
      </c>
      <c r="V108" s="1714">
        <f>SUBTOTAL(9,V109:V110)</f>
        <v>51.47014200000001</v>
      </c>
      <c r="W108" s="1714">
        <f>SUBTOTAL(9,W109:W110)</f>
        <v>571.89046799999994</v>
      </c>
      <c r="X108" s="1824"/>
      <c r="Y108" s="1714">
        <f t="shared" si="36"/>
        <v>60.282093346250548</v>
      </c>
    </row>
    <row r="109" spans="1:25" s="1784" customFormat="1" ht="12" customHeight="1" outlineLevel="4">
      <c r="A109" s="1747" t="s">
        <v>3077</v>
      </c>
      <c r="B109" s="1825" t="s">
        <v>3979</v>
      </c>
      <c r="C109" s="1774"/>
      <c r="D109" s="1826" t="s">
        <v>3980</v>
      </c>
      <c r="E109" s="1827"/>
      <c r="F109" s="1778" t="s">
        <v>3827</v>
      </c>
      <c r="G109" s="1778" t="s">
        <v>4204</v>
      </c>
      <c r="H109" s="1828" t="s">
        <v>10</v>
      </c>
      <c r="I109" s="1779">
        <f>$E$3</f>
        <v>138524.57999999999</v>
      </c>
      <c r="J109" s="1753">
        <v>1</v>
      </c>
      <c r="K109" s="1779" t="s">
        <v>101</v>
      </c>
      <c r="L109" s="1779" t="s">
        <v>10</v>
      </c>
      <c r="M109" s="1779">
        <f>ROUND(I109,2)*ROUND(J109,4)</f>
        <v>138524.57999999999</v>
      </c>
      <c r="N109" s="1772">
        <v>29</v>
      </c>
      <c r="O109" s="1779">
        <f>ROUND(M109*ROUND(N109,2)/10000,6)</f>
        <v>401.72128199999997</v>
      </c>
      <c r="P109" s="1779">
        <f>IFERROR(ROUND(Q109*10000/M109,2),0)</f>
        <v>26.61</v>
      </c>
      <c r="Q109" s="1780">
        <f>ROUND(O109/(1+R109),6)</f>
        <v>368.55163499999998</v>
      </c>
      <c r="R109" s="1781">
        <v>0.09</v>
      </c>
      <c r="S109" s="1779">
        <f>O109-Q109</f>
        <v>33.169646999999998</v>
      </c>
      <c r="T109" s="1779"/>
      <c r="U109" s="1779">
        <f>O109+ROUND(T109,6)</f>
        <v>401.72128199999997</v>
      </c>
      <c r="V109" s="1779">
        <f>U109-W109</f>
        <v>33.169646999999998</v>
      </c>
      <c r="W109" s="1779">
        <f>ROUND(U109/(1+R109),6)</f>
        <v>368.55163499999998</v>
      </c>
      <c r="X109" s="1829"/>
      <c r="Y109" s="1779">
        <f t="shared" si="36"/>
        <v>38.848460156472576</v>
      </c>
    </row>
    <row r="110" spans="1:25" s="1784" customFormat="1" ht="12" customHeight="1" outlineLevel="4">
      <c r="A110" s="1747" t="s">
        <v>3077</v>
      </c>
      <c r="B110" s="1825" t="s">
        <v>3981</v>
      </c>
      <c r="C110" s="1774"/>
      <c r="D110" s="1826" t="s">
        <v>3982</v>
      </c>
      <c r="E110" s="1827"/>
      <c r="F110" s="1778" t="s">
        <v>3830</v>
      </c>
      <c r="G110" s="1778" t="s">
        <v>4205</v>
      </c>
      <c r="H110" s="1828" t="s">
        <v>10</v>
      </c>
      <c r="I110" s="1779">
        <f>$E$3</f>
        <v>138524.57999999999</v>
      </c>
      <c r="J110" s="1753">
        <v>1</v>
      </c>
      <c r="K110" s="1779" t="s">
        <v>101</v>
      </c>
      <c r="L110" s="1779" t="s">
        <v>10</v>
      </c>
      <c r="M110" s="1779">
        <f>ROUND(I110,2)*ROUND(J110,4)</f>
        <v>138524.57999999999</v>
      </c>
      <c r="N110" s="1772">
        <v>16</v>
      </c>
      <c r="O110" s="1779">
        <f>ROUND(M110*ROUND(N110,2)/10000,6)</f>
        <v>221.63932800000001</v>
      </c>
      <c r="P110" s="1779">
        <f>IFERROR(ROUND(Q110*10000/M110,2),0)</f>
        <v>14.68</v>
      </c>
      <c r="Q110" s="1780">
        <f>ROUND(O110/(1+R110),6)</f>
        <v>203.33883299999999</v>
      </c>
      <c r="R110" s="1781">
        <v>0.09</v>
      </c>
      <c r="S110" s="1779">
        <f>O110-Q110</f>
        <v>18.300495000000012</v>
      </c>
      <c r="T110" s="1779"/>
      <c r="U110" s="1779">
        <f>O110+ROUND(T110,6)</f>
        <v>221.63932800000001</v>
      </c>
      <c r="V110" s="1779">
        <f>U110-W110</f>
        <v>18.300495000000012</v>
      </c>
      <c r="W110" s="1779">
        <f>ROUND(U110/(1+R110),6)</f>
        <v>203.33883299999999</v>
      </c>
      <c r="X110" s="1829"/>
      <c r="Y110" s="1779">
        <f t="shared" si="36"/>
        <v>21.433633189777975</v>
      </c>
    </row>
    <row r="111" spans="1:25" s="1784" customFormat="1" ht="12" customHeight="1" outlineLevel="3">
      <c r="A111" s="1813" t="s">
        <v>3983</v>
      </c>
      <c r="B111" s="1820" t="s">
        <v>588</v>
      </c>
      <c r="C111" s="1749"/>
      <c r="D111" s="1823" t="s">
        <v>3533</v>
      </c>
      <c r="E111" s="1759" t="s">
        <v>3534</v>
      </c>
      <c r="F111" s="1812" t="s">
        <v>455</v>
      </c>
      <c r="G111" s="1707" t="s">
        <v>4128</v>
      </c>
      <c r="H111" s="1705" t="s">
        <v>431</v>
      </c>
      <c r="I111" s="1714">
        <f t="shared" ref="I111:I112" si="51">$E$2</f>
        <v>43229</v>
      </c>
      <c r="J111" s="1753">
        <v>1</v>
      </c>
      <c r="K111" s="1755" t="s">
        <v>101</v>
      </c>
      <c r="L111" s="1755" t="s">
        <v>10</v>
      </c>
      <c r="M111" s="1714">
        <f>ROUND(I111,2)*ROUND(J111,4)</f>
        <v>43229</v>
      </c>
      <c r="N111" s="1772">
        <v>10</v>
      </c>
      <c r="O111" s="1714">
        <f>ROUND(M111*ROUND(N111,2)/10000,6)</f>
        <v>43.228999999999999</v>
      </c>
      <c r="P111" s="1714">
        <f>IFERROR(ROUND(Q111*10000/M111,2),0)</f>
        <v>9.17</v>
      </c>
      <c r="Q111" s="1710">
        <f>ROUND(O111/(1+R111),6)</f>
        <v>39.659632999999999</v>
      </c>
      <c r="R111" s="1805">
        <v>0.09</v>
      </c>
      <c r="S111" s="1714">
        <f>O111-Q111</f>
        <v>3.5693669999999997</v>
      </c>
      <c r="T111" s="1714"/>
      <c r="U111" s="1714">
        <f>O111+ROUND(T111,6)</f>
        <v>43.228999999999999</v>
      </c>
      <c r="V111" s="1714">
        <f>U111-W111</f>
        <v>3.5693669999999997</v>
      </c>
      <c r="W111" s="1714">
        <f>ROUND(U111/(1+R111),6)</f>
        <v>39.659632999999999</v>
      </c>
      <c r="X111" s="1824"/>
      <c r="Y111" s="1714">
        <f t="shared" si="36"/>
        <v>4.1804608303130752</v>
      </c>
    </row>
    <row r="112" spans="1:25" s="1784" customFormat="1" ht="12" customHeight="1" outlineLevel="3">
      <c r="A112" s="1747" t="s">
        <v>3078</v>
      </c>
      <c r="B112" s="1820" t="s">
        <v>589</v>
      </c>
      <c r="C112" s="1749"/>
      <c r="D112" s="1823" t="s">
        <v>3535</v>
      </c>
      <c r="E112" s="1759" t="s">
        <v>3536</v>
      </c>
      <c r="F112" s="1707" t="s">
        <v>3537</v>
      </c>
      <c r="G112" s="1707" t="s">
        <v>4188</v>
      </c>
      <c r="H112" s="1705" t="s">
        <v>431</v>
      </c>
      <c r="I112" s="1714">
        <f t="shared" si="51"/>
        <v>43229</v>
      </c>
      <c r="J112" s="1753">
        <v>1</v>
      </c>
      <c r="K112" s="1755" t="s">
        <v>101</v>
      </c>
      <c r="L112" s="1755" t="s">
        <v>10</v>
      </c>
      <c r="M112" s="1714">
        <f>ROUND(I112,2)*ROUND(J112,4)</f>
        <v>43229</v>
      </c>
      <c r="N112" s="1772">
        <v>12</v>
      </c>
      <c r="O112" s="1714">
        <f>ROUND(M112*ROUND(N112,2)/10000,6)</f>
        <v>51.8748</v>
      </c>
      <c r="P112" s="1714">
        <f>IFERROR(ROUND(Q112*10000/M112,2),0)</f>
        <v>11.01</v>
      </c>
      <c r="Q112" s="1710">
        <f>ROUND(O112/(1+R112),6)</f>
        <v>47.591560000000001</v>
      </c>
      <c r="R112" s="1805">
        <v>0.09</v>
      </c>
      <c r="S112" s="1714">
        <f>O112-Q112</f>
        <v>4.2832399999999993</v>
      </c>
      <c r="T112" s="1714"/>
      <c r="U112" s="1714">
        <f>O112+ROUND(T112,6)</f>
        <v>51.8748</v>
      </c>
      <c r="V112" s="1714">
        <f>U112-W112</f>
        <v>4.2832399999999993</v>
      </c>
      <c r="W112" s="1714">
        <f>ROUND(U112/(1+R112),6)</f>
        <v>47.591560000000001</v>
      </c>
      <c r="X112" s="1824"/>
      <c r="Y112" s="1714">
        <f t="shared" si="36"/>
        <v>5.0165529963756903</v>
      </c>
    </row>
    <row r="113" spans="1:25" s="1784" customFormat="1" ht="12" customHeight="1" outlineLevel="3">
      <c r="B113" s="1820" t="s">
        <v>3538</v>
      </c>
      <c r="C113" s="1749"/>
      <c r="D113" s="1823" t="s">
        <v>3539</v>
      </c>
      <c r="E113" s="1759" t="s">
        <v>3540</v>
      </c>
      <c r="F113" s="1707"/>
      <c r="G113" s="1707"/>
      <c r="H113" s="1705"/>
      <c r="I113" s="1714"/>
      <c r="J113" s="1769"/>
      <c r="K113" s="1714"/>
      <c r="L113" s="1714"/>
      <c r="M113" s="1714"/>
      <c r="N113" s="1714"/>
      <c r="O113" s="1714">
        <f>SUBTOTAL(9,O114:O115)</f>
        <v>121.04119999999999</v>
      </c>
      <c r="P113" s="1714"/>
      <c r="Q113" s="1710">
        <f>SUBTOTAL(9,Q114:Q115)</f>
        <v>111.04697300000001</v>
      </c>
      <c r="R113" s="1805"/>
      <c r="S113" s="1714">
        <f>SUBTOTAL(9,S114:S115)</f>
        <v>9.994226999999988</v>
      </c>
      <c r="T113" s="1714">
        <v>0</v>
      </c>
      <c r="U113" s="1714">
        <f>SUBTOTAL(9,U114:U115)</f>
        <v>121.04119999999999</v>
      </c>
      <c r="V113" s="1714">
        <f>SUBTOTAL(9,V114:V115)</f>
        <v>9.994226999999988</v>
      </c>
      <c r="W113" s="1714">
        <f>SUBTOTAL(9,W114:W115)</f>
        <v>111.04697300000001</v>
      </c>
      <c r="X113" s="1824"/>
      <c r="Y113" s="1714">
        <f t="shared" si="36"/>
        <v>11.705290324876611</v>
      </c>
    </row>
    <row r="114" spans="1:25" s="1784" customFormat="1" ht="12" customHeight="1" outlineLevel="4">
      <c r="A114" s="1747" t="s">
        <v>3078</v>
      </c>
      <c r="B114" s="1825" t="s">
        <v>3984</v>
      </c>
      <c r="C114" s="1774"/>
      <c r="D114" s="1826" t="s">
        <v>3985</v>
      </c>
      <c r="E114" s="1827"/>
      <c r="F114" s="1778" t="s">
        <v>3537</v>
      </c>
      <c r="G114" s="1778" t="s">
        <v>4188</v>
      </c>
      <c r="H114" s="1828" t="s">
        <v>431</v>
      </c>
      <c r="I114" s="1779">
        <f t="shared" ref="I114:I117" si="52">$E$2</f>
        <v>43229</v>
      </c>
      <c r="J114" s="1753">
        <v>1</v>
      </c>
      <c r="K114" s="1779" t="s">
        <v>101</v>
      </c>
      <c r="L114" s="1779" t="s">
        <v>10</v>
      </c>
      <c r="M114" s="1779">
        <f>ROUND(I114,2)*ROUND(J114,4)</f>
        <v>43229</v>
      </c>
      <c r="N114" s="1772">
        <v>26</v>
      </c>
      <c r="O114" s="1779">
        <f>ROUND(M114*ROUND(N114,2)/10000,6)</f>
        <v>112.3954</v>
      </c>
      <c r="P114" s="1779">
        <f>IFERROR(ROUND(Q114*10000/M114,2),0)</f>
        <v>23.85</v>
      </c>
      <c r="Q114" s="1780">
        <f>ROUND(O114/(1+R114),6)</f>
        <v>103.11504600000001</v>
      </c>
      <c r="R114" s="1781">
        <v>0.09</v>
      </c>
      <c r="S114" s="1779">
        <f>O114-Q114</f>
        <v>9.2803539999999884</v>
      </c>
      <c r="T114" s="1779"/>
      <c r="U114" s="1779">
        <f>O114+ROUND(T114,6)</f>
        <v>112.3954</v>
      </c>
      <c r="V114" s="1779">
        <f>U114-W114</f>
        <v>9.2803539999999884</v>
      </c>
      <c r="W114" s="1779">
        <f>ROUND(U114/(1+R114),6)</f>
        <v>103.11504600000001</v>
      </c>
      <c r="X114" s="1829"/>
      <c r="Y114" s="1779">
        <f t="shared" si="36"/>
        <v>10.869198158813996</v>
      </c>
    </row>
    <row r="115" spans="1:25" s="1784" customFormat="1" ht="12" customHeight="1" outlineLevel="4">
      <c r="A115" s="1747" t="s">
        <v>3078</v>
      </c>
      <c r="B115" s="1825" t="s">
        <v>3986</v>
      </c>
      <c r="C115" s="1774"/>
      <c r="D115" s="1826" t="s">
        <v>3987</v>
      </c>
      <c r="E115" s="1827"/>
      <c r="F115" s="1778" t="s">
        <v>3830</v>
      </c>
      <c r="G115" s="1778" t="s">
        <v>4205</v>
      </c>
      <c r="H115" s="1828" t="s">
        <v>431</v>
      </c>
      <c r="I115" s="1779">
        <f t="shared" si="52"/>
        <v>43229</v>
      </c>
      <c r="J115" s="1830">
        <v>1</v>
      </c>
      <c r="K115" s="1779" t="s">
        <v>101</v>
      </c>
      <c r="L115" s="1779" t="s">
        <v>10</v>
      </c>
      <c r="M115" s="1779">
        <f>ROUND(I115,2)*ROUND(J115,4)</f>
        <v>43229</v>
      </c>
      <c r="N115" s="1779">
        <v>2</v>
      </c>
      <c r="O115" s="1779">
        <f>ROUND(M115*ROUND(N115,2)/10000,6)</f>
        <v>8.6457999999999995</v>
      </c>
      <c r="P115" s="1779">
        <f>IFERROR(ROUND(Q115*10000/M115,2),0)</f>
        <v>1.83</v>
      </c>
      <c r="Q115" s="1780">
        <f>ROUND(O115/(1+R115),6)</f>
        <v>7.9319269999999999</v>
      </c>
      <c r="R115" s="1781">
        <v>0.09</v>
      </c>
      <c r="S115" s="1779">
        <f>O115-Q115</f>
        <v>0.71387299999999954</v>
      </c>
      <c r="T115" s="1779"/>
      <c r="U115" s="1779">
        <f>O115+ROUND(T115,6)</f>
        <v>8.6457999999999995</v>
      </c>
      <c r="V115" s="1779">
        <f>U115-W115</f>
        <v>0.71387299999999954</v>
      </c>
      <c r="W115" s="1779">
        <f>ROUND(U115/(1+R115),6)</f>
        <v>7.9319269999999999</v>
      </c>
      <c r="X115" s="1829"/>
      <c r="Y115" s="1779">
        <f t="shared" si="36"/>
        <v>0.83609216606261516</v>
      </c>
    </row>
    <row r="116" spans="1:25" s="1784" customFormat="1" ht="12" customHeight="1" outlineLevel="3">
      <c r="B116" s="1820" t="s">
        <v>3541</v>
      </c>
      <c r="C116" s="1749"/>
      <c r="D116" s="1823" t="s">
        <v>3542</v>
      </c>
      <c r="E116" s="1759" t="s">
        <v>3543</v>
      </c>
      <c r="F116" s="1707" t="s">
        <v>3537</v>
      </c>
      <c r="G116" s="1707" t="s">
        <v>4188</v>
      </c>
      <c r="H116" s="1705" t="s">
        <v>10</v>
      </c>
      <c r="I116" s="1714">
        <f>$E$3</f>
        <v>138524.57999999999</v>
      </c>
      <c r="J116" s="1769"/>
      <c r="K116" s="1714" t="s">
        <v>101</v>
      </c>
      <c r="L116" s="1755" t="s">
        <v>10</v>
      </c>
      <c r="M116" s="1714">
        <f>ROUND(I116,2)*ROUND(J116,4)</f>
        <v>0</v>
      </c>
      <c r="N116" s="1714"/>
      <c r="O116" s="1714">
        <f>ROUND(M116*ROUND(N116,2)/10000,6)</f>
        <v>0</v>
      </c>
      <c r="P116" s="1714">
        <f>IFERROR(ROUND(Q116*10000/M116,2),0)</f>
        <v>0</v>
      </c>
      <c r="Q116" s="1710">
        <f>ROUND(O116/(1+R116),6)</f>
        <v>0</v>
      </c>
      <c r="R116" s="1805">
        <v>0.09</v>
      </c>
      <c r="S116" s="1714">
        <f>O116-Q116</f>
        <v>0</v>
      </c>
      <c r="T116" s="1714"/>
      <c r="U116" s="1714">
        <f>O116+ROUND(T116,6)</f>
        <v>0</v>
      </c>
      <c r="V116" s="1714">
        <f>U116-W116</f>
        <v>0</v>
      </c>
      <c r="W116" s="1714">
        <f>ROUND(U116/(1+R116),6)</f>
        <v>0</v>
      </c>
      <c r="X116" s="1824"/>
      <c r="Y116" s="1714">
        <f t="shared" si="36"/>
        <v>0</v>
      </c>
    </row>
    <row r="117" spans="1:25" s="1784" customFormat="1" ht="12" customHeight="1" outlineLevel="3">
      <c r="A117" s="1747" t="s">
        <v>3078</v>
      </c>
      <c r="B117" s="1820" t="s">
        <v>3544</v>
      </c>
      <c r="C117" s="1749"/>
      <c r="D117" s="1823" t="s">
        <v>3545</v>
      </c>
      <c r="E117" s="1759" t="s">
        <v>3546</v>
      </c>
      <c r="F117" s="1707" t="s">
        <v>3422</v>
      </c>
      <c r="G117" s="1707" t="s">
        <v>4126</v>
      </c>
      <c r="H117" s="1828" t="s">
        <v>431</v>
      </c>
      <c r="I117" s="1779">
        <f t="shared" si="52"/>
        <v>43229</v>
      </c>
      <c r="J117" s="1753">
        <v>1</v>
      </c>
      <c r="K117" s="1714" t="s">
        <v>101</v>
      </c>
      <c r="L117" s="1755" t="s">
        <v>10</v>
      </c>
      <c r="M117" s="1714">
        <f>ROUND(I117,2)*ROUND(J117,4)</f>
        <v>43229</v>
      </c>
      <c r="N117" s="1772">
        <v>8</v>
      </c>
      <c r="O117" s="1714">
        <f>ROUND(M117*ROUND(N117,2)/10000,6)</f>
        <v>34.583199999999998</v>
      </c>
      <c r="P117" s="1714">
        <f>IFERROR(ROUND(Q117*10000/M117,2),0)</f>
        <v>7.08</v>
      </c>
      <c r="Q117" s="1710">
        <f>ROUND(O117/(1+R117),6)</f>
        <v>30.604602</v>
      </c>
      <c r="R117" s="1805">
        <v>0.13</v>
      </c>
      <c r="S117" s="1714">
        <f>O117-Q117</f>
        <v>3.9785979999999981</v>
      </c>
      <c r="T117" s="1714"/>
      <c r="U117" s="1714">
        <f>O117+ROUND(T117,6)</f>
        <v>34.583199999999998</v>
      </c>
      <c r="V117" s="1714">
        <f>U117-W117</f>
        <v>3.9785979999999981</v>
      </c>
      <c r="W117" s="1714">
        <f>ROUND(U117/(1+R117),6)</f>
        <v>30.604602</v>
      </c>
      <c r="X117" s="1824"/>
      <c r="Y117" s="1714">
        <f t="shared" si="36"/>
        <v>3.3443686642504606</v>
      </c>
    </row>
    <row r="118" spans="1:25" s="1784" customFormat="1" ht="12" customHeight="1" outlineLevel="2">
      <c r="B118" s="1821" t="s">
        <v>590</v>
      </c>
      <c r="C118" s="1738"/>
      <c r="D118" s="1739" t="s">
        <v>1296</v>
      </c>
      <c r="E118" s="1740"/>
      <c r="F118" s="1741"/>
      <c r="G118" s="1801" t="s">
        <v>4117</v>
      </c>
      <c r="H118" s="1800"/>
      <c r="I118" s="1743"/>
      <c r="J118" s="1744"/>
      <c r="K118" s="1743"/>
      <c r="L118" s="1743"/>
      <c r="M118" s="1743"/>
      <c r="N118" s="1743"/>
      <c r="O118" s="1743">
        <f>SUBTOTAL(9,O119:O121)</f>
        <v>1187.8591039999999</v>
      </c>
      <c r="P118" s="1743"/>
      <c r="Q118" s="1743">
        <f>SUBTOTAL(9,Q119:Q121)</f>
        <v>1187.8591039999999</v>
      </c>
      <c r="R118" s="1745"/>
      <c r="S118" s="1743">
        <f>SUBTOTAL(9,S119:S121)</f>
        <v>0</v>
      </c>
      <c r="T118" s="1743">
        <v>0</v>
      </c>
      <c r="U118" s="1743">
        <f>SUBTOTAL(9,U119:U121)</f>
        <v>1187.8591039999999</v>
      </c>
      <c r="V118" s="1743">
        <f>SUBTOTAL(9,V119:V121)</f>
        <v>0</v>
      </c>
      <c r="W118" s="1743">
        <f>SUBTOTAL(9,W119:W121)</f>
        <v>1187.8591039999999</v>
      </c>
      <c r="X118" s="1822"/>
      <c r="Y118" s="1743">
        <f t="shared" si="36"/>
        <v>114.87192524006537</v>
      </c>
    </row>
    <row r="119" spans="1:25" s="1784" customFormat="1" ht="12" customHeight="1" outlineLevel="3">
      <c r="A119" s="1747" t="s">
        <v>3079</v>
      </c>
      <c r="B119" s="1820" t="s">
        <v>591</v>
      </c>
      <c r="C119" s="1831"/>
      <c r="D119" s="1832" t="s">
        <v>3547</v>
      </c>
      <c r="E119" s="1759" t="s">
        <v>3548</v>
      </c>
      <c r="F119" s="1707" t="s">
        <v>1091</v>
      </c>
      <c r="G119" s="1707" t="s">
        <v>4182</v>
      </c>
      <c r="H119" s="1705" t="s">
        <v>10</v>
      </c>
      <c r="I119" s="1714">
        <f>$E$3-'全期规划指标 '!H41-'全期规划指标 '!H42</f>
        <v>129115.12</v>
      </c>
      <c r="J119" s="1753">
        <v>1</v>
      </c>
      <c r="K119" s="1714" t="s">
        <v>101</v>
      </c>
      <c r="L119" s="1755" t="s">
        <v>10</v>
      </c>
      <c r="M119" s="1714">
        <f t="shared" ref="M119:M131" si="53">ROUND(I119,2)*ROUND(J119,4)</f>
        <v>129115.12</v>
      </c>
      <c r="N119" s="1772">
        <v>92</v>
      </c>
      <c r="O119" s="1714">
        <f>ROUND(M119*ROUND(N119,2)/10000,6)</f>
        <v>1187.8591039999999</v>
      </c>
      <c r="P119" s="1714">
        <f>IFERROR(ROUND(Q119*10000/M119,2),0)</f>
        <v>92</v>
      </c>
      <c r="Q119" s="1710">
        <f>ROUND(O119/(1+R119),6)</f>
        <v>1187.8591039999999</v>
      </c>
      <c r="R119" s="1805">
        <v>0</v>
      </c>
      <c r="S119" s="1714">
        <f>O119-Q119</f>
        <v>0</v>
      </c>
      <c r="T119" s="1714"/>
      <c r="U119" s="1714">
        <f>O119+ROUND(T119,6)</f>
        <v>1187.8591039999999</v>
      </c>
      <c r="V119" s="1714">
        <f>U119-W119</f>
        <v>0</v>
      </c>
      <c r="W119" s="1714">
        <f>ROUND(U119/(1+R119),6)</f>
        <v>1187.8591039999999</v>
      </c>
      <c r="X119" s="1824"/>
      <c r="Y119" s="1714">
        <f t="shared" si="36"/>
        <v>114.87192524006537</v>
      </c>
    </row>
    <row r="120" spans="1:25" s="1784" customFormat="1" ht="12" customHeight="1" outlineLevel="3">
      <c r="A120" s="1747" t="s">
        <v>3079</v>
      </c>
      <c r="B120" s="1820" t="s">
        <v>592</v>
      </c>
      <c r="C120" s="1831"/>
      <c r="D120" s="1832" t="s">
        <v>541</v>
      </c>
      <c r="E120" s="1759" t="s">
        <v>3549</v>
      </c>
      <c r="F120" s="1812" t="s">
        <v>1091</v>
      </c>
      <c r="G120" s="1707" t="s">
        <v>4182</v>
      </c>
      <c r="H120" s="1705" t="s">
        <v>10</v>
      </c>
      <c r="I120" s="1714">
        <f>$E$3</f>
        <v>138524.57999999999</v>
      </c>
      <c r="J120" s="1769"/>
      <c r="K120" s="1714" t="s">
        <v>101</v>
      </c>
      <c r="L120" s="1714" t="s">
        <v>10</v>
      </c>
      <c r="M120" s="1714">
        <f t="shared" si="53"/>
        <v>0</v>
      </c>
      <c r="N120" s="1714"/>
      <c r="O120" s="1714">
        <f>ROUND(M120*ROUND(N120,2)/10000,6)</f>
        <v>0</v>
      </c>
      <c r="P120" s="1714">
        <f>IFERROR(ROUND(Q120*10000/M120,2),0)</f>
        <v>0</v>
      </c>
      <c r="Q120" s="1710">
        <f>ROUND(O120/(1+R120),6)</f>
        <v>0</v>
      </c>
      <c r="R120" s="1805">
        <v>0.09</v>
      </c>
      <c r="S120" s="1714">
        <f>O120-Q120</f>
        <v>0</v>
      </c>
      <c r="T120" s="1714"/>
      <c r="U120" s="1714">
        <f>O120+ROUND(T120,6)</f>
        <v>0</v>
      </c>
      <c r="V120" s="1714">
        <f>U120-W120</f>
        <v>0</v>
      </c>
      <c r="W120" s="1714">
        <f>ROUND(U120/(1+R120),6)</f>
        <v>0</v>
      </c>
      <c r="X120" s="1824"/>
      <c r="Y120" s="1714">
        <f t="shared" si="36"/>
        <v>0</v>
      </c>
    </row>
    <row r="121" spans="1:25" s="1784" customFormat="1" ht="12" customHeight="1" outlineLevel="3">
      <c r="A121" s="1747" t="s">
        <v>3079</v>
      </c>
      <c r="B121" s="1820" t="s">
        <v>3550</v>
      </c>
      <c r="C121" s="1831"/>
      <c r="D121" s="1832" t="s">
        <v>3551</v>
      </c>
      <c r="E121" s="1759" t="s">
        <v>3552</v>
      </c>
      <c r="F121" s="1812" t="s">
        <v>1091</v>
      </c>
      <c r="G121" s="1707" t="s">
        <v>4182</v>
      </c>
      <c r="H121" s="1727" t="s">
        <v>10</v>
      </c>
      <c r="I121" s="1714">
        <f>$E$3</f>
        <v>138524.57999999999</v>
      </c>
      <c r="J121" s="1769"/>
      <c r="K121" s="1714" t="s">
        <v>101</v>
      </c>
      <c r="L121" s="1714" t="s">
        <v>10</v>
      </c>
      <c r="M121" s="1714">
        <f t="shared" si="53"/>
        <v>0</v>
      </c>
      <c r="N121" s="1714"/>
      <c r="O121" s="1714">
        <f>ROUND(M121*ROUND(N121,2)/10000,6)</f>
        <v>0</v>
      </c>
      <c r="P121" s="1714">
        <f>IFERROR(ROUND(Q121*10000/M121,2),0)</f>
        <v>0</v>
      </c>
      <c r="Q121" s="1710">
        <f>ROUND(O121/(1+R121),6)</f>
        <v>0</v>
      </c>
      <c r="R121" s="1805">
        <v>0.09</v>
      </c>
      <c r="S121" s="1714">
        <f>O121-Q121</f>
        <v>0</v>
      </c>
      <c r="T121" s="1714"/>
      <c r="U121" s="1714">
        <f>O121+ROUND(T121,6)</f>
        <v>0</v>
      </c>
      <c r="V121" s="1714">
        <f>U121-W121</f>
        <v>0</v>
      </c>
      <c r="W121" s="1714">
        <f>ROUND(U121/(1+R121),6)</f>
        <v>0</v>
      </c>
      <c r="X121" s="1824"/>
      <c r="Y121" s="1714">
        <f t="shared" si="36"/>
        <v>0</v>
      </c>
    </row>
    <row r="122" spans="1:25" s="1784" customFormat="1" ht="12" customHeight="1" outlineLevel="2">
      <c r="A122" s="1747" t="s">
        <v>3080</v>
      </c>
      <c r="B122" s="1821" t="s">
        <v>593</v>
      </c>
      <c r="C122" s="1738"/>
      <c r="D122" s="1739" t="s">
        <v>1298</v>
      </c>
      <c r="E122" s="1833" t="s">
        <v>3553</v>
      </c>
      <c r="F122" s="1716" t="s">
        <v>3470</v>
      </c>
      <c r="G122" s="1801" t="s">
        <v>4135</v>
      </c>
      <c r="H122" s="1800" t="s">
        <v>10</v>
      </c>
      <c r="I122" s="1834">
        <f>$E$3</f>
        <v>138524.57999999999</v>
      </c>
      <c r="J122" s="1753">
        <v>1</v>
      </c>
      <c r="K122" s="1834" t="s">
        <v>101</v>
      </c>
      <c r="L122" s="1834" t="s">
        <v>10</v>
      </c>
      <c r="M122" s="1834">
        <f t="shared" si="53"/>
        <v>138524.57999999999</v>
      </c>
      <c r="N122" s="1772">
        <v>18</v>
      </c>
      <c r="O122" s="1743">
        <f>ROUND(M122*ROUND(N122,2)/10000,6)</f>
        <v>249.344244</v>
      </c>
      <c r="P122" s="1834">
        <f>IFERROR(ROUND(Q122*10000/M122,2),0)</f>
        <v>16.510000000000002</v>
      </c>
      <c r="Q122" s="1720">
        <f>ROUND(O122/(1+R122),6)</f>
        <v>228.75618700000001</v>
      </c>
      <c r="R122" s="1835">
        <v>0.09</v>
      </c>
      <c r="S122" s="1743">
        <f>O122-Q122</f>
        <v>20.588056999999992</v>
      </c>
      <c r="T122" s="1743"/>
      <c r="U122" s="1743">
        <f>O122+ROUND(T122,6)</f>
        <v>249.344244</v>
      </c>
      <c r="V122" s="1743">
        <f>U122-W122</f>
        <v>20.588056999999992</v>
      </c>
      <c r="W122" s="1743">
        <f>ROUND(U122/(1+R122),6)</f>
        <v>228.75618700000001</v>
      </c>
      <c r="X122" s="1746"/>
      <c r="Y122" s="1743">
        <f t="shared" si="36"/>
        <v>24.112837338500221</v>
      </c>
    </row>
    <row r="123" spans="1:25" s="1784" customFormat="1" ht="12" customHeight="1" outlineLevel="2">
      <c r="B123" s="1821" t="s">
        <v>1304</v>
      </c>
      <c r="C123" s="1738"/>
      <c r="D123" s="1739" t="s">
        <v>1305</v>
      </c>
      <c r="E123" s="1740"/>
      <c r="F123" s="1716"/>
      <c r="G123" s="1716" t="s">
        <v>4117</v>
      </c>
      <c r="H123" s="1836"/>
      <c r="I123" s="1743"/>
      <c r="J123" s="1744"/>
      <c r="K123" s="1743"/>
      <c r="L123" s="1743"/>
      <c r="M123" s="1743"/>
      <c r="N123" s="1743"/>
      <c r="O123" s="1743">
        <f>SUBTOTAL(9,O124:O128)</f>
        <v>1489.1392350000001</v>
      </c>
      <c r="P123" s="1743"/>
      <c r="Q123" s="1743">
        <f>SUBTOTAL(9,Q124:Q128)</f>
        <v>1366.1827840000001</v>
      </c>
      <c r="R123" s="1745"/>
      <c r="S123" s="1743">
        <f>SUBTOTAL(9,S124:S128)</f>
        <v>122.95645100000002</v>
      </c>
      <c r="T123" s="1743">
        <v>0</v>
      </c>
      <c r="U123" s="1743">
        <f>SUBTOTAL(9,U124:U128)</f>
        <v>1489.1392350000001</v>
      </c>
      <c r="V123" s="1743">
        <f>SUBTOTAL(9,V124:V128)</f>
        <v>122.95645100000002</v>
      </c>
      <c r="W123" s="1743">
        <f>SUBTOTAL(9,W124:W128)</f>
        <v>1366.1827840000001</v>
      </c>
      <c r="X123" s="1822"/>
      <c r="Y123" s="1743">
        <f t="shared" si="36"/>
        <v>144.00722299382079</v>
      </c>
    </row>
    <row r="124" spans="1:25" s="1784" customFormat="1" ht="12" customHeight="1" outlineLevel="3">
      <c r="A124" s="1747" t="s">
        <v>3081</v>
      </c>
      <c r="B124" s="1820" t="s">
        <v>596</v>
      </c>
      <c r="C124" s="1749"/>
      <c r="D124" s="1823" t="s">
        <v>3554</v>
      </c>
      <c r="E124" s="1759" t="s">
        <v>3555</v>
      </c>
      <c r="F124" s="1796" t="s">
        <v>1307</v>
      </c>
      <c r="G124" s="1707" t="s">
        <v>4131</v>
      </c>
      <c r="H124" s="1705" t="s">
        <v>10</v>
      </c>
      <c r="I124" s="1755">
        <f>$E$3</f>
        <v>138524.57999999999</v>
      </c>
      <c r="J124" s="1753">
        <v>1</v>
      </c>
      <c r="K124" s="1714" t="s">
        <v>101</v>
      </c>
      <c r="L124" s="1705" t="s">
        <v>10</v>
      </c>
      <c r="M124" s="1755">
        <f t="shared" si="53"/>
        <v>138524.57999999999</v>
      </c>
      <c r="N124" s="1772">
        <v>107.5</v>
      </c>
      <c r="O124" s="1714">
        <f t="shared" ref="O124:O131" si="54">ROUND(M124*ROUND(N124,2)/10000,6)</f>
        <v>1489.1392350000001</v>
      </c>
      <c r="P124" s="1714">
        <f t="shared" ref="P124:P131" si="55">IFERROR(ROUND(Q124*10000/M124,2),0)</f>
        <v>98.62</v>
      </c>
      <c r="Q124" s="1710">
        <f t="shared" ref="Q124:Q131" si="56">ROUND(O124/(1+R124),6)</f>
        <v>1366.1827840000001</v>
      </c>
      <c r="R124" s="1805">
        <v>0.09</v>
      </c>
      <c r="S124" s="1714">
        <f t="shared" ref="S124:S131" si="57">O124-Q124</f>
        <v>122.95645100000002</v>
      </c>
      <c r="T124" s="1714"/>
      <c r="U124" s="1714">
        <f t="shared" ref="U124:U131" si="58">O124+ROUND(T124,6)</f>
        <v>1489.1392350000001</v>
      </c>
      <c r="V124" s="1714">
        <f>U124-W124</f>
        <v>122.95645100000002</v>
      </c>
      <c r="W124" s="1714">
        <f t="shared" ref="W124:W131" si="59">ROUND(U124/(1+R124),6)</f>
        <v>1366.1827840000001</v>
      </c>
      <c r="X124" s="1824"/>
      <c r="Y124" s="1714">
        <f t="shared" si="36"/>
        <v>144.00722299382079</v>
      </c>
    </row>
    <row r="125" spans="1:25" s="1784" customFormat="1" ht="12" customHeight="1" outlineLevel="3">
      <c r="A125" s="1747" t="s">
        <v>3081</v>
      </c>
      <c r="B125" s="1820" t="s">
        <v>597</v>
      </c>
      <c r="C125" s="1749"/>
      <c r="D125" s="1823" t="s">
        <v>3557</v>
      </c>
      <c r="E125" s="1759" t="s">
        <v>3558</v>
      </c>
      <c r="F125" s="1796" t="s">
        <v>1312</v>
      </c>
      <c r="G125" s="1707" t="s">
        <v>4189</v>
      </c>
      <c r="H125" s="1705" t="s">
        <v>10</v>
      </c>
      <c r="I125" s="1755">
        <f t="shared" ref="I125:I129" si="60">$E$3</f>
        <v>138524.57999999999</v>
      </c>
      <c r="J125" s="1764">
        <v>1</v>
      </c>
      <c r="K125" s="1714" t="s">
        <v>101</v>
      </c>
      <c r="L125" s="1705" t="s">
        <v>10</v>
      </c>
      <c r="M125" s="1755">
        <f t="shared" si="53"/>
        <v>138524.57999999999</v>
      </c>
      <c r="N125" s="1714"/>
      <c r="O125" s="1714">
        <f t="shared" si="54"/>
        <v>0</v>
      </c>
      <c r="P125" s="1714">
        <f t="shared" si="55"/>
        <v>0</v>
      </c>
      <c r="Q125" s="1710">
        <f t="shared" si="56"/>
        <v>0</v>
      </c>
      <c r="R125" s="1805">
        <v>0.09</v>
      </c>
      <c r="S125" s="1714">
        <f t="shared" si="57"/>
        <v>0</v>
      </c>
      <c r="T125" s="1714"/>
      <c r="U125" s="1714">
        <f t="shared" si="58"/>
        <v>0</v>
      </c>
      <c r="V125" s="1714">
        <f t="shared" ref="V125:V131" si="61">U125-W125</f>
        <v>0</v>
      </c>
      <c r="W125" s="1714">
        <f t="shared" si="59"/>
        <v>0</v>
      </c>
      <c r="X125" s="1824"/>
      <c r="Y125" s="1714">
        <f t="shared" si="36"/>
        <v>0</v>
      </c>
    </row>
    <row r="126" spans="1:25" s="1784" customFormat="1" ht="12" customHeight="1" outlineLevel="3">
      <c r="A126" s="1747" t="s">
        <v>3081</v>
      </c>
      <c r="B126" s="1820" t="s">
        <v>598</v>
      </c>
      <c r="C126" s="1749"/>
      <c r="D126" s="1823" t="s">
        <v>3559</v>
      </c>
      <c r="E126" s="1759" t="s">
        <v>3560</v>
      </c>
      <c r="F126" s="1796" t="s">
        <v>454</v>
      </c>
      <c r="G126" s="1707" t="s">
        <v>4129</v>
      </c>
      <c r="H126" s="1705" t="s">
        <v>10</v>
      </c>
      <c r="I126" s="1755">
        <f t="shared" si="60"/>
        <v>138524.57999999999</v>
      </c>
      <c r="J126" s="1764"/>
      <c r="K126" s="1714" t="s">
        <v>101</v>
      </c>
      <c r="L126" s="1705" t="s">
        <v>10</v>
      </c>
      <c r="M126" s="1755">
        <f t="shared" si="53"/>
        <v>0</v>
      </c>
      <c r="N126" s="1755"/>
      <c r="O126" s="1714">
        <f t="shared" si="54"/>
        <v>0</v>
      </c>
      <c r="P126" s="1714">
        <f t="shared" si="55"/>
        <v>0</v>
      </c>
      <c r="Q126" s="1710">
        <f t="shared" si="56"/>
        <v>0</v>
      </c>
      <c r="R126" s="1805">
        <v>0.13</v>
      </c>
      <c r="S126" s="1714">
        <f t="shared" si="57"/>
        <v>0</v>
      </c>
      <c r="T126" s="1714"/>
      <c r="U126" s="1714">
        <f t="shared" si="58"/>
        <v>0</v>
      </c>
      <c r="V126" s="1714">
        <f t="shared" si="61"/>
        <v>0</v>
      </c>
      <c r="W126" s="1714">
        <f t="shared" si="59"/>
        <v>0</v>
      </c>
      <c r="X126" s="1824"/>
      <c r="Y126" s="1714">
        <f t="shared" si="36"/>
        <v>0</v>
      </c>
    </row>
    <row r="127" spans="1:25" s="1784" customFormat="1" ht="12" customHeight="1" outlineLevel="3">
      <c r="A127" s="1747" t="s">
        <v>3081</v>
      </c>
      <c r="B127" s="1820" t="s">
        <v>599</v>
      </c>
      <c r="C127" s="1749"/>
      <c r="D127" s="1823" t="s">
        <v>3561</v>
      </c>
      <c r="E127" s="1759" t="s">
        <v>3562</v>
      </c>
      <c r="F127" s="1796" t="s">
        <v>3556</v>
      </c>
      <c r="G127" s="1707" t="s">
        <v>4127</v>
      </c>
      <c r="H127" s="1705" t="s">
        <v>10</v>
      </c>
      <c r="I127" s="1755">
        <f t="shared" si="60"/>
        <v>138524.57999999999</v>
      </c>
      <c r="J127" s="1764"/>
      <c r="K127" s="1755" t="s">
        <v>101</v>
      </c>
      <c r="L127" s="1705" t="s">
        <v>10</v>
      </c>
      <c r="M127" s="1755">
        <f t="shared" si="53"/>
        <v>0</v>
      </c>
      <c r="N127" s="1755"/>
      <c r="O127" s="1714">
        <f t="shared" si="54"/>
        <v>0</v>
      </c>
      <c r="P127" s="1714">
        <f t="shared" si="55"/>
        <v>0</v>
      </c>
      <c r="Q127" s="1710">
        <f t="shared" si="56"/>
        <v>0</v>
      </c>
      <c r="R127" s="1805">
        <v>0.09</v>
      </c>
      <c r="S127" s="1714">
        <f t="shared" si="57"/>
        <v>0</v>
      </c>
      <c r="T127" s="1714"/>
      <c r="U127" s="1714">
        <f t="shared" si="58"/>
        <v>0</v>
      </c>
      <c r="V127" s="1714">
        <f t="shared" si="61"/>
        <v>0</v>
      </c>
      <c r="W127" s="1714">
        <f t="shared" si="59"/>
        <v>0</v>
      </c>
      <c r="X127" s="1824"/>
      <c r="Y127" s="1714">
        <f t="shared" si="36"/>
        <v>0</v>
      </c>
    </row>
    <row r="128" spans="1:25" s="1703" customFormat="1" ht="12" customHeight="1" outlineLevel="3">
      <c r="A128" s="1747" t="s">
        <v>3081</v>
      </c>
      <c r="B128" s="1820" t="s">
        <v>600</v>
      </c>
      <c r="C128" s="1749"/>
      <c r="D128" s="1823" t="s">
        <v>3563</v>
      </c>
      <c r="E128" s="1759" t="s">
        <v>3564</v>
      </c>
      <c r="F128" s="1796" t="s">
        <v>455</v>
      </c>
      <c r="G128" s="1707" t="s">
        <v>4128</v>
      </c>
      <c r="H128" s="1705" t="s">
        <v>10</v>
      </c>
      <c r="I128" s="1714">
        <f t="shared" si="60"/>
        <v>138524.57999999999</v>
      </c>
      <c r="J128" s="1764"/>
      <c r="K128" s="1714" t="s">
        <v>101</v>
      </c>
      <c r="L128" s="1705" t="s">
        <v>10</v>
      </c>
      <c r="M128" s="1714">
        <f t="shared" si="53"/>
        <v>0</v>
      </c>
      <c r="N128" s="1755"/>
      <c r="O128" s="1714">
        <f t="shared" si="54"/>
        <v>0</v>
      </c>
      <c r="P128" s="1714">
        <f t="shared" si="55"/>
        <v>0</v>
      </c>
      <c r="Q128" s="1710">
        <f t="shared" si="56"/>
        <v>0</v>
      </c>
      <c r="R128" s="1805">
        <v>0.09</v>
      </c>
      <c r="S128" s="1714">
        <f t="shared" si="57"/>
        <v>0</v>
      </c>
      <c r="T128" s="1714"/>
      <c r="U128" s="1714">
        <f t="shared" si="58"/>
        <v>0</v>
      </c>
      <c r="V128" s="1714">
        <f t="shared" si="61"/>
        <v>0</v>
      </c>
      <c r="W128" s="1714">
        <f t="shared" si="59"/>
        <v>0</v>
      </c>
      <c r="X128" s="1837"/>
      <c r="Y128" s="1714">
        <f t="shared" si="36"/>
        <v>0</v>
      </c>
    </row>
    <row r="129" spans="1:25" s="1784" customFormat="1" ht="12" customHeight="1" outlineLevel="2">
      <c r="B129" s="1820" t="s">
        <v>3565</v>
      </c>
      <c r="C129" s="1789"/>
      <c r="D129" s="1790" t="s">
        <v>3566</v>
      </c>
      <c r="E129" s="1759" t="s">
        <v>3567</v>
      </c>
      <c r="F129" s="1796" t="s">
        <v>3568</v>
      </c>
      <c r="G129" s="1707" t="s">
        <v>4190</v>
      </c>
      <c r="H129" s="1705" t="s">
        <v>10</v>
      </c>
      <c r="I129" s="1714">
        <f t="shared" si="60"/>
        <v>138524.57999999999</v>
      </c>
      <c r="J129" s="1764"/>
      <c r="K129" s="1714" t="s">
        <v>101</v>
      </c>
      <c r="L129" s="1705" t="s">
        <v>10</v>
      </c>
      <c r="M129" s="1714">
        <f t="shared" si="53"/>
        <v>0</v>
      </c>
      <c r="N129" s="1755"/>
      <c r="O129" s="1714">
        <f t="shared" si="54"/>
        <v>0</v>
      </c>
      <c r="P129" s="1714">
        <f t="shared" si="55"/>
        <v>0</v>
      </c>
      <c r="Q129" s="1710">
        <f t="shared" si="56"/>
        <v>0</v>
      </c>
      <c r="R129" s="1805">
        <v>0.09</v>
      </c>
      <c r="S129" s="1714">
        <f t="shared" si="57"/>
        <v>0</v>
      </c>
      <c r="T129" s="1714"/>
      <c r="U129" s="1714">
        <f t="shared" si="58"/>
        <v>0</v>
      </c>
      <c r="V129" s="1714">
        <f t="shared" si="61"/>
        <v>0</v>
      </c>
      <c r="W129" s="1714">
        <f t="shared" si="59"/>
        <v>0</v>
      </c>
      <c r="X129" s="1794"/>
      <c r="Y129" s="1714">
        <f t="shared" si="36"/>
        <v>0</v>
      </c>
    </row>
    <row r="130" spans="1:25" s="1784" customFormat="1" ht="12" customHeight="1" outlineLevel="2">
      <c r="A130" s="1813" t="s">
        <v>3088</v>
      </c>
      <c r="B130" s="1820" t="s">
        <v>3569</v>
      </c>
      <c r="C130" s="1789"/>
      <c r="D130" s="1790" t="s">
        <v>543</v>
      </c>
      <c r="E130" s="1759" t="s">
        <v>3570</v>
      </c>
      <c r="F130" s="1790" t="s">
        <v>3537</v>
      </c>
      <c r="G130" s="1707" t="s">
        <v>4188</v>
      </c>
      <c r="H130" s="1705" t="s">
        <v>431</v>
      </c>
      <c r="I130" s="1714">
        <f t="shared" ref="I130" si="62">$E$2</f>
        <v>43229</v>
      </c>
      <c r="J130" s="1753">
        <v>1</v>
      </c>
      <c r="K130" s="1714" t="s">
        <v>101</v>
      </c>
      <c r="L130" s="1705" t="s">
        <v>10</v>
      </c>
      <c r="M130" s="1714">
        <f t="shared" si="53"/>
        <v>43229</v>
      </c>
      <c r="N130" s="1772">
        <v>5</v>
      </c>
      <c r="O130" s="1714">
        <f t="shared" si="54"/>
        <v>21.6145</v>
      </c>
      <c r="P130" s="1714">
        <f t="shared" si="55"/>
        <v>4.59</v>
      </c>
      <c r="Q130" s="1710">
        <f t="shared" si="56"/>
        <v>19.829816999999998</v>
      </c>
      <c r="R130" s="1805">
        <v>0.09</v>
      </c>
      <c r="S130" s="1714">
        <f t="shared" si="57"/>
        <v>1.7846830000000011</v>
      </c>
      <c r="T130" s="1714"/>
      <c r="U130" s="1714">
        <f t="shared" si="58"/>
        <v>21.6145</v>
      </c>
      <c r="V130" s="1714">
        <f t="shared" si="61"/>
        <v>1.7846830000000011</v>
      </c>
      <c r="W130" s="1714">
        <f t="shared" si="59"/>
        <v>19.829816999999998</v>
      </c>
      <c r="X130" s="1794"/>
      <c r="Y130" s="1714">
        <f t="shared" si="36"/>
        <v>2.0902304151565376</v>
      </c>
    </row>
    <row r="131" spans="1:25" s="1784" customFormat="1" ht="12" customHeight="1" outlineLevel="1">
      <c r="B131" s="1786" t="s">
        <v>494</v>
      </c>
      <c r="C131" s="1817">
        <v>4</v>
      </c>
      <c r="D131" s="1787" t="s">
        <v>602</v>
      </c>
      <c r="E131" s="1817" t="s">
        <v>3572</v>
      </c>
      <c r="F131" s="1838" t="s">
        <v>3573</v>
      </c>
      <c r="G131" s="1788" t="s">
        <v>4191</v>
      </c>
      <c r="H131" s="1818" t="s">
        <v>10</v>
      </c>
      <c r="I131" s="1733">
        <f>$E$3</f>
        <v>138524.57999999999</v>
      </c>
      <c r="J131" s="1734">
        <v>1</v>
      </c>
      <c r="K131" s="1733" t="s">
        <v>101</v>
      </c>
      <c r="L131" s="1733" t="s">
        <v>10</v>
      </c>
      <c r="M131" s="1733">
        <f t="shared" si="53"/>
        <v>138524.57999999999</v>
      </c>
      <c r="N131" s="1733">
        <v>0</v>
      </c>
      <c r="O131" s="1733">
        <f t="shared" si="54"/>
        <v>0</v>
      </c>
      <c r="P131" s="1733">
        <f t="shared" si="55"/>
        <v>0</v>
      </c>
      <c r="Q131" s="1733">
        <f t="shared" si="56"/>
        <v>0</v>
      </c>
      <c r="R131" s="1735">
        <v>0.09</v>
      </c>
      <c r="S131" s="1733">
        <f t="shared" si="57"/>
        <v>0</v>
      </c>
      <c r="T131" s="1733"/>
      <c r="U131" s="1733">
        <f t="shared" si="58"/>
        <v>0</v>
      </c>
      <c r="V131" s="1733">
        <f t="shared" si="61"/>
        <v>0</v>
      </c>
      <c r="W131" s="1733">
        <f t="shared" si="59"/>
        <v>0</v>
      </c>
      <c r="X131" s="1819"/>
      <c r="Y131" s="1733">
        <f t="shared" si="36"/>
        <v>0</v>
      </c>
    </row>
    <row r="132" spans="1:25" s="1693" customFormat="1">
      <c r="B132" s="1785" t="s">
        <v>1318</v>
      </c>
      <c r="C132" s="1685" t="s">
        <v>81</v>
      </c>
      <c r="D132" s="1686" t="s">
        <v>139</v>
      </c>
      <c r="E132" s="1686"/>
      <c r="F132" s="1687"/>
      <c r="G132" s="1687" t="s">
        <v>4117</v>
      </c>
      <c r="H132" s="1688"/>
      <c r="I132" s="1689"/>
      <c r="J132" s="1690"/>
      <c r="K132" s="1689"/>
      <c r="L132" s="1689"/>
      <c r="M132" s="1689"/>
      <c r="N132" s="1689"/>
      <c r="O132" s="1689">
        <f>SUBTOTAL(9,O133:O157)</f>
        <v>2033.413415</v>
      </c>
      <c r="P132" s="1689"/>
      <c r="Q132" s="1689">
        <f>SUBTOTAL(9,Q133:Q157)</f>
        <v>1863.2844739999998</v>
      </c>
      <c r="R132" s="1691"/>
      <c r="S132" s="1689">
        <f>SUBTOTAL(9,S133:S157)</f>
        <v>170.12894099999991</v>
      </c>
      <c r="T132" s="1689">
        <v>553.77687325430145</v>
      </c>
      <c r="U132" s="1689">
        <f>SUBTOTAL(9,U133:U157)</f>
        <v>2587.1902879999998</v>
      </c>
      <c r="V132" s="1689">
        <f>SUBTOTAL(9,V133:V157)</f>
        <v>215.85363699999996</v>
      </c>
      <c r="W132" s="1689">
        <f>SUBTOTAL(9,W133:W157)</f>
        <v>2371.3366509999996</v>
      </c>
      <c r="X132" s="1692"/>
      <c r="Y132" s="1689">
        <f t="shared" si="36"/>
        <v>250.19425986144498</v>
      </c>
    </row>
    <row r="133" spans="1:25" s="1784" customFormat="1" ht="12" customHeight="1" outlineLevel="1">
      <c r="B133" s="1694" t="s">
        <v>504</v>
      </c>
      <c r="C133" s="1817">
        <v>1</v>
      </c>
      <c r="D133" s="1787" t="s">
        <v>140</v>
      </c>
      <c r="E133" s="1817"/>
      <c r="F133" s="1788"/>
      <c r="G133" s="1788" t="s">
        <v>4117</v>
      </c>
      <c r="H133" s="1818"/>
      <c r="I133" s="1733"/>
      <c r="J133" s="1734"/>
      <c r="K133" s="1733"/>
      <c r="L133" s="1733"/>
      <c r="M133" s="1733"/>
      <c r="N133" s="1733"/>
      <c r="O133" s="1701">
        <f>SUBTOTAL(9,O134:O141)</f>
        <v>0</v>
      </c>
      <c r="P133" s="1733"/>
      <c r="Q133" s="1701">
        <f>SUBTOTAL(9,Q134:Q141)</f>
        <v>0</v>
      </c>
      <c r="R133" s="1735"/>
      <c r="S133" s="1701">
        <f>SUBTOTAL(9,S134:S141)</f>
        <v>0</v>
      </c>
      <c r="T133" s="1701">
        <v>0</v>
      </c>
      <c r="U133" s="1701">
        <f>SUBTOTAL(9,U134:U141)</f>
        <v>0</v>
      </c>
      <c r="V133" s="1701">
        <f>SUBTOTAL(9,V134:V141)</f>
        <v>0</v>
      </c>
      <c r="W133" s="1701">
        <f>SUBTOTAL(9,W134:W141)</f>
        <v>0</v>
      </c>
      <c r="X133" s="1736"/>
      <c r="Y133" s="1701">
        <f t="shared" si="36"/>
        <v>0</v>
      </c>
    </row>
    <row r="134" spans="1:25" s="1784" customFormat="1" ht="12" customHeight="1" outlineLevel="2">
      <c r="B134" s="1771" t="s">
        <v>1320</v>
      </c>
      <c r="C134" s="1789"/>
      <c r="D134" s="1790" t="s">
        <v>1321</v>
      </c>
      <c r="E134" s="1808"/>
      <c r="F134" s="1704" t="s">
        <v>1363</v>
      </c>
      <c r="G134" s="1707" t="s">
        <v>4155</v>
      </c>
      <c r="H134" s="1705" t="s">
        <v>431</v>
      </c>
      <c r="I134" s="1714">
        <f>E2</f>
        <v>43229</v>
      </c>
      <c r="J134" s="1764"/>
      <c r="K134" s="1755" t="s">
        <v>101</v>
      </c>
      <c r="L134" s="1755" t="s">
        <v>3988</v>
      </c>
      <c r="M134" s="1714">
        <f>ROUND(I134,2)*ROUND(J134,4)</f>
        <v>0</v>
      </c>
      <c r="N134" s="1714"/>
      <c r="O134" s="1714">
        <f>ROUND(M134*ROUND(N134,2)/10000,6)</f>
        <v>0</v>
      </c>
      <c r="P134" s="1714">
        <f>IFERROR(ROUND(Q134*10000/M134,2),0)</f>
        <v>0</v>
      </c>
      <c r="Q134" s="1710">
        <f>ROUND(O134/(1+R134),6)</f>
        <v>0</v>
      </c>
      <c r="R134" s="1805">
        <v>0.09</v>
      </c>
      <c r="S134" s="1714">
        <f>O134-Q134</f>
        <v>0</v>
      </c>
      <c r="T134" s="1714"/>
      <c r="U134" s="1714">
        <f>O134+ROUND(T134,6)</f>
        <v>0</v>
      </c>
      <c r="V134" s="1714">
        <f>U134-W134</f>
        <v>0</v>
      </c>
      <c r="W134" s="1714">
        <f>ROUND(U134/(1+R134),6)</f>
        <v>0</v>
      </c>
      <c r="X134" s="1794"/>
      <c r="Y134" s="1714">
        <f t="shared" si="36"/>
        <v>0</v>
      </c>
    </row>
    <row r="135" spans="1:25" s="1784" customFormat="1" ht="12" customHeight="1" outlineLevel="2">
      <c r="B135" s="1771" t="s">
        <v>1322</v>
      </c>
      <c r="C135" s="1789"/>
      <c r="D135" s="1790" t="s">
        <v>1323</v>
      </c>
      <c r="E135" s="1808"/>
      <c r="F135" s="1812" t="s">
        <v>3962</v>
      </c>
      <c r="G135" s="1707" t="s">
        <v>4117</v>
      </c>
      <c r="H135" s="1705" t="s">
        <v>10</v>
      </c>
      <c r="I135" s="1714">
        <f t="shared" ref="I135:I141" si="63">$E$3</f>
        <v>138524.57999999999</v>
      </c>
      <c r="J135" s="1764"/>
      <c r="K135" s="1755" t="s">
        <v>101</v>
      </c>
      <c r="L135" s="1755" t="s">
        <v>3989</v>
      </c>
      <c r="M135" s="1755"/>
      <c r="N135" s="1755"/>
      <c r="O135" s="1755"/>
      <c r="P135" s="1755"/>
      <c r="Q135" s="1710"/>
      <c r="R135" s="1793"/>
      <c r="S135" s="1755"/>
      <c r="T135" s="1755"/>
      <c r="U135" s="1755"/>
      <c r="V135" s="1755"/>
      <c r="W135" s="1755"/>
      <c r="X135" s="1794"/>
      <c r="Y135" s="1755">
        <f t="shared" si="36"/>
        <v>0</v>
      </c>
    </row>
    <row r="136" spans="1:25" s="1784" customFormat="1" ht="12" customHeight="1" outlineLevel="2">
      <c r="B136" s="1771" t="s">
        <v>1330</v>
      </c>
      <c r="C136" s="1789"/>
      <c r="D136" s="1790" t="s">
        <v>1331</v>
      </c>
      <c r="E136" s="1808"/>
      <c r="F136" s="1812" t="s">
        <v>1091</v>
      </c>
      <c r="G136" s="1707" t="s">
        <v>4182</v>
      </c>
      <c r="H136" s="1705" t="s">
        <v>10</v>
      </c>
      <c r="I136" s="1714">
        <f t="shared" si="63"/>
        <v>138524.57999999999</v>
      </c>
      <c r="J136" s="1764"/>
      <c r="K136" s="1755" t="s">
        <v>101</v>
      </c>
      <c r="L136" s="1755" t="s">
        <v>3990</v>
      </c>
      <c r="M136" s="1755"/>
      <c r="N136" s="1755"/>
      <c r="O136" s="1755"/>
      <c r="P136" s="1755"/>
      <c r="Q136" s="1710"/>
      <c r="R136" s="1793"/>
      <c r="S136" s="1755"/>
      <c r="T136" s="1755"/>
      <c r="U136" s="1755"/>
      <c r="V136" s="1755"/>
      <c r="W136" s="1755"/>
      <c r="X136" s="1794"/>
      <c r="Y136" s="1755">
        <f t="shared" si="36"/>
        <v>0</v>
      </c>
    </row>
    <row r="137" spans="1:25" s="1784" customFormat="1" ht="12" customHeight="1" outlineLevel="2">
      <c r="B137" s="1771" t="s">
        <v>1332</v>
      </c>
      <c r="C137" s="1789"/>
      <c r="D137" s="1790" t="s">
        <v>1333</v>
      </c>
      <c r="E137" s="1808"/>
      <c r="F137" s="1812" t="s">
        <v>1091</v>
      </c>
      <c r="G137" s="1707" t="s">
        <v>4182</v>
      </c>
      <c r="H137" s="1705" t="s">
        <v>10</v>
      </c>
      <c r="I137" s="1714">
        <f t="shared" si="63"/>
        <v>138524.57999999999</v>
      </c>
      <c r="J137" s="1764"/>
      <c r="K137" s="1755" t="s">
        <v>101</v>
      </c>
      <c r="L137" s="1755" t="s">
        <v>3991</v>
      </c>
      <c r="M137" s="1755"/>
      <c r="N137" s="1755"/>
      <c r="O137" s="1755"/>
      <c r="P137" s="1755"/>
      <c r="Q137" s="1710"/>
      <c r="R137" s="1793"/>
      <c r="S137" s="1755"/>
      <c r="T137" s="1755"/>
      <c r="U137" s="1755"/>
      <c r="V137" s="1755"/>
      <c r="W137" s="1755"/>
      <c r="X137" s="1794"/>
      <c r="Y137" s="1755">
        <f t="shared" ref="Y137:Y192" si="64">U137/$G$4*10000</f>
        <v>0</v>
      </c>
    </row>
    <row r="138" spans="1:25" s="1784" customFormat="1" ht="12" customHeight="1" outlineLevel="2">
      <c r="B138" s="1771" t="s">
        <v>1334</v>
      </c>
      <c r="C138" s="1789"/>
      <c r="D138" s="1790" t="s">
        <v>1335</v>
      </c>
      <c r="E138" s="1808"/>
      <c r="F138" s="1812" t="s">
        <v>1091</v>
      </c>
      <c r="G138" s="1707" t="s">
        <v>4182</v>
      </c>
      <c r="H138" s="1705" t="s">
        <v>3969</v>
      </c>
      <c r="I138" s="1714">
        <v>27988.91</v>
      </c>
      <c r="J138" s="1764">
        <v>1</v>
      </c>
      <c r="K138" s="1755" t="s">
        <v>101</v>
      </c>
      <c r="L138" s="1755" t="s">
        <v>3992</v>
      </c>
      <c r="M138" s="1714">
        <f t="shared" ref="M138:M157" si="65">ROUND(I138,2)*ROUND(J138,4)</f>
        <v>27988.91</v>
      </c>
      <c r="N138" s="1755"/>
      <c r="O138" s="1714">
        <f>ROUND(M138*ROUND(N138,2)/10000,6)</f>
        <v>0</v>
      </c>
      <c r="P138" s="1714">
        <f>IFERROR(ROUND(Q138*10000/M138,2),0)</f>
        <v>0</v>
      </c>
      <c r="Q138" s="1710">
        <f>ROUND(O138/(1+R138),6)</f>
        <v>0</v>
      </c>
      <c r="R138" s="1805">
        <v>0.09</v>
      </c>
      <c r="S138" s="1714">
        <f>O138-Q138</f>
        <v>0</v>
      </c>
      <c r="T138" s="1714"/>
      <c r="U138" s="1714">
        <f>O138+ROUND(T138,6)</f>
        <v>0</v>
      </c>
      <c r="V138" s="1714">
        <f>U138-W138</f>
        <v>0</v>
      </c>
      <c r="W138" s="1714">
        <f>ROUND(U138/(1+R138),6)</f>
        <v>0</v>
      </c>
      <c r="X138" s="1794"/>
      <c r="Y138" s="1755">
        <f t="shared" si="64"/>
        <v>0</v>
      </c>
    </row>
    <row r="139" spans="1:25" s="1784" customFormat="1" ht="12" customHeight="1" outlineLevel="2">
      <c r="B139" s="1771" t="s">
        <v>1336</v>
      </c>
      <c r="C139" s="1789"/>
      <c r="D139" s="1790" t="s">
        <v>1337</v>
      </c>
      <c r="E139" s="1808"/>
      <c r="F139" s="1812" t="s">
        <v>3342</v>
      </c>
      <c r="G139" s="1707" t="s">
        <v>4116</v>
      </c>
      <c r="H139" s="1705" t="s">
        <v>10</v>
      </c>
      <c r="I139" s="1714">
        <f t="shared" si="63"/>
        <v>138524.57999999999</v>
      </c>
      <c r="J139" s="1764"/>
      <c r="K139" s="1755" t="s">
        <v>101</v>
      </c>
      <c r="L139" s="1755" t="s">
        <v>3993</v>
      </c>
      <c r="M139" s="1714">
        <f t="shared" si="65"/>
        <v>0</v>
      </c>
      <c r="N139" s="1755"/>
      <c r="O139" s="1755"/>
      <c r="P139" s="1755"/>
      <c r="Q139" s="1710"/>
      <c r="R139" s="1793">
        <v>0.09</v>
      </c>
      <c r="S139" s="1755"/>
      <c r="T139" s="1755"/>
      <c r="U139" s="1755"/>
      <c r="V139" s="1755"/>
      <c r="W139" s="1755"/>
      <c r="X139" s="1794"/>
      <c r="Y139" s="1755">
        <f t="shared" si="64"/>
        <v>0</v>
      </c>
    </row>
    <row r="140" spans="1:25" s="1784" customFormat="1" ht="12" customHeight="1" outlineLevel="2">
      <c r="B140" s="1771" t="s">
        <v>1338</v>
      </c>
      <c r="C140" s="1789"/>
      <c r="D140" s="1790" t="s">
        <v>1339</v>
      </c>
      <c r="E140" s="1808"/>
      <c r="F140" s="1812" t="s">
        <v>453</v>
      </c>
      <c r="G140" s="1707" t="s">
        <v>4192</v>
      </c>
      <c r="H140" s="1705" t="s">
        <v>3969</v>
      </c>
      <c r="I140" s="1714">
        <v>36688.379999999997</v>
      </c>
      <c r="J140" s="1764">
        <v>1</v>
      </c>
      <c r="K140" s="1755" t="s">
        <v>101</v>
      </c>
      <c r="L140" s="1755" t="s">
        <v>3994</v>
      </c>
      <c r="M140" s="1714">
        <f t="shared" si="65"/>
        <v>36688.379999999997</v>
      </c>
      <c r="N140" s="1755"/>
      <c r="O140" s="1714">
        <f>ROUND(M140*ROUND(N140,2)/10000,6)</f>
        <v>0</v>
      </c>
      <c r="P140" s="1714">
        <f>IFERROR(ROUND(Q140*10000/M140,2),0)</f>
        <v>0</v>
      </c>
      <c r="Q140" s="1710">
        <f>ROUND(O140/(1+R140),6)</f>
        <v>0</v>
      </c>
      <c r="R140" s="1805">
        <v>0.09</v>
      </c>
      <c r="S140" s="1714">
        <f>O140-Q140</f>
        <v>0</v>
      </c>
      <c r="T140" s="1714"/>
      <c r="U140" s="1714">
        <f>O140+ROUND(T140,6)</f>
        <v>0</v>
      </c>
      <c r="V140" s="1714">
        <f>U140-W140</f>
        <v>0</v>
      </c>
      <c r="W140" s="1714">
        <f>ROUND(U140/(1+R140),6)</f>
        <v>0</v>
      </c>
      <c r="X140" s="1809"/>
      <c r="Y140" s="1714">
        <f t="shared" si="64"/>
        <v>0</v>
      </c>
    </row>
    <row r="141" spans="1:25" s="1784" customFormat="1" ht="12" customHeight="1" outlineLevel="2">
      <c r="B141" s="1771" t="s">
        <v>1344</v>
      </c>
      <c r="C141" s="1789"/>
      <c r="D141" s="1790" t="s">
        <v>3764</v>
      </c>
      <c r="E141" s="1808"/>
      <c r="F141" s="1704" t="s">
        <v>1091</v>
      </c>
      <c r="G141" s="1707" t="s">
        <v>4182</v>
      </c>
      <c r="H141" s="1705" t="s">
        <v>10</v>
      </c>
      <c r="I141" s="1714">
        <f t="shared" si="63"/>
        <v>138524.57999999999</v>
      </c>
      <c r="J141" s="1764"/>
      <c r="K141" s="1755" t="s">
        <v>101</v>
      </c>
      <c r="L141" s="1755" t="s">
        <v>10</v>
      </c>
      <c r="M141" s="1714">
        <f t="shared" si="65"/>
        <v>0</v>
      </c>
      <c r="N141" s="1714"/>
      <c r="O141" s="1714">
        <f>ROUND(M141*ROUND(N141,2)/10000,6)</f>
        <v>0</v>
      </c>
      <c r="P141" s="1714">
        <f>IFERROR(ROUND(Q141*10000/M141,2),0)</f>
        <v>0</v>
      </c>
      <c r="Q141" s="1710">
        <f>ROUND(O141/(1+R141),6)</f>
        <v>0</v>
      </c>
      <c r="R141" s="1805">
        <v>0.09</v>
      </c>
      <c r="S141" s="1714">
        <f>O141-Q141</f>
        <v>0</v>
      </c>
      <c r="T141" s="1714"/>
      <c r="U141" s="1714">
        <f>O141+ROUND(T141,6)</f>
        <v>0</v>
      </c>
      <c r="V141" s="1714">
        <f>U141-W141</f>
        <v>0</v>
      </c>
      <c r="W141" s="1714">
        <f>ROUND(U141/(1+R141),6)</f>
        <v>0</v>
      </c>
      <c r="X141" s="1794"/>
      <c r="Y141" s="1714">
        <f t="shared" si="64"/>
        <v>0</v>
      </c>
    </row>
    <row r="142" spans="1:25" s="1784" customFormat="1" ht="12" customHeight="1" outlineLevel="1">
      <c r="B142" s="1694" t="s">
        <v>505</v>
      </c>
      <c r="C142" s="1729">
        <v>2</v>
      </c>
      <c r="D142" s="1731" t="s">
        <v>506</v>
      </c>
      <c r="E142" s="1729"/>
      <c r="F142" s="1731"/>
      <c r="G142" s="1731" t="s">
        <v>4117</v>
      </c>
      <c r="H142" s="1818"/>
      <c r="I142" s="1733"/>
      <c r="J142" s="1734"/>
      <c r="K142" s="1733"/>
      <c r="L142" s="1733"/>
      <c r="M142" s="1733"/>
      <c r="N142" s="1733">
        <v>20.000000000000004</v>
      </c>
      <c r="O142" s="1701">
        <f>SUBTOTAL(9,O143:O149)</f>
        <v>415.57373999999993</v>
      </c>
      <c r="P142" s="1733"/>
      <c r="Q142" s="1701">
        <f>SUBTOTAL(9,Q143:Q149)</f>
        <v>381.26031399999994</v>
      </c>
      <c r="R142" s="1735"/>
      <c r="S142" s="1701">
        <f>SUBTOTAL(9,S143:S149)</f>
        <v>34.313426000000007</v>
      </c>
      <c r="T142" s="1701">
        <v>0</v>
      </c>
      <c r="U142" s="1701">
        <f>SUBTOTAL(9,U143:U149)</f>
        <v>415.57373999999993</v>
      </c>
      <c r="V142" s="1701">
        <f>SUBTOTAL(9,V143:V149)</f>
        <v>34.313426000000007</v>
      </c>
      <c r="W142" s="1701">
        <f>SUBTOTAL(9,W143:W149)</f>
        <v>381.26031399999994</v>
      </c>
      <c r="X142" s="1736"/>
      <c r="Y142" s="1701">
        <f t="shared" si="64"/>
        <v>40.188062230833694</v>
      </c>
    </row>
    <row r="143" spans="1:25" s="1703" customFormat="1" ht="12" customHeight="1" outlineLevel="2">
      <c r="A143" s="1813" t="s">
        <v>3087</v>
      </c>
      <c r="B143" s="1807" t="s">
        <v>605</v>
      </c>
      <c r="C143" s="1789"/>
      <c r="D143" s="1790" t="s">
        <v>1349</v>
      </c>
      <c r="E143" s="1808" t="s">
        <v>3765</v>
      </c>
      <c r="F143" s="1796" t="s">
        <v>458</v>
      </c>
      <c r="G143" s="1796" t="s">
        <v>4164</v>
      </c>
      <c r="H143" s="1705" t="s">
        <v>10</v>
      </c>
      <c r="I143" s="1714">
        <f>$E$3</f>
        <v>138524.57999999999</v>
      </c>
      <c r="J143" s="1764">
        <v>1</v>
      </c>
      <c r="K143" s="1755" t="s">
        <v>101</v>
      </c>
      <c r="L143" s="1705" t="s">
        <v>10</v>
      </c>
      <c r="M143" s="1714">
        <f t="shared" si="65"/>
        <v>138524.57999999999</v>
      </c>
      <c r="N143" s="1772">
        <v>5</v>
      </c>
      <c r="O143" s="1714">
        <f t="shared" ref="O143:O149" si="66">ROUND(M143*ROUND(N143,2)/10000,6)</f>
        <v>69.262289999999993</v>
      </c>
      <c r="P143" s="1714">
        <f t="shared" ref="P143:P149" si="67">IFERROR(ROUND(Q143*10000/M143,2),0)</f>
        <v>4.59</v>
      </c>
      <c r="Q143" s="1710">
        <f t="shared" ref="Q143:Q149" si="68">ROUND(O143/(1+R143),6)</f>
        <v>63.543385000000001</v>
      </c>
      <c r="R143" s="1805">
        <v>0.09</v>
      </c>
      <c r="S143" s="1714">
        <f t="shared" ref="S143:S149" si="69">O143-Q143</f>
        <v>5.7189049999999924</v>
      </c>
      <c r="T143" s="1714"/>
      <c r="U143" s="1714">
        <f t="shared" ref="U143:U149" si="70">O143+ROUND(T143,6)</f>
        <v>69.262289999999993</v>
      </c>
      <c r="V143" s="1714">
        <f>U143-W143</f>
        <v>5.7189049999999924</v>
      </c>
      <c r="W143" s="1714">
        <f t="shared" ref="W143:W149" si="71">ROUND(U143/(1+R143),6)</f>
        <v>63.543385000000001</v>
      </c>
      <c r="X143" s="1809"/>
      <c r="Y143" s="1714">
        <f t="shared" si="64"/>
        <v>6.6980103718056165</v>
      </c>
    </row>
    <row r="144" spans="1:25" s="1703" customFormat="1" ht="12" customHeight="1" outlineLevel="2" collapsed="1">
      <c r="A144" s="1813" t="s">
        <v>3087</v>
      </c>
      <c r="B144" s="1807" t="s">
        <v>606</v>
      </c>
      <c r="C144" s="1789"/>
      <c r="D144" s="1790" t="s">
        <v>1353</v>
      </c>
      <c r="E144" s="1808" t="s">
        <v>3766</v>
      </c>
      <c r="F144" s="1796" t="s">
        <v>458</v>
      </c>
      <c r="G144" s="1796" t="s">
        <v>4164</v>
      </c>
      <c r="H144" s="1705" t="s">
        <v>10</v>
      </c>
      <c r="I144" s="1714">
        <f t="shared" ref="I144:I149" si="72">$E$3</f>
        <v>138524.57999999999</v>
      </c>
      <c r="J144" s="1764">
        <v>1</v>
      </c>
      <c r="K144" s="1755" t="s">
        <v>101</v>
      </c>
      <c r="L144" s="1705" t="s">
        <v>10</v>
      </c>
      <c r="M144" s="1714">
        <f t="shared" si="65"/>
        <v>138524.57999999999</v>
      </c>
      <c r="N144" s="1772">
        <v>11</v>
      </c>
      <c r="O144" s="1714">
        <f t="shared" si="66"/>
        <v>152.377038</v>
      </c>
      <c r="P144" s="1714">
        <f t="shared" si="67"/>
        <v>10.09</v>
      </c>
      <c r="Q144" s="1710">
        <f t="shared" si="68"/>
        <v>139.79544799999999</v>
      </c>
      <c r="R144" s="1805">
        <v>0.09</v>
      </c>
      <c r="S144" s="1714">
        <f t="shared" si="69"/>
        <v>12.581590000000006</v>
      </c>
      <c r="T144" s="1714"/>
      <c r="U144" s="1714">
        <f t="shared" si="70"/>
        <v>152.377038</v>
      </c>
      <c r="V144" s="1714">
        <f t="shared" ref="V144:V149" si="73">U144-W144</f>
        <v>12.581590000000006</v>
      </c>
      <c r="W144" s="1714">
        <f t="shared" si="71"/>
        <v>139.79544799999999</v>
      </c>
      <c r="X144" s="1809"/>
      <c r="Y144" s="1714">
        <f t="shared" si="64"/>
        <v>14.735622817972358</v>
      </c>
    </row>
    <row r="145" spans="1:25" s="1703" customFormat="1" ht="12" customHeight="1" outlineLevel="2">
      <c r="A145" s="1813" t="s">
        <v>3087</v>
      </c>
      <c r="B145" s="1807" t="s">
        <v>607</v>
      </c>
      <c r="C145" s="1789"/>
      <c r="D145" s="1790" t="s">
        <v>546</v>
      </c>
      <c r="E145" s="1808" t="s">
        <v>3767</v>
      </c>
      <c r="F145" s="1796" t="s">
        <v>458</v>
      </c>
      <c r="G145" s="1796" t="s">
        <v>4164</v>
      </c>
      <c r="H145" s="1705" t="s">
        <v>10</v>
      </c>
      <c r="I145" s="1714">
        <f t="shared" si="72"/>
        <v>138524.57999999999</v>
      </c>
      <c r="J145" s="1764">
        <v>1</v>
      </c>
      <c r="K145" s="1755" t="s">
        <v>101</v>
      </c>
      <c r="L145" s="1705" t="s">
        <v>10</v>
      </c>
      <c r="M145" s="1714">
        <f t="shared" si="65"/>
        <v>138524.57999999999</v>
      </c>
      <c r="N145" s="1772">
        <v>0.5</v>
      </c>
      <c r="O145" s="1714">
        <f t="shared" si="66"/>
        <v>6.9262290000000002</v>
      </c>
      <c r="P145" s="1714">
        <f t="shared" si="67"/>
        <v>0.46</v>
      </c>
      <c r="Q145" s="1710">
        <f t="shared" si="68"/>
        <v>6.3543390000000004</v>
      </c>
      <c r="R145" s="1805">
        <v>0.09</v>
      </c>
      <c r="S145" s="1714">
        <f t="shared" si="69"/>
        <v>0.57188999999999979</v>
      </c>
      <c r="T145" s="1714"/>
      <c r="U145" s="1714">
        <f t="shared" si="70"/>
        <v>6.9262290000000002</v>
      </c>
      <c r="V145" s="1714">
        <f t="shared" si="73"/>
        <v>0.57188999999999979</v>
      </c>
      <c r="W145" s="1714">
        <f t="shared" si="71"/>
        <v>6.3543390000000004</v>
      </c>
      <c r="X145" s="1809"/>
      <c r="Y145" s="1714">
        <f t="shared" si="64"/>
        <v>0.66980103718056172</v>
      </c>
    </row>
    <row r="146" spans="1:25" s="1703" customFormat="1" ht="12" customHeight="1" outlineLevel="2">
      <c r="A146" s="1813" t="s">
        <v>3087</v>
      </c>
      <c r="B146" s="1807" t="s">
        <v>608</v>
      </c>
      <c r="C146" s="1789"/>
      <c r="D146" s="1790" t="s">
        <v>3768</v>
      </c>
      <c r="E146" s="1808" t="s">
        <v>3769</v>
      </c>
      <c r="F146" s="1796" t="s">
        <v>458</v>
      </c>
      <c r="G146" s="1796" t="s">
        <v>4164</v>
      </c>
      <c r="H146" s="1705" t="s">
        <v>10</v>
      </c>
      <c r="I146" s="1714">
        <f t="shared" si="72"/>
        <v>138524.57999999999</v>
      </c>
      <c r="J146" s="1764">
        <v>1</v>
      </c>
      <c r="K146" s="1755" t="s">
        <v>101</v>
      </c>
      <c r="L146" s="1705" t="s">
        <v>10</v>
      </c>
      <c r="M146" s="1714">
        <f t="shared" si="65"/>
        <v>138524.57999999999</v>
      </c>
      <c r="N146" s="1772">
        <v>12</v>
      </c>
      <c r="O146" s="1714">
        <f t="shared" si="66"/>
        <v>166.22949600000001</v>
      </c>
      <c r="P146" s="1714">
        <f t="shared" si="67"/>
        <v>11.01</v>
      </c>
      <c r="Q146" s="1710">
        <f t="shared" si="68"/>
        <v>152.50412499999999</v>
      </c>
      <c r="R146" s="1805">
        <v>0.09</v>
      </c>
      <c r="S146" s="1714">
        <f t="shared" si="69"/>
        <v>13.725371000000024</v>
      </c>
      <c r="T146" s="1714"/>
      <c r="U146" s="1714">
        <f t="shared" si="70"/>
        <v>166.22949600000001</v>
      </c>
      <c r="V146" s="1714">
        <f t="shared" si="73"/>
        <v>13.725371000000024</v>
      </c>
      <c r="W146" s="1714">
        <f t="shared" si="71"/>
        <v>152.50412499999999</v>
      </c>
      <c r="X146" s="1809"/>
      <c r="Y146" s="1714">
        <f t="shared" si="64"/>
        <v>16.07522489233348</v>
      </c>
    </row>
    <row r="147" spans="1:25" ht="12" customHeight="1" outlineLevel="2">
      <c r="A147" s="1813" t="s">
        <v>3087</v>
      </c>
      <c r="B147" s="1771" t="s">
        <v>609</v>
      </c>
      <c r="C147" s="1811"/>
      <c r="D147" s="1815" t="s">
        <v>49</v>
      </c>
      <c r="E147" s="1816" t="s">
        <v>3770</v>
      </c>
      <c r="F147" s="1796" t="s">
        <v>458</v>
      </c>
      <c r="G147" s="1707" t="s">
        <v>4164</v>
      </c>
      <c r="H147" s="1705" t="s">
        <v>10</v>
      </c>
      <c r="I147" s="1714">
        <f t="shared" si="72"/>
        <v>138524.57999999999</v>
      </c>
      <c r="J147" s="1764">
        <v>1</v>
      </c>
      <c r="K147" s="1755" t="s">
        <v>101</v>
      </c>
      <c r="L147" s="1705" t="s">
        <v>10</v>
      </c>
      <c r="M147" s="1714">
        <f t="shared" si="65"/>
        <v>138524.57999999999</v>
      </c>
      <c r="N147" s="1772">
        <v>0.5</v>
      </c>
      <c r="O147" s="1714">
        <f t="shared" si="66"/>
        <v>6.9262290000000002</v>
      </c>
      <c r="P147" s="1714">
        <f t="shared" si="67"/>
        <v>0.46</v>
      </c>
      <c r="Q147" s="1710">
        <f t="shared" si="68"/>
        <v>6.3543390000000004</v>
      </c>
      <c r="R147" s="1805">
        <v>0.09</v>
      </c>
      <c r="S147" s="1714">
        <f t="shared" si="69"/>
        <v>0.57188999999999979</v>
      </c>
      <c r="T147" s="1714"/>
      <c r="U147" s="1714">
        <f t="shared" si="70"/>
        <v>6.9262290000000002</v>
      </c>
      <c r="V147" s="1714">
        <f t="shared" si="73"/>
        <v>0.57188999999999979</v>
      </c>
      <c r="W147" s="1714">
        <f t="shared" si="71"/>
        <v>6.3543390000000004</v>
      </c>
      <c r="X147" s="1809"/>
      <c r="Y147" s="1714">
        <f t="shared" si="64"/>
        <v>0.66980103718056172</v>
      </c>
    </row>
    <row r="148" spans="1:25" ht="12" customHeight="1" outlineLevel="2">
      <c r="A148" s="1813" t="s">
        <v>3087</v>
      </c>
      <c r="B148" s="1771" t="s">
        <v>610</v>
      </c>
      <c r="C148" s="1811"/>
      <c r="D148" s="1815" t="s">
        <v>50</v>
      </c>
      <c r="E148" s="1816" t="s">
        <v>3771</v>
      </c>
      <c r="F148" s="1796" t="s">
        <v>458</v>
      </c>
      <c r="G148" s="1707" t="s">
        <v>4164</v>
      </c>
      <c r="H148" s="1705" t="s">
        <v>10</v>
      </c>
      <c r="I148" s="1714">
        <f t="shared" si="72"/>
        <v>138524.57999999999</v>
      </c>
      <c r="J148" s="1764">
        <v>1</v>
      </c>
      <c r="K148" s="1755" t="s">
        <v>101</v>
      </c>
      <c r="L148" s="1705" t="s">
        <v>10</v>
      </c>
      <c r="M148" s="1714">
        <f t="shared" si="65"/>
        <v>138524.57999999999</v>
      </c>
      <c r="N148" s="1772">
        <v>0.5</v>
      </c>
      <c r="O148" s="1714">
        <f t="shared" si="66"/>
        <v>6.9262290000000002</v>
      </c>
      <c r="P148" s="1714">
        <f t="shared" si="67"/>
        <v>0.46</v>
      </c>
      <c r="Q148" s="1710">
        <f t="shared" si="68"/>
        <v>6.3543390000000004</v>
      </c>
      <c r="R148" s="1805">
        <v>0.09</v>
      </c>
      <c r="S148" s="1714">
        <f t="shared" si="69"/>
        <v>0.57188999999999979</v>
      </c>
      <c r="T148" s="1714"/>
      <c r="U148" s="1714">
        <f t="shared" si="70"/>
        <v>6.9262290000000002</v>
      </c>
      <c r="V148" s="1714">
        <f t="shared" si="73"/>
        <v>0.57188999999999979</v>
      </c>
      <c r="W148" s="1714">
        <f t="shared" si="71"/>
        <v>6.3543390000000004</v>
      </c>
      <c r="X148" s="1809"/>
      <c r="Y148" s="1714">
        <f t="shared" si="64"/>
        <v>0.66980103718056172</v>
      </c>
    </row>
    <row r="149" spans="1:25" ht="12" customHeight="1" outlineLevel="2">
      <c r="A149" s="1813" t="s">
        <v>3087</v>
      </c>
      <c r="B149" s="1771" t="s">
        <v>547</v>
      </c>
      <c r="C149" s="1811"/>
      <c r="D149" s="1815" t="s">
        <v>3772</v>
      </c>
      <c r="E149" s="1816" t="s">
        <v>3773</v>
      </c>
      <c r="F149" s="1796" t="s">
        <v>458</v>
      </c>
      <c r="G149" s="1707" t="s">
        <v>4164</v>
      </c>
      <c r="H149" s="1705" t="s">
        <v>10</v>
      </c>
      <c r="I149" s="1714">
        <f t="shared" si="72"/>
        <v>138524.57999999999</v>
      </c>
      <c r="J149" s="1764">
        <v>1</v>
      </c>
      <c r="K149" s="1755" t="s">
        <v>101</v>
      </c>
      <c r="L149" s="1705" t="s">
        <v>10</v>
      </c>
      <c r="M149" s="1714">
        <f t="shared" si="65"/>
        <v>138524.57999999999</v>
      </c>
      <c r="N149" s="1772">
        <v>0.5</v>
      </c>
      <c r="O149" s="1714">
        <f t="shared" si="66"/>
        <v>6.9262290000000002</v>
      </c>
      <c r="P149" s="1714">
        <f t="shared" si="67"/>
        <v>0.46</v>
      </c>
      <c r="Q149" s="1710">
        <f t="shared" si="68"/>
        <v>6.3543390000000004</v>
      </c>
      <c r="R149" s="1805">
        <v>0.09</v>
      </c>
      <c r="S149" s="1714">
        <f t="shared" si="69"/>
        <v>0.57188999999999979</v>
      </c>
      <c r="T149" s="1714"/>
      <c r="U149" s="1714">
        <f t="shared" si="70"/>
        <v>6.9262290000000002</v>
      </c>
      <c r="V149" s="1714">
        <f t="shared" si="73"/>
        <v>0.57188999999999979</v>
      </c>
      <c r="W149" s="1714">
        <f t="shared" si="71"/>
        <v>6.3543390000000004</v>
      </c>
      <c r="X149" s="1809"/>
      <c r="Y149" s="1714">
        <f t="shared" si="64"/>
        <v>0.66980103718056172</v>
      </c>
    </row>
    <row r="150" spans="1:25" s="1784" customFormat="1" ht="12" customHeight="1" outlineLevel="1">
      <c r="B150" s="1694" t="s">
        <v>507</v>
      </c>
      <c r="C150" s="1817">
        <v>3</v>
      </c>
      <c r="D150" s="1787" t="s">
        <v>508</v>
      </c>
      <c r="E150" s="1817"/>
      <c r="F150" s="1788"/>
      <c r="G150" s="1788" t="s">
        <v>4117</v>
      </c>
      <c r="H150" s="1818"/>
      <c r="I150" s="1733"/>
      <c r="J150" s="1734"/>
      <c r="K150" s="1733"/>
      <c r="L150" s="1733"/>
      <c r="M150" s="1733"/>
      <c r="N150" s="1733">
        <v>470.69999999999987</v>
      </c>
      <c r="O150" s="1701">
        <f>SUBTOTAL(9,O151:O157)</f>
        <v>1617.8396749999999</v>
      </c>
      <c r="P150" s="1733"/>
      <c r="Q150" s="1701">
        <f>SUBTOTAL(9,Q151:Q157)</f>
        <v>1482.0241600000002</v>
      </c>
      <c r="R150" s="1735"/>
      <c r="S150" s="1701">
        <f>SUBTOTAL(9,S151:S157)</f>
        <v>135.81551499999992</v>
      </c>
      <c r="T150" s="1701">
        <v>553.77687325430145</v>
      </c>
      <c r="U150" s="1701">
        <f>SUBTOTAL(9,U151:U157)</f>
        <v>2171.616548</v>
      </c>
      <c r="V150" s="1701">
        <f>SUBTOTAL(9,V151:V157)</f>
        <v>181.54021099999997</v>
      </c>
      <c r="W150" s="1701">
        <f>SUBTOTAL(9,W151:W157)</f>
        <v>1990.0763370000002</v>
      </c>
      <c r="X150" s="1736">
        <f>U150/E5*10000</f>
        <v>631.81780300969456</v>
      </c>
      <c r="Y150" s="1701">
        <f t="shared" si="64"/>
        <v>210.00619763061127</v>
      </c>
    </row>
    <row r="151" spans="1:25" ht="12" customHeight="1" outlineLevel="2">
      <c r="A151" s="1747" t="s">
        <v>3094</v>
      </c>
      <c r="B151" s="1771" t="s">
        <v>1355</v>
      </c>
      <c r="C151" s="1789"/>
      <c r="D151" s="1790" t="s">
        <v>3774</v>
      </c>
      <c r="E151" s="1759" t="s">
        <v>3775</v>
      </c>
      <c r="F151" s="1797" t="s">
        <v>453</v>
      </c>
      <c r="G151" s="1707" t="s">
        <v>4192</v>
      </c>
      <c r="H151" s="1839" t="s">
        <v>566</v>
      </c>
      <c r="I151" s="1714">
        <f t="shared" ref="I151:I156" si="74">$E$5</f>
        <v>34370.93</v>
      </c>
      <c r="J151" s="1764">
        <v>0.55000000000000004</v>
      </c>
      <c r="K151" s="1755" t="s">
        <v>101</v>
      </c>
      <c r="L151" s="1755" t="s">
        <v>3995</v>
      </c>
      <c r="M151" s="1714">
        <f>ROUND(I151,2)*ROUND(J151,4)</f>
        <v>18904.011500000001</v>
      </c>
      <c r="N151" s="1772">
        <v>314</v>
      </c>
      <c r="O151" s="1714">
        <f t="shared" ref="O151:O157" si="75">ROUND(M151*ROUND(N151,2)/10000,6)</f>
        <v>593.585961</v>
      </c>
      <c r="P151" s="1714">
        <f t="shared" ref="P151:P157" si="76">IFERROR(ROUND(Q151*10000/M151,2),0)</f>
        <v>288.07</v>
      </c>
      <c r="Q151" s="1710">
        <f t="shared" ref="Q151:Q157" si="77">ROUND(O151/(1+R151),6)</f>
        <v>544.57427600000005</v>
      </c>
      <c r="R151" s="1805">
        <v>0.09</v>
      </c>
      <c r="S151" s="1714">
        <f t="shared" ref="S151:S157" si="78">O151-Q151</f>
        <v>49.011684999999943</v>
      </c>
      <c r="T151" s="1714"/>
      <c r="U151" s="1714">
        <f t="shared" ref="U151:U157" si="79">O151+ROUND(T151,6)</f>
        <v>593.585961</v>
      </c>
      <c r="V151" s="1714">
        <f>U151-W151</f>
        <v>49.011684999999943</v>
      </c>
      <c r="W151" s="1714">
        <f t="shared" ref="W151:W157" si="80">ROUND(U151/(1+R151),6)</f>
        <v>544.57427600000005</v>
      </c>
      <c r="X151" s="1794"/>
      <c r="Y151" s="1714">
        <f t="shared" si="64"/>
        <v>57.402735649315154</v>
      </c>
    </row>
    <row r="152" spans="1:25" ht="12" customHeight="1" outlineLevel="2">
      <c r="A152" s="1747" t="s">
        <v>3094</v>
      </c>
      <c r="B152" s="1771" t="s">
        <v>612</v>
      </c>
      <c r="C152" s="1789"/>
      <c r="D152" s="1790" t="s">
        <v>3776</v>
      </c>
      <c r="E152" s="1759" t="s">
        <v>3777</v>
      </c>
      <c r="F152" s="1840" t="s">
        <v>453</v>
      </c>
      <c r="G152" s="1707" t="s">
        <v>4192</v>
      </c>
      <c r="H152" s="1841" t="s">
        <v>566</v>
      </c>
      <c r="I152" s="1714">
        <f t="shared" si="74"/>
        <v>34370.93</v>
      </c>
      <c r="J152" s="1764">
        <v>0.45</v>
      </c>
      <c r="K152" s="1755" t="s">
        <v>101</v>
      </c>
      <c r="L152" s="1755" t="s">
        <v>3996</v>
      </c>
      <c r="M152" s="1714">
        <f>ROUND(I152,2)*ROUND(J152,4)</f>
        <v>15466.9185</v>
      </c>
      <c r="N152" s="1772">
        <v>500</v>
      </c>
      <c r="O152" s="1714">
        <f t="shared" si="75"/>
        <v>773.34592499999997</v>
      </c>
      <c r="P152" s="1714">
        <f t="shared" si="76"/>
        <v>458.72</v>
      </c>
      <c r="Q152" s="1710">
        <f t="shared" si="77"/>
        <v>709.49167399999999</v>
      </c>
      <c r="R152" s="1805">
        <v>0.09</v>
      </c>
      <c r="S152" s="1714">
        <f t="shared" si="78"/>
        <v>63.854250999999977</v>
      </c>
      <c r="T152" s="1714"/>
      <c r="U152" s="1714">
        <f t="shared" si="79"/>
        <v>773.34592499999997</v>
      </c>
      <c r="V152" s="1714">
        <f t="shared" ref="V152:V157" si="81">U152-W152</f>
        <v>63.854250999999977</v>
      </c>
      <c r="W152" s="1714">
        <f t="shared" si="80"/>
        <v>709.49167399999999</v>
      </c>
      <c r="X152" s="1794"/>
      <c r="Y152" s="1714">
        <f t="shared" si="64"/>
        <v>74.786424570189766</v>
      </c>
    </row>
    <row r="153" spans="1:25" ht="12" customHeight="1" outlineLevel="2">
      <c r="A153" s="1747" t="s">
        <v>3094</v>
      </c>
      <c r="B153" s="1771" t="s">
        <v>616</v>
      </c>
      <c r="C153" s="1811"/>
      <c r="D153" s="1815" t="s">
        <v>3778</v>
      </c>
      <c r="E153" s="1759" t="s">
        <v>3779</v>
      </c>
      <c r="F153" s="1812" t="s">
        <v>453</v>
      </c>
      <c r="G153" s="1707" t="s">
        <v>4192</v>
      </c>
      <c r="H153" s="1839" t="s">
        <v>566</v>
      </c>
      <c r="I153" s="1714">
        <f t="shared" si="74"/>
        <v>34370.93</v>
      </c>
      <c r="J153" s="1764">
        <v>1</v>
      </c>
      <c r="K153" s="1755" t="s">
        <v>101</v>
      </c>
      <c r="L153" s="1842" t="s">
        <v>566</v>
      </c>
      <c r="M153" s="1714">
        <f t="shared" si="65"/>
        <v>34370.93</v>
      </c>
      <c r="N153" s="1772">
        <v>23</v>
      </c>
      <c r="O153" s="1714">
        <f t="shared" si="75"/>
        <v>79.053139000000002</v>
      </c>
      <c r="P153" s="1714">
        <f t="shared" si="76"/>
        <v>21.1</v>
      </c>
      <c r="Q153" s="1710">
        <f t="shared" si="77"/>
        <v>72.525816000000006</v>
      </c>
      <c r="R153" s="1805">
        <v>0.09</v>
      </c>
      <c r="S153" s="1714">
        <f t="shared" si="78"/>
        <v>6.5273229999999955</v>
      </c>
      <c r="T153" s="1714"/>
      <c r="U153" s="1714">
        <f t="shared" si="79"/>
        <v>79.053139000000002</v>
      </c>
      <c r="V153" s="1714">
        <f t="shared" si="81"/>
        <v>6.5273229999999955</v>
      </c>
      <c r="W153" s="1714">
        <f t="shared" si="80"/>
        <v>72.525816000000006</v>
      </c>
      <c r="X153" s="1794"/>
      <c r="Y153" s="1714">
        <f t="shared" si="64"/>
        <v>7.6448345116193988</v>
      </c>
    </row>
    <row r="154" spans="1:25" ht="12" customHeight="1" outlineLevel="2">
      <c r="A154" s="1747" t="s">
        <v>3094</v>
      </c>
      <c r="B154" s="1771" t="s">
        <v>622</v>
      </c>
      <c r="C154" s="1789"/>
      <c r="D154" s="1790" t="s">
        <v>3780</v>
      </c>
      <c r="E154" s="1759" t="s">
        <v>3781</v>
      </c>
      <c r="F154" s="1812" t="s">
        <v>1363</v>
      </c>
      <c r="G154" s="1843" t="s">
        <v>4155</v>
      </c>
      <c r="H154" s="1839" t="s">
        <v>566</v>
      </c>
      <c r="I154" s="1714">
        <f t="shared" si="74"/>
        <v>34370.93</v>
      </c>
      <c r="J154" s="1764">
        <v>1</v>
      </c>
      <c r="K154" s="1755" t="s">
        <v>101</v>
      </c>
      <c r="L154" s="1842" t="s">
        <v>566</v>
      </c>
      <c r="M154" s="1714">
        <f t="shared" si="65"/>
        <v>34370.93</v>
      </c>
      <c r="N154" s="1772">
        <v>20</v>
      </c>
      <c r="O154" s="1714">
        <f t="shared" si="75"/>
        <v>68.741860000000003</v>
      </c>
      <c r="P154" s="1714">
        <f t="shared" si="76"/>
        <v>17.7</v>
      </c>
      <c r="Q154" s="1710">
        <f t="shared" si="77"/>
        <v>60.833503999999998</v>
      </c>
      <c r="R154" s="1805">
        <v>0.13</v>
      </c>
      <c r="S154" s="1714">
        <f t="shared" si="78"/>
        <v>7.9083560000000048</v>
      </c>
      <c r="T154" s="1714"/>
      <c r="U154" s="1714">
        <f t="shared" si="79"/>
        <v>68.741860000000003</v>
      </c>
      <c r="V154" s="1714">
        <f t="shared" si="81"/>
        <v>7.9083560000000048</v>
      </c>
      <c r="W154" s="1714">
        <f t="shared" si="80"/>
        <v>60.833503999999998</v>
      </c>
      <c r="X154" s="1794"/>
      <c r="Y154" s="1714">
        <f t="shared" si="64"/>
        <v>6.6476821840168689</v>
      </c>
    </row>
    <row r="155" spans="1:25" ht="12" customHeight="1" outlineLevel="2">
      <c r="A155" s="1747" t="s">
        <v>3094</v>
      </c>
      <c r="B155" s="1771" t="s">
        <v>1369</v>
      </c>
      <c r="C155" s="1811"/>
      <c r="D155" s="1815" t="s">
        <v>3782</v>
      </c>
      <c r="E155" s="1759" t="s">
        <v>3783</v>
      </c>
      <c r="F155" s="1812" t="s">
        <v>1363</v>
      </c>
      <c r="G155" s="1704" t="s">
        <v>4155</v>
      </c>
      <c r="H155" s="1839" t="s">
        <v>566</v>
      </c>
      <c r="I155" s="1714">
        <f t="shared" si="74"/>
        <v>34370.93</v>
      </c>
      <c r="J155" s="1764">
        <v>1</v>
      </c>
      <c r="K155" s="1755" t="s">
        <v>101</v>
      </c>
      <c r="L155" s="1842" t="s">
        <v>566</v>
      </c>
      <c r="M155" s="1714">
        <f t="shared" si="65"/>
        <v>34370.93</v>
      </c>
      <c r="N155" s="1772">
        <v>30</v>
      </c>
      <c r="O155" s="1714">
        <f t="shared" si="75"/>
        <v>103.11279</v>
      </c>
      <c r="P155" s="1714">
        <f t="shared" si="76"/>
        <v>27.52</v>
      </c>
      <c r="Q155" s="1710">
        <f t="shared" si="77"/>
        <v>94.598889999999997</v>
      </c>
      <c r="R155" s="1805">
        <v>0.09</v>
      </c>
      <c r="S155" s="1714">
        <f t="shared" si="78"/>
        <v>8.5139000000000067</v>
      </c>
      <c r="T155" s="1714"/>
      <c r="U155" s="1714">
        <f t="shared" si="79"/>
        <v>103.11279</v>
      </c>
      <c r="V155" s="1714">
        <f t="shared" si="81"/>
        <v>8.5139000000000067</v>
      </c>
      <c r="W155" s="1714">
        <f t="shared" si="80"/>
        <v>94.598889999999997</v>
      </c>
      <c r="X155" s="1794"/>
      <c r="Y155" s="1714">
        <f t="shared" si="64"/>
        <v>9.9715232760253016</v>
      </c>
    </row>
    <row r="156" spans="1:25" ht="12" customHeight="1" outlineLevel="2">
      <c r="A156" s="1747" t="s">
        <v>3094</v>
      </c>
      <c r="B156" s="1771" t="s">
        <v>1372</v>
      </c>
      <c r="C156" s="1811"/>
      <c r="D156" s="1790" t="s">
        <v>3784</v>
      </c>
      <c r="E156" s="1759" t="s">
        <v>3785</v>
      </c>
      <c r="F156" s="1796" t="s">
        <v>453</v>
      </c>
      <c r="G156" s="1707" t="s">
        <v>4192</v>
      </c>
      <c r="H156" s="1839" t="s">
        <v>566</v>
      </c>
      <c r="I156" s="1714">
        <f t="shared" si="74"/>
        <v>34370.93</v>
      </c>
      <c r="J156" s="1764"/>
      <c r="K156" s="1755" t="s">
        <v>101</v>
      </c>
      <c r="L156" s="1842" t="s">
        <v>3997</v>
      </c>
      <c r="M156" s="1714">
        <f t="shared" si="65"/>
        <v>0</v>
      </c>
      <c r="N156" s="1772"/>
      <c r="O156" s="1714">
        <f t="shared" si="75"/>
        <v>0</v>
      </c>
      <c r="P156" s="1714">
        <f t="shared" si="76"/>
        <v>0</v>
      </c>
      <c r="Q156" s="1710">
        <f t="shared" si="77"/>
        <v>0</v>
      </c>
      <c r="R156" s="1805">
        <v>0.09</v>
      </c>
      <c r="S156" s="1714">
        <f t="shared" si="78"/>
        <v>0</v>
      </c>
      <c r="T156" s="1714">
        <v>553.77687325430145</v>
      </c>
      <c r="U156" s="1714">
        <f t="shared" si="79"/>
        <v>553.77687300000002</v>
      </c>
      <c r="V156" s="1714">
        <f t="shared" si="81"/>
        <v>45.724696000000051</v>
      </c>
      <c r="W156" s="1714">
        <f t="shared" si="80"/>
        <v>508.05217699999997</v>
      </c>
      <c r="X156" s="1794"/>
      <c r="Y156" s="1714">
        <f t="shared" si="64"/>
        <v>53.552997439444788</v>
      </c>
    </row>
    <row r="157" spans="1:25" ht="12" customHeight="1" outlineLevel="2">
      <c r="A157" s="1747" t="s">
        <v>3094</v>
      </c>
      <c r="B157" s="1771" t="s">
        <v>3786</v>
      </c>
      <c r="C157" s="1811"/>
      <c r="D157" s="1790" t="s">
        <v>3787</v>
      </c>
      <c r="E157" s="1791"/>
      <c r="F157" s="1796" t="s">
        <v>1424</v>
      </c>
      <c r="G157" s="1707" t="s">
        <v>4123</v>
      </c>
      <c r="H157" s="1844" t="s">
        <v>10</v>
      </c>
      <c r="I157" s="1714">
        <f>$E$3</f>
        <v>138524.57999999999</v>
      </c>
      <c r="J157" s="1845"/>
      <c r="K157" s="1846" t="s">
        <v>101</v>
      </c>
      <c r="L157" s="1847" t="s">
        <v>10</v>
      </c>
      <c r="M157" s="1714">
        <f t="shared" si="65"/>
        <v>0</v>
      </c>
      <c r="N157" s="1772"/>
      <c r="O157" s="1714">
        <f t="shared" si="75"/>
        <v>0</v>
      </c>
      <c r="P157" s="1714">
        <f t="shared" si="76"/>
        <v>0</v>
      </c>
      <c r="Q157" s="1710">
        <f t="shared" si="77"/>
        <v>0</v>
      </c>
      <c r="R157" s="1805">
        <v>0.06</v>
      </c>
      <c r="S157" s="1714">
        <f t="shared" si="78"/>
        <v>0</v>
      </c>
      <c r="T157" s="1714"/>
      <c r="U157" s="1714">
        <f t="shared" si="79"/>
        <v>0</v>
      </c>
      <c r="V157" s="1714">
        <f t="shared" si="81"/>
        <v>0</v>
      </c>
      <c r="W157" s="1714">
        <f t="shared" si="80"/>
        <v>0</v>
      </c>
      <c r="X157" s="1794"/>
      <c r="Y157" s="1714">
        <f t="shared" si="64"/>
        <v>0</v>
      </c>
    </row>
    <row r="158" spans="1:25">
      <c r="B158" s="1684">
        <v>5001.07</v>
      </c>
      <c r="C158" s="1685" t="s">
        <v>380</v>
      </c>
      <c r="D158" s="1686" t="s">
        <v>82</v>
      </c>
      <c r="E158" s="1686"/>
      <c r="F158" s="1687"/>
      <c r="G158" s="1687" t="s">
        <v>4117</v>
      </c>
      <c r="H158" s="1848"/>
      <c r="I158" s="1689"/>
      <c r="J158" s="1690"/>
      <c r="K158" s="1689"/>
      <c r="L158" s="1689"/>
      <c r="M158" s="1689"/>
      <c r="N158" s="1689"/>
      <c r="O158" s="1689">
        <f>SUBTOTAL(9,O159:O187)</f>
        <v>3817.0781219999999</v>
      </c>
      <c r="P158" s="1689"/>
      <c r="Q158" s="1689">
        <f>SUBTOTAL(9,Q159:Q187)</f>
        <v>3623.3425670000001</v>
      </c>
      <c r="R158" s="1691"/>
      <c r="S158" s="1689">
        <f>SUBTOTAL(9,S159:S187)</f>
        <v>193.73555500000003</v>
      </c>
      <c r="T158" s="1689">
        <v>915.73870323065603</v>
      </c>
      <c r="U158" s="1689">
        <f>SUBTOTAL(9,U159:U187)</f>
        <v>4732.8168250000008</v>
      </c>
      <c r="V158" s="1689">
        <f>SUBTOTAL(9,V159:V187)</f>
        <v>262.11117300000001</v>
      </c>
      <c r="W158" s="1689">
        <f>SUBTOTAL(9,W159:W187)</f>
        <v>4470.7056519999996</v>
      </c>
      <c r="X158" s="1849"/>
      <c r="Y158" s="1689">
        <f t="shared" si="64"/>
        <v>457.68709324664451</v>
      </c>
    </row>
    <row r="159" spans="1:25" ht="12" customHeight="1" outlineLevel="1">
      <c r="B159" s="1694" t="s">
        <v>509</v>
      </c>
      <c r="C159" s="1817">
        <v>1</v>
      </c>
      <c r="D159" s="1731" t="s">
        <v>65</v>
      </c>
      <c r="E159" s="1850"/>
      <c r="F159" s="1851"/>
      <c r="G159" s="1851" t="s">
        <v>4117</v>
      </c>
      <c r="H159" s="1852"/>
      <c r="I159" s="1733"/>
      <c r="J159" s="1734"/>
      <c r="K159" s="1733"/>
      <c r="L159" s="1733"/>
      <c r="M159" s="1733">
        <f>O159/E4*10000</f>
        <v>78.31912290548533</v>
      </c>
      <c r="N159" s="1733">
        <v>59.528869936660087</v>
      </c>
      <c r="O159" s="1701">
        <f>SUBTOTAL(9,O160:O167)</f>
        <v>818.82079099999987</v>
      </c>
      <c r="P159" s="1733"/>
      <c r="Q159" s="1701">
        <f>SUBTOTAL(9,Q160:Q167)</f>
        <v>772.47244499999999</v>
      </c>
      <c r="R159" s="1735"/>
      <c r="S159" s="1701">
        <f>SUBTOTAL(9,S160:S167)</f>
        <v>46.348345999999999</v>
      </c>
      <c r="T159" s="1701">
        <v>203.85809840990225</v>
      </c>
      <c r="U159" s="1701">
        <f>SUBTOTAL(9,U160:U167)</f>
        <v>1022.678889</v>
      </c>
      <c r="V159" s="1701">
        <f>SUBTOTAL(9,V160:V167)</f>
        <v>57.887484000000008</v>
      </c>
      <c r="W159" s="1701">
        <f>SUBTOTAL(9,W160:W167)</f>
        <v>964.79140500000005</v>
      </c>
      <c r="X159" s="1853"/>
      <c r="Y159" s="1701">
        <f t="shared" si="64"/>
        <v>98.898171076189456</v>
      </c>
    </row>
    <row r="160" spans="1:25" ht="12" customHeight="1" outlineLevel="2">
      <c r="B160" s="1821" t="s">
        <v>629</v>
      </c>
      <c r="C160" s="1738"/>
      <c r="D160" s="1739" t="s">
        <v>3788</v>
      </c>
      <c r="E160" s="1740"/>
      <c r="F160" s="1801"/>
      <c r="G160" s="1739" t="s">
        <v>4117</v>
      </c>
      <c r="H160" s="1854"/>
      <c r="I160" s="1743"/>
      <c r="J160" s="1744"/>
      <c r="K160" s="1743"/>
      <c r="L160" s="1743"/>
      <c r="M160" s="1743"/>
      <c r="N160" s="1743">
        <v>45.465099193388575</v>
      </c>
      <c r="O160" s="1743">
        <f>SUBTOTAL(9,O161:O164)</f>
        <v>625.87519599999996</v>
      </c>
      <c r="P160" s="1743"/>
      <c r="Q160" s="1743">
        <f>SUBTOTAL(9,Q161:Q164)</f>
        <v>590.44829800000002</v>
      </c>
      <c r="R160" s="1745"/>
      <c r="S160" s="1743">
        <f>SUBTOTAL(9,S161:S164)</f>
        <v>35.426898000000008</v>
      </c>
      <c r="T160" s="1743">
        <v>203.85809840990225</v>
      </c>
      <c r="U160" s="1743">
        <f>SUBTOTAL(9,U161:U164)</f>
        <v>829.733294</v>
      </c>
      <c r="V160" s="1743">
        <f>SUBTOTAL(9,V161:V164)</f>
        <v>46.966036000000017</v>
      </c>
      <c r="W160" s="1743">
        <f>SUBTOTAL(9,W161:W164)</f>
        <v>782.76725800000008</v>
      </c>
      <c r="X160" s="1822"/>
      <c r="Y160" s="1743">
        <f t="shared" si="64"/>
        <v>80.239365591932341</v>
      </c>
    </row>
    <row r="161" spans="1:26" s="1693" customFormat="1" ht="12" customHeight="1" outlineLevel="3">
      <c r="A161" s="1747" t="s">
        <v>3095</v>
      </c>
      <c r="B161" s="1820" t="s">
        <v>3789</v>
      </c>
      <c r="C161" s="1831"/>
      <c r="D161" s="1823" t="s">
        <v>3790</v>
      </c>
      <c r="E161" s="1759" t="s">
        <v>3791</v>
      </c>
      <c r="F161" s="1796" t="s">
        <v>3792</v>
      </c>
      <c r="G161" s="1815" t="s">
        <v>4193</v>
      </c>
      <c r="H161" s="1727" t="s">
        <v>3920</v>
      </c>
      <c r="I161" s="1714">
        <f>$E$4</f>
        <v>104549.27999999998</v>
      </c>
      <c r="J161" s="1764">
        <v>1</v>
      </c>
      <c r="K161" s="1755" t="s">
        <v>101</v>
      </c>
      <c r="L161" s="1755" t="s">
        <v>10</v>
      </c>
      <c r="M161" s="1714">
        <f t="shared" ref="M161:M184" si="82">ROUND(I161,2)*ROUND(J161,4)</f>
        <v>104549.28</v>
      </c>
      <c r="N161" s="1772">
        <v>0.5</v>
      </c>
      <c r="O161" s="1714">
        <f t="shared" ref="O161:O168" si="83">ROUND(M161*ROUND(N161,2)/10000,6)</f>
        <v>5.2274640000000003</v>
      </c>
      <c r="P161" s="1714">
        <f t="shared" ref="P161:P168" si="84">IFERROR(ROUND(Q161*10000/M161,2),0)</f>
        <v>0.47</v>
      </c>
      <c r="Q161" s="1710">
        <f t="shared" ref="Q161:Q168" si="85">ROUND(O161/(1+R161),6)</f>
        <v>4.9315699999999998</v>
      </c>
      <c r="R161" s="1805">
        <v>0.06</v>
      </c>
      <c r="S161" s="1714">
        <f t="shared" ref="S161:S168" si="86">O161-Q161</f>
        <v>0.29589400000000055</v>
      </c>
      <c r="T161" s="1714">
        <v>203.85809840990225</v>
      </c>
      <c r="U161" s="1714">
        <f t="shared" ref="U161:U168" si="87">O161+ROUND(T161,6)</f>
        <v>209.08556200000001</v>
      </c>
      <c r="V161" s="1714">
        <f>U161-W161</f>
        <v>11.835032000000012</v>
      </c>
      <c r="W161" s="1714">
        <f t="shared" ref="W161:W168" si="88">ROUND(U161/(1+R161),6)</f>
        <v>197.25053</v>
      </c>
      <c r="X161" s="1806"/>
      <c r="Y161" s="1714">
        <f t="shared" si="64"/>
        <v>20.219621136852489</v>
      </c>
    </row>
    <row r="162" spans="1:26" s="1693" customFormat="1" ht="12" customHeight="1" outlineLevel="3">
      <c r="A162" s="1747" t="s">
        <v>3095</v>
      </c>
      <c r="B162" s="1820" t="s">
        <v>3793</v>
      </c>
      <c r="C162" s="1831"/>
      <c r="D162" s="1823" t="s">
        <v>3794</v>
      </c>
      <c r="E162" s="1759" t="s">
        <v>3795</v>
      </c>
      <c r="F162" s="1796" t="s">
        <v>3792</v>
      </c>
      <c r="G162" s="1815" t="s">
        <v>4193</v>
      </c>
      <c r="H162" s="1727" t="s">
        <v>3920</v>
      </c>
      <c r="I162" s="1714">
        <f>$E$4</f>
        <v>104549.27999999998</v>
      </c>
      <c r="J162" s="1764">
        <v>1</v>
      </c>
      <c r="K162" s="1714" t="s">
        <v>101</v>
      </c>
      <c r="L162" s="1714" t="s">
        <v>10</v>
      </c>
      <c r="M162" s="1714">
        <f t="shared" si="82"/>
        <v>104549.28</v>
      </c>
      <c r="N162" s="1772">
        <v>22</v>
      </c>
      <c r="O162" s="1714">
        <f t="shared" si="83"/>
        <v>230.00841600000001</v>
      </c>
      <c r="P162" s="1714">
        <f t="shared" si="84"/>
        <v>20.75</v>
      </c>
      <c r="Q162" s="1710">
        <f t="shared" si="85"/>
        <v>216.98907199999999</v>
      </c>
      <c r="R162" s="1805">
        <v>0.06</v>
      </c>
      <c r="S162" s="1714">
        <f t="shared" si="86"/>
        <v>13.019344000000018</v>
      </c>
      <c r="T162" s="1714"/>
      <c r="U162" s="1714">
        <f t="shared" si="87"/>
        <v>230.00841600000001</v>
      </c>
      <c r="V162" s="1714">
        <f t="shared" ref="V162:V168" si="89">U162-W162</f>
        <v>13.019344000000018</v>
      </c>
      <c r="W162" s="1714">
        <f t="shared" si="88"/>
        <v>216.98907199999999</v>
      </c>
      <c r="X162" s="1806"/>
      <c r="Y162" s="1714">
        <f t="shared" si="64"/>
        <v>22.242965919414175</v>
      </c>
    </row>
    <row r="163" spans="1:26" s="1693" customFormat="1" ht="12" customHeight="1" outlineLevel="3">
      <c r="A163" s="1747" t="s">
        <v>3095</v>
      </c>
      <c r="B163" s="1820" t="s">
        <v>3796</v>
      </c>
      <c r="C163" s="1831"/>
      <c r="D163" s="1823" t="s">
        <v>3797</v>
      </c>
      <c r="E163" s="1759" t="s">
        <v>3798</v>
      </c>
      <c r="F163" s="1796" t="s">
        <v>3792</v>
      </c>
      <c r="G163" s="1815" t="s">
        <v>4193</v>
      </c>
      <c r="H163" s="1727" t="s">
        <v>10</v>
      </c>
      <c r="I163" s="1714">
        <f t="shared" ref="I163:I174" si="90">$E$3</f>
        <v>138524.57999999999</v>
      </c>
      <c r="J163" s="1764">
        <v>1</v>
      </c>
      <c r="K163" s="1714" t="s">
        <v>101</v>
      </c>
      <c r="L163" s="1714" t="s">
        <v>10</v>
      </c>
      <c r="M163" s="1714">
        <f t="shared" si="82"/>
        <v>138524.57999999999</v>
      </c>
      <c r="N163" s="1772">
        <v>22</v>
      </c>
      <c r="O163" s="1714">
        <f t="shared" si="83"/>
        <v>304.754076</v>
      </c>
      <c r="P163" s="1714">
        <f t="shared" si="84"/>
        <v>20.75</v>
      </c>
      <c r="Q163" s="1710">
        <f t="shared" si="85"/>
        <v>287.50384500000001</v>
      </c>
      <c r="R163" s="1805">
        <v>0.06</v>
      </c>
      <c r="S163" s="1714">
        <f t="shared" si="86"/>
        <v>17.250230999999985</v>
      </c>
      <c r="T163" s="1714"/>
      <c r="U163" s="1714">
        <f t="shared" si="87"/>
        <v>304.754076</v>
      </c>
      <c r="V163" s="1714">
        <f t="shared" si="89"/>
        <v>17.250230999999985</v>
      </c>
      <c r="W163" s="1714">
        <f t="shared" si="88"/>
        <v>287.50384500000001</v>
      </c>
      <c r="X163" s="1806"/>
      <c r="Y163" s="1714">
        <f t="shared" si="64"/>
        <v>29.471245635944715</v>
      </c>
    </row>
    <row r="164" spans="1:26" s="1693" customFormat="1" ht="12" customHeight="1" outlineLevel="3">
      <c r="A164" s="1747" t="s">
        <v>3095</v>
      </c>
      <c r="B164" s="1820" t="s">
        <v>3799</v>
      </c>
      <c r="C164" s="1831"/>
      <c r="D164" s="1823" t="s">
        <v>3800</v>
      </c>
      <c r="E164" s="1759" t="s">
        <v>3801</v>
      </c>
      <c r="F164" s="1796" t="s">
        <v>3792</v>
      </c>
      <c r="G164" s="1812" t="s">
        <v>4193</v>
      </c>
      <c r="H164" s="1727" t="s">
        <v>10</v>
      </c>
      <c r="I164" s="1714">
        <f t="shared" si="90"/>
        <v>138524.57999999999</v>
      </c>
      <c r="J164" s="1764">
        <v>1</v>
      </c>
      <c r="K164" s="1714" t="s">
        <v>101</v>
      </c>
      <c r="L164" s="1714" t="s">
        <v>10</v>
      </c>
      <c r="M164" s="1714">
        <f t="shared" si="82"/>
        <v>138524.57999999999</v>
      </c>
      <c r="N164" s="1772">
        <v>6.2</v>
      </c>
      <c r="O164" s="1714">
        <f t="shared" si="83"/>
        <v>85.885239999999996</v>
      </c>
      <c r="P164" s="1714">
        <f t="shared" si="84"/>
        <v>5.85</v>
      </c>
      <c r="Q164" s="1710">
        <f t="shared" si="85"/>
        <v>81.023810999999995</v>
      </c>
      <c r="R164" s="1805">
        <v>0.06</v>
      </c>
      <c r="S164" s="1714">
        <f t="shared" si="86"/>
        <v>4.8614290000000011</v>
      </c>
      <c r="T164" s="1714"/>
      <c r="U164" s="1714">
        <f t="shared" si="87"/>
        <v>85.885239999999996</v>
      </c>
      <c r="V164" s="1714">
        <f t="shared" si="89"/>
        <v>4.8614290000000011</v>
      </c>
      <c r="W164" s="1714">
        <f t="shared" si="88"/>
        <v>81.023810999999995</v>
      </c>
      <c r="X164" s="1806"/>
      <c r="Y164" s="1714">
        <f t="shared" si="64"/>
        <v>8.3055328997209692</v>
      </c>
    </row>
    <row r="165" spans="1:26" ht="12" customHeight="1" outlineLevel="2">
      <c r="A165" s="1747" t="s">
        <v>3095</v>
      </c>
      <c r="B165" s="1820" t="s">
        <v>630</v>
      </c>
      <c r="C165" s="1811"/>
      <c r="D165" s="1815" t="s">
        <v>3802</v>
      </c>
      <c r="E165" s="1759" t="s">
        <v>3803</v>
      </c>
      <c r="F165" s="1796" t="s">
        <v>3792</v>
      </c>
      <c r="G165" s="1815" t="s">
        <v>4193</v>
      </c>
      <c r="H165" s="1727" t="s">
        <v>566</v>
      </c>
      <c r="I165" s="1714">
        <f>E5</f>
        <v>34370.93</v>
      </c>
      <c r="J165" s="1764">
        <v>1</v>
      </c>
      <c r="K165" s="1755" t="s">
        <v>101</v>
      </c>
      <c r="L165" s="1755" t="s">
        <v>10</v>
      </c>
      <c r="M165" s="1714">
        <f t="shared" si="82"/>
        <v>34370.93</v>
      </c>
      <c r="N165" s="1772">
        <v>38</v>
      </c>
      <c r="O165" s="1714">
        <f t="shared" si="83"/>
        <v>130.609534</v>
      </c>
      <c r="P165" s="1714">
        <f t="shared" si="84"/>
        <v>35.85</v>
      </c>
      <c r="Q165" s="1710">
        <f t="shared" si="85"/>
        <v>123.216542</v>
      </c>
      <c r="R165" s="1805">
        <v>0.06</v>
      </c>
      <c r="S165" s="1714">
        <f t="shared" si="86"/>
        <v>7.3929919999999925</v>
      </c>
      <c r="T165" s="1714"/>
      <c r="U165" s="1714">
        <f t="shared" si="87"/>
        <v>130.609534</v>
      </c>
      <c r="V165" s="1714">
        <f t="shared" si="89"/>
        <v>7.3929919999999925</v>
      </c>
      <c r="W165" s="1714">
        <f t="shared" si="88"/>
        <v>123.216542</v>
      </c>
      <c r="X165" s="1794"/>
      <c r="Y165" s="1714">
        <f t="shared" si="64"/>
        <v>12.63059614963205</v>
      </c>
    </row>
    <row r="166" spans="1:26" ht="12" customHeight="1" outlineLevel="2">
      <c r="A166" s="1747" t="s">
        <v>3095</v>
      </c>
      <c r="B166" s="1820" t="s">
        <v>631</v>
      </c>
      <c r="C166" s="1811"/>
      <c r="D166" s="1815" t="s">
        <v>3804</v>
      </c>
      <c r="E166" s="1759" t="s">
        <v>3805</v>
      </c>
      <c r="F166" s="1796" t="s">
        <v>3792</v>
      </c>
      <c r="G166" s="1815" t="s">
        <v>4193</v>
      </c>
      <c r="H166" s="1727" t="s">
        <v>10</v>
      </c>
      <c r="I166" s="1714">
        <f t="shared" si="90"/>
        <v>138524.57999999999</v>
      </c>
      <c r="J166" s="1764">
        <v>1</v>
      </c>
      <c r="K166" s="1755" t="s">
        <v>101</v>
      </c>
      <c r="L166" s="1755" t="s">
        <v>10</v>
      </c>
      <c r="M166" s="1714">
        <f t="shared" si="82"/>
        <v>138524.57999999999</v>
      </c>
      <c r="N166" s="1772">
        <v>3.5</v>
      </c>
      <c r="O166" s="1714">
        <f t="shared" si="83"/>
        <v>48.483603000000002</v>
      </c>
      <c r="P166" s="1714">
        <f t="shared" si="84"/>
        <v>3.3</v>
      </c>
      <c r="Q166" s="1710">
        <f t="shared" si="85"/>
        <v>45.739248000000003</v>
      </c>
      <c r="R166" s="1805">
        <v>0.06</v>
      </c>
      <c r="S166" s="1714">
        <f t="shared" si="86"/>
        <v>2.7443549999999988</v>
      </c>
      <c r="T166" s="1714"/>
      <c r="U166" s="1714">
        <f t="shared" si="87"/>
        <v>48.483603000000002</v>
      </c>
      <c r="V166" s="1714">
        <f t="shared" si="89"/>
        <v>2.7443549999999988</v>
      </c>
      <c r="W166" s="1714">
        <f t="shared" si="88"/>
        <v>45.739248000000003</v>
      </c>
      <c r="X166" s="1794"/>
      <c r="Y166" s="1714">
        <f t="shared" si="64"/>
        <v>4.6886072602639324</v>
      </c>
    </row>
    <row r="167" spans="1:26" ht="12" customHeight="1" outlineLevel="2">
      <c r="A167" s="1747" t="s">
        <v>3095</v>
      </c>
      <c r="B167" s="1820" t="s">
        <v>632</v>
      </c>
      <c r="C167" s="1811"/>
      <c r="D167" s="1815" t="s">
        <v>3806</v>
      </c>
      <c r="E167" s="1759" t="s">
        <v>3807</v>
      </c>
      <c r="F167" s="1796" t="s">
        <v>3792</v>
      </c>
      <c r="G167" s="1815" t="s">
        <v>4193</v>
      </c>
      <c r="H167" s="1727" t="s">
        <v>10</v>
      </c>
      <c r="I167" s="1714">
        <f t="shared" si="90"/>
        <v>138524.57999999999</v>
      </c>
      <c r="J167" s="1764">
        <v>1</v>
      </c>
      <c r="K167" s="1755" t="s">
        <v>101</v>
      </c>
      <c r="L167" s="1755" t="s">
        <v>10</v>
      </c>
      <c r="M167" s="1714">
        <f t="shared" si="82"/>
        <v>138524.57999999999</v>
      </c>
      <c r="N167" s="1772">
        <v>1</v>
      </c>
      <c r="O167" s="1714">
        <f t="shared" si="83"/>
        <v>13.852458</v>
      </c>
      <c r="P167" s="1714">
        <f t="shared" si="84"/>
        <v>0.94</v>
      </c>
      <c r="Q167" s="1710">
        <f t="shared" si="85"/>
        <v>13.068357000000001</v>
      </c>
      <c r="R167" s="1805">
        <v>0.06</v>
      </c>
      <c r="S167" s="1714">
        <f t="shared" si="86"/>
        <v>0.78410099999999971</v>
      </c>
      <c r="T167" s="1714"/>
      <c r="U167" s="1714">
        <f t="shared" si="87"/>
        <v>13.852458</v>
      </c>
      <c r="V167" s="1714">
        <f t="shared" si="89"/>
        <v>0.78410099999999971</v>
      </c>
      <c r="W167" s="1714">
        <f t="shared" si="88"/>
        <v>13.068357000000001</v>
      </c>
      <c r="X167" s="1809"/>
      <c r="Y167" s="1714">
        <f t="shared" si="64"/>
        <v>1.3396020743611234</v>
      </c>
    </row>
    <row r="168" spans="1:26" ht="12" customHeight="1" outlineLevel="1">
      <c r="A168" s="1747" t="s">
        <v>3096</v>
      </c>
      <c r="B168" s="1694" t="s">
        <v>510</v>
      </c>
      <c r="C168" s="1817">
        <v>2</v>
      </c>
      <c r="D168" s="1788" t="s">
        <v>124</v>
      </c>
      <c r="E168" s="1850"/>
      <c r="F168" s="1697" t="s">
        <v>3808</v>
      </c>
      <c r="G168" s="1855" t="s">
        <v>4194</v>
      </c>
      <c r="H168" s="1852" t="s">
        <v>10</v>
      </c>
      <c r="I168" s="1733">
        <f t="shared" si="90"/>
        <v>138524.57999999999</v>
      </c>
      <c r="J168" s="1734">
        <v>1</v>
      </c>
      <c r="K168" s="1733" t="s">
        <v>101</v>
      </c>
      <c r="L168" s="1733" t="s">
        <v>10</v>
      </c>
      <c r="M168" s="1733">
        <f t="shared" si="82"/>
        <v>138524.57999999999</v>
      </c>
      <c r="N168" s="1856">
        <f>5790608/M168</f>
        <v>41.802025315651562</v>
      </c>
      <c r="O168" s="1733">
        <f t="shared" si="83"/>
        <v>579.03274399999998</v>
      </c>
      <c r="P168" s="1733">
        <f t="shared" si="84"/>
        <v>41.8</v>
      </c>
      <c r="Q168" s="1701">
        <f t="shared" si="85"/>
        <v>579.03274399999998</v>
      </c>
      <c r="R168" s="1735">
        <v>0</v>
      </c>
      <c r="S168" s="1733">
        <f t="shared" si="86"/>
        <v>0</v>
      </c>
      <c r="T168" s="1733"/>
      <c r="U168" s="1733">
        <f t="shared" si="87"/>
        <v>579.03274399999998</v>
      </c>
      <c r="V168" s="1733">
        <f t="shared" si="89"/>
        <v>0</v>
      </c>
      <c r="W168" s="1733">
        <f t="shared" si="88"/>
        <v>579.03274399999998</v>
      </c>
      <c r="X168" s="1736"/>
      <c r="Y168" s="1733">
        <f t="shared" si="64"/>
        <v>55.995366669612956</v>
      </c>
    </row>
    <row r="169" spans="1:26" ht="12" customHeight="1" outlineLevel="1">
      <c r="B169" s="1694" t="s">
        <v>511</v>
      </c>
      <c r="C169" s="1817">
        <v>3</v>
      </c>
      <c r="D169" s="1788" t="s">
        <v>66</v>
      </c>
      <c r="E169" s="1850"/>
      <c r="F169" s="1697"/>
      <c r="G169" s="1697" t="s">
        <v>4117</v>
      </c>
      <c r="H169" s="1852"/>
      <c r="I169" s="1733"/>
      <c r="J169" s="1734"/>
      <c r="K169" s="1733"/>
      <c r="L169" s="1733"/>
      <c r="M169" s="1733"/>
      <c r="N169" s="1733"/>
      <c r="O169" s="1701">
        <f>SUBTOTAL(9,O170:O174)</f>
        <v>1756.907248</v>
      </c>
      <c r="P169" s="1733"/>
      <c r="Q169" s="1701">
        <f>SUBTOTAL(9,Q170:Q174)</f>
        <v>1652.7838340000001</v>
      </c>
      <c r="R169" s="1735"/>
      <c r="S169" s="1701">
        <f>SUBTOTAL(9,S170:S174)</f>
        <v>104.123414</v>
      </c>
      <c r="T169" s="1701">
        <v>122.59507632256773</v>
      </c>
      <c r="U169" s="1701">
        <f>SUBTOTAL(9,U170:U174)</f>
        <v>1879.502324</v>
      </c>
      <c r="V169" s="1701">
        <f>SUBTOTAL(9,V170:V174)</f>
        <v>114.24594300000004</v>
      </c>
      <c r="W169" s="1701">
        <f>SUBTOTAL(9,W170:W174)</f>
        <v>1765.2563810000001</v>
      </c>
      <c r="X169" s="1853"/>
      <c r="Y169" s="1701">
        <f t="shared" si="64"/>
        <v>181.75728899498935</v>
      </c>
    </row>
    <row r="170" spans="1:26" ht="12" customHeight="1" outlineLevel="2">
      <c r="A170" s="1747" t="s">
        <v>3097</v>
      </c>
      <c r="B170" s="1820" t="s">
        <v>569</v>
      </c>
      <c r="C170" s="1789"/>
      <c r="D170" s="1790" t="s">
        <v>1394</v>
      </c>
      <c r="E170" s="1808"/>
      <c r="F170" s="1707" t="s">
        <v>3809</v>
      </c>
      <c r="G170" s="1707" t="s">
        <v>4195</v>
      </c>
      <c r="H170" s="1727" t="s">
        <v>10</v>
      </c>
      <c r="I170" s="1714">
        <f t="shared" si="90"/>
        <v>138524.57999999999</v>
      </c>
      <c r="J170" s="1764">
        <v>1</v>
      </c>
      <c r="K170" s="1755" t="s">
        <v>101</v>
      </c>
      <c r="L170" s="1755" t="s">
        <v>10</v>
      </c>
      <c r="M170" s="1714">
        <f t="shared" si="82"/>
        <v>138524.57999999999</v>
      </c>
      <c r="N170" s="1772">
        <v>15</v>
      </c>
      <c r="O170" s="1714">
        <f>ROUND(M170*ROUND(N170,2)/10000,6)</f>
        <v>207.78686999999999</v>
      </c>
      <c r="P170" s="1714">
        <f>IFERROR(ROUND(Q170*10000/M170,2),0)</f>
        <v>14.15</v>
      </c>
      <c r="Q170" s="1710">
        <f>ROUND(O170/(1+R170),6)</f>
        <v>196.02534900000001</v>
      </c>
      <c r="R170" s="1805">
        <v>0.06</v>
      </c>
      <c r="S170" s="1714">
        <f>O170-Q170</f>
        <v>11.761520999999988</v>
      </c>
      <c r="T170" s="1714"/>
      <c r="U170" s="1714">
        <f>O170+ROUND(T170,6)</f>
        <v>207.78686999999999</v>
      </c>
      <c r="V170" s="1714">
        <f>U170-W170</f>
        <v>11.761520999999988</v>
      </c>
      <c r="W170" s="1714">
        <f>ROUND(U170/(1+R170),6)</f>
        <v>196.02534900000001</v>
      </c>
      <c r="X170" s="1809"/>
      <c r="Y170" s="1714">
        <f t="shared" si="64"/>
        <v>20.09403111541685</v>
      </c>
    </row>
    <row r="171" spans="1:26" ht="12" customHeight="1" outlineLevel="2">
      <c r="A171" s="1747" t="s">
        <v>3097</v>
      </c>
      <c r="B171" s="1820" t="s">
        <v>1396</v>
      </c>
      <c r="C171" s="1789"/>
      <c r="D171" s="1790" t="s">
        <v>3810</v>
      </c>
      <c r="E171" s="1808"/>
      <c r="F171" s="1707" t="s">
        <v>3809</v>
      </c>
      <c r="G171" s="1704" t="s">
        <v>4195</v>
      </c>
      <c r="H171" s="1727" t="s">
        <v>10</v>
      </c>
      <c r="I171" s="1714">
        <f t="shared" si="90"/>
        <v>138524.57999999999</v>
      </c>
      <c r="J171" s="1764">
        <v>1</v>
      </c>
      <c r="K171" s="1755" t="s">
        <v>101</v>
      </c>
      <c r="L171" s="1755" t="s">
        <v>10</v>
      </c>
      <c r="M171" s="1714">
        <f t="shared" si="82"/>
        <v>138524.57999999999</v>
      </c>
      <c r="N171" s="1772">
        <v>2</v>
      </c>
      <c r="O171" s="1714">
        <f>ROUND(M171*ROUND(N171,2)/10000,6)</f>
        <v>27.704916000000001</v>
      </c>
      <c r="P171" s="1714">
        <f>IFERROR(ROUND(Q171*10000/M171,2),0)</f>
        <v>1.89</v>
      </c>
      <c r="Q171" s="1710">
        <f>ROUND(O171/(1+R171),6)</f>
        <v>26.136713</v>
      </c>
      <c r="R171" s="1805">
        <v>0.06</v>
      </c>
      <c r="S171" s="1714">
        <f>O171-Q171</f>
        <v>1.5682030000000005</v>
      </c>
      <c r="T171" s="1714"/>
      <c r="U171" s="1714">
        <f>O171+ROUND(T171,6)</f>
        <v>27.704916000000001</v>
      </c>
      <c r="V171" s="1714">
        <f>U171-W171</f>
        <v>1.5682030000000005</v>
      </c>
      <c r="W171" s="1714">
        <f>ROUND(U171/(1+R171),6)</f>
        <v>26.136713</v>
      </c>
      <c r="X171" s="1809"/>
      <c r="Y171" s="1714">
        <f t="shared" si="64"/>
        <v>2.6792041487222469</v>
      </c>
    </row>
    <row r="172" spans="1:26" ht="12" customHeight="1" outlineLevel="2">
      <c r="A172" s="1747" t="s">
        <v>3097</v>
      </c>
      <c r="B172" s="1820" t="s">
        <v>571</v>
      </c>
      <c r="C172" s="1789"/>
      <c r="D172" s="1790" t="s">
        <v>1403</v>
      </c>
      <c r="E172" s="1808"/>
      <c r="F172" s="1707" t="s">
        <v>3809</v>
      </c>
      <c r="G172" s="1707" t="s">
        <v>4195</v>
      </c>
      <c r="H172" s="1727" t="s">
        <v>10</v>
      </c>
      <c r="I172" s="1714">
        <f t="shared" si="90"/>
        <v>138524.57999999999</v>
      </c>
      <c r="J172" s="1764">
        <v>1</v>
      </c>
      <c r="K172" s="1755" t="s">
        <v>101</v>
      </c>
      <c r="L172" s="1755" t="s">
        <v>10</v>
      </c>
      <c r="M172" s="1714">
        <f t="shared" si="82"/>
        <v>138524.57999999999</v>
      </c>
      <c r="N172" s="1772">
        <v>1</v>
      </c>
      <c r="O172" s="1714">
        <f>ROUND(M172*ROUND(N172,2)/10000,6)</f>
        <v>13.852458</v>
      </c>
      <c r="P172" s="1714">
        <f>IFERROR(ROUND(Q172*10000/M172,2),0)</f>
        <v>0.94</v>
      </c>
      <c r="Q172" s="1710">
        <f>ROUND(O172/(1+R172),6)</f>
        <v>13.068357000000001</v>
      </c>
      <c r="R172" s="1805">
        <v>0.06</v>
      </c>
      <c r="S172" s="1714">
        <f>O172-Q172</f>
        <v>0.78410099999999971</v>
      </c>
      <c r="T172" s="1714"/>
      <c r="U172" s="1714">
        <f>O172+ROUND(T172,6)</f>
        <v>13.852458</v>
      </c>
      <c r="V172" s="1714">
        <f>U172-W172</f>
        <v>0.78410099999999971</v>
      </c>
      <c r="W172" s="1714">
        <f>ROUND(U172/(1+R172),6)</f>
        <v>13.068357000000001</v>
      </c>
      <c r="X172" s="1809"/>
      <c r="Y172" s="1714">
        <f t="shared" si="64"/>
        <v>1.3396020743611234</v>
      </c>
    </row>
    <row r="173" spans="1:26" ht="12" customHeight="1" outlineLevel="2">
      <c r="A173" s="1747" t="s">
        <v>3097</v>
      </c>
      <c r="B173" s="1820" t="s">
        <v>573</v>
      </c>
      <c r="C173" s="1789"/>
      <c r="D173" s="1790" t="s">
        <v>3811</v>
      </c>
      <c r="E173" s="1808"/>
      <c r="F173" s="1704" t="s">
        <v>3812</v>
      </c>
      <c r="G173" s="1704" t="s">
        <v>4196</v>
      </c>
      <c r="H173" s="1727" t="s">
        <v>10</v>
      </c>
      <c r="I173" s="1714">
        <f t="shared" si="90"/>
        <v>138524.57999999999</v>
      </c>
      <c r="J173" s="1764">
        <v>1</v>
      </c>
      <c r="K173" s="1755" t="s">
        <v>101</v>
      </c>
      <c r="L173" s="1755" t="s">
        <v>10</v>
      </c>
      <c r="M173" s="1714">
        <f t="shared" si="82"/>
        <v>138524.57999999999</v>
      </c>
      <c r="N173" s="1772">
        <v>13</v>
      </c>
      <c r="O173" s="1714">
        <f>ROUND(M173*ROUND(N173,2)/10000,6)</f>
        <v>180.081954</v>
      </c>
      <c r="P173" s="1714">
        <f>IFERROR(ROUND(Q173*10000/M173,2),0)</f>
        <v>11.93</v>
      </c>
      <c r="Q173" s="1710">
        <f>ROUND(O173/(1+R173),6)</f>
        <v>165.21280200000001</v>
      </c>
      <c r="R173" s="1805">
        <v>0.09</v>
      </c>
      <c r="S173" s="1714">
        <f>O173-Q173</f>
        <v>14.869151999999985</v>
      </c>
      <c r="T173" s="1714">
        <v>122.59507632256773</v>
      </c>
      <c r="U173" s="1714">
        <f>O173+ROUND(T173,6)</f>
        <v>302.67703</v>
      </c>
      <c r="V173" s="1714">
        <f>U173-W173</f>
        <v>24.991681000000028</v>
      </c>
      <c r="W173" s="1714">
        <f>ROUND(U173/(1+R173),6)</f>
        <v>277.68534899999997</v>
      </c>
      <c r="X173" s="1809"/>
      <c r="Y173" s="1714">
        <f t="shared" si="64"/>
        <v>29.27038488400138</v>
      </c>
    </row>
    <row r="174" spans="1:26" ht="12" customHeight="1" outlineLevel="2">
      <c r="A174" s="1747" t="s">
        <v>3097</v>
      </c>
      <c r="B174" s="1820" t="s">
        <v>575</v>
      </c>
      <c r="C174" s="1789"/>
      <c r="D174" s="1790" t="s">
        <v>3813</v>
      </c>
      <c r="E174" s="1808"/>
      <c r="F174" s="1796" t="s">
        <v>1424</v>
      </c>
      <c r="G174" s="1707" t="s">
        <v>4123</v>
      </c>
      <c r="H174" s="1727" t="s">
        <v>10</v>
      </c>
      <c r="I174" s="1714">
        <f t="shared" si="90"/>
        <v>138524.57999999999</v>
      </c>
      <c r="J174" s="1764">
        <v>1</v>
      </c>
      <c r="K174" s="1846" t="s">
        <v>101</v>
      </c>
      <c r="L174" s="1846" t="s">
        <v>10</v>
      </c>
      <c r="M174" s="1714">
        <f t="shared" si="82"/>
        <v>138524.57999999999</v>
      </c>
      <c r="N174" s="1857">
        <v>95.830646352491058</v>
      </c>
      <c r="O174" s="1714">
        <f>ROUND(M174*ROUND(N174,2)/10000,6)</f>
        <v>1327.4810500000001</v>
      </c>
      <c r="P174" s="1714">
        <f>IFERROR(ROUND(Q174*10000/M174,2),0)</f>
        <v>90.41</v>
      </c>
      <c r="Q174" s="1710">
        <f>ROUND(O174/(1+R174),6)</f>
        <v>1252.3406130000001</v>
      </c>
      <c r="R174" s="1805">
        <v>0.06</v>
      </c>
      <c r="S174" s="1714">
        <f>O174-Q174</f>
        <v>75.14043700000002</v>
      </c>
      <c r="T174" s="1714"/>
      <c r="U174" s="1714">
        <f>O174+ROUND(T174,6)</f>
        <v>1327.4810500000001</v>
      </c>
      <c r="V174" s="1714">
        <f>U174-W174</f>
        <v>75.14043700000002</v>
      </c>
      <c r="W174" s="1714">
        <f>ROUND(U174/(1+R174),6)</f>
        <v>1252.3406130000001</v>
      </c>
      <c r="X174" s="1824"/>
      <c r="Y174" s="1714">
        <f t="shared" si="64"/>
        <v>128.37406677248777</v>
      </c>
      <c r="Z174" s="1714"/>
    </row>
    <row r="175" spans="1:26" ht="12" customHeight="1" outlineLevel="1">
      <c r="A175" s="1747"/>
      <c r="B175" s="1694" t="s">
        <v>512</v>
      </c>
      <c r="C175" s="1817">
        <v>4</v>
      </c>
      <c r="D175" s="1788" t="s">
        <v>513</v>
      </c>
      <c r="E175" s="1817"/>
      <c r="F175" s="1697"/>
      <c r="G175" s="1697" t="s">
        <v>4117</v>
      </c>
      <c r="H175" s="1818"/>
      <c r="I175" s="1858"/>
      <c r="J175" s="1859"/>
      <c r="K175" s="1858"/>
      <c r="L175" s="1858"/>
      <c r="M175" s="1858"/>
      <c r="N175" s="1858"/>
      <c r="O175" s="1701">
        <f>SUBTOTAL(9,O176:O179)</f>
        <v>222.381148</v>
      </c>
      <c r="P175" s="1858"/>
      <c r="Q175" s="1701">
        <f>SUBTOTAL(9,Q176:Q179)</f>
        <v>204.01940200000001</v>
      </c>
      <c r="R175" s="1735"/>
      <c r="S175" s="1701">
        <f>SUBTOTAL(9,S176:S179)</f>
        <v>18.361746000000014</v>
      </c>
      <c r="T175" s="1701">
        <v>514.46750482421896</v>
      </c>
      <c r="U175" s="1701">
        <f>SUBTOTAL(9,U176:U179)</f>
        <v>736.84865300000001</v>
      </c>
      <c r="V175" s="1701">
        <f>SUBTOTAL(9,V176:V179)</f>
        <v>60.840714999999975</v>
      </c>
      <c r="W175" s="1701">
        <f>SUBTOTAL(9,W176:W179)</f>
        <v>676.00793800000008</v>
      </c>
      <c r="X175" s="1819"/>
      <c r="Y175" s="1701">
        <f t="shared" si="64"/>
        <v>71.256955556118612</v>
      </c>
    </row>
    <row r="176" spans="1:26" ht="12" customHeight="1" outlineLevel="2">
      <c r="A176" s="1747" t="s">
        <v>3098</v>
      </c>
      <c r="B176" s="1820" t="s">
        <v>1427</v>
      </c>
      <c r="C176" s="1811"/>
      <c r="D176" s="1815" t="s">
        <v>3814</v>
      </c>
      <c r="E176" s="1759" t="s">
        <v>3815</v>
      </c>
      <c r="F176" s="1796" t="s">
        <v>3816</v>
      </c>
      <c r="G176" s="1707" t="s">
        <v>4197</v>
      </c>
      <c r="H176" s="1727" t="s">
        <v>3969</v>
      </c>
      <c r="I176" s="1846"/>
      <c r="J176" s="1845"/>
      <c r="K176" s="1846"/>
      <c r="L176" s="1846" t="s">
        <v>3998</v>
      </c>
      <c r="M176" s="1714">
        <v>3000</v>
      </c>
      <c r="N176" s="1860">
        <f>55.92/3000*10000</f>
        <v>186.4</v>
      </c>
      <c r="O176" s="1714">
        <f>ROUND(M176*ROUND(N176,2)/10000,6)</f>
        <v>55.92</v>
      </c>
      <c r="P176" s="1714">
        <f>IFERROR(ROUND(Q176*10000/M176,2),0)</f>
        <v>171.01</v>
      </c>
      <c r="Q176" s="1710">
        <f>ROUND(O176/(1+R176),6)</f>
        <v>51.302751999999998</v>
      </c>
      <c r="R176" s="1805">
        <v>0.09</v>
      </c>
      <c r="S176" s="1714">
        <f>O176-Q176</f>
        <v>4.6172480000000036</v>
      </c>
      <c r="T176" s="1714">
        <v>391.90735803205462</v>
      </c>
      <c r="U176" s="1714">
        <f>O176+ROUND(T176,6)</f>
        <v>447.827358</v>
      </c>
      <c r="V176" s="1714">
        <f>U176-W176</f>
        <v>36.976570999999979</v>
      </c>
      <c r="W176" s="1714">
        <f>ROUND(U176/(1+R176),6)</f>
        <v>410.85078700000003</v>
      </c>
      <c r="X176" s="1758"/>
      <c r="Y176" s="1714">
        <f t="shared" si="64"/>
        <v>43.307148647009896</v>
      </c>
    </row>
    <row r="177" spans="1:25" ht="12" customHeight="1" outlineLevel="2">
      <c r="A177" s="1747" t="s">
        <v>3098</v>
      </c>
      <c r="B177" s="1820" t="s">
        <v>1436</v>
      </c>
      <c r="C177" s="1811"/>
      <c r="D177" s="1815" t="s">
        <v>1437</v>
      </c>
      <c r="E177" s="1759" t="s">
        <v>3817</v>
      </c>
      <c r="F177" s="1707" t="s">
        <v>3818</v>
      </c>
      <c r="G177" s="1707" t="s">
        <v>4198</v>
      </c>
      <c r="H177" s="1727" t="s">
        <v>3969</v>
      </c>
      <c r="I177" s="1714"/>
      <c r="J177" s="1764">
        <v>1</v>
      </c>
      <c r="K177" s="1846" t="s">
        <v>101</v>
      </c>
      <c r="L177" s="1846" t="s">
        <v>3999</v>
      </c>
      <c r="M177" s="1714">
        <f>(108+125)*2</f>
        <v>466</v>
      </c>
      <c r="N177" s="1860">
        <f>0.0643776824034335*10000</f>
        <v>643.77682403433505</v>
      </c>
      <c r="O177" s="1714">
        <f>ROUND(M177*ROUND(N177,2)/10000,6)</f>
        <v>30.000147999999999</v>
      </c>
      <c r="P177" s="1714">
        <f>IFERROR(ROUND(Q177*10000/M177,2),0)</f>
        <v>590.62</v>
      </c>
      <c r="Q177" s="1710">
        <f>ROUND(O177/(1+R177),6)</f>
        <v>27.523071999999999</v>
      </c>
      <c r="R177" s="1805">
        <v>0.09</v>
      </c>
      <c r="S177" s="1714">
        <f>O177-Q177</f>
        <v>2.4770760000000003</v>
      </c>
      <c r="T177" s="1714">
        <v>81.411470981205824</v>
      </c>
      <c r="U177" s="1714">
        <f>O177+ROUND(T177,6)</f>
        <v>111.411619</v>
      </c>
      <c r="V177" s="1714">
        <f>U177-W177</f>
        <v>9.1991249999999951</v>
      </c>
      <c r="W177" s="1714">
        <f>ROUND(U177/(1+R177),6)</f>
        <v>102.21249400000001</v>
      </c>
      <c r="X177" s="1758"/>
      <c r="Y177" s="1714">
        <f t="shared" si="64"/>
        <v>10.77406160844026</v>
      </c>
    </row>
    <row r="178" spans="1:25" ht="12" customHeight="1" outlineLevel="2">
      <c r="A178" s="1747" t="s">
        <v>3098</v>
      </c>
      <c r="B178" s="1820" t="s">
        <v>1444</v>
      </c>
      <c r="C178" s="1811"/>
      <c r="D178" s="1815" t="s">
        <v>1445</v>
      </c>
      <c r="E178" s="1759" t="s">
        <v>3819</v>
      </c>
      <c r="F178" s="1707" t="s">
        <v>3820</v>
      </c>
      <c r="G178" s="1707" t="s">
        <v>4199</v>
      </c>
      <c r="H178" s="1727" t="s">
        <v>3969</v>
      </c>
      <c r="I178" s="1714"/>
      <c r="J178" s="1764">
        <v>1</v>
      </c>
      <c r="K178" s="1846" t="s">
        <v>101</v>
      </c>
      <c r="L178" s="1846" t="s">
        <v>3969</v>
      </c>
      <c r="M178" s="1714">
        <v>3000</v>
      </c>
      <c r="N178" s="1755">
        <f>136.46*3.33333333333333</f>
        <v>454.86666666666622</v>
      </c>
      <c r="O178" s="1714">
        <f>ROUND(M178*ROUND(N178,2)/10000,6)</f>
        <v>136.46100000000001</v>
      </c>
      <c r="P178" s="1714">
        <f>IFERROR(ROUND(Q178*10000/M178,2),0)</f>
        <v>417.31</v>
      </c>
      <c r="Q178" s="1710">
        <f>ROUND(O178/(1+R178),6)</f>
        <v>125.193578</v>
      </c>
      <c r="R178" s="1805">
        <v>0.09</v>
      </c>
      <c r="S178" s="1714">
        <f>O178-Q178</f>
        <v>11.26742200000001</v>
      </c>
      <c r="T178" s="1714">
        <v>41.148675810958501</v>
      </c>
      <c r="U178" s="1714">
        <f>O178+ROUND(T178,6)</f>
        <v>177.60967600000001</v>
      </c>
      <c r="V178" s="1714">
        <f>U178-W178</f>
        <v>14.665019000000001</v>
      </c>
      <c r="W178" s="1714">
        <f>ROUND(U178/(1+R178),6)</f>
        <v>162.94465700000001</v>
      </c>
      <c r="X178" s="1758"/>
      <c r="Y178" s="1714">
        <f t="shared" si="64"/>
        <v>17.175745300668449</v>
      </c>
    </row>
    <row r="179" spans="1:25" ht="12" customHeight="1" outlineLevel="2">
      <c r="A179" s="1747" t="s">
        <v>3098</v>
      </c>
      <c r="B179" s="1820" t="s">
        <v>1452</v>
      </c>
      <c r="C179" s="1811"/>
      <c r="D179" s="1815" t="s">
        <v>1453</v>
      </c>
      <c r="E179" s="1816"/>
      <c r="F179" s="1707" t="s">
        <v>3820</v>
      </c>
      <c r="G179" s="1707" t="s">
        <v>4199</v>
      </c>
      <c r="H179" s="1727" t="s">
        <v>3969</v>
      </c>
      <c r="I179" s="1714"/>
      <c r="J179" s="1764">
        <v>1</v>
      </c>
      <c r="K179" s="1846" t="s">
        <v>101</v>
      </c>
      <c r="L179" s="1846" t="s">
        <v>3969</v>
      </c>
      <c r="M179" s="1714">
        <f>M178</f>
        <v>3000</v>
      </c>
      <c r="N179" s="1755"/>
      <c r="O179" s="1714">
        <f>ROUND(M179*ROUND(N179,2)/10000,6)</f>
        <v>0</v>
      </c>
      <c r="P179" s="1714">
        <f>IFERROR(ROUND(Q179*10000/M179,2),0)</f>
        <v>0</v>
      </c>
      <c r="Q179" s="1710">
        <f>ROUND(O179/(1+R179),6)</f>
        <v>0</v>
      </c>
      <c r="R179" s="1805">
        <v>0.09</v>
      </c>
      <c r="S179" s="1714">
        <f>O179-Q179</f>
        <v>0</v>
      </c>
      <c r="T179" s="1714">
        <v>0</v>
      </c>
      <c r="U179" s="1714">
        <f>O179+ROUND(T179,6)</f>
        <v>0</v>
      </c>
      <c r="V179" s="1714">
        <f>U179-W179</f>
        <v>0</v>
      </c>
      <c r="W179" s="1714">
        <f>ROUND(U179/(1+R179),6)</f>
        <v>0</v>
      </c>
      <c r="X179" s="1758"/>
      <c r="Y179" s="1714">
        <f t="shared" si="64"/>
        <v>0</v>
      </c>
    </row>
    <row r="180" spans="1:25" ht="12" customHeight="1" outlineLevel="1">
      <c r="A180" s="1747" t="s">
        <v>3099</v>
      </c>
      <c r="B180" s="1694" t="s">
        <v>514</v>
      </c>
      <c r="C180" s="1817">
        <v>5</v>
      </c>
      <c r="D180" s="1788" t="s">
        <v>67</v>
      </c>
      <c r="E180" s="1850"/>
      <c r="F180" s="1855" t="s">
        <v>3821</v>
      </c>
      <c r="G180" s="1855" t="s">
        <v>4200</v>
      </c>
      <c r="H180" s="1861" t="s">
        <v>10</v>
      </c>
      <c r="I180" s="1733">
        <f>$E$3</f>
        <v>138524.57999999999</v>
      </c>
      <c r="J180" s="1859">
        <v>1</v>
      </c>
      <c r="K180" s="1858" t="s">
        <v>101</v>
      </c>
      <c r="L180" s="1858" t="s">
        <v>10</v>
      </c>
      <c r="M180" s="1858">
        <f t="shared" si="82"/>
        <v>138524.57999999999</v>
      </c>
      <c r="N180" s="1858">
        <v>12</v>
      </c>
      <c r="O180" s="1858">
        <f>ROUND(M180*ROUND(N180,2)/10000,6)</f>
        <v>166.22949600000001</v>
      </c>
      <c r="P180" s="1858">
        <f>IFERROR(ROUND(Q180*10000/M180,2),0)</f>
        <v>11.32</v>
      </c>
      <c r="Q180" s="1733">
        <f>ROUND(O180/(1+R180),6)</f>
        <v>156.820279</v>
      </c>
      <c r="R180" s="1735">
        <v>0.06</v>
      </c>
      <c r="S180" s="1858">
        <f>O180-Q180</f>
        <v>9.4092170000000124</v>
      </c>
      <c r="T180" s="1858">
        <v>74.818023673967161</v>
      </c>
      <c r="U180" s="1858">
        <f>O180+ROUND(T180,6)</f>
        <v>241.04752000000002</v>
      </c>
      <c r="V180" s="1858">
        <f>U180-W180</f>
        <v>13.644199000000015</v>
      </c>
      <c r="W180" s="1858">
        <f>ROUND(U180/(1+R180),6)</f>
        <v>227.40332100000001</v>
      </c>
      <c r="X180" s="1819"/>
      <c r="Y180" s="1858">
        <f t="shared" si="64"/>
        <v>23.310502570129032</v>
      </c>
    </row>
    <row r="181" spans="1:25" ht="12" customHeight="1" outlineLevel="1">
      <c r="B181" s="1694" t="s">
        <v>1010</v>
      </c>
      <c r="C181" s="1817">
        <v>6</v>
      </c>
      <c r="D181" s="1788" t="s">
        <v>1011</v>
      </c>
      <c r="E181" s="1850"/>
      <c r="F181" s="1697"/>
      <c r="G181" s="1697" t="s">
        <v>4117</v>
      </c>
      <c r="H181" s="1861"/>
      <c r="I181" s="1733"/>
      <c r="J181" s="1734"/>
      <c r="K181" s="1733"/>
      <c r="L181" s="1733"/>
      <c r="M181" s="1733"/>
      <c r="N181" s="1733"/>
      <c r="O181" s="1701">
        <f>SUBTOTAL(9,O182:O185)</f>
        <v>273.70669500000002</v>
      </c>
      <c r="P181" s="1733"/>
      <c r="Q181" s="1701">
        <f>SUBTOTAL(9,Q182:Q185)</f>
        <v>258.213863</v>
      </c>
      <c r="R181" s="1735"/>
      <c r="S181" s="1701">
        <f>SUBTOTAL(9,S182:S185)</f>
        <v>15.492832000000021</v>
      </c>
      <c r="T181" s="1701">
        <v>0</v>
      </c>
      <c r="U181" s="1701">
        <f>SUBTOTAL(9,U182:U185)</f>
        <v>273.70669500000002</v>
      </c>
      <c r="V181" s="1701">
        <f>SUBTOTAL(9,V182:V185)</f>
        <v>15.492832000000021</v>
      </c>
      <c r="W181" s="1701">
        <f>SUBTOTAL(9,W182:W185)</f>
        <v>258.213863</v>
      </c>
      <c r="X181" s="1819"/>
      <c r="Y181" s="1701">
        <f t="shared" si="64"/>
        <v>26.468808379605079</v>
      </c>
    </row>
    <row r="182" spans="1:25" ht="12" customHeight="1" outlineLevel="2">
      <c r="A182" s="1747" t="s">
        <v>3103</v>
      </c>
      <c r="B182" s="1820" t="s">
        <v>1463</v>
      </c>
      <c r="C182" s="1811"/>
      <c r="D182" s="1815" t="s">
        <v>1465</v>
      </c>
      <c r="E182" s="1816"/>
      <c r="F182" s="1707" t="s">
        <v>1011</v>
      </c>
      <c r="G182" s="1707" t="s">
        <v>4201</v>
      </c>
      <c r="H182" s="1727" t="s">
        <v>10</v>
      </c>
      <c r="I182" s="1714">
        <f t="shared" ref="I182:I187" si="91">$E$3</f>
        <v>138524.57999999999</v>
      </c>
      <c r="J182" s="1764">
        <v>1</v>
      </c>
      <c r="K182" s="1755" t="s">
        <v>101</v>
      </c>
      <c r="L182" s="1755" t="s">
        <v>10</v>
      </c>
      <c r="M182" s="1714">
        <f t="shared" si="82"/>
        <v>138524.57999999999</v>
      </c>
      <c r="N182" s="1755">
        <v>3</v>
      </c>
      <c r="O182" s="1714">
        <f t="shared" ref="O182:O187" si="92">ROUND(M182*ROUND(N182,2)/10000,6)</f>
        <v>41.557374000000003</v>
      </c>
      <c r="P182" s="1714">
        <f t="shared" ref="P182:P187" si="93">IFERROR(ROUND(Q182*10000/M182,2),0)</f>
        <v>2.83</v>
      </c>
      <c r="Q182" s="1710">
        <f t="shared" ref="Q182:Q187" si="94">ROUND(O182/(1+R182),6)</f>
        <v>39.205069999999999</v>
      </c>
      <c r="R182" s="1805">
        <v>0.06</v>
      </c>
      <c r="S182" s="1714">
        <f t="shared" ref="S182:S187" si="95">O182-Q182</f>
        <v>2.3523040000000037</v>
      </c>
      <c r="T182" s="1714"/>
      <c r="U182" s="1714">
        <f t="shared" ref="U182:U187" si="96">O182+ROUND(T182,6)</f>
        <v>41.557374000000003</v>
      </c>
      <c r="V182" s="1714">
        <f t="shared" ref="V182:V187" si="97">U182-W182</f>
        <v>2.3523040000000037</v>
      </c>
      <c r="W182" s="1714">
        <f t="shared" ref="W182:W187" si="98">ROUND(U182/(1+R182),6)</f>
        <v>39.205069999999999</v>
      </c>
      <c r="X182" s="1794"/>
      <c r="Y182" s="1714">
        <f t="shared" si="64"/>
        <v>4.0188062230833701</v>
      </c>
    </row>
    <row r="183" spans="1:25" ht="12" customHeight="1" outlineLevel="2">
      <c r="A183" s="1747" t="s">
        <v>3100</v>
      </c>
      <c r="B183" s="1820" t="s">
        <v>1466</v>
      </c>
      <c r="C183" s="1811"/>
      <c r="D183" s="1815" t="s">
        <v>1468</v>
      </c>
      <c r="E183" s="1816"/>
      <c r="F183" s="1707" t="s">
        <v>1011</v>
      </c>
      <c r="G183" s="1707" t="s">
        <v>4201</v>
      </c>
      <c r="H183" s="1727" t="s">
        <v>10</v>
      </c>
      <c r="I183" s="1714">
        <f t="shared" si="91"/>
        <v>138524.57999999999</v>
      </c>
      <c r="J183" s="1764">
        <v>1</v>
      </c>
      <c r="K183" s="1846" t="s">
        <v>101</v>
      </c>
      <c r="L183" s="1846" t="s">
        <v>10</v>
      </c>
      <c r="M183" s="1714">
        <f t="shared" si="82"/>
        <v>138524.57999999999</v>
      </c>
      <c r="N183" s="1772">
        <v>11.399999999999999</v>
      </c>
      <c r="O183" s="1714">
        <f t="shared" si="92"/>
        <v>157.91802100000001</v>
      </c>
      <c r="P183" s="1714">
        <f t="shared" si="93"/>
        <v>10.75</v>
      </c>
      <c r="Q183" s="1710">
        <f t="shared" si="94"/>
        <v>148.979265</v>
      </c>
      <c r="R183" s="1805">
        <v>0.06</v>
      </c>
      <c r="S183" s="1714">
        <f t="shared" si="95"/>
        <v>8.9387560000000121</v>
      </c>
      <c r="T183" s="1714"/>
      <c r="U183" s="1714">
        <f t="shared" si="96"/>
        <v>157.91802100000001</v>
      </c>
      <c r="V183" s="1714">
        <f t="shared" si="97"/>
        <v>8.9387560000000121</v>
      </c>
      <c r="W183" s="1714">
        <f t="shared" si="98"/>
        <v>148.979265</v>
      </c>
      <c r="X183" s="1758"/>
      <c r="Y183" s="1714">
        <f t="shared" si="64"/>
        <v>15.271463628375805</v>
      </c>
    </row>
    <row r="184" spans="1:25" ht="12" customHeight="1" outlineLevel="2">
      <c r="A184" s="1747" t="s">
        <v>3100</v>
      </c>
      <c r="B184" s="1820" t="s">
        <v>3822</v>
      </c>
      <c r="C184" s="1749"/>
      <c r="D184" s="1862" t="s">
        <v>3823</v>
      </c>
      <c r="E184" s="1759" t="s">
        <v>4000</v>
      </c>
      <c r="F184" s="1707" t="s">
        <v>1011</v>
      </c>
      <c r="G184" s="1707" t="s">
        <v>4201</v>
      </c>
      <c r="H184" s="1727" t="s">
        <v>10</v>
      </c>
      <c r="I184" s="1714">
        <f t="shared" si="91"/>
        <v>138524.57999999999</v>
      </c>
      <c r="J184" s="1764">
        <v>1</v>
      </c>
      <c r="K184" s="1846" t="s">
        <v>101</v>
      </c>
      <c r="L184" s="1846" t="s">
        <v>10</v>
      </c>
      <c r="M184" s="1714">
        <f t="shared" si="82"/>
        <v>138524.57999999999</v>
      </c>
      <c r="N184" s="1755">
        <v>0</v>
      </c>
      <c r="O184" s="1714">
        <f t="shared" si="92"/>
        <v>0</v>
      </c>
      <c r="P184" s="1714">
        <f t="shared" si="93"/>
        <v>0</v>
      </c>
      <c r="Q184" s="1710">
        <f t="shared" si="94"/>
        <v>0</v>
      </c>
      <c r="R184" s="1805">
        <v>0.06</v>
      </c>
      <c r="S184" s="1714">
        <f t="shared" si="95"/>
        <v>0</v>
      </c>
      <c r="T184" s="1714"/>
      <c r="U184" s="1714">
        <f t="shared" si="96"/>
        <v>0</v>
      </c>
      <c r="V184" s="1714">
        <f t="shared" si="97"/>
        <v>0</v>
      </c>
      <c r="W184" s="1714">
        <f t="shared" si="98"/>
        <v>0</v>
      </c>
      <c r="X184" s="1758"/>
      <c r="Y184" s="1714">
        <f t="shared" si="64"/>
        <v>0</v>
      </c>
    </row>
    <row r="185" spans="1:25" ht="12" customHeight="1" outlineLevel="2">
      <c r="A185" s="1747" t="s">
        <v>3100</v>
      </c>
      <c r="B185" s="1820" t="s">
        <v>3824</v>
      </c>
      <c r="C185" s="1811"/>
      <c r="D185" s="1815" t="s">
        <v>3825</v>
      </c>
      <c r="E185" s="1816"/>
      <c r="F185" s="1707" t="s">
        <v>1011</v>
      </c>
      <c r="G185" s="1707" t="s">
        <v>4201</v>
      </c>
      <c r="H185" s="1727" t="s">
        <v>10</v>
      </c>
      <c r="I185" s="1714">
        <f t="shared" si="91"/>
        <v>138524.57999999999</v>
      </c>
      <c r="J185" s="1764">
        <f>J74</f>
        <v>0</v>
      </c>
      <c r="K185" s="1755" t="s">
        <v>101</v>
      </c>
      <c r="L185" s="1755" t="s">
        <v>10</v>
      </c>
      <c r="M185" s="1714">
        <f>+'全期规划指标 '!H32</f>
        <v>1142.02</v>
      </c>
      <c r="N185" s="1772">
        <v>650</v>
      </c>
      <c r="O185" s="1714">
        <f t="shared" si="92"/>
        <v>74.231300000000005</v>
      </c>
      <c r="P185" s="1714">
        <f t="shared" si="93"/>
        <v>613.21</v>
      </c>
      <c r="Q185" s="1710">
        <f t="shared" si="94"/>
        <v>70.029527999999999</v>
      </c>
      <c r="R185" s="1805">
        <v>0.06</v>
      </c>
      <c r="S185" s="1714">
        <f t="shared" si="95"/>
        <v>4.2017720000000054</v>
      </c>
      <c r="T185" s="1714"/>
      <c r="U185" s="1714">
        <f t="shared" si="96"/>
        <v>74.231300000000005</v>
      </c>
      <c r="V185" s="1714">
        <f t="shared" si="97"/>
        <v>4.2017720000000054</v>
      </c>
      <c r="W185" s="1714">
        <f t="shared" si="98"/>
        <v>70.029527999999999</v>
      </c>
      <c r="X185" s="1809"/>
      <c r="Y185" s="1714">
        <f t="shared" si="64"/>
        <v>7.1785385281458982</v>
      </c>
    </row>
    <row r="186" spans="1:25" ht="12" customHeight="1" outlineLevel="1">
      <c r="B186" s="1694" t="s">
        <v>3149</v>
      </c>
      <c r="C186" s="1817">
        <v>7</v>
      </c>
      <c r="D186" s="1788" t="s">
        <v>3150</v>
      </c>
      <c r="E186" s="1850"/>
      <c r="F186" s="1855" t="s">
        <v>3573</v>
      </c>
      <c r="G186" s="1855" t="s">
        <v>4191</v>
      </c>
      <c r="H186" s="1861" t="s">
        <v>10</v>
      </c>
      <c r="I186" s="1733">
        <f t="shared" si="91"/>
        <v>138524.57999999999</v>
      </c>
      <c r="J186" s="1859"/>
      <c r="K186" s="1858" t="s">
        <v>101</v>
      </c>
      <c r="L186" s="1858" t="s">
        <v>10</v>
      </c>
      <c r="M186" s="1858">
        <f>ROUND(I186,2)*ROUND(J186,4)</f>
        <v>0</v>
      </c>
      <c r="N186" s="1858"/>
      <c r="O186" s="1858">
        <f t="shared" si="92"/>
        <v>0</v>
      </c>
      <c r="P186" s="1858">
        <f t="shared" si="93"/>
        <v>0</v>
      </c>
      <c r="Q186" s="1733">
        <f t="shared" si="94"/>
        <v>0</v>
      </c>
      <c r="R186" s="1735">
        <v>0.09</v>
      </c>
      <c r="S186" s="1858">
        <f t="shared" si="95"/>
        <v>0</v>
      </c>
      <c r="T186" s="1858"/>
      <c r="U186" s="1858">
        <f t="shared" si="96"/>
        <v>0</v>
      </c>
      <c r="V186" s="1858">
        <f t="shared" si="97"/>
        <v>0</v>
      </c>
      <c r="W186" s="1858">
        <f t="shared" si="98"/>
        <v>0</v>
      </c>
      <c r="X186" s="1819"/>
      <c r="Y186" s="1858">
        <f t="shared" si="64"/>
        <v>0</v>
      </c>
    </row>
    <row r="187" spans="1:25" ht="12" customHeight="1" outlineLevel="1">
      <c r="B187" s="1694" t="s">
        <v>3151</v>
      </c>
      <c r="C187" s="1817">
        <v>8</v>
      </c>
      <c r="D187" s="1788" t="s">
        <v>3152</v>
      </c>
      <c r="E187" s="1850"/>
      <c r="F187" s="1697" t="s">
        <v>3826</v>
      </c>
      <c r="G187" s="1697" t="s">
        <v>4202</v>
      </c>
      <c r="H187" s="1861" t="s">
        <v>10</v>
      </c>
      <c r="I187" s="1733">
        <f t="shared" si="91"/>
        <v>138524.57999999999</v>
      </c>
      <c r="J187" s="1859">
        <v>1</v>
      </c>
      <c r="K187" s="1733" t="s">
        <v>101</v>
      </c>
      <c r="L187" s="1733" t="s">
        <v>10</v>
      </c>
      <c r="M187" s="1858">
        <f>ROUND(I187,2)*ROUND(J187,4)</f>
        <v>138524.57999999999</v>
      </c>
      <c r="N187" s="1858"/>
      <c r="O187" s="1858">
        <f t="shared" si="92"/>
        <v>0</v>
      </c>
      <c r="P187" s="1858">
        <f t="shared" si="93"/>
        <v>0</v>
      </c>
      <c r="Q187" s="1733">
        <f t="shared" si="94"/>
        <v>0</v>
      </c>
      <c r="R187" s="1735">
        <v>0.06</v>
      </c>
      <c r="S187" s="1858">
        <f t="shared" si="95"/>
        <v>0</v>
      </c>
      <c r="T187" s="1858"/>
      <c r="U187" s="1858">
        <f t="shared" si="96"/>
        <v>0</v>
      </c>
      <c r="V187" s="1858">
        <f t="shared" si="97"/>
        <v>0</v>
      </c>
      <c r="W187" s="1858">
        <f t="shared" si="98"/>
        <v>0</v>
      </c>
      <c r="X187" s="1819"/>
      <c r="Y187" s="1858">
        <f t="shared" si="64"/>
        <v>0</v>
      </c>
    </row>
    <row r="188" spans="1:25">
      <c r="B188" s="1684">
        <v>5001.08</v>
      </c>
      <c r="C188" s="1685" t="s">
        <v>141</v>
      </c>
      <c r="D188" s="1686" t="s">
        <v>142</v>
      </c>
      <c r="E188" s="1686"/>
      <c r="F188" s="1687"/>
      <c r="G188" s="1687" t="s">
        <v>4117</v>
      </c>
      <c r="H188" s="1848"/>
      <c r="I188" s="1689"/>
      <c r="J188" s="1690"/>
      <c r="K188" s="1689"/>
      <c r="L188" s="1689"/>
      <c r="M188" s="1689"/>
      <c r="N188" s="1689"/>
      <c r="O188" s="1689">
        <f ca="1">SUBTOTAL(9,O189:O192)</f>
        <v>2140.8711183671458</v>
      </c>
      <c r="P188" s="1689"/>
      <c r="Q188" s="1689">
        <f ca="1">SUBTOTAL(9,Q189:Q192)</f>
        <v>2140.871118</v>
      </c>
      <c r="R188" s="1691"/>
      <c r="S188" s="1689">
        <f ca="1">SUBTOTAL(9,S189:S192)</f>
        <v>3.6714573070639744E-7</v>
      </c>
      <c r="T188" s="1689">
        <v>0</v>
      </c>
      <c r="U188" s="1689">
        <f ca="1">SUBTOTAL(9,U189:U192)</f>
        <v>2140.8711183671458</v>
      </c>
      <c r="V188" s="1689">
        <f ca="1">SUBTOTAL(9,V189:V192)</f>
        <v>3.6714573070639744E-7</v>
      </c>
      <c r="W188" s="1689">
        <f ca="1">SUBTOTAL(9,W189:W192)</f>
        <v>2140.871118</v>
      </c>
      <c r="X188" s="1849"/>
      <c r="Y188" s="1689">
        <f t="shared" ca="1" si="64"/>
        <v>207.03296058392283</v>
      </c>
    </row>
    <row r="189" spans="1:25" ht="12" customHeight="1" outlineLevel="1">
      <c r="B189" s="1694" t="s">
        <v>1472</v>
      </c>
      <c r="C189" s="1817">
        <v>1</v>
      </c>
      <c r="D189" s="1788" t="s">
        <v>3153</v>
      </c>
      <c r="E189" s="1863"/>
      <c r="F189" s="1697" t="s">
        <v>142</v>
      </c>
      <c r="G189" s="1697" t="s">
        <v>4203</v>
      </c>
      <c r="H189" s="1818"/>
      <c r="I189" s="1858"/>
      <c r="J189" s="1864">
        <v>1</v>
      </c>
      <c r="K189" s="1865"/>
      <c r="L189" s="1858"/>
      <c r="M189" s="1858">
        <f>E3</f>
        <v>138524.57999999999</v>
      </c>
      <c r="N189" s="1867"/>
      <c r="O189" s="1868">
        <f ca="1">现金流量!B31</f>
        <v>2140.8711183671458</v>
      </c>
      <c r="P189" s="1858">
        <f ca="1">IFERROR(ROUND(Q189*10000/M189,2),0)</f>
        <v>154.55000000000001</v>
      </c>
      <c r="Q189" s="1733">
        <f ca="1">ROUND(O189/(1+R189),6)</f>
        <v>2140.871118</v>
      </c>
      <c r="R189" s="1735">
        <v>0</v>
      </c>
      <c r="S189" s="1858">
        <f ca="1">O189-Q189</f>
        <v>3.6714573070639744E-7</v>
      </c>
      <c r="T189" s="1866">
        <v>0</v>
      </c>
      <c r="U189" s="1868">
        <f ca="1">O189+ROUND(T189,6)</f>
        <v>2140.8711183671458</v>
      </c>
      <c r="V189" s="1868">
        <f ca="1">U189-W189</f>
        <v>3.6714573070639744E-7</v>
      </c>
      <c r="W189" s="1868">
        <f ca="1">ROUND(U189/(1+R189),6)</f>
        <v>2140.871118</v>
      </c>
      <c r="X189" s="1853"/>
      <c r="Y189" s="1858">
        <f t="shared" ca="1" si="64"/>
        <v>207.03296058392283</v>
      </c>
    </row>
    <row r="190" spans="1:25" ht="12" customHeight="1" outlineLevel="1">
      <c r="B190" s="1694" t="s">
        <v>1474</v>
      </c>
      <c r="C190" s="1817">
        <v>2</v>
      </c>
      <c r="D190" s="1788" t="s">
        <v>3154</v>
      </c>
      <c r="E190" s="1863"/>
      <c r="F190" s="1697" t="s">
        <v>142</v>
      </c>
      <c r="G190" s="1697" t="s">
        <v>4203</v>
      </c>
      <c r="H190" s="1818"/>
      <c r="I190" s="1858"/>
      <c r="J190" s="1864"/>
      <c r="K190" s="1865"/>
      <c r="L190" s="1858"/>
      <c r="M190" s="1858">
        <f>+E3</f>
        <v>138524.57999999999</v>
      </c>
      <c r="N190" s="1867"/>
      <c r="O190" s="1868">
        <f>+N190*M190/10000</f>
        <v>0</v>
      </c>
      <c r="P190" s="1858">
        <f>IFERROR(ROUND(Q190*10000/M190,2),0)</f>
        <v>0</v>
      </c>
      <c r="Q190" s="1868">
        <f>ROUND(O190/(1+R190),6)</f>
        <v>0</v>
      </c>
      <c r="R190" s="1735">
        <v>0</v>
      </c>
      <c r="S190" s="1868">
        <f>O190-Q190</f>
        <v>0</v>
      </c>
      <c r="T190" s="1868"/>
      <c r="U190" s="1868"/>
      <c r="V190" s="1868">
        <f>U190-W190</f>
        <v>0</v>
      </c>
      <c r="W190" s="1868">
        <f>ROUND(U190/(1+R190),6)</f>
        <v>0</v>
      </c>
      <c r="X190" s="1853"/>
      <c r="Y190" s="1868">
        <f t="shared" si="64"/>
        <v>0</v>
      </c>
    </row>
    <row r="191" spans="1:25" ht="12" customHeight="1" outlineLevel="1">
      <c r="B191" s="1694" t="s">
        <v>1476</v>
      </c>
      <c r="C191" s="1817">
        <v>3</v>
      </c>
      <c r="D191" s="1788" t="s">
        <v>3155</v>
      </c>
      <c r="E191" s="1863"/>
      <c r="F191" s="1697" t="s">
        <v>142</v>
      </c>
      <c r="G191" s="1697" t="s">
        <v>4203</v>
      </c>
      <c r="H191" s="1818"/>
      <c r="I191" s="1858"/>
      <c r="J191" s="1864"/>
      <c r="K191" s="1865"/>
      <c r="L191" s="1858"/>
      <c r="M191" s="1858">
        <f>ROUND(I191,2)*ROUND(J191,4)</f>
        <v>0</v>
      </c>
      <c r="N191" s="1858"/>
      <c r="O191" s="1868">
        <f>ROUND(M191*ROUND(N191,2)/10000,6)</f>
        <v>0</v>
      </c>
      <c r="P191" s="1858">
        <f>IFERROR(ROUND(Q191*10000/M191,2),0)</f>
        <v>0</v>
      </c>
      <c r="Q191" s="1868">
        <f>ROUND(O191/(1+R191),6)</f>
        <v>0</v>
      </c>
      <c r="R191" s="1735">
        <v>0</v>
      </c>
      <c r="S191" s="1868">
        <f>O191-Q191</f>
        <v>0</v>
      </c>
      <c r="T191" s="1868"/>
      <c r="U191" s="1868">
        <f>O191+ROUND(T191,6)</f>
        <v>0</v>
      </c>
      <c r="V191" s="1868">
        <f>U191-W191</f>
        <v>0</v>
      </c>
      <c r="W191" s="1868">
        <f>ROUND(U191/(1+R191),6)</f>
        <v>0</v>
      </c>
      <c r="X191" s="1853"/>
      <c r="Y191" s="1868">
        <f t="shared" si="64"/>
        <v>0</v>
      </c>
    </row>
    <row r="192" spans="1:25" ht="12.5" customHeight="1" outlineLevel="1" thickBot="1">
      <c r="B192" s="1869" t="s">
        <v>3156</v>
      </c>
      <c r="C192" s="1870">
        <v>4</v>
      </c>
      <c r="D192" s="1871" t="s">
        <v>3157</v>
      </c>
      <c r="E192" s="1872"/>
      <c r="F192" s="1873" t="s">
        <v>142</v>
      </c>
      <c r="G192" s="1873" t="s">
        <v>4203</v>
      </c>
      <c r="H192" s="1874"/>
      <c r="I192" s="1875"/>
      <c r="J192" s="1876"/>
      <c r="K192" s="1877"/>
      <c r="L192" s="1875"/>
      <c r="M192" s="1875">
        <f>ROUND(I192,2)*ROUND(J192,4)</f>
        <v>0</v>
      </c>
      <c r="N192" s="1875"/>
      <c r="O192" s="1878">
        <f>ROUND(M192*ROUND(N192,2)/10000,6)</f>
        <v>0</v>
      </c>
      <c r="P192" s="1875">
        <f>IFERROR(ROUND(Q192*10000/M192,2),0)</f>
        <v>0</v>
      </c>
      <c r="Q192" s="1878">
        <f>ROUND(O192/(1+R192),6)</f>
        <v>0</v>
      </c>
      <c r="R192" s="1879">
        <v>0</v>
      </c>
      <c r="S192" s="1878">
        <f>O192-Q192</f>
        <v>0</v>
      </c>
      <c r="T192" s="1878"/>
      <c r="U192" s="1878">
        <f>O192+ROUND(T192,6)</f>
        <v>0</v>
      </c>
      <c r="V192" s="1878">
        <f>U192-W192</f>
        <v>0</v>
      </c>
      <c r="W192" s="1878">
        <f>ROUND(U192/(1+R192),6)</f>
        <v>0</v>
      </c>
      <c r="X192" s="1880"/>
      <c r="Y192" s="1878">
        <f t="shared" si="64"/>
        <v>0</v>
      </c>
    </row>
    <row r="193" spans="1:25">
      <c r="B193" s="1881"/>
      <c r="C193" s="1882"/>
      <c r="D193" s="1881"/>
      <c r="E193" s="1881"/>
      <c r="F193" s="1883"/>
      <c r="G193" s="1883"/>
      <c r="H193" s="1884"/>
      <c r="I193" s="1884"/>
      <c r="J193" s="1885"/>
      <c r="K193" s="1886"/>
      <c r="L193" s="1884"/>
      <c r="M193" s="1884"/>
      <c r="N193" s="1884"/>
      <c r="O193" s="1887"/>
      <c r="P193" s="1884"/>
      <c r="Q193" s="1887"/>
      <c r="R193" s="1888"/>
      <c r="S193" s="1889"/>
      <c r="T193" s="1887"/>
      <c r="U193" s="1887"/>
      <c r="V193" s="1887"/>
      <c r="W193" s="1887"/>
      <c r="X193" s="1890"/>
      <c r="Y193" s="1887"/>
    </row>
    <row r="194" spans="1:25" s="1896" customFormat="1">
      <c r="A194" s="1656"/>
      <c r="B194" s="1784"/>
      <c r="C194" s="1664"/>
      <c r="D194" s="1891"/>
      <c r="E194" s="1891"/>
      <c r="F194" s="1892"/>
      <c r="G194" s="1892"/>
      <c r="H194" s="1893"/>
      <c r="I194" s="1893"/>
      <c r="J194" s="1893"/>
      <c r="K194" s="1894"/>
      <c r="L194" s="1893"/>
      <c r="M194" s="1895"/>
      <c r="N194" s="1895"/>
      <c r="O194" s="1895">
        <f ca="1">O9+O72+O105+O132+O158+O188</f>
        <v>18091.003499367143</v>
      </c>
      <c r="P194" s="1895"/>
      <c r="Q194" s="1895"/>
      <c r="S194" s="1894" t="s">
        <v>3911</v>
      </c>
      <c r="T194" s="1895">
        <f>+T9+T72+T105+T132+T158+T188</f>
        <v>37299.517480597657</v>
      </c>
      <c r="U194" s="1895">
        <f>O168+O174</f>
        <v>1906.513794</v>
      </c>
      <c r="V194" s="1895"/>
      <c r="W194" s="1895"/>
      <c r="X194" s="1897"/>
      <c r="Y194" s="1689">
        <f>U194/$G$4*10000</f>
        <v>184.3694334421007</v>
      </c>
    </row>
    <row r="195" spans="1:25" s="1896" customFormat="1">
      <c r="A195" s="1656"/>
      <c r="B195" s="1784"/>
      <c r="C195" s="1664"/>
      <c r="D195" s="1891"/>
      <c r="E195" s="1891"/>
      <c r="F195" s="1892"/>
      <c r="G195" s="1892"/>
      <c r="H195" s="1893"/>
      <c r="I195" s="1893"/>
      <c r="J195" s="1893"/>
      <c r="K195" s="1894"/>
      <c r="L195" s="1893"/>
      <c r="M195" s="1895"/>
      <c r="N195" s="1895"/>
      <c r="O195" s="1895"/>
      <c r="P195" s="1895"/>
      <c r="Q195" s="1895"/>
      <c r="S195" s="1894"/>
      <c r="T195" s="1895">
        <f>T194-T24-T13-T11-T190</f>
        <v>2209.8497285976482</v>
      </c>
      <c r="U195" s="1895"/>
      <c r="V195" s="1895"/>
      <c r="W195" s="1895"/>
      <c r="X195" s="1897"/>
      <c r="Y195" s="1895"/>
    </row>
  </sheetData>
  <sheetProtection selectLockedCells="1" selectUnlockedCells="1"/>
  <autoFilter ref="A8:AB192"/>
  <mergeCells count="24">
    <mergeCell ref="M7:M8"/>
    <mergeCell ref="C2:C5"/>
    <mergeCell ref="B7:B8"/>
    <mergeCell ref="C7:C8"/>
    <mergeCell ref="D7:D8"/>
    <mergeCell ref="E7:E8"/>
    <mergeCell ref="F7:F8"/>
    <mergeCell ref="G7:G8"/>
    <mergeCell ref="H7:I7"/>
    <mergeCell ref="J7:J8"/>
    <mergeCell ref="K7:K8"/>
    <mergeCell ref="L7:L8"/>
    <mergeCell ref="Y7:Y8"/>
    <mergeCell ref="N7:N8"/>
    <mergeCell ref="O7:O8"/>
    <mergeCell ref="P7:P8"/>
    <mergeCell ref="Q7:Q8"/>
    <mergeCell ref="R7:R8"/>
    <mergeCell ref="S7:S8"/>
    <mergeCell ref="T7:T8"/>
    <mergeCell ref="U7:U8"/>
    <mergeCell ref="V7:V8"/>
    <mergeCell ref="W7:W8"/>
    <mergeCell ref="X7:X8"/>
  </mergeCells>
  <phoneticPr fontId="19" type="noConversion"/>
  <printOptions horizontalCentered="1"/>
  <pageMargins left="0" right="0" top="0.59055118110236204" bottom="0.59055118110236204" header="0.31496062992126" footer="0.31496062992126"/>
  <pageSetup paperSize="9" scale="81" orientation="portrait" horizontalDpi="300"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Y220"/>
  <sheetViews>
    <sheetView zoomScale="55" zoomScaleNormal="55" workbookViewId="0">
      <pane ySplit="10" topLeftCell="A180" activePane="bottomLeft" state="frozen"/>
      <selection activeCell="D8" sqref="D8"/>
      <selection pane="bottomLeft" activeCell="I209" sqref="I209"/>
    </sheetView>
  </sheetViews>
  <sheetFormatPr defaultColWidth="10" defaultRowHeight="15.5" outlineLevelRow="5"/>
  <cols>
    <col min="1" max="1" width="6.6640625" customWidth="1"/>
    <col min="2" max="2" width="17.4140625" customWidth="1"/>
    <col min="3" max="3" width="8.6640625" customWidth="1"/>
    <col min="4" max="4" width="19.33203125" customWidth="1"/>
    <col min="5" max="5" width="11" customWidth="1"/>
    <col min="6" max="6" width="17.6640625" customWidth="1"/>
    <col min="7" max="7" width="13.6640625" customWidth="1"/>
    <col min="8" max="8" width="17" customWidth="1"/>
    <col min="9" max="9" width="12.33203125" customWidth="1"/>
    <col min="10" max="10" width="9.33203125" customWidth="1"/>
    <col min="11" max="11" width="10" customWidth="1"/>
    <col min="12" max="12" width="19" customWidth="1"/>
    <col min="13" max="14" width="11.6640625" customWidth="1"/>
    <col min="15" max="15" width="10.6640625" customWidth="1"/>
    <col min="16" max="16" width="10.4140625" customWidth="1"/>
    <col min="17" max="17" width="11.6640625" customWidth="1"/>
    <col min="18" max="18" width="9.33203125" customWidth="1"/>
    <col min="19" max="19" width="12" customWidth="1"/>
    <col min="20" max="21" width="13.33203125" customWidth="1"/>
    <col min="22" max="22" width="10" customWidth="1"/>
  </cols>
  <sheetData>
    <row r="1" spans="1:25" ht="8.4" customHeight="1">
      <c r="A1" s="1898"/>
      <c r="B1" s="1899"/>
      <c r="C1" s="1664"/>
      <c r="D1" s="1784"/>
      <c r="E1" s="1656"/>
      <c r="F1" s="1900"/>
      <c r="G1" s="1900"/>
      <c r="H1" s="1656"/>
      <c r="I1" s="1895"/>
      <c r="J1" s="1901"/>
      <c r="K1" s="1900"/>
      <c r="L1" s="1656"/>
      <c r="M1" s="1900"/>
      <c r="N1" s="1900"/>
      <c r="O1" s="1902"/>
      <c r="P1" s="1902"/>
      <c r="Q1" s="1902"/>
      <c r="R1" s="1902"/>
      <c r="S1" s="1903"/>
      <c r="T1" s="1902"/>
      <c r="U1" s="1902"/>
      <c r="V1" s="1902"/>
      <c r="W1" s="1898"/>
      <c r="X1" s="1898"/>
      <c r="Y1" s="1898"/>
    </row>
    <row r="2" spans="1:25" ht="12" customHeight="1" thickBot="1">
      <c r="A2" s="1898"/>
      <c r="B2" s="1899"/>
      <c r="C2" s="1664"/>
      <c r="D2" s="1904"/>
      <c r="E2" s="1693"/>
      <c r="F2" s="2427"/>
      <c r="G2" s="2427"/>
      <c r="H2" s="2427"/>
      <c r="I2" s="1905"/>
      <c r="J2" s="1901"/>
      <c r="K2" s="1898"/>
      <c r="L2" s="1906"/>
      <c r="M2" s="1900"/>
      <c r="N2" s="1900"/>
      <c r="O2" s="1907"/>
      <c r="P2" s="1902"/>
      <c r="Q2" s="1902"/>
      <c r="R2" s="1898"/>
      <c r="S2" s="1903"/>
      <c r="T2" s="1907"/>
      <c r="U2" s="1898"/>
      <c r="V2" s="1907"/>
      <c r="W2" s="1898"/>
      <c r="X2" s="1898"/>
      <c r="Y2" s="1898"/>
    </row>
    <row r="3" spans="1:25" ht="12" customHeight="1">
      <c r="A3" s="1898"/>
      <c r="B3" s="1899"/>
      <c r="C3" s="1908" t="s">
        <v>4001</v>
      </c>
      <c r="D3" s="1909" t="s">
        <v>106</v>
      </c>
      <c r="E3" s="1909" t="s">
        <v>3134</v>
      </c>
      <c r="F3" s="1910" t="s">
        <v>4002</v>
      </c>
      <c r="G3" s="1911"/>
      <c r="H3" s="1910" t="s">
        <v>4003</v>
      </c>
      <c r="I3" s="1911"/>
      <c r="J3" s="1912" t="s">
        <v>4004</v>
      </c>
      <c r="K3" s="1913">
        <f>R214</f>
        <v>0.26093090477137926</v>
      </c>
      <c r="L3" s="2428"/>
      <c r="M3" s="2429"/>
      <c r="N3" s="1914"/>
      <c r="O3" s="1898"/>
      <c r="P3" s="1914"/>
      <c r="Q3" s="1907"/>
      <c r="R3" s="1898"/>
      <c r="S3" s="1898"/>
      <c r="T3" s="1898"/>
      <c r="U3" s="1898"/>
      <c r="V3" s="1898"/>
      <c r="W3" s="1898"/>
      <c r="X3" s="1898"/>
      <c r="Y3" s="1898"/>
    </row>
    <row r="4" spans="1:25" ht="12" customHeight="1">
      <c r="A4" s="1898"/>
      <c r="B4" s="1899"/>
      <c r="C4" s="2430" t="s">
        <v>3916</v>
      </c>
      <c r="D4" s="1915" t="s">
        <v>9</v>
      </c>
      <c r="E4" s="1916">
        <f>+'全期规划指标 '!H50-'全期规划指标 '!H41-'全期规划指标 '!H42</f>
        <v>24565.840000000004</v>
      </c>
      <c r="F4" s="1917" t="s">
        <v>107</v>
      </c>
      <c r="G4" s="1916"/>
      <c r="H4" s="1917" t="s">
        <v>4005</v>
      </c>
      <c r="I4" s="1918"/>
      <c r="J4" s="1919" t="s">
        <v>3115</v>
      </c>
      <c r="K4" s="1920">
        <f>1-K3</f>
        <v>0.73906909522862074</v>
      </c>
      <c r="L4" s="2433"/>
      <c r="M4" s="2434"/>
      <c r="N4" s="1914"/>
      <c r="O4" s="1898"/>
      <c r="P4" s="1914"/>
      <c r="Q4" s="1907"/>
      <c r="R4" s="1898"/>
      <c r="S4" s="1898"/>
      <c r="T4" s="1898"/>
      <c r="U4" s="1898"/>
      <c r="V4" s="1898"/>
      <c r="W4" s="1898"/>
      <c r="X4" s="1898"/>
      <c r="Y4" s="1898"/>
    </row>
    <row r="5" spans="1:25" ht="12" customHeight="1">
      <c r="A5" s="1898"/>
      <c r="B5" s="1899"/>
      <c r="C5" s="2431"/>
      <c r="D5" s="1915" t="s">
        <v>10</v>
      </c>
      <c r="E5" s="1916">
        <f>+'全期规划指标 '!H50-'全期规划指标 '!H41-'全期规划指标 '!H42</f>
        <v>24565.840000000004</v>
      </c>
      <c r="F5" s="1917" t="s">
        <v>18</v>
      </c>
      <c r="G5" s="1916"/>
      <c r="H5" s="1917" t="s">
        <v>4006</v>
      </c>
      <c r="I5" s="1918"/>
      <c r="J5" s="1921" t="s">
        <v>3116</v>
      </c>
      <c r="K5" s="2435" t="s">
        <v>3127</v>
      </c>
      <c r="L5" s="2436"/>
      <c r="M5" s="2437"/>
      <c r="N5" s="1922"/>
      <c r="O5" s="1898"/>
      <c r="P5" s="1922"/>
      <c r="Q5" s="1907"/>
      <c r="R5" s="1898"/>
      <c r="S5" s="1898"/>
      <c r="T5" s="1898"/>
      <c r="U5" s="1898"/>
      <c r="V5" s="1898"/>
      <c r="W5" s="1898"/>
      <c r="X5" s="1898"/>
      <c r="Y5" s="1898"/>
    </row>
    <row r="6" spans="1:25" ht="12" customHeight="1">
      <c r="A6" s="1898"/>
      <c r="B6" s="1899"/>
      <c r="C6" s="2431"/>
      <c r="D6" s="1923" t="s">
        <v>20</v>
      </c>
      <c r="E6" s="1916">
        <f>+'全期规划指标 '!H50-'全期规划指标 '!H41-'全期规划指标 '!H42</f>
        <v>24565.840000000004</v>
      </c>
      <c r="F6" s="1917" t="s">
        <v>3923</v>
      </c>
      <c r="G6" s="1916">
        <v>1</v>
      </c>
      <c r="H6" s="1917" t="s">
        <v>4007</v>
      </c>
      <c r="I6" s="1918"/>
      <c r="J6" s="1921"/>
      <c r="K6" s="1924"/>
      <c r="L6" s="1924"/>
      <c r="M6" s="1925"/>
      <c r="N6" s="1922"/>
      <c r="O6" s="1898"/>
      <c r="P6" s="1922"/>
      <c r="Q6" s="1907"/>
      <c r="R6" s="1898"/>
      <c r="S6" s="1898"/>
      <c r="T6" s="1898"/>
      <c r="U6" s="1898"/>
      <c r="V6" s="1898"/>
      <c r="W6" s="1898"/>
      <c r="X6" s="1898"/>
      <c r="Y6" s="1898"/>
    </row>
    <row r="7" spans="1:25" ht="12" customHeight="1" thickBot="1">
      <c r="A7" s="1898"/>
      <c r="B7" s="1899"/>
      <c r="C7" s="2432"/>
      <c r="D7" s="1926" t="s">
        <v>4008</v>
      </c>
      <c r="E7" s="1927">
        <v>0</v>
      </c>
      <c r="F7" s="1928" t="s">
        <v>3926</v>
      </c>
      <c r="G7" s="1927"/>
      <c r="H7" s="1928" t="s">
        <v>4009</v>
      </c>
      <c r="I7" s="1929"/>
      <c r="J7" s="1930"/>
      <c r="K7" s="1931"/>
      <c r="L7" s="1931"/>
      <c r="M7" s="1932"/>
      <c r="N7" s="1933"/>
      <c r="O7" s="1898"/>
      <c r="P7" s="1933"/>
      <c r="Q7" s="1907"/>
      <c r="R7" s="1898"/>
      <c r="S7" s="1898"/>
      <c r="T7" s="1898"/>
      <c r="U7" s="1898"/>
      <c r="V7" s="1898"/>
      <c r="W7" s="1898"/>
      <c r="X7" s="1898"/>
      <c r="Y7" s="1898"/>
    </row>
    <row r="8" spans="1:25" ht="8.4" customHeight="1" thickBot="1">
      <c r="A8" s="1898"/>
      <c r="B8" s="1899"/>
      <c r="C8" s="1664"/>
      <c r="D8" s="1904"/>
      <c r="E8" s="1693"/>
      <c r="F8" s="1906"/>
      <c r="G8" s="1934"/>
      <c r="H8" s="1935"/>
      <c r="I8" s="1936"/>
      <c r="J8" s="1901"/>
      <c r="K8" s="1937"/>
      <c r="L8" s="1935"/>
      <c r="M8" s="1900"/>
      <c r="N8" s="1900"/>
      <c r="O8" s="1907"/>
      <c r="P8" s="1902"/>
      <c r="Q8" s="1902"/>
      <c r="R8" s="1900"/>
      <c r="S8" s="1903"/>
      <c r="T8" s="1907"/>
      <c r="U8" s="1900"/>
      <c r="V8" s="1907"/>
      <c r="W8" s="1898"/>
      <c r="X8" s="1898"/>
      <c r="Y8" s="1898"/>
    </row>
    <row r="9" spans="1:25" s="1938" customFormat="1" ht="28.5" customHeight="1">
      <c r="B9" s="2444" t="s">
        <v>3131</v>
      </c>
      <c r="C9" s="2438" t="s">
        <v>25</v>
      </c>
      <c r="D9" s="2438" t="s">
        <v>23</v>
      </c>
      <c r="E9" s="2438" t="s">
        <v>3927</v>
      </c>
      <c r="F9" s="2438" t="s">
        <v>444</v>
      </c>
      <c r="G9" s="2438" t="s">
        <v>3207</v>
      </c>
      <c r="H9" s="2440" t="s">
        <v>3929</v>
      </c>
      <c r="I9" s="2441"/>
      <c r="J9" s="2442" t="s">
        <v>108</v>
      </c>
      <c r="K9" s="2420" t="s">
        <v>109</v>
      </c>
      <c r="L9" s="2438" t="s">
        <v>3930</v>
      </c>
      <c r="M9" s="2420" t="s">
        <v>3931</v>
      </c>
      <c r="N9" s="2425" t="s">
        <v>1067</v>
      </c>
      <c r="O9" s="2420" t="s">
        <v>3932</v>
      </c>
      <c r="P9" s="2420" t="s">
        <v>3933</v>
      </c>
      <c r="Q9" s="2420" t="s">
        <v>3142</v>
      </c>
      <c r="R9" s="2420" t="s">
        <v>515</v>
      </c>
      <c r="S9" s="2420" t="s">
        <v>1019</v>
      </c>
      <c r="T9" s="2420" t="s">
        <v>4010</v>
      </c>
      <c r="U9" s="2420" t="s">
        <v>1072</v>
      </c>
      <c r="V9" s="2422" t="s">
        <v>16</v>
      </c>
    </row>
    <row r="10" spans="1:25" s="1938" customFormat="1" ht="28.5" customHeight="1">
      <c r="B10" s="2445"/>
      <c r="C10" s="2439"/>
      <c r="D10" s="2439"/>
      <c r="E10" s="2439"/>
      <c r="F10" s="2439"/>
      <c r="G10" s="2439"/>
      <c r="H10" s="1939" t="s">
        <v>13</v>
      </c>
      <c r="I10" s="1940" t="s">
        <v>3939</v>
      </c>
      <c r="J10" s="2443"/>
      <c r="K10" s="2421"/>
      <c r="L10" s="2439"/>
      <c r="M10" s="2421"/>
      <c r="N10" s="2426"/>
      <c r="O10" s="2421"/>
      <c r="P10" s="2421"/>
      <c r="Q10" s="2421"/>
      <c r="R10" s="2421"/>
      <c r="S10" s="2421"/>
      <c r="T10" s="2421"/>
      <c r="U10" s="2421"/>
      <c r="V10" s="2423"/>
    </row>
    <row r="11" spans="1:25" s="1693" customFormat="1" ht="28.5" customHeight="1" collapsed="1">
      <c r="B11" s="1785" t="s">
        <v>3310</v>
      </c>
      <c r="C11" s="1685" t="s">
        <v>27</v>
      </c>
      <c r="D11" s="1686" t="s">
        <v>480</v>
      </c>
      <c r="E11" s="1686"/>
      <c r="F11" s="1687"/>
      <c r="G11" s="1687" t="s">
        <v>4117</v>
      </c>
      <c r="H11" s="1688"/>
      <c r="I11" s="1689"/>
      <c r="J11" s="1941"/>
      <c r="K11" s="1689"/>
      <c r="L11" s="1689"/>
      <c r="M11" s="1689"/>
      <c r="N11" s="1689"/>
      <c r="O11" s="1689">
        <f>SUBTOTAL(9,O12:O16)</f>
        <v>0</v>
      </c>
      <c r="P11" s="1689"/>
      <c r="Q11" s="1689">
        <f>SUBTOTAL(9,Q12:Q16)</f>
        <v>0</v>
      </c>
      <c r="R11" s="1691"/>
      <c r="S11" s="1689">
        <f>SUBTOTAL(9,S12:S16)</f>
        <v>0</v>
      </c>
      <c r="T11" s="1689">
        <f>SUBTOTAL(9,T12:T16)</f>
        <v>0</v>
      </c>
      <c r="U11" s="1689">
        <f>SUBTOTAL(9,U12:U16)</f>
        <v>0</v>
      </c>
      <c r="V11" s="1689"/>
      <c r="W11" s="1942"/>
      <c r="X11" s="1942"/>
      <c r="Y11" s="1942"/>
    </row>
    <row r="12" spans="1:25" s="1656" customFormat="1" ht="28.5" hidden="1" customHeight="1" outlineLevel="1">
      <c r="B12" s="1786" t="s">
        <v>482</v>
      </c>
      <c r="C12" s="1729">
        <v>2</v>
      </c>
      <c r="D12" s="1787" t="s">
        <v>64</v>
      </c>
      <c r="E12" s="1787"/>
      <c r="F12" s="1788"/>
      <c r="G12" s="1788" t="s">
        <v>4117</v>
      </c>
      <c r="H12" s="1788"/>
      <c r="I12" s="1733"/>
      <c r="J12" s="1943"/>
      <c r="K12" s="1733"/>
      <c r="L12" s="1733"/>
      <c r="M12" s="1733"/>
      <c r="N12" s="1733"/>
      <c r="O12" s="1701">
        <f>SUBTOTAL(9,O13:O16)</f>
        <v>0</v>
      </c>
      <c r="P12" s="1733"/>
      <c r="Q12" s="1701">
        <f>SUBTOTAL(9,Q13:Q16)</f>
        <v>0</v>
      </c>
      <c r="R12" s="1735"/>
      <c r="S12" s="1701">
        <f>SUBTOTAL(9,S13:S16)</f>
        <v>0</v>
      </c>
      <c r="T12" s="1701">
        <f>SUBTOTAL(9,T13:T16)</f>
        <v>0</v>
      </c>
      <c r="U12" s="1701">
        <f>SUBTOTAL(9,U13:U16)</f>
        <v>0</v>
      </c>
      <c r="V12" s="1701"/>
      <c r="W12" s="1942"/>
      <c r="X12" s="1942"/>
      <c r="Y12" s="1942"/>
    </row>
    <row r="13" spans="1:25" s="1942" customFormat="1" ht="28.5" hidden="1" customHeight="1" outlineLevel="2">
      <c r="A13" s="1944"/>
      <c r="B13" s="1820" t="s">
        <v>1249</v>
      </c>
      <c r="C13" s="1808"/>
      <c r="D13" s="1945" t="s">
        <v>3322</v>
      </c>
      <c r="E13" s="1946"/>
      <c r="F13" s="1945"/>
      <c r="G13" s="1946" t="s">
        <v>4117</v>
      </c>
      <c r="H13" s="1947"/>
      <c r="I13" s="1948"/>
      <c r="J13" s="1949"/>
      <c r="K13" s="1950"/>
      <c r="L13" s="1947"/>
      <c r="M13" s="1754"/>
      <c r="N13" s="1712"/>
      <c r="O13" s="1712">
        <f>SUBTOTAL(9,O14:O15)</f>
        <v>0</v>
      </c>
      <c r="P13" s="1951"/>
      <c r="Q13" s="1712">
        <f>SUBTOTAL(9,Q14:Q15)</f>
        <v>0</v>
      </c>
      <c r="R13" s="1712"/>
      <c r="S13" s="1712">
        <f>SUBTOTAL(9,S14:S15)</f>
        <v>0</v>
      </c>
      <c r="T13" s="1712">
        <f>SUBTOTAL(9,T14:T15)</f>
        <v>0</v>
      </c>
      <c r="U13" s="1712">
        <f>SUBTOTAL(9,U14:U15)</f>
        <v>0</v>
      </c>
      <c r="V13" s="1952"/>
    </row>
    <row r="14" spans="1:25" s="1784" customFormat="1" ht="28.5" hidden="1" customHeight="1" outlineLevel="3">
      <c r="A14" s="1784" t="s">
        <v>4011</v>
      </c>
      <c r="B14" s="1771" t="s">
        <v>3323</v>
      </c>
      <c r="C14" s="1749"/>
      <c r="D14" s="1790" t="s">
        <v>3324</v>
      </c>
      <c r="E14" s="1759" t="s">
        <v>3325</v>
      </c>
      <c r="F14" s="1704" t="s">
        <v>3326</v>
      </c>
      <c r="G14" s="1707" t="s">
        <v>4183</v>
      </c>
      <c r="H14" s="1947" t="s">
        <v>4012</v>
      </c>
      <c r="I14" s="1953">
        <f>'全期规划指标 '!H41+'全期规划指标 '!H42</f>
        <v>9409.4599999999991</v>
      </c>
      <c r="J14" s="1954">
        <v>1</v>
      </c>
      <c r="K14" s="1755" t="s">
        <v>101</v>
      </c>
      <c r="L14" s="1755" t="s">
        <v>3971</v>
      </c>
      <c r="M14" s="1754">
        <f>ROUND(I14,2)*ROUND(J14,4)</f>
        <v>9409.4599999999991</v>
      </c>
      <c r="N14" s="1772">
        <v>0</v>
      </c>
      <c r="O14" s="1712">
        <f>ROUND(M14*ROUND(N14,2)/10000,6)</f>
        <v>0</v>
      </c>
      <c r="P14" s="1712">
        <f>IFERROR(ROUND(Q14*10000/M14,2),0)</f>
        <v>0</v>
      </c>
      <c r="Q14" s="1712">
        <f>ROUND(O14/(1+R14),6)</f>
        <v>0</v>
      </c>
      <c r="R14" s="1757">
        <v>0.13</v>
      </c>
      <c r="S14" s="1712">
        <f>O14-Q14</f>
        <v>0</v>
      </c>
      <c r="T14" s="1712">
        <f>IFERROR(Q14*10000/$E$6,"")</f>
        <v>0</v>
      </c>
      <c r="U14" s="1712">
        <f>IFERROR(O14*10000/$E$6,"")</f>
        <v>0</v>
      </c>
      <c r="V14" s="1714"/>
      <c r="W14" s="1942"/>
      <c r="X14" s="1942"/>
      <c r="Y14" s="1942"/>
    </row>
    <row r="15" spans="1:25" s="1784" customFormat="1" ht="28.5" hidden="1" customHeight="1" outlineLevel="3">
      <c r="B15" s="1771" t="s">
        <v>3327</v>
      </c>
      <c r="C15" s="1749"/>
      <c r="D15" s="1790" t="s">
        <v>3328</v>
      </c>
      <c r="E15" s="1759" t="s">
        <v>3329</v>
      </c>
      <c r="F15" s="1704" t="s">
        <v>3326</v>
      </c>
      <c r="G15" s="1707" t="s">
        <v>4183</v>
      </c>
      <c r="H15" s="1947" t="s">
        <v>10</v>
      </c>
      <c r="I15" s="1953">
        <f>$E$5</f>
        <v>24565.840000000004</v>
      </c>
      <c r="J15" s="1955"/>
      <c r="K15" s="1755" t="s">
        <v>101</v>
      </c>
      <c r="L15" s="1755" t="s">
        <v>3972</v>
      </c>
      <c r="M15" s="1754">
        <f>ROUND(I15,2)*ROUND(J15,4)</f>
        <v>0</v>
      </c>
      <c r="N15" s="1755"/>
      <c r="O15" s="1712">
        <f>ROUND(M15*ROUND(N15,2)/10000,6)</f>
        <v>0</v>
      </c>
      <c r="P15" s="1712">
        <f>IFERROR(ROUND(Q15*10000/M15,2),0)</f>
        <v>0</v>
      </c>
      <c r="Q15" s="1712">
        <f>ROUND(O15/(1+R15),6)</f>
        <v>0</v>
      </c>
      <c r="R15" s="1757">
        <v>0.13</v>
      </c>
      <c r="S15" s="1712">
        <f>O15-Q15</f>
        <v>0</v>
      </c>
      <c r="T15" s="1712">
        <f>IFERROR(Q15*10000/$E$6,"")</f>
        <v>0</v>
      </c>
      <c r="U15" s="1712">
        <f>IFERROR(O15*10000/$E$6,"")</f>
        <v>0</v>
      </c>
      <c r="V15" s="1714"/>
      <c r="W15" s="1942"/>
      <c r="X15" s="1942"/>
      <c r="Y15" s="1942"/>
    </row>
    <row r="16" spans="1:25" s="1784" customFormat="1" ht="28.5" hidden="1" customHeight="1" outlineLevel="2">
      <c r="B16" s="1807" t="s">
        <v>1255</v>
      </c>
      <c r="C16" s="1789"/>
      <c r="D16" s="1790" t="s">
        <v>1256</v>
      </c>
      <c r="E16" s="1808" t="s">
        <v>3335</v>
      </c>
      <c r="F16" s="1790" t="s">
        <v>3035</v>
      </c>
      <c r="G16" s="1790" t="s">
        <v>4184</v>
      </c>
      <c r="H16" s="1808" t="s">
        <v>3973</v>
      </c>
      <c r="I16" s="1755"/>
      <c r="J16" s="1955"/>
      <c r="K16" s="1755" t="s">
        <v>3974</v>
      </c>
      <c r="L16" s="1755" t="s">
        <v>3973</v>
      </c>
      <c r="M16" s="1754">
        <f>ROUND(I16,2)*ROUND(J16,4)</f>
        <v>0</v>
      </c>
      <c r="N16" s="1755"/>
      <c r="O16" s="1712">
        <f>ROUND(M16*ROUND(N16,2)/10000,6)</f>
        <v>0</v>
      </c>
      <c r="P16" s="1712">
        <f>IFERROR(ROUND(Q16*10000/M16,2),0)</f>
        <v>0</v>
      </c>
      <c r="Q16" s="1712">
        <f>ROUND(O16/(1+R16),6)</f>
        <v>0</v>
      </c>
      <c r="R16" s="1757">
        <v>0.13</v>
      </c>
      <c r="S16" s="1712">
        <f>O16-Q16</f>
        <v>0</v>
      </c>
      <c r="T16" s="1712">
        <f>IFERROR(Q16*10000/$E$6,"")</f>
        <v>0</v>
      </c>
      <c r="U16" s="1712">
        <f>IFERROR(O16*10000/$E$6,"")</f>
        <v>0</v>
      </c>
      <c r="V16" s="1714"/>
      <c r="W16" s="1942"/>
      <c r="X16" s="1942"/>
      <c r="Y16" s="1942"/>
    </row>
    <row r="17" spans="1:23" ht="28.5" customHeight="1" collapsed="1">
      <c r="A17" s="1898"/>
      <c r="B17" s="1785" t="s">
        <v>537</v>
      </c>
      <c r="C17" s="1685" t="s">
        <v>28</v>
      </c>
      <c r="D17" s="1956" t="s">
        <v>486</v>
      </c>
      <c r="E17" s="1957"/>
      <c r="F17" s="1958"/>
      <c r="G17" s="1957"/>
      <c r="H17" s="1959"/>
      <c r="I17" s="1960"/>
      <c r="J17" s="1961"/>
      <c r="K17" s="1962"/>
      <c r="L17" s="1959"/>
      <c r="M17" s="1962"/>
      <c r="N17" s="1963"/>
      <c r="O17" s="1963">
        <f>SUBTOTAL(9,O18:O105)</f>
        <v>8389.7620349999997</v>
      </c>
      <c r="P17" s="1963"/>
      <c r="Q17" s="1963">
        <f>SUBTOTAL(9,Q18:Q105)</f>
        <v>7671.9549609999995</v>
      </c>
      <c r="R17" s="1963"/>
      <c r="S17" s="1963">
        <f>SUBTOTAL(9,S18:S105)</f>
        <v>717.80707400000028</v>
      </c>
      <c r="T17" s="1963">
        <f>IFERROR(Q17*10000/$E$6,"")</f>
        <v>3123.017556493081</v>
      </c>
      <c r="U17" s="1963">
        <f t="shared" ref="U17:U80" si="0">IFERROR(O17*10000/$E$6,"")</f>
        <v>3415.2148003080692</v>
      </c>
      <c r="V17" s="1964"/>
      <c r="W17" s="1898"/>
    </row>
    <row r="18" spans="1:23" ht="28.5" hidden="1" customHeight="1" outlineLevel="1">
      <c r="A18" s="1898"/>
      <c r="B18" s="1965" t="s">
        <v>487</v>
      </c>
      <c r="C18" s="1852">
        <v>1</v>
      </c>
      <c r="D18" s="1966" t="s">
        <v>650</v>
      </c>
      <c r="E18" s="1967"/>
      <c r="F18" s="1968"/>
      <c r="G18" s="1967"/>
      <c r="H18" s="1967"/>
      <c r="I18" s="1969"/>
      <c r="J18" s="1970"/>
      <c r="K18" s="1971"/>
      <c r="L18" s="1967"/>
      <c r="M18" s="1972"/>
      <c r="N18" s="1973"/>
      <c r="O18" s="1973">
        <f>SUBTOTAL(9,O19:O50)</f>
        <v>7329.7460390000015</v>
      </c>
      <c r="P18" s="1973"/>
      <c r="Q18" s="1973">
        <f>SUBTOTAL(9,Q19:Q50)</f>
        <v>6710.6322299999993</v>
      </c>
      <c r="R18" s="1973"/>
      <c r="S18" s="1973">
        <f>SUBTOTAL(9,S19:S50)</f>
        <v>619.1138090000004</v>
      </c>
      <c r="T18" s="1973">
        <f t="shared" ref="T18:T81" si="1">IFERROR(Q18*10000/$E$6,"")</f>
        <v>2731.6925576328749</v>
      </c>
      <c r="U18" s="1973">
        <f t="shared" si="0"/>
        <v>2983.7148003080702</v>
      </c>
      <c r="V18" s="1974"/>
      <c r="W18" s="1898"/>
    </row>
    <row r="19" spans="1:23" s="1942" customFormat="1" ht="28.5" hidden="1" customHeight="1" outlineLevel="2">
      <c r="A19" s="1944"/>
      <c r="B19" s="1820" t="s">
        <v>651</v>
      </c>
      <c r="C19" s="1808"/>
      <c r="D19" s="1945" t="s">
        <v>3360</v>
      </c>
      <c r="E19" s="1946" t="s">
        <v>3361</v>
      </c>
      <c r="F19" s="1462" t="s">
        <v>3342</v>
      </c>
      <c r="G19" s="1946" t="s">
        <v>4116</v>
      </c>
      <c r="H19" s="1975" t="s">
        <v>9</v>
      </c>
      <c r="I19" s="1953">
        <f>E4</f>
        <v>24565.840000000004</v>
      </c>
      <c r="J19" s="1976">
        <v>1.5</v>
      </c>
      <c r="K19" s="1977" t="s">
        <v>103</v>
      </c>
      <c r="L19" s="1947" t="s">
        <v>4013</v>
      </c>
      <c r="M19" s="1754">
        <f>ROUND(I19,2)*ROUND(J19,4)</f>
        <v>36848.76</v>
      </c>
      <c r="N19" s="1756">
        <v>71.38</v>
      </c>
      <c r="O19" s="1712">
        <f>ROUND(M19*ROUND(N19,2)/10000,6)</f>
        <v>263.02644900000001</v>
      </c>
      <c r="P19" s="1712">
        <f>IFERROR(ROUND(Q19*10000/M19,2),0)</f>
        <v>65.489999999999995</v>
      </c>
      <c r="Q19" s="1712">
        <f>ROUND(O19/(1+R19),6)</f>
        <v>241.30866900000001</v>
      </c>
      <c r="R19" s="1757">
        <v>0.09</v>
      </c>
      <c r="S19" s="1712">
        <f>O19-Q19</f>
        <v>21.717780000000005</v>
      </c>
      <c r="T19" s="1712">
        <f t="shared" si="1"/>
        <v>98.22935792140629</v>
      </c>
      <c r="U19" s="1712">
        <f t="shared" si="0"/>
        <v>107.07000004884831</v>
      </c>
      <c r="V19" s="1952"/>
    </row>
    <row r="20" spans="1:23" s="1942" customFormat="1" ht="28.5" hidden="1" customHeight="1" outlineLevel="2">
      <c r="A20" s="1944"/>
      <c r="B20" s="1820" t="s">
        <v>655</v>
      </c>
      <c r="C20" s="1808"/>
      <c r="D20" s="1945" t="s">
        <v>488</v>
      </c>
      <c r="E20" s="1946"/>
      <c r="F20" s="1945"/>
      <c r="G20" s="1946" t="s">
        <v>4117</v>
      </c>
      <c r="H20" s="1947"/>
      <c r="I20" s="1948"/>
      <c r="J20" s="1949"/>
      <c r="K20" s="1950"/>
      <c r="L20" s="1947"/>
      <c r="M20" s="1754"/>
      <c r="N20" s="1712"/>
      <c r="O20" s="1712">
        <f>SUBTOTAL(9,O21:O49)</f>
        <v>7066.7195900000015</v>
      </c>
      <c r="P20" s="1951"/>
      <c r="Q20" s="1712">
        <f>SUBTOTAL(9,Q21:Q49)</f>
        <v>6469.3235609999992</v>
      </c>
      <c r="R20" s="1712"/>
      <c r="S20" s="1712">
        <f>SUBTOTAL(9,S21:S49)</f>
        <v>597.39602900000045</v>
      </c>
      <c r="T20" s="1712">
        <f t="shared" si="1"/>
        <v>2633.4631997114684</v>
      </c>
      <c r="U20" s="1712">
        <f t="shared" si="0"/>
        <v>2876.6448002592219</v>
      </c>
      <c r="V20" s="1952"/>
    </row>
    <row r="21" spans="1:23" s="1942" customFormat="1" ht="28.5" hidden="1" customHeight="1" outlineLevel="3">
      <c r="A21" s="1944"/>
      <c r="B21" s="1978" t="s">
        <v>1626</v>
      </c>
      <c r="C21" s="1810"/>
      <c r="D21" s="1979" t="s">
        <v>59</v>
      </c>
      <c r="E21" s="1980" t="s">
        <v>3362</v>
      </c>
      <c r="F21" s="1462" t="s">
        <v>3342</v>
      </c>
      <c r="G21" s="1953" t="s">
        <v>4116</v>
      </c>
      <c r="H21" s="1947" t="s">
        <v>10</v>
      </c>
      <c r="I21" s="1953">
        <f>$E$5</f>
        <v>24565.840000000004</v>
      </c>
      <c r="J21" s="1976">
        <v>1.1000000000000001</v>
      </c>
      <c r="K21" s="1950" t="s">
        <v>103</v>
      </c>
      <c r="L21" s="1947" t="s">
        <v>4014</v>
      </c>
      <c r="M21" s="1754">
        <f>ROUND(I21,2)*ROUND(J21,4)</f>
        <v>27022.424000000003</v>
      </c>
      <c r="N21" s="1756">
        <v>610</v>
      </c>
      <c r="O21" s="1712">
        <f>ROUND(M21*ROUND(N21,2)/10000,6)</f>
        <v>1648.3678640000001</v>
      </c>
      <c r="P21" s="1712">
        <f>IFERROR(ROUND(Q21*10000/M21,2),0)</f>
        <v>559.63</v>
      </c>
      <c r="Q21" s="1712">
        <f>ROUND(O21/(1+R21),6)</f>
        <v>1512.264095</v>
      </c>
      <c r="R21" s="1757">
        <v>0.09</v>
      </c>
      <c r="S21" s="1712">
        <f>O21-Q21</f>
        <v>136.10376900000006</v>
      </c>
      <c r="T21" s="1712">
        <f t="shared" si="1"/>
        <v>615.59633010717312</v>
      </c>
      <c r="U21" s="1712">
        <f t="shared" si="0"/>
        <v>670.99999999999989</v>
      </c>
      <c r="V21" s="1952"/>
      <c r="W21" s="2424"/>
    </row>
    <row r="22" spans="1:23" s="1942" customFormat="1" ht="28.5" hidden="1" customHeight="1" outlineLevel="3">
      <c r="A22" s="1944"/>
      <c r="B22" s="1978" t="s">
        <v>1482</v>
      </c>
      <c r="C22" s="1810"/>
      <c r="D22" s="1979" t="s">
        <v>658</v>
      </c>
      <c r="E22" s="1980" t="s">
        <v>3363</v>
      </c>
      <c r="F22" s="1462" t="s">
        <v>3342</v>
      </c>
      <c r="G22" s="1953" t="s">
        <v>4116</v>
      </c>
      <c r="H22" s="1947" t="s">
        <v>10</v>
      </c>
      <c r="I22" s="1953">
        <f>$E$5</f>
        <v>24565.840000000004</v>
      </c>
      <c r="J22" s="1976">
        <v>126</v>
      </c>
      <c r="K22" s="1950" t="s">
        <v>104</v>
      </c>
      <c r="L22" s="1947" t="s">
        <v>4015</v>
      </c>
      <c r="M22" s="1754">
        <f t="shared" ref="M22:M50" si="2">ROUND(I22,2)*ROUND(J22,4)</f>
        <v>3095295.84</v>
      </c>
      <c r="N22" s="1756">
        <v>7.6872380952380954</v>
      </c>
      <c r="O22" s="1712">
        <f t="shared" ref="O22:O28" si="3">ROUND(M22*ROUND(N22,2)/10000,6)</f>
        <v>2380.2825010000001</v>
      </c>
      <c r="P22" s="1712">
        <f t="shared" ref="P22:P28" si="4">IFERROR(ROUND(Q22*10000/M22,2),0)</f>
        <v>7.06</v>
      </c>
      <c r="Q22" s="1712">
        <f t="shared" ref="Q22:Q28" si="5">ROUND(O22/(1+R22),6)</f>
        <v>2183.745414</v>
      </c>
      <c r="R22" s="1757">
        <v>0.09</v>
      </c>
      <c r="S22" s="1712">
        <f>O22-Q22</f>
        <v>196.53708700000016</v>
      </c>
      <c r="T22" s="1712">
        <f t="shared" si="1"/>
        <v>888.93577992855103</v>
      </c>
      <c r="U22" s="1712">
        <f t="shared" si="0"/>
        <v>968.94000001628274</v>
      </c>
      <c r="V22" s="1952"/>
      <c r="W22" s="2424"/>
    </row>
    <row r="23" spans="1:23" s="1942" customFormat="1" ht="28.5" hidden="1" customHeight="1" outlineLevel="3">
      <c r="A23" s="1944"/>
      <c r="B23" s="1978" t="s">
        <v>1635</v>
      </c>
      <c r="C23" s="1810"/>
      <c r="D23" s="1979" t="s">
        <v>659</v>
      </c>
      <c r="E23" s="1980" t="s">
        <v>3364</v>
      </c>
      <c r="F23" s="1462" t="s">
        <v>3342</v>
      </c>
      <c r="G23" s="1953" t="s">
        <v>4116</v>
      </c>
      <c r="H23" s="1947" t="s">
        <v>10</v>
      </c>
      <c r="I23" s="1953">
        <f>$E$5</f>
        <v>24565.840000000004</v>
      </c>
      <c r="J23" s="1976">
        <v>2.0499999999999998</v>
      </c>
      <c r="K23" s="1950" t="s">
        <v>101</v>
      </c>
      <c r="L23" s="1947" t="s">
        <v>659</v>
      </c>
      <c r="M23" s="1754">
        <f t="shared" si="2"/>
        <v>50359.971999999994</v>
      </c>
      <c r="N23" s="1756">
        <v>88.96</v>
      </c>
      <c r="O23" s="1712">
        <f t="shared" si="3"/>
        <v>448.00231100000002</v>
      </c>
      <c r="P23" s="1712">
        <f t="shared" si="4"/>
        <v>81.61</v>
      </c>
      <c r="Q23" s="1712">
        <f t="shared" si="5"/>
        <v>411.01129400000002</v>
      </c>
      <c r="R23" s="1757">
        <v>0.09</v>
      </c>
      <c r="S23" s="1712">
        <f>O23-Q23</f>
        <v>36.991016999999999</v>
      </c>
      <c r="T23" s="1712">
        <f t="shared" si="1"/>
        <v>167.3100915743162</v>
      </c>
      <c r="U23" s="1712">
        <f t="shared" si="0"/>
        <v>182.36800003582209</v>
      </c>
      <c r="V23" s="1952"/>
      <c r="W23" s="2424"/>
    </row>
    <row r="24" spans="1:23" s="1942" customFormat="1" ht="28.5" hidden="1" customHeight="1" outlineLevel="3">
      <c r="A24" s="1944"/>
      <c r="B24" s="1978" t="s">
        <v>1484</v>
      </c>
      <c r="C24" s="1810"/>
      <c r="D24" s="1979" t="s">
        <v>1636</v>
      </c>
      <c r="E24" s="1980" t="s">
        <v>3365</v>
      </c>
      <c r="F24" s="1462" t="s">
        <v>3342</v>
      </c>
      <c r="G24" s="1953" t="s">
        <v>4116</v>
      </c>
      <c r="H24" s="1947" t="s">
        <v>10</v>
      </c>
      <c r="I24" s="1953">
        <f>$E$5</f>
        <v>24565.840000000004</v>
      </c>
      <c r="J24" s="1976">
        <v>0.04</v>
      </c>
      <c r="K24" s="1950" t="s">
        <v>103</v>
      </c>
      <c r="L24" s="1947" t="s">
        <v>4016</v>
      </c>
      <c r="M24" s="1754">
        <f t="shared" si="2"/>
        <v>982.6336</v>
      </c>
      <c r="N24" s="1756">
        <v>759.42</v>
      </c>
      <c r="O24" s="1712">
        <f t="shared" si="3"/>
        <v>74.623160999999996</v>
      </c>
      <c r="P24" s="1712">
        <f t="shared" si="4"/>
        <v>696.72</v>
      </c>
      <c r="Q24" s="1712">
        <f t="shared" si="5"/>
        <v>68.461616000000006</v>
      </c>
      <c r="R24" s="1757">
        <v>0.09</v>
      </c>
      <c r="S24" s="1712">
        <f>O24-Q24</f>
        <v>6.1615449999999896</v>
      </c>
      <c r="T24" s="1712">
        <f t="shared" si="1"/>
        <v>27.868624073103135</v>
      </c>
      <c r="U24" s="1712">
        <f t="shared" si="0"/>
        <v>30.37680006057191</v>
      </c>
      <c r="V24" s="1952"/>
      <c r="W24" s="2424"/>
    </row>
    <row r="25" spans="1:23" s="1942" customFormat="1" ht="28.5" hidden="1" customHeight="1" outlineLevel="3">
      <c r="A25" s="1944"/>
      <c r="B25" s="1978" t="s">
        <v>1485</v>
      </c>
      <c r="C25" s="1810"/>
      <c r="D25" s="1979" t="s">
        <v>3366</v>
      </c>
      <c r="E25" s="1980" t="s">
        <v>3367</v>
      </c>
      <c r="F25" s="1981"/>
      <c r="G25" s="1953" t="s">
        <v>4117</v>
      </c>
      <c r="H25" s="1947"/>
      <c r="I25" s="1948"/>
      <c r="J25" s="1949"/>
      <c r="K25" s="1982"/>
      <c r="L25" s="1947"/>
      <c r="M25" s="1754"/>
      <c r="N25" s="1712"/>
      <c r="O25" s="1712">
        <f>SUBTOTAL(9,O26:O27)</f>
        <v>554.57383800000002</v>
      </c>
      <c r="P25" s="1983"/>
      <c r="Q25" s="1712">
        <f>SUBTOTAL(9,Q26:Q27)</f>
        <v>495.79936299999997</v>
      </c>
      <c r="R25" s="1757"/>
      <c r="S25" s="1712">
        <f>SUBTOTAL(9,S26:S27)</f>
        <v>58.774475000000024</v>
      </c>
      <c r="T25" s="1712">
        <f t="shared" si="1"/>
        <v>201.8247139116757</v>
      </c>
      <c r="U25" s="1712">
        <f t="shared" si="0"/>
        <v>225.74999999999997</v>
      </c>
      <c r="V25" s="1952"/>
    </row>
    <row r="26" spans="1:23" s="1942" customFormat="1" ht="28.5" hidden="1" customHeight="1" outlineLevel="5">
      <c r="A26" s="1984"/>
      <c r="B26" s="1985" t="s">
        <v>4017</v>
      </c>
      <c r="C26" s="1828"/>
      <c r="D26" s="1986" t="s">
        <v>1487</v>
      </c>
      <c r="E26" s="1987"/>
      <c r="F26" s="1988" t="s">
        <v>3828</v>
      </c>
      <c r="G26" s="1989" t="s">
        <v>4118</v>
      </c>
      <c r="H26" s="1990" t="s">
        <v>10</v>
      </c>
      <c r="I26" s="1991">
        <f>$E$5</f>
        <v>24565.840000000004</v>
      </c>
      <c r="J26" s="1976">
        <v>3.5</v>
      </c>
      <c r="K26" s="1992" t="s">
        <v>101</v>
      </c>
      <c r="L26" s="1990" t="s">
        <v>4018</v>
      </c>
      <c r="M26" s="1991">
        <f t="shared" si="2"/>
        <v>85980.44</v>
      </c>
      <c r="N26" s="1756">
        <v>46.5</v>
      </c>
      <c r="O26" s="1991">
        <f t="shared" si="3"/>
        <v>399.80904600000002</v>
      </c>
      <c r="P26" s="1991">
        <f t="shared" si="4"/>
        <v>41.15</v>
      </c>
      <c r="Q26" s="1991">
        <f t="shared" si="5"/>
        <v>353.81331499999999</v>
      </c>
      <c r="R26" s="1993">
        <v>0.13</v>
      </c>
      <c r="S26" s="1991">
        <f>O26-Q26</f>
        <v>45.995731000000035</v>
      </c>
      <c r="T26" s="1991">
        <f t="shared" si="1"/>
        <v>144.02654865455443</v>
      </c>
      <c r="U26" s="1991">
        <f t="shared" si="0"/>
        <v>162.75</v>
      </c>
      <c r="V26" s="1994"/>
    </row>
    <row r="27" spans="1:23" s="1942" customFormat="1" ht="28.5" hidden="1" customHeight="1" outlineLevel="5">
      <c r="A27" s="1944"/>
      <c r="B27" s="1985" t="s">
        <v>4019</v>
      </c>
      <c r="C27" s="1828"/>
      <c r="D27" s="1986" t="s">
        <v>1639</v>
      </c>
      <c r="E27" s="1987"/>
      <c r="F27" s="1988" t="s">
        <v>3342</v>
      </c>
      <c r="G27" s="1989" t="s">
        <v>4116</v>
      </c>
      <c r="H27" s="1990" t="s">
        <v>10</v>
      </c>
      <c r="I27" s="1991">
        <f>$E$5</f>
        <v>24565.840000000004</v>
      </c>
      <c r="J27" s="1976">
        <v>3.15</v>
      </c>
      <c r="K27" s="1992" t="s">
        <v>101</v>
      </c>
      <c r="L27" s="1990" t="s">
        <v>4020</v>
      </c>
      <c r="M27" s="1991">
        <f t="shared" si="2"/>
        <v>77382.395999999993</v>
      </c>
      <c r="N27" s="1756">
        <v>20</v>
      </c>
      <c r="O27" s="1991">
        <f t="shared" si="3"/>
        <v>154.764792</v>
      </c>
      <c r="P27" s="1991">
        <f t="shared" si="4"/>
        <v>18.350000000000001</v>
      </c>
      <c r="Q27" s="1991">
        <f t="shared" si="5"/>
        <v>141.98604800000001</v>
      </c>
      <c r="R27" s="1993">
        <v>0.09</v>
      </c>
      <c r="S27" s="1991">
        <f>O27-Q27</f>
        <v>12.778743999999989</v>
      </c>
      <c r="T27" s="1991">
        <f t="shared" si="1"/>
        <v>57.798165257121269</v>
      </c>
      <c r="U27" s="1991">
        <f t="shared" si="0"/>
        <v>62.999999999999986</v>
      </c>
      <c r="V27" s="1994"/>
    </row>
    <row r="28" spans="1:23" s="1942" customFormat="1" ht="28.5" hidden="1" customHeight="1" outlineLevel="3">
      <c r="A28" s="1944"/>
      <c r="B28" s="1978" t="s">
        <v>1486</v>
      </c>
      <c r="C28" s="1810"/>
      <c r="D28" s="1979" t="s">
        <v>3369</v>
      </c>
      <c r="E28" s="1980" t="s">
        <v>3370</v>
      </c>
      <c r="F28" s="1462" t="s">
        <v>1493</v>
      </c>
      <c r="G28" s="1953" t="s">
        <v>4119</v>
      </c>
      <c r="H28" s="1947" t="s">
        <v>10</v>
      </c>
      <c r="I28" s="1948">
        <f>$E$5</f>
        <v>24565.840000000004</v>
      </c>
      <c r="J28" s="1949">
        <v>0</v>
      </c>
      <c r="K28" s="1950" t="s">
        <v>101</v>
      </c>
      <c r="L28" s="1947" t="s">
        <v>4021</v>
      </c>
      <c r="M28" s="1754">
        <f t="shared" si="2"/>
        <v>0</v>
      </c>
      <c r="N28" s="1712"/>
      <c r="O28" s="1712">
        <f t="shared" si="3"/>
        <v>0</v>
      </c>
      <c r="P28" s="1712">
        <f t="shared" si="4"/>
        <v>0</v>
      </c>
      <c r="Q28" s="1712">
        <f t="shared" si="5"/>
        <v>0</v>
      </c>
      <c r="R28" s="1757">
        <v>0.09</v>
      </c>
      <c r="S28" s="1712">
        <f>O28-Q28</f>
        <v>0</v>
      </c>
      <c r="T28" s="1712">
        <f t="shared" si="1"/>
        <v>0</v>
      </c>
      <c r="U28" s="1712">
        <f t="shared" si="0"/>
        <v>0</v>
      </c>
      <c r="V28" s="1952"/>
    </row>
    <row r="29" spans="1:23" s="1942" customFormat="1" ht="28.5" hidden="1" customHeight="1" outlineLevel="3">
      <c r="A29" s="1944"/>
      <c r="B29" s="1978" t="s">
        <v>1640</v>
      </c>
      <c r="C29" s="1810"/>
      <c r="D29" s="1979" t="s">
        <v>386</v>
      </c>
      <c r="E29" s="1980"/>
      <c r="F29" s="1462"/>
      <c r="G29" s="1953" t="s">
        <v>4117</v>
      </c>
      <c r="H29" s="1947"/>
      <c r="I29" s="1948"/>
      <c r="J29" s="1949"/>
      <c r="K29" s="1950"/>
      <c r="L29" s="1947"/>
      <c r="M29" s="1754"/>
      <c r="N29" s="1712"/>
      <c r="O29" s="1712">
        <f>SUBTOTAL(9,O30:O38)</f>
        <v>751.61644100000001</v>
      </c>
      <c r="P29" s="1712"/>
      <c r="Q29" s="1712">
        <f>SUBTOTAL(9,Q30:Q38)</f>
        <v>688.63492299999996</v>
      </c>
      <c r="R29" s="1712"/>
      <c r="S29" s="1712">
        <f>SUBTOTAL(9,S30:S38)</f>
        <v>62.981517999999994</v>
      </c>
      <c r="T29" s="1712">
        <f t="shared" si="1"/>
        <v>280.32215588801353</v>
      </c>
      <c r="U29" s="1712">
        <f t="shared" si="0"/>
        <v>305.96000014654493</v>
      </c>
      <c r="V29" s="1952"/>
    </row>
    <row r="30" spans="1:23" s="1942" customFormat="1" ht="28.5" hidden="1" customHeight="1" outlineLevel="4">
      <c r="A30" s="1944"/>
      <c r="B30" s="1978" t="s">
        <v>1642</v>
      </c>
      <c r="C30" s="1810"/>
      <c r="D30" s="1995" t="s">
        <v>3371</v>
      </c>
      <c r="E30" s="1996" t="s">
        <v>3372</v>
      </c>
      <c r="F30" s="1462" t="s">
        <v>3342</v>
      </c>
      <c r="G30" s="1953" t="s">
        <v>4116</v>
      </c>
      <c r="H30" s="1947" t="s">
        <v>10</v>
      </c>
      <c r="I30" s="1712">
        <f>$E$5</f>
        <v>24565.840000000004</v>
      </c>
      <c r="J30" s="1976">
        <v>0.91</v>
      </c>
      <c r="K30" s="1950" t="s">
        <v>101</v>
      </c>
      <c r="L30" s="1947" t="s">
        <v>4022</v>
      </c>
      <c r="M30" s="1754">
        <f t="shared" si="2"/>
        <v>22354.914400000001</v>
      </c>
      <c r="N30" s="1997">
        <v>83</v>
      </c>
      <c r="O30" s="1712">
        <f>ROUND(M30*ROUND(N30,2)/10000,6)</f>
        <v>185.54579000000001</v>
      </c>
      <c r="P30" s="1712">
        <f>IFERROR(ROUND(Q30*10000/M30,2),0)</f>
        <v>76.150000000000006</v>
      </c>
      <c r="Q30" s="1712">
        <f>ROUND(O30/(1+R30),6)</f>
        <v>170.225495</v>
      </c>
      <c r="R30" s="1757">
        <v>0.09</v>
      </c>
      <c r="S30" s="1712">
        <f>O30-Q30</f>
        <v>15.320295000000016</v>
      </c>
      <c r="T30" s="1712">
        <f t="shared" si="1"/>
        <v>69.293577992855106</v>
      </c>
      <c r="U30" s="1712">
        <f t="shared" si="0"/>
        <v>75.530000195393271</v>
      </c>
      <c r="V30" s="1952"/>
    </row>
    <row r="31" spans="1:23" s="1942" customFormat="1" ht="28.5" hidden="1" customHeight="1" outlineLevel="4">
      <c r="A31" s="1944"/>
      <c r="B31" s="1978" t="s">
        <v>1490</v>
      </c>
      <c r="C31" s="1810"/>
      <c r="D31" s="1995" t="s">
        <v>3373</v>
      </c>
      <c r="E31" s="1996" t="s">
        <v>3374</v>
      </c>
      <c r="F31" s="1462"/>
      <c r="G31" s="1953" t="s">
        <v>4117</v>
      </c>
      <c r="H31" s="1947"/>
      <c r="I31" s="1948"/>
      <c r="J31" s="1949"/>
      <c r="K31" s="1950" t="s">
        <v>101</v>
      </c>
      <c r="L31" s="1947" t="s">
        <v>4023</v>
      </c>
      <c r="M31" s="1754"/>
      <c r="N31" s="1712"/>
      <c r="O31" s="1712">
        <f>SUBTOTAL(9,O32:O33)</f>
        <v>125.60022699999999</v>
      </c>
      <c r="P31" s="1983"/>
      <c r="Q31" s="1712">
        <f>SUBTOTAL(9,Q32:Q33)</f>
        <v>114.30812299999999</v>
      </c>
      <c r="R31" s="1757"/>
      <c r="S31" s="1712">
        <f>SUBTOTAL(9,S32:S33)</f>
        <v>11.292103999999998</v>
      </c>
      <c r="T31" s="1712">
        <f t="shared" si="1"/>
        <v>46.531330905029087</v>
      </c>
      <c r="U31" s="1712">
        <f t="shared" si="0"/>
        <v>51.12800010095318</v>
      </c>
      <c r="V31" s="1952"/>
    </row>
    <row r="32" spans="1:23" s="1942" customFormat="1" ht="28.5" hidden="1" customHeight="1" outlineLevel="5">
      <c r="A32" s="1944" t="s">
        <v>4011</v>
      </c>
      <c r="B32" s="1985" t="s">
        <v>4024</v>
      </c>
      <c r="C32" s="1828"/>
      <c r="D32" s="1998" t="s">
        <v>4025</v>
      </c>
      <c r="E32" s="1999"/>
      <c r="F32" s="1988" t="s">
        <v>3342</v>
      </c>
      <c r="G32" s="1989" t="s">
        <v>4116</v>
      </c>
      <c r="H32" s="1990" t="s">
        <v>10</v>
      </c>
      <c r="I32" s="1991">
        <f>$E$5</f>
        <v>24565.840000000004</v>
      </c>
      <c r="J32" s="1976">
        <v>0.77</v>
      </c>
      <c r="K32" s="2000"/>
      <c r="L32" s="1990" t="s">
        <v>4026</v>
      </c>
      <c r="M32" s="1991">
        <f t="shared" si="2"/>
        <v>18915.696800000002</v>
      </c>
      <c r="N32" s="2001">
        <v>51.4</v>
      </c>
      <c r="O32" s="1991">
        <f t="shared" ref="O32:O38" si="6">ROUND(M32*ROUND(N32,2)/10000,6)</f>
        <v>97.226681999999997</v>
      </c>
      <c r="P32" s="1991">
        <f t="shared" ref="P32:P38" si="7">IFERROR(ROUND(Q32*10000/M32,2),0)</f>
        <v>47.16</v>
      </c>
      <c r="Q32" s="1991">
        <f t="shared" ref="Q32:Q38" si="8">ROUND(O32/(1+R32),6)</f>
        <v>89.198791</v>
      </c>
      <c r="R32" s="1993">
        <v>0.09</v>
      </c>
      <c r="S32" s="1991">
        <f t="shared" ref="S32:S38" si="9">O32-Q32</f>
        <v>8.0278909999999968</v>
      </c>
      <c r="T32" s="1991">
        <f t="shared" si="1"/>
        <v>36.310091981385533</v>
      </c>
      <c r="U32" s="1991">
        <f t="shared" si="0"/>
        <v>39.578000182367049</v>
      </c>
      <c r="V32" s="1994"/>
    </row>
    <row r="33" spans="1:22" s="1942" customFormat="1" ht="28.5" hidden="1" customHeight="1" outlineLevel="5">
      <c r="A33" s="1944" t="s">
        <v>4011</v>
      </c>
      <c r="B33" s="1985" t="s">
        <v>4027</v>
      </c>
      <c r="C33" s="1828"/>
      <c r="D33" s="1998" t="s">
        <v>4028</v>
      </c>
      <c r="E33" s="1999"/>
      <c r="F33" s="1988" t="s">
        <v>3829</v>
      </c>
      <c r="G33" s="1989" t="s">
        <v>4120</v>
      </c>
      <c r="H33" s="1990" t="s">
        <v>10</v>
      </c>
      <c r="I33" s="1991">
        <f>$E$5</f>
        <v>24565.840000000004</v>
      </c>
      <c r="J33" s="1976">
        <v>0.77</v>
      </c>
      <c r="K33" s="2000"/>
      <c r="L33" s="1990" t="s">
        <v>4029</v>
      </c>
      <c r="M33" s="1991">
        <f t="shared" si="2"/>
        <v>18915.696800000002</v>
      </c>
      <c r="N33" s="2001">
        <v>15</v>
      </c>
      <c r="O33" s="1991">
        <f t="shared" si="6"/>
        <v>28.373545</v>
      </c>
      <c r="P33" s="1991">
        <f t="shared" si="7"/>
        <v>13.27</v>
      </c>
      <c r="Q33" s="1991">
        <f t="shared" si="8"/>
        <v>25.109331999999998</v>
      </c>
      <c r="R33" s="1993">
        <v>0.13</v>
      </c>
      <c r="S33" s="1991">
        <f t="shared" si="9"/>
        <v>3.2642130000000016</v>
      </c>
      <c r="T33" s="1991">
        <f t="shared" si="1"/>
        <v>10.221238923643561</v>
      </c>
      <c r="U33" s="1991">
        <f t="shared" si="0"/>
        <v>11.549999918586133</v>
      </c>
      <c r="V33" s="1994"/>
    </row>
    <row r="34" spans="1:22" s="1942" customFormat="1" ht="28.5" hidden="1" customHeight="1" outlineLevel="4">
      <c r="A34" s="1944"/>
      <c r="B34" s="1978" t="s">
        <v>1491</v>
      </c>
      <c r="C34" s="1810"/>
      <c r="D34" s="1995" t="s">
        <v>3375</v>
      </c>
      <c r="E34" s="1996" t="s">
        <v>3376</v>
      </c>
      <c r="F34" s="1462" t="s">
        <v>3342</v>
      </c>
      <c r="G34" s="1953" t="s">
        <v>4116</v>
      </c>
      <c r="H34" s="1947" t="s">
        <v>10</v>
      </c>
      <c r="I34" s="1712">
        <f t="shared" ref="I34:I50" si="10">$E$5</f>
        <v>24565.840000000004</v>
      </c>
      <c r="J34" s="1976">
        <v>0.1</v>
      </c>
      <c r="K34" s="1950" t="s">
        <v>101</v>
      </c>
      <c r="L34" s="1947" t="s">
        <v>4030</v>
      </c>
      <c r="M34" s="1754">
        <f t="shared" si="2"/>
        <v>2456.5840000000003</v>
      </c>
      <c r="N34" s="1756">
        <v>30</v>
      </c>
      <c r="O34" s="1712">
        <f t="shared" si="6"/>
        <v>7.3697520000000001</v>
      </c>
      <c r="P34" s="1712">
        <f t="shared" si="7"/>
        <v>27.52</v>
      </c>
      <c r="Q34" s="1712">
        <f t="shared" si="8"/>
        <v>6.7612399999999999</v>
      </c>
      <c r="R34" s="1757">
        <v>0.09</v>
      </c>
      <c r="S34" s="1712">
        <f t="shared" si="9"/>
        <v>0.60851200000000016</v>
      </c>
      <c r="T34" s="1712">
        <f t="shared" si="1"/>
        <v>2.7522934285984109</v>
      </c>
      <c r="U34" s="1712">
        <f t="shared" si="0"/>
        <v>2.9999999999999996</v>
      </c>
      <c r="V34" s="1952"/>
    </row>
    <row r="35" spans="1:22" s="1942" customFormat="1" ht="28.5" hidden="1" customHeight="1" outlineLevel="4">
      <c r="A35" s="1944"/>
      <c r="B35" s="1978" t="s">
        <v>1492</v>
      </c>
      <c r="C35" s="1810"/>
      <c r="D35" s="1995" t="s">
        <v>3377</v>
      </c>
      <c r="E35" s="1996" t="s">
        <v>3378</v>
      </c>
      <c r="F35" s="1462" t="s">
        <v>3342</v>
      </c>
      <c r="G35" s="1953" t="s">
        <v>4116</v>
      </c>
      <c r="H35" s="1947" t="s">
        <v>10</v>
      </c>
      <c r="I35" s="1712">
        <f t="shared" si="10"/>
        <v>24565.840000000004</v>
      </c>
      <c r="J35" s="1976">
        <v>0.1</v>
      </c>
      <c r="K35" s="1950" t="s">
        <v>101</v>
      </c>
      <c r="L35" s="1947" t="s">
        <v>4031</v>
      </c>
      <c r="M35" s="1754">
        <f t="shared" si="2"/>
        <v>2456.5840000000003</v>
      </c>
      <c r="N35" s="1756">
        <v>30</v>
      </c>
      <c r="O35" s="1712">
        <f t="shared" si="6"/>
        <v>7.3697520000000001</v>
      </c>
      <c r="P35" s="1712">
        <f t="shared" si="7"/>
        <v>27.52</v>
      </c>
      <c r="Q35" s="1712">
        <f t="shared" si="8"/>
        <v>6.7612399999999999</v>
      </c>
      <c r="R35" s="1757">
        <v>0.09</v>
      </c>
      <c r="S35" s="1712">
        <f t="shared" si="9"/>
        <v>0.60851200000000016</v>
      </c>
      <c r="T35" s="1712">
        <f t="shared" si="1"/>
        <v>2.7522934285984109</v>
      </c>
      <c r="U35" s="1712">
        <f t="shared" si="0"/>
        <v>2.9999999999999996</v>
      </c>
      <c r="V35" s="1952"/>
    </row>
    <row r="36" spans="1:22" s="1942" customFormat="1" ht="28.5" hidden="1" customHeight="1" outlineLevel="4">
      <c r="A36" s="1944"/>
      <c r="B36" s="1978" t="s">
        <v>3379</v>
      </c>
      <c r="C36" s="1810"/>
      <c r="D36" s="1995" t="s">
        <v>3380</v>
      </c>
      <c r="E36" s="1996" t="s">
        <v>3381</v>
      </c>
      <c r="F36" s="1462" t="s">
        <v>3342</v>
      </c>
      <c r="G36" s="1953" t="s">
        <v>4116</v>
      </c>
      <c r="H36" s="1947" t="s">
        <v>9</v>
      </c>
      <c r="I36" s="1712">
        <f>$E$4</f>
        <v>24565.840000000004</v>
      </c>
      <c r="J36" s="1976">
        <v>0.1</v>
      </c>
      <c r="K36" s="1950" t="s">
        <v>101</v>
      </c>
      <c r="L36" s="1947" t="s">
        <v>4032</v>
      </c>
      <c r="M36" s="1754">
        <f t="shared" si="2"/>
        <v>2456.5840000000003</v>
      </c>
      <c r="N36" s="1756">
        <v>168.81920000000005</v>
      </c>
      <c r="O36" s="1712">
        <f t="shared" si="6"/>
        <v>41.472051</v>
      </c>
      <c r="P36" s="1712">
        <f t="shared" si="7"/>
        <v>154.88</v>
      </c>
      <c r="Q36" s="1712">
        <f t="shared" si="8"/>
        <v>38.047753</v>
      </c>
      <c r="R36" s="1757">
        <v>0.09</v>
      </c>
      <c r="S36" s="1712">
        <f t="shared" si="9"/>
        <v>3.4242980000000003</v>
      </c>
      <c r="T36" s="1712">
        <f t="shared" si="1"/>
        <v>15.488073275735736</v>
      </c>
      <c r="U36" s="1712">
        <f t="shared" si="0"/>
        <v>16.881999964177897</v>
      </c>
      <c r="V36" s="1952"/>
    </row>
    <row r="37" spans="1:22" s="1942" customFormat="1" ht="28.5" hidden="1" customHeight="1" outlineLevel="4">
      <c r="A37" s="1944"/>
      <c r="B37" s="1978" t="s">
        <v>3382</v>
      </c>
      <c r="C37" s="1810"/>
      <c r="D37" s="1995" t="s">
        <v>3383</v>
      </c>
      <c r="E37" s="1996" t="s">
        <v>3384</v>
      </c>
      <c r="F37" s="1462" t="s">
        <v>3342</v>
      </c>
      <c r="G37" s="1953" t="s">
        <v>4116</v>
      </c>
      <c r="H37" s="2002" t="s">
        <v>10</v>
      </c>
      <c r="I37" s="2003">
        <f t="shared" si="10"/>
        <v>24565.840000000004</v>
      </c>
      <c r="J37" s="2004">
        <v>0.75</v>
      </c>
      <c r="K37" s="1950" t="s">
        <v>101</v>
      </c>
      <c r="L37" s="1947" t="s">
        <v>4033</v>
      </c>
      <c r="M37" s="1754">
        <f t="shared" si="2"/>
        <v>18424.38</v>
      </c>
      <c r="N37" s="2001">
        <v>142</v>
      </c>
      <c r="O37" s="1712">
        <f t="shared" si="6"/>
        <v>261.62619599999999</v>
      </c>
      <c r="P37" s="1712">
        <f t="shared" si="7"/>
        <v>130.28</v>
      </c>
      <c r="Q37" s="1712">
        <f t="shared" si="8"/>
        <v>240.024033</v>
      </c>
      <c r="R37" s="1757">
        <v>0.09</v>
      </c>
      <c r="S37" s="1712">
        <f t="shared" si="9"/>
        <v>21.60216299999999</v>
      </c>
      <c r="T37" s="1712">
        <f t="shared" si="1"/>
        <v>97.706422007144866</v>
      </c>
      <c r="U37" s="1712">
        <f t="shared" si="0"/>
        <v>106.49999999999999</v>
      </c>
      <c r="V37" s="1952"/>
    </row>
    <row r="38" spans="1:22" s="1942" customFormat="1" ht="28.5" hidden="1" customHeight="1" outlineLevel="4">
      <c r="A38" s="1944"/>
      <c r="B38" s="1978" t="s">
        <v>3385</v>
      </c>
      <c r="C38" s="1810"/>
      <c r="D38" s="1995" t="s">
        <v>3386</v>
      </c>
      <c r="E38" s="1996" t="s">
        <v>3387</v>
      </c>
      <c r="F38" s="1462" t="s">
        <v>3342</v>
      </c>
      <c r="G38" s="1953" t="s">
        <v>4116</v>
      </c>
      <c r="H38" s="2002" t="s">
        <v>10</v>
      </c>
      <c r="I38" s="2003">
        <f t="shared" si="10"/>
        <v>24565.840000000004</v>
      </c>
      <c r="J38" s="2004">
        <v>1.04</v>
      </c>
      <c r="K38" s="1950" t="s">
        <v>101</v>
      </c>
      <c r="L38" s="1947" t="s">
        <v>4034</v>
      </c>
      <c r="M38" s="1754">
        <f t="shared" si="2"/>
        <v>25548.473600000001</v>
      </c>
      <c r="N38" s="2001">
        <v>48</v>
      </c>
      <c r="O38" s="1712">
        <f t="shared" si="6"/>
        <v>122.632673</v>
      </c>
      <c r="P38" s="1712">
        <f t="shared" si="7"/>
        <v>44.04</v>
      </c>
      <c r="Q38" s="1712">
        <f t="shared" si="8"/>
        <v>112.50703900000001</v>
      </c>
      <c r="R38" s="1757">
        <v>0.09</v>
      </c>
      <c r="S38" s="1712">
        <f t="shared" si="9"/>
        <v>10.125633999999991</v>
      </c>
      <c r="T38" s="1712">
        <f t="shared" si="1"/>
        <v>45.79816485005194</v>
      </c>
      <c r="U38" s="1712">
        <f t="shared" si="0"/>
        <v>49.919999886020577</v>
      </c>
      <c r="V38" s="1952"/>
    </row>
    <row r="39" spans="1:22" s="1942" customFormat="1" ht="28.5" hidden="1" customHeight="1" outlineLevel="3">
      <c r="A39" s="1944"/>
      <c r="B39" s="1978" t="s">
        <v>1647</v>
      </c>
      <c r="C39" s="1810"/>
      <c r="D39" s="1995" t="s">
        <v>3388</v>
      </c>
      <c r="E39" s="1996"/>
      <c r="F39" s="1462"/>
      <c r="G39" s="1953" t="s">
        <v>4117</v>
      </c>
      <c r="H39" s="1947"/>
      <c r="I39" s="1948"/>
      <c r="J39" s="1949"/>
      <c r="K39" s="1950"/>
      <c r="L39" s="1947"/>
      <c r="M39" s="1754"/>
      <c r="N39" s="1712"/>
      <c r="O39" s="1712">
        <f>SUBTOTAL(9,O40:O44)</f>
        <v>506.05630399999995</v>
      </c>
      <c r="P39" s="2005"/>
      <c r="Q39" s="1712">
        <f>SUBTOTAL(9,Q40:Q44)</f>
        <v>464.271838</v>
      </c>
      <c r="R39" s="2005"/>
      <c r="S39" s="1712">
        <f>SUBTOTAL(9,S40:S44)</f>
        <v>41.784466000000009</v>
      </c>
      <c r="T39" s="1712">
        <f t="shared" si="1"/>
        <v>188.99082547146767</v>
      </c>
      <c r="U39" s="1712">
        <f t="shared" si="0"/>
        <v>205.99999999999994</v>
      </c>
      <c r="V39" s="1952"/>
    </row>
    <row r="40" spans="1:22" s="1942" customFormat="1" ht="28.5" hidden="1" customHeight="1" outlineLevel="4">
      <c r="A40" s="2006" t="s">
        <v>4011</v>
      </c>
      <c r="B40" s="1978" t="s">
        <v>1649</v>
      </c>
      <c r="C40" s="1810"/>
      <c r="D40" s="1995" t="s">
        <v>1643</v>
      </c>
      <c r="E40" s="1996" t="s">
        <v>3389</v>
      </c>
      <c r="F40" s="1462" t="s">
        <v>3342</v>
      </c>
      <c r="G40" s="1953" t="s">
        <v>4116</v>
      </c>
      <c r="H40" s="1975" t="s">
        <v>10</v>
      </c>
      <c r="I40" s="1712">
        <f t="shared" si="10"/>
        <v>24565.840000000004</v>
      </c>
      <c r="J40" s="1976">
        <v>1</v>
      </c>
      <c r="K40" s="1950" t="s">
        <v>101</v>
      </c>
      <c r="L40" s="1947" t="s">
        <v>10</v>
      </c>
      <c r="M40" s="1754">
        <f t="shared" si="2"/>
        <v>24565.84</v>
      </c>
      <c r="N40" s="2001">
        <v>64</v>
      </c>
      <c r="O40" s="1712">
        <f t="shared" ref="O40:O50" si="11">ROUND(M40*ROUND(N40,2)/10000,6)</f>
        <v>157.22137599999999</v>
      </c>
      <c r="P40" s="1712">
        <f t="shared" ref="P40:P50" si="12">IFERROR(ROUND(Q40*10000/M40,2),0)</f>
        <v>58.72</v>
      </c>
      <c r="Q40" s="1712">
        <f t="shared" ref="Q40:Q50" si="13">ROUND(O40/(1+R40),6)</f>
        <v>144.23979399999999</v>
      </c>
      <c r="R40" s="1757">
        <v>0.09</v>
      </c>
      <c r="S40" s="1712">
        <f t="shared" ref="S40:S50" si="14">O40-Q40</f>
        <v>12.981582000000003</v>
      </c>
      <c r="T40" s="1712">
        <f t="shared" si="1"/>
        <v>58.715596128607842</v>
      </c>
      <c r="U40" s="1712">
        <f t="shared" si="0"/>
        <v>63.999999999999993</v>
      </c>
      <c r="V40" s="1952"/>
    </row>
    <row r="41" spans="1:22" s="1942" customFormat="1" ht="28.5" hidden="1" customHeight="1" outlineLevel="4">
      <c r="A41" s="2006" t="s">
        <v>4011</v>
      </c>
      <c r="B41" s="1978" t="s">
        <v>1494</v>
      </c>
      <c r="C41" s="1810"/>
      <c r="D41" s="1995" t="s">
        <v>1644</v>
      </c>
      <c r="E41" s="1996" t="s">
        <v>3390</v>
      </c>
      <c r="F41" s="1462" t="s">
        <v>3342</v>
      </c>
      <c r="G41" s="1953" t="s">
        <v>4116</v>
      </c>
      <c r="H41" s="1975" t="s">
        <v>10</v>
      </c>
      <c r="I41" s="1712">
        <f t="shared" si="10"/>
        <v>24565.840000000004</v>
      </c>
      <c r="J41" s="1976">
        <v>1</v>
      </c>
      <c r="K41" s="1950" t="s">
        <v>101</v>
      </c>
      <c r="L41" s="1947" t="s">
        <v>10</v>
      </c>
      <c r="M41" s="1754">
        <f t="shared" si="2"/>
        <v>24565.84</v>
      </c>
      <c r="N41" s="2001">
        <v>70</v>
      </c>
      <c r="O41" s="1712">
        <f t="shared" si="11"/>
        <v>171.96088</v>
      </c>
      <c r="P41" s="1712">
        <f t="shared" si="12"/>
        <v>64.22</v>
      </c>
      <c r="Q41" s="1712">
        <f t="shared" si="13"/>
        <v>157.76227499999999</v>
      </c>
      <c r="R41" s="1757">
        <v>0.09</v>
      </c>
      <c r="S41" s="1712">
        <f t="shared" si="14"/>
        <v>14.198605000000015</v>
      </c>
      <c r="T41" s="1712">
        <f t="shared" si="1"/>
        <v>64.220183392873992</v>
      </c>
      <c r="U41" s="1712">
        <f t="shared" si="0"/>
        <v>69.999999999999986</v>
      </c>
      <c r="V41" s="1952"/>
    </row>
    <row r="42" spans="1:22" s="1942" customFormat="1" ht="28.5" hidden="1" customHeight="1" outlineLevel="4">
      <c r="A42" s="1944"/>
      <c r="B42" s="1978" t="s">
        <v>1495</v>
      </c>
      <c r="C42" s="1810"/>
      <c r="D42" s="1995" t="s">
        <v>1645</v>
      </c>
      <c r="E42" s="1996" t="s">
        <v>3391</v>
      </c>
      <c r="F42" s="1462" t="s">
        <v>3342</v>
      </c>
      <c r="G42" s="1953" t="s">
        <v>4116</v>
      </c>
      <c r="H42" s="1975" t="s">
        <v>10</v>
      </c>
      <c r="I42" s="1712">
        <f t="shared" si="10"/>
        <v>24565.840000000004</v>
      </c>
      <c r="J42" s="1976">
        <v>1</v>
      </c>
      <c r="K42" s="1950" t="s">
        <v>101</v>
      </c>
      <c r="L42" s="1947" t="s">
        <v>10</v>
      </c>
      <c r="M42" s="1754">
        <f t="shared" si="2"/>
        <v>24565.84</v>
      </c>
      <c r="N42" s="1756">
        <v>1</v>
      </c>
      <c r="O42" s="1712">
        <f t="shared" si="11"/>
        <v>2.4565839999999999</v>
      </c>
      <c r="P42" s="1712">
        <f t="shared" si="12"/>
        <v>0.92</v>
      </c>
      <c r="Q42" s="1712">
        <f t="shared" si="13"/>
        <v>2.2537470000000002</v>
      </c>
      <c r="R42" s="1757">
        <v>0.09</v>
      </c>
      <c r="S42" s="1712">
        <f t="shared" si="14"/>
        <v>0.20283699999999971</v>
      </c>
      <c r="T42" s="1712">
        <f t="shared" si="1"/>
        <v>0.91743127855591333</v>
      </c>
      <c r="U42" s="1712">
        <f t="shared" si="0"/>
        <v>0.99999999999999989</v>
      </c>
      <c r="V42" s="1952"/>
    </row>
    <row r="43" spans="1:22" s="1942" customFormat="1" ht="28.5" hidden="1" customHeight="1" outlineLevel="4">
      <c r="A43" s="1944"/>
      <c r="B43" s="1978" t="s">
        <v>3392</v>
      </c>
      <c r="C43" s="1810"/>
      <c r="D43" s="1995" t="s">
        <v>1646</v>
      </c>
      <c r="E43" s="1996" t="s">
        <v>3393</v>
      </c>
      <c r="F43" s="1462" t="s">
        <v>3342</v>
      </c>
      <c r="G43" s="1953" t="s">
        <v>4116</v>
      </c>
      <c r="H43" s="1975" t="s">
        <v>10</v>
      </c>
      <c r="I43" s="1712">
        <f t="shared" si="10"/>
        <v>24565.840000000004</v>
      </c>
      <c r="J43" s="1976">
        <v>1</v>
      </c>
      <c r="K43" s="1950" t="s">
        <v>101</v>
      </c>
      <c r="L43" s="1947" t="s">
        <v>10</v>
      </c>
      <c r="M43" s="1754">
        <f t="shared" si="2"/>
        <v>24565.84</v>
      </c>
      <c r="N43" s="1756">
        <v>61</v>
      </c>
      <c r="O43" s="1712">
        <f t="shared" si="11"/>
        <v>149.85162399999999</v>
      </c>
      <c r="P43" s="1712">
        <f t="shared" si="12"/>
        <v>55.96</v>
      </c>
      <c r="Q43" s="1712">
        <f t="shared" si="13"/>
        <v>137.478554</v>
      </c>
      <c r="R43" s="1757">
        <v>0.09</v>
      </c>
      <c r="S43" s="1712">
        <f t="shared" si="14"/>
        <v>12.373069999999984</v>
      </c>
      <c r="T43" s="1712">
        <f t="shared" si="1"/>
        <v>55.963302700009436</v>
      </c>
      <c r="U43" s="1712">
        <f t="shared" si="0"/>
        <v>60.999999999999979</v>
      </c>
      <c r="V43" s="1952"/>
    </row>
    <row r="44" spans="1:22" s="1942" customFormat="1" ht="28.5" hidden="1" customHeight="1" outlineLevel="4">
      <c r="A44" s="1944"/>
      <c r="B44" s="1978" t="s">
        <v>3394</v>
      </c>
      <c r="C44" s="1810"/>
      <c r="D44" s="1995" t="s">
        <v>3395</v>
      </c>
      <c r="E44" s="1996" t="s">
        <v>3396</v>
      </c>
      <c r="F44" s="1462" t="s">
        <v>3342</v>
      </c>
      <c r="G44" s="1953" t="s">
        <v>4116</v>
      </c>
      <c r="H44" s="1975" t="s">
        <v>10</v>
      </c>
      <c r="I44" s="1712">
        <f t="shared" si="10"/>
        <v>24565.840000000004</v>
      </c>
      <c r="J44" s="1976">
        <v>1</v>
      </c>
      <c r="K44" s="1950" t="s">
        <v>101</v>
      </c>
      <c r="L44" s="1947" t="s">
        <v>10</v>
      </c>
      <c r="M44" s="1754">
        <f t="shared" si="2"/>
        <v>24565.84</v>
      </c>
      <c r="N44" s="1756">
        <v>10</v>
      </c>
      <c r="O44" s="1712">
        <f t="shared" si="11"/>
        <v>24.565840000000001</v>
      </c>
      <c r="P44" s="1712">
        <f t="shared" si="12"/>
        <v>9.17</v>
      </c>
      <c r="Q44" s="1712">
        <f t="shared" si="13"/>
        <v>22.537468000000001</v>
      </c>
      <c r="R44" s="1757">
        <v>0.09</v>
      </c>
      <c r="S44" s="1712">
        <f t="shared" si="14"/>
        <v>2.028372000000001</v>
      </c>
      <c r="T44" s="1712">
        <f t="shared" si="1"/>
        <v>9.1743119714204742</v>
      </c>
      <c r="U44" s="1712">
        <f t="shared" si="0"/>
        <v>10</v>
      </c>
      <c r="V44" s="1952"/>
    </row>
    <row r="45" spans="1:22" s="1942" customFormat="1" ht="28.5" hidden="1" customHeight="1" outlineLevel="3">
      <c r="A45" s="1944"/>
      <c r="B45" s="1978" t="s">
        <v>1653</v>
      </c>
      <c r="C45" s="1810"/>
      <c r="D45" s="1995" t="s">
        <v>3397</v>
      </c>
      <c r="E45" s="1996" t="s">
        <v>3398</v>
      </c>
      <c r="F45" s="1462" t="s">
        <v>3342</v>
      </c>
      <c r="G45" s="1953" t="s">
        <v>4116</v>
      </c>
      <c r="H45" s="1947" t="s">
        <v>10</v>
      </c>
      <c r="I45" s="1712">
        <f t="shared" si="10"/>
        <v>24565.840000000004</v>
      </c>
      <c r="J45" s="1949">
        <v>8.8532633571397581E-2</v>
      </c>
      <c r="K45" s="1950" t="s">
        <v>101</v>
      </c>
      <c r="L45" s="1947" t="s">
        <v>4035</v>
      </c>
      <c r="M45" s="1754">
        <f t="shared" si="2"/>
        <v>2174.0768399999997</v>
      </c>
      <c r="N45" s="1712">
        <v>2500</v>
      </c>
      <c r="O45" s="1712">
        <f t="shared" si="11"/>
        <v>543.51921000000004</v>
      </c>
      <c r="P45" s="1712">
        <f t="shared" si="12"/>
        <v>2293.58</v>
      </c>
      <c r="Q45" s="1712">
        <f t="shared" si="13"/>
        <v>498.64147700000001</v>
      </c>
      <c r="R45" s="1757">
        <v>0.09</v>
      </c>
      <c r="S45" s="1712">
        <f t="shared" si="14"/>
        <v>44.877733000000035</v>
      </c>
      <c r="T45" s="1712">
        <f t="shared" si="1"/>
        <v>202.98165135000471</v>
      </c>
      <c r="U45" s="1712">
        <f t="shared" si="0"/>
        <v>221.25</v>
      </c>
      <c r="V45" s="1952"/>
    </row>
    <row r="46" spans="1:22" s="1942" customFormat="1" ht="28.5" hidden="1" customHeight="1" outlineLevel="3">
      <c r="A46" s="1944"/>
      <c r="B46" s="1978" t="s">
        <v>1655</v>
      </c>
      <c r="C46" s="1810"/>
      <c r="D46" s="1995" t="s">
        <v>1656</v>
      </c>
      <c r="E46" s="1996" t="s">
        <v>3399</v>
      </c>
      <c r="F46" s="1462" t="s">
        <v>1606</v>
      </c>
      <c r="G46" s="1953" t="s">
        <v>4121</v>
      </c>
      <c r="H46" s="1947" t="s">
        <v>10</v>
      </c>
      <c r="I46" s="1712">
        <f t="shared" si="10"/>
        <v>24565.840000000004</v>
      </c>
      <c r="J46" s="1949"/>
      <c r="K46" s="1950" t="s">
        <v>101</v>
      </c>
      <c r="L46" s="1947" t="s">
        <v>10</v>
      </c>
      <c r="M46" s="1754">
        <f t="shared" si="2"/>
        <v>0</v>
      </c>
      <c r="N46" s="1712"/>
      <c r="O46" s="1712">
        <f t="shared" si="11"/>
        <v>0</v>
      </c>
      <c r="P46" s="1712">
        <f t="shared" si="12"/>
        <v>0</v>
      </c>
      <c r="Q46" s="1712">
        <f t="shared" si="13"/>
        <v>0</v>
      </c>
      <c r="R46" s="1757">
        <v>0.09</v>
      </c>
      <c r="S46" s="1712">
        <f t="shared" si="14"/>
        <v>0</v>
      </c>
      <c r="T46" s="1712">
        <f t="shared" si="1"/>
        <v>0</v>
      </c>
      <c r="U46" s="1712">
        <f t="shared" si="0"/>
        <v>0</v>
      </c>
      <c r="V46" s="1952"/>
    </row>
    <row r="47" spans="1:22" s="1942" customFormat="1" ht="28.5" hidden="1" customHeight="1" outlineLevel="3">
      <c r="A47" s="1944"/>
      <c r="B47" s="1978" t="s">
        <v>1657</v>
      </c>
      <c r="C47" s="1810"/>
      <c r="D47" s="1995" t="s">
        <v>3400</v>
      </c>
      <c r="E47" s="1996" t="s">
        <v>3401</v>
      </c>
      <c r="F47" s="1462" t="s">
        <v>3342</v>
      </c>
      <c r="G47" s="1953" t="s">
        <v>4116</v>
      </c>
      <c r="H47" s="1975" t="s">
        <v>10</v>
      </c>
      <c r="I47" s="1712">
        <f t="shared" si="10"/>
        <v>24565.840000000004</v>
      </c>
      <c r="J47" s="1949">
        <v>1</v>
      </c>
      <c r="K47" s="1950" t="s">
        <v>101</v>
      </c>
      <c r="L47" s="1947" t="s">
        <v>10</v>
      </c>
      <c r="M47" s="1754">
        <f t="shared" si="2"/>
        <v>24565.84</v>
      </c>
      <c r="N47" s="1712"/>
      <c r="O47" s="1712">
        <f t="shared" si="11"/>
        <v>0</v>
      </c>
      <c r="P47" s="1712">
        <f t="shared" si="12"/>
        <v>0</v>
      </c>
      <c r="Q47" s="1712">
        <f t="shared" si="13"/>
        <v>0</v>
      </c>
      <c r="R47" s="1757">
        <v>0.09</v>
      </c>
      <c r="S47" s="1712">
        <f t="shared" si="14"/>
        <v>0</v>
      </c>
      <c r="T47" s="1712">
        <f t="shared" si="1"/>
        <v>0</v>
      </c>
      <c r="U47" s="1712">
        <f t="shared" si="0"/>
        <v>0</v>
      </c>
      <c r="V47" s="1952"/>
    </row>
    <row r="48" spans="1:22" s="1942" customFormat="1" ht="28.5" hidden="1" customHeight="1" outlineLevel="3">
      <c r="A48" s="1944"/>
      <c r="B48" s="1978" t="s">
        <v>1659</v>
      </c>
      <c r="C48" s="1810"/>
      <c r="D48" s="1995" t="s">
        <v>3403</v>
      </c>
      <c r="E48" s="1996" t="s">
        <v>3404</v>
      </c>
      <c r="F48" s="1462" t="s">
        <v>3342</v>
      </c>
      <c r="G48" s="1953" t="s">
        <v>4116</v>
      </c>
      <c r="H48" s="1975" t="s">
        <v>10</v>
      </c>
      <c r="I48" s="1712">
        <f t="shared" si="10"/>
        <v>24565.840000000004</v>
      </c>
      <c r="J48" s="1976">
        <v>1</v>
      </c>
      <c r="K48" s="1950" t="s">
        <v>101</v>
      </c>
      <c r="L48" s="1947" t="s">
        <v>10</v>
      </c>
      <c r="M48" s="1754">
        <f t="shared" si="2"/>
        <v>24565.84</v>
      </c>
      <c r="N48" s="1756">
        <v>65</v>
      </c>
      <c r="O48" s="1712">
        <f t="shared" si="11"/>
        <v>159.67796000000001</v>
      </c>
      <c r="P48" s="1712">
        <f t="shared" si="12"/>
        <v>59.63</v>
      </c>
      <c r="Q48" s="1712">
        <f t="shared" si="13"/>
        <v>146.49354099999999</v>
      </c>
      <c r="R48" s="1757">
        <v>0.09</v>
      </c>
      <c r="S48" s="1712">
        <f t="shared" si="14"/>
        <v>13.18441900000002</v>
      </c>
      <c r="T48" s="1712">
        <f t="shared" si="1"/>
        <v>59.633027407163759</v>
      </c>
      <c r="U48" s="1712">
        <f t="shared" si="0"/>
        <v>65</v>
      </c>
      <c r="V48" s="1952"/>
    </row>
    <row r="49" spans="1:22" s="1942" customFormat="1" ht="28.5" hidden="1" customHeight="1" outlineLevel="3">
      <c r="A49" s="1944"/>
      <c r="B49" s="1978" t="s">
        <v>1497</v>
      </c>
      <c r="C49" s="1810"/>
      <c r="D49" s="1995" t="s">
        <v>3405</v>
      </c>
      <c r="E49" s="1996"/>
      <c r="F49" s="1462" t="s">
        <v>1424</v>
      </c>
      <c r="G49" s="1953" t="s">
        <v>4123</v>
      </c>
      <c r="H49" s="1975" t="s">
        <v>10</v>
      </c>
      <c r="I49" s="1712">
        <f t="shared" si="10"/>
        <v>24565.840000000004</v>
      </c>
      <c r="J49" s="1949"/>
      <c r="K49" s="1950" t="s">
        <v>101</v>
      </c>
      <c r="L49" s="1947" t="s">
        <v>10</v>
      </c>
      <c r="M49" s="1754">
        <f t="shared" si="2"/>
        <v>0</v>
      </c>
      <c r="N49" s="1712"/>
      <c r="O49" s="1712">
        <f t="shared" si="11"/>
        <v>0</v>
      </c>
      <c r="P49" s="1712">
        <f t="shared" si="12"/>
        <v>0</v>
      </c>
      <c r="Q49" s="1712">
        <f t="shared" si="13"/>
        <v>0</v>
      </c>
      <c r="R49" s="1757">
        <v>0.06</v>
      </c>
      <c r="S49" s="1712">
        <f t="shared" si="14"/>
        <v>0</v>
      </c>
      <c r="T49" s="1712">
        <f t="shared" si="1"/>
        <v>0</v>
      </c>
      <c r="U49" s="1712">
        <f t="shared" si="0"/>
        <v>0</v>
      </c>
      <c r="V49" s="1952"/>
    </row>
    <row r="50" spans="1:22" s="1942" customFormat="1" ht="28.5" hidden="1" customHeight="1" outlineLevel="2">
      <c r="A50" s="1944"/>
      <c r="B50" s="1820" t="s">
        <v>3406</v>
      </c>
      <c r="C50" s="1810"/>
      <c r="D50" s="1995" t="s">
        <v>3407</v>
      </c>
      <c r="E50" s="1996" t="s">
        <v>3408</v>
      </c>
      <c r="F50" s="1462" t="s">
        <v>3342</v>
      </c>
      <c r="G50" s="1953" t="s">
        <v>4116</v>
      </c>
      <c r="H50" s="1975" t="s">
        <v>10</v>
      </c>
      <c r="I50" s="1712">
        <f t="shared" si="10"/>
        <v>24565.840000000004</v>
      </c>
      <c r="J50" s="1949"/>
      <c r="K50" s="1950" t="s">
        <v>101</v>
      </c>
      <c r="L50" s="1947" t="s">
        <v>10</v>
      </c>
      <c r="M50" s="1754">
        <f t="shared" si="2"/>
        <v>0</v>
      </c>
      <c r="N50" s="1712"/>
      <c r="O50" s="1712">
        <f t="shared" si="11"/>
        <v>0</v>
      </c>
      <c r="P50" s="1712">
        <f t="shared" si="12"/>
        <v>0</v>
      </c>
      <c r="Q50" s="1712">
        <f t="shared" si="13"/>
        <v>0</v>
      </c>
      <c r="R50" s="1757">
        <v>0.09</v>
      </c>
      <c r="S50" s="1712">
        <f t="shared" si="14"/>
        <v>0</v>
      </c>
      <c r="T50" s="1712">
        <f t="shared" si="1"/>
        <v>0</v>
      </c>
      <c r="U50" s="1712">
        <f t="shared" si="0"/>
        <v>0</v>
      </c>
      <c r="V50" s="1952"/>
    </row>
    <row r="51" spans="1:22" ht="28.5" hidden="1" customHeight="1" outlineLevel="1">
      <c r="A51" s="1898"/>
      <c r="B51" s="1965" t="s">
        <v>490</v>
      </c>
      <c r="C51" s="1852">
        <v>2</v>
      </c>
      <c r="D51" s="1966" t="s">
        <v>491</v>
      </c>
      <c r="E51" s="1967"/>
      <c r="F51" s="1968"/>
      <c r="G51" s="2007" t="s">
        <v>4117</v>
      </c>
      <c r="H51" s="1967"/>
      <c r="I51" s="1969"/>
      <c r="J51" s="1970"/>
      <c r="K51" s="1971"/>
      <c r="L51" s="1967"/>
      <c r="M51" s="1972"/>
      <c r="N51" s="1973"/>
      <c r="O51" s="1973">
        <f>SUBTOTAL(9,O52:O105)</f>
        <v>1060.0159960000001</v>
      </c>
      <c r="P51" s="1973"/>
      <c r="Q51" s="1973">
        <f>SUBTOTAL(9,Q52:Q105)</f>
        <v>961.32273099999998</v>
      </c>
      <c r="R51" s="1973"/>
      <c r="S51" s="1973">
        <f>SUBTOTAL(9,S52:S105)</f>
        <v>98.693264999999968</v>
      </c>
      <c r="T51" s="1973">
        <f t="shared" si="1"/>
        <v>391.32499886020582</v>
      </c>
      <c r="U51" s="1973">
        <f t="shared" si="0"/>
        <v>431.49999999999994</v>
      </c>
      <c r="V51" s="1974"/>
    </row>
    <row r="52" spans="1:22" s="1942" customFormat="1" ht="28.5" hidden="1" customHeight="1" outlineLevel="2">
      <c r="A52" s="1944"/>
      <c r="B52" s="1820" t="s">
        <v>661</v>
      </c>
      <c r="C52" s="1808"/>
      <c r="D52" s="1945" t="s">
        <v>3409</v>
      </c>
      <c r="E52" s="1946"/>
      <c r="F52" s="1462"/>
      <c r="G52" s="1953" t="s">
        <v>4117</v>
      </c>
      <c r="H52" s="1947"/>
      <c r="I52" s="1948"/>
      <c r="J52" s="1949"/>
      <c r="K52" s="1950"/>
      <c r="L52" s="1947"/>
      <c r="M52" s="1754"/>
      <c r="N52" s="1712"/>
      <c r="O52" s="1712">
        <f>SUBTOTAL(9,O53:O61)</f>
        <v>73.697519999999997</v>
      </c>
      <c r="P52" s="1983"/>
      <c r="Q52" s="1712">
        <f>SUBTOTAL(9,Q53:Q61)</f>
        <v>66.814616999999998</v>
      </c>
      <c r="R52" s="1757"/>
      <c r="S52" s="1712">
        <f>SUBTOTAL(9,S53:S61)</f>
        <v>6.8829030000000015</v>
      </c>
      <c r="T52" s="1712">
        <f t="shared" si="1"/>
        <v>27.19818129565282</v>
      </c>
      <c r="U52" s="1712">
        <f t="shared" si="0"/>
        <v>29.999999999999993</v>
      </c>
      <c r="V52" s="1952"/>
    </row>
    <row r="53" spans="1:22" s="1942" customFormat="1" ht="28.5" hidden="1" customHeight="1" outlineLevel="3">
      <c r="A53" s="1944"/>
      <c r="B53" s="1978" t="s">
        <v>662</v>
      </c>
      <c r="C53" s="1810"/>
      <c r="D53" s="1979" t="s">
        <v>3410</v>
      </c>
      <c r="E53" s="1980" t="s">
        <v>3411</v>
      </c>
      <c r="F53" s="1462" t="s">
        <v>3342</v>
      </c>
      <c r="G53" s="1953" t="s">
        <v>4116</v>
      </c>
      <c r="H53" s="1975" t="s">
        <v>10</v>
      </c>
      <c r="I53" s="1712">
        <f>$E$5</f>
        <v>24565.840000000004</v>
      </c>
      <c r="J53" s="1976">
        <v>1</v>
      </c>
      <c r="K53" s="1950" t="s">
        <v>101</v>
      </c>
      <c r="L53" s="1947" t="s">
        <v>10</v>
      </c>
      <c r="M53" s="1754">
        <f>ROUND(I53,2)*ROUND(J53,4)</f>
        <v>24565.84</v>
      </c>
      <c r="N53" s="1756">
        <v>7</v>
      </c>
      <c r="O53" s="1712">
        <f>ROUND(M53*ROUND(N53,2)/10000,6)</f>
        <v>17.196088</v>
      </c>
      <c r="P53" s="1712">
        <f>IFERROR(ROUND(Q53*10000/M53,2),0)</f>
        <v>6.42</v>
      </c>
      <c r="Q53" s="1712">
        <f>ROUND(O53/(1+R53),6)</f>
        <v>15.776228</v>
      </c>
      <c r="R53" s="1757">
        <v>0.09</v>
      </c>
      <c r="S53" s="1712">
        <f>O53-Q53</f>
        <v>1.4198599999999999</v>
      </c>
      <c r="T53" s="1712">
        <f t="shared" si="1"/>
        <v>6.4220185428220642</v>
      </c>
      <c r="U53" s="1712">
        <f t="shared" si="0"/>
        <v>6.9999999999999991</v>
      </c>
      <c r="V53" s="1952"/>
    </row>
    <row r="54" spans="1:22" s="1942" customFormat="1" ht="28.5" hidden="1" customHeight="1" outlineLevel="3">
      <c r="A54" s="1944"/>
      <c r="B54" s="1978" t="s">
        <v>664</v>
      </c>
      <c r="C54" s="1810"/>
      <c r="D54" s="2008" t="s">
        <v>3412</v>
      </c>
      <c r="E54" s="2009" t="s">
        <v>3413</v>
      </c>
      <c r="F54" s="1462" t="s">
        <v>3342</v>
      </c>
      <c r="G54" s="1953" t="s">
        <v>4116</v>
      </c>
      <c r="H54" s="1975" t="s">
        <v>10</v>
      </c>
      <c r="I54" s="1712">
        <f>$E$5</f>
        <v>24565.840000000004</v>
      </c>
      <c r="J54" s="1976">
        <v>1</v>
      </c>
      <c r="K54" s="1950" t="s">
        <v>101</v>
      </c>
      <c r="L54" s="1947" t="s">
        <v>10</v>
      </c>
      <c r="M54" s="1754">
        <f>ROUND(I54,2)*ROUND(J54,4)</f>
        <v>24565.84</v>
      </c>
      <c r="N54" s="1756">
        <v>5</v>
      </c>
      <c r="O54" s="1712">
        <f>ROUND(M54*ROUND(N54,2)/10000,6)</f>
        <v>12.282920000000001</v>
      </c>
      <c r="P54" s="1712">
        <f>IFERROR(ROUND(Q54*10000/M54,2),0)</f>
        <v>4.59</v>
      </c>
      <c r="Q54" s="1712">
        <f>ROUND(O54/(1+R54),6)</f>
        <v>11.268734</v>
      </c>
      <c r="R54" s="1757">
        <v>0.09</v>
      </c>
      <c r="S54" s="1712">
        <f>O54-Q54</f>
        <v>1.0141860000000005</v>
      </c>
      <c r="T54" s="1712">
        <f t="shared" si="1"/>
        <v>4.5871559857102371</v>
      </c>
      <c r="U54" s="1712">
        <f t="shared" si="0"/>
        <v>5</v>
      </c>
      <c r="V54" s="1952"/>
    </row>
    <row r="55" spans="1:22" s="1942" customFormat="1" ht="28.5" hidden="1" customHeight="1" outlineLevel="3">
      <c r="A55" s="1944"/>
      <c r="B55" s="1978" t="s">
        <v>665</v>
      </c>
      <c r="C55" s="1810"/>
      <c r="D55" s="2008" t="s">
        <v>3414</v>
      </c>
      <c r="E55" s="2009" t="s">
        <v>3415</v>
      </c>
      <c r="F55" s="1462"/>
      <c r="G55" s="1953" t="s">
        <v>4117</v>
      </c>
      <c r="H55" s="1975"/>
      <c r="I55" s="1948"/>
      <c r="J55" s="1949"/>
      <c r="K55" s="1950" t="s">
        <v>101</v>
      </c>
      <c r="L55" s="1947" t="s">
        <v>10</v>
      </c>
      <c r="M55" s="1754"/>
      <c r="N55" s="1712"/>
      <c r="O55" s="1712">
        <f>SUBTOTAL(9,O56:O57)</f>
        <v>12.282920000000001</v>
      </c>
      <c r="P55" s="1983"/>
      <c r="Q55" s="1712">
        <f>SUBTOTAL(9,Q56:Q57)</f>
        <v>11.268734</v>
      </c>
      <c r="R55" s="1757"/>
      <c r="S55" s="1712">
        <f>SUBTOTAL(9,S56:S57)</f>
        <v>1.0141860000000005</v>
      </c>
      <c r="T55" s="1712">
        <f t="shared" si="1"/>
        <v>4.5871559857102371</v>
      </c>
      <c r="U55" s="1712">
        <f t="shared" si="0"/>
        <v>5</v>
      </c>
      <c r="V55" s="1952"/>
    </row>
    <row r="56" spans="1:22" s="1942" customFormat="1" ht="28.5" hidden="1" customHeight="1" outlineLevel="4">
      <c r="A56" s="1944"/>
      <c r="B56" s="1985" t="s">
        <v>1666</v>
      </c>
      <c r="C56" s="1828"/>
      <c r="D56" s="2010" t="s">
        <v>4036</v>
      </c>
      <c r="E56" s="2011"/>
      <c r="F56" s="1988" t="s">
        <v>3342</v>
      </c>
      <c r="G56" s="1989" t="s">
        <v>4116</v>
      </c>
      <c r="H56" s="2012" t="s">
        <v>10</v>
      </c>
      <c r="I56" s="1991">
        <f>$E$5</f>
        <v>24565.840000000004</v>
      </c>
      <c r="J56" s="1976">
        <v>1</v>
      </c>
      <c r="K56" s="2000" t="s">
        <v>101</v>
      </c>
      <c r="L56" s="1990" t="s">
        <v>10</v>
      </c>
      <c r="M56" s="1991">
        <f t="shared" ref="M56:M63" si="15">ROUND(I56,2)*ROUND(J56,4)</f>
        <v>24565.84</v>
      </c>
      <c r="N56" s="1756">
        <v>5</v>
      </c>
      <c r="O56" s="1991">
        <f t="shared" ref="O56:O61" si="16">ROUND(M56*ROUND(N56,2)/10000,6)</f>
        <v>12.282920000000001</v>
      </c>
      <c r="P56" s="1991">
        <f t="shared" ref="P56:P61" si="17">IFERROR(ROUND(Q56*10000/M56,2),0)</f>
        <v>4.59</v>
      </c>
      <c r="Q56" s="1991">
        <f t="shared" ref="Q56:Q61" si="18">ROUND(O56/(1+R56),6)</f>
        <v>11.268734</v>
      </c>
      <c r="R56" s="1993">
        <v>0.09</v>
      </c>
      <c r="S56" s="1991">
        <f t="shared" ref="S56:S61" si="19">O56-Q56</f>
        <v>1.0141860000000005</v>
      </c>
      <c r="T56" s="1991">
        <f t="shared" si="1"/>
        <v>4.5871559857102371</v>
      </c>
      <c r="U56" s="1991">
        <f t="shared" si="0"/>
        <v>5</v>
      </c>
      <c r="V56" s="1994"/>
    </row>
    <row r="57" spans="1:22" s="1942" customFormat="1" ht="28.5" hidden="1" customHeight="1" outlineLevel="4">
      <c r="A57" s="1944"/>
      <c r="B57" s="1985" t="s">
        <v>1507</v>
      </c>
      <c r="C57" s="1828"/>
      <c r="D57" s="2013" t="s">
        <v>4037</v>
      </c>
      <c r="E57" s="2011"/>
      <c r="F57" s="1988" t="s">
        <v>3833</v>
      </c>
      <c r="G57" s="1989" t="s">
        <v>4124</v>
      </c>
      <c r="H57" s="2012" t="s">
        <v>10</v>
      </c>
      <c r="I57" s="1991">
        <f>$E$5</f>
        <v>24565.840000000004</v>
      </c>
      <c r="J57" s="2014">
        <v>1</v>
      </c>
      <c r="K57" s="2000" t="s">
        <v>101</v>
      </c>
      <c r="L57" s="1990" t="s">
        <v>10</v>
      </c>
      <c r="M57" s="1991">
        <f t="shared" si="15"/>
        <v>24565.84</v>
      </c>
      <c r="N57" s="1991"/>
      <c r="O57" s="1991">
        <f t="shared" si="16"/>
        <v>0</v>
      </c>
      <c r="P57" s="1991">
        <f t="shared" si="17"/>
        <v>0</v>
      </c>
      <c r="Q57" s="1991">
        <f t="shared" si="18"/>
        <v>0</v>
      </c>
      <c r="R57" s="1993">
        <v>0.13</v>
      </c>
      <c r="S57" s="1991">
        <f t="shared" si="19"/>
        <v>0</v>
      </c>
      <c r="T57" s="1991">
        <f t="shared" si="1"/>
        <v>0</v>
      </c>
      <c r="U57" s="1991">
        <f t="shared" si="0"/>
        <v>0</v>
      </c>
      <c r="V57" s="1994"/>
    </row>
    <row r="58" spans="1:22" s="1942" customFormat="1" ht="28.5" hidden="1" customHeight="1" outlineLevel="3">
      <c r="A58" s="1944"/>
      <c r="B58" s="1978" t="s">
        <v>666</v>
      </c>
      <c r="C58" s="1810"/>
      <c r="D58" s="2008" t="s">
        <v>3416</v>
      </c>
      <c r="E58" s="2009" t="s">
        <v>3417</v>
      </c>
      <c r="F58" s="1462" t="s">
        <v>3418</v>
      </c>
      <c r="G58" s="1953" t="s">
        <v>4125</v>
      </c>
      <c r="H58" s="1975" t="s">
        <v>3926</v>
      </c>
      <c r="I58" s="1712">
        <f>$G$7</f>
        <v>0</v>
      </c>
      <c r="J58" s="1949">
        <v>1</v>
      </c>
      <c r="K58" s="1950" t="s">
        <v>3947</v>
      </c>
      <c r="L58" s="1947" t="s">
        <v>3926</v>
      </c>
      <c r="M58" s="1754">
        <f t="shared" si="15"/>
        <v>0</v>
      </c>
      <c r="N58" s="1712"/>
      <c r="O58" s="1712">
        <f t="shared" si="16"/>
        <v>0</v>
      </c>
      <c r="P58" s="1712">
        <f t="shared" si="17"/>
        <v>0</v>
      </c>
      <c r="Q58" s="1712">
        <f t="shared" si="18"/>
        <v>0</v>
      </c>
      <c r="R58" s="1757">
        <v>0.13</v>
      </c>
      <c r="S58" s="1712">
        <f t="shared" si="19"/>
        <v>0</v>
      </c>
      <c r="T58" s="1712">
        <f t="shared" si="1"/>
        <v>0</v>
      </c>
      <c r="U58" s="1712">
        <f t="shared" si="0"/>
        <v>0</v>
      </c>
      <c r="V58" s="1952"/>
    </row>
    <row r="59" spans="1:22" s="1942" customFormat="1" ht="28.5" hidden="1" customHeight="1" outlineLevel="3">
      <c r="A59" s="1944"/>
      <c r="B59" s="1978" t="s">
        <v>3419</v>
      </c>
      <c r="C59" s="1810"/>
      <c r="D59" s="2008" t="s">
        <v>3420</v>
      </c>
      <c r="E59" s="2009" t="s">
        <v>3421</v>
      </c>
      <c r="F59" s="1462" t="s">
        <v>3422</v>
      </c>
      <c r="G59" s="1953" t="s">
        <v>4126</v>
      </c>
      <c r="H59" s="1975" t="s">
        <v>10</v>
      </c>
      <c r="I59" s="1712">
        <f>$E$5</f>
        <v>24565.840000000004</v>
      </c>
      <c r="J59" s="1949">
        <v>1</v>
      </c>
      <c r="K59" s="1950" t="s">
        <v>101</v>
      </c>
      <c r="L59" s="1947" t="s">
        <v>10</v>
      </c>
      <c r="M59" s="1754">
        <f t="shared" si="15"/>
        <v>24565.84</v>
      </c>
      <c r="N59" s="1712">
        <v>10</v>
      </c>
      <c r="O59" s="1712">
        <f t="shared" si="16"/>
        <v>24.565840000000001</v>
      </c>
      <c r="P59" s="1712">
        <f t="shared" si="17"/>
        <v>8.85</v>
      </c>
      <c r="Q59" s="1712">
        <f t="shared" si="18"/>
        <v>21.739681000000001</v>
      </c>
      <c r="R59" s="1757">
        <v>0.13</v>
      </c>
      <c r="S59" s="1712">
        <f t="shared" si="19"/>
        <v>2.8261590000000005</v>
      </c>
      <c r="T59" s="1712">
        <f t="shared" si="1"/>
        <v>8.8495573528118712</v>
      </c>
      <c r="U59" s="1712">
        <f t="shared" si="0"/>
        <v>10</v>
      </c>
      <c r="V59" s="1952"/>
    </row>
    <row r="60" spans="1:22" s="1942" customFormat="1" ht="28.5" hidden="1" customHeight="1" outlineLevel="3">
      <c r="A60" s="1944"/>
      <c r="B60" s="1978" t="s">
        <v>3423</v>
      </c>
      <c r="C60" s="1810"/>
      <c r="D60" s="2008" t="s">
        <v>3424</v>
      </c>
      <c r="E60" s="2009" t="s">
        <v>3425</v>
      </c>
      <c r="F60" s="1462" t="s">
        <v>3342</v>
      </c>
      <c r="G60" s="1953" t="s">
        <v>4116</v>
      </c>
      <c r="H60" s="1975" t="s">
        <v>10</v>
      </c>
      <c r="I60" s="1712">
        <f t="shared" ref="I60:I72" si="20">$E$5</f>
        <v>24565.840000000004</v>
      </c>
      <c r="J60" s="1976">
        <v>1</v>
      </c>
      <c r="K60" s="1950" t="s">
        <v>101</v>
      </c>
      <c r="L60" s="1947" t="s">
        <v>10</v>
      </c>
      <c r="M60" s="1754">
        <f t="shared" si="15"/>
        <v>24565.84</v>
      </c>
      <c r="N60" s="1756">
        <v>3</v>
      </c>
      <c r="O60" s="1712">
        <f t="shared" si="16"/>
        <v>7.3697520000000001</v>
      </c>
      <c r="P60" s="1712">
        <f t="shared" si="17"/>
        <v>2.75</v>
      </c>
      <c r="Q60" s="1712">
        <f t="shared" si="18"/>
        <v>6.7612399999999999</v>
      </c>
      <c r="R60" s="1757">
        <v>0.09</v>
      </c>
      <c r="S60" s="1712">
        <f t="shared" si="19"/>
        <v>0.60851200000000016</v>
      </c>
      <c r="T60" s="1712">
        <f t="shared" si="1"/>
        <v>2.7522934285984109</v>
      </c>
      <c r="U60" s="1712">
        <f t="shared" si="0"/>
        <v>2.9999999999999996</v>
      </c>
      <c r="V60" s="1952"/>
    </row>
    <row r="61" spans="1:22" s="1942" customFormat="1" ht="28.5" hidden="1" customHeight="1" outlineLevel="3">
      <c r="A61" s="1944"/>
      <c r="B61" s="1978" t="s">
        <v>3426</v>
      </c>
      <c r="C61" s="1810"/>
      <c r="D61" s="2008" t="s">
        <v>3427</v>
      </c>
      <c r="E61" s="2009" t="s">
        <v>3428</v>
      </c>
      <c r="F61" s="1462" t="s">
        <v>3342</v>
      </c>
      <c r="G61" s="1953" t="s">
        <v>4116</v>
      </c>
      <c r="H61" s="1975" t="s">
        <v>10</v>
      </c>
      <c r="I61" s="1712">
        <f t="shared" si="20"/>
        <v>24565.840000000004</v>
      </c>
      <c r="J61" s="1949"/>
      <c r="K61" s="1950" t="s">
        <v>101</v>
      </c>
      <c r="L61" s="1947" t="s">
        <v>10</v>
      </c>
      <c r="M61" s="1754">
        <f t="shared" si="15"/>
        <v>0</v>
      </c>
      <c r="N61" s="1712"/>
      <c r="O61" s="1712">
        <f t="shared" si="16"/>
        <v>0</v>
      </c>
      <c r="P61" s="1712">
        <f t="shared" si="17"/>
        <v>0</v>
      </c>
      <c r="Q61" s="1712">
        <f t="shared" si="18"/>
        <v>0</v>
      </c>
      <c r="R61" s="1757">
        <v>0.13</v>
      </c>
      <c r="S61" s="1712">
        <f t="shared" si="19"/>
        <v>0</v>
      </c>
      <c r="T61" s="1712">
        <f t="shared" si="1"/>
        <v>0</v>
      </c>
      <c r="U61" s="1712">
        <f t="shared" si="0"/>
        <v>0</v>
      </c>
      <c r="V61" s="2015"/>
    </row>
    <row r="62" spans="1:22" s="1942" customFormat="1" ht="28.5" hidden="1" customHeight="1" outlineLevel="2">
      <c r="A62" s="1944"/>
      <c r="B62" s="1820" t="s">
        <v>670</v>
      </c>
      <c r="C62" s="1808"/>
      <c r="D62" s="1945" t="s">
        <v>3429</v>
      </c>
      <c r="E62" s="1946"/>
      <c r="F62" s="1462"/>
      <c r="G62" s="1953" t="s">
        <v>4117</v>
      </c>
      <c r="H62" s="1947"/>
      <c r="I62" s="1948"/>
      <c r="J62" s="1949"/>
      <c r="K62" s="1950"/>
      <c r="L62" s="1947"/>
      <c r="M62" s="1754"/>
      <c r="N62" s="1712"/>
      <c r="O62" s="1712">
        <f>SUBTOTAL(9,O63:O76)</f>
        <v>544.13335599999994</v>
      </c>
      <c r="P62" s="1983"/>
      <c r="Q62" s="1712">
        <f>SUBTOTAL(9,Q63:Q76)</f>
        <v>490.42926399999999</v>
      </c>
      <c r="R62" s="1757"/>
      <c r="S62" s="1712">
        <f>SUBTOTAL(9,S63:S76)</f>
        <v>53.704091999999982</v>
      </c>
      <c r="T62" s="1712">
        <f t="shared" si="1"/>
        <v>199.63871131620164</v>
      </c>
      <c r="U62" s="1712">
        <f t="shared" si="0"/>
        <v>221.49999999999994</v>
      </c>
      <c r="V62" s="1952"/>
    </row>
    <row r="63" spans="1:22" s="1942" customFormat="1" ht="28.5" hidden="1" customHeight="1" outlineLevel="3">
      <c r="A63" s="1944"/>
      <c r="B63" s="1978" t="s">
        <v>671</v>
      </c>
      <c r="C63" s="1810"/>
      <c r="D63" s="2008" t="s">
        <v>3430</v>
      </c>
      <c r="E63" s="2009" t="s">
        <v>3431</v>
      </c>
      <c r="F63" s="1462" t="s">
        <v>3342</v>
      </c>
      <c r="G63" s="1953" t="s">
        <v>4116</v>
      </c>
      <c r="H63" s="1975" t="s">
        <v>10</v>
      </c>
      <c r="I63" s="1712">
        <f t="shared" si="20"/>
        <v>24565.840000000004</v>
      </c>
      <c r="J63" s="1976">
        <v>1</v>
      </c>
      <c r="K63" s="1950" t="s">
        <v>101</v>
      </c>
      <c r="L63" s="1947" t="s">
        <v>10</v>
      </c>
      <c r="M63" s="1754">
        <f t="shared" si="15"/>
        <v>24565.84</v>
      </c>
      <c r="N63" s="1756">
        <v>10</v>
      </c>
      <c r="O63" s="1712">
        <f>ROUND(M63*ROUND(N63,2)/10000,6)</f>
        <v>24.565840000000001</v>
      </c>
      <c r="P63" s="1712">
        <f>IFERROR(ROUND(Q63*10000/M63,2),0)</f>
        <v>9.17</v>
      </c>
      <c r="Q63" s="1712">
        <f>ROUND(O63/(1+R63),6)</f>
        <v>22.537468000000001</v>
      </c>
      <c r="R63" s="1757">
        <v>0.09</v>
      </c>
      <c r="S63" s="1712">
        <f>O63-Q63</f>
        <v>2.028372000000001</v>
      </c>
      <c r="T63" s="1712">
        <f t="shared" si="1"/>
        <v>9.1743119714204742</v>
      </c>
      <c r="U63" s="1712">
        <f t="shared" si="0"/>
        <v>10</v>
      </c>
      <c r="V63" s="1952"/>
    </row>
    <row r="64" spans="1:22" s="1942" customFormat="1" ht="28.5" hidden="1" customHeight="1" outlineLevel="3">
      <c r="A64" s="1944"/>
      <c r="B64" s="1978" t="s">
        <v>672</v>
      </c>
      <c r="C64" s="1810"/>
      <c r="D64" s="2008" t="s">
        <v>3432</v>
      </c>
      <c r="E64" s="2009" t="s">
        <v>3433</v>
      </c>
      <c r="F64" s="1462"/>
      <c r="G64" s="1953" t="s">
        <v>4117</v>
      </c>
      <c r="H64" s="1975"/>
      <c r="I64" s="1712"/>
      <c r="J64" s="1949"/>
      <c r="K64" s="1950" t="s">
        <v>101</v>
      </c>
      <c r="L64" s="1947" t="s">
        <v>10</v>
      </c>
      <c r="M64" s="1754"/>
      <c r="N64" s="1712"/>
      <c r="O64" s="1712">
        <f>SUBTOTAL(9,O65:O66)</f>
        <v>110.54628</v>
      </c>
      <c r="P64" s="1983"/>
      <c r="Q64" s="1712">
        <f>SUBTOTAL(9,Q65:Q66)</f>
        <v>101.418606</v>
      </c>
      <c r="R64" s="1757"/>
      <c r="S64" s="1712">
        <f>SUBTOTAL(9,S65:S66)</f>
        <v>9.127673999999999</v>
      </c>
      <c r="T64" s="1712">
        <f t="shared" si="1"/>
        <v>41.284403871392136</v>
      </c>
      <c r="U64" s="1712">
        <f t="shared" si="0"/>
        <v>44.999999999999993</v>
      </c>
      <c r="V64" s="1952"/>
    </row>
    <row r="65" spans="1:22" s="1942" customFormat="1" ht="28.5" hidden="1" customHeight="1" outlineLevel="4">
      <c r="A65" s="1944"/>
      <c r="B65" s="1985" t="s">
        <v>1680</v>
      </c>
      <c r="C65" s="1828"/>
      <c r="D65" s="2013" t="s">
        <v>4038</v>
      </c>
      <c r="E65" s="2011"/>
      <c r="F65" s="1988" t="s">
        <v>3342</v>
      </c>
      <c r="G65" s="1989" t="s">
        <v>4116</v>
      </c>
      <c r="H65" s="2012" t="s">
        <v>10</v>
      </c>
      <c r="I65" s="1991">
        <f>$E$5</f>
        <v>24565.840000000004</v>
      </c>
      <c r="J65" s="1976">
        <v>1</v>
      </c>
      <c r="K65" s="2000" t="s">
        <v>101</v>
      </c>
      <c r="L65" s="1990" t="s">
        <v>10</v>
      </c>
      <c r="M65" s="1991">
        <f t="shared" ref="M65:M76" si="21">ROUND(I65,2)*ROUND(J65,4)</f>
        <v>24565.84</v>
      </c>
      <c r="N65" s="1756">
        <v>45</v>
      </c>
      <c r="O65" s="1991">
        <f t="shared" ref="O65:O76" si="22">ROUND(M65*ROUND(N65,2)/10000,6)</f>
        <v>110.54628</v>
      </c>
      <c r="P65" s="1991">
        <f t="shared" ref="P65:P76" si="23">IFERROR(ROUND(Q65*10000/M65,2),0)</f>
        <v>41.28</v>
      </c>
      <c r="Q65" s="1991">
        <f t="shared" ref="Q65:Q76" si="24">ROUND(O65/(1+R65),6)</f>
        <v>101.418606</v>
      </c>
      <c r="R65" s="1993">
        <v>0.09</v>
      </c>
      <c r="S65" s="1991">
        <f t="shared" ref="S65:S76" si="25">O65-Q65</f>
        <v>9.127673999999999</v>
      </c>
      <c r="T65" s="1991">
        <f t="shared" si="1"/>
        <v>41.284403871392136</v>
      </c>
      <c r="U65" s="1991">
        <f t="shared" si="0"/>
        <v>44.999999999999993</v>
      </c>
      <c r="V65" s="1994"/>
    </row>
    <row r="66" spans="1:22" s="1942" customFormat="1" ht="28.5" hidden="1" customHeight="1" outlineLevel="4">
      <c r="A66" s="1944"/>
      <c r="B66" s="1985" t="s">
        <v>1529</v>
      </c>
      <c r="C66" s="1828"/>
      <c r="D66" s="2013" t="s">
        <v>4039</v>
      </c>
      <c r="E66" s="2011"/>
      <c r="F66" s="1988" t="s">
        <v>3556</v>
      </c>
      <c r="G66" s="1989" t="s">
        <v>4127</v>
      </c>
      <c r="H66" s="2012" t="s">
        <v>10</v>
      </c>
      <c r="I66" s="1991">
        <f>$E$5</f>
        <v>24565.840000000004</v>
      </c>
      <c r="J66" s="2014">
        <v>1</v>
      </c>
      <c r="K66" s="2000" t="s">
        <v>101</v>
      </c>
      <c r="L66" s="1990" t="s">
        <v>10</v>
      </c>
      <c r="M66" s="1991">
        <f t="shared" si="21"/>
        <v>24565.84</v>
      </c>
      <c r="N66" s="1991"/>
      <c r="O66" s="1991">
        <f t="shared" si="22"/>
        <v>0</v>
      </c>
      <c r="P66" s="1991">
        <f t="shared" si="23"/>
        <v>0</v>
      </c>
      <c r="Q66" s="1991">
        <f t="shared" si="24"/>
        <v>0</v>
      </c>
      <c r="R66" s="1993">
        <v>0.13</v>
      </c>
      <c r="S66" s="1991">
        <f t="shared" si="25"/>
        <v>0</v>
      </c>
      <c r="T66" s="1991">
        <f t="shared" si="1"/>
        <v>0</v>
      </c>
      <c r="U66" s="1991">
        <f t="shared" si="0"/>
        <v>0</v>
      </c>
      <c r="V66" s="1994"/>
    </row>
    <row r="67" spans="1:22" s="1942" customFormat="1" ht="28.5" hidden="1" customHeight="1" outlineLevel="3">
      <c r="A67" s="1944"/>
      <c r="B67" s="1978" t="s">
        <v>673</v>
      </c>
      <c r="C67" s="1810"/>
      <c r="D67" s="2008" t="s">
        <v>3434</v>
      </c>
      <c r="E67" s="2009" t="s">
        <v>3435</v>
      </c>
      <c r="F67" s="1462" t="s">
        <v>3342</v>
      </c>
      <c r="G67" s="1953" t="s">
        <v>4116</v>
      </c>
      <c r="H67" s="1975" t="s">
        <v>10</v>
      </c>
      <c r="I67" s="1712">
        <f t="shared" si="20"/>
        <v>24565.840000000004</v>
      </c>
      <c r="J67" s="1976">
        <v>1</v>
      </c>
      <c r="K67" s="1950" t="s">
        <v>101</v>
      </c>
      <c r="L67" s="1947" t="s">
        <v>10</v>
      </c>
      <c r="M67" s="1754">
        <f t="shared" si="21"/>
        <v>24565.84</v>
      </c>
      <c r="N67" s="1756">
        <v>1</v>
      </c>
      <c r="O67" s="1712">
        <f t="shared" si="22"/>
        <v>2.4565839999999999</v>
      </c>
      <c r="P67" s="1712">
        <f t="shared" si="23"/>
        <v>0.92</v>
      </c>
      <c r="Q67" s="1712">
        <f t="shared" si="24"/>
        <v>2.2537470000000002</v>
      </c>
      <c r="R67" s="1757">
        <v>0.09</v>
      </c>
      <c r="S67" s="1712">
        <f t="shared" si="25"/>
        <v>0.20283699999999971</v>
      </c>
      <c r="T67" s="1712">
        <f t="shared" si="1"/>
        <v>0.91743127855591333</v>
      </c>
      <c r="U67" s="1712">
        <f t="shared" si="0"/>
        <v>0.99999999999999989</v>
      </c>
      <c r="V67" s="1952"/>
    </row>
    <row r="68" spans="1:22" s="1942" customFormat="1" ht="28.5" hidden="1" customHeight="1" outlineLevel="3">
      <c r="A68" s="1944"/>
      <c r="B68" s="1978" t="s">
        <v>1785</v>
      </c>
      <c r="C68" s="1810"/>
      <c r="D68" s="2008" t="s">
        <v>3436</v>
      </c>
      <c r="E68" s="2009" t="s">
        <v>3437</v>
      </c>
      <c r="F68" s="1462" t="s">
        <v>3342</v>
      </c>
      <c r="G68" s="1953" t="s">
        <v>4116</v>
      </c>
      <c r="H68" s="1975" t="s">
        <v>10</v>
      </c>
      <c r="I68" s="1712">
        <f t="shared" si="20"/>
        <v>24565.840000000004</v>
      </c>
      <c r="J68" s="1976">
        <v>1</v>
      </c>
      <c r="K68" s="1950" t="s">
        <v>101</v>
      </c>
      <c r="L68" s="1947" t="s">
        <v>10</v>
      </c>
      <c r="M68" s="1754">
        <f t="shared" si="21"/>
        <v>24565.84</v>
      </c>
      <c r="N68" s="1756">
        <v>10</v>
      </c>
      <c r="O68" s="1712">
        <f t="shared" si="22"/>
        <v>24.565840000000001</v>
      </c>
      <c r="P68" s="1712">
        <f t="shared" si="23"/>
        <v>9.17</v>
      </c>
      <c r="Q68" s="1712">
        <f t="shared" si="24"/>
        <v>22.537468000000001</v>
      </c>
      <c r="R68" s="1757">
        <v>0.09</v>
      </c>
      <c r="S68" s="1712">
        <f t="shared" si="25"/>
        <v>2.028372000000001</v>
      </c>
      <c r="T68" s="1712">
        <f t="shared" si="1"/>
        <v>9.1743119714204742</v>
      </c>
      <c r="U68" s="1712">
        <f t="shared" si="0"/>
        <v>10</v>
      </c>
      <c r="V68" s="1952"/>
    </row>
    <row r="69" spans="1:22" s="1942" customFormat="1" ht="28.5" hidden="1" customHeight="1" outlineLevel="3">
      <c r="A69" s="1944"/>
      <c r="B69" s="1978" t="s">
        <v>674</v>
      </c>
      <c r="C69" s="1810"/>
      <c r="D69" s="2008" t="s">
        <v>3438</v>
      </c>
      <c r="E69" s="2009" t="s">
        <v>3439</v>
      </c>
      <c r="F69" s="1462" t="s">
        <v>455</v>
      </c>
      <c r="G69" s="1953" t="s">
        <v>4128</v>
      </c>
      <c r="H69" s="1975" t="s">
        <v>10</v>
      </c>
      <c r="I69" s="1712">
        <f t="shared" si="20"/>
        <v>24565.840000000004</v>
      </c>
      <c r="J69" s="1976">
        <v>1</v>
      </c>
      <c r="K69" s="1950" t="s">
        <v>101</v>
      </c>
      <c r="L69" s="1947" t="s">
        <v>10</v>
      </c>
      <c r="M69" s="1754">
        <f t="shared" si="21"/>
        <v>24565.84</v>
      </c>
      <c r="N69" s="1756">
        <v>42.5</v>
      </c>
      <c r="O69" s="1712">
        <f t="shared" si="22"/>
        <v>104.40482</v>
      </c>
      <c r="P69" s="1712">
        <f t="shared" si="23"/>
        <v>38.99</v>
      </c>
      <c r="Q69" s="1712">
        <f t="shared" si="24"/>
        <v>95.784238999999999</v>
      </c>
      <c r="R69" s="1757">
        <v>0.09</v>
      </c>
      <c r="S69" s="1712">
        <f t="shared" si="25"/>
        <v>8.6205810000000014</v>
      </c>
      <c r="T69" s="1712">
        <f t="shared" si="1"/>
        <v>38.990825878537017</v>
      </c>
      <c r="U69" s="1712">
        <f t="shared" si="0"/>
        <v>42.499999999999993</v>
      </c>
      <c r="V69" s="1952"/>
    </row>
    <row r="70" spans="1:22" s="1942" customFormat="1" ht="28.5" hidden="1" customHeight="1" outlineLevel="3">
      <c r="A70" s="1944"/>
      <c r="B70" s="1978" t="s">
        <v>3440</v>
      </c>
      <c r="C70" s="1810"/>
      <c r="D70" s="2008" t="s">
        <v>3441</v>
      </c>
      <c r="E70" s="2009" t="s">
        <v>3442</v>
      </c>
      <c r="F70" s="1462" t="s">
        <v>454</v>
      </c>
      <c r="G70" s="1953" t="s">
        <v>4129</v>
      </c>
      <c r="H70" s="1975" t="s">
        <v>10</v>
      </c>
      <c r="I70" s="1712">
        <f t="shared" si="20"/>
        <v>24565.840000000004</v>
      </c>
      <c r="J70" s="1976">
        <v>1</v>
      </c>
      <c r="K70" s="1950" t="s">
        <v>101</v>
      </c>
      <c r="L70" s="1947" t="s">
        <v>10</v>
      </c>
      <c r="M70" s="1754">
        <f t="shared" si="21"/>
        <v>24565.84</v>
      </c>
      <c r="N70" s="1756">
        <v>68</v>
      </c>
      <c r="O70" s="1712">
        <f t="shared" si="22"/>
        <v>167.04771199999999</v>
      </c>
      <c r="P70" s="1712">
        <f t="shared" si="23"/>
        <v>60.18</v>
      </c>
      <c r="Q70" s="1712">
        <f t="shared" si="24"/>
        <v>147.82983400000001</v>
      </c>
      <c r="R70" s="1757">
        <v>0.13</v>
      </c>
      <c r="S70" s="1712">
        <f t="shared" si="25"/>
        <v>19.217877999999985</v>
      </c>
      <c r="T70" s="1712">
        <f t="shared" si="1"/>
        <v>60.176991301742575</v>
      </c>
      <c r="U70" s="1712">
        <f t="shared" si="0"/>
        <v>67.999999999999986</v>
      </c>
      <c r="V70" s="2015"/>
    </row>
    <row r="71" spans="1:22" s="1942" customFormat="1" ht="28.5" hidden="1" customHeight="1" outlineLevel="3">
      <c r="A71" s="1944"/>
      <c r="B71" s="1978" t="s">
        <v>3443</v>
      </c>
      <c r="C71" s="1810"/>
      <c r="D71" s="2008" t="s">
        <v>3444</v>
      </c>
      <c r="E71" s="2009" t="s">
        <v>3445</v>
      </c>
      <c r="F71" s="1462" t="s">
        <v>1671</v>
      </c>
      <c r="G71" s="1953" t="s">
        <v>4130</v>
      </c>
      <c r="H71" s="1975" t="s">
        <v>10</v>
      </c>
      <c r="I71" s="1712">
        <f t="shared" si="20"/>
        <v>24565.840000000004</v>
      </c>
      <c r="J71" s="1976">
        <v>1</v>
      </c>
      <c r="K71" s="1950" t="s">
        <v>101</v>
      </c>
      <c r="L71" s="1947" t="s">
        <v>10</v>
      </c>
      <c r="M71" s="1754">
        <f t="shared" si="21"/>
        <v>24565.84</v>
      </c>
      <c r="N71" s="1756">
        <v>25</v>
      </c>
      <c r="O71" s="1712">
        <f t="shared" si="22"/>
        <v>61.4146</v>
      </c>
      <c r="P71" s="1712">
        <f t="shared" si="23"/>
        <v>22.12</v>
      </c>
      <c r="Q71" s="1712">
        <f t="shared" si="24"/>
        <v>54.349204</v>
      </c>
      <c r="R71" s="1757">
        <v>0.13</v>
      </c>
      <c r="S71" s="1712">
        <f t="shared" si="25"/>
        <v>7.0653959999999998</v>
      </c>
      <c r="T71" s="1712">
        <f t="shared" si="1"/>
        <v>22.123893992633672</v>
      </c>
      <c r="U71" s="1712">
        <f t="shared" si="0"/>
        <v>24.999999999999996</v>
      </c>
      <c r="V71" s="2015"/>
    </row>
    <row r="72" spans="1:22" s="1942" customFormat="1" ht="28.5" hidden="1" customHeight="1" outlineLevel="3">
      <c r="A72" s="1944" t="s">
        <v>4011</v>
      </c>
      <c r="B72" s="1978" t="s">
        <v>3446</v>
      </c>
      <c r="C72" s="1810"/>
      <c r="D72" s="2008" t="s">
        <v>3447</v>
      </c>
      <c r="E72" s="2009" t="s">
        <v>3448</v>
      </c>
      <c r="F72" s="1462" t="s">
        <v>3422</v>
      </c>
      <c r="G72" s="1953" t="s">
        <v>4126</v>
      </c>
      <c r="H72" s="1975" t="s">
        <v>10</v>
      </c>
      <c r="I72" s="1712">
        <f t="shared" si="20"/>
        <v>24565.840000000004</v>
      </c>
      <c r="J72" s="1976">
        <v>1</v>
      </c>
      <c r="K72" s="1950" t="s">
        <v>101</v>
      </c>
      <c r="L72" s="1947" t="s">
        <v>10</v>
      </c>
      <c r="M72" s="1754">
        <f t="shared" si="21"/>
        <v>24565.84</v>
      </c>
      <c r="N72" s="2001">
        <v>7</v>
      </c>
      <c r="O72" s="1712">
        <f t="shared" si="22"/>
        <v>17.196088</v>
      </c>
      <c r="P72" s="1712">
        <f t="shared" si="23"/>
        <v>6.19</v>
      </c>
      <c r="Q72" s="1712">
        <f t="shared" si="24"/>
        <v>15.217777</v>
      </c>
      <c r="R72" s="1757">
        <v>0.13</v>
      </c>
      <c r="S72" s="1712">
        <f t="shared" si="25"/>
        <v>1.9783109999999997</v>
      </c>
      <c r="T72" s="1712">
        <f t="shared" si="1"/>
        <v>6.1946902690891079</v>
      </c>
      <c r="U72" s="1712">
        <f t="shared" si="0"/>
        <v>6.9999999999999991</v>
      </c>
      <c r="V72" s="2015"/>
    </row>
    <row r="73" spans="1:22" s="1942" customFormat="1" ht="28.5" hidden="1" customHeight="1" outlineLevel="3">
      <c r="A73" s="1944"/>
      <c r="B73" s="1978" t="s">
        <v>3449</v>
      </c>
      <c r="C73" s="1810"/>
      <c r="D73" s="2008" t="s">
        <v>3450</v>
      </c>
      <c r="E73" s="2009" t="s">
        <v>3451</v>
      </c>
      <c r="F73" s="1462" t="s">
        <v>1307</v>
      </c>
      <c r="G73" s="1953" t="s">
        <v>4131</v>
      </c>
      <c r="H73" s="1947" t="s">
        <v>3926</v>
      </c>
      <c r="I73" s="1712">
        <f>$G$7</f>
        <v>0</v>
      </c>
      <c r="J73" s="1949">
        <v>1</v>
      </c>
      <c r="K73" s="1950" t="s">
        <v>3947</v>
      </c>
      <c r="L73" s="1947" t="s">
        <v>3926</v>
      </c>
      <c r="M73" s="1754">
        <f t="shared" si="21"/>
        <v>0</v>
      </c>
      <c r="N73" s="1712">
        <v>0</v>
      </c>
      <c r="O73" s="1712">
        <f t="shared" si="22"/>
        <v>0</v>
      </c>
      <c r="P73" s="1712">
        <f t="shared" si="23"/>
        <v>0</v>
      </c>
      <c r="Q73" s="1712">
        <f t="shared" si="24"/>
        <v>0</v>
      </c>
      <c r="R73" s="1757">
        <v>0.13</v>
      </c>
      <c r="S73" s="1712">
        <f t="shared" si="25"/>
        <v>0</v>
      </c>
      <c r="T73" s="1712">
        <f t="shared" si="1"/>
        <v>0</v>
      </c>
      <c r="U73" s="1712">
        <f t="shared" si="0"/>
        <v>0</v>
      </c>
      <c r="V73" s="1952"/>
    </row>
    <row r="74" spans="1:22" s="1942" customFormat="1" ht="28.5" hidden="1" customHeight="1" outlineLevel="3">
      <c r="A74" s="1944"/>
      <c r="B74" s="1978" t="s">
        <v>3452</v>
      </c>
      <c r="C74" s="1810"/>
      <c r="D74" s="2008" t="s">
        <v>3453</v>
      </c>
      <c r="E74" s="2009" t="s">
        <v>3454</v>
      </c>
      <c r="F74" s="1462" t="s">
        <v>1329</v>
      </c>
      <c r="G74" s="1953" t="s">
        <v>4132</v>
      </c>
      <c r="H74" s="1947" t="s">
        <v>10</v>
      </c>
      <c r="I74" s="1712">
        <f>$E$5</f>
        <v>24565.840000000004</v>
      </c>
      <c r="J74" s="1976">
        <v>1</v>
      </c>
      <c r="K74" s="1950" t="s">
        <v>101</v>
      </c>
      <c r="L74" s="1947" t="s">
        <v>10</v>
      </c>
      <c r="M74" s="1754">
        <f t="shared" si="21"/>
        <v>24565.84</v>
      </c>
      <c r="N74" s="1756">
        <v>10</v>
      </c>
      <c r="O74" s="1712">
        <f t="shared" si="22"/>
        <v>24.565840000000001</v>
      </c>
      <c r="P74" s="1712">
        <f t="shared" si="23"/>
        <v>8.85</v>
      </c>
      <c r="Q74" s="1712">
        <f t="shared" si="24"/>
        <v>21.739681000000001</v>
      </c>
      <c r="R74" s="1757">
        <v>0.13</v>
      </c>
      <c r="S74" s="1712">
        <f t="shared" si="25"/>
        <v>2.8261590000000005</v>
      </c>
      <c r="T74" s="1712">
        <f t="shared" si="1"/>
        <v>8.8495573528118712</v>
      </c>
      <c r="U74" s="1712">
        <f t="shared" si="0"/>
        <v>10</v>
      </c>
      <c r="V74" s="2015"/>
    </row>
    <row r="75" spans="1:22" s="1942" customFormat="1" ht="28.5" hidden="1" customHeight="1" outlineLevel="3">
      <c r="A75" s="1944"/>
      <c r="B75" s="1978" t="s">
        <v>3455</v>
      </c>
      <c r="C75" s="1810"/>
      <c r="D75" s="2008" t="s">
        <v>3456</v>
      </c>
      <c r="E75" s="2009" t="s">
        <v>3457</v>
      </c>
      <c r="F75" s="1462" t="s">
        <v>3342</v>
      </c>
      <c r="G75" s="1953" t="s">
        <v>4116</v>
      </c>
      <c r="H75" s="1947" t="s">
        <v>107</v>
      </c>
      <c r="I75" s="1948">
        <f>$G$4</f>
        <v>0</v>
      </c>
      <c r="J75" s="1949">
        <v>1</v>
      </c>
      <c r="K75" s="2016" t="s">
        <v>4040</v>
      </c>
      <c r="L75" s="1947" t="s">
        <v>4041</v>
      </c>
      <c r="M75" s="1754">
        <f t="shared" si="21"/>
        <v>0</v>
      </c>
      <c r="N75" s="1712"/>
      <c r="O75" s="1712">
        <f t="shared" si="22"/>
        <v>0</v>
      </c>
      <c r="P75" s="1712">
        <f t="shared" si="23"/>
        <v>0</v>
      </c>
      <c r="Q75" s="1712">
        <f t="shared" si="24"/>
        <v>0</v>
      </c>
      <c r="R75" s="1757">
        <v>0.09</v>
      </c>
      <c r="S75" s="1712">
        <f t="shared" si="25"/>
        <v>0</v>
      </c>
      <c r="T75" s="1712">
        <f t="shared" si="1"/>
        <v>0</v>
      </c>
      <c r="U75" s="1712">
        <f t="shared" si="0"/>
        <v>0</v>
      </c>
      <c r="V75" s="2015"/>
    </row>
    <row r="76" spans="1:22" s="1942" customFormat="1" ht="28.5" hidden="1" customHeight="1" outlineLevel="3">
      <c r="A76" s="1944"/>
      <c r="B76" s="1978" t="s">
        <v>3458</v>
      </c>
      <c r="C76" s="1810"/>
      <c r="D76" s="2008" t="s">
        <v>3459</v>
      </c>
      <c r="E76" s="2009" t="s">
        <v>3460</v>
      </c>
      <c r="F76" s="1462" t="s">
        <v>3342</v>
      </c>
      <c r="G76" s="1953" t="s">
        <v>4116</v>
      </c>
      <c r="H76" s="1975" t="s">
        <v>10</v>
      </c>
      <c r="I76" s="1712">
        <f>$E$5</f>
        <v>24565.840000000004</v>
      </c>
      <c r="J76" s="1976">
        <v>1</v>
      </c>
      <c r="K76" s="1950" t="s">
        <v>101</v>
      </c>
      <c r="L76" s="1947" t="s">
        <v>10</v>
      </c>
      <c r="M76" s="1754">
        <f t="shared" si="21"/>
        <v>24565.84</v>
      </c>
      <c r="N76" s="1756">
        <v>3</v>
      </c>
      <c r="O76" s="1712">
        <f t="shared" si="22"/>
        <v>7.3697520000000001</v>
      </c>
      <c r="P76" s="1712">
        <f t="shared" si="23"/>
        <v>2.75</v>
      </c>
      <c r="Q76" s="1712">
        <f t="shared" si="24"/>
        <v>6.7612399999999999</v>
      </c>
      <c r="R76" s="1757">
        <v>0.09</v>
      </c>
      <c r="S76" s="1712">
        <f t="shared" si="25"/>
        <v>0.60851200000000016</v>
      </c>
      <c r="T76" s="1712">
        <f t="shared" si="1"/>
        <v>2.7522934285984109</v>
      </c>
      <c r="U76" s="1712">
        <f t="shared" si="0"/>
        <v>2.9999999999999996</v>
      </c>
      <c r="V76" s="1952"/>
    </row>
    <row r="77" spans="1:22" s="1942" customFormat="1" ht="28.5" hidden="1" customHeight="1" outlineLevel="2">
      <c r="A77" s="1944"/>
      <c r="B77" s="1978" t="s">
        <v>3461</v>
      </c>
      <c r="C77" s="1810"/>
      <c r="D77" s="2017" t="s">
        <v>667</v>
      </c>
      <c r="E77" s="2009"/>
      <c r="F77" s="1462"/>
      <c r="G77" s="1953" t="s">
        <v>4117</v>
      </c>
      <c r="H77" s="1947"/>
      <c r="I77" s="1948"/>
      <c r="J77" s="1949"/>
      <c r="K77" s="2016"/>
      <c r="L77" s="1947"/>
      <c r="M77" s="1950"/>
      <c r="N77" s="1712"/>
      <c r="O77" s="1712">
        <f>SUBTOTAL(9,O78:O81)</f>
        <v>0</v>
      </c>
      <c r="P77" s="1712"/>
      <c r="Q77" s="1712">
        <f>SUBTOTAL(9,Q78:Q81)</f>
        <v>0</v>
      </c>
      <c r="R77" s="1712"/>
      <c r="S77" s="1712">
        <f>SUBTOTAL(9,S78:S81)</f>
        <v>0</v>
      </c>
      <c r="T77" s="1712">
        <f t="shared" si="1"/>
        <v>0</v>
      </c>
      <c r="U77" s="1712">
        <f t="shared" si="0"/>
        <v>0</v>
      </c>
      <c r="V77" s="2015"/>
    </row>
    <row r="78" spans="1:22" s="1942" customFormat="1" ht="28.5" hidden="1" customHeight="1" outlineLevel="3">
      <c r="A78" s="1944"/>
      <c r="B78" s="1978" t="s">
        <v>3462</v>
      </c>
      <c r="C78" s="1810"/>
      <c r="D78" s="2008" t="s">
        <v>3463</v>
      </c>
      <c r="E78" s="2009" t="s">
        <v>3464</v>
      </c>
      <c r="F78" s="1462"/>
      <c r="G78" s="1953" t="s">
        <v>4117</v>
      </c>
      <c r="H78" s="1975"/>
      <c r="I78" s="1712"/>
      <c r="J78" s="1949">
        <v>1</v>
      </c>
      <c r="K78" s="1950"/>
      <c r="L78" s="1947"/>
      <c r="M78" s="1754"/>
      <c r="N78" s="1712"/>
      <c r="O78" s="1712">
        <f>SUBTOTAL(9,O79:O80)</f>
        <v>0</v>
      </c>
      <c r="P78" s="1983"/>
      <c r="Q78" s="1712">
        <f>SUBTOTAL(9,Q79:Q80)</f>
        <v>0</v>
      </c>
      <c r="R78" s="1757"/>
      <c r="S78" s="1712">
        <f>SUBTOTAL(9,S79:S80)</f>
        <v>0</v>
      </c>
      <c r="T78" s="1712">
        <f t="shared" si="1"/>
        <v>0</v>
      </c>
      <c r="U78" s="1712">
        <f t="shared" si="0"/>
        <v>0</v>
      </c>
      <c r="V78" s="1952"/>
    </row>
    <row r="79" spans="1:22" s="1942" customFormat="1" ht="28.5" hidden="1" customHeight="1" outlineLevel="4">
      <c r="A79" s="1944"/>
      <c r="B79" s="1985" t="s">
        <v>4042</v>
      </c>
      <c r="C79" s="1828"/>
      <c r="D79" s="2018" t="s">
        <v>4043</v>
      </c>
      <c r="E79" s="2011"/>
      <c r="F79" s="1988" t="s">
        <v>1502</v>
      </c>
      <c r="G79" s="1989" t="s">
        <v>4133</v>
      </c>
      <c r="H79" s="2012" t="s">
        <v>10</v>
      </c>
      <c r="I79" s="1991">
        <f>$E$5</f>
        <v>24565.840000000004</v>
      </c>
      <c r="J79" s="2014">
        <v>1</v>
      </c>
      <c r="K79" s="2000" t="s">
        <v>101</v>
      </c>
      <c r="L79" s="1990" t="s">
        <v>10</v>
      </c>
      <c r="M79" s="1991">
        <f t="shared" ref="M79:M89" si="26">ROUND(I79,2)*ROUND(J79,4)</f>
        <v>24565.84</v>
      </c>
      <c r="N79" s="1991"/>
      <c r="O79" s="1991">
        <f>ROUND(M79*ROUND(N79,2)/10000,6)</f>
        <v>0</v>
      </c>
      <c r="P79" s="1991">
        <f>IFERROR(ROUND(Q79*10000/M79,2),0)</f>
        <v>0</v>
      </c>
      <c r="Q79" s="1991">
        <f>ROUND(O79/(1+R79),6)</f>
        <v>0</v>
      </c>
      <c r="R79" s="1993">
        <v>0.09</v>
      </c>
      <c r="S79" s="1991">
        <f>O79-Q79</f>
        <v>0</v>
      </c>
      <c r="T79" s="1991">
        <f t="shared" si="1"/>
        <v>0</v>
      </c>
      <c r="U79" s="1991">
        <f t="shared" si="0"/>
        <v>0</v>
      </c>
      <c r="V79" s="1994"/>
    </row>
    <row r="80" spans="1:22" s="1942" customFormat="1" ht="28.5" hidden="1" customHeight="1" outlineLevel="4">
      <c r="A80" s="1944"/>
      <c r="B80" s="1985" t="s">
        <v>4044</v>
      </c>
      <c r="C80" s="1828"/>
      <c r="D80" s="2018" t="s">
        <v>4045</v>
      </c>
      <c r="E80" s="2011"/>
      <c r="F80" s="1988" t="s">
        <v>1505</v>
      </c>
      <c r="G80" s="1989" t="s">
        <v>4134</v>
      </c>
      <c r="H80" s="2012" t="s">
        <v>3926</v>
      </c>
      <c r="I80" s="1991">
        <f>$G$7</f>
        <v>0</v>
      </c>
      <c r="J80" s="2014">
        <v>1</v>
      </c>
      <c r="K80" s="2000" t="s">
        <v>3947</v>
      </c>
      <c r="L80" s="1990" t="s">
        <v>3926</v>
      </c>
      <c r="M80" s="1991">
        <f t="shared" si="26"/>
        <v>0</v>
      </c>
      <c r="N80" s="1991"/>
      <c r="O80" s="1991">
        <f>ROUND(M80*ROUND(N80,2)/10000,6)</f>
        <v>0</v>
      </c>
      <c r="P80" s="1991">
        <f>IFERROR(ROUND(Q80*10000/M80,2),0)</f>
        <v>0</v>
      </c>
      <c r="Q80" s="1991">
        <f>ROUND(O80/(1+R80),6)</f>
        <v>0</v>
      </c>
      <c r="R80" s="1993">
        <v>0</v>
      </c>
      <c r="S80" s="1991">
        <f>O80-Q80</f>
        <v>0</v>
      </c>
      <c r="T80" s="1991">
        <f t="shared" si="1"/>
        <v>0</v>
      </c>
      <c r="U80" s="1991">
        <f t="shared" si="0"/>
        <v>0</v>
      </c>
      <c r="V80" s="1994"/>
    </row>
    <row r="81" spans="1:22" s="1942" customFormat="1" ht="28.5" hidden="1" customHeight="1" outlineLevel="3">
      <c r="A81" s="1944"/>
      <c r="B81" s="1978" t="s">
        <v>3465</v>
      </c>
      <c r="C81" s="1810"/>
      <c r="D81" s="2008" t="s">
        <v>3466</v>
      </c>
      <c r="E81" s="2009" t="s">
        <v>3467</v>
      </c>
      <c r="F81" s="1462" t="s">
        <v>1502</v>
      </c>
      <c r="G81" s="1953" t="s">
        <v>4133</v>
      </c>
      <c r="H81" s="1975" t="s">
        <v>10</v>
      </c>
      <c r="I81" s="1712">
        <f>$E$5</f>
        <v>24565.840000000004</v>
      </c>
      <c r="J81" s="1949">
        <v>0</v>
      </c>
      <c r="K81" s="1950" t="s">
        <v>101</v>
      </c>
      <c r="L81" s="1947" t="s">
        <v>10</v>
      </c>
      <c r="M81" s="1754">
        <f t="shared" si="26"/>
        <v>0</v>
      </c>
      <c r="N81" s="1712"/>
      <c r="O81" s="1712">
        <f>ROUND(M81*ROUND(N81,2)/10000,6)</f>
        <v>0</v>
      </c>
      <c r="P81" s="1712">
        <f>IFERROR(ROUND(Q81*10000/M81,2),0)</f>
        <v>0</v>
      </c>
      <c r="Q81" s="1712">
        <f>ROUND(O81/(1+R81),6)</f>
        <v>0</v>
      </c>
      <c r="R81" s="1757">
        <v>0.09</v>
      </c>
      <c r="S81" s="1712">
        <f>O81-Q81</f>
        <v>0</v>
      </c>
      <c r="T81" s="1712">
        <f t="shared" si="1"/>
        <v>0</v>
      </c>
      <c r="U81" s="1712">
        <f t="shared" ref="U81:U144" si="27">IFERROR(O81*10000/$E$6,"")</f>
        <v>0</v>
      </c>
      <c r="V81" s="1952"/>
    </row>
    <row r="82" spans="1:22" s="1942" customFormat="1" ht="28.5" hidden="1" customHeight="1" outlineLevel="2">
      <c r="A82" s="1944"/>
      <c r="B82" s="1978" t="s">
        <v>3468</v>
      </c>
      <c r="C82" s="1810"/>
      <c r="D82" s="2008" t="s">
        <v>668</v>
      </c>
      <c r="E82" s="2009" t="s">
        <v>3469</v>
      </c>
      <c r="F82" s="1462" t="s">
        <v>3470</v>
      </c>
      <c r="G82" s="1953" t="s">
        <v>4135</v>
      </c>
      <c r="H82" s="1975" t="s">
        <v>3926</v>
      </c>
      <c r="I82" s="1712">
        <f>$G$7</f>
        <v>0</v>
      </c>
      <c r="J82" s="1949">
        <v>1</v>
      </c>
      <c r="K82" s="1950" t="s">
        <v>3947</v>
      </c>
      <c r="L82" s="1947" t="s">
        <v>3926</v>
      </c>
      <c r="M82" s="1754">
        <f t="shared" si="26"/>
        <v>0</v>
      </c>
      <c r="N82" s="1712"/>
      <c r="O82" s="1712">
        <f>ROUND(M82*ROUND(N82,2)/10000,6)</f>
        <v>0</v>
      </c>
      <c r="P82" s="1712">
        <f>IFERROR(ROUND(Q82*10000/M82,2),0)</f>
        <v>0</v>
      </c>
      <c r="Q82" s="1712">
        <f>ROUND(O82/(1+R82),6)</f>
        <v>0</v>
      </c>
      <c r="R82" s="1757">
        <v>0.13</v>
      </c>
      <c r="S82" s="1712">
        <f>O82-Q82</f>
        <v>0</v>
      </c>
      <c r="T82" s="1712">
        <f t="shared" ref="T82:T145" si="28">IFERROR(Q82*10000/$E$6,"")</f>
        <v>0</v>
      </c>
      <c r="U82" s="1712">
        <f t="shared" si="27"/>
        <v>0</v>
      </c>
      <c r="V82" s="1952"/>
    </row>
    <row r="83" spans="1:22" s="1942" customFormat="1" ht="28.5" hidden="1" customHeight="1" outlineLevel="2">
      <c r="A83" s="1944"/>
      <c r="B83" s="1978" t="s">
        <v>3471</v>
      </c>
      <c r="C83" s="1810"/>
      <c r="D83" s="2008" t="s">
        <v>3472</v>
      </c>
      <c r="E83" s="2009"/>
      <c r="F83" s="1462"/>
      <c r="G83" s="1953" t="s">
        <v>4117</v>
      </c>
      <c r="H83" s="1947"/>
      <c r="I83" s="1948"/>
      <c r="J83" s="1949"/>
      <c r="K83" s="2016"/>
      <c r="L83" s="1947"/>
      <c r="M83" s="1754"/>
      <c r="N83" s="1712"/>
      <c r="O83" s="1712">
        <f>SUBTOTAL(9,O84:O87)</f>
        <v>0</v>
      </c>
      <c r="P83" s="1712"/>
      <c r="Q83" s="1712">
        <f>SUBTOTAL(9,Q84:Q87)</f>
        <v>0</v>
      </c>
      <c r="R83" s="1712"/>
      <c r="S83" s="1712">
        <f>SUBTOTAL(9,S84:S87)</f>
        <v>0</v>
      </c>
      <c r="T83" s="1712">
        <f t="shared" si="28"/>
        <v>0</v>
      </c>
      <c r="U83" s="1712">
        <f t="shared" si="27"/>
        <v>0</v>
      </c>
      <c r="V83" s="2015"/>
    </row>
    <row r="84" spans="1:22" s="1942" customFormat="1" ht="28.5" hidden="1" customHeight="1" outlineLevel="3">
      <c r="A84" s="1944"/>
      <c r="B84" s="1978" t="s">
        <v>3473</v>
      </c>
      <c r="C84" s="1810"/>
      <c r="D84" s="2008" t="s">
        <v>3474</v>
      </c>
      <c r="E84" s="2009" t="s">
        <v>3475</v>
      </c>
      <c r="F84" s="1462" t="s">
        <v>456</v>
      </c>
      <c r="G84" s="1953" t="s">
        <v>4136</v>
      </c>
      <c r="H84" s="1947" t="s">
        <v>18</v>
      </c>
      <c r="I84" s="1948">
        <f>$G$5</f>
        <v>0</v>
      </c>
      <c r="J84" s="1949">
        <v>1</v>
      </c>
      <c r="K84" s="2016" t="s">
        <v>4046</v>
      </c>
      <c r="L84" s="1947" t="s">
        <v>4047</v>
      </c>
      <c r="M84" s="1754">
        <f t="shared" si="26"/>
        <v>0</v>
      </c>
      <c r="N84" s="1712"/>
      <c r="O84" s="1712">
        <f>ROUND(M84*ROUND(N84,2)/10000,6)</f>
        <v>0</v>
      </c>
      <c r="P84" s="1712">
        <f>IFERROR(ROUND(Q84*10000/M84,2),0)</f>
        <v>0</v>
      </c>
      <c r="Q84" s="1712">
        <f>ROUND(O84/(1+R84),6)</f>
        <v>0</v>
      </c>
      <c r="R84" s="1757">
        <v>0.13</v>
      </c>
      <c r="S84" s="1712">
        <f>O84-Q84</f>
        <v>0</v>
      </c>
      <c r="T84" s="1712">
        <f t="shared" si="28"/>
        <v>0</v>
      </c>
      <c r="U84" s="1712">
        <f t="shared" si="27"/>
        <v>0</v>
      </c>
      <c r="V84" s="1952"/>
    </row>
    <row r="85" spans="1:22" s="1942" customFormat="1" ht="28.5" hidden="1" customHeight="1" outlineLevel="3">
      <c r="A85" s="1944"/>
      <c r="B85" s="1978" t="s">
        <v>3476</v>
      </c>
      <c r="C85" s="1810"/>
      <c r="D85" s="2008" t="s">
        <v>3477</v>
      </c>
      <c r="E85" s="2009" t="s">
        <v>3478</v>
      </c>
      <c r="F85" s="1462" t="s">
        <v>460</v>
      </c>
      <c r="G85" s="1953" t="s">
        <v>4137</v>
      </c>
      <c r="H85" s="1947" t="s">
        <v>18</v>
      </c>
      <c r="I85" s="1948">
        <f>$G$5</f>
        <v>0</v>
      </c>
      <c r="J85" s="1949">
        <v>1</v>
      </c>
      <c r="K85" s="2016" t="s">
        <v>4046</v>
      </c>
      <c r="L85" s="1947" t="s">
        <v>4047</v>
      </c>
      <c r="M85" s="1754">
        <f t="shared" si="26"/>
        <v>0</v>
      </c>
      <c r="N85" s="1712"/>
      <c r="O85" s="1712">
        <f>ROUND(M85*ROUND(N85,2)/10000,6)</f>
        <v>0</v>
      </c>
      <c r="P85" s="1712">
        <f>IFERROR(ROUND(Q85*10000/M85,2),0)</f>
        <v>0</v>
      </c>
      <c r="Q85" s="1712">
        <f>ROUND(O85/(1+R85),6)</f>
        <v>0</v>
      </c>
      <c r="R85" s="1757">
        <v>0.09</v>
      </c>
      <c r="S85" s="1712">
        <f>O85-Q85</f>
        <v>0</v>
      </c>
      <c r="T85" s="1712">
        <f t="shared" si="28"/>
        <v>0</v>
      </c>
      <c r="U85" s="1712">
        <f t="shared" si="27"/>
        <v>0</v>
      </c>
      <c r="V85" s="1952"/>
    </row>
    <row r="86" spans="1:22" s="1942" customFormat="1" ht="28.5" hidden="1" customHeight="1" outlineLevel="3">
      <c r="A86" s="1944"/>
      <c r="B86" s="1978" t="s">
        <v>3479</v>
      </c>
      <c r="C86" s="1810"/>
      <c r="D86" s="2008" t="s">
        <v>3480</v>
      </c>
      <c r="E86" s="2009" t="s">
        <v>3481</v>
      </c>
      <c r="F86" s="1462" t="s">
        <v>456</v>
      </c>
      <c r="G86" s="1953" t="s">
        <v>4136</v>
      </c>
      <c r="H86" s="1975" t="s">
        <v>3969</v>
      </c>
      <c r="I86" s="1948"/>
      <c r="J86" s="1949">
        <v>0</v>
      </c>
      <c r="K86" s="2016" t="s">
        <v>3974</v>
      </c>
      <c r="L86" s="1947" t="s">
        <v>4048</v>
      </c>
      <c r="M86" s="1754">
        <f t="shared" si="26"/>
        <v>0</v>
      </c>
      <c r="N86" s="1712"/>
      <c r="O86" s="1712">
        <f>ROUND(M86*ROUND(N86,2)/10000,6)</f>
        <v>0</v>
      </c>
      <c r="P86" s="1712">
        <f>IFERROR(ROUND(Q86*10000/M86,2),0)</f>
        <v>0</v>
      </c>
      <c r="Q86" s="1712">
        <f>ROUND(O86/(1+R86),6)</f>
        <v>0</v>
      </c>
      <c r="R86" s="1757">
        <v>0.13</v>
      </c>
      <c r="S86" s="1712">
        <f>O86-Q86</f>
        <v>0</v>
      </c>
      <c r="T86" s="1712">
        <f t="shared" si="28"/>
        <v>0</v>
      </c>
      <c r="U86" s="1712">
        <f t="shared" si="27"/>
        <v>0</v>
      </c>
      <c r="V86" s="2015"/>
    </row>
    <row r="87" spans="1:22" s="1942" customFormat="1" ht="28.5" hidden="1" customHeight="1" outlineLevel="3">
      <c r="A87" s="1944"/>
      <c r="B87" s="1978" t="s">
        <v>3482</v>
      </c>
      <c r="C87" s="1810"/>
      <c r="D87" s="2008" t="s">
        <v>1682</v>
      </c>
      <c r="E87" s="2009" t="s">
        <v>3483</v>
      </c>
      <c r="F87" s="1462" t="s">
        <v>460</v>
      </c>
      <c r="G87" s="1953" t="s">
        <v>4137</v>
      </c>
      <c r="H87" s="1975" t="s">
        <v>3969</v>
      </c>
      <c r="I87" s="1948"/>
      <c r="J87" s="1949">
        <v>0</v>
      </c>
      <c r="K87" s="2016" t="s">
        <v>3974</v>
      </c>
      <c r="L87" s="1947" t="s">
        <v>4048</v>
      </c>
      <c r="M87" s="1754">
        <f t="shared" si="26"/>
        <v>0</v>
      </c>
      <c r="N87" s="1712"/>
      <c r="O87" s="1712">
        <f>ROUND(M87*ROUND(N87,2)/10000,6)</f>
        <v>0</v>
      </c>
      <c r="P87" s="1712">
        <f>IFERROR(ROUND(Q87*10000/M87,2),0)</f>
        <v>0</v>
      </c>
      <c r="Q87" s="1712">
        <f>ROUND(O87/(1+R87),6)</f>
        <v>0</v>
      </c>
      <c r="R87" s="1757">
        <v>0.09</v>
      </c>
      <c r="S87" s="1712">
        <f>O87-Q87</f>
        <v>0</v>
      </c>
      <c r="T87" s="1712">
        <f t="shared" si="28"/>
        <v>0</v>
      </c>
      <c r="U87" s="1712">
        <f t="shared" si="27"/>
        <v>0</v>
      </c>
      <c r="V87" s="2015"/>
    </row>
    <row r="88" spans="1:22" s="1942" customFormat="1" ht="28.5" hidden="1" customHeight="1" outlineLevel="2">
      <c r="A88" s="1944"/>
      <c r="B88" s="1978" t="s">
        <v>3484</v>
      </c>
      <c r="C88" s="1810"/>
      <c r="D88" s="2008" t="s">
        <v>3485</v>
      </c>
      <c r="E88" s="2009"/>
      <c r="F88" s="1462"/>
      <c r="G88" s="1953" t="s">
        <v>4117</v>
      </c>
      <c r="H88" s="1947"/>
      <c r="I88" s="1948"/>
      <c r="J88" s="1949"/>
      <c r="K88" s="2016"/>
      <c r="L88" s="1947"/>
      <c r="M88" s="1950"/>
      <c r="N88" s="1712"/>
      <c r="O88" s="1712">
        <f>SUBTOTAL(9,O89:O99)</f>
        <v>343.92175999999995</v>
      </c>
      <c r="P88" s="1712"/>
      <c r="Q88" s="1712">
        <f>SUBTOTAL(9,Q89:Q99)</f>
        <v>313.92897799999997</v>
      </c>
      <c r="R88" s="1712"/>
      <c r="S88" s="1712">
        <f>SUBTOTAL(9,S89:S99)</f>
        <v>29.992782000000005</v>
      </c>
      <c r="T88" s="1712">
        <f t="shared" si="28"/>
        <v>127.79085836266944</v>
      </c>
      <c r="U88" s="1712">
        <f t="shared" si="27"/>
        <v>139.99999999999997</v>
      </c>
      <c r="V88" s="2015"/>
    </row>
    <row r="89" spans="1:22" s="1942" customFormat="1" ht="28.5" hidden="1" customHeight="1" outlineLevel="3">
      <c r="A89" s="1944"/>
      <c r="B89" s="1978" t="s">
        <v>3486</v>
      </c>
      <c r="C89" s="1810"/>
      <c r="D89" s="2017" t="s">
        <v>3487</v>
      </c>
      <c r="E89" s="2009" t="s">
        <v>3488</v>
      </c>
      <c r="F89" s="1462" t="s">
        <v>455</v>
      </c>
      <c r="G89" s="1953" t="s">
        <v>4128</v>
      </c>
      <c r="H89" s="1975" t="s">
        <v>10</v>
      </c>
      <c r="I89" s="1712">
        <f>$E$5</f>
        <v>24565.840000000004</v>
      </c>
      <c r="J89" s="1976">
        <v>1</v>
      </c>
      <c r="K89" s="1950" t="s">
        <v>101</v>
      </c>
      <c r="L89" s="1947" t="s">
        <v>10</v>
      </c>
      <c r="M89" s="1754">
        <f t="shared" si="26"/>
        <v>24565.84</v>
      </c>
      <c r="N89" s="1756">
        <v>73.5</v>
      </c>
      <c r="O89" s="1712">
        <f>ROUND(M89*ROUND(N89,2)/10000,6)</f>
        <v>180.55892399999999</v>
      </c>
      <c r="P89" s="1712">
        <f>IFERROR(ROUND(Q89*10000/M89,2),0)</f>
        <v>67.430000000000007</v>
      </c>
      <c r="Q89" s="1712">
        <f>ROUND(O89/(1+R89),6)</f>
        <v>165.65038899999999</v>
      </c>
      <c r="R89" s="1757">
        <v>0.09</v>
      </c>
      <c r="S89" s="1712">
        <f>O89-Q89</f>
        <v>14.908535000000001</v>
      </c>
      <c r="T89" s="1712">
        <f t="shared" si="28"/>
        <v>67.431192664285021</v>
      </c>
      <c r="U89" s="1712">
        <f t="shared" si="27"/>
        <v>73.499999999999986</v>
      </c>
      <c r="V89" s="1952"/>
    </row>
    <row r="90" spans="1:22" s="1942" customFormat="1" ht="28.5" hidden="1" customHeight="1" outlineLevel="3">
      <c r="A90" s="1944"/>
      <c r="B90" s="1978" t="s">
        <v>3489</v>
      </c>
      <c r="C90" s="1810"/>
      <c r="D90" s="2017" t="s">
        <v>3490</v>
      </c>
      <c r="E90" s="2009" t="s">
        <v>3491</v>
      </c>
      <c r="F90" s="1462"/>
      <c r="G90" s="1953" t="s">
        <v>4117</v>
      </c>
      <c r="H90" s="1975"/>
      <c r="I90" s="1712"/>
      <c r="J90" s="1949"/>
      <c r="K90" s="1950"/>
      <c r="L90" s="1947" t="s">
        <v>10</v>
      </c>
      <c r="M90" s="1754"/>
      <c r="N90" s="1712"/>
      <c r="O90" s="1712">
        <f>SUBTOTAL(9,O91:O92)</f>
        <v>147.39503999999999</v>
      </c>
      <c r="P90" s="1983"/>
      <c r="Q90" s="1712">
        <f>SUBTOTAL(9,Q91:Q92)</f>
        <v>133.62923499999999</v>
      </c>
      <c r="R90" s="1757"/>
      <c r="S90" s="1712">
        <f>SUBTOTAL(9,S91:S92)</f>
        <v>13.765805000000007</v>
      </c>
      <c r="T90" s="1712">
        <f t="shared" si="28"/>
        <v>54.396362998374968</v>
      </c>
      <c r="U90" s="1712">
        <f t="shared" si="27"/>
        <v>59.999999999999986</v>
      </c>
      <c r="V90" s="1952"/>
    </row>
    <row r="91" spans="1:22" s="1942" customFormat="1" ht="28.5" hidden="1" customHeight="1" outlineLevel="4">
      <c r="A91" s="1944"/>
      <c r="B91" s="1985" t="s">
        <v>4049</v>
      </c>
      <c r="C91" s="1828"/>
      <c r="D91" s="2018" t="s">
        <v>4050</v>
      </c>
      <c r="E91" s="2011"/>
      <c r="F91" s="1988" t="s">
        <v>455</v>
      </c>
      <c r="G91" s="1989" t="s">
        <v>4128</v>
      </c>
      <c r="H91" s="2012" t="s">
        <v>10</v>
      </c>
      <c r="I91" s="1991">
        <f>$E$5</f>
        <v>24565.840000000004</v>
      </c>
      <c r="J91" s="1976">
        <v>1</v>
      </c>
      <c r="K91" s="2000" t="s">
        <v>101</v>
      </c>
      <c r="L91" s="1990" t="s">
        <v>10</v>
      </c>
      <c r="M91" s="1991">
        <f t="shared" ref="M91:M100" si="29">ROUND(I91,2)*ROUND(J91,4)</f>
        <v>24565.84</v>
      </c>
      <c r="N91" s="1756">
        <v>40</v>
      </c>
      <c r="O91" s="1991">
        <f t="shared" ref="O91:O100" si="30">ROUND(M91*ROUND(N91,2)/10000,6)</f>
        <v>98.263360000000006</v>
      </c>
      <c r="P91" s="1991">
        <f t="shared" ref="P91:P100" si="31">IFERROR(ROUND(Q91*10000/M91,2),0)</f>
        <v>36.700000000000003</v>
      </c>
      <c r="Q91" s="1991">
        <f t="shared" ref="Q91:Q100" si="32">ROUND(O91/(1+R91),6)</f>
        <v>90.149872000000002</v>
      </c>
      <c r="R91" s="1993">
        <v>0.09</v>
      </c>
      <c r="S91" s="1991">
        <f t="shared" ref="S91:S100" si="33">O91-Q91</f>
        <v>8.1134880000000038</v>
      </c>
      <c r="T91" s="1991">
        <f t="shared" si="28"/>
        <v>36.697247885681897</v>
      </c>
      <c r="U91" s="1991">
        <f t="shared" si="27"/>
        <v>40</v>
      </c>
      <c r="V91" s="1994"/>
    </row>
    <row r="92" spans="1:22" s="1942" customFormat="1" ht="28.5" hidden="1" customHeight="1" outlineLevel="4">
      <c r="A92" s="1944"/>
      <c r="B92" s="1985" t="s">
        <v>4051</v>
      </c>
      <c r="C92" s="1828"/>
      <c r="D92" s="2018" t="s">
        <v>4052</v>
      </c>
      <c r="E92" s="2011"/>
      <c r="F92" s="1988" t="s">
        <v>3831</v>
      </c>
      <c r="G92" s="1989" t="s">
        <v>4138</v>
      </c>
      <c r="H92" s="2012" t="s">
        <v>10</v>
      </c>
      <c r="I92" s="1991">
        <f>$E$5</f>
        <v>24565.840000000004</v>
      </c>
      <c r="J92" s="1976">
        <v>1</v>
      </c>
      <c r="K92" s="2000" t="s">
        <v>101</v>
      </c>
      <c r="L92" s="1990" t="s">
        <v>10</v>
      </c>
      <c r="M92" s="1991">
        <f t="shared" si="29"/>
        <v>24565.84</v>
      </c>
      <c r="N92" s="1756">
        <v>20</v>
      </c>
      <c r="O92" s="1991">
        <f t="shared" si="30"/>
        <v>49.131680000000003</v>
      </c>
      <c r="P92" s="1991">
        <f t="shared" si="31"/>
        <v>17.7</v>
      </c>
      <c r="Q92" s="1991">
        <f t="shared" si="32"/>
        <v>43.479362999999999</v>
      </c>
      <c r="R92" s="1993">
        <v>0.13</v>
      </c>
      <c r="S92" s="1991">
        <f t="shared" si="33"/>
        <v>5.6523170000000036</v>
      </c>
      <c r="T92" s="1991">
        <f t="shared" si="28"/>
        <v>17.699115112693072</v>
      </c>
      <c r="U92" s="1991">
        <f t="shared" si="27"/>
        <v>20</v>
      </c>
      <c r="V92" s="1994"/>
    </row>
    <row r="93" spans="1:22" s="1942" customFormat="1" ht="28.5" hidden="1" customHeight="1" outlineLevel="3">
      <c r="A93" s="1944"/>
      <c r="B93" s="1978" t="s">
        <v>3492</v>
      </c>
      <c r="C93" s="1810"/>
      <c r="D93" s="2017" t="s">
        <v>3493</v>
      </c>
      <c r="E93" s="2009" t="s">
        <v>3494</v>
      </c>
      <c r="F93" s="1462" t="s">
        <v>455</v>
      </c>
      <c r="G93" s="1953" t="s">
        <v>4128</v>
      </c>
      <c r="H93" s="1975" t="s">
        <v>10</v>
      </c>
      <c r="I93" s="1712">
        <f>$E$5</f>
        <v>24565.840000000004</v>
      </c>
      <c r="J93" s="1976">
        <v>1</v>
      </c>
      <c r="K93" s="1950" t="s">
        <v>101</v>
      </c>
      <c r="L93" s="1947" t="s">
        <v>10</v>
      </c>
      <c r="M93" s="1754">
        <f t="shared" si="29"/>
        <v>24565.84</v>
      </c>
      <c r="N93" s="1756">
        <v>1</v>
      </c>
      <c r="O93" s="1712">
        <f t="shared" si="30"/>
        <v>2.4565839999999999</v>
      </c>
      <c r="P93" s="1712">
        <f t="shared" si="31"/>
        <v>0.92</v>
      </c>
      <c r="Q93" s="1712">
        <f t="shared" si="32"/>
        <v>2.2537470000000002</v>
      </c>
      <c r="R93" s="1757">
        <v>0.09</v>
      </c>
      <c r="S93" s="1712">
        <f t="shared" si="33"/>
        <v>0.20283699999999971</v>
      </c>
      <c r="T93" s="1712">
        <f t="shared" si="28"/>
        <v>0.91743127855591333</v>
      </c>
      <c r="U93" s="1712">
        <f t="shared" si="27"/>
        <v>0.99999999999999989</v>
      </c>
      <c r="V93" s="1952"/>
    </row>
    <row r="94" spans="1:22" s="1942" customFormat="1" ht="28.5" hidden="1" customHeight="1" outlineLevel="3">
      <c r="A94" s="1944"/>
      <c r="B94" s="1978" t="s">
        <v>3495</v>
      </c>
      <c r="C94" s="1810"/>
      <c r="D94" s="2017" t="s">
        <v>3496</v>
      </c>
      <c r="E94" s="2009" t="s">
        <v>3497</v>
      </c>
      <c r="F94" s="1462" t="s">
        <v>455</v>
      </c>
      <c r="G94" s="1953" t="s">
        <v>4128</v>
      </c>
      <c r="H94" s="1975" t="s">
        <v>10</v>
      </c>
      <c r="I94" s="1712">
        <f t="shared" ref="I94:I105" si="34">$E$5</f>
        <v>24565.840000000004</v>
      </c>
      <c r="J94" s="1976">
        <v>1</v>
      </c>
      <c r="K94" s="1950" t="s">
        <v>101</v>
      </c>
      <c r="L94" s="1947" t="s">
        <v>10</v>
      </c>
      <c r="M94" s="1754">
        <f t="shared" si="29"/>
        <v>24565.84</v>
      </c>
      <c r="N94" s="1756">
        <v>1.5</v>
      </c>
      <c r="O94" s="1712">
        <f t="shared" si="30"/>
        <v>3.684876</v>
      </c>
      <c r="P94" s="1712">
        <f t="shared" si="31"/>
        <v>1.38</v>
      </c>
      <c r="Q94" s="1712">
        <f t="shared" si="32"/>
        <v>3.38062</v>
      </c>
      <c r="R94" s="1757">
        <v>0.09</v>
      </c>
      <c r="S94" s="1712">
        <f t="shared" si="33"/>
        <v>0.30425600000000008</v>
      </c>
      <c r="T94" s="1712">
        <f t="shared" si="28"/>
        <v>1.3761467142992054</v>
      </c>
      <c r="U94" s="1712">
        <f t="shared" si="27"/>
        <v>1.4999999999999998</v>
      </c>
      <c r="V94" s="1952"/>
    </row>
    <row r="95" spans="1:22" s="1942" customFormat="1" ht="28.5" hidden="1" customHeight="1" outlineLevel="3">
      <c r="A95" s="1944"/>
      <c r="B95" s="1978" t="s">
        <v>3498</v>
      </c>
      <c r="C95" s="1810"/>
      <c r="D95" s="2017" t="s">
        <v>3499</v>
      </c>
      <c r="E95" s="2009" t="s">
        <v>3500</v>
      </c>
      <c r="F95" s="1462" t="s">
        <v>455</v>
      </c>
      <c r="G95" s="1953" t="s">
        <v>4128</v>
      </c>
      <c r="H95" s="1975" t="s">
        <v>10</v>
      </c>
      <c r="I95" s="1712">
        <f t="shared" si="34"/>
        <v>24565.840000000004</v>
      </c>
      <c r="J95" s="1976">
        <v>1</v>
      </c>
      <c r="K95" s="1950" t="s">
        <v>101</v>
      </c>
      <c r="L95" s="1947" t="s">
        <v>10</v>
      </c>
      <c r="M95" s="1754">
        <f t="shared" si="29"/>
        <v>24565.84</v>
      </c>
      <c r="N95" s="1756">
        <v>2.5</v>
      </c>
      <c r="O95" s="1712">
        <f t="shared" si="30"/>
        <v>6.1414600000000004</v>
      </c>
      <c r="P95" s="1712">
        <f t="shared" si="31"/>
        <v>2.29</v>
      </c>
      <c r="Q95" s="1712">
        <f t="shared" si="32"/>
        <v>5.6343670000000001</v>
      </c>
      <c r="R95" s="1757">
        <v>0.09</v>
      </c>
      <c r="S95" s="1712">
        <f t="shared" si="33"/>
        <v>0.50709300000000024</v>
      </c>
      <c r="T95" s="1712">
        <f t="shared" si="28"/>
        <v>2.2935779928551185</v>
      </c>
      <c r="U95" s="1712">
        <f t="shared" si="27"/>
        <v>2.5</v>
      </c>
      <c r="V95" s="1952"/>
    </row>
    <row r="96" spans="1:22" s="1942" customFormat="1" ht="28.5" hidden="1" customHeight="1" outlineLevel="3">
      <c r="A96" s="1944"/>
      <c r="B96" s="1978" t="s">
        <v>3501</v>
      </c>
      <c r="C96" s="1810"/>
      <c r="D96" s="2017" t="s">
        <v>3502</v>
      </c>
      <c r="E96" s="2009" t="s">
        <v>3503</v>
      </c>
      <c r="F96" s="1462" t="s">
        <v>455</v>
      </c>
      <c r="G96" s="1953" t="s">
        <v>4128</v>
      </c>
      <c r="H96" s="1975" t="s">
        <v>10</v>
      </c>
      <c r="I96" s="1712">
        <f t="shared" si="34"/>
        <v>24565.840000000004</v>
      </c>
      <c r="J96" s="1949">
        <v>1</v>
      </c>
      <c r="K96" s="1950" t="s">
        <v>101</v>
      </c>
      <c r="L96" s="1947" t="s">
        <v>10</v>
      </c>
      <c r="M96" s="1754">
        <f t="shared" si="29"/>
        <v>24565.84</v>
      </c>
      <c r="N96" s="1712"/>
      <c r="O96" s="1712">
        <f t="shared" si="30"/>
        <v>0</v>
      </c>
      <c r="P96" s="1712">
        <f t="shared" si="31"/>
        <v>0</v>
      </c>
      <c r="Q96" s="1712">
        <f t="shared" si="32"/>
        <v>0</v>
      </c>
      <c r="R96" s="1757">
        <v>0.09</v>
      </c>
      <c r="S96" s="1712">
        <f t="shared" si="33"/>
        <v>0</v>
      </c>
      <c r="T96" s="1712">
        <f t="shared" si="28"/>
        <v>0</v>
      </c>
      <c r="U96" s="1712">
        <f t="shared" si="27"/>
        <v>0</v>
      </c>
      <c r="V96" s="2015"/>
    </row>
    <row r="97" spans="1:22" s="1942" customFormat="1" ht="28.5" hidden="1" customHeight="1" outlineLevel="3">
      <c r="A97" s="1944"/>
      <c r="B97" s="1978" t="s">
        <v>3504</v>
      </c>
      <c r="C97" s="1810"/>
      <c r="D97" s="2017" t="s">
        <v>3505</v>
      </c>
      <c r="E97" s="2009" t="s">
        <v>3506</v>
      </c>
      <c r="F97" s="1462" t="s">
        <v>455</v>
      </c>
      <c r="G97" s="1953" t="s">
        <v>4128</v>
      </c>
      <c r="H97" s="1975" t="s">
        <v>10</v>
      </c>
      <c r="I97" s="1712">
        <f t="shared" si="34"/>
        <v>24565.840000000004</v>
      </c>
      <c r="J97" s="1949">
        <v>1</v>
      </c>
      <c r="K97" s="1950" t="s">
        <v>101</v>
      </c>
      <c r="L97" s="1947" t="s">
        <v>10</v>
      </c>
      <c r="M97" s="1754">
        <f t="shared" si="29"/>
        <v>24565.84</v>
      </c>
      <c r="N97" s="1712"/>
      <c r="O97" s="1712">
        <f t="shared" si="30"/>
        <v>0</v>
      </c>
      <c r="P97" s="1712">
        <f t="shared" si="31"/>
        <v>0</v>
      </c>
      <c r="Q97" s="1712">
        <f t="shared" si="32"/>
        <v>0</v>
      </c>
      <c r="R97" s="1757">
        <v>0.09</v>
      </c>
      <c r="S97" s="1712">
        <f t="shared" si="33"/>
        <v>0</v>
      </c>
      <c r="T97" s="1712">
        <f t="shared" si="28"/>
        <v>0</v>
      </c>
      <c r="U97" s="1712">
        <f t="shared" si="27"/>
        <v>0</v>
      </c>
      <c r="V97" s="2015"/>
    </row>
    <row r="98" spans="1:22" s="1942" customFormat="1" ht="28.5" hidden="1" customHeight="1" outlineLevel="3">
      <c r="A98" s="1944"/>
      <c r="B98" s="1978" t="s">
        <v>3507</v>
      </c>
      <c r="C98" s="1810"/>
      <c r="D98" s="2017" t="s">
        <v>3508</v>
      </c>
      <c r="E98" s="2009" t="s">
        <v>3509</v>
      </c>
      <c r="F98" s="1462" t="s">
        <v>455</v>
      </c>
      <c r="G98" s="1953" t="s">
        <v>4128</v>
      </c>
      <c r="H98" s="1975" t="s">
        <v>10</v>
      </c>
      <c r="I98" s="1712">
        <f t="shared" si="34"/>
        <v>24565.840000000004</v>
      </c>
      <c r="J98" s="1976">
        <v>1</v>
      </c>
      <c r="K98" s="1950" t="s">
        <v>101</v>
      </c>
      <c r="L98" s="1947" t="s">
        <v>10</v>
      </c>
      <c r="M98" s="1754">
        <f t="shared" si="29"/>
        <v>24565.84</v>
      </c>
      <c r="N98" s="1756">
        <v>1.5</v>
      </c>
      <c r="O98" s="1712">
        <f t="shared" si="30"/>
        <v>3.684876</v>
      </c>
      <c r="P98" s="1712">
        <f t="shared" si="31"/>
        <v>1.38</v>
      </c>
      <c r="Q98" s="1712">
        <f t="shared" si="32"/>
        <v>3.38062</v>
      </c>
      <c r="R98" s="1757">
        <v>0.09</v>
      </c>
      <c r="S98" s="1712">
        <f t="shared" si="33"/>
        <v>0.30425600000000008</v>
      </c>
      <c r="T98" s="1712">
        <f t="shared" si="28"/>
        <v>1.3761467142992054</v>
      </c>
      <c r="U98" s="1712">
        <f t="shared" si="27"/>
        <v>1.4999999999999998</v>
      </c>
      <c r="V98" s="2015"/>
    </row>
    <row r="99" spans="1:22" s="1942" customFormat="1" ht="28.5" hidden="1" customHeight="1" outlineLevel="3">
      <c r="A99" s="1944"/>
      <c r="B99" s="1978" t="s">
        <v>3510</v>
      </c>
      <c r="C99" s="1810"/>
      <c r="D99" s="2017" t="s">
        <v>3511</v>
      </c>
      <c r="E99" s="2009" t="s">
        <v>3512</v>
      </c>
      <c r="F99" s="1462" t="s">
        <v>455</v>
      </c>
      <c r="G99" s="1953" t="s">
        <v>4128</v>
      </c>
      <c r="H99" s="1975" t="s">
        <v>10</v>
      </c>
      <c r="I99" s="1712">
        <f t="shared" si="34"/>
        <v>24565.840000000004</v>
      </c>
      <c r="J99" s="1949">
        <v>1</v>
      </c>
      <c r="K99" s="1950" t="s">
        <v>101</v>
      </c>
      <c r="L99" s="1947" t="s">
        <v>10</v>
      </c>
      <c r="M99" s="1754">
        <f t="shared" si="29"/>
        <v>24565.84</v>
      </c>
      <c r="N99" s="1712"/>
      <c r="O99" s="1712">
        <f t="shared" si="30"/>
        <v>0</v>
      </c>
      <c r="P99" s="1712">
        <f t="shared" si="31"/>
        <v>0</v>
      </c>
      <c r="Q99" s="1712">
        <f t="shared" si="32"/>
        <v>0</v>
      </c>
      <c r="R99" s="1757">
        <v>0.09</v>
      </c>
      <c r="S99" s="1712">
        <f t="shared" si="33"/>
        <v>0</v>
      </c>
      <c r="T99" s="1712">
        <f t="shared" si="28"/>
        <v>0</v>
      </c>
      <c r="U99" s="1712">
        <f t="shared" si="27"/>
        <v>0</v>
      </c>
      <c r="V99" s="2015"/>
    </row>
    <row r="100" spans="1:22" s="1942" customFormat="1" ht="28.5" hidden="1" customHeight="1" outlineLevel="2">
      <c r="A100" s="1944"/>
      <c r="B100" s="1978" t="s">
        <v>3513</v>
      </c>
      <c r="C100" s="1810"/>
      <c r="D100" s="2008" t="s">
        <v>3514</v>
      </c>
      <c r="E100" s="2009" t="s">
        <v>3515</v>
      </c>
      <c r="F100" s="1462" t="s">
        <v>455</v>
      </c>
      <c r="G100" s="1953" t="s">
        <v>4128</v>
      </c>
      <c r="H100" s="1975" t="s">
        <v>10</v>
      </c>
      <c r="I100" s="1712">
        <f t="shared" si="34"/>
        <v>24565.840000000004</v>
      </c>
      <c r="J100" s="1976">
        <v>1</v>
      </c>
      <c r="K100" s="1950" t="s">
        <v>101</v>
      </c>
      <c r="L100" s="1947" t="s">
        <v>10</v>
      </c>
      <c r="M100" s="1754">
        <f t="shared" si="29"/>
        <v>24565.84</v>
      </c>
      <c r="N100" s="1756">
        <v>40</v>
      </c>
      <c r="O100" s="1712">
        <f t="shared" si="30"/>
        <v>98.263360000000006</v>
      </c>
      <c r="P100" s="1712">
        <f t="shared" si="31"/>
        <v>36.700000000000003</v>
      </c>
      <c r="Q100" s="1712">
        <f t="shared" si="32"/>
        <v>90.149872000000002</v>
      </c>
      <c r="R100" s="1757">
        <v>0.09</v>
      </c>
      <c r="S100" s="1712">
        <f t="shared" si="33"/>
        <v>8.1134880000000038</v>
      </c>
      <c r="T100" s="1712">
        <f t="shared" si="28"/>
        <v>36.697247885681897</v>
      </c>
      <c r="U100" s="1712">
        <f t="shared" si="27"/>
        <v>40</v>
      </c>
      <c r="V100" s="1952"/>
    </row>
    <row r="101" spans="1:22" s="1942" customFormat="1" ht="28.5" hidden="1" customHeight="1" outlineLevel="2">
      <c r="A101" s="1944"/>
      <c r="B101" s="1978" t="s">
        <v>3516</v>
      </c>
      <c r="C101" s="1810"/>
      <c r="D101" s="2008" t="s">
        <v>3517</v>
      </c>
      <c r="E101" s="2009"/>
      <c r="F101" s="1462"/>
      <c r="G101" s="1953" t="s">
        <v>4117</v>
      </c>
      <c r="H101" s="1947"/>
      <c r="I101" s="1948"/>
      <c r="J101" s="1949"/>
      <c r="K101" s="2016"/>
      <c r="L101" s="1947"/>
      <c r="M101" s="1754"/>
      <c r="N101" s="1712"/>
      <c r="O101" s="1712">
        <f>SUBTOTAL(9,O102:O104)</f>
        <v>0</v>
      </c>
      <c r="P101" s="1983"/>
      <c r="Q101" s="1712">
        <f>SUBTOTAL(9,Q102:Q104)</f>
        <v>0</v>
      </c>
      <c r="R101" s="1757"/>
      <c r="S101" s="1712">
        <f>SUBTOTAL(9,S102:S104)</f>
        <v>0</v>
      </c>
      <c r="T101" s="1712">
        <f t="shared" si="28"/>
        <v>0</v>
      </c>
      <c r="U101" s="1712">
        <f t="shared" si="27"/>
        <v>0</v>
      </c>
      <c r="V101" s="2015"/>
    </row>
    <row r="102" spans="1:22" s="1942" customFormat="1" ht="28.5" hidden="1" customHeight="1" outlineLevel="3">
      <c r="A102" s="1944"/>
      <c r="B102" s="1978" t="s">
        <v>3518</v>
      </c>
      <c r="C102" s="1810"/>
      <c r="D102" s="2008" t="s">
        <v>3519</v>
      </c>
      <c r="E102" s="2009" t="s">
        <v>3520</v>
      </c>
      <c r="F102" s="1462" t="s">
        <v>3521</v>
      </c>
      <c r="G102" s="1953" t="s">
        <v>4139</v>
      </c>
      <c r="H102" s="1947" t="s">
        <v>10</v>
      </c>
      <c r="I102" s="1712">
        <f t="shared" si="34"/>
        <v>24565.840000000004</v>
      </c>
      <c r="J102" s="1949">
        <v>1</v>
      </c>
      <c r="K102" s="1950" t="s">
        <v>101</v>
      </c>
      <c r="L102" s="1947" t="s">
        <v>10</v>
      </c>
      <c r="M102" s="1754">
        <f>ROUND(I102,2)*ROUND(J102,4)</f>
        <v>24565.84</v>
      </c>
      <c r="N102" s="1712"/>
      <c r="O102" s="1712">
        <f>ROUND(M102*ROUND(N102,2)/10000,6)</f>
        <v>0</v>
      </c>
      <c r="P102" s="1712">
        <f>IFERROR(ROUND(Q102*10000/M102,2),0)</f>
        <v>0</v>
      </c>
      <c r="Q102" s="1712">
        <f>ROUND(O102/(1+R102),6)</f>
        <v>0</v>
      </c>
      <c r="R102" s="1757">
        <v>0.13</v>
      </c>
      <c r="S102" s="1712">
        <f>O102-Q102</f>
        <v>0</v>
      </c>
      <c r="T102" s="1712">
        <f t="shared" si="28"/>
        <v>0</v>
      </c>
      <c r="U102" s="1712">
        <f t="shared" si="27"/>
        <v>0</v>
      </c>
      <c r="V102" s="2015"/>
    </row>
    <row r="103" spans="1:22" s="1942" customFormat="1" ht="28.5" hidden="1" customHeight="1" outlineLevel="3">
      <c r="A103" s="1944"/>
      <c r="B103" s="1978" t="s">
        <v>3522</v>
      </c>
      <c r="C103" s="1810"/>
      <c r="D103" s="2008" t="s">
        <v>3523</v>
      </c>
      <c r="E103" s="2009" t="s">
        <v>3524</v>
      </c>
      <c r="F103" s="1462" t="s">
        <v>3521</v>
      </c>
      <c r="G103" s="1953" t="s">
        <v>4139</v>
      </c>
      <c r="H103" s="1975" t="s">
        <v>10</v>
      </c>
      <c r="I103" s="1712">
        <f t="shared" si="34"/>
        <v>24565.840000000004</v>
      </c>
      <c r="J103" s="1949">
        <v>1</v>
      </c>
      <c r="K103" s="1950" t="s">
        <v>101</v>
      </c>
      <c r="L103" s="1947" t="s">
        <v>10</v>
      </c>
      <c r="M103" s="1754">
        <f>ROUND(I103,2)*ROUND(J103,4)</f>
        <v>24565.84</v>
      </c>
      <c r="N103" s="1712"/>
      <c r="O103" s="1712">
        <f>ROUND(M103*ROUND(N103,2)/10000,6)</f>
        <v>0</v>
      </c>
      <c r="P103" s="1712">
        <f>IFERROR(ROUND(Q103*10000/M103,2),0)</f>
        <v>0</v>
      </c>
      <c r="Q103" s="1712">
        <f>ROUND(O103/(1+R103),6)</f>
        <v>0</v>
      </c>
      <c r="R103" s="1757">
        <v>0.13</v>
      </c>
      <c r="S103" s="1712">
        <f>O103-Q103</f>
        <v>0</v>
      </c>
      <c r="T103" s="1712">
        <f t="shared" si="28"/>
        <v>0</v>
      </c>
      <c r="U103" s="1712">
        <f t="shared" si="27"/>
        <v>0</v>
      </c>
      <c r="V103" s="2015"/>
    </row>
    <row r="104" spans="1:22" s="1942" customFormat="1" ht="28.5" hidden="1" customHeight="1" outlineLevel="3">
      <c r="A104" s="1944"/>
      <c r="B104" s="1978" t="s">
        <v>3525</v>
      </c>
      <c r="C104" s="1810"/>
      <c r="D104" s="2008" t="s">
        <v>3526</v>
      </c>
      <c r="E104" s="2009" t="s">
        <v>3527</v>
      </c>
      <c r="F104" s="1462" t="s">
        <v>3521</v>
      </c>
      <c r="G104" s="1953" t="s">
        <v>4139</v>
      </c>
      <c r="H104" s="1975" t="s">
        <v>10</v>
      </c>
      <c r="I104" s="1712">
        <f t="shared" si="34"/>
        <v>24565.840000000004</v>
      </c>
      <c r="J104" s="1949">
        <v>1</v>
      </c>
      <c r="K104" s="1950" t="s">
        <v>101</v>
      </c>
      <c r="L104" s="1947" t="s">
        <v>10</v>
      </c>
      <c r="M104" s="1754">
        <f>ROUND(I104,2)*ROUND(J104,4)</f>
        <v>24565.84</v>
      </c>
      <c r="N104" s="1712"/>
      <c r="O104" s="1712">
        <f>ROUND(M104*ROUND(N104,2)/10000,6)</f>
        <v>0</v>
      </c>
      <c r="P104" s="1712">
        <f>IFERROR(ROUND(Q104*10000/M104,2),0)</f>
        <v>0</v>
      </c>
      <c r="Q104" s="1712">
        <f>ROUND(O104/(1+R104),6)</f>
        <v>0</v>
      </c>
      <c r="R104" s="1757">
        <v>0.13</v>
      </c>
      <c r="S104" s="1712">
        <f>O104-Q104</f>
        <v>0</v>
      </c>
      <c r="T104" s="1712">
        <f t="shared" si="28"/>
        <v>0</v>
      </c>
      <c r="U104" s="1712">
        <f t="shared" si="27"/>
        <v>0</v>
      </c>
      <c r="V104" s="2015"/>
    </row>
    <row r="105" spans="1:22" s="1942" customFormat="1" ht="28.5" hidden="1" customHeight="1" outlineLevel="2">
      <c r="A105" s="1944"/>
      <c r="B105" s="1978" t="s">
        <v>3528</v>
      </c>
      <c r="C105" s="1810"/>
      <c r="D105" s="2017" t="s">
        <v>3529</v>
      </c>
      <c r="E105" s="2009" t="s">
        <v>3530</v>
      </c>
      <c r="F105" s="1462" t="s">
        <v>3531</v>
      </c>
      <c r="G105" s="1953" t="s">
        <v>4140</v>
      </c>
      <c r="H105" s="1975" t="s">
        <v>10</v>
      </c>
      <c r="I105" s="1712">
        <f t="shared" si="34"/>
        <v>24565.840000000004</v>
      </c>
      <c r="J105" s="1949">
        <v>1</v>
      </c>
      <c r="K105" s="1950" t="s">
        <v>101</v>
      </c>
      <c r="L105" s="1947" t="s">
        <v>10</v>
      </c>
      <c r="M105" s="1754">
        <f>ROUND(I105,2)*ROUND(J105,4)</f>
        <v>24565.84</v>
      </c>
      <c r="N105" s="1712"/>
      <c r="O105" s="1712">
        <f>ROUND(M105*ROUND(N105,2)/10000,6)</f>
        <v>0</v>
      </c>
      <c r="P105" s="1712">
        <f>IFERROR(ROUND(Q105*10000/M105,2),0)</f>
        <v>0</v>
      </c>
      <c r="Q105" s="1712">
        <f>ROUND(O105/(1+R105),6)</f>
        <v>0</v>
      </c>
      <c r="R105" s="1757">
        <v>0.09</v>
      </c>
      <c r="S105" s="1712">
        <f>O105-Q105</f>
        <v>0</v>
      </c>
      <c r="T105" s="1712">
        <f t="shared" si="28"/>
        <v>0</v>
      </c>
      <c r="U105" s="1712">
        <f t="shared" si="27"/>
        <v>0</v>
      </c>
      <c r="V105" s="2015"/>
    </row>
    <row r="106" spans="1:22" ht="28.5" customHeight="1" collapsed="1">
      <c r="A106" s="2019"/>
      <c r="B106" s="1684">
        <v>5001.04</v>
      </c>
      <c r="C106" s="1685" t="s">
        <v>34</v>
      </c>
      <c r="D106" s="1956" t="s">
        <v>497</v>
      </c>
      <c r="E106" s="1957"/>
      <c r="F106" s="2020"/>
      <c r="G106" s="2021" t="s">
        <v>4117</v>
      </c>
      <c r="H106" s="1959"/>
      <c r="I106" s="1960"/>
      <c r="J106" s="1961"/>
      <c r="K106" s="2022"/>
      <c r="L106" s="1959"/>
      <c r="M106" s="2022"/>
      <c r="N106" s="1963"/>
      <c r="O106" s="1963">
        <f>SUBTOTAL(9,O107:O131)</f>
        <v>0</v>
      </c>
      <c r="P106" s="1963"/>
      <c r="Q106" s="1963">
        <f>SUBTOTAL(9,Q107:Q131)</f>
        <v>0</v>
      </c>
      <c r="R106" s="1963"/>
      <c r="S106" s="1963">
        <f>SUBTOTAL(9,S107:S131)</f>
        <v>0</v>
      </c>
      <c r="T106" s="1963">
        <f t="shared" si="28"/>
        <v>0</v>
      </c>
      <c r="U106" s="1963">
        <f t="shared" si="27"/>
        <v>0</v>
      </c>
      <c r="V106" s="1964"/>
    </row>
    <row r="107" spans="1:22" ht="28.5" hidden="1" customHeight="1" outlineLevel="1">
      <c r="A107" s="2019"/>
      <c r="B107" s="2023" t="s">
        <v>676</v>
      </c>
      <c r="C107" s="1852">
        <v>1</v>
      </c>
      <c r="D107" s="2024" t="s">
        <v>22</v>
      </c>
      <c r="E107" s="2025"/>
      <c r="F107" s="1968"/>
      <c r="G107" s="2007" t="s">
        <v>4117</v>
      </c>
      <c r="H107" s="1967"/>
      <c r="I107" s="1969"/>
      <c r="J107" s="1970"/>
      <c r="K107" s="1971"/>
      <c r="L107" s="1967"/>
      <c r="M107" s="1971"/>
      <c r="N107" s="1973"/>
      <c r="O107" s="1973">
        <f>SUBTOTAL(9,O108:O125)</f>
        <v>0</v>
      </c>
      <c r="P107" s="1973"/>
      <c r="Q107" s="1973">
        <f>SUBTOTAL(9,Q108:Q125)</f>
        <v>0</v>
      </c>
      <c r="R107" s="1973"/>
      <c r="S107" s="1973">
        <f>SUBTOTAL(9,S108:S125)</f>
        <v>0</v>
      </c>
      <c r="T107" s="1973">
        <f t="shared" si="28"/>
        <v>0</v>
      </c>
      <c r="U107" s="1973">
        <f t="shared" si="27"/>
        <v>0</v>
      </c>
      <c r="V107" s="1974"/>
    </row>
    <row r="108" spans="1:22" s="1942" customFormat="1" ht="28.5" hidden="1" customHeight="1" outlineLevel="2">
      <c r="A108" s="1944"/>
      <c r="B108" s="1807" t="s">
        <v>677</v>
      </c>
      <c r="C108" s="1808"/>
      <c r="D108" s="1843" t="s">
        <v>3575</v>
      </c>
      <c r="E108" s="2009" t="s">
        <v>3576</v>
      </c>
      <c r="F108" s="1462" t="s">
        <v>3577</v>
      </c>
      <c r="G108" s="1953" t="s">
        <v>4141</v>
      </c>
      <c r="H108" s="1975" t="s">
        <v>10</v>
      </c>
      <c r="I108" s="1712">
        <f>$E$5</f>
        <v>24565.840000000004</v>
      </c>
      <c r="J108" s="1949">
        <v>1</v>
      </c>
      <c r="K108" s="1950" t="s">
        <v>101</v>
      </c>
      <c r="L108" s="1947" t="s">
        <v>10</v>
      </c>
      <c r="M108" s="1754">
        <f t="shared" ref="M108:M129" si="35">ROUND(I108,2)*ROUND(J108,4)</f>
        <v>24565.84</v>
      </c>
      <c r="N108" s="1712"/>
      <c r="O108" s="1712">
        <f t="shared" ref="O108:O125" si="36">ROUND(M108*ROUND(N108,2)/10000,6)</f>
        <v>0</v>
      </c>
      <c r="P108" s="1712">
        <f t="shared" ref="P108:P125" si="37">IFERROR(ROUND(Q108*10000/M108,2),0)</f>
        <v>0</v>
      </c>
      <c r="Q108" s="1712">
        <f t="shared" ref="Q108:Q125" si="38">ROUND(O108/(1+R108),6)</f>
        <v>0</v>
      </c>
      <c r="R108" s="1757">
        <v>0.09</v>
      </c>
      <c r="S108" s="1712">
        <f t="shared" ref="S108:S125" si="39">O108-Q108</f>
        <v>0</v>
      </c>
      <c r="T108" s="1712">
        <f t="shared" si="28"/>
        <v>0</v>
      </c>
      <c r="U108" s="1712">
        <f t="shared" si="27"/>
        <v>0</v>
      </c>
      <c r="V108" s="1952"/>
    </row>
    <row r="109" spans="1:22" s="1942" customFormat="1" ht="28.5" hidden="1" customHeight="1" outlineLevel="2">
      <c r="A109" s="1944"/>
      <c r="B109" s="1807" t="s">
        <v>678</v>
      </c>
      <c r="C109" s="1808"/>
      <c r="D109" s="1843" t="s">
        <v>3578</v>
      </c>
      <c r="E109" s="2009" t="s">
        <v>3579</v>
      </c>
      <c r="F109" s="1462" t="s">
        <v>3580</v>
      </c>
      <c r="G109" s="1953" t="s">
        <v>4142</v>
      </c>
      <c r="H109" s="1947" t="s">
        <v>3926</v>
      </c>
      <c r="I109" s="1712">
        <f>$G$7</f>
        <v>0</v>
      </c>
      <c r="J109" s="1949">
        <v>5</v>
      </c>
      <c r="K109" s="1950" t="s">
        <v>4</v>
      </c>
      <c r="L109" s="1947" t="s">
        <v>4053</v>
      </c>
      <c r="M109" s="1754">
        <f t="shared" si="35"/>
        <v>0</v>
      </c>
      <c r="N109" s="1712"/>
      <c r="O109" s="1712">
        <f t="shared" si="36"/>
        <v>0</v>
      </c>
      <c r="P109" s="1712">
        <f t="shared" si="37"/>
        <v>0</v>
      </c>
      <c r="Q109" s="1712">
        <f t="shared" si="38"/>
        <v>0</v>
      </c>
      <c r="R109" s="1757">
        <v>0.13</v>
      </c>
      <c r="S109" s="1712">
        <f t="shared" si="39"/>
        <v>0</v>
      </c>
      <c r="T109" s="1712">
        <f t="shared" si="28"/>
        <v>0</v>
      </c>
      <c r="U109" s="1712">
        <f t="shared" si="27"/>
        <v>0</v>
      </c>
      <c r="V109" s="1952"/>
    </row>
    <row r="110" spans="1:22" s="1942" customFormat="1" ht="28.5" hidden="1" customHeight="1" outlineLevel="2">
      <c r="A110" s="1944"/>
      <c r="B110" s="1807" t="s">
        <v>679</v>
      </c>
      <c r="C110" s="1808"/>
      <c r="D110" s="1843" t="s">
        <v>3581</v>
      </c>
      <c r="E110" s="2009" t="s">
        <v>3582</v>
      </c>
      <c r="F110" s="1462" t="s">
        <v>3014</v>
      </c>
      <c r="G110" s="1953" t="s">
        <v>4143</v>
      </c>
      <c r="H110" s="1947" t="s">
        <v>3926</v>
      </c>
      <c r="I110" s="1712">
        <f>$G$7</f>
        <v>0</v>
      </c>
      <c r="J110" s="1949">
        <v>1</v>
      </c>
      <c r="K110" s="1950" t="s">
        <v>3947</v>
      </c>
      <c r="L110" s="1947" t="s">
        <v>3926</v>
      </c>
      <c r="M110" s="1754">
        <f t="shared" si="35"/>
        <v>0</v>
      </c>
      <c r="N110" s="1712"/>
      <c r="O110" s="1712">
        <f t="shared" si="36"/>
        <v>0</v>
      </c>
      <c r="P110" s="1712">
        <f t="shared" si="37"/>
        <v>0</v>
      </c>
      <c r="Q110" s="1712">
        <f t="shared" si="38"/>
        <v>0</v>
      </c>
      <c r="R110" s="1757">
        <v>0.13</v>
      </c>
      <c r="S110" s="1712">
        <f t="shared" si="39"/>
        <v>0</v>
      </c>
      <c r="T110" s="1712">
        <f t="shared" si="28"/>
        <v>0</v>
      </c>
      <c r="U110" s="1712">
        <f t="shared" si="27"/>
        <v>0</v>
      </c>
      <c r="V110" s="1952"/>
    </row>
    <row r="111" spans="1:22" s="1942" customFormat="1" ht="28.5" hidden="1" customHeight="1" outlineLevel="2">
      <c r="A111" s="1944"/>
      <c r="B111" s="1807" t="s">
        <v>680</v>
      </c>
      <c r="C111" s="1808"/>
      <c r="D111" s="1843" t="s">
        <v>3583</v>
      </c>
      <c r="E111" s="2009" t="s">
        <v>3584</v>
      </c>
      <c r="F111" s="1462" t="s">
        <v>1329</v>
      </c>
      <c r="G111" s="1953" t="s">
        <v>4132</v>
      </c>
      <c r="H111" s="1947" t="s">
        <v>3926</v>
      </c>
      <c r="I111" s="1712">
        <f>$G$7</f>
        <v>0</v>
      </c>
      <c r="J111" s="1949">
        <v>1</v>
      </c>
      <c r="K111" s="1950" t="s">
        <v>4</v>
      </c>
      <c r="L111" s="1947" t="s">
        <v>4054</v>
      </c>
      <c r="M111" s="1754">
        <f t="shared" si="35"/>
        <v>0</v>
      </c>
      <c r="N111" s="1712"/>
      <c r="O111" s="1712">
        <f t="shared" si="36"/>
        <v>0</v>
      </c>
      <c r="P111" s="1712">
        <f t="shared" si="37"/>
        <v>0</v>
      </c>
      <c r="Q111" s="1712">
        <f t="shared" si="38"/>
        <v>0</v>
      </c>
      <c r="R111" s="1757">
        <v>0.13</v>
      </c>
      <c r="S111" s="1712">
        <f t="shared" si="39"/>
        <v>0</v>
      </c>
      <c r="T111" s="1712">
        <f t="shared" si="28"/>
        <v>0</v>
      </c>
      <c r="U111" s="1712">
        <f t="shared" si="27"/>
        <v>0</v>
      </c>
      <c r="V111" s="1952"/>
    </row>
    <row r="112" spans="1:22" s="1942" customFormat="1" ht="28.5" hidden="1" customHeight="1" outlineLevel="2">
      <c r="A112" s="1944"/>
      <c r="B112" s="1807" t="s">
        <v>681</v>
      </c>
      <c r="C112" s="1808"/>
      <c r="D112" s="1843" t="s">
        <v>3585</v>
      </c>
      <c r="E112" s="2009" t="s">
        <v>3586</v>
      </c>
      <c r="F112" s="1462" t="s">
        <v>450</v>
      </c>
      <c r="G112" s="1953" t="s">
        <v>4144</v>
      </c>
      <c r="H112" s="1975" t="s">
        <v>10</v>
      </c>
      <c r="I112" s="1712">
        <f>$E$5</f>
        <v>24565.840000000004</v>
      </c>
      <c r="J112" s="1949">
        <v>1</v>
      </c>
      <c r="K112" s="1950" t="s">
        <v>101</v>
      </c>
      <c r="L112" s="1947" t="s">
        <v>10</v>
      </c>
      <c r="M112" s="1754">
        <f t="shared" si="35"/>
        <v>24565.84</v>
      </c>
      <c r="N112" s="1712"/>
      <c r="O112" s="1712">
        <f t="shared" si="36"/>
        <v>0</v>
      </c>
      <c r="P112" s="1712">
        <f t="shared" si="37"/>
        <v>0</v>
      </c>
      <c r="Q112" s="1712">
        <f t="shared" si="38"/>
        <v>0</v>
      </c>
      <c r="R112" s="1757">
        <v>0.13</v>
      </c>
      <c r="S112" s="1712">
        <f t="shared" si="39"/>
        <v>0</v>
      </c>
      <c r="T112" s="1712">
        <f t="shared" si="28"/>
        <v>0</v>
      </c>
      <c r="U112" s="1712">
        <f t="shared" si="27"/>
        <v>0</v>
      </c>
      <c r="V112" s="1952"/>
    </row>
    <row r="113" spans="1:22" s="1942" customFormat="1" ht="28.5" hidden="1" customHeight="1" outlineLevel="2">
      <c r="A113" s="1944"/>
      <c r="B113" s="1807" t="s">
        <v>682</v>
      </c>
      <c r="C113" s="1808"/>
      <c r="D113" s="1843" t="s">
        <v>3587</v>
      </c>
      <c r="E113" s="2009" t="s">
        <v>3588</v>
      </c>
      <c r="F113" s="1462" t="s">
        <v>1329</v>
      </c>
      <c r="G113" s="1953" t="s">
        <v>4132</v>
      </c>
      <c r="H113" s="1947" t="s">
        <v>3926</v>
      </c>
      <c r="I113" s="1712">
        <f>$G$7</f>
        <v>0</v>
      </c>
      <c r="J113" s="1949">
        <v>1</v>
      </c>
      <c r="K113" s="1950" t="s">
        <v>4</v>
      </c>
      <c r="L113" s="1947" t="s">
        <v>4055</v>
      </c>
      <c r="M113" s="1754">
        <f t="shared" si="35"/>
        <v>0</v>
      </c>
      <c r="N113" s="1712"/>
      <c r="O113" s="1712">
        <f t="shared" si="36"/>
        <v>0</v>
      </c>
      <c r="P113" s="1712">
        <f t="shared" si="37"/>
        <v>0</v>
      </c>
      <c r="Q113" s="1712">
        <f t="shared" si="38"/>
        <v>0</v>
      </c>
      <c r="R113" s="1757">
        <v>0.13</v>
      </c>
      <c r="S113" s="1712">
        <f t="shared" si="39"/>
        <v>0</v>
      </c>
      <c r="T113" s="1712">
        <f t="shared" si="28"/>
        <v>0</v>
      </c>
      <c r="U113" s="1712">
        <f t="shared" si="27"/>
        <v>0</v>
      </c>
      <c r="V113" s="1952"/>
    </row>
    <row r="114" spans="1:22" s="1942" customFormat="1" ht="28.5" hidden="1" customHeight="1" outlineLevel="2">
      <c r="A114" s="1944"/>
      <c r="B114" s="1807" t="s">
        <v>683</v>
      </c>
      <c r="C114" s="1808"/>
      <c r="D114" s="1843" t="s">
        <v>3589</v>
      </c>
      <c r="E114" s="2009" t="s">
        <v>3590</v>
      </c>
      <c r="F114" s="1462" t="s">
        <v>1548</v>
      </c>
      <c r="G114" s="1953" t="s">
        <v>4145</v>
      </c>
      <c r="H114" s="1975" t="s">
        <v>3926</v>
      </c>
      <c r="I114" s="1712">
        <f>$G$7</f>
        <v>0</v>
      </c>
      <c r="J114" s="1949">
        <v>1</v>
      </c>
      <c r="K114" s="1950" t="s">
        <v>3947</v>
      </c>
      <c r="L114" s="1947" t="s">
        <v>3926</v>
      </c>
      <c r="M114" s="1754">
        <f t="shared" si="35"/>
        <v>0</v>
      </c>
      <c r="N114" s="1712"/>
      <c r="O114" s="1712">
        <f t="shared" si="36"/>
        <v>0</v>
      </c>
      <c r="P114" s="1712">
        <f t="shared" si="37"/>
        <v>0</v>
      </c>
      <c r="Q114" s="1712">
        <f t="shared" si="38"/>
        <v>0</v>
      </c>
      <c r="R114" s="1757">
        <v>0.13</v>
      </c>
      <c r="S114" s="1712">
        <f t="shared" si="39"/>
        <v>0</v>
      </c>
      <c r="T114" s="1712">
        <f t="shared" si="28"/>
        <v>0</v>
      </c>
      <c r="U114" s="1712">
        <f t="shared" si="27"/>
        <v>0</v>
      </c>
      <c r="V114" s="1952"/>
    </row>
    <row r="115" spans="1:22" s="1942" customFormat="1" ht="28.5" hidden="1" customHeight="1" outlineLevel="2">
      <c r="A115" s="1944"/>
      <c r="B115" s="1807" t="s">
        <v>1549</v>
      </c>
      <c r="C115" s="1808"/>
      <c r="D115" s="1843" t="s">
        <v>3591</v>
      </c>
      <c r="E115" s="2009" t="s">
        <v>3592</v>
      </c>
      <c r="F115" s="1462" t="s">
        <v>3593</v>
      </c>
      <c r="G115" s="1953" t="s">
        <v>4146</v>
      </c>
      <c r="H115" s="1975" t="s">
        <v>10</v>
      </c>
      <c r="I115" s="1712">
        <f>$E$5</f>
        <v>24565.840000000004</v>
      </c>
      <c r="J115" s="1949">
        <v>1</v>
      </c>
      <c r="K115" s="1950" t="s">
        <v>101</v>
      </c>
      <c r="L115" s="1947" t="s">
        <v>10</v>
      </c>
      <c r="M115" s="1754">
        <f t="shared" si="35"/>
        <v>24565.84</v>
      </c>
      <c r="N115" s="1712"/>
      <c r="O115" s="1712">
        <f t="shared" si="36"/>
        <v>0</v>
      </c>
      <c r="P115" s="1712">
        <f t="shared" si="37"/>
        <v>0</v>
      </c>
      <c r="Q115" s="1712">
        <f t="shared" si="38"/>
        <v>0</v>
      </c>
      <c r="R115" s="1757">
        <v>0.13</v>
      </c>
      <c r="S115" s="1712">
        <f t="shared" si="39"/>
        <v>0</v>
      </c>
      <c r="T115" s="1712">
        <f t="shared" si="28"/>
        <v>0</v>
      </c>
      <c r="U115" s="1712">
        <f t="shared" si="27"/>
        <v>0</v>
      </c>
      <c r="V115" s="1952"/>
    </row>
    <row r="116" spans="1:22" s="1942" customFormat="1" ht="28.5" hidden="1" customHeight="1" outlineLevel="2">
      <c r="A116" s="1944"/>
      <c r="B116" s="1807" t="s">
        <v>684</v>
      </c>
      <c r="C116" s="1808"/>
      <c r="D116" s="1843" t="s">
        <v>3594</v>
      </c>
      <c r="E116" s="2009" t="s">
        <v>3595</v>
      </c>
      <c r="F116" s="1462" t="s">
        <v>1329</v>
      </c>
      <c r="G116" s="1953" t="s">
        <v>4132</v>
      </c>
      <c r="H116" s="1975" t="s">
        <v>10</v>
      </c>
      <c r="I116" s="1712">
        <f t="shared" ref="I116:I131" si="40">$E$5</f>
        <v>24565.840000000004</v>
      </c>
      <c r="J116" s="1949">
        <v>1</v>
      </c>
      <c r="K116" s="1950" t="s">
        <v>101</v>
      </c>
      <c r="L116" s="1947" t="s">
        <v>10</v>
      </c>
      <c r="M116" s="1754">
        <f t="shared" si="35"/>
        <v>24565.84</v>
      </c>
      <c r="N116" s="1712"/>
      <c r="O116" s="1712">
        <f t="shared" si="36"/>
        <v>0</v>
      </c>
      <c r="P116" s="1712">
        <f t="shared" si="37"/>
        <v>0</v>
      </c>
      <c r="Q116" s="1712">
        <f t="shared" si="38"/>
        <v>0</v>
      </c>
      <c r="R116" s="1757">
        <v>0.13</v>
      </c>
      <c r="S116" s="1712">
        <f t="shared" si="39"/>
        <v>0</v>
      </c>
      <c r="T116" s="1712">
        <f t="shared" si="28"/>
        <v>0</v>
      </c>
      <c r="U116" s="1712">
        <f t="shared" si="27"/>
        <v>0</v>
      </c>
      <c r="V116" s="1952"/>
    </row>
    <row r="117" spans="1:22" s="1942" customFormat="1" ht="28.5" hidden="1" customHeight="1" outlineLevel="2">
      <c r="A117" s="1944"/>
      <c r="B117" s="1807" t="s">
        <v>685</v>
      </c>
      <c r="C117" s="1808"/>
      <c r="D117" s="1843" t="s">
        <v>3596</v>
      </c>
      <c r="E117" s="2009" t="s">
        <v>3597</v>
      </c>
      <c r="F117" s="1462" t="s">
        <v>1329</v>
      </c>
      <c r="G117" s="1953" t="s">
        <v>4132</v>
      </c>
      <c r="H117" s="1975" t="s">
        <v>10</v>
      </c>
      <c r="I117" s="1712">
        <f t="shared" si="40"/>
        <v>24565.840000000004</v>
      </c>
      <c r="J117" s="1949">
        <v>1</v>
      </c>
      <c r="K117" s="1950" t="s">
        <v>101</v>
      </c>
      <c r="L117" s="1947" t="s">
        <v>10</v>
      </c>
      <c r="M117" s="1754">
        <f t="shared" si="35"/>
        <v>24565.84</v>
      </c>
      <c r="N117" s="1712"/>
      <c r="O117" s="1712">
        <f t="shared" si="36"/>
        <v>0</v>
      </c>
      <c r="P117" s="1712">
        <f t="shared" si="37"/>
        <v>0</v>
      </c>
      <c r="Q117" s="1712">
        <f t="shared" si="38"/>
        <v>0</v>
      </c>
      <c r="R117" s="1757">
        <v>0.13</v>
      </c>
      <c r="S117" s="1712">
        <f t="shared" si="39"/>
        <v>0</v>
      </c>
      <c r="T117" s="1712">
        <f t="shared" si="28"/>
        <v>0</v>
      </c>
      <c r="U117" s="1712">
        <f t="shared" si="27"/>
        <v>0</v>
      </c>
      <c r="V117" s="1952"/>
    </row>
    <row r="118" spans="1:22" s="1942" customFormat="1" ht="28.5" hidden="1" customHeight="1" outlineLevel="2">
      <c r="A118" s="1944"/>
      <c r="B118" s="1807" t="s">
        <v>686</v>
      </c>
      <c r="C118" s="1808"/>
      <c r="D118" s="1843" t="s">
        <v>3598</v>
      </c>
      <c r="E118" s="2009" t="s">
        <v>3599</v>
      </c>
      <c r="F118" s="1462" t="s">
        <v>1329</v>
      </c>
      <c r="G118" s="1953" t="s">
        <v>4132</v>
      </c>
      <c r="H118" s="1975" t="s">
        <v>10</v>
      </c>
      <c r="I118" s="1712">
        <f t="shared" si="40"/>
        <v>24565.840000000004</v>
      </c>
      <c r="J118" s="1949">
        <v>1</v>
      </c>
      <c r="K118" s="1950" t="s">
        <v>101</v>
      </c>
      <c r="L118" s="1947" t="s">
        <v>10</v>
      </c>
      <c r="M118" s="1754">
        <f t="shared" si="35"/>
        <v>24565.84</v>
      </c>
      <c r="N118" s="1712"/>
      <c r="O118" s="1712">
        <f t="shared" si="36"/>
        <v>0</v>
      </c>
      <c r="P118" s="1712">
        <f t="shared" si="37"/>
        <v>0</v>
      </c>
      <c r="Q118" s="1712">
        <f t="shared" si="38"/>
        <v>0</v>
      </c>
      <c r="R118" s="1757">
        <v>0.13</v>
      </c>
      <c r="S118" s="1712">
        <f t="shared" si="39"/>
        <v>0</v>
      </c>
      <c r="T118" s="1712">
        <f t="shared" si="28"/>
        <v>0</v>
      </c>
      <c r="U118" s="1712">
        <f t="shared" si="27"/>
        <v>0</v>
      </c>
      <c r="V118" s="1952"/>
    </row>
    <row r="119" spans="1:22" s="1942" customFormat="1" ht="28.5" hidden="1" customHeight="1" outlineLevel="2">
      <c r="A119" s="1944"/>
      <c r="B119" s="1807" t="s">
        <v>3600</v>
      </c>
      <c r="C119" s="1808"/>
      <c r="D119" s="1843" t="s">
        <v>3601</v>
      </c>
      <c r="E119" s="2009" t="s">
        <v>3602</v>
      </c>
      <c r="F119" s="1462" t="s">
        <v>1329</v>
      </c>
      <c r="G119" s="1953" t="s">
        <v>4132</v>
      </c>
      <c r="H119" s="1975" t="s">
        <v>10</v>
      </c>
      <c r="I119" s="1712">
        <f t="shared" si="40"/>
        <v>24565.840000000004</v>
      </c>
      <c r="J119" s="1949">
        <v>1</v>
      </c>
      <c r="K119" s="1950" t="s">
        <v>101</v>
      </c>
      <c r="L119" s="1947" t="s">
        <v>10</v>
      </c>
      <c r="M119" s="1754">
        <f t="shared" si="35"/>
        <v>24565.84</v>
      </c>
      <c r="N119" s="1712"/>
      <c r="O119" s="1712">
        <f t="shared" si="36"/>
        <v>0</v>
      </c>
      <c r="P119" s="1712">
        <f t="shared" si="37"/>
        <v>0</v>
      </c>
      <c r="Q119" s="1712">
        <f t="shared" si="38"/>
        <v>0</v>
      </c>
      <c r="R119" s="1757">
        <v>0.13</v>
      </c>
      <c r="S119" s="1712">
        <f t="shared" si="39"/>
        <v>0</v>
      </c>
      <c r="T119" s="1712">
        <f t="shared" si="28"/>
        <v>0</v>
      </c>
      <c r="U119" s="1712">
        <f t="shared" si="27"/>
        <v>0</v>
      </c>
      <c r="V119" s="1952"/>
    </row>
    <row r="120" spans="1:22" s="1942" customFormat="1" ht="28.5" hidden="1" customHeight="1" outlineLevel="2">
      <c r="A120" s="1944"/>
      <c r="B120" s="1807" t="s">
        <v>3603</v>
      </c>
      <c r="C120" s="1808"/>
      <c r="D120" s="1843" t="s">
        <v>3604</v>
      </c>
      <c r="E120" s="2009" t="s">
        <v>3605</v>
      </c>
      <c r="F120" s="1462" t="s">
        <v>1329</v>
      </c>
      <c r="G120" s="1953" t="s">
        <v>4132</v>
      </c>
      <c r="H120" s="1975" t="s">
        <v>10</v>
      </c>
      <c r="I120" s="1712">
        <f t="shared" si="40"/>
        <v>24565.840000000004</v>
      </c>
      <c r="J120" s="1949">
        <v>1</v>
      </c>
      <c r="K120" s="1950" t="s">
        <v>101</v>
      </c>
      <c r="L120" s="1947" t="s">
        <v>10</v>
      </c>
      <c r="M120" s="1754">
        <f t="shared" si="35"/>
        <v>24565.84</v>
      </c>
      <c r="N120" s="1712"/>
      <c r="O120" s="1712">
        <f t="shared" si="36"/>
        <v>0</v>
      </c>
      <c r="P120" s="1712">
        <f t="shared" si="37"/>
        <v>0</v>
      </c>
      <c r="Q120" s="1712">
        <f t="shared" si="38"/>
        <v>0</v>
      </c>
      <c r="R120" s="1757">
        <v>0.13</v>
      </c>
      <c r="S120" s="1712">
        <f t="shared" si="39"/>
        <v>0</v>
      </c>
      <c r="T120" s="1712">
        <f t="shared" si="28"/>
        <v>0</v>
      </c>
      <c r="U120" s="1712">
        <f t="shared" si="27"/>
        <v>0</v>
      </c>
      <c r="V120" s="1952"/>
    </row>
    <row r="121" spans="1:22" s="1942" customFormat="1" ht="28.5" hidden="1" customHeight="1" outlineLevel="2">
      <c r="A121" s="1944"/>
      <c r="B121" s="1807" t="s">
        <v>3606</v>
      </c>
      <c r="C121" s="1808"/>
      <c r="D121" s="1843" t="s">
        <v>3607</v>
      </c>
      <c r="E121" s="2009" t="s">
        <v>3608</v>
      </c>
      <c r="F121" s="1462" t="s">
        <v>1607</v>
      </c>
      <c r="G121" s="1953" t="s">
        <v>4147</v>
      </c>
      <c r="H121" s="1975" t="s">
        <v>10</v>
      </c>
      <c r="I121" s="1712">
        <f t="shared" si="40"/>
        <v>24565.840000000004</v>
      </c>
      <c r="J121" s="1949">
        <v>1</v>
      </c>
      <c r="K121" s="1950" t="s">
        <v>101</v>
      </c>
      <c r="L121" s="1947" t="s">
        <v>10</v>
      </c>
      <c r="M121" s="1754">
        <f t="shared" si="35"/>
        <v>24565.84</v>
      </c>
      <c r="N121" s="1712"/>
      <c r="O121" s="1712">
        <f t="shared" si="36"/>
        <v>0</v>
      </c>
      <c r="P121" s="1712">
        <f t="shared" si="37"/>
        <v>0</v>
      </c>
      <c r="Q121" s="1712">
        <f t="shared" si="38"/>
        <v>0</v>
      </c>
      <c r="R121" s="1757">
        <v>0.13</v>
      </c>
      <c r="S121" s="1712">
        <f t="shared" si="39"/>
        <v>0</v>
      </c>
      <c r="T121" s="1712">
        <f t="shared" si="28"/>
        <v>0</v>
      </c>
      <c r="U121" s="1712">
        <f t="shared" si="27"/>
        <v>0</v>
      </c>
      <c r="V121" s="1952"/>
    </row>
    <row r="122" spans="1:22" s="1942" customFormat="1" ht="28.5" hidden="1" customHeight="1" outlineLevel="2">
      <c r="A122" s="1944"/>
      <c r="B122" s="1807" t="s">
        <v>3609</v>
      </c>
      <c r="C122" s="1808"/>
      <c r="D122" s="1843" t="s">
        <v>3610</v>
      </c>
      <c r="E122" s="2009" t="s">
        <v>3611</v>
      </c>
      <c r="F122" s="1462" t="s">
        <v>1607</v>
      </c>
      <c r="G122" s="1953" t="s">
        <v>4147</v>
      </c>
      <c r="H122" s="1975" t="s">
        <v>10</v>
      </c>
      <c r="I122" s="1712">
        <f t="shared" si="40"/>
        <v>24565.840000000004</v>
      </c>
      <c r="J122" s="1949">
        <v>1</v>
      </c>
      <c r="K122" s="1950" t="s">
        <v>101</v>
      </c>
      <c r="L122" s="1947" t="s">
        <v>10</v>
      </c>
      <c r="M122" s="1754">
        <f t="shared" si="35"/>
        <v>24565.84</v>
      </c>
      <c r="N122" s="1712"/>
      <c r="O122" s="1712">
        <f t="shared" si="36"/>
        <v>0</v>
      </c>
      <c r="P122" s="1712">
        <f t="shared" si="37"/>
        <v>0</v>
      </c>
      <c r="Q122" s="1712">
        <f t="shared" si="38"/>
        <v>0</v>
      </c>
      <c r="R122" s="1757">
        <v>0.13</v>
      </c>
      <c r="S122" s="1712">
        <f t="shared" si="39"/>
        <v>0</v>
      </c>
      <c r="T122" s="1712">
        <f t="shared" si="28"/>
        <v>0</v>
      </c>
      <c r="U122" s="1712">
        <f t="shared" si="27"/>
        <v>0</v>
      </c>
      <c r="V122" s="1952"/>
    </row>
    <row r="123" spans="1:22" s="1942" customFormat="1" ht="28.5" hidden="1" customHeight="1" outlineLevel="2">
      <c r="A123" s="1944"/>
      <c r="B123" s="1807" t="s">
        <v>3612</v>
      </c>
      <c r="C123" s="1808"/>
      <c r="D123" s="1843" t="s">
        <v>3613</v>
      </c>
      <c r="E123" s="2009" t="s">
        <v>3614</v>
      </c>
      <c r="F123" s="1462" t="s">
        <v>3615</v>
      </c>
      <c r="G123" s="1953" t="s">
        <v>4148</v>
      </c>
      <c r="H123" s="1975" t="s">
        <v>10</v>
      </c>
      <c r="I123" s="1712">
        <f t="shared" si="40"/>
        <v>24565.840000000004</v>
      </c>
      <c r="J123" s="1949">
        <v>1</v>
      </c>
      <c r="K123" s="1950" t="s">
        <v>101</v>
      </c>
      <c r="L123" s="1947" t="s">
        <v>10</v>
      </c>
      <c r="M123" s="1754">
        <f t="shared" si="35"/>
        <v>24565.84</v>
      </c>
      <c r="N123" s="1712"/>
      <c r="O123" s="1712">
        <f t="shared" si="36"/>
        <v>0</v>
      </c>
      <c r="P123" s="1712">
        <f t="shared" si="37"/>
        <v>0</v>
      </c>
      <c r="Q123" s="1712">
        <f t="shared" si="38"/>
        <v>0</v>
      </c>
      <c r="R123" s="1757">
        <v>0.13</v>
      </c>
      <c r="S123" s="1712">
        <f t="shared" si="39"/>
        <v>0</v>
      </c>
      <c r="T123" s="1712">
        <f t="shared" si="28"/>
        <v>0</v>
      </c>
      <c r="U123" s="1712">
        <f t="shared" si="27"/>
        <v>0</v>
      </c>
      <c r="V123" s="1952"/>
    </row>
    <row r="124" spans="1:22" s="1942" customFormat="1" ht="28.5" hidden="1" customHeight="1" outlineLevel="2">
      <c r="A124" s="1944"/>
      <c r="B124" s="1807" t="s">
        <v>3616</v>
      </c>
      <c r="C124" s="1808"/>
      <c r="D124" s="1843" t="s">
        <v>3617</v>
      </c>
      <c r="E124" s="2009" t="s">
        <v>3618</v>
      </c>
      <c r="F124" s="1462" t="s">
        <v>3521</v>
      </c>
      <c r="G124" s="1953" t="s">
        <v>4139</v>
      </c>
      <c r="H124" s="1975" t="s">
        <v>10</v>
      </c>
      <c r="I124" s="1712">
        <f t="shared" si="40"/>
        <v>24565.840000000004</v>
      </c>
      <c r="J124" s="1949">
        <v>1</v>
      </c>
      <c r="K124" s="1950" t="s">
        <v>101</v>
      </c>
      <c r="L124" s="1947" t="s">
        <v>10</v>
      </c>
      <c r="M124" s="1754">
        <f t="shared" si="35"/>
        <v>24565.84</v>
      </c>
      <c r="N124" s="1712"/>
      <c r="O124" s="1712">
        <f t="shared" si="36"/>
        <v>0</v>
      </c>
      <c r="P124" s="1712">
        <f t="shared" si="37"/>
        <v>0</v>
      </c>
      <c r="Q124" s="1712">
        <f t="shared" si="38"/>
        <v>0</v>
      </c>
      <c r="R124" s="1757">
        <v>0.13</v>
      </c>
      <c r="S124" s="1712">
        <f t="shared" si="39"/>
        <v>0</v>
      </c>
      <c r="T124" s="1712">
        <f t="shared" si="28"/>
        <v>0</v>
      </c>
      <c r="U124" s="1712">
        <f t="shared" si="27"/>
        <v>0</v>
      </c>
      <c r="V124" s="1952"/>
    </row>
    <row r="125" spans="1:22" s="1942" customFormat="1" ht="28.5" hidden="1" customHeight="1" outlineLevel="2">
      <c r="A125" s="1944"/>
      <c r="B125" s="1807" t="s">
        <v>3619</v>
      </c>
      <c r="C125" s="1808"/>
      <c r="D125" s="1843" t="s">
        <v>3620</v>
      </c>
      <c r="E125" s="2009" t="s">
        <v>3621</v>
      </c>
      <c r="F125" s="1462" t="s">
        <v>1329</v>
      </c>
      <c r="G125" s="1953" t="s">
        <v>4132</v>
      </c>
      <c r="H125" s="1975" t="s">
        <v>10</v>
      </c>
      <c r="I125" s="1712">
        <f t="shared" si="40"/>
        <v>24565.840000000004</v>
      </c>
      <c r="J125" s="1949">
        <v>1</v>
      </c>
      <c r="K125" s="1950" t="s">
        <v>101</v>
      </c>
      <c r="L125" s="1947" t="s">
        <v>10</v>
      </c>
      <c r="M125" s="1754">
        <f t="shared" si="35"/>
        <v>24565.84</v>
      </c>
      <c r="N125" s="1712"/>
      <c r="O125" s="1712">
        <f t="shared" si="36"/>
        <v>0</v>
      </c>
      <c r="P125" s="1712">
        <f t="shared" si="37"/>
        <v>0</v>
      </c>
      <c r="Q125" s="1712">
        <f t="shared" si="38"/>
        <v>0</v>
      </c>
      <c r="R125" s="1757">
        <v>0.13</v>
      </c>
      <c r="S125" s="1712">
        <f t="shared" si="39"/>
        <v>0</v>
      </c>
      <c r="T125" s="1712">
        <f t="shared" si="28"/>
        <v>0</v>
      </c>
      <c r="U125" s="1712">
        <f t="shared" si="27"/>
        <v>0</v>
      </c>
      <c r="V125" s="1952"/>
    </row>
    <row r="126" spans="1:22" ht="28.5" hidden="1" customHeight="1" outlineLevel="1">
      <c r="A126" s="2019"/>
      <c r="B126" s="2023" t="s">
        <v>687</v>
      </c>
      <c r="C126" s="1852">
        <v>2</v>
      </c>
      <c r="D126" s="2024" t="s">
        <v>3146</v>
      </c>
      <c r="E126" s="2025"/>
      <c r="F126" s="1968"/>
      <c r="G126" s="2007" t="s">
        <v>4117</v>
      </c>
      <c r="H126" s="1967"/>
      <c r="I126" s="1969"/>
      <c r="J126" s="1970"/>
      <c r="K126" s="1971"/>
      <c r="L126" s="1967"/>
      <c r="M126" s="1971"/>
      <c r="N126" s="1973"/>
      <c r="O126" s="1973">
        <f>SUBTOTAL(9,O127:O129)</f>
        <v>0</v>
      </c>
      <c r="P126" s="1973"/>
      <c r="Q126" s="1973">
        <f>SUBTOTAL(9,Q127:Q129)</f>
        <v>0</v>
      </c>
      <c r="R126" s="1973"/>
      <c r="S126" s="1973">
        <f>SUBTOTAL(9,S127:S129)</f>
        <v>0</v>
      </c>
      <c r="T126" s="1973">
        <f t="shared" si="28"/>
        <v>0</v>
      </c>
      <c r="U126" s="1973">
        <f t="shared" si="27"/>
        <v>0</v>
      </c>
      <c r="V126" s="1974"/>
    </row>
    <row r="127" spans="1:22" s="1942" customFormat="1" ht="28.5" hidden="1" customHeight="1" outlineLevel="2">
      <c r="A127" s="1944"/>
      <c r="B127" s="1807" t="s">
        <v>689</v>
      </c>
      <c r="C127" s="1808"/>
      <c r="D127" s="2008" t="s">
        <v>3622</v>
      </c>
      <c r="E127" s="2009" t="s">
        <v>3623</v>
      </c>
      <c r="F127" s="1462" t="s">
        <v>3624</v>
      </c>
      <c r="G127" s="1953" t="s">
        <v>4149</v>
      </c>
      <c r="H127" s="1975" t="s">
        <v>10</v>
      </c>
      <c r="I127" s="1712">
        <f t="shared" si="40"/>
        <v>24565.840000000004</v>
      </c>
      <c r="J127" s="1949">
        <v>1</v>
      </c>
      <c r="K127" s="1950" t="s">
        <v>101</v>
      </c>
      <c r="L127" s="1947" t="s">
        <v>10</v>
      </c>
      <c r="M127" s="1754">
        <f t="shared" si="35"/>
        <v>24565.84</v>
      </c>
      <c r="N127" s="1712"/>
      <c r="O127" s="1712">
        <f>ROUND(M127*ROUND(N127,2)/10000,6)</f>
        <v>0</v>
      </c>
      <c r="P127" s="1712">
        <f>IFERROR(ROUND(Q127*10000/M127,2),0)</f>
        <v>0</v>
      </c>
      <c r="Q127" s="1712">
        <f>ROUND(O127/(1+R127),6)</f>
        <v>0</v>
      </c>
      <c r="R127" s="1757">
        <v>0.06</v>
      </c>
      <c r="S127" s="1712">
        <f>O127-Q127</f>
        <v>0</v>
      </c>
      <c r="T127" s="1712">
        <f t="shared" si="28"/>
        <v>0</v>
      </c>
      <c r="U127" s="1712">
        <f t="shared" si="27"/>
        <v>0</v>
      </c>
      <c r="V127" s="1952"/>
    </row>
    <row r="128" spans="1:22" s="1942" customFormat="1" ht="28.5" hidden="1" customHeight="1" outlineLevel="2">
      <c r="A128" s="1944"/>
      <c r="B128" s="1807" t="s">
        <v>691</v>
      </c>
      <c r="C128" s="1808"/>
      <c r="D128" s="2008" t="s">
        <v>3625</v>
      </c>
      <c r="E128" s="2009" t="s">
        <v>3626</v>
      </c>
      <c r="F128" s="1462" t="s">
        <v>3624</v>
      </c>
      <c r="G128" s="1953" t="s">
        <v>4149</v>
      </c>
      <c r="H128" s="1975" t="s">
        <v>10</v>
      </c>
      <c r="I128" s="1712">
        <f t="shared" si="40"/>
        <v>24565.840000000004</v>
      </c>
      <c r="J128" s="1949">
        <v>1</v>
      </c>
      <c r="K128" s="1950" t="s">
        <v>101</v>
      </c>
      <c r="L128" s="1947" t="s">
        <v>10</v>
      </c>
      <c r="M128" s="1754">
        <f t="shared" si="35"/>
        <v>24565.84</v>
      </c>
      <c r="N128" s="1712"/>
      <c r="O128" s="1712">
        <f>ROUND(M128*ROUND(N128,2)/10000,6)</f>
        <v>0</v>
      </c>
      <c r="P128" s="1712">
        <f>IFERROR(ROUND(Q128*10000/M128,2),0)</f>
        <v>0</v>
      </c>
      <c r="Q128" s="1712">
        <f>ROUND(O128/(1+R128),6)</f>
        <v>0</v>
      </c>
      <c r="R128" s="1757">
        <v>0.06</v>
      </c>
      <c r="S128" s="1712">
        <f>O128-Q128</f>
        <v>0</v>
      </c>
      <c r="T128" s="1712">
        <f t="shared" si="28"/>
        <v>0</v>
      </c>
      <c r="U128" s="1712">
        <f t="shared" si="27"/>
        <v>0</v>
      </c>
      <c r="V128" s="1952"/>
    </row>
    <row r="129" spans="1:22" s="1942" customFormat="1" ht="28.5" hidden="1" customHeight="1" outlineLevel="2">
      <c r="A129" s="1944"/>
      <c r="B129" s="1807" t="s">
        <v>693</v>
      </c>
      <c r="C129" s="1808"/>
      <c r="D129" s="2008" t="s">
        <v>3627</v>
      </c>
      <c r="E129" s="2009" t="s">
        <v>3628</v>
      </c>
      <c r="F129" s="1462" t="s">
        <v>3624</v>
      </c>
      <c r="G129" s="1953" t="s">
        <v>4149</v>
      </c>
      <c r="H129" s="1975" t="s">
        <v>10</v>
      </c>
      <c r="I129" s="1712">
        <f t="shared" si="40"/>
        <v>24565.840000000004</v>
      </c>
      <c r="J129" s="1949">
        <v>1</v>
      </c>
      <c r="K129" s="1950" t="s">
        <v>101</v>
      </c>
      <c r="L129" s="1947" t="s">
        <v>10</v>
      </c>
      <c r="M129" s="1754">
        <f t="shared" si="35"/>
        <v>24565.84</v>
      </c>
      <c r="N129" s="1712"/>
      <c r="O129" s="1712">
        <f>ROUND(M129*ROUND(N129,2)/10000,6)</f>
        <v>0</v>
      </c>
      <c r="P129" s="1712">
        <f>IFERROR(ROUND(Q129*10000/M129,2),0)</f>
        <v>0</v>
      </c>
      <c r="Q129" s="1712">
        <f>ROUND(O129/(1+R129),6)</f>
        <v>0</v>
      </c>
      <c r="R129" s="1757">
        <v>0.13</v>
      </c>
      <c r="S129" s="1712">
        <f>O129-Q129</f>
        <v>0</v>
      </c>
      <c r="T129" s="1712">
        <f t="shared" si="28"/>
        <v>0</v>
      </c>
      <c r="U129" s="1712">
        <f t="shared" si="27"/>
        <v>0</v>
      </c>
      <c r="V129" s="1952"/>
    </row>
    <row r="130" spans="1:22" ht="28.5" hidden="1" customHeight="1" outlineLevel="1">
      <c r="A130" s="2019"/>
      <c r="B130" s="2023" t="s">
        <v>695</v>
      </c>
      <c r="C130" s="1852">
        <v>3</v>
      </c>
      <c r="D130" s="2024" t="s">
        <v>3147</v>
      </c>
      <c r="E130" s="2025"/>
      <c r="F130" s="2026" t="s">
        <v>1424</v>
      </c>
      <c r="G130" s="2027" t="s">
        <v>4123</v>
      </c>
      <c r="H130" s="2028" t="s">
        <v>10</v>
      </c>
      <c r="I130" s="2029">
        <f t="shared" si="40"/>
        <v>24565.840000000004</v>
      </c>
      <c r="J130" s="2030"/>
      <c r="K130" s="2031" t="s">
        <v>101</v>
      </c>
      <c r="L130" s="2032" t="s">
        <v>10</v>
      </c>
      <c r="M130" s="1971"/>
      <c r="N130" s="1973"/>
      <c r="O130" s="1973">
        <f>ROUND(M130*ROUND(N130,2)/10000,6)</f>
        <v>0</v>
      </c>
      <c r="P130" s="1973">
        <f>IFERROR(ROUND(Q130*10000/M130,2),0)</f>
        <v>0</v>
      </c>
      <c r="Q130" s="1973">
        <f>ROUND(O130/(1+R130),6)</f>
        <v>0</v>
      </c>
      <c r="R130" s="2033">
        <v>0.06</v>
      </c>
      <c r="S130" s="2034">
        <f>O130-Q130</f>
        <v>0</v>
      </c>
      <c r="T130" s="1973">
        <f t="shared" si="28"/>
        <v>0</v>
      </c>
      <c r="U130" s="1973">
        <f t="shared" si="27"/>
        <v>0</v>
      </c>
      <c r="V130" s="1974"/>
    </row>
    <row r="131" spans="1:22" ht="28.5" hidden="1" customHeight="1" outlineLevel="1">
      <c r="A131" s="2019"/>
      <c r="B131" s="2023" t="s">
        <v>697</v>
      </c>
      <c r="C131" s="1852">
        <v>4</v>
      </c>
      <c r="D131" s="2024" t="s">
        <v>3148</v>
      </c>
      <c r="E131" s="2025" t="s">
        <v>3629</v>
      </c>
      <c r="F131" s="2026" t="s">
        <v>3577</v>
      </c>
      <c r="G131" s="2027" t="s">
        <v>4141</v>
      </c>
      <c r="H131" s="2032" t="s">
        <v>10</v>
      </c>
      <c r="I131" s="2029">
        <f t="shared" si="40"/>
        <v>24565.840000000004</v>
      </c>
      <c r="J131" s="2030"/>
      <c r="K131" s="2031" t="s">
        <v>101</v>
      </c>
      <c r="L131" s="2032" t="s">
        <v>4056</v>
      </c>
      <c r="M131" s="1971"/>
      <c r="N131" s="1973"/>
      <c r="O131" s="1973">
        <f>ROUND(M131*ROUND(N131,2)/10000,6)</f>
        <v>0</v>
      </c>
      <c r="P131" s="1973">
        <f>IFERROR(ROUND(Q131*10000/M131,2),0)</f>
        <v>0</v>
      </c>
      <c r="Q131" s="1973">
        <f>ROUND(O131/(1+R131),6)</f>
        <v>0</v>
      </c>
      <c r="R131" s="2033">
        <v>0.09</v>
      </c>
      <c r="S131" s="2034">
        <f>O131-Q131</f>
        <v>0</v>
      </c>
      <c r="T131" s="1973">
        <f t="shared" si="28"/>
        <v>0</v>
      </c>
      <c r="U131" s="1973">
        <f t="shared" si="27"/>
        <v>0</v>
      </c>
      <c r="V131" s="1974"/>
    </row>
    <row r="132" spans="1:22" ht="28.5" customHeight="1">
      <c r="A132" s="2019"/>
      <c r="B132" s="1684">
        <v>5001.05</v>
      </c>
      <c r="C132" s="1685" t="s">
        <v>379</v>
      </c>
      <c r="D132" s="1956" t="s">
        <v>498</v>
      </c>
      <c r="E132" s="1957"/>
      <c r="F132" s="2020"/>
      <c r="G132" s="2021" t="s">
        <v>4117</v>
      </c>
      <c r="H132" s="1959"/>
      <c r="I132" s="1960"/>
      <c r="J132" s="1961"/>
      <c r="K132" s="2022"/>
      <c r="L132" s="1959"/>
      <c r="M132" s="2022"/>
      <c r="N132" s="1963"/>
      <c r="O132" s="1963">
        <f>SUBTOTAL(9,O133:O208)</f>
        <v>336.68607200000002</v>
      </c>
      <c r="P132" s="1963"/>
      <c r="Q132" s="1963">
        <f>SUBTOTAL(9,Q133:Q208)</f>
        <v>301.78374300000002</v>
      </c>
      <c r="R132" s="1963"/>
      <c r="S132" s="1963">
        <f>SUBTOTAL(9,S133:S208)</f>
        <v>34.902329000000009</v>
      </c>
      <c r="T132" s="1963">
        <f t="shared" si="28"/>
        <v>122.84690570320411</v>
      </c>
      <c r="U132" s="1963">
        <f t="shared" si="27"/>
        <v>137.0545733424951</v>
      </c>
      <c r="V132" s="1964"/>
    </row>
    <row r="133" spans="1:22" ht="28.5" customHeight="1" outlineLevel="1">
      <c r="A133" s="2019"/>
      <c r="B133" s="2023" t="s">
        <v>499</v>
      </c>
      <c r="C133" s="1852">
        <v>1</v>
      </c>
      <c r="D133" s="2024" t="s">
        <v>35</v>
      </c>
      <c r="E133" s="2025"/>
      <c r="F133" s="1968"/>
      <c r="G133" s="2007" t="s">
        <v>4117</v>
      </c>
      <c r="H133" s="1967"/>
      <c r="I133" s="1969"/>
      <c r="J133" s="1970"/>
      <c r="K133" s="1971"/>
      <c r="L133" s="1967"/>
      <c r="M133" s="1971"/>
      <c r="N133" s="1973"/>
      <c r="O133" s="1973">
        <f>SUBTOTAL(9,O134:O175)</f>
        <v>211.33063200000001</v>
      </c>
      <c r="P133" s="1973"/>
      <c r="Q133" s="1973">
        <f>SUBTOTAL(9,Q134:Q175)</f>
        <v>188.05747200000002</v>
      </c>
      <c r="R133" s="1973"/>
      <c r="S133" s="1973">
        <f>SUBTOTAL(9,S134:S175)</f>
        <v>23.273160000000008</v>
      </c>
      <c r="T133" s="1973">
        <f t="shared" si="28"/>
        <v>76.552428901271028</v>
      </c>
      <c r="U133" s="1973">
        <f t="shared" si="27"/>
        <v>86.026218521328801</v>
      </c>
      <c r="V133" s="1974"/>
    </row>
    <row r="134" spans="1:22" s="1942" customFormat="1" ht="28.5" customHeight="1" outlineLevel="2">
      <c r="A134" s="1944"/>
      <c r="B134" s="1807" t="s">
        <v>700</v>
      </c>
      <c r="C134" s="1808"/>
      <c r="D134" s="2008" t="s">
        <v>701</v>
      </c>
      <c r="E134" s="2009"/>
      <c r="F134" s="1462"/>
      <c r="G134" s="1953" t="s">
        <v>4117</v>
      </c>
      <c r="H134" s="1947"/>
      <c r="I134" s="1948"/>
      <c r="J134" s="1949"/>
      <c r="K134" s="1950"/>
      <c r="L134" s="1947"/>
      <c r="M134" s="1950"/>
      <c r="N134" s="1712"/>
      <c r="O134" s="1712">
        <f>SUBTOTAL(9,O135:O149)</f>
        <v>73.697519999999997</v>
      </c>
      <c r="P134" s="1712"/>
      <c r="Q134" s="1712">
        <f>SUBTOTAL(9,Q135:Q149)</f>
        <v>65.219043999999997</v>
      </c>
      <c r="R134" s="1712"/>
      <c r="S134" s="1712">
        <f>SUBTOTAL(9,S135:S149)</f>
        <v>8.4784760000000006</v>
      </c>
      <c r="T134" s="1712">
        <f t="shared" si="28"/>
        <v>26.548672465504939</v>
      </c>
      <c r="U134" s="1712">
        <f t="shared" si="27"/>
        <v>29.999999999999993</v>
      </c>
      <c r="V134" s="1952"/>
    </row>
    <row r="135" spans="1:22" s="1942" customFormat="1" ht="28.5" customHeight="1" outlineLevel="3">
      <c r="A135" s="1944"/>
      <c r="B135" s="1978" t="s">
        <v>702</v>
      </c>
      <c r="C135" s="1810"/>
      <c r="D135" s="2008" t="s">
        <v>3630</v>
      </c>
      <c r="E135" s="2009" t="s">
        <v>3631</v>
      </c>
      <c r="F135" s="1462"/>
      <c r="G135" s="1953" t="s">
        <v>4117</v>
      </c>
      <c r="H135" s="1947"/>
      <c r="I135" s="1712"/>
      <c r="J135" s="2035"/>
      <c r="K135" s="1950"/>
      <c r="L135" s="1947"/>
      <c r="M135" s="1754"/>
      <c r="N135" s="1712"/>
      <c r="O135" s="1712">
        <f>SUBTOTAL(9,O136:O137)</f>
        <v>0</v>
      </c>
      <c r="P135" s="1983"/>
      <c r="Q135" s="1712">
        <f>SUBTOTAL(9,Q136:Q137)</f>
        <v>0</v>
      </c>
      <c r="R135" s="1757"/>
      <c r="S135" s="1712">
        <f>SUBTOTAL(9,S136:S137)</f>
        <v>0</v>
      </c>
      <c r="T135" s="1712">
        <f t="shared" si="28"/>
        <v>0</v>
      </c>
      <c r="U135" s="1712">
        <f t="shared" si="27"/>
        <v>0</v>
      </c>
      <c r="V135" s="1952"/>
    </row>
    <row r="136" spans="1:22" s="1942" customFormat="1" ht="28.5" customHeight="1" outlineLevel="4">
      <c r="A136" s="1944"/>
      <c r="B136" s="1985" t="s">
        <v>801</v>
      </c>
      <c r="C136" s="1828"/>
      <c r="D136" s="2013" t="s">
        <v>4057</v>
      </c>
      <c r="E136" s="2011"/>
      <c r="F136" s="1988" t="s">
        <v>459</v>
      </c>
      <c r="G136" s="1989" t="s">
        <v>4150</v>
      </c>
      <c r="H136" s="1990" t="s">
        <v>10</v>
      </c>
      <c r="I136" s="1991">
        <f>$E$5</f>
        <v>24565.840000000004</v>
      </c>
      <c r="J136" s="1991"/>
      <c r="K136" s="2000" t="s">
        <v>101</v>
      </c>
      <c r="L136" s="1990" t="s">
        <v>4058</v>
      </c>
      <c r="M136" s="1991">
        <f>ROUND(I136,2)*ROUND(J136,4)</f>
        <v>0</v>
      </c>
      <c r="N136" s="1991"/>
      <c r="O136" s="1991">
        <f>ROUND(M136*ROUND(N136,2)/10000,6)</f>
        <v>0</v>
      </c>
      <c r="P136" s="1991">
        <f>IFERROR(ROUND(Q136*10000/M136,2),0)</f>
        <v>0</v>
      </c>
      <c r="Q136" s="1991">
        <f>ROUND(O136/(1+R136),6)</f>
        <v>0</v>
      </c>
      <c r="R136" s="1993">
        <v>0.13</v>
      </c>
      <c r="S136" s="1991">
        <f>O136-Q136</f>
        <v>0</v>
      </c>
      <c r="T136" s="1991">
        <f t="shared" si="28"/>
        <v>0</v>
      </c>
      <c r="U136" s="1991">
        <f t="shared" si="27"/>
        <v>0</v>
      </c>
      <c r="V136" s="1994"/>
    </row>
    <row r="137" spans="1:22" s="1942" customFormat="1" ht="28.5" customHeight="1" outlineLevel="4">
      <c r="A137" s="1944"/>
      <c r="B137" s="1985" t="s">
        <v>703</v>
      </c>
      <c r="C137" s="1828"/>
      <c r="D137" s="2013" t="s">
        <v>4059</v>
      </c>
      <c r="E137" s="2011"/>
      <c r="F137" s="1988" t="s">
        <v>1493</v>
      </c>
      <c r="G137" s="1989" t="s">
        <v>4119</v>
      </c>
      <c r="H137" s="1990" t="s">
        <v>10</v>
      </c>
      <c r="I137" s="1991">
        <f>$E$5</f>
        <v>24565.840000000004</v>
      </c>
      <c r="J137" s="1991"/>
      <c r="K137" s="2000" t="s">
        <v>101</v>
      </c>
      <c r="L137" s="1990" t="s">
        <v>4058</v>
      </c>
      <c r="M137" s="1991">
        <f>ROUND(I137,2)*ROUND(J137,4)</f>
        <v>0</v>
      </c>
      <c r="N137" s="1991"/>
      <c r="O137" s="1991">
        <f>ROUND(M137*ROUND(N137,2)/10000,6)</f>
        <v>0</v>
      </c>
      <c r="P137" s="1991">
        <f>IFERROR(ROUND(Q137*10000/M137,2),0)</f>
        <v>0</v>
      </c>
      <c r="Q137" s="1991">
        <f>ROUND(O137/(1+R137),6)</f>
        <v>0</v>
      </c>
      <c r="R137" s="1993">
        <v>0.09</v>
      </c>
      <c r="S137" s="1991">
        <f>O137-Q137</f>
        <v>0</v>
      </c>
      <c r="T137" s="1991">
        <f t="shared" si="28"/>
        <v>0</v>
      </c>
      <c r="U137" s="1991">
        <f t="shared" si="27"/>
        <v>0</v>
      </c>
      <c r="V137" s="1994"/>
    </row>
    <row r="138" spans="1:22" s="1942" customFormat="1" ht="28.5" customHeight="1" outlineLevel="3">
      <c r="A138" s="1944"/>
      <c r="B138" s="1978" t="s">
        <v>1558</v>
      </c>
      <c r="C138" s="1810"/>
      <c r="D138" s="2008" t="s">
        <v>3632</v>
      </c>
      <c r="E138" s="2009" t="s">
        <v>3633</v>
      </c>
      <c r="F138" s="1462"/>
      <c r="G138" s="1953" t="s">
        <v>4117</v>
      </c>
      <c r="H138" s="1947"/>
      <c r="I138" s="1948"/>
      <c r="J138" s="2035"/>
      <c r="K138" s="1950"/>
      <c r="L138" s="1947"/>
      <c r="M138" s="1754"/>
      <c r="N138" s="1712"/>
      <c r="O138" s="1712">
        <f>SUBTOTAL(9,O139:O140)</f>
        <v>0</v>
      </c>
      <c r="P138" s="1983"/>
      <c r="Q138" s="1712">
        <f>SUBTOTAL(9,Q139:Q140)</f>
        <v>0</v>
      </c>
      <c r="R138" s="1757"/>
      <c r="S138" s="1712">
        <f>SUBTOTAL(9,S139:S140)</f>
        <v>0</v>
      </c>
      <c r="T138" s="1712">
        <f t="shared" si="28"/>
        <v>0</v>
      </c>
      <c r="U138" s="1712">
        <f t="shared" si="27"/>
        <v>0</v>
      </c>
      <c r="V138" s="1952"/>
    </row>
    <row r="139" spans="1:22" s="1942" customFormat="1" ht="28.5" customHeight="1" outlineLevel="4">
      <c r="A139" s="1944"/>
      <c r="B139" s="1985" t="s">
        <v>802</v>
      </c>
      <c r="C139" s="1828"/>
      <c r="D139" s="2013" t="s">
        <v>1569</v>
      </c>
      <c r="E139" s="2011"/>
      <c r="F139" s="1988" t="s">
        <v>469</v>
      </c>
      <c r="G139" s="1989" t="s">
        <v>4151</v>
      </c>
      <c r="H139" s="1990" t="s">
        <v>10</v>
      </c>
      <c r="I139" s="1991">
        <f>$E$5</f>
        <v>24565.840000000004</v>
      </c>
      <c r="J139" s="1991"/>
      <c r="K139" s="2000" t="s">
        <v>101</v>
      </c>
      <c r="L139" s="1990" t="s">
        <v>4060</v>
      </c>
      <c r="M139" s="1991">
        <f t="shared" ref="M139:M189" si="41">ROUND(I139,2)*ROUND(J139,4)</f>
        <v>0</v>
      </c>
      <c r="N139" s="1991"/>
      <c r="O139" s="1991">
        <f t="shared" ref="O139:O149" si="42">ROUND(M139*ROUND(N139,2)/10000,6)</f>
        <v>0</v>
      </c>
      <c r="P139" s="1991">
        <f t="shared" ref="P139:P149" si="43">IFERROR(ROUND(Q139*10000/M139,2),0)</f>
        <v>0</v>
      </c>
      <c r="Q139" s="1991">
        <f t="shared" ref="Q139:Q149" si="44">ROUND(O139/(1+R139),6)</f>
        <v>0</v>
      </c>
      <c r="R139" s="1993">
        <v>0.13</v>
      </c>
      <c r="S139" s="1991">
        <f t="shared" ref="S139:S149" si="45">O139-Q139</f>
        <v>0</v>
      </c>
      <c r="T139" s="1991">
        <f t="shared" si="28"/>
        <v>0</v>
      </c>
      <c r="U139" s="1991">
        <f t="shared" si="27"/>
        <v>0</v>
      </c>
      <c r="V139" s="1994"/>
    </row>
    <row r="140" spans="1:22" s="1942" customFormat="1" ht="28.5" customHeight="1" outlineLevel="4">
      <c r="A140" s="1944"/>
      <c r="B140" s="1985" t="s">
        <v>704</v>
      </c>
      <c r="C140" s="1828"/>
      <c r="D140" s="2013" t="s">
        <v>1571</v>
      </c>
      <c r="E140" s="2011"/>
      <c r="F140" s="1988" t="s">
        <v>3342</v>
      </c>
      <c r="G140" s="1989" t="s">
        <v>4116</v>
      </c>
      <c r="H140" s="1990" t="s">
        <v>10</v>
      </c>
      <c r="I140" s="1991">
        <f>$E$5</f>
        <v>24565.840000000004</v>
      </c>
      <c r="J140" s="1991"/>
      <c r="K140" s="2000" t="s">
        <v>101</v>
      </c>
      <c r="L140" s="1990" t="s">
        <v>4060</v>
      </c>
      <c r="M140" s="1991">
        <f t="shared" si="41"/>
        <v>0</v>
      </c>
      <c r="N140" s="1991"/>
      <c r="O140" s="1991">
        <f t="shared" si="42"/>
        <v>0</v>
      </c>
      <c r="P140" s="1991">
        <f t="shared" si="43"/>
        <v>0</v>
      </c>
      <c r="Q140" s="1991">
        <f t="shared" si="44"/>
        <v>0</v>
      </c>
      <c r="R140" s="1993">
        <v>0.09</v>
      </c>
      <c r="S140" s="1991">
        <f t="shared" si="45"/>
        <v>0</v>
      </c>
      <c r="T140" s="1991">
        <f t="shared" si="28"/>
        <v>0</v>
      </c>
      <c r="U140" s="1991">
        <f t="shared" si="27"/>
        <v>0</v>
      </c>
      <c r="V140" s="1994"/>
    </row>
    <row r="141" spans="1:22" s="1942" customFormat="1" ht="28.5" customHeight="1" outlineLevel="3">
      <c r="A141" s="1944"/>
      <c r="B141" s="1978" t="s">
        <v>1566</v>
      </c>
      <c r="C141" s="1810"/>
      <c r="D141" s="2008" t="s">
        <v>3634</v>
      </c>
      <c r="E141" s="2009" t="s">
        <v>3635</v>
      </c>
      <c r="F141" s="1462" t="s">
        <v>3832</v>
      </c>
      <c r="G141" s="1953" t="s">
        <v>4152</v>
      </c>
      <c r="H141" s="1947" t="s">
        <v>10</v>
      </c>
      <c r="I141" s="1712">
        <f>$E$5</f>
        <v>24565.840000000004</v>
      </c>
      <c r="J141" s="2035"/>
      <c r="K141" s="1950" t="s">
        <v>101</v>
      </c>
      <c r="L141" s="1947" t="s">
        <v>4061</v>
      </c>
      <c r="M141" s="1754">
        <f t="shared" si="41"/>
        <v>0</v>
      </c>
      <c r="N141" s="1712"/>
      <c r="O141" s="1712">
        <f t="shared" si="42"/>
        <v>0</v>
      </c>
      <c r="P141" s="1712">
        <f t="shared" si="43"/>
        <v>0</v>
      </c>
      <c r="Q141" s="1712">
        <f t="shared" si="44"/>
        <v>0</v>
      </c>
      <c r="R141" s="1757">
        <v>0.09</v>
      </c>
      <c r="S141" s="1712">
        <f t="shared" si="45"/>
        <v>0</v>
      </c>
      <c r="T141" s="1712">
        <f t="shared" si="28"/>
        <v>0</v>
      </c>
      <c r="U141" s="1712">
        <f t="shared" si="27"/>
        <v>0</v>
      </c>
      <c r="V141" s="1952"/>
    </row>
    <row r="142" spans="1:22" s="1942" customFormat="1" ht="28.5" customHeight="1" outlineLevel="3">
      <c r="A142" s="1944"/>
      <c r="B142" s="1978" t="s">
        <v>1572</v>
      </c>
      <c r="C142" s="1810"/>
      <c r="D142" s="2008" t="s">
        <v>3637</v>
      </c>
      <c r="E142" s="2009" t="s">
        <v>3638</v>
      </c>
      <c r="F142" s="1462" t="s">
        <v>3636</v>
      </c>
      <c r="G142" s="1953" t="s">
        <v>4153</v>
      </c>
      <c r="H142" s="1947" t="s">
        <v>10</v>
      </c>
      <c r="I142" s="1712">
        <f t="shared" ref="I142:I149" si="46">$E$5</f>
        <v>24565.840000000004</v>
      </c>
      <c r="J142" s="2035"/>
      <c r="K142" s="1950" t="s">
        <v>101</v>
      </c>
      <c r="L142" s="1947" t="s">
        <v>4062</v>
      </c>
      <c r="M142" s="1754">
        <f t="shared" si="41"/>
        <v>0</v>
      </c>
      <c r="N142" s="1712"/>
      <c r="O142" s="1712">
        <f t="shared" si="42"/>
        <v>0</v>
      </c>
      <c r="P142" s="1712">
        <f t="shared" si="43"/>
        <v>0</v>
      </c>
      <c r="Q142" s="1712">
        <f t="shared" si="44"/>
        <v>0</v>
      </c>
      <c r="R142" s="1757">
        <v>0.09</v>
      </c>
      <c r="S142" s="1712">
        <f t="shared" si="45"/>
        <v>0</v>
      </c>
      <c r="T142" s="1712">
        <f t="shared" si="28"/>
        <v>0</v>
      </c>
      <c r="U142" s="1712">
        <f t="shared" si="27"/>
        <v>0</v>
      </c>
      <c r="V142" s="1952"/>
    </row>
    <row r="143" spans="1:22" s="1942" customFormat="1" ht="28.5" customHeight="1" outlineLevel="3">
      <c r="A143" s="1944"/>
      <c r="B143" s="1978" t="s">
        <v>1578</v>
      </c>
      <c r="C143" s="1810"/>
      <c r="D143" s="2008" t="s">
        <v>3639</v>
      </c>
      <c r="E143" s="2009" t="s">
        <v>3640</v>
      </c>
      <c r="F143" s="1462" t="s">
        <v>3636</v>
      </c>
      <c r="G143" s="1953" t="s">
        <v>4153</v>
      </c>
      <c r="H143" s="1947" t="s">
        <v>10</v>
      </c>
      <c r="I143" s="1712">
        <f t="shared" si="46"/>
        <v>24565.840000000004</v>
      </c>
      <c r="J143" s="2035"/>
      <c r="K143" s="1950" t="s">
        <v>101</v>
      </c>
      <c r="L143" s="1947" t="s">
        <v>4063</v>
      </c>
      <c r="M143" s="1754">
        <f t="shared" si="41"/>
        <v>0</v>
      </c>
      <c r="N143" s="1712"/>
      <c r="O143" s="1712">
        <f t="shared" si="42"/>
        <v>0</v>
      </c>
      <c r="P143" s="1712">
        <f t="shared" si="43"/>
        <v>0</v>
      </c>
      <c r="Q143" s="1712">
        <f t="shared" si="44"/>
        <v>0</v>
      </c>
      <c r="R143" s="1757">
        <v>0.09</v>
      </c>
      <c r="S143" s="1712">
        <f t="shared" si="45"/>
        <v>0</v>
      </c>
      <c r="T143" s="1712">
        <f t="shared" si="28"/>
        <v>0</v>
      </c>
      <c r="U143" s="1712">
        <f t="shared" si="27"/>
        <v>0</v>
      </c>
      <c r="V143" s="1952"/>
    </row>
    <row r="144" spans="1:22" s="1942" customFormat="1" ht="28.5" customHeight="1" outlineLevel="3">
      <c r="A144" s="1944"/>
      <c r="B144" s="1978" t="s">
        <v>705</v>
      </c>
      <c r="C144" s="1810"/>
      <c r="D144" s="2008" t="s">
        <v>3641</v>
      </c>
      <c r="E144" s="2009" t="s">
        <v>3642</v>
      </c>
      <c r="F144" s="1462" t="s">
        <v>1493</v>
      </c>
      <c r="G144" s="1953" t="s">
        <v>4119</v>
      </c>
      <c r="H144" s="1947" t="s">
        <v>10</v>
      </c>
      <c r="I144" s="1712">
        <f t="shared" si="46"/>
        <v>24565.840000000004</v>
      </c>
      <c r="J144" s="2035"/>
      <c r="K144" s="1977" t="s">
        <v>4064</v>
      </c>
      <c r="L144" s="1947" t="s">
        <v>4065</v>
      </c>
      <c r="M144" s="1754">
        <f t="shared" si="41"/>
        <v>0</v>
      </c>
      <c r="N144" s="1712"/>
      <c r="O144" s="1712">
        <f t="shared" si="42"/>
        <v>0</v>
      </c>
      <c r="P144" s="1712">
        <f t="shared" si="43"/>
        <v>0</v>
      </c>
      <c r="Q144" s="1712">
        <f t="shared" si="44"/>
        <v>0</v>
      </c>
      <c r="R144" s="1757">
        <v>0.09</v>
      </c>
      <c r="S144" s="1712">
        <f t="shared" si="45"/>
        <v>0</v>
      </c>
      <c r="T144" s="1712">
        <f t="shared" si="28"/>
        <v>0</v>
      </c>
      <c r="U144" s="1712">
        <f t="shared" si="27"/>
        <v>0</v>
      </c>
      <c r="V144" s="1952"/>
    </row>
    <row r="145" spans="1:22" s="1942" customFormat="1" ht="28.5" customHeight="1" outlineLevel="3">
      <c r="A145" s="1944"/>
      <c r="B145" s="1978" t="s">
        <v>706</v>
      </c>
      <c r="C145" s="1810"/>
      <c r="D145" s="2008" t="s">
        <v>3643</v>
      </c>
      <c r="E145" s="2009" t="s">
        <v>3644</v>
      </c>
      <c r="F145" s="1462" t="s">
        <v>3636</v>
      </c>
      <c r="G145" s="1953" t="s">
        <v>4153</v>
      </c>
      <c r="H145" s="1947" t="s">
        <v>10</v>
      </c>
      <c r="I145" s="1712">
        <f t="shared" si="46"/>
        <v>24565.840000000004</v>
      </c>
      <c r="J145" s="2035">
        <v>0.02</v>
      </c>
      <c r="K145" s="1950" t="s">
        <v>101</v>
      </c>
      <c r="L145" s="1947" t="s">
        <v>4066</v>
      </c>
      <c r="M145" s="1754">
        <f t="shared" si="41"/>
        <v>491.3168</v>
      </c>
      <c r="N145" s="1712">
        <v>1500</v>
      </c>
      <c r="O145" s="1712">
        <f t="shared" si="42"/>
        <v>73.697519999999997</v>
      </c>
      <c r="P145" s="1712">
        <f t="shared" si="43"/>
        <v>1327.43</v>
      </c>
      <c r="Q145" s="1712">
        <f t="shared" si="44"/>
        <v>65.219043999999997</v>
      </c>
      <c r="R145" s="1757">
        <v>0.13</v>
      </c>
      <c r="S145" s="1712">
        <f t="shared" si="45"/>
        <v>8.4784760000000006</v>
      </c>
      <c r="T145" s="1712">
        <f t="shared" si="28"/>
        <v>26.548672465504939</v>
      </c>
      <c r="U145" s="1712">
        <f t="shared" ref="U145:U208" si="47">IFERROR(O145*10000/$E$6,"")</f>
        <v>29.999999999999993</v>
      </c>
      <c r="V145" s="1952"/>
    </row>
    <row r="146" spans="1:22" s="1942" customFormat="1" ht="28.5" customHeight="1" outlineLevel="3">
      <c r="A146" s="1944"/>
      <c r="B146" s="1978" t="s">
        <v>707</v>
      </c>
      <c r="C146" s="1810"/>
      <c r="D146" s="2008" t="s">
        <v>97</v>
      </c>
      <c r="E146" s="2009" t="s">
        <v>3645</v>
      </c>
      <c r="F146" s="1462" t="s">
        <v>470</v>
      </c>
      <c r="G146" s="1953" t="s">
        <v>4154</v>
      </c>
      <c r="H146" s="1975" t="s">
        <v>10</v>
      </c>
      <c r="I146" s="1712">
        <f t="shared" si="46"/>
        <v>24565.840000000004</v>
      </c>
      <c r="J146" s="2036"/>
      <c r="K146" s="1950" t="s">
        <v>101</v>
      </c>
      <c r="L146" s="1947" t="s">
        <v>10</v>
      </c>
      <c r="M146" s="1754">
        <f t="shared" si="41"/>
        <v>0</v>
      </c>
      <c r="N146" s="1712"/>
      <c r="O146" s="1712">
        <f t="shared" si="42"/>
        <v>0</v>
      </c>
      <c r="P146" s="1712">
        <f t="shared" si="43"/>
        <v>0</v>
      </c>
      <c r="Q146" s="1712">
        <f t="shared" si="44"/>
        <v>0</v>
      </c>
      <c r="R146" s="1757">
        <v>0.09</v>
      </c>
      <c r="S146" s="1712">
        <f t="shared" si="45"/>
        <v>0</v>
      </c>
      <c r="T146" s="1712">
        <f t="shared" ref="T146:T208" si="48">IFERROR(Q146*10000/$E$6,"")</f>
        <v>0</v>
      </c>
      <c r="U146" s="1712">
        <f t="shared" si="47"/>
        <v>0</v>
      </c>
      <c r="V146" s="1952"/>
    </row>
    <row r="147" spans="1:22" s="1942" customFormat="1" ht="28.5" customHeight="1" outlineLevel="3">
      <c r="A147" s="1944"/>
      <c r="B147" s="1978" t="s">
        <v>709</v>
      </c>
      <c r="C147" s="1810"/>
      <c r="D147" s="2008" t="s">
        <v>3646</v>
      </c>
      <c r="E147" s="2009" t="s">
        <v>3647</v>
      </c>
      <c r="F147" s="1462" t="s">
        <v>1363</v>
      </c>
      <c r="G147" s="1953" t="s">
        <v>4155</v>
      </c>
      <c r="H147" s="1975" t="s">
        <v>10</v>
      </c>
      <c r="I147" s="1712">
        <f t="shared" si="46"/>
        <v>24565.840000000004</v>
      </c>
      <c r="J147" s="2036"/>
      <c r="K147" s="1950" t="s">
        <v>101</v>
      </c>
      <c r="L147" s="1947" t="s">
        <v>10</v>
      </c>
      <c r="M147" s="1754">
        <f t="shared" si="41"/>
        <v>0</v>
      </c>
      <c r="N147" s="1712"/>
      <c r="O147" s="1712">
        <f t="shared" si="42"/>
        <v>0</v>
      </c>
      <c r="P147" s="1712">
        <f t="shared" si="43"/>
        <v>0</v>
      </c>
      <c r="Q147" s="1712">
        <f t="shared" si="44"/>
        <v>0</v>
      </c>
      <c r="R147" s="1757">
        <v>0.09</v>
      </c>
      <c r="S147" s="1712">
        <f t="shared" si="45"/>
        <v>0</v>
      </c>
      <c r="T147" s="1712">
        <f t="shared" si="48"/>
        <v>0</v>
      </c>
      <c r="U147" s="1712">
        <f t="shared" si="47"/>
        <v>0</v>
      </c>
      <c r="V147" s="1952"/>
    </row>
    <row r="148" spans="1:22" s="1942" customFormat="1" ht="28.5" customHeight="1" outlineLevel="3">
      <c r="A148" s="1944"/>
      <c r="B148" s="1978" t="s">
        <v>710</v>
      </c>
      <c r="C148" s="1810"/>
      <c r="D148" s="2008" t="s">
        <v>3648</v>
      </c>
      <c r="E148" s="2009" t="s">
        <v>3649</v>
      </c>
      <c r="F148" s="1462" t="s">
        <v>3636</v>
      </c>
      <c r="G148" s="1953" t="s">
        <v>4153</v>
      </c>
      <c r="H148" s="1975" t="s">
        <v>10</v>
      </c>
      <c r="I148" s="1712">
        <f t="shared" si="46"/>
        <v>24565.840000000004</v>
      </c>
      <c r="J148" s="2036"/>
      <c r="K148" s="1950" t="s">
        <v>101</v>
      </c>
      <c r="L148" s="1947" t="s">
        <v>4067</v>
      </c>
      <c r="M148" s="1754">
        <f t="shared" si="41"/>
        <v>0</v>
      </c>
      <c r="N148" s="1712"/>
      <c r="O148" s="1712">
        <f t="shared" si="42"/>
        <v>0</v>
      </c>
      <c r="P148" s="1712">
        <f t="shared" si="43"/>
        <v>0</v>
      </c>
      <c r="Q148" s="1712">
        <f t="shared" si="44"/>
        <v>0</v>
      </c>
      <c r="R148" s="1757">
        <v>0.09</v>
      </c>
      <c r="S148" s="1712">
        <f t="shared" si="45"/>
        <v>0</v>
      </c>
      <c r="T148" s="1712">
        <f t="shared" si="48"/>
        <v>0</v>
      </c>
      <c r="U148" s="1712">
        <f t="shared" si="47"/>
        <v>0</v>
      </c>
      <c r="V148" s="1952"/>
    </row>
    <row r="149" spans="1:22" s="1942" customFormat="1" ht="28.5" customHeight="1" outlineLevel="3">
      <c r="A149" s="1944"/>
      <c r="B149" s="1978" t="s">
        <v>3650</v>
      </c>
      <c r="C149" s="1810"/>
      <c r="D149" s="2008" t="s">
        <v>3651</v>
      </c>
      <c r="E149" s="2009" t="s">
        <v>3652</v>
      </c>
      <c r="F149" s="1462" t="s">
        <v>1606</v>
      </c>
      <c r="G149" s="1953" t="s">
        <v>4121</v>
      </c>
      <c r="H149" s="1975" t="s">
        <v>10</v>
      </c>
      <c r="I149" s="1712">
        <f t="shared" si="46"/>
        <v>24565.840000000004</v>
      </c>
      <c r="J149" s="2036"/>
      <c r="K149" s="1950" t="s">
        <v>101</v>
      </c>
      <c r="L149" s="1947" t="s">
        <v>4068</v>
      </c>
      <c r="M149" s="1754">
        <f t="shared" si="41"/>
        <v>0</v>
      </c>
      <c r="N149" s="1712"/>
      <c r="O149" s="1712">
        <f t="shared" si="42"/>
        <v>0</v>
      </c>
      <c r="P149" s="1712">
        <f t="shared" si="43"/>
        <v>0</v>
      </c>
      <c r="Q149" s="1712">
        <f t="shared" si="44"/>
        <v>0</v>
      </c>
      <c r="R149" s="1757">
        <v>0.13</v>
      </c>
      <c r="S149" s="1712">
        <f t="shared" si="45"/>
        <v>0</v>
      </c>
      <c r="T149" s="1712">
        <f t="shared" si="48"/>
        <v>0</v>
      </c>
      <c r="U149" s="1712">
        <f t="shared" si="47"/>
        <v>0</v>
      </c>
      <c r="V149" s="1952"/>
    </row>
    <row r="150" spans="1:22" s="1942" customFormat="1" ht="28.5" customHeight="1" outlineLevel="2">
      <c r="A150" s="1944"/>
      <c r="B150" s="1807" t="s">
        <v>712</v>
      </c>
      <c r="C150" s="1808"/>
      <c r="D150" s="2008" t="s">
        <v>713</v>
      </c>
      <c r="E150" s="2009"/>
      <c r="F150" s="1462"/>
      <c r="G150" s="1953" t="s">
        <v>4117</v>
      </c>
      <c r="H150" s="1947"/>
      <c r="I150" s="1948"/>
      <c r="J150" s="1949"/>
      <c r="K150" s="1950"/>
      <c r="L150" s="1947"/>
      <c r="M150" s="1950"/>
      <c r="N150" s="1712"/>
      <c r="O150" s="1712">
        <f>SUBTOTAL(9,O151:O158)</f>
        <v>32</v>
      </c>
      <c r="P150" s="1712"/>
      <c r="Q150" s="1712">
        <f>SUBTOTAL(9,Q151:Q158)</f>
        <v>29.357797999999999</v>
      </c>
      <c r="R150" s="1712"/>
      <c r="S150" s="1712">
        <f>SUBTOTAL(9,S151:S158)</f>
        <v>2.642202000000001</v>
      </c>
      <c r="T150" s="1712">
        <f t="shared" si="48"/>
        <v>11.950659126657177</v>
      </c>
      <c r="U150" s="1712">
        <f t="shared" si="47"/>
        <v>13.026218521328802</v>
      </c>
      <c r="V150" s="1952"/>
    </row>
    <row r="151" spans="1:22" s="1942" customFormat="1" ht="28.5" customHeight="1" outlineLevel="3">
      <c r="A151" s="1944"/>
      <c r="B151" s="1978" t="s">
        <v>714</v>
      </c>
      <c r="C151" s="1810"/>
      <c r="D151" s="2008" t="s">
        <v>715</v>
      </c>
      <c r="E151" s="2009" t="s">
        <v>3653</v>
      </c>
      <c r="F151" s="1462" t="s">
        <v>3654</v>
      </c>
      <c r="G151" s="1953" t="s">
        <v>4156</v>
      </c>
      <c r="H151" s="1947" t="s">
        <v>3923</v>
      </c>
      <c r="I151" s="1712">
        <v>20</v>
      </c>
      <c r="J151" s="2035">
        <v>80</v>
      </c>
      <c r="K151" s="1977" t="s">
        <v>1836</v>
      </c>
      <c r="L151" s="1947" t="s">
        <v>4069</v>
      </c>
      <c r="M151" s="1754">
        <f t="shared" si="41"/>
        <v>1600</v>
      </c>
      <c r="N151" s="1712">
        <v>200</v>
      </c>
      <c r="O151" s="1712">
        <f t="shared" ref="O151:O158" si="49">ROUND(M151*ROUND(N151,2)/10000,6)</f>
        <v>32</v>
      </c>
      <c r="P151" s="1712">
        <f t="shared" ref="P151:P158" si="50">IFERROR(ROUND(Q151*10000/M151,2),0)</f>
        <v>183.49</v>
      </c>
      <c r="Q151" s="1712">
        <f t="shared" ref="Q151:Q158" si="51">ROUND(O151/(1+R151),6)</f>
        <v>29.357797999999999</v>
      </c>
      <c r="R151" s="1757">
        <v>0.09</v>
      </c>
      <c r="S151" s="1712">
        <f t="shared" ref="S151:S158" si="52">O151-Q151</f>
        <v>2.642202000000001</v>
      </c>
      <c r="T151" s="1712">
        <f t="shared" si="48"/>
        <v>11.950659126657177</v>
      </c>
      <c r="U151" s="1712">
        <f t="shared" si="47"/>
        <v>13.026218521328802</v>
      </c>
      <c r="V151" s="1952"/>
    </row>
    <row r="152" spans="1:22" s="1942" customFormat="1" ht="28.5" customHeight="1" outlineLevel="3">
      <c r="A152" s="1944"/>
      <c r="B152" s="1978" t="s">
        <v>717</v>
      </c>
      <c r="C152" s="1810"/>
      <c r="D152" s="2008" t="s">
        <v>3655</v>
      </c>
      <c r="E152" s="2009" t="s">
        <v>3656</v>
      </c>
      <c r="F152" s="1462" t="s">
        <v>3654</v>
      </c>
      <c r="G152" s="1953" t="s">
        <v>4156</v>
      </c>
      <c r="H152" s="1947" t="s">
        <v>18</v>
      </c>
      <c r="I152" s="1712">
        <f>$G$5</f>
        <v>0</v>
      </c>
      <c r="J152" s="2035"/>
      <c r="K152" s="1950" t="s">
        <v>4064</v>
      </c>
      <c r="L152" s="1947" t="s">
        <v>4070</v>
      </c>
      <c r="M152" s="1754">
        <f t="shared" si="41"/>
        <v>0</v>
      </c>
      <c r="N152" s="1712"/>
      <c r="O152" s="1712">
        <f t="shared" si="49"/>
        <v>0</v>
      </c>
      <c r="P152" s="1712">
        <f t="shared" si="50"/>
        <v>0</v>
      </c>
      <c r="Q152" s="1712">
        <f t="shared" si="51"/>
        <v>0</v>
      </c>
      <c r="R152" s="1757">
        <v>0.09</v>
      </c>
      <c r="S152" s="1712">
        <f t="shared" si="52"/>
        <v>0</v>
      </c>
      <c r="T152" s="1712">
        <f t="shared" si="48"/>
        <v>0</v>
      </c>
      <c r="U152" s="1712">
        <f t="shared" si="47"/>
        <v>0</v>
      </c>
      <c r="V152" s="1952"/>
    </row>
    <row r="153" spans="1:22" s="1942" customFormat="1" ht="28.5" customHeight="1" outlineLevel="3">
      <c r="A153" s="1944"/>
      <c r="B153" s="1978" t="s">
        <v>718</v>
      </c>
      <c r="C153" s="1810"/>
      <c r="D153" s="2008" t="s">
        <v>3657</v>
      </c>
      <c r="E153" s="2009" t="s">
        <v>3658</v>
      </c>
      <c r="F153" s="1462" t="s">
        <v>3654</v>
      </c>
      <c r="G153" s="1953" t="s">
        <v>4156</v>
      </c>
      <c r="H153" s="1947" t="s">
        <v>3926</v>
      </c>
      <c r="I153" s="1712">
        <f>$G$7</f>
        <v>0</v>
      </c>
      <c r="J153" s="2035"/>
      <c r="K153" s="1950" t="s">
        <v>660</v>
      </c>
      <c r="L153" s="1947" t="s">
        <v>4071</v>
      </c>
      <c r="M153" s="1754">
        <f t="shared" si="41"/>
        <v>0</v>
      </c>
      <c r="N153" s="1712"/>
      <c r="O153" s="1712">
        <f t="shared" si="49"/>
        <v>0</v>
      </c>
      <c r="P153" s="1712">
        <f t="shared" si="50"/>
        <v>0</v>
      </c>
      <c r="Q153" s="1712">
        <f t="shared" si="51"/>
        <v>0</v>
      </c>
      <c r="R153" s="1757">
        <v>0.09</v>
      </c>
      <c r="S153" s="1712">
        <f t="shared" si="52"/>
        <v>0</v>
      </c>
      <c r="T153" s="1712">
        <f t="shared" si="48"/>
        <v>0</v>
      </c>
      <c r="U153" s="1712">
        <f t="shared" si="47"/>
        <v>0</v>
      </c>
      <c r="V153" s="1952"/>
    </row>
    <row r="154" spans="1:22" s="1942" customFormat="1" ht="28.5" customHeight="1" outlineLevel="3">
      <c r="A154" s="1944"/>
      <c r="B154" s="1978" t="s">
        <v>1585</v>
      </c>
      <c r="C154" s="1810"/>
      <c r="D154" s="2008" t="s">
        <v>3659</v>
      </c>
      <c r="E154" s="2009" t="s">
        <v>3660</v>
      </c>
      <c r="F154" s="1462" t="s">
        <v>3654</v>
      </c>
      <c r="G154" s="1953" t="s">
        <v>4156</v>
      </c>
      <c r="H154" s="1947" t="s">
        <v>3926</v>
      </c>
      <c r="I154" s="1712">
        <f>$G$7</f>
        <v>0</v>
      </c>
      <c r="J154" s="2035"/>
      <c r="K154" s="1950" t="s">
        <v>660</v>
      </c>
      <c r="L154" s="1947" t="s">
        <v>4072</v>
      </c>
      <c r="M154" s="1754">
        <f t="shared" si="41"/>
        <v>0</v>
      </c>
      <c r="N154" s="1712"/>
      <c r="O154" s="1712">
        <f t="shared" si="49"/>
        <v>0</v>
      </c>
      <c r="P154" s="1712">
        <f t="shared" si="50"/>
        <v>0</v>
      </c>
      <c r="Q154" s="1712">
        <f t="shared" si="51"/>
        <v>0</v>
      </c>
      <c r="R154" s="1757">
        <v>0.09</v>
      </c>
      <c r="S154" s="1712">
        <f t="shared" si="52"/>
        <v>0</v>
      </c>
      <c r="T154" s="1712">
        <f t="shared" si="48"/>
        <v>0</v>
      </c>
      <c r="U154" s="1712">
        <f t="shared" si="47"/>
        <v>0</v>
      </c>
      <c r="V154" s="1952"/>
    </row>
    <row r="155" spans="1:22" s="1942" customFormat="1" ht="28.5" customHeight="1" outlineLevel="3">
      <c r="A155" s="1944"/>
      <c r="B155" s="1978" t="s">
        <v>1586</v>
      </c>
      <c r="C155" s="1810"/>
      <c r="D155" s="2008" t="s">
        <v>720</v>
      </c>
      <c r="E155" s="2009" t="s">
        <v>3661</v>
      </c>
      <c r="F155" s="1462" t="s">
        <v>3654</v>
      </c>
      <c r="G155" s="1953" t="s">
        <v>4156</v>
      </c>
      <c r="H155" s="1947" t="s">
        <v>3926</v>
      </c>
      <c r="I155" s="1712">
        <f>$G$7</f>
        <v>0</v>
      </c>
      <c r="J155" s="2035"/>
      <c r="K155" s="1950" t="s">
        <v>660</v>
      </c>
      <c r="L155" s="1947" t="s">
        <v>4073</v>
      </c>
      <c r="M155" s="1754">
        <f t="shared" si="41"/>
        <v>0</v>
      </c>
      <c r="N155" s="1712"/>
      <c r="O155" s="1712">
        <f t="shared" si="49"/>
        <v>0</v>
      </c>
      <c r="P155" s="1712">
        <f t="shared" si="50"/>
        <v>0</v>
      </c>
      <c r="Q155" s="1712">
        <f t="shared" si="51"/>
        <v>0</v>
      </c>
      <c r="R155" s="1757">
        <v>0.09</v>
      </c>
      <c r="S155" s="1712">
        <f t="shared" si="52"/>
        <v>0</v>
      </c>
      <c r="T155" s="1712">
        <f t="shared" si="48"/>
        <v>0</v>
      </c>
      <c r="U155" s="1712">
        <f t="shared" si="47"/>
        <v>0</v>
      </c>
      <c r="V155" s="1952"/>
    </row>
    <row r="156" spans="1:22" s="1942" customFormat="1" ht="28.5" customHeight="1" outlineLevel="3">
      <c r="A156" s="1944"/>
      <c r="B156" s="1978" t="s">
        <v>3662</v>
      </c>
      <c r="C156" s="1810"/>
      <c r="D156" s="2008" t="s">
        <v>3663</v>
      </c>
      <c r="E156" s="2009" t="s">
        <v>3664</v>
      </c>
      <c r="F156" s="1462" t="s">
        <v>3654</v>
      </c>
      <c r="G156" s="1953" t="s">
        <v>4156</v>
      </c>
      <c r="H156" s="1947" t="s">
        <v>3926</v>
      </c>
      <c r="I156" s="1712">
        <f>$G$7</f>
        <v>0</v>
      </c>
      <c r="J156" s="2035"/>
      <c r="K156" s="1950" t="s">
        <v>722</v>
      </c>
      <c r="L156" s="1947" t="s">
        <v>4074</v>
      </c>
      <c r="M156" s="1754">
        <f t="shared" si="41"/>
        <v>0</v>
      </c>
      <c r="N156" s="1712"/>
      <c r="O156" s="1712">
        <f t="shared" si="49"/>
        <v>0</v>
      </c>
      <c r="P156" s="1712">
        <f t="shared" si="50"/>
        <v>0</v>
      </c>
      <c r="Q156" s="1712">
        <f t="shared" si="51"/>
        <v>0</v>
      </c>
      <c r="R156" s="1757">
        <v>0.09</v>
      </c>
      <c r="S156" s="1712">
        <f t="shared" si="52"/>
        <v>0</v>
      </c>
      <c r="T156" s="1712">
        <f t="shared" si="48"/>
        <v>0</v>
      </c>
      <c r="U156" s="1712">
        <f t="shared" si="47"/>
        <v>0</v>
      </c>
      <c r="V156" s="1952"/>
    </row>
    <row r="157" spans="1:22" s="1942" customFormat="1" ht="28.5" customHeight="1" outlineLevel="3">
      <c r="A157" s="1944"/>
      <c r="B157" s="1978" t="s">
        <v>3665</v>
      </c>
      <c r="C157" s="1810"/>
      <c r="D157" s="2008" t="s">
        <v>3666</v>
      </c>
      <c r="E157" s="2009" t="s">
        <v>3667</v>
      </c>
      <c r="F157" s="1462" t="s">
        <v>3654</v>
      </c>
      <c r="G157" s="1953" t="s">
        <v>4156</v>
      </c>
      <c r="H157" s="1947" t="s">
        <v>9</v>
      </c>
      <c r="I157" s="1712">
        <f>$E$4</f>
        <v>24565.840000000004</v>
      </c>
      <c r="J157" s="2035"/>
      <c r="K157" s="1950" t="s">
        <v>4075</v>
      </c>
      <c r="L157" s="1947" t="s">
        <v>4076</v>
      </c>
      <c r="M157" s="1754">
        <f t="shared" si="41"/>
        <v>0</v>
      </c>
      <c r="N157" s="1712"/>
      <c r="O157" s="1712">
        <f t="shared" si="49"/>
        <v>0</v>
      </c>
      <c r="P157" s="1712">
        <f t="shared" si="50"/>
        <v>0</v>
      </c>
      <c r="Q157" s="1712">
        <f t="shared" si="51"/>
        <v>0</v>
      </c>
      <c r="R157" s="1757">
        <v>0.09</v>
      </c>
      <c r="S157" s="1712">
        <f t="shared" si="52"/>
        <v>0</v>
      </c>
      <c r="T157" s="1712">
        <f t="shared" si="48"/>
        <v>0</v>
      </c>
      <c r="U157" s="1712">
        <f t="shared" si="47"/>
        <v>0</v>
      </c>
      <c r="V157" s="1952"/>
    </row>
    <row r="158" spans="1:22" s="1942" customFormat="1" ht="28.5" customHeight="1" outlineLevel="3">
      <c r="A158" s="1944"/>
      <c r="B158" s="1978" t="s">
        <v>3668</v>
      </c>
      <c r="C158" s="1810"/>
      <c r="D158" s="2008" t="s">
        <v>3669</v>
      </c>
      <c r="E158" s="2009" t="s">
        <v>3670</v>
      </c>
      <c r="F158" s="1462" t="s">
        <v>3654</v>
      </c>
      <c r="G158" s="1953" t="s">
        <v>4156</v>
      </c>
      <c r="H158" s="1947" t="s">
        <v>3926</v>
      </c>
      <c r="I158" s="1712">
        <f>$G$7</f>
        <v>0</v>
      </c>
      <c r="J158" s="2035"/>
      <c r="K158" s="1950" t="s">
        <v>101</v>
      </c>
      <c r="L158" s="1947" t="s">
        <v>4077</v>
      </c>
      <c r="M158" s="1754">
        <f t="shared" si="41"/>
        <v>0</v>
      </c>
      <c r="N158" s="1712"/>
      <c r="O158" s="1712">
        <f t="shared" si="49"/>
        <v>0</v>
      </c>
      <c r="P158" s="1712">
        <f t="shared" si="50"/>
        <v>0</v>
      </c>
      <c r="Q158" s="1712">
        <f t="shared" si="51"/>
        <v>0</v>
      </c>
      <c r="R158" s="1757">
        <v>0.09</v>
      </c>
      <c r="S158" s="1712">
        <f t="shared" si="52"/>
        <v>0</v>
      </c>
      <c r="T158" s="1712">
        <f t="shared" si="48"/>
        <v>0</v>
      </c>
      <c r="U158" s="1712">
        <f t="shared" si="47"/>
        <v>0</v>
      </c>
      <c r="V158" s="1952"/>
    </row>
    <row r="159" spans="1:22" s="1942" customFormat="1" ht="28.5" customHeight="1" outlineLevel="2">
      <c r="A159" s="1944"/>
      <c r="B159" s="1807" t="s">
        <v>723</v>
      </c>
      <c r="C159" s="1808"/>
      <c r="D159" s="2008" t="s">
        <v>21</v>
      </c>
      <c r="E159" s="2009"/>
      <c r="F159" s="1462"/>
      <c r="G159" s="1953" t="s">
        <v>4117</v>
      </c>
      <c r="H159" s="1947"/>
      <c r="I159" s="1948"/>
      <c r="J159" s="1949"/>
      <c r="K159" s="1950"/>
      <c r="L159" s="1947"/>
      <c r="M159" s="1950"/>
      <c r="N159" s="1712"/>
      <c r="O159" s="1712">
        <f>SUBTOTAL(9,O160:O164)</f>
        <v>98.263360000000006</v>
      </c>
      <c r="P159" s="1712"/>
      <c r="Q159" s="1712">
        <f>SUBTOTAL(9,Q160:Q164)</f>
        <v>86.958725999999999</v>
      </c>
      <c r="R159" s="1712"/>
      <c r="S159" s="1712">
        <f>SUBTOTAL(9,S160:S164)</f>
        <v>11.304634000000007</v>
      </c>
      <c r="T159" s="1712">
        <f t="shared" si="48"/>
        <v>35.398230225386143</v>
      </c>
      <c r="U159" s="1712">
        <f t="shared" si="47"/>
        <v>40</v>
      </c>
      <c r="V159" s="1952"/>
    </row>
    <row r="160" spans="1:22" s="1942" customFormat="1" ht="28.5" customHeight="1" outlineLevel="3">
      <c r="A160" s="1944"/>
      <c r="B160" s="1978" t="s">
        <v>724</v>
      </c>
      <c r="C160" s="1810"/>
      <c r="D160" s="2008" t="s">
        <v>3671</v>
      </c>
      <c r="E160" s="2009" t="s">
        <v>3672</v>
      </c>
      <c r="F160" s="1462" t="s">
        <v>3636</v>
      </c>
      <c r="G160" s="1953" t="s">
        <v>4153</v>
      </c>
      <c r="H160" s="1947" t="s">
        <v>18</v>
      </c>
      <c r="I160" s="1712">
        <f>$G$5</f>
        <v>0</v>
      </c>
      <c r="J160" s="2035"/>
      <c r="K160" s="1950" t="s">
        <v>2942</v>
      </c>
      <c r="L160" s="1947" t="s">
        <v>4078</v>
      </c>
      <c r="M160" s="1754">
        <f t="shared" si="41"/>
        <v>0</v>
      </c>
      <c r="N160" s="1712"/>
      <c r="O160" s="1712">
        <f>ROUND(M160*ROUND(N160,2)/10000,6)</f>
        <v>0</v>
      </c>
      <c r="P160" s="1712">
        <f>IFERROR(ROUND(Q160*10000/M160,2),0)</f>
        <v>0</v>
      </c>
      <c r="Q160" s="1712">
        <f>ROUND(O160/(1+R160),6)</f>
        <v>0</v>
      </c>
      <c r="R160" s="1757">
        <v>0.09</v>
      </c>
      <c r="S160" s="1712">
        <f>O160-Q160</f>
        <v>0</v>
      </c>
      <c r="T160" s="1712">
        <f t="shared" si="48"/>
        <v>0</v>
      </c>
      <c r="U160" s="1712">
        <f t="shared" si="47"/>
        <v>0</v>
      </c>
      <c r="V160" s="1952"/>
    </row>
    <row r="161" spans="1:22" s="1942" customFormat="1" ht="28.5" customHeight="1" outlineLevel="3">
      <c r="A161" s="1944"/>
      <c r="B161" s="1978" t="s">
        <v>726</v>
      </c>
      <c r="C161" s="1810"/>
      <c r="D161" s="2008" t="s">
        <v>61</v>
      </c>
      <c r="E161" s="2009" t="s">
        <v>3673</v>
      </c>
      <c r="F161" s="1462" t="s">
        <v>3674</v>
      </c>
      <c r="G161" s="1953" t="s">
        <v>4157</v>
      </c>
      <c r="H161" s="1947" t="s">
        <v>3926</v>
      </c>
      <c r="I161" s="1712">
        <f>$G$7</f>
        <v>0</v>
      </c>
      <c r="J161" s="2035"/>
      <c r="K161" s="1950" t="s">
        <v>6</v>
      </c>
      <c r="L161" s="1947" t="s">
        <v>4079</v>
      </c>
      <c r="M161" s="1754">
        <f t="shared" si="41"/>
        <v>0</v>
      </c>
      <c r="N161" s="1712"/>
      <c r="O161" s="1712">
        <f>ROUND(M161*ROUND(N161,2)/10000,6)</f>
        <v>0</v>
      </c>
      <c r="P161" s="1712">
        <f>IFERROR(ROUND(Q161*10000/M161,2),0)</f>
        <v>0</v>
      </c>
      <c r="Q161" s="1712">
        <f>ROUND(O161/(1+R161),6)</f>
        <v>0</v>
      </c>
      <c r="R161" s="1757">
        <v>0.13</v>
      </c>
      <c r="S161" s="1712">
        <f>O161-Q161</f>
        <v>0</v>
      </c>
      <c r="T161" s="1712">
        <f t="shared" si="48"/>
        <v>0</v>
      </c>
      <c r="U161" s="1712">
        <f t="shared" si="47"/>
        <v>0</v>
      </c>
      <c r="V161" s="1952"/>
    </row>
    <row r="162" spans="1:22" s="1942" customFormat="1" ht="28.5" customHeight="1" outlineLevel="3">
      <c r="A162" s="1944"/>
      <c r="B162" s="1978" t="s">
        <v>728</v>
      </c>
      <c r="C162" s="1810"/>
      <c r="D162" s="2008" t="s">
        <v>3675</v>
      </c>
      <c r="E162" s="2009" t="s">
        <v>3676</v>
      </c>
      <c r="F162" s="1462" t="s">
        <v>3677</v>
      </c>
      <c r="G162" s="1953" t="s">
        <v>4158</v>
      </c>
      <c r="H162" s="1947" t="s">
        <v>10</v>
      </c>
      <c r="I162" s="1712">
        <f>$E$5</f>
        <v>24565.840000000004</v>
      </c>
      <c r="J162" s="2037">
        <v>0.1</v>
      </c>
      <c r="K162" s="1950" t="s">
        <v>101</v>
      </c>
      <c r="L162" s="1947" t="s">
        <v>4080</v>
      </c>
      <c r="M162" s="1754">
        <f t="shared" si="41"/>
        <v>2456.5840000000003</v>
      </c>
      <c r="N162" s="1756">
        <v>400</v>
      </c>
      <c r="O162" s="1712">
        <f>ROUND(M162*ROUND(N162,2)/10000,6)</f>
        <v>98.263360000000006</v>
      </c>
      <c r="P162" s="1712">
        <f>IFERROR(ROUND(Q162*10000/M162,2),0)</f>
        <v>353.98</v>
      </c>
      <c r="Q162" s="1712">
        <f>ROUND(O162/(1+R162),6)</f>
        <v>86.958725999999999</v>
      </c>
      <c r="R162" s="1757">
        <v>0.13</v>
      </c>
      <c r="S162" s="1712">
        <f>O162-Q162</f>
        <v>11.304634000000007</v>
      </c>
      <c r="T162" s="1712">
        <f t="shared" si="48"/>
        <v>35.398230225386143</v>
      </c>
      <c r="U162" s="1712">
        <f t="shared" si="47"/>
        <v>40</v>
      </c>
      <c r="V162" s="1952"/>
    </row>
    <row r="163" spans="1:22" s="1942" customFormat="1" ht="28.5" customHeight="1" outlineLevel="3">
      <c r="A163" s="1944"/>
      <c r="B163" s="1978" t="s">
        <v>730</v>
      </c>
      <c r="C163" s="1810"/>
      <c r="D163" s="2008" t="s">
        <v>62</v>
      </c>
      <c r="E163" s="2009" t="s">
        <v>3678</v>
      </c>
      <c r="F163" s="1462" t="s">
        <v>3679</v>
      </c>
      <c r="G163" s="1953" t="s">
        <v>4159</v>
      </c>
      <c r="H163" s="1947" t="s">
        <v>10</v>
      </c>
      <c r="I163" s="1712">
        <f>$E$5</f>
        <v>24565.840000000004</v>
      </c>
      <c r="J163" s="2035"/>
      <c r="K163" s="1950" t="s">
        <v>101</v>
      </c>
      <c r="L163" s="1947" t="s">
        <v>4081</v>
      </c>
      <c r="M163" s="1754">
        <f t="shared" si="41"/>
        <v>0</v>
      </c>
      <c r="N163" s="1712"/>
      <c r="O163" s="1712">
        <f>ROUND(M163*ROUND(N163,2)/10000,6)</f>
        <v>0</v>
      </c>
      <c r="P163" s="1712">
        <f>IFERROR(ROUND(Q163*10000/M163,2),0)</f>
        <v>0</v>
      </c>
      <c r="Q163" s="1712">
        <f>ROUND(O163/(1+R163),6)</f>
        <v>0</v>
      </c>
      <c r="R163" s="1757">
        <v>0.13</v>
      </c>
      <c r="S163" s="1712">
        <f>O163-Q163</f>
        <v>0</v>
      </c>
      <c r="T163" s="1712">
        <f t="shared" si="48"/>
        <v>0</v>
      </c>
      <c r="U163" s="1712">
        <f t="shared" si="47"/>
        <v>0</v>
      </c>
      <c r="V163" s="1952"/>
    </row>
    <row r="164" spans="1:22" s="1942" customFormat="1" ht="28.5" customHeight="1" outlineLevel="3">
      <c r="A164" s="1944"/>
      <c r="B164" s="1978" t="s">
        <v>3680</v>
      </c>
      <c r="C164" s="1810"/>
      <c r="D164" s="2008" t="s">
        <v>3681</v>
      </c>
      <c r="E164" s="2009" t="s">
        <v>3682</v>
      </c>
      <c r="F164" s="1462" t="s">
        <v>3677</v>
      </c>
      <c r="G164" s="1953" t="s">
        <v>4158</v>
      </c>
      <c r="H164" s="1947" t="s">
        <v>10</v>
      </c>
      <c r="I164" s="1712">
        <f>$E$5</f>
        <v>24565.840000000004</v>
      </c>
      <c r="J164" s="2035"/>
      <c r="K164" s="1950" t="s">
        <v>101</v>
      </c>
      <c r="L164" s="1947" t="s">
        <v>4082</v>
      </c>
      <c r="M164" s="1754">
        <f t="shared" si="41"/>
        <v>0</v>
      </c>
      <c r="N164" s="1712"/>
      <c r="O164" s="1712">
        <f>ROUND(M164*ROUND(N164,2)/10000,6)</f>
        <v>0</v>
      </c>
      <c r="P164" s="1712">
        <f>IFERROR(ROUND(Q164*10000/M164,2),0)</f>
        <v>0</v>
      </c>
      <c r="Q164" s="1712">
        <f>ROUND(O164/(1+R164),6)</f>
        <v>0</v>
      </c>
      <c r="R164" s="1757">
        <v>0.13</v>
      </c>
      <c r="S164" s="1712">
        <f>O164-Q164</f>
        <v>0</v>
      </c>
      <c r="T164" s="1712">
        <f t="shared" si="48"/>
        <v>0</v>
      </c>
      <c r="U164" s="1712">
        <f t="shared" si="47"/>
        <v>0</v>
      </c>
      <c r="V164" s="1952"/>
    </row>
    <row r="165" spans="1:22" s="1942" customFormat="1" ht="28.5" customHeight="1" outlineLevel="2">
      <c r="A165" s="1944"/>
      <c r="B165" s="1807" t="s">
        <v>731</v>
      </c>
      <c r="C165" s="1808"/>
      <c r="D165" s="2008" t="s">
        <v>734</v>
      </c>
      <c r="E165" s="2009"/>
      <c r="F165" s="1462"/>
      <c r="G165" s="1953" t="s">
        <v>4117</v>
      </c>
      <c r="H165" s="1947"/>
      <c r="I165" s="1948"/>
      <c r="J165" s="1949"/>
      <c r="K165" s="1950"/>
      <c r="L165" s="1947"/>
      <c r="M165" s="1950"/>
      <c r="N165" s="1712"/>
      <c r="O165" s="1712">
        <f>SUBTOTAL(9,O166:O168)</f>
        <v>0</v>
      </c>
      <c r="P165" s="1712"/>
      <c r="Q165" s="1712">
        <f>SUBTOTAL(9,Q166:Q168)</f>
        <v>0</v>
      </c>
      <c r="R165" s="1712"/>
      <c r="S165" s="1712">
        <f>SUBTOTAL(9,S166:S168)</f>
        <v>0</v>
      </c>
      <c r="T165" s="1712">
        <f t="shared" si="48"/>
        <v>0</v>
      </c>
      <c r="U165" s="1712">
        <f t="shared" si="47"/>
        <v>0</v>
      </c>
      <c r="V165" s="1952"/>
    </row>
    <row r="166" spans="1:22" s="1942" customFormat="1" ht="28.5" customHeight="1" outlineLevel="3">
      <c r="A166" s="1944"/>
      <c r="B166" s="1978" t="s">
        <v>733</v>
      </c>
      <c r="C166" s="1810"/>
      <c r="D166" s="2038" t="s">
        <v>3683</v>
      </c>
      <c r="E166" s="1947" t="s">
        <v>3684</v>
      </c>
      <c r="F166" s="1462" t="s">
        <v>3342</v>
      </c>
      <c r="G166" s="1953" t="s">
        <v>4116</v>
      </c>
      <c r="H166" s="1947" t="s">
        <v>9</v>
      </c>
      <c r="I166" s="1712">
        <f>$E$4</f>
        <v>24565.840000000004</v>
      </c>
      <c r="J166" s="2035"/>
      <c r="K166" s="1950" t="s">
        <v>101</v>
      </c>
      <c r="L166" s="1947" t="s">
        <v>4083</v>
      </c>
      <c r="M166" s="1754">
        <f t="shared" si="41"/>
        <v>0</v>
      </c>
      <c r="N166" s="1712"/>
      <c r="O166" s="1712">
        <f>ROUND(M166*ROUND(N166,2)/10000,6)</f>
        <v>0</v>
      </c>
      <c r="P166" s="1712">
        <f>IFERROR(ROUND(Q166*10000/M166,2),0)</f>
        <v>0</v>
      </c>
      <c r="Q166" s="1712">
        <f>ROUND(O166/(1+R166),6)</f>
        <v>0</v>
      </c>
      <c r="R166" s="1757">
        <v>0.09</v>
      </c>
      <c r="S166" s="1712">
        <f>O166-Q166</f>
        <v>0</v>
      </c>
      <c r="T166" s="1712">
        <f t="shared" si="48"/>
        <v>0</v>
      </c>
      <c r="U166" s="1712">
        <f t="shared" si="47"/>
        <v>0</v>
      </c>
      <c r="V166" s="1952"/>
    </row>
    <row r="167" spans="1:22" s="1942" customFormat="1" ht="28.5" customHeight="1" outlineLevel="3">
      <c r="A167" s="1944"/>
      <c r="B167" s="1978" t="s">
        <v>735</v>
      </c>
      <c r="C167" s="1810"/>
      <c r="D167" s="2038" t="s">
        <v>3685</v>
      </c>
      <c r="E167" s="1947" t="s">
        <v>3686</v>
      </c>
      <c r="F167" s="1462" t="s">
        <v>3342</v>
      </c>
      <c r="G167" s="1953" t="s">
        <v>4116</v>
      </c>
      <c r="H167" s="1947" t="s">
        <v>9</v>
      </c>
      <c r="I167" s="1712">
        <f>$E$4</f>
        <v>24565.840000000004</v>
      </c>
      <c r="J167" s="2036"/>
      <c r="K167" s="1950" t="s">
        <v>101</v>
      </c>
      <c r="L167" s="1947" t="s">
        <v>9</v>
      </c>
      <c r="M167" s="1754">
        <f t="shared" si="41"/>
        <v>0</v>
      </c>
      <c r="N167" s="1712"/>
      <c r="O167" s="1712">
        <f>ROUND(M167*ROUND(N167,2)/10000,6)</f>
        <v>0</v>
      </c>
      <c r="P167" s="1712">
        <f>IFERROR(ROUND(Q167*10000/M167,2),0)</f>
        <v>0</v>
      </c>
      <c r="Q167" s="1712">
        <f>ROUND(O167/(1+R167),6)</f>
        <v>0</v>
      </c>
      <c r="R167" s="1757">
        <v>0.09</v>
      </c>
      <c r="S167" s="1712">
        <f>O167-Q167</f>
        <v>0</v>
      </c>
      <c r="T167" s="1712">
        <f t="shared" si="48"/>
        <v>0</v>
      </c>
      <c r="U167" s="1712">
        <f t="shared" si="47"/>
        <v>0</v>
      </c>
      <c r="V167" s="1952"/>
    </row>
    <row r="168" spans="1:22" s="1942" customFormat="1" ht="28.5" customHeight="1" outlineLevel="3">
      <c r="A168" s="1944"/>
      <c r="B168" s="1978" t="s">
        <v>737</v>
      </c>
      <c r="C168" s="1810"/>
      <c r="D168" s="2038" t="s">
        <v>3687</v>
      </c>
      <c r="E168" s="1947" t="s">
        <v>3688</v>
      </c>
      <c r="F168" s="1462" t="s">
        <v>471</v>
      </c>
      <c r="G168" s="1953" t="s">
        <v>4160</v>
      </c>
      <c r="H168" s="1947" t="s">
        <v>9</v>
      </c>
      <c r="I168" s="1712">
        <f>$E$4</f>
        <v>24565.840000000004</v>
      </c>
      <c r="J168" s="2035"/>
      <c r="K168" s="1950" t="s">
        <v>101</v>
      </c>
      <c r="L168" s="1947" t="s">
        <v>4084</v>
      </c>
      <c r="M168" s="1754">
        <f t="shared" si="41"/>
        <v>0</v>
      </c>
      <c r="N168" s="1712"/>
      <c r="O168" s="1712">
        <f>ROUND(M168*ROUND(N168,2)/10000,6)</f>
        <v>0</v>
      </c>
      <c r="P168" s="1712">
        <f>IFERROR(ROUND(Q168*10000/M168,2),0)</f>
        <v>0</v>
      </c>
      <c r="Q168" s="1712">
        <f>ROUND(O168/(1+R168),6)</f>
        <v>0</v>
      </c>
      <c r="R168" s="1757">
        <v>0.13</v>
      </c>
      <c r="S168" s="1712">
        <f>O168-Q168</f>
        <v>0</v>
      </c>
      <c r="T168" s="1712">
        <f t="shared" si="48"/>
        <v>0</v>
      </c>
      <c r="U168" s="1712">
        <f t="shared" si="47"/>
        <v>0</v>
      </c>
      <c r="V168" s="1952"/>
    </row>
    <row r="169" spans="1:22" s="1942" customFormat="1" ht="28.5" customHeight="1" outlineLevel="2">
      <c r="A169" s="1944"/>
      <c r="B169" s="1978" t="s">
        <v>3689</v>
      </c>
      <c r="C169" s="1810"/>
      <c r="D169" s="2038" t="s">
        <v>3690</v>
      </c>
      <c r="E169" s="1947"/>
      <c r="F169" s="1462"/>
      <c r="G169" s="1953" t="s">
        <v>4117</v>
      </c>
      <c r="H169" s="1947"/>
      <c r="I169" s="1948"/>
      <c r="J169" s="2035"/>
      <c r="K169" s="1950"/>
      <c r="L169" s="1947"/>
      <c r="M169" s="1950"/>
      <c r="N169" s="1712"/>
      <c r="O169" s="1712">
        <f>SUBTOTAL(9,O170:O172)</f>
        <v>0</v>
      </c>
      <c r="P169" s="1712"/>
      <c r="Q169" s="1712">
        <f>SUBTOTAL(9,Q170:Q172)</f>
        <v>0</v>
      </c>
      <c r="R169" s="1712"/>
      <c r="S169" s="1712">
        <f>SUBTOTAL(9,S170:S172)</f>
        <v>0</v>
      </c>
      <c r="T169" s="1712">
        <f t="shared" si="48"/>
        <v>0</v>
      </c>
      <c r="U169" s="1712">
        <f t="shared" si="47"/>
        <v>0</v>
      </c>
      <c r="V169" s="1952"/>
    </row>
    <row r="170" spans="1:22" s="1942" customFormat="1" ht="28.5" customHeight="1" outlineLevel="3">
      <c r="A170" s="1944"/>
      <c r="B170" s="1978" t="s">
        <v>3691</v>
      </c>
      <c r="C170" s="1810"/>
      <c r="D170" s="2038" t="s">
        <v>3692</v>
      </c>
      <c r="E170" s="1947" t="s">
        <v>3693</v>
      </c>
      <c r="F170" s="1462" t="s">
        <v>3694</v>
      </c>
      <c r="G170" s="1953" t="s">
        <v>4161</v>
      </c>
      <c r="H170" s="1975" t="s">
        <v>10</v>
      </c>
      <c r="I170" s="1712">
        <f>$E$5</f>
        <v>24565.840000000004</v>
      </c>
      <c r="J170" s="2035"/>
      <c r="K170" s="1950" t="s">
        <v>101</v>
      </c>
      <c r="L170" s="1947" t="s">
        <v>10</v>
      </c>
      <c r="M170" s="1754">
        <f t="shared" si="41"/>
        <v>0</v>
      </c>
      <c r="N170" s="1712"/>
      <c r="O170" s="1712">
        <f t="shared" ref="O170:O175" si="53">ROUND(M170*ROUND(N170,2)/10000,6)</f>
        <v>0</v>
      </c>
      <c r="P170" s="1712">
        <f t="shared" ref="P170:P175" si="54">IFERROR(ROUND(Q170*10000/M170,2),0)</f>
        <v>0</v>
      </c>
      <c r="Q170" s="1712">
        <f t="shared" ref="Q170:Q175" si="55">ROUND(O170/(1+R170),6)</f>
        <v>0</v>
      </c>
      <c r="R170" s="1757">
        <v>0.13</v>
      </c>
      <c r="S170" s="1712">
        <f t="shared" ref="S170:S175" si="56">O170-Q170</f>
        <v>0</v>
      </c>
      <c r="T170" s="1712">
        <f t="shared" si="48"/>
        <v>0</v>
      </c>
      <c r="U170" s="1712">
        <f t="shared" si="47"/>
        <v>0</v>
      </c>
      <c r="V170" s="1952"/>
    </row>
    <row r="171" spans="1:22" s="1942" customFormat="1" ht="28.5" customHeight="1" outlineLevel="3">
      <c r="A171" s="1944"/>
      <c r="B171" s="1978" t="s">
        <v>3695</v>
      </c>
      <c r="C171" s="1810"/>
      <c r="D171" s="2038" t="s">
        <v>3696</v>
      </c>
      <c r="E171" s="1947" t="s">
        <v>3697</v>
      </c>
      <c r="F171" s="1462" t="s">
        <v>3694</v>
      </c>
      <c r="G171" s="1953" t="s">
        <v>4161</v>
      </c>
      <c r="H171" s="1975" t="s">
        <v>10</v>
      </c>
      <c r="I171" s="1712">
        <f>$E$5</f>
        <v>24565.840000000004</v>
      </c>
      <c r="J171" s="2035"/>
      <c r="K171" s="1950" t="s">
        <v>101</v>
      </c>
      <c r="L171" s="1947" t="s">
        <v>10</v>
      </c>
      <c r="M171" s="1754">
        <f t="shared" si="41"/>
        <v>0</v>
      </c>
      <c r="N171" s="1712"/>
      <c r="O171" s="1712">
        <f t="shared" si="53"/>
        <v>0</v>
      </c>
      <c r="P171" s="1712">
        <f t="shared" si="54"/>
        <v>0</v>
      </c>
      <c r="Q171" s="1712">
        <f t="shared" si="55"/>
        <v>0</v>
      </c>
      <c r="R171" s="1757">
        <v>0.13</v>
      </c>
      <c r="S171" s="1712">
        <f t="shared" si="56"/>
        <v>0</v>
      </c>
      <c r="T171" s="1712">
        <f t="shared" si="48"/>
        <v>0</v>
      </c>
      <c r="U171" s="1712">
        <f t="shared" si="47"/>
        <v>0</v>
      </c>
      <c r="V171" s="1952"/>
    </row>
    <row r="172" spans="1:22" s="1942" customFormat="1" ht="28.5" customHeight="1" outlineLevel="3">
      <c r="A172" s="1944"/>
      <c r="B172" s="1978" t="s">
        <v>3698</v>
      </c>
      <c r="C172" s="1810"/>
      <c r="D172" s="2038" t="s">
        <v>3699</v>
      </c>
      <c r="E172" s="1947" t="s">
        <v>3700</v>
      </c>
      <c r="F172" s="1462" t="s">
        <v>3694</v>
      </c>
      <c r="G172" s="1953" t="s">
        <v>4161</v>
      </c>
      <c r="H172" s="1975" t="s">
        <v>10</v>
      </c>
      <c r="I172" s="1712">
        <f>$E$5</f>
        <v>24565.840000000004</v>
      </c>
      <c r="J172" s="2035"/>
      <c r="K172" s="1950" t="s">
        <v>101</v>
      </c>
      <c r="L172" s="1947" t="s">
        <v>10</v>
      </c>
      <c r="M172" s="1754">
        <f t="shared" si="41"/>
        <v>0</v>
      </c>
      <c r="N172" s="1712"/>
      <c r="O172" s="1712">
        <f t="shared" si="53"/>
        <v>0</v>
      </c>
      <c r="P172" s="1712">
        <f t="shared" si="54"/>
        <v>0</v>
      </c>
      <c r="Q172" s="1712">
        <f t="shared" si="55"/>
        <v>0</v>
      </c>
      <c r="R172" s="1757">
        <v>0.13</v>
      </c>
      <c r="S172" s="1712">
        <f t="shared" si="56"/>
        <v>0</v>
      </c>
      <c r="T172" s="1712">
        <f t="shared" si="48"/>
        <v>0</v>
      </c>
      <c r="U172" s="1712">
        <f t="shared" si="47"/>
        <v>0</v>
      </c>
      <c r="V172" s="1952"/>
    </row>
    <row r="173" spans="1:22" s="1942" customFormat="1" ht="28.5" customHeight="1" outlineLevel="2">
      <c r="A173" s="1944"/>
      <c r="B173" s="1978" t="s">
        <v>3705</v>
      </c>
      <c r="C173" s="1810"/>
      <c r="D173" s="2038" t="s">
        <v>740</v>
      </c>
      <c r="E173" s="1947" t="s">
        <v>3702</v>
      </c>
      <c r="F173" s="1462" t="s">
        <v>463</v>
      </c>
      <c r="G173" s="1953" t="s">
        <v>4162</v>
      </c>
      <c r="H173" s="1975" t="s">
        <v>3926</v>
      </c>
      <c r="I173" s="1712">
        <f>$G$7</f>
        <v>0</v>
      </c>
      <c r="J173" s="2035"/>
      <c r="K173" s="1950" t="s">
        <v>3947</v>
      </c>
      <c r="L173" s="1947" t="s">
        <v>3926</v>
      </c>
      <c r="M173" s="1754">
        <f t="shared" si="41"/>
        <v>0</v>
      </c>
      <c r="N173" s="1712"/>
      <c r="O173" s="1712">
        <f t="shared" si="53"/>
        <v>0</v>
      </c>
      <c r="P173" s="1712">
        <f t="shared" si="54"/>
        <v>0</v>
      </c>
      <c r="Q173" s="1712">
        <f t="shared" si="55"/>
        <v>0</v>
      </c>
      <c r="R173" s="1757">
        <v>0.13</v>
      </c>
      <c r="S173" s="1712">
        <f t="shared" si="56"/>
        <v>0</v>
      </c>
      <c r="T173" s="1712">
        <f t="shared" si="48"/>
        <v>0</v>
      </c>
      <c r="U173" s="1712">
        <f t="shared" si="47"/>
        <v>0</v>
      </c>
      <c r="V173" s="1952"/>
    </row>
    <row r="174" spans="1:22" s="1942" customFormat="1" ht="28.5" customHeight="1" outlineLevel="2">
      <c r="A174" s="1944"/>
      <c r="B174" s="1978" t="s">
        <v>3701</v>
      </c>
      <c r="C174" s="1810"/>
      <c r="D174" s="2038" t="s">
        <v>3704</v>
      </c>
      <c r="E174" s="1947"/>
      <c r="F174" s="1462" t="s">
        <v>1424</v>
      </c>
      <c r="G174" s="1953" t="s">
        <v>4123</v>
      </c>
      <c r="H174" s="1975" t="s">
        <v>10</v>
      </c>
      <c r="I174" s="1712">
        <f>$E$5</f>
        <v>24565.840000000004</v>
      </c>
      <c r="J174" s="2036"/>
      <c r="K174" s="1950" t="s">
        <v>101</v>
      </c>
      <c r="L174" s="1947" t="s">
        <v>10</v>
      </c>
      <c r="M174" s="1754">
        <f t="shared" si="41"/>
        <v>0</v>
      </c>
      <c r="N174" s="1712"/>
      <c r="O174" s="1712">
        <f t="shared" si="53"/>
        <v>0</v>
      </c>
      <c r="P174" s="1712">
        <f t="shared" si="54"/>
        <v>0</v>
      </c>
      <c r="Q174" s="1712">
        <f t="shared" si="55"/>
        <v>0</v>
      </c>
      <c r="R174" s="1757">
        <v>0.06</v>
      </c>
      <c r="S174" s="1712">
        <f t="shared" si="56"/>
        <v>0</v>
      </c>
      <c r="T174" s="1712">
        <f t="shared" si="48"/>
        <v>0</v>
      </c>
      <c r="U174" s="1712">
        <f t="shared" si="47"/>
        <v>0</v>
      </c>
      <c r="V174" s="1952"/>
    </row>
    <row r="175" spans="1:22" s="1942" customFormat="1" ht="28.5" customHeight="1" outlineLevel="2">
      <c r="A175" s="1944"/>
      <c r="B175" s="1978" t="s">
        <v>3703</v>
      </c>
      <c r="C175" s="1810"/>
      <c r="D175" s="2039" t="s">
        <v>3706</v>
      </c>
      <c r="E175" s="1982" t="s">
        <v>3707</v>
      </c>
      <c r="F175" s="1462" t="s">
        <v>3694</v>
      </c>
      <c r="G175" s="1982" t="s">
        <v>4161</v>
      </c>
      <c r="H175" s="1975" t="s">
        <v>10</v>
      </c>
      <c r="I175" s="1712">
        <f>$E$5</f>
        <v>24565.840000000004</v>
      </c>
      <c r="J175" s="2040">
        <v>1</v>
      </c>
      <c r="K175" s="1950" t="s">
        <v>101</v>
      </c>
      <c r="L175" s="1947" t="s">
        <v>10</v>
      </c>
      <c r="M175" s="1754">
        <f t="shared" si="41"/>
        <v>24565.84</v>
      </c>
      <c r="N175" s="1756">
        <v>3</v>
      </c>
      <c r="O175" s="1712">
        <f t="shared" si="53"/>
        <v>7.3697520000000001</v>
      </c>
      <c r="P175" s="1712">
        <f t="shared" si="54"/>
        <v>2.65</v>
      </c>
      <c r="Q175" s="1712">
        <f t="shared" si="55"/>
        <v>6.5219040000000001</v>
      </c>
      <c r="R175" s="1757">
        <v>0.13</v>
      </c>
      <c r="S175" s="1712">
        <f t="shared" si="56"/>
        <v>0.84784799999999994</v>
      </c>
      <c r="T175" s="1712">
        <f t="shared" si="48"/>
        <v>2.6548670837227628</v>
      </c>
      <c r="U175" s="1712">
        <f t="shared" si="47"/>
        <v>2.9999999999999996</v>
      </c>
      <c r="V175" s="1952"/>
    </row>
    <row r="176" spans="1:22" ht="28.5" customHeight="1" outlineLevel="1">
      <c r="A176" s="2019"/>
      <c r="B176" s="2023" t="s">
        <v>501</v>
      </c>
      <c r="C176" s="1852">
        <v>2</v>
      </c>
      <c r="D176" s="1966" t="s">
        <v>83</v>
      </c>
      <c r="E176" s="1967"/>
      <c r="F176" s="1968"/>
      <c r="G176" s="2007" t="s">
        <v>4117</v>
      </c>
      <c r="H176" s="1967"/>
      <c r="I176" s="1969"/>
      <c r="J176" s="1970"/>
      <c r="K176" s="1971"/>
      <c r="L176" s="1967"/>
      <c r="M176" s="1971"/>
      <c r="N176" s="1973"/>
      <c r="O176" s="1973">
        <f>SUBTOTAL(9,O177:O189)</f>
        <v>85.980440000000002</v>
      </c>
      <c r="P176" s="1973"/>
      <c r="Q176" s="1973">
        <f>SUBTOTAL(9,Q177:Q189)</f>
        <v>78.881138000000007</v>
      </c>
      <c r="R176" s="1973"/>
      <c r="S176" s="1973">
        <f>SUBTOTAL(9,S177:S189)</f>
        <v>7.0993019999999945</v>
      </c>
      <c r="T176" s="1973">
        <f t="shared" si="48"/>
        <v>32.110091899971671</v>
      </c>
      <c r="U176" s="1973">
        <f t="shared" si="47"/>
        <v>34.999999999999993</v>
      </c>
      <c r="V176" s="1974"/>
    </row>
    <row r="177" spans="1:22" s="1942" customFormat="1" ht="28.5" customHeight="1" outlineLevel="2">
      <c r="A177" s="1944"/>
      <c r="B177" s="1807" t="s">
        <v>742</v>
      </c>
      <c r="C177" s="1808"/>
      <c r="D177" s="2008" t="s">
        <v>51</v>
      </c>
      <c r="E177" s="2009" t="s">
        <v>3709</v>
      </c>
      <c r="F177" s="1462" t="s">
        <v>3577</v>
      </c>
      <c r="G177" s="1953" t="s">
        <v>4141</v>
      </c>
      <c r="H177" s="1947" t="s">
        <v>18</v>
      </c>
      <c r="I177" s="1712">
        <f>$G$5</f>
        <v>0</v>
      </c>
      <c r="J177" s="2041"/>
      <c r="K177" s="1947" t="s">
        <v>4085</v>
      </c>
      <c r="L177" s="1947" t="s">
        <v>4086</v>
      </c>
      <c r="M177" s="1754">
        <f t="shared" si="41"/>
        <v>0</v>
      </c>
      <c r="N177" s="1712"/>
      <c r="O177" s="1712">
        <f t="shared" ref="O177:O189" si="57">ROUND(M177*ROUND(N177,2)/10000,6)</f>
        <v>0</v>
      </c>
      <c r="P177" s="1712">
        <f t="shared" ref="P177:P189" si="58">IFERROR(ROUND(Q177*10000/M177,2),0)</f>
        <v>0</v>
      </c>
      <c r="Q177" s="1712">
        <f t="shared" ref="Q177:Q189" si="59">ROUND(O177/(1+R177),6)</f>
        <v>0</v>
      </c>
      <c r="R177" s="1757">
        <v>0.09</v>
      </c>
      <c r="S177" s="1712">
        <f t="shared" ref="S177:S189" si="60">O177-Q177</f>
        <v>0</v>
      </c>
      <c r="T177" s="1712">
        <f t="shared" si="48"/>
        <v>0</v>
      </c>
      <c r="U177" s="1712">
        <f t="shared" si="47"/>
        <v>0</v>
      </c>
      <c r="V177" s="1952"/>
    </row>
    <row r="178" spans="1:22" s="1942" customFormat="1" ht="28.5" customHeight="1" outlineLevel="2">
      <c r="A178" s="1944"/>
      <c r="B178" s="1807" t="s">
        <v>746</v>
      </c>
      <c r="C178" s="1810"/>
      <c r="D178" s="2038" t="s">
        <v>89</v>
      </c>
      <c r="E178" s="1947" t="s">
        <v>3710</v>
      </c>
      <c r="F178" s="1462" t="s">
        <v>3577</v>
      </c>
      <c r="G178" s="1953" t="s">
        <v>4141</v>
      </c>
      <c r="H178" s="1947" t="s">
        <v>18</v>
      </c>
      <c r="I178" s="1712">
        <f>$G$5</f>
        <v>0</v>
      </c>
      <c r="J178" s="2041"/>
      <c r="K178" s="1947" t="s">
        <v>4085</v>
      </c>
      <c r="L178" s="1947" t="s">
        <v>4087</v>
      </c>
      <c r="M178" s="1754">
        <f t="shared" si="41"/>
        <v>0</v>
      </c>
      <c r="N178" s="1712"/>
      <c r="O178" s="1712">
        <f t="shared" si="57"/>
        <v>0</v>
      </c>
      <c r="P178" s="1712">
        <f t="shared" si="58"/>
        <v>0</v>
      </c>
      <c r="Q178" s="1712">
        <f t="shared" si="59"/>
        <v>0</v>
      </c>
      <c r="R178" s="1757">
        <v>0.09</v>
      </c>
      <c r="S178" s="1712">
        <f t="shared" si="60"/>
        <v>0</v>
      </c>
      <c r="T178" s="1712">
        <f t="shared" si="48"/>
        <v>0</v>
      </c>
      <c r="U178" s="1712">
        <f t="shared" si="47"/>
        <v>0</v>
      </c>
      <c r="V178" s="1952"/>
    </row>
    <row r="179" spans="1:22" s="1942" customFormat="1" ht="28.5" customHeight="1" outlineLevel="2">
      <c r="A179" s="1944"/>
      <c r="B179" s="1807" t="s">
        <v>753</v>
      </c>
      <c r="C179" s="1810"/>
      <c r="D179" s="2038" t="s">
        <v>3711</v>
      </c>
      <c r="E179" s="1947" t="s">
        <v>3712</v>
      </c>
      <c r="F179" s="1462" t="s">
        <v>3577</v>
      </c>
      <c r="G179" s="1953" t="s">
        <v>4141</v>
      </c>
      <c r="H179" s="1947" t="s">
        <v>10</v>
      </c>
      <c r="I179" s="1712">
        <f>$E$5</f>
        <v>24565.840000000004</v>
      </c>
      <c r="J179" s="2041"/>
      <c r="K179" s="1947" t="s">
        <v>101</v>
      </c>
      <c r="L179" s="1947" t="s">
        <v>4088</v>
      </c>
      <c r="M179" s="1754">
        <f t="shared" si="41"/>
        <v>0</v>
      </c>
      <c r="N179" s="1712"/>
      <c r="O179" s="1712">
        <f t="shared" si="57"/>
        <v>0</v>
      </c>
      <c r="P179" s="1712">
        <f t="shared" si="58"/>
        <v>0</v>
      </c>
      <c r="Q179" s="1712">
        <f t="shared" si="59"/>
        <v>0</v>
      </c>
      <c r="R179" s="1757">
        <v>0.09</v>
      </c>
      <c r="S179" s="1712">
        <f t="shared" si="60"/>
        <v>0</v>
      </c>
      <c r="T179" s="1712">
        <f t="shared" si="48"/>
        <v>0</v>
      </c>
      <c r="U179" s="1712">
        <f t="shared" si="47"/>
        <v>0</v>
      </c>
      <c r="V179" s="1952"/>
    </row>
    <row r="180" spans="1:22" s="1942" customFormat="1" ht="28.5" customHeight="1" outlineLevel="2">
      <c r="A180" s="1944"/>
      <c r="B180" s="1807" t="s">
        <v>755</v>
      </c>
      <c r="C180" s="1810"/>
      <c r="D180" s="2038" t="s">
        <v>90</v>
      </c>
      <c r="E180" s="1947" t="s">
        <v>3713</v>
      </c>
      <c r="F180" s="1462" t="s">
        <v>3577</v>
      </c>
      <c r="G180" s="1953" t="s">
        <v>4141</v>
      </c>
      <c r="H180" s="1947" t="s">
        <v>18</v>
      </c>
      <c r="I180" s="1712">
        <f>$G$5</f>
        <v>0</v>
      </c>
      <c r="J180" s="2041"/>
      <c r="K180" s="1947" t="s">
        <v>4085</v>
      </c>
      <c r="L180" s="1947" t="s">
        <v>4089</v>
      </c>
      <c r="M180" s="1754">
        <f t="shared" si="41"/>
        <v>0</v>
      </c>
      <c r="N180" s="1712"/>
      <c r="O180" s="1712">
        <f t="shared" si="57"/>
        <v>0</v>
      </c>
      <c r="P180" s="1712">
        <f t="shared" si="58"/>
        <v>0</v>
      </c>
      <c r="Q180" s="1712">
        <f t="shared" si="59"/>
        <v>0</v>
      </c>
      <c r="R180" s="1757">
        <v>0.09</v>
      </c>
      <c r="S180" s="1712">
        <f t="shared" si="60"/>
        <v>0</v>
      </c>
      <c r="T180" s="1712">
        <f t="shared" si="48"/>
        <v>0</v>
      </c>
      <c r="U180" s="1712">
        <f t="shared" si="47"/>
        <v>0</v>
      </c>
      <c r="V180" s="1952"/>
    </row>
    <row r="181" spans="1:22" s="1942" customFormat="1" ht="28.5" customHeight="1" outlineLevel="2">
      <c r="A181" s="1944"/>
      <c r="B181" s="1807" t="s">
        <v>756</v>
      </c>
      <c r="C181" s="1810"/>
      <c r="D181" s="2038" t="s">
        <v>757</v>
      </c>
      <c r="E181" s="1947" t="s">
        <v>3714</v>
      </c>
      <c r="F181" s="1462" t="s">
        <v>3577</v>
      </c>
      <c r="G181" s="1953" t="s">
        <v>4116</v>
      </c>
      <c r="H181" s="1947" t="s">
        <v>3923</v>
      </c>
      <c r="I181" s="1712">
        <f>I182</f>
        <v>35</v>
      </c>
      <c r="J181" s="2041">
        <v>15</v>
      </c>
      <c r="K181" s="1947" t="s">
        <v>2</v>
      </c>
      <c r="L181" s="1947" t="s">
        <v>4090</v>
      </c>
      <c r="M181" s="1754">
        <f t="shared" si="41"/>
        <v>525</v>
      </c>
      <c r="N181" s="1712"/>
      <c r="O181" s="1712">
        <f t="shared" si="57"/>
        <v>0</v>
      </c>
      <c r="P181" s="1712">
        <f t="shared" si="58"/>
        <v>0</v>
      </c>
      <c r="Q181" s="1712">
        <f t="shared" si="59"/>
        <v>0</v>
      </c>
      <c r="R181" s="1757">
        <v>0.09</v>
      </c>
      <c r="S181" s="1712">
        <f t="shared" si="60"/>
        <v>0</v>
      </c>
      <c r="T181" s="1712">
        <f t="shared" si="48"/>
        <v>0</v>
      </c>
      <c r="U181" s="1712">
        <f t="shared" si="47"/>
        <v>0</v>
      </c>
      <c r="V181" s="1952"/>
    </row>
    <row r="182" spans="1:22" s="1942" customFormat="1" ht="28.5" customHeight="1" outlineLevel="2">
      <c r="A182" s="1944"/>
      <c r="B182" s="1807" t="s">
        <v>758</v>
      </c>
      <c r="C182" s="1810"/>
      <c r="D182" s="2038" t="s">
        <v>118</v>
      </c>
      <c r="E182" s="1947" t="s">
        <v>3715</v>
      </c>
      <c r="F182" s="1462" t="s">
        <v>3577</v>
      </c>
      <c r="G182" s="1953" t="s">
        <v>4141</v>
      </c>
      <c r="H182" s="1947" t="s">
        <v>3923</v>
      </c>
      <c r="I182" s="1712">
        <f>'全期规划指标 '!Q25</f>
        <v>35</v>
      </c>
      <c r="J182" s="2041">
        <v>20</v>
      </c>
      <c r="K182" s="1947" t="s">
        <v>2</v>
      </c>
      <c r="L182" s="1947" t="s">
        <v>4091</v>
      </c>
      <c r="M182" s="1754">
        <f t="shared" si="41"/>
        <v>700</v>
      </c>
      <c r="N182" s="1712"/>
      <c r="O182" s="1712">
        <f t="shared" si="57"/>
        <v>0</v>
      </c>
      <c r="P182" s="1712">
        <f t="shared" si="58"/>
        <v>0</v>
      </c>
      <c r="Q182" s="1712">
        <f t="shared" si="59"/>
        <v>0</v>
      </c>
      <c r="R182" s="1757">
        <v>0.09</v>
      </c>
      <c r="S182" s="1712">
        <f t="shared" si="60"/>
        <v>0</v>
      </c>
      <c r="T182" s="1712">
        <f t="shared" si="48"/>
        <v>0</v>
      </c>
      <c r="U182" s="1712">
        <f t="shared" si="47"/>
        <v>0</v>
      </c>
      <c r="V182" s="1952"/>
    </row>
    <row r="183" spans="1:22" s="1942" customFormat="1" ht="28.5" customHeight="1" outlineLevel="2">
      <c r="A183" s="1944"/>
      <c r="B183" s="1807" t="s">
        <v>763</v>
      </c>
      <c r="C183" s="1810"/>
      <c r="D183" s="2038" t="s">
        <v>807</v>
      </c>
      <c r="E183" s="1947" t="s">
        <v>3716</v>
      </c>
      <c r="F183" s="1462" t="s">
        <v>3577</v>
      </c>
      <c r="G183" s="1953" t="s">
        <v>4141</v>
      </c>
      <c r="H183" s="1947" t="s">
        <v>4092</v>
      </c>
      <c r="I183" s="1712">
        <f>$G$5</f>
        <v>0</v>
      </c>
      <c r="J183" s="2041">
        <v>2</v>
      </c>
      <c r="K183" s="1947" t="s">
        <v>2942</v>
      </c>
      <c r="L183" s="1947" t="s">
        <v>4093</v>
      </c>
      <c r="M183" s="1754">
        <f t="shared" si="41"/>
        <v>0</v>
      </c>
      <c r="N183" s="1712"/>
      <c r="O183" s="1712">
        <f t="shared" si="57"/>
        <v>0</v>
      </c>
      <c r="P183" s="1712">
        <f t="shared" si="58"/>
        <v>0</v>
      </c>
      <c r="Q183" s="1712">
        <f t="shared" si="59"/>
        <v>0</v>
      </c>
      <c r="R183" s="1757">
        <v>0.09</v>
      </c>
      <c r="S183" s="1712">
        <f t="shared" si="60"/>
        <v>0</v>
      </c>
      <c r="T183" s="1712">
        <f t="shared" si="48"/>
        <v>0</v>
      </c>
      <c r="U183" s="1712">
        <f t="shared" si="47"/>
        <v>0</v>
      </c>
      <c r="V183" s="1952"/>
    </row>
    <row r="184" spans="1:22" s="1942" customFormat="1" ht="28.5" customHeight="1" outlineLevel="2">
      <c r="A184" s="1944"/>
      <c r="B184" s="1807" t="s">
        <v>764</v>
      </c>
      <c r="C184" s="1810"/>
      <c r="D184" s="2038" t="s">
        <v>808</v>
      </c>
      <c r="E184" s="1947" t="s">
        <v>3717</v>
      </c>
      <c r="F184" s="1462" t="s">
        <v>3577</v>
      </c>
      <c r="G184" s="1953" t="s">
        <v>4141</v>
      </c>
      <c r="H184" s="1975" t="s">
        <v>3969</v>
      </c>
      <c r="I184" s="1948"/>
      <c r="J184" s="2041"/>
      <c r="K184" s="1947" t="s">
        <v>3974</v>
      </c>
      <c r="L184" s="1947" t="s">
        <v>4048</v>
      </c>
      <c r="M184" s="1754">
        <f t="shared" si="41"/>
        <v>0</v>
      </c>
      <c r="N184" s="1712"/>
      <c r="O184" s="1712">
        <f t="shared" si="57"/>
        <v>0</v>
      </c>
      <c r="P184" s="1712">
        <f t="shared" si="58"/>
        <v>0</v>
      </c>
      <c r="Q184" s="1712">
        <f t="shared" si="59"/>
        <v>0</v>
      </c>
      <c r="R184" s="1757">
        <v>0.09</v>
      </c>
      <c r="S184" s="1712">
        <f t="shared" si="60"/>
        <v>0</v>
      </c>
      <c r="T184" s="1712">
        <f t="shared" si="48"/>
        <v>0</v>
      </c>
      <c r="U184" s="1712">
        <f t="shared" si="47"/>
        <v>0</v>
      </c>
      <c r="V184" s="1952"/>
    </row>
    <row r="185" spans="1:22" s="1942" customFormat="1" ht="28.5" customHeight="1" outlineLevel="2">
      <c r="A185" s="1944"/>
      <c r="B185" s="1807" t="s">
        <v>765</v>
      </c>
      <c r="C185" s="1808"/>
      <c r="D185" s="2008" t="s">
        <v>3718</v>
      </c>
      <c r="E185" s="2009" t="s">
        <v>3719</v>
      </c>
      <c r="F185" s="1462" t="s">
        <v>3577</v>
      </c>
      <c r="G185" s="1953" t="s">
        <v>4116</v>
      </c>
      <c r="H185" s="1947" t="s">
        <v>10</v>
      </c>
      <c r="I185" s="1712">
        <f>$E$5</f>
        <v>24565.840000000004</v>
      </c>
      <c r="J185" s="2041"/>
      <c r="K185" s="1947" t="s">
        <v>101</v>
      </c>
      <c r="L185" s="1947" t="s">
        <v>4094</v>
      </c>
      <c r="M185" s="1754">
        <f t="shared" si="41"/>
        <v>0</v>
      </c>
      <c r="N185" s="1712"/>
      <c r="O185" s="1712">
        <f t="shared" si="57"/>
        <v>0</v>
      </c>
      <c r="P185" s="1712">
        <f t="shared" si="58"/>
        <v>0</v>
      </c>
      <c r="Q185" s="1712">
        <f t="shared" si="59"/>
        <v>0</v>
      </c>
      <c r="R185" s="1757">
        <v>0.09</v>
      </c>
      <c r="S185" s="1712">
        <f t="shared" si="60"/>
        <v>0</v>
      </c>
      <c r="T185" s="1712">
        <f t="shared" si="48"/>
        <v>0</v>
      </c>
      <c r="U185" s="1712">
        <f t="shared" si="47"/>
        <v>0</v>
      </c>
      <c r="V185" s="1952"/>
    </row>
    <row r="186" spans="1:22" s="1942" customFormat="1" ht="28.5" customHeight="1" outlineLevel="2">
      <c r="A186" s="1944"/>
      <c r="B186" s="1807" t="s">
        <v>810</v>
      </c>
      <c r="C186" s="1808"/>
      <c r="D186" s="2008" t="s">
        <v>3720</v>
      </c>
      <c r="E186" s="2009" t="s">
        <v>3721</v>
      </c>
      <c r="F186" s="1462" t="s">
        <v>3577</v>
      </c>
      <c r="G186" s="1953" t="s">
        <v>4141</v>
      </c>
      <c r="H186" s="1947" t="s">
        <v>10</v>
      </c>
      <c r="I186" s="1712">
        <f>$E$5</f>
        <v>24565.840000000004</v>
      </c>
      <c r="J186" s="2041"/>
      <c r="K186" s="1947" t="s">
        <v>101</v>
      </c>
      <c r="L186" s="1947" t="s">
        <v>4095</v>
      </c>
      <c r="M186" s="1754">
        <f t="shared" si="41"/>
        <v>0</v>
      </c>
      <c r="N186" s="1712"/>
      <c r="O186" s="1712">
        <f t="shared" si="57"/>
        <v>0</v>
      </c>
      <c r="P186" s="1712">
        <f t="shared" si="58"/>
        <v>0</v>
      </c>
      <c r="Q186" s="1712">
        <f t="shared" si="59"/>
        <v>0</v>
      </c>
      <c r="R186" s="1757">
        <v>0.09</v>
      </c>
      <c r="S186" s="1712">
        <f t="shared" si="60"/>
        <v>0</v>
      </c>
      <c r="T186" s="1712">
        <f t="shared" si="48"/>
        <v>0</v>
      </c>
      <c r="U186" s="1712">
        <f t="shared" si="47"/>
        <v>0</v>
      </c>
      <c r="V186" s="1952"/>
    </row>
    <row r="187" spans="1:22" s="1942" customFormat="1" ht="28.5" customHeight="1" outlineLevel="2">
      <c r="A187" s="1944"/>
      <c r="B187" s="1807" t="s">
        <v>3722</v>
      </c>
      <c r="C187" s="1808"/>
      <c r="D187" s="2008" t="s">
        <v>3723</v>
      </c>
      <c r="E187" s="2009" t="s">
        <v>3724</v>
      </c>
      <c r="F187" s="1462" t="s">
        <v>3577</v>
      </c>
      <c r="G187" s="1953" t="s">
        <v>4141</v>
      </c>
      <c r="H187" s="1947" t="s">
        <v>10</v>
      </c>
      <c r="I187" s="1712">
        <f>$E$5</f>
        <v>24565.840000000004</v>
      </c>
      <c r="J187" s="2041"/>
      <c r="K187" s="1947" t="s">
        <v>101</v>
      </c>
      <c r="L187" s="1947" t="s">
        <v>4096</v>
      </c>
      <c r="M187" s="1754">
        <f t="shared" si="41"/>
        <v>0</v>
      </c>
      <c r="N187" s="1712"/>
      <c r="O187" s="1712">
        <f t="shared" si="57"/>
        <v>0</v>
      </c>
      <c r="P187" s="1712">
        <f t="shared" si="58"/>
        <v>0</v>
      </c>
      <c r="Q187" s="1712">
        <f t="shared" si="59"/>
        <v>0</v>
      </c>
      <c r="R187" s="1757">
        <v>0.09</v>
      </c>
      <c r="S187" s="1712">
        <f t="shared" si="60"/>
        <v>0</v>
      </c>
      <c r="T187" s="1712">
        <f t="shared" si="48"/>
        <v>0</v>
      </c>
      <c r="U187" s="1712">
        <f t="shared" si="47"/>
        <v>0</v>
      </c>
      <c r="V187" s="1952"/>
    </row>
    <row r="188" spans="1:22" s="1942" customFormat="1" ht="28.5" customHeight="1" outlineLevel="2">
      <c r="A188" s="1944"/>
      <c r="B188" s="1807" t="s">
        <v>3725</v>
      </c>
      <c r="C188" s="1810"/>
      <c r="D188" s="2038" t="s">
        <v>811</v>
      </c>
      <c r="E188" s="1947" t="s">
        <v>3726</v>
      </c>
      <c r="F188" s="1462" t="s">
        <v>3624</v>
      </c>
      <c r="G188" s="1953" t="s">
        <v>4149</v>
      </c>
      <c r="H188" s="1975" t="s">
        <v>10</v>
      </c>
      <c r="I188" s="1712">
        <f>$E$5</f>
        <v>24565.840000000004</v>
      </c>
      <c r="J188" s="2041"/>
      <c r="K188" s="1947" t="s">
        <v>101</v>
      </c>
      <c r="L188" s="1947" t="s">
        <v>10</v>
      </c>
      <c r="M188" s="1754">
        <f t="shared" si="41"/>
        <v>0</v>
      </c>
      <c r="N188" s="1712"/>
      <c r="O188" s="1712">
        <f t="shared" si="57"/>
        <v>0</v>
      </c>
      <c r="P188" s="1712">
        <f t="shared" si="58"/>
        <v>0</v>
      </c>
      <c r="Q188" s="1712">
        <f t="shared" si="59"/>
        <v>0</v>
      </c>
      <c r="R188" s="1757">
        <v>0.06</v>
      </c>
      <c r="S188" s="1712">
        <f t="shared" si="60"/>
        <v>0</v>
      </c>
      <c r="T188" s="1712">
        <f t="shared" si="48"/>
        <v>0</v>
      </c>
      <c r="U188" s="1712">
        <f t="shared" si="47"/>
        <v>0</v>
      </c>
      <c r="V188" s="1952"/>
    </row>
    <row r="189" spans="1:22" s="1942" customFormat="1" ht="28.5" customHeight="1" outlineLevel="2">
      <c r="A189" s="1944" t="s">
        <v>4011</v>
      </c>
      <c r="B189" s="1807" t="s">
        <v>3727</v>
      </c>
      <c r="C189" s="1810"/>
      <c r="D189" s="2038" t="s">
        <v>3728</v>
      </c>
      <c r="E189" s="1947" t="s">
        <v>3729</v>
      </c>
      <c r="F189" s="1462" t="s">
        <v>3730</v>
      </c>
      <c r="G189" s="1953" t="s">
        <v>4163</v>
      </c>
      <c r="H189" s="1975" t="s">
        <v>10</v>
      </c>
      <c r="I189" s="1712">
        <f>$E$5</f>
        <v>24565.840000000004</v>
      </c>
      <c r="J189" s="2042">
        <v>1</v>
      </c>
      <c r="K189" s="1947" t="s">
        <v>101</v>
      </c>
      <c r="L189" s="1947" t="s">
        <v>3849</v>
      </c>
      <c r="M189" s="1754">
        <f t="shared" si="41"/>
        <v>24565.84</v>
      </c>
      <c r="N189" s="1756">
        <v>35</v>
      </c>
      <c r="O189" s="1712">
        <f t="shared" si="57"/>
        <v>85.980440000000002</v>
      </c>
      <c r="P189" s="1712">
        <f t="shared" si="58"/>
        <v>32.11</v>
      </c>
      <c r="Q189" s="1712">
        <f t="shared" si="59"/>
        <v>78.881138000000007</v>
      </c>
      <c r="R189" s="1757">
        <v>0.09</v>
      </c>
      <c r="S189" s="1712">
        <f t="shared" si="60"/>
        <v>7.0993019999999945</v>
      </c>
      <c r="T189" s="1712">
        <f t="shared" si="48"/>
        <v>32.110091899971671</v>
      </c>
      <c r="U189" s="1712">
        <f t="shared" si="47"/>
        <v>34.999999999999993</v>
      </c>
      <c r="V189" s="1952"/>
    </row>
    <row r="190" spans="1:22" ht="28.5" customHeight="1" outlineLevel="1">
      <c r="A190" s="2019"/>
      <c r="B190" s="2023" t="s">
        <v>502</v>
      </c>
      <c r="C190" s="1852">
        <v>3</v>
      </c>
      <c r="D190" s="1966" t="s">
        <v>84</v>
      </c>
      <c r="E190" s="1967"/>
      <c r="F190" s="1968"/>
      <c r="G190" s="2007" t="s">
        <v>4117</v>
      </c>
      <c r="H190" s="1967"/>
      <c r="I190" s="1969"/>
      <c r="J190" s="1970"/>
      <c r="K190" s="1971"/>
      <c r="L190" s="1967"/>
      <c r="M190" s="1971"/>
      <c r="N190" s="1973"/>
      <c r="O190" s="1973">
        <f>SUBTOTAL(9,O191:O198)</f>
        <v>0</v>
      </c>
      <c r="P190" s="1973"/>
      <c r="Q190" s="1973">
        <f>SUBTOTAL(9,Q191:Q198)</f>
        <v>0</v>
      </c>
      <c r="R190" s="1973"/>
      <c r="S190" s="1973">
        <f>SUBTOTAL(9,S191:S198)</f>
        <v>0</v>
      </c>
      <c r="T190" s="1973">
        <f t="shared" si="48"/>
        <v>0</v>
      </c>
      <c r="U190" s="1973">
        <f t="shared" si="47"/>
        <v>0</v>
      </c>
      <c r="V190" s="1974"/>
    </row>
    <row r="191" spans="1:22" s="1942" customFormat="1" ht="28.5" customHeight="1" outlineLevel="2">
      <c r="A191" s="1944"/>
      <c r="B191" s="1807" t="s">
        <v>766</v>
      </c>
      <c r="C191" s="1808"/>
      <c r="D191" s="2008" t="s">
        <v>3731</v>
      </c>
      <c r="E191" s="2009"/>
      <c r="F191" s="1462"/>
      <c r="G191" s="1953" t="s">
        <v>4117</v>
      </c>
      <c r="H191" s="1947"/>
      <c r="I191" s="1948"/>
      <c r="J191" s="1949"/>
      <c r="K191" s="1950"/>
      <c r="L191" s="1947"/>
      <c r="M191" s="1950"/>
      <c r="N191" s="1712"/>
      <c r="O191" s="1712">
        <f>SUBTOTAL(9,O192:O196)</f>
        <v>0</v>
      </c>
      <c r="P191" s="1712"/>
      <c r="Q191" s="1712">
        <f>SUBTOTAL(9,Q192:Q196)</f>
        <v>0</v>
      </c>
      <c r="R191" s="1712"/>
      <c r="S191" s="1712">
        <f>SUBTOTAL(9,S192:S196)</f>
        <v>0</v>
      </c>
      <c r="T191" s="1712">
        <f t="shared" si="48"/>
        <v>0</v>
      </c>
      <c r="U191" s="1712">
        <f t="shared" si="47"/>
        <v>0</v>
      </c>
      <c r="V191" s="1952"/>
    </row>
    <row r="192" spans="1:22" s="1942" customFormat="1" ht="28.5" customHeight="1" outlineLevel="3">
      <c r="A192" s="1944"/>
      <c r="B192" s="1978" t="s">
        <v>767</v>
      </c>
      <c r="C192" s="1810"/>
      <c r="D192" s="2038" t="s">
        <v>3732</v>
      </c>
      <c r="E192" s="1947" t="s">
        <v>3733</v>
      </c>
      <c r="F192" s="1462" t="s">
        <v>458</v>
      </c>
      <c r="G192" s="1953" t="s">
        <v>4164</v>
      </c>
      <c r="H192" s="1947" t="s">
        <v>10</v>
      </c>
      <c r="I192" s="1712">
        <f>$E$5</f>
        <v>24565.840000000004</v>
      </c>
      <c r="J192" s="1949"/>
      <c r="K192" s="1947" t="s">
        <v>101</v>
      </c>
      <c r="L192" s="1947" t="s">
        <v>10</v>
      </c>
      <c r="M192" s="1754">
        <f t="shared" ref="M192:M208" si="61">ROUND(I192,2)*ROUND(J192,4)</f>
        <v>0</v>
      </c>
      <c r="N192" s="1712"/>
      <c r="O192" s="1712">
        <f t="shared" ref="O192:O198" si="62">ROUND(M192*ROUND(N192,2)/10000,6)</f>
        <v>0</v>
      </c>
      <c r="P192" s="1712">
        <f t="shared" ref="P192:P198" si="63">IFERROR(ROUND(Q192*10000/M192,2),0)</f>
        <v>0</v>
      </c>
      <c r="Q192" s="1712">
        <f t="shared" ref="Q192:Q198" si="64">ROUND(O192/(1+R192),6)</f>
        <v>0</v>
      </c>
      <c r="R192" s="1757">
        <v>0.09</v>
      </c>
      <c r="S192" s="1712">
        <f t="shared" ref="S192:S198" si="65">O192-Q192</f>
        <v>0</v>
      </c>
      <c r="T192" s="1712">
        <f t="shared" si="48"/>
        <v>0</v>
      </c>
      <c r="U192" s="1712">
        <f t="shared" si="47"/>
        <v>0</v>
      </c>
      <c r="V192" s="1952"/>
    </row>
    <row r="193" spans="1:22" s="1942" customFormat="1" ht="28.5" customHeight="1" outlineLevel="3">
      <c r="A193" s="1944"/>
      <c r="B193" s="1978" t="s">
        <v>769</v>
      </c>
      <c r="C193" s="1810"/>
      <c r="D193" s="2038" t="s">
        <v>3734</v>
      </c>
      <c r="E193" s="1947" t="s">
        <v>3735</v>
      </c>
      <c r="F193" s="1462" t="s">
        <v>458</v>
      </c>
      <c r="G193" s="1953" t="s">
        <v>4164</v>
      </c>
      <c r="H193" s="1975" t="s">
        <v>3926</v>
      </c>
      <c r="I193" s="1712">
        <f>$G$7</f>
        <v>0</v>
      </c>
      <c r="J193" s="1949"/>
      <c r="K193" s="1950" t="s">
        <v>3947</v>
      </c>
      <c r="L193" s="1947" t="s">
        <v>3926</v>
      </c>
      <c r="M193" s="1754">
        <f t="shared" si="61"/>
        <v>0</v>
      </c>
      <c r="N193" s="1712"/>
      <c r="O193" s="1712">
        <f t="shared" si="62"/>
        <v>0</v>
      </c>
      <c r="P193" s="1712">
        <f t="shared" si="63"/>
        <v>0</v>
      </c>
      <c r="Q193" s="1712">
        <f t="shared" si="64"/>
        <v>0</v>
      </c>
      <c r="R193" s="1757">
        <v>0.09</v>
      </c>
      <c r="S193" s="1712">
        <f t="shared" si="65"/>
        <v>0</v>
      </c>
      <c r="T193" s="1712">
        <f t="shared" si="48"/>
        <v>0</v>
      </c>
      <c r="U193" s="1712">
        <f t="shared" si="47"/>
        <v>0</v>
      </c>
      <c r="V193" s="1952"/>
    </row>
    <row r="194" spans="1:22" s="1942" customFormat="1" ht="28.5" customHeight="1" outlineLevel="3">
      <c r="A194" s="1944"/>
      <c r="B194" s="1978" t="s">
        <v>770</v>
      </c>
      <c r="C194" s="1810"/>
      <c r="D194" s="2038" t="s">
        <v>771</v>
      </c>
      <c r="E194" s="1947" t="s">
        <v>3737</v>
      </c>
      <c r="F194" s="1462" t="s">
        <v>3738</v>
      </c>
      <c r="G194" s="1953" t="s">
        <v>4166</v>
      </c>
      <c r="H194" s="1975" t="s">
        <v>3926</v>
      </c>
      <c r="I194" s="1712">
        <f>$G$7</f>
        <v>0</v>
      </c>
      <c r="J194" s="1949"/>
      <c r="K194" s="1950" t="s">
        <v>3947</v>
      </c>
      <c r="L194" s="1947" t="s">
        <v>3926</v>
      </c>
      <c r="M194" s="1754">
        <f t="shared" si="61"/>
        <v>0</v>
      </c>
      <c r="N194" s="1712"/>
      <c r="O194" s="1712">
        <f t="shared" si="62"/>
        <v>0</v>
      </c>
      <c r="P194" s="1712">
        <f t="shared" si="63"/>
        <v>0</v>
      </c>
      <c r="Q194" s="1712">
        <f t="shared" si="64"/>
        <v>0</v>
      </c>
      <c r="R194" s="1757">
        <v>0.09</v>
      </c>
      <c r="S194" s="1712">
        <f t="shared" si="65"/>
        <v>0</v>
      </c>
      <c r="T194" s="1712">
        <f t="shared" si="48"/>
        <v>0</v>
      </c>
      <c r="U194" s="1712">
        <f t="shared" si="47"/>
        <v>0</v>
      </c>
      <c r="V194" s="1952"/>
    </row>
    <row r="195" spans="1:22" s="1942" customFormat="1" ht="28.5" customHeight="1" outlineLevel="3">
      <c r="A195" s="1944"/>
      <c r="B195" s="1978" t="s">
        <v>772</v>
      </c>
      <c r="C195" s="1810"/>
      <c r="D195" s="2038" t="s">
        <v>1598</v>
      </c>
      <c r="E195" s="1947" t="s">
        <v>3739</v>
      </c>
      <c r="F195" s="1462" t="s">
        <v>458</v>
      </c>
      <c r="G195" s="1953" t="s">
        <v>4164</v>
      </c>
      <c r="H195" s="1975" t="s">
        <v>3926</v>
      </c>
      <c r="I195" s="1712">
        <f>$G$7</f>
        <v>0</v>
      </c>
      <c r="J195" s="1949"/>
      <c r="K195" s="1950" t="s">
        <v>3947</v>
      </c>
      <c r="L195" s="1947" t="s">
        <v>3926</v>
      </c>
      <c r="M195" s="1754">
        <f t="shared" si="61"/>
        <v>0</v>
      </c>
      <c r="N195" s="1712"/>
      <c r="O195" s="1712">
        <f t="shared" si="62"/>
        <v>0</v>
      </c>
      <c r="P195" s="1712">
        <f t="shared" si="63"/>
        <v>0</v>
      </c>
      <c r="Q195" s="1712">
        <f t="shared" si="64"/>
        <v>0</v>
      </c>
      <c r="R195" s="1757">
        <v>0.09</v>
      </c>
      <c r="S195" s="1712">
        <f t="shared" si="65"/>
        <v>0</v>
      </c>
      <c r="T195" s="1712">
        <f t="shared" si="48"/>
        <v>0</v>
      </c>
      <c r="U195" s="1712">
        <f t="shared" si="47"/>
        <v>0</v>
      </c>
      <c r="V195" s="1952"/>
    </row>
    <row r="196" spans="1:22" s="1942" customFormat="1" ht="28.5" customHeight="1" outlineLevel="3">
      <c r="A196" s="1944"/>
      <c r="B196" s="1978" t="s">
        <v>773</v>
      </c>
      <c r="C196" s="1810"/>
      <c r="D196" s="2038" t="s">
        <v>3740</v>
      </c>
      <c r="E196" s="1947" t="s">
        <v>3741</v>
      </c>
      <c r="F196" s="1462" t="s">
        <v>3742</v>
      </c>
      <c r="G196" s="1953" t="s">
        <v>4167</v>
      </c>
      <c r="H196" s="1975" t="s">
        <v>3926</v>
      </c>
      <c r="I196" s="1712">
        <f>$G$7</f>
        <v>0</v>
      </c>
      <c r="J196" s="1949"/>
      <c r="K196" s="1950" t="s">
        <v>3947</v>
      </c>
      <c r="L196" s="1947" t="s">
        <v>3926</v>
      </c>
      <c r="M196" s="1754">
        <f t="shared" si="61"/>
        <v>0</v>
      </c>
      <c r="N196" s="1712"/>
      <c r="O196" s="1712">
        <f t="shared" si="62"/>
        <v>0</v>
      </c>
      <c r="P196" s="1712">
        <f t="shared" si="63"/>
        <v>0</v>
      </c>
      <c r="Q196" s="1712">
        <f t="shared" si="64"/>
        <v>0</v>
      </c>
      <c r="R196" s="1757">
        <v>0.13</v>
      </c>
      <c r="S196" s="1712">
        <f t="shared" si="65"/>
        <v>0</v>
      </c>
      <c r="T196" s="1712">
        <f t="shared" si="48"/>
        <v>0</v>
      </c>
      <c r="U196" s="1712">
        <f t="shared" si="47"/>
        <v>0</v>
      </c>
      <c r="V196" s="1952"/>
    </row>
    <row r="197" spans="1:22" s="1942" customFormat="1" ht="28.5" customHeight="1" outlineLevel="2">
      <c r="A197" s="1944"/>
      <c r="B197" s="1978" t="s">
        <v>777</v>
      </c>
      <c r="C197" s="1810"/>
      <c r="D197" s="2038" t="s">
        <v>814</v>
      </c>
      <c r="E197" s="1947" t="s">
        <v>3743</v>
      </c>
      <c r="F197" s="1462" t="s">
        <v>458</v>
      </c>
      <c r="G197" s="1953" t="s">
        <v>4164</v>
      </c>
      <c r="H197" s="1975" t="s">
        <v>10</v>
      </c>
      <c r="I197" s="1712">
        <f>$E$5</f>
        <v>24565.840000000004</v>
      </c>
      <c r="J197" s="2035"/>
      <c r="K197" s="1950" t="s">
        <v>101</v>
      </c>
      <c r="L197" s="1947" t="s">
        <v>10</v>
      </c>
      <c r="M197" s="1754">
        <f t="shared" si="61"/>
        <v>0</v>
      </c>
      <c r="N197" s="1712"/>
      <c r="O197" s="1712">
        <f t="shared" si="62"/>
        <v>0</v>
      </c>
      <c r="P197" s="1712">
        <f t="shared" si="63"/>
        <v>0</v>
      </c>
      <c r="Q197" s="1712">
        <f t="shared" si="64"/>
        <v>0</v>
      </c>
      <c r="R197" s="1757">
        <v>0.09</v>
      </c>
      <c r="S197" s="1712">
        <f t="shared" si="65"/>
        <v>0</v>
      </c>
      <c r="T197" s="1712">
        <f t="shared" si="48"/>
        <v>0</v>
      </c>
      <c r="U197" s="1712">
        <f t="shared" si="47"/>
        <v>0</v>
      </c>
      <c r="V197" s="1952"/>
    </row>
    <row r="198" spans="1:22" s="1942" customFormat="1" ht="28.5" customHeight="1" outlineLevel="2">
      <c r="A198" s="1944"/>
      <c r="B198" s="1978" t="s">
        <v>778</v>
      </c>
      <c r="C198" s="1810"/>
      <c r="D198" s="2038" t="s">
        <v>815</v>
      </c>
      <c r="E198" s="1947" t="s">
        <v>3744</v>
      </c>
      <c r="F198" s="1462" t="s">
        <v>458</v>
      </c>
      <c r="G198" s="1953" t="s">
        <v>4164</v>
      </c>
      <c r="H198" s="1975" t="s">
        <v>10</v>
      </c>
      <c r="I198" s="1712">
        <f>$E$5</f>
        <v>24565.840000000004</v>
      </c>
      <c r="J198" s="2035"/>
      <c r="K198" s="1950" t="s">
        <v>101</v>
      </c>
      <c r="L198" s="1947" t="s">
        <v>10</v>
      </c>
      <c r="M198" s="1754">
        <f t="shared" si="61"/>
        <v>0</v>
      </c>
      <c r="N198" s="1712"/>
      <c r="O198" s="1712">
        <f t="shared" si="62"/>
        <v>0</v>
      </c>
      <c r="P198" s="1712">
        <f t="shared" si="63"/>
        <v>0</v>
      </c>
      <c r="Q198" s="1712">
        <f t="shared" si="64"/>
        <v>0</v>
      </c>
      <c r="R198" s="1757">
        <v>0.09</v>
      </c>
      <c r="S198" s="1712">
        <f t="shared" si="65"/>
        <v>0</v>
      </c>
      <c r="T198" s="1712">
        <f t="shared" si="48"/>
        <v>0</v>
      </c>
      <c r="U198" s="1712">
        <f t="shared" si="47"/>
        <v>0</v>
      </c>
      <c r="V198" s="1952"/>
    </row>
    <row r="199" spans="1:22" ht="28.5" customHeight="1" outlineLevel="1">
      <c r="A199" s="2019"/>
      <c r="B199" s="2023" t="s">
        <v>503</v>
      </c>
      <c r="C199" s="1852">
        <v>4</v>
      </c>
      <c r="D199" s="1966" t="s">
        <v>92</v>
      </c>
      <c r="E199" s="1967"/>
      <c r="F199" s="1968"/>
      <c r="G199" s="2007" t="s">
        <v>4117</v>
      </c>
      <c r="H199" s="1967"/>
      <c r="I199" s="1969"/>
      <c r="J199" s="1970"/>
      <c r="K199" s="1971"/>
      <c r="L199" s="1967"/>
      <c r="M199" s="1971"/>
      <c r="N199" s="1973"/>
      <c r="O199" s="1973">
        <f>SUBTOTAL(9,O200:O208)</f>
        <v>39.375</v>
      </c>
      <c r="P199" s="1973"/>
      <c r="Q199" s="1973">
        <f>SUBTOTAL(9,Q200:Q208)</f>
        <v>34.845132999999997</v>
      </c>
      <c r="R199" s="1973"/>
      <c r="S199" s="1973">
        <f>SUBTOTAL(9,S200:S208)</f>
        <v>4.529867000000003</v>
      </c>
      <c r="T199" s="1973">
        <f t="shared" si="48"/>
        <v>14.184384901961419</v>
      </c>
      <c r="U199" s="1973">
        <f t="shared" si="47"/>
        <v>16.0283548211663</v>
      </c>
      <c r="V199" s="1974"/>
    </row>
    <row r="200" spans="1:22" s="1942" customFormat="1" ht="28.5" customHeight="1" outlineLevel="2">
      <c r="A200" s="1944"/>
      <c r="B200" s="1807" t="s">
        <v>1600</v>
      </c>
      <c r="C200" s="1808"/>
      <c r="D200" s="2008" t="s">
        <v>3745</v>
      </c>
      <c r="E200" s="2009" t="s">
        <v>3746</v>
      </c>
      <c r="F200" s="1462" t="s">
        <v>461</v>
      </c>
      <c r="G200" s="1953" t="s">
        <v>4168</v>
      </c>
      <c r="H200" s="1975" t="s">
        <v>3926</v>
      </c>
      <c r="I200" s="1712">
        <f>$G$7</f>
        <v>0</v>
      </c>
      <c r="J200" s="1949"/>
      <c r="K200" s="1950" t="s">
        <v>3947</v>
      </c>
      <c r="L200" s="1947" t="s">
        <v>3926</v>
      </c>
      <c r="M200" s="1754">
        <f t="shared" si="61"/>
        <v>0</v>
      </c>
      <c r="N200" s="1712"/>
      <c r="O200" s="1712">
        <f t="shared" ref="O200:O208" si="66">ROUND(M200*ROUND(N200,2)/10000,6)</f>
        <v>0</v>
      </c>
      <c r="P200" s="1712">
        <f t="shared" ref="P200:P208" si="67">IFERROR(ROUND(Q200*10000/M200,2),0)</f>
        <v>0</v>
      </c>
      <c r="Q200" s="1712">
        <f t="shared" ref="Q200:Q208" si="68">ROUND(O200/(1+R200),6)</f>
        <v>0</v>
      </c>
      <c r="R200" s="1757">
        <v>0.13</v>
      </c>
      <c r="S200" s="1712">
        <f t="shared" ref="S200:S208" si="69">O200-Q200</f>
        <v>0</v>
      </c>
      <c r="T200" s="1712">
        <f t="shared" si="48"/>
        <v>0</v>
      </c>
      <c r="U200" s="1712">
        <f t="shared" si="47"/>
        <v>0</v>
      </c>
      <c r="V200" s="1952"/>
    </row>
    <row r="201" spans="1:22" s="1942" customFormat="1" ht="28.5" customHeight="1" outlineLevel="2">
      <c r="A201" s="1944"/>
      <c r="B201" s="1807" t="s">
        <v>1601</v>
      </c>
      <c r="C201" s="1808"/>
      <c r="D201" s="2008" t="s">
        <v>94</v>
      </c>
      <c r="E201" s="2009" t="s">
        <v>3747</v>
      </c>
      <c r="F201" s="1462" t="s">
        <v>1602</v>
      </c>
      <c r="G201" s="1953" t="s">
        <v>4169</v>
      </c>
      <c r="H201" s="1975" t="s">
        <v>3926</v>
      </c>
      <c r="I201" s="1712">
        <f>$G$7</f>
        <v>0</v>
      </c>
      <c r="J201" s="1949"/>
      <c r="K201" s="1950" t="s">
        <v>3947</v>
      </c>
      <c r="L201" s="1947" t="s">
        <v>3926</v>
      </c>
      <c r="M201" s="1754">
        <f t="shared" si="61"/>
        <v>0</v>
      </c>
      <c r="N201" s="1712"/>
      <c r="O201" s="1712">
        <f t="shared" si="66"/>
        <v>0</v>
      </c>
      <c r="P201" s="1712">
        <f t="shared" si="67"/>
        <v>0</v>
      </c>
      <c r="Q201" s="1712">
        <f t="shared" si="68"/>
        <v>0</v>
      </c>
      <c r="R201" s="1757">
        <v>0.13</v>
      </c>
      <c r="S201" s="1712">
        <f t="shared" si="69"/>
        <v>0</v>
      </c>
      <c r="T201" s="1712">
        <f t="shared" si="48"/>
        <v>0</v>
      </c>
      <c r="U201" s="1712">
        <f t="shared" si="47"/>
        <v>0</v>
      </c>
      <c r="V201" s="1952"/>
    </row>
    <row r="202" spans="1:22" s="1942" customFormat="1" ht="28.5" customHeight="1" outlineLevel="2">
      <c r="A202" s="1944"/>
      <c r="B202" s="1807" t="s">
        <v>779</v>
      </c>
      <c r="C202" s="1808"/>
      <c r="D202" s="2008" t="s">
        <v>3748</v>
      </c>
      <c r="E202" s="2009" t="s">
        <v>3749</v>
      </c>
      <c r="F202" s="1462" t="s">
        <v>3531</v>
      </c>
      <c r="G202" s="1953" t="s">
        <v>4140</v>
      </c>
      <c r="H202" s="1975" t="s">
        <v>10</v>
      </c>
      <c r="I202" s="1712">
        <f>$E$5</f>
        <v>24565.840000000004</v>
      </c>
      <c r="J202" s="2036"/>
      <c r="K202" s="1950" t="s">
        <v>101</v>
      </c>
      <c r="L202" s="1947" t="s">
        <v>10</v>
      </c>
      <c r="M202" s="1754">
        <f t="shared" si="61"/>
        <v>0</v>
      </c>
      <c r="N202" s="1712"/>
      <c r="O202" s="1712">
        <f t="shared" si="66"/>
        <v>0</v>
      </c>
      <c r="P202" s="1712">
        <f t="shared" si="67"/>
        <v>0</v>
      </c>
      <c r="Q202" s="1712">
        <f t="shared" si="68"/>
        <v>0</v>
      </c>
      <c r="R202" s="1713">
        <v>0.13</v>
      </c>
      <c r="S202" s="1712">
        <f t="shared" si="69"/>
        <v>0</v>
      </c>
      <c r="T202" s="1712">
        <f t="shared" si="48"/>
        <v>0</v>
      </c>
      <c r="U202" s="1712">
        <f t="shared" si="47"/>
        <v>0</v>
      </c>
      <c r="V202" s="1952"/>
    </row>
    <row r="203" spans="1:22" s="1942" customFormat="1" ht="28.5" customHeight="1" outlineLevel="2">
      <c r="A203" s="1944"/>
      <c r="B203" s="1807" t="s">
        <v>780</v>
      </c>
      <c r="C203" s="1808"/>
      <c r="D203" s="2008" t="s">
        <v>95</v>
      </c>
      <c r="E203" s="2009" t="s">
        <v>3750</v>
      </c>
      <c r="F203" s="1462" t="s">
        <v>3531</v>
      </c>
      <c r="G203" s="1953" t="s">
        <v>4140</v>
      </c>
      <c r="H203" s="1975" t="s">
        <v>3926</v>
      </c>
      <c r="I203" s="1712">
        <f>$G$7</f>
        <v>0</v>
      </c>
      <c r="J203" s="2035"/>
      <c r="K203" s="1950" t="s">
        <v>3947</v>
      </c>
      <c r="L203" s="1947" t="s">
        <v>3926</v>
      </c>
      <c r="M203" s="1754">
        <f t="shared" si="61"/>
        <v>0</v>
      </c>
      <c r="N203" s="1712"/>
      <c r="O203" s="1712">
        <f t="shared" si="66"/>
        <v>0</v>
      </c>
      <c r="P203" s="1712">
        <f t="shared" si="67"/>
        <v>0</v>
      </c>
      <c r="Q203" s="1712">
        <f t="shared" si="68"/>
        <v>0</v>
      </c>
      <c r="R203" s="1713">
        <v>0.13</v>
      </c>
      <c r="S203" s="1712">
        <f t="shared" si="69"/>
        <v>0</v>
      </c>
      <c r="T203" s="1712">
        <f t="shared" si="48"/>
        <v>0</v>
      </c>
      <c r="U203" s="2043">
        <f t="shared" si="47"/>
        <v>0</v>
      </c>
      <c r="V203" s="1952"/>
    </row>
    <row r="204" spans="1:22" s="1942" customFormat="1" ht="28.5" customHeight="1" outlineLevel="2">
      <c r="A204" s="1944"/>
      <c r="B204" s="1807" t="s">
        <v>781</v>
      </c>
      <c r="C204" s="1808"/>
      <c r="D204" s="2008" t="s">
        <v>3751</v>
      </c>
      <c r="E204" s="2009" t="s">
        <v>3752</v>
      </c>
      <c r="F204" s="1462" t="s">
        <v>3531</v>
      </c>
      <c r="G204" s="1953" t="s">
        <v>4140</v>
      </c>
      <c r="H204" s="1975" t="s">
        <v>10</v>
      </c>
      <c r="I204" s="1712">
        <f>$E$5</f>
        <v>24565.840000000004</v>
      </c>
      <c r="J204" s="2036"/>
      <c r="K204" s="1950" t="s">
        <v>101</v>
      </c>
      <c r="L204" s="1947" t="s">
        <v>10</v>
      </c>
      <c r="M204" s="1754">
        <f t="shared" si="61"/>
        <v>0</v>
      </c>
      <c r="N204" s="1712"/>
      <c r="O204" s="1712">
        <f t="shared" si="66"/>
        <v>0</v>
      </c>
      <c r="P204" s="1712">
        <f t="shared" si="67"/>
        <v>0</v>
      </c>
      <c r="Q204" s="1712">
        <f t="shared" si="68"/>
        <v>0</v>
      </c>
      <c r="R204" s="1713">
        <v>0.13</v>
      </c>
      <c r="S204" s="1712">
        <f t="shared" si="69"/>
        <v>0</v>
      </c>
      <c r="T204" s="1712">
        <f t="shared" si="48"/>
        <v>0</v>
      </c>
      <c r="U204" s="2043">
        <f t="shared" si="47"/>
        <v>0</v>
      </c>
      <c r="V204" s="1952"/>
    </row>
    <row r="205" spans="1:22" s="1942" customFormat="1" ht="28.5" customHeight="1" outlineLevel="2">
      <c r="A205" s="1944"/>
      <c r="B205" s="1807" t="s">
        <v>782</v>
      </c>
      <c r="C205" s="1808"/>
      <c r="D205" s="2008" t="s">
        <v>3753</v>
      </c>
      <c r="E205" s="2009" t="s">
        <v>3754</v>
      </c>
      <c r="F205" s="1462" t="s">
        <v>3531</v>
      </c>
      <c r="G205" s="1953" t="s">
        <v>4140</v>
      </c>
      <c r="H205" s="1975" t="s">
        <v>10</v>
      </c>
      <c r="I205" s="1948">
        <f>$E$5</f>
        <v>24565.840000000004</v>
      </c>
      <c r="J205" s="2036"/>
      <c r="K205" s="1950" t="s">
        <v>101</v>
      </c>
      <c r="L205" s="1947" t="s">
        <v>10</v>
      </c>
      <c r="M205" s="1754">
        <f t="shared" si="61"/>
        <v>0</v>
      </c>
      <c r="N205" s="1712"/>
      <c r="O205" s="1712">
        <f t="shared" si="66"/>
        <v>0</v>
      </c>
      <c r="P205" s="1712">
        <f t="shared" si="67"/>
        <v>0</v>
      </c>
      <c r="Q205" s="1712">
        <f t="shared" si="68"/>
        <v>0</v>
      </c>
      <c r="R205" s="1713">
        <v>0.13</v>
      </c>
      <c r="S205" s="1712">
        <f t="shared" si="69"/>
        <v>0</v>
      </c>
      <c r="T205" s="1712">
        <f t="shared" si="48"/>
        <v>0</v>
      </c>
      <c r="U205" s="2043">
        <f t="shared" si="47"/>
        <v>0</v>
      </c>
      <c r="V205" s="1952"/>
    </row>
    <row r="206" spans="1:22" s="1942" customFormat="1" ht="28.5" customHeight="1" outlineLevel="2">
      <c r="A206" s="1944"/>
      <c r="B206" s="1807" t="s">
        <v>3755</v>
      </c>
      <c r="C206" s="1808"/>
      <c r="D206" s="2008" t="s">
        <v>3756</v>
      </c>
      <c r="E206" s="2009" t="s">
        <v>3757</v>
      </c>
      <c r="F206" s="1462" t="s">
        <v>3531</v>
      </c>
      <c r="G206" s="1953" t="s">
        <v>4140</v>
      </c>
      <c r="H206" s="1975" t="s">
        <v>10</v>
      </c>
      <c r="I206" s="1948">
        <f>$E$5</f>
        <v>24565.840000000004</v>
      </c>
      <c r="J206" s="2036"/>
      <c r="K206" s="1950" t="s">
        <v>101</v>
      </c>
      <c r="L206" s="1947" t="s">
        <v>10</v>
      </c>
      <c r="M206" s="1754">
        <f t="shared" si="61"/>
        <v>0</v>
      </c>
      <c r="N206" s="1712"/>
      <c r="O206" s="1712">
        <f t="shared" si="66"/>
        <v>0</v>
      </c>
      <c r="P206" s="1712">
        <f t="shared" si="67"/>
        <v>0</v>
      </c>
      <c r="Q206" s="1712">
        <f t="shared" si="68"/>
        <v>0</v>
      </c>
      <c r="R206" s="1713">
        <v>0.13</v>
      </c>
      <c r="S206" s="1712">
        <f t="shared" si="69"/>
        <v>0</v>
      </c>
      <c r="T206" s="1712">
        <f t="shared" si="48"/>
        <v>0</v>
      </c>
      <c r="U206" s="2043">
        <f t="shared" si="47"/>
        <v>0</v>
      </c>
      <c r="V206" s="1952"/>
    </row>
    <row r="207" spans="1:22" s="1942" customFormat="1" ht="28.5" customHeight="1" outlineLevel="2">
      <c r="A207" s="1944"/>
      <c r="B207" s="1807" t="s">
        <v>3758</v>
      </c>
      <c r="C207" s="1808"/>
      <c r="D207" s="2008" t="s">
        <v>3759</v>
      </c>
      <c r="E207" s="2009" t="s">
        <v>3760</v>
      </c>
      <c r="F207" s="1462" t="s">
        <v>3531</v>
      </c>
      <c r="G207" s="1953" t="s">
        <v>4140</v>
      </c>
      <c r="H207" s="1975" t="s">
        <v>10</v>
      </c>
      <c r="I207" s="1948">
        <f>$E$5</f>
        <v>24565.840000000004</v>
      </c>
      <c r="J207" s="2036"/>
      <c r="K207" s="1950" t="s">
        <v>101</v>
      </c>
      <c r="L207" s="1947" t="s">
        <v>10</v>
      </c>
      <c r="M207" s="1754">
        <f t="shared" si="61"/>
        <v>0</v>
      </c>
      <c r="N207" s="1712"/>
      <c r="O207" s="1712">
        <f t="shared" si="66"/>
        <v>0</v>
      </c>
      <c r="P207" s="1712">
        <f t="shared" si="67"/>
        <v>0</v>
      </c>
      <c r="Q207" s="1712">
        <f t="shared" si="68"/>
        <v>0</v>
      </c>
      <c r="R207" s="1713">
        <v>0.13</v>
      </c>
      <c r="S207" s="1712">
        <f t="shared" si="69"/>
        <v>0</v>
      </c>
      <c r="T207" s="1712">
        <f t="shared" si="48"/>
        <v>0</v>
      </c>
      <c r="U207" s="2043">
        <f t="shared" si="47"/>
        <v>0</v>
      </c>
      <c r="V207" s="1952"/>
    </row>
    <row r="208" spans="1:22" s="1942" customFormat="1" ht="28.5" customHeight="1" outlineLevel="2" thickBot="1">
      <c r="A208" s="2006" t="s">
        <v>4011</v>
      </c>
      <c r="B208" s="2044" t="s">
        <v>3761</v>
      </c>
      <c r="C208" s="2045"/>
      <c r="D208" s="2046" t="s">
        <v>3762</v>
      </c>
      <c r="E208" s="2047" t="s">
        <v>3763</v>
      </c>
      <c r="F208" s="2048" t="s">
        <v>3531</v>
      </c>
      <c r="G208" s="2049" t="s">
        <v>4140</v>
      </c>
      <c r="H208" s="2050" t="s">
        <v>10</v>
      </c>
      <c r="I208" s="2051">
        <f>'全期规划指标 '!E44+'全期规划指标 '!E48</f>
        <v>875</v>
      </c>
      <c r="J208" s="2052">
        <v>0.3</v>
      </c>
      <c r="K208" s="2053" t="s">
        <v>101</v>
      </c>
      <c r="L208" s="2054" t="s">
        <v>10</v>
      </c>
      <c r="M208" s="2055">
        <f t="shared" si="61"/>
        <v>262.5</v>
      </c>
      <c r="N208" s="2056">
        <v>1500</v>
      </c>
      <c r="O208" s="2057">
        <f t="shared" si="66"/>
        <v>39.375</v>
      </c>
      <c r="P208" s="2057">
        <f t="shared" si="67"/>
        <v>1327.43</v>
      </c>
      <c r="Q208" s="2057">
        <f t="shared" si="68"/>
        <v>34.845132999999997</v>
      </c>
      <c r="R208" s="2058">
        <v>0.13</v>
      </c>
      <c r="S208" s="2057">
        <f t="shared" si="69"/>
        <v>4.529867000000003</v>
      </c>
      <c r="T208" s="2057">
        <f t="shared" si="48"/>
        <v>14.184384901961419</v>
      </c>
      <c r="U208" s="2059">
        <f t="shared" si="47"/>
        <v>16.0283548211663</v>
      </c>
      <c r="V208" s="2060"/>
    </row>
    <row r="209" spans="12:21" ht="28.5" customHeight="1">
      <c r="L209" s="1656"/>
      <c r="M209" s="1900"/>
      <c r="N209" s="1900"/>
      <c r="O209" s="1902">
        <f>O17+O106+O132+O11</f>
        <v>8726.4481070000002</v>
      </c>
      <c r="P209" s="1902">
        <f>O209/E5*10000</f>
        <v>3552.2693736505644</v>
      </c>
      <c r="Q209" s="1902">
        <f>Q17+Q106+Q132+Q11</f>
        <v>7973.7387039999994</v>
      </c>
      <c r="R209" s="1902"/>
      <c r="S209" s="1902">
        <f>S17+S106+S132+S11</f>
        <v>752.70940300000029</v>
      </c>
      <c r="T209" s="1902"/>
      <c r="U209" s="1902">
        <f>U17+U106+U132+U11</f>
        <v>3552.2693736505644</v>
      </c>
    </row>
    <row r="210" spans="12:21" ht="28.5" customHeight="1" thickBot="1">
      <c r="L210" s="1656"/>
      <c r="M210" s="1900"/>
      <c r="N210" s="1900"/>
      <c r="O210" s="1902">
        <f>O209*K3</f>
        <v>2277</v>
      </c>
      <c r="P210" s="1902">
        <f>O209-O210</f>
        <v>6449.4481070000002</v>
      </c>
      <c r="Q210" s="1902"/>
      <c r="R210" s="1902"/>
      <c r="S210" s="1903"/>
      <c r="T210" s="1902"/>
      <c r="U210" s="1902"/>
    </row>
    <row r="211" spans="12:21" ht="28.5" customHeight="1">
      <c r="L211" s="1656"/>
      <c r="M211" s="1900"/>
      <c r="N211" s="1900"/>
      <c r="O211" s="2061"/>
      <c r="P211" s="2062" t="s">
        <v>4097</v>
      </c>
      <c r="Q211" s="2062" t="s">
        <v>3195</v>
      </c>
      <c r="R211" s="2062" t="s">
        <v>4098</v>
      </c>
      <c r="S211" s="2063" t="s">
        <v>1944</v>
      </c>
      <c r="T211" s="1902"/>
      <c r="U211" s="1902"/>
    </row>
    <row r="212" spans="12:21" ht="28.5" customHeight="1">
      <c r="L212" s="1656"/>
      <c r="M212" s="1900"/>
      <c r="N212" s="1900"/>
      <c r="O212" s="2064" t="s">
        <v>4099</v>
      </c>
      <c r="P212" s="2065">
        <f>O209</f>
        <v>8726.4481070000002</v>
      </c>
      <c r="Q212" s="2065">
        <f>P212-R212</f>
        <v>752.70940300000075</v>
      </c>
      <c r="R212" s="2065">
        <f>Q209</f>
        <v>7973.7387039999994</v>
      </c>
      <c r="S212" s="2066">
        <f>P212/E5*10000</f>
        <v>3552.2693736505644</v>
      </c>
      <c r="T212" s="1902"/>
      <c r="U212" s="1902"/>
    </row>
    <row r="213" spans="12:21" ht="28.5" customHeight="1">
      <c r="L213" s="2067">
        <f>+P212+人防车位!P212</f>
        <v>12726.139818</v>
      </c>
      <c r="M213" s="1900"/>
      <c r="N213" s="1900"/>
      <c r="O213" s="2064" t="s">
        <v>4100</v>
      </c>
      <c r="P213" s="2068">
        <f>'全期规划指标 '!E44+'全期规划指标 '!E45</f>
        <v>759</v>
      </c>
      <c r="Q213" s="2068" t="s">
        <v>4101</v>
      </c>
      <c r="R213" s="1814">
        <v>7</v>
      </c>
      <c r="S213" s="2069"/>
      <c r="T213" s="1902"/>
      <c r="U213" s="1902"/>
    </row>
    <row r="214" spans="12:21" ht="28.5" customHeight="1">
      <c r="L214" s="2067">
        <f>+L213/(E5+人防车位!E6)</f>
        <v>0.37457034427952068</v>
      </c>
      <c r="M214" s="1900"/>
      <c r="N214" s="1900"/>
      <c r="O214" s="2064" t="s">
        <v>4102</v>
      </c>
      <c r="P214" s="2067">
        <f>3*P213/P212</f>
        <v>0.26093090477137926</v>
      </c>
      <c r="Q214" s="2068" t="s">
        <v>4103</v>
      </c>
      <c r="R214" s="2070">
        <f>+P214</f>
        <v>0.26093090477137926</v>
      </c>
      <c r="S214" s="2069"/>
      <c r="T214" s="1902">
        <f>12*3708.06</f>
        <v>44496.72</v>
      </c>
      <c r="U214" s="1902"/>
    </row>
    <row r="215" spans="12:21" ht="28.5" customHeight="1">
      <c r="L215" s="2067"/>
      <c r="M215" s="1900"/>
      <c r="N215" s="1900"/>
      <c r="O215" s="2064" t="s">
        <v>4104</v>
      </c>
      <c r="P215" s="2065">
        <f>P212*R214</f>
        <v>2277</v>
      </c>
      <c r="Q215" s="2068" t="s">
        <v>4105</v>
      </c>
      <c r="R215" s="2071">
        <f>P212-P215</f>
        <v>6449.4481070000002</v>
      </c>
      <c r="S215" s="2069"/>
      <c r="T215" s="2072">
        <f>1-R214</f>
        <v>0.73906909522862074</v>
      </c>
      <c r="U215" s="1902" t="s">
        <v>4106</v>
      </c>
    </row>
    <row r="216" spans="12:21" ht="28.5" customHeight="1">
      <c r="L216" s="1656"/>
      <c r="M216" s="1900"/>
      <c r="N216" s="1900"/>
      <c r="O216" s="2064" t="s">
        <v>4107</v>
      </c>
      <c r="P216" s="2071">
        <f>Q212*R214</f>
        <v>196.40514555471492</v>
      </c>
      <c r="Q216" s="2068" t="s">
        <v>4108</v>
      </c>
      <c r="R216" s="2071">
        <f>Q212-P216</f>
        <v>556.30425744528588</v>
      </c>
      <c r="S216" s="2069"/>
      <c r="T216" s="1902"/>
      <c r="U216" s="1902"/>
    </row>
    <row r="217" spans="12:21" ht="28.5" customHeight="1" thickBot="1">
      <c r="L217" s="1656"/>
      <c r="M217" s="1900"/>
      <c r="N217" s="1900"/>
      <c r="O217" s="2073" t="s">
        <v>4109</v>
      </c>
      <c r="P217" s="2074">
        <f>R212*R214</f>
        <v>2080.5948544452849</v>
      </c>
      <c r="Q217" s="2075" t="s">
        <v>4110</v>
      </c>
      <c r="R217" s="2074">
        <f>R212-P217</f>
        <v>5893.1438495547145</v>
      </c>
      <c r="S217" s="2076"/>
      <c r="T217" s="1902"/>
      <c r="U217" s="1902"/>
    </row>
    <row r="218" spans="12:21" ht="28.5" customHeight="1">
      <c r="L218" s="1656"/>
      <c r="M218" s="1900"/>
      <c r="N218" s="1900"/>
      <c r="O218" s="1902"/>
      <c r="P218" s="1902">
        <f>+P213*3</f>
        <v>2277</v>
      </c>
      <c r="Q218" s="1902"/>
      <c r="R218" s="1902">
        <f>O209*0.75</f>
        <v>6544.8360802500001</v>
      </c>
      <c r="S218" s="1903"/>
      <c r="T218" s="1902"/>
      <c r="U218" s="1902"/>
    </row>
    <row r="219" spans="12:21" ht="10.75" hidden="1" customHeight="1">
      <c r="L219" s="1656"/>
      <c r="M219" s="1900"/>
      <c r="N219" s="1900"/>
      <c r="O219" s="1902"/>
      <c r="P219" s="1902">
        <f>+P218/P212</f>
        <v>0.26093090477137926</v>
      </c>
      <c r="Q219" s="1902"/>
      <c r="R219" s="1902"/>
      <c r="S219" s="1903"/>
      <c r="T219" s="1902"/>
      <c r="U219" s="1902"/>
    </row>
    <row r="220" spans="12:21">
      <c r="L220" s="1656"/>
      <c r="M220" s="1900"/>
      <c r="N220" s="1900"/>
      <c r="O220" s="1902"/>
      <c r="P220" s="1902"/>
      <c r="Q220" s="1902"/>
      <c r="R220" s="1902"/>
      <c r="S220" s="1903"/>
      <c r="T220" s="1902"/>
      <c r="U220" s="1902"/>
    </row>
  </sheetData>
  <autoFilter ref="A9:V219"/>
  <mergeCells count="26">
    <mergeCell ref="B9:B10"/>
    <mergeCell ref="C9:C10"/>
    <mergeCell ref="D9:D10"/>
    <mergeCell ref="E9:E10"/>
    <mergeCell ref="F9:F10"/>
    <mergeCell ref="M9:M10"/>
    <mergeCell ref="F2:H2"/>
    <mergeCell ref="L3:M3"/>
    <mergeCell ref="C4:C7"/>
    <mergeCell ref="L4:M4"/>
    <mergeCell ref="K5:M5"/>
    <mergeCell ref="G9:G10"/>
    <mergeCell ref="H9:I9"/>
    <mergeCell ref="J9:J10"/>
    <mergeCell ref="K9:K10"/>
    <mergeCell ref="L9:L10"/>
    <mergeCell ref="T9:T10"/>
    <mergeCell ref="U9:U10"/>
    <mergeCell ref="V9:V10"/>
    <mergeCell ref="W21:W24"/>
    <mergeCell ref="N9:N10"/>
    <mergeCell ref="O9:O10"/>
    <mergeCell ref="P9:P10"/>
    <mergeCell ref="Q9:Q10"/>
    <mergeCell ref="R9:R10"/>
    <mergeCell ref="S9:S10"/>
  </mergeCells>
  <phoneticPr fontId="19" type="noConversion"/>
  <conditionalFormatting sqref="D13:F13">
    <cfRule type="duplicateValues" dxfId="561" priority="2"/>
  </conditionalFormatting>
  <conditionalFormatting sqref="G13">
    <cfRule type="duplicateValues" dxfId="560" priority="1"/>
  </conditionalFormatting>
  <conditionalFormatting sqref="B17:C17">
    <cfRule type="duplicateValues" dxfId="559" priority="12"/>
  </conditionalFormatting>
  <conditionalFormatting sqref="B18">
    <cfRule type="duplicateValues" dxfId="558" priority="13"/>
  </conditionalFormatting>
  <conditionalFormatting sqref="C18">
    <cfRule type="duplicateValues" dxfId="557" priority="11"/>
  </conditionalFormatting>
  <conditionalFormatting sqref="D20:F20">
    <cfRule type="duplicateValues" dxfId="556" priority="15"/>
  </conditionalFormatting>
  <conditionalFormatting sqref="B51">
    <cfRule type="duplicateValues" dxfId="555" priority="10"/>
  </conditionalFormatting>
  <conditionalFormatting sqref="C51">
    <cfRule type="duplicateValues" dxfId="554" priority="8"/>
  </conditionalFormatting>
  <conditionalFormatting sqref="D51:E51">
    <cfRule type="duplicateValues" dxfId="553" priority="9"/>
  </conditionalFormatting>
  <conditionalFormatting sqref="F51">
    <cfRule type="duplicateValues" dxfId="552" priority="16"/>
  </conditionalFormatting>
  <conditionalFormatting sqref="D52:E52">
    <cfRule type="duplicateValues" dxfId="551" priority="7"/>
  </conditionalFormatting>
  <conditionalFormatting sqref="D62:E62">
    <cfRule type="duplicateValues" dxfId="550" priority="6"/>
  </conditionalFormatting>
  <conditionalFormatting sqref="B106">
    <cfRule type="duplicateValues" dxfId="549" priority="5"/>
  </conditionalFormatting>
  <conditionalFormatting sqref="F107">
    <cfRule type="duplicateValues" dxfId="548" priority="17"/>
  </conditionalFormatting>
  <conditionalFormatting sqref="F126">
    <cfRule type="duplicateValues" dxfId="547" priority="23"/>
  </conditionalFormatting>
  <conditionalFormatting sqref="F130">
    <cfRule type="duplicateValues" dxfId="546" priority="18"/>
  </conditionalFormatting>
  <conditionalFormatting sqref="F131">
    <cfRule type="duplicateValues" dxfId="545" priority="19"/>
  </conditionalFormatting>
  <conditionalFormatting sqref="B132">
    <cfRule type="duplicateValues" dxfId="544" priority="3"/>
  </conditionalFormatting>
  <conditionalFormatting sqref="F133">
    <cfRule type="duplicateValues" dxfId="543" priority="20"/>
  </conditionalFormatting>
  <conditionalFormatting sqref="F176">
    <cfRule type="duplicateValues" dxfId="542" priority="21"/>
  </conditionalFormatting>
  <conditionalFormatting sqref="F190">
    <cfRule type="duplicateValues" dxfId="541" priority="22"/>
  </conditionalFormatting>
  <conditionalFormatting sqref="F199">
    <cfRule type="duplicateValues" dxfId="540" priority="24"/>
  </conditionalFormatting>
  <conditionalFormatting sqref="D17:G18">
    <cfRule type="duplicateValues" dxfId="539" priority="14"/>
  </conditionalFormatting>
  <conditionalFormatting sqref="G19:G20 D19:E19">
    <cfRule type="duplicateValues" dxfId="538" priority="4"/>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AK219"/>
  <sheetViews>
    <sheetView zoomScale="70" zoomScaleNormal="70" workbookViewId="0">
      <pane xSplit="4" ySplit="1" topLeftCell="E186" activePane="bottomRight" state="frozen"/>
      <selection activeCell="D8" sqref="D8"/>
      <selection pane="topRight" activeCell="D8" sqref="D8"/>
      <selection pane="bottomLeft" activeCell="D8" sqref="D8"/>
      <selection pane="bottomRight" activeCell="J208" sqref="J208"/>
    </sheetView>
  </sheetViews>
  <sheetFormatPr defaultColWidth="10" defaultRowHeight="12" zeroHeight="1" outlineLevelRow="5"/>
  <cols>
    <col min="1" max="1" width="6.6640625" style="1898" customWidth="1"/>
    <col min="2" max="2" width="17.4140625" style="1899" customWidth="1"/>
    <col min="3" max="3" width="8.6640625" style="1664" customWidth="1"/>
    <col min="4" max="4" width="19.33203125" style="1784" customWidth="1"/>
    <col min="5" max="5" width="11" style="1656" customWidth="1"/>
    <col min="6" max="6" width="17.6640625" style="1900" customWidth="1"/>
    <col min="7" max="7" width="13.6640625" style="1900" customWidth="1"/>
    <col min="8" max="8" width="17" style="1656" customWidth="1"/>
    <col min="9" max="9" width="12.33203125" style="1895" customWidth="1"/>
    <col min="10" max="10" width="9.33203125" style="1901" customWidth="1"/>
    <col min="11" max="11" width="10" style="1900" customWidth="1"/>
    <col min="12" max="12" width="19" style="1656" customWidth="1"/>
    <col min="13" max="14" width="11.6640625" style="1900" customWidth="1"/>
    <col min="15" max="15" width="10.6640625" style="1902" customWidth="1"/>
    <col min="16" max="16" width="10.4140625" style="1902" customWidth="1"/>
    <col min="17" max="17" width="11.6640625" style="1902" customWidth="1"/>
    <col min="18" max="18" width="9.33203125" style="1902" customWidth="1"/>
    <col min="19" max="19" width="12" style="1903" customWidth="1"/>
    <col min="20" max="21" width="13.33203125" style="1902" customWidth="1"/>
    <col min="22" max="22" width="10" style="1902" customWidth="1"/>
    <col min="23" max="23" width="10" style="1898"/>
    <col min="24" max="24" width="13" style="2077" customWidth="1"/>
    <col min="25" max="25" width="11.9140625" style="2077" customWidth="1"/>
    <col min="26" max="26" width="2.6640625" style="2077" customWidth="1"/>
    <col min="27" max="27" width="10" style="2077"/>
    <col min="28" max="28" width="14.58203125" style="2077" customWidth="1"/>
    <col min="29" max="37" width="10" style="2077"/>
    <col min="38" max="16384" width="10" style="1898"/>
  </cols>
  <sheetData>
    <row r="1" spans="1:37" ht="8.4" customHeight="1"/>
    <row r="2" spans="1:37" ht="8.4" customHeight="1" thickBot="1">
      <c r="D2" s="1904"/>
      <c r="E2" s="1693"/>
      <c r="F2" s="2427"/>
      <c r="G2" s="2427"/>
      <c r="H2" s="2427"/>
      <c r="I2" s="1905"/>
      <c r="K2" s="1898"/>
      <c r="L2" s="1906"/>
      <c r="O2" s="1907"/>
      <c r="R2" s="1898"/>
      <c r="T2" s="1907"/>
      <c r="U2" s="1898"/>
      <c r="V2" s="1907"/>
    </row>
    <row r="3" spans="1:37" ht="16.25" customHeight="1">
      <c r="C3" s="1908" t="s">
        <v>4001</v>
      </c>
      <c r="D3" s="1909" t="s">
        <v>106</v>
      </c>
      <c r="E3" s="1909" t="s">
        <v>3134</v>
      </c>
      <c r="F3" s="1910" t="s">
        <v>4002</v>
      </c>
      <c r="G3" s="1911"/>
      <c r="H3" s="1910" t="s">
        <v>4003</v>
      </c>
      <c r="I3" s="1911"/>
      <c r="J3" s="1912" t="s">
        <v>4004</v>
      </c>
      <c r="K3" s="1913">
        <f>R214</f>
        <v>0.21001618642002379</v>
      </c>
      <c r="L3" s="2428"/>
      <c r="M3" s="2429"/>
      <c r="N3" s="1914"/>
      <c r="O3" s="1898"/>
      <c r="P3" s="1914"/>
      <c r="Q3" s="1907"/>
      <c r="R3" s="1898"/>
      <c r="S3" s="1898"/>
      <c r="T3" s="1898"/>
      <c r="U3" s="1898"/>
      <c r="V3" s="1898"/>
    </row>
    <row r="4" spans="1:37" ht="16.25" customHeight="1">
      <c r="C4" s="2430" t="s">
        <v>3916</v>
      </c>
      <c r="D4" s="1915" t="s">
        <v>9</v>
      </c>
      <c r="E4" s="1916">
        <f>'全期规划指标 '!H41+'全期规划指标 '!H42</f>
        <v>9409.4599999999991</v>
      </c>
      <c r="F4" s="1917" t="s">
        <v>107</v>
      </c>
      <c r="G4" s="1916"/>
      <c r="H4" s="1917" t="s">
        <v>4005</v>
      </c>
      <c r="I4" s="1918"/>
      <c r="J4" s="1919" t="s">
        <v>3115</v>
      </c>
      <c r="K4" s="1920">
        <f>1-K3</f>
        <v>0.78998381357997616</v>
      </c>
      <c r="L4" s="2433"/>
      <c r="M4" s="2434"/>
      <c r="N4" s="1914"/>
      <c r="O4" s="1898"/>
      <c r="P4" s="1914"/>
      <c r="Q4" s="1907"/>
      <c r="R4" s="1898"/>
      <c r="S4" s="1898"/>
      <c r="T4" s="1898"/>
      <c r="U4" s="1898"/>
      <c r="V4" s="1898"/>
    </row>
    <row r="5" spans="1:37" ht="16.25" customHeight="1">
      <c r="C5" s="2431"/>
      <c r="D5" s="1915" t="s">
        <v>10</v>
      </c>
      <c r="E5" s="1916">
        <f>'全期规划指标 '!H41+'全期规划指标 '!H42</f>
        <v>9409.4599999999991</v>
      </c>
      <c r="F5" s="1917" t="s">
        <v>18</v>
      </c>
      <c r="G5" s="1916"/>
      <c r="H5" s="1917" t="s">
        <v>4006</v>
      </c>
      <c r="I5" s="1918"/>
      <c r="J5" s="1921" t="s">
        <v>3116</v>
      </c>
      <c r="K5" s="2435" t="s">
        <v>3127</v>
      </c>
      <c r="L5" s="2436"/>
      <c r="M5" s="2437"/>
      <c r="N5" s="1922"/>
      <c r="O5" s="1898"/>
      <c r="P5" s="1922"/>
      <c r="Q5" s="1907"/>
      <c r="R5" s="1898"/>
      <c r="S5" s="1898"/>
      <c r="T5" s="1898"/>
      <c r="U5" s="1898"/>
      <c r="V5" s="1898"/>
    </row>
    <row r="6" spans="1:37" ht="16.25" customHeight="1">
      <c r="C6" s="2431"/>
      <c r="D6" s="1923" t="s">
        <v>20</v>
      </c>
      <c r="E6" s="1916">
        <f>'全期规划指标 '!H41+'全期规划指标 '!H42</f>
        <v>9409.4599999999991</v>
      </c>
      <c r="F6" s="1917" t="s">
        <v>3923</v>
      </c>
      <c r="G6" s="1916">
        <v>1</v>
      </c>
      <c r="H6" s="1917" t="s">
        <v>4007</v>
      </c>
      <c r="I6" s="1918"/>
      <c r="J6" s="1921"/>
      <c r="K6" s="1924"/>
      <c r="L6" s="1924"/>
      <c r="M6" s="1925"/>
      <c r="N6" s="1922"/>
      <c r="O6" s="1898"/>
      <c r="P6" s="1922"/>
      <c r="Q6" s="1907"/>
      <c r="R6" s="1898"/>
      <c r="S6" s="1898"/>
      <c r="T6" s="1898"/>
      <c r="U6" s="1898"/>
      <c r="V6" s="1898"/>
    </row>
    <row r="7" spans="1:37" ht="16.25" customHeight="1" thickBot="1">
      <c r="C7" s="2432"/>
      <c r="D7" s="1926" t="s">
        <v>4008</v>
      </c>
      <c r="E7" s="1927">
        <v>0</v>
      </c>
      <c r="F7" s="1928" t="s">
        <v>3926</v>
      </c>
      <c r="G7" s="1927"/>
      <c r="H7" s="1928" t="s">
        <v>4009</v>
      </c>
      <c r="I7" s="1929"/>
      <c r="J7" s="1930"/>
      <c r="K7" s="1931"/>
      <c r="L7" s="1931"/>
      <c r="M7" s="1932"/>
      <c r="N7" s="1933"/>
      <c r="O7" s="1898"/>
      <c r="P7" s="1933"/>
      <c r="Q7" s="1907"/>
      <c r="R7" s="1898"/>
      <c r="S7" s="1898"/>
      <c r="T7" s="1898"/>
      <c r="U7" s="1898"/>
      <c r="V7" s="1898"/>
    </row>
    <row r="8" spans="1:37" ht="8.4" customHeight="1" thickBot="1">
      <c r="D8" s="1904"/>
      <c r="E8" s="1693"/>
      <c r="F8" s="1906"/>
      <c r="G8" s="1934"/>
      <c r="H8" s="1935"/>
      <c r="I8" s="1936"/>
      <c r="K8" s="1937"/>
      <c r="L8" s="1935"/>
      <c r="O8" s="1907"/>
      <c r="R8" s="1900"/>
      <c r="T8" s="1907"/>
      <c r="U8" s="1900"/>
      <c r="V8" s="1907"/>
    </row>
    <row r="9" spans="1:37" s="1938" customFormat="1" ht="28.5" customHeight="1">
      <c r="B9" s="2444" t="s">
        <v>3131</v>
      </c>
      <c r="C9" s="2438" t="s">
        <v>25</v>
      </c>
      <c r="D9" s="2438" t="s">
        <v>23</v>
      </c>
      <c r="E9" s="2438" t="s">
        <v>3927</v>
      </c>
      <c r="F9" s="2438" t="s">
        <v>444</v>
      </c>
      <c r="G9" s="2438" t="s">
        <v>3207</v>
      </c>
      <c r="H9" s="2440" t="s">
        <v>3929</v>
      </c>
      <c r="I9" s="2441"/>
      <c r="J9" s="2442" t="s">
        <v>108</v>
      </c>
      <c r="K9" s="2420" t="s">
        <v>109</v>
      </c>
      <c r="L9" s="2438" t="s">
        <v>3930</v>
      </c>
      <c r="M9" s="2420" t="s">
        <v>3931</v>
      </c>
      <c r="N9" s="2425" t="s">
        <v>1067</v>
      </c>
      <c r="O9" s="2420" t="s">
        <v>3932</v>
      </c>
      <c r="P9" s="2420" t="s">
        <v>3933</v>
      </c>
      <c r="Q9" s="2420" t="s">
        <v>3142</v>
      </c>
      <c r="R9" s="2420" t="s">
        <v>515</v>
      </c>
      <c r="S9" s="2420" t="s">
        <v>1019</v>
      </c>
      <c r="T9" s="2420" t="s">
        <v>4010</v>
      </c>
      <c r="U9" s="2420" t="s">
        <v>1072</v>
      </c>
      <c r="V9" s="2422" t="s">
        <v>16</v>
      </c>
      <c r="X9" s="2078"/>
      <c r="Y9" s="2078"/>
      <c r="Z9" s="2078"/>
      <c r="AA9" s="2078"/>
      <c r="AB9" s="2078"/>
      <c r="AC9" s="2078"/>
      <c r="AD9" s="2078"/>
      <c r="AE9" s="2078"/>
      <c r="AF9" s="2078"/>
      <c r="AG9" s="2078"/>
      <c r="AH9" s="2078"/>
      <c r="AI9" s="2078"/>
      <c r="AJ9" s="2078"/>
      <c r="AK9" s="2078"/>
    </row>
    <row r="10" spans="1:37" s="1938" customFormat="1" ht="28.5" customHeight="1">
      <c r="B10" s="2445"/>
      <c r="C10" s="2439"/>
      <c r="D10" s="2439"/>
      <c r="E10" s="2439"/>
      <c r="F10" s="2439"/>
      <c r="G10" s="2439"/>
      <c r="H10" s="1939" t="s">
        <v>13</v>
      </c>
      <c r="I10" s="1940" t="s">
        <v>3939</v>
      </c>
      <c r="J10" s="2443"/>
      <c r="K10" s="2421"/>
      <c r="L10" s="2439"/>
      <c r="M10" s="2421"/>
      <c r="N10" s="2426"/>
      <c r="O10" s="2421"/>
      <c r="P10" s="2421"/>
      <c r="Q10" s="2421"/>
      <c r="R10" s="2421"/>
      <c r="S10" s="2421"/>
      <c r="T10" s="2421"/>
      <c r="U10" s="2421"/>
      <c r="V10" s="2423"/>
      <c r="X10" s="2078"/>
      <c r="Y10" s="2078"/>
      <c r="Z10" s="2078"/>
      <c r="AA10" s="2078"/>
      <c r="AB10" s="2078"/>
      <c r="AC10" s="2078"/>
      <c r="AD10" s="2078"/>
      <c r="AE10" s="2078"/>
      <c r="AF10" s="2078"/>
      <c r="AG10" s="2078"/>
      <c r="AH10" s="2078"/>
      <c r="AI10" s="2078"/>
      <c r="AJ10" s="2078"/>
      <c r="AK10" s="2078"/>
    </row>
    <row r="11" spans="1:37" s="1693" customFormat="1" ht="28.5" customHeight="1">
      <c r="B11" s="1785" t="s">
        <v>3310</v>
      </c>
      <c r="C11" s="1685" t="s">
        <v>27</v>
      </c>
      <c r="D11" s="1686" t="s">
        <v>480</v>
      </c>
      <c r="E11" s="1686"/>
      <c r="F11" s="1687"/>
      <c r="G11" s="1687" t="s">
        <v>4117</v>
      </c>
      <c r="H11" s="1688"/>
      <c r="I11" s="1689"/>
      <c r="J11" s="1941"/>
      <c r="K11" s="1689"/>
      <c r="L11" s="1689"/>
      <c r="M11" s="1689"/>
      <c r="N11" s="1689"/>
      <c r="O11" s="1689">
        <f>SUBTOTAL(9,O12:O16)</f>
        <v>159.96082000000001</v>
      </c>
      <c r="P11" s="1689"/>
      <c r="Q11" s="1689">
        <f>SUBTOTAL(9,Q12:Q16)</f>
        <v>141.55824799999999</v>
      </c>
      <c r="R11" s="1691"/>
      <c r="S11" s="1689">
        <f>SUBTOTAL(9,S12:S16)</f>
        <v>18.402572000000021</v>
      </c>
      <c r="T11" s="1689">
        <f>SUBTOTAL(9,T12:T16)</f>
        <v>150.4424781018252</v>
      </c>
      <c r="U11" s="1689">
        <f>SUBTOTAL(9,U12:U16)</f>
        <v>170.00000000000003</v>
      </c>
      <c r="V11" s="1692"/>
      <c r="W11" s="1942"/>
      <c r="X11" s="2079">
        <f>车位!O11</f>
        <v>0</v>
      </c>
      <c r="Y11" s="2080">
        <f>X11+O11</f>
        <v>159.96082000000001</v>
      </c>
      <c r="Z11" s="2080"/>
      <c r="AA11" s="2080">
        <v>174.06317000000001</v>
      </c>
      <c r="AB11" s="2080">
        <f>Y11-AA11</f>
        <v>-14.102350000000001</v>
      </c>
      <c r="AC11" s="2080"/>
      <c r="AD11" s="2080"/>
      <c r="AE11" s="2080"/>
      <c r="AF11" s="2080"/>
      <c r="AG11" s="2080"/>
      <c r="AH11" s="2080"/>
      <c r="AI11" s="2080"/>
      <c r="AJ11" s="2080"/>
      <c r="AK11" s="2080"/>
    </row>
    <row r="12" spans="1:37" s="1656" customFormat="1" ht="28.5" customHeight="1" outlineLevel="1">
      <c r="B12" s="1786" t="s">
        <v>482</v>
      </c>
      <c r="C12" s="1729">
        <v>2</v>
      </c>
      <c r="D12" s="1787" t="s">
        <v>64</v>
      </c>
      <c r="E12" s="1787"/>
      <c r="F12" s="1788"/>
      <c r="G12" s="1788" t="s">
        <v>4117</v>
      </c>
      <c r="H12" s="1788"/>
      <c r="I12" s="1733"/>
      <c r="J12" s="1943"/>
      <c r="K12" s="1733"/>
      <c r="L12" s="1733"/>
      <c r="M12" s="1733"/>
      <c r="N12" s="1733"/>
      <c r="O12" s="1701">
        <f>SUBTOTAL(9,O13:O16)</f>
        <v>159.96082000000001</v>
      </c>
      <c r="P12" s="1733"/>
      <c r="Q12" s="1701">
        <f>SUBTOTAL(9,Q13:Q16)</f>
        <v>141.55824799999999</v>
      </c>
      <c r="R12" s="1735"/>
      <c r="S12" s="1701">
        <f>SUBTOTAL(9,S13:S16)</f>
        <v>18.402572000000021</v>
      </c>
      <c r="T12" s="1701">
        <f>SUBTOTAL(9,T13:T16)</f>
        <v>150.4424781018252</v>
      </c>
      <c r="U12" s="1701">
        <f>SUBTOTAL(9,U13:U16)</f>
        <v>170.00000000000003</v>
      </c>
      <c r="V12" s="1702"/>
      <c r="W12" s="1942"/>
      <c r="X12" s="2079">
        <f>车位!O12</f>
        <v>0</v>
      </c>
      <c r="Y12" s="2080">
        <f t="shared" ref="Y12:Y75" si="0">X12+O12</f>
        <v>159.96082000000001</v>
      </c>
      <c r="Z12" s="2080"/>
      <c r="AA12" s="2081">
        <v>174.06317000000001</v>
      </c>
      <c r="AB12" s="2080">
        <f t="shared" ref="AB12:AB75" si="1">Y12-AA12</f>
        <v>-14.102350000000001</v>
      </c>
      <c r="AC12" s="2081"/>
      <c r="AD12" s="2081"/>
      <c r="AE12" s="2081"/>
      <c r="AF12" s="2081"/>
      <c r="AG12" s="2081"/>
      <c r="AH12" s="2081"/>
      <c r="AI12" s="2081"/>
      <c r="AJ12" s="2081"/>
      <c r="AK12" s="2081"/>
    </row>
    <row r="13" spans="1:37" s="1942" customFormat="1" ht="28.5" customHeight="1" outlineLevel="2">
      <c r="A13" s="1944"/>
      <c r="B13" s="1820" t="s">
        <v>1249</v>
      </c>
      <c r="C13" s="1808"/>
      <c r="D13" s="1945" t="s">
        <v>3322</v>
      </c>
      <c r="E13" s="1946"/>
      <c r="F13" s="1945"/>
      <c r="G13" s="1946" t="s">
        <v>4117</v>
      </c>
      <c r="H13" s="1947"/>
      <c r="I13" s="1948"/>
      <c r="J13" s="1949"/>
      <c r="K13" s="1950"/>
      <c r="L13" s="1947"/>
      <c r="M13" s="1754"/>
      <c r="N13" s="1712"/>
      <c r="O13" s="1712">
        <f>SUBTOTAL(9,O14:O15)</f>
        <v>159.96082000000001</v>
      </c>
      <c r="P13" s="1951"/>
      <c r="Q13" s="1712">
        <f>SUBTOTAL(9,Q14:Q15)</f>
        <v>141.55824799999999</v>
      </c>
      <c r="R13" s="1712"/>
      <c r="S13" s="1712">
        <f>SUBTOTAL(9,S14:S15)</f>
        <v>18.402572000000021</v>
      </c>
      <c r="T13" s="1712">
        <f>SUBTOTAL(9,T14:T15)</f>
        <v>150.4424781018252</v>
      </c>
      <c r="U13" s="1712">
        <f>SUBTOTAL(9,U14:U15)</f>
        <v>170.00000000000003</v>
      </c>
      <c r="V13" s="1952"/>
      <c r="X13" s="2079">
        <f>车位!O13</f>
        <v>0</v>
      </c>
      <c r="Y13" s="2080">
        <f t="shared" si="0"/>
        <v>159.96082000000001</v>
      </c>
      <c r="Z13" s="2080"/>
      <c r="AA13" s="2079">
        <v>174.06317000000001</v>
      </c>
      <c r="AB13" s="2080">
        <f t="shared" si="1"/>
        <v>-14.102350000000001</v>
      </c>
      <c r="AC13" s="2079"/>
      <c r="AD13" s="2079"/>
      <c r="AE13" s="2079"/>
      <c r="AF13" s="2079"/>
      <c r="AG13" s="2079"/>
      <c r="AH13" s="2079"/>
      <c r="AI13" s="2079"/>
      <c r="AJ13" s="2079"/>
      <c r="AK13" s="2079"/>
    </row>
    <row r="14" spans="1:37" s="1784" customFormat="1" ht="28.5" customHeight="1" outlineLevel="3">
      <c r="A14" s="1784" t="s">
        <v>4011</v>
      </c>
      <c r="B14" s="1771" t="s">
        <v>3323</v>
      </c>
      <c r="C14" s="1749"/>
      <c r="D14" s="1790" t="s">
        <v>3324</v>
      </c>
      <c r="E14" s="1759" t="s">
        <v>3325</v>
      </c>
      <c r="F14" s="1704" t="s">
        <v>3326</v>
      </c>
      <c r="G14" s="1707" t="s">
        <v>4183</v>
      </c>
      <c r="H14" s="1947" t="s">
        <v>4012</v>
      </c>
      <c r="I14" s="1953">
        <f>'全期规划指标 '!H41+'全期规划指标 '!H42</f>
        <v>9409.4599999999991</v>
      </c>
      <c r="J14" s="1954">
        <v>1</v>
      </c>
      <c r="K14" s="1755" t="s">
        <v>101</v>
      </c>
      <c r="L14" s="1755" t="s">
        <v>3971</v>
      </c>
      <c r="M14" s="1754">
        <f>ROUND(I14,2)*ROUND(J14,4)</f>
        <v>9409.4599999999991</v>
      </c>
      <c r="N14" s="1772">
        <v>170</v>
      </c>
      <c r="O14" s="1712">
        <f>ROUND(M14*ROUND(N14,2)/10000,6)</f>
        <v>159.96082000000001</v>
      </c>
      <c r="P14" s="1712">
        <f>IFERROR(ROUND(Q14*10000/M14,2),0)</f>
        <v>150.44</v>
      </c>
      <c r="Q14" s="1712">
        <f>ROUND(O14/(1+R14),6)</f>
        <v>141.55824799999999</v>
      </c>
      <c r="R14" s="1757">
        <v>0.13</v>
      </c>
      <c r="S14" s="1712">
        <f>O14-Q14</f>
        <v>18.402572000000021</v>
      </c>
      <c r="T14" s="1712">
        <f>IFERROR(Q14*10000/$E$6,"")</f>
        <v>150.4424781018252</v>
      </c>
      <c r="U14" s="1712">
        <f>IFERROR(O14*10000/$E$6,"")</f>
        <v>170.00000000000003</v>
      </c>
      <c r="V14" s="1806"/>
      <c r="W14" s="1942"/>
      <c r="X14" s="2079">
        <f>车位!O14</f>
        <v>0</v>
      </c>
      <c r="Y14" s="2080">
        <f t="shared" si="0"/>
        <v>159.96082000000001</v>
      </c>
      <c r="Z14" s="2080"/>
      <c r="AA14" s="2082">
        <v>174.06317000000001</v>
      </c>
      <c r="AB14" s="2080">
        <f t="shared" si="1"/>
        <v>-14.102350000000001</v>
      </c>
      <c r="AC14" s="2082"/>
      <c r="AD14" s="2082"/>
      <c r="AE14" s="2082"/>
      <c r="AF14" s="2082"/>
      <c r="AG14" s="2082"/>
      <c r="AH14" s="2082"/>
      <c r="AI14" s="2082"/>
      <c r="AJ14" s="2082"/>
      <c r="AK14" s="2082"/>
    </row>
    <row r="15" spans="1:37" s="1784" customFormat="1" ht="28.5" customHeight="1" outlineLevel="3">
      <c r="B15" s="1771" t="s">
        <v>3327</v>
      </c>
      <c r="C15" s="1749"/>
      <c r="D15" s="1790" t="s">
        <v>3328</v>
      </c>
      <c r="E15" s="1759" t="s">
        <v>3329</v>
      </c>
      <c r="F15" s="1704" t="s">
        <v>3326</v>
      </c>
      <c r="G15" s="1707" t="s">
        <v>4183</v>
      </c>
      <c r="H15" s="1947" t="s">
        <v>10</v>
      </c>
      <c r="I15" s="1953">
        <f>$E$5</f>
        <v>9409.4599999999991</v>
      </c>
      <c r="J15" s="1955"/>
      <c r="K15" s="1755" t="s">
        <v>101</v>
      </c>
      <c r="L15" s="1755" t="s">
        <v>3972</v>
      </c>
      <c r="M15" s="1754">
        <f>ROUND(I15,2)*ROUND(J15,4)</f>
        <v>0</v>
      </c>
      <c r="N15" s="1755"/>
      <c r="O15" s="1712">
        <f>ROUND(M15*ROUND(N15,2)/10000,6)</f>
        <v>0</v>
      </c>
      <c r="P15" s="1712">
        <f>IFERROR(ROUND(Q15*10000/M15,2),0)</f>
        <v>0</v>
      </c>
      <c r="Q15" s="1712">
        <f>ROUND(O15/(1+R15),6)</f>
        <v>0</v>
      </c>
      <c r="R15" s="1757">
        <v>0.13</v>
      </c>
      <c r="S15" s="1712">
        <f>O15-Q15</f>
        <v>0</v>
      </c>
      <c r="T15" s="1712">
        <f>IFERROR(Q15*10000/$E$6,"")</f>
        <v>0</v>
      </c>
      <c r="U15" s="1712">
        <f>IFERROR(O15*10000/$E$6,"")</f>
        <v>0</v>
      </c>
      <c r="V15" s="1806"/>
      <c r="W15" s="1942"/>
      <c r="X15" s="2079">
        <f>车位!O15</f>
        <v>0</v>
      </c>
      <c r="Y15" s="2080">
        <f t="shared" si="0"/>
        <v>0</v>
      </c>
      <c r="Z15" s="2080"/>
      <c r="AA15" s="2082">
        <v>0</v>
      </c>
      <c r="AB15" s="2080">
        <f t="shared" si="1"/>
        <v>0</v>
      </c>
      <c r="AC15" s="2082"/>
      <c r="AD15" s="2082"/>
      <c r="AE15" s="2082"/>
      <c r="AF15" s="2082"/>
      <c r="AG15" s="2082"/>
      <c r="AH15" s="2082"/>
      <c r="AI15" s="2082"/>
      <c r="AJ15" s="2082"/>
      <c r="AK15" s="2082"/>
    </row>
    <row r="16" spans="1:37" s="1784" customFormat="1" ht="28.5" customHeight="1" outlineLevel="2">
      <c r="B16" s="1807" t="s">
        <v>1255</v>
      </c>
      <c r="C16" s="1789"/>
      <c r="D16" s="1790" t="s">
        <v>1256</v>
      </c>
      <c r="E16" s="1808" t="s">
        <v>3335</v>
      </c>
      <c r="F16" s="1790" t="s">
        <v>3035</v>
      </c>
      <c r="G16" s="1790" t="s">
        <v>4184</v>
      </c>
      <c r="H16" s="1808" t="s">
        <v>3973</v>
      </c>
      <c r="I16" s="1755"/>
      <c r="J16" s="1955"/>
      <c r="K16" s="1755" t="s">
        <v>3974</v>
      </c>
      <c r="L16" s="1755" t="s">
        <v>3973</v>
      </c>
      <c r="M16" s="1754">
        <f>ROUND(I16,2)*ROUND(J16,4)</f>
        <v>0</v>
      </c>
      <c r="N16" s="1755"/>
      <c r="O16" s="1712">
        <f>ROUND(M16*ROUND(N16,2)/10000,6)</f>
        <v>0</v>
      </c>
      <c r="P16" s="1712">
        <f>IFERROR(ROUND(Q16*10000/M16,2),0)</f>
        <v>0</v>
      </c>
      <c r="Q16" s="1712">
        <f>ROUND(O16/(1+R16),6)</f>
        <v>0</v>
      </c>
      <c r="R16" s="1757">
        <v>0.13</v>
      </c>
      <c r="S16" s="1712">
        <f>O16-Q16</f>
        <v>0</v>
      </c>
      <c r="T16" s="1712">
        <f>IFERROR(Q16*10000/$E$6,"")</f>
        <v>0</v>
      </c>
      <c r="U16" s="1712">
        <f>IFERROR(O16*10000/$E$6,"")</f>
        <v>0</v>
      </c>
      <c r="V16" s="1806"/>
      <c r="W16" s="1942"/>
      <c r="X16" s="2079">
        <f>车位!O16</f>
        <v>0</v>
      </c>
      <c r="Y16" s="2080">
        <f t="shared" si="0"/>
        <v>0</v>
      </c>
      <c r="Z16" s="2080"/>
      <c r="AA16" s="2082">
        <v>0</v>
      </c>
      <c r="AB16" s="2080">
        <f t="shared" si="1"/>
        <v>0</v>
      </c>
      <c r="AC16" s="2082"/>
      <c r="AD16" s="2082"/>
      <c r="AE16" s="2082"/>
      <c r="AF16" s="2082"/>
      <c r="AG16" s="2082"/>
      <c r="AH16" s="2082"/>
      <c r="AI16" s="2082"/>
      <c r="AJ16" s="2082"/>
      <c r="AK16" s="2082"/>
    </row>
    <row r="17" spans="1:37" ht="28.5" customHeight="1">
      <c r="B17" s="1785" t="s">
        <v>537</v>
      </c>
      <c r="C17" s="1685" t="s">
        <v>28</v>
      </c>
      <c r="D17" s="1956" t="s">
        <v>486</v>
      </c>
      <c r="E17" s="1957"/>
      <c r="F17" s="1958"/>
      <c r="G17" s="1957"/>
      <c r="H17" s="1959"/>
      <c r="I17" s="1960"/>
      <c r="J17" s="1961"/>
      <c r="K17" s="1962"/>
      <c r="L17" s="1959"/>
      <c r="M17" s="1962"/>
      <c r="N17" s="1963"/>
      <c r="O17" s="1963">
        <f>SUBTOTAL(9,O18:O105)</f>
        <v>3758.4418330000003</v>
      </c>
      <c r="P17" s="1963"/>
      <c r="Q17" s="1963">
        <f>SUBTOTAL(9,Q18:Q105)</f>
        <v>3438.2743139999984</v>
      </c>
      <c r="R17" s="1963"/>
      <c r="S17" s="1963">
        <f>SUBTOTAL(9,S18:S105)</f>
        <v>320.1675189999998</v>
      </c>
      <c r="T17" s="1963">
        <f>IFERROR(Q17*10000/$E$6,"")</f>
        <v>3654.0612468728268</v>
      </c>
      <c r="U17" s="1963">
        <f t="shared" ref="U17:U80" si="2">IFERROR(O17*10000/$E$6,"")</f>
        <v>3994.3225572987194</v>
      </c>
      <c r="V17" s="1964"/>
      <c r="X17" s="2079">
        <f>车位!O17</f>
        <v>8389.7620349999997</v>
      </c>
      <c r="Y17" s="2080">
        <f t="shared" si="0"/>
        <v>12148.203868000001</v>
      </c>
      <c r="Z17" s="2080"/>
      <c r="AA17" s="2077">
        <v>12649.392786</v>
      </c>
      <c r="AB17" s="2080">
        <f t="shared" si="1"/>
        <v>-501.18891799999983</v>
      </c>
    </row>
    <row r="18" spans="1:37" ht="28.5" customHeight="1" outlineLevel="1">
      <c r="B18" s="1965" t="s">
        <v>487</v>
      </c>
      <c r="C18" s="1852">
        <v>1</v>
      </c>
      <c r="D18" s="1966" t="s">
        <v>650</v>
      </c>
      <c r="E18" s="1967"/>
      <c r="F18" s="1968"/>
      <c r="G18" s="1967"/>
      <c r="H18" s="1967"/>
      <c r="I18" s="1969"/>
      <c r="J18" s="1970"/>
      <c r="K18" s="1971"/>
      <c r="L18" s="1967"/>
      <c r="M18" s="1972"/>
      <c r="N18" s="1973"/>
      <c r="O18" s="1973">
        <f>SUBTOTAL(9,O19:O50)</f>
        <v>3304.9058610000002</v>
      </c>
      <c r="P18" s="1973"/>
      <c r="Q18" s="1973">
        <f>SUBTOTAL(9,Q19:Q50)</f>
        <v>3026.464336</v>
      </c>
      <c r="R18" s="1973"/>
      <c r="S18" s="1973">
        <f>SUBTOTAL(9,S19:S50)</f>
        <v>278.4415249999999</v>
      </c>
      <c r="T18" s="1973">
        <f t="shared" ref="T18:T81" si="3">IFERROR(Q18*10000/$E$6,"")</f>
        <v>3216.4059744129845</v>
      </c>
      <c r="U18" s="1973">
        <f t="shared" si="2"/>
        <v>3512.3225572987194</v>
      </c>
      <c r="V18" s="1974"/>
      <c r="X18" s="2079">
        <f>车位!O18</f>
        <v>7329.7460390000015</v>
      </c>
      <c r="Y18" s="2080">
        <f t="shared" si="0"/>
        <v>10634.651900000001</v>
      </c>
      <c r="Z18" s="2080"/>
      <c r="AA18" s="2077">
        <v>10894.565079</v>
      </c>
      <c r="AB18" s="2080">
        <f t="shared" si="1"/>
        <v>-259.91317899999922</v>
      </c>
    </row>
    <row r="19" spans="1:37" s="1942" customFormat="1" ht="28.5" customHeight="1" outlineLevel="2">
      <c r="A19" s="1944"/>
      <c r="B19" s="1820" t="s">
        <v>651</v>
      </c>
      <c r="C19" s="1808"/>
      <c r="D19" s="1945" t="s">
        <v>3360</v>
      </c>
      <c r="E19" s="1946" t="s">
        <v>3361</v>
      </c>
      <c r="F19" s="1462" t="s">
        <v>3342</v>
      </c>
      <c r="G19" s="1946" t="s">
        <v>4116</v>
      </c>
      <c r="H19" s="1975" t="s">
        <v>9</v>
      </c>
      <c r="I19" s="1953">
        <f>E4</f>
        <v>9409.4599999999991</v>
      </c>
      <c r="J19" s="1976">
        <v>1.1399999999999999</v>
      </c>
      <c r="K19" s="1977" t="s">
        <v>103</v>
      </c>
      <c r="L19" s="1947" t="s">
        <v>4013</v>
      </c>
      <c r="M19" s="1754">
        <f>ROUND(I19,2)*ROUND(J19,4)</f>
        <v>10726.784399999999</v>
      </c>
      <c r="N19" s="1756">
        <v>71.38</v>
      </c>
      <c r="O19" s="1712">
        <f>ROUND(M19*ROUND(N19,2)/10000,6)</f>
        <v>76.567786999999996</v>
      </c>
      <c r="P19" s="1712">
        <f>IFERROR(ROUND(Q19*10000/M19,2),0)</f>
        <v>65.489999999999995</v>
      </c>
      <c r="Q19" s="1712">
        <f>ROUND(O19/(1+R19),6)</f>
        <v>70.245676000000003</v>
      </c>
      <c r="R19" s="1757">
        <v>0.09</v>
      </c>
      <c r="S19" s="1712">
        <f>O19-Q19</f>
        <v>6.3221109999999925</v>
      </c>
      <c r="T19" s="1712">
        <f t="shared" si="3"/>
        <v>74.654311724583565</v>
      </c>
      <c r="U19" s="1712">
        <f t="shared" si="2"/>
        <v>81.373199949837726</v>
      </c>
      <c r="V19" s="1952"/>
      <c r="X19" s="2079">
        <f>车位!O19</f>
        <v>263.02644900000001</v>
      </c>
      <c r="Y19" s="2080">
        <f t="shared" si="0"/>
        <v>339.59423600000002</v>
      </c>
      <c r="Z19" s="2080"/>
      <c r="AA19" s="2079">
        <v>124.265478</v>
      </c>
      <c r="AB19" s="2080">
        <f t="shared" si="1"/>
        <v>215.32875800000002</v>
      </c>
      <c r="AC19" s="2079"/>
      <c r="AD19" s="2079"/>
      <c r="AE19" s="2079"/>
      <c r="AF19" s="2079"/>
      <c r="AG19" s="2079"/>
      <c r="AH19" s="2079"/>
      <c r="AI19" s="2079"/>
      <c r="AJ19" s="2079"/>
      <c r="AK19" s="2079"/>
    </row>
    <row r="20" spans="1:37" s="1942" customFormat="1" ht="28.5" customHeight="1" outlineLevel="2">
      <c r="A20" s="1944"/>
      <c r="B20" s="1820" t="s">
        <v>655</v>
      </c>
      <c r="C20" s="1808"/>
      <c r="D20" s="1945" t="s">
        <v>488</v>
      </c>
      <c r="E20" s="1946"/>
      <c r="F20" s="1945"/>
      <c r="G20" s="1946" t="s">
        <v>4117</v>
      </c>
      <c r="H20" s="1947"/>
      <c r="I20" s="1948"/>
      <c r="J20" s="1949"/>
      <c r="K20" s="1950"/>
      <c r="L20" s="1947"/>
      <c r="M20" s="1754"/>
      <c r="N20" s="1712"/>
      <c r="O20" s="1712">
        <f>SUBTOTAL(9,O21:O49)</f>
        <v>3228.3380740000002</v>
      </c>
      <c r="P20" s="1951"/>
      <c r="Q20" s="1712">
        <f>SUBTOTAL(9,Q21:Q49)</f>
        <v>2956.21866</v>
      </c>
      <c r="R20" s="1712"/>
      <c r="S20" s="1712">
        <f>SUBTOTAL(9,S21:S49)</f>
        <v>272.11941399999989</v>
      </c>
      <c r="T20" s="1712">
        <f t="shared" si="3"/>
        <v>3141.7516626884012</v>
      </c>
      <c r="U20" s="1712">
        <f t="shared" si="2"/>
        <v>3430.9493573488812</v>
      </c>
      <c r="V20" s="1952"/>
      <c r="X20" s="2079">
        <f>车位!O20</f>
        <v>7066.7195900000015</v>
      </c>
      <c r="Y20" s="2080">
        <f t="shared" si="0"/>
        <v>10295.057664000002</v>
      </c>
      <c r="Z20" s="2080"/>
      <c r="AA20" s="2079">
        <v>10770.299601000001</v>
      </c>
      <c r="AB20" s="2080">
        <f t="shared" si="1"/>
        <v>-475.24193699999887</v>
      </c>
      <c r="AC20" s="2079"/>
      <c r="AD20" s="2079"/>
      <c r="AE20" s="2079"/>
      <c r="AF20" s="2079"/>
      <c r="AG20" s="2079"/>
      <c r="AH20" s="2079"/>
      <c r="AI20" s="2079"/>
      <c r="AJ20" s="2079"/>
      <c r="AK20" s="2079"/>
    </row>
    <row r="21" spans="1:37" s="1942" customFormat="1" ht="28.5" customHeight="1" outlineLevel="3">
      <c r="A21" s="1944"/>
      <c r="B21" s="1978" t="s">
        <v>1626</v>
      </c>
      <c r="C21" s="1810"/>
      <c r="D21" s="1979" t="s">
        <v>59</v>
      </c>
      <c r="E21" s="1980" t="s">
        <v>3362</v>
      </c>
      <c r="F21" s="1462" t="s">
        <v>3342</v>
      </c>
      <c r="G21" s="1953" t="s">
        <v>4116</v>
      </c>
      <c r="H21" s="1947" t="s">
        <v>10</v>
      </c>
      <c r="I21" s="1953">
        <f>$E$5</f>
        <v>9409.4599999999991</v>
      </c>
      <c r="J21" s="1976">
        <v>1.2663</v>
      </c>
      <c r="K21" s="1950" t="s">
        <v>103</v>
      </c>
      <c r="L21" s="1947" t="s">
        <v>4014</v>
      </c>
      <c r="M21" s="1754">
        <f>ROUND(I21,2)*ROUND(J21,4)</f>
        <v>11915.199197999998</v>
      </c>
      <c r="N21" s="1756">
        <v>610</v>
      </c>
      <c r="O21" s="1712">
        <f>ROUND(M21*ROUND(N21,2)/10000,6)</f>
        <v>726.82715099999996</v>
      </c>
      <c r="P21" s="1712">
        <f>IFERROR(ROUND(Q21*10000/M21,2),0)</f>
        <v>559.63</v>
      </c>
      <c r="Q21" s="1712">
        <f>ROUND(O21/(1+R21),6)</f>
        <v>666.81389999999999</v>
      </c>
      <c r="R21" s="1757">
        <v>0.09</v>
      </c>
      <c r="S21" s="1712">
        <f>O21-Q21</f>
        <v>60.013250999999968</v>
      </c>
      <c r="T21" s="1712">
        <f t="shared" si="3"/>
        <v>708.66330267624289</v>
      </c>
      <c r="U21" s="1712">
        <f t="shared" si="2"/>
        <v>772.44299991710477</v>
      </c>
      <c r="V21" s="1952"/>
      <c r="W21" s="2424"/>
      <c r="X21" s="2079">
        <f>车位!O21</f>
        <v>1648.3678640000001</v>
      </c>
      <c r="Y21" s="2080">
        <f t="shared" si="0"/>
        <v>2375.1950150000002</v>
      </c>
      <c r="Z21" s="2080"/>
      <c r="AA21" s="2079">
        <v>2867.2631240000001</v>
      </c>
      <c r="AB21" s="2080">
        <f t="shared" si="1"/>
        <v>-492.06810899999982</v>
      </c>
      <c r="AC21" s="2079"/>
      <c r="AD21" s="2079"/>
      <c r="AE21" s="2079"/>
      <c r="AF21" s="2079"/>
      <c r="AG21" s="2079"/>
      <c r="AH21" s="2079"/>
      <c r="AI21" s="2079"/>
      <c r="AJ21" s="2079"/>
      <c r="AK21" s="2079"/>
    </row>
    <row r="22" spans="1:37" s="1942" customFormat="1" ht="28.5" customHeight="1" outlineLevel="3">
      <c r="A22" s="1944"/>
      <c r="B22" s="1978" t="s">
        <v>1482</v>
      </c>
      <c r="C22" s="1810"/>
      <c r="D22" s="1979" t="s">
        <v>658</v>
      </c>
      <c r="E22" s="1980" t="s">
        <v>3363</v>
      </c>
      <c r="F22" s="1462" t="s">
        <v>3342</v>
      </c>
      <c r="G22" s="1953" t="s">
        <v>4116</v>
      </c>
      <c r="H22" s="1947" t="s">
        <v>10</v>
      </c>
      <c r="I22" s="1953">
        <f>$E$5</f>
        <v>9409.4599999999991</v>
      </c>
      <c r="J22" s="1976">
        <v>155</v>
      </c>
      <c r="K22" s="1950" t="s">
        <v>104</v>
      </c>
      <c r="L22" s="1947" t="s">
        <v>4015</v>
      </c>
      <c r="M22" s="1754">
        <f t="shared" ref="M22:M50" si="4">ROUND(I22,2)*ROUND(J22,4)</f>
        <v>1458466.2999999998</v>
      </c>
      <c r="N22" s="1756">
        <v>8.0716000000000001</v>
      </c>
      <c r="O22" s="1712">
        <f t="shared" ref="O22:O28" si="5">ROUND(M22*ROUND(N22,2)/10000,6)</f>
        <v>1176.9823040000001</v>
      </c>
      <c r="P22" s="1712">
        <f t="shared" ref="P22:P28" si="6">IFERROR(ROUND(Q22*10000/M22,2),0)</f>
        <v>7.4</v>
      </c>
      <c r="Q22" s="1712">
        <f t="shared" ref="Q22:Q28" si="7">ROUND(O22/(1+R22),6)</f>
        <v>1079.800279</v>
      </c>
      <c r="R22" s="1757">
        <v>0.09</v>
      </c>
      <c r="S22" s="1712">
        <f>O22-Q22</f>
        <v>97.182025000000067</v>
      </c>
      <c r="T22" s="1712">
        <f t="shared" si="3"/>
        <v>1147.5688073491999</v>
      </c>
      <c r="U22" s="1712">
        <f t="shared" si="2"/>
        <v>1250.8499998937241</v>
      </c>
      <c r="V22" s="1952"/>
      <c r="W22" s="2424"/>
      <c r="X22" s="2079">
        <f>车位!O22</f>
        <v>2380.2825010000001</v>
      </c>
      <c r="Y22" s="2080">
        <f t="shared" si="0"/>
        <v>3557.2648050000003</v>
      </c>
      <c r="Z22" s="2080"/>
      <c r="AA22" s="2079">
        <v>3721.5978580000001</v>
      </c>
      <c r="AB22" s="2080">
        <f t="shared" si="1"/>
        <v>-164.33305299999984</v>
      </c>
      <c r="AC22" s="2079"/>
      <c r="AD22" s="2079"/>
      <c r="AE22" s="2079"/>
      <c r="AF22" s="2079"/>
      <c r="AG22" s="2079"/>
      <c r="AH22" s="2079"/>
      <c r="AI22" s="2079"/>
      <c r="AJ22" s="2079"/>
      <c r="AK22" s="2079"/>
    </row>
    <row r="23" spans="1:37" s="1942" customFormat="1" ht="28.5" customHeight="1" outlineLevel="3">
      <c r="A23" s="1944"/>
      <c r="B23" s="1978" t="s">
        <v>1635</v>
      </c>
      <c r="C23" s="1810"/>
      <c r="D23" s="1979" t="s">
        <v>659</v>
      </c>
      <c r="E23" s="1980" t="s">
        <v>3364</v>
      </c>
      <c r="F23" s="1462" t="s">
        <v>3342</v>
      </c>
      <c r="G23" s="1953" t="s">
        <v>4116</v>
      </c>
      <c r="H23" s="1947" t="s">
        <v>10</v>
      </c>
      <c r="I23" s="1953">
        <f>$E$5</f>
        <v>9409.4599999999991</v>
      </c>
      <c r="J23" s="1976">
        <v>3</v>
      </c>
      <c r="K23" s="1950" t="s">
        <v>101</v>
      </c>
      <c r="L23" s="1947" t="s">
        <v>659</v>
      </c>
      <c r="M23" s="1754">
        <f t="shared" si="4"/>
        <v>28228.379999999997</v>
      </c>
      <c r="N23" s="1756">
        <v>88.96</v>
      </c>
      <c r="O23" s="1712">
        <f t="shared" si="5"/>
        <v>251.11966799999999</v>
      </c>
      <c r="P23" s="1712">
        <f t="shared" si="6"/>
        <v>81.61</v>
      </c>
      <c r="Q23" s="1712">
        <f t="shared" si="7"/>
        <v>230.385017</v>
      </c>
      <c r="R23" s="1757">
        <v>0.09</v>
      </c>
      <c r="S23" s="1712">
        <f>O23-Q23</f>
        <v>20.734650999999985</v>
      </c>
      <c r="T23" s="1712">
        <f t="shared" si="3"/>
        <v>244.84403674599818</v>
      </c>
      <c r="U23" s="1712">
        <f t="shared" si="2"/>
        <v>266.8799994898751</v>
      </c>
      <c r="V23" s="1952"/>
      <c r="W23" s="2424"/>
      <c r="X23" s="2079">
        <f>车位!O23</f>
        <v>448.00231100000002</v>
      </c>
      <c r="Y23" s="2080">
        <f t="shared" si="0"/>
        <v>699.12197900000001</v>
      </c>
      <c r="Z23" s="2080"/>
      <c r="AA23" s="2079">
        <v>805.32664399999999</v>
      </c>
      <c r="AB23" s="2080">
        <f t="shared" si="1"/>
        <v>-106.20466499999998</v>
      </c>
      <c r="AC23" s="2079"/>
      <c r="AD23" s="2079"/>
      <c r="AE23" s="2079"/>
      <c r="AF23" s="2079"/>
      <c r="AG23" s="2079"/>
      <c r="AH23" s="2079"/>
      <c r="AI23" s="2079"/>
      <c r="AJ23" s="2079"/>
      <c r="AK23" s="2079"/>
    </row>
    <row r="24" spans="1:37" s="1942" customFormat="1" ht="28.5" customHeight="1" outlineLevel="3">
      <c r="A24" s="1944"/>
      <c r="B24" s="1978" t="s">
        <v>1484</v>
      </c>
      <c r="C24" s="1810"/>
      <c r="D24" s="1979" t="s">
        <v>1636</v>
      </c>
      <c r="E24" s="1980" t="s">
        <v>3365</v>
      </c>
      <c r="F24" s="1462" t="s">
        <v>3342</v>
      </c>
      <c r="G24" s="1953" t="s">
        <v>4116</v>
      </c>
      <c r="H24" s="1947" t="s">
        <v>10</v>
      </c>
      <c r="I24" s="1953">
        <f>$E$5</f>
        <v>9409.4599999999991</v>
      </c>
      <c r="J24" s="1976">
        <v>9.3299999999999998E-3</v>
      </c>
      <c r="K24" s="1950" t="s">
        <v>103</v>
      </c>
      <c r="L24" s="1947" t="s">
        <v>4016</v>
      </c>
      <c r="M24" s="1754">
        <f t="shared" si="4"/>
        <v>87.50797799999998</v>
      </c>
      <c r="N24" s="1756">
        <v>759.42</v>
      </c>
      <c r="O24" s="1712">
        <f t="shared" si="5"/>
        <v>6.6455310000000001</v>
      </c>
      <c r="P24" s="1712">
        <f t="shared" si="6"/>
        <v>696.72</v>
      </c>
      <c r="Q24" s="1712">
        <f t="shared" si="7"/>
        <v>6.0968169999999997</v>
      </c>
      <c r="R24" s="1757">
        <v>0.09</v>
      </c>
      <c r="S24" s="1712">
        <f>O24-Q24</f>
        <v>0.54871400000000037</v>
      </c>
      <c r="T24" s="1712">
        <f t="shared" si="3"/>
        <v>6.479454718974309</v>
      </c>
      <c r="U24" s="1712">
        <f t="shared" si="2"/>
        <v>7.0626061431793117</v>
      </c>
      <c r="V24" s="1952"/>
      <c r="W24" s="2424"/>
      <c r="X24" s="2079">
        <f>车位!O24</f>
        <v>74.623160999999996</v>
      </c>
      <c r="Y24" s="2080">
        <f t="shared" si="0"/>
        <v>81.268692000000001</v>
      </c>
      <c r="Z24" s="2080"/>
      <c r="AA24" s="2079">
        <v>105.765973</v>
      </c>
      <c r="AB24" s="2080">
        <f t="shared" si="1"/>
        <v>-24.497281000000001</v>
      </c>
      <c r="AC24" s="2079"/>
      <c r="AD24" s="2079"/>
      <c r="AE24" s="2079"/>
      <c r="AF24" s="2079"/>
      <c r="AG24" s="2079"/>
      <c r="AH24" s="2079"/>
      <c r="AI24" s="2079"/>
      <c r="AJ24" s="2079"/>
      <c r="AK24" s="2079"/>
    </row>
    <row r="25" spans="1:37" s="1942" customFormat="1" ht="28.5" customHeight="1" outlineLevel="3">
      <c r="A25" s="1944"/>
      <c r="B25" s="1978" t="s">
        <v>1485</v>
      </c>
      <c r="C25" s="1810"/>
      <c r="D25" s="1979" t="s">
        <v>3366</v>
      </c>
      <c r="E25" s="1980" t="s">
        <v>3367</v>
      </c>
      <c r="F25" s="1981"/>
      <c r="G25" s="1953" t="s">
        <v>4117</v>
      </c>
      <c r="H25" s="1947"/>
      <c r="I25" s="1948"/>
      <c r="J25" s="1949"/>
      <c r="K25" s="1982"/>
      <c r="L25" s="1947"/>
      <c r="M25" s="1754"/>
      <c r="N25" s="1712"/>
      <c r="O25" s="1712">
        <f>SUBTOTAL(9,O26:O27)</f>
        <v>230.09070199999999</v>
      </c>
      <c r="P25" s="1983"/>
      <c r="Q25" s="1712">
        <f>SUBTOTAL(9,Q26:Q27)</f>
        <v>205.53299799999999</v>
      </c>
      <c r="R25" s="1757"/>
      <c r="S25" s="1712">
        <f>SUBTOTAL(9,S26:S27)</f>
        <v>24.557703999999987</v>
      </c>
      <c r="T25" s="1712">
        <f t="shared" si="3"/>
        <v>218.43229898421379</v>
      </c>
      <c r="U25" s="1712">
        <f t="shared" si="2"/>
        <v>244.53125046495762</v>
      </c>
      <c r="V25" s="1952"/>
      <c r="X25" s="2079">
        <f>车位!O25</f>
        <v>554.57383800000002</v>
      </c>
      <c r="Y25" s="2080">
        <f t="shared" si="0"/>
        <v>784.66453999999999</v>
      </c>
      <c r="Z25" s="2080"/>
      <c r="AA25" s="2079">
        <v>924.36593800000003</v>
      </c>
      <c r="AB25" s="2080">
        <f t="shared" si="1"/>
        <v>-139.70139800000004</v>
      </c>
      <c r="AC25" s="2079"/>
      <c r="AD25" s="2079"/>
      <c r="AE25" s="2079"/>
      <c r="AF25" s="2079"/>
      <c r="AG25" s="2079"/>
      <c r="AH25" s="2079"/>
      <c r="AI25" s="2079"/>
      <c r="AJ25" s="2079"/>
      <c r="AK25" s="2079"/>
    </row>
    <row r="26" spans="1:37" s="1942" customFormat="1" ht="28.5" customHeight="1" outlineLevel="5">
      <c r="A26" s="1984"/>
      <c r="B26" s="1985" t="s">
        <v>4017</v>
      </c>
      <c r="C26" s="1828"/>
      <c r="D26" s="1986" t="s">
        <v>1487</v>
      </c>
      <c r="E26" s="1987"/>
      <c r="F26" s="1988" t="s">
        <v>3828</v>
      </c>
      <c r="G26" s="1989" t="s">
        <v>4118</v>
      </c>
      <c r="H26" s="1990" t="s">
        <v>10</v>
      </c>
      <c r="I26" s="1991">
        <f>$E$5</f>
        <v>9409.4599999999991</v>
      </c>
      <c r="J26" s="1976">
        <v>3.9125000000000001</v>
      </c>
      <c r="K26" s="1992" t="s">
        <v>101</v>
      </c>
      <c r="L26" s="1990" t="s">
        <v>4018</v>
      </c>
      <c r="M26" s="1991">
        <f t="shared" si="4"/>
        <v>36814.51225</v>
      </c>
      <c r="N26" s="1756">
        <v>46.5</v>
      </c>
      <c r="O26" s="1991">
        <f t="shared" si="5"/>
        <v>171.18748199999999</v>
      </c>
      <c r="P26" s="1991">
        <f t="shared" si="6"/>
        <v>41.15</v>
      </c>
      <c r="Q26" s="1991">
        <f t="shared" si="7"/>
        <v>151.493347</v>
      </c>
      <c r="R26" s="1993">
        <v>0.13</v>
      </c>
      <c r="S26" s="1991">
        <f>O26-Q26</f>
        <v>19.694134999999989</v>
      </c>
      <c r="T26" s="1991">
        <f t="shared" si="3"/>
        <v>161.00110633341342</v>
      </c>
      <c r="U26" s="1991">
        <f t="shared" si="2"/>
        <v>181.9312500398535</v>
      </c>
      <c r="V26" s="1994"/>
      <c r="X26" s="2079">
        <f>车位!O26</f>
        <v>399.80904600000002</v>
      </c>
      <c r="Y26" s="2080">
        <f t="shared" si="0"/>
        <v>570.99652800000001</v>
      </c>
      <c r="Z26" s="2080"/>
      <c r="AA26" s="2079">
        <v>694.56707200000005</v>
      </c>
      <c r="AB26" s="2080">
        <f t="shared" si="1"/>
        <v>-123.57054400000004</v>
      </c>
      <c r="AC26" s="2079"/>
      <c r="AD26" s="2079"/>
      <c r="AE26" s="2079"/>
      <c r="AF26" s="2079"/>
      <c r="AG26" s="2079"/>
      <c r="AH26" s="2079"/>
      <c r="AI26" s="2079"/>
      <c r="AJ26" s="2079"/>
      <c r="AK26" s="2079"/>
    </row>
    <row r="27" spans="1:37" s="1942" customFormat="1" ht="28.5" customHeight="1" outlineLevel="5">
      <c r="A27" s="1944"/>
      <c r="B27" s="1985" t="s">
        <v>4019</v>
      </c>
      <c r="C27" s="1828"/>
      <c r="D27" s="1986" t="s">
        <v>1639</v>
      </c>
      <c r="E27" s="1987"/>
      <c r="F27" s="1988" t="s">
        <v>3342</v>
      </c>
      <c r="G27" s="1989" t="s">
        <v>4116</v>
      </c>
      <c r="H27" s="1990" t="s">
        <v>10</v>
      </c>
      <c r="I27" s="1991">
        <f>$E$5</f>
        <v>9409.4599999999991</v>
      </c>
      <c r="J27" s="1976">
        <v>3.13</v>
      </c>
      <c r="K27" s="1992" t="s">
        <v>101</v>
      </c>
      <c r="L27" s="1990" t="s">
        <v>4020</v>
      </c>
      <c r="M27" s="1991">
        <f t="shared" si="4"/>
        <v>29451.609799999995</v>
      </c>
      <c r="N27" s="1756">
        <v>20</v>
      </c>
      <c r="O27" s="1991">
        <f t="shared" si="5"/>
        <v>58.903219999999997</v>
      </c>
      <c r="P27" s="1991">
        <f t="shared" si="6"/>
        <v>18.350000000000001</v>
      </c>
      <c r="Q27" s="1991">
        <f t="shared" si="7"/>
        <v>54.039650999999999</v>
      </c>
      <c r="R27" s="1993">
        <v>0.09</v>
      </c>
      <c r="S27" s="1991">
        <f>O27-Q27</f>
        <v>4.8635689999999983</v>
      </c>
      <c r="T27" s="1991">
        <f t="shared" si="3"/>
        <v>57.431192650800369</v>
      </c>
      <c r="U27" s="1991">
        <f t="shared" si="2"/>
        <v>62.600000425104099</v>
      </c>
      <c r="V27" s="1994"/>
      <c r="X27" s="2079">
        <f>车位!O27</f>
        <v>154.764792</v>
      </c>
      <c r="Y27" s="2080">
        <f t="shared" si="0"/>
        <v>213.668012</v>
      </c>
      <c r="Z27" s="2080"/>
      <c r="AA27" s="2079">
        <v>229.798866</v>
      </c>
      <c r="AB27" s="2080">
        <f t="shared" si="1"/>
        <v>-16.130853999999999</v>
      </c>
      <c r="AC27" s="2079"/>
      <c r="AD27" s="2079"/>
      <c r="AE27" s="2079"/>
      <c r="AF27" s="2079"/>
      <c r="AG27" s="2079"/>
      <c r="AH27" s="2079"/>
      <c r="AI27" s="2079"/>
      <c r="AJ27" s="2079"/>
      <c r="AK27" s="2079"/>
    </row>
    <row r="28" spans="1:37" s="1942" customFormat="1" ht="28.5" customHeight="1" outlineLevel="3">
      <c r="A28" s="1944"/>
      <c r="B28" s="1978" t="s">
        <v>1486</v>
      </c>
      <c r="C28" s="1810"/>
      <c r="D28" s="1979" t="s">
        <v>3369</v>
      </c>
      <c r="E28" s="1980" t="s">
        <v>3370</v>
      </c>
      <c r="F28" s="1462" t="s">
        <v>1493</v>
      </c>
      <c r="G28" s="1953" t="s">
        <v>4119</v>
      </c>
      <c r="H28" s="1947" t="s">
        <v>10</v>
      </c>
      <c r="I28" s="1948">
        <f>$E$5</f>
        <v>9409.4599999999991</v>
      </c>
      <c r="J28" s="1949">
        <v>0</v>
      </c>
      <c r="K28" s="1950" t="s">
        <v>101</v>
      </c>
      <c r="L28" s="1947" t="s">
        <v>4021</v>
      </c>
      <c r="M28" s="1754">
        <f t="shared" si="4"/>
        <v>0</v>
      </c>
      <c r="N28" s="1712"/>
      <c r="O28" s="1712">
        <f t="shared" si="5"/>
        <v>0</v>
      </c>
      <c r="P28" s="1712">
        <f t="shared" si="6"/>
        <v>0</v>
      </c>
      <c r="Q28" s="1712">
        <f t="shared" si="7"/>
        <v>0</v>
      </c>
      <c r="R28" s="1757">
        <v>0.09</v>
      </c>
      <c r="S28" s="1712">
        <f>O28-Q28</f>
        <v>0</v>
      </c>
      <c r="T28" s="1712">
        <f t="shared" si="3"/>
        <v>0</v>
      </c>
      <c r="U28" s="1712">
        <f t="shared" si="2"/>
        <v>0</v>
      </c>
      <c r="V28" s="1952"/>
      <c r="X28" s="2079">
        <f>车位!O28</f>
        <v>0</v>
      </c>
      <c r="Y28" s="2080">
        <f t="shared" si="0"/>
        <v>0</v>
      </c>
      <c r="Z28" s="2080"/>
      <c r="AA28" s="2079">
        <v>0</v>
      </c>
      <c r="AB28" s="2080">
        <f t="shared" si="1"/>
        <v>0</v>
      </c>
      <c r="AC28" s="2079"/>
      <c r="AD28" s="2079"/>
      <c r="AE28" s="2079"/>
      <c r="AF28" s="2079"/>
      <c r="AG28" s="2079"/>
      <c r="AH28" s="2079"/>
      <c r="AI28" s="2079"/>
      <c r="AJ28" s="2079"/>
      <c r="AK28" s="2079"/>
    </row>
    <row r="29" spans="1:37" s="1942" customFormat="1" ht="28.5" customHeight="1" outlineLevel="3">
      <c r="A29" s="1944"/>
      <c r="B29" s="1978" t="s">
        <v>1640</v>
      </c>
      <c r="C29" s="1810"/>
      <c r="D29" s="1979" t="s">
        <v>386</v>
      </c>
      <c r="E29" s="1980"/>
      <c r="F29" s="1462"/>
      <c r="G29" s="1953" t="s">
        <v>4117</v>
      </c>
      <c r="H29" s="1947"/>
      <c r="I29" s="1948"/>
      <c r="J29" s="1949"/>
      <c r="K29" s="1950"/>
      <c r="L29" s="1947"/>
      <c r="M29" s="1754"/>
      <c r="N29" s="1712"/>
      <c r="O29" s="1712">
        <f>SUBTOTAL(9,O30:O38)</f>
        <v>534.629052</v>
      </c>
      <c r="P29" s="1712"/>
      <c r="Q29" s="1712">
        <f>SUBTOTAL(9,Q30:Q38)</f>
        <v>490.48536800000005</v>
      </c>
      <c r="R29" s="1712"/>
      <c r="S29" s="1712">
        <f>SUBTOTAL(9,S30:S38)</f>
        <v>44.143683999999993</v>
      </c>
      <c r="T29" s="1712">
        <f t="shared" si="3"/>
        <v>521.26834908698277</v>
      </c>
      <c r="U29" s="1712">
        <f t="shared" si="2"/>
        <v>568.18250144004014</v>
      </c>
      <c r="V29" s="1952"/>
      <c r="X29" s="2079">
        <f>车位!O29</f>
        <v>751.61644100000001</v>
      </c>
      <c r="Y29" s="2080">
        <f t="shared" si="0"/>
        <v>1286.2454929999999</v>
      </c>
      <c r="Z29" s="2080"/>
      <c r="AA29" s="2079">
        <v>1228.3219429999999</v>
      </c>
      <c r="AB29" s="2080">
        <f t="shared" si="1"/>
        <v>57.923549999999977</v>
      </c>
      <c r="AC29" s="2079"/>
      <c r="AD29" s="2079"/>
      <c r="AE29" s="2079"/>
      <c r="AF29" s="2079"/>
      <c r="AG29" s="2079"/>
      <c r="AH29" s="2079"/>
      <c r="AI29" s="2079"/>
      <c r="AJ29" s="2079"/>
      <c r="AK29" s="2079"/>
    </row>
    <row r="30" spans="1:37" s="1942" customFormat="1" ht="28.5" customHeight="1" outlineLevel="4">
      <c r="A30" s="1944"/>
      <c r="B30" s="1978" t="s">
        <v>1642</v>
      </c>
      <c r="C30" s="1810"/>
      <c r="D30" s="1995" t="s">
        <v>3371</v>
      </c>
      <c r="E30" s="1996" t="s">
        <v>3372</v>
      </c>
      <c r="F30" s="1462" t="s">
        <v>3342</v>
      </c>
      <c r="G30" s="1953" t="s">
        <v>4116</v>
      </c>
      <c r="H30" s="1947" t="s">
        <v>10</v>
      </c>
      <c r="I30" s="1712">
        <f>$E$5</f>
        <v>9409.4599999999991</v>
      </c>
      <c r="J30" s="1976">
        <v>0.95</v>
      </c>
      <c r="K30" s="1950" t="s">
        <v>101</v>
      </c>
      <c r="L30" s="1947" t="s">
        <v>4022</v>
      </c>
      <c r="M30" s="1754">
        <f t="shared" si="4"/>
        <v>8938.9869999999992</v>
      </c>
      <c r="N30" s="1997">
        <v>106.3455448</v>
      </c>
      <c r="O30" s="1712">
        <f>ROUND(M30*ROUND(N30,2)/10000,6)</f>
        <v>95.066126999999994</v>
      </c>
      <c r="P30" s="1712">
        <f>IFERROR(ROUND(Q30*10000/M30,2),0)</f>
        <v>97.57</v>
      </c>
      <c r="Q30" s="1712">
        <f>ROUND(O30/(1+R30),6)</f>
        <v>87.216629999999995</v>
      </c>
      <c r="R30" s="1757">
        <v>0.09</v>
      </c>
      <c r="S30" s="1712">
        <f>O30-Q30</f>
        <v>7.8494969999999995</v>
      </c>
      <c r="T30" s="1712">
        <f t="shared" si="3"/>
        <v>92.690366928601648</v>
      </c>
      <c r="U30" s="1712">
        <f t="shared" si="2"/>
        <v>101.03250027100385</v>
      </c>
      <c r="V30" s="1952"/>
      <c r="X30" s="2079">
        <f>车位!O30</f>
        <v>185.54579000000001</v>
      </c>
      <c r="Y30" s="2080">
        <f t="shared" si="0"/>
        <v>280.61191700000001</v>
      </c>
      <c r="Z30" s="2080"/>
      <c r="AA30" s="2079">
        <v>336.96347800000001</v>
      </c>
      <c r="AB30" s="2080">
        <f t="shared" si="1"/>
        <v>-56.351561000000004</v>
      </c>
      <c r="AC30" s="2079"/>
      <c r="AD30" s="2079"/>
      <c r="AE30" s="2079"/>
      <c r="AF30" s="2079"/>
      <c r="AG30" s="2079"/>
      <c r="AH30" s="2079"/>
      <c r="AI30" s="2079"/>
      <c r="AJ30" s="2079"/>
      <c r="AK30" s="2079"/>
    </row>
    <row r="31" spans="1:37" s="1942" customFormat="1" ht="28.5" customHeight="1" outlineLevel="4">
      <c r="A31" s="1944"/>
      <c r="B31" s="1978" t="s">
        <v>1490</v>
      </c>
      <c r="C31" s="1810"/>
      <c r="D31" s="1995" t="s">
        <v>3373</v>
      </c>
      <c r="E31" s="1996" t="s">
        <v>3374</v>
      </c>
      <c r="F31" s="1462"/>
      <c r="G31" s="1953" t="s">
        <v>4117</v>
      </c>
      <c r="H31" s="1947"/>
      <c r="I31" s="1948"/>
      <c r="J31" s="1949"/>
      <c r="K31" s="1950" t="s">
        <v>101</v>
      </c>
      <c r="L31" s="1947" t="s">
        <v>4023</v>
      </c>
      <c r="M31" s="1754"/>
      <c r="N31" s="1712"/>
      <c r="O31" s="1712">
        <f>SUBTOTAL(9,O32:O33)</f>
        <v>43.528162000000002</v>
      </c>
      <c r="P31" s="1983"/>
      <c r="Q31" s="1712">
        <f>SUBTOTAL(9,Q32:Q33)</f>
        <v>39.934094000000002</v>
      </c>
      <c r="R31" s="1757"/>
      <c r="S31" s="1712">
        <f>SUBTOTAL(9,S32:S33)</f>
        <v>3.594068</v>
      </c>
      <c r="T31" s="1712">
        <f t="shared" si="3"/>
        <v>42.440367459981765</v>
      </c>
      <c r="U31" s="1712">
        <f t="shared" si="2"/>
        <v>46.260000042510413</v>
      </c>
      <c r="V31" s="1952"/>
      <c r="X31" s="2079">
        <f>车位!O31</f>
        <v>125.60022699999999</v>
      </c>
      <c r="Y31" s="2080">
        <f t="shared" si="0"/>
        <v>169.128389</v>
      </c>
      <c r="Z31" s="2080"/>
      <c r="AA31" s="2079">
        <v>178.01752200000001</v>
      </c>
      <c r="AB31" s="2080">
        <f t="shared" si="1"/>
        <v>-8.8891330000000153</v>
      </c>
      <c r="AC31" s="2079"/>
      <c r="AD31" s="2079"/>
      <c r="AE31" s="2079"/>
      <c r="AF31" s="2079"/>
      <c r="AG31" s="2079"/>
      <c r="AH31" s="2079"/>
      <c r="AI31" s="2079"/>
      <c r="AJ31" s="2079"/>
      <c r="AK31" s="2079"/>
    </row>
    <row r="32" spans="1:37" s="1942" customFormat="1" ht="28.5" customHeight="1" outlineLevel="5">
      <c r="A32" s="1944" t="s">
        <v>4011</v>
      </c>
      <c r="B32" s="1985" t="s">
        <v>4024</v>
      </c>
      <c r="C32" s="1828"/>
      <c r="D32" s="1998" t="s">
        <v>4025</v>
      </c>
      <c r="E32" s="1999"/>
      <c r="F32" s="1988" t="s">
        <v>3342</v>
      </c>
      <c r="G32" s="1989" t="s">
        <v>4116</v>
      </c>
      <c r="H32" s="1990" t="s">
        <v>10</v>
      </c>
      <c r="I32" s="1991">
        <f>$E$5</f>
        <v>9409.4599999999991</v>
      </c>
      <c r="J32" s="1976">
        <v>0.9</v>
      </c>
      <c r="K32" s="2000"/>
      <c r="L32" s="1990" t="s">
        <v>4026</v>
      </c>
      <c r="M32" s="1991">
        <f t="shared" si="4"/>
        <v>8468.5139999999992</v>
      </c>
      <c r="N32" s="2001">
        <v>51.4</v>
      </c>
      <c r="O32" s="1991">
        <f t="shared" ref="O32:O38" si="8">ROUND(M32*ROUND(N32,2)/10000,6)</f>
        <v>43.528162000000002</v>
      </c>
      <c r="P32" s="1991">
        <f t="shared" ref="P32:P38" si="9">IFERROR(ROUND(Q32*10000/M32,2),0)</f>
        <v>47.16</v>
      </c>
      <c r="Q32" s="1991">
        <f t="shared" ref="Q32:Q38" si="10">ROUND(O32/(1+R32),6)</f>
        <v>39.934094000000002</v>
      </c>
      <c r="R32" s="1993">
        <v>0.09</v>
      </c>
      <c r="S32" s="1991">
        <f t="shared" ref="S32:S38" si="11">O32-Q32</f>
        <v>3.594068</v>
      </c>
      <c r="T32" s="1991">
        <f t="shared" si="3"/>
        <v>42.440367459981765</v>
      </c>
      <c r="U32" s="1991">
        <f t="shared" si="2"/>
        <v>46.260000042510413</v>
      </c>
      <c r="V32" s="1994"/>
      <c r="X32" s="2079">
        <f>车位!O32</f>
        <v>97.226681999999997</v>
      </c>
      <c r="Y32" s="2080">
        <f t="shared" si="0"/>
        <v>140.75484399999999</v>
      </c>
      <c r="Z32" s="2080"/>
      <c r="AA32" s="2079">
        <v>137.80271999999999</v>
      </c>
      <c r="AB32" s="2080">
        <f t="shared" si="1"/>
        <v>2.9521239999999977</v>
      </c>
      <c r="AC32" s="2079"/>
      <c r="AD32" s="2079"/>
      <c r="AE32" s="2079"/>
      <c r="AF32" s="2079"/>
      <c r="AG32" s="2079"/>
      <c r="AH32" s="2079"/>
      <c r="AI32" s="2079"/>
      <c r="AJ32" s="2079"/>
      <c r="AK32" s="2079"/>
    </row>
    <row r="33" spans="1:37" s="1942" customFormat="1" ht="28.5" customHeight="1" outlineLevel="5">
      <c r="A33" s="1944" t="s">
        <v>4011</v>
      </c>
      <c r="B33" s="1985" t="s">
        <v>4027</v>
      </c>
      <c r="C33" s="1828"/>
      <c r="D33" s="1998" t="s">
        <v>4028</v>
      </c>
      <c r="E33" s="1999"/>
      <c r="F33" s="1988" t="s">
        <v>3829</v>
      </c>
      <c r="G33" s="1989" t="s">
        <v>4120</v>
      </c>
      <c r="H33" s="1990" t="s">
        <v>10</v>
      </c>
      <c r="I33" s="1991">
        <f>$E$5</f>
        <v>9409.4599999999991</v>
      </c>
      <c r="J33" s="1976"/>
      <c r="K33" s="2000"/>
      <c r="L33" s="1990" t="s">
        <v>4029</v>
      </c>
      <c r="M33" s="1991">
        <f t="shared" si="4"/>
        <v>0</v>
      </c>
      <c r="N33" s="2001">
        <v>15</v>
      </c>
      <c r="O33" s="1991">
        <f t="shared" si="8"/>
        <v>0</v>
      </c>
      <c r="P33" s="1991">
        <f t="shared" si="9"/>
        <v>0</v>
      </c>
      <c r="Q33" s="1991">
        <f t="shared" si="10"/>
        <v>0</v>
      </c>
      <c r="R33" s="1993">
        <v>0.13</v>
      </c>
      <c r="S33" s="1991">
        <f t="shared" si="11"/>
        <v>0</v>
      </c>
      <c r="T33" s="1991">
        <f t="shared" si="3"/>
        <v>0</v>
      </c>
      <c r="U33" s="1991">
        <f t="shared" si="2"/>
        <v>0</v>
      </c>
      <c r="V33" s="1994"/>
      <c r="X33" s="2079">
        <f>车位!O33</f>
        <v>28.373545</v>
      </c>
      <c r="Y33" s="2080">
        <f t="shared" si="0"/>
        <v>28.373545</v>
      </c>
      <c r="Z33" s="2080"/>
      <c r="AA33" s="2079">
        <v>40.214801999999999</v>
      </c>
      <c r="AB33" s="2080">
        <f t="shared" si="1"/>
        <v>-11.841256999999999</v>
      </c>
      <c r="AC33" s="2079"/>
      <c r="AD33" s="2079"/>
      <c r="AE33" s="2079"/>
      <c r="AF33" s="2079"/>
      <c r="AG33" s="2079"/>
      <c r="AH33" s="2079"/>
      <c r="AI33" s="2079"/>
      <c r="AJ33" s="2079"/>
      <c r="AK33" s="2079"/>
    </row>
    <row r="34" spans="1:37" s="1942" customFormat="1" ht="28.5" customHeight="1" outlineLevel="4">
      <c r="A34" s="1944"/>
      <c r="B34" s="1978" t="s">
        <v>1491</v>
      </c>
      <c r="C34" s="1810"/>
      <c r="D34" s="1995" t="s">
        <v>3375</v>
      </c>
      <c r="E34" s="1996" t="s">
        <v>3376</v>
      </c>
      <c r="F34" s="1462" t="s">
        <v>3342</v>
      </c>
      <c r="G34" s="1953" t="s">
        <v>4116</v>
      </c>
      <c r="H34" s="1947" t="s">
        <v>10</v>
      </c>
      <c r="I34" s="1712">
        <f t="shared" ref="I34:I50" si="12">$E$5</f>
        <v>9409.4599999999991</v>
      </c>
      <c r="J34" s="1976"/>
      <c r="K34" s="1950" t="s">
        <v>101</v>
      </c>
      <c r="L34" s="1947" t="s">
        <v>4030</v>
      </c>
      <c r="M34" s="1754">
        <f t="shared" si="4"/>
        <v>0</v>
      </c>
      <c r="N34" s="1756">
        <v>30</v>
      </c>
      <c r="O34" s="1712">
        <f t="shared" si="8"/>
        <v>0</v>
      </c>
      <c r="P34" s="1712">
        <f t="shared" si="9"/>
        <v>0</v>
      </c>
      <c r="Q34" s="1712">
        <f t="shared" si="10"/>
        <v>0</v>
      </c>
      <c r="R34" s="1757">
        <v>0.09</v>
      </c>
      <c r="S34" s="1712">
        <f t="shared" si="11"/>
        <v>0</v>
      </c>
      <c r="T34" s="1712">
        <f t="shared" si="3"/>
        <v>0</v>
      </c>
      <c r="U34" s="1712">
        <f t="shared" si="2"/>
        <v>0</v>
      </c>
      <c r="V34" s="1952"/>
      <c r="X34" s="2079">
        <f>车位!O34</f>
        <v>7.3697520000000001</v>
      </c>
      <c r="Y34" s="2080">
        <f t="shared" si="0"/>
        <v>7.3697520000000001</v>
      </c>
      <c r="Z34" s="2080"/>
      <c r="AA34" s="2079">
        <v>10.445403000000001</v>
      </c>
      <c r="AB34" s="2080">
        <f t="shared" si="1"/>
        <v>-3.0756510000000006</v>
      </c>
      <c r="AC34" s="2079"/>
      <c r="AD34" s="2079"/>
      <c r="AE34" s="2079"/>
      <c r="AF34" s="2079"/>
      <c r="AG34" s="2079"/>
      <c r="AH34" s="2079"/>
      <c r="AI34" s="2079"/>
      <c r="AJ34" s="2079"/>
      <c r="AK34" s="2079"/>
    </row>
    <row r="35" spans="1:37" s="1942" customFormat="1" ht="28.5" customHeight="1" outlineLevel="4">
      <c r="A35" s="1944"/>
      <c r="B35" s="1978" t="s">
        <v>1492</v>
      </c>
      <c r="C35" s="1810"/>
      <c r="D35" s="1995" t="s">
        <v>3377</v>
      </c>
      <c r="E35" s="1996" t="s">
        <v>3378</v>
      </c>
      <c r="F35" s="1462" t="s">
        <v>3342</v>
      </c>
      <c r="G35" s="1953" t="s">
        <v>4116</v>
      </c>
      <c r="H35" s="1947" t="s">
        <v>10</v>
      </c>
      <c r="I35" s="1712">
        <f t="shared" si="12"/>
        <v>9409.4599999999991</v>
      </c>
      <c r="J35" s="1976">
        <v>1</v>
      </c>
      <c r="K35" s="1950" t="s">
        <v>101</v>
      </c>
      <c r="L35" s="1947" t="s">
        <v>4031</v>
      </c>
      <c r="M35" s="1754">
        <f t="shared" si="4"/>
        <v>9409.4599999999991</v>
      </c>
      <c r="N35" s="1756">
        <v>30</v>
      </c>
      <c r="O35" s="1712">
        <f t="shared" si="8"/>
        <v>28.228380000000001</v>
      </c>
      <c r="P35" s="1712">
        <f t="shared" si="9"/>
        <v>27.52</v>
      </c>
      <c r="Q35" s="1712">
        <f t="shared" si="10"/>
        <v>25.897596</v>
      </c>
      <c r="R35" s="1757">
        <v>0.09</v>
      </c>
      <c r="S35" s="1712">
        <f t="shared" si="11"/>
        <v>2.3307840000000013</v>
      </c>
      <c r="T35" s="1712">
        <f t="shared" si="3"/>
        <v>27.522935428813131</v>
      </c>
      <c r="U35" s="1712">
        <f t="shared" si="2"/>
        <v>30</v>
      </c>
      <c r="V35" s="1952"/>
      <c r="X35" s="2079">
        <f>车位!O35</f>
        <v>7.3697520000000001</v>
      </c>
      <c r="Y35" s="2080">
        <f t="shared" si="0"/>
        <v>35.598132</v>
      </c>
      <c r="Z35" s="2080"/>
      <c r="AA35" s="2079">
        <v>10.445403000000001</v>
      </c>
      <c r="AB35" s="2080">
        <f t="shared" si="1"/>
        <v>25.152729000000001</v>
      </c>
      <c r="AC35" s="2079"/>
      <c r="AD35" s="2079"/>
      <c r="AE35" s="2079"/>
      <c r="AF35" s="2079"/>
      <c r="AG35" s="2079"/>
      <c r="AH35" s="2079"/>
      <c r="AI35" s="2079"/>
      <c r="AJ35" s="2079"/>
      <c r="AK35" s="2079"/>
    </row>
    <row r="36" spans="1:37" s="1942" customFormat="1" ht="28.5" customHeight="1" outlineLevel="4">
      <c r="A36" s="1944"/>
      <c r="B36" s="1978" t="s">
        <v>3379</v>
      </c>
      <c r="C36" s="1810"/>
      <c r="D36" s="1995" t="s">
        <v>3380</v>
      </c>
      <c r="E36" s="1996" t="s">
        <v>3381</v>
      </c>
      <c r="F36" s="1462" t="s">
        <v>3342</v>
      </c>
      <c r="G36" s="1953" t="s">
        <v>4116</v>
      </c>
      <c r="H36" s="1947" t="s">
        <v>9</v>
      </c>
      <c r="I36" s="1712">
        <f>$E$4</f>
        <v>9409.4599999999991</v>
      </c>
      <c r="J36" s="1976">
        <v>1</v>
      </c>
      <c r="K36" s="1950" t="s">
        <v>101</v>
      </c>
      <c r="L36" s="1947" t="s">
        <v>4032</v>
      </c>
      <c r="M36" s="1754">
        <f t="shared" si="4"/>
        <v>9409.4599999999991</v>
      </c>
      <c r="N36" s="1756">
        <v>168.8192</v>
      </c>
      <c r="O36" s="1712">
        <f t="shared" si="8"/>
        <v>158.850504</v>
      </c>
      <c r="P36" s="1712">
        <f t="shared" si="9"/>
        <v>154.88</v>
      </c>
      <c r="Q36" s="1712">
        <f t="shared" si="10"/>
        <v>145.734407</v>
      </c>
      <c r="R36" s="1757">
        <v>0.09</v>
      </c>
      <c r="S36" s="1712">
        <f t="shared" si="11"/>
        <v>13.116096999999996</v>
      </c>
      <c r="T36" s="1712">
        <f t="shared" si="3"/>
        <v>154.8807338572033</v>
      </c>
      <c r="U36" s="1712">
        <f t="shared" si="2"/>
        <v>168.82000029757288</v>
      </c>
      <c r="V36" s="1952"/>
      <c r="X36" s="2079">
        <f>车位!O36</f>
        <v>41.472051</v>
      </c>
      <c r="Y36" s="2080">
        <f t="shared" si="0"/>
        <v>200.32255499999999</v>
      </c>
      <c r="Z36" s="2080"/>
      <c r="AA36" s="2079">
        <v>58.779764</v>
      </c>
      <c r="AB36" s="2080">
        <f t="shared" si="1"/>
        <v>141.54279099999999</v>
      </c>
      <c r="AC36" s="2079"/>
      <c r="AD36" s="2079"/>
      <c r="AE36" s="2079"/>
      <c r="AF36" s="2079"/>
      <c r="AG36" s="2079"/>
      <c r="AH36" s="2079"/>
      <c r="AI36" s="2079"/>
      <c r="AJ36" s="2079"/>
      <c r="AK36" s="2079"/>
    </row>
    <row r="37" spans="1:37" s="1942" customFormat="1" ht="28.5" customHeight="1" outlineLevel="4">
      <c r="A37" s="1944"/>
      <c r="B37" s="1978" t="s">
        <v>3382</v>
      </c>
      <c r="C37" s="1810"/>
      <c r="D37" s="1995" t="s">
        <v>3383</v>
      </c>
      <c r="E37" s="1996" t="s">
        <v>3384</v>
      </c>
      <c r="F37" s="1462" t="s">
        <v>3342</v>
      </c>
      <c r="G37" s="1953" t="s">
        <v>4116</v>
      </c>
      <c r="H37" s="2002" t="s">
        <v>10</v>
      </c>
      <c r="I37" s="2003">
        <f t="shared" si="12"/>
        <v>9409.4599999999991</v>
      </c>
      <c r="J37" s="2004">
        <v>1</v>
      </c>
      <c r="K37" s="1950" t="s">
        <v>101</v>
      </c>
      <c r="L37" s="1947" t="s">
        <v>4033</v>
      </c>
      <c r="M37" s="1754">
        <f t="shared" si="4"/>
        <v>9409.4599999999991</v>
      </c>
      <c r="N37" s="2001">
        <v>168.8192</v>
      </c>
      <c r="O37" s="1712">
        <f t="shared" si="8"/>
        <v>158.850504</v>
      </c>
      <c r="P37" s="1712">
        <f t="shared" si="9"/>
        <v>154.88</v>
      </c>
      <c r="Q37" s="1712">
        <f t="shared" si="10"/>
        <v>145.734407</v>
      </c>
      <c r="R37" s="1757">
        <v>0.09</v>
      </c>
      <c r="S37" s="1712">
        <f t="shared" si="11"/>
        <v>13.116096999999996</v>
      </c>
      <c r="T37" s="1712">
        <f t="shared" si="3"/>
        <v>154.8807338572033</v>
      </c>
      <c r="U37" s="1712">
        <f t="shared" si="2"/>
        <v>168.82000029757288</v>
      </c>
      <c r="V37" s="1952"/>
      <c r="X37" s="2079">
        <f>车位!O37</f>
        <v>261.62619599999999</v>
      </c>
      <c r="Y37" s="2080">
        <f t="shared" si="0"/>
        <v>420.47669999999999</v>
      </c>
      <c r="Z37" s="2080"/>
      <c r="AA37" s="2079">
        <v>440.84823399999999</v>
      </c>
      <c r="AB37" s="2080">
        <f t="shared" si="1"/>
        <v>-20.371533999999997</v>
      </c>
      <c r="AC37" s="2079"/>
      <c r="AD37" s="2079"/>
      <c r="AE37" s="2079"/>
      <c r="AF37" s="2079"/>
      <c r="AG37" s="2079"/>
      <c r="AH37" s="2079"/>
      <c r="AI37" s="2079"/>
      <c r="AJ37" s="2079"/>
      <c r="AK37" s="2079"/>
    </row>
    <row r="38" spans="1:37" s="1942" customFormat="1" ht="28.5" customHeight="1" outlineLevel="4">
      <c r="A38" s="1944"/>
      <c r="B38" s="1978" t="s">
        <v>3385</v>
      </c>
      <c r="C38" s="1810"/>
      <c r="D38" s="1995" t="s">
        <v>3386</v>
      </c>
      <c r="E38" s="1996" t="s">
        <v>3387</v>
      </c>
      <c r="F38" s="1462" t="s">
        <v>3342</v>
      </c>
      <c r="G38" s="1953" t="s">
        <v>4116</v>
      </c>
      <c r="H38" s="2002" t="s">
        <v>10</v>
      </c>
      <c r="I38" s="2003">
        <f t="shared" si="12"/>
        <v>9409.4599999999991</v>
      </c>
      <c r="J38" s="2004">
        <v>1</v>
      </c>
      <c r="K38" s="1950" t="s">
        <v>101</v>
      </c>
      <c r="L38" s="1947" t="s">
        <v>4034</v>
      </c>
      <c r="M38" s="1754">
        <f t="shared" si="4"/>
        <v>9409.4599999999991</v>
      </c>
      <c r="N38" s="2001">
        <v>53.25</v>
      </c>
      <c r="O38" s="1712">
        <f t="shared" si="8"/>
        <v>50.105375000000002</v>
      </c>
      <c r="P38" s="1712">
        <f t="shared" si="9"/>
        <v>48.85</v>
      </c>
      <c r="Q38" s="1712">
        <f t="shared" si="10"/>
        <v>45.968234000000002</v>
      </c>
      <c r="R38" s="1757">
        <v>0.09</v>
      </c>
      <c r="S38" s="1712">
        <f t="shared" si="11"/>
        <v>4.1371409999999997</v>
      </c>
      <c r="T38" s="1712">
        <f t="shared" si="3"/>
        <v>48.853211555179584</v>
      </c>
      <c r="U38" s="1712">
        <f t="shared" si="2"/>
        <v>53.250000531380124</v>
      </c>
      <c r="V38" s="1952"/>
      <c r="X38" s="2079">
        <f>车位!O38</f>
        <v>122.632673</v>
      </c>
      <c r="Y38" s="2080">
        <f t="shared" si="0"/>
        <v>172.73804799999999</v>
      </c>
      <c r="Z38" s="2080"/>
      <c r="AA38" s="2079">
        <v>192.82213899999999</v>
      </c>
      <c r="AB38" s="2080">
        <f t="shared" si="1"/>
        <v>-20.084091000000001</v>
      </c>
      <c r="AC38" s="2079"/>
      <c r="AD38" s="2079"/>
      <c r="AE38" s="2079"/>
      <c r="AF38" s="2079"/>
      <c r="AG38" s="2079"/>
      <c r="AH38" s="2079"/>
      <c r="AI38" s="2079"/>
      <c r="AJ38" s="2079"/>
      <c r="AK38" s="2079"/>
    </row>
    <row r="39" spans="1:37" s="1942" customFormat="1" ht="28.5" customHeight="1" outlineLevel="3">
      <c r="A39" s="1944"/>
      <c r="B39" s="1978" t="s">
        <v>1647</v>
      </c>
      <c r="C39" s="1810"/>
      <c r="D39" s="1995" t="s">
        <v>3388</v>
      </c>
      <c r="E39" s="1996"/>
      <c r="F39" s="1462"/>
      <c r="G39" s="1953" t="s">
        <v>4117</v>
      </c>
      <c r="H39" s="1947"/>
      <c r="I39" s="1948"/>
      <c r="J39" s="1949"/>
      <c r="K39" s="1950"/>
      <c r="L39" s="1947"/>
      <c r="M39" s="1754"/>
      <c r="N39" s="1712"/>
      <c r="O39" s="1712">
        <f>SUBTOTAL(9,O40:O44)</f>
        <v>240.88217600000002</v>
      </c>
      <c r="P39" s="2005"/>
      <c r="Q39" s="1712">
        <f>SUBTOTAL(9,Q40:Q44)</f>
        <v>220.99282199999999</v>
      </c>
      <c r="R39" s="2005"/>
      <c r="S39" s="1712">
        <f>SUBTOTAL(9,S40:S44)</f>
        <v>19.889353999999994</v>
      </c>
      <c r="T39" s="1712">
        <f t="shared" si="3"/>
        <v>234.86238530160071</v>
      </c>
      <c r="U39" s="1712">
        <f t="shared" si="2"/>
        <v>256.00000000000006</v>
      </c>
      <c r="V39" s="1952"/>
      <c r="X39" s="2079">
        <f>车位!O39</f>
        <v>506.05630399999995</v>
      </c>
      <c r="Y39" s="2080">
        <f t="shared" si="0"/>
        <v>746.93848000000003</v>
      </c>
      <c r="Z39" s="2080"/>
      <c r="AA39" s="2079">
        <v>891.34105599999998</v>
      </c>
      <c r="AB39" s="2080">
        <f t="shared" si="1"/>
        <v>-144.40257599999995</v>
      </c>
      <c r="AC39" s="2079"/>
      <c r="AD39" s="2079"/>
      <c r="AE39" s="2079"/>
      <c r="AF39" s="2079"/>
      <c r="AG39" s="2079"/>
      <c r="AH39" s="2079"/>
      <c r="AI39" s="2079"/>
      <c r="AJ39" s="2079"/>
      <c r="AK39" s="2079"/>
    </row>
    <row r="40" spans="1:37" s="1942" customFormat="1" ht="28.5" customHeight="1" outlineLevel="4">
      <c r="A40" s="2006" t="s">
        <v>4011</v>
      </c>
      <c r="B40" s="1978" t="s">
        <v>1649</v>
      </c>
      <c r="C40" s="1810"/>
      <c r="D40" s="1995" t="s">
        <v>1643</v>
      </c>
      <c r="E40" s="1996" t="s">
        <v>3389</v>
      </c>
      <c r="F40" s="1462" t="s">
        <v>3342</v>
      </c>
      <c r="G40" s="1953" t="s">
        <v>4116</v>
      </c>
      <c r="H40" s="1975" t="s">
        <v>10</v>
      </c>
      <c r="I40" s="1712">
        <f t="shared" si="12"/>
        <v>9409.4599999999991</v>
      </c>
      <c r="J40" s="1976">
        <v>1</v>
      </c>
      <c r="K40" s="1950" t="s">
        <v>101</v>
      </c>
      <c r="L40" s="1947" t="s">
        <v>10</v>
      </c>
      <c r="M40" s="1754">
        <f t="shared" si="4"/>
        <v>9409.4599999999991</v>
      </c>
      <c r="N40" s="2001">
        <v>64</v>
      </c>
      <c r="O40" s="1712">
        <f t="shared" ref="O40:O50" si="13">ROUND(M40*ROUND(N40,2)/10000,6)</f>
        <v>60.220543999999997</v>
      </c>
      <c r="P40" s="1712">
        <f t="shared" ref="P40:P50" si="14">IFERROR(ROUND(Q40*10000/M40,2),0)</f>
        <v>58.72</v>
      </c>
      <c r="Q40" s="1712">
        <f t="shared" ref="Q40:Q50" si="15">ROUND(O40/(1+R40),6)</f>
        <v>55.248206000000003</v>
      </c>
      <c r="R40" s="1757">
        <v>0.09</v>
      </c>
      <c r="S40" s="1712">
        <f t="shared" ref="S40:S50" si="16">O40-Q40</f>
        <v>4.9723379999999935</v>
      </c>
      <c r="T40" s="1712">
        <f t="shared" si="3"/>
        <v>58.715596856780316</v>
      </c>
      <c r="U40" s="1712">
        <f t="shared" si="2"/>
        <v>64</v>
      </c>
      <c r="V40" s="1952"/>
      <c r="X40" s="2079">
        <f>车位!O40</f>
        <v>157.22137599999999</v>
      </c>
      <c r="Y40" s="2080">
        <f t="shared" si="0"/>
        <v>217.44191999999998</v>
      </c>
      <c r="Z40" s="2080"/>
      <c r="AA40" s="2079">
        <v>222.835264</v>
      </c>
      <c r="AB40" s="2080">
        <f t="shared" si="1"/>
        <v>-5.3933440000000132</v>
      </c>
      <c r="AC40" s="2079"/>
      <c r="AD40" s="2079"/>
      <c r="AE40" s="2079"/>
      <c r="AF40" s="2079"/>
      <c r="AG40" s="2079"/>
      <c r="AH40" s="2079"/>
      <c r="AI40" s="2079"/>
      <c r="AJ40" s="2079"/>
      <c r="AK40" s="2079"/>
    </row>
    <row r="41" spans="1:37" s="1942" customFormat="1" ht="28.5" customHeight="1" outlineLevel="4">
      <c r="A41" s="2006" t="s">
        <v>4011</v>
      </c>
      <c r="B41" s="1978" t="s">
        <v>1494</v>
      </c>
      <c r="C41" s="1810"/>
      <c r="D41" s="1995" t="s">
        <v>1644</v>
      </c>
      <c r="E41" s="1996" t="s">
        <v>3390</v>
      </c>
      <c r="F41" s="1462" t="s">
        <v>3342</v>
      </c>
      <c r="G41" s="1953" t="s">
        <v>4116</v>
      </c>
      <c r="H41" s="1975" t="s">
        <v>10</v>
      </c>
      <c r="I41" s="1712">
        <f t="shared" si="12"/>
        <v>9409.4599999999991</v>
      </c>
      <c r="J41" s="1976">
        <v>1</v>
      </c>
      <c r="K41" s="1950" t="s">
        <v>101</v>
      </c>
      <c r="L41" s="1947" t="s">
        <v>10</v>
      </c>
      <c r="M41" s="1754">
        <f t="shared" si="4"/>
        <v>9409.4599999999991</v>
      </c>
      <c r="N41" s="2001">
        <v>100</v>
      </c>
      <c r="O41" s="1712">
        <f t="shared" si="13"/>
        <v>94.0946</v>
      </c>
      <c r="P41" s="1712">
        <f t="shared" si="14"/>
        <v>91.74</v>
      </c>
      <c r="Q41" s="1712">
        <f t="shared" si="15"/>
        <v>86.325321000000002</v>
      </c>
      <c r="R41" s="1757">
        <v>0.09</v>
      </c>
      <c r="S41" s="1712">
        <f t="shared" si="16"/>
        <v>7.7692789999999974</v>
      </c>
      <c r="T41" s="1712">
        <f t="shared" si="3"/>
        <v>91.743119158804035</v>
      </c>
      <c r="U41" s="1712">
        <f t="shared" si="2"/>
        <v>100.00000000000001</v>
      </c>
      <c r="V41" s="1952"/>
      <c r="X41" s="2079">
        <f>车位!O41</f>
        <v>171.96088</v>
      </c>
      <c r="Y41" s="2080">
        <f t="shared" si="0"/>
        <v>266.05547999999999</v>
      </c>
      <c r="Z41" s="2080"/>
      <c r="AA41" s="2079">
        <v>348.18009999999998</v>
      </c>
      <c r="AB41" s="2080">
        <f t="shared" si="1"/>
        <v>-82.124619999999993</v>
      </c>
      <c r="AC41" s="2079"/>
      <c r="AD41" s="2079"/>
      <c r="AE41" s="2079"/>
      <c r="AF41" s="2079"/>
      <c r="AG41" s="2079"/>
      <c r="AH41" s="2079"/>
      <c r="AI41" s="2079"/>
      <c r="AJ41" s="2079"/>
      <c r="AK41" s="2079"/>
    </row>
    <row r="42" spans="1:37" s="1942" customFormat="1" ht="28.5" customHeight="1" outlineLevel="4">
      <c r="A42" s="1944"/>
      <c r="B42" s="1978" t="s">
        <v>1495</v>
      </c>
      <c r="C42" s="1810"/>
      <c r="D42" s="1995" t="s">
        <v>1645</v>
      </c>
      <c r="E42" s="1996" t="s">
        <v>3391</v>
      </c>
      <c r="F42" s="1462" t="s">
        <v>3342</v>
      </c>
      <c r="G42" s="1953" t="s">
        <v>4116</v>
      </c>
      <c r="H42" s="1975" t="s">
        <v>10</v>
      </c>
      <c r="I42" s="1712">
        <f t="shared" si="12"/>
        <v>9409.4599999999991</v>
      </c>
      <c r="J42" s="1976">
        <v>1</v>
      </c>
      <c r="K42" s="1950" t="s">
        <v>101</v>
      </c>
      <c r="L42" s="1947" t="s">
        <v>10</v>
      </c>
      <c r="M42" s="1754">
        <f t="shared" si="4"/>
        <v>9409.4599999999991</v>
      </c>
      <c r="N42" s="1756">
        <v>1</v>
      </c>
      <c r="O42" s="1712">
        <f t="shared" si="13"/>
        <v>0.94094599999999995</v>
      </c>
      <c r="P42" s="1712">
        <f t="shared" si="14"/>
        <v>0.92</v>
      </c>
      <c r="Q42" s="1712">
        <f t="shared" si="15"/>
        <v>0.86325300000000005</v>
      </c>
      <c r="R42" s="1757">
        <v>0.09</v>
      </c>
      <c r="S42" s="1712">
        <f t="shared" si="16"/>
        <v>7.7692999999999901E-2</v>
      </c>
      <c r="T42" s="1712">
        <f t="shared" si="3"/>
        <v>0.91743096840838911</v>
      </c>
      <c r="U42" s="1712">
        <f t="shared" si="2"/>
        <v>1</v>
      </c>
      <c r="V42" s="1952"/>
      <c r="X42" s="2079">
        <f>车位!O42</f>
        <v>2.4565839999999999</v>
      </c>
      <c r="Y42" s="2080">
        <f t="shared" si="0"/>
        <v>3.3975299999999997</v>
      </c>
      <c r="Z42" s="2080"/>
      <c r="AA42" s="2079">
        <v>3.4818009999999999</v>
      </c>
      <c r="AB42" s="2080">
        <f t="shared" si="1"/>
        <v>-8.4271000000000207E-2</v>
      </c>
      <c r="AC42" s="2079"/>
      <c r="AD42" s="2079"/>
      <c r="AE42" s="2079"/>
      <c r="AF42" s="2079"/>
      <c r="AG42" s="2079"/>
      <c r="AH42" s="2079"/>
      <c r="AI42" s="2079"/>
      <c r="AJ42" s="2079"/>
      <c r="AK42" s="2079"/>
    </row>
    <row r="43" spans="1:37" s="1942" customFormat="1" ht="28.5" customHeight="1" outlineLevel="4">
      <c r="A43" s="1944"/>
      <c r="B43" s="1978" t="s">
        <v>3392</v>
      </c>
      <c r="C43" s="1810"/>
      <c r="D43" s="1995" t="s">
        <v>1646</v>
      </c>
      <c r="E43" s="1996" t="s">
        <v>3393</v>
      </c>
      <c r="F43" s="1462" t="s">
        <v>3342</v>
      </c>
      <c r="G43" s="1953" t="s">
        <v>4116</v>
      </c>
      <c r="H43" s="1975" t="s">
        <v>10</v>
      </c>
      <c r="I43" s="1712">
        <f t="shared" si="12"/>
        <v>9409.4599999999991</v>
      </c>
      <c r="J43" s="1976">
        <v>1</v>
      </c>
      <c r="K43" s="1950" t="s">
        <v>101</v>
      </c>
      <c r="L43" s="1947" t="s">
        <v>10</v>
      </c>
      <c r="M43" s="1754">
        <f t="shared" si="4"/>
        <v>9409.4599999999991</v>
      </c>
      <c r="N43" s="1756">
        <v>61</v>
      </c>
      <c r="O43" s="1712">
        <f t="shared" si="13"/>
        <v>57.397705999999999</v>
      </c>
      <c r="P43" s="1712">
        <f t="shared" si="14"/>
        <v>55.96</v>
      </c>
      <c r="Q43" s="1712">
        <f t="shared" si="15"/>
        <v>52.658445999999998</v>
      </c>
      <c r="R43" s="1757">
        <v>0.09</v>
      </c>
      <c r="S43" s="1712">
        <f t="shared" si="16"/>
        <v>4.7392600000000016</v>
      </c>
      <c r="T43" s="1712">
        <f t="shared" si="3"/>
        <v>55.963302888794892</v>
      </c>
      <c r="U43" s="1712">
        <f t="shared" si="2"/>
        <v>61</v>
      </c>
      <c r="V43" s="1952"/>
      <c r="X43" s="2079">
        <f>车位!O43</f>
        <v>149.85162399999999</v>
      </c>
      <c r="Y43" s="2080">
        <f t="shared" si="0"/>
        <v>207.24932999999999</v>
      </c>
      <c r="Z43" s="2080"/>
      <c r="AA43" s="2079">
        <v>212.389861</v>
      </c>
      <c r="AB43" s="2080">
        <f t="shared" si="1"/>
        <v>-5.14053100000001</v>
      </c>
      <c r="AC43" s="2079"/>
      <c r="AD43" s="2079"/>
      <c r="AE43" s="2079"/>
      <c r="AF43" s="2079"/>
      <c r="AG43" s="2079"/>
      <c r="AH43" s="2079"/>
      <c r="AI43" s="2079"/>
      <c r="AJ43" s="2079"/>
      <c r="AK43" s="2079"/>
    </row>
    <row r="44" spans="1:37" s="1942" customFormat="1" ht="28.5" customHeight="1" outlineLevel="4">
      <c r="A44" s="1944"/>
      <c r="B44" s="1978" t="s">
        <v>3394</v>
      </c>
      <c r="C44" s="1810"/>
      <c r="D44" s="1995" t="s">
        <v>3395</v>
      </c>
      <c r="E44" s="1996" t="s">
        <v>3396</v>
      </c>
      <c r="F44" s="1462" t="s">
        <v>3342</v>
      </c>
      <c r="G44" s="1953" t="s">
        <v>4116</v>
      </c>
      <c r="H44" s="1975" t="s">
        <v>10</v>
      </c>
      <c r="I44" s="1712">
        <f t="shared" si="12"/>
        <v>9409.4599999999991</v>
      </c>
      <c r="J44" s="1976">
        <v>1</v>
      </c>
      <c r="K44" s="1950" t="s">
        <v>101</v>
      </c>
      <c r="L44" s="1947" t="s">
        <v>10</v>
      </c>
      <c r="M44" s="1754">
        <f t="shared" si="4"/>
        <v>9409.4599999999991</v>
      </c>
      <c r="N44" s="1756">
        <v>30</v>
      </c>
      <c r="O44" s="1712">
        <f t="shared" si="13"/>
        <v>28.228380000000001</v>
      </c>
      <c r="P44" s="1712">
        <f t="shared" si="14"/>
        <v>27.52</v>
      </c>
      <c r="Q44" s="1712">
        <f t="shared" si="15"/>
        <v>25.897596</v>
      </c>
      <c r="R44" s="1757">
        <v>0.09</v>
      </c>
      <c r="S44" s="1712">
        <f t="shared" si="16"/>
        <v>2.3307840000000013</v>
      </c>
      <c r="T44" s="1712">
        <f t="shared" si="3"/>
        <v>27.522935428813131</v>
      </c>
      <c r="U44" s="1712">
        <f t="shared" si="2"/>
        <v>30</v>
      </c>
      <c r="V44" s="1952"/>
      <c r="X44" s="2079">
        <f>车位!O44</f>
        <v>24.565840000000001</v>
      </c>
      <c r="Y44" s="2080">
        <f t="shared" si="0"/>
        <v>52.794220000000003</v>
      </c>
      <c r="Z44" s="2080"/>
      <c r="AA44" s="2079">
        <v>104.45403</v>
      </c>
      <c r="AB44" s="2080">
        <f t="shared" si="1"/>
        <v>-51.65981</v>
      </c>
      <c r="AC44" s="2079"/>
      <c r="AD44" s="2079"/>
      <c r="AE44" s="2079"/>
      <c r="AF44" s="2079"/>
      <c r="AG44" s="2079"/>
      <c r="AH44" s="2079"/>
      <c r="AI44" s="2079"/>
      <c r="AJ44" s="2079"/>
      <c r="AK44" s="2079"/>
    </row>
    <row r="45" spans="1:37" s="1942" customFormat="1" ht="28.5" customHeight="1" outlineLevel="3">
      <c r="A45" s="1944"/>
      <c r="B45" s="1978" t="s">
        <v>1653</v>
      </c>
      <c r="C45" s="1810"/>
      <c r="D45" s="1995" t="s">
        <v>3397</v>
      </c>
      <c r="E45" s="1996" t="s">
        <v>3398</v>
      </c>
      <c r="F45" s="1462" t="s">
        <v>3342</v>
      </c>
      <c r="G45" s="1953" t="s">
        <v>4116</v>
      </c>
      <c r="H45" s="1947" t="s">
        <v>10</v>
      </c>
      <c r="I45" s="1712">
        <f t="shared" si="12"/>
        <v>9409.4599999999991</v>
      </c>
      <c r="J45" s="1949"/>
      <c r="K45" s="1950" t="s">
        <v>101</v>
      </c>
      <c r="L45" s="1947" t="s">
        <v>4035</v>
      </c>
      <c r="M45" s="1754">
        <f t="shared" si="4"/>
        <v>0</v>
      </c>
      <c r="N45" s="1712"/>
      <c r="O45" s="1712">
        <f t="shared" si="13"/>
        <v>0</v>
      </c>
      <c r="P45" s="1712">
        <f t="shared" si="14"/>
        <v>0</v>
      </c>
      <c r="Q45" s="1712">
        <f t="shared" si="15"/>
        <v>0</v>
      </c>
      <c r="R45" s="1757">
        <v>0.09</v>
      </c>
      <c r="S45" s="1712">
        <f t="shared" si="16"/>
        <v>0</v>
      </c>
      <c r="T45" s="1712">
        <f t="shared" si="3"/>
        <v>0</v>
      </c>
      <c r="U45" s="1712">
        <f t="shared" si="2"/>
        <v>0</v>
      </c>
      <c r="V45" s="1952"/>
      <c r="X45" s="2079">
        <f>车位!O45</f>
        <v>543.51921000000004</v>
      </c>
      <c r="Y45" s="2080">
        <f t="shared" si="0"/>
        <v>543.51921000000004</v>
      </c>
      <c r="Z45" s="2080"/>
      <c r="AA45" s="2079">
        <v>0</v>
      </c>
      <c r="AB45" s="2080">
        <f t="shared" si="1"/>
        <v>543.51921000000004</v>
      </c>
      <c r="AC45" s="2079"/>
      <c r="AD45" s="2079"/>
      <c r="AE45" s="2079"/>
      <c r="AF45" s="2079"/>
      <c r="AG45" s="2079"/>
      <c r="AH45" s="2079"/>
      <c r="AI45" s="2079"/>
      <c r="AJ45" s="2079"/>
      <c r="AK45" s="2079"/>
    </row>
    <row r="46" spans="1:37" s="1942" customFormat="1" ht="28.5" customHeight="1" outlineLevel="3">
      <c r="A46" s="1944"/>
      <c r="B46" s="1978" t="s">
        <v>1655</v>
      </c>
      <c r="C46" s="1810"/>
      <c r="D46" s="1995" t="s">
        <v>1656</v>
      </c>
      <c r="E46" s="1996" t="s">
        <v>3399</v>
      </c>
      <c r="F46" s="1462" t="s">
        <v>1606</v>
      </c>
      <c r="G46" s="1953" t="s">
        <v>4121</v>
      </c>
      <c r="H46" s="1947" t="s">
        <v>10</v>
      </c>
      <c r="I46" s="1712">
        <f t="shared" si="12"/>
        <v>9409.4599999999991</v>
      </c>
      <c r="J46" s="1949"/>
      <c r="K46" s="1950" t="s">
        <v>101</v>
      </c>
      <c r="L46" s="1947" t="s">
        <v>10</v>
      </c>
      <c r="M46" s="1754">
        <f t="shared" si="4"/>
        <v>0</v>
      </c>
      <c r="N46" s="1712"/>
      <c r="O46" s="1712">
        <f t="shared" si="13"/>
        <v>0</v>
      </c>
      <c r="P46" s="1712">
        <f t="shared" si="14"/>
        <v>0</v>
      </c>
      <c r="Q46" s="1712">
        <f t="shared" si="15"/>
        <v>0</v>
      </c>
      <c r="R46" s="1757">
        <v>0.09</v>
      </c>
      <c r="S46" s="1712">
        <f t="shared" si="16"/>
        <v>0</v>
      </c>
      <c r="T46" s="1712">
        <f t="shared" si="3"/>
        <v>0</v>
      </c>
      <c r="U46" s="1712">
        <f t="shared" si="2"/>
        <v>0</v>
      </c>
      <c r="V46" s="1952"/>
      <c r="X46" s="2079">
        <f>车位!O46</f>
        <v>0</v>
      </c>
      <c r="Y46" s="2080">
        <f t="shared" si="0"/>
        <v>0</v>
      </c>
      <c r="Z46" s="2080"/>
      <c r="AA46" s="2079">
        <v>0</v>
      </c>
      <c r="AB46" s="2080">
        <f t="shared" si="1"/>
        <v>0</v>
      </c>
      <c r="AC46" s="2079"/>
      <c r="AD46" s="2079"/>
      <c r="AE46" s="2079"/>
      <c r="AF46" s="2079"/>
      <c r="AG46" s="2079"/>
      <c r="AH46" s="2079"/>
      <c r="AI46" s="2079"/>
      <c r="AJ46" s="2079"/>
      <c r="AK46" s="2079"/>
    </row>
    <row r="47" spans="1:37" s="1942" customFormat="1" ht="28.5" customHeight="1" outlineLevel="3">
      <c r="A47" s="1944"/>
      <c r="B47" s="1978" t="s">
        <v>1657</v>
      </c>
      <c r="C47" s="1810"/>
      <c r="D47" s="1995" t="s">
        <v>3400</v>
      </c>
      <c r="E47" s="1996" t="s">
        <v>3401</v>
      </c>
      <c r="F47" s="1462" t="s">
        <v>3342</v>
      </c>
      <c r="G47" s="1953" t="s">
        <v>4116</v>
      </c>
      <c r="H47" s="1975" t="s">
        <v>10</v>
      </c>
      <c r="I47" s="1712">
        <f t="shared" si="12"/>
        <v>9409.4599999999991</v>
      </c>
      <c r="J47" s="1949"/>
      <c r="K47" s="1950" t="s">
        <v>101</v>
      </c>
      <c r="L47" s="1947" t="s">
        <v>10</v>
      </c>
      <c r="M47" s="1754">
        <f t="shared" si="4"/>
        <v>0</v>
      </c>
      <c r="N47" s="1712"/>
      <c r="O47" s="1712">
        <f t="shared" si="13"/>
        <v>0</v>
      </c>
      <c r="P47" s="1712">
        <f t="shared" si="14"/>
        <v>0</v>
      </c>
      <c r="Q47" s="1712">
        <f t="shared" si="15"/>
        <v>0</v>
      </c>
      <c r="R47" s="1757">
        <v>0.09</v>
      </c>
      <c r="S47" s="1712">
        <f t="shared" si="16"/>
        <v>0</v>
      </c>
      <c r="T47" s="1712">
        <f t="shared" si="3"/>
        <v>0</v>
      </c>
      <c r="U47" s="1712">
        <f t="shared" si="2"/>
        <v>0</v>
      </c>
      <c r="V47" s="1952"/>
      <c r="X47" s="2079">
        <f>车位!O47</f>
        <v>0</v>
      </c>
      <c r="Y47" s="2080">
        <f t="shared" si="0"/>
        <v>0</v>
      </c>
      <c r="Z47" s="2080"/>
      <c r="AA47" s="2079">
        <v>0</v>
      </c>
      <c r="AB47" s="2080">
        <f t="shared" si="1"/>
        <v>0</v>
      </c>
      <c r="AC47" s="2079"/>
      <c r="AD47" s="2079"/>
      <c r="AE47" s="2079"/>
      <c r="AF47" s="2079"/>
      <c r="AG47" s="2079"/>
      <c r="AH47" s="2079"/>
      <c r="AI47" s="2079"/>
      <c r="AJ47" s="2079"/>
      <c r="AK47" s="2079"/>
    </row>
    <row r="48" spans="1:37" s="1942" customFormat="1" ht="28.5" customHeight="1" outlineLevel="3">
      <c r="A48" s="1944"/>
      <c r="B48" s="1978" t="s">
        <v>1659</v>
      </c>
      <c r="C48" s="1810"/>
      <c r="D48" s="1995" t="s">
        <v>3403</v>
      </c>
      <c r="E48" s="1996" t="s">
        <v>3404</v>
      </c>
      <c r="F48" s="1462" t="s">
        <v>3342</v>
      </c>
      <c r="G48" s="1953" t="s">
        <v>4116</v>
      </c>
      <c r="H48" s="1975" t="s">
        <v>10</v>
      </c>
      <c r="I48" s="1712">
        <f t="shared" si="12"/>
        <v>9409.4599999999991</v>
      </c>
      <c r="J48" s="1976">
        <v>1</v>
      </c>
      <c r="K48" s="1950" t="s">
        <v>101</v>
      </c>
      <c r="L48" s="1947" t="s">
        <v>10</v>
      </c>
      <c r="M48" s="1754">
        <f t="shared" si="4"/>
        <v>9409.4599999999991</v>
      </c>
      <c r="N48" s="1756">
        <v>65</v>
      </c>
      <c r="O48" s="1712">
        <f t="shared" si="13"/>
        <v>61.161490000000001</v>
      </c>
      <c r="P48" s="1712">
        <f t="shared" si="14"/>
        <v>59.63</v>
      </c>
      <c r="Q48" s="1712">
        <f t="shared" si="15"/>
        <v>56.111459000000004</v>
      </c>
      <c r="R48" s="1757">
        <v>0.09</v>
      </c>
      <c r="S48" s="1712">
        <f t="shared" si="16"/>
        <v>5.0500309999999971</v>
      </c>
      <c r="T48" s="1712">
        <f t="shared" si="3"/>
        <v>59.633027825188705</v>
      </c>
      <c r="U48" s="1712">
        <f t="shared" si="2"/>
        <v>65.000000000000014</v>
      </c>
      <c r="V48" s="1952"/>
      <c r="X48" s="2079">
        <f>车位!O48</f>
        <v>159.67796000000001</v>
      </c>
      <c r="Y48" s="2080">
        <f t="shared" si="0"/>
        <v>220.83945</v>
      </c>
      <c r="Z48" s="2080"/>
      <c r="AA48" s="2079">
        <v>226.31706500000001</v>
      </c>
      <c r="AB48" s="2080">
        <f t="shared" si="1"/>
        <v>-5.4776150000000143</v>
      </c>
      <c r="AC48" s="2079"/>
      <c r="AD48" s="2079"/>
      <c r="AE48" s="2079"/>
      <c r="AF48" s="2079"/>
      <c r="AG48" s="2079"/>
      <c r="AH48" s="2079"/>
      <c r="AI48" s="2079"/>
      <c r="AJ48" s="2079"/>
      <c r="AK48" s="2079"/>
    </row>
    <row r="49" spans="1:37" s="1942" customFormat="1" ht="28.5" customHeight="1" outlineLevel="3">
      <c r="A49" s="1944"/>
      <c r="B49" s="1978" t="s">
        <v>1497</v>
      </c>
      <c r="C49" s="1810"/>
      <c r="D49" s="1995" t="s">
        <v>3405</v>
      </c>
      <c r="E49" s="1996"/>
      <c r="F49" s="1462" t="s">
        <v>1424</v>
      </c>
      <c r="G49" s="1953" t="s">
        <v>4123</v>
      </c>
      <c r="H49" s="1975" t="s">
        <v>10</v>
      </c>
      <c r="I49" s="1712">
        <f t="shared" si="12"/>
        <v>9409.4599999999991</v>
      </c>
      <c r="J49" s="1949"/>
      <c r="K49" s="1950" t="s">
        <v>101</v>
      </c>
      <c r="L49" s="1947" t="s">
        <v>10</v>
      </c>
      <c r="M49" s="1754">
        <f t="shared" si="4"/>
        <v>0</v>
      </c>
      <c r="N49" s="1712"/>
      <c r="O49" s="1712">
        <f t="shared" si="13"/>
        <v>0</v>
      </c>
      <c r="P49" s="1712">
        <f t="shared" si="14"/>
        <v>0</v>
      </c>
      <c r="Q49" s="1712">
        <f t="shared" si="15"/>
        <v>0</v>
      </c>
      <c r="R49" s="1757">
        <v>0.06</v>
      </c>
      <c r="S49" s="1712">
        <f t="shared" si="16"/>
        <v>0</v>
      </c>
      <c r="T49" s="1712">
        <f t="shared" si="3"/>
        <v>0</v>
      </c>
      <c r="U49" s="1712">
        <f t="shared" si="2"/>
        <v>0</v>
      </c>
      <c r="V49" s="1952"/>
      <c r="X49" s="2079">
        <f>车位!O49</f>
        <v>0</v>
      </c>
      <c r="Y49" s="2080">
        <f t="shared" si="0"/>
        <v>0</v>
      </c>
      <c r="Z49" s="2080"/>
      <c r="AA49" s="2079">
        <v>0</v>
      </c>
      <c r="AB49" s="2080">
        <f t="shared" si="1"/>
        <v>0</v>
      </c>
      <c r="AC49" s="2079"/>
      <c r="AD49" s="2079"/>
      <c r="AE49" s="2079"/>
      <c r="AF49" s="2079"/>
      <c r="AG49" s="2079"/>
      <c r="AH49" s="2079"/>
      <c r="AI49" s="2079"/>
      <c r="AJ49" s="2079"/>
      <c r="AK49" s="2079"/>
    </row>
    <row r="50" spans="1:37" s="1942" customFormat="1" ht="28.5" customHeight="1" outlineLevel="2">
      <c r="A50" s="1944"/>
      <c r="B50" s="1820" t="s">
        <v>3406</v>
      </c>
      <c r="C50" s="1810"/>
      <c r="D50" s="1995" t="s">
        <v>3407</v>
      </c>
      <c r="E50" s="1996" t="s">
        <v>3408</v>
      </c>
      <c r="F50" s="1462" t="s">
        <v>3342</v>
      </c>
      <c r="G50" s="1953" t="s">
        <v>4116</v>
      </c>
      <c r="H50" s="1975" t="s">
        <v>10</v>
      </c>
      <c r="I50" s="1712">
        <f t="shared" si="12"/>
        <v>9409.4599999999991</v>
      </c>
      <c r="J50" s="1949">
        <v>1</v>
      </c>
      <c r="K50" s="1950" t="s">
        <v>101</v>
      </c>
      <c r="L50" s="1947" t="s">
        <v>10</v>
      </c>
      <c r="M50" s="1754">
        <f t="shared" si="4"/>
        <v>9409.4599999999991</v>
      </c>
      <c r="N50" s="1712"/>
      <c r="O50" s="1712">
        <f t="shared" si="13"/>
        <v>0</v>
      </c>
      <c r="P50" s="1712">
        <f t="shared" si="14"/>
        <v>0</v>
      </c>
      <c r="Q50" s="1712">
        <f t="shared" si="15"/>
        <v>0</v>
      </c>
      <c r="R50" s="1757">
        <v>0.09</v>
      </c>
      <c r="S50" s="1712">
        <f t="shared" si="16"/>
        <v>0</v>
      </c>
      <c r="T50" s="1712">
        <f t="shared" si="3"/>
        <v>0</v>
      </c>
      <c r="U50" s="1712">
        <f t="shared" si="2"/>
        <v>0</v>
      </c>
      <c r="V50" s="1952"/>
      <c r="X50" s="2079">
        <f>车位!O50</f>
        <v>0</v>
      </c>
      <c r="Y50" s="2080">
        <f t="shared" si="0"/>
        <v>0</v>
      </c>
      <c r="Z50" s="2080"/>
      <c r="AA50" s="2079">
        <v>0</v>
      </c>
      <c r="AB50" s="2080">
        <f t="shared" si="1"/>
        <v>0</v>
      </c>
      <c r="AC50" s="2079"/>
      <c r="AD50" s="2079"/>
      <c r="AE50" s="2079"/>
      <c r="AF50" s="2079"/>
      <c r="AG50" s="2079"/>
      <c r="AH50" s="2079"/>
      <c r="AI50" s="2079"/>
      <c r="AJ50" s="2079"/>
      <c r="AK50" s="2079"/>
    </row>
    <row r="51" spans="1:37" ht="28.5" customHeight="1" outlineLevel="1">
      <c r="B51" s="1965" t="s">
        <v>490</v>
      </c>
      <c r="C51" s="1852">
        <v>2</v>
      </c>
      <c r="D51" s="1966" t="s">
        <v>491</v>
      </c>
      <c r="E51" s="1967"/>
      <c r="F51" s="1968"/>
      <c r="G51" s="2007" t="s">
        <v>4117</v>
      </c>
      <c r="H51" s="1967"/>
      <c r="I51" s="1969"/>
      <c r="J51" s="1970"/>
      <c r="K51" s="1971"/>
      <c r="L51" s="1967"/>
      <c r="M51" s="1972"/>
      <c r="N51" s="1973"/>
      <c r="O51" s="1973">
        <f>SUBTOTAL(9,O52:O105)</f>
        <v>453.53597200000013</v>
      </c>
      <c r="P51" s="1973"/>
      <c r="Q51" s="1973">
        <f>SUBTOTAL(9,Q52:Q105)</f>
        <v>411.80997799999994</v>
      </c>
      <c r="R51" s="1973"/>
      <c r="S51" s="1973">
        <f>SUBTOTAL(9,S52:S105)</f>
        <v>41.725994000000007</v>
      </c>
      <c r="T51" s="1973">
        <f t="shared" si="3"/>
        <v>437.65527245984356</v>
      </c>
      <c r="U51" s="1973">
        <f t="shared" si="2"/>
        <v>482.00000000000023</v>
      </c>
      <c r="V51" s="1974"/>
      <c r="X51" s="2079">
        <f>车位!O51</f>
        <v>1060.0159960000001</v>
      </c>
      <c r="Y51" s="2080">
        <f t="shared" si="0"/>
        <v>1513.5519680000002</v>
      </c>
      <c r="Z51" s="2080"/>
      <c r="AA51" s="2077">
        <v>1754.8277069999999</v>
      </c>
      <c r="AB51" s="2080">
        <f t="shared" si="1"/>
        <v>-241.2757389999997</v>
      </c>
    </row>
    <row r="52" spans="1:37" s="1942" customFormat="1" ht="28.5" customHeight="1" outlineLevel="2">
      <c r="A52" s="1944"/>
      <c r="B52" s="1820" t="s">
        <v>661</v>
      </c>
      <c r="C52" s="1808"/>
      <c r="D52" s="1945" t="s">
        <v>3409</v>
      </c>
      <c r="E52" s="1946"/>
      <c r="F52" s="1462"/>
      <c r="G52" s="1953" t="s">
        <v>4117</v>
      </c>
      <c r="H52" s="1947"/>
      <c r="I52" s="1948"/>
      <c r="J52" s="1949"/>
      <c r="K52" s="1950"/>
      <c r="L52" s="1947"/>
      <c r="M52" s="1754"/>
      <c r="N52" s="1712"/>
      <c r="O52" s="1712">
        <f>SUBTOTAL(9,O53:O61)</f>
        <v>28.228379999999998</v>
      </c>
      <c r="P52" s="1983"/>
      <c r="Q52" s="1712">
        <f>SUBTOTAL(9,Q53:Q61)</f>
        <v>25.592019999999998</v>
      </c>
      <c r="R52" s="1757"/>
      <c r="S52" s="1712">
        <f>SUBTOTAL(9,S53:S61)</f>
        <v>2.6363599999999998</v>
      </c>
      <c r="T52" s="1712">
        <f t="shared" si="3"/>
        <v>27.19818140467147</v>
      </c>
      <c r="U52" s="1712">
        <f t="shared" si="2"/>
        <v>30</v>
      </c>
      <c r="V52" s="1952"/>
      <c r="X52" s="2079">
        <f>车位!O52</f>
        <v>73.697519999999997</v>
      </c>
      <c r="Y52" s="2080">
        <f t="shared" si="0"/>
        <v>101.9259</v>
      </c>
      <c r="Z52" s="2080"/>
      <c r="AA52" s="2079">
        <v>104.45403</v>
      </c>
      <c r="AB52" s="2080">
        <f t="shared" si="1"/>
        <v>-2.5281300000000044</v>
      </c>
      <c r="AC52" s="2079"/>
      <c r="AD52" s="2079"/>
      <c r="AE52" s="2079"/>
      <c r="AF52" s="2079"/>
      <c r="AG52" s="2079"/>
      <c r="AH52" s="2079"/>
      <c r="AI52" s="2079"/>
      <c r="AJ52" s="2079"/>
      <c r="AK52" s="2079"/>
    </row>
    <row r="53" spans="1:37" s="1942" customFormat="1" ht="28.5" customHeight="1" outlineLevel="3">
      <c r="A53" s="1944"/>
      <c r="B53" s="1978" t="s">
        <v>662</v>
      </c>
      <c r="C53" s="1810"/>
      <c r="D53" s="1979" t="s">
        <v>3410</v>
      </c>
      <c r="E53" s="1980" t="s">
        <v>3411</v>
      </c>
      <c r="F53" s="1462" t="s">
        <v>3342</v>
      </c>
      <c r="G53" s="1953" t="s">
        <v>4116</v>
      </c>
      <c r="H53" s="1975" t="s">
        <v>10</v>
      </c>
      <c r="I53" s="1712">
        <f>$E$5</f>
        <v>9409.4599999999991</v>
      </c>
      <c r="J53" s="1976">
        <v>1</v>
      </c>
      <c r="K53" s="1950" t="s">
        <v>101</v>
      </c>
      <c r="L53" s="1947" t="s">
        <v>10</v>
      </c>
      <c r="M53" s="1754">
        <f>ROUND(I53,2)*ROUND(J53,4)</f>
        <v>9409.4599999999991</v>
      </c>
      <c r="N53" s="1756">
        <v>7</v>
      </c>
      <c r="O53" s="1712">
        <f>ROUND(M53*ROUND(N53,2)/10000,6)</f>
        <v>6.5866220000000002</v>
      </c>
      <c r="P53" s="1712">
        <f>IFERROR(ROUND(Q53*10000/M53,2),0)</f>
        <v>6.42</v>
      </c>
      <c r="Q53" s="1712">
        <f>ROUND(O53/(1+R53),6)</f>
        <v>6.0427720000000003</v>
      </c>
      <c r="R53" s="1757">
        <v>0.09</v>
      </c>
      <c r="S53" s="1712">
        <f>O53-Q53</f>
        <v>0.54384999999999994</v>
      </c>
      <c r="T53" s="1712">
        <f t="shared" si="3"/>
        <v>6.4220178416189668</v>
      </c>
      <c r="U53" s="1712">
        <f t="shared" si="2"/>
        <v>7.0000000000000009</v>
      </c>
      <c r="V53" s="1952"/>
      <c r="X53" s="2079">
        <f>车位!O53</f>
        <v>17.196088</v>
      </c>
      <c r="Y53" s="2080">
        <f t="shared" si="0"/>
        <v>23.782710000000002</v>
      </c>
      <c r="Z53" s="2080"/>
      <c r="AA53" s="2079">
        <v>24.372606999999999</v>
      </c>
      <c r="AB53" s="2080">
        <f t="shared" si="1"/>
        <v>-0.58989699999999701</v>
      </c>
      <c r="AC53" s="2079"/>
      <c r="AD53" s="2079"/>
      <c r="AE53" s="2079"/>
      <c r="AF53" s="2079"/>
      <c r="AG53" s="2079"/>
      <c r="AH53" s="2079"/>
      <c r="AI53" s="2079"/>
      <c r="AJ53" s="2079"/>
      <c r="AK53" s="2079"/>
    </row>
    <row r="54" spans="1:37" s="1942" customFormat="1" ht="28.5" customHeight="1" outlineLevel="3">
      <c r="A54" s="1944"/>
      <c r="B54" s="1978" t="s">
        <v>664</v>
      </c>
      <c r="C54" s="1810"/>
      <c r="D54" s="2008" t="s">
        <v>3412</v>
      </c>
      <c r="E54" s="2009" t="s">
        <v>3413</v>
      </c>
      <c r="F54" s="1462" t="s">
        <v>3342</v>
      </c>
      <c r="G54" s="1953" t="s">
        <v>4116</v>
      </c>
      <c r="H54" s="1975" t="s">
        <v>10</v>
      </c>
      <c r="I54" s="1712">
        <f>$E$5</f>
        <v>9409.4599999999991</v>
      </c>
      <c r="J54" s="1976">
        <v>1</v>
      </c>
      <c r="K54" s="1950" t="s">
        <v>101</v>
      </c>
      <c r="L54" s="1947" t="s">
        <v>10</v>
      </c>
      <c r="M54" s="1754">
        <f>ROUND(I54,2)*ROUND(J54,4)</f>
        <v>9409.4599999999991</v>
      </c>
      <c r="N54" s="1756">
        <v>5</v>
      </c>
      <c r="O54" s="1712">
        <f>ROUND(M54*ROUND(N54,2)/10000,6)</f>
        <v>4.7047299999999996</v>
      </c>
      <c r="P54" s="1712">
        <f>IFERROR(ROUND(Q54*10000/M54,2),0)</f>
        <v>4.59</v>
      </c>
      <c r="Q54" s="1712">
        <f>ROUND(O54/(1+R54),6)</f>
        <v>4.3162659999999997</v>
      </c>
      <c r="R54" s="1757">
        <v>0.09</v>
      </c>
      <c r="S54" s="1712">
        <f>O54-Q54</f>
        <v>0.38846399999999992</v>
      </c>
      <c r="T54" s="1712">
        <f t="shared" si="3"/>
        <v>4.5871559048021888</v>
      </c>
      <c r="U54" s="1712">
        <f t="shared" si="2"/>
        <v>5</v>
      </c>
      <c r="V54" s="1952"/>
      <c r="X54" s="2079">
        <f>车位!O54</f>
        <v>12.282920000000001</v>
      </c>
      <c r="Y54" s="2080">
        <f t="shared" si="0"/>
        <v>16.987650000000002</v>
      </c>
      <c r="Z54" s="2080"/>
      <c r="AA54" s="2079">
        <v>17.409005000000001</v>
      </c>
      <c r="AB54" s="2080">
        <f t="shared" si="1"/>
        <v>-0.42135499999999837</v>
      </c>
      <c r="AC54" s="2079"/>
      <c r="AD54" s="2079"/>
      <c r="AE54" s="2079"/>
      <c r="AF54" s="2079"/>
      <c r="AG54" s="2079"/>
      <c r="AH54" s="2079"/>
      <c r="AI54" s="2079"/>
      <c r="AJ54" s="2079"/>
      <c r="AK54" s="2079"/>
    </row>
    <row r="55" spans="1:37" s="1942" customFormat="1" ht="28.5" customHeight="1" outlineLevel="3">
      <c r="A55" s="1944"/>
      <c r="B55" s="1978" t="s">
        <v>665</v>
      </c>
      <c r="C55" s="1810"/>
      <c r="D55" s="2008" t="s">
        <v>3414</v>
      </c>
      <c r="E55" s="2009" t="s">
        <v>3415</v>
      </c>
      <c r="F55" s="1462"/>
      <c r="G55" s="1953" t="s">
        <v>4117</v>
      </c>
      <c r="H55" s="1975"/>
      <c r="I55" s="1948"/>
      <c r="J55" s="1949"/>
      <c r="K55" s="1950" t="s">
        <v>101</v>
      </c>
      <c r="L55" s="1947" t="s">
        <v>10</v>
      </c>
      <c r="M55" s="1754"/>
      <c r="N55" s="1712"/>
      <c r="O55" s="1712">
        <f>SUBTOTAL(9,O56:O57)</f>
        <v>4.7047299999999996</v>
      </c>
      <c r="P55" s="1983"/>
      <c r="Q55" s="1712">
        <f>SUBTOTAL(9,Q56:Q57)</f>
        <v>4.3162659999999997</v>
      </c>
      <c r="R55" s="1757"/>
      <c r="S55" s="1712">
        <f>SUBTOTAL(9,S56:S57)</f>
        <v>0.38846399999999992</v>
      </c>
      <c r="T55" s="1712">
        <f t="shared" si="3"/>
        <v>4.5871559048021888</v>
      </c>
      <c r="U55" s="1712">
        <f t="shared" si="2"/>
        <v>5</v>
      </c>
      <c r="V55" s="1952"/>
      <c r="X55" s="2079">
        <f>车位!O55</f>
        <v>12.282920000000001</v>
      </c>
      <c r="Y55" s="2080">
        <f t="shared" si="0"/>
        <v>16.987650000000002</v>
      </c>
      <c r="Z55" s="2080"/>
      <c r="AA55" s="2079">
        <v>17.409005000000001</v>
      </c>
      <c r="AB55" s="2080">
        <f t="shared" si="1"/>
        <v>-0.42135499999999837</v>
      </c>
      <c r="AC55" s="2079"/>
      <c r="AD55" s="2079"/>
      <c r="AE55" s="2079"/>
      <c r="AF55" s="2079"/>
      <c r="AG55" s="2079"/>
      <c r="AH55" s="2079"/>
      <c r="AI55" s="2079"/>
      <c r="AJ55" s="2079"/>
      <c r="AK55" s="2079"/>
    </row>
    <row r="56" spans="1:37" s="1942" customFormat="1" ht="28.5" customHeight="1" outlineLevel="4">
      <c r="A56" s="1944"/>
      <c r="B56" s="1985" t="s">
        <v>1666</v>
      </c>
      <c r="C56" s="1828"/>
      <c r="D56" s="2010" t="s">
        <v>4036</v>
      </c>
      <c r="E56" s="2011"/>
      <c r="F56" s="1988" t="s">
        <v>3342</v>
      </c>
      <c r="G56" s="1989" t="s">
        <v>4116</v>
      </c>
      <c r="H56" s="2012" t="s">
        <v>10</v>
      </c>
      <c r="I56" s="1991">
        <f>$E$5</f>
        <v>9409.4599999999991</v>
      </c>
      <c r="J56" s="1976">
        <v>1</v>
      </c>
      <c r="K56" s="2000" t="s">
        <v>101</v>
      </c>
      <c r="L56" s="1990" t="s">
        <v>10</v>
      </c>
      <c r="M56" s="1991">
        <f t="shared" ref="M56:M63" si="17">ROUND(I56,2)*ROUND(J56,4)</f>
        <v>9409.4599999999991</v>
      </c>
      <c r="N56" s="1756">
        <v>5</v>
      </c>
      <c r="O56" s="1991">
        <f t="shared" ref="O56:O61" si="18">ROUND(M56*ROUND(N56,2)/10000,6)</f>
        <v>4.7047299999999996</v>
      </c>
      <c r="P56" s="1991">
        <f t="shared" ref="P56:P61" si="19">IFERROR(ROUND(Q56*10000/M56,2),0)</f>
        <v>4.59</v>
      </c>
      <c r="Q56" s="1991">
        <f t="shared" ref="Q56:Q61" si="20">ROUND(O56/(1+R56),6)</f>
        <v>4.3162659999999997</v>
      </c>
      <c r="R56" s="1993">
        <v>0.09</v>
      </c>
      <c r="S56" s="1991">
        <f t="shared" ref="S56:S61" si="21">O56-Q56</f>
        <v>0.38846399999999992</v>
      </c>
      <c r="T56" s="1991">
        <f t="shared" si="3"/>
        <v>4.5871559048021888</v>
      </c>
      <c r="U56" s="1991">
        <f t="shared" si="2"/>
        <v>5</v>
      </c>
      <c r="V56" s="1994"/>
      <c r="X56" s="2079">
        <f>车位!O56</f>
        <v>12.282920000000001</v>
      </c>
      <c r="Y56" s="2080">
        <f t="shared" si="0"/>
        <v>16.987650000000002</v>
      </c>
      <c r="Z56" s="2080"/>
      <c r="AA56" s="2079">
        <v>17.409005000000001</v>
      </c>
      <c r="AB56" s="2080">
        <f t="shared" si="1"/>
        <v>-0.42135499999999837</v>
      </c>
      <c r="AC56" s="2079"/>
      <c r="AD56" s="2079"/>
      <c r="AE56" s="2079"/>
      <c r="AF56" s="2079"/>
      <c r="AG56" s="2079"/>
      <c r="AH56" s="2079"/>
      <c r="AI56" s="2079"/>
      <c r="AJ56" s="2079"/>
      <c r="AK56" s="2079"/>
    </row>
    <row r="57" spans="1:37" s="1942" customFormat="1" ht="28.5" customHeight="1" outlineLevel="4">
      <c r="A57" s="1944"/>
      <c r="B57" s="1985" t="s">
        <v>1507</v>
      </c>
      <c r="C57" s="1828"/>
      <c r="D57" s="2013" t="s">
        <v>4037</v>
      </c>
      <c r="E57" s="2011"/>
      <c r="F57" s="1988" t="s">
        <v>3833</v>
      </c>
      <c r="G57" s="1989" t="s">
        <v>4124</v>
      </c>
      <c r="H57" s="2012" t="s">
        <v>10</v>
      </c>
      <c r="I57" s="1991">
        <f>$E$5</f>
        <v>9409.4599999999991</v>
      </c>
      <c r="J57" s="2014">
        <v>1</v>
      </c>
      <c r="K57" s="2000" t="s">
        <v>101</v>
      </c>
      <c r="L57" s="1990" t="s">
        <v>10</v>
      </c>
      <c r="M57" s="1991">
        <f t="shared" si="17"/>
        <v>9409.4599999999991</v>
      </c>
      <c r="N57" s="1991"/>
      <c r="O57" s="1991">
        <f t="shared" si="18"/>
        <v>0</v>
      </c>
      <c r="P57" s="1991">
        <f t="shared" si="19"/>
        <v>0</v>
      </c>
      <c r="Q57" s="1991">
        <f t="shared" si="20"/>
        <v>0</v>
      </c>
      <c r="R57" s="1993">
        <v>0.13</v>
      </c>
      <c r="S57" s="1991">
        <f t="shared" si="21"/>
        <v>0</v>
      </c>
      <c r="T57" s="1991">
        <f t="shared" si="3"/>
        <v>0</v>
      </c>
      <c r="U57" s="1991">
        <f t="shared" si="2"/>
        <v>0</v>
      </c>
      <c r="V57" s="1994"/>
      <c r="X57" s="2079">
        <f>车位!O57</f>
        <v>0</v>
      </c>
      <c r="Y57" s="2080">
        <f t="shared" si="0"/>
        <v>0</v>
      </c>
      <c r="Z57" s="2080"/>
      <c r="AA57" s="2079">
        <v>0</v>
      </c>
      <c r="AB57" s="2080">
        <f t="shared" si="1"/>
        <v>0</v>
      </c>
      <c r="AC57" s="2079"/>
      <c r="AD57" s="2079"/>
      <c r="AE57" s="2079"/>
      <c r="AF57" s="2079"/>
      <c r="AG57" s="2079"/>
      <c r="AH57" s="2079"/>
      <c r="AI57" s="2079"/>
      <c r="AJ57" s="2079"/>
      <c r="AK57" s="2079"/>
    </row>
    <row r="58" spans="1:37" s="1942" customFormat="1" ht="28.5" customHeight="1" outlineLevel="3">
      <c r="A58" s="1944"/>
      <c r="B58" s="1978" t="s">
        <v>666</v>
      </c>
      <c r="C58" s="1810"/>
      <c r="D58" s="2008" t="s">
        <v>3416</v>
      </c>
      <c r="E58" s="2009" t="s">
        <v>3417</v>
      </c>
      <c r="F58" s="1462" t="s">
        <v>3418</v>
      </c>
      <c r="G58" s="1953" t="s">
        <v>4125</v>
      </c>
      <c r="H58" s="1975" t="s">
        <v>3926</v>
      </c>
      <c r="I58" s="1712">
        <f>$G$7</f>
        <v>0</v>
      </c>
      <c r="J58" s="1949">
        <v>1</v>
      </c>
      <c r="K58" s="1950" t="s">
        <v>3947</v>
      </c>
      <c r="L58" s="1947" t="s">
        <v>3926</v>
      </c>
      <c r="M58" s="1754">
        <f t="shared" si="17"/>
        <v>0</v>
      </c>
      <c r="N58" s="1712"/>
      <c r="O58" s="1712">
        <f t="shared" si="18"/>
        <v>0</v>
      </c>
      <c r="P58" s="1712">
        <f t="shared" si="19"/>
        <v>0</v>
      </c>
      <c r="Q58" s="1712">
        <f t="shared" si="20"/>
        <v>0</v>
      </c>
      <c r="R58" s="1757">
        <v>0.13</v>
      </c>
      <c r="S58" s="1712">
        <f t="shared" si="21"/>
        <v>0</v>
      </c>
      <c r="T58" s="1712">
        <f t="shared" si="3"/>
        <v>0</v>
      </c>
      <c r="U58" s="1712">
        <f t="shared" si="2"/>
        <v>0</v>
      </c>
      <c r="V58" s="1952"/>
      <c r="X58" s="2079">
        <f>车位!O58</f>
        <v>0</v>
      </c>
      <c r="Y58" s="2080">
        <f t="shared" si="0"/>
        <v>0</v>
      </c>
      <c r="Z58" s="2080"/>
      <c r="AA58" s="2079">
        <v>0</v>
      </c>
      <c r="AB58" s="2080">
        <f t="shared" si="1"/>
        <v>0</v>
      </c>
      <c r="AC58" s="2079"/>
      <c r="AD58" s="2079"/>
      <c r="AE58" s="2079"/>
      <c r="AF58" s="2079"/>
      <c r="AG58" s="2079"/>
      <c r="AH58" s="2079"/>
      <c r="AI58" s="2079"/>
      <c r="AJ58" s="2079"/>
      <c r="AK58" s="2079"/>
    </row>
    <row r="59" spans="1:37" s="1942" customFormat="1" ht="28.5" customHeight="1" outlineLevel="3">
      <c r="A59" s="1944"/>
      <c r="B59" s="1978" t="s">
        <v>3419</v>
      </c>
      <c r="C59" s="1810"/>
      <c r="D59" s="2008" t="s">
        <v>3420</v>
      </c>
      <c r="E59" s="2009" t="s">
        <v>3421</v>
      </c>
      <c r="F59" s="1462" t="s">
        <v>3422</v>
      </c>
      <c r="G59" s="1953" t="s">
        <v>4126</v>
      </c>
      <c r="H59" s="1975" t="s">
        <v>10</v>
      </c>
      <c r="I59" s="1712">
        <f>$E$5</f>
        <v>9409.4599999999991</v>
      </c>
      <c r="J59" s="1949">
        <v>1</v>
      </c>
      <c r="K59" s="1950" t="s">
        <v>101</v>
      </c>
      <c r="L59" s="1947" t="s">
        <v>10</v>
      </c>
      <c r="M59" s="1754">
        <f t="shared" si="17"/>
        <v>9409.4599999999991</v>
      </c>
      <c r="N59" s="1712">
        <v>10</v>
      </c>
      <c r="O59" s="1712">
        <f t="shared" si="18"/>
        <v>9.4094599999999993</v>
      </c>
      <c r="P59" s="1712">
        <f t="shared" si="19"/>
        <v>8.85</v>
      </c>
      <c r="Q59" s="1712">
        <f t="shared" si="20"/>
        <v>8.3269559999999991</v>
      </c>
      <c r="R59" s="1757">
        <v>0.13</v>
      </c>
      <c r="S59" s="1712">
        <f t="shared" si="21"/>
        <v>1.0825040000000001</v>
      </c>
      <c r="T59" s="1712">
        <f t="shared" si="3"/>
        <v>8.8495577854627161</v>
      </c>
      <c r="U59" s="1712">
        <f t="shared" si="2"/>
        <v>10</v>
      </c>
      <c r="V59" s="1952"/>
      <c r="X59" s="2079">
        <f>车位!O59</f>
        <v>24.565840000000001</v>
      </c>
      <c r="Y59" s="2080">
        <f t="shared" si="0"/>
        <v>33.975300000000004</v>
      </c>
      <c r="Z59" s="2080"/>
      <c r="AA59" s="2079">
        <v>34.818010000000001</v>
      </c>
      <c r="AB59" s="2080">
        <f t="shared" si="1"/>
        <v>-0.84270999999999674</v>
      </c>
      <c r="AC59" s="2079"/>
      <c r="AD59" s="2079"/>
      <c r="AE59" s="2079"/>
      <c r="AF59" s="2079"/>
      <c r="AG59" s="2079"/>
      <c r="AH59" s="2079"/>
      <c r="AI59" s="2079"/>
      <c r="AJ59" s="2079"/>
      <c r="AK59" s="2079"/>
    </row>
    <row r="60" spans="1:37" s="1942" customFormat="1" ht="28.5" customHeight="1" outlineLevel="3">
      <c r="A60" s="1944"/>
      <c r="B60" s="1978" t="s">
        <v>3423</v>
      </c>
      <c r="C60" s="1810"/>
      <c r="D60" s="2008" t="s">
        <v>3424</v>
      </c>
      <c r="E60" s="2009" t="s">
        <v>3425</v>
      </c>
      <c r="F60" s="1462" t="s">
        <v>3342</v>
      </c>
      <c r="G60" s="1953" t="s">
        <v>4116</v>
      </c>
      <c r="H60" s="1975" t="s">
        <v>10</v>
      </c>
      <c r="I60" s="1712">
        <f t="shared" ref="I60:I72" si="22">$E$5</f>
        <v>9409.4599999999991</v>
      </c>
      <c r="J60" s="1976">
        <v>1</v>
      </c>
      <c r="K60" s="1950" t="s">
        <v>101</v>
      </c>
      <c r="L60" s="1947" t="s">
        <v>10</v>
      </c>
      <c r="M60" s="1754">
        <f t="shared" si="17"/>
        <v>9409.4599999999991</v>
      </c>
      <c r="N60" s="1756">
        <v>3</v>
      </c>
      <c r="O60" s="1712">
        <f t="shared" si="18"/>
        <v>2.822838</v>
      </c>
      <c r="P60" s="1712">
        <f t="shared" si="19"/>
        <v>2.75</v>
      </c>
      <c r="Q60" s="1712">
        <f t="shared" si="20"/>
        <v>2.5897600000000001</v>
      </c>
      <c r="R60" s="1757">
        <v>0.09</v>
      </c>
      <c r="S60" s="1712">
        <f t="shared" si="21"/>
        <v>0.2330779999999999</v>
      </c>
      <c r="T60" s="1712">
        <f t="shared" si="3"/>
        <v>2.7522939679854108</v>
      </c>
      <c r="U60" s="1712">
        <f t="shared" si="2"/>
        <v>3.0000000000000004</v>
      </c>
      <c r="V60" s="1952"/>
      <c r="X60" s="2079">
        <f>车位!O60</f>
        <v>7.3697520000000001</v>
      </c>
      <c r="Y60" s="2080">
        <f t="shared" si="0"/>
        <v>10.192589999999999</v>
      </c>
      <c r="Z60" s="2080"/>
      <c r="AA60" s="2079">
        <v>10.445403000000001</v>
      </c>
      <c r="AB60" s="2080">
        <f t="shared" si="1"/>
        <v>-0.25281300000000151</v>
      </c>
      <c r="AC60" s="2079"/>
      <c r="AD60" s="2079"/>
      <c r="AE60" s="2079"/>
      <c r="AF60" s="2079"/>
      <c r="AG60" s="2079"/>
      <c r="AH60" s="2079"/>
      <c r="AI60" s="2079"/>
      <c r="AJ60" s="2079"/>
      <c r="AK60" s="2079"/>
    </row>
    <row r="61" spans="1:37" s="1942" customFormat="1" ht="28.5" customHeight="1" outlineLevel="3">
      <c r="A61" s="1944"/>
      <c r="B61" s="1978" t="s">
        <v>3426</v>
      </c>
      <c r="C61" s="1810"/>
      <c r="D61" s="2008" t="s">
        <v>3427</v>
      </c>
      <c r="E61" s="2009" t="s">
        <v>3428</v>
      </c>
      <c r="F61" s="1462" t="s">
        <v>3342</v>
      </c>
      <c r="G61" s="1953" t="s">
        <v>4116</v>
      </c>
      <c r="H61" s="1975" t="s">
        <v>10</v>
      </c>
      <c r="I61" s="1712">
        <f t="shared" si="22"/>
        <v>9409.4599999999991</v>
      </c>
      <c r="J61" s="1949"/>
      <c r="K61" s="1950" t="s">
        <v>101</v>
      </c>
      <c r="L61" s="1947" t="s">
        <v>10</v>
      </c>
      <c r="M61" s="1754">
        <f t="shared" si="17"/>
        <v>0</v>
      </c>
      <c r="N61" s="1712"/>
      <c r="O61" s="1712">
        <f t="shared" si="18"/>
        <v>0</v>
      </c>
      <c r="P61" s="1712">
        <f t="shared" si="19"/>
        <v>0</v>
      </c>
      <c r="Q61" s="1712">
        <f t="shared" si="20"/>
        <v>0</v>
      </c>
      <c r="R61" s="1757">
        <v>0.13</v>
      </c>
      <c r="S61" s="1712">
        <f t="shared" si="21"/>
        <v>0</v>
      </c>
      <c r="T61" s="1712">
        <f t="shared" si="3"/>
        <v>0</v>
      </c>
      <c r="U61" s="1712">
        <f t="shared" si="2"/>
        <v>0</v>
      </c>
      <c r="V61" s="2015"/>
      <c r="X61" s="2079">
        <f>车位!O61</f>
        <v>0</v>
      </c>
      <c r="Y61" s="2080">
        <f t="shared" si="0"/>
        <v>0</v>
      </c>
      <c r="Z61" s="2080"/>
      <c r="AA61" s="2079">
        <v>0</v>
      </c>
      <c r="AB61" s="2080">
        <f t="shared" si="1"/>
        <v>0</v>
      </c>
      <c r="AC61" s="2079"/>
      <c r="AD61" s="2079"/>
      <c r="AE61" s="2079"/>
      <c r="AF61" s="2079"/>
      <c r="AG61" s="2079"/>
      <c r="AH61" s="2079"/>
      <c r="AI61" s="2079"/>
      <c r="AJ61" s="2079"/>
      <c r="AK61" s="2079"/>
    </row>
    <row r="62" spans="1:37" s="1942" customFormat="1" ht="28.5" customHeight="1" outlineLevel="2">
      <c r="A62" s="1944"/>
      <c r="B62" s="1820" t="s">
        <v>670</v>
      </c>
      <c r="C62" s="1808"/>
      <c r="D62" s="1945" t="s">
        <v>3429</v>
      </c>
      <c r="E62" s="1946"/>
      <c r="F62" s="1462"/>
      <c r="G62" s="1953" t="s">
        <v>4117</v>
      </c>
      <c r="H62" s="1947"/>
      <c r="I62" s="1948"/>
      <c r="J62" s="1949"/>
      <c r="K62" s="1950"/>
      <c r="L62" s="1947"/>
      <c r="M62" s="1754"/>
      <c r="N62" s="1712"/>
      <c r="O62" s="1712">
        <f>SUBTOTAL(9,O63:O76)</f>
        <v>231.94318899999999</v>
      </c>
      <c r="P62" s="1983"/>
      <c r="Q62" s="1712">
        <f>SUBTOTAL(9,Q63:Q76)</f>
        <v>209.43057599999997</v>
      </c>
      <c r="R62" s="1757"/>
      <c r="S62" s="1712">
        <f>SUBTOTAL(9,S63:S76)</f>
        <v>22.512613000000005</v>
      </c>
      <c r="T62" s="1712">
        <f t="shared" si="3"/>
        <v>222.57448992822117</v>
      </c>
      <c r="U62" s="1712">
        <f t="shared" si="2"/>
        <v>246.5</v>
      </c>
      <c r="V62" s="1952"/>
      <c r="X62" s="2079">
        <f>车位!O62</f>
        <v>544.13335599999994</v>
      </c>
      <c r="Y62" s="2080">
        <f t="shared" si="0"/>
        <v>776.0765449999999</v>
      </c>
      <c r="Z62" s="2080"/>
      <c r="AA62" s="2079">
        <v>858.26394700000003</v>
      </c>
      <c r="AB62" s="2080">
        <f t="shared" si="1"/>
        <v>-82.187402000000134</v>
      </c>
      <c r="AC62" s="2079"/>
      <c r="AD62" s="2079"/>
      <c r="AE62" s="2079"/>
      <c r="AF62" s="2079"/>
      <c r="AG62" s="2079"/>
      <c r="AH62" s="2079"/>
      <c r="AI62" s="2079"/>
      <c r="AJ62" s="2079"/>
      <c r="AK62" s="2079"/>
    </row>
    <row r="63" spans="1:37" s="1942" customFormat="1" ht="28.5" customHeight="1" outlineLevel="3">
      <c r="A63" s="1944"/>
      <c r="B63" s="1978" t="s">
        <v>671</v>
      </c>
      <c r="C63" s="1810"/>
      <c r="D63" s="2008" t="s">
        <v>3430</v>
      </c>
      <c r="E63" s="2009" t="s">
        <v>3431</v>
      </c>
      <c r="F63" s="1462" t="s">
        <v>3342</v>
      </c>
      <c r="G63" s="1953" t="s">
        <v>4116</v>
      </c>
      <c r="H63" s="1975" t="s">
        <v>10</v>
      </c>
      <c r="I63" s="1712">
        <f t="shared" si="22"/>
        <v>9409.4599999999991</v>
      </c>
      <c r="J63" s="1976">
        <v>1</v>
      </c>
      <c r="K63" s="1950" t="s">
        <v>101</v>
      </c>
      <c r="L63" s="1947" t="s">
        <v>10</v>
      </c>
      <c r="M63" s="1754">
        <f t="shared" si="17"/>
        <v>9409.4599999999991</v>
      </c>
      <c r="N63" s="1756">
        <v>20</v>
      </c>
      <c r="O63" s="1712">
        <f>ROUND(M63*ROUND(N63,2)/10000,6)</f>
        <v>18.818919999999999</v>
      </c>
      <c r="P63" s="1712">
        <f>IFERROR(ROUND(Q63*10000/M63,2),0)</f>
        <v>18.350000000000001</v>
      </c>
      <c r="Q63" s="1712">
        <f>ROUND(O63/(1+R63),6)</f>
        <v>17.265063999999999</v>
      </c>
      <c r="R63" s="1757">
        <v>0.09</v>
      </c>
      <c r="S63" s="1712">
        <f>O63-Q63</f>
        <v>1.5538559999999997</v>
      </c>
      <c r="T63" s="1712">
        <f t="shared" si="3"/>
        <v>18.348623619208755</v>
      </c>
      <c r="U63" s="1712">
        <f t="shared" si="2"/>
        <v>20</v>
      </c>
      <c r="V63" s="1952"/>
      <c r="X63" s="2079">
        <f>车位!O63</f>
        <v>24.565840000000001</v>
      </c>
      <c r="Y63" s="2080">
        <f t="shared" si="0"/>
        <v>43.38476</v>
      </c>
      <c r="Z63" s="2080"/>
      <c r="AA63" s="2079">
        <v>69.636020000000002</v>
      </c>
      <c r="AB63" s="2080">
        <f t="shared" si="1"/>
        <v>-26.251260000000002</v>
      </c>
      <c r="AC63" s="2079"/>
      <c r="AD63" s="2079"/>
      <c r="AE63" s="2079"/>
      <c r="AF63" s="2079"/>
      <c r="AG63" s="2079"/>
      <c r="AH63" s="2079"/>
      <c r="AI63" s="2079"/>
      <c r="AJ63" s="2079"/>
      <c r="AK63" s="2079"/>
    </row>
    <row r="64" spans="1:37" s="1942" customFormat="1" ht="28.5" customHeight="1" outlineLevel="3">
      <c r="A64" s="1944"/>
      <c r="B64" s="1978" t="s">
        <v>672</v>
      </c>
      <c r="C64" s="1810"/>
      <c r="D64" s="2008" t="s">
        <v>3432</v>
      </c>
      <c r="E64" s="2009" t="s">
        <v>3433</v>
      </c>
      <c r="F64" s="1462"/>
      <c r="G64" s="1953" t="s">
        <v>4117</v>
      </c>
      <c r="H64" s="1975"/>
      <c r="I64" s="1712"/>
      <c r="J64" s="1949"/>
      <c r="K64" s="1950" t="s">
        <v>101</v>
      </c>
      <c r="L64" s="1947" t="s">
        <v>10</v>
      </c>
      <c r="M64" s="1754"/>
      <c r="N64" s="1712"/>
      <c r="O64" s="1712">
        <f>SUBTOTAL(9,O65:O66)</f>
        <v>56.456760000000003</v>
      </c>
      <c r="P64" s="1983"/>
      <c r="Q64" s="1712">
        <f>SUBTOTAL(9,Q65:Q66)</f>
        <v>51.795192999999998</v>
      </c>
      <c r="R64" s="1757"/>
      <c r="S64" s="1712">
        <f>SUBTOTAL(9,S65:S66)</f>
        <v>4.6615670000000051</v>
      </c>
      <c r="T64" s="1712">
        <f t="shared" si="3"/>
        <v>55.04587192038651</v>
      </c>
      <c r="U64" s="1712">
        <f t="shared" si="2"/>
        <v>60</v>
      </c>
      <c r="V64" s="1952"/>
      <c r="X64" s="2079">
        <f>车位!O64</f>
        <v>110.54628</v>
      </c>
      <c r="Y64" s="2080">
        <f t="shared" si="0"/>
        <v>167.00304</v>
      </c>
      <c r="Z64" s="2080"/>
      <c r="AA64" s="2079">
        <v>208.90806000000001</v>
      </c>
      <c r="AB64" s="2080">
        <f t="shared" si="1"/>
        <v>-41.905020000000007</v>
      </c>
      <c r="AC64" s="2079"/>
      <c r="AD64" s="2079"/>
      <c r="AE64" s="2079"/>
      <c r="AF64" s="2079"/>
      <c r="AG64" s="2079"/>
      <c r="AH64" s="2079"/>
      <c r="AI64" s="2079"/>
      <c r="AJ64" s="2079"/>
      <c r="AK64" s="2079"/>
    </row>
    <row r="65" spans="1:37" s="1942" customFormat="1" ht="28.5" customHeight="1" outlineLevel="4">
      <c r="A65" s="1944"/>
      <c r="B65" s="1985" t="s">
        <v>1680</v>
      </c>
      <c r="C65" s="1828"/>
      <c r="D65" s="2013" t="s">
        <v>4038</v>
      </c>
      <c r="E65" s="2011"/>
      <c r="F65" s="1988" t="s">
        <v>3342</v>
      </c>
      <c r="G65" s="1989" t="s">
        <v>4116</v>
      </c>
      <c r="H65" s="2012" t="s">
        <v>10</v>
      </c>
      <c r="I65" s="1991">
        <f>$E$5</f>
        <v>9409.4599999999991</v>
      </c>
      <c r="J65" s="1976">
        <v>1</v>
      </c>
      <c r="K65" s="2000" t="s">
        <v>101</v>
      </c>
      <c r="L65" s="1990" t="s">
        <v>10</v>
      </c>
      <c r="M65" s="1991">
        <f t="shared" ref="M65:M76" si="23">ROUND(I65,2)*ROUND(J65,4)</f>
        <v>9409.4599999999991</v>
      </c>
      <c r="N65" s="1756">
        <v>60</v>
      </c>
      <c r="O65" s="1991">
        <f t="shared" ref="O65:O76" si="24">ROUND(M65*ROUND(N65,2)/10000,6)</f>
        <v>56.456760000000003</v>
      </c>
      <c r="P65" s="1991">
        <f t="shared" ref="P65:P76" si="25">IFERROR(ROUND(Q65*10000/M65,2),0)</f>
        <v>55.05</v>
      </c>
      <c r="Q65" s="1991">
        <f t="shared" ref="Q65:Q76" si="26">ROUND(O65/(1+R65),6)</f>
        <v>51.795192999999998</v>
      </c>
      <c r="R65" s="1993">
        <v>0.09</v>
      </c>
      <c r="S65" s="1991">
        <f t="shared" ref="S65:S76" si="27">O65-Q65</f>
        <v>4.6615670000000051</v>
      </c>
      <c r="T65" s="1991">
        <f t="shared" si="3"/>
        <v>55.04587192038651</v>
      </c>
      <c r="U65" s="1991">
        <f t="shared" si="2"/>
        <v>60</v>
      </c>
      <c r="V65" s="1994"/>
      <c r="X65" s="2079">
        <f>车位!O65</f>
        <v>110.54628</v>
      </c>
      <c r="Y65" s="2080">
        <f t="shared" si="0"/>
        <v>167.00304</v>
      </c>
      <c r="Z65" s="2080"/>
      <c r="AA65" s="2079">
        <v>208.90806000000001</v>
      </c>
      <c r="AB65" s="2080">
        <f t="shared" si="1"/>
        <v>-41.905020000000007</v>
      </c>
      <c r="AC65" s="2079"/>
      <c r="AD65" s="2079"/>
      <c r="AE65" s="2079"/>
      <c r="AF65" s="2079"/>
      <c r="AG65" s="2079"/>
      <c r="AH65" s="2079"/>
      <c r="AI65" s="2079"/>
      <c r="AJ65" s="2079"/>
      <c r="AK65" s="2079"/>
    </row>
    <row r="66" spans="1:37" s="1942" customFormat="1" ht="28.5" customHeight="1" outlineLevel="4">
      <c r="A66" s="1944"/>
      <c r="B66" s="1985" t="s">
        <v>1529</v>
      </c>
      <c r="C66" s="1828"/>
      <c r="D66" s="2013" t="s">
        <v>4039</v>
      </c>
      <c r="E66" s="2011"/>
      <c r="F66" s="1988" t="s">
        <v>3556</v>
      </c>
      <c r="G66" s="1989" t="s">
        <v>4127</v>
      </c>
      <c r="H66" s="2012" t="s">
        <v>10</v>
      </c>
      <c r="I66" s="1991">
        <f>$E$5</f>
        <v>9409.4599999999991</v>
      </c>
      <c r="J66" s="2014">
        <v>1</v>
      </c>
      <c r="K66" s="2000" t="s">
        <v>101</v>
      </c>
      <c r="L66" s="1990" t="s">
        <v>10</v>
      </c>
      <c r="M66" s="1991">
        <f t="shared" si="23"/>
        <v>9409.4599999999991</v>
      </c>
      <c r="N66" s="1991"/>
      <c r="O66" s="1991">
        <f t="shared" si="24"/>
        <v>0</v>
      </c>
      <c r="P66" s="1991">
        <f t="shared" si="25"/>
        <v>0</v>
      </c>
      <c r="Q66" s="1991">
        <f t="shared" si="26"/>
        <v>0</v>
      </c>
      <c r="R66" s="1993">
        <v>0.13</v>
      </c>
      <c r="S66" s="1991">
        <f t="shared" si="27"/>
        <v>0</v>
      </c>
      <c r="T66" s="1991">
        <f t="shared" si="3"/>
        <v>0</v>
      </c>
      <c r="U66" s="1991">
        <f t="shared" si="2"/>
        <v>0</v>
      </c>
      <c r="V66" s="1994"/>
      <c r="X66" s="2079">
        <f>车位!O66</f>
        <v>0</v>
      </c>
      <c r="Y66" s="2080">
        <f t="shared" si="0"/>
        <v>0</v>
      </c>
      <c r="Z66" s="2080"/>
      <c r="AA66" s="2079">
        <v>0</v>
      </c>
      <c r="AB66" s="2080">
        <f t="shared" si="1"/>
        <v>0</v>
      </c>
      <c r="AC66" s="2079"/>
      <c r="AD66" s="2079"/>
      <c r="AE66" s="2079"/>
      <c r="AF66" s="2079"/>
      <c r="AG66" s="2079"/>
      <c r="AH66" s="2079"/>
      <c r="AI66" s="2079"/>
      <c r="AJ66" s="2079"/>
      <c r="AK66" s="2079"/>
    </row>
    <row r="67" spans="1:37" s="1942" customFormat="1" ht="28.5" customHeight="1" outlineLevel="3">
      <c r="A67" s="1944"/>
      <c r="B67" s="1978" t="s">
        <v>673</v>
      </c>
      <c r="C67" s="1810"/>
      <c r="D67" s="2008" t="s">
        <v>3434</v>
      </c>
      <c r="E67" s="2009" t="s">
        <v>3435</v>
      </c>
      <c r="F67" s="1462" t="s">
        <v>3342</v>
      </c>
      <c r="G67" s="1953" t="s">
        <v>4116</v>
      </c>
      <c r="H67" s="1975" t="s">
        <v>10</v>
      </c>
      <c r="I67" s="1712">
        <f t="shared" si="22"/>
        <v>9409.4599999999991</v>
      </c>
      <c r="J67" s="1976">
        <v>1</v>
      </c>
      <c r="K67" s="1950" t="s">
        <v>101</v>
      </c>
      <c r="L67" s="1947" t="s">
        <v>10</v>
      </c>
      <c r="M67" s="1754">
        <f t="shared" si="23"/>
        <v>9409.4599999999991</v>
      </c>
      <c r="N67" s="1756">
        <v>1</v>
      </c>
      <c r="O67" s="1712">
        <f t="shared" si="24"/>
        <v>0.94094599999999995</v>
      </c>
      <c r="P67" s="1712">
        <f t="shared" si="25"/>
        <v>0.92</v>
      </c>
      <c r="Q67" s="1712">
        <f t="shared" si="26"/>
        <v>0.86325300000000005</v>
      </c>
      <c r="R67" s="1757">
        <v>0.09</v>
      </c>
      <c r="S67" s="1712">
        <f t="shared" si="27"/>
        <v>7.7692999999999901E-2</v>
      </c>
      <c r="T67" s="1712">
        <f t="shared" si="3"/>
        <v>0.91743096840838911</v>
      </c>
      <c r="U67" s="1712">
        <f t="shared" si="2"/>
        <v>1</v>
      </c>
      <c r="V67" s="1952"/>
      <c r="X67" s="2079">
        <f>车位!O67</f>
        <v>2.4565839999999999</v>
      </c>
      <c r="Y67" s="2080">
        <f t="shared" si="0"/>
        <v>3.3975299999999997</v>
      </c>
      <c r="Z67" s="2080"/>
      <c r="AA67" s="2079">
        <v>3.4818009999999999</v>
      </c>
      <c r="AB67" s="2080">
        <f t="shared" si="1"/>
        <v>-8.4271000000000207E-2</v>
      </c>
      <c r="AC67" s="2079"/>
      <c r="AD67" s="2079"/>
      <c r="AE67" s="2079"/>
      <c r="AF67" s="2079"/>
      <c r="AG67" s="2079"/>
      <c r="AH67" s="2079"/>
      <c r="AI67" s="2079"/>
      <c r="AJ67" s="2079"/>
      <c r="AK67" s="2079"/>
    </row>
    <row r="68" spans="1:37" s="1942" customFormat="1" ht="28.5" customHeight="1" outlineLevel="3">
      <c r="A68" s="1944"/>
      <c r="B68" s="1978" t="s">
        <v>1785</v>
      </c>
      <c r="C68" s="1810"/>
      <c r="D68" s="2008" t="s">
        <v>3436</v>
      </c>
      <c r="E68" s="2009" t="s">
        <v>3437</v>
      </c>
      <c r="F68" s="1462" t="s">
        <v>3342</v>
      </c>
      <c r="G68" s="1953" t="s">
        <v>4116</v>
      </c>
      <c r="H68" s="1975" t="s">
        <v>10</v>
      </c>
      <c r="I68" s="1712">
        <f t="shared" si="22"/>
        <v>9409.4599999999991</v>
      </c>
      <c r="J68" s="1976">
        <v>1</v>
      </c>
      <c r="K68" s="1950" t="s">
        <v>101</v>
      </c>
      <c r="L68" s="1947" t="s">
        <v>10</v>
      </c>
      <c r="M68" s="1754">
        <f t="shared" si="23"/>
        <v>9409.4599999999991</v>
      </c>
      <c r="N68" s="1756">
        <v>10</v>
      </c>
      <c r="O68" s="1712">
        <f t="shared" si="24"/>
        <v>9.4094599999999993</v>
      </c>
      <c r="P68" s="1712">
        <f t="shared" si="25"/>
        <v>9.17</v>
      </c>
      <c r="Q68" s="1712">
        <f t="shared" si="26"/>
        <v>8.6325319999999994</v>
      </c>
      <c r="R68" s="1757">
        <v>0.09</v>
      </c>
      <c r="S68" s="1712">
        <f t="shared" si="27"/>
        <v>0.77692799999999984</v>
      </c>
      <c r="T68" s="1712">
        <f t="shared" si="3"/>
        <v>9.1743118096043776</v>
      </c>
      <c r="U68" s="1712">
        <f t="shared" si="2"/>
        <v>10</v>
      </c>
      <c r="V68" s="1952"/>
      <c r="X68" s="2079">
        <f>车位!O68</f>
        <v>24.565840000000001</v>
      </c>
      <c r="Y68" s="2080">
        <f t="shared" si="0"/>
        <v>33.975300000000004</v>
      </c>
      <c r="Z68" s="2080"/>
      <c r="AA68" s="2079">
        <v>34.818010000000001</v>
      </c>
      <c r="AB68" s="2080">
        <f t="shared" si="1"/>
        <v>-0.84270999999999674</v>
      </c>
      <c r="AC68" s="2079"/>
      <c r="AD68" s="2079"/>
      <c r="AE68" s="2079"/>
      <c r="AF68" s="2079"/>
      <c r="AG68" s="2079"/>
      <c r="AH68" s="2079"/>
      <c r="AI68" s="2079"/>
      <c r="AJ68" s="2079"/>
      <c r="AK68" s="2079"/>
    </row>
    <row r="69" spans="1:37" s="1942" customFormat="1" ht="28.5" customHeight="1" outlineLevel="3">
      <c r="A69" s="1944"/>
      <c r="B69" s="1978" t="s">
        <v>674</v>
      </c>
      <c r="C69" s="1810"/>
      <c r="D69" s="2008" t="s">
        <v>3438</v>
      </c>
      <c r="E69" s="2009" t="s">
        <v>3439</v>
      </c>
      <c r="F69" s="1462" t="s">
        <v>455</v>
      </c>
      <c r="G69" s="1953" t="s">
        <v>4128</v>
      </c>
      <c r="H69" s="1975" t="s">
        <v>10</v>
      </c>
      <c r="I69" s="1712">
        <f t="shared" si="22"/>
        <v>9409.4599999999991</v>
      </c>
      <c r="J69" s="1976">
        <v>1</v>
      </c>
      <c r="K69" s="1950" t="s">
        <v>101</v>
      </c>
      <c r="L69" s="1947" t="s">
        <v>10</v>
      </c>
      <c r="M69" s="1754">
        <f t="shared" si="23"/>
        <v>9409.4599999999991</v>
      </c>
      <c r="N69" s="1756">
        <v>42.5</v>
      </c>
      <c r="O69" s="1712">
        <f t="shared" si="24"/>
        <v>39.990205000000003</v>
      </c>
      <c r="P69" s="1712">
        <f t="shared" si="25"/>
        <v>38.99</v>
      </c>
      <c r="Q69" s="1712">
        <f t="shared" si="26"/>
        <v>36.688260999999997</v>
      </c>
      <c r="R69" s="1757">
        <v>0.09</v>
      </c>
      <c r="S69" s="1712">
        <f t="shared" si="27"/>
        <v>3.301944000000006</v>
      </c>
      <c r="T69" s="1712">
        <f t="shared" si="3"/>
        <v>38.990825190818605</v>
      </c>
      <c r="U69" s="1712">
        <f t="shared" si="2"/>
        <v>42.500000000000007</v>
      </c>
      <c r="V69" s="1952"/>
      <c r="X69" s="2079">
        <f>车位!O69</f>
        <v>104.40482</v>
      </c>
      <c r="Y69" s="2080">
        <f t="shared" si="0"/>
        <v>144.395025</v>
      </c>
      <c r="Z69" s="2080"/>
      <c r="AA69" s="2079">
        <v>147.97654299999999</v>
      </c>
      <c r="AB69" s="2080">
        <f t="shared" si="1"/>
        <v>-3.5815179999999884</v>
      </c>
      <c r="AC69" s="2079"/>
      <c r="AD69" s="2079"/>
      <c r="AE69" s="2079"/>
      <c r="AF69" s="2079"/>
      <c r="AG69" s="2079"/>
      <c r="AH69" s="2079"/>
      <c r="AI69" s="2079"/>
      <c r="AJ69" s="2079"/>
      <c r="AK69" s="2079"/>
    </row>
    <row r="70" spans="1:37" s="1942" customFormat="1" ht="28.5" customHeight="1" outlineLevel="3">
      <c r="A70" s="1944"/>
      <c r="B70" s="1978" t="s">
        <v>3440</v>
      </c>
      <c r="C70" s="1810"/>
      <c r="D70" s="2008" t="s">
        <v>3441</v>
      </c>
      <c r="E70" s="2009" t="s">
        <v>3442</v>
      </c>
      <c r="F70" s="1462" t="s">
        <v>454</v>
      </c>
      <c r="G70" s="1953" t="s">
        <v>4129</v>
      </c>
      <c r="H70" s="1975" t="s">
        <v>10</v>
      </c>
      <c r="I70" s="1712">
        <f t="shared" si="22"/>
        <v>9409.4599999999991</v>
      </c>
      <c r="J70" s="1976">
        <v>1</v>
      </c>
      <c r="K70" s="1950" t="s">
        <v>101</v>
      </c>
      <c r="L70" s="1947" t="s">
        <v>10</v>
      </c>
      <c r="M70" s="1754">
        <f t="shared" si="23"/>
        <v>9409.4599999999991</v>
      </c>
      <c r="N70" s="1756">
        <v>68</v>
      </c>
      <c r="O70" s="1712">
        <f t="shared" si="24"/>
        <v>63.984327999999998</v>
      </c>
      <c r="P70" s="1712">
        <f t="shared" si="25"/>
        <v>60.18</v>
      </c>
      <c r="Q70" s="1712">
        <f t="shared" si="26"/>
        <v>56.623299000000003</v>
      </c>
      <c r="R70" s="1757">
        <v>0.13</v>
      </c>
      <c r="S70" s="1712">
        <f t="shared" si="27"/>
        <v>7.3610289999999949</v>
      </c>
      <c r="T70" s="1712">
        <f t="shared" si="3"/>
        <v>60.17699102817803</v>
      </c>
      <c r="U70" s="1712">
        <f t="shared" si="2"/>
        <v>68.000000000000014</v>
      </c>
      <c r="V70" s="2015"/>
      <c r="X70" s="2079">
        <f>车位!O70</f>
        <v>167.04771199999999</v>
      </c>
      <c r="Y70" s="2080">
        <f t="shared" si="0"/>
        <v>231.03203999999999</v>
      </c>
      <c r="Z70" s="2080"/>
      <c r="AA70" s="2079">
        <v>236.76246800000001</v>
      </c>
      <c r="AB70" s="2080">
        <f t="shared" si="1"/>
        <v>-5.7304280000000176</v>
      </c>
      <c r="AC70" s="2079"/>
      <c r="AD70" s="2079"/>
      <c r="AE70" s="2079"/>
      <c r="AF70" s="2079"/>
      <c r="AG70" s="2079"/>
      <c r="AH70" s="2079"/>
      <c r="AI70" s="2079"/>
      <c r="AJ70" s="2079"/>
      <c r="AK70" s="2079"/>
    </row>
    <row r="71" spans="1:37" s="1942" customFormat="1" ht="28.5" customHeight="1" outlineLevel="3">
      <c r="A71" s="1944"/>
      <c r="B71" s="1978" t="s">
        <v>3443</v>
      </c>
      <c r="C71" s="1810"/>
      <c r="D71" s="2008" t="s">
        <v>3444</v>
      </c>
      <c r="E71" s="2009" t="s">
        <v>3445</v>
      </c>
      <c r="F71" s="1462" t="s">
        <v>1671</v>
      </c>
      <c r="G71" s="1953" t="s">
        <v>4130</v>
      </c>
      <c r="H71" s="1975" t="s">
        <v>10</v>
      </c>
      <c r="I71" s="1712">
        <f t="shared" si="22"/>
        <v>9409.4599999999991</v>
      </c>
      <c r="J71" s="1976">
        <v>1</v>
      </c>
      <c r="K71" s="1950" t="s">
        <v>101</v>
      </c>
      <c r="L71" s="1947" t="s">
        <v>10</v>
      </c>
      <c r="M71" s="1754">
        <f t="shared" si="23"/>
        <v>9409.4599999999991</v>
      </c>
      <c r="N71" s="1756">
        <v>25</v>
      </c>
      <c r="O71" s="1712">
        <f t="shared" si="24"/>
        <v>23.52365</v>
      </c>
      <c r="P71" s="1712">
        <f t="shared" si="25"/>
        <v>22.12</v>
      </c>
      <c r="Q71" s="1712">
        <f t="shared" si="26"/>
        <v>20.817388999999999</v>
      </c>
      <c r="R71" s="1757">
        <v>0.13</v>
      </c>
      <c r="S71" s="1712">
        <f t="shared" si="27"/>
        <v>2.7062610000000014</v>
      </c>
      <c r="T71" s="1712">
        <f t="shared" si="3"/>
        <v>22.123893400896545</v>
      </c>
      <c r="U71" s="1712">
        <f t="shared" si="2"/>
        <v>25.000000000000004</v>
      </c>
      <c r="V71" s="2015"/>
      <c r="X71" s="2079">
        <f>车位!O71</f>
        <v>61.4146</v>
      </c>
      <c r="Y71" s="2080">
        <f t="shared" si="0"/>
        <v>84.938249999999996</v>
      </c>
      <c r="Z71" s="2080"/>
      <c r="AA71" s="2079">
        <v>87.045024999999995</v>
      </c>
      <c r="AB71" s="2080">
        <f t="shared" si="1"/>
        <v>-2.106774999999999</v>
      </c>
      <c r="AC71" s="2079"/>
      <c r="AD71" s="2079"/>
      <c r="AE71" s="2079"/>
      <c r="AF71" s="2079"/>
      <c r="AG71" s="2079"/>
      <c r="AH71" s="2079"/>
      <c r="AI71" s="2079"/>
      <c r="AJ71" s="2079"/>
      <c r="AK71" s="2079"/>
    </row>
    <row r="72" spans="1:37" s="1942" customFormat="1" ht="28.5" customHeight="1" outlineLevel="3">
      <c r="A72" s="1944" t="s">
        <v>4011</v>
      </c>
      <c r="B72" s="1978" t="s">
        <v>3446</v>
      </c>
      <c r="C72" s="1810"/>
      <c r="D72" s="2008" t="s">
        <v>3447</v>
      </c>
      <c r="E72" s="2009" t="s">
        <v>3448</v>
      </c>
      <c r="F72" s="1462" t="s">
        <v>3422</v>
      </c>
      <c r="G72" s="1953" t="s">
        <v>4126</v>
      </c>
      <c r="H72" s="1975" t="s">
        <v>10</v>
      </c>
      <c r="I72" s="1712">
        <f t="shared" si="22"/>
        <v>9409.4599999999991</v>
      </c>
      <c r="J72" s="1976">
        <v>1</v>
      </c>
      <c r="K72" s="1950" t="s">
        <v>101</v>
      </c>
      <c r="L72" s="1947" t="s">
        <v>10</v>
      </c>
      <c r="M72" s="1754">
        <f t="shared" si="23"/>
        <v>9409.4599999999991</v>
      </c>
      <c r="N72" s="2001">
        <v>7</v>
      </c>
      <c r="O72" s="1712">
        <f t="shared" si="24"/>
        <v>6.5866220000000002</v>
      </c>
      <c r="P72" s="1712">
        <f t="shared" si="25"/>
        <v>6.19</v>
      </c>
      <c r="Q72" s="1712">
        <f t="shared" si="26"/>
        <v>5.8288690000000001</v>
      </c>
      <c r="R72" s="1757">
        <v>0.13</v>
      </c>
      <c r="S72" s="1712">
        <f t="shared" si="27"/>
        <v>0.75775300000000012</v>
      </c>
      <c r="T72" s="1712">
        <f t="shared" si="3"/>
        <v>6.1946902372718524</v>
      </c>
      <c r="U72" s="1712">
        <f t="shared" si="2"/>
        <v>7.0000000000000009</v>
      </c>
      <c r="V72" s="2015"/>
      <c r="X72" s="2079">
        <f>车位!O72</f>
        <v>17.196088</v>
      </c>
      <c r="Y72" s="2080">
        <f t="shared" si="0"/>
        <v>23.782710000000002</v>
      </c>
      <c r="Z72" s="2080"/>
      <c r="AA72" s="2079">
        <v>24.372606999999999</v>
      </c>
      <c r="AB72" s="2080">
        <f t="shared" si="1"/>
        <v>-0.58989699999999701</v>
      </c>
      <c r="AC72" s="2079"/>
      <c r="AD72" s="2079"/>
      <c r="AE72" s="2079"/>
      <c r="AF72" s="2079"/>
      <c r="AG72" s="2079"/>
      <c r="AH72" s="2079"/>
      <c r="AI72" s="2079"/>
      <c r="AJ72" s="2079"/>
      <c r="AK72" s="2079"/>
    </row>
    <row r="73" spans="1:37" s="1942" customFormat="1" ht="28.5" customHeight="1" outlineLevel="3">
      <c r="A73" s="1944"/>
      <c r="B73" s="1978" t="s">
        <v>3449</v>
      </c>
      <c r="C73" s="1810"/>
      <c r="D73" s="2008" t="s">
        <v>3450</v>
      </c>
      <c r="E73" s="2009" t="s">
        <v>3451</v>
      </c>
      <c r="F73" s="1462" t="s">
        <v>1307</v>
      </c>
      <c r="G73" s="1953" t="s">
        <v>4131</v>
      </c>
      <c r="H73" s="1947" t="s">
        <v>3926</v>
      </c>
      <c r="I73" s="1712">
        <f>$G$7</f>
        <v>0</v>
      </c>
      <c r="J73" s="1949">
        <v>1</v>
      </c>
      <c r="K73" s="1950" t="s">
        <v>3947</v>
      </c>
      <c r="L73" s="1947" t="s">
        <v>3926</v>
      </c>
      <c r="M73" s="1754">
        <f t="shared" si="23"/>
        <v>0</v>
      </c>
      <c r="N73" s="1712">
        <v>0</v>
      </c>
      <c r="O73" s="1712">
        <f t="shared" si="24"/>
        <v>0</v>
      </c>
      <c r="P73" s="1712">
        <f t="shared" si="25"/>
        <v>0</v>
      </c>
      <c r="Q73" s="1712">
        <f t="shared" si="26"/>
        <v>0</v>
      </c>
      <c r="R73" s="1757">
        <v>0.13</v>
      </c>
      <c r="S73" s="1712">
        <f t="shared" si="27"/>
        <v>0</v>
      </c>
      <c r="T73" s="1712">
        <f t="shared" si="3"/>
        <v>0</v>
      </c>
      <c r="U73" s="1712">
        <f t="shared" si="2"/>
        <v>0</v>
      </c>
      <c r="V73" s="1952"/>
      <c r="X73" s="2079">
        <f>车位!O73</f>
        <v>0</v>
      </c>
      <c r="Y73" s="2080">
        <f t="shared" si="0"/>
        <v>0</v>
      </c>
      <c r="Z73" s="2080"/>
      <c r="AA73" s="2079">
        <v>0</v>
      </c>
      <c r="AB73" s="2080">
        <f t="shared" si="1"/>
        <v>0</v>
      </c>
      <c r="AC73" s="2079"/>
      <c r="AD73" s="2079"/>
      <c r="AE73" s="2079"/>
      <c r="AF73" s="2079"/>
      <c r="AG73" s="2079"/>
      <c r="AH73" s="2079"/>
      <c r="AI73" s="2079"/>
      <c r="AJ73" s="2079"/>
      <c r="AK73" s="2079"/>
    </row>
    <row r="74" spans="1:37" s="1942" customFormat="1" ht="28.5" customHeight="1" outlineLevel="3">
      <c r="A74" s="1944"/>
      <c r="B74" s="1978" t="s">
        <v>3452</v>
      </c>
      <c r="C74" s="1810"/>
      <c r="D74" s="2008" t="s">
        <v>3453</v>
      </c>
      <c r="E74" s="2009" t="s">
        <v>3454</v>
      </c>
      <c r="F74" s="1462" t="s">
        <v>1329</v>
      </c>
      <c r="G74" s="1953" t="s">
        <v>4132</v>
      </c>
      <c r="H74" s="1947" t="s">
        <v>10</v>
      </c>
      <c r="I74" s="1712">
        <f>$E$5</f>
        <v>9409.4599999999991</v>
      </c>
      <c r="J74" s="1976">
        <v>1</v>
      </c>
      <c r="K74" s="1950" t="s">
        <v>101</v>
      </c>
      <c r="L74" s="1947" t="s">
        <v>10</v>
      </c>
      <c r="M74" s="1754">
        <f t="shared" si="23"/>
        <v>9409.4599999999991</v>
      </c>
      <c r="N74" s="1756">
        <v>10</v>
      </c>
      <c r="O74" s="1712">
        <f t="shared" si="24"/>
        <v>9.4094599999999993</v>
      </c>
      <c r="P74" s="1712">
        <f t="shared" si="25"/>
        <v>8.85</v>
      </c>
      <c r="Q74" s="1712">
        <f t="shared" si="26"/>
        <v>8.3269559999999991</v>
      </c>
      <c r="R74" s="1757">
        <v>0.13</v>
      </c>
      <c r="S74" s="1712">
        <f t="shared" si="27"/>
        <v>1.0825040000000001</v>
      </c>
      <c r="T74" s="1712">
        <f t="shared" si="3"/>
        <v>8.8495577854627161</v>
      </c>
      <c r="U74" s="1712">
        <f t="shared" si="2"/>
        <v>10</v>
      </c>
      <c r="V74" s="2015"/>
      <c r="X74" s="2079">
        <f>车位!O74</f>
        <v>24.565840000000001</v>
      </c>
      <c r="Y74" s="2080">
        <f t="shared" si="0"/>
        <v>33.975300000000004</v>
      </c>
      <c r="Z74" s="2080"/>
      <c r="AA74" s="2079">
        <v>34.818010000000001</v>
      </c>
      <c r="AB74" s="2080">
        <f t="shared" si="1"/>
        <v>-0.84270999999999674</v>
      </c>
      <c r="AC74" s="2079"/>
      <c r="AD74" s="2079"/>
      <c r="AE74" s="2079"/>
      <c r="AF74" s="2079"/>
      <c r="AG74" s="2079"/>
      <c r="AH74" s="2079"/>
      <c r="AI74" s="2079"/>
      <c r="AJ74" s="2079"/>
      <c r="AK74" s="2079"/>
    </row>
    <row r="75" spans="1:37" s="1942" customFormat="1" ht="28.5" customHeight="1" outlineLevel="3">
      <c r="A75" s="1944"/>
      <c r="B75" s="1978" t="s">
        <v>3455</v>
      </c>
      <c r="C75" s="1810"/>
      <c r="D75" s="2008" t="s">
        <v>3456</v>
      </c>
      <c r="E75" s="2009" t="s">
        <v>3457</v>
      </c>
      <c r="F75" s="1462" t="s">
        <v>3342</v>
      </c>
      <c r="G75" s="1953" t="s">
        <v>4116</v>
      </c>
      <c r="H75" s="1947" t="s">
        <v>107</v>
      </c>
      <c r="I75" s="1948">
        <f>$G$4</f>
        <v>0</v>
      </c>
      <c r="J75" s="1949">
        <v>1</v>
      </c>
      <c r="K75" s="2016" t="s">
        <v>4040</v>
      </c>
      <c r="L75" s="1947" t="s">
        <v>4041</v>
      </c>
      <c r="M75" s="1754">
        <f t="shared" si="23"/>
        <v>0</v>
      </c>
      <c r="N75" s="1712"/>
      <c r="O75" s="1712">
        <f t="shared" si="24"/>
        <v>0</v>
      </c>
      <c r="P75" s="1712">
        <f t="shared" si="25"/>
        <v>0</v>
      </c>
      <c r="Q75" s="1712">
        <f t="shared" si="26"/>
        <v>0</v>
      </c>
      <c r="R75" s="1757">
        <v>0.09</v>
      </c>
      <c r="S75" s="1712">
        <f t="shared" si="27"/>
        <v>0</v>
      </c>
      <c r="T75" s="1712">
        <f t="shared" si="3"/>
        <v>0</v>
      </c>
      <c r="U75" s="1712">
        <f t="shared" si="2"/>
        <v>0</v>
      </c>
      <c r="V75" s="2015"/>
      <c r="X75" s="2079">
        <f>车位!O75</f>
        <v>0</v>
      </c>
      <c r="Y75" s="2080">
        <f t="shared" si="0"/>
        <v>0</v>
      </c>
      <c r="Z75" s="2080"/>
      <c r="AA75" s="2079">
        <v>0</v>
      </c>
      <c r="AB75" s="2080">
        <f t="shared" si="1"/>
        <v>0</v>
      </c>
      <c r="AC75" s="2079"/>
      <c r="AD75" s="2079"/>
      <c r="AE75" s="2079"/>
      <c r="AF75" s="2079"/>
      <c r="AG75" s="2079"/>
      <c r="AH75" s="2079"/>
      <c r="AI75" s="2079"/>
      <c r="AJ75" s="2079"/>
      <c r="AK75" s="2079"/>
    </row>
    <row r="76" spans="1:37" s="1942" customFormat="1" ht="28.5" customHeight="1" outlineLevel="3">
      <c r="A76" s="1944"/>
      <c r="B76" s="1978" t="s">
        <v>3458</v>
      </c>
      <c r="C76" s="1810"/>
      <c r="D76" s="2008" t="s">
        <v>3459</v>
      </c>
      <c r="E76" s="2009" t="s">
        <v>3460</v>
      </c>
      <c r="F76" s="1462" t="s">
        <v>3342</v>
      </c>
      <c r="G76" s="1953" t="s">
        <v>4116</v>
      </c>
      <c r="H76" s="1975" t="s">
        <v>10</v>
      </c>
      <c r="I76" s="1712">
        <f>$E$5</f>
        <v>9409.4599999999991</v>
      </c>
      <c r="J76" s="1976">
        <v>1</v>
      </c>
      <c r="K76" s="1950" t="s">
        <v>101</v>
      </c>
      <c r="L76" s="1947" t="s">
        <v>10</v>
      </c>
      <c r="M76" s="1754">
        <f t="shared" si="23"/>
        <v>9409.4599999999991</v>
      </c>
      <c r="N76" s="1756">
        <v>3</v>
      </c>
      <c r="O76" s="1712">
        <f t="shared" si="24"/>
        <v>2.822838</v>
      </c>
      <c r="P76" s="1712">
        <f t="shared" si="25"/>
        <v>2.75</v>
      </c>
      <c r="Q76" s="1712">
        <f t="shared" si="26"/>
        <v>2.5897600000000001</v>
      </c>
      <c r="R76" s="1757">
        <v>0.09</v>
      </c>
      <c r="S76" s="1712">
        <f t="shared" si="27"/>
        <v>0.2330779999999999</v>
      </c>
      <c r="T76" s="1712">
        <f t="shared" si="3"/>
        <v>2.7522939679854108</v>
      </c>
      <c r="U76" s="1712">
        <f t="shared" si="2"/>
        <v>3.0000000000000004</v>
      </c>
      <c r="V76" s="1952"/>
      <c r="X76" s="2079">
        <f>车位!O76</f>
        <v>7.3697520000000001</v>
      </c>
      <c r="Y76" s="2080">
        <f t="shared" ref="Y76:Y139" si="28">X76+O76</f>
        <v>10.192589999999999</v>
      </c>
      <c r="Z76" s="2080"/>
      <c r="AA76" s="2079">
        <v>10.445403000000001</v>
      </c>
      <c r="AB76" s="2080">
        <f t="shared" ref="AB76:AB139" si="29">Y76-AA76</f>
        <v>-0.25281300000000151</v>
      </c>
      <c r="AC76" s="2079"/>
      <c r="AD76" s="2079"/>
      <c r="AE76" s="2079"/>
      <c r="AF76" s="2079"/>
      <c r="AG76" s="2079"/>
      <c r="AH76" s="2079"/>
      <c r="AI76" s="2079"/>
      <c r="AJ76" s="2079"/>
      <c r="AK76" s="2079"/>
    </row>
    <row r="77" spans="1:37" s="1942" customFormat="1" ht="28.5" customHeight="1" outlineLevel="2">
      <c r="A77" s="1944"/>
      <c r="B77" s="1978" t="s">
        <v>3461</v>
      </c>
      <c r="C77" s="1810"/>
      <c r="D77" s="2017" t="s">
        <v>667</v>
      </c>
      <c r="E77" s="2009"/>
      <c r="F77" s="1462"/>
      <c r="G77" s="1953" t="s">
        <v>4117</v>
      </c>
      <c r="H77" s="1947"/>
      <c r="I77" s="1948"/>
      <c r="J77" s="1949"/>
      <c r="K77" s="2016"/>
      <c r="L77" s="1947"/>
      <c r="M77" s="1950"/>
      <c r="N77" s="1712"/>
      <c r="O77" s="1712">
        <f>SUBTOTAL(9,O78:O81)</f>
        <v>0</v>
      </c>
      <c r="P77" s="1712"/>
      <c r="Q77" s="1712">
        <f>SUBTOTAL(9,Q78:Q81)</f>
        <v>0</v>
      </c>
      <c r="R77" s="1712"/>
      <c r="S77" s="1712">
        <f>SUBTOTAL(9,S78:S81)</f>
        <v>0</v>
      </c>
      <c r="T77" s="1712">
        <f t="shared" si="3"/>
        <v>0</v>
      </c>
      <c r="U77" s="1712">
        <f t="shared" si="2"/>
        <v>0</v>
      </c>
      <c r="V77" s="2015"/>
      <c r="X77" s="2079">
        <f>车位!O77</f>
        <v>0</v>
      </c>
      <c r="Y77" s="2080">
        <f t="shared" si="28"/>
        <v>0</v>
      </c>
      <c r="Z77" s="2080"/>
      <c r="AA77" s="2079">
        <v>0</v>
      </c>
      <c r="AB77" s="2080">
        <f t="shared" si="29"/>
        <v>0</v>
      </c>
      <c r="AC77" s="2079"/>
      <c r="AD77" s="2079"/>
      <c r="AE77" s="2079"/>
      <c r="AF77" s="2079"/>
      <c r="AG77" s="2079"/>
      <c r="AH77" s="2079"/>
      <c r="AI77" s="2079"/>
      <c r="AJ77" s="2079"/>
      <c r="AK77" s="2079"/>
    </row>
    <row r="78" spans="1:37" s="1942" customFormat="1" ht="28.5" customHeight="1" outlineLevel="3">
      <c r="A78" s="1944"/>
      <c r="B78" s="1978" t="s">
        <v>3462</v>
      </c>
      <c r="C78" s="1810"/>
      <c r="D78" s="2008" t="s">
        <v>3463</v>
      </c>
      <c r="E78" s="2009" t="s">
        <v>3464</v>
      </c>
      <c r="F78" s="1462"/>
      <c r="G78" s="1953" t="s">
        <v>4117</v>
      </c>
      <c r="H78" s="1975"/>
      <c r="I78" s="1712"/>
      <c r="J78" s="1949">
        <v>1</v>
      </c>
      <c r="K78" s="1950"/>
      <c r="L78" s="1947"/>
      <c r="M78" s="1754"/>
      <c r="N78" s="1712"/>
      <c r="O78" s="1712">
        <f>SUBTOTAL(9,O79:O80)</f>
        <v>0</v>
      </c>
      <c r="P78" s="1983"/>
      <c r="Q78" s="1712">
        <f>SUBTOTAL(9,Q79:Q80)</f>
        <v>0</v>
      </c>
      <c r="R78" s="1757"/>
      <c r="S78" s="1712">
        <f>SUBTOTAL(9,S79:S80)</f>
        <v>0</v>
      </c>
      <c r="T78" s="1712">
        <f t="shared" si="3"/>
        <v>0</v>
      </c>
      <c r="U78" s="1712">
        <f t="shared" si="2"/>
        <v>0</v>
      </c>
      <c r="V78" s="1952"/>
      <c r="X78" s="2079">
        <f>车位!O78</f>
        <v>0</v>
      </c>
      <c r="Y78" s="2080">
        <f t="shared" si="28"/>
        <v>0</v>
      </c>
      <c r="Z78" s="2080"/>
      <c r="AA78" s="2079">
        <v>0</v>
      </c>
      <c r="AB78" s="2080">
        <f t="shared" si="29"/>
        <v>0</v>
      </c>
      <c r="AC78" s="2079"/>
      <c r="AD78" s="2079"/>
      <c r="AE78" s="2079"/>
      <c r="AF78" s="2079"/>
      <c r="AG78" s="2079"/>
      <c r="AH78" s="2079"/>
      <c r="AI78" s="2079"/>
      <c r="AJ78" s="2079"/>
      <c r="AK78" s="2079"/>
    </row>
    <row r="79" spans="1:37" s="1942" customFormat="1" ht="28.5" customHeight="1" outlineLevel="4">
      <c r="A79" s="1944"/>
      <c r="B79" s="1985" t="s">
        <v>4042</v>
      </c>
      <c r="C79" s="1828"/>
      <c r="D79" s="2018" t="s">
        <v>4043</v>
      </c>
      <c r="E79" s="2011"/>
      <c r="F79" s="1988" t="s">
        <v>1502</v>
      </c>
      <c r="G79" s="1989" t="s">
        <v>4133</v>
      </c>
      <c r="H79" s="2012" t="s">
        <v>10</v>
      </c>
      <c r="I79" s="1991">
        <f>$E$5</f>
        <v>9409.4599999999991</v>
      </c>
      <c r="J79" s="2014">
        <v>1</v>
      </c>
      <c r="K79" s="2000" t="s">
        <v>101</v>
      </c>
      <c r="L79" s="1990" t="s">
        <v>10</v>
      </c>
      <c r="M79" s="1991">
        <f t="shared" ref="M79:M89" si="30">ROUND(I79,2)*ROUND(J79,4)</f>
        <v>9409.4599999999991</v>
      </c>
      <c r="N79" s="1991"/>
      <c r="O79" s="1991">
        <f>ROUND(M79*ROUND(N79,2)/10000,6)</f>
        <v>0</v>
      </c>
      <c r="P79" s="1991">
        <f>IFERROR(ROUND(Q79*10000/M79,2),0)</f>
        <v>0</v>
      </c>
      <c r="Q79" s="1991">
        <f>ROUND(O79/(1+R79),6)</f>
        <v>0</v>
      </c>
      <c r="R79" s="1993">
        <v>0.09</v>
      </c>
      <c r="S79" s="1991">
        <f>O79-Q79</f>
        <v>0</v>
      </c>
      <c r="T79" s="1991">
        <f t="shared" si="3"/>
        <v>0</v>
      </c>
      <c r="U79" s="1991">
        <f t="shared" si="2"/>
        <v>0</v>
      </c>
      <c r="V79" s="1994"/>
      <c r="X79" s="2079">
        <f>车位!O79</f>
        <v>0</v>
      </c>
      <c r="Y79" s="2080">
        <f t="shared" si="28"/>
        <v>0</v>
      </c>
      <c r="Z79" s="2080"/>
      <c r="AA79" s="2079">
        <v>0</v>
      </c>
      <c r="AB79" s="2080">
        <f t="shared" si="29"/>
        <v>0</v>
      </c>
      <c r="AC79" s="2079"/>
      <c r="AD79" s="2079"/>
      <c r="AE79" s="2079"/>
      <c r="AF79" s="2079"/>
      <c r="AG79" s="2079"/>
      <c r="AH79" s="2079"/>
      <c r="AI79" s="2079"/>
      <c r="AJ79" s="2079"/>
      <c r="AK79" s="2079"/>
    </row>
    <row r="80" spans="1:37" s="1942" customFormat="1" ht="28.5" customHeight="1" outlineLevel="4">
      <c r="A80" s="1944"/>
      <c r="B80" s="1985" t="s">
        <v>4044</v>
      </c>
      <c r="C80" s="1828"/>
      <c r="D80" s="2018" t="s">
        <v>4045</v>
      </c>
      <c r="E80" s="2011"/>
      <c r="F80" s="1988" t="s">
        <v>1505</v>
      </c>
      <c r="G80" s="1989" t="s">
        <v>4134</v>
      </c>
      <c r="H80" s="2012" t="s">
        <v>3926</v>
      </c>
      <c r="I80" s="1991">
        <f>$G$7</f>
        <v>0</v>
      </c>
      <c r="J80" s="2014">
        <v>1</v>
      </c>
      <c r="K80" s="2000" t="s">
        <v>3947</v>
      </c>
      <c r="L80" s="1990" t="s">
        <v>3926</v>
      </c>
      <c r="M80" s="1991">
        <f t="shared" si="30"/>
        <v>0</v>
      </c>
      <c r="N80" s="1991"/>
      <c r="O80" s="1991">
        <f>ROUND(M80*ROUND(N80,2)/10000,6)</f>
        <v>0</v>
      </c>
      <c r="P80" s="1991">
        <f>IFERROR(ROUND(Q80*10000/M80,2),0)</f>
        <v>0</v>
      </c>
      <c r="Q80" s="1991">
        <f>ROUND(O80/(1+R80),6)</f>
        <v>0</v>
      </c>
      <c r="R80" s="1993">
        <v>0</v>
      </c>
      <c r="S80" s="1991">
        <f>O80-Q80</f>
        <v>0</v>
      </c>
      <c r="T80" s="1991">
        <f t="shared" si="3"/>
        <v>0</v>
      </c>
      <c r="U80" s="1991">
        <f t="shared" si="2"/>
        <v>0</v>
      </c>
      <c r="V80" s="1994"/>
      <c r="X80" s="2079">
        <f>车位!O80</f>
        <v>0</v>
      </c>
      <c r="Y80" s="2080">
        <f t="shared" si="28"/>
        <v>0</v>
      </c>
      <c r="Z80" s="2080"/>
      <c r="AA80" s="2079">
        <v>0</v>
      </c>
      <c r="AB80" s="2080">
        <f t="shared" si="29"/>
        <v>0</v>
      </c>
      <c r="AC80" s="2079"/>
      <c r="AD80" s="2079"/>
      <c r="AE80" s="2079"/>
      <c r="AF80" s="2079"/>
      <c r="AG80" s="2079"/>
      <c r="AH80" s="2079"/>
      <c r="AI80" s="2079"/>
      <c r="AJ80" s="2079"/>
      <c r="AK80" s="2079"/>
    </row>
    <row r="81" spans="1:37" s="1942" customFormat="1" ht="28.5" customHeight="1" outlineLevel="3">
      <c r="A81" s="1944"/>
      <c r="B81" s="1978" t="s">
        <v>3465</v>
      </c>
      <c r="C81" s="1810"/>
      <c r="D81" s="2008" t="s">
        <v>3466</v>
      </c>
      <c r="E81" s="2009" t="s">
        <v>3467</v>
      </c>
      <c r="F81" s="1462" t="s">
        <v>1502</v>
      </c>
      <c r="G81" s="1953" t="s">
        <v>4133</v>
      </c>
      <c r="H81" s="1975" t="s">
        <v>10</v>
      </c>
      <c r="I81" s="1712">
        <f>$E$5</f>
        <v>9409.4599999999991</v>
      </c>
      <c r="J81" s="1949">
        <v>0</v>
      </c>
      <c r="K81" s="1950" t="s">
        <v>101</v>
      </c>
      <c r="L81" s="1947" t="s">
        <v>10</v>
      </c>
      <c r="M81" s="1754">
        <f t="shared" si="30"/>
        <v>0</v>
      </c>
      <c r="N81" s="1712"/>
      <c r="O81" s="1712">
        <f>ROUND(M81*ROUND(N81,2)/10000,6)</f>
        <v>0</v>
      </c>
      <c r="P81" s="1712">
        <f>IFERROR(ROUND(Q81*10000/M81,2),0)</f>
        <v>0</v>
      </c>
      <c r="Q81" s="1712">
        <f>ROUND(O81/(1+R81),6)</f>
        <v>0</v>
      </c>
      <c r="R81" s="1757">
        <v>0.09</v>
      </c>
      <c r="S81" s="1712">
        <f>O81-Q81</f>
        <v>0</v>
      </c>
      <c r="T81" s="1712">
        <f t="shared" si="3"/>
        <v>0</v>
      </c>
      <c r="U81" s="1712">
        <f t="shared" ref="U81:U144" si="31">IFERROR(O81*10000/$E$6,"")</f>
        <v>0</v>
      </c>
      <c r="V81" s="1952"/>
      <c r="X81" s="2079">
        <f>车位!O81</f>
        <v>0</v>
      </c>
      <c r="Y81" s="2080">
        <f t="shared" si="28"/>
        <v>0</v>
      </c>
      <c r="Z81" s="2080"/>
      <c r="AA81" s="2079">
        <v>0</v>
      </c>
      <c r="AB81" s="2080">
        <f t="shared" si="29"/>
        <v>0</v>
      </c>
      <c r="AC81" s="2079"/>
      <c r="AD81" s="2079"/>
      <c r="AE81" s="2079"/>
      <c r="AF81" s="2079"/>
      <c r="AG81" s="2079"/>
      <c r="AH81" s="2079"/>
      <c r="AI81" s="2079"/>
      <c r="AJ81" s="2079"/>
      <c r="AK81" s="2079"/>
    </row>
    <row r="82" spans="1:37" s="1942" customFormat="1" ht="28.5" customHeight="1" outlineLevel="2">
      <c r="A82" s="1944"/>
      <c r="B82" s="1978" t="s">
        <v>3468</v>
      </c>
      <c r="C82" s="1810"/>
      <c r="D82" s="2008" t="s">
        <v>668</v>
      </c>
      <c r="E82" s="2009" t="s">
        <v>3469</v>
      </c>
      <c r="F82" s="1462" t="s">
        <v>3470</v>
      </c>
      <c r="G82" s="1953" t="s">
        <v>4135</v>
      </c>
      <c r="H82" s="1975" t="s">
        <v>3926</v>
      </c>
      <c r="I82" s="1712">
        <f>$G$7</f>
        <v>0</v>
      </c>
      <c r="J82" s="1949">
        <v>1</v>
      </c>
      <c r="K82" s="1950" t="s">
        <v>3947</v>
      </c>
      <c r="L82" s="1947" t="s">
        <v>3926</v>
      </c>
      <c r="M82" s="1754">
        <f t="shared" si="30"/>
        <v>0</v>
      </c>
      <c r="N82" s="1712"/>
      <c r="O82" s="1712">
        <f>ROUND(M82*ROUND(N82,2)/10000,6)</f>
        <v>0</v>
      </c>
      <c r="P82" s="1712">
        <f>IFERROR(ROUND(Q82*10000/M82,2),0)</f>
        <v>0</v>
      </c>
      <c r="Q82" s="1712">
        <f>ROUND(O82/(1+R82),6)</f>
        <v>0</v>
      </c>
      <c r="R82" s="1757">
        <v>0.13</v>
      </c>
      <c r="S82" s="1712">
        <f>O82-Q82</f>
        <v>0</v>
      </c>
      <c r="T82" s="1712">
        <f t="shared" ref="T82:T145" si="32">IFERROR(Q82*10000/$E$6,"")</f>
        <v>0</v>
      </c>
      <c r="U82" s="1712">
        <f t="shared" si="31"/>
        <v>0</v>
      </c>
      <c r="V82" s="1952"/>
      <c r="X82" s="2079">
        <f>车位!O82</f>
        <v>0</v>
      </c>
      <c r="Y82" s="2080">
        <f t="shared" si="28"/>
        <v>0</v>
      </c>
      <c r="Z82" s="2080"/>
      <c r="AA82" s="2079">
        <v>0</v>
      </c>
      <c r="AB82" s="2080">
        <f t="shared" si="29"/>
        <v>0</v>
      </c>
      <c r="AC82" s="2079"/>
      <c r="AD82" s="2079"/>
      <c r="AE82" s="2079"/>
      <c r="AF82" s="2079"/>
      <c r="AG82" s="2079"/>
      <c r="AH82" s="2079"/>
      <c r="AI82" s="2079"/>
      <c r="AJ82" s="2079"/>
      <c r="AK82" s="2079"/>
    </row>
    <row r="83" spans="1:37" s="1942" customFormat="1" ht="28.5" customHeight="1" outlineLevel="2">
      <c r="A83" s="1944"/>
      <c r="B83" s="1978" t="s">
        <v>3471</v>
      </c>
      <c r="C83" s="1810"/>
      <c r="D83" s="2008" t="s">
        <v>3472</v>
      </c>
      <c r="E83" s="2009"/>
      <c r="F83" s="1462"/>
      <c r="G83" s="1953" t="s">
        <v>4117</v>
      </c>
      <c r="H83" s="1947"/>
      <c r="I83" s="1948"/>
      <c r="J83" s="1949"/>
      <c r="K83" s="2016"/>
      <c r="L83" s="1947"/>
      <c r="M83" s="1754"/>
      <c r="N83" s="1712"/>
      <c r="O83" s="1712">
        <f>SUBTOTAL(9,O84:O87)</f>
        <v>0</v>
      </c>
      <c r="P83" s="1712"/>
      <c r="Q83" s="1712">
        <f>SUBTOTAL(9,Q84:Q87)</f>
        <v>0</v>
      </c>
      <c r="R83" s="1712"/>
      <c r="S83" s="1712">
        <f>SUBTOTAL(9,S84:S87)</f>
        <v>0</v>
      </c>
      <c r="T83" s="1712">
        <f t="shared" si="32"/>
        <v>0</v>
      </c>
      <c r="U83" s="1712">
        <f t="shared" si="31"/>
        <v>0</v>
      </c>
      <c r="V83" s="2015"/>
      <c r="X83" s="2079">
        <f>车位!O83</f>
        <v>0</v>
      </c>
      <c r="Y83" s="2080">
        <f t="shared" si="28"/>
        <v>0</v>
      </c>
      <c r="Z83" s="2080"/>
      <c r="AA83" s="2079">
        <v>0</v>
      </c>
      <c r="AB83" s="2080">
        <f t="shared" si="29"/>
        <v>0</v>
      </c>
      <c r="AC83" s="2079"/>
      <c r="AD83" s="2079"/>
      <c r="AE83" s="2079"/>
      <c r="AF83" s="2079"/>
      <c r="AG83" s="2079"/>
      <c r="AH83" s="2079"/>
      <c r="AI83" s="2079"/>
      <c r="AJ83" s="2079"/>
      <c r="AK83" s="2079"/>
    </row>
    <row r="84" spans="1:37" s="1942" customFormat="1" ht="28.5" customHeight="1" outlineLevel="3">
      <c r="A84" s="1944"/>
      <c r="B84" s="1978" t="s">
        <v>3473</v>
      </c>
      <c r="C84" s="1810"/>
      <c r="D84" s="2008" t="s">
        <v>3474</v>
      </c>
      <c r="E84" s="2009" t="s">
        <v>3475</v>
      </c>
      <c r="F84" s="1462" t="s">
        <v>456</v>
      </c>
      <c r="G84" s="1953" t="s">
        <v>4136</v>
      </c>
      <c r="H84" s="1947" t="s">
        <v>18</v>
      </c>
      <c r="I84" s="1948">
        <f>$G$5</f>
        <v>0</v>
      </c>
      <c r="J84" s="1949">
        <v>1</v>
      </c>
      <c r="K84" s="2016" t="s">
        <v>4046</v>
      </c>
      <c r="L84" s="1947" t="s">
        <v>4047</v>
      </c>
      <c r="M84" s="1754">
        <f t="shared" si="30"/>
        <v>0</v>
      </c>
      <c r="N84" s="1712"/>
      <c r="O84" s="1712">
        <f>ROUND(M84*ROUND(N84,2)/10000,6)</f>
        <v>0</v>
      </c>
      <c r="P84" s="1712">
        <f>IFERROR(ROUND(Q84*10000/M84,2),0)</f>
        <v>0</v>
      </c>
      <c r="Q84" s="1712">
        <f>ROUND(O84/(1+R84),6)</f>
        <v>0</v>
      </c>
      <c r="R84" s="1757">
        <v>0.13</v>
      </c>
      <c r="S84" s="1712">
        <f>O84-Q84</f>
        <v>0</v>
      </c>
      <c r="T84" s="1712">
        <f t="shared" si="32"/>
        <v>0</v>
      </c>
      <c r="U84" s="1712">
        <f t="shared" si="31"/>
        <v>0</v>
      </c>
      <c r="V84" s="1952"/>
      <c r="X84" s="2079">
        <f>车位!O84</f>
        <v>0</v>
      </c>
      <c r="Y84" s="2080">
        <f t="shared" si="28"/>
        <v>0</v>
      </c>
      <c r="Z84" s="2080"/>
      <c r="AA84" s="2079">
        <v>0</v>
      </c>
      <c r="AB84" s="2080">
        <f t="shared" si="29"/>
        <v>0</v>
      </c>
      <c r="AC84" s="2079"/>
      <c r="AD84" s="2079"/>
      <c r="AE84" s="2079"/>
      <c r="AF84" s="2079"/>
      <c r="AG84" s="2079"/>
      <c r="AH84" s="2079"/>
      <c r="AI84" s="2079"/>
      <c r="AJ84" s="2079"/>
      <c r="AK84" s="2079"/>
    </row>
    <row r="85" spans="1:37" s="1942" customFormat="1" ht="28.5" customHeight="1" outlineLevel="3">
      <c r="A85" s="1944"/>
      <c r="B85" s="1978" t="s">
        <v>3476</v>
      </c>
      <c r="C85" s="1810"/>
      <c r="D85" s="2008" t="s">
        <v>3477</v>
      </c>
      <c r="E85" s="2009" t="s">
        <v>3478</v>
      </c>
      <c r="F85" s="1462" t="s">
        <v>460</v>
      </c>
      <c r="G85" s="1953" t="s">
        <v>4137</v>
      </c>
      <c r="H85" s="1947" t="s">
        <v>18</v>
      </c>
      <c r="I85" s="1948">
        <f>$G$5</f>
        <v>0</v>
      </c>
      <c r="J85" s="1949">
        <v>1</v>
      </c>
      <c r="K85" s="2016" t="s">
        <v>4046</v>
      </c>
      <c r="L85" s="1947" t="s">
        <v>4047</v>
      </c>
      <c r="M85" s="1754">
        <f t="shared" si="30"/>
        <v>0</v>
      </c>
      <c r="N85" s="1712"/>
      <c r="O85" s="1712">
        <f>ROUND(M85*ROUND(N85,2)/10000,6)</f>
        <v>0</v>
      </c>
      <c r="P85" s="1712">
        <f>IFERROR(ROUND(Q85*10000/M85,2),0)</f>
        <v>0</v>
      </c>
      <c r="Q85" s="1712">
        <f>ROUND(O85/(1+R85),6)</f>
        <v>0</v>
      </c>
      <c r="R85" s="1757">
        <v>0.09</v>
      </c>
      <c r="S85" s="1712">
        <f>O85-Q85</f>
        <v>0</v>
      </c>
      <c r="T85" s="1712">
        <f t="shared" si="32"/>
        <v>0</v>
      </c>
      <c r="U85" s="1712">
        <f t="shared" si="31"/>
        <v>0</v>
      </c>
      <c r="V85" s="1952"/>
      <c r="X85" s="2079">
        <f>车位!O85</f>
        <v>0</v>
      </c>
      <c r="Y85" s="2080">
        <f t="shared" si="28"/>
        <v>0</v>
      </c>
      <c r="Z85" s="2080"/>
      <c r="AA85" s="2079">
        <v>0</v>
      </c>
      <c r="AB85" s="2080">
        <f t="shared" si="29"/>
        <v>0</v>
      </c>
      <c r="AC85" s="2079"/>
      <c r="AD85" s="2079"/>
      <c r="AE85" s="2079"/>
      <c r="AF85" s="2079"/>
      <c r="AG85" s="2079"/>
      <c r="AH85" s="2079"/>
      <c r="AI85" s="2079"/>
      <c r="AJ85" s="2079"/>
      <c r="AK85" s="2079"/>
    </row>
    <row r="86" spans="1:37" s="1942" customFormat="1" ht="28.5" customHeight="1" outlineLevel="3">
      <c r="A86" s="1944"/>
      <c r="B86" s="1978" t="s">
        <v>3479</v>
      </c>
      <c r="C86" s="1810"/>
      <c r="D86" s="2008" t="s">
        <v>3480</v>
      </c>
      <c r="E86" s="2009" t="s">
        <v>3481</v>
      </c>
      <c r="F86" s="1462" t="s">
        <v>456</v>
      </c>
      <c r="G86" s="1953" t="s">
        <v>4136</v>
      </c>
      <c r="H86" s="1975" t="s">
        <v>3969</v>
      </c>
      <c r="I86" s="1948"/>
      <c r="J86" s="1949">
        <v>0</v>
      </c>
      <c r="K86" s="2016" t="s">
        <v>3974</v>
      </c>
      <c r="L86" s="1947" t="s">
        <v>4048</v>
      </c>
      <c r="M86" s="1754">
        <f t="shared" si="30"/>
        <v>0</v>
      </c>
      <c r="N86" s="1712"/>
      <c r="O86" s="1712">
        <f>ROUND(M86*ROUND(N86,2)/10000,6)</f>
        <v>0</v>
      </c>
      <c r="P86" s="1712">
        <f>IFERROR(ROUND(Q86*10000/M86,2),0)</f>
        <v>0</v>
      </c>
      <c r="Q86" s="1712">
        <f>ROUND(O86/(1+R86),6)</f>
        <v>0</v>
      </c>
      <c r="R86" s="1757">
        <v>0.13</v>
      </c>
      <c r="S86" s="1712">
        <f>O86-Q86</f>
        <v>0</v>
      </c>
      <c r="T86" s="1712">
        <f t="shared" si="32"/>
        <v>0</v>
      </c>
      <c r="U86" s="1712">
        <f t="shared" si="31"/>
        <v>0</v>
      </c>
      <c r="V86" s="2015"/>
      <c r="X86" s="2079">
        <f>车位!O86</f>
        <v>0</v>
      </c>
      <c r="Y86" s="2080">
        <f t="shared" si="28"/>
        <v>0</v>
      </c>
      <c r="Z86" s="2080"/>
      <c r="AA86" s="2079">
        <v>0</v>
      </c>
      <c r="AB86" s="2080">
        <f t="shared" si="29"/>
        <v>0</v>
      </c>
      <c r="AC86" s="2079"/>
      <c r="AD86" s="2079"/>
      <c r="AE86" s="2079"/>
      <c r="AF86" s="2079"/>
      <c r="AG86" s="2079"/>
      <c r="AH86" s="2079"/>
      <c r="AI86" s="2079"/>
      <c r="AJ86" s="2079"/>
      <c r="AK86" s="2079"/>
    </row>
    <row r="87" spans="1:37" s="1942" customFormat="1" ht="28.5" customHeight="1" outlineLevel="3">
      <c r="A87" s="1944"/>
      <c r="B87" s="1978" t="s">
        <v>3482</v>
      </c>
      <c r="C87" s="1810"/>
      <c r="D87" s="2008" t="s">
        <v>1682</v>
      </c>
      <c r="E87" s="2009" t="s">
        <v>3483</v>
      </c>
      <c r="F87" s="1462" t="s">
        <v>460</v>
      </c>
      <c r="G87" s="1953" t="s">
        <v>4137</v>
      </c>
      <c r="H87" s="1975" t="s">
        <v>3969</v>
      </c>
      <c r="I87" s="1948"/>
      <c r="J87" s="1949">
        <v>0</v>
      </c>
      <c r="K87" s="2016" t="s">
        <v>3974</v>
      </c>
      <c r="L87" s="1947" t="s">
        <v>4048</v>
      </c>
      <c r="M87" s="1754">
        <f t="shared" si="30"/>
        <v>0</v>
      </c>
      <c r="N87" s="1712"/>
      <c r="O87" s="1712">
        <f>ROUND(M87*ROUND(N87,2)/10000,6)</f>
        <v>0</v>
      </c>
      <c r="P87" s="1712">
        <f>IFERROR(ROUND(Q87*10000/M87,2),0)</f>
        <v>0</v>
      </c>
      <c r="Q87" s="1712">
        <f>ROUND(O87/(1+R87),6)</f>
        <v>0</v>
      </c>
      <c r="R87" s="1757">
        <v>0.09</v>
      </c>
      <c r="S87" s="1712">
        <f>O87-Q87</f>
        <v>0</v>
      </c>
      <c r="T87" s="1712">
        <f t="shared" si="32"/>
        <v>0</v>
      </c>
      <c r="U87" s="1712">
        <f t="shared" si="31"/>
        <v>0</v>
      </c>
      <c r="V87" s="2015"/>
      <c r="X87" s="2079">
        <f>车位!O87</f>
        <v>0</v>
      </c>
      <c r="Y87" s="2080">
        <f t="shared" si="28"/>
        <v>0</v>
      </c>
      <c r="Z87" s="2080"/>
      <c r="AA87" s="2079">
        <v>0</v>
      </c>
      <c r="AB87" s="2080">
        <f t="shared" si="29"/>
        <v>0</v>
      </c>
      <c r="AC87" s="2079"/>
      <c r="AD87" s="2079"/>
      <c r="AE87" s="2079"/>
      <c r="AF87" s="2079"/>
      <c r="AG87" s="2079"/>
      <c r="AH87" s="2079"/>
      <c r="AI87" s="2079"/>
      <c r="AJ87" s="2079"/>
      <c r="AK87" s="2079"/>
    </row>
    <row r="88" spans="1:37" s="1942" customFormat="1" ht="28.5" customHeight="1" outlineLevel="2">
      <c r="A88" s="1944"/>
      <c r="B88" s="1978" t="s">
        <v>3484</v>
      </c>
      <c r="C88" s="1810"/>
      <c r="D88" s="2008" t="s">
        <v>3485</v>
      </c>
      <c r="E88" s="2009"/>
      <c r="F88" s="1462"/>
      <c r="G88" s="1953" t="s">
        <v>4117</v>
      </c>
      <c r="H88" s="1947"/>
      <c r="I88" s="1948"/>
      <c r="J88" s="1949"/>
      <c r="K88" s="2016"/>
      <c r="L88" s="1947"/>
      <c r="M88" s="1950"/>
      <c r="N88" s="1712"/>
      <c r="O88" s="1712">
        <f>SUBTOTAL(9,O89:O99)</f>
        <v>160.43129299999995</v>
      </c>
      <c r="P88" s="1712"/>
      <c r="Q88" s="1712">
        <f>SUBTOTAL(9,Q89:Q99)</f>
        <v>146.57351999999997</v>
      </c>
      <c r="R88" s="1712"/>
      <c r="S88" s="1712">
        <f>SUBTOTAL(9,S89:S99)</f>
        <v>13.857772999999998</v>
      </c>
      <c r="T88" s="1712">
        <f t="shared" si="32"/>
        <v>155.77250979333562</v>
      </c>
      <c r="U88" s="1712">
        <f t="shared" si="31"/>
        <v>170.49999999999997</v>
      </c>
      <c r="V88" s="2015"/>
      <c r="X88" s="2079">
        <f>车位!O88</f>
        <v>343.92175999999995</v>
      </c>
      <c r="Y88" s="2080">
        <f t="shared" si="28"/>
        <v>504.35305299999993</v>
      </c>
      <c r="Z88" s="2080"/>
      <c r="AA88" s="2079">
        <v>593.64707299999998</v>
      </c>
      <c r="AB88" s="2080">
        <f t="shared" si="29"/>
        <v>-89.294020000000046</v>
      </c>
      <c r="AC88" s="2079"/>
      <c r="AD88" s="2079"/>
      <c r="AE88" s="2079"/>
      <c r="AF88" s="2079"/>
      <c r="AG88" s="2079"/>
      <c r="AH88" s="2079"/>
      <c r="AI88" s="2079"/>
      <c r="AJ88" s="2079"/>
      <c r="AK88" s="2079"/>
    </row>
    <row r="89" spans="1:37" s="1942" customFormat="1" ht="28.5" customHeight="1" outlineLevel="3">
      <c r="A89" s="1944"/>
      <c r="B89" s="1978" t="s">
        <v>3486</v>
      </c>
      <c r="C89" s="1810"/>
      <c r="D89" s="2017" t="s">
        <v>3487</v>
      </c>
      <c r="E89" s="2009" t="s">
        <v>3488</v>
      </c>
      <c r="F89" s="1462" t="s">
        <v>455</v>
      </c>
      <c r="G89" s="1953" t="s">
        <v>4128</v>
      </c>
      <c r="H89" s="1975" t="s">
        <v>10</v>
      </c>
      <c r="I89" s="1712">
        <f>$E$5</f>
        <v>9409.4599999999991</v>
      </c>
      <c r="J89" s="1976">
        <v>1</v>
      </c>
      <c r="K89" s="1950" t="s">
        <v>101</v>
      </c>
      <c r="L89" s="1947" t="s">
        <v>10</v>
      </c>
      <c r="M89" s="1754">
        <f t="shared" si="30"/>
        <v>9409.4599999999991</v>
      </c>
      <c r="N89" s="1756">
        <v>73.5</v>
      </c>
      <c r="O89" s="1712">
        <f>ROUND(M89*ROUND(N89,2)/10000,6)</f>
        <v>69.159531000000001</v>
      </c>
      <c r="P89" s="1712">
        <f>IFERROR(ROUND(Q89*10000/M89,2),0)</f>
        <v>67.430000000000007</v>
      </c>
      <c r="Q89" s="1712">
        <f>ROUND(O89/(1+R89),6)</f>
        <v>63.449111000000002</v>
      </c>
      <c r="R89" s="1757">
        <v>0.09</v>
      </c>
      <c r="S89" s="1712">
        <f>O89-Q89</f>
        <v>5.7104199999999992</v>
      </c>
      <c r="T89" s="1712">
        <f t="shared" si="32"/>
        <v>67.431192650800369</v>
      </c>
      <c r="U89" s="1712">
        <f t="shared" si="31"/>
        <v>73.500000000000014</v>
      </c>
      <c r="V89" s="1952"/>
      <c r="X89" s="2079">
        <f>车位!O89</f>
        <v>180.55892399999999</v>
      </c>
      <c r="Y89" s="2080">
        <f t="shared" si="28"/>
        <v>249.71845500000001</v>
      </c>
      <c r="Z89" s="2080"/>
      <c r="AA89" s="2079">
        <v>255.912374</v>
      </c>
      <c r="AB89" s="2080">
        <f t="shared" si="29"/>
        <v>-6.193918999999994</v>
      </c>
      <c r="AC89" s="2079"/>
      <c r="AD89" s="2079"/>
      <c r="AE89" s="2079"/>
      <c r="AF89" s="2079"/>
      <c r="AG89" s="2079"/>
      <c r="AH89" s="2079"/>
      <c r="AI89" s="2079"/>
      <c r="AJ89" s="2079"/>
      <c r="AK89" s="2079"/>
    </row>
    <row r="90" spans="1:37" s="1942" customFormat="1" ht="28.5" customHeight="1" outlineLevel="3">
      <c r="A90" s="1944"/>
      <c r="B90" s="1978" t="s">
        <v>3489</v>
      </c>
      <c r="C90" s="1810"/>
      <c r="D90" s="2017" t="s">
        <v>3490</v>
      </c>
      <c r="E90" s="2009" t="s">
        <v>3491</v>
      </c>
      <c r="F90" s="1462"/>
      <c r="G90" s="1953" t="s">
        <v>4117</v>
      </c>
      <c r="H90" s="1975"/>
      <c r="I90" s="1712"/>
      <c r="J90" s="1949"/>
      <c r="K90" s="1950"/>
      <c r="L90" s="1947" t="s">
        <v>10</v>
      </c>
      <c r="M90" s="1754"/>
      <c r="N90" s="1712"/>
      <c r="O90" s="1712">
        <f>SUBTOTAL(9,O91:O92)</f>
        <v>85.155612999999988</v>
      </c>
      <c r="P90" s="1983"/>
      <c r="Q90" s="1712">
        <f>SUBTOTAL(9,Q91:Q92)</f>
        <v>77.513262999999995</v>
      </c>
      <c r="R90" s="1757"/>
      <c r="S90" s="1712">
        <f>SUBTOTAL(9,S91:S92)</f>
        <v>7.6423500000000004</v>
      </c>
      <c r="T90" s="1712">
        <f t="shared" si="32"/>
        <v>82.378014253740389</v>
      </c>
      <c r="U90" s="1712">
        <f t="shared" si="31"/>
        <v>90.5</v>
      </c>
      <c r="V90" s="1952"/>
      <c r="X90" s="2079">
        <f>车位!O90</f>
        <v>147.39503999999999</v>
      </c>
      <c r="Y90" s="2080">
        <f t="shared" si="28"/>
        <v>232.55065299999998</v>
      </c>
      <c r="Z90" s="2080"/>
      <c r="AA90" s="2079">
        <v>315.10299099999997</v>
      </c>
      <c r="AB90" s="2080">
        <f t="shared" si="29"/>
        <v>-82.552337999999992</v>
      </c>
      <c r="AC90" s="2079"/>
      <c r="AD90" s="2079"/>
      <c r="AE90" s="2079"/>
      <c r="AF90" s="2079"/>
      <c r="AG90" s="2079"/>
      <c r="AH90" s="2079"/>
      <c r="AI90" s="2079"/>
      <c r="AJ90" s="2079"/>
      <c r="AK90" s="2079"/>
    </row>
    <row r="91" spans="1:37" s="1942" customFormat="1" ht="28.5" customHeight="1" outlineLevel="4">
      <c r="A91" s="1944"/>
      <c r="B91" s="1985" t="s">
        <v>4049</v>
      </c>
      <c r="C91" s="1828"/>
      <c r="D91" s="2018" t="s">
        <v>4050</v>
      </c>
      <c r="E91" s="2011"/>
      <c r="F91" s="1988" t="s">
        <v>455</v>
      </c>
      <c r="G91" s="1989" t="s">
        <v>4128</v>
      </c>
      <c r="H91" s="2012" t="s">
        <v>10</v>
      </c>
      <c r="I91" s="1991">
        <f>$E$5</f>
        <v>9409.4599999999991</v>
      </c>
      <c r="J91" s="1976">
        <v>1</v>
      </c>
      <c r="K91" s="2000" t="s">
        <v>101</v>
      </c>
      <c r="L91" s="1990" t="s">
        <v>10</v>
      </c>
      <c r="M91" s="1991">
        <f t="shared" ref="M91:M100" si="33">ROUND(I91,2)*ROUND(J91,4)</f>
        <v>9409.4599999999991</v>
      </c>
      <c r="N91" s="1756">
        <v>70.5</v>
      </c>
      <c r="O91" s="1991">
        <f t="shared" ref="O91:O100" si="34">ROUND(M91*ROUND(N91,2)/10000,6)</f>
        <v>66.336692999999997</v>
      </c>
      <c r="P91" s="1991">
        <f t="shared" ref="P91:P100" si="35">IFERROR(ROUND(Q91*10000/M91,2),0)</f>
        <v>64.680000000000007</v>
      </c>
      <c r="Q91" s="1991">
        <f t="shared" ref="Q91:Q100" si="36">ROUND(O91/(1+R91),6)</f>
        <v>60.859350999999997</v>
      </c>
      <c r="R91" s="1993">
        <v>0.09</v>
      </c>
      <c r="S91" s="1991">
        <f t="shared" ref="S91:S100" si="37">O91-Q91</f>
        <v>5.4773420000000002</v>
      </c>
      <c r="T91" s="1991">
        <f t="shared" si="32"/>
        <v>64.67889868281496</v>
      </c>
      <c r="U91" s="1991">
        <f t="shared" si="31"/>
        <v>70.5</v>
      </c>
      <c r="V91" s="1994"/>
      <c r="X91" s="2079">
        <f>车位!O91</f>
        <v>98.263360000000006</v>
      </c>
      <c r="Y91" s="2080">
        <f t="shared" si="28"/>
        <v>164.600053</v>
      </c>
      <c r="Z91" s="2080"/>
      <c r="AA91" s="2079">
        <v>245.466971</v>
      </c>
      <c r="AB91" s="2080">
        <f t="shared" si="29"/>
        <v>-80.866917999999998</v>
      </c>
      <c r="AC91" s="2079"/>
      <c r="AD91" s="2079"/>
      <c r="AE91" s="2079"/>
      <c r="AF91" s="2079"/>
      <c r="AG91" s="2079"/>
      <c r="AH91" s="2079"/>
      <c r="AI91" s="2079"/>
      <c r="AJ91" s="2079"/>
      <c r="AK91" s="2079"/>
    </row>
    <row r="92" spans="1:37" s="1942" customFormat="1" ht="28.5" customHeight="1" outlineLevel="4">
      <c r="A92" s="1944"/>
      <c r="B92" s="1985" t="s">
        <v>4051</v>
      </c>
      <c r="C92" s="1828"/>
      <c r="D92" s="2018" t="s">
        <v>4052</v>
      </c>
      <c r="E92" s="2011"/>
      <c r="F92" s="1988" t="s">
        <v>3831</v>
      </c>
      <c r="G92" s="1989" t="s">
        <v>4138</v>
      </c>
      <c r="H92" s="2012" t="s">
        <v>10</v>
      </c>
      <c r="I92" s="1991">
        <f>$E$5</f>
        <v>9409.4599999999991</v>
      </c>
      <c r="J92" s="1976">
        <v>1</v>
      </c>
      <c r="K92" s="2000" t="s">
        <v>101</v>
      </c>
      <c r="L92" s="1990" t="s">
        <v>10</v>
      </c>
      <c r="M92" s="1991">
        <f t="shared" si="33"/>
        <v>9409.4599999999991</v>
      </c>
      <c r="N92" s="1756">
        <v>20</v>
      </c>
      <c r="O92" s="1991">
        <f t="shared" si="34"/>
        <v>18.818919999999999</v>
      </c>
      <c r="P92" s="1991">
        <f t="shared" si="35"/>
        <v>17.7</v>
      </c>
      <c r="Q92" s="1991">
        <f t="shared" si="36"/>
        <v>16.653911999999998</v>
      </c>
      <c r="R92" s="1993">
        <v>0.13</v>
      </c>
      <c r="S92" s="1991">
        <f t="shared" si="37"/>
        <v>2.1650080000000003</v>
      </c>
      <c r="T92" s="1991">
        <f t="shared" si="32"/>
        <v>17.699115570925432</v>
      </c>
      <c r="U92" s="1991">
        <f t="shared" si="31"/>
        <v>20</v>
      </c>
      <c r="V92" s="1994"/>
      <c r="X92" s="2079">
        <f>车位!O92</f>
        <v>49.131680000000003</v>
      </c>
      <c r="Y92" s="2080">
        <f t="shared" si="28"/>
        <v>67.950600000000009</v>
      </c>
      <c r="Z92" s="2080"/>
      <c r="AA92" s="2079">
        <v>69.636020000000002</v>
      </c>
      <c r="AB92" s="2080">
        <f t="shared" si="29"/>
        <v>-1.6854199999999935</v>
      </c>
      <c r="AC92" s="2079"/>
      <c r="AD92" s="2079"/>
      <c r="AE92" s="2079"/>
      <c r="AF92" s="2079"/>
      <c r="AG92" s="2079"/>
      <c r="AH92" s="2079"/>
      <c r="AI92" s="2079"/>
      <c r="AJ92" s="2079"/>
      <c r="AK92" s="2079"/>
    </row>
    <row r="93" spans="1:37" s="1942" customFormat="1" ht="28.5" customHeight="1" outlineLevel="3">
      <c r="A93" s="1944"/>
      <c r="B93" s="1978" t="s">
        <v>3492</v>
      </c>
      <c r="C93" s="1810"/>
      <c r="D93" s="2017" t="s">
        <v>3493</v>
      </c>
      <c r="E93" s="2009" t="s">
        <v>3494</v>
      </c>
      <c r="F93" s="1462" t="s">
        <v>455</v>
      </c>
      <c r="G93" s="1953" t="s">
        <v>4128</v>
      </c>
      <c r="H93" s="1975" t="s">
        <v>10</v>
      </c>
      <c r="I93" s="1712">
        <f>$E$5</f>
        <v>9409.4599999999991</v>
      </c>
      <c r="J93" s="1976">
        <v>1</v>
      </c>
      <c r="K93" s="1950" t="s">
        <v>101</v>
      </c>
      <c r="L93" s="1947" t="s">
        <v>10</v>
      </c>
      <c r="M93" s="1754">
        <f t="shared" si="33"/>
        <v>9409.4599999999991</v>
      </c>
      <c r="N93" s="1756">
        <v>1</v>
      </c>
      <c r="O93" s="1712">
        <f t="shared" si="34"/>
        <v>0.94094599999999995</v>
      </c>
      <c r="P93" s="1712">
        <f t="shared" si="35"/>
        <v>0.92</v>
      </c>
      <c r="Q93" s="1712">
        <f t="shared" si="36"/>
        <v>0.86325300000000005</v>
      </c>
      <c r="R93" s="1757">
        <v>0.09</v>
      </c>
      <c r="S93" s="1712">
        <f t="shared" si="37"/>
        <v>7.7692999999999901E-2</v>
      </c>
      <c r="T93" s="1712">
        <f t="shared" si="32"/>
        <v>0.91743096840838911</v>
      </c>
      <c r="U93" s="1712">
        <f t="shared" si="31"/>
        <v>1</v>
      </c>
      <c r="V93" s="1952"/>
      <c r="X93" s="2079">
        <f>车位!O93</f>
        <v>2.4565839999999999</v>
      </c>
      <c r="Y93" s="2080">
        <f t="shared" si="28"/>
        <v>3.3975299999999997</v>
      </c>
      <c r="Z93" s="2080"/>
      <c r="AA93" s="2079">
        <v>3.4818009999999999</v>
      </c>
      <c r="AB93" s="2080">
        <f t="shared" si="29"/>
        <v>-8.4271000000000207E-2</v>
      </c>
      <c r="AC93" s="2079"/>
      <c r="AD93" s="2079"/>
      <c r="AE93" s="2079"/>
      <c r="AF93" s="2079"/>
      <c r="AG93" s="2079"/>
      <c r="AH93" s="2079"/>
      <c r="AI93" s="2079"/>
      <c r="AJ93" s="2079"/>
      <c r="AK93" s="2079"/>
    </row>
    <row r="94" spans="1:37" s="1942" customFormat="1" ht="28.5" customHeight="1" outlineLevel="3">
      <c r="A94" s="1944"/>
      <c r="B94" s="1978" t="s">
        <v>3495</v>
      </c>
      <c r="C94" s="1810"/>
      <c r="D94" s="2017" t="s">
        <v>3496</v>
      </c>
      <c r="E94" s="2009" t="s">
        <v>3497</v>
      </c>
      <c r="F94" s="1462" t="s">
        <v>455</v>
      </c>
      <c r="G94" s="1953" t="s">
        <v>4128</v>
      </c>
      <c r="H94" s="1975" t="s">
        <v>10</v>
      </c>
      <c r="I94" s="1712">
        <f t="shared" ref="I94:I105" si="38">$E$5</f>
        <v>9409.4599999999991</v>
      </c>
      <c r="J94" s="1976">
        <v>1</v>
      </c>
      <c r="K94" s="1950" t="s">
        <v>101</v>
      </c>
      <c r="L94" s="1947" t="s">
        <v>10</v>
      </c>
      <c r="M94" s="1754">
        <f t="shared" si="33"/>
        <v>9409.4599999999991</v>
      </c>
      <c r="N94" s="1756">
        <v>1.5</v>
      </c>
      <c r="O94" s="1712">
        <f t="shared" si="34"/>
        <v>1.411419</v>
      </c>
      <c r="P94" s="1712">
        <f t="shared" si="35"/>
        <v>1.38</v>
      </c>
      <c r="Q94" s="1712">
        <f t="shared" si="36"/>
        <v>1.29488</v>
      </c>
      <c r="R94" s="1757">
        <v>0.09</v>
      </c>
      <c r="S94" s="1712">
        <f t="shared" si="37"/>
        <v>0.11653899999999995</v>
      </c>
      <c r="T94" s="1712">
        <f t="shared" si="32"/>
        <v>1.3761469839927054</v>
      </c>
      <c r="U94" s="1712">
        <f t="shared" si="31"/>
        <v>1.5000000000000002</v>
      </c>
      <c r="V94" s="1952"/>
      <c r="X94" s="2079">
        <f>车位!O94</f>
        <v>3.684876</v>
      </c>
      <c r="Y94" s="2080">
        <f t="shared" si="28"/>
        <v>5.0962949999999996</v>
      </c>
      <c r="Z94" s="2080"/>
      <c r="AA94" s="2079">
        <v>5.222702</v>
      </c>
      <c r="AB94" s="2080">
        <f t="shared" si="29"/>
        <v>-0.12640700000000038</v>
      </c>
      <c r="AC94" s="2079"/>
      <c r="AD94" s="2079"/>
      <c r="AE94" s="2079"/>
      <c r="AF94" s="2079"/>
      <c r="AG94" s="2079"/>
      <c r="AH94" s="2079"/>
      <c r="AI94" s="2079"/>
      <c r="AJ94" s="2079"/>
      <c r="AK94" s="2079"/>
    </row>
    <row r="95" spans="1:37" s="1942" customFormat="1" ht="28.5" customHeight="1" outlineLevel="3">
      <c r="A95" s="1944"/>
      <c r="B95" s="1978" t="s">
        <v>3498</v>
      </c>
      <c r="C95" s="1810"/>
      <c r="D95" s="2017" t="s">
        <v>3499</v>
      </c>
      <c r="E95" s="2009" t="s">
        <v>3500</v>
      </c>
      <c r="F95" s="1462" t="s">
        <v>455</v>
      </c>
      <c r="G95" s="1953" t="s">
        <v>4128</v>
      </c>
      <c r="H95" s="1975" t="s">
        <v>10</v>
      </c>
      <c r="I95" s="1712">
        <f t="shared" si="38"/>
        <v>9409.4599999999991</v>
      </c>
      <c r="J95" s="1976">
        <v>1</v>
      </c>
      <c r="K95" s="1950" t="s">
        <v>101</v>
      </c>
      <c r="L95" s="1947" t="s">
        <v>10</v>
      </c>
      <c r="M95" s="1754">
        <f t="shared" si="33"/>
        <v>9409.4599999999991</v>
      </c>
      <c r="N95" s="1756">
        <v>2.5</v>
      </c>
      <c r="O95" s="1712">
        <f t="shared" si="34"/>
        <v>2.3523649999999998</v>
      </c>
      <c r="P95" s="1712">
        <f t="shared" si="35"/>
        <v>2.29</v>
      </c>
      <c r="Q95" s="1712">
        <f t="shared" si="36"/>
        <v>2.1581329999999999</v>
      </c>
      <c r="R95" s="1757">
        <v>0.09</v>
      </c>
      <c r="S95" s="1712">
        <f t="shared" si="37"/>
        <v>0.19423199999999996</v>
      </c>
      <c r="T95" s="1712">
        <f t="shared" si="32"/>
        <v>2.2935779524010944</v>
      </c>
      <c r="U95" s="1712">
        <f t="shared" si="31"/>
        <v>2.5</v>
      </c>
      <c r="V95" s="1952"/>
      <c r="X95" s="2079">
        <f>车位!O95</f>
        <v>6.1414600000000004</v>
      </c>
      <c r="Y95" s="2080">
        <f t="shared" si="28"/>
        <v>8.4938250000000011</v>
      </c>
      <c r="Z95" s="2080"/>
      <c r="AA95" s="2079">
        <v>8.7045030000000008</v>
      </c>
      <c r="AB95" s="2080">
        <f t="shared" si="29"/>
        <v>-0.2106779999999997</v>
      </c>
      <c r="AC95" s="2079"/>
      <c r="AD95" s="2079"/>
      <c r="AE95" s="2079"/>
      <c r="AF95" s="2079"/>
      <c r="AG95" s="2079"/>
      <c r="AH95" s="2079"/>
      <c r="AI95" s="2079"/>
      <c r="AJ95" s="2079"/>
      <c r="AK95" s="2079"/>
    </row>
    <row r="96" spans="1:37" s="1942" customFormat="1" ht="28.5" customHeight="1" outlineLevel="3">
      <c r="A96" s="1944"/>
      <c r="B96" s="1978" t="s">
        <v>3501</v>
      </c>
      <c r="C96" s="1810"/>
      <c r="D96" s="2017" t="s">
        <v>3502</v>
      </c>
      <c r="E96" s="2009" t="s">
        <v>3503</v>
      </c>
      <c r="F96" s="1462" t="s">
        <v>455</v>
      </c>
      <c r="G96" s="1953" t="s">
        <v>4128</v>
      </c>
      <c r="H96" s="1975" t="s">
        <v>10</v>
      </c>
      <c r="I96" s="1712">
        <f t="shared" si="38"/>
        <v>9409.4599999999991</v>
      </c>
      <c r="J96" s="1949">
        <v>1</v>
      </c>
      <c r="K96" s="1950" t="s">
        <v>101</v>
      </c>
      <c r="L96" s="1947" t="s">
        <v>10</v>
      </c>
      <c r="M96" s="1754">
        <f t="shared" si="33"/>
        <v>9409.4599999999991</v>
      </c>
      <c r="N96" s="1712"/>
      <c r="O96" s="1712">
        <f t="shared" si="34"/>
        <v>0</v>
      </c>
      <c r="P96" s="1712">
        <f t="shared" si="35"/>
        <v>0</v>
      </c>
      <c r="Q96" s="1712">
        <f t="shared" si="36"/>
        <v>0</v>
      </c>
      <c r="R96" s="1757">
        <v>0.09</v>
      </c>
      <c r="S96" s="1712">
        <f t="shared" si="37"/>
        <v>0</v>
      </c>
      <c r="T96" s="1712">
        <f t="shared" si="32"/>
        <v>0</v>
      </c>
      <c r="U96" s="1712">
        <f t="shared" si="31"/>
        <v>0</v>
      </c>
      <c r="V96" s="2015"/>
      <c r="X96" s="2079">
        <f>车位!O96</f>
        <v>0</v>
      </c>
      <c r="Y96" s="2080">
        <f t="shared" si="28"/>
        <v>0</v>
      </c>
      <c r="Z96" s="2080"/>
      <c r="AA96" s="2079">
        <v>0</v>
      </c>
      <c r="AB96" s="2080">
        <f t="shared" si="29"/>
        <v>0</v>
      </c>
      <c r="AC96" s="2079"/>
      <c r="AD96" s="2079"/>
      <c r="AE96" s="2079"/>
      <c r="AF96" s="2079"/>
      <c r="AG96" s="2079"/>
      <c r="AH96" s="2079"/>
      <c r="AI96" s="2079"/>
      <c r="AJ96" s="2079"/>
      <c r="AK96" s="2079"/>
    </row>
    <row r="97" spans="1:37" s="1942" customFormat="1" ht="28.5" customHeight="1" outlineLevel="3">
      <c r="A97" s="1944"/>
      <c r="B97" s="1978" t="s">
        <v>3504</v>
      </c>
      <c r="C97" s="1810"/>
      <c r="D97" s="2017" t="s">
        <v>3505</v>
      </c>
      <c r="E97" s="2009" t="s">
        <v>3506</v>
      </c>
      <c r="F97" s="1462" t="s">
        <v>455</v>
      </c>
      <c r="G97" s="1953" t="s">
        <v>4128</v>
      </c>
      <c r="H97" s="1975" t="s">
        <v>10</v>
      </c>
      <c r="I97" s="1712">
        <f t="shared" si="38"/>
        <v>9409.4599999999991</v>
      </c>
      <c r="J97" s="1949">
        <v>1</v>
      </c>
      <c r="K97" s="1950" t="s">
        <v>101</v>
      </c>
      <c r="L97" s="1947" t="s">
        <v>10</v>
      </c>
      <c r="M97" s="1754">
        <f t="shared" si="33"/>
        <v>9409.4599999999991</v>
      </c>
      <c r="N97" s="1712"/>
      <c r="O97" s="1712">
        <f t="shared" si="34"/>
        <v>0</v>
      </c>
      <c r="P97" s="1712">
        <f t="shared" si="35"/>
        <v>0</v>
      </c>
      <c r="Q97" s="1712">
        <f t="shared" si="36"/>
        <v>0</v>
      </c>
      <c r="R97" s="1757">
        <v>0.09</v>
      </c>
      <c r="S97" s="1712">
        <f t="shared" si="37"/>
        <v>0</v>
      </c>
      <c r="T97" s="1712">
        <f t="shared" si="32"/>
        <v>0</v>
      </c>
      <c r="U97" s="1712">
        <f t="shared" si="31"/>
        <v>0</v>
      </c>
      <c r="V97" s="2015"/>
      <c r="X97" s="2079">
        <f>车位!O97</f>
        <v>0</v>
      </c>
      <c r="Y97" s="2080">
        <f t="shared" si="28"/>
        <v>0</v>
      </c>
      <c r="Z97" s="2080"/>
      <c r="AA97" s="2079">
        <v>0</v>
      </c>
      <c r="AB97" s="2080">
        <f t="shared" si="29"/>
        <v>0</v>
      </c>
      <c r="AC97" s="2079"/>
      <c r="AD97" s="2079"/>
      <c r="AE97" s="2079"/>
      <c r="AF97" s="2079"/>
      <c r="AG97" s="2079"/>
      <c r="AH97" s="2079"/>
      <c r="AI97" s="2079"/>
      <c r="AJ97" s="2079"/>
      <c r="AK97" s="2079"/>
    </row>
    <row r="98" spans="1:37" s="1942" customFormat="1" ht="28.5" customHeight="1" outlineLevel="3">
      <c r="A98" s="1944"/>
      <c r="B98" s="1978" t="s">
        <v>3507</v>
      </c>
      <c r="C98" s="1810"/>
      <c r="D98" s="2017" t="s">
        <v>3508</v>
      </c>
      <c r="E98" s="2009" t="s">
        <v>3509</v>
      </c>
      <c r="F98" s="1462" t="s">
        <v>455</v>
      </c>
      <c r="G98" s="1953" t="s">
        <v>4128</v>
      </c>
      <c r="H98" s="1975" t="s">
        <v>10</v>
      </c>
      <c r="I98" s="1712">
        <f t="shared" si="38"/>
        <v>9409.4599999999991</v>
      </c>
      <c r="J98" s="1976">
        <v>1</v>
      </c>
      <c r="K98" s="1950" t="s">
        <v>101</v>
      </c>
      <c r="L98" s="1947" t="s">
        <v>10</v>
      </c>
      <c r="M98" s="1754">
        <f t="shared" si="33"/>
        <v>9409.4599999999991</v>
      </c>
      <c r="N98" s="1756">
        <v>1.5</v>
      </c>
      <c r="O98" s="1712">
        <f t="shared" si="34"/>
        <v>1.411419</v>
      </c>
      <c r="P98" s="1712">
        <f t="shared" si="35"/>
        <v>1.38</v>
      </c>
      <c r="Q98" s="1712">
        <f t="shared" si="36"/>
        <v>1.29488</v>
      </c>
      <c r="R98" s="1757">
        <v>0.09</v>
      </c>
      <c r="S98" s="1712">
        <f t="shared" si="37"/>
        <v>0.11653899999999995</v>
      </c>
      <c r="T98" s="1712">
        <f t="shared" si="32"/>
        <v>1.3761469839927054</v>
      </c>
      <c r="U98" s="1712">
        <f t="shared" si="31"/>
        <v>1.5000000000000002</v>
      </c>
      <c r="V98" s="2015"/>
      <c r="X98" s="2079">
        <f>车位!O98</f>
        <v>3.684876</v>
      </c>
      <c r="Y98" s="2080">
        <f t="shared" si="28"/>
        <v>5.0962949999999996</v>
      </c>
      <c r="Z98" s="2080"/>
      <c r="AA98" s="2079">
        <v>5.222702</v>
      </c>
      <c r="AB98" s="2080">
        <f t="shared" si="29"/>
        <v>-0.12640700000000038</v>
      </c>
      <c r="AC98" s="2079"/>
      <c r="AD98" s="2079"/>
      <c r="AE98" s="2079"/>
      <c r="AF98" s="2079"/>
      <c r="AG98" s="2079"/>
      <c r="AH98" s="2079"/>
      <c r="AI98" s="2079"/>
      <c r="AJ98" s="2079"/>
      <c r="AK98" s="2079"/>
    </row>
    <row r="99" spans="1:37" s="1942" customFormat="1" ht="28.5" customHeight="1" outlineLevel="3">
      <c r="A99" s="1944"/>
      <c r="B99" s="1978" t="s">
        <v>3510</v>
      </c>
      <c r="C99" s="1810"/>
      <c r="D99" s="2017" t="s">
        <v>3511</v>
      </c>
      <c r="E99" s="2009" t="s">
        <v>3512</v>
      </c>
      <c r="F99" s="1462" t="s">
        <v>455</v>
      </c>
      <c r="G99" s="1953" t="s">
        <v>4128</v>
      </c>
      <c r="H99" s="1975" t="s">
        <v>10</v>
      </c>
      <c r="I99" s="1712">
        <f t="shared" si="38"/>
        <v>9409.4599999999991</v>
      </c>
      <c r="J99" s="1949">
        <v>1</v>
      </c>
      <c r="K99" s="1950" t="s">
        <v>101</v>
      </c>
      <c r="L99" s="1947" t="s">
        <v>10</v>
      </c>
      <c r="M99" s="1754">
        <f t="shared" si="33"/>
        <v>9409.4599999999991</v>
      </c>
      <c r="N99" s="1712"/>
      <c r="O99" s="1712">
        <f t="shared" si="34"/>
        <v>0</v>
      </c>
      <c r="P99" s="1712">
        <f t="shared" si="35"/>
        <v>0</v>
      </c>
      <c r="Q99" s="1712">
        <f t="shared" si="36"/>
        <v>0</v>
      </c>
      <c r="R99" s="1757">
        <v>0.09</v>
      </c>
      <c r="S99" s="1712">
        <f t="shared" si="37"/>
        <v>0</v>
      </c>
      <c r="T99" s="1712">
        <f t="shared" si="32"/>
        <v>0</v>
      </c>
      <c r="U99" s="1712">
        <f t="shared" si="31"/>
        <v>0</v>
      </c>
      <c r="V99" s="2015"/>
      <c r="X99" s="2079">
        <f>车位!O99</f>
        <v>0</v>
      </c>
      <c r="Y99" s="2080">
        <f t="shared" si="28"/>
        <v>0</v>
      </c>
      <c r="Z99" s="2080"/>
      <c r="AA99" s="2079">
        <v>0</v>
      </c>
      <c r="AB99" s="2080">
        <f t="shared" si="29"/>
        <v>0</v>
      </c>
      <c r="AC99" s="2079"/>
      <c r="AD99" s="2079"/>
      <c r="AE99" s="2079"/>
      <c r="AF99" s="2079"/>
      <c r="AG99" s="2079"/>
      <c r="AH99" s="2079"/>
      <c r="AI99" s="2079"/>
      <c r="AJ99" s="2079"/>
      <c r="AK99" s="2079"/>
    </row>
    <row r="100" spans="1:37" s="1942" customFormat="1" ht="28.5" customHeight="1" outlineLevel="2">
      <c r="A100" s="1944"/>
      <c r="B100" s="1978" t="s">
        <v>3513</v>
      </c>
      <c r="C100" s="1810"/>
      <c r="D100" s="2008" t="s">
        <v>3514</v>
      </c>
      <c r="E100" s="2009" t="s">
        <v>3515</v>
      </c>
      <c r="F100" s="1462" t="s">
        <v>455</v>
      </c>
      <c r="G100" s="1953" t="s">
        <v>4128</v>
      </c>
      <c r="H100" s="1975" t="s">
        <v>10</v>
      </c>
      <c r="I100" s="1712">
        <f t="shared" si="38"/>
        <v>9409.4599999999991</v>
      </c>
      <c r="J100" s="1976">
        <v>1</v>
      </c>
      <c r="K100" s="1950" t="s">
        <v>101</v>
      </c>
      <c r="L100" s="1947" t="s">
        <v>10</v>
      </c>
      <c r="M100" s="1754">
        <f t="shared" si="33"/>
        <v>9409.4599999999991</v>
      </c>
      <c r="N100" s="1756">
        <v>35</v>
      </c>
      <c r="O100" s="1712">
        <f t="shared" si="34"/>
        <v>32.933109999999999</v>
      </c>
      <c r="P100" s="1712">
        <f t="shared" si="35"/>
        <v>32.11</v>
      </c>
      <c r="Q100" s="1712">
        <f t="shared" si="36"/>
        <v>30.213861999999999</v>
      </c>
      <c r="R100" s="1757">
        <v>0.09</v>
      </c>
      <c r="S100" s="1712">
        <f t="shared" si="37"/>
        <v>2.7192480000000003</v>
      </c>
      <c r="T100" s="1712">
        <f t="shared" si="32"/>
        <v>32.110091333615323</v>
      </c>
      <c r="U100" s="1712">
        <f t="shared" si="31"/>
        <v>35</v>
      </c>
      <c r="V100" s="1952"/>
      <c r="X100" s="2079">
        <f>车位!O100</f>
        <v>98.263360000000006</v>
      </c>
      <c r="Y100" s="2080">
        <f t="shared" si="28"/>
        <v>131.19647000000001</v>
      </c>
      <c r="Z100" s="2080"/>
      <c r="AA100" s="2079">
        <v>198.46265700000001</v>
      </c>
      <c r="AB100" s="2080">
        <f t="shared" si="29"/>
        <v>-67.266187000000002</v>
      </c>
      <c r="AC100" s="2079"/>
      <c r="AD100" s="2079"/>
      <c r="AE100" s="2079"/>
      <c r="AF100" s="2079"/>
      <c r="AG100" s="2079"/>
      <c r="AH100" s="2079"/>
      <c r="AI100" s="2079"/>
      <c r="AJ100" s="2079"/>
      <c r="AK100" s="2079"/>
    </row>
    <row r="101" spans="1:37" s="1942" customFormat="1" ht="28.5" customHeight="1" outlineLevel="2">
      <c r="A101" s="1944"/>
      <c r="B101" s="1978" t="s">
        <v>3516</v>
      </c>
      <c r="C101" s="1810"/>
      <c r="D101" s="2008" t="s">
        <v>3517</v>
      </c>
      <c r="E101" s="2009"/>
      <c r="F101" s="1462"/>
      <c r="G101" s="1953" t="s">
        <v>4117</v>
      </c>
      <c r="H101" s="1947"/>
      <c r="I101" s="1948"/>
      <c r="J101" s="1949"/>
      <c r="K101" s="2016"/>
      <c r="L101" s="1947"/>
      <c r="M101" s="1754"/>
      <c r="N101" s="1712"/>
      <c r="O101" s="1712">
        <f>SUBTOTAL(9,O102:O104)</f>
        <v>0</v>
      </c>
      <c r="P101" s="1983"/>
      <c r="Q101" s="1712">
        <f>SUBTOTAL(9,Q102:Q104)</f>
        <v>0</v>
      </c>
      <c r="R101" s="1757"/>
      <c r="S101" s="1712">
        <f>SUBTOTAL(9,S102:S104)</f>
        <v>0</v>
      </c>
      <c r="T101" s="1712">
        <f t="shared" si="32"/>
        <v>0</v>
      </c>
      <c r="U101" s="1712">
        <f t="shared" si="31"/>
        <v>0</v>
      </c>
      <c r="V101" s="2015"/>
      <c r="X101" s="2079">
        <f>车位!O101</f>
        <v>0</v>
      </c>
      <c r="Y101" s="2080">
        <f t="shared" si="28"/>
        <v>0</v>
      </c>
      <c r="Z101" s="2080"/>
      <c r="AA101" s="2079">
        <v>0</v>
      </c>
      <c r="AB101" s="2080">
        <f t="shared" si="29"/>
        <v>0</v>
      </c>
      <c r="AC101" s="2079"/>
      <c r="AD101" s="2079"/>
      <c r="AE101" s="2079"/>
      <c r="AF101" s="2079"/>
      <c r="AG101" s="2079"/>
      <c r="AH101" s="2079"/>
      <c r="AI101" s="2079"/>
      <c r="AJ101" s="2079"/>
      <c r="AK101" s="2079"/>
    </row>
    <row r="102" spans="1:37" s="1942" customFormat="1" ht="28.5" customHeight="1" outlineLevel="3">
      <c r="A102" s="1944"/>
      <c r="B102" s="1978" t="s">
        <v>3518</v>
      </c>
      <c r="C102" s="1810"/>
      <c r="D102" s="2008" t="s">
        <v>3519</v>
      </c>
      <c r="E102" s="2009" t="s">
        <v>3520</v>
      </c>
      <c r="F102" s="1462" t="s">
        <v>3521</v>
      </c>
      <c r="G102" s="1953" t="s">
        <v>4139</v>
      </c>
      <c r="H102" s="1947" t="s">
        <v>10</v>
      </c>
      <c r="I102" s="1712">
        <f t="shared" si="38"/>
        <v>9409.4599999999991</v>
      </c>
      <c r="J102" s="1949">
        <v>1</v>
      </c>
      <c r="K102" s="1950" t="s">
        <v>101</v>
      </c>
      <c r="L102" s="1947" t="s">
        <v>10</v>
      </c>
      <c r="M102" s="1754">
        <f>ROUND(I102,2)*ROUND(J102,4)</f>
        <v>9409.4599999999991</v>
      </c>
      <c r="N102" s="1712"/>
      <c r="O102" s="1712">
        <f>ROUND(M102*ROUND(N102,2)/10000,6)</f>
        <v>0</v>
      </c>
      <c r="P102" s="1712">
        <f>IFERROR(ROUND(Q102*10000/M102,2),0)</f>
        <v>0</v>
      </c>
      <c r="Q102" s="1712">
        <f>ROUND(O102/(1+R102),6)</f>
        <v>0</v>
      </c>
      <c r="R102" s="1757">
        <v>0.13</v>
      </c>
      <c r="S102" s="1712">
        <f>O102-Q102</f>
        <v>0</v>
      </c>
      <c r="T102" s="1712">
        <f t="shared" si="32"/>
        <v>0</v>
      </c>
      <c r="U102" s="1712">
        <f t="shared" si="31"/>
        <v>0</v>
      </c>
      <c r="V102" s="2015"/>
      <c r="X102" s="2079">
        <f>车位!O102</f>
        <v>0</v>
      </c>
      <c r="Y102" s="2080">
        <f t="shared" si="28"/>
        <v>0</v>
      </c>
      <c r="Z102" s="2080"/>
      <c r="AA102" s="2079">
        <v>0</v>
      </c>
      <c r="AB102" s="2080">
        <f t="shared" si="29"/>
        <v>0</v>
      </c>
      <c r="AC102" s="2079"/>
      <c r="AD102" s="2079"/>
      <c r="AE102" s="2079"/>
      <c r="AF102" s="2079"/>
      <c r="AG102" s="2079"/>
      <c r="AH102" s="2079"/>
      <c r="AI102" s="2079"/>
      <c r="AJ102" s="2079"/>
      <c r="AK102" s="2079"/>
    </row>
    <row r="103" spans="1:37" s="1942" customFormat="1" ht="28.5" customHeight="1" outlineLevel="3">
      <c r="A103" s="1944"/>
      <c r="B103" s="1978" t="s">
        <v>3522</v>
      </c>
      <c r="C103" s="1810"/>
      <c r="D103" s="2008" t="s">
        <v>3523</v>
      </c>
      <c r="E103" s="2009" t="s">
        <v>3524</v>
      </c>
      <c r="F103" s="1462" t="s">
        <v>3521</v>
      </c>
      <c r="G103" s="1953" t="s">
        <v>4139</v>
      </c>
      <c r="H103" s="1975" t="s">
        <v>10</v>
      </c>
      <c r="I103" s="1712">
        <f t="shared" si="38"/>
        <v>9409.4599999999991</v>
      </c>
      <c r="J103" s="1949">
        <v>1</v>
      </c>
      <c r="K103" s="1950" t="s">
        <v>101</v>
      </c>
      <c r="L103" s="1947" t="s">
        <v>10</v>
      </c>
      <c r="M103" s="1754">
        <f>ROUND(I103,2)*ROUND(J103,4)</f>
        <v>9409.4599999999991</v>
      </c>
      <c r="N103" s="1712"/>
      <c r="O103" s="1712">
        <f>ROUND(M103*ROUND(N103,2)/10000,6)</f>
        <v>0</v>
      </c>
      <c r="P103" s="1712">
        <f>IFERROR(ROUND(Q103*10000/M103,2),0)</f>
        <v>0</v>
      </c>
      <c r="Q103" s="1712">
        <f>ROUND(O103/(1+R103),6)</f>
        <v>0</v>
      </c>
      <c r="R103" s="1757">
        <v>0.13</v>
      </c>
      <c r="S103" s="1712">
        <f>O103-Q103</f>
        <v>0</v>
      </c>
      <c r="T103" s="1712">
        <f t="shared" si="32"/>
        <v>0</v>
      </c>
      <c r="U103" s="1712">
        <f t="shared" si="31"/>
        <v>0</v>
      </c>
      <c r="V103" s="2015"/>
      <c r="X103" s="2079">
        <f>车位!O103</f>
        <v>0</v>
      </c>
      <c r="Y103" s="2080">
        <f t="shared" si="28"/>
        <v>0</v>
      </c>
      <c r="Z103" s="2080"/>
      <c r="AA103" s="2079">
        <v>0</v>
      </c>
      <c r="AB103" s="2080">
        <f t="shared" si="29"/>
        <v>0</v>
      </c>
      <c r="AC103" s="2079"/>
      <c r="AD103" s="2079"/>
      <c r="AE103" s="2079"/>
      <c r="AF103" s="2079"/>
      <c r="AG103" s="2079"/>
      <c r="AH103" s="2079"/>
      <c r="AI103" s="2079"/>
      <c r="AJ103" s="2079"/>
      <c r="AK103" s="2079"/>
    </row>
    <row r="104" spans="1:37" s="1942" customFormat="1" ht="28.5" customHeight="1" outlineLevel="3">
      <c r="A104" s="1944"/>
      <c r="B104" s="1978" t="s">
        <v>3525</v>
      </c>
      <c r="C104" s="1810"/>
      <c r="D104" s="2008" t="s">
        <v>3526</v>
      </c>
      <c r="E104" s="2009" t="s">
        <v>3527</v>
      </c>
      <c r="F104" s="1462" t="s">
        <v>3521</v>
      </c>
      <c r="G104" s="1953" t="s">
        <v>4139</v>
      </c>
      <c r="H104" s="1975" t="s">
        <v>10</v>
      </c>
      <c r="I104" s="1712">
        <f t="shared" si="38"/>
        <v>9409.4599999999991</v>
      </c>
      <c r="J104" s="1949">
        <v>1</v>
      </c>
      <c r="K104" s="1950" t="s">
        <v>101</v>
      </c>
      <c r="L104" s="1947" t="s">
        <v>10</v>
      </c>
      <c r="M104" s="1754">
        <f>ROUND(I104,2)*ROUND(J104,4)</f>
        <v>9409.4599999999991</v>
      </c>
      <c r="N104" s="1712"/>
      <c r="O104" s="1712">
        <f>ROUND(M104*ROUND(N104,2)/10000,6)</f>
        <v>0</v>
      </c>
      <c r="P104" s="1712">
        <f>IFERROR(ROUND(Q104*10000/M104,2),0)</f>
        <v>0</v>
      </c>
      <c r="Q104" s="1712">
        <f>ROUND(O104/(1+R104),6)</f>
        <v>0</v>
      </c>
      <c r="R104" s="1757">
        <v>0.13</v>
      </c>
      <c r="S104" s="1712">
        <f>O104-Q104</f>
        <v>0</v>
      </c>
      <c r="T104" s="1712">
        <f t="shared" si="32"/>
        <v>0</v>
      </c>
      <c r="U104" s="1712">
        <f t="shared" si="31"/>
        <v>0</v>
      </c>
      <c r="V104" s="2015"/>
      <c r="X104" s="2079">
        <f>车位!O104</f>
        <v>0</v>
      </c>
      <c r="Y104" s="2080">
        <f t="shared" si="28"/>
        <v>0</v>
      </c>
      <c r="Z104" s="2080"/>
      <c r="AA104" s="2079">
        <v>0</v>
      </c>
      <c r="AB104" s="2080">
        <f t="shared" si="29"/>
        <v>0</v>
      </c>
      <c r="AC104" s="2079"/>
      <c r="AD104" s="2079"/>
      <c r="AE104" s="2079"/>
      <c r="AF104" s="2079"/>
      <c r="AG104" s="2079"/>
      <c r="AH104" s="2079"/>
      <c r="AI104" s="2079"/>
      <c r="AJ104" s="2079"/>
      <c r="AK104" s="2079"/>
    </row>
    <row r="105" spans="1:37" s="1942" customFormat="1" ht="28.5" customHeight="1" outlineLevel="2">
      <c r="A105" s="1944"/>
      <c r="B105" s="1978" t="s">
        <v>3528</v>
      </c>
      <c r="C105" s="1810"/>
      <c r="D105" s="2017" t="s">
        <v>3529</v>
      </c>
      <c r="E105" s="2009" t="s">
        <v>3530</v>
      </c>
      <c r="F105" s="1462" t="s">
        <v>3531</v>
      </c>
      <c r="G105" s="1953" t="s">
        <v>4140</v>
      </c>
      <c r="H105" s="1975" t="s">
        <v>10</v>
      </c>
      <c r="I105" s="1712">
        <f t="shared" si="38"/>
        <v>9409.4599999999991</v>
      </c>
      <c r="J105" s="1949">
        <v>1</v>
      </c>
      <c r="K105" s="1950" t="s">
        <v>101</v>
      </c>
      <c r="L105" s="1947" t="s">
        <v>10</v>
      </c>
      <c r="M105" s="1754">
        <f>ROUND(I105,2)*ROUND(J105,4)</f>
        <v>9409.4599999999991</v>
      </c>
      <c r="N105" s="1712"/>
      <c r="O105" s="1712">
        <f>ROUND(M105*ROUND(N105,2)/10000,6)</f>
        <v>0</v>
      </c>
      <c r="P105" s="1712">
        <f>IFERROR(ROUND(Q105*10000/M105,2),0)</f>
        <v>0</v>
      </c>
      <c r="Q105" s="1712">
        <f>ROUND(O105/(1+R105),6)</f>
        <v>0</v>
      </c>
      <c r="R105" s="1757">
        <v>0.09</v>
      </c>
      <c r="S105" s="1712">
        <f>O105-Q105</f>
        <v>0</v>
      </c>
      <c r="T105" s="1712">
        <f t="shared" si="32"/>
        <v>0</v>
      </c>
      <c r="U105" s="1712">
        <f t="shared" si="31"/>
        <v>0</v>
      </c>
      <c r="V105" s="2015"/>
      <c r="X105" s="2079">
        <f>车位!O105</f>
        <v>0</v>
      </c>
      <c r="Y105" s="2080">
        <f t="shared" si="28"/>
        <v>0</v>
      </c>
      <c r="Z105" s="2080"/>
      <c r="AA105" s="2079">
        <v>0</v>
      </c>
      <c r="AB105" s="2080">
        <f t="shared" si="29"/>
        <v>0</v>
      </c>
      <c r="AC105" s="2079"/>
      <c r="AD105" s="2079"/>
      <c r="AE105" s="2079"/>
      <c r="AF105" s="2079"/>
      <c r="AG105" s="2079"/>
      <c r="AH105" s="2079"/>
      <c r="AI105" s="2079"/>
      <c r="AJ105" s="2079"/>
      <c r="AK105" s="2079"/>
    </row>
    <row r="106" spans="1:37" ht="28.5" customHeight="1">
      <c r="A106" s="2019"/>
      <c r="B106" s="1684">
        <v>5001.04</v>
      </c>
      <c r="C106" s="1685" t="s">
        <v>34</v>
      </c>
      <c r="D106" s="1956" t="s">
        <v>497</v>
      </c>
      <c r="E106" s="1957"/>
      <c r="F106" s="2020"/>
      <c r="G106" s="2021" t="s">
        <v>4117</v>
      </c>
      <c r="H106" s="1959"/>
      <c r="I106" s="1960"/>
      <c r="J106" s="1961"/>
      <c r="K106" s="2022"/>
      <c r="L106" s="1959"/>
      <c r="M106" s="2022"/>
      <c r="N106" s="1963"/>
      <c r="O106" s="1963">
        <f>SUBTOTAL(9,O107:O131)</f>
        <v>0</v>
      </c>
      <c r="P106" s="1963"/>
      <c r="Q106" s="1963">
        <f>SUBTOTAL(9,Q107:Q131)</f>
        <v>0</v>
      </c>
      <c r="R106" s="1963"/>
      <c r="S106" s="1963">
        <f>SUBTOTAL(9,S107:S131)</f>
        <v>0</v>
      </c>
      <c r="T106" s="1963">
        <f t="shared" si="32"/>
        <v>0</v>
      </c>
      <c r="U106" s="1963">
        <f t="shared" si="31"/>
        <v>0</v>
      </c>
      <c r="V106" s="1964"/>
      <c r="X106" s="2079">
        <f>车位!O106</f>
        <v>0</v>
      </c>
      <c r="Y106" s="2080">
        <f t="shared" si="28"/>
        <v>0</v>
      </c>
      <c r="Z106" s="2080"/>
      <c r="AA106" s="2077">
        <v>0</v>
      </c>
      <c r="AB106" s="2080">
        <f t="shared" si="29"/>
        <v>0</v>
      </c>
    </row>
    <row r="107" spans="1:37" ht="28.5" customHeight="1" outlineLevel="1">
      <c r="A107" s="2019"/>
      <c r="B107" s="2023" t="s">
        <v>676</v>
      </c>
      <c r="C107" s="1852">
        <v>1</v>
      </c>
      <c r="D107" s="2024" t="s">
        <v>22</v>
      </c>
      <c r="E107" s="2025"/>
      <c r="F107" s="1968"/>
      <c r="G107" s="2007" t="s">
        <v>4117</v>
      </c>
      <c r="H107" s="1967"/>
      <c r="I107" s="1969"/>
      <c r="J107" s="1970"/>
      <c r="K107" s="1971"/>
      <c r="L107" s="1967"/>
      <c r="M107" s="1971"/>
      <c r="N107" s="1973"/>
      <c r="O107" s="1973">
        <f>SUBTOTAL(9,O108:O125)</f>
        <v>0</v>
      </c>
      <c r="P107" s="1973"/>
      <c r="Q107" s="1973">
        <f>SUBTOTAL(9,Q108:Q125)</f>
        <v>0</v>
      </c>
      <c r="R107" s="1973"/>
      <c r="S107" s="1973">
        <f>SUBTOTAL(9,S108:S125)</f>
        <v>0</v>
      </c>
      <c r="T107" s="1973">
        <f t="shared" si="32"/>
        <v>0</v>
      </c>
      <c r="U107" s="1973">
        <f t="shared" si="31"/>
        <v>0</v>
      </c>
      <c r="V107" s="1974"/>
      <c r="X107" s="2079">
        <f>车位!O107</f>
        <v>0</v>
      </c>
      <c r="Y107" s="2080">
        <f t="shared" si="28"/>
        <v>0</v>
      </c>
      <c r="Z107" s="2080"/>
      <c r="AA107" s="2077">
        <v>0</v>
      </c>
      <c r="AB107" s="2080">
        <f t="shared" si="29"/>
        <v>0</v>
      </c>
    </row>
    <row r="108" spans="1:37" s="1942" customFormat="1" ht="28.5" customHeight="1" outlineLevel="2">
      <c r="A108" s="1944"/>
      <c r="B108" s="1807" t="s">
        <v>677</v>
      </c>
      <c r="C108" s="1808"/>
      <c r="D108" s="1843" t="s">
        <v>3575</v>
      </c>
      <c r="E108" s="2009" t="s">
        <v>3576</v>
      </c>
      <c r="F108" s="1462" t="s">
        <v>3577</v>
      </c>
      <c r="G108" s="1953" t="s">
        <v>4141</v>
      </c>
      <c r="H108" s="1975" t="s">
        <v>10</v>
      </c>
      <c r="I108" s="1712">
        <f>$E$5</f>
        <v>9409.4599999999991</v>
      </c>
      <c r="J108" s="1949">
        <v>1</v>
      </c>
      <c r="K108" s="1950" t="s">
        <v>101</v>
      </c>
      <c r="L108" s="1947" t="s">
        <v>10</v>
      </c>
      <c r="M108" s="1754">
        <f t="shared" ref="M108:M129" si="39">ROUND(I108,2)*ROUND(J108,4)</f>
        <v>9409.4599999999991</v>
      </c>
      <c r="N108" s="1712"/>
      <c r="O108" s="1712">
        <f t="shared" ref="O108:O125" si="40">ROUND(M108*ROUND(N108,2)/10000,6)</f>
        <v>0</v>
      </c>
      <c r="P108" s="1712">
        <f t="shared" ref="P108:P125" si="41">IFERROR(ROUND(Q108*10000/M108,2),0)</f>
        <v>0</v>
      </c>
      <c r="Q108" s="1712">
        <f t="shared" ref="Q108:Q125" si="42">ROUND(O108/(1+R108),6)</f>
        <v>0</v>
      </c>
      <c r="R108" s="1757">
        <v>0.09</v>
      </c>
      <c r="S108" s="1712">
        <f t="shared" ref="S108:S125" si="43">O108-Q108</f>
        <v>0</v>
      </c>
      <c r="T108" s="1712">
        <f t="shared" si="32"/>
        <v>0</v>
      </c>
      <c r="U108" s="1712">
        <f t="shared" si="31"/>
        <v>0</v>
      </c>
      <c r="V108" s="1952"/>
      <c r="X108" s="2079">
        <f>车位!O108</f>
        <v>0</v>
      </c>
      <c r="Y108" s="2080">
        <f t="shared" si="28"/>
        <v>0</v>
      </c>
      <c r="Z108" s="2080"/>
      <c r="AA108" s="2079">
        <v>0</v>
      </c>
      <c r="AB108" s="2080">
        <f t="shared" si="29"/>
        <v>0</v>
      </c>
      <c r="AC108" s="2079"/>
      <c r="AD108" s="2079"/>
      <c r="AE108" s="2079"/>
      <c r="AF108" s="2079"/>
      <c r="AG108" s="2079"/>
      <c r="AH108" s="2079"/>
      <c r="AI108" s="2079"/>
      <c r="AJ108" s="2079"/>
      <c r="AK108" s="2079"/>
    </row>
    <row r="109" spans="1:37" s="1942" customFormat="1" ht="28.5" customHeight="1" outlineLevel="2">
      <c r="A109" s="1944"/>
      <c r="B109" s="1807" t="s">
        <v>678</v>
      </c>
      <c r="C109" s="1808"/>
      <c r="D109" s="1843" t="s">
        <v>3578</v>
      </c>
      <c r="E109" s="2009" t="s">
        <v>3579</v>
      </c>
      <c r="F109" s="1462" t="s">
        <v>3580</v>
      </c>
      <c r="G109" s="1953" t="s">
        <v>4142</v>
      </c>
      <c r="H109" s="1947" t="s">
        <v>3926</v>
      </c>
      <c r="I109" s="1712">
        <f>$G$7</f>
        <v>0</v>
      </c>
      <c r="J109" s="1949">
        <v>5</v>
      </c>
      <c r="K109" s="1950" t="s">
        <v>4</v>
      </c>
      <c r="L109" s="1947" t="s">
        <v>4053</v>
      </c>
      <c r="M109" s="1754">
        <f t="shared" si="39"/>
        <v>0</v>
      </c>
      <c r="N109" s="1712"/>
      <c r="O109" s="1712">
        <f t="shared" si="40"/>
        <v>0</v>
      </c>
      <c r="P109" s="1712">
        <f t="shared" si="41"/>
        <v>0</v>
      </c>
      <c r="Q109" s="1712">
        <f t="shared" si="42"/>
        <v>0</v>
      </c>
      <c r="R109" s="1757">
        <v>0.13</v>
      </c>
      <c r="S109" s="1712">
        <f t="shared" si="43"/>
        <v>0</v>
      </c>
      <c r="T109" s="1712">
        <f t="shared" si="32"/>
        <v>0</v>
      </c>
      <c r="U109" s="1712">
        <f t="shared" si="31"/>
        <v>0</v>
      </c>
      <c r="V109" s="1952"/>
      <c r="X109" s="2079">
        <f>车位!O109</f>
        <v>0</v>
      </c>
      <c r="Y109" s="2080">
        <f t="shared" si="28"/>
        <v>0</v>
      </c>
      <c r="Z109" s="2080"/>
      <c r="AA109" s="2079">
        <v>0</v>
      </c>
      <c r="AB109" s="2080">
        <f t="shared" si="29"/>
        <v>0</v>
      </c>
      <c r="AC109" s="2079"/>
      <c r="AD109" s="2079"/>
      <c r="AE109" s="2079"/>
      <c r="AF109" s="2079"/>
      <c r="AG109" s="2079"/>
      <c r="AH109" s="2079"/>
      <c r="AI109" s="2079"/>
      <c r="AJ109" s="2079"/>
      <c r="AK109" s="2079"/>
    </row>
    <row r="110" spans="1:37" s="1942" customFormat="1" ht="28.5" customHeight="1" outlineLevel="2">
      <c r="A110" s="1944"/>
      <c r="B110" s="1807" t="s">
        <v>679</v>
      </c>
      <c r="C110" s="1808"/>
      <c r="D110" s="1843" t="s">
        <v>3581</v>
      </c>
      <c r="E110" s="2009" t="s">
        <v>3582</v>
      </c>
      <c r="F110" s="1462" t="s">
        <v>3014</v>
      </c>
      <c r="G110" s="1953" t="s">
        <v>4143</v>
      </c>
      <c r="H110" s="1947" t="s">
        <v>3926</v>
      </c>
      <c r="I110" s="1712">
        <f>$G$7</f>
        <v>0</v>
      </c>
      <c r="J110" s="1949">
        <v>1</v>
      </c>
      <c r="K110" s="1950" t="s">
        <v>3947</v>
      </c>
      <c r="L110" s="1947" t="s">
        <v>3926</v>
      </c>
      <c r="M110" s="1754">
        <f t="shared" si="39"/>
        <v>0</v>
      </c>
      <c r="N110" s="1712"/>
      <c r="O110" s="1712">
        <f t="shared" si="40"/>
        <v>0</v>
      </c>
      <c r="P110" s="1712">
        <f t="shared" si="41"/>
        <v>0</v>
      </c>
      <c r="Q110" s="1712">
        <f t="shared" si="42"/>
        <v>0</v>
      </c>
      <c r="R110" s="1757">
        <v>0.13</v>
      </c>
      <c r="S110" s="1712">
        <f t="shared" si="43"/>
        <v>0</v>
      </c>
      <c r="T110" s="1712">
        <f t="shared" si="32"/>
        <v>0</v>
      </c>
      <c r="U110" s="1712">
        <f t="shared" si="31"/>
        <v>0</v>
      </c>
      <c r="V110" s="1952"/>
      <c r="X110" s="2079">
        <f>车位!O110</f>
        <v>0</v>
      </c>
      <c r="Y110" s="2080">
        <f t="shared" si="28"/>
        <v>0</v>
      </c>
      <c r="Z110" s="2080"/>
      <c r="AA110" s="2079">
        <v>0</v>
      </c>
      <c r="AB110" s="2080">
        <f t="shared" si="29"/>
        <v>0</v>
      </c>
      <c r="AC110" s="2079"/>
      <c r="AD110" s="2079"/>
      <c r="AE110" s="2079"/>
      <c r="AF110" s="2079"/>
      <c r="AG110" s="2079"/>
      <c r="AH110" s="2079"/>
      <c r="AI110" s="2079"/>
      <c r="AJ110" s="2079"/>
      <c r="AK110" s="2079"/>
    </row>
    <row r="111" spans="1:37" s="1942" customFormat="1" ht="28.5" customHeight="1" outlineLevel="2">
      <c r="A111" s="1944"/>
      <c r="B111" s="1807" t="s">
        <v>680</v>
      </c>
      <c r="C111" s="1808"/>
      <c r="D111" s="1843" t="s">
        <v>3583</v>
      </c>
      <c r="E111" s="2009" t="s">
        <v>3584</v>
      </c>
      <c r="F111" s="1462" t="s">
        <v>1329</v>
      </c>
      <c r="G111" s="1953" t="s">
        <v>4132</v>
      </c>
      <c r="H111" s="1947" t="s">
        <v>3926</v>
      </c>
      <c r="I111" s="1712">
        <f>$G$7</f>
        <v>0</v>
      </c>
      <c r="J111" s="1949">
        <v>1</v>
      </c>
      <c r="K111" s="1950" t="s">
        <v>4</v>
      </c>
      <c r="L111" s="1947" t="s">
        <v>4054</v>
      </c>
      <c r="M111" s="1754">
        <f t="shared" si="39"/>
        <v>0</v>
      </c>
      <c r="N111" s="1712"/>
      <c r="O111" s="1712">
        <f t="shared" si="40"/>
        <v>0</v>
      </c>
      <c r="P111" s="1712">
        <f t="shared" si="41"/>
        <v>0</v>
      </c>
      <c r="Q111" s="1712">
        <f t="shared" si="42"/>
        <v>0</v>
      </c>
      <c r="R111" s="1757">
        <v>0.13</v>
      </c>
      <c r="S111" s="1712">
        <f t="shared" si="43"/>
        <v>0</v>
      </c>
      <c r="T111" s="1712">
        <f t="shared" si="32"/>
        <v>0</v>
      </c>
      <c r="U111" s="1712">
        <f t="shared" si="31"/>
        <v>0</v>
      </c>
      <c r="V111" s="1952"/>
      <c r="X111" s="2079">
        <f>车位!O111</f>
        <v>0</v>
      </c>
      <c r="Y111" s="2080">
        <f t="shared" si="28"/>
        <v>0</v>
      </c>
      <c r="Z111" s="2080"/>
      <c r="AA111" s="2079">
        <v>0</v>
      </c>
      <c r="AB111" s="2080">
        <f t="shared" si="29"/>
        <v>0</v>
      </c>
      <c r="AC111" s="2079"/>
      <c r="AD111" s="2079"/>
      <c r="AE111" s="2079"/>
      <c r="AF111" s="2079"/>
      <c r="AG111" s="2079"/>
      <c r="AH111" s="2079"/>
      <c r="AI111" s="2079"/>
      <c r="AJ111" s="2079"/>
      <c r="AK111" s="2079"/>
    </row>
    <row r="112" spans="1:37" s="1942" customFormat="1" ht="28.5" customHeight="1" outlineLevel="2">
      <c r="A112" s="1944"/>
      <c r="B112" s="1807" t="s">
        <v>681</v>
      </c>
      <c r="C112" s="1808"/>
      <c r="D112" s="1843" t="s">
        <v>3585</v>
      </c>
      <c r="E112" s="2009" t="s">
        <v>3586</v>
      </c>
      <c r="F112" s="1462" t="s">
        <v>450</v>
      </c>
      <c r="G112" s="1953" t="s">
        <v>4144</v>
      </c>
      <c r="H112" s="1975" t="s">
        <v>10</v>
      </c>
      <c r="I112" s="1712">
        <f>$E$5</f>
        <v>9409.4599999999991</v>
      </c>
      <c r="J112" s="1949">
        <v>1</v>
      </c>
      <c r="K112" s="1950" t="s">
        <v>101</v>
      </c>
      <c r="L112" s="1947" t="s">
        <v>10</v>
      </c>
      <c r="M112" s="1754">
        <f t="shared" si="39"/>
        <v>9409.4599999999991</v>
      </c>
      <c r="N112" s="1712"/>
      <c r="O112" s="1712">
        <f t="shared" si="40"/>
        <v>0</v>
      </c>
      <c r="P112" s="1712">
        <f t="shared" si="41"/>
        <v>0</v>
      </c>
      <c r="Q112" s="1712">
        <f t="shared" si="42"/>
        <v>0</v>
      </c>
      <c r="R112" s="1757">
        <v>0.13</v>
      </c>
      <c r="S112" s="1712">
        <f t="shared" si="43"/>
        <v>0</v>
      </c>
      <c r="T112" s="1712">
        <f t="shared" si="32"/>
        <v>0</v>
      </c>
      <c r="U112" s="1712">
        <f t="shared" si="31"/>
        <v>0</v>
      </c>
      <c r="V112" s="1952"/>
      <c r="X112" s="2079">
        <f>车位!O112</f>
        <v>0</v>
      </c>
      <c r="Y112" s="2080">
        <f t="shared" si="28"/>
        <v>0</v>
      </c>
      <c r="Z112" s="2080"/>
      <c r="AA112" s="2079">
        <v>0</v>
      </c>
      <c r="AB112" s="2080">
        <f t="shared" si="29"/>
        <v>0</v>
      </c>
      <c r="AC112" s="2079"/>
      <c r="AD112" s="2079"/>
      <c r="AE112" s="2079"/>
      <c r="AF112" s="2079"/>
      <c r="AG112" s="2079"/>
      <c r="AH112" s="2079"/>
      <c r="AI112" s="2079"/>
      <c r="AJ112" s="2079"/>
      <c r="AK112" s="2079"/>
    </row>
    <row r="113" spans="1:37" s="1942" customFormat="1" ht="28.5" customHeight="1" outlineLevel="2">
      <c r="A113" s="1944"/>
      <c r="B113" s="1807" t="s">
        <v>682</v>
      </c>
      <c r="C113" s="1808"/>
      <c r="D113" s="1843" t="s">
        <v>3587</v>
      </c>
      <c r="E113" s="2009" t="s">
        <v>3588</v>
      </c>
      <c r="F113" s="1462" t="s">
        <v>1329</v>
      </c>
      <c r="G113" s="1953" t="s">
        <v>4132</v>
      </c>
      <c r="H113" s="1947" t="s">
        <v>3926</v>
      </c>
      <c r="I113" s="1712">
        <f>$G$7</f>
        <v>0</v>
      </c>
      <c r="J113" s="1949">
        <v>1</v>
      </c>
      <c r="K113" s="1950" t="s">
        <v>4</v>
      </c>
      <c r="L113" s="1947" t="s">
        <v>4055</v>
      </c>
      <c r="M113" s="1754">
        <f t="shared" si="39"/>
        <v>0</v>
      </c>
      <c r="N113" s="1712"/>
      <c r="O113" s="1712">
        <f t="shared" si="40"/>
        <v>0</v>
      </c>
      <c r="P113" s="1712">
        <f t="shared" si="41"/>
        <v>0</v>
      </c>
      <c r="Q113" s="1712">
        <f t="shared" si="42"/>
        <v>0</v>
      </c>
      <c r="R113" s="1757">
        <v>0.13</v>
      </c>
      <c r="S113" s="1712">
        <f t="shared" si="43"/>
        <v>0</v>
      </c>
      <c r="T113" s="1712">
        <f t="shared" si="32"/>
        <v>0</v>
      </c>
      <c r="U113" s="1712">
        <f t="shared" si="31"/>
        <v>0</v>
      </c>
      <c r="V113" s="1952"/>
      <c r="X113" s="2079">
        <f>车位!O113</f>
        <v>0</v>
      </c>
      <c r="Y113" s="2080">
        <f t="shared" si="28"/>
        <v>0</v>
      </c>
      <c r="Z113" s="2080"/>
      <c r="AA113" s="2079">
        <v>0</v>
      </c>
      <c r="AB113" s="2080">
        <f t="shared" si="29"/>
        <v>0</v>
      </c>
      <c r="AC113" s="2079"/>
      <c r="AD113" s="2079"/>
      <c r="AE113" s="2079"/>
      <c r="AF113" s="2079"/>
      <c r="AG113" s="2079"/>
      <c r="AH113" s="2079"/>
      <c r="AI113" s="2079"/>
      <c r="AJ113" s="2079"/>
      <c r="AK113" s="2079"/>
    </row>
    <row r="114" spans="1:37" s="1942" customFormat="1" ht="28.5" customHeight="1" outlineLevel="2">
      <c r="A114" s="1944"/>
      <c r="B114" s="1807" t="s">
        <v>683</v>
      </c>
      <c r="C114" s="1808"/>
      <c r="D114" s="1843" t="s">
        <v>3589</v>
      </c>
      <c r="E114" s="2009" t="s">
        <v>3590</v>
      </c>
      <c r="F114" s="1462" t="s">
        <v>1548</v>
      </c>
      <c r="G114" s="1953" t="s">
        <v>4145</v>
      </c>
      <c r="H114" s="1975" t="s">
        <v>3926</v>
      </c>
      <c r="I114" s="1712">
        <f>$G$7</f>
        <v>0</v>
      </c>
      <c r="J114" s="1949">
        <v>1</v>
      </c>
      <c r="K114" s="1950" t="s">
        <v>3947</v>
      </c>
      <c r="L114" s="1947" t="s">
        <v>3926</v>
      </c>
      <c r="M114" s="1754">
        <f t="shared" si="39"/>
        <v>0</v>
      </c>
      <c r="N114" s="1712"/>
      <c r="O114" s="1712">
        <f t="shared" si="40"/>
        <v>0</v>
      </c>
      <c r="P114" s="1712">
        <f t="shared" si="41"/>
        <v>0</v>
      </c>
      <c r="Q114" s="1712">
        <f t="shared" si="42"/>
        <v>0</v>
      </c>
      <c r="R114" s="1757">
        <v>0.13</v>
      </c>
      <c r="S114" s="1712">
        <f t="shared" si="43"/>
        <v>0</v>
      </c>
      <c r="T114" s="1712">
        <f t="shared" si="32"/>
        <v>0</v>
      </c>
      <c r="U114" s="1712">
        <f t="shared" si="31"/>
        <v>0</v>
      </c>
      <c r="V114" s="1952"/>
      <c r="X114" s="2079">
        <f>车位!O114</f>
        <v>0</v>
      </c>
      <c r="Y114" s="2080">
        <f t="shared" si="28"/>
        <v>0</v>
      </c>
      <c r="Z114" s="2080"/>
      <c r="AA114" s="2079">
        <v>0</v>
      </c>
      <c r="AB114" s="2080">
        <f t="shared" si="29"/>
        <v>0</v>
      </c>
      <c r="AC114" s="2079"/>
      <c r="AD114" s="2079"/>
      <c r="AE114" s="2079"/>
      <c r="AF114" s="2079"/>
      <c r="AG114" s="2079"/>
      <c r="AH114" s="2079"/>
      <c r="AI114" s="2079"/>
      <c r="AJ114" s="2079"/>
      <c r="AK114" s="2079"/>
    </row>
    <row r="115" spans="1:37" s="1942" customFormat="1" ht="28.5" customHeight="1" outlineLevel="2">
      <c r="A115" s="1944"/>
      <c r="B115" s="1807" t="s">
        <v>1549</v>
      </c>
      <c r="C115" s="1808"/>
      <c r="D115" s="1843" t="s">
        <v>3591</v>
      </c>
      <c r="E115" s="2009" t="s">
        <v>3592</v>
      </c>
      <c r="F115" s="1462" t="s">
        <v>3593</v>
      </c>
      <c r="G115" s="1953" t="s">
        <v>4146</v>
      </c>
      <c r="H115" s="1975" t="s">
        <v>10</v>
      </c>
      <c r="I115" s="1712">
        <f>$E$5</f>
        <v>9409.4599999999991</v>
      </c>
      <c r="J115" s="1949">
        <v>1</v>
      </c>
      <c r="K115" s="1950" t="s">
        <v>101</v>
      </c>
      <c r="L115" s="1947" t="s">
        <v>10</v>
      </c>
      <c r="M115" s="1754">
        <f t="shared" si="39"/>
        <v>9409.4599999999991</v>
      </c>
      <c r="N115" s="1712"/>
      <c r="O115" s="1712">
        <f t="shared" si="40"/>
        <v>0</v>
      </c>
      <c r="P115" s="1712">
        <f t="shared" si="41"/>
        <v>0</v>
      </c>
      <c r="Q115" s="1712">
        <f t="shared" si="42"/>
        <v>0</v>
      </c>
      <c r="R115" s="1757">
        <v>0.13</v>
      </c>
      <c r="S115" s="1712">
        <f t="shared" si="43"/>
        <v>0</v>
      </c>
      <c r="T115" s="1712">
        <f t="shared" si="32"/>
        <v>0</v>
      </c>
      <c r="U115" s="1712">
        <f t="shared" si="31"/>
        <v>0</v>
      </c>
      <c r="V115" s="1952"/>
      <c r="X115" s="2079">
        <f>车位!O115</f>
        <v>0</v>
      </c>
      <c r="Y115" s="2080">
        <f t="shared" si="28"/>
        <v>0</v>
      </c>
      <c r="Z115" s="2080"/>
      <c r="AA115" s="2079">
        <v>0</v>
      </c>
      <c r="AB115" s="2080">
        <f t="shared" si="29"/>
        <v>0</v>
      </c>
      <c r="AC115" s="2079"/>
      <c r="AD115" s="2079"/>
      <c r="AE115" s="2079"/>
      <c r="AF115" s="2079"/>
      <c r="AG115" s="2079"/>
      <c r="AH115" s="2079"/>
      <c r="AI115" s="2079"/>
      <c r="AJ115" s="2079"/>
      <c r="AK115" s="2079"/>
    </row>
    <row r="116" spans="1:37" s="1942" customFormat="1" ht="28.5" customHeight="1" outlineLevel="2">
      <c r="A116" s="1944"/>
      <c r="B116" s="1807" t="s">
        <v>684</v>
      </c>
      <c r="C116" s="1808"/>
      <c r="D116" s="1843" t="s">
        <v>3594</v>
      </c>
      <c r="E116" s="2009" t="s">
        <v>3595</v>
      </c>
      <c r="F116" s="1462" t="s">
        <v>1329</v>
      </c>
      <c r="G116" s="1953" t="s">
        <v>4132</v>
      </c>
      <c r="H116" s="1975" t="s">
        <v>10</v>
      </c>
      <c r="I116" s="1712">
        <f t="shared" ref="I116:I131" si="44">$E$5</f>
        <v>9409.4599999999991</v>
      </c>
      <c r="J116" s="1949">
        <v>1</v>
      </c>
      <c r="K116" s="1950" t="s">
        <v>101</v>
      </c>
      <c r="L116" s="1947" t="s">
        <v>10</v>
      </c>
      <c r="M116" s="1754">
        <f t="shared" si="39"/>
        <v>9409.4599999999991</v>
      </c>
      <c r="N116" s="1712"/>
      <c r="O116" s="1712">
        <f t="shared" si="40"/>
        <v>0</v>
      </c>
      <c r="P116" s="1712">
        <f t="shared" si="41"/>
        <v>0</v>
      </c>
      <c r="Q116" s="1712">
        <f t="shared" si="42"/>
        <v>0</v>
      </c>
      <c r="R116" s="1757">
        <v>0.13</v>
      </c>
      <c r="S116" s="1712">
        <f t="shared" si="43"/>
        <v>0</v>
      </c>
      <c r="T116" s="1712">
        <f t="shared" si="32"/>
        <v>0</v>
      </c>
      <c r="U116" s="1712">
        <f t="shared" si="31"/>
        <v>0</v>
      </c>
      <c r="V116" s="1952"/>
      <c r="X116" s="2079">
        <f>车位!O116</f>
        <v>0</v>
      </c>
      <c r="Y116" s="2080">
        <f t="shared" si="28"/>
        <v>0</v>
      </c>
      <c r="Z116" s="2080"/>
      <c r="AA116" s="2079">
        <v>0</v>
      </c>
      <c r="AB116" s="2080">
        <f t="shared" si="29"/>
        <v>0</v>
      </c>
      <c r="AC116" s="2079"/>
      <c r="AD116" s="2079"/>
      <c r="AE116" s="2079"/>
      <c r="AF116" s="2079"/>
      <c r="AG116" s="2079"/>
      <c r="AH116" s="2079"/>
      <c r="AI116" s="2079"/>
      <c r="AJ116" s="2079"/>
      <c r="AK116" s="2079"/>
    </row>
    <row r="117" spans="1:37" s="1942" customFormat="1" ht="28.5" customHeight="1" outlineLevel="2">
      <c r="A117" s="1944"/>
      <c r="B117" s="1807" t="s">
        <v>685</v>
      </c>
      <c r="C117" s="1808"/>
      <c r="D117" s="1843" t="s">
        <v>3596</v>
      </c>
      <c r="E117" s="2009" t="s">
        <v>3597</v>
      </c>
      <c r="F117" s="1462" t="s">
        <v>1329</v>
      </c>
      <c r="G117" s="1953" t="s">
        <v>4132</v>
      </c>
      <c r="H117" s="1975" t="s">
        <v>10</v>
      </c>
      <c r="I117" s="1712">
        <f t="shared" si="44"/>
        <v>9409.4599999999991</v>
      </c>
      <c r="J117" s="1949">
        <v>1</v>
      </c>
      <c r="K117" s="1950" t="s">
        <v>101</v>
      </c>
      <c r="L117" s="1947" t="s">
        <v>10</v>
      </c>
      <c r="M117" s="1754">
        <f t="shared" si="39"/>
        <v>9409.4599999999991</v>
      </c>
      <c r="N117" s="1712"/>
      <c r="O117" s="1712">
        <f t="shared" si="40"/>
        <v>0</v>
      </c>
      <c r="P117" s="1712">
        <f t="shared" si="41"/>
        <v>0</v>
      </c>
      <c r="Q117" s="1712">
        <f t="shared" si="42"/>
        <v>0</v>
      </c>
      <c r="R117" s="1757">
        <v>0.13</v>
      </c>
      <c r="S117" s="1712">
        <f t="shared" si="43"/>
        <v>0</v>
      </c>
      <c r="T117" s="1712">
        <f t="shared" si="32"/>
        <v>0</v>
      </c>
      <c r="U117" s="1712">
        <f t="shared" si="31"/>
        <v>0</v>
      </c>
      <c r="V117" s="1952"/>
      <c r="X117" s="2079">
        <f>车位!O117</f>
        <v>0</v>
      </c>
      <c r="Y117" s="2080">
        <f t="shared" si="28"/>
        <v>0</v>
      </c>
      <c r="Z117" s="2080"/>
      <c r="AA117" s="2079">
        <v>0</v>
      </c>
      <c r="AB117" s="2080">
        <f t="shared" si="29"/>
        <v>0</v>
      </c>
      <c r="AC117" s="2079"/>
      <c r="AD117" s="2079"/>
      <c r="AE117" s="2079"/>
      <c r="AF117" s="2079"/>
      <c r="AG117" s="2079"/>
      <c r="AH117" s="2079"/>
      <c r="AI117" s="2079"/>
      <c r="AJ117" s="2079"/>
      <c r="AK117" s="2079"/>
    </row>
    <row r="118" spans="1:37" s="1942" customFormat="1" ht="28.5" customHeight="1" outlineLevel="2">
      <c r="A118" s="1944"/>
      <c r="B118" s="1807" t="s">
        <v>686</v>
      </c>
      <c r="C118" s="1808"/>
      <c r="D118" s="1843" t="s">
        <v>3598</v>
      </c>
      <c r="E118" s="2009" t="s">
        <v>3599</v>
      </c>
      <c r="F118" s="1462" t="s">
        <v>1329</v>
      </c>
      <c r="G118" s="1953" t="s">
        <v>4132</v>
      </c>
      <c r="H118" s="1975" t="s">
        <v>10</v>
      </c>
      <c r="I118" s="1712">
        <f t="shared" si="44"/>
        <v>9409.4599999999991</v>
      </c>
      <c r="J118" s="1949">
        <v>1</v>
      </c>
      <c r="K118" s="1950" t="s">
        <v>101</v>
      </c>
      <c r="L118" s="1947" t="s">
        <v>10</v>
      </c>
      <c r="M118" s="1754">
        <f t="shared" si="39"/>
        <v>9409.4599999999991</v>
      </c>
      <c r="N118" s="1712"/>
      <c r="O118" s="1712">
        <f t="shared" si="40"/>
        <v>0</v>
      </c>
      <c r="P118" s="1712">
        <f t="shared" si="41"/>
        <v>0</v>
      </c>
      <c r="Q118" s="1712">
        <f t="shared" si="42"/>
        <v>0</v>
      </c>
      <c r="R118" s="1757">
        <v>0.13</v>
      </c>
      <c r="S118" s="1712">
        <f t="shared" si="43"/>
        <v>0</v>
      </c>
      <c r="T118" s="1712">
        <f t="shared" si="32"/>
        <v>0</v>
      </c>
      <c r="U118" s="1712">
        <f t="shared" si="31"/>
        <v>0</v>
      </c>
      <c r="V118" s="1952"/>
      <c r="X118" s="2079">
        <f>车位!O118</f>
        <v>0</v>
      </c>
      <c r="Y118" s="2080">
        <f t="shared" si="28"/>
        <v>0</v>
      </c>
      <c r="Z118" s="2080"/>
      <c r="AA118" s="2079">
        <v>0</v>
      </c>
      <c r="AB118" s="2080">
        <f t="shared" si="29"/>
        <v>0</v>
      </c>
      <c r="AC118" s="2079"/>
      <c r="AD118" s="2079"/>
      <c r="AE118" s="2079"/>
      <c r="AF118" s="2079"/>
      <c r="AG118" s="2079"/>
      <c r="AH118" s="2079"/>
      <c r="AI118" s="2079"/>
      <c r="AJ118" s="2079"/>
      <c r="AK118" s="2079"/>
    </row>
    <row r="119" spans="1:37" s="1942" customFormat="1" ht="28.5" customHeight="1" outlineLevel="2">
      <c r="A119" s="1944"/>
      <c r="B119" s="1807" t="s">
        <v>3600</v>
      </c>
      <c r="C119" s="1808"/>
      <c r="D119" s="1843" t="s">
        <v>3601</v>
      </c>
      <c r="E119" s="2009" t="s">
        <v>3602</v>
      </c>
      <c r="F119" s="1462" t="s">
        <v>1329</v>
      </c>
      <c r="G119" s="1953" t="s">
        <v>4132</v>
      </c>
      <c r="H119" s="1975" t="s">
        <v>10</v>
      </c>
      <c r="I119" s="1712">
        <f t="shared" si="44"/>
        <v>9409.4599999999991</v>
      </c>
      <c r="J119" s="1949">
        <v>1</v>
      </c>
      <c r="K119" s="1950" t="s">
        <v>101</v>
      </c>
      <c r="L119" s="1947" t="s">
        <v>10</v>
      </c>
      <c r="M119" s="1754">
        <f t="shared" si="39"/>
        <v>9409.4599999999991</v>
      </c>
      <c r="N119" s="1712"/>
      <c r="O119" s="1712">
        <f t="shared" si="40"/>
        <v>0</v>
      </c>
      <c r="P119" s="1712">
        <f t="shared" si="41"/>
        <v>0</v>
      </c>
      <c r="Q119" s="1712">
        <f t="shared" si="42"/>
        <v>0</v>
      </c>
      <c r="R119" s="1757">
        <v>0.13</v>
      </c>
      <c r="S119" s="1712">
        <f t="shared" si="43"/>
        <v>0</v>
      </c>
      <c r="T119" s="1712">
        <f t="shared" si="32"/>
        <v>0</v>
      </c>
      <c r="U119" s="1712">
        <f t="shared" si="31"/>
        <v>0</v>
      </c>
      <c r="V119" s="1952"/>
      <c r="X119" s="2079">
        <f>车位!O119</f>
        <v>0</v>
      </c>
      <c r="Y119" s="2080">
        <f t="shared" si="28"/>
        <v>0</v>
      </c>
      <c r="Z119" s="2080"/>
      <c r="AA119" s="2079">
        <v>0</v>
      </c>
      <c r="AB119" s="2080">
        <f t="shared" si="29"/>
        <v>0</v>
      </c>
      <c r="AC119" s="2079"/>
      <c r="AD119" s="2079"/>
      <c r="AE119" s="2079"/>
      <c r="AF119" s="2079"/>
      <c r="AG119" s="2079"/>
      <c r="AH119" s="2079"/>
      <c r="AI119" s="2079"/>
      <c r="AJ119" s="2079"/>
      <c r="AK119" s="2079"/>
    </row>
    <row r="120" spans="1:37" s="1942" customFormat="1" ht="28.5" customHeight="1" outlineLevel="2">
      <c r="A120" s="1944"/>
      <c r="B120" s="1807" t="s">
        <v>3603</v>
      </c>
      <c r="C120" s="1808"/>
      <c r="D120" s="1843" t="s">
        <v>3604</v>
      </c>
      <c r="E120" s="2009" t="s">
        <v>3605</v>
      </c>
      <c r="F120" s="1462" t="s">
        <v>1329</v>
      </c>
      <c r="G120" s="1953" t="s">
        <v>4132</v>
      </c>
      <c r="H120" s="1975" t="s">
        <v>10</v>
      </c>
      <c r="I120" s="1712">
        <f t="shared" si="44"/>
        <v>9409.4599999999991</v>
      </c>
      <c r="J120" s="1949">
        <v>1</v>
      </c>
      <c r="K120" s="1950" t="s">
        <v>101</v>
      </c>
      <c r="L120" s="1947" t="s">
        <v>10</v>
      </c>
      <c r="M120" s="1754">
        <f t="shared" si="39"/>
        <v>9409.4599999999991</v>
      </c>
      <c r="N120" s="1712"/>
      <c r="O120" s="1712">
        <f t="shared" si="40"/>
        <v>0</v>
      </c>
      <c r="P120" s="1712">
        <f t="shared" si="41"/>
        <v>0</v>
      </c>
      <c r="Q120" s="1712">
        <f t="shared" si="42"/>
        <v>0</v>
      </c>
      <c r="R120" s="1757">
        <v>0.13</v>
      </c>
      <c r="S120" s="1712">
        <f t="shared" si="43"/>
        <v>0</v>
      </c>
      <c r="T120" s="1712">
        <f t="shared" si="32"/>
        <v>0</v>
      </c>
      <c r="U120" s="1712">
        <f t="shared" si="31"/>
        <v>0</v>
      </c>
      <c r="V120" s="1952"/>
      <c r="X120" s="2079">
        <f>车位!O120</f>
        <v>0</v>
      </c>
      <c r="Y120" s="2080">
        <f t="shared" si="28"/>
        <v>0</v>
      </c>
      <c r="Z120" s="2080"/>
      <c r="AA120" s="2079">
        <v>0</v>
      </c>
      <c r="AB120" s="2080">
        <f t="shared" si="29"/>
        <v>0</v>
      </c>
      <c r="AC120" s="2079"/>
      <c r="AD120" s="2079"/>
      <c r="AE120" s="2079"/>
      <c r="AF120" s="2079"/>
      <c r="AG120" s="2079"/>
      <c r="AH120" s="2079"/>
      <c r="AI120" s="2079"/>
      <c r="AJ120" s="2079"/>
      <c r="AK120" s="2079"/>
    </row>
    <row r="121" spans="1:37" s="1942" customFormat="1" ht="28.5" customHeight="1" outlineLevel="2">
      <c r="A121" s="1944"/>
      <c r="B121" s="1807" t="s">
        <v>3606</v>
      </c>
      <c r="C121" s="1808"/>
      <c r="D121" s="1843" t="s">
        <v>3607</v>
      </c>
      <c r="E121" s="2009" t="s">
        <v>3608</v>
      </c>
      <c r="F121" s="1462" t="s">
        <v>1607</v>
      </c>
      <c r="G121" s="1953" t="s">
        <v>4147</v>
      </c>
      <c r="H121" s="1975" t="s">
        <v>10</v>
      </c>
      <c r="I121" s="1712">
        <f t="shared" si="44"/>
        <v>9409.4599999999991</v>
      </c>
      <c r="J121" s="1949">
        <v>1</v>
      </c>
      <c r="K121" s="1950" t="s">
        <v>101</v>
      </c>
      <c r="L121" s="1947" t="s">
        <v>10</v>
      </c>
      <c r="M121" s="1754">
        <f t="shared" si="39"/>
        <v>9409.4599999999991</v>
      </c>
      <c r="N121" s="1712"/>
      <c r="O121" s="1712">
        <f t="shared" si="40"/>
        <v>0</v>
      </c>
      <c r="P121" s="1712">
        <f t="shared" si="41"/>
        <v>0</v>
      </c>
      <c r="Q121" s="1712">
        <f t="shared" si="42"/>
        <v>0</v>
      </c>
      <c r="R121" s="1757">
        <v>0.13</v>
      </c>
      <c r="S121" s="1712">
        <f t="shared" si="43"/>
        <v>0</v>
      </c>
      <c r="T121" s="1712">
        <f t="shared" si="32"/>
        <v>0</v>
      </c>
      <c r="U121" s="1712">
        <f t="shared" si="31"/>
        <v>0</v>
      </c>
      <c r="V121" s="1952"/>
      <c r="X121" s="2079">
        <f>车位!O121</f>
        <v>0</v>
      </c>
      <c r="Y121" s="2080">
        <f t="shared" si="28"/>
        <v>0</v>
      </c>
      <c r="Z121" s="2080"/>
      <c r="AA121" s="2079">
        <v>0</v>
      </c>
      <c r="AB121" s="2080">
        <f t="shared" si="29"/>
        <v>0</v>
      </c>
      <c r="AC121" s="2079"/>
      <c r="AD121" s="2079"/>
      <c r="AE121" s="2079"/>
      <c r="AF121" s="2079"/>
      <c r="AG121" s="2079"/>
      <c r="AH121" s="2079"/>
      <c r="AI121" s="2079"/>
      <c r="AJ121" s="2079"/>
      <c r="AK121" s="2079"/>
    </row>
    <row r="122" spans="1:37" s="1942" customFormat="1" ht="28.5" customHeight="1" outlineLevel="2">
      <c r="A122" s="1944"/>
      <c r="B122" s="1807" t="s">
        <v>3609</v>
      </c>
      <c r="C122" s="1808"/>
      <c r="D122" s="1843" t="s">
        <v>3610</v>
      </c>
      <c r="E122" s="2009" t="s">
        <v>3611</v>
      </c>
      <c r="F122" s="1462" t="s">
        <v>1607</v>
      </c>
      <c r="G122" s="1953" t="s">
        <v>4147</v>
      </c>
      <c r="H122" s="1975" t="s">
        <v>10</v>
      </c>
      <c r="I122" s="1712">
        <f t="shared" si="44"/>
        <v>9409.4599999999991</v>
      </c>
      <c r="J122" s="1949">
        <v>1</v>
      </c>
      <c r="K122" s="1950" t="s">
        <v>101</v>
      </c>
      <c r="L122" s="1947" t="s">
        <v>10</v>
      </c>
      <c r="M122" s="1754">
        <f t="shared" si="39"/>
        <v>9409.4599999999991</v>
      </c>
      <c r="N122" s="1712"/>
      <c r="O122" s="1712">
        <f t="shared" si="40"/>
        <v>0</v>
      </c>
      <c r="P122" s="1712">
        <f t="shared" si="41"/>
        <v>0</v>
      </c>
      <c r="Q122" s="1712">
        <f t="shared" si="42"/>
        <v>0</v>
      </c>
      <c r="R122" s="1757">
        <v>0.13</v>
      </c>
      <c r="S122" s="1712">
        <f t="shared" si="43"/>
        <v>0</v>
      </c>
      <c r="T122" s="1712">
        <f t="shared" si="32"/>
        <v>0</v>
      </c>
      <c r="U122" s="1712">
        <f t="shared" si="31"/>
        <v>0</v>
      </c>
      <c r="V122" s="1952"/>
      <c r="X122" s="2079">
        <f>车位!O122</f>
        <v>0</v>
      </c>
      <c r="Y122" s="2080">
        <f t="shared" si="28"/>
        <v>0</v>
      </c>
      <c r="Z122" s="2080"/>
      <c r="AA122" s="2079">
        <v>0</v>
      </c>
      <c r="AB122" s="2080">
        <f t="shared" si="29"/>
        <v>0</v>
      </c>
      <c r="AC122" s="2079"/>
      <c r="AD122" s="2079"/>
      <c r="AE122" s="2079"/>
      <c r="AF122" s="2079"/>
      <c r="AG122" s="2079"/>
      <c r="AH122" s="2079"/>
      <c r="AI122" s="2079"/>
      <c r="AJ122" s="2079"/>
      <c r="AK122" s="2079"/>
    </row>
    <row r="123" spans="1:37" s="1942" customFormat="1" ht="28.5" customHeight="1" outlineLevel="2">
      <c r="A123" s="1944"/>
      <c r="B123" s="1807" t="s">
        <v>3612</v>
      </c>
      <c r="C123" s="1808"/>
      <c r="D123" s="1843" t="s">
        <v>3613</v>
      </c>
      <c r="E123" s="2009" t="s">
        <v>3614</v>
      </c>
      <c r="F123" s="1462" t="s">
        <v>3615</v>
      </c>
      <c r="G123" s="1953" t="s">
        <v>4148</v>
      </c>
      <c r="H123" s="1975" t="s">
        <v>10</v>
      </c>
      <c r="I123" s="1712">
        <f t="shared" si="44"/>
        <v>9409.4599999999991</v>
      </c>
      <c r="J123" s="1949">
        <v>1</v>
      </c>
      <c r="K123" s="1950" t="s">
        <v>101</v>
      </c>
      <c r="L123" s="1947" t="s">
        <v>10</v>
      </c>
      <c r="M123" s="1754">
        <f t="shared" si="39"/>
        <v>9409.4599999999991</v>
      </c>
      <c r="N123" s="1712"/>
      <c r="O123" s="1712">
        <f t="shared" si="40"/>
        <v>0</v>
      </c>
      <c r="P123" s="1712">
        <f t="shared" si="41"/>
        <v>0</v>
      </c>
      <c r="Q123" s="1712">
        <f t="shared" si="42"/>
        <v>0</v>
      </c>
      <c r="R123" s="1757">
        <v>0.13</v>
      </c>
      <c r="S123" s="1712">
        <f t="shared" si="43"/>
        <v>0</v>
      </c>
      <c r="T123" s="1712">
        <f t="shared" si="32"/>
        <v>0</v>
      </c>
      <c r="U123" s="1712">
        <f t="shared" si="31"/>
        <v>0</v>
      </c>
      <c r="V123" s="1952"/>
      <c r="X123" s="2079">
        <f>车位!O123</f>
        <v>0</v>
      </c>
      <c r="Y123" s="2080">
        <f t="shared" si="28"/>
        <v>0</v>
      </c>
      <c r="Z123" s="2080"/>
      <c r="AA123" s="2079">
        <v>0</v>
      </c>
      <c r="AB123" s="2080">
        <f t="shared" si="29"/>
        <v>0</v>
      </c>
      <c r="AC123" s="2079"/>
      <c r="AD123" s="2079"/>
      <c r="AE123" s="2079"/>
      <c r="AF123" s="2079"/>
      <c r="AG123" s="2079"/>
      <c r="AH123" s="2079"/>
      <c r="AI123" s="2079"/>
      <c r="AJ123" s="2079"/>
      <c r="AK123" s="2079"/>
    </row>
    <row r="124" spans="1:37" s="1942" customFormat="1" ht="28.5" customHeight="1" outlineLevel="2">
      <c r="A124" s="1944"/>
      <c r="B124" s="1807" t="s">
        <v>3616</v>
      </c>
      <c r="C124" s="1808"/>
      <c r="D124" s="1843" t="s">
        <v>3617</v>
      </c>
      <c r="E124" s="2009" t="s">
        <v>3618</v>
      </c>
      <c r="F124" s="1462" t="s">
        <v>3521</v>
      </c>
      <c r="G124" s="1953" t="s">
        <v>4139</v>
      </c>
      <c r="H124" s="1975" t="s">
        <v>10</v>
      </c>
      <c r="I124" s="1712">
        <f t="shared" si="44"/>
        <v>9409.4599999999991</v>
      </c>
      <c r="J124" s="1949">
        <v>1</v>
      </c>
      <c r="K124" s="1950" t="s">
        <v>101</v>
      </c>
      <c r="L124" s="1947" t="s">
        <v>10</v>
      </c>
      <c r="M124" s="1754">
        <f t="shared" si="39"/>
        <v>9409.4599999999991</v>
      </c>
      <c r="N124" s="1712"/>
      <c r="O124" s="1712">
        <f t="shared" si="40"/>
        <v>0</v>
      </c>
      <c r="P124" s="1712">
        <f t="shared" si="41"/>
        <v>0</v>
      </c>
      <c r="Q124" s="1712">
        <f t="shared" si="42"/>
        <v>0</v>
      </c>
      <c r="R124" s="1757">
        <v>0.13</v>
      </c>
      <c r="S124" s="1712">
        <f t="shared" si="43"/>
        <v>0</v>
      </c>
      <c r="T124" s="1712">
        <f t="shared" si="32"/>
        <v>0</v>
      </c>
      <c r="U124" s="1712">
        <f t="shared" si="31"/>
        <v>0</v>
      </c>
      <c r="V124" s="1952"/>
      <c r="X124" s="2079">
        <f>车位!O124</f>
        <v>0</v>
      </c>
      <c r="Y124" s="2080">
        <f t="shared" si="28"/>
        <v>0</v>
      </c>
      <c r="Z124" s="2080"/>
      <c r="AA124" s="2079">
        <v>0</v>
      </c>
      <c r="AB124" s="2080">
        <f t="shared" si="29"/>
        <v>0</v>
      </c>
      <c r="AC124" s="2079"/>
      <c r="AD124" s="2079"/>
      <c r="AE124" s="2079"/>
      <c r="AF124" s="2079"/>
      <c r="AG124" s="2079"/>
      <c r="AH124" s="2079"/>
      <c r="AI124" s="2079"/>
      <c r="AJ124" s="2079"/>
      <c r="AK124" s="2079"/>
    </row>
    <row r="125" spans="1:37" s="1942" customFormat="1" ht="28.5" customHeight="1" outlineLevel="2">
      <c r="A125" s="1944"/>
      <c r="B125" s="1807" t="s">
        <v>3619</v>
      </c>
      <c r="C125" s="1808"/>
      <c r="D125" s="1843" t="s">
        <v>3620</v>
      </c>
      <c r="E125" s="2009" t="s">
        <v>3621</v>
      </c>
      <c r="F125" s="1462" t="s">
        <v>1329</v>
      </c>
      <c r="G125" s="1953" t="s">
        <v>4132</v>
      </c>
      <c r="H125" s="1975" t="s">
        <v>10</v>
      </c>
      <c r="I125" s="1712">
        <f t="shared" si="44"/>
        <v>9409.4599999999991</v>
      </c>
      <c r="J125" s="1949">
        <v>1</v>
      </c>
      <c r="K125" s="1950" t="s">
        <v>101</v>
      </c>
      <c r="L125" s="1947" t="s">
        <v>10</v>
      </c>
      <c r="M125" s="1754">
        <f t="shared" si="39"/>
        <v>9409.4599999999991</v>
      </c>
      <c r="N125" s="1712"/>
      <c r="O125" s="1712">
        <f t="shared" si="40"/>
        <v>0</v>
      </c>
      <c r="P125" s="1712">
        <f t="shared" si="41"/>
        <v>0</v>
      </c>
      <c r="Q125" s="1712">
        <f t="shared" si="42"/>
        <v>0</v>
      </c>
      <c r="R125" s="1757">
        <v>0.13</v>
      </c>
      <c r="S125" s="1712">
        <f t="shared" si="43"/>
        <v>0</v>
      </c>
      <c r="T125" s="1712">
        <f t="shared" si="32"/>
        <v>0</v>
      </c>
      <c r="U125" s="1712">
        <f t="shared" si="31"/>
        <v>0</v>
      </c>
      <c r="V125" s="1952"/>
      <c r="X125" s="2079">
        <f>车位!O125</f>
        <v>0</v>
      </c>
      <c r="Y125" s="2080">
        <f t="shared" si="28"/>
        <v>0</v>
      </c>
      <c r="Z125" s="2080"/>
      <c r="AA125" s="2079">
        <v>0</v>
      </c>
      <c r="AB125" s="2080">
        <f t="shared" si="29"/>
        <v>0</v>
      </c>
      <c r="AC125" s="2079"/>
      <c r="AD125" s="2079"/>
      <c r="AE125" s="2079"/>
      <c r="AF125" s="2079"/>
      <c r="AG125" s="2079"/>
      <c r="AH125" s="2079"/>
      <c r="AI125" s="2079"/>
      <c r="AJ125" s="2079"/>
      <c r="AK125" s="2079"/>
    </row>
    <row r="126" spans="1:37" ht="28.5" customHeight="1" outlineLevel="1">
      <c r="A126" s="2019"/>
      <c r="B126" s="2023" t="s">
        <v>687</v>
      </c>
      <c r="C126" s="1852">
        <v>2</v>
      </c>
      <c r="D126" s="2024" t="s">
        <v>3146</v>
      </c>
      <c r="E126" s="2025"/>
      <c r="F126" s="1968"/>
      <c r="G126" s="2007" t="s">
        <v>4117</v>
      </c>
      <c r="H126" s="1967"/>
      <c r="I126" s="1969"/>
      <c r="J126" s="1970"/>
      <c r="K126" s="1971"/>
      <c r="L126" s="1967"/>
      <c r="M126" s="1971"/>
      <c r="N126" s="1973"/>
      <c r="O126" s="1973">
        <f>SUBTOTAL(9,O127:O129)</f>
        <v>0</v>
      </c>
      <c r="P126" s="1973"/>
      <c r="Q126" s="1973">
        <f>SUBTOTAL(9,Q127:Q129)</f>
        <v>0</v>
      </c>
      <c r="R126" s="1973"/>
      <c r="S126" s="1973">
        <f>SUBTOTAL(9,S127:S129)</f>
        <v>0</v>
      </c>
      <c r="T126" s="1973">
        <f t="shared" si="32"/>
        <v>0</v>
      </c>
      <c r="U126" s="1973">
        <f t="shared" si="31"/>
        <v>0</v>
      </c>
      <c r="V126" s="1974"/>
      <c r="X126" s="2079">
        <f>车位!O126</f>
        <v>0</v>
      </c>
      <c r="Y126" s="2080">
        <f t="shared" si="28"/>
        <v>0</v>
      </c>
      <c r="Z126" s="2080"/>
      <c r="AA126" s="2077">
        <v>0</v>
      </c>
      <c r="AB126" s="2080">
        <f t="shared" si="29"/>
        <v>0</v>
      </c>
    </row>
    <row r="127" spans="1:37" s="1942" customFormat="1" ht="28.5" customHeight="1" outlineLevel="2">
      <c r="A127" s="1944"/>
      <c r="B127" s="1807" t="s">
        <v>689</v>
      </c>
      <c r="C127" s="1808"/>
      <c r="D127" s="2008" t="s">
        <v>3622</v>
      </c>
      <c r="E127" s="2009" t="s">
        <v>3623</v>
      </c>
      <c r="F127" s="1462" t="s">
        <v>3624</v>
      </c>
      <c r="G127" s="1953" t="s">
        <v>4149</v>
      </c>
      <c r="H127" s="1975" t="s">
        <v>10</v>
      </c>
      <c r="I127" s="1712">
        <f t="shared" si="44"/>
        <v>9409.4599999999991</v>
      </c>
      <c r="J127" s="1949">
        <v>1</v>
      </c>
      <c r="K127" s="1950" t="s">
        <v>101</v>
      </c>
      <c r="L127" s="1947" t="s">
        <v>10</v>
      </c>
      <c r="M127" s="1754">
        <f t="shared" si="39"/>
        <v>9409.4599999999991</v>
      </c>
      <c r="N127" s="1712"/>
      <c r="O127" s="1712">
        <f>ROUND(M127*ROUND(N127,2)/10000,6)</f>
        <v>0</v>
      </c>
      <c r="P127" s="1712">
        <f>IFERROR(ROUND(Q127*10000/M127,2),0)</f>
        <v>0</v>
      </c>
      <c r="Q127" s="1712">
        <f>ROUND(O127/(1+R127),6)</f>
        <v>0</v>
      </c>
      <c r="R127" s="1757">
        <v>0.06</v>
      </c>
      <c r="S127" s="1712">
        <f>O127-Q127</f>
        <v>0</v>
      </c>
      <c r="T127" s="1712">
        <f t="shared" si="32"/>
        <v>0</v>
      </c>
      <c r="U127" s="1712">
        <f t="shared" si="31"/>
        <v>0</v>
      </c>
      <c r="V127" s="1952"/>
      <c r="X127" s="2079">
        <f>车位!O127</f>
        <v>0</v>
      </c>
      <c r="Y127" s="2080">
        <f t="shared" si="28"/>
        <v>0</v>
      </c>
      <c r="Z127" s="2080"/>
      <c r="AA127" s="2079">
        <v>0</v>
      </c>
      <c r="AB127" s="2080">
        <f t="shared" si="29"/>
        <v>0</v>
      </c>
      <c r="AC127" s="2079"/>
      <c r="AD127" s="2079"/>
      <c r="AE127" s="2079"/>
      <c r="AF127" s="2079"/>
      <c r="AG127" s="2079"/>
      <c r="AH127" s="2079"/>
      <c r="AI127" s="2079"/>
      <c r="AJ127" s="2079"/>
      <c r="AK127" s="2079"/>
    </row>
    <row r="128" spans="1:37" s="1942" customFormat="1" ht="28.5" customHeight="1" outlineLevel="2">
      <c r="A128" s="1944"/>
      <c r="B128" s="1807" t="s">
        <v>691</v>
      </c>
      <c r="C128" s="1808"/>
      <c r="D128" s="2008" t="s">
        <v>3625</v>
      </c>
      <c r="E128" s="2009" t="s">
        <v>3626</v>
      </c>
      <c r="F128" s="1462" t="s">
        <v>3624</v>
      </c>
      <c r="G128" s="1953" t="s">
        <v>4149</v>
      </c>
      <c r="H128" s="1975" t="s">
        <v>10</v>
      </c>
      <c r="I128" s="1712">
        <f t="shared" si="44"/>
        <v>9409.4599999999991</v>
      </c>
      <c r="J128" s="1949">
        <v>1</v>
      </c>
      <c r="K128" s="1950" t="s">
        <v>101</v>
      </c>
      <c r="L128" s="1947" t="s">
        <v>10</v>
      </c>
      <c r="M128" s="1754">
        <f t="shared" si="39"/>
        <v>9409.4599999999991</v>
      </c>
      <c r="N128" s="1712"/>
      <c r="O128" s="1712">
        <f>ROUND(M128*ROUND(N128,2)/10000,6)</f>
        <v>0</v>
      </c>
      <c r="P128" s="1712">
        <f>IFERROR(ROUND(Q128*10000/M128,2),0)</f>
        <v>0</v>
      </c>
      <c r="Q128" s="1712">
        <f>ROUND(O128/(1+R128),6)</f>
        <v>0</v>
      </c>
      <c r="R128" s="1757">
        <v>0.06</v>
      </c>
      <c r="S128" s="1712">
        <f>O128-Q128</f>
        <v>0</v>
      </c>
      <c r="T128" s="1712">
        <f t="shared" si="32"/>
        <v>0</v>
      </c>
      <c r="U128" s="1712">
        <f t="shared" si="31"/>
        <v>0</v>
      </c>
      <c r="V128" s="1952"/>
      <c r="X128" s="2079">
        <f>车位!O128</f>
        <v>0</v>
      </c>
      <c r="Y128" s="2080">
        <f t="shared" si="28"/>
        <v>0</v>
      </c>
      <c r="Z128" s="2080"/>
      <c r="AA128" s="2079">
        <v>0</v>
      </c>
      <c r="AB128" s="2080">
        <f t="shared" si="29"/>
        <v>0</v>
      </c>
      <c r="AC128" s="2079"/>
      <c r="AD128" s="2079"/>
      <c r="AE128" s="2079"/>
      <c r="AF128" s="2079"/>
      <c r="AG128" s="2079"/>
      <c r="AH128" s="2079"/>
      <c r="AI128" s="2079"/>
      <c r="AJ128" s="2079"/>
      <c r="AK128" s="2079"/>
    </row>
    <row r="129" spans="1:37" s="1942" customFormat="1" ht="28.5" customHeight="1" outlineLevel="2">
      <c r="A129" s="1944"/>
      <c r="B129" s="1807" t="s">
        <v>693</v>
      </c>
      <c r="C129" s="1808"/>
      <c r="D129" s="2008" t="s">
        <v>3627</v>
      </c>
      <c r="E129" s="2009" t="s">
        <v>3628</v>
      </c>
      <c r="F129" s="1462" t="s">
        <v>3624</v>
      </c>
      <c r="G129" s="1953" t="s">
        <v>4149</v>
      </c>
      <c r="H129" s="1975" t="s">
        <v>10</v>
      </c>
      <c r="I129" s="1712">
        <f t="shared" si="44"/>
        <v>9409.4599999999991</v>
      </c>
      <c r="J129" s="1949">
        <v>1</v>
      </c>
      <c r="K129" s="1950" t="s">
        <v>101</v>
      </c>
      <c r="L129" s="1947" t="s">
        <v>10</v>
      </c>
      <c r="M129" s="1754">
        <f t="shared" si="39"/>
        <v>9409.4599999999991</v>
      </c>
      <c r="N129" s="1712"/>
      <c r="O129" s="1712">
        <f>ROUND(M129*ROUND(N129,2)/10000,6)</f>
        <v>0</v>
      </c>
      <c r="P129" s="1712">
        <f>IFERROR(ROUND(Q129*10000/M129,2),0)</f>
        <v>0</v>
      </c>
      <c r="Q129" s="1712">
        <f>ROUND(O129/(1+R129),6)</f>
        <v>0</v>
      </c>
      <c r="R129" s="1757">
        <v>0.13</v>
      </c>
      <c r="S129" s="1712">
        <f>O129-Q129</f>
        <v>0</v>
      </c>
      <c r="T129" s="1712">
        <f t="shared" si="32"/>
        <v>0</v>
      </c>
      <c r="U129" s="1712">
        <f t="shared" si="31"/>
        <v>0</v>
      </c>
      <c r="V129" s="1952"/>
      <c r="X129" s="2079">
        <f>车位!O129</f>
        <v>0</v>
      </c>
      <c r="Y129" s="2080">
        <f t="shared" si="28"/>
        <v>0</v>
      </c>
      <c r="Z129" s="2080"/>
      <c r="AA129" s="2079">
        <v>0</v>
      </c>
      <c r="AB129" s="2080">
        <f t="shared" si="29"/>
        <v>0</v>
      </c>
      <c r="AC129" s="2079"/>
      <c r="AD129" s="2079"/>
      <c r="AE129" s="2079"/>
      <c r="AF129" s="2079"/>
      <c r="AG129" s="2079"/>
      <c r="AH129" s="2079"/>
      <c r="AI129" s="2079"/>
      <c r="AJ129" s="2079"/>
      <c r="AK129" s="2079"/>
    </row>
    <row r="130" spans="1:37" ht="28.5" customHeight="1" outlineLevel="1">
      <c r="A130" s="2019"/>
      <c r="B130" s="2023" t="s">
        <v>695</v>
      </c>
      <c r="C130" s="1852">
        <v>3</v>
      </c>
      <c r="D130" s="2024" t="s">
        <v>3147</v>
      </c>
      <c r="E130" s="2025"/>
      <c r="F130" s="2026" t="s">
        <v>1424</v>
      </c>
      <c r="G130" s="2027" t="s">
        <v>4123</v>
      </c>
      <c r="H130" s="2028" t="s">
        <v>10</v>
      </c>
      <c r="I130" s="2029">
        <f t="shared" si="44"/>
        <v>9409.4599999999991</v>
      </c>
      <c r="J130" s="2030"/>
      <c r="K130" s="2031" t="s">
        <v>101</v>
      </c>
      <c r="L130" s="2032" t="s">
        <v>10</v>
      </c>
      <c r="M130" s="1971"/>
      <c r="N130" s="1973"/>
      <c r="O130" s="1973">
        <f>ROUND(M130*ROUND(N130,2)/10000,6)</f>
        <v>0</v>
      </c>
      <c r="P130" s="1973">
        <f>IFERROR(ROUND(Q130*10000/M130,2),0)</f>
        <v>0</v>
      </c>
      <c r="Q130" s="1973">
        <f>ROUND(O130/(1+R130),6)</f>
        <v>0</v>
      </c>
      <c r="R130" s="2033">
        <v>0.06</v>
      </c>
      <c r="S130" s="2034">
        <f>O130-Q130</f>
        <v>0</v>
      </c>
      <c r="T130" s="1973">
        <f t="shared" si="32"/>
        <v>0</v>
      </c>
      <c r="U130" s="1973">
        <f t="shared" si="31"/>
        <v>0</v>
      </c>
      <c r="V130" s="1974"/>
      <c r="X130" s="2079">
        <f>车位!O130</f>
        <v>0</v>
      </c>
      <c r="Y130" s="2080">
        <f t="shared" si="28"/>
        <v>0</v>
      </c>
      <c r="Z130" s="2080"/>
      <c r="AA130" s="2077">
        <v>0</v>
      </c>
      <c r="AB130" s="2080">
        <f t="shared" si="29"/>
        <v>0</v>
      </c>
    </row>
    <row r="131" spans="1:37" ht="28.5" customHeight="1" outlineLevel="1">
      <c r="A131" s="2019"/>
      <c r="B131" s="2023" t="s">
        <v>697</v>
      </c>
      <c r="C131" s="1852">
        <v>4</v>
      </c>
      <c r="D131" s="2024" t="s">
        <v>3148</v>
      </c>
      <c r="E131" s="2025" t="s">
        <v>3629</v>
      </c>
      <c r="F131" s="2026" t="s">
        <v>3577</v>
      </c>
      <c r="G131" s="2027" t="s">
        <v>4141</v>
      </c>
      <c r="H131" s="2032" t="s">
        <v>10</v>
      </c>
      <c r="I131" s="2029">
        <f t="shared" si="44"/>
        <v>9409.4599999999991</v>
      </c>
      <c r="J131" s="2030"/>
      <c r="K131" s="2031" t="s">
        <v>101</v>
      </c>
      <c r="L131" s="2032" t="s">
        <v>4056</v>
      </c>
      <c r="M131" s="1971"/>
      <c r="N131" s="1973"/>
      <c r="O131" s="1973">
        <f>ROUND(M131*ROUND(N131,2)/10000,6)</f>
        <v>0</v>
      </c>
      <c r="P131" s="1973">
        <f>IFERROR(ROUND(Q131*10000/M131,2),0)</f>
        <v>0</v>
      </c>
      <c r="Q131" s="1973">
        <f>ROUND(O131/(1+R131),6)</f>
        <v>0</v>
      </c>
      <c r="R131" s="2033">
        <v>0.09</v>
      </c>
      <c r="S131" s="2034">
        <f>O131-Q131</f>
        <v>0</v>
      </c>
      <c r="T131" s="1973">
        <f t="shared" si="32"/>
        <v>0</v>
      </c>
      <c r="U131" s="1973">
        <f t="shared" si="31"/>
        <v>0</v>
      </c>
      <c r="V131" s="1974"/>
      <c r="X131" s="2079">
        <f>车位!O131</f>
        <v>0</v>
      </c>
      <c r="Y131" s="2080">
        <f t="shared" si="28"/>
        <v>0</v>
      </c>
      <c r="Z131" s="2080"/>
      <c r="AA131" s="2077">
        <v>0</v>
      </c>
      <c r="AB131" s="2080">
        <f t="shared" si="29"/>
        <v>0</v>
      </c>
    </row>
    <row r="132" spans="1:37" ht="28.5" customHeight="1">
      <c r="A132" s="2019"/>
      <c r="B132" s="1684">
        <v>5001.05</v>
      </c>
      <c r="C132" s="1685" t="s">
        <v>379</v>
      </c>
      <c r="D132" s="1956" t="s">
        <v>498</v>
      </c>
      <c r="E132" s="1957"/>
      <c r="F132" s="2020"/>
      <c r="G132" s="2021" t="s">
        <v>4117</v>
      </c>
      <c r="H132" s="1959"/>
      <c r="I132" s="1960"/>
      <c r="J132" s="1961"/>
      <c r="K132" s="2022"/>
      <c r="L132" s="1959"/>
      <c r="M132" s="2022"/>
      <c r="N132" s="1963"/>
      <c r="O132" s="1963">
        <f>SUBTOTAL(9,O133:O208)</f>
        <v>81.289057999999983</v>
      </c>
      <c r="P132" s="1963"/>
      <c r="Q132" s="1963">
        <f>SUBTOTAL(9,Q133:Q208)</f>
        <v>73.006737000000001</v>
      </c>
      <c r="R132" s="1963"/>
      <c r="S132" s="1963">
        <f>SUBTOTAL(9,S133:S208)</f>
        <v>8.2823209999999996</v>
      </c>
      <c r="T132" s="1963">
        <f t="shared" si="32"/>
        <v>77.588657585026141</v>
      </c>
      <c r="U132" s="1963">
        <f t="shared" si="31"/>
        <v>86.390779067024027</v>
      </c>
      <c r="V132" s="1964"/>
      <c r="X132" s="2079">
        <f>车位!O132</f>
        <v>336.68607200000002</v>
      </c>
      <c r="Y132" s="2080">
        <f t="shared" si="28"/>
        <v>417.97513000000004</v>
      </c>
      <c r="Z132" s="2080"/>
      <c r="AA132" s="2077">
        <v>229.65796599999999</v>
      </c>
      <c r="AB132" s="2080">
        <f t="shared" si="29"/>
        <v>188.31716400000005</v>
      </c>
    </row>
    <row r="133" spans="1:37" ht="28.5" customHeight="1" outlineLevel="1">
      <c r="A133" s="2019"/>
      <c r="B133" s="2023" t="s">
        <v>499</v>
      </c>
      <c r="C133" s="1852">
        <v>1</v>
      </c>
      <c r="D133" s="2024" t="s">
        <v>35</v>
      </c>
      <c r="E133" s="2025"/>
      <c r="F133" s="1968"/>
      <c r="G133" s="2007" t="s">
        <v>4117</v>
      </c>
      <c r="H133" s="1967"/>
      <c r="I133" s="1969"/>
      <c r="J133" s="1970"/>
      <c r="K133" s="1971"/>
      <c r="L133" s="1967"/>
      <c r="M133" s="1971"/>
      <c r="N133" s="1973"/>
      <c r="O133" s="1973">
        <f>SUBTOTAL(9,O134:O175)</f>
        <v>35.755947999999997</v>
      </c>
      <c r="P133" s="1973"/>
      <c r="Q133" s="1973">
        <f>SUBTOTAL(9,Q134:Q175)</f>
        <v>31.642432999999997</v>
      </c>
      <c r="R133" s="1973"/>
      <c r="S133" s="1973">
        <f>SUBTOTAL(9,S134:S175)</f>
        <v>4.1135150000000005</v>
      </c>
      <c r="T133" s="1973">
        <f t="shared" si="32"/>
        <v>33.628319797310368</v>
      </c>
      <c r="U133" s="1973">
        <f t="shared" si="31"/>
        <v>38</v>
      </c>
      <c r="V133" s="1974"/>
      <c r="X133" s="2079">
        <f>车位!O133</f>
        <v>211.33063200000001</v>
      </c>
      <c r="Y133" s="2080">
        <f t="shared" si="28"/>
        <v>247.08658</v>
      </c>
      <c r="Z133" s="2080"/>
      <c r="AA133" s="2077">
        <v>107.79493100000001</v>
      </c>
      <c r="AB133" s="2080">
        <f t="shared" si="29"/>
        <v>139.29164900000001</v>
      </c>
    </row>
    <row r="134" spans="1:37" s="1942" customFormat="1" ht="28.5" customHeight="1" outlineLevel="2">
      <c r="A134" s="1944"/>
      <c r="B134" s="1807" t="s">
        <v>700</v>
      </c>
      <c r="C134" s="1808"/>
      <c r="D134" s="2008" t="s">
        <v>701</v>
      </c>
      <c r="E134" s="2009"/>
      <c r="F134" s="1462"/>
      <c r="G134" s="1953" t="s">
        <v>4117</v>
      </c>
      <c r="H134" s="1947"/>
      <c r="I134" s="1948"/>
      <c r="J134" s="1949"/>
      <c r="K134" s="1950"/>
      <c r="L134" s="1947"/>
      <c r="M134" s="1950"/>
      <c r="N134" s="1712"/>
      <c r="O134" s="1712">
        <f>SUBTOTAL(9,O135:O149)</f>
        <v>14.114190000000001</v>
      </c>
      <c r="P134" s="1712"/>
      <c r="Q134" s="1712">
        <f>SUBTOTAL(9,Q135:Q149)</f>
        <v>12.490434</v>
      </c>
      <c r="R134" s="1712"/>
      <c r="S134" s="1712">
        <f>SUBTOTAL(9,S135:S149)</f>
        <v>1.6237560000000002</v>
      </c>
      <c r="T134" s="1712">
        <f t="shared" si="32"/>
        <v>13.274336678194075</v>
      </c>
      <c r="U134" s="1712">
        <f t="shared" si="31"/>
        <v>15</v>
      </c>
      <c r="V134" s="1952"/>
      <c r="X134" s="2079">
        <f>车位!O134</f>
        <v>73.697519999999997</v>
      </c>
      <c r="Y134" s="2080">
        <f t="shared" si="28"/>
        <v>87.811710000000005</v>
      </c>
      <c r="Z134" s="2080"/>
      <c r="AA134" s="2079">
        <v>26.113507999999999</v>
      </c>
      <c r="AB134" s="2080">
        <f t="shared" si="29"/>
        <v>61.698202000000009</v>
      </c>
      <c r="AC134" s="2079"/>
      <c r="AD134" s="2079"/>
      <c r="AE134" s="2079"/>
      <c r="AF134" s="2079"/>
      <c r="AG134" s="2079"/>
      <c r="AH134" s="2079"/>
      <c r="AI134" s="2079"/>
      <c r="AJ134" s="2079"/>
      <c r="AK134" s="2079"/>
    </row>
    <row r="135" spans="1:37" s="1942" customFormat="1" ht="28.5" customHeight="1" outlineLevel="3">
      <c r="A135" s="1944"/>
      <c r="B135" s="1978" t="s">
        <v>702</v>
      </c>
      <c r="C135" s="1810"/>
      <c r="D135" s="2008" t="s">
        <v>3630</v>
      </c>
      <c r="E135" s="2009" t="s">
        <v>3631</v>
      </c>
      <c r="F135" s="1462"/>
      <c r="G135" s="1953" t="s">
        <v>4117</v>
      </c>
      <c r="H135" s="1947"/>
      <c r="I135" s="1712"/>
      <c r="J135" s="2035"/>
      <c r="K135" s="1950"/>
      <c r="L135" s="1947"/>
      <c r="M135" s="1754"/>
      <c r="N135" s="1712"/>
      <c r="O135" s="1712">
        <f>SUBTOTAL(9,O136:O137)</f>
        <v>0</v>
      </c>
      <c r="P135" s="1983"/>
      <c r="Q135" s="1712">
        <f>SUBTOTAL(9,Q136:Q137)</f>
        <v>0</v>
      </c>
      <c r="R135" s="1757"/>
      <c r="S135" s="1712">
        <f>SUBTOTAL(9,S136:S137)</f>
        <v>0</v>
      </c>
      <c r="T135" s="1712">
        <f t="shared" si="32"/>
        <v>0</v>
      </c>
      <c r="U135" s="1712">
        <f t="shared" si="31"/>
        <v>0</v>
      </c>
      <c r="V135" s="1952"/>
      <c r="X135" s="2079">
        <f>车位!O135</f>
        <v>0</v>
      </c>
      <c r="Y135" s="2080">
        <f t="shared" si="28"/>
        <v>0</v>
      </c>
      <c r="Z135" s="2080"/>
      <c r="AA135" s="2079">
        <v>0</v>
      </c>
      <c r="AB135" s="2080">
        <f t="shared" si="29"/>
        <v>0</v>
      </c>
      <c r="AC135" s="2079"/>
      <c r="AD135" s="2079"/>
      <c r="AE135" s="2079"/>
      <c r="AF135" s="2079"/>
      <c r="AG135" s="2079"/>
      <c r="AH135" s="2079"/>
      <c r="AI135" s="2079"/>
      <c r="AJ135" s="2079"/>
      <c r="AK135" s="2079"/>
    </row>
    <row r="136" spans="1:37" s="1942" customFormat="1" ht="28.5" customHeight="1" outlineLevel="4">
      <c r="A136" s="1944"/>
      <c r="B136" s="1985" t="s">
        <v>801</v>
      </c>
      <c r="C136" s="1828"/>
      <c r="D136" s="2013" t="s">
        <v>4057</v>
      </c>
      <c r="E136" s="2011"/>
      <c r="F136" s="1988" t="s">
        <v>459</v>
      </c>
      <c r="G136" s="1989" t="s">
        <v>4150</v>
      </c>
      <c r="H136" s="1990" t="s">
        <v>10</v>
      </c>
      <c r="I136" s="1991">
        <f>$E$5</f>
        <v>9409.4599999999991</v>
      </c>
      <c r="J136" s="1991"/>
      <c r="K136" s="2000" t="s">
        <v>101</v>
      </c>
      <c r="L136" s="1990" t="s">
        <v>4058</v>
      </c>
      <c r="M136" s="1991">
        <f>ROUND(I136,2)*ROUND(J136,4)</f>
        <v>0</v>
      </c>
      <c r="N136" s="1991"/>
      <c r="O136" s="1991">
        <f>ROUND(M136*ROUND(N136,2)/10000,6)</f>
        <v>0</v>
      </c>
      <c r="P136" s="1991">
        <f>IFERROR(ROUND(Q136*10000/M136,2),0)</f>
        <v>0</v>
      </c>
      <c r="Q136" s="1991">
        <f>ROUND(O136/(1+R136),6)</f>
        <v>0</v>
      </c>
      <c r="R136" s="1993">
        <v>0.13</v>
      </c>
      <c r="S136" s="1991">
        <f>O136-Q136</f>
        <v>0</v>
      </c>
      <c r="T136" s="1991">
        <f t="shared" si="32"/>
        <v>0</v>
      </c>
      <c r="U136" s="1991">
        <f t="shared" si="31"/>
        <v>0</v>
      </c>
      <c r="V136" s="1994"/>
      <c r="X136" s="2079">
        <f>车位!O136</f>
        <v>0</v>
      </c>
      <c r="Y136" s="2080">
        <f t="shared" si="28"/>
        <v>0</v>
      </c>
      <c r="Z136" s="2080"/>
      <c r="AA136" s="2079">
        <v>0</v>
      </c>
      <c r="AB136" s="2080">
        <f t="shared" si="29"/>
        <v>0</v>
      </c>
      <c r="AC136" s="2079"/>
      <c r="AD136" s="2079"/>
      <c r="AE136" s="2079"/>
      <c r="AF136" s="2079"/>
      <c r="AG136" s="2079"/>
      <c r="AH136" s="2079"/>
      <c r="AI136" s="2079"/>
      <c r="AJ136" s="2079"/>
      <c r="AK136" s="2079"/>
    </row>
    <row r="137" spans="1:37" s="1942" customFormat="1" ht="28.5" customHeight="1" outlineLevel="4">
      <c r="A137" s="1944"/>
      <c r="B137" s="1985" t="s">
        <v>703</v>
      </c>
      <c r="C137" s="1828"/>
      <c r="D137" s="2013" t="s">
        <v>4059</v>
      </c>
      <c r="E137" s="2011"/>
      <c r="F137" s="1988" t="s">
        <v>1493</v>
      </c>
      <c r="G137" s="1989" t="s">
        <v>4119</v>
      </c>
      <c r="H137" s="1990" t="s">
        <v>10</v>
      </c>
      <c r="I137" s="1991">
        <f>$E$5</f>
        <v>9409.4599999999991</v>
      </c>
      <c r="J137" s="1991"/>
      <c r="K137" s="2000" t="s">
        <v>101</v>
      </c>
      <c r="L137" s="1990" t="s">
        <v>4058</v>
      </c>
      <c r="M137" s="1991">
        <f>ROUND(I137,2)*ROUND(J137,4)</f>
        <v>0</v>
      </c>
      <c r="N137" s="1991"/>
      <c r="O137" s="1991">
        <f>ROUND(M137*ROUND(N137,2)/10000,6)</f>
        <v>0</v>
      </c>
      <c r="P137" s="1991">
        <f>IFERROR(ROUND(Q137*10000/M137,2),0)</f>
        <v>0</v>
      </c>
      <c r="Q137" s="1991">
        <f>ROUND(O137/(1+R137),6)</f>
        <v>0</v>
      </c>
      <c r="R137" s="1993">
        <v>0.09</v>
      </c>
      <c r="S137" s="1991">
        <f>O137-Q137</f>
        <v>0</v>
      </c>
      <c r="T137" s="1991">
        <f t="shared" si="32"/>
        <v>0</v>
      </c>
      <c r="U137" s="1991">
        <f t="shared" si="31"/>
        <v>0</v>
      </c>
      <c r="V137" s="1994"/>
      <c r="X137" s="2079">
        <f>车位!O137</f>
        <v>0</v>
      </c>
      <c r="Y137" s="2080">
        <f t="shared" si="28"/>
        <v>0</v>
      </c>
      <c r="Z137" s="2080"/>
      <c r="AA137" s="2079">
        <v>0</v>
      </c>
      <c r="AB137" s="2080">
        <f t="shared" si="29"/>
        <v>0</v>
      </c>
      <c r="AC137" s="2079"/>
      <c r="AD137" s="2079"/>
      <c r="AE137" s="2079"/>
      <c r="AF137" s="2079"/>
      <c r="AG137" s="2079"/>
      <c r="AH137" s="2079"/>
      <c r="AI137" s="2079"/>
      <c r="AJ137" s="2079"/>
      <c r="AK137" s="2079"/>
    </row>
    <row r="138" spans="1:37" s="1942" customFormat="1" ht="28.5" customHeight="1" outlineLevel="3">
      <c r="A138" s="1944"/>
      <c r="B138" s="1978" t="s">
        <v>1558</v>
      </c>
      <c r="C138" s="1810"/>
      <c r="D138" s="2008" t="s">
        <v>3632</v>
      </c>
      <c r="E138" s="2009" t="s">
        <v>3633</v>
      </c>
      <c r="F138" s="1462"/>
      <c r="G138" s="1953" t="s">
        <v>4117</v>
      </c>
      <c r="H138" s="1947"/>
      <c r="I138" s="1948"/>
      <c r="J138" s="2035"/>
      <c r="K138" s="1950"/>
      <c r="L138" s="1947"/>
      <c r="M138" s="1754"/>
      <c r="N138" s="1712"/>
      <c r="O138" s="1712">
        <f>SUBTOTAL(9,O139:O140)</f>
        <v>0</v>
      </c>
      <c r="P138" s="1983"/>
      <c r="Q138" s="1712">
        <f>SUBTOTAL(9,Q139:Q140)</f>
        <v>0</v>
      </c>
      <c r="R138" s="1757"/>
      <c r="S138" s="1712">
        <f>SUBTOTAL(9,S139:S140)</f>
        <v>0</v>
      </c>
      <c r="T138" s="1712">
        <f t="shared" si="32"/>
        <v>0</v>
      </c>
      <c r="U138" s="1712">
        <f t="shared" si="31"/>
        <v>0</v>
      </c>
      <c r="V138" s="1952"/>
      <c r="X138" s="2079">
        <f>车位!O138</f>
        <v>0</v>
      </c>
      <c r="Y138" s="2080">
        <f t="shared" si="28"/>
        <v>0</v>
      </c>
      <c r="Z138" s="2080"/>
      <c r="AA138" s="2079">
        <v>0</v>
      </c>
      <c r="AB138" s="2080">
        <f t="shared" si="29"/>
        <v>0</v>
      </c>
      <c r="AC138" s="2079"/>
      <c r="AD138" s="2079"/>
      <c r="AE138" s="2079"/>
      <c r="AF138" s="2079"/>
      <c r="AG138" s="2079"/>
      <c r="AH138" s="2079"/>
      <c r="AI138" s="2079"/>
      <c r="AJ138" s="2079"/>
      <c r="AK138" s="2079"/>
    </row>
    <row r="139" spans="1:37" s="1942" customFormat="1" ht="28.5" customHeight="1" outlineLevel="4">
      <c r="A139" s="1944"/>
      <c r="B139" s="1985" t="s">
        <v>802</v>
      </c>
      <c r="C139" s="1828"/>
      <c r="D139" s="2013" t="s">
        <v>1569</v>
      </c>
      <c r="E139" s="2011"/>
      <c r="F139" s="1988" t="s">
        <v>469</v>
      </c>
      <c r="G139" s="1989" t="s">
        <v>4151</v>
      </c>
      <c r="H139" s="1990" t="s">
        <v>10</v>
      </c>
      <c r="I139" s="1991">
        <f>$E$5</f>
        <v>9409.4599999999991</v>
      </c>
      <c r="J139" s="1991"/>
      <c r="K139" s="2000" t="s">
        <v>101</v>
      </c>
      <c r="L139" s="1990" t="s">
        <v>4060</v>
      </c>
      <c r="M139" s="1991">
        <f t="shared" ref="M139:M189" si="45">ROUND(I139,2)*ROUND(J139,4)</f>
        <v>0</v>
      </c>
      <c r="N139" s="1991"/>
      <c r="O139" s="1991">
        <f t="shared" ref="O139:O149" si="46">ROUND(M139*ROUND(N139,2)/10000,6)</f>
        <v>0</v>
      </c>
      <c r="P139" s="1991">
        <f t="shared" ref="P139:P149" si="47">IFERROR(ROUND(Q139*10000/M139,2),0)</f>
        <v>0</v>
      </c>
      <c r="Q139" s="1991">
        <f t="shared" ref="Q139:Q149" si="48">ROUND(O139/(1+R139),6)</f>
        <v>0</v>
      </c>
      <c r="R139" s="1993">
        <v>0.13</v>
      </c>
      <c r="S139" s="1991">
        <f t="shared" ref="S139:S149" si="49">O139-Q139</f>
        <v>0</v>
      </c>
      <c r="T139" s="1991">
        <f t="shared" si="32"/>
        <v>0</v>
      </c>
      <c r="U139" s="1991">
        <f t="shared" si="31"/>
        <v>0</v>
      </c>
      <c r="V139" s="1994"/>
      <c r="X139" s="2079">
        <f>车位!O139</f>
        <v>0</v>
      </c>
      <c r="Y139" s="2080">
        <f t="shared" si="28"/>
        <v>0</v>
      </c>
      <c r="Z139" s="2080"/>
      <c r="AA139" s="2079">
        <v>0</v>
      </c>
      <c r="AB139" s="2080">
        <f t="shared" si="29"/>
        <v>0</v>
      </c>
      <c r="AC139" s="2079"/>
      <c r="AD139" s="2079"/>
      <c r="AE139" s="2079"/>
      <c r="AF139" s="2079"/>
      <c r="AG139" s="2079"/>
      <c r="AH139" s="2079"/>
      <c r="AI139" s="2079"/>
      <c r="AJ139" s="2079"/>
      <c r="AK139" s="2079"/>
    </row>
    <row r="140" spans="1:37" s="1942" customFormat="1" ht="28.5" customHeight="1" outlineLevel="4">
      <c r="A140" s="1944"/>
      <c r="B140" s="1985" t="s">
        <v>704</v>
      </c>
      <c r="C140" s="1828"/>
      <c r="D140" s="2013" t="s">
        <v>1571</v>
      </c>
      <c r="E140" s="2011"/>
      <c r="F140" s="1988" t="s">
        <v>3342</v>
      </c>
      <c r="G140" s="1989" t="s">
        <v>4116</v>
      </c>
      <c r="H140" s="1990" t="s">
        <v>10</v>
      </c>
      <c r="I140" s="1991">
        <f>$E$5</f>
        <v>9409.4599999999991</v>
      </c>
      <c r="J140" s="1991"/>
      <c r="K140" s="2000" t="s">
        <v>101</v>
      </c>
      <c r="L140" s="1990" t="s">
        <v>4060</v>
      </c>
      <c r="M140" s="1991">
        <f t="shared" si="45"/>
        <v>0</v>
      </c>
      <c r="N140" s="1991"/>
      <c r="O140" s="1991">
        <f t="shared" si="46"/>
        <v>0</v>
      </c>
      <c r="P140" s="1991">
        <f t="shared" si="47"/>
        <v>0</v>
      </c>
      <c r="Q140" s="1991">
        <f t="shared" si="48"/>
        <v>0</v>
      </c>
      <c r="R140" s="1993">
        <v>0.09</v>
      </c>
      <c r="S140" s="1991">
        <f t="shared" si="49"/>
        <v>0</v>
      </c>
      <c r="T140" s="1991">
        <f t="shared" si="32"/>
        <v>0</v>
      </c>
      <c r="U140" s="1991">
        <f t="shared" si="31"/>
        <v>0</v>
      </c>
      <c r="V140" s="1994"/>
      <c r="X140" s="2079">
        <f>车位!O140</f>
        <v>0</v>
      </c>
      <c r="Y140" s="2080">
        <f t="shared" ref="Y140:Y203" si="50">X140+O140</f>
        <v>0</v>
      </c>
      <c r="Z140" s="2080"/>
      <c r="AA140" s="2079">
        <v>0</v>
      </c>
      <c r="AB140" s="2080">
        <f t="shared" ref="AB140:AB203" si="51">Y140-AA140</f>
        <v>0</v>
      </c>
      <c r="AC140" s="2079"/>
      <c r="AD140" s="2079"/>
      <c r="AE140" s="2079"/>
      <c r="AF140" s="2079"/>
      <c r="AG140" s="2079"/>
      <c r="AH140" s="2079"/>
      <c r="AI140" s="2079"/>
      <c r="AJ140" s="2079"/>
      <c r="AK140" s="2079"/>
    </row>
    <row r="141" spans="1:37" s="1942" customFormat="1" ht="28.5" customHeight="1" outlineLevel="3">
      <c r="A141" s="1944"/>
      <c r="B141" s="1978" t="s">
        <v>1566</v>
      </c>
      <c r="C141" s="1810"/>
      <c r="D141" s="2008" t="s">
        <v>3634</v>
      </c>
      <c r="E141" s="2009" t="s">
        <v>3635</v>
      </c>
      <c r="F141" s="1462" t="s">
        <v>3832</v>
      </c>
      <c r="G141" s="1953" t="s">
        <v>4152</v>
      </c>
      <c r="H141" s="1947" t="s">
        <v>10</v>
      </c>
      <c r="I141" s="1712">
        <f>$E$5</f>
        <v>9409.4599999999991</v>
      </c>
      <c r="J141" s="2035"/>
      <c r="K141" s="1950" t="s">
        <v>101</v>
      </c>
      <c r="L141" s="1947" t="s">
        <v>4061</v>
      </c>
      <c r="M141" s="1754">
        <f t="shared" si="45"/>
        <v>0</v>
      </c>
      <c r="N141" s="1712"/>
      <c r="O141" s="1712">
        <f t="shared" si="46"/>
        <v>0</v>
      </c>
      <c r="P141" s="1712">
        <f t="shared" si="47"/>
        <v>0</v>
      </c>
      <c r="Q141" s="1712">
        <f t="shared" si="48"/>
        <v>0</v>
      </c>
      <c r="R141" s="1757">
        <v>0.09</v>
      </c>
      <c r="S141" s="1712">
        <f t="shared" si="49"/>
        <v>0</v>
      </c>
      <c r="T141" s="1712">
        <f t="shared" si="32"/>
        <v>0</v>
      </c>
      <c r="U141" s="1712">
        <f t="shared" si="31"/>
        <v>0</v>
      </c>
      <c r="V141" s="1952"/>
      <c r="X141" s="2079">
        <f>车位!O141</f>
        <v>0</v>
      </c>
      <c r="Y141" s="2080">
        <f t="shared" si="50"/>
        <v>0</v>
      </c>
      <c r="Z141" s="2080"/>
      <c r="AA141" s="2079">
        <v>0</v>
      </c>
      <c r="AB141" s="2080">
        <f t="shared" si="51"/>
        <v>0</v>
      </c>
      <c r="AC141" s="2079"/>
      <c r="AD141" s="2079"/>
      <c r="AE141" s="2079"/>
      <c r="AF141" s="2079"/>
      <c r="AG141" s="2079"/>
      <c r="AH141" s="2079"/>
      <c r="AI141" s="2079"/>
      <c r="AJ141" s="2079"/>
      <c r="AK141" s="2079"/>
    </row>
    <row r="142" spans="1:37" s="1942" customFormat="1" ht="28.5" customHeight="1" outlineLevel="3">
      <c r="A142" s="1944"/>
      <c r="B142" s="1978" t="s">
        <v>1572</v>
      </c>
      <c r="C142" s="1810"/>
      <c r="D142" s="2008" t="s">
        <v>3637</v>
      </c>
      <c r="E142" s="2009" t="s">
        <v>3638</v>
      </c>
      <c r="F142" s="1462" t="s">
        <v>3636</v>
      </c>
      <c r="G142" s="1953" t="s">
        <v>4153</v>
      </c>
      <c r="H142" s="1947" t="s">
        <v>10</v>
      </c>
      <c r="I142" s="1712">
        <f t="shared" ref="I142:I149" si="52">$E$5</f>
        <v>9409.4599999999991</v>
      </c>
      <c r="J142" s="2035"/>
      <c r="K142" s="1950" t="s">
        <v>101</v>
      </c>
      <c r="L142" s="1947" t="s">
        <v>4062</v>
      </c>
      <c r="M142" s="1754">
        <f t="shared" si="45"/>
        <v>0</v>
      </c>
      <c r="N142" s="1712"/>
      <c r="O142" s="1712">
        <f t="shared" si="46"/>
        <v>0</v>
      </c>
      <c r="P142" s="1712">
        <f t="shared" si="47"/>
        <v>0</v>
      </c>
      <c r="Q142" s="1712">
        <f t="shared" si="48"/>
        <v>0</v>
      </c>
      <c r="R142" s="1757">
        <v>0.09</v>
      </c>
      <c r="S142" s="1712">
        <f t="shared" si="49"/>
        <v>0</v>
      </c>
      <c r="T142" s="1712">
        <f t="shared" si="32"/>
        <v>0</v>
      </c>
      <c r="U142" s="1712">
        <f t="shared" si="31"/>
        <v>0</v>
      </c>
      <c r="V142" s="1952"/>
      <c r="X142" s="2079">
        <f>车位!O142</f>
        <v>0</v>
      </c>
      <c r="Y142" s="2080">
        <f t="shared" si="50"/>
        <v>0</v>
      </c>
      <c r="Z142" s="2080"/>
      <c r="AA142" s="2079">
        <v>0</v>
      </c>
      <c r="AB142" s="2080">
        <f t="shared" si="51"/>
        <v>0</v>
      </c>
      <c r="AC142" s="2079"/>
      <c r="AD142" s="2079"/>
      <c r="AE142" s="2079"/>
      <c r="AF142" s="2079"/>
      <c r="AG142" s="2079"/>
      <c r="AH142" s="2079"/>
      <c r="AI142" s="2079"/>
      <c r="AJ142" s="2079"/>
      <c r="AK142" s="2079"/>
    </row>
    <row r="143" spans="1:37" s="1942" customFormat="1" ht="28.5" customHeight="1" outlineLevel="3">
      <c r="A143" s="1944"/>
      <c r="B143" s="1978" t="s">
        <v>1578</v>
      </c>
      <c r="C143" s="1810"/>
      <c r="D143" s="2008" t="s">
        <v>3639</v>
      </c>
      <c r="E143" s="2009" t="s">
        <v>3640</v>
      </c>
      <c r="F143" s="1462" t="s">
        <v>3636</v>
      </c>
      <c r="G143" s="1953" t="s">
        <v>4153</v>
      </c>
      <c r="H143" s="1947" t="s">
        <v>10</v>
      </c>
      <c r="I143" s="1712">
        <f t="shared" si="52"/>
        <v>9409.4599999999991</v>
      </c>
      <c r="J143" s="2035"/>
      <c r="K143" s="1950" t="s">
        <v>101</v>
      </c>
      <c r="L143" s="1947" t="s">
        <v>4063</v>
      </c>
      <c r="M143" s="1754">
        <f t="shared" si="45"/>
        <v>0</v>
      </c>
      <c r="N143" s="1712"/>
      <c r="O143" s="1712">
        <f t="shared" si="46"/>
        <v>0</v>
      </c>
      <c r="P143" s="1712">
        <f t="shared" si="47"/>
        <v>0</v>
      </c>
      <c r="Q143" s="1712">
        <f t="shared" si="48"/>
        <v>0</v>
      </c>
      <c r="R143" s="1757">
        <v>0.09</v>
      </c>
      <c r="S143" s="1712">
        <f t="shared" si="49"/>
        <v>0</v>
      </c>
      <c r="T143" s="1712">
        <f t="shared" si="32"/>
        <v>0</v>
      </c>
      <c r="U143" s="1712">
        <f t="shared" si="31"/>
        <v>0</v>
      </c>
      <c r="V143" s="1952"/>
      <c r="X143" s="2079">
        <f>车位!O143</f>
        <v>0</v>
      </c>
      <c r="Y143" s="2080">
        <f t="shared" si="50"/>
        <v>0</v>
      </c>
      <c r="Z143" s="2080"/>
      <c r="AA143" s="2079">
        <v>0</v>
      </c>
      <c r="AB143" s="2080">
        <f t="shared" si="51"/>
        <v>0</v>
      </c>
      <c r="AC143" s="2079"/>
      <c r="AD143" s="2079"/>
      <c r="AE143" s="2079"/>
      <c r="AF143" s="2079"/>
      <c r="AG143" s="2079"/>
      <c r="AH143" s="2079"/>
      <c r="AI143" s="2079"/>
      <c r="AJ143" s="2079"/>
      <c r="AK143" s="2079"/>
    </row>
    <row r="144" spans="1:37" s="1942" customFormat="1" ht="28.5" customHeight="1" outlineLevel="3">
      <c r="A144" s="1944"/>
      <c r="B144" s="1978" t="s">
        <v>705</v>
      </c>
      <c r="C144" s="1810"/>
      <c r="D144" s="2008" t="s">
        <v>3641</v>
      </c>
      <c r="E144" s="2009" t="s">
        <v>3642</v>
      </c>
      <c r="F144" s="1462" t="s">
        <v>1493</v>
      </c>
      <c r="G144" s="1953" t="s">
        <v>4119</v>
      </c>
      <c r="H144" s="1947" t="s">
        <v>10</v>
      </c>
      <c r="I144" s="1712">
        <f t="shared" si="52"/>
        <v>9409.4599999999991</v>
      </c>
      <c r="J144" s="2035"/>
      <c r="K144" s="1977" t="s">
        <v>4064</v>
      </c>
      <c r="L144" s="1947" t="s">
        <v>4065</v>
      </c>
      <c r="M144" s="1754">
        <f t="shared" si="45"/>
        <v>0</v>
      </c>
      <c r="N144" s="1712"/>
      <c r="O144" s="1712">
        <f t="shared" si="46"/>
        <v>0</v>
      </c>
      <c r="P144" s="1712">
        <f t="shared" si="47"/>
        <v>0</v>
      </c>
      <c r="Q144" s="1712">
        <f t="shared" si="48"/>
        <v>0</v>
      </c>
      <c r="R144" s="1757">
        <v>0.09</v>
      </c>
      <c r="S144" s="1712">
        <f t="shared" si="49"/>
        <v>0</v>
      </c>
      <c r="T144" s="1712">
        <f t="shared" si="32"/>
        <v>0</v>
      </c>
      <c r="U144" s="1712">
        <f t="shared" si="31"/>
        <v>0</v>
      </c>
      <c r="V144" s="1952"/>
      <c r="X144" s="2079">
        <f>车位!O144</f>
        <v>0</v>
      </c>
      <c r="Y144" s="2080">
        <f t="shared" si="50"/>
        <v>0</v>
      </c>
      <c r="Z144" s="2080"/>
      <c r="AA144" s="2079">
        <v>0</v>
      </c>
      <c r="AB144" s="2080">
        <f t="shared" si="51"/>
        <v>0</v>
      </c>
      <c r="AC144" s="2079"/>
      <c r="AD144" s="2079"/>
      <c r="AE144" s="2079"/>
      <c r="AF144" s="2079"/>
      <c r="AG144" s="2079"/>
      <c r="AH144" s="2079"/>
      <c r="AI144" s="2079"/>
      <c r="AJ144" s="2079"/>
      <c r="AK144" s="2079"/>
    </row>
    <row r="145" spans="1:37" s="1942" customFormat="1" ht="28.5" customHeight="1" outlineLevel="3">
      <c r="A145" s="1944"/>
      <c r="B145" s="1978" t="s">
        <v>706</v>
      </c>
      <c r="C145" s="1810"/>
      <c r="D145" s="2008" t="s">
        <v>3643</v>
      </c>
      <c r="E145" s="2009" t="s">
        <v>3644</v>
      </c>
      <c r="F145" s="1462" t="s">
        <v>3636</v>
      </c>
      <c r="G145" s="1953" t="s">
        <v>4153</v>
      </c>
      <c r="H145" s="1947" t="s">
        <v>10</v>
      </c>
      <c r="I145" s="1712">
        <f t="shared" si="52"/>
        <v>9409.4599999999991</v>
      </c>
      <c r="J145" s="2035">
        <v>0.01</v>
      </c>
      <c r="K145" s="1950" t="s">
        <v>101</v>
      </c>
      <c r="L145" s="1947" t="s">
        <v>4066</v>
      </c>
      <c r="M145" s="1754">
        <f t="shared" si="45"/>
        <v>94.0946</v>
      </c>
      <c r="N145" s="1712">
        <v>1500</v>
      </c>
      <c r="O145" s="1712">
        <f t="shared" si="46"/>
        <v>14.114190000000001</v>
      </c>
      <c r="P145" s="1712">
        <f t="shared" si="47"/>
        <v>1327.43</v>
      </c>
      <c r="Q145" s="1712">
        <f t="shared" si="48"/>
        <v>12.490434</v>
      </c>
      <c r="R145" s="1757">
        <v>0.13</v>
      </c>
      <c r="S145" s="1712">
        <f t="shared" si="49"/>
        <v>1.6237560000000002</v>
      </c>
      <c r="T145" s="1712">
        <f t="shared" si="32"/>
        <v>13.274336678194075</v>
      </c>
      <c r="U145" s="1712">
        <f t="shared" ref="U145:U208" si="53">IFERROR(O145*10000/$E$6,"")</f>
        <v>15</v>
      </c>
      <c r="V145" s="1952"/>
      <c r="X145" s="2079">
        <f>车位!O145</f>
        <v>73.697519999999997</v>
      </c>
      <c r="Y145" s="2080">
        <f t="shared" si="50"/>
        <v>87.811710000000005</v>
      </c>
      <c r="Z145" s="2080"/>
      <c r="AA145" s="2079">
        <v>26.113507999999999</v>
      </c>
      <c r="AB145" s="2080">
        <f t="shared" si="51"/>
        <v>61.698202000000009</v>
      </c>
      <c r="AC145" s="2079"/>
      <c r="AD145" s="2079"/>
      <c r="AE145" s="2079"/>
      <c r="AF145" s="2079"/>
      <c r="AG145" s="2079"/>
      <c r="AH145" s="2079"/>
      <c r="AI145" s="2079"/>
      <c r="AJ145" s="2079"/>
      <c r="AK145" s="2079"/>
    </row>
    <row r="146" spans="1:37" s="1942" customFormat="1" ht="28.5" customHeight="1" outlineLevel="3">
      <c r="A146" s="1944"/>
      <c r="B146" s="1978" t="s">
        <v>707</v>
      </c>
      <c r="C146" s="1810"/>
      <c r="D146" s="2008" t="s">
        <v>97</v>
      </c>
      <c r="E146" s="2009" t="s">
        <v>3645</v>
      </c>
      <c r="F146" s="1462" t="s">
        <v>470</v>
      </c>
      <c r="G146" s="1953" t="s">
        <v>4154</v>
      </c>
      <c r="H146" s="1975" t="s">
        <v>10</v>
      </c>
      <c r="I146" s="1712">
        <f t="shared" si="52"/>
        <v>9409.4599999999991</v>
      </c>
      <c r="J146" s="2036"/>
      <c r="K146" s="1950" t="s">
        <v>101</v>
      </c>
      <c r="L146" s="1947" t="s">
        <v>10</v>
      </c>
      <c r="M146" s="1754">
        <f t="shared" si="45"/>
        <v>0</v>
      </c>
      <c r="N146" s="1712"/>
      <c r="O146" s="1712">
        <f t="shared" si="46"/>
        <v>0</v>
      </c>
      <c r="P146" s="1712">
        <f t="shared" si="47"/>
        <v>0</v>
      </c>
      <c r="Q146" s="1712">
        <f t="shared" si="48"/>
        <v>0</v>
      </c>
      <c r="R146" s="1757">
        <v>0.09</v>
      </c>
      <c r="S146" s="1712">
        <f t="shared" si="49"/>
        <v>0</v>
      </c>
      <c r="T146" s="1712">
        <f t="shared" ref="T146:T208" si="54">IFERROR(Q146*10000/$E$6,"")</f>
        <v>0</v>
      </c>
      <c r="U146" s="1712">
        <f t="shared" si="53"/>
        <v>0</v>
      </c>
      <c r="V146" s="1952"/>
      <c r="X146" s="2079">
        <f>车位!O146</f>
        <v>0</v>
      </c>
      <c r="Y146" s="2080">
        <f t="shared" si="50"/>
        <v>0</v>
      </c>
      <c r="Z146" s="2080"/>
      <c r="AA146" s="2079">
        <v>0</v>
      </c>
      <c r="AB146" s="2080">
        <f t="shared" si="51"/>
        <v>0</v>
      </c>
      <c r="AC146" s="2079"/>
      <c r="AD146" s="2079"/>
      <c r="AE146" s="2079"/>
      <c r="AF146" s="2079"/>
      <c r="AG146" s="2079"/>
      <c r="AH146" s="2079"/>
      <c r="AI146" s="2079"/>
      <c r="AJ146" s="2079"/>
      <c r="AK146" s="2079"/>
    </row>
    <row r="147" spans="1:37" s="1942" customFormat="1" ht="28.5" customHeight="1" outlineLevel="3">
      <c r="A147" s="1944"/>
      <c r="B147" s="1978" t="s">
        <v>709</v>
      </c>
      <c r="C147" s="1810"/>
      <c r="D147" s="2008" t="s">
        <v>3646</v>
      </c>
      <c r="E147" s="2009" t="s">
        <v>3647</v>
      </c>
      <c r="F147" s="1462" t="s">
        <v>1363</v>
      </c>
      <c r="G147" s="1953" t="s">
        <v>4155</v>
      </c>
      <c r="H147" s="1975" t="s">
        <v>10</v>
      </c>
      <c r="I147" s="1712">
        <f t="shared" si="52"/>
        <v>9409.4599999999991</v>
      </c>
      <c r="J147" s="2036"/>
      <c r="K147" s="1950" t="s">
        <v>101</v>
      </c>
      <c r="L147" s="1947" t="s">
        <v>10</v>
      </c>
      <c r="M147" s="1754">
        <f t="shared" si="45"/>
        <v>0</v>
      </c>
      <c r="N147" s="1712"/>
      <c r="O147" s="1712">
        <f t="shared" si="46"/>
        <v>0</v>
      </c>
      <c r="P147" s="1712">
        <f t="shared" si="47"/>
        <v>0</v>
      </c>
      <c r="Q147" s="1712">
        <f t="shared" si="48"/>
        <v>0</v>
      </c>
      <c r="R147" s="1757">
        <v>0.09</v>
      </c>
      <c r="S147" s="1712">
        <f t="shared" si="49"/>
        <v>0</v>
      </c>
      <c r="T147" s="1712">
        <f t="shared" si="54"/>
        <v>0</v>
      </c>
      <c r="U147" s="1712">
        <f t="shared" si="53"/>
        <v>0</v>
      </c>
      <c r="V147" s="1952"/>
      <c r="X147" s="2079">
        <f>车位!O147</f>
        <v>0</v>
      </c>
      <c r="Y147" s="2080">
        <f t="shared" si="50"/>
        <v>0</v>
      </c>
      <c r="Z147" s="2080"/>
      <c r="AA147" s="2079">
        <v>0</v>
      </c>
      <c r="AB147" s="2080">
        <f t="shared" si="51"/>
        <v>0</v>
      </c>
      <c r="AC147" s="2079"/>
      <c r="AD147" s="2079"/>
      <c r="AE147" s="2079"/>
      <c r="AF147" s="2079"/>
      <c r="AG147" s="2079"/>
      <c r="AH147" s="2079"/>
      <c r="AI147" s="2079"/>
      <c r="AJ147" s="2079"/>
      <c r="AK147" s="2079"/>
    </row>
    <row r="148" spans="1:37" s="1942" customFormat="1" ht="28.5" customHeight="1" outlineLevel="3">
      <c r="A148" s="1944"/>
      <c r="B148" s="1978" t="s">
        <v>710</v>
      </c>
      <c r="C148" s="1810"/>
      <c r="D148" s="2008" t="s">
        <v>3648</v>
      </c>
      <c r="E148" s="2009" t="s">
        <v>3649</v>
      </c>
      <c r="F148" s="1462" t="s">
        <v>3636</v>
      </c>
      <c r="G148" s="1953" t="s">
        <v>4153</v>
      </c>
      <c r="H148" s="1975" t="s">
        <v>10</v>
      </c>
      <c r="I148" s="1712">
        <f t="shared" si="52"/>
        <v>9409.4599999999991</v>
      </c>
      <c r="J148" s="2036"/>
      <c r="K148" s="1950" t="s">
        <v>101</v>
      </c>
      <c r="L148" s="1947" t="s">
        <v>4067</v>
      </c>
      <c r="M148" s="1754">
        <f t="shared" si="45"/>
        <v>0</v>
      </c>
      <c r="N148" s="1712"/>
      <c r="O148" s="1712">
        <f t="shared" si="46"/>
        <v>0</v>
      </c>
      <c r="P148" s="1712">
        <f t="shared" si="47"/>
        <v>0</v>
      </c>
      <c r="Q148" s="1712">
        <f t="shared" si="48"/>
        <v>0</v>
      </c>
      <c r="R148" s="1757">
        <v>0.09</v>
      </c>
      <c r="S148" s="1712">
        <f t="shared" si="49"/>
        <v>0</v>
      </c>
      <c r="T148" s="1712">
        <f t="shared" si="54"/>
        <v>0</v>
      </c>
      <c r="U148" s="1712">
        <f t="shared" si="53"/>
        <v>0</v>
      </c>
      <c r="V148" s="1952"/>
      <c r="X148" s="2079">
        <f>车位!O148</f>
        <v>0</v>
      </c>
      <c r="Y148" s="2080">
        <f t="shared" si="50"/>
        <v>0</v>
      </c>
      <c r="Z148" s="2080"/>
      <c r="AA148" s="2079">
        <v>0</v>
      </c>
      <c r="AB148" s="2080">
        <f t="shared" si="51"/>
        <v>0</v>
      </c>
      <c r="AC148" s="2079"/>
      <c r="AD148" s="2079"/>
      <c r="AE148" s="2079"/>
      <c r="AF148" s="2079"/>
      <c r="AG148" s="2079"/>
      <c r="AH148" s="2079"/>
      <c r="AI148" s="2079"/>
      <c r="AJ148" s="2079"/>
      <c r="AK148" s="2079"/>
    </row>
    <row r="149" spans="1:37" s="1942" customFormat="1" ht="28.5" customHeight="1" outlineLevel="3">
      <c r="A149" s="1944"/>
      <c r="B149" s="1978" t="s">
        <v>3650</v>
      </c>
      <c r="C149" s="1810"/>
      <c r="D149" s="2008" t="s">
        <v>3651</v>
      </c>
      <c r="E149" s="2009" t="s">
        <v>3652</v>
      </c>
      <c r="F149" s="1462" t="s">
        <v>1606</v>
      </c>
      <c r="G149" s="1953" t="s">
        <v>4121</v>
      </c>
      <c r="H149" s="1975" t="s">
        <v>10</v>
      </c>
      <c r="I149" s="1712">
        <f t="shared" si="52"/>
        <v>9409.4599999999991</v>
      </c>
      <c r="J149" s="2036"/>
      <c r="K149" s="1950" t="s">
        <v>101</v>
      </c>
      <c r="L149" s="1947" t="s">
        <v>4068</v>
      </c>
      <c r="M149" s="1754">
        <f t="shared" si="45"/>
        <v>0</v>
      </c>
      <c r="N149" s="1712"/>
      <c r="O149" s="1712">
        <f t="shared" si="46"/>
        <v>0</v>
      </c>
      <c r="P149" s="1712">
        <f t="shared" si="47"/>
        <v>0</v>
      </c>
      <c r="Q149" s="1712">
        <f t="shared" si="48"/>
        <v>0</v>
      </c>
      <c r="R149" s="1757">
        <v>0.13</v>
      </c>
      <c r="S149" s="1712">
        <f t="shared" si="49"/>
        <v>0</v>
      </c>
      <c r="T149" s="1712">
        <f t="shared" si="54"/>
        <v>0</v>
      </c>
      <c r="U149" s="1712">
        <f t="shared" si="53"/>
        <v>0</v>
      </c>
      <c r="V149" s="1952"/>
      <c r="X149" s="2079">
        <f>车位!O149</f>
        <v>0</v>
      </c>
      <c r="Y149" s="2080">
        <f t="shared" si="50"/>
        <v>0</v>
      </c>
      <c r="Z149" s="2080"/>
      <c r="AA149" s="2079">
        <v>0</v>
      </c>
      <c r="AB149" s="2080">
        <f t="shared" si="51"/>
        <v>0</v>
      </c>
      <c r="AC149" s="2079"/>
      <c r="AD149" s="2079"/>
      <c r="AE149" s="2079"/>
      <c r="AF149" s="2079"/>
      <c r="AG149" s="2079"/>
      <c r="AH149" s="2079"/>
      <c r="AI149" s="2079"/>
      <c r="AJ149" s="2079"/>
      <c r="AK149" s="2079"/>
    </row>
    <row r="150" spans="1:37" s="1942" customFormat="1" ht="28.5" customHeight="1" outlineLevel="2">
      <c r="A150" s="1944"/>
      <c r="B150" s="1807" t="s">
        <v>712</v>
      </c>
      <c r="C150" s="1808"/>
      <c r="D150" s="2008" t="s">
        <v>713</v>
      </c>
      <c r="E150" s="2009"/>
      <c r="F150" s="1462"/>
      <c r="G150" s="1953" t="s">
        <v>4117</v>
      </c>
      <c r="H150" s="1947"/>
      <c r="I150" s="1948"/>
      <c r="J150" s="1949"/>
      <c r="K150" s="1950"/>
      <c r="L150" s="1947"/>
      <c r="M150" s="1950"/>
      <c r="N150" s="1712"/>
      <c r="O150" s="1712">
        <f>SUBTOTAL(9,O151:O158)</f>
        <v>0</v>
      </c>
      <c r="P150" s="1712"/>
      <c r="Q150" s="1712">
        <f>SUBTOTAL(9,Q151:Q158)</f>
        <v>0</v>
      </c>
      <c r="R150" s="1712"/>
      <c r="S150" s="1712">
        <f>SUBTOTAL(9,S151:S158)</f>
        <v>0</v>
      </c>
      <c r="T150" s="1712">
        <f t="shared" si="54"/>
        <v>0</v>
      </c>
      <c r="U150" s="1712">
        <f t="shared" si="53"/>
        <v>0</v>
      </c>
      <c r="V150" s="1952"/>
      <c r="X150" s="2079">
        <f>车位!O150</f>
        <v>32</v>
      </c>
      <c r="Y150" s="2080">
        <f t="shared" si="50"/>
        <v>32</v>
      </c>
      <c r="Z150" s="2080"/>
      <c r="AA150" s="2079">
        <v>1.6</v>
      </c>
      <c r="AB150" s="2080">
        <f t="shared" si="51"/>
        <v>30.4</v>
      </c>
      <c r="AC150" s="2079"/>
      <c r="AD150" s="2079"/>
      <c r="AE150" s="2079"/>
      <c r="AF150" s="2079"/>
      <c r="AG150" s="2079"/>
      <c r="AH150" s="2079"/>
      <c r="AI150" s="2079"/>
      <c r="AJ150" s="2079"/>
      <c r="AK150" s="2079"/>
    </row>
    <row r="151" spans="1:37" s="1942" customFormat="1" ht="28.5" customHeight="1" outlineLevel="3">
      <c r="A151" s="1944"/>
      <c r="B151" s="1978" t="s">
        <v>714</v>
      </c>
      <c r="C151" s="1810"/>
      <c r="D151" s="2008" t="s">
        <v>715</v>
      </c>
      <c r="E151" s="2009" t="s">
        <v>3653</v>
      </c>
      <c r="F151" s="1462" t="s">
        <v>3654</v>
      </c>
      <c r="G151" s="1953" t="s">
        <v>4156</v>
      </c>
      <c r="H151" s="1947" t="s">
        <v>3923</v>
      </c>
      <c r="I151" s="1712">
        <f>$G$6</f>
        <v>1</v>
      </c>
      <c r="J151" s="2035"/>
      <c r="K151" s="1977" t="s">
        <v>1836</v>
      </c>
      <c r="L151" s="1947" t="s">
        <v>4069</v>
      </c>
      <c r="M151" s="1754">
        <f t="shared" si="45"/>
        <v>0</v>
      </c>
      <c r="N151" s="1712">
        <v>200</v>
      </c>
      <c r="O151" s="1712">
        <f t="shared" ref="O151:O158" si="55">ROUND(M151*ROUND(N151,2)/10000,6)</f>
        <v>0</v>
      </c>
      <c r="P151" s="1712">
        <f t="shared" ref="P151:P158" si="56">IFERROR(ROUND(Q151*10000/M151,2),0)</f>
        <v>0</v>
      </c>
      <c r="Q151" s="1712">
        <f t="shared" ref="Q151:Q158" si="57">ROUND(O151/(1+R151),6)</f>
        <v>0</v>
      </c>
      <c r="R151" s="1757">
        <v>0.09</v>
      </c>
      <c r="S151" s="1712">
        <f t="shared" ref="S151:S158" si="58">O151-Q151</f>
        <v>0</v>
      </c>
      <c r="T151" s="1712">
        <f t="shared" si="54"/>
        <v>0</v>
      </c>
      <c r="U151" s="1712">
        <f t="shared" si="53"/>
        <v>0</v>
      </c>
      <c r="V151" s="1952"/>
      <c r="X151" s="2079">
        <f>车位!O151</f>
        <v>32</v>
      </c>
      <c r="Y151" s="2080">
        <f t="shared" si="50"/>
        <v>32</v>
      </c>
      <c r="Z151" s="2080"/>
      <c r="AA151" s="2079">
        <v>1.6</v>
      </c>
      <c r="AB151" s="2080">
        <f t="shared" si="51"/>
        <v>30.4</v>
      </c>
      <c r="AC151" s="2079"/>
      <c r="AD151" s="2079"/>
      <c r="AE151" s="2079"/>
      <c r="AF151" s="2079"/>
      <c r="AG151" s="2079"/>
      <c r="AH151" s="2079"/>
      <c r="AI151" s="2079"/>
      <c r="AJ151" s="2079"/>
      <c r="AK151" s="2079"/>
    </row>
    <row r="152" spans="1:37" s="1942" customFormat="1" ht="28.5" customHeight="1" outlineLevel="3">
      <c r="A152" s="1944"/>
      <c r="B152" s="1978" t="s">
        <v>717</v>
      </c>
      <c r="C152" s="1810"/>
      <c r="D152" s="2008" t="s">
        <v>3655</v>
      </c>
      <c r="E152" s="2009" t="s">
        <v>3656</v>
      </c>
      <c r="F152" s="1462" t="s">
        <v>3654</v>
      </c>
      <c r="G152" s="1953" t="s">
        <v>4156</v>
      </c>
      <c r="H152" s="1947" t="s">
        <v>18</v>
      </c>
      <c r="I152" s="1712">
        <f>$G$5</f>
        <v>0</v>
      </c>
      <c r="J152" s="2035"/>
      <c r="K152" s="1950" t="s">
        <v>4064</v>
      </c>
      <c r="L152" s="1947" t="s">
        <v>4070</v>
      </c>
      <c r="M152" s="1754">
        <f t="shared" si="45"/>
        <v>0</v>
      </c>
      <c r="N152" s="1712"/>
      <c r="O152" s="1712">
        <f t="shared" si="55"/>
        <v>0</v>
      </c>
      <c r="P152" s="1712">
        <f t="shared" si="56"/>
        <v>0</v>
      </c>
      <c r="Q152" s="1712">
        <f t="shared" si="57"/>
        <v>0</v>
      </c>
      <c r="R152" s="1757">
        <v>0.09</v>
      </c>
      <c r="S152" s="1712">
        <f t="shared" si="58"/>
        <v>0</v>
      </c>
      <c r="T152" s="1712">
        <f t="shared" si="54"/>
        <v>0</v>
      </c>
      <c r="U152" s="1712">
        <f t="shared" si="53"/>
        <v>0</v>
      </c>
      <c r="V152" s="1952"/>
      <c r="X152" s="2079">
        <f>车位!O152</f>
        <v>0</v>
      </c>
      <c r="Y152" s="2080">
        <f t="shared" si="50"/>
        <v>0</v>
      </c>
      <c r="Z152" s="2080"/>
      <c r="AA152" s="2079">
        <v>0</v>
      </c>
      <c r="AB152" s="2080">
        <f t="shared" si="51"/>
        <v>0</v>
      </c>
      <c r="AC152" s="2079"/>
      <c r="AD152" s="2079"/>
      <c r="AE152" s="2079"/>
      <c r="AF152" s="2079"/>
      <c r="AG152" s="2079"/>
      <c r="AH152" s="2079"/>
      <c r="AI152" s="2079"/>
      <c r="AJ152" s="2079"/>
      <c r="AK152" s="2079"/>
    </row>
    <row r="153" spans="1:37" s="1942" customFormat="1" ht="28.5" customHeight="1" outlineLevel="3">
      <c r="A153" s="1944"/>
      <c r="B153" s="1978" t="s">
        <v>718</v>
      </c>
      <c r="C153" s="1810"/>
      <c r="D153" s="2008" t="s">
        <v>3657</v>
      </c>
      <c r="E153" s="2009" t="s">
        <v>3658</v>
      </c>
      <c r="F153" s="1462" t="s">
        <v>3654</v>
      </c>
      <c r="G153" s="1953" t="s">
        <v>4156</v>
      </c>
      <c r="H153" s="1947" t="s">
        <v>3926</v>
      </c>
      <c r="I153" s="1712">
        <f>$G$7</f>
        <v>0</v>
      </c>
      <c r="J153" s="2035"/>
      <c r="K153" s="1950" t="s">
        <v>660</v>
      </c>
      <c r="L153" s="1947" t="s">
        <v>4071</v>
      </c>
      <c r="M153" s="1754">
        <f t="shared" si="45"/>
        <v>0</v>
      </c>
      <c r="N153" s="1712"/>
      <c r="O153" s="1712">
        <f t="shared" si="55"/>
        <v>0</v>
      </c>
      <c r="P153" s="1712">
        <f t="shared" si="56"/>
        <v>0</v>
      </c>
      <c r="Q153" s="1712">
        <f t="shared" si="57"/>
        <v>0</v>
      </c>
      <c r="R153" s="1757">
        <v>0.09</v>
      </c>
      <c r="S153" s="1712">
        <f t="shared" si="58"/>
        <v>0</v>
      </c>
      <c r="T153" s="1712">
        <f t="shared" si="54"/>
        <v>0</v>
      </c>
      <c r="U153" s="1712">
        <f t="shared" si="53"/>
        <v>0</v>
      </c>
      <c r="V153" s="1952"/>
      <c r="X153" s="2079">
        <f>车位!O153</f>
        <v>0</v>
      </c>
      <c r="Y153" s="2080">
        <f t="shared" si="50"/>
        <v>0</v>
      </c>
      <c r="Z153" s="2080"/>
      <c r="AA153" s="2079">
        <v>0</v>
      </c>
      <c r="AB153" s="2080">
        <f t="shared" si="51"/>
        <v>0</v>
      </c>
      <c r="AC153" s="2079"/>
      <c r="AD153" s="2079"/>
      <c r="AE153" s="2079"/>
      <c r="AF153" s="2079"/>
      <c r="AG153" s="2079"/>
      <c r="AH153" s="2079"/>
      <c r="AI153" s="2079"/>
      <c r="AJ153" s="2079"/>
      <c r="AK153" s="2079"/>
    </row>
    <row r="154" spans="1:37" s="1942" customFormat="1" ht="28.5" customHeight="1" outlineLevel="3">
      <c r="A154" s="1944"/>
      <c r="B154" s="1978" t="s">
        <v>1585</v>
      </c>
      <c r="C154" s="1810"/>
      <c r="D154" s="2008" t="s">
        <v>3659</v>
      </c>
      <c r="E154" s="2009" t="s">
        <v>3660</v>
      </c>
      <c r="F154" s="1462" t="s">
        <v>3654</v>
      </c>
      <c r="G154" s="1953" t="s">
        <v>4156</v>
      </c>
      <c r="H154" s="1947" t="s">
        <v>3926</v>
      </c>
      <c r="I154" s="1712">
        <f>$G$7</f>
        <v>0</v>
      </c>
      <c r="J154" s="2035"/>
      <c r="K154" s="1950" t="s">
        <v>660</v>
      </c>
      <c r="L154" s="1947" t="s">
        <v>4072</v>
      </c>
      <c r="M154" s="1754">
        <f t="shared" si="45"/>
        <v>0</v>
      </c>
      <c r="N154" s="1712"/>
      <c r="O154" s="1712">
        <f t="shared" si="55"/>
        <v>0</v>
      </c>
      <c r="P154" s="1712">
        <f t="shared" si="56"/>
        <v>0</v>
      </c>
      <c r="Q154" s="1712">
        <f t="shared" si="57"/>
        <v>0</v>
      </c>
      <c r="R154" s="1757">
        <v>0.09</v>
      </c>
      <c r="S154" s="1712">
        <f t="shared" si="58"/>
        <v>0</v>
      </c>
      <c r="T154" s="1712">
        <f t="shared" si="54"/>
        <v>0</v>
      </c>
      <c r="U154" s="1712">
        <f t="shared" si="53"/>
        <v>0</v>
      </c>
      <c r="V154" s="1952"/>
      <c r="X154" s="2079">
        <f>车位!O154</f>
        <v>0</v>
      </c>
      <c r="Y154" s="2080">
        <f t="shared" si="50"/>
        <v>0</v>
      </c>
      <c r="Z154" s="2080"/>
      <c r="AA154" s="2079">
        <v>0</v>
      </c>
      <c r="AB154" s="2080">
        <f t="shared" si="51"/>
        <v>0</v>
      </c>
      <c r="AC154" s="2079"/>
      <c r="AD154" s="2079"/>
      <c r="AE154" s="2079"/>
      <c r="AF154" s="2079"/>
      <c r="AG154" s="2079"/>
      <c r="AH154" s="2079"/>
      <c r="AI154" s="2079"/>
      <c r="AJ154" s="2079"/>
      <c r="AK154" s="2079"/>
    </row>
    <row r="155" spans="1:37" s="1942" customFormat="1" ht="28.5" customHeight="1" outlineLevel="3">
      <c r="A155" s="1944"/>
      <c r="B155" s="1978" t="s">
        <v>1586</v>
      </c>
      <c r="C155" s="1810"/>
      <c r="D155" s="2008" t="s">
        <v>720</v>
      </c>
      <c r="E155" s="2009" t="s">
        <v>3661</v>
      </c>
      <c r="F155" s="1462" t="s">
        <v>3654</v>
      </c>
      <c r="G155" s="1953" t="s">
        <v>4156</v>
      </c>
      <c r="H155" s="1947" t="s">
        <v>3926</v>
      </c>
      <c r="I155" s="1712">
        <f>$G$7</f>
        <v>0</v>
      </c>
      <c r="J155" s="2035"/>
      <c r="K155" s="1950" t="s">
        <v>660</v>
      </c>
      <c r="L155" s="1947" t="s">
        <v>4073</v>
      </c>
      <c r="M155" s="1754">
        <f t="shared" si="45"/>
        <v>0</v>
      </c>
      <c r="N155" s="1712"/>
      <c r="O155" s="1712">
        <f t="shared" si="55"/>
        <v>0</v>
      </c>
      <c r="P155" s="1712">
        <f t="shared" si="56"/>
        <v>0</v>
      </c>
      <c r="Q155" s="1712">
        <f t="shared" si="57"/>
        <v>0</v>
      </c>
      <c r="R155" s="1757">
        <v>0.09</v>
      </c>
      <c r="S155" s="1712">
        <f t="shared" si="58"/>
        <v>0</v>
      </c>
      <c r="T155" s="1712">
        <f t="shared" si="54"/>
        <v>0</v>
      </c>
      <c r="U155" s="1712">
        <f t="shared" si="53"/>
        <v>0</v>
      </c>
      <c r="V155" s="1952"/>
      <c r="X155" s="2079">
        <f>车位!O155</f>
        <v>0</v>
      </c>
      <c r="Y155" s="2080">
        <f t="shared" si="50"/>
        <v>0</v>
      </c>
      <c r="Z155" s="2080"/>
      <c r="AA155" s="2079">
        <v>0</v>
      </c>
      <c r="AB155" s="2080">
        <f t="shared" si="51"/>
        <v>0</v>
      </c>
      <c r="AC155" s="2079"/>
      <c r="AD155" s="2079"/>
      <c r="AE155" s="2079"/>
      <c r="AF155" s="2079"/>
      <c r="AG155" s="2079"/>
      <c r="AH155" s="2079"/>
      <c r="AI155" s="2079"/>
      <c r="AJ155" s="2079"/>
      <c r="AK155" s="2079"/>
    </row>
    <row r="156" spans="1:37" s="1942" customFormat="1" ht="28.5" customHeight="1" outlineLevel="3">
      <c r="A156" s="1944"/>
      <c r="B156" s="1978" t="s">
        <v>3662</v>
      </c>
      <c r="C156" s="1810"/>
      <c r="D156" s="2008" t="s">
        <v>3663</v>
      </c>
      <c r="E156" s="2009" t="s">
        <v>3664</v>
      </c>
      <c r="F156" s="1462" t="s">
        <v>3654</v>
      </c>
      <c r="G156" s="1953" t="s">
        <v>4156</v>
      </c>
      <c r="H156" s="1947" t="s">
        <v>3926</v>
      </c>
      <c r="I156" s="1712">
        <f>$G$7</f>
        <v>0</v>
      </c>
      <c r="J156" s="2035"/>
      <c r="K156" s="1950" t="s">
        <v>722</v>
      </c>
      <c r="L156" s="1947" t="s">
        <v>4074</v>
      </c>
      <c r="M156" s="1754">
        <f t="shared" si="45"/>
        <v>0</v>
      </c>
      <c r="N156" s="1712"/>
      <c r="O156" s="1712">
        <f t="shared" si="55"/>
        <v>0</v>
      </c>
      <c r="P156" s="1712">
        <f t="shared" si="56"/>
        <v>0</v>
      </c>
      <c r="Q156" s="1712">
        <f t="shared" si="57"/>
        <v>0</v>
      </c>
      <c r="R156" s="1757">
        <v>0.09</v>
      </c>
      <c r="S156" s="1712">
        <f t="shared" si="58"/>
        <v>0</v>
      </c>
      <c r="T156" s="1712">
        <f t="shared" si="54"/>
        <v>0</v>
      </c>
      <c r="U156" s="1712">
        <f t="shared" si="53"/>
        <v>0</v>
      </c>
      <c r="V156" s="1952"/>
      <c r="X156" s="2079">
        <f>车位!O156</f>
        <v>0</v>
      </c>
      <c r="Y156" s="2080">
        <f t="shared" si="50"/>
        <v>0</v>
      </c>
      <c r="Z156" s="2080"/>
      <c r="AA156" s="2079">
        <v>0</v>
      </c>
      <c r="AB156" s="2080">
        <f t="shared" si="51"/>
        <v>0</v>
      </c>
      <c r="AC156" s="2079"/>
      <c r="AD156" s="2079"/>
      <c r="AE156" s="2079"/>
      <c r="AF156" s="2079"/>
      <c r="AG156" s="2079"/>
      <c r="AH156" s="2079"/>
      <c r="AI156" s="2079"/>
      <c r="AJ156" s="2079"/>
      <c r="AK156" s="2079"/>
    </row>
    <row r="157" spans="1:37" s="1942" customFormat="1" ht="28.5" customHeight="1" outlineLevel="3">
      <c r="A157" s="1944"/>
      <c r="B157" s="1978" t="s">
        <v>3665</v>
      </c>
      <c r="C157" s="1810"/>
      <c r="D157" s="2008" t="s">
        <v>3666</v>
      </c>
      <c r="E157" s="2009" t="s">
        <v>3667</v>
      </c>
      <c r="F157" s="1462" t="s">
        <v>3654</v>
      </c>
      <c r="G157" s="1953" t="s">
        <v>4156</v>
      </c>
      <c r="H157" s="1947" t="s">
        <v>9</v>
      </c>
      <c r="I157" s="1712">
        <f>$E$4</f>
        <v>9409.4599999999991</v>
      </c>
      <c r="J157" s="2035"/>
      <c r="K157" s="1950" t="s">
        <v>4075</v>
      </c>
      <c r="L157" s="1947" t="s">
        <v>4076</v>
      </c>
      <c r="M157" s="1754">
        <f t="shared" si="45"/>
        <v>0</v>
      </c>
      <c r="N157" s="1712"/>
      <c r="O157" s="1712">
        <f t="shared" si="55"/>
        <v>0</v>
      </c>
      <c r="P157" s="1712">
        <f t="shared" si="56"/>
        <v>0</v>
      </c>
      <c r="Q157" s="1712">
        <f t="shared" si="57"/>
        <v>0</v>
      </c>
      <c r="R157" s="1757">
        <v>0.09</v>
      </c>
      <c r="S157" s="1712">
        <f t="shared" si="58"/>
        <v>0</v>
      </c>
      <c r="T157" s="1712">
        <f t="shared" si="54"/>
        <v>0</v>
      </c>
      <c r="U157" s="1712">
        <f t="shared" si="53"/>
        <v>0</v>
      </c>
      <c r="V157" s="1952"/>
      <c r="X157" s="2079">
        <f>车位!O157</f>
        <v>0</v>
      </c>
      <c r="Y157" s="2080">
        <f t="shared" si="50"/>
        <v>0</v>
      </c>
      <c r="Z157" s="2080"/>
      <c r="AA157" s="2079">
        <v>0</v>
      </c>
      <c r="AB157" s="2080">
        <f t="shared" si="51"/>
        <v>0</v>
      </c>
      <c r="AC157" s="2079"/>
      <c r="AD157" s="2079"/>
      <c r="AE157" s="2079"/>
      <c r="AF157" s="2079"/>
      <c r="AG157" s="2079"/>
      <c r="AH157" s="2079"/>
      <c r="AI157" s="2079"/>
      <c r="AJ157" s="2079"/>
      <c r="AK157" s="2079"/>
    </row>
    <row r="158" spans="1:37" s="1942" customFormat="1" ht="28.5" customHeight="1" outlineLevel="3">
      <c r="A158" s="1944"/>
      <c r="B158" s="1978" t="s">
        <v>3668</v>
      </c>
      <c r="C158" s="1810"/>
      <c r="D158" s="2008" t="s">
        <v>3669</v>
      </c>
      <c r="E158" s="2009" t="s">
        <v>3670</v>
      </c>
      <c r="F158" s="1462" t="s">
        <v>3654</v>
      </c>
      <c r="G158" s="1953" t="s">
        <v>4156</v>
      </c>
      <c r="H158" s="1947" t="s">
        <v>3926</v>
      </c>
      <c r="I158" s="1712">
        <f>$G$7</f>
        <v>0</v>
      </c>
      <c r="J158" s="2035"/>
      <c r="K158" s="1950" t="s">
        <v>101</v>
      </c>
      <c r="L158" s="1947" t="s">
        <v>4077</v>
      </c>
      <c r="M158" s="1754">
        <f t="shared" si="45"/>
        <v>0</v>
      </c>
      <c r="N158" s="1712"/>
      <c r="O158" s="1712">
        <f t="shared" si="55"/>
        <v>0</v>
      </c>
      <c r="P158" s="1712">
        <f t="shared" si="56"/>
        <v>0</v>
      </c>
      <c r="Q158" s="1712">
        <f t="shared" si="57"/>
        <v>0</v>
      </c>
      <c r="R158" s="1757">
        <v>0.09</v>
      </c>
      <c r="S158" s="1712">
        <f t="shared" si="58"/>
        <v>0</v>
      </c>
      <c r="T158" s="1712">
        <f t="shared" si="54"/>
        <v>0</v>
      </c>
      <c r="U158" s="1712">
        <f t="shared" si="53"/>
        <v>0</v>
      </c>
      <c r="V158" s="1952"/>
      <c r="X158" s="2079">
        <f>车位!O158</f>
        <v>0</v>
      </c>
      <c r="Y158" s="2080">
        <f t="shared" si="50"/>
        <v>0</v>
      </c>
      <c r="Z158" s="2080"/>
      <c r="AA158" s="2079">
        <v>0</v>
      </c>
      <c r="AB158" s="2080">
        <f t="shared" si="51"/>
        <v>0</v>
      </c>
      <c r="AC158" s="2079"/>
      <c r="AD158" s="2079"/>
      <c r="AE158" s="2079"/>
      <c r="AF158" s="2079"/>
      <c r="AG158" s="2079"/>
      <c r="AH158" s="2079"/>
      <c r="AI158" s="2079"/>
      <c r="AJ158" s="2079"/>
      <c r="AK158" s="2079"/>
    </row>
    <row r="159" spans="1:37" s="1942" customFormat="1" ht="28.5" customHeight="1" outlineLevel="2">
      <c r="A159" s="1944"/>
      <c r="B159" s="1807" t="s">
        <v>723</v>
      </c>
      <c r="C159" s="1808"/>
      <c r="D159" s="2008" t="s">
        <v>21</v>
      </c>
      <c r="E159" s="2009"/>
      <c r="F159" s="1462"/>
      <c r="G159" s="1953" t="s">
        <v>4117</v>
      </c>
      <c r="H159" s="1947"/>
      <c r="I159" s="1948"/>
      <c r="J159" s="1949"/>
      <c r="K159" s="1950"/>
      <c r="L159" s="1947"/>
      <c r="M159" s="1950"/>
      <c r="N159" s="1712"/>
      <c r="O159" s="1712">
        <f>SUBTOTAL(9,O160:O164)</f>
        <v>18.818919999999999</v>
      </c>
      <c r="P159" s="1712"/>
      <c r="Q159" s="1712">
        <f>SUBTOTAL(9,Q160:Q164)</f>
        <v>16.653911999999998</v>
      </c>
      <c r="R159" s="1712"/>
      <c r="S159" s="1712">
        <f>SUBTOTAL(9,S160:S164)</f>
        <v>2.1650080000000003</v>
      </c>
      <c r="T159" s="1712">
        <f t="shared" si="54"/>
        <v>17.699115570925432</v>
      </c>
      <c r="U159" s="1712">
        <f t="shared" si="53"/>
        <v>20</v>
      </c>
      <c r="V159" s="1952"/>
      <c r="X159" s="2079">
        <f>车位!O159</f>
        <v>98.263360000000006</v>
      </c>
      <c r="Y159" s="2080">
        <f t="shared" si="50"/>
        <v>117.08228</v>
      </c>
      <c r="Z159" s="2080"/>
      <c r="AA159" s="2079">
        <v>69.636020000000002</v>
      </c>
      <c r="AB159" s="2080">
        <f t="shared" si="51"/>
        <v>47.446259999999995</v>
      </c>
      <c r="AC159" s="2079"/>
      <c r="AD159" s="2079"/>
      <c r="AE159" s="2079"/>
      <c r="AF159" s="2079"/>
      <c r="AG159" s="2079"/>
      <c r="AH159" s="2079"/>
      <c r="AI159" s="2079"/>
      <c r="AJ159" s="2079"/>
      <c r="AK159" s="2079"/>
    </row>
    <row r="160" spans="1:37" s="1942" customFormat="1" ht="28.5" customHeight="1" outlineLevel="3">
      <c r="A160" s="1944"/>
      <c r="B160" s="1978" t="s">
        <v>724</v>
      </c>
      <c r="C160" s="1810"/>
      <c r="D160" s="2008" t="s">
        <v>3671</v>
      </c>
      <c r="E160" s="2009" t="s">
        <v>3672</v>
      </c>
      <c r="F160" s="1462" t="s">
        <v>3636</v>
      </c>
      <c r="G160" s="1953" t="s">
        <v>4153</v>
      </c>
      <c r="H160" s="1947" t="s">
        <v>18</v>
      </c>
      <c r="I160" s="1712">
        <f>$G$5</f>
        <v>0</v>
      </c>
      <c r="J160" s="2035"/>
      <c r="K160" s="1950" t="s">
        <v>2942</v>
      </c>
      <c r="L160" s="1947" t="s">
        <v>4078</v>
      </c>
      <c r="M160" s="1754">
        <f t="shared" si="45"/>
        <v>0</v>
      </c>
      <c r="N160" s="1712"/>
      <c r="O160" s="1712">
        <f>ROUND(M160*ROUND(N160,2)/10000,6)</f>
        <v>0</v>
      </c>
      <c r="P160" s="1712">
        <f>IFERROR(ROUND(Q160*10000/M160,2),0)</f>
        <v>0</v>
      </c>
      <c r="Q160" s="1712">
        <f>ROUND(O160/(1+R160),6)</f>
        <v>0</v>
      </c>
      <c r="R160" s="1757">
        <v>0.09</v>
      </c>
      <c r="S160" s="1712">
        <f>O160-Q160</f>
        <v>0</v>
      </c>
      <c r="T160" s="1712">
        <f t="shared" si="54"/>
        <v>0</v>
      </c>
      <c r="U160" s="1712">
        <f t="shared" si="53"/>
        <v>0</v>
      </c>
      <c r="V160" s="1952"/>
      <c r="X160" s="2079">
        <f>车位!O160</f>
        <v>0</v>
      </c>
      <c r="Y160" s="2080">
        <f t="shared" si="50"/>
        <v>0</v>
      </c>
      <c r="Z160" s="2080"/>
      <c r="AA160" s="2079">
        <v>0</v>
      </c>
      <c r="AB160" s="2080">
        <f t="shared" si="51"/>
        <v>0</v>
      </c>
      <c r="AC160" s="2079"/>
      <c r="AD160" s="2079"/>
      <c r="AE160" s="2079"/>
      <c r="AF160" s="2079"/>
      <c r="AG160" s="2079"/>
      <c r="AH160" s="2079"/>
      <c r="AI160" s="2079"/>
      <c r="AJ160" s="2079"/>
      <c r="AK160" s="2079"/>
    </row>
    <row r="161" spans="1:37" s="1942" customFormat="1" ht="28.5" customHeight="1" outlineLevel="3">
      <c r="A161" s="1944"/>
      <c r="B161" s="1978" t="s">
        <v>726</v>
      </c>
      <c r="C161" s="1810"/>
      <c r="D161" s="2008" t="s">
        <v>61</v>
      </c>
      <c r="E161" s="2009" t="s">
        <v>3673</v>
      </c>
      <c r="F161" s="1462" t="s">
        <v>3674</v>
      </c>
      <c r="G161" s="1953" t="s">
        <v>4157</v>
      </c>
      <c r="H161" s="1947" t="s">
        <v>3926</v>
      </c>
      <c r="I161" s="1712">
        <f>$G$7</f>
        <v>0</v>
      </c>
      <c r="J161" s="2035"/>
      <c r="K161" s="1950" t="s">
        <v>6</v>
      </c>
      <c r="L161" s="1947" t="s">
        <v>4079</v>
      </c>
      <c r="M161" s="1754">
        <f t="shared" si="45"/>
        <v>0</v>
      </c>
      <c r="N161" s="1712"/>
      <c r="O161" s="1712">
        <f>ROUND(M161*ROUND(N161,2)/10000,6)</f>
        <v>0</v>
      </c>
      <c r="P161" s="1712">
        <f>IFERROR(ROUND(Q161*10000/M161,2),0)</f>
        <v>0</v>
      </c>
      <c r="Q161" s="1712">
        <f>ROUND(O161/(1+R161),6)</f>
        <v>0</v>
      </c>
      <c r="R161" s="1757">
        <v>0.13</v>
      </c>
      <c r="S161" s="1712">
        <f>O161-Q161</f>
        <v>0</v>
      </c>
      <c r="T161" s="1712">
        <f t="shared" si="54"/>
        <v>0</v>
      </c>
      <c r="U161" s="1712">
        <f t="shared" si="53"/>
        <v>0</v>
      </c>
      <c r="V161" s="1952"/>
      <c r="X161" s="2079">
        <f>车位!O161</f>
        <v>0</v>
      </c>
      <c r="Y161" s="2080">
        <f t="shared" si="50"/>
        <v>0</v>
      </c>
      <c r="Z161" s="2080"/>
      <c r="AA161" s="2079">
        <v>0</v>
      </c>
      <c r="AB161" s="2080">
        <f t="shared" si="51"/>
        <v>0</v>
      </c>
      <c r="AC161" s="2079"/>
      <c r="AD161" s="2079"/>
      <c r="AE161" s="2079"/>
      <c r="AF161" s="2079"/>
      <c r="AG161" s="2079"/>
      <c r="AH161" s="2079"/>
      <c r="AI161" s="2079"/>
      <c r="AJ161" s="2079"/>
      <c r="AK161" s="2079"/>
    </row>
    <row r="162" spans="1:37" s="1942" customFormat="1" ht="28.5" customHeight="1" outlineLevel="3">
      <c r="A162" s="1944"/>
      <c r="B162" s="1978" t="s">
        <v>728</v>
      </c>
      <c r="C162" s="1810"/>
      <c r="D162" s="2008" t="s">
        <v>3675</v>
      </c>
      <c r="E162" s="2009" t="s">
        <v>3676</v>
      </c>
      <c r="F162" s="1462" t="s">
        <v>3677</v>
      </c>
      <c r="G162" s="1953" t="s">
        <v>4158</v>
      </c>
      <c r="H162" s="1947" t="s">
        <v>10</v>
      </c>
      <c r="I162" s="1712">
        <f>$E$5</f>
        <v>9409.4599999999991</v>
      </c>
      <c r="J162" s="2037">
        <v>0.05</v>
      </c>
      <c r="K162" s="1950" t="s">
        <v>101</v>
      </c>
      <c r="L162" s="1947" t="s">
        <v>4080</v>
      </c>
      <c r="M162" s="1754">
        <f t="shared" si="45"/>
        <v>470.47299999999996</v>
      </c>
      <c r="N162" s="1756">
        <v>400</v>
      </c>
      <c r="O162" s="1712">
        <f>ROUND(M162*ROUND(N162,2)/10000,6)</f>
        <v>18.818919999999999</v>
      </c>
      <c r="P162" s="1712">
        <f>IFERROR(ROUND(Q162*10000/M162,2),0)</f>
        <v>353.98</v>
      </c>
      <c r="Q162" s="1712">
        <f>ROUND(O162/(1+R162),6)</f>
        <v>16.653911999999998</v>
      </c>
      <c r="R162" s="1757">
        <v>0.13</v>
      </c>
      <c r="S162" s="1712">
        <f>O162-Q162</f>
        <v>2.1650080000000003</v>
      </c>
      <c r="T162" s="1712">
        <f t="shared" si="54"/>
        <v>17.699115570925432</v>
      </c>
      <c r="U162" s="1712">
        <f t="shared" si="53"/>
        <v>20</v>
      </c>
      <c r="V162" s="1952"/>
      <c r="X162" s="2079">
        <f>车位!O162</f>
        <v>98.263360000000006</v>
      </c>
      <c r="Y162" s="2080">
        <f t="shared" si="50"/>
        <v>117.08228</v>
      </c>
      <c r="Z162" s="2080"/>
      <c r="AA162" s="2079">
        <v>69.636020000000002</v>
      </c>
      <c r="AB162" s="2080">
        <f t="shared" si="51"/>
        <v>47.446259999999995</v>
      </c>
      <c r="AC162" s="2079"/>
      <c r="AD162" s="2079"/>
      <c r="AE162" s="2079"/>
      <c r="AF162" s="2079"/>
      <c r="AG162" s="2079"/>
      <c r="AH162" s="2079"/>
      <c r="AI162" s="2079"/>
      <c r="AJ162" s="2079"/>
      <c r="AK162" s="2079"/>
    </row>
    <row r="163" spans="1:37" s="1942" customFormat="1" ht="28.5" customHeight="1" outlineLevel="3">
      <c r="A163" s="1944"/>
      <c r="B163" s="1978" t="s">
        <v>730</v>
      </c>
      <c r="C163" s="1810"/>
      <c r="D163" s="2008" t="s">
        <v>62</v>
      </c>
      <c r="E163" s="2009" t="s">
        <v>3678</v>
      </c>
      <c r="F163" s="1462" t="s">
        <v>3679</v>
      </c>
      <c r="G163" s="1953" t="s">
        <v>4159</v>
      </c>
      <c r="H163" s="1947" t="s">
        <v>10</v>
      </c>
      <c r="I163" s="1712">
        <f>$E$5</f>
        <v>9409.4599999999991</v>
      </c>
      <c r="J163" s="2035"/>
      <c r="K163" s="1950" t="s">
        <v>101</v>
      </c>
      <c r="L163" s="1947" t="s">
        <v>4081</v>
      </c>
      <c r="M163" s="1754">
        <f t="shared" si="45"/>
        <v>0</v>
      </c>
      <c r="N163" s="1712"/>
      <c r="O163" s="1712">
        <f>ROUND(M163*ROUND(N163,2)/10000,6)</f>
        <v>0</v>
      </c>
      <c r="P163" s="1712">
        <f>IFERROR(ROUND(Q163*10000/M163,2),0)</f>
        <v>0</v>
      </c>
      <c r="Q163" s="1712">
        <f>ROUND(O163/(1+R163),6)</f>
        <v>0</v>
      </c>
      <c r="R163" s="1757">
        <v>0.13</v>
      </c>
      <c r="S163" s="1712">
        <f>O163-Q163</f>
        <v>0</v>
      </c>
      <c r="T163" s="1712">
        <f t="shared" si="54"/>
        <v>0</v>
      </c>
      <c r="U163" s="1712">
        <f t="shared" si="53"/>
        <v>0</v>
      </c>
      <c r="V163" s="1952"/>
      <c r="X163" s="2079">
        <f>车位!O163</f>
        <v>0</v>
      </c>
      <c r="Y163" s="2080">
        <f t="shared" si="50"/>
        <v>0</v>
      </c>
      <c r="Z163" s="2080"/>
      <c r="AA163" s="2079">
        <v>0</v>
      </c>
      <c r="AB163" s="2080">
        <f t="shared" si="51"/>
        <v>0</v>
      </c>
      <c r="AC163" s="2079"/>
      <c r="AD163" s="2079"/>
      <c r="AE163" s="2079"/>
      <c r="AF163" s="2079"/>
      <c r="AG163" s="2079"/>
      <c r="AH163" s="2079"/>
      <c r="AI163" s="2079"/>
      <c r="AJ163" s="2079"/>
      <c r="AK163" s="2079"/>
    </row>
    <row r="164" spans="1:37" s="1942" customFormat="1" ht="28.5" customHeight="1" outlineLevel="3">
      <c r="A164" s="1944"/>
      <c r="B164" s="1978" t="s">
        <v>3680</v>
      </c>
      <c r="C164" s="1810"/>
      <c r="D164" s="2008" t="s">
        <v>3681</v>
      </c>
      <c r="E164" s="2009" t="s">
        <v>3682</v>
      </c>
      <c r="F164" s="1462" t="s">
        <v>3677</v>
      </c>
      <c r="G164" s="1953" t="s">
        <v>4158</v>
      </c>
      <c r="H164" s="1947" t="s">
        <v>10</v>
      </c>
      <c r="I164" s="1712">
        <f>$E$5</f>
        <v>9409.4599999999991</v>
      </c>
      <c r="J164" s="2035"/>
      <c r="K164" s="1950" t="s">
        <v>101</v>
      </c>
      <c r="L164" s="1947" t="s">
        <v>4082</v>
      </c>
      <c r="M164" s="1754">
        <f t="shared" si="45"/>
        <v>0</v>
      </c>
      <c r="N164" s="1712"/>
      <c r="O164" s="1712">
        <f>ROUND(M164*ROUND(N164,2)/10000,6)</f>
        <v>0</v>
      </c>
      <c r="P164" s="1712">
        <f>IFERROR(ROUND(Q164*10000/M164,2),0)</f>
        <v>0</v>
      </c>
      <c r="Q164" s="1712">
        <f>ROUND(O164/(1+R164),6)</f>
        <v>0</v>
      </c>
      <c r="R164" s="1757">
        <v>0.13</v>
      </c>
      <c r="S164" s="1712">
        <f>O164-Q164</f>
        <v>0</v>
      </c>
      <c r="T164" s="1712">
        <f t="shared" si="54"/>
        <v>0</v>
      </c>
      <c r="U164" s="1712">
        <f t="shared" si="53"/>
        <v>0</v>
      </c>
      <c r="V164" s="1952"/>
      <c r="X164" s="2079">
        <f>车位!O164</f>
        <v>0</v>
      </c>
      <c r="Y164" s="2080">
        <f t="shared" si="50"/>
        <v>0</v>
      </c>
      <c r="Z164" s="2080"/>
      <c r="AA164" s="2079">
        <v>0</v>
      </c>
      <c r="AB164" s="2080">
        <f t="shared" si="51"/>
        <v>0</v>
      </c>
      <c r="AC164" s="2079"/>
      <c r="AD164" s="2079"/>
      <c r="AE164" s="2079"/>
      <c r="AF164" s="2079"/>
      <c r="AG164" s="2079"/>
      <c r="AH164" s="2079"/>
      <c r="AI164" s="2079"/>
      <c r="AJ164" s="2079"/>
      <c r="AK164" s="2079"/>
    </row>
    <row r="165" spans="1:37" s="1942" customFormat="1" ht="28.5" customHeight="1" outlineLevel="2">
      <c r="A165" s="1944"/>
      <c r="B165" s="1807" t="s">
        <v>731</v>
      </c>
      <c r="C165" s="1808"/>
      <c r="D165" s="2008" t="s">
        <v>734</v>
      </c>
      <c r="E165" s="2009"/>
      <c r="F165" s="1462"/>
      <c r="G165" s="1953" t="s">
        <v>4117</v>
      </c>
      <c r="H165" s="1947"/>
      <c r="I165" s="1948"/>
      <c r="J165" s="1949"/>
      <c r="K165" s="1950"/>
      <c r="L165" s="1947"/>
      <c r="M165" s="1950"/>
      <c r="N165" s="1712"/>
      <c r="O165" s="1712">
        <f>SUBTOTAL(9,O166:O168)</f>
        <v>0</v>
      </c>
      <c r="P165" s="1712"/>
      <c r="Q165" s="1712">
        <f>SUBTOTAL(9,Q166:Q168)</f>
        <v>0</v>
      </c>
      <c r="R165" s="1712"/>
      <c r="S165" s="1712">
        <f>SUBTOTAL(9,S166:S168)</f>
        <v>0</v>
      </c>
      <c r="T165" s="1712">
        <f t="shared" si="54"/>
        <v>0</v>
      </c>
      <c r="U165" s="1712">
        <f t="shared" si="53"/>
        <v>0</v>
      </c>
      <c r="V165" s="1952"/>
      <c r="X165" s="2079">
        <f>车位!O165</f>
        <v>0</v>
      </c>
      <c r="Y165" s="2080">
        <f t="shared" si="50"/>
        <v>0</v>
      </c>
      <c r="Z165" s="2080"/>
      <c r="AA165" s="2079">
        <v>0</v>
      </c>
      <c r="AB165" s="2080">
        <f t="shared" si="51"/>
        <v>0</v>
      </c>
      <c r="AC165" s="2079"/>
      <c r="AD165" s="2079"/>
      <c r="AE165" s="2079"/>
      <c r="AF165" s="2079"/>
      <c r="AG165" s="2079"/>
      <c r="AH165" s="2079"/>
      <c r="AI165" s="2079"/>
      <c r="AJ165" s="2079"/>
      <c r="AK165" s="2079"/>
    </row>
    <row r="166" spans="1:37" s="1942" customFormat="1" ht="28.5" customHeight="1" outlineLevel="3">
      <c r="A166" s="1944"/>
      <c r="B166" s="1978" t="s">
        <v>733</v>
      </c>
      <c r="C166" s="1810"/>
      <c r="D166" s="2038" t="s">
        <v>3683</v>
      </c>
      <c r="E166" s="1947" t="s">
        <v>3684</v>
      </c>
      <c r="F166" s="1462" t="s">
        <v>3342</v>
      </c>
      <c r="G166" s="1953" t="s">
        <v>4116</v>
      </c>
      <c r="H166" s="1947" t="s">
        <v>9</v>
      </c>
      <c r="I166" s="1712">
        <f>$E$4</f>
        <v>9409.4599999999991</v>
      </c>
      <c r="J166" s="2035"/>
      <c r="K166" s="1950" t="s">
        <v>101</v>
      </c>
      <c r="L166" s="1947" t="s">
        <v>4083</v>
      </c>
      <c r="M166" s="1754">
        <f t="shared" si="45"/>
        <v>0</v>
      </c>
      <c r="N166" s="1712"/>
      <c r="O166" s="1712">
        <f>ROUND(M166*ROUND(N166,2)/10000,6)</f>
        <v>0</v>
      </c>
      <c r="P166" s="1712">
        <f>IFERROR(ROUND(Q166*10000/M166,2),0)</f>
        <v>0</v>
      </c>
      <c r="Q166" s="1712">
        <f>ROUND(O166/(1+R166),6)</f>
        <v>0</v>
      </c>
      <c r="R166" s="1757">
        <v>0.09</v>
      </c>
      <c r="S166" s="1712">
        <f>O166-Q166</f>
        <v>0</v>
      </c>
      <c r="T166" s="1712">
        <f t="shared" si="54"/>
        <v>0</v>
      </c>
      <c r="U166" s="1712">
        <f t="shared" si="53"/>
        <v>0</v>
      </c>
      <c r="V166" s="1952"/>
      <c r="X166" s="2079">
        <f>车位!O166</f>
        <v>0</v>
      </c>
      <c r="Y166" s="2080">
        <f t="shared" si="50"/>
        <v>0</v>
      </c>
      <c r="Z166" s="2080"/>
      <c r="AA166" s="2079">
        <v>0</v>
      </c>
      <c r="AB166" s="2080">
        <f t="shared" si="51"/>
        <v>0</v>
      </c>
      <c r="AC166" s="2079"/>
      <c r="AD166" s="2079"/>
      <c r="AE166" s="2079"/>
      <c r="AF166" s="2079"/>
      <c r="AG166" s="2079"/>
      <c r="AH166" s="2079"/>
      <c r="AI166" s="2079"/>
      <c r="AJ166" s="2079"/>
      <c r="AK166" s="2079"/>
    </row>
    <row r="167" spans="1:37" s="1942" customFormat="1" ht="28.5" customHeight="1" outlineLevel="3">
      <c r="A167" s="1944"/>
      <c r="B167" s="1978" t="s">
        <v>735</v>
      </c>
      <c r="C167" s="1810"/>
      <c r="D167" s="2038" t="s">
        <v>3685</v>
      </c>
      <c r="E167" s="1947" t="s">
        <v>3686</v>
      </c>
      <c r="F167" s="1462" t="s">
        <v>3342</v>
      </c>
      <c r="G167" s="1953" t="s">
        <v>4116</v>
      </c>
      <c r="H167" s="1947" t="s">
        <v>9</v>
      </c>
      <c r="I167" s="1712">
        <f>$E$4</f>
        <v>9409.4599999999991</v>
      </c>
      <c r="J167" s="2036"/>
      <c r="K167" s="1950" t="s">
        <v>101</v>
      </c>
      <c r="L167" s="1947" t="s">
        <v>9</v>
      </c>
      <c r="M167" s="1754">
        <f t="shared" si="45"/>
        <v>0</v>
      </c>
      <c r="N167" s="1712"/>
      <c r="O167" s="1712">
        <f>ROUND(M167*ROUND(N167,2)/10000,6)</f>
        <v>0</v>
      </c>
      <c r="P167" s="1712">
        <f>IFERROR(ROUND(Q167*10000/M167,2),0)</f>
        <v>0</v>
      </c>
      <c r="Q167" s="1712">
        <f>ROUND(O167/(1+R167),6)</f>
        <v>0</v>
      </c>
      <c r="R167" s="1757">
        <v>0.09</v>
      </c>
      <c r="S167" s="1712">
        <f>O167-Q167</f>
        <v>0</v>
      </c>
      <c r="T167" s="1712">
        <f t="shared" si="54"/>
        <v>0</v>
      </c>
      <c r="U167" s="1712">
        <f t="shared" si="53"/>
        <v>0</v>
      </c>
      <c r="V167" s="1952"/>
      <c r="X167" s="2079">
        <f>车位!O167</f>
        <v>0</v>
      </c>
      <c r="Y167" s="2080">
        <f t="shared" si="50"/>
        <v>0</v>
      </c>
      <c r="Z167" s="2080"/>
      <c r="AA167" s="2079">
        <v>0</v>
      </c>
      <c r="AB167" s="2080">
        <f t="shared" si="51"/>
        <v>0</v>
      </c>
      <c r="AC167" s="2079"/>
      <c r="AD167" s="2079"/>
      <c r="AE167" s="2079"/>
      <c r="AF167" s="2079"/>
      <c r="AG167" s="2079"/>
      <c r="AH167" s="2079"/>
      <c r="AI167" s="2079"/>
      <c r="AJ167" s="2079"/>
      <c r="AK167" s="2079"/>
    </row>
    <row r="168" spans="1:37" s="1942" customFormat="1" ht="28.5" customHeight="1" outlineLevel="3">
      <c r="A168" s="1944"/>
      <c r="B168" s="1978" t="s">
        <v>737</v>
      </c>
      <c r="C168" s="1810"/>
      <c r="D168" s="2038" t="s">
        <v>3687</v>
      </c>
      <c r="E168" s="1947" t="s">
        <v>3688</v>
      </c>
      <c r="F168" s="1462" t="s">
        <v>471</v>
      </c>
      <c r="G168" s="1953" t="s">
        <v>4160</v>
      </c>
      <c r="H168" s="1947" t="s">
        <v>9</v>
      </c>
      <c r="I168" s="1712">
        <f>$E$4</f>
        <v>9409.4599999999991</v>
      </c>
      <c r="J168" s="2035"/>
      <c r="K168" s="1950" t="s">
        <v>101</v>
      </c>
      <c r="L168" s="1947" t="s">
        <v>4084</v>
      </c>
      <c r="M168" s="1754">
        <f t="shared" si="45"/>
        <v>0</v>
      </c>
      <c r="N168" s="1712"/>
      <c r="O168" s="1712">
        <f>ROUND(M168*ROUND(N168,2)/10000,6)</f>
        <v>0</v>
      </c>
      <c r="P168" s="1712">
        <f>IFERROR(ROUND(Q168*10000/M168,2),0)</f>
        <v>0</v>
      </c>
      <c r="Q168" s="1712">
        <f>ROUND(O168/(1+R168),6)</f>
        <v>0</v>
      </c>
      <c r="R168" s="1757">
        <v>0.13</v>
      </c>
      <c r="S168" s="1712">
        <f>O168-Q168</f>
        <v>0</v>
      </c>
      <c r="T168" s="1712">
        <f t="shared" si="54"/>
        <v>0</v>
      </c>
      <c r="U168" s="1712">
        <f t="shared" si="53"/>
        <v>0</v>
      </c>
      <c r="V168" s="1952"/>
      <c r="X168" s="2079">
        <f>车位!O168</f>
        <v>0</v>
      </c>
      <c r="Y168" s="2080">
        <f t="shared" si="50"/>
        <v>0</v>
      </c>
      <c r="Z168" s="2080"/>
      <c r="AA168" s="2079">
        <v>0</v>
      </c>
      <c r="AB168" s="2080">
        <f t="shared" si="51"/>
        <v>0</v>
      </c>
      <c r="AC168" s="2079"/>
      <c r="AD168" s="2079"/>
      <c r="AE168" s="2079"/>
      <c r="AF168" s="2079"/>
      <c r="AG168" s="2079"/>
      <c r="AH168" s="2079"/>
      <c r="AI168" s="2079"/>
      <c r="AJ168" s="2079"/>
      <c r="AK168" s="2079"/>
    </row>
    <row r="169" spans="1:37" s="1942" customFormat="1" ht="28.5" customHeight="1" outlineLevel="2">
      <c r="A169" s="1944"/>
      <c r="B169" s="1978" t="s">
        <v>3689</v>
      </c>
      <c r="C169" s="1810"/>
      <c r="D169" s="2038" t="s">
        <v>3690</v>
      </c>
      <c r="E169" s="1947"/>
      <c r="F169" s="1462"/>
      <c r="G169" s="1953" t="s">
        <v>4117</v>
      </c>
      <c r="H169" s="1947"/>
      <c r="I169" s="1948"/>
      <c r="J169" s="2035"/>
      <c r="K169" s="1950"/>
      <c r="L169" s="1947"/>
      <c r="M169" s="1950"/>
      <c r="N169" s="1712"/>
      <c r="O169" s="1712">
        <f>SUBTOTAL(9,O170:O172)</f>
        <v>0</v>
      </c>
      <c r="P169" s="1712"/>
      <c r="Q169" s="1712">
        <f>SUBTOTAL(9,Q170:Q172)</f>
        <v>0</v>
      </c>
      <c r="R169" s="1712"/>
      <c r="S169" s="1712">
        <f>SUBTOTAL(9,S170:S172)</f>
        <v>0</v>
      </c>
      <c r="T169" s="1712">
        <f t="shared" si="54"/>
        <v>0</v>
      </c>
      <c r="U169" s="1712">
        <f t="shared" si="53"/>
        <v>0</v>
      </c>
      <c r="V169" s="1952"/>
      <c r="X169" s="2079">
        <f>车位!O169</f>
        <v>0</v>
      </c>
      <c r="Y169" s="2080">
        <f t="shared" si="50"/>
        <v>0</v>
      </c>
      <c r="Z169" s="2080"/>
      <c r="AA169" s="2079">
        <v>0</v>
      </c>
      <c r="AB169" s="2080">
        <f t="shared" si="51"/>
        <v>0</v>
      </c>
      <c r="AC169" s="2079"/>
      <c r="AD169" s="2079"/>
      <c r="AE169" s="2079"/>
      <c r="AF169" s="2079"/>
      <c r="AG169" s="2079"/>
      <c r="AH169" s="2079"/>
      <c r="AI169" s="2079"/>
      <c r="AJ169" s="2079"/>
      <c r="AK169" s="2079"/>
    </row>
    <row r="170" spans="1:37" s="1942" customFormat="1" ht="28.5" customHeight="1" outlineLevel="3">
      <c r="A170" s="1944"/>
      <c r="B170" s="1978" t="s">
        <v>3691</v>
      </c>
      <c r="C170" s="1810"/>
      <c r="D170" s="2038" t="s">
        <v>3692</v>
      </c>
      <c r="E170" s="1947" t="s">
        <v>3693</v>
      </c>
      <c r="F170" s="1462" t="s">
        <v>3694</v>
      </c>
      <c r="G170" s="1953" t="s">
        <v>4161</v>
      </c>
      <c r="H170" s="1975" t="s">
        <v>10</v>
      </c>
      <c r="I170" s="1712">
        <f>$E$5</f>
        <v>9409.4599999999991</v>
      </c>
      <c r="J170" s="2035"/>
      <c r="K170" s="1950" t="s">
        <v>101</v>
      </c>
      <c r="L170" s="1947" t="s">
        <v>10</v>
      </c>
      <c r="M170" s="1754">
        <f t="shared" si="45"/>
        <v>0</v>
      </c>
      <c r="N170" s="1712"/>
      <c r="O170" s="1712">
        <f t="shared" ref="O170:O175" si="59">ROUND(M170*ROUND(N170,2)/10000,6)</f>
        <v>0</v>
      </c>
      <c r="P170" s="1712">
        <f t="shared" ref="P170:P175" si="60">IFERROR(ROUND(Q170*10000/M170,2),0)</f>
        <v>0</v>
      </c>
      <c r="Q170" s="1712">
        <f t="shared" ref="Q170:Q175" si="61">ROUND(O170/(1+R170),6)</f>
        <v>0</v>
      </c>
      <c r="R170" s="1757">
        <v>0.13</v>
      </c>
      <c r="S170" s="1712">
        <f t="shared" ref="S170:S175" si="62">O170-Q170</f>
        <v>0</v>
      </c>
      <c r="T170" s="1712">
        <f t="shared" si="54"/>
        <v>0</v>
      </c>
      <c r="U170" s="1712">
        <f t="shared" si="53"/>
        <v>0</v>
      </c>
      <c r="V170" s="1952"/>
      <c r="X170" s="2079">
        <f>车位!O170</f>
        <v>0</v>
      </c>
      <c r="Y170" s="2080">
        <f t="shared" si="50"/>
        <v>0</v>
      </c>
      <c r="Z170" s="2080"/>
      <c r="AA170" s="2079">
        <v>0</v>
      </c>
      <c r="AB170" s="2080">
        <f t="shared" si="51"/>
        <v>0</v>
      </c>
      <c r="AC170" s="2079"/>
      <c r="AD170" s="2079"/>
      <c r="AE170" s="2079"/>
      <c r="AF170" s="2079"/>
      <c r="AG170" s="2079"/>
      <c r="AH170" s="2079"/>
      <c r="AI170" s="2079"/>
      <c r="AJ170" s="2079"/>
      <c r="AK170" s="2079"/>
    </row>
    <row r="171" spans="1:37" s="1942" customFormat="1" ht="28.5" customHeight="1" outlineLevel="3">
      <c r="A171" s="1944"/>
      <c r="B171" s="1978" t="s">
        <v>3695</v>
      </c>
      <c r="C171" s="1810"/>
      <c r="D171" s="2038" t="s">
        <v>3696</v>
      </c>
      <c r="E171" s="1947" t="s">
        <v>3697</v>
      </c>
      <c r="F171" s="1462" t="s">
        <v>3694</v>
      </c>
      <c r="G171" s="1953" t="s">
        <v>4161</v>
      </c>
      <c r="H171" s="1975" t="s">
        <v>10</v>
      </c>
      <c r="I171" s="1712">
        <f>$E$5</f>
        <v>9409.4599999999991</v>
      </c>
      <c r="J171" s="2035"/>
      <c r="K171" s="1950" t="s">
        <v>101</v>
      </c>
      <c r="L171" s="1947" t="s">
        <v>10</v>
      </c>
      <c r="M171" s="1754">
        <f t="shared" si="45"/>
        <v>0</v>
      </c>
      <c r="N171" s="1712"/>
      <c r="O171" s="1712">
        <f t="shared" si="59"/>
        <v>0</v>
      </c>
      <c r="P171" s="1712">
        <f t="shared" si="60"/>
        <v>0</v>
      </c>
      <c r="Q171" s="1712">
        <f t="shared" si="61"/>
        <v>0</v>
      </c>
      <c r="R171" s="1757">
        <v>0.13</v>
      </c>
      <c r="S171" s="1712">
        <f t="shared" si="62"/>
        <v>0</v>
      </c>
      <c r="T171" s="1712">
        <f t="shared" si="54"/>
        <v>0</v>
      </c>
      <c r="U171" s="1712">
        <f t="shared" si="53"/>
        <v>0</v>
      </c>
      <c r="V171" s="1952"/>
      <c r="X171" s="2079">
        <f>车位!O171</f>
        <v>0</v>
      </c>
      <c r="Y171" s="2080">
        <f t="shared" si="50"/>
        <v>0</v>
      </c>
      <c r="Z171" s="2080"/>
      <c r="AA171" s="2079">
        <v>0</v>
      </c>
      <c r="AB171" s="2080">
        <f t="shared" si="51"/>
        <v>0</v>
      </c>
      <c r="AC171" s="2079"/>
      <c r="AD171" s="2079"/>
      <c r="AE171" s="2079"/>
      <c r="AF171" s="2079"/>
      <c r="AG171" s="2079"/>
      <c r="AH171" s="2079"/>
      <c r="AI171" s="2079"/>
      <c r="AJ171" s="2079"/>
      <c r="AK171" s="2079"/>
    </row>
    <row r="172" spans="1:37" s="1942" customFormat="1" ht="28.5" customHeight="1" outlineLevel="3">
      <c r="A172" s="1944"/>
      <c r="B172" s="1978" t="s">
        <v>3698</v>
      </c>
      <c r="C172" s="1810"/>
      <c r="D172" s="2038" t="s">
        <v>3699</v>
      </c>
      <c r="E172" s="1947" t="s">
        <v>3700</v>
      </c>
      <c r="F172" s="1462" t="s">
        <v>3694</v>
      </c>
      <c r="G172" s="1953" t="s">
        <v>4161</v>
      </c>
      <c r="H172" s="1975" t="s">
        <v>10</v>
      </c>
      <c r="I172" s="1712">
        <f>$E$5</f>
        <v>9409.4599999999991</v>
      </c>
      <c r="J172" s="2035"/>
      <c r="K172" s="1950" t="s">
        <v>101</v>
      </c>
      <c r="L172" s="1947" t="s">
        <v>10</v>
      </c>
      <c r="M172" s="1754">
        <f t="shared" si="45"/>
        <v>0</v>
      </c>
      <c r="N172" s="1712"/>
      <c r="O172" s="1712">
        <f t="shared" si="59"/>
        <v>0</v>
      </c>
      <c r="P172" s="1712">
        <f t="shared" si="60"/>
        <v>0</v>
      </c>
      <c r="Q172" s="1712">
        <f t="shared" si="61"/>
        <v>0</v>
      </c>
      <c r="R172" s="1757">
        <v>0.13</v>
      </c>
      <c r="S172" s="1712">
        <f t="shared" si="62"/>
        <v>0</v>
      </c>
      <c r="T172" s="1712">
        <f t="shared" si="54"/>
        <v>0</v>
      </c>
      <c r="U172" s="1712">
        <f t="shared" si="53"/>
        <v>0</v>
      </c>
      <c r="V172" s="1952"/>
      <c r="X172" s="2079">
        <f>车位!O172</f>
        <v>0</v>
      </c>
      <c r="Y172" s="2080">
        <f t="shared" si="50"/>
        <v>0</v>
      </c>
      <c r="Z172" s="2080"/>
      <c r="AA172" s="2079">
        <v>0</v>
      </c>
      <c r="AB172" s="2080">
        <f t="shared" si="51"/>
        <v>0</v>
      </c>
      <c r="AC172" s="2079"/>
      <c r="AD172" s="2079"/>
      <c r="AE172" s="2079"/>
      <c r="AF172" s="2079"/>
      <c r="AG172" s="2079"/>
      <c r="AH172" s="2079"/>
      <c r="AI172" s="2079"/>
      <c r="AJ172" s="2079"/>
      <c r="AK172" s="2079"/>
    </row>
    <row r="173" spans="1:37" s="1942" customFormat="1" ht="28.5" customHeight="1" outlineLevel="2">
      <c r="A173" s="1944"/>
      <c r="B173" s="1978" t="s">
        <v>3705</v>
      </c>
      <c r="C173" s="1810"/>
      <c r="D173" s="2038" t="s">
        <v>740</v>
      </c>
      <c r="E173" s="1947" t="s">
        <v>3702</v>
      </c>
      <c r="F173" s="1462" t="s">
        <v>463</v>
      </c>
      <c r="G173" s="1953" t="s">
        <v>4162</v>
      </c>
      <c r="H173" s="1975" t="s">
        <v>3926</v>
      </c>
      <c r="I173" s="1712">
        <f>$G$7</f>
        <v>0</v>
      </c>
      <c r="J173" s="2035"/>
      <c r="K173" s="1950" t="s">
        <v>3947</v>
      </c>
      <c r="L173" s="1947" t="s">
        <v>3926</v>
      </c>
      <c r="M173" s="1754">
        <f t="shared" si="45"/>
        <v>0</v>
      </c>
      <c r="N173" s="1712"/>
      <c r="O173" s="1712">
        <f t="shared" si="59"/>
        <v>0</v>
      </c>
      <c r="P173" s="1712">
        <f t="shared" si="60"/>
        <v>0</v>
      </c>
      <c r="Q173" s="1712">
        <f t="shared" si="61"/>
        <v>0</v>
      </c>
      <c r="R173" s="1757">
        <v>0.13</v>
      </c>
      <c r="S173" s="1712">
        <f t="shared" si="62"/>
        <v>0</v>
      </c>
      <c r="T173" s="1712">
        <f t="shared" si="54"/>
        <v>0</v>
      </c>
      <c r="U173" s="1712">
        <f t="shared" si="53"/>
        <v>0</v>
      </c>
      <c r="V173" s="1952"/>
      <c r="X173" s="2079">
        <f>车位!O173</f>
        <v>0</v>
      </c>
      <c r="Y173" s="2080">
        <f t="shared" si="50"/>
        <v>0</v>
      </c>
      <c r="Z173" s="2080"/>
      <c r="AA173" s="2079">
        <v>0</v>
      </c>
      <c r="AB173" s="2080">
        <f t="shared" si="51"/>
        <v>0</v>
      </c>
      <c r="AC173" s="2079"/>
      <c r="AD173" s="2079"/>
      <c r="AE173" s="2079"/>
      <c r="AF173" s="2079"/>
      <c r="AG173" s="2079"/>
      <c r="AH173" s="2079"/>
      <c r="AI173" s="2079"/>
      <c r="AJ173" s="2079"/>
      <c r="AK173" s="2079"/>
    </row>
    <row r="174" spans="1:37" s="1942" customFormat="1" ht="28.5" customHeight="1" outlineLevel="2">
      <c r="A174" s="1944"/>
      <c r="B174" s="1978" t="s">
        <v>3701</v>
      </c>
      <c r="C174" s="1810"/>
      <c r="D174" s="2038" t="s">
        <v>3704</v>
      </c>
      <c r="E174" s="1947"/>
      <c r="F174" s="1462" t="s">
        <v>1424</v>
      </c>
      <c r="G174" s="1953" t="s">
        <v>4123</v>
      </c>
      <c r="H174" s="1975" t="s">
        <v>10</v>
      </c>
      <c r="I174" s="1712">
        <f>$E$5</f>
        <v>9409.4599999999991</v>
      </c>
      <c r="J174" s="2036"/>
      <c r="K174" s="1950" t="s">
        <v>101</v>
      </c>
      <c r="L174" s="1947" t="s">
        <v>10</v>
      </c>
      <c r="M174" s="1754">
        <f t="shared" si="45"/>
        <v>0</v>
      </c>
      <c r="N174" s="1712"/>
      <c r="O174" s="1712">
        <f t="shared" si="59"/>
        <v>0</v>
      </c>
      <c r="P174" s="1712">
        <f t="shared" si="60"/>
        <v>0</v>
      </c>
      <c r="Q174" s="1712">
        <f t="shared" si="61"/>
        <v>0</v>
      </c>
      <c r="R174" s="1757">
        <v>0.06</v>
      </c>
      <c r="S174" s="1712">
        <f t="shared" si="62"/>
        <v>0</v>
      </c>
      <c r="T174" s="1712">
        <f t="shared" si="54"/>
        <v>0</v>
      </c>
      <c r="U174" s="1712">
        <f t="shared" si="53"/>
        <v>0</v>
      </c>
      <c r="V174" s="1952"/>
      <c r="X174" s="2079">
        <f>车位!O174</f>
        <v>0</v>
      </c>
      <c r="Y174" s="2080">
        <f t="shared" si="50"/>
        <v>0</v>
      </c>
      <c r="Z174" s="2080"/>
      <c r="AA174" s="2079">
        <v>0</v>
      </c>
      <c r="AB174" s="2080">
        <f t="shared" si="51"/>
        <v>0</v>
      </c>
      <c r="AC174" s="2079"/>
      <c r="AD174" s="2079"/>
      <c r="AE174" s="2079"/>
      <c r="AF174" s="2079"/>
      <c r="AG174" s="2079"/>
      <c r="AH174" s="2079"/>
      <c r="AI174" s="2079"/>
      <c r="AJ174" s="2079"/>
      <c r="AK174" s="2079"/>
    </row>
    <row r="175" spans="1:37" s="1942" customFormat="1" ht="28.5" customHeight="1" outlineLevel="2">
      <c r="A175" s="1944"/>
      <c r="B175" s="1978" t="s">
        <v>3703</v>
      </c>
      <c r="C175" s="1810"/>
      <c r="D175" s="2039" t="s">
        <v>3706</v>
      </c>
      <c r="E175" s="1982" t="s">
        <v>3707</v>
      </c>
      <c r="F175" s="1462" t="s">
        <v>3694</v>
      </c>
      <c r="G175" s="1982" t="s">
        <v>4161</v>
      </c>
      <c r="H175" s="1975" t="s">
        <v>10</v>
      </c>
      <c r="I175" s="1712">
        <f>$E$5</f>
        <v>9409.4599999999991</v>
      </c>
      <c r="J175" s="2040">
        <v>1</v>
      </c>
      <c r="K175" s="1950" t="s">
        <v>101</v>
      </c>
      <c r="L175" s="1947" t="s">
        <v>10</v>
      </c>
      <c r="M175" s="1754">
        <f t="shared" si="45"/>
        <v>9409.4599999999991</v>
      </c>
      <c r="N175" s="1756">
        <v>3</v>
      </c>
      <c r="O175" s="1712">
        <f t="shared" si="59"/>
        <v>2.822838</v>
      </c>
      <c r="P175" s="1712">
        <f t="shared" si="60"/>
        <v>2.65</v>
      </c>
      <c r="Q175" s="1712">
        <f t="shared" si="61"/>
        <v>2.4980869999999999</v>
      </c>
      <c r="R175" s="1757">
        <v>0.13</v>
      </c>
      <c r="S175" s="1712">
        <f t="shared" si="62"/>
        <v>0.32475100000000001</v>
      </c>
      <c r="T175" s="1712">
        <f t="shared" si="54"/>
        <v>2.6548675481908632</v>
      </c>
      <c r="U175" s="1712">
        <f t="shared" si="53"/>
        <v>3.0000000000000004</v>
      </c>
      <c r="V175" s="1952"/>
      <c r="X175" s="2079">
        <f>车位!O175</f>
        <v>7.3697520000000001</v>
      </c>
      <c r="Y175" s="2080">
        <f t="shared" si="50"/>
        <v>10.192589999999999</v>
      </c>
      <c r="Z175" s="2080"/>
      <c r="AA175" s="2079">
        <v>10.445403000000001</v>
      </c>
      <c r="AB175" s="2080">
        <f t="shared" si="51"/>
        <v>-0.25281300000000151</v>
      </c>
      <c r="AC175" s="2079"/>
      <c r="AD175" s="2079"/>
      <c r="AE175" s="2079"/>
      <c r="AF175" s="2079"/>
      <c r="AG175" s="2079"/>
      <c r="AH175" s="2079"/>
      <c r="AI175" s="2079"/>
      <c r="AJ175" s="2079"/>
      <c r="AK175" s="2079"/>
    </row>
    <row r="176" spans="1:37" ht="28.5" customHeight="1" outlineLevel="1">
      <c r="A176" s="2019"/>
      <c r="B176" s="2023" t="s">
        <v>501</v>
      </c>
      <c r="C176" s="1852">
        <v>2</v>
      </c>
      <c r="D176" s="1966" t="s">
        <v>83</v>
      </c>
      <c r="E176" s="1967"/>
      <c r="F176" s="1968"/>
      <c r="G176" s="2007" t="s">
        <v>4117</v>
      </c>
      <c r="H176" s="1967"/>
      <c r="I176" s="1969"/>
      <c r="J176" s="1970"/>
      <c r="K176" s="1971"/>
      <c r="L176" s="1967"/>
      <c r="M176" s="1971"/>
      <c r="N176" s="1973"/>
      <c r="O176" s="1973">
        <f>SUBTOTAL(9,O177:O189)</f>
        <v>32.933109999999999</v>
      </c>
      <c r="P176" s="1973"/>
      <c r="Q176" s="1973">
        <f>SUBTOTAL(9,Q177:Q189)</f>
        <v>30.213861999999999</v>
      </c>
      <c r="R176" s="1973"/>
      <c r="S176" s="1973">
        <f>SUBTOTAL(9,S177:S189)</f>
        <v>2.7192480000000003</v>
      </c>
      <c r="T176" s="1973">
        <f t="shared" si="54"/>
        <v>32.110091333615323</v>
      </c>
      <c r="U176" s="1973">
        <f t="shared" si="53"/>
        <v>35</v>
      </c>
      <c r="V176" s="1974"/>
      <c r="X176" s="2079">
        <f>车位!O176</f>
        <v>85.980440000000002</v>
      </c>
      <c r="Y176" s="2080">
        <f t="shared" si="50"/>
        <v>118.91355</v>
      </c>
      <c r="Z176" s="2080"/>
      <c r="AA176" s="2077">
        <v>121.863035</v>
      </c>
      <c r="AB176" s="2080">
        <f t="shared" si="51"/>
        <v>-2.9494849999999957</v>
      </c>
    </row>
    <row r="177" spans="1:37" s="1942" customFormat="1" ht="28.5" customHeight="1" outlineLevel="2">
      <c r="A177" s="1944"/>
      <c r="B177" s="1807" t="s">
        <v>742</v>
      </c>
      <c r="C177" s="1808"/>
      <c r="D177" s="2008" t="s">
        <v>51</v>
      </c>
      <c r="E177" s="2009" t="s">
        <v>3709</v>
      </c>
      <c r="F177" s="1462" t="s">
        <v>3577</v>
      </c>
      <c r="G177" s="1953" t="s">
        <v>4141</v>
      </c>
      <c r="H177" s="1947" t="s">
        <v>18</v>
      </c>
      <c r="I177" s="1712">
        <f>$G$5</f>
        <v>0</v>
      </c>
      <c r="J177" s="2041"/>
      <c r="K177" s="1947" t="s">
        <v>4085</v>
      </c>
      <c r="L177" s="1947" t="s">
        <v>4086</v>
      </c>
      <c r="M177" s="1754">
        <f t="shared" si="45"/>
        <v>0</v>
      </c>
      <c r="N177" s="1712"/>
      <c r="O177" s="1712">
        <f t="shared" ref="O177:O189" si="63">ROUND(M177*ROUND(N177,2)/10000,6)</f>
        <v>0</v>
      </c>
      <c r="P177" s="1712">
        <f t="shared" ref="P177:P189" si="64">IFERROR(ROUND(Q177*10000/M177,2),0)</f>
        <v>0</v>
      </c>
      <c r="Q177" s="1712">
        <f t="shared" ref="Q177:Q189" si="65">ROUND(O177/(1+R177),6)</f>
        <v>0</v>
      </c>
      <c r="R177" s="1757">
        <v>0.09</v>
      </c>
      <c r="S177" s="1712">
        <f t="shared" ref="S177:S189" si="66">O177-Q177</f>
        <v>0</v>
      </c>
      <c r="T177" s="1712">
        <f t="shared" si="54"/>
        <v>0</v>
      </c>
      <c r="U177" s="1712">
        <f t="shared" si="53"/>
        <v>0</v>
      </c>
      <c r="V177" s="1952"/>
      <c r="X177" s="2079">
        <f>车位!O177</f>
        <v>0</v>
      </c>
      <c r="Y177" s="2080">
        <f t="shared" si="50"/>
        <v>0</v>
      </c>
      <c r="Z177" s="2080"/>
      <c r="AA177" s="2079">
        <v>0</v>
      </c>
      <c r="AB177" s="2080">
        <f t="shared" si="51"/>
        <v>0</v>
      </c>
      <c r="AC177" s="2079"/>
      <c r="AD177" s="2079"/>
      <c r="AE177" s="2079"/>
      <c r="AF177" s="2079"/>
      <c r="AG177" s="2079"/>
      <c r="AH177" s="2079"/>
      <c r="AI177" s="2079"/>
      <c r="AJ177" s="2079"/>
      <c r="AK177" s="2079"/>
    </row>
    <row r="178" spans="1:37" s="1942" customFormat="1" ht="28.5" customHeight="1" outlineLevel="2">
      <c r="A178" s="1944"/>
      <c r="B178" s="1807" t="s">
        <v>746</v>
      </c>
      <c r="C178" s="1810"/>
      <c r="D178" s="2038" t="s">
        <v>89</v>
      </c>
      <c r="E178" s="1947" t="s">
        <v>3710</v>
      </c>
      <c r="F178" s="1462" t="s">
        <v>3577</v>
      </c>
      <c r="G178" s="1953" t="s">
        <v>4141</v>
      </c>
      <c r="H178" s="1947" t="s">
        <v>18</v>
      </c>
      <c r="I178" s="1712">
        <f>$G$5</f>
        <v>0</v>
      </c>
      <c r="J178" s="2041"/>
      <c r="K178" s="1947" t="s">
        <v>4085</v>
      </c>
      <c r="L178" s="1947" t="s">
        <v>4087</v>
      </c>
      <c r="M178" s="1754">
        <f t="shared" si="45"/>
        <v>0</v>
      </c>
      <c r="N178" s="1712"/>
      <c r="O178" s="1712">
        <f t="shared" si="63"/>
        <v>0</v>
      </c>
      <c r="P178" s="1712">
        <f t="shared" si="64"/>
        <v>0</v>
      </c>
      <c r="Q178" s="1712">
        <f t="shared" si="65"/>
        <v>0</v>
      </c>
      <c r="R178" s="1757">
        <v>0.09</v>
      </c>
      <c r="S178" s="1712">
        <f t="shared" si="66"/>
        <v>0</v>
      </c>
      <c r="T178" s="1712">
        <f t="shared" si="54"/>
        <v>0</v>
      </c>
      <c r="U178" s="1712">
        <f t="shared" si="53"/>
        <v>0</v>
      </c>
      <c r="V178" s="1952"/>
      <c r="X178" s="2079">
        <f>车位!O178</f>
        <v>0</v>
      </c>
      <c r="Y178" s="2080">
        <f t="shared" si="50"/>
        <v>0</v>
      </c>
      <c r="Z178" s="2080"/>
      <c r="AA178" s="2079">
        <v>0</v>
      </c>
      <c r="AB178" s="2080">
        <f t="shared" si="51"/>
        <v>0</v>
      </c>
      <c r="AC178" s="2079"/>
      <c r="AD178" s="2079"/>
      <c r="AE178" s="2079"/>
      <c r="AF178" s="2079"/>
      <c r="AG178" s="2079"/>
      <c r="AH178" s="2079"/>
      <c r="AI178" s="2079"/>
      <c r="AJ178" s="2079"/>
      <c r="AK178" s="2079"/>
    </row>
    <row r="179" spans="1:37" s="1942" customFormat="1" ht="28.5" customHeight="1" outlineLevel="2">
      <c r="A179" s="1944"/>
      <c r="B179" s="1807" t="s">
        <v>753</v>
      </c>
      <c r="C179" s="1810"/>
      <c r="D179" s="2038" t="s">
        <v>3711</v>
      </c>
      <c r="E179" s="1947" t="s">
        <v>3712</v>
      </c>
      <c r="F179" s="1462" t="s">
        <v>3577</v>
      </c>
      <c r="G179" s="1953" t="s">
        <v>4141</v>
      </c>
      <c r="H179" s="1947" t="s">
        <v>10</v>
      </c>
      <c r="I179" s="1712">
        <f>$E$5</f>
        <v>9409.4599999999991</v>
      </c>
      <c r="J179" s="2041"/>
      <c r="K179" s="1947" t="s">
        <v>101</v>
      </c>
      <c r="L179" s="1947" t="s">
        <v>4088</v>
      </c>
      <c r="M179" s="1754">
        <f t="shared" si="45"/>
        <v>0</v>
      </c>
      <c r="N179" s="1712"/>
      <c r="O179" s="1712">
        <f t="shared" si="63"/>
        <v>0</v>
      </c>
      <c r="P179" s="1712">
        <f t="shared" si="64"/>
        <v>0</v>
      </c>
      <c r="Q179" s="1712">
        <f t="shared" si="65"/>
        <v>0</v>
      </c>
      <c r="R179" s="1757">
        <v>0.09</v>
      </c>
      <c r="S179" s="1712">
        <f t="shared" si="66"/>
        <v>0</v>
      </c>
      <c r="T179" s="1712">
        <f t="shared" si="54"/>
        <v>0</v>
      </c>
      <c r="U179" s="1712">
        <f t="shared" si="53"/>
        <v>0</v>
      </c>
      <c r="V179" s="1952"/>
      <c r="X179" s="2079">
        <f>车位!O179</f>
        <v>0</v>
      </c>
      <c r="Y179" s="2080">
        <f t="shared" si="50"/>
        <v>0</v>
      </c>
      <c r="Z179" s="2080"/>
      <c r="AA179" s="2079">
        <v>0</v>
      </c>
      <c r="AB179" s="2080">
        <f t="shared" si="51"/>
        <v>0</v>
      </c>
      <c r="AC179" s="2079"/>
      <c r="AD179" s="2079"/>
      <c r="AE179" s="2079"/>
      <c r="AF179" s="2079"/>
      <c r="AG179" s="2079"/>
      <c r="AH179" s="2079"/>
      <c r="AI179" s="2079"/>
      <c r="AJ179" s="2079"/>
      <c r="AK179" s="2079"/>
    </row>
    <row r="180" spans="1:37" s="1942" customFormat="1" ht="28.5" customHeight="1" outlineLevel="2">
      <c r="A180" s="1944"/>
      <c r="B180" s="1807" t="s">
        <v>755</v>
      </c>
      <c r="C180" s="1810"/>
      <c r="D180" s="2038" t="s">
        <v>90</v>
      </c>
      <c r="E180" s="1947" t="s">
        <v>3713</v>
      </c>
      <c r="F180" s="1462" t="s">
        <v>3577</v>
      </c>
      <c r="G180" s="1953" t="s">
        <v>4141</v>
      </c>
      <c r="H180" s="1947" t="s">
        <v>18</v>
      </c>
      <c r="I180" s="1712">
        <f>$G$5</f>
        <v>0</v>
      </c>
      <c r="J180" s="2041"/>
      <c r="K180" s="1947" t="s">
        <v>4085</v>
      </c>
      <c r="L180" s="1947" t="s">
        <v>4089</v>
      </c>
      <c r="M180" s="1754">
        <f t="shared" si="45"/>
        <v>0</v>
      </c>
      <c r="N180" s="1712"/>
      <c r="O180" s="1712">
        <f t="shared" si="63"/>
        <v>0</v>
      </c>
      <c r="P180" s="1712">
        <f t="shared" si="64"/>
        <v>0</v>
      </c>
      <c r="Q180" s="1712">
        <f t="shared" si="65"/>
        <v>0</v>
      </c>
      <c r="R180" s="1757">
        <v>0.09</v>
      </c>
      <c r="S180" s="1712">
        <f t="shared" si="66"/>
        <v>0</v>
      </c>
      <c r="T180" s="1712">
        <f t="shared" si="54"/>
        <v>0</v>
      </c>
      <c r="U180" s="1712">
        <f t="shared" si="53"/>
        <v>0</v>
      </c>
      <c r="V180" s="1952"/>
      <c r="X180" s="2079">
        <f>车位!O180</f>
        <v>0</v>
      </c>
      <c r="Y180" s="2080">
        <f t="shared" si="50"/>
        <v>0</v>
      </c>
      <c r="Z180" s="2080"/>
      <c r="AA180" s="2079">
        <v>0</v>
      </c>
      <c r="AB180" s="2080">
        <f t="shared" si="51"/>
        <v>0</v>
      </c>
      <c r="AC180" s="2079"/>
      <c r="AD180" s="2079"/>
      <c r="AE180" s="2079"/>
      <c r="AF180" s="2079"/>
      <c r="AG180" s="2079"/>
      <c r="AH180" s="2079"/>
      <c r="AI180" s="2079"/>
      <c r="AJ180" s="2079"/>
      <c r="AK180" s="2079"/>
    </row>
    <row r="181" spans="1:37" s="1942" customFormat="1" ht="28.5" customHeight="1" outlineLevel="2">
      <c r="A181" s="1944"/>
      <c r="B181" s="1807" t="s">
        <v>756</v>
      </c>
      <c r="C181" s="1810"/>
      <c r="D181" s="2038" t="s">
        <v>757</v>
      </c>
      <c r="E181" s="1947" t="s">
        <v>3714</v>
      </c>
      <c r="F181" s="1462" t="s">
        <v>3577</v>
      </c>
      <c r="G181" s="1953" t="s">
        <v>4116</v>
      </c>
      <c r="H181" s="1947" t="s">
        <v>3923</v>
      </c>
      <c r="I181" s="1712">
        <f>I182</f>
        <v>35</v>
      </c>
      <c r="J181" s="2041"/>
      <c r="K181" s="1947" t="s">
        <v>2</v>
      </c>
      <c r="L181" s="1947" t="s">
        <v>4090</v>
      </c>
      <c r="M181" s="1754">
        <f t="shared" si="45"/>
        <v>0</v>
      </c>
      <c r="N181" s="1712"/>
      <c r="O181" s="1712">
        <f t="shared" si="63"/>
        <v>0</v>
      </c>
      <c r="P181" s="1712">
        <f t="shared" si="64"/>
        <v>0</v>
      </c>
      <c r="Q181" s="1712">
        <f t="shared" si="65"/>
        <v>0</v>
      </c>
      <c r="R181" s="1757">
        <v>0.09</v>
      </c>
      <c r="S181" s="1712">
        <f t="shared" si="66"/>
        <v>0</v>
      </c>
      <c r="T181" s="1712">
        <f t="shared" si="54"/>
        <v>0</v>
      </c>
      <c r="U181" s="1712">
        <f t="shared" si="53"/>
        <v>0</v>
      </c>
      <c r="V181" s="1952"/>
      <c r="X181" s="2079">
        <f>车位!O181</f>
        <v>0</v>
      </c>
      <c r="Y181" s="2080">
        <f t="shared" si="50"/>
        <v>0</v>
      </c>
      <c r="Z181" s="2080"/>
      <c r="AA181" s="2079">
        <v>0</v>
      </c>
      <c r="AB181" s="2080">
        <f t="shared" si="51"/>
        <v>0</v>
      </c>
      <c r="AC181" s="2079"/>
      <c r="AD181" s="2079"/>
      <c r="AE181" s="2079"/>
      <c r="AF181" s="2079"/>
      <c r="AG181" s="2079"/>
      <c r="AH181" s="2079"/>
      <c r="AI181" s="2079"/>
      <c r="AJ181" s="2079"/>
      <c r="AK181" s="2079"/>
    </row>
    <row r="182" spans="1:37" s="1942" customFormat="1" ht="28.5" customHeight="1" outlineLevel="2">
      <c r="A182" s="1944"/>
      <c r="B182" s="1807" t="s">
        <v>758</v>
      </c>
      <c r="C182" s="1810"/>
      <c r="D182" s="2038" t="s">
        <v>118</v>
      </c>
      <c r="E182" s="1947" t="s">
        <v>3715</v>
      </c>
      <c r="F182" s="1462" t="s">
        <v>3577</v>
      </c>
      <c r="G182" s="1953" t="s">
        <v>4141</v>
      </c>
      <c r="H182" s="1947" t="s">
        <v>3923</v>
      </c>
      <c r="I182" s="1712">
        <f>'全期规划指标 '!Q25</f>
        <v>35</v>
      </c>
      <c r="J182" s="2041"/>
      <c r="K182" s="1947" t="s">
        <v>2</v>
      </c>
      <c r="L182" s="1947" t="s">
        <v>4091</v>
      </c>
      <c r="M182" s="1754">
        <f t="shared" si="45"/>
        <v>0</v>
      </c>
      <c r="N182" s="1712"/>
      <c r="O182" s="1712">
        <f t="shared" si="63"/>
        <v>0</v>
      </c>
      <c r="P182" s="1712">
        <f t="shared" si="64"/>
        <v>0</v>
      </c>
      <c r="Q182" s="1712">
        <f t="shared" si="65"/>
        <v>0</v>
      </c>
      <c r="R182" s="1757">
        <v>0.09</v>
      </c>
      <c r="S182" s="1712">
        <f t="shared" si="66"/>
        <v>0</v>
      </c>
      <c r="T182" s="1712">
        <f t="shared" si="54"/>
        <v>0</v>
      </c>
      <c r="U182" s="1712">
        <f t="shared" si="53"/>
        <v>0</v>
      </c>
      <c r="V182" s="1952"/>
      <c r="X182" s="2079">
        <f>车位!O182</f>
        <v>0</v>
      </c>
      <c r="Y182" s="2080">
        <f t="shared" si="50"/>
        <v>0</v>
      </c>
      <c r="Z182" s="2080"/>
      <c r="AA182" s="2079">
        <v>0</v>
      </c>
      <c r="AB182" s="2080">
        <f t="shared" si="51"/>
        <v>0</v>
      </c>
      <c r="AC182" s="2079"/>
      <c r="AD182" s="2079"/>
      <c r="AE182" s="2079"/>
      <c r="AF182" s="2079"/>
      <c r="AG182" s="2079"/>
      <c r="AH182" s="2079"/>
      <c r="AI182" s="2079"/>
      <c r="AJ182" s="2079"/>
      <c r="AK182" s="2079"/>
    </row>
    <row r="183" spans="1:37" s="1942" customFormat="1" ht="28.5" customHeight="1" outlineLevel="2">
      <c r="A183" s="1944"/>
      <c r="B183" s="1807" t="s">
        <v>763</v>
      </c>
      <c r="C183" s="1810"/>
      <c r="D183" s="2038" t="s">
        <v>807</v>
      </c>
      <c r="E183" s="1947" t="s">
        <v>3716</v>
      </c>
      <c r="F183" s="1462" t="s">
        <v>3577</v>
      </c>
      <c r="G183" s="1953" t="s">
        <v>4141</v>
      </c>
      <c r="H183" s="1947" t="s">
        <v>4092</v>
      </c>
      <c r="I183" s="1712">
        <f>$G$5</f>
        <v>0</v>
      </c>
      <c r="J183" s="2041"/>
      <c r="K183" s="1947" t="s">
        <v>2942</v>
      </c>
      <c r="L183" s="1947" t="s">
        <v>4093</v>
      </c>
      <c r="M183" s="1754">
        <f t="shared" si="45"/>
        <v>0</v>
      </c>
      <c r="N183" s="1712"/>
      <c r="O183" s="1712">
        <f t="shared" si="63"/>
        <v>0</v>
      </c>
      <c r="P183" s="1712">
        <f t="shared" si="64"/>
        <v>0</v>
      </c>
      <c r="Q183" s="1712">
        <f t="shared" si="65"/>
        <v>0</v>
      </c>
      <c r="R183" s="1757">
        <v>0.09</v>
      </c>
      <c r="S183" s="1712">
        <f t="shared" si="66"/>
        <v>0</v>
      </c>
      <c r="T183" s="1712">
        <f t="shared" si="54"/>
        <v>0</v>
      </c>
      <c r="U183" s="1712">
        <f t="shared" si="53"/>
        <v>0</v>
      </c>
      <c r="V183" s="1952"/>
      <c r="X183" s="2079">
        <f>车位!O183</f>
        <v>0</v>
      </c>
      <c r="Y183" s="2080">
        <f t="shared" si="50"/>
        <v>0</v>
      </c>
      <c r="Z183" s="2080"/>
      <c r="AA183" s="2079">
        <v>0</v>
      </c>
      <c r="AB183" s="2080">
        <f t="shared" si="51"/>
        <v>0</v>
      </c>
      <c r="AC183" s="2079"/>
      <c r="AD183" s="2079"/>
      <c r="AE183" s="2079"/>
      <c r="AF183" s="2079"/>
      <c r="AG183" s="2079"/>
      <c r="AH183" s="2079"/>
      <c r="AI183" s="2079"/>
      <c r="AJ183" s="2079"/>
      <c r="AK183" s="2079"/>
    </row>
    <row r="184" spans="1:37" s="1942" customFormat="1" ht="28.5" customHeight="1" outlineLevel="2">
      <c r="A184" s="1944"/>
      <c r="B184" s="1807" t="s">
        <v>764</v>
      </c>
      <c r="C184" s="1810"/>
      <c r="D184" s="2038" t="s">
        <v>808</v>
      </c>
      <c r="E184" s="1947" t="s">
        <v>3717</v>
      </c>
      <c r="F184" s="1462" t="s">
        <v>3577</v>
      </c>
      <c r="G184" s="1953" t="s">
        <v>4141</v>
      </c>
      <c r="H184" s="1975" t="s">
        <v>3969</v>
      </c>
      <c r="I184" s="1948"/>
      <c r="J184" s="2041"/>
      <c r="K184" s="1947" t="s">
        <v>3974</v>
      </c>
      <c r="L184" s="1947" t="s">
        <v>4048</v>
      </c>
      <c r="M184" s="1754">
        <f t="shared" si="45"/>
        <v>0</v>
      </c>
      <c r="N184" s="1712"/>
      <c r="O184" s="1712">
        <f t="shared" si="63"/>
        <v>0</v>
      </c>
      <c r="P184" s="1712">
        <f t="shared" si="64"/>
        <v>0</v>
      </c>
      <c r="Q184" s="1712">
        <f t="shared" si="65"/>
        <v>0</v>
      </c>
      <c r="R184" s="1757">
        <v>0.09</v>
      </c>
      <c r="S184" s="1712">
        <f t="shared" si="66"/>
        <v>0</v>
      </c>
      <c r="T184" s="1712">
        <f t="shared" si="54"/>
        <v>0</v>
      </c>
      <c r="U184" s="1712">
        <f t="shared" si="53"/>
        <v>0</v>
      </c>
      <c r="V184" s="1952"/>
      <c r="X184" s="2079">
        <f>车位!O184</f>
        <v>0</v>
      </c>
      <c r="Y184" s="2080">
        <f t="shared" si="50"/>
        <v>0</v>
      </c>
      <c r="Z184" s="2080"/>
      <c r="AA184" s="2079">
        <v>0</v>
      </c>
      <c r="AB184" s="2080">
        <f t="shared" si="51"/>
        <v>0</v>
      </c>
      <c r="AC184" s="2079"/>
      <c r="AD184" s="2079"/>
      <c r="AE184" s="2079"/>
      <c r="AF184" s="2079"/>
      <c r="AG184" s="2079"/>
      <c r="AH184" s="2079"/>
      <c r="AI184" s="2079"/>
      <c r="AJ184" s="2079"/>
      <c r="AK184" s="2079"/>
    </row>
    <row r="185" spans="1:37" s="1942" customFormat="1" ht="28.5" customHeight="1" outlineLevel="2">
      <c r="A185" s="1944"/>
      <c r="B185" s="1807" t="s">
        <v>765</v>
      </c>
      <c r="C185" s="1808"/>
      <c r="D185" s="2008" t="s">
        <v>3718</v>
      </c>
      <c r="E185" s="2009" t="s">
        <v>3719</v>
      </c>
      <c r="F185" s="1462" t="s">
        <v>3577</v>
      </c>
      <c r="G185" s="1953" t="s">
        <v>4116</v>
      </c>
      <c r="H185" s="1947" t="s">
        <v>10</v>
      </c>
      <c r="I185" s="1712">
        <f>$E$5</f>
        <v>9409.4599999999991</v>
      </c>
      <c r="J185" s="2041"/>
      <c r="K185" s="1947" t="s">
        <v>101</v>
      </c>
      <c r="L185" s="1947" t="s">
        <v>4094</v>
      </c>
      <c r="M185" s="1754">
        <f t="shared" si="45"/>
        <v>0</v>
      </c>
      <c r="N185" s="1712"/>
      <c r="O185" s="1712">
        <f t="shared" si="63"/>
        <v>0</v>
      </c>
      <c r="P185" s="1712">
        <f t="shared" si="64"/>
        <v>0</v>
      </c>
      <c r="Q185" s="1712">
        <f t="shared" si="65"/>
        <v>0</v>
      </c>
      <c r="R185" s="1757">
        <v>0.09</v>
      </c>
      <c r="S185" s="1712">
        <f t="shared" si="66"/>
        <v>0</v>
      </c>
      <c r="T185" s="1712">
        <f t="shared" si="54"/>
        <v>0</v>
      </c>
      <c r="U185" s="1712">
        <f t="shared" si="53"/>
        <v>0</v>
      </c>
      <c r="V185" s="1952"/>
      <c r="X185" s="2079">
        <f>车位!O185</f>
        <v>0</v>
      </c>
      <c r="Y185" s="2080">
        <f t="shared" si="50"/>
        <v>0</v>
      </c>
      <c r="Z185" s="2080"/>
      <c r="AA185" s="2079">
        <v>0</v>
      </c>
      <c r="AB185" s="2080">
        <f t="shared" si="51"/>
        <v>0</v>
      </c>
      <c r="AC185" s="2079"/>
      <c r="AD185" s="2079"/>
      <c r="AE185" s="2079"/>
      <c r="AF185" s="2079"/>
      <c r="AG185" s="2079"/>
      <c r="AH185" s="2079"/>
      <c r="AI185" s="2079"/>
      <c r="AJ185" s="2079"/>
      <c r="AK185" s="2079"/>
    </row>
    <row r="186" spans="1:37" s="1942" customFormat="1" ht="28.5" customHeight="1" outlineLevel="2">
      <c r="A186" s="1944"/>
      <c r="B186" s="1807" t="s">
        <v>810</v>
      </c>
      <c r="C186" s="1808"/>
      <c r="D186" s="2008" t="s">
        <v>3720</v>
      </c>
      <c r="E186" s="2009" t="s">
        <v>3721</v>
      </c>
      <c r="F186" s="1462" t="s">
        <v>3577</v>
      </c>
      <c r="G186" s="1953" t="s">
        <v>4141</v>
      </c>
      <c r="H186" s="1947" t="s">
        <v>10</v>
      </c>
      <c r="I186" s="1712">
        <f>$E$5</f>
        <v>9409.4599999999991</v>
      </c>
      <c r="J186" s="2041"/>
      <c r="K186" s="1947" t="s">
        <v>101</v>
      </c>
      <c r="L186" s="1947" t="s">
        <v>4095</v>
      </c>
      <c r="M186" s="1754">
        <f t="shared" si="45"/>
        <v>0</v>
      </c>
      <c r="N186" s="1712"/>
      <c r="O186" s="1712">
        <f t="shared" si="63"/>
        <v>0</v>
      </c>
      <c r="P186" s="1712">
        <f t="shared" si="64"/>
        <v>0</v>
      </c>
      <c r="Q186" s="1712">
        <f t="shared" si="65"/>
        <v>0</v>
      </c>
      <c r="R186" s="1757">
        <v>0.09</v>
      </c>
      <c r="S186" s="1712">
        <f t="shared" si="66"/>
        <v>0</v>
      </c>
      <c r="T186" s="1712">
        <f t="shared" si="54"/>
        <v>0</v>
      </c>
      <c r="U186" s="1712">
        <f t="shared" si="53"/>
        <v>0</v>
      </c>
      <c r="V186" s="1952"/>
      <c r="X186" s="2079">
        <f>车位!O186</f>
        <v>0</v>
      </c>
      <c r="Y186" s="2080">
        <f t="shared" si="50"/>
        <v>0</v>
      </c>
      <c r="Z186" s="2080"/>
      <c r="AA186" s="2079">
        <v>0</v>
      </c>
      <c r="AB186" s="2080">
        <f t="shared" si="51"/>
        <v>0</v>
      </c>
      <c r="AC186" s="2079"/>
      <c r="AD186" s="2079"/>
      <c r="AE186" s="2079"/>
      <c r="AF186" s="2079"/>
      <c r="AG186" s="2079"/>
      <c r="AH186" s="2079"/>
      <c r="AI186" s="2079"/>
      <c r="AJ186" s="2079"/>
      <c r="AK186" s="2079"/>
    </row>
    <row r="187" spans="1:37" s="1942" customFormat="1" ht="28.5" customHeight="1" outlineLevel="2">
      <c r="A187" s="1944"/>
      <c r="B187" s="1807" t="s">
        <v>3722</v>
      </c>
      <c r="C187" s="1808"/>
      <c r="D187" s="2008" t="s">
        <v>3723</v>
      </c>
      <c r="E187" s="2009" t="s">
        <v>3724</v>
      </c>
      <c r="F187" s="1462" t="s">
        <v>3577</v>
      </c>
      <c r="G187" s="1953" t="s">
        <v>4141</v>
      </c>
      <c r="H187" s="1947" t="s">
        <v>10</v>
      </c>
      <c r="I187" s="1712">
        <f>$E$5</f>
        <v>9409.4599999999991</v>
      </c>
      <c r="J187" s="2041"/>
      <c r="K187" s="1947" t="s">
        <v>101</v>
      </c>
      <c r="L187" s="1947" t="s">
        <v>4096</v>
      </c>
      <c r="M187" s="1754">
        <f t="shared" si="45"/>
        <v>0</v>
      </c>
      <c r="N187" s="1712"/>
      <c r="O187" s="1712">
        <f t="shared" si="63"/>
        <v>0</v>
      </c>
      <c r="P187" s="1712">
        <f t="shared" si="64"/>
        <v>0</v>
      </c>
      <c r="Q187" s="1712">
        <f t="shared" si="65"/>
        <v>0</v>
      </c>
      <c r="R187" s="1757">
        <v>0.09</v>
      </c>
      <c r="S187" s="1712">
        <f t="shared" si="66"/>
        <v>0</v>
      </c>
      <c r="T187" s="1712">
        <f t="shared" si="54"/>
        <v>0</v>
      </c>
      <c r="U187" s="1712">
        <f t="shared" si="53"/>
        <v>0</v>
      </c>
      <c r="V187" s="1952"/>
      <c r="X187" s="2079">
        <f>车位!O187</f>
        <v>0</v>
      </c>
      <c r="Y187" s="2080">
        <f t="shared" si="50"/>
        <v>0</v>
      </c>
      <c r="Z187" s="2080"/>
      <c r="AA187" s="2079">
        <v>0</v>
      </c>
      <c r="AB187" s="2080">
        <f t="shared" si="51"/>
        <v>0</v>
      </c>
      <c r="AC187" s="2079"/>
      <c r="AD187" s="2079"/>
      <c r="AE187" s="2079"/>
      <c r="AF187" s="2079"/>
      <c r="AG187" s="2079"/>
      <c r="AH187" s="2079"/>
      <c r="AI187" s="2079"/>
      <c r="AJ187" s="2079"/>
      <c r="AK187" s="2079"/>
    </row>
    <row r="188" spans="1:37" s="1942" customFormat="1" ht="28.5" customHeight="1" outlineLevel="2">
      <c r="A188" s="1944"/>
      <c r="B188" s="1807" t="s">
        <v>3725</v>
      </c>
      <c r="C188" s="1810"/>
      <c r="D188" s="2038" t="s">
        <v>811</v>
      </c>
      <c r="E188" s="1947" t="s">
        <v>3726</v>
      </c>
      <c r="F188" s="1462" t="s">
        <v>3624</v>
      </c>
      <c r="G188" s="1953" t="s">
        <v>4149</v>
      </c>
      <c r="H188" s="1975" t="s">
        <v>10</v>
      </c>
      <c r="I188" s="1712">
        <f>$E$5</f>
        <v>9409.4599999999991</v>
      </c>
      <c r="J188" s="2041"/>
      <c r="K188" s="1947" t="s">
        <v>101</v>
      </c>
      <c r="L188" s="1947" t="s">
        <v>10</v>
      </c>
      <c r="M188" s="1754">
        <f t="shared" si="45"/>
        <v>0</v>
      </c>
      <c r="N188" s="1712"/>
      <c r="O188" s="1712">
        <f t="shared" si="63"/>
        <v>0</v>
      </c>
      <c r="P188" s="1712">
        <f t="shared" si="64"/>
        <v>0</v>
      </c>
      <c r="Q188" s="1712">
        <f t="shared" si="65"/>
        <v>0</v>
      </c>
      <c r="R188" s="1757">
        <v>0.06</v>
      </c>
      <c r="S188" s="1712">
        <f t="shared" si="66"/>
        <v>0</v>
      </c>
      <c r="T188" s="1712">
        <f t="shared" si="54"/>
        <v>0</v>
      </c>
      <c r="U188" s="1712">
        <f t="shared" si="53"/>
        <v>0</v>
      </c>
      <c r="V188" s="1952"/>
      <c r="X188" s="2079">
        <f>车位!O188</f>
        <v>0</v>
      </c>
      <c r="Y188" s="2080">
        <f t="shared" si="50"/>
        <v>0</v>
      </c>
      <c r="Z188" s="2080"/>
      <c r="AA188" s="2079">
        <v>0</v>
      </c>
      <c r="AB188" s="2080">
        <f t="shared" si="51"/>
        <v>0</v>
      </c>
      <c r="AC188" s="2079"/>
      <c r="AD188" s="2079"/>
      <c r="AE188" s="2079"/>
      <c r="AF188" s="2079"/>
      <c r="AG188" s="2079"/>
      <c r="AH188" s="2079"/>
      <c r="AI188" s="2079"/>
      <c r="AJ188" s="2079"/>
      <c r="AK188" s="2079"/>
    </row>
    <row r="189" spans="1:37" s="1942" customFormat="1" ht="28.5" customHeight="1" outlineLevel="2">
      <c r="A189" s="1944" t="s">
        <v>4011</v>
      </c>
      <c r="B189" s="1807" t="s">
        <v>3727</v>
      </c>
      <c r="C189" s="1810"/>
      <c r="D189" s="2038" t="s">
        <v>3728</v>
      </c>
      <c r="E189" s="1947" t="s">
        <v>3729</v>
      </c>
      <c r="F189" s="1462" t="s">
        <v>3730</v>
      </c>
      <c r="G189" s="1953" t="s">
        <v>4163</v>
      </c>
      <c r="H189" s="1975" t="s">
        <v>10</v>
      </c>
      <c r="I189" s="1712">
        <f>$E$5</f>
        <v>9409.4599999999991</v>
      </c>
      <c r="J189" s="2042">
        <v>1</v>
      </c>
      <c r="K189" s="1947" t="s">
        <v>101</v>
      </c>
      <c r="L189" s="1947" t="s">
        <v>3849</v>
      </c>
      <c r="M189" s="1754">
        <f t="shared" si="45"/>
        <v>9409.4599999999991</v>
      </c>
      <c r="N189" s="1756">
        <v>35</v>
      </c>
      <c r="O189" s="1712">
        <f t="shared" si="63"/>
        <v>32.933109999999999</v>
      </c>
      <c r="P189" s="1712">
        <f t="shared" si="64"/>
        <v>32.11</v>
      </c>
      <c r="Q189" s="1712">
        <f t="shared" si="65"/>
        <v>30.213861999999999</v>
      </c>
      <c r="R189" s="1757">
        <v>0.09</v>
      </c>
      <c r="S189" s="1712">
        <f t="shared" si="66"/>
        <v>2.7192480000000003</v>
      </c>
      <c r="T189" s="1712">
        <f t="shared" si="54"/>
        <v>32.110091333615323</v>
      </c>
      <c r="U189" s="1712">
        <f t="shared" si="53"/>
        <v>35</v>
      </c>
      <c r="V189" s="1952"/>
      <c r="X189" s="2079">
        <f>车位!O189</f>
        <v>85.980440000000002</v>
      </c>
      <c r="Y189" s="2080">
        <f t="shared" si="50"/>
        <v>118.91355</v>
      </c>
      <c r="Z189" s="2080"/>
      <c r="AA189" s="2079">
        <v>121.863035</v>
      </c>
      <c r="AB189" s="2080">
        <f t="shared" si="51"/>
        <v>-2.9494849999999957</v>
      </c>
      <c r="AC189" s="2079"/>
      <c r="AD189" s="2079"/>
      <c r="AE189" s="2079"/>
      <c r="AF189" s="2079"/>
      <c r="AG189" s="2079"/>
      <c r="AH189" s="2079"/>
      <c r="AI189" s="2079"/>
      <c r="AJ189" s="2079"/>
      <c r="AK189" s="2079"/>
    </row>
    <row r="190" spans="1:37" ht="28.5" customHeight="1" outlineLevel="1">
      <c r="A190" s="2019"/>
      <c r="B190" s="2023" t="s">
        <v>502</v>
      </c>
      <c r="C190" s="1852">
        <v>3</v>
      </c>
      <c r="D190" s="1966" t="s">
        <v>84</v>
      </c>
      <c r="E190" s="1967"/>
      <c r="F190" s="1968"/>
      <c r="G190" s="2007" t="s">
        <v>4117</v>
      </c>
      <c r="H190" s="1967"/>
      <c r="I190" s="1969"/>
      <c r="J190" s="1970"/>
      <c r="K190" s="1971"/>
      <c r="L190" s="1967"/>
      <c r="M190" s="1971"/>
      <c r="N190" s="1973"/>
      <c r="O190" s="1973">
        <f>SUBTOTAL(9,O191:O198)</f>
        <v>0</v>
      </c>
      <c r="P190" s="1973"/>
      <c r="Q190" s="1973">
        <f>SUBTOTAL(9,Q191:Q198)</f>
        <v>0</v>
      </c>
      <c r="R190" s="1973"/>
      <c r="S190" s="1973">
        <f>SUBTOTAL(9,S191:S198)</f>
        <v>0</v>
      </c>
      <c r="T190" s="1973">
        <f t="shared" si="54"/>
        <v>0</v>
      </c>
      <c r="U190" s="1973">
        <f t="shared" si="53"/>
        <v>0</v>
      </c>
      <c r="V190" s="1974"/>
      <c r="X190" s="2079">
        <f>车位!O190</f>
        <v>0</v>
      </c>
      <c r="Y190" s="2080">
        <f t="shared" si="50"/>
        <v>0</v>
      </c>
      <c r="Z190" s="2080"/>
      <c r="AA190" s="2077">
        <v>0</v>
      </c>
      <c r="AB190" s="2080">
        <f t="shared" si="51"/>
        <v>0</v>
      </c>
    </row>
    <row r="191" spans="1:37" s="1942" customFormat="1" ht="28.5" customHeight="1" outlineLevel="2">
      <c r="A191" s="1944"/>
      <c r="B191" s="1807" t="s">
        <v>766</v>
      </c>
      <c r="C191" s="1808"/>
      <c r="D191" s="2008" t="s">
        <v>3731</v>
      </c>
      <c r="E191" s="2009"/>
      <c r="F191" s="1462"/>
      <c r="G191" s="1953" t="s">
        <v>4117</v>
      </c>
      <c r="H191" s="1947"/>
      <c r="I191" s="1948"/>
      <c r="J191" s="1949"/>
      <c r="K191" s="1950"/>
      <c r="L191" s="1947"/>
      <c r="M191" s="1950"/>
      <c r="N191" s="1712"/>
      <c r="O191" s="1712">
        <f>SUBTOTAL(9,O192:O196)</f>
        <v>0</v>
      </c>
      <c r="P191" s="1712"/>
      <c r="Q191" s="1712">
        <f>SUBTOTAL(9,Q192:Q196)</f>
        <v>0</v>
      </c>
      <c r="R191" s="1712"/>
      <c r="S191" s="1712">
        <f>SUBTOTAL(9,S192:S196)</f>
        <v>0</v>
      </c>
      <c r="T191" s="1712">
        <f t="shared" si="54"/>
        <v>0</v>
      </c>
      <c r="U191" s="1712">
        <f t="shared" si="53"/>
        <v>0</v>
      </c>
      <c r="V191" s="1952"/>
      <c r="X191" s="2079">
        <f>车位!O191</f>
        <v>0</v>
      </c>
      <c r="Y191" s="2080">
        <f t="shared" si="50"/>
        <v>0</v>
      </c>
      <c r="Z191" s="2080"/>
      <c r="AA191" s="2079">
        <v>0</v>
      </c>
      <c r="AB191" s="2080">
        <f t="shared" si="51"/>
        <v>0</v>
      </c>
      <c r="AC191" s="2079"/>
      <c r="AD191" s="2079"/>
      <c r="AE191" s="2079"/>
      <c r="AF191" s="2079"/>
      <c r="AG191" s="2079"/>
      <c r="AH191" s="2079"/>
      <c r="AI191" s="2079"/>
      <c r="AJ191" s="2079"/>
      <c r="AK191" s="2079"/>
    </row>
    <row r="192" spans="1:37" s="1942" customFormat="1" ht="28.5" customHeight="1" outlineLevel="3">
      <c r="A192" s="1944"/>
      <c r="B192" s="1978" t="s">
        <v>767</v>
      </c>
      <c r="C192" s="1810"/>
      <c r="D192" s="2038" t="s">
        <v>3732</v>
      </c>
      <c r="E192" s="1947" t="s">
        <v>3733</v>
      </c>
      <c r="F192" s="1462" t="s">
        <v>458</v>
      </c>
      <c r="G192" s="1953" t="s">
        <v>4164</v>
      </c>
      <c r="H192" s="1947" t="s">
        <v>10</v>
      </c>
      <c r="I192" s="1712">
        <f>$E$5</f>
        <v>9409.4599999999991</v>
      </c>
      <c r="J192" s="1949"/>
      <c r="K192" s="1947" t="s">
        <v>101</v>
      </c>
      <c r="L192" s="1947" t="s">
        <v>10</v>
      </c>
      <c r="M192" s="1754">
        <f t="shared" ref="M192:M208" si="67">ROUND(I192,2)*ROUND(J192,4)</f>
        <v>0</v>
      </c>
      <c r="N192" s="1712"/>
      <c r="O192" s="1712">
        <f t="shared" ref="O192:O198" si="68">ROUND(M192*ROUND(N192,2)/10000,6)</f>
        <v>0</v>
      </c>
      <c r="P192" s="1712">
        <f t="shared" ref="P192:P198" si="69">IFERROR(ROUND(Q192*10000/M192,2),0)</f>
        <v>0</v>
      </c>
      <c r="Q192" s="1712">
        <f t="shared" ref="Q192:Q198" si="70">ROUND(O192/(1+R192),6)</f>
        <v>0</v>
      </c>
      <c r="R192" s="1757">
        <v>0.09</v>
      </c>
      <c r="S192" s="1712">
        <f t="shared" ref="S192:S198" si="71">O192-Q192</f>
        <v>0</v>
      </c>
      <c r="T192" s="1712">
        <f t="shared" si="54"/>
        <v>0</v>
      </c>
      <c r="U192" s="1712">
        <f t="shared" si="53"/>
        <v>0</v>
      </c>
      <c r="V192" s="1952"/>
      <c r="X192" s="2079">
        <f>车位!O192</f>
        <v>0</v>
      </c>
      <c r="Y192" s="2080">
        <f t="shared" si="50"/>
        <v>0</v>
      </c>
      <c r="Z192" s="2080"/>
      <c r="AA192" s="2079">
        <v>0</v>
      </c>
      <c r="AB192" s="2080">
        <f t="shared" si="51"/>
        <v>0</v>
      </c>
      <c r="AC192" s="2079"/>
      <c r="AD192" s="2079"/>
      <c r="AE192" s="2079"/>
      <c r="AF192" s="2079"/>
      <c r="AG192" s="2079"/>
      <c r="AH192" s="2079"/>
      <c r="AI192" s="2079"/>
      <c r="AJ192" s="2079"/>
      <c r="AK192" s="2079"/>
    </row>
    <row r="193" spans="1:37" s="1942" customFormat="1" ht="28.5" customHeight="1" outlineLevel="3">
      <c r="A193" s="1944"/>
      <c r="B193" s="1978" t="s">
        <v>769</v>
      </c>
      <c r="C193" s="1810"/>
      <c r="D193" s="2038" t="s">
        <v>3734</v>
      </c>
      <c r="E193" s="1947" t="s">
        <v>3735</v>
      </c>
      <c r="F193" s="1462" t="s">
        <v>458</v>
      </c>
      <c r="G193" s="1953" t="s">
        <v>4164</v>
      </c>
      <c r="H193" s="1975" t="s">
        <v>3926</v>
      </c>
      <c r="I193" s="1712">
        <f>$G$7</f>
        <v>0</v>
      </c>
      <c r="J193" s="1949"/>
      <c r="K193" s="1950" t="s">
        <v>3947</v>
      </c>
      <c r="L193" s="1947" t="s">
        <v>3926</v>
      </c>
      <c r="M193" s="1754">
        <f t="shared" si="67"/>
        <v>0</v>
      </c>
      <c r="N193" s="1712"/>
      <c r="O193" s="1712">
        <f t="shared" si="68"/>
        <v>0</v>
      </c>
      <c r="P193" s="1712">
        <f t="shared" si="69"/>
        <v>0</v>
      </c>
      <c r="Q193" s="1712">
        <f t="shared" si="70"/>
        <v>0</v>
      </c>
      <c r="R193" s="1757">
        <v>0.09</v>
      </c>
      <c r="S193" s="1712">
        <f t="shared" si="71"/>
        <v>0</v>
      </c>
      <c r="T193" s="1712">
        <f t="shared" si="54"/>
        <v>0</v>
      </c>
      <c r="U193" s="1712">
        <f t="shared" si="53"/>
        <v>0</v>
      </c>
      <c r="V193" s="1952"/>
      <c r="X193" s="2079">
        <f>车位!O193</f>
        <v>0</v>
      </c>
      <c r="Y193" s="2080">
        <f t="shared" si="50"/>
        <v>0</v>
      </c>
      <c r="Z193" s="2080"/>
      <c r="AA193" s="2079">
        <v>0</v>
      </c>
      <c r="AB193" s="2080">
        <f t="shared" si="51"/>
        <v>0</v>
      </c>
      <c r="AC193" s="2079"/>
      <c r="AD193" s="2079"/>
      <c r="AE193" s="2079"/>
      <c r="AF193" s="2079"/>
      <c r="AG193" s="2079"/>
      <c r="AH193" s="2079"/>
      <c r="AI193" s="2079"/>
      <c r="AJ193" s="2079"/>
      <c r="AK193" s="2079"/>
    </row>
    <row r="194" spans="1:37" s="1942" customFormat="1" ht="28.5" customHeight="1" outlineLevel="3">
      <c r="A194" s="1944"/>
      <c r="B194" s="1978" t="s">
        <v>770</v>
      </c>
      <c r="C194" s="1810"/>
      <c r="D194" s="2038" t="s">
        <v>771</v>
      </c>
      <c r="E194" s="1947" t="s">
        <v>3737</v>
      </c>
      <c r="F194" s="1462" t="s">
        <v>3738</v>
      </c>
      <c r="G194" s="1953" t="s">
        <v>4166</v>
      </c>
      <c r="H194" s="1975" t="s">
        <v>3926</v>
      </c>
      <c r="I194" s="1712">
        <f>$G$7</f>
        <v>0</v>
      </c>
      <c r="J194" s="1949"/>
      <c r="K194" s="1950" t="s">
        <v>3947</v>
      </c>
      <c r="L194" s="1947" t="s">
        <v>3926</v>
      </c>
      <c r="M194" s="1754">
        <f t="shared" si="67"/>
        <v>0</v>
      </c>
      <c r="N194" s="1712"/>
      <c r="O194" s="1712">
        <f t="shared" si="68"/>
        <v>0</v>
      </c>
      <c r="P194" s="1712">
        <f t="shared" si="69"/>
        <v>0</v>
      </c>
      <c r="Q194" s="1712">
        <f t="shared" si="70"/>
        <v>0</v>
      </c>
      <c r="R194" s="1757">
        <v>0.09</v>
      </c>
      <c r="S194" s="1712">
        <f t="shared" si="71"/>
        <v>0</v>
      </c>
      <c r="T194" s="1712">
        <f t="shared" si="54"/>
        <v>0</v>
      </c>
      <c r="U194" s="1712">
        <f t="shared" si="53"/>
        <v>0</v>
      </c>
      <c r="V194" s="1952"/>
      <c r="X194" s="2079">
        <f>车位!O194</f>
        <v>0</v>
      </c>
      <c r="Y194" s="2080">
        <f t="shared" si="50"/>
        <v>0</v>
      </c>
      <c r="Z194" s="2080"/>
      <c r="AA194" s="2079">
        <v>0</v>
      </c>
      <c r="AB194" s="2080">
        <f t="shared" si="51"/>
        <v>0</v>
      </c>
      <c r="AC194" s="2079"/>
      <c r="AD194" s="2079"/>
      <c r="AE194" s="2079"/>
      <c r="AF194" s="2079"/>
      <c r="AG194" s="2079"/>
      <c r="AH194" s="2079"/>
      <c r="AI194" s="2079"/>
      <c r="AJ194" s="2079"/>
      <c r="AK194" s="2079"/>
    </row>
    <row r="195" spans="1:37" s="1942" customFormat="1" ht="28.5" customHeight="1" outlineLevel="3">
      <c r="A195" s="1944"/>
      <c r="B195" s="1978" t="s">
        <v>772</v>
      </c>
      <c r="C195" s="1810"/>
      <c r="D195" s="2038" t="s">
        <v>1598</v>
      </c>
      <c r="E195" s="1947" t="s">
        <v>3739</v>
      </c>
      <c r="F195" s="1462" t="s">
        <v>458</v>
      </c>
      <c r="G195" s="1953" t="s">
        <v>4164</v>
      </c>
      <c r="H195" s="1975" t="s">
        <v>3926</v>
      </c>
      <c r="I195" s="1712">
        <f>$G$7</f>
        <v>0</v>
      </c>
      <c r="J195" s="1949"/>
      <c r="K195" s="1950" t="s">
        <v>3947</v>
      </c>
      <c r="L195" s="1947" t="s">
        <v>3926</v>
      </c>
      <c r="M195" s="1754">
        <f t="shared" si="67"/>
        <v>0</v>
      </c>
      <c r="N195" s="1712"/>
      <c r="O195" s="1712">
        <f t="shared" si="68"/>
        <v>0</v>
      </c>
      <c r="P195" s="1712">
        <f t="shared" si="69"/>
        <v>0</v>
      </c>
      <c r="Q195" s="1712">
        <f t="shared" si="70"/>
        <v>0</v>
      </c>
      <c r="R195" s="1757">
        <v>0.09</v>
      </c>
      <c r="S195" s="1712">
        <f t="shared" si="71"/>
        <v>0</v>
      </c>
      <c r="T195" s="1712">
        <f t="shared" si="54"/>
        <v>0</v>
      </c>
      <c r="U195" s="1712">
        <f t="shared" si="53"/>
        <v>0</v>
      </c>
      <c r="V195" s="1952"/>
      <c r="X195" s="2079">
        <f>车位!O195</f>
        <v>0</v>
      </c>
      <c r="Y195" s="2080">
        <f t="shared" si="50"/>
        <v>0</v>
      </c>
      <c r="Z195" s="2080"/>
      <c r="AA195" s="2079">
        <v>0</v>
      </c>
      <c r="AB195" s="2080">
        <f t="shared" si="51"/>
        <v>0</v>
      </c>
      <c r="AC195" s="2079"/>
      <c r="AD195" s="2079"/>
      <c r="AE195" s="2079"/>
      <c r="AF195" s="2079"/>
      <c r="AG195" s="2079"/>
      <c r="AH195" s="2079"/>
      <c r="AI195" s="2079"/>
      <c r="AJ195" s="2079"/>
      <c r="AK195" s="2079"/>
    </row>
    <row r="196" spans="1:37" s="1942" customFormat="1" ht="28.5" customHeight="1" outlineLevel="3">
      <c r="A196" s="1944"/>
      <c r="B196" s="1978" t="s">
        <v>773</v>
      </c>
      <c r="C196" s="1810"/>
      <c r="D196" s="2038" t="s">
        <v>3740</v>
      </c>
      <c r="E196" s="1947" t="s">
        <v>3741</v>
      </c>
      <c r="F196" s="1462" t="s">
        <v>3742</v>
      </c>
      <c r="G196" s="1953" t="s">
        <v>4167</v>
      </c>
      <c r="H196" s="1975" t="s">
        <v>3926</v>
      </c>
      <c r="I196" s="1712">
        <f>$G$7</f>
        <v>0</v>
      </c>
      <c r="J196" s="1949"/>
      <c r="K196" s="1950" t="s">
        <v>3947</v>
      </c>
      <c r="L196" s="1947" t="s">
        <v>3926</v>
      </c>
      <c r="M196" s="1754">
        <f t="shared" si="67"/>
        <v>0</v>
      </c>
      <c r="N196" s="1712"/>
      <c r="O196" s="1712">
        <f t="shared" si="68"/>
        <v>0</v>
      </c>
      <c r="P196" s="1712">
        <f t="shared" si="69"/>
        <v>0</v>
      </c>
      <c r="Q196" s="1712">
        <f t="shared" si="70"/>
        <v>0</v>
      </c>
      <c r="R196" s="1757">
        <v>0.13</v>
      </c>
      <c r="S196" s="1712">
        <f t="shared" si="71"/>
        <v>0</v>
      </c>
      <c r="T196" s="1712">
        <f t="shared" si="54"/>
        <v>0</v>
      </c>
      <c r="U196" s="1712">
        <f t="shared" si="53"/>
        <v>0</v>
      </c>
      <c r="V196" s="1952"/>
      <c r="X196" s="2079">
        <f>车位!O196</f>
        <v>0</v>
      </c>
      <c r="Y196" s="2080">
        <f t="shared" si="50"/>
        <v>0</v>
      </c>
      <c r="Z196" s="2080"/>
      <c r="AA196" s="2079">
        <v>0</v>
      </c>
      <c r="AB196" s="2080">
        <f t="shared" si="51"/>
        <v>0</v>
      </c>
      <c r="AC196" s="2079"/>
      <c r="AD196" s="2079"/>
      <c r="AE196" s="2079"/>
      <c r="AF196" s="2079"/>
      <c r="AG196" s="2079"/>
      <c r="AH196" s="2079"/>
      <c r="AI196" s="2079"/>
      <c r="AJ196" s="2079"/>
      <c r="AK196" s="2079"/>
    </row>
    <row r="197" spans="1:37" s="1942" customFormat="1" ht="28.5" customHeight="1" outlineLevel="2">
      <c r="A197" s="1944"/>
      <c r="B197" s="1978" t="s">
        <v>777</v>
      </c>
      <c r="C197" s="1810"/>
      <c r="D197" s="2038" t="s">
        <v>814</v>
      </c>
      <c r="E197" s="1947" t="s">
        <v>3743</v>
      </c>
      <c r="F197" s="1462" t="s">
        <v>458</v>
      </c>
      <c r="G197" s="1953" t="s">
        <v>4164</v>
      </c>
      <c r="H197" s="1975" t="s">
        <v>10</v>
      </c>
      <c r="I197" s="1712">
        <f>$E$5</f>
        <v>9409.4599999999991</v>
      </c>
      <c r="J197" s="2035"/>
      <c r="K197" s="1950" t="s">
        <v>101</v>
      </c>
      <c r="L197" s="1947" t="s">
        <v>10</v>
      </c>
      <c r="M197" s="1754">
        <f t="shared" si="67"/>
        <v>0</v>
      </c>
      <c r="N197" s="1712"/>
      <c r="O197" s="1712">
        <f t="shared" si="68"/>
        <v>0</v>
      </c>
      <c r="P197" s="1712">
        <f t="shared" si="69"/>
        <v>0</v>
      </c>
      <c r="Q197" s="1712">
        <f t="shared" si="70"/>
        <v>0</v>
      </c>
      <c r="R197" s="1757">
        <v>0.09</v>
      </c>
      <c r="S197" s="1712">
        <f t="shared" si="71"/>
        <v>0</v>
      </c>
      <c r="T197" s="1712">
        <f t="shared" si="54"/>
        <v>0</v>
      </c>
      <c r="U197" s="1712">
        <f t="shared" si="53"/>
        <v>0</v>
      </c>
      <c r="V197" s="1952"/>
      <c r="X197" s="2079">
        <f>车位!O197</f>
        <v>0</v>
      </c>
      <c r="Y197" s="2080">
        <f t="shared" si="50"/>
        <v>0</v>
      </c>
      <c r="Z197" s="2080"/>
      <c r="AA197" s="2079">
        <v>0</v>
      </c>
      <c r="AB197" s="2080">
        <f t="shared" si="51"/>
        <v>0</v>
      </c>
      <c r="AC197" s="2079"/>
      <c r="AD197" s="2079"/>
      <c r="AE197" s="2079"/>
      <c r="AF197" s="2079"/>
      <c r="AG197" s="2079"/>
      <c r="AH197" s="2079"/>
      <c r="AI197" s="2079"/>
      <c r="AJ197" s="2079"/>
      <c r="AK197" s="2079"/>
    </row>
    <row r="198" spans="1:37" s="1942" customFormat="1" ht="28.5" customHeight="1" outlineLevel="2">
      <c r="A198" s="1944"/>
      <c r="B198" s="1978" t="s">
        <v>778</v>
      </c>
      <c r="C198" s="1810"/>
      <c r="D198" s="2038" t="s">
        <v>815</v>
      </c>
      <c r="E198" s="1947" t="s">
        <v>3744</v>
      </c>
      <c r="F198" s="1462" t="s">
        <v>458</v>
      </c>
      <c r="G198" s="1953" t="s">
        <v>4164</v>
      </c>
      <c r="H198" s="1975" t="s">
        <v>10</v>
      </c>
      <c r="I198" s="1712">
        <f>$E$5</f>
        <v>9409.4599999999991</v>
      </c>
      <c r="J198" s="2035"/>
      <c r="K198" s="1950" t="s">
        <v>101</v>
      </c>
      <c r="L198" s="1947" t="s">
        <v>10</v>
      </c>
      <c r="M198" s="1754">
        <f t="shared" si="67"/>
        <v>0</v>
      </c>
      <c r="N198" s="1712"/>
      <c r="O198" s="1712">
        <f t="shared" si="68"/>
        <v>0</v>
      </c>
      <c r="P198" s="1712">
        <f t="shared" si="69"/>
        <v>0</v>
      </c>
      <c r="Q198" s="1712">
        <f t="shared" si="70"/>
        <v>0</v>
      </c>
      <c r="R198" s="1757">
        <v>0.09</v>
      </c>
      <c r="S198" s="1712">
        <f t="shared" si="71"/>
        <v>0</v>
      </c>
      <c r="T198" s="1712">
        <f t="shared" si="54"/>
        <v>0</v>
      </c>
      <c r="U198" s="1712">
        <f t="shared" si="53"/>
        <v>0</v>
      </c>
      <c r="V198" s="1952"/>
      <c r="X198" s="2079">
        <f>车位!O198</f>
        <v>0</v>
      </c>
      <c r="Y198" s="2080">
        <f t="shared" si="50"/>
        <v>0</v>
      </c>
      <c r="Z198" s="2080"/>
      <c r="AA198" s="2079">
        <v>0</v>
      </c>
      <c r="AB198" s="2080">
        <f t="shared" si="51"/>
        <v>0</v>
      </c>
      <c r="AC198" s="2079"/>
      <c r="AD198" s="2079"/>
      <c r="AE198" s="2079"/>
      <c r="AF198" s="2079"/>
      <c r="AG198" s="2079"/>
      <c r="AH198" s="2079"/>
      <c r="AI198" s="2079"/>
      <c r="AJ198" s="2079"/>
      <c r="AK198" s="2079"/>
    </row>
    <row r="199" spans="1:37" ht="28.5" customHeight="1" outlineLevel="1">
      <c r="A199" s="2019"/>
      <c r="B199" s="2023" t="s">
        <v>503</v>
      </c>
      <c r="C199" s="1852">
        <v>4</v>
      </c>
      <c r="D199" s="1966" t="s">
        <v>92</v>
      </c>
      <c r="E199" s="1967"/>
      <c r="F199" s="1968"/>
      <c r="G199" s="2007" t="s">
        <v>4117</v>
      </c>
      <c r="H199" s="1967"/>
      <c r="I199" s="1969"/>
      <c r="J199" s="1970"/>
      <c r="K199" s="1971"/>
      <c r="L199" s="1967"/>
      <c r="M199" s="1971"/>
      <c r="N199" s="1973"/>
      <c r="O199" s="1973">
        <f>SUBTOTAL(9,O200:O208)</f>
        <v>12.6</v>
      </c>
      <c r="P199" s="1973"/>
      <c r="Q199" s="1973">
        <f>SUBTOTAL(9,Q200:Q208)</f>
        <v>11.150442</v>
      </c>
      <c r="R199" s="1973"/>
      <c r="S199" s="1973">
        <f>SUBTOTAL(9,S200:S208)</f>
        <v>1.4495579999999997</v>
      </c>
      <c r="T199" s="1973">
        <f t="shared" si="54"/>
        <v>11.850246454100448</v>
      </c>
      <c r="U199" s="1973">
        <f t="shared" si="53"/>
        <v>13.390779067024038</v>
      </c>
      <c r="V199" s="1974"/>
      <c r="X199" s="2079">
        <f>车位!O199</f>
        <v>39.375</v>
      </c>
      <c r="Y199" s="2080">
        <f t="shared" si="50"/>
        <v>51.975000000000001</v>
      </c>
      <c r="Z199" s="2080"/>
      <c r="AA199" s="2077">
        <v>0</v>
      </c>
      <c r="AB199" s="2080">
        <f t="shared" si="51"/>
        <v>51.975000000000001</v>
      </c>
    </row>
    <row r="200" spans="1:37" s="1942" customFormat="1" ht="28.5" customHeight="1" outlineLevel="2">
      <c r="A200" s="1944"/>
      <c r="B200" s="1807" t="s">
        <v>1600</v>
      </c>
      <c r="C200" s="1808"/>
      <c r="D200" s="2008" t="s">
        <v>3745</v>
      </c>
      <c r="E200" s="2009" t="s">
        <v>3746</v>
      </c>
      <c r="F200" s="1462" t="s">
        <v>461</v>
      </c>
      <c r="G200" s="1953" t="s">
        <v>4168</v>
      </c>
      <c r="H200" s="1975" t="s">
        <v>3926</v>
      </c>
      <c r="I200" s="1712">
        <f>$G$7</f>
        <v>0</v>
      </c>
      <c r="J200" s="1949"/>
      <c r="K200" s="1950" t="s">
        <v>3947</v>
      </c>
      <c r="L200" s="1947" t="s">
        <v>3926</v>
      </c>
      <c r="M200" s="1754">
        <f t="shared" si="67"/>
        <v>0</v>
      </c>
      <c r="N200" s="1712"/>
      <c r="O200" s="1712">
        <f t="shared" ref="O200:O208" si="72">ROUND(M200*ROUND(N200,2)/10000,6)</f>
        <v>0</v>
      </c>
      <c r="P200" s="1712">
        <f t="shared" ref="P200:P208" si="73">IFERROR(ROUND(Q200*10000/M200,2),0)</f>
        <v>0</v>
      </c>
      <c r="Q200" s="1712">
        <f t="shared" ref="Q200:Q208" si="74">ROUND(O200/(1+R200),6)</f>
        <v>0</v>
      </c>
      <c r="R200" s="1757">
        <v>0.13</v>
      </c>
      <c r="S200" s="1712">
        <f t="shared" ref="S200:S208" si="75">O200-Q200</f>
        <v>0</v>
      </c>
      <c r="T200" s="1712">
        <f t="shared" si="54"/>
        <v>0</v>
      </c>
      <c r="U200" s="1712">
        <f t="shared" si="53"/>
        <v>0</v>
      </c>
      <c r="V200" s="1952"/>
      <c r="X200" s="2079">
        <f>车位!O200</f>
        <v>0</v>
      </c>
      <c r="Y200" s="2080">
        <f t="shared" si="50"/>
        <v>0</v>
      </c>
      <c r="Z200" s="2080"/>
      <c r="AA200" s="2079">
        <v>0</v>
      </c>
      <c r="AB200" s="2080">
        <f t="shared" si="51"/>
        <v>0</v>
      </c>
      <c r="AC200" s="2079"/>
      <c r="AD200" s="2079"/>
      <c r="AE200" s="2079"/>
      <c r="AF200" s="2079"/>
      <c r="AG200" s="2079"/>
      <c r="AH200" s="2079"/>
      <c r="AI200" s="2079"/>
      <c r="AJ200" s="2079"/>
      <c r="AK200" s="2079"/>
    </row>
    <row r="201" spans="1:37" s="1942" customFormat="1" ht="28.5" customHeight="1" outlineLevel="2">
      <c r="A201" s="1944"/>
      <c r="B201" s="1807" t="s">
        <v>1601</v>
      </c>
      <c r="C201" s="1808"/>
      <c r="D201" s="2008" t="s">
        <v>94</v>
      </c>
      <c r="E201" s="2009" t="s">
        <v>3747</v>
      </c>
      <c r="F201" s="1462" t="s">
        <v>1602</v>
      </c>
      <c r="G201" s="1953" t="s">
        <v>4169</v>
      </c>
      <c r="H201" s="1975" t="s">
        <v>3926</v>
      </c>
      <c r="I201" s="1712">
        <f>$G$7</f>
        <v>0</v>
      </c>
      <c r="J201" s="1949"/>
      <c r="K201" s="1950" t="s">
        <v>3947</v>
      </c>
      <c r="L201" s="1947" t="s">
        <v>3926</v>
      </c>
      <c r="M201" s="1754">
        <f t="shared" si="67"/>
        <v>0</v>
      </c>
      <c r="N201" s="1712"/>
      <c r="O201" s="1712">
        <f t="shared" si="72"/>
        <v>0</v>
      </c>
      <c r="P201" s="1712">
        <f t="shared" si="73"/>
        <v>0</v>
      </c>
      <c r="Q201" s="1712">
        <f t="shared" si="74"/>
        <v>0</v>
      </c>
      <c r="R201" s="1757">
        <v>0.13</v>
      </c>
      <c r="S201" s="1712">
        <f t="shared" si="75"/>
        <v>0</v>
      </c>
      <c r="T201" s="1712">
        <f t="shared" si="54"/>
        <v>0</v>
      </c>
      <c r="U201" s="1712">
        <f t="shared" si="53"/>
        <v>0</v>
      </c>
      <c r="V201" s="1952"/>
      <c r="X201" s="2079">
        <f>车位!O201</f>
        <v>0</v>
      </c>
      <c r="Y201" s="2080">
        <f t="shared" si="50"/>
        <v>0</v>
      </c>
      <c r="Z201" s="2080"/>
      <c r="AA201" s="2079">
        <v>0</v>
      </c>
      <c r="AB201" s="2080">
        <f t="shared" si="51"/>
        <v>0</v>
      </c>
      <c r="AC201" s="2079"/>
      <c r="AD201" s="2079"/>
      <c r="AE201" s="2079"/>
      <c r="AF201" s="2079"/>
      <c r="AG201" s="2079"/>
      <c r="AH201" s="2079"/>
      <c r="AI201" s="2079"/>
      <c r="AJ201" s="2079"/>
      <c r="AK201" s="2079"/>
    </row>
    <row r="202" spans="1:37" s="1942" customFormat="1" ht="28.5" customHeight="1" outlineLevel="2">
      <c r="A202" s="1944"/>
      <c r="B202" s="1807" t="s">
        <v>779</v>
      </c>
      <c r="C202" s="1808"/>
      <c r="D202" s="2008" t="s">
        <v>3748</v>
      </c>
      <c r="E202" s="2009" t="s">
        <v>3749</v>
      </c>
      <c r="F202" s="1462" t="s">
        <v>3531</v>
      </c>
      <c r="G202" s="1953" t="s">
        <v>4140</v>
      </c>
      <c r="H202" s="1975" t="s">
        <v>10</v>
      </c>
      <c r="I202" s="1712">
        <f>$E$5</f>
        <v>9409.4599999999991</v>
      </c>
      <c r="J202" s="2036"/>
      <c r="K202" s="1950" t="s">
        <v>101</v>
      </c>
      <c r="L202" s="1947" t="s">
        <v>10</v>
      </c>
      <c r="M202" s="1754">
        <f t="shared" si="67"/>
        <v>0</v>
      </c>
      <c r="N202" s="1712"/>
      <c r="O202" s="1712">
        <f t="shared" si="72"/>
        <v>0</v>
      </c>
      <c r="P202" s="1712">
        <f t="shared" si="73"/>
        <v>0</v>
      </c>
      <c r="Q202" s="1712">
        <f t="shared" si="74"/>
        <v>0</v>
      </c>
      <c r="R202" s="1713">
        <v>0.13</v>
      </c>
      <c r="S202" s="1712">
        <f t="shared" si="75"/>
        <v>0</v>
      </c>
      <c r="T202" s="1712">
        <f t="shared" si="54"/>
        <v>0</v>
      </c>
      <c r="U202" s="1712">
        <f t="shared" si="53"/>
        <v>0</v>
      </c>
      <c r="V202" s="1952"/>
      <c r="X202" s="2079">
        <f>车位!O202</f>
        <v>0</v>
      </c>
      <c r="Y202" s="2080">
        <f t="shared" si="50"/>
        <v>0</v>
      </c>
      <c r="Z202" s="2080"/>
      <c r="AA202" s="2079">
        <v>0</v>
      </c>
      <c r="AB202" s="2080">
        <f t="shared" si="51"/>
        <v>0</v>
      </c>
      <c r="AC202" s="2079"/>
      <c r="AD202" s="2079"/>
      <c r="AE202" s="2079"/>
      <c r="AF202" s="2079"/>
      <c r="AG202" s="2079"/>
      <c r="AH202" s="2079"/>
      <c r="AI202" s="2079"/>
      <c r="AJ202" s="2079"/>
      <c r="AK202" s="2079"/>
    </row>
    <row r="203" spans="1:37" s="1942" customFormat="1" ht="28.5" customHeight="1" outlineLevel="2">
      <c r="A203" s="1944"/>
      <c r="B203" s="1807" t="s">
        <v>780</v>
      </c>
      <c r="C203" s="1808"/>
      <c r="D203" s="2008" t="s">
        <v>95</v>
      </c>
      <c r="E203" s="2009" t="s">
        <v>3750</v>
      </c>
      <c r="F203" s="1462" t="s">
        <v>3531</v>
      </c>
      <c r="G203" s="1953" t="s">
        <v>4140</v>
      </c>
      <c r="H203" s="1975" t="s">
        <v>3926</v>
      </c>
      <c r="I203" s="1712">
        <f>$G$7</f>
        <v>0</v>
      </c>
      <c r="J203" s="2035"/>
      <c r="K203" s="1950" t="s">
        <v>3947</v>
      </c>
      <c r="L203" s="1947" t="s">
        <v>3926</v>
      </c>
      <c r="M203" s="1754">
        <f t="shared" si="67"/>
        <v>0</v>
      </c>
      <c r="N203" s="1712"/>
      <c r="O203" s="1712">
        <f t="shared" si="72"/>
        <v>0</v>
      </c>
      <c r="P203" s="1712">
        <f t="shared" si="73"/>
        <v>0</v>
      </c>
      <c r="Q203" s="1712">
        <f t="shared" si="74"/>
        <v>0</v>
      </c>
      <c r="R203" s="1713">
        <v>0.13</v>
      </c>
      <c r="S203" s="1712">
        <f t="shared" si="75"/>
        <v>0</v>
      </c>
      <c r="T203" s="1712">
        <f t="shared" si="54"/>
        <v>0</v>
      </c>
      <c r="U203" s="2043">
        <f t="shared" si="53"/>
        <v>0</v>
      </c>
      <c r="V203" s="1952"/>
      <c r="X203" s="2079">
        <f>车位!O203</f>
        <v>0</v>
      </c>
      <c r="Y203" s="2080">
        <f t="shared" si="50"/>
        <v>0</v>
      </c>
      <c r="Z203" s="2080"/>
      <c r="AA203" s="2079">
        <v>0</v>
      </c>
      <c r="AB203" s="2080">
        <f t="shared" si="51"/>
        <v>0</v>
      </c>
      <c r="AC203" s="2079"/>
      <c r="AD203" s="2079"/>
      <c r="AE203" s="2079"/>
      <c r="AF203" s="2079"/>
      <c r="AG203" s="2079"/>
      <c r="AH203" s="2079"/>
      <c r="AI203" s="2079"/>
      <c r="AJ203" s="2079"/>
      <c r="AK203" s="2079"/>
    </row>
    <row r="204" spans="1:37" s="1942" customFormat="1" ht="28.5" customHeight="1" outlineLevel="2">
      <c r="A204" s="1944"/>
      <c r="B204" s="1807" t="s">
        <v>781</v>
      </c>
      <c r="C204" s="1808"/>
      <c r="D204" s="2008" t="s">
        <v>3751</v>
      </c>
      <c r="E204" s="2009" t="s">
        <v>3752</v>
      </c>
      <c r="F204" s="1462" t="s">
        <v>3531</v>
      </c>
      <c r="G204" s="1953" t="s">
        <v>4140</v>
      </c>
      <c r="H204" s="1975" t="s">
        <v>10</v>
      </c>
      <c r="I204" s="1712">
        <f>$E$5</f>
        <v>9409.4599999999991</v>
      </c>
      <c r="J204" s="2036"/>
      <c r="K204" s="1950" t="s">
        <v>101</v>
      </c>
      <c r="L204" s="1947" t="s">
        <v>10</v>
      </c>
      <c r="M204" s="1754">
        <f t="shared" si="67"/>
        <v>0</v>
      </c>
      <c r="N204" s="1712"/>
      <c r="O204" s="1712">
        <f t="shared" si="72"/>
        <v>0</v>
      </c>
      <c r="P204" s="1712">
        <f t="shared" si="73"/>
        <v>0</v>
      </c>
      <c r="Q204" s="1712">
        <f t="shared" si="74"/>
        <v>0</v>
      </c>
      <c r="R204" s="1713">
        <v>0.13</v>
      </c>
      <c r="S204" s="1712">
        <f t="shared" si="75"/>
        <v>0</v>
      </c>
      <c r="T204" s="1712">
        <f t="shared" si="54"/>
        <v>0</v>
      </c>
      <c r="U204" s="2043">
        <f t="shared" si="53"/>
        <v>0</v>
      </c>
      <c r="V204" s="1952"/>
      <c r="X204" s="2079">
        <f>车位!O204</f>
        <v>0</v>
      </c>
      <c r="Y204" s="2080">
        <f t="shared" ref="Y204:Y208" si="76">X204+O204</f>
        <v>0</v>
      </c>
      <c r="Z204" s="2080"/>
      <c r="AA204" s="2079">
        <v>0</v>
      </c>
      <c r="AB204" s="2080">
        <f t="shared" ref="AB204:AB209" si="77">Y204-AA204</f>
        <v>0</v>
      </c>
      <c r="AC204" s="2079"/>
      <c r="AD204" s="2079"/>
      <c r="AE204" s="2079"/>
      <c r="AF204" s="2079"/>
      <c r="AG204" s="2079"/>
      <c r="AH204" s="2079"/>
      <c r="AI204" s="2079"/>
      <c r="AJ204" s="2079"/>
      <c r="AK204" s="2079"/>
    </row>
    <row r="205" spans="1:37" s="1942" customFormat="1" ht="28.5" customHeight="1" outlineLevel="2">
      <c r="A205" s="1944"/>
      <c r="B205" s="1807" t="s">
        <v>782</v>
      </c>
      <c r="C205" s="1808"/>
      <c r="D205" s="2008" t="s">
        <v>3753</v>
      </c>
      <c r="E205" s="2009" t="s">
        <v>3754</v>
      </c>
      <c r="F205" s="1462" t="s">
        <v>3531</v>
      </c>
      <c r="G205" s="1953" t="s">
        <v>4140</v>
      </c>
      <c r="H205" s="1975" t="s">
        <v>10</v>
      </c>
      <c r="I205" s="1948">
        <f>$E$5</f>
        <v>9409.4599999999991</v>
      </c>
      <c r="J205" s="2036"/>
      <c r="K205" s="1950" t="s">
        <v>101</v>
      </c>
      <c r="L205" s="1947" t="s">
        <v>10</v>
      </c>
      <c r="M205" s="1754">
        <f t="shared" si="67"/>
        <v>0</v>
      </c>
      <c r="N205" s="1712"/>
      <c r="O205" s="1712">
        <f t="shared" si="72"/>
        <v>0</v>
      </c>
      <c r="P205" s="1712">
        <f t="shared" si="73"/>
        <v>0</v>
      </c>
      <c r="Q205" s="1712">
        <f t="shared" si="74"/>
        <v>0</v>
      </c>
      <c r="R205" s="1713">
        <v>0.13</v>
      </c>
      <c r="S205" s="1712">
        <f t="shared" si="75"/>
        <v>0</v>
      </c>
      <c r="T205" s="1712">
        <f t="shared" si="54"/>
        <v>0</v>
      </c>
      <c r="U205" s="2043">
        <f t="shared" si="53"/>
        <v>0</v>
      </c>
      <c r="V205" s="1952"/>
      <c r="X205" s="2079">
        <f>车位!O205</f>
        <v>0</v>
      </c>
      <c r="Y205" s="2080">
        <f t="shared" si="76"/>
        <v>0</v>
      </c>
      <c r="Z205" s="2080"/>
      <c r="AA205" s="2079">
        <v>0</v>
      </c>
      <c r="AB205" s="2080">
        <f t="shared" si="77"/>
        <v>0</v>
      </c>
      <c r="AC205" s="2079"/>
      <c r="AD205" s="2079"/>
      <c r="AE205" s="2079"/>
      <c r="AF205" s="2079"/>
      <c r="AG205" s="2079"/>
      <c r="AH205" s="2079"/>
      <c r="AI205" s="2079"/>
      <c r="AJ205" s="2079"/>
      <c r="AK205" s="2079"/>
    </row>
    <row r="206" spans="1:37" s="1942" customFormat="1" ht="28.5" customHeight="1" outlineLevel="2">
      <c r="A206" s="1944"/>
      <c r="B206" s="1807" t="s">
        <v>3755</v>
      </c>
      <c r="C206" s="1808"/>
      <c r="D206" s="2008" t="s">
        <v>3756</v>
      </c>
      <c r="E206" s="2009" t="s">
        <v>3757</v>
      </c>
      <c r="F206" s="1462" t="s">
        <v>3531</v>
      </c>
      <c r="G206" s="1953" t="s">
        <v>4140</v>
      </c>
      <c r="H206" s="1975" t="s">
        <v>10</v>
      </c>
      <c r="I206" s="1948">
        <f>$E$5</f>
        <v>9409.4599999999991</v>
      </c>
      <c r="J206" s="2036"/>
      <c r="K206" s="1950" t="s">
        <v>101</v>
      </c>
      <c r="L206" s="1947" t="s">
        <v>10</v>
      </c>
      <c r="M206" s="1754">
        <f t="shared" si="67"/>
        <v>0</v>
      </c>
      <c r="N206" s="1712"/>
      <c r="O206" s="1712">
        <f t="shared" si="72"/>
        <v>0</v>
      </c>
      <c r="P206" s="1712">
        <f t="shared" si="73"/>
        <v>0</v>
      </c>
      <c r="Q206" s="1712">
        <f t="shared" si="74"/>
        <v>0</v>
      </c>
      <c r="R206" s="1713">
        <v>0.13</v>
      </c>
      <c r="S206" s="1712">
        <f t="shared" si="75"/>
        <v>0</v>
      </c>
      <c r="T206" s="1712">
        <f t="shared" si="54"/>
        <v>0</v>
      </c>
      <c r="U206" s="2043">
        <f t="shared" si="53"/>
        <v>0</v>
      </c>
      <c r="V206" s="1952"/>
      <c r="X206" s="2079">
        <f>车位!O206</f>
        <v>0</v>
      </c>
      <c r="Y206" s="2080">
        <f t="shared" si="76"/>
        <v>0</v>
      </c>
      <c r="Z206" s="2080"/>
      <c r="AA206" s="2079">
        <v>0</v>
      </c>
      <c r="AB206" s="2080">
        <f t="shared" si="77"/>
        <v>0</v>
      </c>
      <c r="AC206" s="2079"/>
      <c r="AD206" s="2079"/>
      <c r="AE206" s="2079"/>
      <c r="AF206" s="2079"/>
      <c r="AG206" s="2079"/>
      <c r="AH206" s="2079"/>
      <c r="AI206" s="2079"/>
      <c r="AJ206" s="2079"/>
      <c r="AK206" s="2079"/>
    </row>
    <row r="207" spans="1:37" s="1942" customFormat="1" ht="28.5" customHeight="1" outlineLevel="2">
      <c r="A207" s="1944"/>
      <c r="B207" s="1807" t="s">
        <v>3758</v>
      </c>
      <c r="C207" s="1808"/>
      <c r="D207" s="2008" t="s">
        <v>3759</v>
      </c>
      <c r="E207" s="2009" t="s">
        <v>3760</v>
      </c>
      <c r="F207" s="1462" t="s">
        <v>3531</v>
      </c>
      <c r="G207" s="1953" t="s">
        <v>4140</v>
      </c>
      <c r="H207" s="1975" t="s">
        <v>10</v>
      </c>
      <c r="I207" s="1948">
        <f>$E$5</f>
        <v>9409.4599999999991</v>
      </c>
      <c r="J207" s="2036"/>
      <c r="K207" s="1950" t="s">
        <v>101</v>
      </c>
      <c r="L207" s="1947" t="s">
        <v>10</v>
      </c>
      <c r="M207" s="1754">
        <f t="shared" si="67"/>
        <v>0</v>
      </c>
      <c r="N207" s="1712"/>
      <c r="O207" s="1712">
        <f t="shared" si="72"/>
        <v>0</v>
      </c>
      <c r="P207" s="1712">
        <f t="shared" si="73"/>
        <v>0</v>
      </c>
      <c r="Q207" s="1712">
        <f t="shared" si="74"/>
        <v>0</v>
      </c>
      <c r="R207" s="1713">
        <v>0.13</v>
      </c>
      <c r="S207" s="1712">
        <f t="shared" si="75"/>
        <v>0</v>
      </c>
      <c r="T207" s="1712">
        <f t="shared" si="54"/>
        <v>0</v>
      </c>
      <c r="U207" s="2043">
        <f t="shared" si="53"/>
        <v>0</v>
      </c>
      <c r="V207" s="1952"/>
      <c r="X207" s="2079">
        <f>车位!O207</f>
        <v>0</v>
      </c>
      <c r="Y207" s="2080">
        <f t="shared" si="76"/>
        <v>0</v>
      </c>
      <c r="Z207" s="2080"/>
      <c r="AA207" s="2079">
        <v>0</v>
      </c>
      <c r="AB207" s="2080">
        <f t="shared" si="77"/>
        <v>0</v>
      </c>
      <c r="AC207" s="2079"/>
      <c r="AD207" s="2079"/>
      <c r="AE207" s="2079"/>
      <c r="AF207" s="2079"/>
      <c r="AG207" s="2079"/>
      <c r="AH207" s="2079"/>
      <c r="AI207" s="2079"/>
      <c r="AJ207" s="2079"/>
      <c r="AK207" s="2079"/>
    </row>
    <row r="208" spans="1:37" s="1942" customFormat="1" ht="28.5" customHeight="1" outlineLevel="2" thickBot="1">
      <c r="A208" s="2006" t="s">
        <v>4011</v>
      </c>
      <c r="B208" s="2044" t="s">
        <v>3761</v>
      </c>
      <c r="C208" s="2045"/>
      <c r="D208" s="2046" t="s">
        <v>3762</v>
      </c>
      <c r="E208" s="2047" t="s">
        <v>3763</v>
      </c>
      <c r="F208" s="2048" t="s">
        <v>3531</v>
      </c>
      <c r="G208" s="2049" t="s">
        <v>4140</v>
      </c>
      <c r="H208" s="2050" t="s">
        <v>4343</v>
      </c>
      <c r="I208" s="2051">
        <f>'全期规划指标 '!E41</f>
        <v>280</v>
      </c>
      <c r="J208" s="2052">
        <v>0.3</v>
      </c>
      <c r="K208" s="2053" t="s">
        <v>101</v>
      </c>
      <c r="L208" s="2054" t="s">
        <v>10</v>
      </c>
      <c r="M208" s="2055">
        <f t="shared" si="67"/>
        <v>84</v>
      </c>
      <c r="N208" s="2056">
        <f>车位!N208</f>
        <v>1500</v>
      </c>
      <c r="O208" s="2057">
        <f t="shared" si="72"/>
        <v>12.6</v>
      </c>
      <c r="P208" s="2057">
        <f t="shared" si="73"/>
        <v>1327.43</v>
      </c>
      <c r="Q208" s="2057">
        <f t="shared" si="74"/>
        <v>11.150442</v>
      </c>
      <c r="R208" s="2058">
        <v>0.13</v>
      </c>
      <c r="S208" s="2057">
        <f t="shared" si="75"/>
        <v>1.4495579999999997</v>
      </c>
      <c r="T208" s="2057">
        <f t="shared" si="54"/>
        <v>11.850246454100448</v>
      </c>
      <c r="U208" s="2059">
        <f t="shared" si="53"/>
        <v>13.390779067024038</v>
      </c>
      <c r="V208" s="2060"/>
      <c r="X208" s="2079">
        <f>车位!O208</f>
        <v>39.375</v>
      </c>
      <c r="Y208" s="2080">
        <f t="shared" si="76"/>
        <v>51.975000000000001</v>
      </c>
      <c r="Z208" s="2080"/>
      <c r="AA208" s="2079">
        <v>0</v>
      </c>
      <c r="AB208" s="2080">
        <f t="shared" si="77"/>
        <v>51.975000000000001</v>
      </c>
      <c r="AC208" s="2079"/>
      <c r="AD208" s="2079"/>
      <c r="AE208" s="2079"/>
      <c r="AF208" s="2079"/>
      <c r="AG208" s="2079"/>
      <c r="AH208" s="2079"/>
      <c r="AI208" s="2079"/>
      <c r="AJ208" s="2079"/>
      <c r="AK208" s="2079"/>
    </row>
    <row r="209" spans="15:28" ht="28.5" customHeight="1">
      <c r="O209" s="1902">
        <f>O17+O106+O132+O11</f>
        <v>3999.6917110000004</v>
      </c>
      <c r="P209" s="1902">
        <f>O209/E5*10000</f>
        <v>4250.7133363657431</v>
      </c>
      <c r="Q209" s="1902">
        <f>Q17+Q106+Q132+Q11</f>
        <v>3652.8392989999984</v>
      </c>
      <c r="S209" s="1902">
        <f>S17+S106+S132+S11</f>
        <v>346.85241199999984</v>
      </c>
      <c r="U209" s="1902">
        <f>U17+U106+U132+U11</f>
        <v>4250.713336365744</v>
      </c>
      <c r="X209" s="2077">
        <f t="shared" ref="X209:AA209" si="78">X17+X106+X132+X11</f>
        <v>8726.4481070000002</v>
      </c>
      <c r="Y209" s="2077">
        <f t="shared" si="78"/>
        <v>12726.139818000001</v>
      </c>
      <c r="AA209" s="2077">
        <f t="shared" si="78"/>
        <v>13053.113922</v>
      </c>
      <c r="AB209" s="2080">
        <f t="shared" si="77"/>
        <v>-326.97410399999899</v>
      </c>
    </row>
    <row r="210" spans="15:28" ht="28.5" customHeight="1" thickBot="1">
      <c r="O210" s="1902">
        <f>O209*K3</f>
        <v>840</v>
      </c>
      <c r="P210" s="1902">
        <f>O209-O210</f>
        <v>3159.6917110000004</v>
      </c>
    </row>
    <row r="211" spans="15:28" ht="28.5" customHeight="1">
      <c r="O211" s="2061"/>
      <c r="P211" s="2062" t="s">
        <v>4097</v>
      </c>
      <c r="Q211" s="2062" t="s">
        <v>3195</v>
      </c>
      <c r="R211" s="2062" t="s">
        <v>4098</v>
      </c>
      <c r="S211" s="2063" t="s">
        <v>1944</v>
      </c>
    </row>
    <row r="212" spans="15:28" ht="28.5" customHeight="1">
      <c r="O212" s="2064" t="s">
        <v>4099</v>
      </c>
      <c r="P212" s="2065">
        <f>O209</f>
        <v>3999.6917110000004</v>
      </c>
      <c r="Q212" s="2065">
        <f>P212-R212</f>
        <v>346.852412000002</v>
      </c>
      <c r="R212" s="2065">
        <f>Q209</f>
        <v>3652.8392989999984</v>
      </c>
      <c r="S212" s="2066">
        <f>P212/E5*10000</f>
        <v>4250.7133363657431</v>
      </c>
    </row>
    <row r="213" spans="15:28" ht="28.5" customHeight="1">
      <c r="O213" s="2064" t="s">
        <v>4100</v>
      </c>
      <c r="P213" s="2068">
        <f>'全期规划指标 '!E41+'全期规划指标 '!E42</f>
        <v>280</v>
      </c>
      <c r="Q213" s="2068" t="s">
        <v>4101</v>
      </c>
      <c r="R213" s="1814">
        <v>7</v>
      </c>
      <c r="S213" s="2069"/>
    </row>
    <row r="214" spans="15:28" ht="28.5" customHeight="1">
      <c r="O214" s="2064" t="s">
        <v>4102</v>
      </c>
      <c r="P214" s="2067">
        <f>3*P213/P212</f>
        <v>0.21001618642002379</v>
      </c>
      <c r="Q214" s="2068" t="s">
        <v>4103</v>
      </c>
      <c r="R214" s="2070">
        <f>+P214</f>
        <v>0.21001618642002379</v>
      </c>
      <c r="S214" s="2069"/>
      <c r="T214" s="1902">
        <f>12*3708.06</f>
        <v>44496.72</v>
      </c>
    </row>
    <row r="215" spans="15:28" ht="28.5" customHeight="1">
      <c r="O215" s="2064" t="s">
        <v>4104</v>
      </c>
      <c r="P215" s="2065">
        <f>P212*R214</f>
        <v>840</v>
      </c>
      <c r="Q215" s="2068" t="s">
        <v>4105</v>
      </c>
      <c r="R215" s="2071">
        <f>P212-P215</f>
        <v>3159.6917110000004</v>
      </c>
      <c r="S215" s="2069"/>
      <c r="T215" s="2072">
        <f>1-R214</f>
        <v>0.78998381357997616</v>
      </c>
      <c r="U215" s="1902" t="s">
        <v>4106</v>
      </c>
    </row>
    <row r="216" spans="15:28" ht="28.5" customHeight="1">
      <c r="O216" s="2064" t="s">
        <v>4107</v>
      </c>
      <c r="P216" s="2071">
        <f>Q212*R214</f>
        <v>72.844620818827323</v>
      </c>
      <c r="Q216" s="2068" t="s">
        <v>4108</v>
      </c>
      <c r="R216" s="2071">
        <f>Q212-P216</f>
        <v>274.0077911811747</v>
      </c>
      <c r="S216" s="2069"/>
    </row>
    <row r="217" spans="15:28" ht="28.5" customHeight="1" thickBot="1">
      <c r="O217" s="2073" t="s">
        <v>4109</v>
      </c>
      <c r="P217" s="2074">
        <f>R212*R214</f>
        <v>767.15537918117263</v>
      </c>
      <c r="Q217" s="2075" t="s">
        <v>4110</v>
      </c>
      <c r="R217" s="2074">
        <f>R212-P217</f>
        <v>2885.6839198188259</v>
      </c>
      <c r="S217" s="2076"/>
    </row>
    <row r="218" spans="15:28" ht="28.5" customHeight="1">
      <c r="P218" s="1902">
        <f>+P213*3</f>
        <v>840</v>
      </c>
      <c r="R218" s="1902">
        <f>O209*0.75</f>
        <v>2999.7687832500005</v>
      </c>
    </row>
    <row r="219" spans="15:28" ht="10.75" customHeight="1">
      <c r="P219" s="1902">
        <f>+P218/P212</f>
        <v>0.21001618642002379</v>
      </c>
    </row>
  </sheetData>
  <autoFilter ref="A10:AK219"/>
  <mergeCells count="26">
    <mergeCell ref="B9:B10"/>
    <mergeCell ref="C9:C10"/>
    <mergeCell ref="D9:D10"/>
    <mergeCell ref="E9:E10"/>
    <mergeCell ref="F9:F10"/>
    <mergeCell ref="M9:M10"/>
    <mergeCell ref="F2:H2"/>
    <mergeCell ref="L3:M3"/>
    <mergeCell ref="C4:C7"/>
    <mergeCell ref="L4:M4"/>
    <mergeCell ref="K5:M5"/>
    <mergeCell ref="G9:G10"/>
    <mergeCell ref="H9:I9"/>
    <mergeCell ref="J9:J10"/>
    <mergeCell ref="K9:K10"/>
    <mergeCell ref="L9:L10"/>
    <mergeCell ref="T9:T10"/>
    <mergeCell ref="U9:U10"/>
    <mergeCell ref="V9:V10"/>
    <mergeCell ref="W21:W24"/>
    <mergeCell ref="N9:N10"/>
    <mergeCell ref="O9:O10"/>
    <mergeCell ref="P9:P10"/>
    <mergeCell ref="Q9:Q10"/>
    <mergeCell ref="R9:R10"/>
    <mergeCell ref="S9:S10"/>
  </mergeCells>
  <phoneticPr fontId="19" type="noConversion"/>
  <conditionalFormatting sqref="D13:F13">
    <cfRule type="duplicateValues" dxfId="537" priority="2"/>
  </conditionalFormatting>
  <conditionalFormatting sqref="G13">
    <cfRule type="duplicateValues" dxfId="536" priority="1"/>
  </conditionalFormatting>
  <conditionalFormatting sqref="B17:C17">
    <cfRule type="duplicateValues" dxfId="535" priority="12"/>
  </conditionalFormatting>
  <conditionalFormatting sqref="B18">
    <cfRule type="duplicateValues" dxfId="534" priority="13"/>
  </conditionalFormatting>
  <conditionalFormatting sqref="C18">
    <cfRule type="duplicateValues" dxfId="533" priority="11"/>
  </conditionalFormatting>
  <conditionalFormatting sqref="D20:F20">
    <cfRule type="duplicateValues" dxfId="532" priority="15"/>
  </conditionalFormatting>
  <conditionalFormatting sqref="B51">
    <cfRule type="duplicateValues" dxfId="531" priority="10"/>
  </conditionalFormatting>
  <conditionalFormatting sqref="C51">
    <cfRule type="duplicateValues" dxfId="530" priority="8"/>
  </conditionalFormatting>
  <conditionalFormatting sqref="D51:E51">
    <cfRule type="duplicateValues" dxfId="529" priority="9"/>
  </conditionalFormatting>
  <conditionalFormatting sqref="F51">
    <cfRule type="duplicateValues" dxfId="528" priority="16"/>
  </conditionalFormatting>
  <conditionalFormatting sqref="D52:E52">
    <cfRule type="duplicateValues" dxfId="527" priority="7"/>
  </conditionalFormatting>
  <conditionalFormatting sqref="D62:E62">
    <cfRule type="duplicateValues" dxfId="526" priority="6"/>
  </conditionalFormatting>
  <conditionalFormatting sqref="B106">
    <cfRule type="duplicateValues" dxfId="525" priority="5"/>
  </conditionalFormatting>
  <conditionalFormatting sqref="F107">
    <cfRule type="duplicateValues" dxfId="524" priority="17"/>
  </conditionalFormatting>
  <conditionalFormatting sqref="F126">
    <cfRule type="duplicateValues" dxfId="523" priority="23"/>
  </conditionalFormatting>
  <conditionalFormatting sqref="F130">
    <cfRule type="duplicateValues" dxfId="522" priority="18"/>
  </conditionalFormatting>
  <conditionalFormatting sqref="F131">
    <cfRule type="duplicateValues" dxfId="521" priority="19"/>
  </conditionalFormatting>
  <conditionalFormatting sqref="B132">
    <cfRule type="duplicateValues" dxfId="520" priority="3"/>
  </conditionalFormatting>
  <conditionalFormatting sqref="F133">
    <cfRule type="duplicateValues" dxfId="519" priority="20"/>
  </conditionalFormatting>
  <conditionalFormatting sqref="F176">
    <cfRule type="duplicateValues" dxfId="518" priority="21"/>
  </conditionalFormatting>
  <conditionalFormatting sqref="F190">
    <cfRule type="duplicateValues" dxfId="517" priority="22"/>
  </conditionalFormatting>
  <conditionalFormatting sqref="F199">
    <cfRule type="duplicateValues" dxfId="516" priority="24"/>
  </conditionalFormatting>
  <conditionalFormatting sqref="D17:G18">
    <cfRule type="duplicateValues" dxfId="515" priority="14"/>
  </conditionalFormatting>
  <conditionalFormatting sqref="G19:G20 D19:E19">
    <cfRule type="duplicateValues" dxfId="514" priority="4"/>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outlinePr summaryBelow="0" summaryRight="0"/>
  </sheetPr>
  <dimension ref="A1:Y213"/>
  <sheetViews>
    <sheetView zoomScale="70" zoomScaleNormal="70" workbookViewId="0">
      <pane xSplit="3" ySplit="10" topLeftCell="D164" activePane="bottomRight" state="frozen"/>
      <selection activeCell="D8" sqref="D8"/>
      <selection pane="topRight" activeCell="D8" sqref="D8"/>
      <selection pane="bottomLeft" activeCell="D8" sqref="D8"/>
      <selection pane="bottomRight" activeCell="N158" sqref="N158"/>
    </sheetView>
  </sheetViews>
  <sheetFormatPr defaultColWidth="10" defaultRowHeight="12" outlineLevelRow="5"/>
  <cols>
    <col min="1" max="1" width="11.6640625" style="1898" customWidth="1"/>
    <col min="2" max="2" width="16.6640625" style="1899" customWidth="1"/>
    <col min="3" max="3" width="6" style="1664" customWidth="1"/>
    <col min="4" max="4" width="13.33203125" style="1784" customWidth="1"/>
    <col min="5" max="5" width="13.33203125" style="1656" customWidth="1"/>
    <col min="6" max="6" width="13.33203125" style="1900" customWidth="1"/>
    <col min="7" max="7" width="13.6640625" style="1900" customWidth="1"/>
    <col min="8" max="8" width="13" style="1656" customWidth="1"/>
    <col min="9" max="9" width="12.33203125" style="1895" customWidth="1"/>
    <col min="10" max="10" width="11.4140625" style="1901" customWidth="1"/>
    <col min="11" max="11" width="10" style="1900" customWidth="1"/>
    <col min="12" max="12" width="20.6640625" style="1656" hidden="1" customWidth="1"/>
    <col min="13" max="13" width="11.6640625" style="1900" customWidth="1"/>
    <col min="14" max="15" width="11.6640625" style="1902" customWidth="1"/>
    <col min="16" max="16" width="10.4140625" style="1902" customWidth="1"/>
    <col min="17" max="17" width="11.6640625" style="1902" customWidth="1"/>
    <col min="18" max="18" width="9.33203125" style="1902" customWidth="1"/>
    <col min="19" max="19" width="12" style="1903" customWidth="1"/>
    <col min="20" max="21" width="13.33203125" style="1902" customWidth="1"/>
    <col min="22" max="22" width="10" style="1902" customWidth="1"/>
    <col min="23" max="24" width="10.08203125" style="1898" customWidth="1"/>
    <col min="25" max="25" width="11" style="1898" customWidth="1"/>
    <col min="26" max="16384" width="10" style="1898"/>
  </cols>
  <sheetData>
    <row r="1" spans="1:23" ht="12" customHeight="1"/>
    <row r="2" spans="1:23" ht="12" customHeight="1" thickBot="1">
      <c r="D2" s="1904"/>
      <c r="E2" s="1693"/>
      <c r="F2" s="2450"/>
      <c r="G2" s="2450"/>
      <c r="H2" s="2450"/>
      <c r="I2" s="1905"/>
      <c r="K2" s="1898"/>
      <c r="L2" s="1906"/>
      <c r="O2" s="1907"/>
      <c r="R2" s="1898"/>
      <c r="T2" s="1907"/>
      <c r="U2" s="1898"/>
      <c r="V2" s="1907"/>
    </row>
    <row r="3" spans="1:23" ht="12" customHeight="1">
      <c r="C3" s="2083" t="s">
        <v>4001</v>
      </c>
      <c r="D3" s="1909" t="s">
        <v>106</v>
      </c>
      <c r="E3" s="1909" t="s">
        <v>1690</v>
      </c>
      <c r="F3" s="2084" t="s">
        <v>4002</v>
      </c>
      <c r="G3" s="1911">
        <f>+'全期规划指标 '!D20+'全期规划指标 '!D21</f>
        <v>13214</v>
      </c>
      <c r="H3" s="2085" t="s">
        <v>4003</v>
      </c>
      <c r="I3" s="2086" t="s">
        <v>1931</v>
      </c>
      <c r="J3" s="2087"/>
      <c r="K3" s="1934"/>
      <c r="L3" s="1902"/>
      <c r="O3" s="1898"/>
      <c r="P3" s="1900"/>
      <c r="Q3" s="1907"/>
      <c r="R3" s="1898"/>
      <c r="S3" s="1898"/>
      <c r="T3" s="1898"/>
      <c r="U3" s="1898"/>
      <c r="V3" s="1898"/>
    </row>
    <row r="4" spans="1:23" ht="12" customHeight="1">
      <c r="C4" s="2412" t="s">
        <v>3916</v>
      </c>
      <c r="D4" s="1915" t="s">
        <v>9</v>
      </c>
      <c r="E4" s="1916">
        <f>+'全期规划指标 '!G20+'全期规划指标 '!G21</f>
        <v>2160</v>
      </c>
      <c r="F4" s="1917" t="s">
        <v>107</v>
      </c>
      <c r="G4" s="2088">
        <f>+'全期规划指标 '!F20+'全期规划指标 '!F21</f>
        <v>4</v>
      </c>
      <c r="H4" s="1917" t="s">
        <v>4005</v>
      </c>
      <c r="I4" s="2015"/>
      <c r="J4" s="2087"/>
      <c r="K4" s="1934"/>
      <c r="L4" s="1902"/>
      <c r="O4" s="1898"/>
      <c r="P4" s="1900"/>
      <c r="Q4" s="1907"/>
      <c r="R4" s="1898"/>
      <c r="S4" s="1898"/>
      <c r="T4" s="1898"/>
      <c r="U4" s="1898"/>
      <c r="V4" s="1898"/>
    </row>
    <row r="5" spans="1:23" ht="12" customHeight="1">
      <c r="C5" s="2412"/>
      <c r="D5" s="1915" t="s">
        <v>10</v>
      </c>
      <c r="E5" s="1916">
        <f>'全期规划指标 '!I20+'全期规划指标 '!I21+'全期规划指标 '!U20+'全期规划指标 '!U21</f>
        <v>43173.95</v>
      </c>
      <c r="F5" s="1917" t="s">
        <v>18</v>
      </c>
      <c r="G5" s="1916">
        <f>+'全期规划指标 '!Q20+'全期规划指标 '!Q21</f>
        <v>12</v>
      </c>
      <c r="H5" s="1917" t="s">
        <v>4006</v>
      </c>
      <c r="I5" s="2015">
        <f>+'全期规划指标 '!Q20+'全期规划指标 '!Q21</f>
        <v>12</v>
      </c>
      <c r="J5" s="2087"/>
      <c r="K5" s="1934"/>
      <c r="L5" s="1902"/>
      <c r="O5" s="1898"/>
      <c r="P5" s="1900"/>
      <c r="Q5" s="1907"/>
      <c r="R5" s="1898"/>
      <c r="S5" s="1898"/>
      <c r="T5" s="1898"/>
      <c r="U5" s="1898"/>
      <c r="V5" s="1898"/>
    </row>
    <row r="6" spans="1:23" ht="12" customHeight="1">
      <c r="C6" s="2412"/>
      <c r="D6" s="1923" t="s">
        <v>20</v>
      </c>
      <c r="E6" s="1916">
        <f>+'全期规划指标 '!I20+'全期规划指标 '!I21</f>
        <v>43173.95</v>
      </c>
      <c r="F6" s="1917" t="s">
        <v>3923</v>
      </c>
      <c r="G6" s="2089">
        <f>+'全期规划指标 '!S20+'全期规划指标 '!S21</f>
        <v>240</v>
      </c>
      <c r="H6" s="1917" t="s">
        <v>4111</v>
      </c>
      <c r="I6" s="2015">
        <f>+'全期规划指标 '!R20+'全期规划指标 '!R21</f>
        <v>480</v>
      </c>
      <c r="J6" s="2087"/>
      <c r="K6" s="1934"/>
      <c r="L6" s="1902"/>
      <c r="M6" s="1902"/>
      <c r="O6" s="1898"/>
      <c r="P6" s="1900"/>
      <c r="Q6" s="1907"/>
      <c r="R6" s="1898"/>
      <c r="S6" s="1898"/>
      <c r="T6" s="1898"/>
      <c r="U6" s="1898"/>
      <c r="V6" s="1898"/>
    </row>
    <row r="7" spans="1:23" ht="12" customHeight="1" thickBot="1">
      <c r="C7" s="2413"/>
      <c r="D7" s="1926" t="s">
        <v>4008</v>
      </c>
      <c r="E7" s="1916">
        <v>0</v>
      </c>
      <c r="F7" s="2090" t="s">
        <v>3926</v>
      </c>
      <c r="G7" s="1927">
        <f>+'全期规划指标 '!R20+'全期规划指标 '!R21</f>
        <v>480</v>
      </c>
      <c r="H7" s="2091" t="s">
        <v>4009</v>
      </c>
      <c r="I7" s="2092">
        <f>+'全期规划指标 '!T20</f>
        <v>2.9</v>
      </c>
      <c r="J7" s="2093"/>
      <c r="K7" s="2094"/>
      <c r="L7" s="1902"/>
      <c r="O7" s="1898"/>
      <c r="P7" s="1900"/>
      <c r="Q7" s="1907"/>
      <c r="R7" s="1898"/>
      <c r="S7" s="1898"/>
      <c r="T7" s="1898"/>
      <c r="U7" s="1898"/>
      <c r="V7" s="1898"/>
    </row>
    <row r="8" spans="1:23" ht="12" customHeight="1" thickBot="1">
      <c r="D8" s="1904"/>
      <c r="E8" s="1693"/>
      <c r="F8" s="1906"/>
      <c r="G8" s="1934"/>
      <c r="H8" s="1935"/>
      <c r="I8" s="1936"/>
      <c r="K8" s="1937"/>
      <c r="L8" s="1935"/>
      <c r="O8" s="1907"/>
      <c r="R8" s="1900"/>
      <c r="T8" s="1907"/>
      <c r="U8" s="1900"/>
      <c r="V8" s="1907"/>
    </row>
    <row r="9" spans="1:23" s="1938" customFormat="1" ht="12" customHeight="1">
      <c r="B9" s="2451" t="s">
        <v>3131</v>
      </c>
      <c r="C9" s="2453" t="s">
        <v>25</v>
      </c>
      <c r="D9" s="2453" t="s">
        <v>23</v>
      </c>
      <c r="E9" s="2453" t="s">
        <v>3927</v>
      </c>
      <c r="F9" s="2453" t="s">
        <v>444</v>
      </c>
      <c r="G9" s="2453" t="s">
        <v>3207</v>
      </c>
      <c r="H9" s="2453" t="s">
        <v>3929</v>
      </c>
      <c r="I9" s="2453"/>
      <c r="J9" s="2455"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row>
    <row r="10" spans="1:23" s="1938" customFormat="1" ht="13">
      <c r="B10" s="2452"/>
      <c r="C10" s="2454"/>
      <c r="D10" s="2454"/>
      <c r="E10" s="2454"/>
      <c r="F10" s="2454"/>
      <c r="G10" s="2454"/>
      <c r="H10" s="1939" t="s">
        <v>13</v>
      </c>
      <c r="I10" s="1940" t="s">
        <v>3939</v>
      </c>
      <c r="J10" s="2456"/>
      <c r="K10" s="2449"/>
      <c r="L10" s="2454"/>
      <c r="M10" s="2449"/>
      <c r="N10" s="2426"/>
      <c r="O10" s="2449"/>
      <c r="P10" s="2449"/>
      <c r="Q10" s="2449"/>
      <c r="R10" s="2449"/>
      <c r="S10" s="2449"/>
      <c r="T10" s="2449"/>
      <c r="U10" s="2449"/>
      <c r="V10" s="2447"/>
    </row>
    <row r="11" spans="1:23">
      <c r="B11" s="1785" t="s">
        <v>537</v>
      </c>
      <c r="C11" s="1685" t="s">
        <v>28</v>
      </c>
      <c r="D11" s="1956" t="s">
        <v>486</v>
      </c>
      <c r="E11" s="1957"/>
      <c r="F11" s="1958"/>
      <c r="G11" s="1957"/>
      <c r="H11" s="1959"/>
      <c r="I11" s="1960"/>
      <c r="J11" s="1961"/>
      <c r="K11" s="1962"/>
      <c r="L11" s="1959"/>
      <c r="M11" s="1962"/>
      <c r="N11" s="1963"/>
      <c r="O11" s="1963">
        <f>SUBTOTAL(9,O12:O99)</f>
        <v>10480.430730000004</v>
      </c>
      <c r="P11" s="1963"/>
      <c r="Q11" s="1963">
        <f>SUBTOTAL(9,Q12:Q99)</f>
        <v>9591.9198130000004</v>
      </c>
      <c r="R11" s="1963"/>
      <c r="S11" s="1963">
        <f>SUBTOTAL(9,S12:S99)</f>
        <v>888.51091700000018</v>
      </c>
      <c r="T11" s="1963">
        <f>IFERROR(Q11*10000/$E$6,"")</f>
        <v>2221.6915091160299</v>
      </c>
      <c r="U11" s="1963">
        <f>IFERROR(O11*10000/$E$6,"")</f>
        <v>2427.4894305478201</v>
      </c>
      <c r="V11" s="1964"/>
    </row>
    <row r="12" spans="1:23" outlineLevel="1">
      <c r="B12" s="1965" t="s">
        <v>487</v>
      </c>
      <c r="C12" s="1852">
        <v>1</v>
      </c>
      <c r="D12" s="1966" t="s">
        <v>650</v>
      </c>
      <c r="E12" s="1967"/>
      <c r="F12" s="1968"/>
      <c r="G12" s="1967"/>
      <c r="H12" s="1967"/>
      <c r="I12" s="1969"/>
      <c r="J12" s="1970"/>
      <c r="K12" s="1971"/>
      <c r="L12" s="1967"/>
      <c r="M12" s="1972"/>
      <c r="N12" s="1973"/>
      <c r="O12" s="1973">
        <f>SUBTOTAL(9,O13:O44)</f>
        <v>8583.2957660000011</v>
      </c>
      <c r="P12" s="1973"/>
      <c r="Q12" s="1973">
        <f>SUBTOTAL(9,Q13:Q44)</f>
        <v>7873.641064999998</v>
      </c>
      <c r="R12" s="1973"/>
      <c r="S12" s="1973">
        <f>SUBTOTAL(9,S13:S44)</f>
        <v>709.65470100000016</v>
      </c>
      <c r="T12" s="1973">
        <f t="shared" ref="T12:T75" si="0">IFERROR(Q12*10000/$E$6,"")</f>
        <v>1823.7018074556529</v>
      </c>
      <c r="U12" s="1973">
        <f t="shared" ref="U12:U75" si="1">IFERROR(O12*10000/$E$6,"")</f>
        <v>1988.0728462417735</v>
      </c>
      <c r="V12" s="1974"/>
    </row>
    <row r="13" spans="1:23" s="1942" customFormat="1" ht="24" outlineLevel="2">
      <c r="A13" s="1813" t="s">
        <v>3069</v>
      </c>
      <c r="B13" s="1820" t="s">
        <v>651</v>
      </c>
      <c r="C13" s="1808"/>
      <c r="D13" s="1945" t="s">
        <v>3360</v>
      </c>
      <c r="E13" s="1946" t="s">
        <v>3361</v>
      </c>
      <c r="F13" s="1462" t="s">
        <v>3342</v>
      </c>
      <c r="G13" s="1946" t="s">
        <v>4116</v>
      </c>
      <c r="H13" s="1975" t="s">
        <v>9</v>
      </c>
      <c r="I13" s="1953">
        <f>$E$4</f>
        <v>2160</v>
      </c>
      <c r="J13" s="1949">
        <v>0.5</v>
      </c>
      <c r="K13" s="1977" t="s">
        <v>103</v>
      </c>
      <c r="L13" s="1947" t="s">
        <v>4013</v>
      </c>
      <c r="M13" s="1754">
        <f>ROUND(I13,2)*ROUND(J13,4)</f>
        <v>1080</v>
      </c>
      <c r="N13" s="1756">
        <v>71.38</v>
      </c>
      <c r="O13" s="1712">
        <f>ROUND(M13*ROUND(N13,2)/10000,6)</f>
        <v>7.7090399999999999</v>
      </c>
      <c r="P13" s="1712">
        <f>IFERROR(ROUND(Q13*10000/M13,2),0)</f>
        <v>65.489999999999995</v>
      </c>
      <c r="Q13" s="1712">
        <f>ROUND(O13/(1+R13),6)</f>
        <v>7.072514</v>
      </c>
      <c r="R13" s="1757">
        <v>0.09</v>
      </c>
      <c r="S13" s="1712">
        <f>O13-Q13</f>
        <v>0.63652599999999993</v>
      </c>
      <c r="T13" s="1712">
        <f t="shared" si="0"/>
        <v>1.6381438344186716</v>
      </c>
      <c r="U13" s="1712">
        <f t="shared" si="1"/>
        <v>1.7855767192948526</v>
      </c>
      <c r="V13" s="1952"/>
      <c r="W13" s="1712">
        <f>+U12+U46+U56-U22+'当期公摊测算表（全期）'!Y97</f>
        <v>2061.225838206994</v>
      </c>
    </row>
    <row r="14" spans="1:23" s="1942" customFormat="1" ht="13" outlineLevel="2">
      <c r="A14" s="1944"/>
      <c r="B14" s="1820" t="s">
        <v>655</v>
      </c>
      <c r="C14" s="1808"/>
      <c r="D14" s="1945" t="s">
        <v>488</v>
      </c>
      <c r="E14" s="1946"/>
      <c r="F14" s="1945"/>
      <c r="G14" s="1946" t="s">
        <v>4117</v>
      </c>
      <c r="H14" s="1947"/>
      <c r="I14" s="1948"/>
      <c r="J14" s="1949"/>
      <c r="K14" s="1950"/>
      <c r="L14" s="1947"/>
      <c r="M14" s="1754"/>
      <c r="N14" s="1712"/>
      <c r="O14" s="1712">
        <f>SUBTOTAL(9,O15:O43)</f>
        <v>8575.5867260000014</v>
      </c>
      <c r="P14" s="1951"/>
      <c r="Q14" s="1712">
        <f>SUBTOTAL(9,Q15:Q43)</f>
        <v>7866.5685509999985</v>
      </c>
      <c r="R14" s="1712"/>
      <c r="S14" s="1712">
        <f>SUBTOTAL(9,S15:S43)</f>
        <v>709.01817500000016</v>
      </c>
      <c r="T14" s="1712">
        <f t="shared" si="0"/>
        <v>1822.0636636212344</v>
      </c>
      <c r="U14" s="1712">
        <f t="shared" si="1"/>
        <v>1986.2872695224789</v>
      </c>
      <c r="V14" s="1952"/>
    </row>
    <row r="15" spans="1:23" s="1942" customFormat="1" ht="24" outlineLevel="3">
      <c r="A15" s="1813" t="s">
        <v>3069</v>
      </c>
      <c r="B15" s="1978" t="s">
        <v>1626</v>
      </c>
      <c r="C15" s="1810"/>
      <c r="D15" s="1979" t="s">
        <v>59</v>
      </c>
      <c r="E15" s="1980" t="s">
        <v>3362</v>
      </c>
      <c r="F15" s="1462" t="s">
        <v>3342</v>
      </c>
      <c r="G15" s="1953" t="s">
        <v>4116</v>
      </c>
      <c r="H15" s="1947" t="s">
        <v>10</v>
      </c>
      <c r="I15" s="1953">
        <f>$E$5</f>
        <v>43173.95</v>
      </c>
      <c r="J15" s="1976">
        <f>0.33+0.02</f>
        <v>0.35000000000000003</v>
      </c>
      <c r="K15" s="1950" t="s">
        <v>103</v>
      </c>
      <c r="L15" s="1947" t="s">
        <v>4014</v>
      </c>
      <c r="M15" s="1754">
        <f>ROUND(I15,2)*ROUND(J15,4)</f>
        <v>15110.882499999998</v>
      </c>
      <c r="N15" s="1756">
        <v>609.15</v>
      </c>
      <c r="O15" s="1712">
        <f>ROUND(M15*ROUND(N15,2)/10000,6)</f>
        <v>920.47940700000004</v>
      </c>
      <c r="P15" s="1712">
        <f>IFERROR(ROUND(Q15*10000/M15,2),0)</f>
        <v>558.85</v>
      </c>
      <c r="Q15" s="1712">
        <f>ROUND(O15/(1+R15),6)</f>
        <v>844.47652000000005</v>
      </c>
      <c r="R15" s="1757">
        <v>0.09</v>
      </c>
      <c r="S15" s="1712">
        <f>O15-Q15</f>
        <v>76.002886999999987</v>
      </c>
      <c r="T15" s="1712">
        <f t="shared" si="0"/>
        <v>195.59862370711971</v>
      </c>
      <c r="U15" s="1712">
        <f t="shared" si="1"/>
        <v>213.20249988708471</v>
      </c>
      <c r="V15" s="1952"/>
      <c r="W15" s="2424"/>
    </row>
    <row r="16" spans="1:23" s="1942" customFormat="1" ht="24" outlineLevel="3">
      <c r="A16" s="1813" t="s">
        <v>3069</v>
      </c>
      <c r="B16" s="1978" t="s">
        <v>1482</v>
      </c>
      <c r="C16" s="1810"/>
      <c r="D16" s="1979" t="s">
        <v>658</v>
      </c>
      <c r="E16" s="1980" t="s">
        <v>3363</v>
      </c>
      <c r="F16" s="1462" t="s">
        <v>3342</v>
      </c>
      <c r="G16" s="1953" t="s">
        <v>4116</v>
      </c>
      <c r="H16" s="1947" t="s">
        <v>10</v>
      </c>
      <c r="I16" s="1953">
        <f>$E$5</f>
        <v>43173.95</v>
      </c>
      <c r="J16" s="1976">
        <f>39+2</f>
        <v>41</v>
      </c>
      <c r="K16" s="1950" t="s">
        <v>104</v>
      </c>
      <c r="L16" s="1947" t="s">
        <v>4015</v>
      </c>
      <c r="M16" s="1754">
        <f t="shared" ref="M16:M44" si="2">ROUND(I16,2)*ROUND(J16,4)</f>
        <v>1770131.95</v>
      </c>
      <c r="N16" s="1756">
        <v>8.2479399999999998</v>
      </c>
      <c r="O16" s="1712">
        <f t="shared" ref="O16:O22" si="3">ROUND(M16*ROUND(N16,2)/10000,6)</f>
        <v>1460.3588589999999</v>
      </c>
      <c r="P16" s="1712">
        <f t="shared" ref="P16:P22" si="4">IFERROR(ROUND(Q16*10000/M16,2),0)</f>
        <v>7.57</v>
      </c>
      <c r="Q16" s="1712">
        <f t="shared" ref="Q16:Q22" si="5">ROUND(O16/(1+R16),6)</f>
        <v>1339.7787699999999</v>
      </c>
      <c r="R16" s="1757">
        <v>0.09</v>
      </c>
      <c r="S16" s="1712">
        <f>O16-Q16</f>
        <v>120.58008900000004</v>
      </c>
      <c r="T16" s="1712">
        <f t="shared" si="0"/>
        <v>310.32110103430426</v>
      </c>
      <c r="U16" s="1712">
        <f t="shared" si="1"/>
        <v>338.25000005790531</v>
      </c>
      <c r="V16" s="1952"/>
      <c r="W16" s="2424"/>
    </row>
    <row r="17" spans="1:23" s="1942" customFormat="1" ht="24" outlineLevel="3">
      <c r="A17" s="1813" t="s">
        <v>3069</v>
      </c>
      <c r="B17" s="1978" t="s">
        <v>1635</v>
      </c>
      <c r="C17" s="1810"/>
      <c r="D17" s="1979" t="s">
        <v>659</v>
      </c>
      <c r="E17" s="1980" t="s">
        <v>3364</v>
      </c>
      <c r="F17" s="1462" t="s">
        <v>3342</v>
      </c>
      <c r="G17" s="1953" t="s">
        <v>4116</v>
      </c>
      <c r="H17" s="1947" t="s">
        <v>10</v>
      </c>
      <c r="I17" s="1953">
        <f>$E$5</f>
        <v>43173.95</v>
      </c>
      <c r="J17" s="1976">
        <f>3.3+0.2</f>
        <v>3.5</v>
      </c>
      <c r="K17" s="1950" t="s">
        <v>101</v>
      </c>
      <c r="L17" s="1947" t="s">
        <v>659</v>
      </c>
      <c r="M17" s="1754">
        <f t="shared" si="2"/>
        <v>151108.82499999998</v>
      </c>
      <c r="N17" s="1756">
        <v>80.180000000000007</v>
      </c>
      <c r="O17" s="1712">
        <f t="shared" si="3"/>
        <v>1211.590559</v>
      </c>
      <c r="P17" s="1712">
        <f t="shared" si="4"/>
        <v>73.56</v>
      </c>
      <c r="Q17" s="1712">
        <f t="shared" si="5"/>
        <v>1111.550972</v>
      </c>
      <c r="R17" s="1757">
        <v>0.09</v>
      </c>
      <c r="S17" s="1712">
        <f>O17-Q17</f>
        <v>100.03958699999998</v>
      </c>
      <c r="T17" s="1712">
        <f t="shared" si="0"/>
        <v>257.4587157302031</v>
      </c>
      <c r="U17" s="1712">
        <f t="shared" si="1"/>
        <v>280.6300000347432</v>
      </c>
      <c r="V17" s="1952"/>
      <c r="W17" s="2424"/>
    </row>
    <row r="18" spans="1:23" s="1942" customFormat="1" ht="24" outlineLevel="3">
      <c r="A18" s="1813" t="s">
        <v>3069</v>
      </c>
      <c r="B18" s="1978" t="s">
        <v>1484</v>
      </c>
      <c r="C18" s="1810"/>
      <c r="D18" s="1979" t="s">
        <v>1636</v>
      </c>
      <c r="E18" s="1980" t="s">
        <v>3365</v>
      </c>
      <c r="F18" s="1462" t="s">
        <v>3342</v>
      </c>
      <c r="G18" s="1953" t="s">
        <v>4116</v>
      </c>
      <c r="H18" s="1947" t="s">
        <v>10</v>
      </c>
      <c r="I18" s="1953">
        <f>$E$5</f>
        <v>43173.95</v>
      </c>
      <c r="J18" s="1976">
        <v>7.0000000000000007E-2</v>
      </c>
      <c r="K18" s="1950" t="s">
        <v>103</v>
      </c>
      <c r="L18" s="1947" t="s">
        <v>4016</v>
      </c>
      <c r="M18" s="1754">
        <f t="shared" si="2"/>
        <v>3022.1765</v>
      </c>
      <c r="N18" s="1756">
        <v>1280</v>
      </c>
      <c r="O18" s="1712">
        <f t="shared" si="3"/>
        <v>386.83859200000001</v>
      </c>
      <c r="P18" s="1712">
        <f t="shared" si="4"/>
        <v>1174.31</v>
      </c>
      <c r="Q18" s="1712">
        <f t="shared" si="5"/>
        <v>354.89779099999998</v>
      </c>
      <c r="R18" s="1757">
        <v>0.09</v>
      </c>
      <c r="S18" s="1712">
        <f>O18-Q18</f>
        <v>31.940801000000022</v>
      </c>
      <c r="T18" s="1712">
        <f t="shared" si="0"/>
        <v>82.201834902759643</v>
      </c>
      <c r="U18" s="1712">
        <f t="shared" si="1"/>
        <v>89.600000000000009</v>
      </c>
      <c r="V18" s="1952"/>
      <c r="W18" s="2424"/>
    </row>
    <row r="19" spans="1:23" s="1942" customFormat="1" ht="13" outlineLevel="3">
      <c r="A19" s="1944"/>
      <c r="B19" s="1978" t="s">
        <v>1485</v>
      </c>
      <c r="C19" s="1810"/>
      <c r="D19" s="1979" t="s">
        <v>3366</v>
      </c>
      <c r="E19" s="1980" t="s">
        <v>3367</v>
      </c>
      <c r="F19" s="1981"/>
      <c r="G19" s="1953" t="s">
        <v>4117</v>
      </c>
      <c r="H19" s="1947"/>
      <c r="I19" s="1948"/>
      <c r="J19" s="1949"/>
      <c r="K19" s="1982" t="s">
        <v>101</v>
      </c>
      <c r="L19" s="1947" t="s">
        <v>4112</v>
      </c>
      <c r="M19" s="1754"/>
      <c r="N19" s="1712"/>
      <c r="O19" s="1712">
        <f>SUBTOTAL(9,O20:O21)</f>
        <v>119.678189</v>
      </c>
      <c r="P19" s="1983"/>
      <c r="Q19" s="1712">
        <f>SUBTOTAL(9,Q20:Q21)</f>
        <v>108.854297</v>
      </c>
      <c r="R19" s="1757"/>
      <c r="S19" s="1712">
        <f>SUBTOTAL(9,S20:S21)</f>
        <v>10.823892000000001</v>
      </c>
      <c r="T19" s="1712">
        <f t="shared" si="0"/>
        <v>25.212957582060479</v>
      </c>
      <c r="U19" s="1712">
        <f t="shared" si="1"/>
        <v>27.719999907351543</v>
      </c>
      <c r="V19" s="1952"/>
      <c r="W19" s="2424"/>
    </row>
    <row r="20" spans="1:23" s="1942" customFormat="1" ht="24" outlineLevel="5">
      <c r="A20" s="1813" t="s">
        <v>3070</v>
      </c>
      <c r="B20" s="1985" t="s">
        <v>4017</v>
      </c>
      <c r="C20" s="1828"/>
      <c r="D20" s="1986" t="s">
        <v>1487</v>
      </c>
      <c r="E20" s="1987"/>
      <c r="F20" s="1988" t="s">
        <v>3828</v>
      </c>
      <c r="G20" s="1989" t="s">
        <v>4118</v>
      </c>
      <c r="H20" s="1990" t="s">
        <v>10</v>
      </c>
      <c r="I20" s="1991">
        <f>$E$5</f>
        <v>43173.95</v>
      </c>
      <c r="J20" s="1976">
        <v>0.28000000000000003</v>
      </c>
      <c r="K20" s="1992" t="s">
        <v>101</v>
      </c>
      <c r="L20" s="1990" t="s">
        <v>4018</v>
      </c>
      <c r="M20" s="1991">
        <f t="shared" si="2"/>
        <v>12088.706</v>
      </c>
      <c r="N20" s="1756">
        <v>24</v>
      </c>
      <c r="O20" s="1991">
        <f t="shared" si="3"/>
        <v>29.012893999999999</v>
      </c>
      <c r="P20" s="1991">
        <f t="shared" si="4"/>
        <v>21.24</v>
      </c>
      <c r="Q20" s="1991">
        <f t="shared" si="5"/>
        <v>25.675127</v>
      </c>
      <c r="R20" s="1993">
        <v>0.13</v>
      </c>
      <c r="S20" s="1991">
        <f>O20-Q20</f>
        <v>3.3377669999999995</v>
      </c>
      <c r="T20" s="1991">
        <f t="shared" si="0"/>
        <v>5.9469024724399784</v>
      </c>
      <c r="U20" s="1991">
        <f t="shared" si="1"/>
        <v>6.7199999073515402</v>
      </c>
      <c r="V20" s="1994"/>
      <c r="W20" s="2424"/>
    </row>
    <row r="21" spans="1:23" s="1942" customFormat="1" ht="24" outlineLevel="5">
      <c r="A21" s="1813" t="s">
        <v>3069</v>
      </c>
      <c r="B21" s="1985" t="s">
        <v>4019</v>
      </c>
      <c r="C21" s="1828"/>
      <c r="D21" s="1986" t="s">
        <v>1639</v>
      </c>
      <c r="E21" s="1987"/>
      <c r="F21" s="1988" t="s">
        <v>3342</v>
      </c>
      <c r="G21" s="1989" t="s">
        <v>4116</v>
      </c>
      <c r="H21" s="1990" t="s">
        <v>10</v>
      </c>
      <c r="I21" s="1991">
        <f>$E$5</f>
        <v>43173.95</v>
      </c>
      <c r="J21" s="1976">
        <v>0.6</v>
      </c>
      <c r="K21" s="1992" t="s">
        <v>101</v>
      </c>
      <c r="L21" s="1990" t="s">
        <v>4020</v>
      </c>
      <c r="M21" s="1991">
        <f t="shared" si="2"/>
        <v>25904.37</v>
      </c>
      <c r="N21" s="1756">
        <v>35</v>
      </c>
      <c r="O21" s="1991">
        <f t="shared" si="3"/>
        <v>90.665295</v>
      </c>
      <c r="P21" s="1991">
        <f t="shared" si="4"/>
        <v>32.11</v>
      </c>
      <c r="Q21" s="1991">
        <f t="shared" si="5"/>
        <v>83.179169999999999</v>
      </c>
      <c r="R21" s="1993">
        <v>0.09</v>
      </c>
      <c r="S21" s="1991">
        <f>O21-Q21</f>
        <v>7.4861250000000013</v>
      </c>
      <c r="T21" s="1991">
        <f t="shared" si="0"/>
        <v>19.266055109620499</v>
      </c>
      <c r="U21" s="1991">
        <f t="shared" si="1"/>
        <v>21</v>
      </c>
      <c r="V21" s="1994"/>
      <c r="W21" s="2424"/>
    </row>
    <row r="22" spans="1:23" s="1942" customFormat="1" ht="24" outlineLevel="3">
      <c r="A22" s="1813" t="s">
        <v>3082</v>
      </c>
      <c r="B22" s="1978" t="s">
        <v>1486</v>
      </c>
      <c r="C22" s="1810"/>
      <c r="D22" s="1979" t="s">
        <v>3369</v>
      </c>
      <c r="E22" s="1980" t="s">
        <v>3370</v>
      </c>
      <c r="F22" s="1462" t="s">
        <v>1493</v>
      </c>
      <c r="G22" s="1953" t="s">
        <v>4119</v>
      </c>
      <c r="H22" s="1947" t="s">
        <v>20</v>
      </c>
      <c r="I22" s="1948">
        <f>$E$6</f>
        <v>43173.95</v>
      </c>
      <c r="J22" s="1976">
        <v>1.35</v>
      </c>
      <c r="K22" s="1950" t="s">
        <v>101</v>
      </c>
      <c r="L22" s="1947" t="s">
        <v>4021</v>
      </c>
      <c r="M22" s="1754">
        <f t="shared" si="2"/>
        <v>58284.832499999997</v>
      </c>
      <c r="N22" s="1756">
        <v>130</v>
      </c>
      <c r="O22" s="1712">
        <f t="shared" si="3"/>
        <v>757.70282299999997</v>
      </c>
      <c r="P22" s="1712">
        <f t="shared" si="4"/>
        <v>119.27</v>
      </c>
      <c r="Q22" s="1712">
        <f t="shared" si="5"/>
        <v>695.14020500000004</v>
      </c>
      <c r="R22" s="1757">
        <v>0.09</v>
      </c>
      <c r="S22" s="1712">
        <f>O22-Q22</f>
        <v>62.562617999999929</v>
      </c>
      <c r="T22" s="1712">
        <f t="shared" si="0"/>
        <v>161.00917451379829</v>
      </c>
      <c r="U22" s="1712">
        <f t="shared" si="1"/>
        <v>175.50000011581056</v>
      </c>
      <c r="V22" s="1952"/>
      <c r="W22" s="2424"/>
    </row>
    <row r="23" spans="1:23" s="1942" customFormat="1" ht="13" outlineLevel="3">
      <c r="A23" s="1944"/>
      <c r="B23" s="1978" t="s">
        <v>1640</v>
      </c>
      <c r="C23" s="1810"/>
      <c r="D23" s="1979" t="s">
        <v>386</v>
      </c>
      <c r="E23" s="1980"/>
      <c r="F23" s="1462"/>
      <c r="G23" s="1953" t="s">
        <v>4117</v>
      </c>
      <c r="H23" s="1947"/>
      <c r="I23" s="1948"/>
      <c r="J23" s="1949"/>
      <c r="K23" s="1950"/>
      <c r="L23" s="1947"/>
      <c r="M23" s="1754"/>
      <c r="N23" s="1712"/>
      <c r="O23" s="1712">
        <f>SUBTOTAL(9,O24:O32)</f>
        <v>873.774992</v>
      </c>
      <c r="P23" s="1712"/>
      <c r="Q23" s="1712">
        <f>SUBTOTAL(9,Q24:Q32)</f>
        <v>801.62843300000009</v>
      </c>
      <c r="R23" s="1712"/>
      <c r="S23" s="1712">
        <f>SUBTOTAL(9,S24:S32)</f>
        <v>72.146558999999982</v>
      </c>
      <c r="T23" s="1712">
        <f t="shared" si="0"/>
        <v>185.6741004703068</v>
      </c>
      <c r="U23" s="1712">
        <f t="shared" si="1"/>
        <v>202.38476951958299</v>
      </c>
      <c r="V23" s="1952"/>
    </row>
    <row r="24" spans="1:23" s="1942" customFormat="1" ht="24" outlineLevel="4">
      <c r="A24" s="1813" t="s">
        <v>3069</v>
      </c>
      <c r="B24" s="1978" t="s">
        <v>1642</v>
      </c>
      <c r="C24" s="1810"/>
      <c r="D24" s="1995" t="s">
        <v>3371</v>
      </c>
      <c r="E24" s="1996" t="s">
        <v>3372</v>
      </c>
      <c r="F24" s="1462" t="s">
        <v>3342</v>
      </c>
      <c r="G24" s="1953" t="s">
        <v>4116</v>
      </c>
      <c r="H24" s="1947" t="s">
        <v>10</v>
      </c>
      <c r="I24" s="1712">
        <f>$E$5</f>
        <v>43173.95</v>
      </c>
      <c r="J24" s="1976">
        <v>0.75</v>
      </c>
      <c r="K24" s="1950" t="s">
        <v>101</v>
      </c>
      <c r="L24" s="1947" t="s">
        <v>4022</v>
      </c>
      <c r="M24" s="1754">
        <f t="shared" si="2"/>
        <v>32380.462499999998</v>
      </c>
      <c r="N24" s="1756">
        <v>67.209999999999994</v>
      </c>
      <c r="O24" s="1712">
        <f>ROUND(M24*ROUND(N24,2)/10000,6)</f>
        <v>217.629088</v>
      </c>
      <c r="P24" s="1712">
        <f>IFERROR(ROUND(Q24*10000/M24,2),0)</f>
        <v>61.66</v>
      </c>
      <c r="Q24" s="1712">
        <f>ROUND(O24/(1+R24),6)</f>
        <v>199.65971400000001</v>
      </c>
      <c r="R24" s="1757">
        <v>0.09</v>
      </c>
      <c r="S24" s="1712">
        <f>O24-Q24</f>
        <v>17.969373999999988</v>
      </c>
      <c r="T24" s="1712">
        <f t="shared" si="0"/>
        <v>46.245412801006168</v>
      </c>
      <c r="U24" s="1712">
        <f t="shared" si="1"/>
        <v>50.407499892875215</v>
      </c>
      <c r="V24" s="1952"/>
    </row>
    <row r="25" spans="1:23" s="1942" customFormat="1" ht="13" outlineLevel="4">
      <c r="A25" s="1944"/>
      <c r="B25" s="1978" t="s">
        <v>1490</v>
      </c>
      <c r="C25" s="1810"/>
      <c r="D25" s="1995" t="s">
        <v>3373</v>
      </c>
      <c r="E25" s="1996" t="s">
        <v>3374</v>
      </c>
      <c r="F25" s="1462"/>
      <c r="G25" s="1953" t="s">
        <v>4117</v>
      </c>
      <c r="H25" s="1947"/>
      <c r="I25" s="1948"/>
      <c r="J25" s="1949"/>
      <c r="K25" s="1950"/>
      <c r="L25" s="1947" t="s">
        <v>4023</v>
      </c>
      <c r="M25" s="1754"/>
      <c r="N25" s="1712"/>
      <c r="O25" s="1712">
        <f>SUBTOTAL(9,O26:O27)</f>
        <v>456.199701</v>
      </c>
      <c r="P25" s="1983"/>
      <c r="Q25" s="1712">
        <f>SUBTOTAL(9,Q26:Q27)</f>
        <v>418.531836</v>
      </c>
      <c r="R25" s="1757"/>
      <c r="S25" s="1712">
        <f>SUBTOTAL(9,S26:S27)</f>
        <v>37.667865000000006</v>
      </c>
      <c r="T25" s="1712">
        <f t="shared" si="0"/>
        <v>96.940825659917621</v>
      </c>
      <c r="U25" s="1712">
        <f t="shared" si="1"/>
        <v>105.66549991372112</v>
      </c>
      <c r="V25" s="1952"/>
    </row>
    <row r="26" spans="1:23" s="1942" customFormat="1" ht="24" outlineLevel="5">
      <c r="A26" s="1813" t="s">
        <v>3069</v>
      </c>
      <c r="B26" s="1985" t="s">
        <v>4024</v>
      </c>
      <c r="C26" s="1828"/>
      <c r="D26" s="1998" t="s">
        <v>4025</v>
      </c>
      <c r="E26" s="1999"/>
      <c r="F26" s="1988" t="s">
        <v>3342</v>
      </c>
      <c r="G26" s="1989" t="s">
        <v>4116</v>
      </c>
      <c r="H26" s="1990" t="s">
        <v>10</v>
      </c>
      <c r="I26" s="1991">
        <f>$E$5</f>
        <v>43173.95</v>
      </c>
      <c r="J26" s="1976">
        <v>2.33</v>
      </c>
      <c r="K26" s="1991"/>
      <c r="L26" s="1991" t="s">
        <v>4026</v>
      </c>
      <c r="M26" s="1991">
        <f t="shared" si="2"/>
        <v>100595.30349999999</v>
      </c>
      <c r="N26" s="2001">
        <v>45.35</v>
      </c>
      <c r="O26" s="1991">
        <f t="shared" ref="O26:O32" si="6">ROUND(M26*ROUND(N26,2)/10000,6)</f>
        <v>456.199701</v>
      </c>
      <c r="P26" s="1991">
        <f t="shared" ref="P26:P32" si="7">IFERROR(ROUND(Q26*10000/M26,2),0)</f>
        <v>41.61</v>
      </c>
      <c r="Q26" s="1991">
        <f t="shared" ref="Q26:Q32" si="8">ROUND(O26/(1+R26),6)</f>
        <v>418.531836</v>
      </c>
      <c r="R26" s="1993">
        <v>0.09</v>
      </c>
      <c r="S26" s="1991">
        <f t="shared" ref="S26:S32" si="9">O26-Q26</f>
        <v>37.667865000000006</v>
      </c>
      <c r="T26" s="1991">
        <f t="shared" si="0"/>
        <v>96.940825659917621</v>
      </c>
      <c r="U26" s="1991">
        <f t="shared" si="1"/>
        <v>105.66549991372112</v>
      </c>
      <c r="V26" s="1994"/>
    </row>
    <row r="27" spans="1:23" s="1942" customFormat="1" ht="24" outlineLevel="5">
      <c r="A27" s="1813" t="s">
        <v>3070</v>
      </c>
      <c r="B27" s="1985" t="s">
        <v>4027</v>
      </c>
      <c r="C27" s="1828"/>
      <c r="D27" s="1998" t="s">
        <v>4028</v>
      </c>
      <c r="E27" s="1999"/>
      <c r="F27" s="1988" t="s">
        <v>3829</v>
      </c>
      <c r="G27" s="1989" t="s">
        <v>4120</v>
      </c>
      <c r="H27" s="1990" t="s">
        <v>10</v>
      </c>
      <c r="I27" s="1991">
        <f>$E$5</f>
        <v>43173.95</v>
      </c>
      <c r="J27" s="1976">
        <f>+J26</f>
        <v>2.33</v>
      </c>
      <c r="K27" s="1991"/>
      <c r="L27" s="1991" t="s">
        <v>4029</v>
      </c>
      <c r="M27" s="1991">
        <f t="shared" si="2"/>
        <v>100595.30349999999</v>
      </c>
      <c r="N27" s="1756">
        <v>0</v>
      </c>
      <c r="O27" s="1991">
        <f t="shared" si="6"/>
        <v>0</v>
      </c>
      <c r="P27" s="1991">
        <f t="shared" si="7"/>
        <v>0</v>
      </c>
      <c r="Q27" s="1991">
        <f t="shared" si="8"/>
        <v>0</v>
      </c>
      <c r="R27" s="1993">
        <v>0.13</v>
      </c>
      <c r="S27" s="1991">
        <f t="shared" si="9"/>
        <v>0</v>
      </c>
      <c r="T27" s="1991">
        <f t="shared" si="0"/>
        <v>0</v>
      </c>
      <c r="U27" s="1991">
        <f t="shared" si="1"/>
        <v>0</v>
      </c>
      <c r="V27" s="1994"/>
    </row>
    <row r="28" spans="1:23" s="1942" customFormat="1" ht="24" outlineLevel="4">
      <c r="A28" s="1813" t="s">
        <v>3069</v>
      </c>
      <c r="B28" s="1978" t="s">
        <v>1491</v>
      </c>
      <c r="C28" s="1810"/>
      <c r="D28" s="1995" t="s">
        <v>3375</v>
      </c>
      <c r="E28" s="1996" t="s">
        <v>3376</v>
      </c>
      <c r="F28" s="1462" t="s">
        <v>3342</v>
      </c>
      <c r="G28" s="1953" t="s">
        <v>4116</v>
      </c>
      <c r="H28" s="1947" t="s">
        <v>10</v>
      </c>
      <c r="I28" s="1712">
        <f t="shared" ref="I28:I44" si="10">$E$5</f>
        <v>43173.95</v>
      </c>
      <c r="J28" s="1949">
        <f>0.69</f>
        <v>0.69</v>
      </c>
      <c r="K28" s="1712" t="s">
        <v>101</v>
      </c>
      <c r="L28" s="1712" t="s">
        <v>4030</v>
      </c>
      <c r="M28" s="1712">
        <f t="shared" si="2"/>
        <v>29790.025499999996</v>
      </c>
      <c r="N28" s="1756">
        <v>37.32</v>
      </c>
      <c r="O28" s="1712">
        <f t="shared" si="6"/>
        <v>111.17637499999999</v>
      </c>
      <c r="P28" s="1712">
        <f t="shared" si="7"/>
        <v>34.24</v>
      </c>
      <c r="Q28" s="1712">
        <f t="shared" si="8"/>
        <v>101.996674</v>
      </c>
      <c r="R28" s="1757">
        <v>0.09</v>
      </c>
      <c r="S28" s="1712">
        <f t="shared" si="9"/>
        <v>9.1797009999999943</v>
      </c>
      <c r="T28" s="1712">
        <f t="shared" si="0"/>
        <v>23.624587048440091</v>
      </c>
      <c r="U28" s="1712">
        <f t="shared" si="1"/>
        <v>25.750799961550889</v>
      </c>
      <c r="V28" s="1952"/>
    </row>
    <row r="29" spans="1:23" s="1942" customFormat="1" ht="24" outlineLevel="4">
      <c r="A29" s="1813" t="s">
        <v>3069</v>
      </c>
      <c r="B29" s="1978" t="s">
        <v>1492</v>
      </c>
      <c r="C29" s="1810"/>
      <c r="D29" s="1995" t="s">
        <v>3377</v>
      </c>
      <c r="E29" s="1996" t="s">
        <v>3378</v>
      </c>
      <c r="F29" s="1462" t="s">
        <v>3342</v>
      </c>
      <c r="G29" s="1953" t="s">
        <v>4116</v>
      </c>
      <c r="H29" s="1947" t="s">
        <v>10</v>
      </c>
      <c r="I29" s="1712">
        <f t="shared" si="10"/>
        <v>43173.95</v>
      </c>
      <c r="J29" s="1976">
        <v>0.38</v>
      </c>
      <c r="K29" s="1712" t="s">
        <v>101</v>
      </c>
      <c r="L29" s="1712" t="s">
        <v>4031</v>
      </c>
      <c r="M29" s="1712">
        <f t="shared" si="2"/>
        <v>16406.100999999999</v>
      </c>
      <c r="N29" s="1756">
        <v>20.55</v>
      </c>
      <c r="O29" s="1712">
        <f t="shared" si="6"/>
        <v>33.714537999999997</v>
      </c>
      <c r="P29" s="1712">
        <f t="shared" si="7"/>
        <v>18.850000000000001</v>
      </c>
      <c r="Q29" s="1712">
        <f t="shared" si="8"/>
        <v>30.930769000000002</v>
      </c>
      <c r="R29" s="1757">
        <v>0.09</v>
      </c>
      <c r="S29" s="1712">
        <f t="shared" si="9"/>
        <v>2.7837689999999959</v>
      </c>
      <c r="T29" s="1712">
        <f t="shared" si="0"/>
        <v>7.1642203226714258</v>
      </c>
      <c r="U29" s="1712">
        <f t="shared" si="1"/>
        <v>7.8090001030714111</v>
      </c>
      <c r="V29" s="1952"/>
    </row>
    <row r="30" spans="1:23" s="1942" customFormat="1" ht="24" outlineLevel="4">
      <c r="A30" s="1813" t="s">
        <v>3069</v>
      </c>
      <c r="B30" s="1978" t="s">
        <v>3379</v>
      </c>
      <c r="C30" s="1810"/>
      <c r="D30" s="1995" t="s">
        <v>3380</v>
      </c>
      <c r="E30" s="1996" t="s">
        <v>3381</v>
      </c>
      <c r="F30" s="1462" t="s">
        <v>3342</v>
      </c>
      <c r="G30" s="1953" t="s">
        <v>4116</v>
      </c>
      <c r="H30" s="1947" t="s">
        <v>9</v>
      </c>
      <c r="I30" s="1712">
        <f>$E$4</f>
        <v>2160</v>
      </c>
      <c r="J30" s="1976">
        <v>1.0900000000000001</v>
      </c>
      <c r="K30" s="1712" t="s">
        <v>101</v>
      </c>
      <c r="L30" s="1712" t="s">
        <v>4032</v>
      </c>
      <c r="M30" s="1712">
        <f t="shared" si="2"/>
        <v>2354.4</v>
      </c>
      <c r="N30" s="1756">
        <v>233.84</v>
      </c>
      <c r="O30" s="1712">
        <f t="shared" si="6"/>
        <v>55.055289999999999</v>
      </c>
      <c r="P30" s="1712">
        <f t="shared" si="7"/>
        <v>214.53</v>
      </c>
      <c r="Q30" s="1712">
        <f t="shared" si="8"/>
        <v>50.509439999999998</v>
      </c>
      <c r="R30" s="1757">
        <v>0.09</v>
      </c>
      <c r="S30" s="1712">
        <f t="shared" si="9"/>
        <v>4.5458500000000015</v>
      </c>
      <c r="T30" s="1712">
        <f t="shared" si="0"/>
        <v>11.699054638271457</v>
      </c>
      <c r="U30" s="1712">
        <f t="shared" si="1"/>
        <v>12.751969648364351</v>
      </c>
      <c r="V30" s="1952"/>
    </row>
    <row r="31" spans="1:23" s="1942" customFormat="1" ht="24" outlineLevel="4">
      <c r="A31" s="1813" t="s">
        <v>3069</v>
      </c>
      <c r="B31" s="1978" t="s">
        <v>3382</v>
      </c>
      <c r="C31" s="1810"/>
      <c r="D31" s="1995" t="s">
        <v>3383</v>
      </c>
      <c r="E31" s="1996" t="s">
        <v>3384</v>
      </c>
      <c r="F31" s="1462" t="s">
        <v>3342</v>
      </c>
      <c r="G31" s="1953" t="s">
        <v>4116</v>
      </c>
      <c r="H31" s="1975" t="s">
        <v>3849</v>
      </c>
      <c r="I31" s="1712"/>
      <c r="J31" s="1949"/>
      <c r="K31" s="1950" t="s">
        <v>101</v>
      </c>
      <c r="L31" s="1947" t="s">
        <v>4033</v>
      </c>
      <c r="M31" s="1754">
        <f t="shared" si="2"/>
        <v>0</v>
      </c>
      <c r="N31" s="1712"/>
      <c r="O31" s="1712">
        <f t="shared" si="6"/>
        <v>0</v>
      </c>
      <c r="P31" s="1712">
        <f t="shared" si="7"/>
        <v>0</v>
      </c>
      <c r="Q31" s="1712">
        <f t="shared" si="8"/>
        <v>0</v>
      </c>
      <c r="R31" s="1757">
        <v>0.09</v>
      </c>
      <c r="S31" s="1712">
        <f t="shared" si="9"/>
        <v>0</v>
      </c>
      <c r="T31" s="1712">
        <f t="shared" si="0"/>
        <v>0</v>
      </c>
      <c r="U31" s="1712">
        <f t="shared" si="1"/>
        <v>0</v>
      </c>
      <c r="V31" s="1952"/>
    </row>
    <row r="32" spans="1:23" s="1942" customFormat="1" ht="24" outlineLevel="4">
      <c r="A32" s="1813" t="s">
        <v>3069</v>
      </c>
      <c r="B32" s="1978" t="s">
        <v>3385</v>
      </c>
      <c r="C32" s="1810"/>
      <c r="D32" s="1995" t="s">
        <v>3386</v>
      </c>
      <c r="E32" s="1996" t="s">
        <v>3387</v>
      </c>
      <c r="F32" s="1462" t="s">
        <v>3342</v>
      </c>
      <c r="G32" s="1953" t="s">
        <v>4116</v>
      </c>
      <c r="H32" s="1975" t="s">
        <v>3849</v>
      </c>
      <c r="I32" s="1712"/>
      <c r="J32" s="1949"/>
      <c r="K32" s="1950" t="s">
        <v>101</v>
      </c>
      <c r="L32" s="1947" t="s">
        <v>4034</v>
      </c>
      <c r="M32" s="1754">
        <f t="shared" si="2"/>
        <v>0</v>
      </c>
      <c r="N32" s="1712"/>
      <c r="O32" s="1712">
        <f t="shared" si="6"/>
        <v>0</v>
      </c>
      <c r="P32" s="1712">
        <f t="shared" si="7"/>
        <v>0</v>
      </c>
      <c r="Q32" s="1712">
        <f t="shared" si="8"/>
        <v>0</v>
      </c>
      <c r="R32" s="1757">
        <v>0.09</v>
      </c>
      <c r="S32" s="1712">
        <f t="shared" si="9"/>
        <v>0</v>
      </c>
      <c r="T32" s="1712">
        <f t="shared" si="0"/>
        <v>0</v>
      </c>
      <c r="U32" s="1712">
        <f t="shared" si="1"/>
        <v>0</v>
      </c>
      <c r="V32" s="1952"/>
    </row>
    <row r="33" spans="1:22" s="1942" customFormat="1" ht="13" outlineLevel="3">
      <c r="A33" s="1944"/>
      <c r="B33" s="1978" t="s">
        <v>1647</v>
      </c>
      <c r="C33" s="1810"/>
      <c r="D33" s="1995" t="s">
        <v>3388</v>
      </c>
      <c r="E33" s="1996"/>
      <c r="F33" s="1462"/>
      <c r="G33" s="1953" t="s">
        <v>4117</v>
      </c>
      <c r="H33" s="1947"/>
      <c r="I33" s="1948"/>
      <c r="J33" s="1949"/>
      <c r="K33" s="1950"/>
      <c r="L33" s="1947"/>
      <c r="M33" s="1754"/>
      <c r="N33" s="1712"/>
      <c r="O33" s="1712">
        <f>SUBTOTAL(9,O34:O38)</f>
        <v>1105.2531200000001</v>
      </c>
      <c r="P33" s="2005"/>
      <c r="Q33" s="1712">
        <f>SUBTOTAL(9,Q34:Q38)</f>
        <v>1013.993687</v>
      </c>
      <c r="R33" s="2005"/>
      <c r="S33" s="1712">
        <f>SUBTOTAL(9,S34:S38)</f>
        <v>91.259433000000044</v>
      </c>
      <c r="T33" s="1712">
        <f t="shared" si="0"/>
        <v>234.86238507248009</v>
      </c>
      <c r="U33" s="1712">
        <f t="shared" si="1"/>
        <v>256.00000000000006</v>
      </c>
      <c r="V33" s="1952"/>
    </row>
    <row r="34" spans="1:22" s="1942" customFormat="1" ht="24" outlineLevel="4">
      <c r="A34" s="1813" t="s">
        <v>3069</v>
      </c>
      <c r="B34" s="1978" t="s">
        <v>1649</v>
      </c>
      <c r="C34" s="1810"/>
      <c r="D34" s="1995" t="s">
        <v>1643</v>
      </c>
      <c r="E34" s="1996" t="s">
        <v>3389</v>
      </c>
      <c r="F34" s="1462" t="s">
        <v>3342</v>
      </c>
      <c r="G34" s="1953" t="s">
        <v>4116</v>
      </c>
      <c r="H34" s="1975" t="s">
        <v>10</v>
      </c>
      <c r="I34" s="1712">
        <f t="shared" si="10"/>
        <v>43173.95</v>
      </c>
      <c r="J34" s="1976">
        <v>1</v>
      </c>
      <c r="K34" s="1950" t="s">
        <v>101</v>
      </c>
      <c r="L34" s="1947" t="s">
        <v>10</v>
      </c>
      <c r="M34" s="1754">
        <f t="shared" si="2"/>
        <v>43173.95</v>
      </c>
      <c r="N34" s="2001">
        <v>64</v>
      </c>
      <c r="O34" s="1712">
        <f t="shared" ref="O34:O44" si="11">ROUND(M34*ROUND(N34,2)/10000,6)</f>
        <v>276.31328000000002</v>
      </c>
      <c r="P34" s="1712">
        <f t="shared" ref="P34:P44" si="12">IFERROR(ROUND(Q34*10000/M34,2),0)</f>
        <v>58.72</v>
      </c>
      <c r="Q34" s="1712">
        <f t="shared" ref="Q34:Q44" si="13">ROUND(O34/(1+R34),6)</f>
        <v>253.49842200000001</v>
      </c>
      <c r="R34" s="1757">
        <v>0.09</v>
      </c>
      <c r="S34" s="1712">
        <f t="shared" ref="S34:S44" si="14">O34-Q34</f>
        <v>22.814858000000015</v>
      </c>
      <c r="T34" s="1712">
        <f t="shared" si="0"/>
        <v>58.715596326025306</v>
      </c>
      <c r="U34" s="1712">
        <f t="shared" si="1"/>
        <v>64.000000000000014</v>
      </c>
      <c r="V34" s="1952"/>
    </row>
    <row r="35" spans="1:22" s="1942" customFormat="1" ht="24" outlineLevel="4">
      <c r="A35" s="1813" t="s">
        <v>3069</v>
      </c>
      <c r="B35" s="1978" t="s">
        <v>1494</v>
      </c>
      <c r="C35" s="1810"/>
      <c r="D35" s="1995" t="s">
        <v>1644</v>
      </c>
      <c r="E35" s="1996" t="s">
        <v>3390</v>
      </c>
      <c r="F35" s="1462" t="s">
        <v>3342</v>
      </c>
      <c r="G35" s="1953" t="s">
        <v>4116</v>
      </c>
      <c r="H35" s="1975" t="s">
        <v>10</v>
      </c>
      <c r="I35" s="1712">
        <f t="shared" si="10"/>
        <v>43173.95</v>
      </c>
      <c r="J35" s="1976">
        <v>1</v>
      </c>
      <c r="K35" s="1950" t="s">
        <v>101</v>
      </c>
      <c r="L35" s="1947" t="s">
        <v>10</v>
      </c>
      <c r="M35" s="1754">
        <f t="shared" si="2"/>
        <v>43173.95</v>
      </c>
      <c r="N35" s="2001">
        <v>100</v>
      </c>
      <c r="O35" s="1712">
        <f t="shared" si="11"/>
        <v>431.73950000000002</v>
      </c>
      <c r="P35" s="1712">
        <f t="shared" si="12"/>
        <v>91.74</v>
      </c>
      <c r="Q35" s="1712">
        <f t="shared" si="13"/>
        <v>396.09128399999997</v>
      </c>
      <c r="R35" s="1757">
        <v>0.09</v>
      </c>
      <c r="S35" s="1712">
        <f t="shared" si="14"/>
        <v>35.648216000000048</v>
      </c>
      <c r="T35" s="1712">
        <f t="shared" si="0"/>
        <v>91.743119172556604</v>
      </c>
      <c r="U35" s="1712">
        <f t="shared" si="1"/>
        <v>100</v>
      </c>
      <c r="V35" s="1952"/>
    </row>
    <row r="36" spans="1:22" s="1942" customFormat="1" ht="24" outlineLevel="4">
      <c r="A36" s="1813" t="s">
        <v>3069</v>
      </c>
      <c r="B36" s="1978" t="s">
        <v>1495</v>
      </c>
      <c r="C36" s="1810"/>
      <c r="D36" s="1995" t="s">
        <v>1645</v>
      </c>
      <c r="E36" s="1996" t="s">
        <v>3391</v>
      </c>
      <c r="F36" s="1462" t="s">
        <v>3342</v>
      </c>
      <c r="G36" s="1953" t="s">
        <v>4116</v>
      </c>
      <c r="H36" s="1975" t="s">
        <v>10</v>
      </c>
      <c r="I36" s="1712">
        <f t="shared" si="10"/>
        <v>43173.95</v>
      </c>
      <c r="J36" s="1976">
        <v>1</v>
      </c>
      <c r="K36" s="1950" t="s">
        <v>101</v>
      </c>
      <c r="L36" s="1947" t="s">
        <v>10</v>
      </c>
      <c r="M36" s="1754">
        <f t="shared" si="2"/>
        <v>43173.95</v>
      </c>
      <c r="N36" s="1756">
        <v>1</v>
      </c>
      <c r="O36" s="1712">
        <f t="shared" si="11"/>
        <v>4.3173950000000003</v>
      </c>
      <c r="P36" s="1712">
        <f t="shared" si="12"/>
        <v>0.92</v>
      </c>
      <c r="Q36" s="1712">
        <f t="shared" si="13"/>
        <v>3.9609130000000001</v>
      </c>
      <c r="R36" s="1757">
        <v>0.09</v>
      </c>
      <c r="S36" s="1712">
        <f t="shared" si="14"/>
        <v>0.35648200000000019</v>
      </c>
      <c r="T36" s="1712">
        <f t="shared" si="0"/>
        <v>0.91743122878495031</v>
      </c>
      <c r="U36" s="1712">
        <f t="shared" si="1"/>
        <v>1.0000000000000002</v>
      </c>
      <c r="V36" s="1952"/>
    </row>
    <row r="37" spans="1:22" s="1942" customFormat="1" ht="24" outlineLevel="4">
      <c r="A37" s="1813" t="s">
        <v>3069</v>
      </c>
      <c r="B37" s="1978" t="s">
        <v>3392</v>
      </c>
      <c r="C37" s="1810"/>
      <c r="D37" s="1995" t="s">
        <v>1646</v>
      </c>
      <c r="E37" s="1996" t="s">
        <v>3393</v>
      </c>
      <c r="F37" s="1462" t="s">
        <v>3342</v>
      </c>
      <c r="G37" s="1953" t="s">
        <v>4116</v>
      </c>
      <c r="H37" s="1975" t="s">
        <v>10</v>
      </c>
      <c r="I37" s="1712">
        <f t="shared" si="10"/>
        <v>43173.95</v>
      </c>
      <c r="J37" s="1976">
        <v>1</v>
      </c>
      <c r="K37" s="1950" t="s">
        <v>101</v>
      </c>
      <c r="L37" s="1947" t="s">
        <v>10</v>
      </c>
      <c r="M37" s="1754">
        <f t="shared" si="2"/>
        <v>43173.95</v>
      </c>
      <c r="N37" s="1756">
        <v>61</v>
      </c>
      <c r="O37" s="1712">
        <f t="shared" si="11"/>
        <v>263.36109499999998</v>
      </c>
      <c r="P37" s="1712">
        <f t="shared" si="12"/>
        <v>55.96</v>
      </c>
      <c r="Q37" s="1712">
        <f t="shared" si="13"/>
        <v>241.61568299999999</v>
      </c>
      <c r="R37" s="1757">
        <v>0.09</v>
      </c>
      <c r="S37" s="1712">
        <f t="shared" si="14"/>
        <v>21.745411999999988</v>
      </c>
      <c r="T37" s="1712">
        <f t="shared" si="0"/>
        <v>55.963302639670452</v>
      </c>
      <c r="U37" s="1712">
        <f t="shared" si="1"/>
        <v>61</v>
      </c>
      <c r="V37" s="1952"/>
    </row>
    <row r="38" spans="1:22" s="1942" customFormat="1" ht="24" outlineLevel="4">
      <c r="A38" s="1813" t="s">
        <v>3069</v>
      </c>
      <c r="B38" s="1978" t="s">
        <v>3394</v>
      </c>
      <c r="C38" s="1810"/>
      <c r="D38" s="1995" t="s">
        <v>3395</v>
      </c>
      <c r="E38" s="1996" t="s">
        <v>3396</v>
      </c>
      <c r="F38" s="1462" t="s">
        <v>3342</v>
      </c>
      <c r="G38" s="1953" t="s">
        <v>4116</v>
      </c>
      <c r="H38" s="1975" t="s">
        <v>10</v>
      </c>
      <c r="I38" s="1712">
        <f t="shared" si="10"/>
        <v>43173.95</v>
      </c>
      <c r="J38" s="1976">
        <v>1</v>
      </c>
      <c r="K38" s="1950" t="s">
        <v>101</v>
      </c>
      <c r="L38" s="1947" t="s">
        <v>10</v>
      </c>
      <c r="M38" s="1754">
        <f t="shared" si="2"/>
        <v>43173.95</v>
      </c>
      <c r="N38" s="1756">
        <v>30</v>
      </c>
      <c r="O38" s="1712">
        <f t="shared" si="11"/>
        <v>129.52185</v>
      </c>
      <c r="P38" s="1712">
        <f t="shared" si="12"/>
        <v>27.52</v>
      </c>
      <c r="Q38" s="1712">
        <f t="shared" si="13"/>
        <v>118.82738500000001</v>
      </c>
      <c r="R38" s="1757">
        <v>0.09</v>
      </c>
      <c r="S38" s="1712">
        <f t="shared" si="14"/>
        <v>10.694464999999994</v>
      </c>
      <c r="T38" s="1712">
        <f t="shared" si="0"/>
        <v>27.522935705442755</v>
      </c>
      <c r="U38" s="1712">
        <f t="shared" si="1"/>
        <v>30.000000000000004</v>
      </c>
      <c r="V38" s="1952"/>
    </row>
    <row r="39" spans="1:22" s="1942" customFormat="1" ht="24" outlineLevel="3">
      <c r="A39" s="1813" t="s">
        <v>3069</v>
      </c>
      <c r="B39" s="1978" t="s">
        <v>1653</v>
      </c>
      <c r="C39" s="1810"/>
      <c r="D39" s="1995" t="s">
        <v>3397</v>
      </c>
      <c r="E39" s="1996" t="s">
        <v>3398</v>
      </c>
      <c r="F39" s="1462" t="s">
        <v>3342</v>
      </c>
      <c r="G39" s="1953" t="s">
        <v>4116</v>
      </c>
      <c r="H39" s="1947" t="s">
        <v>10</v>
      </c>
      <c r="I39" s="1712">
        <f t="shared" si="10"/>
        <v>43173.95</v>
      </c>
      <c r="J39" s="1976">
        <v>1</v>
      </c>
      <c r="K39" s="1950" t="s">
        <v>101</v>
      </c>
      <c r="L39" s="1947" t="s">
        <v>4035</v>
      </c>
      <c r="M39" s="1754">
        <f t="shared" si="2"/>
        <v>43173.95</v>
      </c>
      <c r="N39" s="1756"/>
      <c r="O39" s="1712">
        <f t="shared" si="11"/>
        <v>0</v>
      </c>
      <c r="P39" s="1712">
        <f t="shared" si="12"/>
        <v>0</v>
      </c>
      <c r="Q39" s="1712">
        <f t="shared" si="13"/>
        <v>0</v>
      </c>
      <c r="R39" s="1757">
        <v>0.09</v>
      </c>
      <c r="S39" s="1712">
        <f t="shared" si="14"/>
        <v>0</v>
      </c>
      <c r="T39" s="1712">
        <f t="shared" si="0"/>
        <v>0</v>
      </c>
      <c r="U39" s="1712">
        <f t="shared" si="1"/>
        <v>0</v>
      </c>
      <c r="V39" s="1952"/>
    </row>
    <row r="40" spans="1:22" s="1942" customFormat="1" ht="24" outlineLevel="3">
      <c r="A40" s="1813" t="s">
        <v>3069</v>
      </c>
      <c r="B40" s="1978" t="s">
        <v>1655</v>
      </c>
      <c r="C40" s="1810"/>
      <c r="D40" s="1995" t="s">
        <v>1656</v>
      </c>
      <c r="E40" s="1996" t="s">
        <v>3399</v>
      </c>
      <c r="F40" s="1462" t="s">
        <v>1606</v>
      </c>
      <c r="G40" s="1953" t="s">
        <v>4121</v>
      </c>
      <c r="H40" s="1947" t="s">
        <v>10</v>
      </c>
      <c r="I40" s="1712">
        <f t="shared" si="10"/>
        <v>43173.95</v>
      </c>
      <c r="J40" s="1949"/>
      <c r="K40" s="1950" t="s">
        <v>101</v>
      </c>
      <c r="L40" s="1947" t="s">
        <v>10</v>
      </c>
      <c r="M40" s="1754">
        <f t="shared" si="2"/>
        <v>0</v>
      </c>
      <c r="N40" s="1712"/>
      <c r="O40" s="1712">
        <f t="shared" si="11"/>
        <v>0</v>
      </c>
      <c r="P40" s="1712">
        <f t="shared" si="12"/>
        <v>0</v>
      </c>
      <c r="Q40" s="1712">
        <f t="shared" si="13"/>
        <v>0</v>
      </c>
      <c r="R40" s="1757">
        <v>0.09</v>
      </c>
      <c r="S40" s="1712">
        <f t="shared" si="14"/>
        <v>0</v>
      </c>
      <c r="T40" s="1712">
        <f t="shared" si="0"/>
        <v>0</v>
      </c>
      <c r="U40" s="1712">
        <f t="shared" si="1"/>
        <v>0</v>
      </c>
      <c r="V40" s="1952"/>
    </row>
    <row r="41" spans="1:22" s="1942" customFormat="1" outlineLevel="3">
      <c r="A41" s="1813" t="s">
        <v>3071</v>
      </c>
      <c r="B41" s="1978" t="s">
        <v>1657</v>
      </c>
      <c r="C41" s="1810"/>
      <c r="D41" s="1995" t="s">
        <v>3400</v>
      </c>
      <c r="E41" s="1996" t="s">
        <v>3401</v>
      </c>
      <c r="F41" s="1462" t="s">
        <v>3342</v>
      </c>
      <c r="G41" s="1953" t="s">
        <v>4116</v>
      </c>
      <c r="H41" s="1975" t="s">
        <v>10</v>
      </c>
      <c r="I41" s="1712">
        <f t="shared" si="10"/>
        <v>43173.95</v>
      </c>
      <c r="J41" s="1976">
        <v>1</v>
      </c>
      <c r="K41" s="1950" t="s">
        <v>101</v>
      </c>
      <c r="L41" s="1947" t="s">
        <v>10</v>
      </c>
      <c r="M41" s="1754">
        <f t="shared" si="2"/>
        <v>43173.95</v>
      </c>
      <c r="N41" s="1756">
        <v>338</v>
      </c>
      <c r="O41" s="1712">
        <f t="shared" si="11"/>
        <v>1459.2795100000001</v>
      </c>
      <c r="P41" s="1712">
        <f t="shared" si="12"/>
        <v>310.08999999999997</v>
      </c>
      <c r="Q41" s="1712">
        <f t="shared" si="13"/>
        <v>1338.7885409999999</v>
      </c>
      <c r="R41" s="1757">
        <v>0.09</v>
      </c>
      <c r="S41" s="1712">
        <f t="shared" si="14"/>
        <v>120.49096900000018</v>
      </c>
      <c r="T41" s="1712">
        <f t="shared" si="0"/>
        <v>310.09174305339212</v>
      </c>
      <c r="U41" s="1712">
        <f t="shared" si="1"/>
        <v>338.00000000000006</v>
      </c>
      <c r="V41" s="1952"/>
    </row>
    <row r="42" spans="1:22" s="1942" customFormat="1" ht="24" outlineLevel="3">
      <c r="A42" s="1813" t="s">
        <v>3069</v>
      </c>
      <c r="B42" s="1978" t="s">
        <v>1659</v>
      </c>
      <c r="C42" s="1810"/>
      <c r="D42" s="1995" t="s">
        <v>3403</v>
      </c>
      <c r="E42" s="1996" t="s">
        <v>3404</v>
      </c>
      <c r="F42" s="1462" t="s">
        <v>3342</v>
      </c>
      <c r="G42" s="1953" t="s">
        <v>4116</v>
      </c>
      <c r="H42" s="1975" t="s">
        <v>10</v>
      </c>
      <c r="I42" s="1712">
        <f t="shared" si="10"/>
        <v>43173.95</v>
      </c>
      <c r="J42" s="1976">
        <v>1</v>
      </c>
      <c r="K42" s="1950" t="s">
        <v>101</v>
      </c>
      <c r="L42" s="1947" t="s">
        <v>10</v>
      </c>
      <c r="M42" s="1754">
        <f t="shared" si="2"/>
        <v>43173.95</v>
      </c>
      <c r="N42" s="1756">
        <v>65</v>
      </c>
      <c r="O42" s="1712">
        <f t="shared" si="11"/>
        <v>280.630675</v>
      </c>
      <c r="P42" s="1712">
        <f t="shared" si="12"/>
        <v>59.63</v>
      </c>
      <c r="Q42" s="1712">
        <f t="shared" si="13"/>
        <v>257.45933500000001</v>
      </c>
      <c r="R42" s="1757">
        <v>0.09</v>
      </c>
      <c r="S42" s="1712">
        <f t="shared" si="14"/>
        <v>23.171339999999987</v>
      </c>
      <c r="T42" s="1712">
        <f t="shared" si="0"/>
        <v>59.633027554810255</v>
      </c>
      <c r="U42" s="1712">
        <f t="shared" si="1"/>
        <v>65</v>
      </c>
      <c r="V42" s="1952"/>
    </row>
    <row r="43" spans="1:22" s="1942" customFormat="1" ht="24" outlineLevel="3">
      <c r="A43" s="1813" t="s">
        <v>3069</v>
      </c>
      <c r="B43" s="1978" t="s">
        <v>1497</v>
      </c>
      <c r="C43" s="1810"/>
      <c r="D43" s="1995" t="s">
        <v>3405</v>
      </c>
      <c r="E43" s="1996"/>
      <c r="F43" s="1462" t="s">
        <v>1424</v>
      </c>
      <c r="G43" s="1953" t="s">
        <v>4123</v>
      </c>
      <c r="H43" s="1975" t="s">
        <v>10</v>
      </c>
      <c r="I43" s="1712">
        <f t="shared" si="10"/>
        <v>43173.95</v>
      </c>
      <c r="J43" s="1949"/>
      <c r="K43" s="1950" t="s">
        <v>101</v>
      </c>
      <c r="L43" s="1947" t="s">
        <v>10</v>
      </c>
      <c r="M43" s="1754">
        <f t="shared" si="2"/>
        <v>0</v>
      </c>
      <c r="N43" s="1712"/>
      <c r="O43" s="1712">
        <f t="shared" si="11"/>
        <v>0</v>
      </c>
      <c r="P43" s="1712">
        <f t="shared" si="12"/>
        <v>0</v>
      </c>
      <c r="Q43" s="1712">
        <f t="shared" si="13"/>
        <v>0</v>
      </c>
      <c r="R43" s="1757">
        <v>0.06</v>
      </c>
      <c r="S43" s="1712">
        <f t="shared" si="14"/>
        <v>0</v>
      </c>
      <c r="T43" s="1712">
        <f t="shared" si="0"/>
        <v>0</v>
      </c>
      <c r="U43" s="1712">
        <f t="shared" si="1"/>
        <v>0</v>
      </c>
      <c r="V43" s="1952"/>
    </row>
    <row r="44" spans="1:22" s="1942" customFormat="1" ht="24" outlineLevel="2">
      <c r="A44" s="1813" t="s">
        <v>3069</v>
      </c>
      <c r="B44" s="1820" t="s">
        <v>3406</v>
      </c>
      <c r="C44" s="1810"/>
      <c r="D44" s="1995" t="s">
        <v>3407</v>
      </c>
      <c r="E44" s="1996" t="s">
        <v>3408</v>
      </c>
      <c r="F44" s="1462" t="s">
        <v>3342</v>
      </c>
      <c r="G44" s="1953" t="s">
        <v>4116</v>
      </c>
      <c r="H44" s="1975" t="s">
        <v>10</v>
      </c>
      <c r="I44" s="1712">
        <f t="shared" si="10"/>
        <v>43173.95</v>
      </c>
      <c r="J44" s="1949"/>
      <c r="K44" s="1950" t="s">
        <v>101</v>
      </c>
      <c r="L44" s="1947" t="s">
        <v>10</v>
      </c>
      <c r="M44" s="1754">
        <f t="shared" si="2"/>
        <v>0</v>
      </c>
      <c r="N44" s="1712"/>
      <c r="O44" s="1712">
        <f t="shared" si="11"/>
        <v>0</v>
      </c>
      <c r="P44" s="1712">
        <f t="shared" si="12"/>
        <v>0</v>
      </c>
      <c r="Q44" s="1712">
        <f t="shared" si="13"/>
        <v>0</v>
      </c>
      <c r="R44" s="1757">
        <v>0.09</v>
      </c>
      <c r="S44" s="1712">
        <f t="shared" si="14"/>
        <v>0</v>
      </c>
      <c r="T44" s="1712">
        <f t="shared" si="0"/>
        <v>0</v>
      </c>
      <c r="U44" s="1712">
        <f t="shared" si="1"/>
        <v>0</v>
      </c>
      <c r="V44" s="1952"/>
    </row>
    <row r="45" spans="1:22" outlineLevel="1">
      <c r="B45" s="1965" t="s">
        <v>490</v>
      </c>
      <c r="C45" s="1852">
        <v>2</v>
      </c>
      <c r="D45" s="1966" t="s">
        <v>491</v>
      </c>
      <c r="E45" s="1967"/>
      <c r="F45" s="1968"/>
      <c r="G45" s="2007" t="s">
        <v>4117</v>
      </c>
      <c r="H45" s="1967"/>
      <c r="I45" s="1969"/>
      <c r="J45" s="1970"/>
      <c r="K45" s="1971"/>
      <c r="L45" s="1967"/>
      <c r="M45" s="1972"/>
      <c r="N45" s="1973"/>
      <c r="O45" s="1973">
        <f>SUBTOTAL(9,O46:O99)</f>
        <v>1897.1349640000003</v>
      </c>
      <c r="P45" s="1973"/>
      <c r="Q45" s="1973">
        <f>SUBTOTAL(9,Q46:Q99)</f>
        <v>1718.278748</v>
      </c>
      <c r="R45" s="1973"/>
      <c r="S45" s="1973">
        <f>SUBTOTAL(9,S46:S99)</f>
        <v>178.8562159999999</v>
      </c>
      <c r="T45" s="1973">
        <f t="shared" si="0"/>
        <v>397.98970166037628</v>
      </c>
      <c r="U45" s="1973">
        <f t="shared" si="1"/>
        <v>439.41658430604576</v>
      </c>
      <c r="V45" s="1974"/>
    </row>
    <row r="46" spans="1:22" s="1942" customFormat="1" ht="13" outlineLevel="2">
      <c r="A46" s="1944"/>
      <c r="B46" s="1820" t="s">
        <v>661</v>
      </c>
      <c r="C46" s="1808"/>
      <c r="D46" s="1945" t="s">
        <v>3409</v>
      </c>
      <c r="E46" s="1946"/>
      <c r="F46" s="1462"/>
      <c r="G46" s="1953" t="s">
        <v>4117</v>
      </c>
      <c r="H46" s="1947"/>
      <c r="I46" s="1948"/>
      <c r="J46" s="1949"/>
      <c r="K46" s="1950"/>
      <c r="L46" s="1947"/>
      <c r="M46" s="1754"/>
      <c r="N46" s="1712"/>
      <c r="O46" s="1712">
        <f>SUBTOTAL(9,O47:O55)</f>
        <v>243.93281899999999</v>
      </c>
      <c r="P46" s="1983"/>
      <c r="Q46" s="1712">
        <f>SUBTOTAL(9,Q47:Q55)</f>
        <v>222.38948399999998</v>
      </c>
      <c r="R46" s="1757"/>
      <c r="S46" s="1712">
        <f>SUBTOTAL(9,S47:S55)</f>
        <v>21.543334999999995</v>
      </c>
      <c r="T46" s="1712">
        <f t="shared" si="0"/>
        <v>51.510108294469234</v>
      </c>
      <c r="U46" s="1712">
        <f t="shared" si="1"/>
        <v>56.50000034743173</v>
      </c>
      <c r="V46" s="1952"/>
    </row>
    <row r="47" spans="1:22" s="1942" customFormat="1" ht="24" outlineLevel="3">
      <c r="A47" s="1813" t="s">
        <v>3069</v>
      </c>
      <c r="B47" s="1978" t="s">
        <v>662</v>
      </c>
      <c r="C47" s="1810"/>
      <c r="D47" s="1979" t="s">
        <v>3410</v>
      </c>
      <c r="E47" s="1980" t="s">
        <v>3411</v>
      </c>
      <c r="F47" s="1462" t="s">
        <v>3342</v>
      </c>
      <c r="G47" s="1953" t="s">
        <v>4116</v>
      </c>
      <c r="H47" s="1975" t="s">
        <v>10</v>
      </c>
      <c r="I47" s="1712">
        <f>$E$5</f>
        <v>43173.95</v>
      </c>
      <c r="J47" s="1976">
        <v>1</v>
      </c>
      <c r="K47" s="1950" t="s">
        <v>101</v>
      </c>
      <c r="L47" s="1947" t="s">
        <v>10</v>
      </c>
      <c r="M47" s="1754">
        <f>ROUND(I47,2)*ROUND(J47,4)</f>
        <v>43173.95</v>
      </c>
      <c r="N47" s="1756">
        <v>11.5</v>
      </c>
      <c r="O47" s="1712">
        <f>ROUND(M47*ROUND(N47,2)/10000,6)</f>
        <v>49.650042999999997</v>
      </c>
      <c r="P47" s="1712">
        <f>IFERROR(ROUND(Q47*10000/M47,2),0)</f>
        <v>10.55</v>
      </c>
      <c r="Q47" s="1712">
        <f>ROUND(O47/(1+R47),6)</f>
        <v>45.550497999999997</v>
      </c>
      <c r="R47" s="1757">
        <v>0.09</v>
      </c>
      <c r="S47" s="1712">
        <f>O47-Q47</f>
        <v>4.0995449999999991</v>
      </c>
      <c r="T47" s="1712">
        <f t="shared" si="0"/>
        <v>10.5504587835952</v>
      </c>
      <c r="U47" s="1712">
        <f t="shared" si="1"/>
        <v>11.500000115810575</v>
      </c>
      <c r="V47" s="1952"/>
    </row>
    <row r="48" spans="1:22" s="1942" customFormat="1" ht="24" outlineLevel="3">
      <c r="A48" s="1813" t="s">
        <v>3069</v>
      </c>
      <c r="B48" s="1978" t="s">
        <v>664</v>
      </c>
      <c r="C48" s="1810"/>
      <c r="D48" s="2008" t="s">
        <v>3412</v>
      </c>
      <c r="E48" s="2009" t="s">
        <v>3413</v>
      </c>
      <c r="F48" s="1462" t="s">
        <v>3342</v>
      </c>
      <c r="G48" s="1953" t="s">
        <v>4116</v>
      </c>
      <c r="H48" s="1975" t="s">
        <v>10</v>
      </c>
      <c r="I48" s="1712">
        <f>$E$5</f>
        <v>43173.95</v>
      </c>
      <c r="J48" s="1976">
        <v>1</v>
      </c>
      <c r="K48" s="1950" t="s">
        <v>101</v>
      </c>
      <c r="L48" s="1947" t="s">
        <v>10</v>
      </c>
      <c r="M48" s="1754">
        <f>ROUND(I48,2)*ROUND(J48,4)</f>
        <v>43173.95</v>
      </c>
      <c r="N48" s="1756">
        <v>7.5</v>
      </c>
      <c r="O48" s="1712">
        <f>ROUND(M48*ROUND(N48,2)/10000,6)</f>
        <v>32.380462999999999</v>
      </c>
      <c r="P48" s="1712">
        <f>IFERROR(ROUND(Q48*10000/M48,2),0)</f>
        <v>6.88</v>
      </c>
      <c r="Q48" s="1712">
        <f>ROUND(O48/(1+R48),6)</f>
        <v>29.706847</v>
      </c>
      <c r="R48" s="1757">
        <v>0.09</v>
      </c>
      <c r="S48" s="1712">
        <f>O48-Q48</f>
        <v>2.6736159999999991</v>
      </c>
      <c r="T48" s="1712">
        <f t="shared" si="0"/>
        <v>6.880734100076551</v>
      </c>
      <c r="U48" s="1712">
        <f t="shared" si="1"/>
        <v>7.5000001158105762</v>
      </c>
      <c r="V48" s="1952"/>
    </row>
    <row r="49" spans="1:22" s="1942" customFormat="1" ht="13" outlineLevel="3">
      <c r="A49" s="1944"/>
      <c r="B49" s="1978" t="s">
        <v>665</v>
      </c>
      <c r="C49" s="1810"/>
      <c r="D49" s="2008" t="s">
        <v>3414</v>
      </c>
      <c r="E49" s="2009" t="s">
        <v>3415</v>
      </c>
      <c r="F49" s="1462"/>
      <c r="G49" s="1953" t="s">
        <v>4117</v>
      </c>
      <c r="H49" s="1975"/>
      <c r="I49" s="1948"/>
      <c r="J49" s="1949"/>
      <c r="K49" s="1950" t="s">
        <v>101</v>
      </c>
      <c r="L49" s="1947" t="s">
        <v>10</v>
      </c>
      <c r="M49" s="1754"/>
      <c r="N49" s="1712"/>
      <c r="O49" s="1712">
        <f>SUBTOTAL(9,O50:O51)</f>
        <v>105.776178</v>
      </c>
      <c r="P49" s="1983"/>
      <c r="Q49" s="1712">
        <f>SUBTOTAL(9,Q50:Q51)</f>
        <v>97.042365000000004</v>
      </c>
      <c r="R49" s="1757"/>
      <c r="S49" s="1712">
        <f>SUBTOTAL(9,S50:S51)</f>
        <v>8.7338129999999978</v>
      </c>
      <c r="T49" s="1712">
        <f t="shared" si="0"/>
        <v>22.477064294557252</v>
      </c>
      <c r="U49" s="1712">
        <f t="shared" si="1"/>
        <v>24.500000115810579</v>
      </c>
      <c r="V49" s="1952"/>
    </row>
    <row r="50" spans="1:22" s="1942" customFormat="1" ht="24" outlineLevel="4">
      <c r="A50" s="1813" t="s">
        <v>3069</v>
      </c>
      <c r="B50" s="1985" t="s">
        <v>1666</v>
      </c>
      <c r="C50" s="1828"/>
      <c r="D50" s="2010" t="s">
        <v>4036</v>
      </c>
      <c r="E50" s="2011"/>
      <c r="F50" s="1988" t="s">
        <v>3342</v>
      </c>
      <c r="G50" s="1989" t="s">
        <v>4116</v>
      </c>
      <c r="H50" s="2012" t="s">
        <v>10</v>
      </c>
      <c r="I50" s="1991">
        <f>$E$5</f>
        <v>43173.95</v>
      </c>
      <c r="J50" s="2095">
        <v>1</v>
      </c>
      <c r="K50" s="2000" t="s">
        <v>101</v>
      </c>
      <c r="L50" s="1990" t="s">
        <v>10</v>
      </c>
      <c r="M50" s="1991">
        <f t="shared" ref="M50:M57" si="15">ROUND(I50,2)*ROUND(J50,4)</f>
        <v>43173.95</v>
      </c>
      <c r="N50" s="1756">
        <v>24.5</v>
      </c>
      <c r="O50" s="1991">
        <f t="shared" ref="O50:O55" si="16">ROUND(M50*ROUND(N50,2)/10000,6)</f>
        <v>105.776178</v>
      </c>
      <c r="P50" s="1991">
        <f t="shared" ref="P50:P55" si="17">IFERROR(ROUND(Q50*10000/M50,2),0)</f>
        <v>22.48</v>
      </c>
      <c r="Q50" s="1991">
        <f t="shared" ref="Q50:Q55" si="18">ROUND(O50/(1+R50),6)</f>
        <v>97.042365000000004</v>
      </c>
      <c r="R50" s="1993">
        <v>0.09</v>
      </c>
      <c r="S50" s="1991">
        <f t="shared" ref="S50:S55" si="19">O50-Q50</f>
        <v>8.7338129999999978</v>
      </c>
      <c r="T50" s="1991">
        <f t="shared" si="0"/>
        <v>22.477064294557252</v>
      </c>
      <c r="U50" s="1991">
        <f t="shared" si="1"/>
        <v>24.500000115810579</v>
      </c>
      <c r="V50" s="1994"/>
    </row>
    <row r="51" spans="1:22" s="1942" customFormat="1" ht="24" outlineLevel="4">
      <c r="A51" s="1813" t="s">
        <v>3069</v>
      </c>
      <c r="B51" s="1985" t="s">
        <v>1507</v>
      </c>
      <c r="C51" s="1828"/>
      <c r="D51" s="2013" t="s">
        <v>4037</v>
      </c>
      <c r="E51" s="2011"/>
      <c r="F51" s="1988" t="s">
        <v>3833</v>
      </c>
      <c r="G51" s="1989" t="s">
        <v>4124</v>
      </c>
      <c r="H51" s="2012" t="s">
        <v>10</v>
      </c>
      <c r="I51" s="1991">
        <f>$E$5</f>
        <v>43173.95</v>
      </c>
      <c r="J51" s="2096">
        <v>1</v>
      </c>
      <c r="K51" s="2000" t="s">
        <v>101</v>
      </c>
      <c r="L51" s="1990" t="s">
        <v>10</v>
      </c>
      <c r="M51" s="1991">
        <f t="shared" si="15"/>
        <v>43173.95</v>
      </c>
      <c r="N51" s="1991"/>
      <c r="O51" s="1991">
        <f t="shared" si="16"/>
        <v>0</v>
      </c>
      <c r="P51" s="1991">
        <f t="shared" si="17"/>
        <v>0</v>
      </c>
      <c r="Q51" s="1991">
        <f t="shared" si="18"/>
        <v>0</v>
      </c>
      <c r="R51" s="1993">
        <v>0.13</v>
      </c>
      <c r="S51" s="1991">
        <f t="shared" si="19"/>
        <v>0</v>
      </c>
      <c r="T51" s="1991">
        <f t="shared" si="0"/>
        <v>0</v>
      </c>
      <c r="U51" s="1991">
        <f t="shared" si="1"/>
        <v>0</v>
      </c>
      <c r="V51" s="1994"/>
    </row>
    <row r="52" spans="1:22" s="1942" customFormat="1" ht="24" outlineLevel="3">
      <c r="A52" s="1813" t="s">
        <v>3070</v>
      </c>
      <c r="B52" s="1978" t="s">
        <v>666</v>
      </c>
      <c r="C52" s="1810"/>
      <c r="D52" s="2008" t="s">
        <v>3416</v>
      </c>
      <c r="E52" s="2009" t="s">
        <v>3417</v>
      </c>
      <c r="F52" s="1462" t="s">
        <v>3418</v>
      </c>
      <c r="G52" s="1953" t="s">
        <v>4125</v>
      </c>
      <c r="H52" s="1975" t="s">
        <v>3926</v>
      </c>
      <c r="I52" s="1712">
        <f>$G$7</f>
        <v>480</v>
      </c>
      <c r="J52" s="1949">
        <v>1</v>
      </c>
      <c r="K52" s="1950" t="s">
        <v>3947</v>
      </c>
      <c r="L52" s="1947" t="s">
        <v>3926</v>
      </c>
      <c r="M52" s="1754">
        <f t="shared" si="15"/>
        <v>480</v>
      </c>
      <c r="N52" s="1712"/>
      <c r="O52" s="1712">
        <f t="shared" si="16"/>
        <v>0</v>
      </c>
      <c r="P52" s="1712">
        <f t="shared" si="17"/>
        <v>0</v>
      </c>
      <c r="Q52" s="1712">
        <f t="shared" si="18"/>
        <v>0</v>
      </c>
      <c r="R52" s="1757">
        <v>0.13</v>
      </c>
      <c r="S52" s="1712">
        <f t="shared" si="19"/>
        <v>0</v>
      </c>
      <c r="T52" s="1712">
        <f t="shared" si="0"/>
        <v>0</v>
      </c>
      <c r="U52" s="1712">
        <f t="shared" si="1"/>
        <v>0</v>
      </c>
      <c r="V52" s="1952"/>
    </row>
    <row r="53" spans="1:22" s="1942" customFormat="1" ht="24" outlineLevel="3">
      <c r="A53" s="1813" t="s">
        <v>3070</v>
      </c>
      <c r="B53" s="1978" t="s">
        <v>3419</v>
      </c>
      <c r="C53" s="1810"/>
      <c r="D53" s="2008" t="s">
        <v>3420</v>
      </c>
      <c r="E53" s="2009" t="s">
        <v>3421</v>
      </c>
      <c r="F53" s="1462" t="s">
        <v>3422</v>
      </c>
      <c r="G53" s="1953" t="s">
        <v>4126</v>
      </c>
      <c r="H53" s="1975" t="s">
        <v>10</v>
      </c>
      <c r="I53" s="1712">
        <f>$E$5</f>
        <v>43173.95</v>
      </c>
      <c r="J53" s="1976">
        <v>1</v>
      </c>
      <c r="K53" s="1950" t="s">
        <v>101</v>
      </c>
      <c r="L53" s="1947" t="s">
        <v>10</v>
      </c>
      <c r="M53" s="1754">
        <f t="shared" si="15"/>
        <v>43173.95</v>
      </c>
      <c r="N53" s="1756">
        <v>10</v>
      </c>
      <c r="O53" s="1712">
        <f t="shared" si="16"/>
        <v>43.173949999999998</v>
      </c>
      <c r="P53" s="1712">
        <f t="shared" si="17"/>
        <v>8.85</v>
      </c>
      <c r="Q53" s="1712">
        <f t="shared" si="18"/>
        <v>38.207034999999998</v>
      </c>
      <c r="R53" s="1757">
        <v>0.13</v>
      </c>
      <c r="S53" s="1712">
        <f t="shared" si="19"/>
        <v>4.9669150000000002</v>
      </c>
      <c r="T53" s="1712">
        <f t="shared" si="0"/>
        <v>8.8495574298853832</v>
      </c>
      <c r="U53" s="1712">
        <f t="shared" si="1"/>
        <v>10</v>
      </c>
      <c r="V53" s="1952"/>
    </row>
    <row r="54" spans="1:22" s="1942" customFormat="1" ht="24" outlineLevel="3">
      <c r="A54" s="1813" t="s">
        <v>3069</v>
      </c>
      <c r="B54" s="1978" t="s">
        <v>3423</v>
      </c>
      <c r="C54" s="1810"/>
      <c r="D54" s="2008" t="s">
        <v>3424</v>
      </c>
      <c r="E54" s="2009" t="s">
        <v>3425</v>
      </c>
      <c r="F54" s="1462" t="s">
        <v>3342</v>
      </c>
      <c r="G54" s="1953" t="s">
        <v>4116</v>
      </c>
      <c r="H54" s="1975" t="s">
        <v>10</v>
      </c>
      <c r="I54" s="1712">
        <f t="shared" ref="I54:I66" si="20">$E$5</f>
        <v>43173.95</v>
      </c>
      <c r="J54" s="1976">
        <v>1</v>
      </c>
      <c r="K54" s="1950" t="s">
        <v>101</v>
      </c>
      <c r="L54" s="1947" t="s">
        <v>10</v>
      </c>
      <c r="M54" s="1754">
        <f t="shared" si="15"/>
        <v>43173.95</v>
      </c>
      <c r="N54" s="1756">
        <v>3</v>
      </c>
      <c r="O54" s="1712">
        <f t="shared" si="16"/>
        <v>12.952185</v>
      </c>
      <c r="P54" s="1712">
        <f t="shared" si="17"/>
        <v>2.75</v>
      </c>
      <c r="Q54" s="1712">
        <f t="shared" si="18"/>
        <v>11.882739000000001</v>
      </c>
      <c r="R54" s="1757">
        <v>0.09</v>
      </c>
      <c r="S54" s="1712">
        <f t="shared" si="19"/>
        <v>1.0694459999999992</v>
      </c>
      <c r="T54" s="1712">
        <f t="shared" si="0"/>
        <v>2.7522936863548511</v>
      </c>
      <c r="U54" s="1712">
        <f t="shared" si="1"/>
        <v>3.0000000000000004</v>
      </c>
      <c r="V54" s="1952"/>
    </row>
    <row r="55" spans="1:22" s="1942" customFormat="1" ht="24" outlineLevel="3">
      <c r="A55" s="1813" t="s">
        <v>3069</v>
      </c>
      <c r="B55" s="1978" t="s">
        <v>3426</v>
      </c>
      <c r="C55" s="1810"/>
      <c r="D55" s="2008" t="s">
        <v>3427</v>
      </c>
      <c r="E55" s="2009" t="s">
        <v>3428</v>
      </c>
      <c r="F55" s="1462" t="s">
        <v>3342</v>
      </c>
      <c r="G55" s="1953" t="s">
        <v>4116</v>
      </c>
      <c r="H55" s="1975" t="s">
        <v>10</v>
      </c>
      <c r="I55" s="1712">
        <f t="shared" si="20"/>
        <v>43173.95</v>
      </c>
      <c r="J55" s="1949"/>
      <c r="K55" s="1950" t="s">
        <v>101</v>
      </c>
      <c r="L55" s="1947" t="s">
        <v>10</v>
      </c>
      <c r="M55" s="1754">
        <f t="shared" si="15"/>
        <v>0</v>
      </c>
      <c r="N55" s="1712"/>
      <c r="O55" s="1712">
        <f t="shared" si="16"/>
        <v>0</v>
      </c>
      <c r="P55" s="1712">
        <f t="shared" si="17"/>
        <v>0</v>
      </c>
      <c r="Q55" s="1712">
        <f t="shared" si="18"/>
        <v>0</v>
      </c>
      <c r="R55" s="1757">
        <v>0.13</v>
      </c>
      <c r="S55" s="1712">
        <f t="shared" si="19"/>
        <v>0</v>
      </c>
      <c r="T55" s="1712">
        <f t="shared" si="0"/>
        <v>0</v>
      </c>
      <c r="U55" s="1712">
        <f t="shared" si="1"/>
        <v>0</v>
      </c>
      <c r="V55" s="2015"/>
    </row>
    <row r="56" spans="1:22" s="1942" customFormat="1" ht="13" outlineLevel="2">
      <c r="A56" s="1944"/>
      <c r="B56" s="1820" t="s">
        <v>670</v>
      </c>
      <c r="C56" s="1808"/>
      <c r="D56" s="1945" t="s">
        <v>3429</v>
      </c>
      <c r="E56" s="1946"/>
      <c r="F56" s="1462"/>
      <c r="G56" s="1953" t="s">
        <v>4117</v>
      </c>
      <c r="H56" s="1947"/>
      <c r="I56" s="1948"/>
      <c r="J56" s="1949"/>
      <c r="K56" s="1950"/>
      <c r="L56" s="1947"/>
      <c r="M56" s="1754"/>
      <c r="N56" s="1712"/>
      <c r="O56" s="1712">
        <f>SUBTOTAL(9,O57:O70)</f>
        <v>744.48944200000005</v>
      </c>
      <c r="P56" s="1983"/>
      <c r="Q56" s="1712">
        <f>SUBTOTAL(9,Q57:Q70)</f>
        <v>673.13167999999996</v>
      </c>
      <c r="R56" s="1757"/>
      <c r="S56" s="1712">
        <f>SUBTOTAL(9,S57:S70)</f>
        <v>71.357762000000008</v>
      </c>
      <c r="T56" s="1712">
        <f t="shared" si="0"/>
        <v>155.91153461751821</v>
      </c>
      <c r="U56" s="1712">
        <f t="shared" si="1"/>
        <v>172.43950159760692</v>
      </c>
      <c r="V56" s="1952"/>
    </row>
    <row r="57" spans="1:22" s="1942" customFormat="1" ht="24" outlineLevel="3">
      <c r="A57" s="1813" t="s">
        <v>3069</v>
      </c>
      <c r="B57" s="1978" t="s">
        <v>671</v>
      </c>
      <c r="C57" s="1810"/>
      <c r="D57" s="2008" t="s">
        <v>3430</v>
      </c>
      <c r="E57" s="2009" t="s">
        <v>3431</v>
      </c>
      <c r="F57" s="1462" t="s">
        <v>3342</v>
      </c>
      <c r="G57" s="1953" t="s">
        <v>4116</v>
      </c>
      <c r="H57" s="1975" t="s">
        <v>10</v>
      </c>
      <c r="I57" s="1712">
        <f t="shared" si="20"/>
        <v>43173.95</v>
      </c>
      <c r="J57" s="1976">
        <v>1</v>
      </c>
      <c r="K57" s="1950" t="s">
        <v>101</v>
      </c>
      <c r="L57" s="1947" t="s">
        <v>10</v>
      </c>
      <c r="M57" s="1754">
        <f t="shared" si="15"/>
        <v>43173.95</v>
      </c>
      <c r="N57" s="1756">
        <v>46.5</v>
      </c>
      <c r="O57" s="1712">
        <f>ROUND(M57*ROUND(N57,2)/10000,6)</f>
        <v>200.75886800000001</v>
      </c>
      <c r="P57" s="1712">
        <f>IFERROR(ROUND(Q57*10000/M57,2),0)</f>
        <v>42.66</v>
      </c>
      <c r="Q57" s="1712">
        <f>ROUND(O57/(1+R57),6)</f>
        <v>184.18244799999999</v>
      </c>
      <c r="R57" s="1757">
        <v>0.09</v>
      </c>
      <c r="S57" s="1712">
        <f>O57-Q57</f>
        <v>16.576420000000013</v>
      </c>
      <c r="T57" s="1712">
        <f t="shared" si="0"/>
        <v>42.660550632962703</v>
      </c>
      <c r="U57" s="1712">
        <f t="shared" si="1"/>
        <v>46.500000115810586</v>
      </c>
      <c r="V57" s="1952"/>
    </row>
    <row r="58" spans="1:22" s="1942" customFormat="1" ht="13" outlineLevel="3">
      <c r="A58" s="1944"/>
      <c r="B58" s="1978" t="s">
        <v>672</v>
      </c>
      <c r="C58" s="1810"/>
      <c r="D58" s="2008" t="s">
        <v>3432</v>
      </c>
      <c r="E58" s="2009" t="s">
        <v>3433</v>
      </c>
      <c r="F58" s="1462"/>
      <c r="G58" s="1953" t="s">
        <v>4117</v>
      </c>
      <c r="H58" s="1975"/>
      <c r="I58" s="1712"/>
      <c r="J58" s="1949"/>
      <c r="K58" s="1950" t="s">
        <v>101</v>
      </c>
      <c r="L58" s="1947" t="s">
        <v>10</v>
      </c>
      <c r="M58" s="1754"/>
      <c r="N58" s="1712"/>
      <c r="O58" s="1712">
        <f>SUBTOTAL(9,O59:O60)</f>
        <v>43.173949999999998</v>
      </c>
      <c r="P58" s="1983"/>
      <c r="Q58" s="1712">
        <f>SUBTOTAL(9,Q59:Q60)</f>
        <v>39.609127999999998</v>
      </c>
      <c r="R58" s="1757"/>
      <c r="S58" s="1712">
        <f>SUBTOTAL(9,S59:S60)</f>
        <v>3.5648219999999995</v>
      </c>
      <c r="T58" s="1712">
        <f t="shared" si="0"/>
        <v>9.1743118246071997</v>
      </c>
      <c r="U58" s="1712">
        <f t="shared" si="1"/>
        <v>10</v>
      </c>
      <c r="V58" s="1952"/>
    </row>
    <row r="59" spans="1:22" s="1942" customFormat="1" ht="24" outlineLevel="4">
      <c r="A59" s="1813" t="s">
        <v>3069</v>
      </c>
      <c r="B59" s="1985" t="s">
        <v>1680</v>
      </c>
      <c r="C59" s="1828"/>
      <c r="D59" s="2013" t="s">
        <v>4038</v>
      </c>
      <c r="E59" s="2011"/>
      <c r="F59" s="1988" t="s">
        <v>3342</v>
      </c>
      <c r="G59" s="1989" t="s">
        <v>4116</v>
      </c>
      <c r="H59" s="2012" t="s">
        <v>10</v>
      </c>
      <c r="I59" s="1991">
        <f>$E$5</f>
        <v>43173.95</v>
      </c>
      <c r="J59" s="1976">
        <v>1</v>
      </c>
      <c r="K59" s="2000" t="s">
        <v>101</v>
      </c>
      <c r="L59" s="1990" t="s">
        <v>10</v>
      </c>
      <c r="M59" s="1991">
        <f t="shared" ref="M59:M70" si="21">ROUND(I59,2)*ROUND(J59,4)</f>
        <v>43173.95</v>
      </c>
      <c r="N59" s="1756">
        <v>10</v>
      </c>
      <c r="O59" s="1991">
        <f>ROUND(M59*ROUND(N59,2)/10000,6)</f>
        <v>43.173949999999998</v>
      </c>
      <c r="P59" s="1991">
        <f>IFERROR(ROUND(Q59*10000/M59,2),0)</f>
        <v>9.17</v>
      </c>
      <c r="Q59" s="1991">
        <f>ROUND(O59/(1+R59),6)</f>
        <v>39.609127999999998</v>
      </c>
      <c r="R59" s="1993">
        <v>0.09</v>
      </c>
      <c r="S59" s="1991">
        <f t="shared" ref="S59:S70" si="22">O59-Q59</f>
        <v>3.5648219999999995</v>
      </c>
      <c r="T59" s="1991">
        <f t="shared" si="0"/>
        <v>9.1743118246071997</v>
      </c>
      <c r="U59" s="1991">
        <f t="shared" si="1"/>
        <v>10</v>
      </c>
      <c r="V59" s="1994"/>
    </row>
    <row r="60" spans="1:22" s="1942" customFormat="1" ht="24" outlineLevel="4">
      <c r="A60" s="1813" t="s">
        <v>3069</v>
      </c>
      <c r="B60" s="1985" t="s">
        <v>1529</v>
      </c>
      <c r="C60" s="1828"/>
      <c r="D60" s="2013" t="s">
        <v>4039</v>
      </c>
      <c r="E60" s="2011"/>
      <c r="F60" s="1988" t="s">
        <v>3556</v>
      </c>
      <c r="G60" s="1989" t="s">
        <v>4127</v>
      </c>
      <c r="H60" s="2012" t="s">
        <v>10</v>
      </c>
      <c r="I60" s="1991">
        <f>$E$5</f>
        <v>43173.95</v>
      </c>
      <c r="J60" s="2014">
        <v>1</v>
      </c>
      <c r="K60" s="2000" t="s">
        <v>101</v>
      </c>
      <c r="L60" s="1990" t="s">
        <v>10</v>
      </c>
      <c r="M60" s="1991">
        <f t="shared" si="21"/>
        <v>43173.95</v>
      </c>
      <c r="N60" s="1991"/>
      <c r="O60" s="1991">
        <f>ROUND(M60*ROUND(N60,2)/10000,6)</f>
        <v>0</v>
      </c>
      <c r="P60" s="1991">
        <f>IFERROR(ROUND(Q60*10000/M60,2),0)</f>
        <v>0</v>
      </c>
      <c r="Q60" s="1991">
        <f>ROUND(O60/(1+R60),6)</f>
        <v>0</v>
      </c>
      <c r="R60" s="1993">
        <v>0.13</v>
      </c>
      <c r="S60" s="1991">
        <f t="shared" si="22"/>
        <v>0</v>
      </c>
      <c r="T60" s="1991">
        <f t="shared" si="0"/>
        <v>0</v>
      </c>
      <c r="U60" s="1991">
        <f t="shared" si="1"/>
        <v>0</v>
      </c>
      <c r="V60" s="1994"/>
    </row>
    <row r="61" spans="1:22" s="1942" customFormat="1" ht="24" outlineLevel="3">
      <c r="A61" s="1813" t="s">
        <v>3069</v>
      </c>
      <c r="B61" s="1978" t="s">
        <v>673</v>
      </c>
      <c r="C61" s="1810"/>
      <c r="D61" s="2008" t="s">
        <v>3434</v>
      </c>
      <c r="E61" s="2009" t="s">
        <v>3435</v>
      </c>
      <c r="F61" s="1462" t="s">
        <v>3342</v>
      </c>
      <c r="G61" s="1953" t="s">
        <v>4116</v>
      </c>
      <c r="H61" s="1975" t="s">
        <v>10</v>
      </c>
      <c r="I61" s="1712">
        <f t="shared" si="20"/>
        <v>43173.95</v>
      </c>
      <c r="J61" s="1976">
        <v>1</v>
      </c>
      <c r="K61" s="1950" t="s">
        <v>101</v>
      </c>
      <c r="L61" s="1947" t="s">
        <v>10</v>
      </c>
      <c r="M61" s="1754">
        <f t="shared" si="21"/>
        <v>43173.95</v>
      </c>
      <c r="N61" s="1756">
        <v>3</v>
      </c>
      <c r="O61" s="1712">
        <f>ROUND(M61*ROUND(N61,2)/10000,6)</f>
        <v>12.952185</v>
      </c>
      <c r="P61" s="1712">
        <f>IFERROR(ROUND(Q61*10000/M61,2),0)</f>
        <v>2.75</v>
      </c>
      <c r="Q61" s="1712">
        <f>ROUND(O61/(1+R61),6)</f>
        <v>11.882739000000001</v>
      </c>
      <c r="R61" s="1757">
        <v>0.09</v>
      </c>
      <c r="S61" s="1712">
        <f t="shared" si="22"/>
        <v>1.0694459999999992</v>
      </c>
      <c r="T61" s="1712">
        <f t="shared" si="0"/>
        <v>2.7522936863548511</v>
      </c>
      <c r="U61" s="1712">
        <f t="shared" si="1"/>
        <v>3.0000000000000004</v>
      </c>
      <c r="V61" s="1952"/>
    </row>
    <row r="62" spans="1:22" s="1942" customFormat="1" ht="24" outlineLevel="3">
      <c r="A62" s="1813" t="s">
        <v>3069</v>
      </c>
      <c r="B62" s="1978" t="s">
        <v>1785</v>
      </c>
      <c r="C62" s="1810"/>
      <c r="D62" s="2008" t="s">
        <v>3436</v>
      </c>
      <c r="E62" s="2009" t="s">
        <v>3437</v>
      </c>
      <c r="F62" s="1462" t="s">
        <v>3342</v>
      </c>
      <c r="G62" s="1953" t="s">
        <v>4116</v>
      </c>
      <c r="H62" s="1975" t="s">
        <v>10</v>
      </c>
      <c r="I62" s="1712">
        <f t="shared" si="20"/>
        <v>43173.95</v>
      </c>
      <c r="J62" s="1976">
        <v>1</v>
      </c>
      <c r="K62" s="1950" t="s">
        <v>101</v>
      </c>
      <c r="L62" s="1947" t="s">
        <v>10</v>
      </c>
      <c r="M62" s="1754">
        <f t="shared" si="21"/>
        <v>43173.95</v>
      </c>
      <c r="N62" s="1756">
        <v>13.5</v>
      </c>
      <c r="O62" s="1712">
        <f t="shared" ref="O62:O70" si="23">ROUND(M62*ROUND(N62,2)/10000,6)</f>
        <v>58.284832999999999</v>
      </c>
      <c r="P62" s="1712">
        <f t="shared" ref="P62:P70" si="24">IFERROR(ROUND(Q62*10000/M62,2),0)</f>
        <v>12.39</v>
      </c>
      <c r="Q62" s="1712">
        <f t="shared" ref="Q62:Q70" si="25">ROUND(O62/(1+R62),6)</f>
        <v>53.472324</v>
      </c>
      <c r="R62" s="1757">
        <v>0.09</v>
      </c>
      <c r="S62" s="1712">
        <f t="shared" si="22"/>
        <v>4.8125089999999986</v>
      </c>
      <c r="T62" s="1712">
        <f t="shared" si="0"/>
        <v>12.385321241165101</v>
      </c>
      <c r="U62" s="1712">
        <f t="shared" si="1"/>
        <v>13.500000115810575</v>
      </c>
      <c r="V62" s="1952"/>
    </row>
    <row r="63" spans="1:22" s="1942" customFormat="1" ht="24" outlineLevel="3">
      <c r="A63" s="1813" t="s">
        <v>3069</v>
      </c>
      <c r="B63" s="1978" t="s">
        <v>674</v>
      </c>
      <c r="C63" s="1810"/>
      <c r="D63" s="2008" t="s">
        <v>3438</v>
      </c>
      <c r="E63" s="2009" t="s">
        <v>3439</v>
      </c>
      <c r="F63" s="1462" t="s">
        <v>455</v>
      </c>
      <c r="G63" s="1953" t="s">
        <v>4128</v>
      </c>
      <c r="H63" s="1975" t="s">
        <v>10</v>
      </c>
      <c r="I63" s="1712">
        <f t="shared" si="20"/>
        <v>43173.95</v>
      </c>
      <c r="J63" s="1976">
        <v>1</v>
      </c>
      <c r="K63" s="1950" t="s">
        <v>101</v>
      </c>
      <c r="L63" s="1947" t="s">
        <v>10</v>
      </c>
      <c r="M63" s="1754">
        <f t="shared" si="21"/>
        <v>43173.95</v>
      </c>
      <c r="N63" s="1756">
        <v>15</v>
      </c>
      <c r="O63" s="1712">
        <f t="shared" si="23"/>
        <v>64.760925</v>
      </c>
      <c r="P63" s="1712">
        <f t="shared" si="24"/>
        <v>13.76</v>
      </c>
      <c r="Q63" s="1712">
        <f t="shared" si="25"/>
        <v>59.413693000000002</v>
      </c>
      <c r="R63" s="1757">
        <v>0.09</v>
      </c>
      <c r="S63" s="1712">
        <f t="shared" si="22"/>
        <v>5.3472319999999982</v>
      </c>
      <c r="T63" s="1712">
        <f t="shared" si="0"/>
        <v>13.761467968531953</v>
      </c>
      <c r="U63" s="1712">
        <f t="shared" si="1"/>
        <v>15.000000000000002</v>
      </c>
      <c r="V63" s="1952"/>
    </row>
    <row r="64" spans="1:22" s="1942" customFormat="1" ht="24" outlineLevel="3">
      <c r="A64" s="1813" t="s">
        <v>3070</v>
      </c>
      <c r="B64" s="1978" t="s">
        <v>3440</v>
      </c>
      <c r="C64" s="1810"/>
      <c r="D64" s="2008" t="s">
        <v>3441</v>
      </c>
      <c r="E64" s="2009" t="s">
        <v>3442</v>
      </c>
      <c r="F64" s="1462" t="s">
        <v>454</v>
      </c>
      <c r="G64" s="1953" t="s">
        <v>4129</v>
      </c>
      <c r="H64" s="1975" t="s">
        <v>10</v>
      </c>
      <c r="I64" s="1712">
        <f t="shared" si="20"/>
        <v>43173.95</v>
      </c>
      <c r="J64" s="1976">
        <v>1</v>
      </c>
      <c r="K64" s="1950" t="s">
        <v>101</v>
      </c>
      <c r="L64" s="1947" t="s">
        <v>10</v>
      </c>
      <c r="M64" s="1754">
        <f t="shared" si="21"/>
        <v>43173.95</v>
      </c>
      <c r="N64" s="1756">
        <v>45</v>
      </c>
      <c r="O64" s="1712">
        <f t="shared" si="23"/>
        <v>194.28277499999999</v>
      </c>
      <c r="P64" s="1712">
        <f t="shared" si="24"/>
        <v>39.82</v>
      </c>
      <c r="Q64" s="1712">
        <f t="shared" si="25"/>
        <v>171.931659</v>
      </c>
      <c r="R64" s="1757">
        <v>0.13</v>
      </c>
      <c r="S64" s="1712">
        <f t="shared" si="22"/>
        <v>22.35111599999999</v>
      </c>
      <c r="T64" s="1712">
        <f t="shared" si="0"/>
        <v>39.823008781915945</v>
      </c>
      <c r="U64" s="1712">
        <f t="shared" si="1"/>
        <v>45</v>
      </c>
      <c r="V64" s="2015"/>
    </row>
    <row r="65" spans="1:25" s="1942" customFormat="1" ht="24" outlineLevel="3">
      <c r="A65" s="1813" t="s">
        <v>3070</v>
      </c>
      <c r="B65" s="1978" t="s">
        <v>3443</v>
      </c>
      <c r="C65" s="1810"/>
      <c r="D65" s="2008" t="s">
        <v>3444</v>
      </c>
      <c r="E65" s="2009" t="s">
        <v>3445</v>
      </c>
      <c r="F65" s="1462" t="s">
        <v>1671</v>
      </c>
      <c r="G65" s="1953" t="s">
        <v>4130</v>
      </c>
      <c r="H65" s="1975" t="s">
        <v>10</v>
      </c>
      <c r="I65" s="1712">
        <f t="shared" si="20"/>
        <v>43173.95</v>
      </c>
      <c r="J65" s="1976">
        <v>1</v>
      </c>
      <c r="K65" s="1950" t="s">
        <v>101</v>
      </c>
      <c r="L65" s="1947" t="s">
        <v>10</v>
      </c>
      <c r="M65" s="1754">
        <f t="shared" si="21"/>
        <v>43173.95</v>
      </c>
      <c r="N65" s="1756">
        <v>15</v>
      </c>
      <c r="O65" s="1712">
        <f t="shared" si="23"/>
        <v>64.760925</v>
      </c>
      <c r="P65" s="1712">
        <f t="shared" si="24"/>
        <v>13.27</v>
      </c>
      <c r="Q65" s="1712">
        <f t="shared" si="25"/>
        <v>57.310552999999999</v>
      </c>
      <c r="R65" s="1757">
        <v>0.13</v>
      </c>
      <c r="S65" s="1712">
        <f t="shared" si="22"/>
        <v>7.4503720000000015</v>
      </c>
      <c r="T65" s="1712">
        <f t="shared" si="0"/>
        <v>13.27433626063865</v>
      </c>
      <c r="U65" s="1712">
        <f t="shared" si="1"/>
        <v>15.000000000000002</v>
      </c>
      <c r="V65" s="2015"/>
    </row>
    <row r="66" spans="1:25" s="1942" customFormat="1" ht="24" outlineLevel="3">
      <c r="A66" s="1813" t="s">
        <v>3070</v>
      </c>
      <c r="B66" s="1978" t="s">
        <v>3446</v>
      </c>
      <c r="C66" s="1810"/>
      <c r="D66" s="2008" t="s">
        <v>3447</v>
      </c>
      <c r="E66" s="2009" t="s">
        <v>3448</v>
      </c>
      <c r="F66" s="1462" t="s">
        <v>3422</v>
      </c>
      <c r="G66" s="1953" t="s">
        <v>4126</v>
      </c>
      <c r="H66" s="1975" t="s">
        <v>10</v>
      </c>
      <c r="I66" s="1712">
        <f t="shared" si="20"/>
        <v>43173.95</v>
      </c>
      <c r="J66" s="1976">
        <v>1</v>
      </c>
      <c r="K66" s="1950" t="s">
        <v>101</v>
      </c>
      <c r="L66" s="1947" t="s">
        <v>10</v>
      </c>
      <c r="M66" s="1754">
        <f t="shared" si="21"/>
        <v>43173.95</v>
      </c>
      <c r="N66" s="1756">
        <v>7</v>
      </c>
      <c r="O66" s="1712">
        <f t="shared" si="23"/>
        <v>30.221765000000001</v>
      </c>
      <c r="P66" s="1712">
        <f t="shared" si="24"/>
        <v>6.19</v>
      </c>
      <c r="Q66" s="1712">
        <f t="shared" si="25"/>
        <v>26.744924999999999</v>
      </c>
      <c r="R66" s="1757">
        <v>0.13</v>
      </c>
      <c r="S66" s="1712">
        <f t="shared" si="22"/>
        <v>3.4768400000000028</v>
      </c>
      <c r="T66" s="1712">
        <f t="shared" si="0"/>
        <v>6.1946903167303438</v>
      </c>
      <c r="U66" s="1712">
        <f t="shared" si="1"/>
        <v>7.0000000000000009</v>
      </c>
      <c r="V66" s="2015"/>
    </row>
    <row r="67" spans="1:25" s="1942" customFormat="1" ht="24" outlineLevel="3">
      <c r="A67" s="1813" t="s">
        <v>3070</v>
      </c>
      <c r="B67" s="1978" t="s">
        <v>3449</v>
      </c>
      <c r="C67" s="1810"/>
      <c r="D67" s="2008" t="s">
        <v>3450</v>
      </c>
      <c r="E67" s="2009" t="s">
        <v>3451</v>
      </c>
      <c r="F67" s="1462" t="s">
        <v>1307</v>
      </c>
      <c r="G67" s="1953" t="s">
        <v>4131</v>
      </c>
      <c r="H67" s="1947" t="s">
        <v>3926</v>
      </c>
      <c r="I67" s="1712">
        <f>$G$7</f>
        <v>480</v>
      </c>
      <c r="J67" s="1949">
        <v>1</v>
      </c>
      <c r="K67" s="1950" t="s">
        <v>3947</v>
      </c>
      <c r="L67" s="1947" t="s">
        <v>3926</v>
      </c>
      <c r="M67" s="1754">
        <f t="shared" si="21"/>
        <v>480</v>
      </c>
      <c r="N67" s="1712">
        <v>0</v>
      </c>
      <c r="O67" s="1712">
        <f t="shared" si="23"/>
        <v>0</v>
      </c>
      <c r="P67" s="1712">
        <f t="shared" si="24"/>
        <v>0</v>
      </c>
      <c r="Q67" s="1712">
        <f t="shared" si="25"/>
        <v>0</v>
      </c>
      <c r="R67" s="1757">
        <v>0.13</v>
      </c>
      <c r="S67" s="1712">
        <f t="shared" si="22"/>
        <v>0</v>
      </c>
      <c r="T67" s="1712">
        <f t="shared" si="0"/>
        <v>0</v>
      </c>
      <c r="U67" s="1712">
        <f t="shared" si="1"/>
        <v>0</v>
      </c>
      <c r="V67" s="1952"/>
    </row>
    <row r="68" spans="1:25" s="1942" customFormat="1" ht="24" outlineLevel="3">
      <c r="A68" s="1813" t="s">
        <v>3070</v>
      </c>
      <c r="B68" s="1978" t="s">
        <v>3452</v>
      </c>
      <c r="C68" s="1810"/>
      <c r="D68" s="2008" t="s">
        <v>3453</v>
      </c>
      <c r="E68" s="2009" t="s">
        <v>3454</v>
      </c>
      <c r="F68" s="1462" t="s">
        <v>1329</v>
      </c>
      <c r="G68" s="1953" t="s">
        <v>4132</v>
      </c>
      <c r="H68" s="1947" t="s">
        <v>10</v>
      </c>
      <c r="I68" s="1712">
        <f>$E$5</f>
        <v>43173.95</v>
      </c>
      <c r="J68" s="1949">
        <v>1</v>
      </c>
      <c r="K68" s="1950" t="s">
        <v>101</v>
      </c>
      <c r="L68" s="1947" t="s">
        <v>10</v>
      </c>
      <c r="M68" s="1754">
        <f t="shared" si="21"/>
        <v>43173.95</v>
      </c>
      <c r="N68" s="1712">
        <v>3.51</v>
      </c>
      <c r="O68" s="1712">
        <f t="shared" si="23"/>
        <v>15.154056000000001</v>
      </c>
      <c r="P68" s="1712">
        <f t="shared" si="24"/>
        <v>3.11</v>
      </c>
      <c r="Q68" s="1712">
        <f t="shared" si="25"/>
        <v>13.410669</v>
      </c>
      <c r="R68" s="1757">
        <v>0.13</v>
      </c>
      <c r="S68" s="1712">
        <f t="shared" si="22"/>
        <v>1.7433870000000002</v>
      </c>
      <c r="T68" s="1712">
        <f t="shared" si="0"/>
        <v>3.1061945918777414</v>
      </c>
      <c r="U68" s="1712">
        <f t="shared" si="1"/>
        <v>3.5099998957704823</v>
      </c>
      <c r="V68" s="2015"/>
    </row>
    <row r="69" spans="1:25" s="1942" customFormat="1" ht="24" outlineLevel="3">
      <c r="A69" s="1813" t="s">
        <v>3069</v>
      </c>
      <c r="B69" s="1978" t="s">
        <v>3455</v>
      </c>
      <c r="C69" s="1810"/>
      <c r="D69" s="2008" t="s">
        <v>3456</v>
      </c>
      <c r="E69" s="2009" t="s">
        <v>3457</v>
      </c>
      <c r="F69" s="1462" t="s">
        <v>3342</v>
      </c>
      <c r="G69" s="1953" t="s">
        <v>4116</v>
      </c>
      <c r="H69" s="1947" t="s">
        <v>107</v>
      </c>
      <c r="I69" s="1948">
        <f>$G$4</f>
        <v>4</v>
      </c>
      <c r="J69" s="1976">
        <v>4</v>
      </c>
      <c r="K69" s="2016" t="s">
        <v>4040</v>
      </c>
      <c r="L69" s="1947" t="s">
        <v>4041</v>
      </c>
      <c r="M69" s="1754">
        <f t="shared" si="21"/>
        <v>16</v>
      </c>
      <c r="N69" s="1756">
        <v>16000</v>
      </c>
      <c r="O69" s="1712">
        <f t="shared" si="23"/>
        <v>25.6</v>
      </c>
      <c r="P69" s="1712">
        <f t="shared" si="24"/>
        <v>14678.9</v>
      </c>
      <c r="Q69" s="1712">
        <f t="shared" si="25"/>
        <v>23.486239000000001</v>
      </c>
      <c r="R69" s="1757">
        <v>0.09</v>
      </c>
      <c r="S69" s="1712">
        <f t="shared" si="22"/>
        <v>2.1137610000000002</v>
      </c>
      <c r="T69" s="1712">
        <f t="shared" si="0"/>
        <v>5.439909714075271</v>
      </c>
      <c r="U69" s="1712">
        <f t="shared" si="1"/>
        <v>5.9295014702152571</v>
      </c>
      <c r="V69" s="2015"/>
    </row>
    <row r="70" spans="1:25" s="1942" customFormat="1" ht="24" outlineLevel="3">
      <c r="A70" s="1813" t="s">
        <v>3069</v>
      </c>
      <c r="B70" s="1978" t="s">
        <v>3458</v>
      </c>
      <c r="C70" s="1810"/>
      <c r="D70" s="2008" t="s">
        <v>3459</v>
      </c>
      <c r="E70" s="2009" t="s">
        <v>3460</v>
      </c>
      <c r="F70" s="1462" t="s">
        <v>3342</v>
      </c>
      <c r="G70" s="1953" t="s">
        <v>4116</v>
      </c>
      <c r="H70" s="1975" t="s">
        <v>10</v>
      </c>
      <c r="I70" s="1712">
        <f>$E$5</f>
        <v>43173.95</v>
      </c>
      <c r="J70" s="1976">
        <v>1</v>
      </c>
      <c r="K70" s="1950" t="s">
        <v>101</v>
      </c>
      <c r="L70" s="1947" t="s">
        <v>10</v>
      </c>
      <c r="M70" s="1754">
        <f t="shared" si="21"/>
        <v>43173.95</v>
      </c>
      <c r="N70" s="1756">
        <v>8</v>
      </c>
      <c r="O70" s="1712">
        <f t="shared" si="23"/>
        <v>34.539160000000003</v>
      </c>
      <c r="P70" s="1712">
        <f t="shared" si="24"/>
        <v>7.34</v>
      </c>
      <c r="Q70" s="1712">
        <f t="shared" si="25"/>
        <v>31.687303</v>
      </c>
      <c r="R70" s="1757">
        <v>0.09</v>
      </c>
      <c r="S70" s="1712">
        <f t="shared" si="22"/>
        <v>2.8518570000000025</v>
      </c>
      <c r="T70" s="1712">
        <f t="shared" si="0"/>
        <v>7.3394495986584518</v>
      </c>
      <c r="U70" s="1712">
        <f t="shared" si="1"/>
        <v>8.0000000000000018</v>
      </c>
      <c r="V70" s="1952"/>
    </row>
    <row r="71" spans="1:25" s="1942" customFormat="1" ht="13" outlineLevel="2">
      <c r="A71" s="1944"/>
      <c r="B71" s="1978" t="s">
        <v>3461</v>
      </c>
      <c r="C71" s="1810"/>
      <c r="D71" s="2017" t="s">
        <v>667</v>
      </c>
      <c r="E71" s="2009"/>
      <c r="F71" s="1462"/>
      <c r="G71" s="1953" t="s">
        <v>4117</v>
      </c>
      <c r="H71" s="1947"/>
      <c r="I71" s="1948"/>
      <c r="J71" s="1949"/>
      <c r="K71" s="2016"/>
      <c r="L71" s="1947"/>
      <c r="M71" s="1950"/>
      <c r="N71" s="1712"/>
      <c r="O71" s="1712">
        <f>SUBTOTAL(9,O72:O75)</f>
        <v>293.58285999999998</v>
      </c>
      <c r="P71" s="1712"/>
      <c r="Q71" s="1712">
        <f>SUBTOTAL(9,Q72:Q75)</f>
        <v>269.34207300000003</v>
      </c>
      <c r="R71" s="1712"/>
      <c r="S71" s="1712">
        <f>SUBTOTAL(9,S72:S75)</f>
        <v>24.240786999999955</v>
      </c>
      <c r="T71" s="1712">
        <f t="shared" si="0"/>
        <v>62.385321009543965</v>
      </c>
      <c r="U71" s="1712">
        <f t="shared" si="1"/>
        <v>68</v>
      </c>
      <c r="V71" s="2015"/>
    </row>
    <row r="72" spans="1:25" s="1942" customFormat="1" ht="13" outlineLevel="3">
      <c r="A72" s="1944"/>
      <c r="B72" s="1978" t="s">
        <v>3462</v>
      </c>
      <c r="C72" s="1810"/>
      <c r="D72" s="2008" t="s">
        <v>3463</v>
      </c>
      <c r="E72" s="2009" t="s">
        <v>3464</v>
      </c>
      <c r="F72" s="1462"/>
      <c r="G72" s="1953" t="s">
        <v>4117</v>
      </c>
      <c r="H72" s="1975"/>
      <c r="I72" s="1712"/>
      <c r="J72" s="1949">
        <v>1</v>
      </c>
      <c r="K72" s="1950"/>
      <c r="L72" s="1947"/>
      <c r="M72" s="1754"/>
      <c r="N72" s="1712"/>
      <c r="O72" s="1712">
        <f>SUBTOTAL(9,O73:O74)</f>
        <v>0</v>
      </c>
      <c r="P72" s="1983"/>
      <c r="Q72" s="1712">
        <f>SUBTOTAL(9,Q73:Q74)</f>
        <v>0</v>
      </c>
      <c r="R72" s="1757"/>
      <c r="S72" s="1712">
        <f>SUBTOTAL(9,S73:S74)</f>
        <v>0</v>
      </c>
      <c r="T72" s="1712">
        <f t="shared" si="0"/>
        <v>0</v>
      </c>
      <c r="U72" s="1712">
        <f t="shared" si="1"/>
        <v>0</v>
      </c>
      <c r="V72" s="1952"/>
    </row>
    <row r="73" spans="1:25" s="1942" customFormat="1" outlineLevel="4">
      <c r="A73" s="1813" t="s">
        <v>3079</v>
      </c>
      <c r="B73" s="1985" t="s">
        <v>4042</v>
      </c>
      <c r="C73" s="1828"/>
      <c r="D73" s="2018" t="s">
        <v>4043</v>
      </c>
      <c r="E73" s="2011"/>
      <c r="F73" s="1988" t="s">
        <v>1502</v>
      </c>
      <c r="G73" s="1989" t="s">
        <v>4133</v>
      </c>
      <c r="H73" s="2012" t="s">
        <v>10</v>
      </c>
      <c r="I73" s="1991">
        <f>$E$5</f>
        <v>43173.95</v>
      </c>
      <c r="J73" s="1976">
        <v>1</v>
      </c>
      <c r="K73" s="2000" t="s">
        <v>101</v>
      </c>
      <c r="L73" s="1990" t="s">
        <v>10</v>
      </c>
      <c r="M73" s="1991">
        <f t="shared" ref="M73:M83" si="26">ROUND(I73,2)*ROUND(J73,4)</f>
        <v>43173.95</v>
      </c>
      <c r="N73" s="2001">
        <v>0</v>
      </c>
      <c r="O73" s="1991">
        <f>ROUND(M73*ROUND(N73,2)/10000,6)</f>
        <v>0</v>
      </c>
      <c r="P73" s="1991">
        <f>IFERROR(ROUND(Q73*10000/M73,2),0)</f>
        <v>0</v>
      </c>
      <c r="Q73" s="1991">
        <f>ROUND(O73/(1+R73),6)</f>
        <v>0</v>
      </c>
      <c r="R73" s="1993">
        <v>0.09</v>
      </c>
      <c r="S73" s="1991">
        <f>O73-Q73</f>
        <v>0</v>
      </c>
      <c r="T73" s="1991">
        <f t="shared" si="0"/>
        <v>0</v>
      </c>
      <c r="U73" s="1991">
        <f t="shared" si="1"/>
        <v>0</v>
      </c>
      <c r="V73" s="1994"/>
    </row>
    <row r="74" spans="1:25" s="1942" customFormat="1" outlineLevel="4">
      <c r="A74" s="1813" t="s">
        <v>3079</v>
      </c>
      <c r="B74" s="1985" t="s">
        <v>4044</v>
      </c>
      <c r="C74" s="1828"/>
      <c r="D74" s="2018" t="s">
        <v>4045</v>
      </c>
      <c r="E74" s="2011"/>
      <c r="F74" s="1988" t="s">
        <v>1505</v>
      </c>
      <c r="G74" s="1989" t="s">
        <v>4134</v>
      </c>
      <c r="H74" s="2012" t="s">
        <v>3926</v>
      </c>
      <c r="I74" s="1991">
        <f>$G$7</f>
        <v>480</v>
      </c>
      <c r="J74" s="1976">
        <v>1</v>
      </c>
      <c r="K74" s="2000" t="s">
        <v>3947</v>
      </c>
      <c r="L74" s="1990" t="s">
        <v>3926</v>
      </c>
      <c r="M74" s="1991">
        <f t="shared" si="26"/>
        <v>480</v>
      </c>
      <c r="N74" s="1756">
        <v>0</v>
      </c>
      <c r="O74" s="1991">
        <f>ROUND(M74*ROUND(N74,2)/10000,6)</f>
        <v>0</v>
      </c>
      <c r="P74" s="1991">
        <f>IFERROR(ROUND(Q74*10000/M74,2),0)</f>
        <v>0</v>
      </c>
      <c r="Q74" s="1991">
        <f>ROUND(O74/(1+R74),6)</f>
        <v>0</v>
      </c>
      <c r="R74" s="1993">
        <v>0</v>
      </c>
      <c r="S74" s="1991">
        <f>O74-Q74</f>
        <v>0</v>
      </c>
      <c r="T74" s="1991">
        <f t="shared" si="0"/>
        <v>0</v>
      </c>
      <c r="U74" s="1991">
        <f t="shared" si="1"/>
        <v>0</v>
      </c>
      <c r="V74" s="1994"/>
    </row>
    <row r="75" spans="1:25" s="1942" customFormat="1" outlineLevel="3">
      <c r="A75" s="1813" t="s">
        <v>3072</v>
      </c>
      <c r="B75" s="1978" t="s">
        <v>3465</v>
      </c>
      <c r="C75" s="1810"/>
      <c r="D75" s="2008" t="s">
        <v>3466</v>
      </c>
      <c r="E75" s="2009" t="s">
        <v>3467</v>
      </c>
      <c r="F75" s="1462" t="s">
        <v>1502</v>
      </c>
      <c r="G75" s="1953" t="s">
        <v>4133</v>
      </c>
      <c r="H75" s="1975" t="s">
        <v>10</v>
      </c>
      <c r="I75" s="1712">
        <f>$E$5</f>
        <v>43173.95</v>
      </c>
      <c r="J75" s="1976">
        <v>1</v>
      </c>
      <c r="K75" s="1950" t="s">
        <v>101</v>
      </c>
      <c r="L75" s="1947" t="s">
        <v>10</v>
      </c>
      <c r="M75" s="1754">
        <f t="shared" si="26"/>
        <v>43173.95</v>
      </c>
      <c r="N75" s="1756">
        <v>68</v>
      </c>
      <c r="O75" s="1712">
        <f>ROUND(M75*ROUND(N75,2)/10000,6)</f>
        <v>293.58285999999998</v>
      </c>
      <c r="P75" s="1712">
        <f>IFERROR(ROUND(Q75*10000/M75,2),0)</f>
        <v>62.39</v>
      </c>
      <c r="Q75" s="1712">
        <f>ROUND(O75/(1+R75),6)</f>
        <v>269.34207300000003</v>
      </c>
      <c r="R75" s="1757">
        <v>0.09</v>
      </c>
      <c r="S75" s="1712">
        <f>O75-Q75</f>
        <v>24.240786999999955</v>
      </c>
      <c r="T75" s="1712">
        <f t="shared" si="0"/>
        <v>62.385321009543965</v>
      </c>
      <c r="U75" s="1712">
        <f t="shared" si="1"/>
        <v>68</v>
      </c>
      <c r="V75" s="1952"/>
    </row>
    <row r="76" spans="1:25" s="1942" customFormat="1" outlineLevel="2">
      <c r="A76" s="1813" t="s">
        <v>3080</v>
      </c>
      <c r="B76" s="1978" t="s">
        <v>3468</v>
      </c>
      <c r="C76" s="1810"/>
      <c r="D76" s="2008" t="s">
        <v>668</v>
      </c>
      <c r="E76" s="2009" t="s">
        <v>3469</v>
      </c>
      <c r="F76" s="1462" t="s">
        <v>3470</v>
      </c>
      <c r="G76" s="1953" t="s">
        <v>4135</v>
      </c>
      <c r="H76" s="1975" t="s">
        <v>3926</v>
      </c>
      <c r="I76" s="1712">
        <f>$G$7</f>
        <v>480</v>
      </c>
      <c r="J76" s="1976">
        <v>1</v>
      </c>
      <c r="K76" s="1950" t="s">
        <v>3947</v>
      </c>
      <c r="L76" s="1947" t="s">
        <v>3926</v>
      </c>
      <c r="M76" s="1754">
        <f t="shared" si="26"/>
        <v>480</v>
      </c>
      <c r="N76" s="1756">
        <v>2683</v>
      </c>
      <c r="O76" s="1712">
        <f>ROUND(M76*ROUND(N76,2)/10000,6)</f>
        <v>128.78399999999999</v>
      </c>
      <c r="P76" s="1712">
        <f>IFERROR(ROUND(Q76*10000/M76,2),0)</f>
        <v>2374.34</v>
      </c>
      <c r="Q76" s="1712">
        <f>ROUND(O76/(1+R76),6)</f>
        <v>113.968142</v>
      </c>
      <c r="R76" s="1757">
        <v>0.13</v>
      </c>
      <c r="S76" s="1712">
        <f>O76-Q76</f>
        <v>14.815857999999992</v>
      </c>
      <c r="T76" s="1712">
        <f t="shared" ref="T76:T139" si="27">IFERROR(Q76*10000/$E$6,"")</f>
        <v>26.397432247918015</v>
      </c>
      <c r="U76" s="1712">
        <f t="shared" ref="U76:U139" si="28">IFERROR(O76*10000/$E$6,"")</f>
        <v>29.829098333601628</v>
      </c>
      <c r="V76" s="1952"/>
    </row>
    <row r="77" spans="1:25" s="1942" customFormat="1" ht="13" outlineLevel="2">
      <c r="A77" s="1944"/>
      <c r="B77" s="1978" t="s">
        <v>3471</v>
      </c>
      <c r="C77" s="1810"/>
      <c r="D77" s="2008" t="s">
        <v>3472</v>
      </c>
      <c r="E77" s="2009"/>
      <c r="F77" s="1462"/>
      <c r="G77" s="1953" t="s">
        <v>4117</v>
      </c>
      <c r="H77" s="1947"/>
      <c r="I77" s="1948"/>
      <c r="J77" s="1949"/>
      <c r="K77" s="2016"/>
      <c r="L77" s="1947"/>
      <c r="M77" s="1754"/>
      <c r="N77" s="1712"/>
      <c r="O77" s="1712">
        <f>SUBTOTAL(9,O78:O81)</f>
        <v>264</v>
      </c>
      <c r="P77" s="1712"/>
      <c r="Q77" s="1712">
        <f>SUBTOTAL(9,Q78:Q81)</f>
        <v>236.16140300000001</v>
      </c>
      <c r="R77" s="1712"/>
      <c r="S77" s="1712">
        <f>SUBTOTAL(9,S78:S81)</f>
        <v>27.838597000000007</v>
      </c>
      <c r="T77" s="1712">
        <f t="shared" si="27"/>
        <v>54.699976027210866</v>
      </c>
      <c r="U77" s="1712">
        <f t="shared" si="28"/>
        <v>61.147983911594842</v>
      </c>
      <c r="V77" s="2015"/>
    </row>
    <row r="78" spans="1:25" s="1942" customFormat="1" ht="10.25" customHeight="1" outlineLevel="3">
      <c r="A78" s="1813" t="s">
        <v>3073</v>
      </c>
      <c r="B78" s="1978" t="s">
        <v>3473</v>
      </c>
      <c r="C78" s="1810"/>
      <c r="D78" s="2008" t="s">
        <v>3474</v>
      </c>
      <c r="E78" s="2009" t="s">
        <v>3475</v>
      </c>
      <c r="F78" s="1462" t="s">
        <v>456</v>
      </c>
      <c r="G78" s="1953" t="s">
        <v>4136</v>
      </c>
      <c r="H78" s="1947" t="s">
        <v>18</v>
      </c>
      <c r="I78" s="1948">
        <f>$G$5</f>
        <v>12</v>
      </c>
      <c r="J78" s="1949">
        <v>1</v>
      </c>
      <c r="K78" s="2016" t="s">
        <v>4046</v>
      </c>
      <c r="L78" s="1947" t="s">
        <v>4047</v>
      </c>
      <c r="M78" s="1754">
        <f t="shared" si="26"/>
        <v>12</v>
      </c>
      <c r="N78" s="1712">
        <v>155000</v>
      </c>
      <c r="O78" s="1712">
        <f>ROUND(M78*ROUND(N78,2)/10000,6)</f>
        <v>186</v>
      </c>
      <c r="P78" s="1712">
        <f>IFERROR(ROUND(Q78*10000/M78,2),0)</f>
        <v>137168.14000000001</v>
      </c>
      <c r="Q78" s="1712">
        <f>ROUND(O78/(1+R78),6)</f>
        <v>164.60176999999999</v>
      </c>
      <c r="R78" s="1757">
        <v>0.13</v>
      </c>
      <c r="S78" s="1712">
        <f>O78-Q78</f>
        <v>21.398230000000012</v>
      </c>
      <c r="T78" s="1712">
        <f t="shared" si="27"/>
        <v>38.125251453712252</v>
      </c>
      <c r="U78" s="1712">
        <f t="shared" si="28"/>
        <v>43.081534119532733</v>
      </c>
      <c r="V78" s="1952"/>
      <c r="X78" s="1712"/>
      <c r="Y78" s="1712"/>
    </row>
    <row r="79" spans="1:25" s="1942" customFormat="1" outlineLevel="3">
      <c r="A79" s="1813" t="s">
        <v>3073</v>
      </c>
      <c r="B79" s="1978" t="s">
        <v>3476</v>
      </c>
      <c r="C79" s="1810"/>
      <c r="D79" s="2008" t="s">
        <v>3477</v>
      </c>
      <c r="E79" s="2009" t="s">
        <v>3478</v>
      </c>
      <c r="F79" s="1462" t="s">
        <v>460</v>
      </c>
      <c r="G79" s="1953" t="s">
        <v>4137</v>
      </c>
      <c r="H79" s="1947" t="s">
        <v>18</v>
      </c>
      <c r="I79" s="1948">
        <f>$G$5</f>
        <v>12</v>
      </c>
      <c r="J79" s="1949">
        <v>1</v>
      </c>
      <c r="K79" s="2016" t="s">
        <v>4046</v>
      </c>
      <c r="L79" s="1947" t="s">
        <v>4047</v>
      </c>
      <c r="M79" s="1754">
        <f t="shared" si="26"/>
        <v>12</v>
      </c>
      <c r="N79" s="1712">
        <v>65000</v>
      </c>
      <c r="O79" s="1712">
        <f>ROUND(M79*ROUND(N79,2)/10000,6)</f>
        <v>78</v>
      </c>
      <c r="P79" s="1712">
        <f>IFERROR(ROUND(Q79*10000/M79,2),0)</f>
        <v>59633.03</v>
      </c>
      <c r="Q79" s="1712">
        <f>ROUND(O79/(1+R79),6)</f>
        <v>71.559633000000005</v>
      </c>
      <c r="R79" s="1757">
        <v>0.09</v>
      </c>
      <c r="S79" s="1712">
        <f>O79-Q79</f>
        <v>6.4403669999999948</v>
      </c>
      <c r="T79" s="1712">
        <f t="shared" si="27"/>
        <v>16.574724573498607</v>
      </c>
      <c r="U79" s="1712">
        <f t="shared" si="28"/>
        <v>18.066449792062112</v>
      </c>
      <c r="V79" s="1952"/>
    </row>
    <row r="80" spans="1:25" s="1942" customFormat="1" outlineLevel="3">
      <c r="A80" s="1813" t="s">
        <v>3073</v>
      </c>
      <c r="B80" s="1978" t="s">
        <v>3479</v>
      </c>
      <c r="C80" s="1810"/>
      <c r="D80" s="2008" t="s">
        <v>3480</v>
      </c>
      <c r="E80" s="2009" t="s">
        <v>3481</v>
      </c>
      <c r="F80" s="1462" t="s">
        <v>456</v>
      </c>
      <c r="G80" s="1953" t="s">
        <v>4136</v>
      </c>
      <c r="H80" s="1975" t="s">
        <v>3969</v>
      </c>
      <c r="I80" s="1948"/>
      <c r="J80" s="1949">
        <v>0</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f t="shared" si="27"/>
        <v>0</v>
      </c>
      <c r="U80" s="1712">
        <f t="shared" si="28"/>
        <v>0</v>
      </c>
      <c r="V80" s="2015"/>
    </row>
    <row r="81" spans="1:22" s="1942" customFormat="1" outlineLevel="3">
      <c r="A81" s="1813" t="s">
        <v>3073</v>
      </c>
      <c r="B81" s="1978" t="s">
        <v>3482</v>
      </c>
      <c r="C81" s="1810"/>
      <c r="D81" s="2008" t="s">
        <v>1682</v>
      </c>
      <c r="E81" s="2009" t="s">
        <v>3483</v>
      </c>
      <c r="F81" s="1462" t="s">
        <v>460</v>
      </c>
      <c r="G81" s="1953" t="s">
        <v>4137</v>
      </c>
      <c r="H81" s="1975" t="s">
        <v>3969</v>
      </c>
      <c r="I81" s="1948"/>
      <c r="J81" s="1949">
        <v>0</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f t="shared" si="27"/>
        <v>0</v>
      </c>
      <c r="U81" s="1712">
        <f t="shared" si="28"/>
        <v>0</v>
      </c>
      <c r="V81" s="2015"/>
    </row>
    <row r="82" spans="1:22" s="1942" customFormat="1" ht="13" outlineLevel="2">
      <c r="A82" s="1944"/>
      <c r="B82" s="1978" t="s">
        <v>3484</v>
      </c>
      <c r="C82" s="1810"/>
      <c r="D82" s="2008" t="s">
        <v>3485</v>
      </c>
      <c r="E82" s="2009"/>
      <c r="F82" s="1462"/>
      <c r="G82" s="1953" t="s">
        <v>4117</v>
      </c>
      <c r="H82" s="1947"/>
      <c r="I82" s="1948"/>
      <c r="J82" s="1949"/>
      <c r="K82" s="2016"/>
      <c r="L82" s="1947"/>
      <c r="M82" s="1950"/>
      <c r="N82" s="1712"/>
      <c r="O82" s="1712">
        <f>SUBTOTAL(9,O83:O93)</f>
        <v>222.34584299999997</v>
      </c>
      <c r="P82" s="1712"/>
      <c r="Q82" s="1712">
        <f>SUBTOTAL(9,Q83:Q93)</f>
        <v>203.285966</v>
      </c>
      <c r="R82" s="1712"/>
      <c r="S82" s="1712">
        <f>SUBTOTAL(9,S83:S93)</f>
        <v>19.059877000000004</v>
      </c>
      <c r="T82" s="1712">
        <f t="shared" si="27"/>
        <v>47.085329463715972</v>
      </c>
      <c r="U82" s="1712">
        <f t="shared" si="28"/>
        <v>51.500000115810572</v>
      </c>
      <c r="V82" s="2015"/>
    </row>
    <row r="83" spans="1:22" s="1942" customFormat="1" ht="24" outlineLevel="3">
      <c r="A83" s="1813" t="s">
        <v>3074</v>
      </c>
      <c r="B83" s="1978" t="s">
        <v>3486</v>
      </c>
      <c r="C83" s="1810"/>
      <c r="D83" s="2017" t="s">
        <v>3487</v>
      </c>
      <c r="E83" s="2009" t="s">
        <v>3488</v>
      </c>
      <c r="F83" s="1462" t="s">
        <v>455</v>
      </c>
      <c r="G83" s="1953" t="s">
        <v>4128</v>
      </c>
      <c r="H83" s="1975" t="s">
        <v>10</v>
      </c>
      <c r="I83" s="1712">
        <f>$E$5</f>
        <v>43173.95</v>
      </c>
      <c r="J83" s="1976">
        <v>1</v>
      </c>
      <c r="K83" s="1950" t="s">
        <v>101</v>
      </c>
      <c r="L83" s="1947" t="s">
        <v>10</v>
      </c>
      <c r="M83" s="1754">
        <f t="shared" si="26"/>
        <v>43173.95</v>
      </c>
      <c r="N83" s="1756">
        <v>14</v>
      </c>
      <c r="O83" s="1712">
        <f>ROUND(M83*ROUND(N83,2)/10000,6)</f>
        <v>60.443530000000003</v>
      </c>
      <c r="P83" s="1712">
        <f>IFERROR(ROUND(Q83*10000/M83,2),0)</f>
        <v>12.84</v>
      </c>
      <c r="Q83" s="1712">
        <f>ROUND(O83/(1+R83),6)</f>
        <v>55.452779999999997</v>
      </c>
      <c r="R83" s="1757">
        <v>0.09</v>
      </c>
      <c r="S83" s="1712">
        <f>O83-Q83</f>
        <v>4.9907500000000056</v>
      </c>
      <c r="T83" s="1712">
        <f t="shared" si="27"/>
        <v>12.844036739746999</v>
      </c>
      <c r="U83" s="1712">
        <f t="shared" si="28"/>
        <v>14.000000000000002</v>
      </c>
      <c r="V83" s="1952"/>
    </row>
    <row r="84" spans="1:22" s="1942" customFormat="1" ht="13" outlineLevel="3">
      <c r="A84" s="1944"/>
      <c r="B84" s="1978" t="s">
        <v>3489</v>
      </c>
      <c r="C84" s="1810"/>
      <c r="D84" s="2017" t="s">
        <v>3490</v>
      </c>
      <c r="E84" s="2009" t="s">
        <v>3491</v>
      </c>
      <c r="F84" s="1462"/>
      <c r="G84" s="1953" t="s">
        <v>4117</v>
      </c>
      <c r="H84" s="1975"/>
      <c r="I84" s="1712"/>
      <c r="J84" s="1949"/>
      <c r="K84" s="1950"/>
      <c r="L84" s="1947" t="s">
        <v>10</v>
      </c>
      <c r="M84" s="1754"/>
      <c r="N84" s="1712"/>
      <c r="O84" s="1712">
        <f>SUBTOTAL(9,O85:O86)</f>
        <v>107.93487499999999</v>
      </c>
      <c r="P84" s="1983"/>
      <c r="Q84" s="1712">
        <f>SUBTOTAL(9,Q85:Q86)</f>
        <v>98.321775000000002</v>
      </c>
      <c r="R84" s="1757"/>
      <c r="S84" s="1712">
        <f>SUBTOTAL(9,S85:S86)</f>
        <v>9.6130999999999993</v>
      </c>
      <c r="T84" s="1712">
        <f t="shared" si="27"/>
        <v>22.773402711588819</v>
      </c>
      <c r="U84" s="1712">
        <f t="shared" si="28"/>
        <v>25</v>
      </c>
      <c r="V84" s="1952"/>
    </row>
    <row r="85" spans="1:22" s="1942" customFormat="1" ht="24" outlineLevel="4">
      <c r="A85" s="1813" t="s">
        <v>3074</v>
      </c>
      <c r="B85" s="1985" t="s">
        <v>4049</v>
      </c>
      <c r="C85" s="1828"/>
      <c r="D85" s="2018" t="s">
        <v>4050</v>
      </c>
      <c r="E85" s="2011"/>
      <c r="F85" s="1988" t="s">
        <v>455</v>
      </c>
      <c r="G85" s="1989" t="s">
        <v>4128</v>
      </c>
      <c r="H85" s="2012" t="s">
        <v>10</v>
      </c>
      <c r="I85" s="1991">
        <f>$E$5</f>
        <v>43173.95</v>
      </c>
      <c r="J85" s="1976">
        <v>1</v>
      </c>
      <c r="K85" s="2000" t="s">
        <v>101</v>
      </c>
      <c r="L85" s="1990" t="s">
        <v>10</v>
      </c>
      <c r="M85" s="1991">
        <f t="shared" ref="M85:M94" si="29">ROUND(I85,2)*ROUND(J85,4)</f>
        <v>43173.95</v>
      </c>
      <c r="N85" s="1756">
        <v>20</v>
      </c>
      <c r="O85" s="1991">
        <f>ROUND(M85*ROUND(N85,2)/10000,6)</f>
        <v>86.347899999999996</v>
      </c>
      <c r="P85" s="1991">
        <f>IFERROR(ROUND(Q85*10000/M85,2),0)</f>
        <v>18.350000000000001</v>
      </c>
      <c r="Q85" s="1991">
        <f>ROUND(O85/(1+R85),6)</f>
        <v>79.218256999999994</v>
      </c>
      <c r="R85" s="1993">
        <v>0.09</v>
      </c>
      <c r="S85" s="1991">
        <f t="shared" ref="S85:S94" si="30">O85-Q85</f>
        <v>7.1296430000000015</v>
      </c>
      <c r="T85" s="1991">
        <f t="shared" si="27"/>
        <v>18.34862388083555</v>
      </c>
      <c r="U85" s="1991">
        <f t="shared" si="28"/>
        <v>20</v>
      </c>
      <c r="V85" s="1994"/>
    </row>
    <row r="86" spans="1:22" s="1942" customFormat="1" ht="24" outlineLevel="4">
      <c r="A86" s="1813" t="s">
        <v>3074</v>
      </c>
      <c r="B86" s="1985" t="s">
        <v>4051</v>
      </c>
      <c r="C86" s="1828"/>
      <c r="D86" s="2018" t="s">
        <v>4052</v>
      </c>
      <c r="E86" s="2011"/>
      <c r="F86" s="1988" t="s">
        <v>3831</v>
      </c>
      <c r="G86" s="1989" t="s">
        <v>4138</v>
      </c>
      <c r="H86" s="2012" t="s">
        <v>10</v>
      </c>
      <c r="I86" s="1991">
        <f>$E$5</f>
        <v>43173.95</v>
      </c>
      <c r="J86" s="2014">
        <v>1</v>
      </c>
      <c r="K86" s="2000" t="s">
        <v>101</v>
      </c>
      <c r="L86" s="1990" t="s">
        <v>10</v>
      </c>
      <c r="M86" s="1991">
        <f t="shared" si="29"/>
        <v>43173.95</v>
      </c>
      <c r="N86" s="1991">
        <v>5</v>
      </c>
      <c r="O86" s="1991">
        <f>ROUND(M86*ROUND(N86,2)/10000,6)</f>
        <v>21.586974999999999</v>
      </c>
      <c r="P86" s="1991">
        <f>IFERROR(ROUND(Q86*10000/M86,2),0)</f>
        <v>4.42</v>
      </c>
      <c r="Q86" s="1991">
        <f>ROUND(O86/(1+R86),6)</f>
        <v>19.103518000000001</v>
      </c>
      <c r="R86" s="1993">
        <v>0.13</v>
      </c>
      <c r="S86" s="1991">
        <f t="shared" si="30"/>
        <v>2.4834569999999978</v>
      </c>
      <c r="T86" s="1991">
        <f t="shared" si="27"/>
        <v>4.4247788307532678</v>
      </c>
      <c r="U86" s="1991">
        <f t="shared" si="28"/>
        <v>5</v>
      </c>
      <c r="V86" s="1994"/>
    </row>
    <row r="87" spans="1:22" s="1942" customFormat="1" ht="24" outlineLevel="3">
      <c r="A87" s="1813" t="s">
        <v>3074</v>
      </c>
      <c r="B87" s="1978" t="s">
        <v>3492</v>
      </c>
      <c r="C87" s="1810"/>
      <c r="D87" s="2017" t="s">
        <v>3493</v>
      </c>
      <c r="E87" s="2009" t="s">
        <v>3494</v>
      </c>
      <c r="F87" s="1462" t="s">
        <v>455</v>
      </c>
      <c r="G87" s="1953" t="s">
        <v>4128</v>
      </c>
      <c r="H87" s="1975" t="s">
        <v>10</v>
      </c>
      <c r="I87" s="1712">
        <f>$E$5</f>
        <v>43173.95</v>
      </c>
      <c r="J87" s="1976">
        <v>1</v>
      </c>
      <c r="K87" s="1950" t="s">
        <v>101</v>
      </c>
      <c r="L87" s="1947" t="s">
        <v>10</v>
      </c>
      <c r="M87" s="1754">
        <f t="shared" si="29"/>
        <v>43173.95</v>
      </c>
      <c r="N87" s="1756">
        <v>10</v>
      </c>
      <c r="O87" s="1712">
        <f>ROUND(M87*ROUND(N87,2)/10000,6)</f>
        <v>43.173949999999998</v>
      </c>
      <c r="P87" s="1712">
        <f>IFERROR(ROUND(Q87*10000/M87,2),0)</f>
        <v>9.17</v>
      </c>
      <c r="Q87" s="1712">
        <f>ROUND(O87/(1+R87),6)</f>
        <v>39.609127999999998</v>
      </c>
      <c r="R87" s="1757">
        <v>0.09</v>
      </c>
      <c r="S87" s="1712">
        <f t="shared" si="30"/>
        <v>3.5648219999999995</v>
      </c>
      <c r="T87" s="1712">
        <f t="shared" si="27"/>
        <v>9.1743118246071997</v>
      </c>
      <c r="U87" s="1712">
        <f t="shared" si="28"/>
        <v>10</v>
      </c>
      <c r="V87" s="1952"/>
    </row>
    <row r="88" spans="1:22" s="1942" customFormat="1" ht="24" outlineLevel="3">
      <c r="A88" s="1813" t="s">
        <v>3074</v>
      </c>
      <c r="B88" s="1978" t="s">
        <v>3495</v>
      </c>
      <c r="C88" s="1810"/>
      <c r="D88" s="2017" t="s">
        <v>3496</v>
      </c>
      <c r="E88" s="2009" t="s">
        <v>3497</v>
      </c>
      <c r="F88" s="1462" t="s">
        <v>455</v>
      </c>
      <c r="G88" s="1953" t="s">
        <v>4128</v>
      </c>
      <c r="H88" s="1975" t="s">
        <v>10</v>
      </c>
      <c r="I88" s="1712">
        <f t="shared" ref="I88:I99" si="31">$E$5</f>
        <v>43173.95</v>
      </c>
      <c r="J88" s="1949">
        <v>1</v>
      </c>
      <c r="K88" s="1950" t="s">
        <v>101</v>
      </c>
      <c r="L88" s="1947" t="s">
        <v>10</v>
      </c>
      <c r="M88" s="1754">
        <f t="shared" si="29"/>
        <v>43173.95</v>
      </c>
      <c r="N88" s="1712"/>
      <c r="O88" s="1712">
        <f t="shared" ref="O88:O94" si="32">ROUND(M88*ROUND(N88,2)/10000,6)</f>
        <v>0</v>
      </c>
      <c r="P88" s="1712">
        <f t="shared" ref="P88:P94" si="33">IFERROR(ROUND(Q88*10000/M88,2),0)</f>
        <v>0</v>
      </c>
      <c r="Q88" s="1712">
        <f t="shared" ref="Q88:Q94" si="34">ROUND(O88/(1+R88),6)</f>
        <v>0</v>
      </c>
      <c r="R88" s="1757">
        <v>0.09</v>
      </c>
      <c r="S88" s="1712">
        <f t="shared" si="30"/>
        <v>0</v>
      </c>
      <c r="T88" s="1712">
        <f t="shared" si="27"/>
        <v>0</v>
      </c>
      <c r="U88" s="1712">
        <f t="shared" si="28"/>
        <v>0</v>
      </c>
      <c r="V88" s="1952"/>
    </row>
    <row r="89" spans="1:22" s="1942" customFormat="1" ht="24" outlineLevel="3">
      <c r="A89" s="1813" t="s">
        <v>3074</v>
      </c>
      <c r="B89" s="1978" t="s">
        <v>3498</v>
      </c>
      <c r="C89" s="1810"/>
      <c r="D89" s="2017" t="s">
        <v>3499</v>
      </c>
      <c r="E89" s="2009" t="s">
        <v>3500</v>
      </c>
      <c r="F89" s="1462" t="s">
        <v>455</v>
      </c>
      <c r="G89" s="1953" t="s">
        <v>4128</v>
      </c>
      <c r="H89" s="1975" t="s">
        <v>10</v>
      </c>
      <c r="I89" s="1712">
        <f t="shared" si="31"/>
        <v>43173.95</v>
      </c>
      <c r="J89" s="1976">
        <v>1</v>
      </c>
      <c r="K89" s="1950" t="s">
        <v>101</v>
      </c>
      <c r="L89" s="1947" t="s">
        <v>10</v>
      </c>
      <c r="M89" s="1754">
        <f t="shared" si="29"/>
        <v>43173.95</v>
      </c>
      <c r="N89" s="1756">
        <v>2.5</v>
      </c>
      <c r="O89" s="1712">
        <f t="shared" si="32"/>
        <v>10.793488</v>
      </c>
      <c r="P89" s="1712">
        <f t="shared" si="33"/>
        <v>2.29</v>
      </c>
      <c r="Q89" s="1712">
        <f t="shared" si="34"/>
        <v>9.9022830000000006</v>
      </c>
      <c r="R89" s="1757">
        <v>0.09</v>
      </c>
      <c r="S89" s="1712">
        <f t="shared" si="30"/>
        <v>0.89120499999999936</v>
      </c>
      <c r="T89" s="1712">
        <f t="shared" si="27"/>
        <v>2.2935781877729511</v>
      </c>
      <c r="U89" s="1712">
        <f t="shared" si="28"/>
        <v>2.5000001158105758</v>
      </c>
      <c r="V89" s="1952"/>
    </row>
    <row r="90" spans="1:22" s="1942" customFormat="1" ht="24" outlineLevel="3">
      <c r="A90" s="1813" t="s">
        <v>3074</v>
      </c>
      <c r="B90" s="1978" t="s">
        <v>3501</v>
      </c>
      <c r="C90" s="1810"/>
      <c r="D90" s="2017" t="s">
        <v>3502</v>
      </c>
      <c r="E90" s="2009" t="s">
        <v>3503</v>
      </c>
      <c r="F90" s="1462" t="s">
        <v>455</v>
      </c>
      <c r="G90" s="1953" t="s">
        <v>4128</v>
      </c>
      <c r="H90" s="1975" t="s">
        <v>10</v>
      </c>
      <c r="I90" s="1712">
        <f t="shared" si="31"/>
        <v>43173.95</v>
      </c>
      <c r="J90" s="1949">
        <v>1</v>
      </c>
      <c r="K90" s="1950" t="s">
        <v>101</v>
      </c>
      <c r="L90" s="1947" t="s">
        <v>10</v>
      </c>
      <c r="M90" s="1754">
        <f t="shared" si="29"/>
        <v>43173.95</v>
      </c>
      <c r="N90" s="1712"/>
      <c r="O90" s="1712">
        <f t="shared" si="32"/>
        <v>0</v>
      </c>
      <c r="P90" s="1712">
        <f t="shared" si="33"/>
        <v>0</v>
      </c>
      <c r="Q90" s="1712">
        <f t="shared" si="34"/>
        <v>0</v>
      </c>
      <c r="R90" s="1757">
        <v>0.09</v>
      </c>
      <c r="S90" s="1712">
        <f t="shared" si="30"/>
        <v>0</v>
      </c>
      <c r="T90" s="1712">
        <f t="shared" si="27"/>
        <v>0</v>
      </c>
      <c r="U90" s="1712">
        <f t="shared" si="28"/>
        <v>0</v>
      </c>
      <c r="V90" s="2015"/>
    </row>
    <row r="91" spans="1:22" s="1942" customFormat="1" ht="24" outlineLevel="3">
      <c r="A91" s="1813" t="s">
        <v>3074</v>
      </c>
      <c r="B91" s="1978" t="s">
        <v>3504</v>
      </c>
      <c r="C91" s="1810"/>
      <c r="D91" s="2017" t="s">
        <v>3505</v>
      </c>
      <c r="E91" s="2009" t="s">
        <v>3506</v>
      </c>
      <c r="F91" s="1462" t="s">
        <v>455</v>
      </c>
      <c r="G91" s="1953" t="s">
        <v>4128</v>
      </c>
      <c r="H91" s="1975" t="s">
        <v>10</v>
      </c>
      <c r="I91" s="1712">
        <f t="shared" si="31"/>
        <v>43173.95</v>
      </c>
      <c r="J91" s="1949">
        <v>1</v>
      </c>
      <c r="K91" s="1950" t="s">
        <v>101</v>
      </c>
      <c r="L91" s="1947" t="s">
        <v>10</v>
      </c>
      <c r="M91" s="1754">
        <f t="shared" si="29"/>
        <v>43173.95</v>
      </c>
      <c r="N91" s="1712"/>
      <c r="O91" s="1712">
        <f t="shared" si="32"/>
        <v>0</v>
      </c>
      <c r="P91" s="1712">
        <f t="shared" si="33"/>
        <v>0</v>
      </c>
      <c r="Q91" s="1712">
        <f t="shared" si="34"/>
        <v>0</v>
      </c>
      <c r="R91" s="1757">
        <v>0.09</v>
      </c>
      <c r="S91" s="1712">
        <f t="shared" si="30"/>
        <v>0</v>
      </c>
      <c r="T91" s="1712">
        <f t="shared" si="27"/>
        <v>0</v>
      </c>
      <c r="U91" s="1712">
        <f t="shared" si="28"/>
        <v>0</v>
      </c>
      <c r="V91" s="2015"/>
    </row>
    <row r="92" spans="1:22" s="1942" customFormat="1" ht="24" outlineLevel="3">
      <c r="A92" s="1813" t="s">
        <v>3074</v>
      </c>
      <c r="B92" s="1978" t="s">
        <v>3507</v>
      </c>
      <c r="C92" s="1810"/>
      <c r="D92" s="2017" t="s">
        <v>3508</v>
      </c>
      <c r="E92" s="2009" t="s">
        <v>3509</v>
      </c>
      <c r="F92" s="1462" t="s">
        <v>455</v>
      </c>
      <c r="G92" s="1953" t="s">
        <v>4128</v>
      </c>
      <c r="H92" s="1975" t="s">
        <v>10</v>
      </c>
      <c r="I92" s="1712">
        <f t="shared" si="31"/>
        <v>43173.95</v>
      </c>
      <c r="J92" s="1949">
        <v>1</v>
      </c>
      <c r="K92" s="1950" t="s">
        <v>101</v>
      </c>
      <c r="L92" s="1947" t="s">
        <v>10</v>
      </c>
      <c r="M92" s="1754">
        <f t="shared" si="29"/>
        <v>43173.95</v>
      </c>
      <c r="N92" s="1712"/>
      <c r="O92" s="1712">
        <f t="shared" si="32"/>
        <v>0</v>
      </c>
      <c r="P92" s="1712">
        <f t="shared" si="33"/>
        <v>0</v>
      </c>
      <c r="Q92" s="1712">
        <f t="shared" si="34"/>
        <v>0</v>
      </c>
      <c r="R92" s="1757">
        <v>0.09</v>
      </c>
      <c r="S92" s="1712">
        <f t="shared" si="30"/>
        <v>0</v>
      </c>
      <c r="T92" s="1712">
        <f t="shared" si="27"/>
        <v>0</v>
      </c>
      <c r="U92" s="1712">
        <f t="shared" si="28"/>
        <v>0</v>
      </c>
      <c r="V92" s="2015"/>
    </row>
    <row r="93" spans="1:22" s="1942" customFormat="1" ht="24" outlineLevel="3">
      <c r="A93" s="1813" t="s">
        <v>3074</v>
      </c>
      <c r="B93" s="1978" t="s">
        <v>3510</v>
      </c>
      <c r="C93" s="1810"/>
      <c r="D93" s="2017" t="s">
        <v>3511</v>
      </c>
      <c r="E93" s="2009" t="s">
        <v>3512</v>
      </c>
      <c r="F93" s="1462" t="s">
        <v>455</v>
      </c>
      <c r="G93" s="1953" t="s">
        <v>4128</v>
      </c>
      <c r="H93" s="1975" t="s">
        <v>10</v>
      </c>
      <c r="I93" s="1712">
        <f t="shared" si="31"/>
        <v>43173.95</v>
      </c>
      <c r="J93" s="1949">
        <v>1</v>
      </c>
      <c r="K93" s="1950" t="s">
        <v>101</v>
      </c>
      <c r="L93" s="1947" t="s">
        <v>10</v>
      </c>
      <c r="M93" s="1754">
        <f t="shared" si="29"/>
        <v>43173.95</v>
      </c>
      <c r="N93" s="1712"/>
      <c r="O93" s="1712">
        <f t="shared" si="32"/>
        <v>0</v>
      </c>
      <c r="P93" s="1712">
        <f t="shared" si="33"/>
        <v>0</v>
      </c>
      <c r="Q93" s="1712">
        <f t="shared" si="34"/>
        <v>0</v>
      </c>
      <c r="R93" s="1757">
        <v>0.09</v>
      </c>
      <c r="S93" s="1712">
        <f t="shared" si="30"/>
        <v>0</v>
      </c>
      <c r="T93" s="1712">
        <f t="shared" si="27"/>
        <v>0</v>
      </c>
      <c r="U93" s="1712">
        <f t="shared" si="28"/>
        <v>0</v>
      </c>
      <c r="V93" s="2015"/>
    </row>
    <row r="94" spans="1:22" s="1942" customFormat="1" ht="24" outlineLevel="2">
      <c r="A94" s="1813" t="s">
        <v>3074</v>
      </c>
      <c r="B94" s="1978" t="s">
        <v>3513</v>
      </c>
      <c r="C94" s="1810"/>
      <c r="D94" s="2008" t="s">
        <v>3514</v>
      </c>
      <c r="E94" s="2009" t="s">
        <v>3515</v>
      </c>
      <c r="F94" s="1462" t="s">
        <v>455</v>
      </c>
      <c r="G94" s="1953" t="s">
        <v>4128</v>
      </c>
      <c r="H94" s="1975" t="s">
        <v>10</v>
      </c>
      <c r="I94" s="1712">
        <f t="shared" si="31"/>
        <v>43173.95</v>
      </c>
      <c r="J94" s="1949">
        <v>1</v>
      </c>
      <c r="K94" s="1950" t="s">
        <v>101</v>
      </c>
      <c r="L94" s="1947" t="s">
        <v>10</v>
      </c>
      <c r="M94" s="1754">
        <f t="shared" si="29"/>
        <v>43173.95</v>
      </c>
      <c r="N94" s="1712"/>
      <c r="O94" s="1712">
        <f t="shared" si="32"/>
        <v>0</v>
      </c>
      <c r="P94" s="1712">
        <f t="shared" si="33"/>
        <v>0</v>
      </c>
      <c r="Q94" s="1712">
        <f t="shared" si="34"/>
        <v>0</v>
      </c>
      <c r="R94" s="1757">
        <v>0.09</v>
      </c>
      <c r="S94" s="1712">
        <f t="shared" si="30"/>
        <v>0</v>
      </c>
      <c r="T94" s="1712">
        <f t="shared" si="27"/>
        <v>0</v>
      </c>
      <c r="U94" s="1712">
        <f t="shared" si="28"/>
        <v>0</v>
      </c>
      <c r="V94" s="1952"/>
    </row>
    <row r="95" spans="1:22" s="1942" customFormat="1" ht="13" outlineLevel="2">
      <c r="A95" s="1944"/>
      <c r="B95" s="1978" t="s">
        <v>3516</v>
      </c>
      <c r="C95" s="1810"/>
      <c r="D95" s="2008" t="s">
        <v>3517</v>
      </c>
      <c r="E95" s="2009"/>
      <c r="F95" s="1462"/>
      <c r="G95" s="1953" t="s">
        <v>4117</v>
      </c>
      <c r="H95" s="1947"/>
      <c r="I95" s="1948"/>
      <c r="J95" s="1949"/>
      <c r="K95" s="2016"/>
      <c r="L95" s="1947"/>
      <c r="M95" s="1754"/>
      <c r="N95" s="1712"/>
      <c r="O95" s="1712">
        <f>SUBTOTAL(9,O96:O98)</f>
        <v>0</v>
      </c>
      <c r="P95" s="1983"/>
      <c r="Q95" s="1712">
        <f>SUBTOTAL(9,Q96:Q98)</f>
        <v>0</v>
      </c>
      <c r="R95" s="1757"/>
      <c r="S95" s="1712">
        <f>SUBTOTAL(9,S96:S98)</f>
        <v>0</v>
      </c>
      <c r="T95" s="1712">
        <f t="shared" si="27"/>
        <v>0</v>
      </c>
      <c r="U95" s="1712">
        <f t="shared" si="28"/>
        <v>0</v>
      </c>
      <c r="V95" s="2015"/>
    </row>
    <row r="96" spans="1:22" s="1942" customFormat="1" ht="24" outlineLevel="3">
      <c r="A96" s="1813" t="s">
        <v>3091</v>
      </c>
      <c r="B96" s="1978" t="s">
        <v>3518</v>
      </c>
      <c r="C96" s="1810"/>
      <c r="D96" s="2008" t="s">
        <v>3519</v>
      </c>
      <c r="E96" s="2009" t="s">
        <v>3520</v>
      </c>
      <c r="F96" s="1462" t="s">
        <v>3521</v>
      </c>
      <c r="G96" s="1953" t="s">
        <v>4139</v>
      </c>
      <c r="H96" s="1947" t="s">
        <v>10</v>
      </c>
      <c r="I96" s="1712">
        <f t="shared" si="31"/>
        <v>43173.95</v>
      </c>
      <c r="J96" s="1949">
        <v>1</v>
      </c>
      <c r="K96" s="1950" t="s">
        <v>101</v>
      </c>
      <c r="L96" s="1947" t="s">
        <v>10</v>
      </c>
      <c r="M96" s="1754">
        <f>ROUND(I96,2)*ROUND(J96,4)</f>
        <v>43173.95</v>
      </c>
      <c r="N96" s="1712"/>
      <c r="O96" s="1712">
        <f>ROUND(M96*ROUND(N96,2)/10000,6)</f>
        <v>0</v>
      </c>
      <c r="P96" s="1712">
        <f>IFERROR(ROUND(Q96*10000/M96,2),0)</f>
        <v>0</v>
      </c>
      <c r="Q96" s="1712">
        <f>ROUND(O96/(1+R96),6)</f>
        <v>0</v>
      </c>
      <c r="R96" s="1757">
        <v>0.13</v>
      </c>
      <c r="S96" s="1712">
        <f>O96-Q96</f>
        <v>0</v>
      </c>
      <c r="T96" s="1712">
        <f t="shared" si="27"/>
        <v>0</v>
      </c>
      <c r="U96" s="1712">
        <f t="shared" si="28"/>
        <v>0</v>
      </c>
      <c r="V96" s="2015"/>
    </row>
    <row r="97" spans="1:22" s="1942" customFormat="1" ht="24" outlineLevel="3">
      <c r="A97" s="1813" t="s">
        <v>3091</v>
      </c>
      <c r="B97" s="1978" t="s">
        <v>3522</v>
      </c>
      <c r="C97" s="1810"/>
      <c r="D97" s="2008" t="s">
        <v>3523</v>
      </c>
      <c r="E97" s="2009" t="s">
        <v>3524</v>
      </c>
      <c r="F97" s="1462" t="s">
        <v>3521</v>
      </c>
      <c r="G97" s="1953" t="s">
        <v>4139</v>
      </c>
      <c r="H97" s="1975" t="s">
        <v>10</v>
      </c>
      <c r="I97" s="1712">
        <f t="shared" si="31"/>
        <v>43173.95</v>
      </c>
      <c r="J97" s="1949">
        <v>1</v>
      </c>
      <c r="K97" s="1950" t="s">
        <v>101</v>
      </c>
      <c r="L97" s="1947" t="s">
        <v>10</v>
      </c>
      <c r="M97" s="1754">
        <f>ROUND(I97,2)*ROUND(J97,4)</f>
        <v>43173.95</v>
      </c>
      <c r="N97" s="1712"/>
      <c r="O97" s="1712">
        <f>ROUND(M97*ROUND(N97,2)/10000,6)</f>
        <v>0</v>
      </c>
      <c r="P97" s="1712">
        <f>IFERROR(ROUND(Q97*10000/M97,2),0)</f>
        <v>0</v>
      </c>
      <c r="Q97" s="1712">
        <f>ROUND(O97/(1+R97),6)</f>
        <v>0</v>
      </c>
      <c r="R97" s="1757">
        <v>0.13</v>
      </c>
      <c r="S97" s="1712">
        <f>O97-Q97</f>
        <v>0</v>
      </c>
      <c r="T97" s="1712">
        <f t="shared" si="27"/>
        <v>0</v>
      </c>
      <c r="U97" s="1712">
        <f t="shared" si="28"/>
        <v>0</v>
      </c>
      <c r="V97" s="2015"/>
    </row>
    <row r="98" spans="1:22" s="1942" customFormat="1" ht="24" outlineLevel="3">
      <c r="A98" s="1813" t="s">
        <v>3091</v>
      </c>
      <c r="B98" s="1978" t="s">
        <v>3525</v>
      </c>
      <c r="C98" s="1810"/>
      <c r="D98" s="2008" t="s">
        <v>3526</v>
      </c>
      <c r="E98" s="2009" t="s">
        <v>3527</v>
      </c>
      <c r="F98" s="1462" t="s">
        <v>3521</v>
      </c>
      <c r="G98" s="1953" t="s">
        <v>4139</v>
      </c>
      <c r="H98" s="1975" t="s">
        <v>10</v>
      </c>
      <c r="I98" s="1712">
        <f t="shared" si="31"/>
        <v>43173.95</v>
      </c>
      <c r="J98" s="1949">
        <v>1</v>
      </c>
      <c r="K98" s="1950" t="s">
        <v>101</v>
      </c>
      <c r="L98" s="1947" t="s">
        <v>10</v>
      </c>
      <c r="M98" s="1754">
        <f>ROUND(I98,2)*ROUND(J98,4)</f>
        <v>43173.95</v>
      </c>
      <c r="N98" s="1712"/>
      <c r="O98" s="1712">
        <f>ROUND(M98*ROUND(N98,2)/10000,6)</f>
        <v>0</v>
      </c>
      <c r="P98" s="1712">
        <f>IFERROR(ROUND(Q98*10000/M98,2),0)</f>
        <v>0</v>
      </c>
      <c r="Q98" s="1712">
        <f>ROUND(O98/(1+R98),6)</f>
        <v>0</v>
      </c>
      <c r="R98" s="1757">
        <v>0.13</v>
      </c>
      <c r="S98" s="1712">
        <f>O98-Q98</f>
        <v>0</v>
      </c>
      <c r="T98" s="1712">
        <f t="shared" si="27"/>
        <v>0</v>
      </c>
      <c r="U98" s="1712">
        <f t="shared" si="28"/>
        <v>0</v>
      </c>
      <c r="V98" s="2015"/>
    </row>
    <row r="99" spans="1:22" s="1942" customFormat="1" ht="13" outlineLevel="2">
      <c r="A99" s="1944"/>
      <c r="B99" s="1978" t="s">
        <v>3528</v>
      </c>
      <c r="C99" s="1810"/>
      <c r="D99" s="2017" t="s">
        <v>3529</v>
      </c>
      <c r="E99" s="2009" t="s">
        <v>3530</v>
      </c>
      <c r="F99" s="1462" t="s">
        <v>3531</v>
      </c>
      <c r="G99" s="1953" t="s">
        <v>4140</v>
      </c>
      <c r="H99" s="1975" t="s">
        <v>10</v>
      </c>
      <c r="I99" s="1712">
        <f t="shared" si="31"/>
        <v>43173.95</v>
      </c>
      <c r="J99" s="1949">
        <v>1</v>
      </c>
      <c r="K99" s="1950" t="s">
        <v>101</v>
      </c>
      <c r="L99" s="1947" t="s">
        <v>10</v>
      </c>
      <c r="M99" s="1754">
        <f>ROUND(I99,2)*ROUND(J99,4)</f>
        <v>43173.95</v>
      </c>
      <c r="N99" s="1712"/>
      <c r="O99" s="1712">
        <f>ROUND(M99*ROUND(N99,2)/10000,6)</f>
        <v>0</v>
      </c>
      <c r="P99" s="1712">
        <f>IFERROR(ROUND(Q99*10000/M99,2),0)</f>
        <v>0</v>
      </c>
      <c r="Q99" s="1712">
        <f>ROUND(O99/(1+R99),6)</f>
        <v>0</v>
      </c>
      <c r="R99" s="1757">
        <v>0.09</v>
      </c>
      <c r="S99" s="1712">
        <f>O99-Q99</f>
        <v>0</v>
      </c>
      <c r="T99" s="1712">
        <f t="shared" si="27"/>
        <v>0</v>
      </c>
      <c r="U99" s="1712">
        <f t="shared" si="28"/>
        <v>0</v>
      </c>
      <c r="V99" s="2015"/>
    </row>
    <row r="100" spans="1:22" ht="13">
      <c r="A100" s="2019"/>
      <c r="B100" s="1684">
        <v>5001.04</v>
      </c>
      <c r="C100" s="1685" t="s">
        <v>34</v>
      </c>
      <c r="D100" s="1956" t="s">
        <v>497</v>
      </c>
      <c r="E100" s="1957"/>
      <c r="F100" s="2020"/>
      <c r="G100" s="2021" t="s">
        <v>4117</v>
      </c>
      <c r="H100" s="1959"/>
      <c r="I100" s="1960"/>
      <c r="J100" s="1961"/>
      <c r="K100" s="2022"/>
      <c r="L100" s="1959"/>
      <c r="M100" s="2022"/>
      <c r="N100" s="1963"/>
      <c r="O100" s="1963">
        <f>SUBTOTAL(9,O101:O125)</f>
        <v>2666.8117189999998</v>
      </c>
      <c r="P100" s="1963"/>
      <c r="Q100" s="1963">
        <f>SUBTOTAL(9,Q101:Q125)</f>
        <v>2403.6280819999993</v>
      </c>
      <c r="R100" s="1963"/>
      <c r="S100" s="1963">
        <f>SUBTOTAL(9,S101:S125)</f>
        <v>263.18363700000003</v>
      </c>
      <c r="T100" s="1963">
        <f t="shared" si="27"/>
        <v>556.73110336209675</v>
      </c>
      <c r="U100" s="1963">
        <f t="shared" si="28"/>
        <v>617.69000033585064</v>
      </c>
      <c r="V100" s="1964"/>
    </row>
    <row r="101" spans="1:22" ht="13" outlineLevel="1">
      <c r="A101" s="2019"/>
      <c r="B101" s="2023" t="s">
        <v>676</v>
      </c>
      <c r="C101" s="1852">
        <v>1</v>
      </c>
      <c r="D101" s="2024" t="s">
        <v>22</v>
      </c>
      <c r="E101" s="2025"/>
      <c r="F101" s="1968"/>
      <c r="G101" s="2007" t="s">
        <v>4117</v>
      </c>
      <c r="H101" s="1967"/>
      <c r="I101" s="1969"/>
      <c r="J101" s="1970"/>
      <c r="K101" s="1971"/>
      <c r="L101" s="1967"/>
      <c r="M101" s="1971"/>
      <c r="N101" s="1973">
        <f>O101/M102*10000</f>
        <v>617.69000033585064</v>
      </c>
      <c r="O101" s="1973">
        <f>SUBTOTAL(9,O102:O119)</f>
        <v>2666.8117189999998</v>
      </c>
      <c r="P101" s="1973"/>
      <c r="Q101" s="1973">
        <f>SUBTOTAL(9,Q102:Q119)</f>
        <v>2403.6280819999993</v>
      </c>
      <c r="R101" s="1973"/>
      <c r="S101" s="1973">
        <f>SUBTOTAL(9,S102:S119)</f>
        <v>263.18363700000003</v>
      </c>
      <c r="T101" s="1973">
        <f t="shared" si="27"/>
        <v>556.73110336209675</v>
      </c>
      <c r="U101" s="1973">
        <f t="shared" si="28"/>
        <v>617.69000033585064</v>
      </c>
      <c r="V101" s="1974"/>
    </row>
    <row r="102" spans="1:22" s="1942" customFormat="1" outlineLevel="2">
      <c r="A102" s="1813" t="s">
        <v>3089</v>
      </c>
      <c r="B102" s="1807" t="s">
        <v>677</v>
      </c>
      <c r="C102" s="1808"/>
      <c r="D102" s="1843" t="s">
        <v>3575</v>
      </c>
      <c r="E102" s="2009" t="s">
        <v>3576</v>
      </c>
      <c r="F102" s="1462" t="s">
        <v>3577</v>
      </c>
      <c r="G102" s="1953" t="s">
        <v>4141</v>
      </c>
      <c r="H102" s="1975" t="s">
        <v>10</v>
      </c>
      <c r="I102" s="1712">
        <f>$E$5</f>
        <v>43173.95</v>
      </c>
      <c r="J102" s="1949">
        <v>1</v>
      </c>
      <c r="K102" s="1950" t="s">
        <v>101</v>
      </c>
      <c r="L102" s="1947" t="s">
        <v>10</v>
      </c>
      <c r="M102" s="1754">
        <f t="shared" ref="M102:M123" si="35">ROUND(I102,2)*ROUND(J102,4)</f>
        <v>43173.95</v>
      </c>
      <c r="N102" s="1712">
        <f>317.609055307403-6.52</f>
        <v>311.08905530740304</v>
      </c>
      <c r="O102" s="1712">
        <f>ROUND(M102*ROUND(N102,2)/10000,6)</f>
        <v>1343.0984109999999</v>
      </c>
      <c r="P102" s="1712">
        <f>IFERROR(ROUND(Q102*10000/M102,2),0)</f>
        <v>285.39999999999998</v>
      </c>
      <c r="Q102" s="1712">
        <f>ROUND(O102/(1+R102),6)</f>
        <v>1232.2003769999999</v>
      </c>
      <c r="R102" s="1757">
        <v>0.09</v>
      </c>
      <c r="S102" s="1712">
        <f t="shared" ref="S102:S119" si="36">O102-Q102</f>
        <v>110.89803400000005</v>
      </c>
      <c r="T102" s="1712">
        <f t="shared" si="27"/>
        <v>285.40366980551931</v>
      </c>
      <c r="U102" s="1712">
        <f t="shared" si="28"/>
        <v>311.09000010422955</v>
      </c>
      <c r="V102" s="1952"/>
    </row>
    <row r="103" spans="1:22" s="1942" customFormat="1" outlineLevel="2">
      <c r="A103" s="1813" t="s">
        <v>3089</v>
      </c>
      <c r="B103" s="1807" t="s">
        <v>678</v>
      </c>
      <c r="C103" s="1808"/>
      <c r="D103" s="1843" t="s">
        <v>3578</v>
      </c>
      <c r="E103" s="2009" t="s">
        <v>3579</v>
      </c>
      <c r="F103" s="1462" t="s">
        <v>3580</v>
      </c>
      <c r="G103" s="1953" t="s">
        <v>4142</v>
      </c>
      <c r="H103" s="1975" t="s">
        <v>10</v>
      </c>
      <c r="I103" s="1712">
        <f t="shared" ref="I103:I108" si="37">+$E$5</f>
        <v>43173.95</v>
      </c>
      <c r="J103" s="1949">
        <v>1</v>
      </c>
      <c r="K103" s="1950" t="s">
        <v>4</v>
      </c>
      <c r="L103" s="1947" t="s">
        <v>4053</v>
      </c>
      <c r="M103" s="1754">
        <f t="shared" si="35"/>
        <v>43173.95</v>
      </c>
      <c r="N103" s="1712">
        <v>60.4481207476177</v>
      </c>
      <c r="O103" s="1712">
        <f t="shared" ref="O103:O119" si="38">ROUND(M103*ROUND(N103,2)/10000,6)</f>
        <v>260.98652800000002</v>
      </c>
      <c r="P103" s="1712">
        <f t="shared" ref="P103:P119" si="39">IFERROR(ROUND(Q103*10000/M103,2),0)</f>
        <v>53.5</v>
      </c>
      <c r="Q103" s="1712">
        <f t="shared" ref="Q103:Q119" si="40">ROUND(O103/(1+R103),6)</f>
        <v>230.96152900000001</v>
      </c>
      <c r="R103" s="1757">
        <v>0.13</v>
      </c>
      <c r="S103" s="1712">
        <f t="shared" si="36"/>
        <v>30.024999000000008</v>
      </c>
      <c r="T103" s="1712">
        <f t="shared" si="27"/>
        <v>53.495575225338435</v>
      </c>
      <c r="U103" s="1712">
        <f t="shared" si="28"/>
        <v>60.450000057905299</v>
      </c>
      <c r="V103" s="1952"/>
    </row>
    <row r="104" spans="1:22" s="1942" customFormat="1" outlineLevel="2">
      <c r="A104" s="1813" t="s">
        <v>3089</v>
      </c>
      <c r="B104" s="1807" t="s">
        <v>679</v>
      </c>
      <c r="C104" s="1808"/>
      <c r="D104" s="1843" t="s">
        <v>3581</v>
      </c>
      <c r="E104" s="2009" t="s">
        <v>3582</v>
      </c>
      <c r="F104" s="1462" t="s">
        <v>3014</v>
      </c>
      <c r="G104" s="1953" t="s">
        <v>4143</v>
      </c>
      <c r="H104" s="1975" t="s">
        <v>10</v>
      </c>
      <c r="I104" s="1712">
        <f t="shared" si="37"/>
        <v>43173.95</v>
      </c>
      <c r="J104" s="1949">
        <v>1</v>
      </c>
      <c r="K104" s="1950" t="s">
        <v>3947</v>
      </c>
      <c r="L104" s="1947" t="s">
        <v>3926</v>
      </c>
      <c r="M104" s="1754">
        <f t="shared" si="35"/>
        <v>43173.95</v>
      </c>
      <c r="N104" s="1712">
        <v>77.605562233344003</v>
      </c>
      <c r="O104" s="1712">
        <f t="shared" si="38"/>
        <v>335.07302600000003</v>
      </c>
      <c r="P104" s="1712">
        <f t="shared" si="39"/>
        <v>68.680000000000007</v>
      </c>
      <c r="Q104" s="1712">
        <f t="shared" si="40"/>
        <v>296.52480200000002</v>
      </c>
      <c r="R104" s="1757">
        <v>0.13</v>
      </c>
      <c r="S104" s="1712">
        <f t="shared" si="36"/>
        <v>38.548224000000005</v>
      </c>
      <c r="T104" s="1712">
        <f t="shared" si="27"/>
        <v>68.681415992745627</v>
      </c>
      <c r="U104" s="1712">
        <f t="shared" si="28"/>
        <v>77.610000011581064</v>
      </c>
      <c r="V104" s="1952"/>
    </row>
    <row r="105" spans="1:22" s="1942" customFormat="1" outlineLevel="2">
      <c r="A105" s="1813" t="s">
        <v>3089</v>
      </c>
      <c r="B105" s="1807" t="s">
        <v>680</v>
      </c>
      <c r="C105" s="1808"/>
      <c r="D105" s="1843" t="s">
        <v>3583</v>
      </c>
      <c r="E105" s="2009" t="s">
        <v>3584</v>
      </c>
      <c r="F105" s="1462" t="s">
        <v>1329</v>
      </c>
      <c r="G105" s="1953" t="s">
        <v>4132</v>
      </c>
      <c r="H105" s="1975" t="s">
        <v>10</v>
      </c>
      <c r="I105" s="1712">
        <f t="shared" si="37"/>
        <v>43173.95</v>
      </c>
      <c r="J105" s="1949">
        <v>1</v>
      </c>
      <c r="K105" s="1950" t="s">
        <v>4</v>
      </c>
      <c r="L105" s="1947" t="s">
        <v>4054</v>
      </c>
      <c r="M105" s="1754">
        <f t="shared" si="35"/>
        <v>43173.95</v>
      </c>
      <c r="N105" s="1712">
        <v>0</v>
      </c>
      <c r="O105" s="1712">
        <f t="shared" si="38"/>
        <v>0</v>
      </c>
      <c r="P105" s="1712">
        <f t="shared" si="39"/>
        <v>0</v>
      </c>
      <c r="Q105" s="1712">
        <f t="shared" si="40"/>
        <v>0</v>
      </c>
      <c r="R105" s="1757">
        <v>0.13</v>
      </c>
      <c r="S105" s="1712">
        <f t="shared" si="36"/>
        <v>0</v>
      </c>
      <c r="T105" s="1712">
        <f t="shared" si="27"/>
        <v>0</v>
      </c>
      <c r="U105" s="1712">
        <f t="shared" si="28"/>
        <v>0</v>
      </c>
      <c r="V105" s="1952"/>
    </row>
    <row r="106" spans="1:22" s="1942" customFormat="1" outlineLevel="2">
      <c r="A106" s="1813" t="s">
        <v>3089</v>
      </c>
      <c r="B106" s="1807" t="s">
        <v>681</v>
      </c>
      <c r="C106" s="1808"/>
      <c r="D106" s="1843" t="s">
        <v>3585</v>
      </c>
      <c r="E106" s="2009" t="s">
        <v>3586</v>
      </c>
      <c r="F106" s="1462" t="s">
        <v>450</v>
      </c>
      <c r="G106" s="1953" t="s">
        <v>4144</v>
      </c>
      <c r="H106" s="1975" t="s">
        <v>10</v>
      </c>
      <c r="I106" s="1712">
        <f t="shared" si="37"/>
        <v>43173.95</v>
      </c>
      <c r="J106" s="1949">
        <v>1</v>
      </c>
      <c r="K106" s="1950" t="s">
        <v>101</v>
      </c>
      <c r="L106" s="1947" t="s">
        <v>10</v>
      </c>
      <c r="M106" s="1754">
        <f t="shared" si="35"/>
        <v>43173.95</v>
      </c>
      <c r="N106" s="1712">
        <v>36.038013102877699</v>
      </c>
      <c r="O106" s="1712">
        <f t="shared" si="38"/>
        <v>155.598916</v>
      </c>
      <c r="P106" s="1712">
        <f t="shared" si="39"/>
        <v>31.89</v>
      </c>
      <c r="Q106" s="1712">
        <f t="shared" si="40"/>
        <v>137.69815600000001</v>
      </c>
      <c r="R106" s="1757">
        <v>0.13</v>
      </c>
      <c r="S106" s="1712">
        <f t="shared" si="36"/>
        <v>17.900759999999991</v>
      </c>
      <c r="T106" s="1712">
        <f t="shared" si="27"/>
        <v>31.893805408122262</v>
      </c>
      <c r="U106" s="1712">
        <f t="shared" si="28"/>
        <v>36.040000046324231</v>
      </c>
      <c r="V106" s="1952"/>
    </row>
    <row r="107" spans="1:22" s="1942" customFormat="1" outlineLevel="2">
      <c r="A107" s="1813" t="s">
        <v>3089</v>
      </c>
      <c r="B107" s="1807" t="s">
        <v>682</v>
      </c>
      <c r="C107" s="1808"/>
      <c r="D107" s="1843" t="s">
        <v>3587</v>
      </c>
      <c r="E107" s="2009" t="s">
        <v>3588</v>
      </c>
      <c r="F107" s="1462" t="s">
        <v>1329</v>
      </c>
      <c r="G107" s="1953" t="s">
        <v>4132</v>
      </c>
      <c r="H107" s="1975" t="s">
        <v>10</v>
      </c>
      <c r="I107" s="1712">
        <f t="shared" si="37"/>
        <v>43173.95</v>
      </c>
      <c r="J107" s="1949">
        <v>1</v>
      </c>
      <c r="K107" s="1950" t="s">
        <v>4</v>
      </c>
      <c r="L107" s="1947" t="s">
        <v>4055</v>
      </c>
      <c r="M107" s="1754">
        <f t="shared" si="35"/>
        <v>43173.95</v>
      </c>
      <c r="N107" s="1712">
        <v>0</v>
      </c>
      <c r="O107" s="1712">
        <f t="shared" si="38"/>
        <v>0</v>
      </c>
      <c r="P107" s="1712">
        <f t="shared" si="39"/>
        <v>0</v>
      </c>
      <c r="Q107" s="1712">
        <f t="shared" si="40"/>
        <v>0</v>
      </c>
      <c r="R107" s="1757">
        <v>0.13</v>
      </c>
      <c r="S107" s="1712">
        <f t="shared" si="36"/>
        <v>0</v>
      </c>
      <c r="T107" s="1712">
        <f t="shared" si="27"/>
        <v>0</v>
      </c>
      <c r="U107" s="1712">
        <f t="shared" si="28"/>
        <v>0</v>
      </c>
      <c r="V107" s="1952"/>
    </row>
    <row r="108" spans="1:22" s="1942" customFormat="1" outlineLevel="2">
      <c r="A108" s="1813" t="s">
        <v>3089</v>
      </c>
      <c r="B108" s="1807" t="s">
        <v>683</v>
      </c>
      <c r="C108" s="1808"/>
      <c r="D108" s="1843" t="s">
        <v>3589</v>
      </c>
      <c r="E108" s="2009" t="s">
        <v>3590</v>
      </c>
      <c r="F108" s="1462" t="s">
        <v>1548</v>
      </c>
      <c r="G108" s="1953" t="s">
        <v>4145</v>
      </c>
      <c r="H108" s="1975" t="s">
        <v>10</v>
      </c>
      <c r="I108" s="1712">
        <f t="shared" si="37"/>
        <v>43173.95</v>
      </c>
      <c r="J108" s="1949">
        <v>1</v>
      </c>
      <c r="K108" s="1950" t="s">
        <v>3947</v>
      </c>
      <c r="L108" s="1947" t="s">
        <v>3926</v>
      </c>
      <c r="M108" s="1754">
        <f t="shared" si="35"/>
        <v>43173.95</v>
      </c>
      <c r="N108" s="1712">
        <v>33.799675956868199</v>
      </c>
      <c r="O108" s="1712">
        <f t="shared" si="38"/>
        <v>145.92795100000001</v>
      </c>
      <c r="P108" s="1712">
        <f t="shared" si="39"/>
        <v>29.91</v>
      </c>
      <c r="Q108" s="1712">
        <f t="shared" si="40"/>
        <v>129.13978</v>
      </c>
      <c r="R108" s="1757">
        <v>0.13</v>
      </c>
      <c r="S108" s="1712">
        <f t="shared" si="36"/>
        <v>16.788171000000006</v>
      </c>
      <c r="T108" s="1712">
        <f t="shared" si="27"/>
        <v>29.911504506768551</v>
      </c>
      <c r="U108" s="1712">
        <f t="shared" si="28"/>
        <v>33.800000000000004</v>
      </c>
      <c r="V108" s="1952"/>
    </row>
    <row r="109" spans="1:22" s="1942" customFormat="1" outlineLevel="2">
      <c r="A109" s="1813" t="s">
        <v>3089</v>
      </c>
      <c r="B109" s="1807" t="s">
        <v>1549</v>
      </c>
      <c r="C109" s="1808"/>
      <c r="D109" s="1843" t="s">
        <v>3591</v>
      </c>
      <c r="E109" s="2009" t="s">
        <v>3592</v>
      </c>
      <c r="F109" s="1462" t="s">
        <v>3593</v>
      </c>
      <c r="G109" s="1953" t="s">
        <v>4146</v>
      </c>
      <c r="H109" s="1975" t="s">
        <v>10</v>
      </c>
      <c r="I109" s="1712">
        <f>$E$5</f>
        <v>43173.95</v>
      </c>
      <c r="J109" s="1949">
        <v>1</v>
      </c>
      <c r="K109" s="1950" t="s">
        <v>101</v>
      </c>
      <c r="L109" s="1947" t="s">
        <v>10</v>
      </c>
      <c r="M109" s="1754">
        <f t="shared" si="35"/>
        <v>43173.95</v>
      </c>
      <c r="N109" s="1712">
        <v>37.039885038129803</v>
      </c>
      <c r="O109" s="1712">
        <f t="shared" si="38"/>
        <v>159.91631100000001</v>
      </c>
      <c r="P109" s="1712">
        <f t="shared" si="39"/>
        <v>32.78</v>
      </c>
      <c r="Q109" s="1712">
        <f t="shared" si="40"/>
        <v>141.51885899999999</v>
      </c>
      <c r="R109" s="1757">
        <v>0.13</v>
      </c>
      <c r="S109" s="1712">
        <f t="shared" si="36"/>
        <v>18.397452000000015</v>
      </c>
      <c r="T109" s="1712">
        <f t="shared" si="27"/>
        <v>32.778761035300221</v>
      </c>
      <c r="U109" s="1712">
        <f t="shared" si="28"/>
        <v>37.040000046324238</v>
      </c>
      <c r="V109" s="1952"/>
    </row>
    <row r="110" spans="1:22" s="1942" customFormat="1" outlineLevel="2">
      <c r="A110" s="1813" t="s">
        <v>3089</v>
      </c>
      <c r="B110" s="1807" t="s">
        <v>684</v>
      </c>
      <c r="C110" s="1808"/>
      <c r="D110" s="1843" t="s">
        <v>3594</v>
      </c>
      <c r="E110" s="2009" t="s">
        <v>3595</v>
      </c>
      <c r="F110" s="1462" t="s">
        <v>1329</v>
      </c>
      <c r="G110" s="1953" t="s">
        <v>4132</v>
      </c>
      <c r="H110" s="1975" t="s">
        <v>10</v>
      </c>
      <c r="I110" s="1712">
        <f t="shared" ref="I110:I125" si="41">$E$5</f>
        <v>43173.95</v>
      </c>
      <c r="J110" s="1949">
        <v>1</v>
      </c>
      <c r="K110" s="1950" t="s">
        <v>101</v>
      </c>
      <c r="L110" s="1947" t="s">
        <v>10</v>
      </c>
      <c r="M110" s="1754">
        <f t="shared" si="35"/>
        <v>43173.95</v>
      </c>
      <c r="N110" s="1712">
        <v>0</v>
      </c>
      <c r="O110" s="1712">
        <f t="shared" si="38"/>
        <v>0</v>
      </c>
      <c r="P110" s="1712">
        <f t="shared" si="39"/>
        <v>0</v>
      </c>
      <c r="Q110" s="1712">
        <f t="shared" si="40"/>
        <v>0</v>
      </c>
      <c r="R110" s="1757">
        <v>0.13</v>
      </c>
      <c r="S110" s="1712">
        <f t="shared" si="36"/>
        <v>0</v>
      </c>
      <c r="T110" s="1712">
        <f t="shared" si="27"/>
        <v>0</v>
      </c>
      <c r="U110" s="1712">
        <f t="shared" si="28"/>
        <v>0</v>
      </c>
      <c r="V110" s="1952"/>
    </row>
    <row r="111" spans="1:22" s="1942" customFormat="1" outlineLevel="2">
      <c r="A111" s="1813" t="s">
        <v>3089</v>
      </c>
      <c r="B111" s="1807" t="s">
        <v>685</v>
      </c>
      <c r="C111" s="1808"/>
      <c r="D111" s="1843" t="s">
        <v>3596</v>
      </c>
      <c r="E111" s="2009" t="s">
        <v>3597</v>
      </c>
      <c r="F111" s="1462" t="s">
        <v>1329</v>
      </c>
      <c r="G111" s="1953" t="s">
        <v>4132</v>
      </c>
      <c r="H111" s="1975" t="s">
        <v>10</v>
      </c>
      <c r="I111" s="1712">
        <f t="shared" si="41"/>
        <v>43173.95</v>
      </c>
      <c r="J111" s="1949">
        <v>1</v>
      </c>
      <c r="K111" s="1950" t="s">
        <v>101</v>
      </c>
      <c r="L111" s="1947" t="s">
        <v>10</v>
      </c>
      <c r="M111" s="1754">
        <f t="shared" si="35"/>
        <v>43173.95</v>
      </c>
      <c r="N111" s="1712">
        <v>2.8631282172293702</v>
      </c>
      <c r="O111" s="1712">
        <f t="shared" si="38"/>
        <v>12.34775</v>
      </c>
      <c r="P111" s="1712">
        <f t="shared" si="39"/>
        <v>2.5299999999999998</v>
      </c>
      <c r="Q111" s="1712">
        <f t="shared" si="40"/>
        <v>10.927212000000001</v>
      </c>
      <c r="R111" s="1757">
        <v>0.13</v>
      </c>
      <c r="S111" s="1712">
        <f t="shared" si="36"/>
        <v>1.4205379999999987</v>
      </c>
      <c r="T111" s="1712">
        <f t="shared" si="27"/>
        <v>2.5309734226310083</v>
      </c>
      <c r="U111" s="1712">
        <f t="shared" si="28"/>
        <v>2.8600000694863454</v>
      </c>
      <c r="V111" s="1952"/>
    </row>
    <row r="112" spans="1:22" s="1942" customFormat="1" outlineLevel="2">
      <c r="A112" s="1813" t="s">
        <v>3089</v>
      </c>
      <c r="B112" s="1807" t="s">
        <v>686</v>
      </c>
      <c r="C112" s="1808"/>
      <c r="D112" s="1843" t="s">
        <v>3598</v>
      </c>
      <c r="E112" s="2009" t="s">
        <v>3599</v>
      </c>
      <c r="F112" s="1462" t="s">
        <v>1329</v>
      </c>
      <c r="G112" s="1953" t="s">
        <v>4132</v>
      </c>
      <c r="H112" s="1975" t="s">
        <v>10</v>
      </c>
      <c r="I112" s="1712">
        <f t="shared" si="41"/>
        <v>43173.95</v>
      </c>
      <c r="J112" s="1949">
        <v>1</v>
      </c>
      <c r="K112" s="1950" t="s">
        <v>101</v>
      </c>
      <c r="L112" s="1947" t="s">
        <v>10</v>
      </c>
      <c r="M112" s="1754">
        <f t="shared" si="35"/>
        <v>43173.95</v>
      </c>
      <c r="N112" s="1712">
        <v>0</v>
      </c>
      <c r="O112" s="1712">
        <f t="shared" si="38"/>
        <v>0</v>
      </c>
      <c r="P112" s="1712">
        <f t="shared" si="39"/>
        <v>0</v>
      </c>
      <c r="Q112" s="1712">
        <f t="shared" si="40"/>
        <v>0</v>
      </c>
      <c r="R112" s="1757">
        <v>0.13</v>
      </c>
      <c r="S112" s="1712">
        <f t="shared" si="36"/>
        <v>0</v>
      </c>
      <c r="T112" s="1712">
        <f t="shared" si="27"/>
        <v>0</v>
      </c>
      <c r="U112" s="1712">
        <f t="shared" si="28"/>
        <v>0</v>
      </c>
      <c r="V112" s="1952"/>
    </row>
    <row r="113" spans="1:22" s="1942" customFormat="1" outlineLevel="2">
      <c r="A113" s="1813" t="s">
        <v>3089</v>
      </c>
      <c r="B113" s="1807" t="s">
        <v>3600</v>
      </c>
      <c r="C113" s="1808"/>
      <c r="D113" s="1843" t="s">
        <v>3601</v>
      </c>
      <c r="E113" s="2009" t="s">
        <v>3602</v>
      </c>
      <c r="F113" s="1462" t="s">
        <v>1329</v>
      </c>
      <c r="G113" s="1953" t="s">
        <v>4132</v>
      </c>
      <c r="H113" s="1975" t="s">
        <v>10</v>
      </c>
      <c r="I113" s="1712">
        <f t="shared" si="41"/>
        <v>43173.95</v>
      </c>
      <c r="J113" s="1949">
        <v>1</v>
      </c>
      <c r="K113" s="1950" t="s">
        <v>101</v>
      </c>
      <c r="L113" s="1947" t="s">
        <v>10</v>
      </c>
      <c r="M113" s="1754">
        <f t="shared" si="35"/>
        <v>43173.95</v>
      </c>
      <c r="N113" s="1712">
        <v>6.7056640840189301</v>
      </c>
      <c r="O113" s="1712">
        <f t="shared" si="38"/>
        <v>28.969719999999999</v>
      </c>
      <c r="P113" s="1712">
        <f t="shared" si="39"/>
        <v>5.94</v>
      </c>
      <c r="Q113" s="1712">
        <f t="shared" si="40"/>
        <v>25.63692</v>
      </c>
      <c r="R113" s="1757">
        <v>0.13</v>
      </c>
      <c r="S113" s="1712">
        <f t="shared" si="36"/>
        <v>3.3327999999999989</v>
      </c>
      <c r="T113" s="1712">
        <f t="shared" si="27"/>
        <v>5.9380529231168335</v>
      </c>
      <c r="U113" s="1712">
        <f t="shared" si="28"/>
        <v>6.7099998957704825</v>
      </c>
      <c r="V113" s="1952"/>
    </row>
    <row r="114" spans="1:22" s="1942" customFormat="1" outlineLevel="2">
      <c r="A114" s="1813" t="s">
        <v>3089</v>
      </c>
      <c r="B114" s="1807" t="s">
        <v>3603</v>
      </c>
      <c r="C114" s="1808"/>
      <c r="D114" s="1843" t="s">
        <v>3604</v>
      </c>
      <c r="E114" s="2009" t="s">
        <v>3605</v>
      </c>
      <c r="F114" s="1462" t="s">
        <v>1329</v>
      </c>
      <c r="G114" s="1953" t="s">
        <v>4132</v>
      </c>
      <c r="H114" s="1975" t="s">
        <v>10</v>
      </c>
      <c r="I114" s="1712">
        <f t="shared" si="41"/>
        <v>43173.95</v>
      </c>
      <c r="J114" s="1949">
        <v>1</v>
      </c>
      <c r="K114" s="1950" t="s">
        <v>101</v>
      </c>
      <c r="L114" s="1947" t="s">
        <v>10</v>
      </c>
      <c r="M114" s="1754">
        <f t="shared" si="35"/>
        <v>43173.95</v>
      </c>
      <c r="N114" s="1712">
        <v>8.9375617215146193</v>
      </c>
      <c r="O114" s="1712">
        <f t="shared" si="38"/>
        <v>38.597510999999997</v>
      </c>
      <c r="P114" s="1712">
        <f t="shared" si="39"/>
        <v>7.91</v>
      </c>
      <c r="Q114" s="1712">
        <f t="shared" si="40"/>
        <v>34.157088999999999</v>
      </c>
      <c r="R114" s="1757">
        <v>0.13</v>
      </c>
      <c r="S114" s="1712">
        <f t="shared" si="36"/>
        <v>4.4404219999999981</v>
      </c>
      <c r="T114" s="1712">
        <f t="shared" si="27"/>
        <v>7.911504275147399</v>
      </c>
      <c r="U114" s="1712">
        <f t="shared" si="28"/>
        <v>8.9399999305136557</v>
      </c>
      <c r="V114" s="1952"/>
    </row>
    <row r="115" spans="1:22" s="1942" customFormat="1" outlineLevel="2">
      <c r="A115" s="1813" t="s">
        <v>3089</v>
      </c>
      <c r="B115" s="1807" t="s">
        <v>3606</v>
      </c>
      <c r="C115" s="1808"/>
      <c r="D115" s="1843" t="s">
        <v>3607</v>
      </c>
      <c r="E115" s="2009" t="s">
        <v>3608</v>
      </c>
      <c r="F115" s="1462" t="s">
        <v>1607</v>
      </c>
      <c r="G115" s="1953" t="s">
        <v>4147</v>
      </c>
      <c r="H115" s="1975" t="s">
        <v>10</v>
      </c>
      <c r="I115" s="1712">
        <f t="shared" si="41"/>
        <v>43173.95</v>
      </c>
      <c r="J115" s="1949">
        <v>1</v>
      </c>
      <c r="K115" s="1950" t="s">
        <v>101</v>
      </c>
      <c r="L115" s="1947" t="s">
        <v>10</v>
      </c>
      <c r="M115" s="1754">
        <f t="shared" si="35"/>
        <v>43173.95</v>
      </c>
      <c r="N115" s="1712">
        <v>28.834502205366299</v>
      </c>
      <c r="O115" s="1712">
        <f t="shared" si="38"/>
        <v>124.47049800000001</v>
      </c>
      <c r="P115" s="1712">
        <f t="shared" si="39"/>
        <v>25.51</v>
      </c>
      <c r="Q115" s="1712">
        <f t="shared" si="40"/>
        <v>110.15088299999999</v>
      </c>
      <c r="R115" s="1757">
        <v>0.13</v>
      </c>
      <c r="S115" s="1712">
        <f t="shared" si="36"/>
        <v>14.319615000000013</v>
      </c>
      <c r="T115" s="1712">
        <f t="shared" si="27"/>
        <v>25.513274323984717</v>
      </c>
      <c r="U115" s="1712">
        <f t="shared" si="28"/>
        <v>28.830000034743176</v>
      </c>
      <c r="V115" s="1952"/>
    </row>
    <row r="116" spans="1:22" s="1942" customFormat="1" outlineLevel="2">
      <c r="A116" s="1813" t="s">
        <v>3089</v>
      </c>
      <c r="B116" s="1807" t="s">
        <v>3609</v>
      </c>
      <c r="C116" s="1808"/>
      <c r="D116" s="1843" t="s">
        <v>3610</v>
      </c>
      <c r="E116" s="2009" t="s">
        <v>3611</v>
      </c>
      <c r="F116" s="1462" t="s">
        <v>1607</v>
      </c>
      <c r="G116" s="1953" t="s">
        <v>4147</v>
      </c>
      <c r="H116" s="1975" t="s">
        <v>10</v>
      </c>
      <c r="I116" s="1712">
        <f t="shared" si="41"/>
        <v>43173.95</v>
      </c>
      <c r="J116" s="1949">
        <v>1</v>
      </c>
      <c r="K116" s="1950" t="s">
        <v>101</v>
      </c>
      <c r="L116" s="1947" t="s">
        <v>10</v>
      </c>
      <c r="M116" s="1754">
        <f t="shared" si="35"/>
        <v>43173.95</v>
      </c>
      <c r="N116" s="1712">
        <v>6.8535560147369603</v>
      </c>
      <c r="O116" s="1712">
        <f t="shared" si="38"/>
        <v>29.574155999999999</v>
      </c>
      <c r="P116" s="1712">
        <f t="shared" si="39"/>
        <v>6.06</v>
      </c>
      <c r="Q116" s="1712">
        <f t="shared" si="40"/>
        <v>26.171818999999999</v>
      </c>
      <c r="R116" s="1757">
        <v>0.13</v>
      </c>
      <c r="S116" s="1712">
        <f t="shared" si="36"/>
        <v>3.4023369999999993</v>
      </c>
      <c r="T116" s="1712">
        <f t="shared" si="27"/>
        <v>6.0619468452620158</v>
      </c>
      <c r="U116" s="1712">
        <f t="shared" si="28"/>
        <v>6.8500000579052882</v>
      </c>
      <c r="V116" s="1952"/>
    </row>
    <row r="117" spans="1:22" s="1942" customFormat="1" outlineLevel="2">
      <c r="A117" s="1813" t="s">
        <v>3089</v>
      </c>
      <c r="B117" s="1807" t="s">
        <v>3612</v>
      </c>
      <c r="C117" s="1808"/>
      <c r="D117" s="1843" t="s">
        <v>3613</v>
      </c>
      <c r="E117" s="2009" t="s">
        <v>3614</v>
      </c>
      <c r="F117" s="1462" t="s">
        <v>3615</v>
      </c>
      <c r="G117" s="1953" t="s">
        <v>4148</v>
      </c>
      <c r="H117" s="1975" t="s">
        <v>10</v>
      </c>
      <c r="I117" s="1712">
        <f t="shared" si="41"/>
        <v>43173.95</v>
      </c>
      <c r="J117" s="1949">
        <v>1</v>
      </c>
      <c r="K117" s="1950" t="s">
        <v>101</v>
      </c>
      <c r="L117" s="1947" t="s">
        <v>10</v>
      </c>
      <c r="M117" s="1754">
        <f t="shared" si="35"/>
        <v>43173.95</v>
      </c>
      <c r="N117" s="1712">
        <v>0</v>
      </c>
      <c r="O117" s="1712">
        <f t="shared" si="38"/>
        <v>0</v>
      </c>
      <c r="P117" s="1712">
        <f t="shared" si="39"/>
        <v>0</v>
      </c>
      <c r="Q117" s="1712">
        <f t="shared" si="40"/>
        <v>0</v>
      </c>
      <c r="R117" s="1757">
        <v>0.13</v>
      </c>
      <c r="S117" s="1712">
        <f t="shared" si="36"/>
        <v>0</v>
      </c>
      <c r="T117" s="1712">
        <f t="shared" si="27"/>
        <v>0</v>
      </c>
      <c r="U117" s="1712">
        <f t="shared" si="28"/>
        <v>0</v>
      </c>
      <c r="V117" s="1952"/>
    </row>
    <row r="118" spans="1:22" s="1942" customFormat="1" outlineLevel="2">
      <c r="A118" s="1813" t="s">
        <v>3089</v>
      </c>
      <c r="B118" s="1807" t="s">
        <v>3616</v>
      </c>
      <c r="C118" s="1808"/>
      <c r="D118" s="1843" t="s">
        <v>3617</v>
      </c>
      <c r="E118" s="2009" t="s">
        <v>3618</v>
      </c>
      <c r="F118" s="1462" t="s">
        <v>3521</v>
      </c>
      <c r="G118" s="1953" t="s">
        <v>4139</v>
      </c>
      <c r="H118" s="1975" t="s">
        <v>10</v>
      </c>
      <c r="I118" s="1712">
        <f t="shared" si="41"/>
        <v>43173.95</v>
      </c>
      <c r="J118" s="1949">
        <v>1</v>
      </c>
      <c r="K118" s="1950" t="s">
        <v>101</v>
      </c>
      <c r="L118" s="1947" t="s">
        <v>10</v>
      </c>
      <c r="M118" s="1754">
        <f t="shared" si="35"/>
        <v>43173.95</v>
      </c>
      <c r="N118" s="1712">
        <v>0</v>
      </c>
      <c r="O118" s="1712">
        <f t="shared" si="38"/>
        <v>0</v>
      </c>
      <c r="P118" s="1712">
        <f t="shared" si="39"/>
        <v>0</v>
      </c>
      <c r="Q118" s="1712">
        <f t="shared" si="40"/>
        <v>0</v>
      </c>
      <c r="R118" s="1757">
        <v>0.13</v>
      </c>
      <c r="S118" s="1712">
        <f t="shared" si="36"/>
        <v>0</v>
      </c>
      <c r="T118" s="1712">
        <f t="shared" si="27"/>
        <v>0</v>
      </c>
      <c r="U118" s="1712">
        <f t="shared" si="28"/>
        <v>0</v>
      </c>
      <c r="V118" s="1952"/>
    </row>
    <row r="119" spans="1:22" s="1942" customFormat="1" outlineLevel="2">
      <c r="A119" s="1813" t="s">
        <v>3089</v>
      </c>
      <c r="B119" s="1807" t="s">
        <v>3619</v>
      </c>
      <c r="C119" s="1808"/>
      <c r="D119" s="1843" t="s">
        <v>3620</v>
      </c>
      <c r="E119" s="2009" t="s">
        <v>3621</v>
      </c>
      <c r="F119" s="1462" t="s">
        <v>1329</v>
      </c>
      <c r="G119" s="1953" t="s">
        <v>4132</v>
      </c>
      <c r="H119" s="1975" t="s">
        <v>10</v>
      </c>
      <c r="I119" s="1712">
        <f t="shared" si="41"/>
        <v>43173.95</v>
      </c>
      <c r="J119" s="1949">
        <v>1</v>
      </c>
      <c r="K119" s="1950" t="s">
        <v>101</v>
      </c>
      <c r="L119" s="1947" t="s">
        <v>10</v>
      </c>
      <c r="M119" s="1754">
        <f t="shared" si="35"/>
        <v>43173.95</v>
      </c>
      <c r="N119" s="1712">
        <v>7.46689551635966</v>
      </c>
      <c r="O119" s="1712">
        <f t="shared" si="38"/>
        <v>32.250940999999997</v>
      </c>
      <c r="P119" s="1712">
        <f t="shared" si="39"/>
        <v>6.61</v>
      </c>
      <c r="Q119" s="1712">
        <f t="shared" si="40"/>
        <v>28.540655999999998</v>
      </c>
      <c r="R119" s="1757">
        <v>0.13</v>
      </c>
      <c r="S119" s="1712">
        <f t="shared" si="36"/>
        <v>3.7102849999999989</v>
      </c>
      <c r="T119" s="1712">
        <f t="shared" si="27"/>
        <v>6.610619598160465</v>
      </c>
      <c r="U119" s="1712">
        <f t="shared" si="28"/>
        <v>7.4700000810674032</v>
      </c>
      <c r="V119" s="1952"/>
    </row>
    <row r="120" spans="1:22" ht="13" outlineLevel="1">
      <c r="A120" s="2019"/>
      <c r="B120" s="2023" t="s">
        <v>687</v>
      </c>
      <c r="C120" s="1852">
        <v>2</v>
      </c>
      <c r="D120" s="2024" t="s">
        <v>3146</v>
      </c>
      <c r="E120" s="2025"/>
      <c r="F120" s="1968"/>
      <c r="G120" s="2007" t="s">
        <v>4117</v>
      </c>
      <c r="H120" s="1967"/>
      <c r="I120" s="1969"/>
      <c r="J120" s="1970"/>
      <c r="K120" s="1971"/>
      <c r="L120" s="1967"/>
      <c r="M120" s="1971"/>
      <c r="N120" s="1973"/>
      <c r="O120" s="1973">
        <f>SUBTOTAL(9,O121:O123)</f>
        <v>0</v>
      </c>
      <c r="P120" s="1973"/>
      <c r="Q120" s="1973">
        <f>SUBTOTAL(9,Q121:Q123)</f>
        <v>0</v>
      </c>
      <c r="R120" s="1973"/>
      <c r="S120" s="1973">
        <f>SUBTOTAL(9,S121:S123)</f>
        <v>0</v>
      </c>
      <c r="T120" s="1973">
        <f t="shared" si="27"/>
        <v>0</v>
      </c>
      <c r="U120" s="1973">
        <f t="shared" si="28"/>
        <v>0</v>
      </c>
      <c r="V120" s="1974"/>
    </row>
    <row r="121" spans="1:22" s="1942" customFormat="1" ht="13" outlineLevel="2">
      <c r="A121" s="1944"/>
      <c r="B121" s="1807" t="s">
        <v>689</v>
      </c>
      <c r="C121" s="1808"/>
      <c r="D121" s="2008" t="s">
        <v>3622</v>
      </c>
      <c r="E121" s="2009" t="s">
        <v>3623</v>
      </c>
      <c r="F121" s="1462" t="s">
        <v>3624</v>
      </c>
      <c r="G121" s="1953" t="s">
        <v>4149</v>
      </c>
      <c r="H121" s="1975" t="s">
        <v>10</v>
      </c>
      <c r="I121" s="1712">
        <f t="shared" si="41"/>
        <v>43173.95</v>
      </c>
      <c r="J121" s="1949">
        <v>1</v>
      </c>
      <c r="K121" s="1950" t="s">
        <v>101</v>
      </c>
      <c r="L121" s="1947" t="s">
        <v>10</v>
      </c>
      <c r="M121" s="1754">
        <f t="shared" si="35"/>
        <v>43173.95</v>
      </c>
      <c r="N121" s="1712"/>
      <c r="O121" s="1712">
        <f>ROUND(M121*ROUND(N121,2)/10000,6)</f>
        <v>0</v>
      </c>
      <c r="P121" s="1712">
        <f>IFERROR(ROUND(Q121*10000/M121,2),0)</f>
        <v>0</v>
      </c>
      <c r="Q121" s="1712">
        <f>ROUND(O121/(1+R121),6)</f>
        <v>0</v>
      </c>
      <c r="R121" s="1757">
        <v>0.06</v>
      </c>
      <c r="S121" s="1712">
        <f>O121-Q121</f>
        <v>0</v>
      </c>
      <c r="T121" s="1712">
        <f t="shared" si="27"/>
        <v>0</v>
      </c>
      <c r="U121" s="1712">
        <f t="shared" si="28"/>
        <v>0</v>
      </c>
      <c r="V121" s="1952"/>
    </row>
    <row r="122" spans="1:22" s="1942" customFormat="1" ht="13" outlineLevel="2">
      <c r="A122" s="1944"/>
      <c r="B122" s="1807" t="s">
        <v>691</v>
      </c>
      <c r="C122" s="1808"/>
      <c r="D122" s="2008" t="s">
        <v>3625</v>
      </c>
      <c r="E122" s="2009" t="s">
        <v>3626</v>
      </c>
      <c r="F122" s="1462" t="s">
        <v>3624</v>
      </c>
      <c r="G122" s="1953" t="s">
        <v>4149</v>
      </c>
      <c r="H122" s="1975" t="s">
        <v>10</v>
      </c>
      <c r="I122" s="1712">
        <f t="shared" si="41"/>
        <v>43173.95</v>
      </c>
      <c r="J122" s="1949">
        <v>1</v>
      </c>
      <c r="K122" s="1950" t="s">
        <v>101</v>
      </c>
      <c r="L122" s="1947" t="s">
        <v>10</v>
      </c>
      <c r="M122" s="1754">
        <f t="shared" si="35"/>
        <v>43173.95</v>
      </c>
      <c r="N122" s="1712"/>
      <c r="O122" s="1712">
        <f>ROUND(M122*ROUND(N122,2)/10000,6)</f>
        <v>0</v>
      </c>
      <c r="P122" s="1712">
        <f>IFERROR(ROUND(Q122*10000/M122,2),0)</f>
        <v>0</v>
      </c>
      <c r="Q122" s="1712">
        <f>ROUND(O122/(1+R122),6)</f>
        <v>0</v>
      </c>
      <c r="R122" s="1757">
        <v>0.06</v>
      </c>
      <c r="S122" s="1712">
        <f>O122-Q122</f>
        <v>0</v>
      </c>
      <c r="T122" s="1712">
        <f t="shared" si="27"/>
        <v>0</v>
      </c>
      <c r="U122" s="1712">
        <f t="shared" si="28"/>
        <v>0</v>
      </c>
      <c r="V122" s="1952"/>
    </row>
    <row r="123" spans="1:22" s="1942" customFormat="1" ht="13" outlineLevel="2">
      <c r="A123" s="1944"/>
      <c r="B123" s="1807" t="s">
        <v>693</v>
      </c>
      <c r="C123" s="1808"/>
      <c r="D123" s="2008" t="s">
        <v>3627</v>
      </c>
      <c r="E123" s="2009" t="s">
        <v>3628</v>
      </c>
      <c r="F123" s="1462" t="s">
        <v>3624</v>
      </c>
      <c r="G123" s="1953" t="s">
        <v>4149</v>
      </c>
      <c r="H123" s="1975" t="s">
        <v>10</v>
      </c>
      <c r="I123" s="1712">
        <f t="shared" si="41"/>
        <v>43173.95</v>
      </c>
      <c r="J123" s="1949">
        <v>1</v>
      </c>
      <c r="K123" s="1950" t="s">
        <v>101</v>
      </c>
      <c r="L123" s="1947" t="s">
        <v>10</v>
      </c>
      <c r="M123" s="1754">
        <f t="shared" si="35"/>
        <v>43173.95</v>
      </c>
      <c r="N123" s="1712"/>
      <c r="O123" s="1712">
        <f>ROUND(M123*ROUND(N123,2)/10000,6)</f>
        <v>0</v>
      </c>
      <c r="P123" s="1712">
        <f>IFERROR(ROUND(Q123*10000/M123,2),0)</f>
        <v>0</v>
      </c>
      <c r="Q123" s="1712">
        <f>ROUND(O123/(1+R123),6)</f>
        <v>0</v>
      </c>
      <c r="R123" s="1757">
        <v>0.13</v>
      </c>
      <c r="S123" s="1712">
        <f>O123-Q123</f>
        <v>0</v>
      </c>
      <c r="T123" s="1712">
        <f t="shared" si="27"/>
        <v>0</v>
      </c>
      <c r="U123" s="1712">
        <f t="shared" si="28"/>
        <v>0</v>
      </c>
      <c r="V123" s="1952"/>
    </row>
    <row r="124" spans="1:22" ht="13" outlineLevel="1">
      <c r="A124" s="2019"/>
      <c r="B124" s="2023" t="s">
        <v>695</v>
      </c>
      <c r="C124" s="1852">
        <v>3</v>
      </c>
      <c r="D124" s="2024" t="s">
        <v>3147</v>
      </c>
      <c r="E124" s="2025"/>
      <c r="F124" s="2026" t="s">
        <v>1424</v>
      </c>
      <c r="G124" s="2027" t="s">
        <v>4123</v>
      </c>
      <c r="H124" s="2028" t="s">
        <v>10</v>
      </c>
      <c r="I124" s="2029">
        <f t="shared" si="41"/>
        <v>43173.95</v>
      </c>
      <c r="J124" s="2030"/>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7"/>
        <v>0</v>
      </c>
      <c r="U124" s="1973">
        <f t="shared" si="28"/>
        <v>0</v>
      </c>
      <c r="V124" s="1974"/>
    </row>
    <row r="125" spans="1:22" ht="13" outlineLevel="1">
      <c r="A125" s="2019"/>
      <c r="B125" s="2023" t="s">
        <v>697</v>
      </c>
      <c r="C125" s="1852">
        <v>4</v>
      </c>
      <c r="D125" s="2024" t="s">
        <v>3148</v>
      </c>
      <c r="E125" s="2025" t="s">
        <v>3629</v>
      </c>
      <c r="F125" s="2026" t="s">
        <v>3577</v>
      </c>
      <c r="G125" s="2027" t="s">
        <v>4141</v>
      </c>
      <c r="H125" s="2032" t="s">
        <v>10</v>
      </c>
      <c r="I125" s="2029">
        <f t="shared" si="41"/>
        <v>43173.95</v>
      </c>
      <c r="J125" s="2030"/>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7"/>
        <v>0</v>
      </c>
      <c r="U125" s="1973">
        <f t="shared" si="28"/>
        <v>0</v>
      </c>
      <c r="V125" s="1974"/>
    </row>
    <row r="126" spans="1:22" ht="13">
      <c r="A126" s="2019"/>
      <c r="B126" s="1684">
        <v>5001.05</v>
      </c>
      <c r="C126" s="1685" t="s">
        <v>379</v>
      </c>
      <c r="D126" s="1956" t="s">
        <v>498</v>
      </c>
      <c r="E126" s="1957"/>
      <c r="F126" s="2020"/>
      <c r="G126" s="2021" t="s">
        <v>4117</v>
      </c>
      <c r="H126" s="1959"/>
      <c r="I126" s="1960"/>
      <c r="J126" s="1961"/>
      <c r="K126" s="2022"/>
      <c r="L126" s="1959"/>
      <c r="M126" s="2022"/>
      <c r="N126" s="1963"/>
      <c r="O126" s="1963">
        <f>SUBTOTAL(9,O127:O202)</f>
        <v>3053.0728850000005</v>
      </c>
      <c r="P126" s="1963"/>
      <c r="Q126" s="1963">
        <f>SUBTOTAL(9,Q127:Q202)</f>
        <v>2750.9844889999999</v>
      </c>
      <c r="R126" s="1963"/>
      <c r="S126" s="1963">
        <f>SUBTOTAL(9,S127:S202)</f>
        <v>302.08839599999993</v>
      </c>
      <c r="T126" s="1963">
        <f t="shared" si="27"/>
        <v>637.18619422128393</v>
      </c>
      <c r="U126" s="1963">
        <f t="shared" si="28"/>
        <v>707.15625626100939</v>
      </c>
      <c r="V126" s="1964"/>
    </row>
    <row r="127" spans="1:22" ht="13" outlineLevel="1">
      <c r="A127" s="2019"/>
      <c r="B127" s="2023" t="s">
        <v>499</v>
      </c>
      <c r="C127" s="1852">
        <v>1</v>
      </c>
      <c r="D127" s="2024" t="s">
        <v>35</v>
      </c>
      <c r="E127" s="2025"/>
      <c r="F127" s="1968"/>
      <c r="G127" s="2007" t="s">
        <v>4117</v>
      </c>
      <c r="H127" s="1967"/>
      <c r="I127" s="1969"/>
      <c r="J127" s="1970"/>
      <c r="K127" s="1971"/>
      <c r="L127" s="1967"/>
      <c r="M127" s="1971"/>
      <c r="N127" s="1973"/>
      <c r="O127" s="1973">
        <f>SUBTOTAL(9,O128:O169)</f>
        <v>2069.041745</v>
      </c>
      <c r="P127" s="1973"/>
      <c r="Q127" s="1973">
        <f>SUBTOTAL(9,Q128:Q169)</f>
        <v>1853.6595</v>
      </c>
      <c r="R127" s="1973"/>
      <c r="S127" s="1973">
        <f>SUBTOTAL(9,S128:S169)</f>
        <v>215.38224500000001</v>
      </c>
      <c r="T127" s="1973">
        <f t="shared" si="27"/>
        <v>429.34674728626874</v>
      </c>
      <c r="U127" s="1973">
        <f t="shared" si="28"/>
        <v>479.23383081696255</v>
      </c>
      <c r="V127" s="1974"/>
    </row>
    <row r="128" spans="1:22" s="1942" customFormat="1" ht="13" outlineLevel="2">
      <c r="A128" s="1944"/>
      <c r="B128" s="1807" t="s">
        <v>700</v>
      </c>
      <c r="C128" s="1808"/>
      <c r="D128" s="2008" t="s">
        <v>701</v>
      </c>
      <c r="E128" s="2009"/>
      <c r="F128" s="1462"/>
      <c r="G128" s="1953" t="s">
        <v>4117</v>
      </c>
      <c r="H128" s="1947"/>
      <c r="I128" s="1948"/>
      <c r="J128" s="1949"/>
      <c r="K128" s="1950"/>
      <c r="L128" s="1947"/>
      <c r="M128" s="1950"/>
      <c r="N128" s="1712"/>
      <c r="O128" s="1712">
        <f>SUBTOTAL(9,O129:O143)</f>
        <v>494.78434000000004</v>
      </c>
      <c r="P128" s="1712"/>
      <c r="Q128" s="1712">
        <f>SUBTOTAL(9,Q129:Q143)</f>
        <v>449.17872100000005</v>
      </c>
      <c r="R128" s="1712"/>
      <c r="S128" s="1712">
        <f>SUBTOTAL(9,S129:S143)</f>
        <v>45.605619000000004</v>
      </c>
      <c r="T128" s="1712">
        <f t="shared" si="27"/>
        <v>104.0392924437074</v>
      </c>
      <c r="U128" s="1712">
        <f t="shared" si="28"/>
        <v>114.6025184167768</v>
      </c>
      <c r="V128" s="1952"/>
    </row>
    <row r="129" spans="1:23" s="1942" customFormat="1" ht="13" outlineLevel="3">
      <c r="A129" s="1944"/>
      <c r="B129" s="1978" t="s">
        <v>702</v>
      </c>
      <c r="C129" s="1810"/>
      <c r="D129" s="2008" t="s">
        <v>3630</v>
      </c>
      <c r="E129" s="2009" t="s">
        <v>3631</v>
      </c>
      <c r="F129" s="1462"/>
      <c r="G129" s="1953" t="s">
        <v>4117</v>
      </c>
      <c r="H129" s="1947"/>
      <c r="I129" s="1712"/>
      <c r="J129" s="2035"/>
      <c r="K129" s="1950"/>
      <c r="L129" s="1947"/>
      <c r="M129" s="1754"/>
      <c r="N129" s="1712"/>
      <c r="O129" s="1712">
        <f>SUBTOTAL(9,O130:O131)</f>
        <v>388.56555000000003</v>
      </c>
      <c r="P129" s="1983"/>
      <c r="Q129" s="1712">
        <f>SUBTOTAL(9,Q130:Q131)</f>
        <v>352.27587700000004</v>
      </c>
      <c r="R129" s="1757"/>
      <c r="S129" s="1712">
        <f>SUBTOTAL(9,S130:S131)</f>
        <v>36.289672999999993</v>
      </c>
      <c r="T129" s="1712">
        <f t="shared" si="27"/>
        <v>81.594544163783965</v>
      </c>
      <c r="U129" s="1712">
        <f t="shared" si="28"/>
        <v>90.000000000000014</v>
      </c>
      <c r="V129" s="1952"/>
    </row>
    <row r="130" spans="1:23" s="1942" customFormat="1" outlineLevel="4">
      <c r="A130" s="1813" t="s">
        <v>3084</v>
      </c>
      <c r="B130" s="1985" t="s">
        <v>801</v>
      </c>
      <c r="C130" s="1828"/>
      <c r="D130" s="2013" t="s">
        <v>4057</v>
      </c>
      <c r="E130" s="2011"/>
      <c r="F130" s="1988" t="s">
        <v>459</v>
      </c>
      <c r="G130" s="1989" t="s">
        <v>4150</v>
      </c>
      <c r="H130" s="1990" t="s">
        <v>10</v>
      </c>
      <c r="I130" s="1991">
        <f>$E$5</f>
        <v>43173.95</v>
      </c>
      <c r="J130" s="2097">
        <v>1.5</v>
      </c>
      <c r="K130" s="2000" t="s">
        <v>101</v>
      </c>
      <c r="L130" s="1990" t="s">
        <v>4058</v>
      </c>
      <c r="M130" s="1991">
        <f>ROUND(I130,2)*ROUND(J130,4)</f>
        <v>64760.924999999996</v>
      </c>
      <c r="N130" s="1756">
        <v>20</v>
      </c>
      <c r="O130" s="1991">
        <f>ROUND(M130*ROUND(N130,2)/10000,6)</f>
        <v>129.52185</v>
      </c>
      <c r="P130" s="1991">
        <f>IFERROR(ROUND(Q130*10000/M130,2),0)</f>
        <v>17.7</v>
      </c>
      <c r="Q130" s="1991">
        <f>ROUND(O130/(1+R130),6)</f>
        <v>114.621106</v>
      </c>
      <c r="R130" s="1993">
        <v>0.13</v>
      </c>
      <c r="S130" s="1991">
        <f>O130-Q130</f>
        <v>14.900744000000003</v>
      </c>
      <c r="T130" s="1991">
        <f t="shared" si="27"/>
        <v>26.5486725212773</v>
      </c>
      <c r="U130" s="1991">
        <f t="shared" si="28"/>
        <v>30.000000000000004</v>
      </c>
      <c r="V130" s="1994"/>
      <c r="W130" s="2424"/>
    </row>
    <row r="131" spans="1:23" s="1942" customFormat="1" outlineLevel="4">
      <c r="A131" s="1813" t="s">
        <v>3084</v>
      </c>
      <c r="B131" s="1985" t="s">
        <v>703</v>
      </c>
      <c r="C131" s="1828"/>
      <c r="D131" s="2013" t="s">
        <v>4059</v>
      </c>
      <c r="E131" s="2011"/>
      <c r="F131" s="1988" t="s">
        <v>1493</v>
      </c>
      <c r="G131" s="1989" t="s">
        <v>4119</v>
      </c>
      <c r="H131" s="1990" t="s">
        <v>10</v>
      </c>
      <c r="I131" s="1991">
        <f>$E$5</f>
        <v>43173.95</v>
      </c>
      <c r="J131" s="2097">
        <v>1.5</v>
      </c>
      <c r="K131" s="2000" t="s">
        <v>101</v>
      </c>
      <c r="L131" s="1990" t="s">
        <v>4058</v>
      </c>
      <c r="M131" s="1991">
        <f>ROUND(I131,2)*ROUND(J131,4)</f>
        <v>64760.924999999996</v>
      </c>
      <c r="N131" s="1756">
        <v>40</v>
      </c>
      <c r="O131" s="1991">
        <f>ROUND(M131*ROUND(N131,2)/10000,6)</f>
        <v>259.0437</v>
      </c>
      <c r="P131" s="1991">
        <f>IFERROR(ROUND(Q131*10000/M131,2),0)</f>
        <v>36.700000000000003</v>
      </c>
      <c r="Q131" s="1991">
        <f>ROUND(O131/(1+R131),6)</f>
        <v>237.65477100000001</v>
      </c>
      <c r="R131" s="1993">
        <v>0.09</v>
      </c>
      <c r="S131" s="1991">
        <f>O131-Q131</f>
        <v>21.38892899999999</v>
      </c>
      <c r="T131" s="1991">
        <f t="shared" si="27"/>
        <v>55.045871642506654</v>
      </c>
      <c r="U131" s="1991">
        <f t="shared" si="28"/>
        <v>60.000000000000007</v>
      </c>
      <c r="V131" s="1994"/>
      <c r="W131" s="2424"/>
    </row>
    <row r="132" spans="1:23" s="1942" customFormat="1" ht="13" outlineLevel="3">
      <c r="A132" s="1944"/>
      <c r="B132" s="1978" t="s">
        <v>1558</v>
      </c>
      <c r="C132" s="1810"/>
      <c r="D132" s="2008" t="s">
        <v>3632</v>
      </c>
      <c r="E132" s="2009" t="s">
        <v>3633</v>
      </c>
      <c r="F132" s="1462"/>
      <c r="G132" s="1953" t="s">
        <v>4117</v>
      </c>
      <c r="H132" s="1947"/>
      <c r="I132" s="1948"/>
      <c r="J132" s="2035"/>
      <c r="K132" s="1950"/>
      <c r="L132" s="1947"/>
      <c r="M132" s="1754"/>
      <c r="N132" s="1712"/>
      <c r="O132" s="1712">
        <f>SUBTOTAL(9,O133:O134)</f>
        <v>0</v>
      </c>
      <c r="P132" s="1983"/>
      <c r="Q132" s="1712">
        <f>SUBTOTAL(9,Q133:Q134)</f>
        <v>0</v>
      </c>
      <c r="R132" s="1757"/>
      <c r="S132" s="1712">
        <f>SUBTOTAL(9,S133:S134)</f>
        <v>0</v>
      </c>
      <c r="T132" s="1712">
        <f t="shared" si="27"/>
        <v>0</v>
      </c>
      <c r="U132" s="1712">
        <f t="shared" si="28"/>
        <v>0</v>
      </c>
      <c r="V132" s="1952"/>
    </row>
    <row r="133" spans="1:23" s="1942" customFormat="1" outlineLevel="4">
      <c r="A133" s="1813" t="s">
        <v>3084</v>
      </c>
      <c r="B133" s="1985" t="s">
        <v>802</v>
      </c>
      <c r="C133" s="1828"/>
      <c r="D133" s="2013" t="s">
        <v>1569</v>
      </c>
      <c r="E133" s="2011"/>
      <c r="F133" s="1988" t="s">
        <v>469</v>
      </c>
      <c r="G133" s="1989" t="s">
        <v>4151</v>
      </c>
      <c r="H133" s="1990" t="s">
        <v>10</v>
      </c>
      <c r="I133" s="1991">
        <f>$E$5</f>
        <v>43173.95</v>
      </c>
      <c r="J133" s="2098">
        <v>0.01</v>
      </c>
      <c r="K133" s="2000" t="s">
        <v>101</v>
      </c>
      <c r="L133" s="1990" t="s">
        <v>4060</v>
      </c>
      <c r="M133" s="1991">
        <f t="shared" ref="M133:M183" si="42">ROUND(I133,2)*ROUND(J133,4)</f>
        <v>431.73949999999996</v>
      </c>
      <c r="N133" s="1991"/>
      <c r="O133" s="1991">
        <f>ROUND(M133*ROUND(N133,2)/10000,6)</f>
        <v>0</v>
      </c>
      <c r="P133" s="1991">
        <f>IFERROR(ROUND(Q133*10000/M133,2),0)</f>
        <v>0</v>
      </c>
      <c r="Q133" s="1991">
        <f>ROUND(O133/(1+R133),6)</f>
        <v>0</v>
      </c>
      <c r="R133" s="1993">
        <v>0.13</v>
      </c>
      <c r="S133" s="1991">
        <f t="shared" ref="S133:S143" si="43">O133-Q133</f>
        <v>0</v>
      </c>
      <c r="T133" s="1991">
        <f t="shared" si="27"/>
        <v>0</v>
      </c>
      <c r="U133" s="1991">
        <f t="shared" si="28"/>
        <v>0</v>
      </c>
      <c r="V133" s="1994"/>
    </row>
    <row r="134" spans="1:23" s="1942" customFormat="1" outlineLevel="4">
      <c r="A134" s="1813" t="s">
        <v>3084</v>
      </c>
      <c r="B134" s="1985" t="s">
        <v>704</v>
      </c>
      <c r="C134" s="1828"/>
      <c r="D134" s="2013" t="s">
        <v>1571</v>
      </c>
      <c r="E134" s="2011"/>
      <c r="F134" s="1988" t="s">
        <v>3342</v>
      </c>
      <c r="G134" s="1989" t="s">
        <v>4116</v>
      </c>
      <c r="H134" s="1990" t="s">
        <v>10</v>
      </c>
      <c r="I134" s="1991">
        <f>$E$5</f>
        <v>43173.95</v>
      </c>
      <c r="J134" s="2098">
        <v>0.01</v>
      </c>
      <c r="K134" s="2000" t="s">
        <v>101</v>
      </c>
      <c r="L134" s="1990" t="s">
        <v>4060</v>
      </c>
      <c r="M134" s="1991">
        <f t="shared" si="42"/>
        <v>431.73949999999996</v>
      </c>
      <c r="N134" s="1991"/>
      <c r="O134" s="1991">
        <f>ROUND(M134*ROUND(N134,2)/10000,6)</f>
        <v>0</v>
      </c>
      <c r="P134" s="1991">
        <f>IFERROR(ROUND(Q134*10000/M134,2),0)</f>
        <v>0</v>
      </c>
      <c r="Q134" s="1991">
        <f>ROUND(O134/(1+R134),6)</f>
        <v>0</v>
      </c>
      <c r="R134" s="1993">
        <v>0.09</v>
      </c>
      <c r="S134" s="1991">
        <f t="shared" si="43"/>
        <v>0</v>
      </c>
      <c r="T134" s="1991">
        <f t="shared" si="27"/>
        <v>0</v>
      </c>
      <c r="U134" s="1991">
        <f t="shared" si="28"/>
        <v>0</v>
      </c>
      <c r="V134" s="1994"/>
    </row>
    <row r="135" spans="1:23" s="1942" customFormat="1" outlineLevel="3">
      <c r="A135" s="1813" t="s">
        <v>3084</v>
      </c>
      <c r="B135" s="1978" t="s">
        <v>1566</v>
      </c>
      <c r="C135" s="1810"/>
      <c r="D135" s="2008" t="s">
        <v>3634</v>
      </c>
      <c r="E135" s="2009" t="s">
        <v>3635</v>
      </c>
      <c r="F135" s="1462" t="s">
        <v>3832</v>
      </c>
      <c r="G135" s="1953" t="s">
        <v>4152</v>
      </c>
      <c r="H135" s="1947" t="s">
        <v>10</v>
      </c>
      <c r="I135" s="1712">
        <f>$E$5</f>
        <v>43173.95</v>
      </c>
      <c r="J135" s="2035">
        <v>0.2</v>
      </c>
      <c r="K135" s="1950" t="s">
        <v>101</v>
      </c>
      <c r="L135" s="1947" t="s">
        <v>4061</v>
      </c>
      <c r="M135" s="1754">
        <f t="shared" si="42"/>
        <v>8634.7899999999991</v>
      </c>
      <c r="N135" s="1712"/>
      <c r="O135" s="1712">
        <f>ROUND(M135*ROUND(N135,2)/10000,6)</f>
        <v>0</v>
      </c>
      <c r="P135" s="1712">
        <f>IFERROR(ROUND(Q135*10000/M135,2),0)</f>
        <v>0</v>
      </c>
      <c r="Q135" s="1712">
        <f>ROUND(O135/(1+R135),6)</f>
        <v>0</v>
      </c>
      <c r="R135" s="1757">
        <v>0.09</v>
      </c>
      <c r="S135" s="1712">
        <f t="shared" si="43"/>
        <v>0</v>
      </c>
      <c r="T135" s="1712">
        <f t="shared" si="27"/>
        <v>0</v>
      </c>
      <c r="U135" s="1712">
        <f t="shared" si="28"/>
        <v>0</v>
      </c>
      <c r="V135" s="1952"/>
    </row>
    <row r="136" spans="1:23" s="1942" customFormat="1" outlineLevel="3">
      <c r="A136" s="1813" t="s">
        <v>3084</v>
      </c>
      <c r="B136" s="1978" t="s">
        <v>1572</v>
      </c>
      <c r="C136" s="1810"/>
      <c r="D136" s="2008" t="s">
        <v>3637</v>
      </c>
      <c r="E136" s="2009" t="s">
        <v>3638</v>
      </c>
      <c r="F136" s="1462" t="s">
        <v>3636</v>
      </c>
      <c r="G136" s="1953" t="s">
        <v>4153</v>
      </c>
      <c r="H136" s="1947" t="s">
        <v>10</v>
      </c>
      <c r="I136" s="1712">
        <f t="shared" ref="I136:I143" si="44">$E$5</f>
        <v>43173.95</v>
      </c>
      <c r="J136" s="2035"/>
      <c r="K136" s="1950" t="s">
        <v>101</v>
      </c>
      <c r="L136" s="1947" t="s">
        <v>4062</v>
      </c>
      <c r="M136" s="1754">
        <f t="shared" si="42"/>
        <v>0</v>
      </c>
      <c r="N136" s="1712"/>
      <c r="O136" s="1712">
        <f t="shared" ref="O136:O143" si="45">ROUND(M136*ROUND(N136,2)/10000,6)</f>
        <v>0</v>
      </c>
      <c r="P136" s="1712">
        <f t="shared" ref="P136:P143" si="46">IFERROR(ROUND(Q136*10000/M136,2),0)</f>
        <v>0</v>
      </c>
      <c r="Q136" s="1712">
        <f t="shared" ref="Q136:Q143" si="47">ROUND(O136/(1+R136),6)</f>
        <v>0</v>
      </c>
      <c r="R136" s="1757">
        <v>0.09</v>
      </c>
      <c r="S136" s="1712">
        <f t="shared" si="43"/>
        <v>0</v>
      </c>
      <c r="T136" s="1712">
        <f t="shared" si="27"/>
        <v>0</v>
      </c>
      <c r="U136" s="1712">
        <f t="shared" si="28"/>
        <v>0</v>
      </c>
      <c r="V136" s="1952"/>
    </row>
    <row r="137" spans="1:23" s="1942" customFormat="1" outlineLevel="3">
      <c r="A137" s="1813" t="s">
        <v>3084</v>
      </c>
      <c r="B137" s="1978" t="s">
        <v>1578</v>
      </c>
      <c r="C137" s="1810"/>
      <c r="D137" s="2008" t="s">
        <v>3639</v>
      </c>
      <c r="E137" s="2009" t="s">
        <v>3640</v>
      </c>
      <c r="F137" s="1462" t="s">
        <v>3636</v>
      </c>
      <c r="G137" s="1953" t="s">
        <v>4153</v>
      </c>
      <c r="H137" s="1947" t="s">
        <v>10</v>
      </c>
      <c r="I137" s="1712">
        <f t="shared" si="44"/>
        <v>43173.95</v>
      </c>
      <c r="J137" s="2035"/>
      <c r="K137" s="1950" t="s">
        <v>101</v>
      </c>
      <c r="L137" s="1947" t="s">
        <v>4063</v>
      </c>
      <c r="M137" s="1754">
        <f t="shared" si="42"/>
        <v>0</v>
      </c>
      <c r="N137" s="1712"/>
      <c r="O137" s="1712">
        <f t="shared" si="45"/>
        <v>0</v>
      </c>
      <c r="P137" s="1712">
        <f t="shared" si="46"/>
        <v>0</v>
      </c>
      <c r="Q137" s="1712">
        <f t="shared" si="47"/>
        <v>0</v>
      </c>
      <c r="R137" s="1757">
        <v>0.09</v>
      </c>
      <c r="S137" s="1712">
        <f t="shared" si="43"/>
        <v>0</v>
      </c>
      <c r="T137" s="1712">
        <f t="shared" si="27"/>
        <v>0</v>
      </c>
      <c r="U137" s="1712">
        <f t="shared" si="28"/>
        <v>0</v>
      </c>
      <c r="V137" s="1952"/>
    </row>
    <row r="138" spans="1:23" s="1942" customFormat="1" outlineLevel="3">
      <c r="A138" s="1813" t="s">
        <v>3084</v>
      </c>
      <c r="B138" s="1978" t="s">
        <v>705</v>
      </c>
      <c r="C138" s="1810"/>
      <c r="D138" s="2008" t="s">
        <v>3641</v>
      </c>
      <c r="E138" s="2009" t="s">
        <v>3642</v>
      </c>
      <c r="F138" s="1462" t="s">
        <v>1493</v>
      </c>
      <c r="G138" s="1953" t="s">
        <v>4119</v>
      </c>
      <c r="H138" s="1947" t="s">
        <v>10</v>
      </c>
      <c r="I138" s="1712">
        <f t="shared" si="44"/>
        <v>43173.95</v>
      </c>
      <c r="J138" s="2035"/>
      <c r="K138" s="1977" t="s">
        <v>4064</v>
      </c>
      <c r="L138" s="1947" t="s">
        <v>4065</v>
      </c>
      <c r="M138" s="1754">
        <f t="shared" si="42"/>
        <v>0</v>
      </c>
      <c r="N138" s="2099"/>
      <c r="O138" s="1712">
        <f t="shared" si="45"/>
        <v>0</v>
      </c>
      <c r="P138" s="1712">
        <f t="shared" si="46"/>
        <v>0</v>
      </c>
      <c r="Q138" s="1712">
        <f t="shared" si="47"/>
        <v>0</v>
      </c>
      <c r="R138" s="1757">
        <v>0.09</v>
      </c>
      <c r="S138" s="1712">
        <f t="shared" si="43"/>
        <v>0</v>
      </c>
      <c r="T138" s="1712">
        <f t="shared" si="27"/>
        <v>0</v>
      </c>
      <c r="U138" s="1712">
        <f t="shared" si="28"/>
        <v>0</v>
      </c>
      <c r="V138" s="1952"/>
    </row>
    <row r="139" spans="1:23" s="1942" customFormat="1" outlineLevel="3">
      <c r="A139" s="1813" t="s">
        <v>3084</v>
      </c>
      <c r="B139" s="1978" t="s">
        <v>706</v>
      </c>
      <c r="C139" s="1810"/>
      <c r="D139" s="2008" t="s">
        <v>3643</v>
      </c>
      <c r="E139" s="2009" t="s">
        <v>3644</v>
      </c>
      <c r="F139" s="1462" t="s">
        <v>3636</v>
      </c>
      <c r="G139" s="1953" t="s">
        <v>4153</v>
      </c>
      <c r="H139" s="1947" t="s">
        <v>18</v>
      </c>
      <c r="I139" s="1712">
        <f>$G$5</f>
        <v>12</v>
      </c>
      <c r="J139" s="2035">
        <v>10</v>
      </c>
      <c r="K139" s="1977" t="s">
        <v>4085</v>
      </c>
      <c r="L139" s="1947" t="s">
        <v>4066</v>
      </c>
      <c r="M139" s="1754">
        <f t="shared" si="42"/>
        <v>120</v>
      </c>
      <c r="N139" s="1712">
        <v>1400</v>
      </c>
      <c r="O139" s="1712">
        <f t="shared" si="45"/>
        <v>16.8</v>
      </c>
      <c r="P139" s="1712">
        <f t="shared" si="46"/>
        <v>1238.94</v>
      </c>
      <c r="Q139" s="1712">
        <f t="shared" si="47"/>
        <v>14.867257</v>
      </c>
      <c r="R139" s="1757">
        <v>0.13</v>
      </c>
      <c r="S139" s="1712">
        <f t="shared" si="43"/>
        <v>1.9327430000000003</v>
      </c>
      <c r="T139" s="1712">
        <f t="shared" si="27"/>
        <v>3.4435711812331284</v>
      </c>
      <c r="U139" s="1712">
        <f t="shared" si="28"/>
        <v>3.8912353398287629</v>
      </c>
      <c r="V139" s="1952"/>
    </row>
    <row r="140" spans="1:23" s="1942" customFormat="1" outlineLevel="3">
      <c r="A140" s="1813" t="s">
        <v>3084</v>
      </c>
      <c r="B140" s="1978" t="s">
        <v>707</v>
      </c>
      <c r="C140" s="1810"/>
      <c r="D140" s="2008" t="s">
        <v>97</v>
      </c>
      <c r="E140" s="2009" t="s">
        <v>3645</v>
      </c>
      <c r="F140" s="1462" t="s">
        <v>470</v>
      </c>
      <c r="G140" s="1953" t="s">
        <v>4154</v>
      </c>
      <c r="H140" s="1975" t="s">
        <v>10</v>
      </c>
      <c r="I140" s="1712">
        <f t="shared" si="44"/>
        <v>43173.95</v>
      </c>
      <c r="J140" s="1949">
        <v>1</v>
      </c>
      <c r="K140" s="1950" t="s">
        <v>101</v>
      </c>
      <c r="L140" s="1947" t="s">
        <v>10</v>
      </c>
      <c r="M140" s="1754">
        <f t="shared" si="42"/>
        <v>43173.95</v>
      </c>
      <c r="N140" s="2003">
        <v>2</v>
      </c>
      <c r="O140" s="1712">
        <f t="shared" si="45"/>
        <v>8.6347900000000006</v>
      </c>
      <c r="P140" s="1712">
        <f t="shared" si="46"/>
        <v>1.83</v>
      </c>
      <c r="Q140" s="1712">
        <f t="shared" si="47"/>
        <v>7.9218260000000003</v>
      </c>
      <c r="R140" s="1757">
        <v>0.09</v>
      </c>
      <c r="S140" s="1712">
        <f t="shared" si="43"/>
        <v>0.71296400000000038</v>
      </c>
      <c r="T140" s="1712">
        <f t="shared" ref="T140:T202" si="48">IFERROR(Q140*10000/$E$6,"")</f>
        <v>1.8348624575699006</v>
      </c>
      <c r="U140" s="1712">
        <f t="shared" ref="U140:U202" si="49">IFERROR(O140*10000/$E$6,"")</f>
        <v>2.0000000000000004</v>
      </c>
      <c r="V140" s="1952"/>
    </row>
    <row r="141" spans="1:23" s="1942" customFormat="1" outlineLevel="3">
      <c r="A141" s="1813" t="s">
        <v>3084</v>
      </c>
      <c r="B141" s="1978" t="s">
        <v>709</v>
      </c>
      <c r="C141" s="1810"/>
      <c r="D141" s="2008" t="s">
        <v>3646</v>
      </c>
      <c r="E141" s="2009" t="s">
        <v>3647</v>
      </c>
      <c r="F141" s="1462" t="s">
        <v>1363</v>
      </c>
      <c r="G141" s="1953" t="s">
        <v>4155</v>
      </c>
      <c r="H141" s="1975" t="s">
        <v>10</v>
      </c>
      <c r="I141" s="1712">
        <f t="shared" si="44"/>
        <v>43173.95</v>
      </c>
      <c r="J141" s="1949"/>
      <c r="K141" s="1950" t="s">
        <v>101</v>
      </c>
      <c r="L141" s="1947" t="s">
        <v>10</v>
      </c>
      <c r="M141" s="1754">
        <f t="shared" si="42"/>
        <v>0</v>
      </c>
      <c r="N141" s="1712"/>
      <c r="O141" s="1712">
        <f t="shared" si="45"/>
        <v>0</v>
      </c>
      <c r="P141" s="1712">
        <f t="shared" si="46"/>
        <v>0</v>
      </c>
      <c r="Q141" s="1712">
        <f t="shared" si="47"/>
        <v>0</v>
      </c>
      <c r="R141" s="1757">
        <v>0.09</v>
      </c>
      <c r="S141" s="1712">
        <f t="shared" si="43"/>
        <v>0</v>
      </c>
      <c r="T141" s="1712">
        <f t="shared" si="48"/>
        <v>0</v>
      </c>
      <c r="U141" s="1712">
        <f t="shared" si="49"/>
        <v>0</v>
      </c>
      <c r="V141" s="1952"/>
    </row>
    <row r="142" spans="1:23" s="1942" customFormat="1" outlineLevel="3">
      <c r="A142" s="1813" t="s">
        <v>3084</v>
      </c>
      <c r="B142" s="1978" t="s">
        <v>710</v>
      </c>
      <c r="C142" s="1810"/>
      <c r="D142" s="2008" t="s">
        <v>3648</v>
      </c>
      <c r="E142" s="2009" t="s">
        <v>3649</v>
      </c>
      <c r="F142" s="1462" t="s">
        <v>3636</v>
      </c>
      <c r="G142" s="1953" t="s">
        <v>4153</v>
      </c>
      <c r="H142" s="1947" t="s">
        <v>18</v>
      </c>
      <c r="I142" s="1712">
        <f>$G$5</f>
        <v>12</v>
      </c>
      <c r="J142" s="1949">
        <f>(4.4+0.6+0.8+0.8)*5.1*2</f>
        <v>67.319999999999993</v>
      </c>
      <c r="K142" s="1950" t="s">
        <v>101</v>
      </c>
      <c r="L142" s="1947" t="s">
        <v>4067</v>
      </c>
      <c r="M142" s="1754">
        <f t="shared" si="42"/>
        <v>807.83999999999992</v>
      </c>
      <c r="N142" s="1712">
        <v>1000</v>
      </c>
      <c r="O142" s="1712">
        <f t="shared" si="45"/>
        <v>80.784000000000006</v>
      </c>
      <c r="P142" s="1712">
        <f t="shared" si="46"/>
        <v>917.43</v>
      </c>
      <c r="Q142" s="1712">
        <f t="shared" si="47"/>
        <v>74.113760999999997</v>
      </c>
      <c r="R142" s="1757">
        <v>0.09</v>
      </c>
      <c r="S142" s="1712">
        <f t="shared" si="43"/>
        <v>6.6702390000000094</v>
      </c>
      <c r="T142" s="1712">
        <f t="shared" si="48"/>
        <v>17.166314641120398</v>
      </c>
      <c r="U142" s="1712">
        <f t="shared" si="49"/>
        <v>18.711283076948025</v>
      </c>
      <c r="V142" s="1952"/>
      <c r="W142" s="2099"/>
    </row>
    <row r="143" spans="1:23" s="1942" customFormat="1" outlineLevel="3">
      <c r="A143" s="1813" t="s">
        <v>3084</v>
      </c>
      <c r="B143" s="1978" t="s">
        <v>3650</v>
      </c>
      <c r="C143" s="1810"/>
      <c r="D143" s="2008" t="s">
        <v>3651</v>
      </c>
      <c r="E143" s="2009" t="s">
        <v>3652</v>
      </c>
      <c r="F143" s="1462" t="s">
        <v>1606</v>
      </c>
      <c r="G143" s="1953" t="s">
        <v>4121</v>
      </c>
      <c r="H143" s="1975" t="s">
        <v>10</v>
      </c>
      <c r="I143" s="1712">
        <f t="shared" si="44"/>
        <v>43173.95</v>
      </c>
      <c r="J143" s="1949"/>
      <c r="K143" s="1950" t="s">
        <v>101</v>
      </c>
      <c r="L143" s="1947" t="s">
        <v>4068</v>
      </c>
      <c r="M143" s="1754">
        <f t="shared" si="42"/>
        <v>0</v>
      </c>
      <c r="N143" s="1712"/>
      <c r="O143" s="1712">
        <f t="shared" si="45"/>
        <v>0</v>
      </c>
      <c r="P143" s="1712">
        <f t="shared" si="46"/>
        <v>0</v>
      </c>
      <c r="Q143" s="1712">
        <f t="shared" si="47"/>
        <v>0</v>
      </c>
      <c r="R143" s="1757">
        <v>0.13</v>
      </c>
      <c r="S143" s="1712">
        <f t="shared" si="43"/>
        <v>0</v>
      </c>
      <c r="T143" s="1712">
        <f t="shared" si="48"/>
        <v>0</v>
      </c>
      <c r="U143" s="1712">
        <f t="shared" si="49"/>
        <v>0</v>
      </c>
      <c r="V143" s="1952"/>
    </row>
    <row r="144" spans="1:23" s="1942" customFormat="1" ht="13" outlineLevel="2">
      <c r="A144" s="1944"/>
      <c r="B144" s="1807" t="s">
        <v>712</v>
      </c>
      <c r="C144" s="1808"/>
      <c r="D144" s="2008" t="s">
        <v>713</v>
      </c>
      <c r="E144" s="2009"/>
      <c r="F144" s="1462"/>
      <c r="G144" s="1953" t="s">
        <v>4117</v>
      </c>
      <c r="H144" s="1947"/>
      <c r="I144" s="1948"/>
      <c r="J144" s="1949"/>
      <c r="K144" s="1950"/>
      <c r="L144" s="1947"/>
      <c r="M144" s="1950"/>
      <c r="N144" s="1712"/>
      <c r="O144" s="1712">
        <f>SUBTOTAL(9,O145:O152)</f>
        <v>324.96000000000004</v>
      </c>
      <c r="P144" s="1712"/>
      <c r="Q144" s="1712">
        <f>SUBTOTAL(9,Q145:Q152)</f>
        <v>298.12844200000001</v>
      </c>
      <c r="R144" s="1712"/>
      <c r="S144" s="1712">
        <f>SUBTOTAL(9,S145:S152)</f>
        <v>26.831557999999994</v>
      </c>
      <c r="T144" s="1712">
        <f t="shared" si="48"/>
        <v>69.052852935624372</v>
      </c>
      <c r="U144" s="1712">
        <f t="shared" si="49"/>
        <v>75.267609287544943</v>
      </c>
      <c r="V144" s="1952"/>
    </row>
    <row r="145" spans="1:22" s="1942" customFormat="1" outlineLevel="3">
      <c r="A145" s="1813" t="s">
        <v>3085</v>
      </c>
      <c r="B145" s="1978" t="s">
        <v>714</v>
      </c>
      <c r="C145" s="1810"/>
      <c r="D145" s="2008" t="s">
        <v>715</v>
      </c>
      <c r="E145" s="2009" t="s">
        <v>3653</v>
      </c>
      <c r="F145" s="1462" t="s">
        <v>3654</v>
      </c>
      <c r="G145" s="1953" t="s">
        <v>4156</v>
      </c>
      <c r="H145" s="1947" t="s">
        <v>3923</v>
      </c>
      <c r="I145" s="1712">
        <f>$G$6</f>
        <v>240</v>
      </c>
      <c r="J145" s="2037">
        <v>6</v>
      </c>
      <c r="K145" s="1977" t="s">
        <v>1836</v>
      </c>
      <c r="L145" s="1947" t="s">
        <v>4069</v>
      </c>
      <c r="M145" s="1754">
        <f>ROUND(I145,2)*ROUND(J145,4)</f>
        <v>1440</v>
      </c>
      <c r="N145" s="1756">
        <v>180</v>
      </c>
      <c r="O145" s="1712">
        <f>ROUND(M145*ROUND(N145,2)/10000,6)</f>
        <v>25.92</v>
      </c>
      <c r="P145" s="1712">
        <f>IFERROR(ROUND(Q145*10000/M145,2),0)</f>
        <v>165.14</v>
      </c>
      <c r="Q145" s="1712">
        <f>ROUND(O145/(1+R145),6)</f>
        <v>23.779817000000001</v>
      </c>
      <c r="R145" s="1757">
        <v>0.09</v>
      </c>
      <c r="S145" s="1712">
        <f t="shared" ref="S145:S152" si="50">O145-Q145</f>
        <v>2.1401830000000004</v>
      </c>
      <c r="T145" s="1712">
        <f t="shared" si="48"/>
        <v>5.507908588396476</v>
      </c>
      <c r="U145" s="1712">
        <f t="shared" si="49"/>
        <v>6.0036202385929487</v>
      </c>
      <c r="V145" s="1952"/>
    </row>
    <row r="146" spans="1:22" s="1942" customFormat="1" outlineLevel="3">
      <c r="A146" s="1813" t="s">
        <v>3085</v>
      </c>
      <c r="B146" s="1978" t="s">
        <v>717</v>
      </c>
      <c r="C146" s="1810"/>
      <c r="D146" s="2008" t="s">
        <v>3655</v>
      </c>
      <c r="E146" s="2009" t="s">
        <v>3656</v>
      </c>
      <c r="F146" s="1462" t="s">
        <v>3654</v>
      </c>
      <c r="G146" s="1953" t="s">
        <v>4156</v>
      </c>
      <c r="H146" s="1947" t="s">
        <v>3923</v>
      </c>
      <c r="I146" s="1712">
        <f>$G$6</f>
        <v>240</v>
      </c>
      <c r="J146" s="2037">
        <v>11</v>
      </c>
      <c r="K146" s="1950" t="s">
        <v>4064</v>
      </c>
      <c r="L146" s="1947" t="s">
        <v>4070</v>
      </c>
      <c r="M146" s="1754">
        <f t="shared" si="42"/>
        <v>2640</v>
      </c>
      <c r="N146" s="1756">
        <v>150</v>
      </c>
      <c r="O146" s="1712">
        <f t="shared" ref="O146:O152" si="51">ROUND(M146*ROUND(N146,2)/10000,6)</f>
        <v>39.6</v>
      </c>
      <c r="P146" s="1712">
        <f t="shared" ref="P146:P152" si="52">IFERROR(ROUND(Q146*10000/M146,2),0)</f>
        <v>137.61000000000001</v>
      </c>
      <c r="Q146" s="1712">
        <f t="shared" ref="Q146:Q152" si="53">ROUND(O146/(1+R146),6)</f>
        <v>36.330275</v>
      </c>
      <c r="R146" s="1757">
        <v>0.09</v>
      </c>
      <c r="S146" s="1712">
        <f t="shared" si="50"/>
        <v>3.2697250000000011</v>
      </c>
      <c r="T146" s="1712">
        <f t="shared" si="48"/>
        <v>8.4148601181962732</v>
      </c>
      <c r="U146" s="1712">
        <f t="shared" si="49"/>
        <v>9.1721975867392267</v>
      </c>
      <c r="V146" s="1952"/>
    </row>
    <row r="147" spans="1:22" s="1942" customFormat="1" outlineLevel="3">
      <c r="A147" s="1813" t="s">
        <v>3085</v>
      </c>
      <c r="B147" s="1978" t="s">
        <v>718</v>
      </c>
      <c r="C147" s="1810"/>
      <c r="D147" s="2008" t="s">
        <v>3657</v>
      </c>
      <c r="E147" s="2009" t="s">
        <v>3658</v>
      </c>
      <c r="F147" s="1462" t="s">
        <v>3654</v>
      </c>
      <c r="G147" s="1953" t="s">
        <v>4156</v>
      </c>
      <c r="H147" s="1947" t="s">
        <v>3926</v>
      </c>
      <c r="I147" s="1712">
        <f>$G$7</f>
        <v>480</v>
      </c>
      <c r="J147" s="2037">
        <v>2.8</v>
      </c>
      <c r="K147" s="1950" t="s">
        <v>660</v>
      </c>
      <c r="L147" s="1947" t="s">
        <v>4071</v>
      </c>
      <c r="M147" s="1754">
        <f t="shared" si="42"/>
        <v>1344</v>
      </c>
      <c r="N147" s="1756">
        <v>150</v>
      </c>
      <c r="O147" s="1712">
        <f t="shared" si="51"/>
        <v>20.16</v>
      </c>
      <c r="P147" s="1712">
        <f t="shared" si="52"/>
        <v>137.61000000000001</v>
      </c>
      <c r="Q147" s="1712">
        <f t="shared" si="53"/>
        <v>18.495412999999999</v>
      </c>
      <c r="R147" s="1757">
        <v>0.09</v>
      </c>
      <c r="S147" s="1712">
        <f t="shared" si="50"/>
        <v>1.6645870000000009</v>
      </c>
      <c r="T147" s="1712">
        <f t="shared" si="48"/>
        <v>4.2839288506147808</v>
      </c>
      <c r="U147" s="1712">
        <f t="shared" si="49"/>
        <v>4.669482407794515</v>
      </c>
      <c r="V147" s="1952"/>
    </row>
    <row r="148" spans="1:22" s="1942" customFormat="1" outlineLevel="3">
      <c r="A148" s="1813" t="s">
        <v>3085</v>
      </c>
      <c r="B148" s="1978" t="s">
        <v>1585</v>
      </c>
      <c r="C148" s="1810"/>
      <c r="D148" s="2008" t="s">
        <v>3659</v>
      </c>
      <c r="E148" s="2009" t="s">
        <v>3660</v>
      </c>
      <c r="F148" s="1462" t="s">
        <v>3654</v>
      </c>
      <c r="G148" s="1953" t="s">
        <v>4156</v>
      </c>
      <c r="H148" s="1947" t="s">
        <v>3926</v>
      </c>
      <c r="I148" s="1712">
        <f>$G$7</f>
        <v>480</v>
      </c>
      <c r="J148" s="2037">
        <v>7</v>
      </c>
      <c r="K148" s="1950" t="s">
        <v>660</v>
      </c>
      <c r="L148" s="1947" t="s">
        <v>4072</v>
      </c>
      <c r="M148" s="1754">
        <f t="shared" si="42"/>
        <v>3360</v>
      </c>
      <c r="N148" s="1756">
        <v>180</v>
      </c>
      <c r="O148" s="1712">
        <f t="shared" si="51"/>
        <v>60.48</v>
      </c>
      <c r="P148" s="1712">
        <f t="shared" si="52"/>
        <v>165.14</v>
      </c>
      <c r="Q148" s="1712">
        <f t="shared" si="53"/>
        <v>55.486238999999998</v>
      </c>
      <c r="R148" s="1757">
        <v>0.09</v>
      </c>
      <c r="S148" s="1712">
        <f t="shared" si="50"/>
        <v>4.9937609999999992</v>
      </c>
      <c r="T148" s="1712">
        <f t="shared" si="48"/>
        <v>12.851786551844343</v>
      </c>
      <c r="U148" s="1712">
        <f t="shared" si="49"/>
        <v>14.008447223383547</v>
      </c>
      <c r="V148" s="1952"/>
    </row>
    <row r="149" spans="1:22" s="1942" customFormat="1" outlineLevel="3">
      <c r="A149" s="1813" t="s">
        <v>3085</v>
      </c>
      <c r="B149" s="1978" t="s">
        <v>1586</v>
      </c>
      <c r="C149" s="1810"/>
      <c r="D149" s="2008" t="s">
        <v>720</v>
      </c>
      <c r="E149" s="2009" t="s">
        <v>3661</v>
      </c>
      <c r="F149" s="1462" t="s">
        <v>3654</v>
      </c>
      <c r="G149" s="1953" t="s">
        <v>4156</v>
      </c>
      <c r="H149" s="1947" t="s">
        <v>3926</v>
      </c>
      <c r="I149" s="1712">
        <f>$G$7</f>
        <v>480</v>
      </c>
      <c r="J149" s="2037">
        <v>3.5</v>
      </c>
      <c r="K149" s="1950" t="s">
        <v>660</v>
      </c>
      <c r="L149" s="1947" t="s">
        <v>4073</v>
      </c>
      <c r="M149" s="1754">
        <f t="shared" si="42"/>
        <v>1680</v>
      </c>
      <c r="N149" s="1756">
        <v>90</v>
      </c>
      <c r="O149" s="1712">
        <f t="shared" si="51"/>
        <v>15.12</v>
      </c>
      <c r="P149" s="1712">
        <f t="shared" si="52"/>
        <v>82.57</v>
      </c>
      <c r="Q149" s="1712">
        <f t="shared" si="53"/>
        <v>13.871560000000001</v>
      </c>
      <c r="R149" s="1757">
        <v>0.09</v>
      </c>
      <c r="S149" s="1712">
        <f t="shared" si="50"/>
        <v>1.2484399999999987</v>
      </c>
      <c r="T149" s="1712">
        <f t="shared" si="48"/>
        <v>3.2129466958663735</v>
      </c>
      <c r="U149" s="1712">
        <f t="shared" si="49"/>
        <v>3.5021118058458867</v>
      </c>
      <c r="V149" s="1952"/>
    </row>
    <row r="150" spans="1:22" s="1942" customFormat="1" outlineLevel="3">
      <c r="A150" s="1813" t="s">
        <v>3085</v>
      </c>
      <c r="B150" s="1978" t="s">
        <v>3662</v>
      </c>
      <c r="C150" s="1810"/>
      <c r="D150" s="2008" t="s">
        <v>3663</v>
      </c>
      <c r="E150" s="2009" t="s">
        <v>3664</v>
      </c>
      <c r="F150" s="1462" t="s">
        <v>3654</v>
      </c>
      <c r="G150" s="1953" t="s">
        <v>4156</v>
      </c>
      <c r="H150" s="1947" t="s">
        <v>3926</v>
      </c>
      <c r="I150" s="1712">
        <f>$G$7</f>
        <v>480</v>
      </c>
      <c r="J150" s="2037">
        <v>15.5</v>
      </c>
      <c r="K150" s="1950" t="s">
        <v>722</v>
      </c>
      <c r="L150" s="1947" t="s">
        <v>4074</v>
      </c>
      <c r="M150" s="1754">
        <f t="shared" si="42"/>
        <v>7440</v>
      </c>
      <c r="N150" s="1756">
        <v>220</v>
      </c>
      <c r="O150" s="1712">
        <f t="shared" si="51"/>
        <v>163.68</v>
      </c>
      <c r="P150" s="1712">
        <f t="shared" si="52"/>
        <v>201.83</v>
      </c>
      <c r="Q150" s="1712">
        <f t="shared" si="53"/>
        <v>150.16513800000001</v>
      </c>
      <c r="R150" s="1757">
        <v>0.09</v>
      </c>
      <c r="S150" s="1712">
        <f t="shared" si="50"/>
        <v>13.514861999999994</v>
      </c>
      <c r="T150" s="1712">
        <f t="shared" si="48"/>
        <v>34.78142213070614</v>
      </c>
      <c r="U150" s="1712">
        <f t="shared" si="49"/>
        <v>37.911750025188802</v>
      </c>
      <c r="V150" s="1952"/>
    </row>
    <row r="151" spans="1:22" s="1942" customFormat="1" outlineLevel="3">
      <c r="A151" s="1813" t="s">
        <v>3085</v>
      </c>
      <c r="B151" s="1978" t="s">
        <v>3665</v>
      </c>
      <c r="C151" s="1810"/>
      <c r="D151" s="2008" t="s">
        <v>3666</v>
      </c>
      <c r="E151" s="2009" t="s">
        <v>3667</v>
      </c>
      <c r="F151" s="1462" t="s">
        <v>3654</v>
      </c>
      <c r="G151" s="1953" t="s">
        <v>4156</v>
      </c>
      <c r="H151" s="1947" t="s">
        <v>9</v>
      </c>
      <c r="I151" s="1712">
        <f>$E$4</f>
        <v>2160</v>
      </c>
      <c r="J151" s="2035"/>
      <c r="K151" s="1950" t="s">
        <v>4075</v>
      </c>
      <c r="L151" s="1947" t="s">
        <v>4076</v>
      </c>
      <c r="M151" s="1754">
        <f t="shared" si="42"/>
        <v>0</v>
      </c>
      <c r="N151" s="1712"/>
      <c r="O151" s="1712">
        <f t="shared" si="51"/>
        <v>0</v>
      </c>
      <c r="P151" s="1712">
        <f t="shared" si="52"/>
        <v>0</v>
      </c>
      <c r="Q151" s="1712">
        <f t="shared" si="53"/>
        <v>0</v>
      </c>
      <c r="R151" s="1757">
        <v>0.09</v>
      </c>
      <c r="S151" s="1712">
        <f t="shared" si="50"/>
        <v>0</v>
      </c>
      <c r="T151" s="1712">
        <f t="shared" si="48"/>
        <v>0</v>
      </c>
      <c r="U151" s="1712">
        <f t="shared" si="49"/>
        <v>0</v>
      </c>
      <c r="V151" s="1952"/>
    </row>
    <row r="152" spans="1:22" s="1942" customFormat="1" outlineLevel="3">
      <c r="A152" s="1813" t="s">
        <v>3085</v>
      </c>
      <c r="B152" s="1978" t="s">
        <v>3668</v>
      </c>
      <c r="C152" s="1810"/>
      <c r="D152" s="2008" t="s">
        <v>3669</v>
      </c>
      <c r="E152" s="2009" t="s">
        <v>3670</v>
      </c>
      <c r="F152" s="1462" t="s">
        <v>3654</v>
      </c>
      <c r="G152" s="1953" t="s">
        <v>4156</v>
      </c>
      <c r="H152" s="1947" t="s">
        <v>3926</v>
      </c>
      <c r="I152" s="1712">
        <f>$G$7</f>
        <v>480</v>
      </c>
      <c r="J152" s="2035"/>
      <c r="K152" s="1950" t="s">
        <v>101</v>
      </c>
      <c r="L152" s="1947" t="s">
        <v>4077</v>
      </c>
      <c r="M152" s="1754">
        <f t="shared" si="42"/>
        <v>0</v>
      </c>
      <c r="N152" s="1712"/>
      <c r="O152" s="1712">
        <f t="shared" si="51"/>
        <v>0</v>
      </c>
      <c r="P152" s="1712">
        <f t="shared" si="52"/>
        <v>0</v>
      </c>
      <c r="Q152" s="1712">
        <f t="shared" si="53"/>
        <v>0</v>
      </c>
      <c r="R152" s="1757">
        <v>0.09</v>
      </c>
      <c r="S152" s="1712">
        <f t="shared" si="50"/>
        <v>0</v>
      </c>
      <c r="T152" s="1712">
        <f t="shared" si="48"/>
        <v>0</v>
      </c>
      <c r="U152" s="1712">
        <f t="shared" si="49"/>
        <v>0</v>
      </c>
      <c r="V152" s="1952"/>
    </row>
    <row r="153" spans="1:22" s="1942" customFormat="1" ht="13" outlineLevel="2">
      <c r="A153" s="1944"/>
      <c r="B153" s="1807" t="s">
        <v>723</v>
      </c>
      <c r="C153" s="1808"/>
      <c r="D153" s="2008" t="s">
        <v>21</v>
      </c>
      <c r="E153" s="2009"/>
      <c r="F153" s="1462"/>
      <c r="G153" s="1953" t="s">
        <v>4117</v>
      </c>
      <c r="H153" s="1947"/>
      <c r="I153" s="1948"/>
      <c r="J153" s="1949"/>
      <c r="K153" s="1950"/>
      <c r="L153" s="1947"/>
      <c r="M153" s="1950"/>
      <c r="N153" s="1712"/>
      <c r="O153" s="1712">
        <f>SUBTOTAL(9,O154:O158)</f>
        <v>1230.1052199999999</v>
      </c>
      <c r="P153" s="1712"/>
      <c r="Q153" s="1712">
        <f>SUBTOTAL(9,Q154:Q158)</f>
        <v>1089.368101</v>
      </c>
      <c r="R153" s="1712"/>
      <c r="S153" s="1712">
        <f>SUBTOTAL(9,S154:S158)</f>
        <v>140.73711900000004</v>
      </c>
      <c r="T153" s="1712">
        <f t="shared" si="48"/>
        <v>252.32069361269933</v>
      </c>
      <c r="U153" s="1712">
        <f t="shared" si="49"/>
        <v>284.91838712927586</v>
      </c>
      <c r="V153" s="1952"/>
    </row>
    <row r="154" spans="1:22" s="1942" customFormat="1" outlineLevel="3">
      <c r="A154" s="1813" t="s">
        <v>3086</v>
      </c>
      <c r="B154" s="1978" t="s">
        <v>724</v>
      </c>
      <c r="C154" s="1810"/>
      <c r="D154" s="2008" t="s">
        <v>3671</v>
      </c>
      <c r="E154" s="2009" t="s">
        <v>3672</v>
      </c>
      <c r="F154" s="1462" t="s">
        <v>3636</v>
      </c>
      <c r="G154" s="1953" t="s">
        <v>4153</v>
      </c>
      <c r="H154" s="1947" t="s">
        <v>18</v>
      </c>
      <c r="I154" s="1712">
        <f>$G$5</f>
        <v>12</v>
      </c>
      <c r="J154" s="2037">
        <v>1</v>
      </c>
      <c r="K154" s="1950" t="s">
        <v>2942</v>
      </c>
      <c r="L154" s="1947" t="s">
        <v>4078</v>
      </c>
      <c r="M154" s="1754">
        <f t="shared" si="42"/>
        <v>12</v>
      </c>
      <c r="N154" s="1756">
        <v>20000</v>
      </c>
      <c r="O154" s="1712">
        <f>ROUND(M154*ROUND(N154,2)/10000,6)</f>
        <v>24</v>
      </c>
      <c r="P154" s="1712">
        <f>IFERROR(ROUND(Q154*10000/M154,2),0)</f>
        <v>18348.62</v>
      </c>
      <c r="Q154" s="1712">
        <f>ROUND(O154/(1+R154),6)</f>
        <v>22.018349000000001</v>
      </c>
      <c r="R154" s="1757">
        <v>0.09</v>
      </c>
      <c r="S154" s="1712">
        <f>O154-Q154</f>
        <v>1.9816509999999994</v>
      </c>
      <c r="T154" s="1712">
        <f t="shared" si="48"/>
        <v>5.0999153424692443</v>
      </c>
      <c r="U154" s="1712">
        <f t="shared" si="49"/>
        <v>5.5589076283268035</v>
      </c>
      <c r="V154" s="1952"/>
    </row>
    <row r="155" spans="1:22" s="1942" customFormat="1" outlineLevel="3">
      <c r="A155" s="1813" t="s">
        <v>3092</v>
      </c>
      <c r="B155" s="1978" t="s">
        <v>726</v>
      </c>
      <c r="C155" s="1810"/>
      <c r="D155" s="2008" t="s">
        <v>61</v>
      </c>
      <c r="E155" s="2009" t="s">
        <v>3673</v>
      </c>
      <c r="F155" s="1462" t="s">
        <v>3674</v>
      </c>
      <c r="G155" s="1953" t="s">
        <v>4157</v>
      </c>
      <c r="H155" s="1947" t="s">
        <v>3926</v>
      </c>
      <c r="I155" s="1712">
        <f>$G$7</f>
        <v>480</v>
      </c>
      <c r="J155" s="2037">
        <v>1</v>
      </c>
      <c r="K155" s="1950" t="s">
        <v>6</v>
      </c>
      <c r="L155" s="1947" t="s">
        <v>4079</v>
      </c>
      <c r="M155" s="1754">
        <f t="shared" si="42"/>
        <v>480</v>
      </c>
      <c r="N155" s="1756">
        <v>1800</v>
      </c>
      <c r="O155" s="1712">
        <f>ROUND(M155*ROUND(N155,2)/10000,6)</f>
        <v>86.4</v>
      </c>
      <c r="P155" s="1712">
        <f>IFERROR(ROUND(Q155*10000/M155,2),0)</f>
        <v>1592.92</v>
      </c>
      <c r="Q155" s="1712">
        <f>ROUND(O155/(1+R155),6)</f>
        <v>76.460177000000002</v>
      </c>
      <c r="R155" s="1757">
        <v>0.13</v>
      </c>
      <c r="S155" s="1712">
        <f>O155-Q155</f>
        <v>9.9398230000000041</v>
      </c>
      <c r="T155" s="1712">
        <f t="shared" si="48"/>
        <v>17.709794216188236</v>
      </c>
      <c r="U155" s="1712">
        <f t="shared" si="49"/>
        <v>20.012067461976493</v>
      </c>
      <c r="V155" s="1952"/>
    </row>
    <row r="156" spans="1:22" s="1942" customFormat="1" outlineLevel="3">
      <c r="A156" s="1813" t="s">
        <v>3076</v>
      </c>
      <c r="B156" s="1978" t="s">
        <v>728</v>
      </c>
      <c r="C156" s="1810"/>
      <c r="D156" s="2008" t="s">
        <v>3675</v>
      </c>
      <c r="E156" s="2009" t="s">
        <v>3676</v>
      </c>
      <c r="F156" s="1462" t="s">
        <v>3677</v>
      </c>
      <c r="G156" s="1953" t="s">
        <v>4158</v>
      </c>
      <c r="H156" s="1947" t="s">
        <v>3923</v>
      </c>
      <c r="I156" s="1712">
        <f>G6</f>
        <v>240</v>
      </c>
      <c r="J156" s="2037">
        <v>12</v>
      </c>
      <c r="K156" s="1950" t="s">
        <v>101</v>
      </c>
      <c r="L156" s="1947" t="s">
        <v>4080</v>
      </c>
      <c r="M156" s="1754">
        <f t="shared" si="42"/>
        <v>2880</v>
      </c>
      <c r="N156" s="1756">
        <v>350</v>
      </c>
      <c r="O156" s="1712">
        <f>ROUND(M156*ROUND(N156,2)/10000,6)</f>
        <v>100.8</v>
      </c>
      <c r="P156" s="1712">
        <f>IFERROR(ROUND(Q156*10000/M156,2),0)</f>
        <v>309.73</v>
      </c>
      <c r="Q156" s="1712">
        <f>ROUND(O156/(1+R156),6)</f>
        <v>89.203540000000004</v>
      </c>
      <c r="R156" s="1757">
        <v>0.13</v>
      </c>
      <c r="S156" s="1712">
        <f>O156-Q156</f>
        <v>11.596459999999993</v>
      </c>
      <c r="T156" s="1712">
        <f t="shared" si="48"/>
        <v>20.661426624156466</v>
      </c>
      <c r="U156" s="1712">
        <f t="shared" si="49"/>
        <v>23.347412038972575</v>
      </c>
      <c r="V156" s="1952"/>
    </row>
    <row r="157" spans="1:22" s="1942" customFormat="1" outlineLevel="3">
      <c r="A157" s="1813" t="s">
        <v>3083</v>
      </c>
      <c r="B157" s="1978" t="s">
        <v>730</v>
      </c>
      <c r="C157" s="1810"/>
      <c r="D157" s="2008" t="s">
        <v>62</v>
      </c>
      <c r="E157" s="2009" t="s">
        <v>3678</v>
      </c>
      <c r="F157" s="1462" t="s">
        <v>3679</v>
      </c>
      <c r="G157" s="1953" t="s">
        <v>4159</v>
      </c>
      <c r="H157" s="1947" t="s">
        <v>10</v>
      </c>
      <c r="I157" s="1712">
        <f>$E$5</f>
        <v>43173.95</v>
      </c>
      <c r="J157" s="2037">
        <v>0.2</v>
      </c>
      <c r="K157" s="1950" t="s">
        <v>101</v>
      </c>
      <c r="L157" s="1947" t="s">
        <v>4081</v>
      </c>
      <c r="M157" s="1754">
        <f t="shared" si="42"/>
        <v>8634.7899999999991</v>
      </c>
      <c r="N157" s="1756">
        <f>1050+130</f>
        <v>1180</v>
      </c>
      <c r="O157" s="1712">
        <f>ROUND(M157*ROUND(N157,2)/10000,6)</f>
        <v>1018.90522</v>
      </c>
      <c r="P157" s="1712">
        <f>IFERROR(ROUND(Q157*10000/M157,2),0)</f>
        <v>1044.25</v>
      </c>
      <c r="Q157" s="1712">
        <f>ROUND(O157/(1+R157),6)</f>
        <v>901.68603499999995</v>
      </c>
      <c r="R157" s="1757">
        <v>0.13</v>
      </c>
      <c r="S157" s="1712">
        <f>O157-Q157</f>
        <v>117.21918500000004</v>
      </c>
      <c r="T157" s="1712">
        <f t="shared" si="48"/>
        <v>208.84955742988538</v>
      </c>
      <c r="U157" s="1712">
        <f t="shared" si="49"/>
        <v>236</v>
      </c>
      <c r="V157" s="1952"/>
    </row>
    <row r="158" spans="1:22" s="1942" customFormat="1" ht="13" outlineLevel="3">
      <c r="A158" s="1944"/>
      <c r="B158" s="1978" t="s">
        <v>3680</v>
      </c>
      <c r="C158" s="1810"/>
      <c r="D158" s="2008" t="s">
        <v>3681</v>
      </c>
      <c r="E158" s="2009" t="s">
        <v>3682</v>
      </c>
      <c r="F158" s="1462" t="s">
        <v>3677</v>
      </c>
      <c r="G158" s="1953" t="s">
        <v>4158</v>
      </c>
      <c r="H158" s="1947" t="s">
        <v>10</v>
      </c>
      <c r="I158" s="1712">
        <f>$E$5</f>
        <v>43173.95</v>
      </c>
      <c r="J158" s="2035"/>
      <c r="K158" s="1950" t="s">
        <v>101</v>
      </c>
      <c r="L158" s="1947" t="s">
        <v>4082</v>
      </c>
      <c r="M158" s="1754">
        <f t="shared" si="42"/>
        <v>0</v>
      </c>
      <c r="N158" s="1712"/>
      <c r="O158" s="1712">
        <f>ROUND(M158*ROUND(N158,2)/10000,6)</f>
        <v>0</v>
      </c>
      <c r="P158" s="1712">
        <f>IFERROR(ROUND(Q158*10000/M158,2),0)</f>
        <v>0</v>
      </c>
      <c r="Q158" s="1712">
        <f>ROUND(O158/(1+R158),6)</f>
        <v>0</v>
      </c>
      <c r="R158" s="1757">
        <v>0.13</v>
      </c>
      <c r="S158" s="1712">
        <f>O158-Q158</f>
        <v>0</v>
      </c>
      <c r="T158" s="1712">
        <f t="shared" si="48"/>
        <v>0</v>
      </c>
      <c r="U158" s="1712">
        <f t="shared" si="49"/>
        <v>0</v>
      </c>
      <c r="V158" s="1952"/>
    </row>
    <row r="159" spans="1:22" s="1942" customFormat="1" ht="13" outlineLevel="2">
      <c r="A159" s="1944"/>
      <c r="B159" s="1807" t="s">
        <v>731</v>
      </c>
      <c r="C159" s="1808"/>
      <c r="D159" s="2008" t="s">
        <v>734</v>
      </c>
      <c r="E159" s="2009"/>
      <c r="F159" s="1462"/>
      <c r="G159" s="1953" t="s">
        <v>4117</v>
      </c>
      <c r="H159" s="1947"/>
      <c r="I159" s="1948"/>
      <c r="J159" s="1949"/>
      <c r="K159" s="1950"/>
      <c r="L159" s="1947"/>
      <c r="M159" s="1950"/>
      <c r="N159" s="1712"/>
      <c r="O159" s="1712">
        <f>SUBTOTAL(9,O160:O162)</f>
        <v>0</v>
      </c>
      <c r="P159" s="1712"/>
      <c r="Q159" s="1712">
        <f>SUBTOTAL(9,Q160:Q162)</f>
        <v>0</v>
      </c>
      <c r="R159" s="1712"/>
      <c r="S159" s="1712">
        <f>SUBTOTAL(9,S160:S162)</f>
        <v>0</v>
      </c>
      <c r="T159" s="1712">
        <f t="shared" si="48"/>
        <v>0</v>
      </c>
      <c r="U159" s="1712">
        <f t="shared" si="49"/>
        <v>0</v>
      </c>
      <c r="V159" s="1952"/>
    </row>
    <row r="160" spans="1:22" s="1942" customFormat="1" ht="24" outlineLevel="3">
      <c r="A160" s="1813" t="s">
        <v>3069</v>
      </c>
      <c r="B160" s="1978" t="s">
        <v>733</v>
      </c>
      <c r="C160" s="1810"/>
      <c r="D160" s="2038" t="s">
        <v>3683</v>
      </c>
      <c r="E160" s="1947" t="s">
        <v>3684</v>
      </c>
      <c r="F160" s="1462" t="s">
        <v>3342</v>
      </c>
      <c r="G160" s="1953" t="s">
        <v>4116</v>
      </c>
      <c r="H160" s="1947" t="s">
        <v>9</v>
      </c>
      <c r="I160" s="1712">
        <f>$E$4</f>
        <v>2160</v>
      </c>
      <c r="J160" s="2035"/>
      <c r="K160" s="1950" t="s">
        <v>101</v>
      </c>
      <c r="L160" s="1947" t="s">
        <v>4083</v>
      </c>
      <c r="M160" s="1754">
        <f t="shared" si="42"/>
        <v>0</v>
      </c>
      <c r="N160" s="1712"/>
      <c r="O160" s="1712">
        <f>ROUND(M160*ROUND(N160,2)/10000,6)</f>
        <v>0</v>
      </c>
      <c r="P160" s="1712">
        <f>IFERROR(ROUND(Q160*10000/M160,2),0)</f>
        <v>0</v>
      </c>
      <c r="Q160" s="1712">
        <f>ROUND(O160/(1+R160),6)</f>
        <v>0</v>
      </c>
      <c r="R160" s="1757">
        <v>0.09</v>
      </c>
      <c r="S160" s="1712">
        <f>O160-Q160</f>
        <v>0</v>
      </c>
      <c r="T160" s="1712">
        <f t="shared" si="48"/>
        <v>0</v>
      </c>
      <c r="U160" s="1712">
        <f t="shared" si="49"/>
        <v>0</v>
      </c>
      <c r="V160" s="1952"/>
    </row>
    <row r="161" spans="1:22" s="1942" customFormat="1" ht="24" outlineLevel="3">
      <c r="A161" s="1813" t="s">
        <v>3069</v>
      </c>
      <c r="B161" s="1978" t="s">
        <v>735</v>
      </c>
      <c r="C161" s="1810"/>
      <c r="D161" s="2038" t="s">
        <v>3685</v>
      </c>
      <c r="E161" s="1947" t="s">
        <v>3686</v>
      </c>
      <c r="F161" s="1462" t="s">
        <v>3342</v>
      </c>
      <c r="G161" s="1953" t="s">
        <v>4116</v>
      </c>
      <c r="H161" s="1947" t="s">
        <v>9</v>
      </c>
      <c r="I161" s="1712">
        <f>$E$4</f>
        <v>2160</v>
      </c>
      <c r="J161" s="1949"/>
      <c r="K161" s="1950" t="s">
        <v>101</v>
      </c>
      <c r="L161" s="1947" t="s">
        <v>9</v>
      </c>
      <c r="M161" s="1754">
        <f t="shared" si="42"/>
        <v>0</v>
      </c>
      <c r="N161" s="1712"/>
      <c r="O161" s="1712">
        <f>ROUND(M161*ROUND(N161,2)/10000,6)</f>
        <v>0</v>
      </c>
      <c r="P161" s="1712">
        <f>IFERROR(ROUND(Q161*10000/M161,2),0)</f>
        <v>0</v>
      </c>
      <c r="Q161" s="1712">
        <f>ROUND(O161/(1+R161),6)</f>
        <v>0</v>
      </c>
      <c r="R161" s="1757">
        <v>0.09</v>
      </c>
      <c r="S161" s="1712">
        <f>O161-Q161</f>
        <v>0</v>
      </c>
      <c r="T161" s="1712">
        <f t="shared" si="48"/>
        <v>0</v>
      </c>
      <c r="U161" s="1712">
        <f t="shared" si="49"/>
        <v>0</v>
      </c>
      <c r="V161" s="1952"/>
    </row>
    <row r="162" spans="1:22" s="1942" customFormat="1" ht="24" outlineLevel="3">
      <c r="A162" s="1813" t="s">
        <v>3069</v>
      </c>
      <c r="B162" s="1978" t="s">
        <v>737</v>
      </c>
      <c r="C162" s="1810"/>
      <c r="D162" s="2038" t="s">
        <v>3687</v>
      </c>
      <c r="E162" s="1947" t="s">
        <v>3688</v>
      </c>
      <c r="F162" s="1462" t="s">
        <v>471</v>
      </c>
      <c r="G162" s="1953" t="s">
        <v>4160</v>
      </c>
      <c r="H162" s="1947" t="s">
        <v>9</v>
      </c>
      <c r="I162" s="1712">
        <f>$E$4</f>
        <v>2160</v>
      </c>
      <c r="J162" s="2035"/>
      <c r="K162" s="1950" t="s">
        <v>101</v>
      </c>
      <c r="L162" s="1947" t="s">
        <v>4084</v>
      </c>
      <c r="M162" s="1754">
        <f t="shared" si="42"/>
        <v>0</v>
      </c>
      <c r="N162" s="1712"/>
      <c r="O162" s="1712">
        <f>ROUND(M162*ROUND(N162,2)/10000,6)</f>
        <v>0</v>
      </c>
      <c r="P162" s="1712">
        <f>IFERROR(ROUND(Q162*10000/M162,2),0)</f>
        <v>0</v>
      </c>
      <c r="Q162" s="1712">
        <f>ROUND(O162/(1+R162),6)</f>
        <v>0</v>
      </c>
      <c r="R162" s="1757">
        <v>0.13</v>
      </c>
      <c r="S162" s="1712">
        <f>O162-Q162</f>
        <v>0</v>
      </c>
      <c r="T162" s="1712">
        <f t="shared" si="48"/>
        <v>0</v>
      </c>
      <c r="U162" s="1712">
        <f t="shared" si="49"/>
        <v>0</v>
      </c>
      <c r="V162" s="1952"/>
    </row>
    <row r="163" spans="1:22" s="1942" customFormat="1" outlineLevel="2">
      <c r="A163" s="1813" t="s">
        <v>3102</v>
      </c>
      <c r="B163" s="1978" t="s">
        <v>3689</v>
      </c>
      <c r="C163" s="1810"/>
      <c r="D163" s="2038" t="s">
        <v>3690</v>
      </c>
      <c r="E163" s="1947"/>
      <c r="F163" s="1462"/>
      <c r="G163" s="1953" t="s">
        <v>4117</v>
      </c>
      <c r="H163" s="1947"/>
      <c r="I163" s="1948"/>
      <c r="J163" s="2035"/>
      <c r="K163" s="1950"/>
      <c r="L163" s="1947"/>
      <c r="M163" s="1950"/>
      <c r="N163" s="1712"/>
      <c r="O163" s="1712">
        <f>SUBTOTAL(9,O164:O166)</f>
        <v>12.952185</v>
      </c>
      <c r="P163" s="1712"/>
      <c r="Q163" s="1712">
        <f>SUBTOTAL(9,Q164:Q166)</f>
        <v>11.462112000000001</v>
      </c>
      <c r="R163" s="1712"/>
      <c r="S163" s="1712">
        <f>SUBTOTAL(9,S164:S166)</f>
        <v>1.4900730000000006</v>
      </c>
      <c r="T163" s="1712">
        <f t="shared" si="48"/>
        <v>2.6548675763973417</v>
      </c>
      <c r="U163" s="1712">
        <f t="shared" si="49"/>
        <v>3.0000000000000004</v>
      </c>
      <c r="V163" s="1952"/>
    </row>
    <row r="164" spans="1:22" s="1942" customFormat="1" outlineLevel="3">
      <c r="A164" s="1813" t="s">
        <v>3102</v>
      </c>
      <c r="B164" s="1978" t="s">
        <v>3691</v>
      </c>
      <c r="C164" s="1810"/>
      <c r="D164" s="2038" t="s">
        <v>3692</v>
      </c>
      <c r="E164" s="1947" t="s">
        <v>3693</v>
      </c>
      <c r="F164" s="1462" t="s">
        <v>3694</v>
      </c>
      <c r="G164" s="1953" t="s">
        <v>4161</v>
      </c>
      <c r="H164" s="1975" t="s">
        <v>10</v>
      </c>
      <c r="I164" s="1712">
        <f>$E$5</f>
        <v>43173.95</v>
      </c>
      <c r="J164" s="2035">
        <v>1</v>
      </c>
      <c r="K164" s="1950" t="s">
        <v>101</v>
      </c>
      <c r="L164" s="1947" t="s">
        <v>10</v>
      </c>
      <c r="M164" s="1754">
        <f t="shared" si="42"/>
        <v>43173.95</v>
      </c>
      <c r="N164" s="1712">
        <v>1</v>
      </c>
      <c r="O164" s="1712">
        <f t="shared" ref="O164:O169" si="54">ROUND(M164*ROUND(N164,2)/10000,6)</f>
        <v>4.3173950000000003</v>
      </c>
      <c r="P164" s="1712">
        <f t="shared" ref="P164:P169" si="55">IFERROR(ROUND(Q164*10000/M164,2),0)</f>
        <v>0.88</v>
      </c>
      <c r="Q164" s="1712">
        <f t="shared" ref="Q164:Q169" si="56">ROUND(O164/(1+R164),6)</f>
        <v>3.8207040000000001</v>
      </c>
      <c r="R164" s="1757">
        <v>0.13</v>
      </c>
      <c r="S164" s="1712">
        <f t="shared" ref="S164:S169" si="57">O164-Q164</f>
        <v>0.49669100000000022</v>
      </c>
      <c r="T164" s="1712">
        <f t="shared" si="48"/>
        <v>0.88495585879911387</v>
      </c>
      <c r="U164" s="1712">
        <f t="shared" si="49"/>
        <v>1.0000000000000002</v>
      </c>
      <c r="V164" s="1952"/>
    </row>
    <row r="165" spans="1:22" s="1942" customFormat="1" outlineLevel="3">
      <c r="A165" s="1813" t="s">
        <v>3102</v>
      </c>
      <c r="B165" s="1978" t="s">
        <v>3695</v>
      </c>
      <c r="C165" s="1810"/>
      <c r="D165" s="2038" t="s">
        <v>3696</v>
      </c>
      <c r="E165" s="1947" t="s">
        <v>3697</v>
      </c>
      <c r="F165" s="1462" t="s">
        <v>3694</v>
      </c>
      <c r="G165" s="1953" t="s">
        <v>4161</v>
      </c>
      <c r="H165" s="1975" t="s">
        <v>10</v>
      </c>
      <c r="I165" s="1712">
        <f>$E$5</f>
        <v>43173.95</v>
      </c>
      <c r="J165" s="2035">
        <v>1</v>
      </c>
      <c r="K165" s="1950" t="s">
        <v>101</v>
      </c>
      <c r="L165" s="1947" t="s">
        <v>10</v>
      </c>
      <c r="M165" s="1754">
        <f t="shared" si="42"/>
        <v>43173.95</v>
      </c>
      <c r="N165" s="1712">
        <v>1</v>
      </c>
      <c r="O165" s="1712">
        <f t="shared" si="54"/>
        <v>4.3173950000000003</v>
      </c>
      <c r="P165" s="1712">
        <f t="shared" si="55"/>
        <v>0.88</v>
      </c>
      <c r="Q165" s="1712">
        <f t="shared" si="56"/>
        <v>3.8207040000000001</v>
      </c>
      <c r="R165" s="1757">
        <v>0.13</v>
      </c>
      <c r="S165" s="1712">
        <f t="shared" si="57"/>
        <v>0.49669100000000022</v>
      </c>
      <c r="T165" s="1712">
        <f t="shared" si="48"/>
        <v>0.88495585879911387</v>
      </c>
      <c r="U165" s="1712">
        <f t="shared" si="49"/>
        <v>1.0000000000000002</v>
      </c>
      <c r="V165" s="1952"/>
    </row>
    <row r="166" spans="1:22" s="1942" customFormat="1" outlineLevel="3">
      <c r="A166" s="1813" t="s">
        <v>3102</v>
      </c>
      <c r="B166" s="1978" t="s">
        <v>3698</v>
      </c>
      <c r="C166" s="1810"/>
      <c r="D166" s="2038" t="s">
        <v>3699</v>
      </c>
      <c r="E166" s="1947" t="s">
        <v>3700</v>
      </c>
      <c r="F166" s="1462" t="s">
        <v>3694</v>
      </c>
      <c r="G166" s="1953" t="s">
        <v>4161</v>
      </c>
      <c r="H166" s="1975" t="s">
        <v>10</v>
      </c>
      <c r="I166" s="1712">
        <f>$E$5</f>
        <v>43173.95</v>
      </c>
      <c r="J166" s="2035">
        <v>1</v>
      </c>
      <c r="K166" s="1950" t="s">
        <v>101</v>
      </c>
      <c r="L166" s="1947" t="s">
        <v>10</v>
      </c>
      <c r="M166" s="1754">
        <f t="shared" si="42"/>
        <v>43173.95</v>
      </c>
      <c r="N166" s="1712">
        <v>1</v>
      </c>
      <c r="O166" s="1712">
        <f t="shared" si="54"/>
        <v>4.3173950000000003</v>
      </c>
      <c r="P166" s="1712">
        <f t="shared" si="55"/>
        <v>0.88</v>
      </c>
      <c r="Q166" s="1712">
        <f t="shared" si="56"/>
        <v>3.8207040000000001</v>
      </c>
      <c r="R166" s="1757">
        <v>0.13</v>
      </c>
      <c r="S166" s="1712">
        <f t="shared" si="57"/>
        <v>0.49669100000000022</v>
      </c>
      <c r="T166" s="1712">
        <f t="shared" si="48"/>
        <v>0.88495585879911387</v>
      </c>
      <c r="U166" s="1712">
        <f t="shared" si="49"/>
        <v>1.0000000000000002</v>
      </c>
      <c r="V166" s="1952"/>
    </row>
    <row r="167" spans="1:22" s="1942" customFormat="1" outlineLevel="2">
      <c r="A167" s="1813" t="s">
        <v>3102</v>
      </c>
      <c r="B167" s="1978" t="s">
        <v>3705</v>
      </c>
      <c r="C167" s="1810"/>
      <c r="D167" s="2038" t="s">
        <v>740</v>
      </c>
      <c r="E167" s="1947" t="s">
        <v>3702</v>
      </c>
      <c r="F167" s="1462" t="s">
        <v>463</v>
      </c>
      <c r="G167" s="1953" t="s">
        <v>4162</v>
      </c>
      <c r="H167" s="1975" t="s">
        <v>3926</v>
      </c>
      <c r="I167" s="1712">
        <f>$G$7</f>
        <v>480</v>
      </c>
      <c r="J167" s="2037">
        <v>1</v>
      </c>
      <c r="K167" s="1950" t="s">
        <v>3947</v>
      </c>
      <c r="L167" s="1947" t="s">
        <v>3926</v>
      </c>
      <c r="M167" s="1754">
        <f t="shared" si="42"/>
        <v>480</v>
      </c>
      <c r="N167" s="1756">
        <v>130</v>
      </c>
      <c r="O167" s="1712">
        <f t="shared" si="54"/>
        <v>6.24</v>
      </c>
      <c r="P167" s="1712">
        <f t="shared" si="55"/>
        <v>115.04</v>
      </c>
      <c r="Q167" s="1712">
        <f t="shared" si="56"/>
        <v>5.5221239999999998</v>
      </c>
      <c r="R167" s="1757">
        <v>0.13</v>
      </c>
      <c r="S167" s="1712">
        <f t="shared" si="57"/>
        <v>0.7178760000000004</v>
      </c>
      <c r="T167" s="1712">
        <f t="shared" si="48"/>
        <v>1.2790407178402718</v>
      </c>
      <c r="U167" s="1712">
        <f t="shared" si="49"/>
        <v>1.4453159833649689</v>
      </c>
      <c r="V167" s="1952"/>
    </row>
    <row r="168" spans="1:22" s="1942" customFormat="1" ht="13" outlineLevel="2">
      <c r="A168" s="1944"/>
      <c r="B168" s="1978" t="s">
        <v>3701</v>
      </c>
      <c r="C168" s="1810"/>
      <c r="D168" s="2038" t="s">
        <v>3704</v>
      </c>
      <c r="E168" s="1947"/>
      <c r="F168" s="1462" t="s">
        <v>1424</v>
      </c>
      <c r="G168" s="1953" t="s">
        <v>4123</v>
      </c>
      <c r="H168" s="1975" t="s">
        <v>10</v>
      </c>
      <c r="I168" s="1712">
        <f>$E$5</f>
        <v>43173.95</v>
      </c>
      <c r="J168" s="1949"/>
      <c r="K168" s="1950" t="s">
        <v>101</v>
      </c>
      <c r="L168" s="1947" t="s">
        <v>10</v>
      </c>
      <c r="M168" s="1754">
        <f t="shared" si="42"/>
        <v>0</v>
      </c>
      <c r="N168" s="1712"/>
      <c r="O168" s="1712">
        <f t="shared" si="54"/>
        <v>0</v>
      </c>
      <c r="P168" s="1712">
        <f t="shared" si="55"/>
        <v>0</v>
      </c>
      <c r="Q168" s="1712">
        <f t="shared" si="56"/>
        <v>0</v>
      </c>
      <c r="R168" s="1757">
        <v>0.06</v>
      </c>
      <c r="S168" s="1712">
        <f t="shared" si="57"/>
        <v>0</v>
      </c>
      <c r="T168" s="1712">
        <f t="shared" si="48"/>
        <v>0</v>
      </c>
      <c r="U168" s="1712">
        <f t="shared" si="49"/>
        <v>0</v>
      </c>
      <c r="V168" s="1952"/>
    </row>
    <row r="169" spans="1:22" s="1942" customFormat="1" ht="13" outlineLevel="2">
      <c r="A169" s="1944"/>
      <c r="B169" s="1978" t="s">
        <v>3703</v>
      </c>
      <c r="C169" s="1810"/>
      <c r="D169" s="2039" t="s">
        <v>3706</v>
      </c>
      <c r="E169" s="1982" t="s">
        <v>3707</v>
      </c>
      <c r="F169" s="1462" t="s">
        <v>3694</v>
      </c>
      <c r="G169" s="1982" t="s">
        <v>4161</v>
      </c>
      <c r="H169" s="1975" t="s">
        <v>10</v>
      </c>
      <c r="I169" s="1712">
        <f>$E$5</f>
        <v>43173.95</v>
      </c>
      <c r="J169" s="1949"/>
      <c r="K169" s="1950" t="s">
        <v>101</v>
      </c>
      <c r="L169" s="1947" t="s">
        <v>10</v>
      </c>
      <c r="M169" s="1754">
        <f t="shared" si="42"/>
        <v>0</v>
      </c>
      <c r="N169" s="1712"/>
      <c r="O169" s="1712">
        <f t="shared" si="54"/>
        <v>0</v>
      </c>
      <c r="P169" s="1712">
        <f t="shared" si="55"/>
        <v>0</v>
      </c>
      <c r="Q169" s="1712">
        <f t="shared" si="56"/>
        <v>0</v>
      </c>
      <c r="R169" s="1757">
        <v>0.13</v>
      </c>
      <c r="S169" s="1712">
        <f t="shared" si="57"/>
        <v>0</v>
      </c>
      <c r="T169" s="1712">
        <f t="shared" si="48"/>
        <v>0</v>
      </c>
      <c r="U169" s="1712">
        <f t="shared" si="49"/>
        <v>0</v>
      </c>
      <c r="V169" s="1952"/>
    </row>
    <row r="170" spans="1:22" ht="13" outlineLevel="1">
      <c r="A170" s="2019"/>
      <c r="B170" s="2023" t="s">
        <v>501</v>
      </c>
      <c r="C170" s="1852">
        <v>2</v>
      </c>
      <c r="D170" s="1966" t="s">
        <v>83</v>
      </c>
      <c r="E170" s="1967"/>
      <c r="F170" s="1968"/>
      <c r="G170" s="2007" t="s">
        <v>4117</v>
      </c>
      <c r="H170" s="1967"/>
      <c r="I170" s="1969"/>
      <c r="J170" s="1970"/>
      <c r="K170" s="1971"/>
      <c r="L170" s="1967"/>
      <c r="M170" s="1971"/>
      <c r="N170" s="1973"/>
      <c r="O170" s="1973">
        <f>SUBTOTAL(9,O171:O183)</f>
        <v>656.22239999999999</v>
      </c>
      <c r="P170" s="1973"/>
      <c r="Q170" s="1973">
        <f>SUBTOTAL(9,Q171:Q183)</f>
        <v>602.03890000000001</v>
      </c>
      <c r="R170" s="1973"/>
      <c r="S170" s="1973">
        <f>SUBTOTAL(9,S171:S183)</f>
        <v>54.183499999999995</v>
      </c>
      <c r="T170" s="1973">
        <f t="shared" si="48"/>
        <v>139.44494307331158</v>
      </c>
      <c r="U170" s="1973">
        <f t="shared" si="49"/>
        <v>151.99498771828846</v>
      </c>
      <c r="V170" s="1974"/>
    </row>
    <row r="171" spans="1:22" s="1942" customFormat="1" outlineLevel="2">
      <c r="A171" s="1813" t="s">
        <v>3093</v>
      </c>
      <c r="B171" s="1807" t="s">
        <v>742</v>
      </c>
      <c r="C171" s="1808"/>
      <c r="D171" s="2008" t="s">
        <v>51</v>
      </c>
      <c r="E171" s="2009" t="s">
        <v>3709</v>
      </c>
      <c r="F171" s="1462" t="s">
        <v>3577</v>
      </c>
      <c r="G171" s="1953" t="s">
        <v>4141</v>
      </c>
      <c r="H171" s="1947" t="s">
        <v>18</v>
      </c>
      <c r="I171" s="1712">
        <f>$G$5</f>
        <v>12</v>
      </c>
      <c r="J171" s="2042">
        <v>32</v>
      </c>
      <c r="K171" s="1947" t="s">
        <v>4085</v>
      </c>
      <c r="L171" s="1947" t="s">
        <v>4086</v>
      </c>
      <c r="M171" s="1754">
        <f t="shared" si="42"/>
        <v>384</v>
      </c>
      <c r="N171" s="1756">
        <v>1646</v>
      </c>
      <c r="O171" s="1712">
        <f>ROUND(M171*ROUND(N171,2)/10000,6)</f>
        <v>63.206400000000002</v>
      </c>
      <c r="P171" s="1712">
        <f>IFERROR(ROUND(Q171*10000/M171,2),0)</f>
        <v>1510.09</v>
      </c>
      <c r="Q171" s="1712">
        <f>ROUND(O171/(1+R171),6)</f>
        <v>57.987523000000003</v>
      </c>
      <c r="R171" s="1757">
        <v>0.09</v>
      </c>
      <c r="S171" s="1712">
        <f>O171-Q171</f>
        <v>5.2188769999999991</v>
      </c>
      <c r="T171" s="1712">
        <f t="shared" si="48"/>
        <v>13.431136831353166</v>
      </c>
      <c r="U171" s="1712">
        <f t="shared" si="49"/>
        <v>14.639939129961471</v>
      </c>
      <c r="V171" s="1952"/>
    </row>
    <row r="172" spans="1:22" s="1942" customFormat="1" outlineLevel="2">
      <c r="A172" s="1813" t="s">
        <v>3093</v>
      </c>
      <c r="B172" s="1807" t="s">
        <v>746</v>
      </c>
      <c r="C172" s="1810"/>
      <c r="D172" s="2038" t="s">
        <v>89</v>
      </c>
      <c r="E172" s="1947" t="s">
        <v>3710</v>
      </c>
      <c r="F172" s="1462" t="s">
        <v>3577</v>
      </c>
      <c r="G172" s="1953" t="s">
        <v>4141</v>
      </c>
      <c r="H172" s="1947" t="s">
        <v>18</v>
      </c>
      <c r="I172" s="1712">
        <f>$G$5</f>
        <v>12</v>
      </c>
      <c r="J172" s="2042">
        <v>32</v>
      </c>
      <c r="K172" s="1947" t="s">
        <v>4085</v>
      </c>
      <c r="L172" s="1947" t="s">
        <v>4087</v>
      </c>
      <c r="M172" s="1754">
        <f t="shared" si="42"/>
        <v>384</v>
      </c>
      <c r="N172" s="1756">
        <v>1880</v>
      </c>
      <c r="O172" s="1712">
        <f t="shared" ref="O172:O183" si="58">ROUND(M172*ROUND(N172,2)/10000,6)</f>
        <v>72.191999999999993</v>
      </c>
      <c r="P172" s="1712">
        <f t="shared" ref="P172:P183" si="59">IFERROR(ROUND(Q172*10000/M172,2),0)</f>
        <v>1724.77</v>
      </c>
      <c r="Q172" s="1712">
        <f t="shared" ref="Q172:Q183" si="60">ROUND(O172/(1+R172),6)</f>
        <v>66.231193000000005</v>
      </c>
      <c r="R172" s="1757">
        <v>0.09</v>
      </c>
      <c r="S172" s="1712">
        <f t="shared" ref="S172:S183" si="61">O172-Q172</f>
        <v>5.9608069999999884</v>
      </c>
      <c r="T172" s="1712">
        <f t="shared" si="48"/>
        <v>15.340545166703535</v>
      </c>
      <c r="U172" s="1712">
        <f t="shared" si="49"/>
        <v>16.721194146007022</v>
      </c>
      <c r="V172" s="1952"/>
    </row>
    <row r="173" spans="1:22" s="1942" customFormat="1" outlineLevel="2">
      <c r="A173" s="1813" t="s">
        <v>3093</v>
      </c>
      <c r="B173" s="1807" t="s">
        <v>753</v>
      </c>
      <c r="C173" s="1810"/>
      <c r="D173" s="2038" t="s">
        <v>3711</v>
      </c>
      <c r="E173" s="1947" t="s">
        <v>3712</v>
      </c>
      <c r="F173" s="1462" t="s">
        <v>3577</v>
      </c>
      <c r="G173" s="1953" t="s">
        <v>4141</v>
      </c>
      <c r="H173" s="1947" t="s">
        <v>10</v>
      </c>
      <c r="I173" s="1712">
        <f>$E$5</f>
        <v>43173.95</v>
      </c>
      <c r="J173" s="2041"/>
      <c r="K173" s="1947" t="s">
        <v>101</v>
      </c>
      <c r="L173" s="1947" t="s">
        <v>4088</v>
      </c>
      <c r="M173" s="1754">
        <f t="shared" si="42"/>
        <v>0</v>
      </c>
      <c r="N173" s="1712"/>
      <c r="O173" s="1712">
        <f t="shared" si="58"/>
        <v>0</v>
      </c>
      <c r="P173" s="1712">
        <f t="shared" si="59"/>
        <v>0</v>
      </c>
      <c r="Q173" s="1712">
        <f t="shared" si="60"/>
        <v>0</v>
      </c>
      <c r="R173" s="1757">
        <v>0.09</v>
      </c>
      <c r="S173" s="1712">
        <f t="shared" si="61"/>
        <v>0</v>
      </c>
      <c r="T173" s="1712">
        <f t="shared" si="48"/>
        <v>0</v>
      </c>
      <c r="U173" s="1712">
        <f t="shared" si="49"/>
        <v>0</v>
      </c>
      <c r="V173" s="1952"/>
    </row>
    <row r="174" spans="1:22" s="1942" customFormat="1" outlineLevel="2">
      <c r="A174" s="1813" t="s">
        <v>3093</v>
      </c>
      <c r="B174" s="1807" t="s">
        <v>755</v>
      </c>
      <c r="C174" s="1810"/>
      <c r="D174" s="2038" t="s">
        <v>90</v>
      </c>
      <c r="E174" s="1947" t="s">
        <v>3713</v>
      </c>
      <c r="F174" s="1462" t="s">
        <v>3577</v>
      </c>
      <c r="G174" s="1953" t="s">
        <v>4141</v>
      </c>
      <c r="H174" s="1947" t="s">
        <v>18</v>
      </c>
      <c r="I174" s="1712">
        <f>$G$5</f>
        <v>12</v>
      </c>
      <c r="J174" s="2041"/>
      <c r="K174" s="1947" t="s">
        <v>4085</v>
      </c>
      <c r="L174" s="1947" t="s">
        <v>4089</v>
      </c>
      <c r="M174" s="1754">
        <f t="shared" si="42"/>
        <v>0</v>
      </c>
      <c r="N174" s="1712"/>
      <c r="O174" s="1712">
        <f t="shared" si="58"/>
        <v>0</v>
      </c>
      <c r="P174" s="1712">
        <f t="shared" si="59"/>
        <v>0</v>
      </c>
      <c r="Q174" s="1712">
        <f t="shared" si="60"/>
        <v>0</v>
      </c>
      <c r="R174" s="1757">
        <v>0.09</v>
      </c>
      <c r="S174" s="1712">
        <f t="shared" si="61"/>
        <v>0</v>
      </c>
      <c r="T174" s="1712">
        <f t="shared" si="48"/>
        <v>0</v>
      </c>
      <c r="U174" s="1712">
        <f t="shared" si="49"/>
        <v>0</v>
      </c>
      <c r="V174" s="1952"/>
    </row>
    <row r="175" spans="1:22" s="1942" customFormat="1" outlineLevel="2">
      <c r="A175" s="1813" t="s">
        <v>3093</v>
      </c>
      <c r="B175" s="1807" t="s">
        <v>756</v>
      </c>
      <c r="C175" s="1810"/>
      <c r="D175" s="2038" t="s">
        <v>757</v>
      </c>
      <c r="E175" s="1947" t="s">
        <v>3714</v>
      </c>
      <c r="F175" s="1462" t="s">
        <v>3342</v>
      </c>
      <c r="G175" s="1953" t="s">
        <v>4116</v>
      </c>
      <c r="H175" s="1947" t="s">
        <v>3923</v>
      </c>
      <c r="I175" s="1712">
        <f>$G$6</f>
        <v>240</v>
      </c>
      <c r="J175" s="2042">
        <v>12.2</v>
      </c>
      <c r="K175" s="1947" t="s">
        <v>2</v>
      </c>
      <c r="L175" s="1947" t="s">
        <v>4090</v>
      </c>
      <c r="M175" s="1754">
        <f t="shared" si="42"/>
        <v>2928</v>
      </c>
      <c r="N175" s="1756">
        <v>180</v>
      </c>
      <c r="O175" s="1712">
        <f t="shared" si="58"/>
        <v>52.704000000000001</v>
      </c>
      <c r="P175" s="1712">
        <f t="shared" si="59"/>
        <v>165.14</v>
      </c>
      <c r="Q175" s="1712">
        <f t="shared" si="60"/>
        <v>48.352294000000001</v>
      </c>
      <c r="R175" s="1757">
        <v>0.09</v>
      </c>
      <c r="S175" s="1712">
        <f t="shared" si="61"/>
        <v>4.3517060000000001</v>
      </c>
      <c r="T175" s="1712">
        <f t="shared" si="48"/>
        <v>11.199413998487515</v>
      </c>
      <c r="U175" s="1712">
        <f t="shared" si="49"/>
        <v>12.207361151805662</v>
      </c>
      <c r="V175" s="1952"/>
    </row>
    <row r="176" spans="1:22" s="1942" customFormat="1" outlineLevel="2">
      <c r="A176" s="1813" t="s">
        <v>3093</v>
      </c>
      <c r="B176" s="1807" t="s">
        <v>758</v>
      </c>
      <c r="C176" s="1810"/>
      <c r="D176" s="2038" t="s">
        <v>118</v>
      </c>
      <c r="E176" s="1947" t="s">
        <v>3715</v>
      </c>
      <c r="F176" s="1462" t="s">
        <v>3577</v>
      </c>
      <c r="G176" s="1953" t="s">
        <v>4141</v>
      </c>
      <c r="H176" s="1947" t="s">
        <v>3923</v>
      </c>
      <c r="I176" s="1712">
        <f>$G$6</f>
        <v>240</v>
      </c>
      <c r="J176" s="2042">
        <v>14</v>
      </c>
      <c r="K176" s="1947" t="s">
        <v>2</v>
      </c>
      <c r="L176" s="1947" t="s">
        <v>4091</v>
      </c>
      <c r="M176" s="1754">
        <f t="shared" si="42"/>
        <v>3360</v>
      </c>
      <c r="N176" s="1756">
        <v>1300</v>
      </c>
      <c r="O176" s="1712">
        <f t="shared" si="58"/>
        <v>436.8</v>
      </c>
      <c r="P176" s="1712">
        <f t="shared" si="59"/>
        <v>1192.6600000000001</v>
      </c>
      <c r="Q176" s="1712">
        <f t="shared" si="60"/>
        <v>400.73394500000001</v>
      </c>
      <c r="R176" s="1757">
        <v>0.09</v>
      </c>
      <c r="S176" s="1712">
        <f t="shared" si="61"/>
        <v>36.066055000000006</v>
      </c>
      <c r="T176" s="1712">
        <f t="shared" si="48"/>
        <v>92.818457657916412</v>
      </c>
      <c r="U176" s="1712">
        <f t="shared" si="49"/>
        <v>101.17211883554783</v>
      </c>
      <c r="V176" s="1952"/>
    </row>
    <row r="177" spans="1:22" s="1942" customFormat="1" outlineLevel="2">
      <c r="A177" s="1813" t="s">
        <v>3093</v>
      </c>
      <c r="B177" s="1807" t="s">
        <v>763</v>
      </c>
      <c r="C177" s="1810"/>
      <c r="D177" s="2038" t="s">
        <v>807</v>
      </c>
      <c r="E177" s="1947" t="s">
        <v>3716</v>
      </c>
      <c r="F177" s="1462" t="s">
        <v>3577</v>
      </c>
      <c r="G177" s="1953" t="s">
        <v>4141</v>
      </c>
      <c r="H177" s="1947" t="s">
        <v>4092</v>
      </c>
      <c r="I177" s="1712">
        <f>$G$5</f>
        <v>12</v>
      </c>
      <c r="J177" s="2041">
        <v>2</v>
      </c>
      <c r="K177" s="1947" t="s">
        <v>2942</v>
      </c>
      <c r="L177" s="1947" t="s">
        <v>4093</v>
      </c>
      <c r="M177" s="1754">
        <f t="shared" si="42"/>
        <v>24</v>
      </c>
      <c r="N177" s="1712"/>
      <c r="O177" s="1712">
        <f t="shared" si="58"/>
        <v>0</v>
      </c>
      <c r="P177" s="1712">
        <f t="shared" si="59"/>
        <v>0</v>
      </c>
      <c r="Q177" s="1712">
        <f t="shared" si="60"/>
        <v>0</v>
      </c>
      <c r="R177" s="1757">
        <v>0.09</v>
      </c>
      <c r="S177" s="1712">
        <f t="shared" si="61"/>
        <v>0</v>
      </c>
      <c r="T177" s="1712">
        <f t="shared" si="48"/>
        <v>0</v>
      </c>
      <c r="U177" s="1712">
        <f t="shared" si="49"/>
        <v>0</v>
      </c>
      <c r="V177" s="1952"/>
    </row>
    <row r="178" spans="1:22" s="1942" customFormat="1" outlineLevel="2">
      <c r="A178" s="1813" t="s">
        <v>3093</v>
      </c>
      <c r="B178" s="1807" t="s">
        <v>764</v>
      </c>
      <c r="C178" s="1810"/>
      <c r="D178" s="2038" t="s">
        <v>808</v>
      </c>
      <c r="E178" s="1947" t="s">
        <v>3717</v>
      </c>
      <c r="F178" s="1462" t="s">
        <v>3577</v>
      </c>
      <c r="G178" s="1953" t="s">
        <v>4141</v>
      </c>
      <c r="H178" s="1975" t="s">
        <v>3969</v>
      </c>
      <c r="I178" s="1948"/>
      <c r="J178" s="2041"/>
      <c r="K178" s="1947" t="s">
        <v>3974</v>
      </c>
      <c r="L178" s="1947" t="s">
        <v>4048</v>
      </c>
      <c r="M178" s="1754">
        <f t="shared" si="42"/>
        <v>0</v>
      </c>
      <c r="N178" s="1712"/>
      <c r="O178" s="1712">
        <f t="shared" si="58"/>
        <v>0</v>
      </c>
      <c r="P178" s="1712">
        <f t="shared" si="59"/>
        <v>0</v>
      </c>
      <c r="Q178" s="1712">
        <f t="shared" si="60"/>
        <v>0</v>
      </c>
      <c r="R178" s="1757">
        <v>0.09</v>
      </c>
      <c r="S178" s="1712">
        <f t="shared" si="61"/>
        <v>0</v>
      </c>
      <c r="T178" s="1712">
        <f t="shared" si="48"/>
        <v>0</v>
      </c>
      <c r="U178" s="1712">
        <f t="shared" si="49"/>
        <v>0</v>
      </c>
      <c r="V178" s="1952"/>
    </row>
    <row r="179" spans="1:22" s="1942" customFormat="1" outlineLevel="2">
      <c r="A179" s="1813" t="s">
        <v>3093</v>
      </c>
      <c r="B179" s="1807" t="s">
        <v>765</v>
      </c>
      <c r="C179" s="1808"/>
      <c r="D179" s="2008" t="s">
        <v>3718</v>
      </c>
      <c r="E179" s="2009" t="s">
        <v>3719</v>
      </c>
      <c r="F179" s="1462" t="s">
        <v>3342</v>
      </c>
      <c r="G179" s="1953" t="s">
        <v>4116</v>
      </c>
      <c r="H179" s="1947" t="s">
        <v>3923</v>
      </c>
      <c r="I179" s="1712">
        <f>$G$6</f>
        <v>240</v>
      </c>
      <c r="J179" s="2042">
        <v>8.6999999999999993</v>
      </c>
      <c r="K179" s="1947" t="s">
        <v>101</v>
      </c>
      <c r="L179" s="1947" t="s">
        <v>4094</v>
      </c>
      <c r="M179" s="1754">
        <f t="shared" si="42"/>
        <v>2088</v>
      </c>
      <c r="N179" s="1756">
        <v>150</v>
      </c>
      <c r="O179" s="1712">
        <f t="shared" si="58"/>
        <v>31.32</v>
      </c>
      <c r="P179" s="1712">
        <f t="shared" si="59"/>
        <v>137.61000000000001</v>
      </c>
      <c r="Q179" s="1712">
        <f t="shared" si="60"/>
        <v>28.733944999999999</v>
      </c>
      <c r="R179" s="1757">
        <v>0.09</v>
      </c>
      <c r="S179" s="1712">
        <f t="shared" si="61"/>
        <v>2.5860550000000018</v>
      </c>
      <c r="T179" s="1712">
        <f t="shared" si="48"/>
        <v>6.6553894188509517</v>
      </c>
      <c r="U179" s="1712">
        <f t="shared" si="49"/>
        <v>7.254374454966479</v>
      </c>
      <c r="V179" s="1952"/>
    </row>
    <row r="180" spans="1:22" s="1942" customFormat="1" outlineLevel="2">
      <c r="A180" s="1813" t="s">
        <v>3093</v>
      </c>
      <c r="B180" s="1807" t="s">
        <v>810</v>
      </c>
      <c r="C180" s="1808"/>
      <c r="D180" s="2008" t="s">
        <v>3720</v>
      </c>
      <c r="E180" s="2009" t="s">
        <v>3721</v>
      </c>
      <c r="F180" s="1462" t="s">
        <v>3577</v>
      </c>
      <c r="G180" s="1953" t="s">
        <v>4141</v>
      </c>
      <c r="H180" s="1947" t="s">
        <v>10</v>
      </c>
      <c r="I180" s="1712">
        <f>$E$5</f>
        <v>43173.95</v>
      </c>
      <c r="J180" s="2041"/>
      <c r="K180" s="1947" t="s">
        <v>101</v>
      </c>
      <c r="L180" s="1947" t="s">
        <v>4095</v>
      </c>
      <c r="M180" s="1754">
        <f t="shared" si="42"/>
        <v>0</v>
      </c>
      <c r="N180" s="1712"/>
      <c r="O180" s="1712">
        <f t="shared" si="58"/>
        <v>0</v>
      </c>
      <c r="P180" s="1712">
        <f t="shared" si="59"/>
        <v>0</v>
      </c>
      <c r="Q180" s="1712">
        <f t="shared" si="60"/>
        <v>0</v>
      </c>
      <c r="R180" s="1757">
        <v>0.09</v>
      </c>
      <c r="S180" s="1712">
        <f t="shared" si="61"/>
        <v>0</v>
      </c>
      <c r="T180" s="1712">
        <f t="shared" si="48"/>
        <v>0</v>
      </c>
      <c r="U180" s="1712">
        <f t="shared" si="49"/>
        <v>0</v>
      </c>
      <c r="V180" s="1952"/>
    </row>
    <row r="181" spans="1:22" s="1942" customFormat="1" outlineLevel="2">
      <c r="A181" s="1813" t="s">
        <v>3093</v>
      </c>
      <c r="B181" s="1807" t="s">
        <v>3722</v>
      </c>
      <c r="C181" s="1808"/>
      <c r="D181" s="2008" t="s">
        <v>3723</v>
      </c>
      <c r="E181" s="2009" t="s">
        <v>3724</v>
      </c>
      <c r="F181" s="1462" t="s">
        <v>3577</v>
      </c>
      <c r="G181" s="1953" t="s">
        <v>4141</v>
      </c>
      <c r="H181" s="1947" t="s">
        <v>10</v>
      </c>
      <c r="I181" s="1712">
        <f>$E$5</f>
        <v>43173.95</v>
      </c>
      <c r="J181" s="2041"/>
      <c r="K181" s="1947" t="s">
        <v>101</v>
      </c>
      <c r="L181" s="1947" t="s">
        <v>4096</v>
      </c>
      <c r="M181" s="1754">
        <f t="shared" si="42"/>
        <v>0</v>
      </c>
      <c r="N181" s="1712"/>
      <c r="O181" s="1712">
        <f t="shared" si="58"/>
        <v>0</v>
      </c>
      <c r="P181" s="1712">
        <f t="shared" si="59"/>
        <v>0</v>
      </c>
      <c r="Q181" s="1712">
        <f t="shared" si="60"/>
        <v>0</v>
      </c>
      <c r="R181" s="1757">
        <v>0.09</v>
      </c>
      <c r="S181" s="1712">
        <f t="shared" si="61"/>
        <v>0</v>
      </c>
      <c r="T181" s="1712">
        <f t="shared" si="48"/>
        <v>0</v>
      </c>
      <c r="U181" s="1712">
        <f t="shared" si="49"/>
        <v>0</v>
      </c>
      <c r="V181" s="1952"/>
    </row>
    <row r="182" spans="1:22" s="1942" customFormat="1" outlineLevel="2">
      <c r="A182" s="1813" t="s">
        <v>3093</v>
      </c>
      <c r="B182" s="1807" t="s">
        <v>3725</v>
      </c>
      <c r="C182" s="1810"/>
      <c r="D182" s="2038" t="s">
        <v>811</v>
      </c>
      <c r="E182" s="1947" t="s">
        <v>3726</v>
      </c>
      <c r="F182" s="1462" t="s">
        <v>3624</v>
      </c>
      <c r="G182" s="1953" t="s">
        <v>4149</v>
      </c>
      <c r="H182" s="1975" t="s">
        <v>10</v>
      </c>
      <c r="I182" s="1712">
        <f>$E$5</f>
        <v>43173.95</v>
      </c>
      <c r="J182" s="2041"/>
      <c r="K182" s="1947" t="s">
        <v>101</v>
      </c>
      <c r="L182" s="1947" t="s">
        <v>10</v>
      </c>
      <c r="M182" s="1754">
        <f t="shared" si="42"/>
        <v>0</v>
      </c>
      <c r="N182" s="1712"/>
      <c r="O182" s="1712">
        <f t="shared" si="58"/>
        <v>0</v>
      </c>
      <c r="P182" s="1712">
        <f t="shared" si="59"/>
        <v>0</v>
      </c>
      <c r="Q182" s="1712">
        <f t="shared" si="60"/>
        <v>0</v>
      </c>
      <c r="R182" s="1757">
        <v>0.06</v>
      </c>
      <c r="S182" s="1712">
        <f t="shared" si="61"/>
        <v>0</v>
      </c>
      <c r="T182" s="1712">
        <f t="shared" si="48"/>
        <v>0</v>
      </c>
      <c r="U182" s="1712">
        <f t="shared" si="49"/>
        <v>0</v>
      </c>
      <c r="V182" s="1952"/>
    </row>
    <row r="183" spans="1:22" s="1942" customFormat="1" outlineLevel="2">
      <c r="A183" s="1813" t="s">
        <v>3093</v>
      </c>
      <c r="B183" s="1807" t="s">
        <v>3727</v>
      </c>
      <c r="C183" s="1810"/>
      <c r="D183" s="2038" t="s">
        <v>3728</v>
      </c>
      <c r="E183" s="1947" t="s">
        <v>3729</v>
      </c>
      <c r="F183" s="1462" t="s">
        <v>3730</v>
      </c>
      <c r="G183" s="1953" t="s">
        <v>4163</v>
      </c>
      <c r="H183" s="1975" t="s">
        <v>3849</v>
      </c>
      <c r="I183" s="1948">
        <f>'全期规划指标 '!H50</f>
        <v>33975.300000000003</v>
      </c>
      <c r="J183" s="2041">
        <v>1</v>
      </c>
      <c r="K183" s="1947" t="s">
        <v>101</v>
      </c>
      <c r="L183" s="1947" t="s">
        <v>3849</v>
      </c>
      <c r="M183" s="1754">
        <f t="shared" si="42"/>
        <v>33975.300000000003</v>
      </c>
      <c r="N183" s="1712"/>
      <c r="O183" s="1712">
        <f t="shared" si="58"/>
        <v>0</v>
      </c>
      <c r="P183" s="1712">
        <f t="shared" si="59"/>
        <v>0</v>
      </c>
      <c r="Q183" s="1712">
        <f t="shared" si="60"/>
        <v>0</v>
      </c>
      <c r="R183" s="1757">
        <v>0.09</v>
      </c>
      <c r="S183" s="1712">
        <f t="shared" si="61"/>
        <v>0</v>
      </c>
      <c r="T183" s="1712">
        <f t="shared" si="48"/>
        <v>0</v>
      </c>
      <c r="U183" s="1712">
        <f t="shared" si="49"/>
        <v>0</v>
      </c>
      <c r="V183" s="1952"/>
    </row>
    <row r="184" spans="1:22" ht="13" outlineLevel="1">
      <c r="A184" s="2019"/>
      <c r="B184" s="2023" t="s">
        <v>502</v>
      </c>
      <c r="C184" s="1852">
        <v>3</v>
      </c>
      <c r="D184" s="1966" t="s">
        <v>84</v>
      </c>
      <c r="E184" s="1967"/>
      <c r="F184" s="1968"/>
      <c r="G184" s="2007" t="s">
        <v>4117</v>
      </c>
      <c r="H184" s="1967"/>
      <c r="I184" s="1969"/>
      <c r="J184" s="1970"/>
      <c r="K184" s="1971"/>
      <c r="L184" s="1967"/>
      <c r="M184" s="1971"/>
      <c r="N184" s="1973"/>
      <c r="O184" s="1973">
        <f>SUBTOTAL(9,O185:O192)</f>
        <v>183.80874</v>
      </c>
      <c r="P184" s="1973"/>
      <c r="Q184" s="1973">
        <f>SUBTOTAL(9,Q185:Q192)</f>
        <v>167.85246100000001</v>
      </c>
      <c r="R184" s="1973"/>
      <c r="S184" s="1973">
        <f>SUBTOTAL(9,S185:S192)</f>
        <v>15.956278999999991</v>
      </c>
      <c r="T184" s="1973">
        <f t="shared" si="48"/>
        <v>38.878180245263643</v>
      </c>
      <c r="U184" s="1973">
        <f t="shared" si="49"/>
        <v>42.573991955797418</v>
      </c>
      <c r="V184" s="1974"/>
    </row>
    <row r="185" spans="1:22" s="1942" customFormat="1" ht="13" outlineLevel="2">
      <c r="A185" s="1944"/>
      <c r="B185" s="1807" t="s">
        <v>766</v>
      </c>
      <c r="C185" s="1808"/>
      <c r="D185" s="2008" t="s">
        <v>3731</v>
      </c>
      <c r="E185" s="2009"/>
      <c r="F185" s="1462"/>
      <c r="G185" s="1953" t="s">
        <v>4117</v>
      </c>
      <c r="H185" s="1947"/>
      <c r="I185" s="1948"/>
      <c r="J185" s="1949"/>
      <c r="K185" s="1950"/>
      <c r="L185" s="1947"/>
      <c r="M185" s="1950"/>
      <c r="N185" s="1712"/>
      <c r="O185" s="1712">
        <f>SUBTOTAL(9,O186:O190)</f>
        <v>183.80874</v>
      </c>
      <c r="P185" s="1712"/>
      <c r="Q185" s="1712">
        <f>SUBTOTAL(9,Q186:Q190)</f>
        <v>167.85246100000001</v>
      </c>
      <c r="R185" s="1712"/>
      <c r="S185" s="1712">
        <f>SUBTOTAL(9,S186:S190)</f>
        <v>15.956278999999991</v>
      </c>
      <c r="T185" s="1712">
        <f t="shared" si="48"/>
        <v>38.878180245263643</v>
      </c>
      <c r="U185" s="1712">
        <f t="shared" si="49"/>
        <v>42.573991955797418</v>
      </c>
      <c r="V185" s="1952"/>
    </row>
    <row r="186" spans="1:22" s="1942" customFormat="1" ht="24" outlineLevel="3">
      <c r="A186" s="1813" t="s">
        <v>3088</v>
      </c>
      <c r="B186" s="1978" t="s">
        <v>767</v>
      </c>
      <c r="C186" s="1810"/>
      <c r="D186" s="2038" t="s">
        <v>3732</v>
      </c>
      <c r="E186" s="1947" t="s">
        <v>3733</v>
      </c>
      <c r="F186" s="1462" t="s">
        <v>458</v>
      </c>
      <c r="G186" s="1953" t="s">
        <v>4164</v>
      </c>
      <c r="H186" s="1947" t="s">
        <v>10</v>
      </c>
      <c r="I186" s="1712">
        <f>$E$5</f>
        <v>43173.95</v>
      </c>
      <c r="J186" s="1976">
        <v>1</v>
      </c>
      <c r="K186" s="1947" t="s">
        <v>101</v>
      </c>
      <c r="L186" s="1947" t="s">
        <v>10</v>
      </c>
      <c r="M186" s="1754">
        <f t="shared" ref="M186:M202" si="62">ROUND(I186,2)*ROUND(J186,4)</f>
        <v>43173.95</v>
      </c>
      <c r="N186" s="1756">
        <v>12</v>
      </c>
      <c r="O186" s="1712">
        <f t="shared" ref="O186:O192" si="63">ROUND(M186*ROUND(N186,2)/10000,6)</f>
        <v>51.80874</v>
      </c>
      <c r="P186" s="1712">
        <f t="shared" ref="P186:P192" si="64">IFERROR(ROUND(Q186*10000/M186,2),0)</f>
        <v>11.01</v>
      </c>
      <c r="Q186" s="1712">
        <f t="shared" ref="Q186:Q192" si="65">ROUND(O186/(1+R186),6)</f>
        <v>47.530954000000001</v>
      </c>
      <c r="R186" s="1757">
        <v>0.09</v>
      </c>
      <c r="S186" s="1712">
        <f t="shared" ref="S186:S192" si="66">O186-Q186</f>
        <v>4.277785999999999</v>
      </c>
      <c r="T186" s="1712">
        <f t="shared" si="48"/>
        <v>11.009174282177101</v>
      </c>
      <c r="U186" s="1712">
        <f t="shared" si="49"/>
        <v>12.000000000000002</v>
      </c>
      <c r="V186" s="1952"/>
    </row>
    <row r="187" spans="1:22" s="1942" customFormat="1" ht="24" outlineLevel="3">
      <c r="A187" s="1813" t="s">
        <v>3088</v>
      </c>
      <c r="B187" s="1978" t="s">
        <v>769</v>
      </c>
      <c r="C187" s="1810"/>
      <c r="D187" s="2038" t="s">
        <v>3734</v>
      </c>
      <c r="E187" s="1947" t="s">
        <v>3735</v>
      </c>
      <c r="F187" s="1462" t="s">
        <v>458</v>
      </c>
      <c r="G187" s="1953" t="s">
        <v>4164</v>
      </c>
      <c r="H187" s="1975" t="s">
        <v>3926</v>
      </c>
      <c r="I187" s="1712">
        <f>$G$7</f>
        <v>480</v>
      </c>
      <c r="J187" s="1949">
        <v>1</v>
      </c>
      <c r="K187" s="1950" t="s">
        <v>3947</v>
      </c>
      <c r="L187" s="1947" t="s">
        <v>3926</v>
      </c>
      <c r="M187" s="1754">
        <f t="shared" si="62"/>
        <v>480</v>
      </c>
      <c r="N187" s="1712">
        <v>500</v>
      </c>
      <c r="O187" s="1712">
        <f t="shared" si="63"/>
        <v>24</v>
      </c>
      <c r="P187" s="1712">
        <f t="shared" si="64"/>
        <v>458.72</v>
      </c>
      <c r="Q187" s="1712">
        <f t="shared" si="65"/>
        <v>22.018349000000001</v>
      </c>
      <c r="R187" s="1757">
        <v>0.09</v>
      </c>
      <c r="S187" s="1712">
        <f t="shared" si="66"/>
        <v>1.9816509999999994</v>
      </c>
      <c r="T187" s="1712">
        <f t="shared" si="48"/>
        <v>5.0999153424692443</v>
      </c>
      <c r="U187" s="1712">
        <f t="shared" si="49"/>
        <v>5.5589076283268035</v>
      </c>
      <c r="V187" s="1952"/>
    </row>
    <row r="188" spans="1:22" s="1942" customFormat="1" ht="24" outlineLevel="3">
      <c r="A188" s="1813" t="s">
        <v>3088</v>
      </c>
      <c r="B188" s="1978" t="s">
        <v>770</v>
      </c>
      <c r="C188" s="1810"/>
      <c r="D188" s="2038" t="s">
        <v>771</v>
      </c>
      <c r="E188" s="1947" t="s">
        <v>3737</v>
      </c>
      <c r="F188" s="1462" t="s">
        <v>3738</v>
      </c>
      <c r="G188" s="1953" t="s">
        <v>4166</v>
      </c>
      <c r="H188" s="1975" t="s">
        <v>3926</v>
      </c>
      <c r="I188" s="1712">
        <f>$G$7</f>
        <v>480</v>
      </c>
      <c r="J188" s="1949">
        <v>1</v>
      </c>
      <c r="K188" s="1950" t="s">
        <v>3947</v>
      </c>
      <c r="L188" s="1947" t="s">
        <v>3926</v>
      </c>
      <c r="M188" s="1754">
        <f t="shared" si="62"/>
        <v>480</v>
      </c>
      <c r="N188" s="1712">
        <v>1750</v>
      </c>
      <c r="O188" s="1712">
        <f t="shared" si="63"/>
        <v>84</v>
      </c>
      <c r="P188" s="1712">
        <f t="shared" si="64"/>
        <v>1605.5</v>
      </c>
      <c r="Q188" s="1712">
        <f t="shared" si="65"/>
        <v>77.064220000000006</v>
      </c>
      <c r="R188" s="1757">
        <v>0.09</v>
      </c>
      <c r="S188" s="1712">
        <f t="shared" si="66"/>
        <v>6.9357799999999941</v>
      </c>
      <c r="T188" s="1712">
        <f t="shared" si="48"/>
        <v>17.849703351210628</v>
      </c>
      <c r="U188" s="1712">
        <f t="shared" si="49"/>
        <v>19.456176699143814</v>
      </c>
      <c r="V188" s="1952"/>
    </row>
    <row r="189" spans="1:22" s="1942" customFormat="1" ht="24" outlineLevel="3">
      <c r="A189" s="1813" t="s">
        <v>3088</v>
      </c>
      <c r="B189" s="1978" t="s">
        <v>772</v>
      </c>
      <c r="C189" s="1810"/>
      <c r="D189" s="2038" t="s">
        <v>1598</v>
      </c>
      <c r="E189" s="1947" t="s">
        <v>3739</v>
      </c>
      <c r="F189" s="1462" t="s">
        <v>458</v>
      </c>
      <c r="G189" s="1953" t="s">
        <v>4164</v>
      </c>
      <c r="H189" s="1975" t="s">
        <v>3926</v>
      </c>
      <c r="I189" s="1712">
        <f>$G$7</f>
        <v>480</v>
      </c>
      <c r="J189" s="1949">
        <v>1</v>
      </c>
      <c r="K189" s="1950" t="s">
        <v>3947</v>
      </c>
      <c r="L189" s="1947" t="s">
        <v>3926</v>
      </c>
      <c r="M189" s="1754">
        <f t="shared" si="62"/>
        <v>480</v>
      </c>
      <c r="N189" s="1712"/>
      <c r="O189" s="1712">
        <f t="shared" si="63"/>
        <v>0</v>
      </c>
      <c r="P189" s="1712">
        <f t="shared" si="64"/>
        <v>0</v>
      </c>
      <c r="Q189" s="1712">
        <f t="shared" si="65"/>
        <v>0</v>
      </c>
      <c r="R189" s="1757">
        <v>0.09</v>
      </c>
      <c r="S189" s="1712">
        <f t="shared" si="66"/>
        <v>0</v>
      </c>
      <c r="T189" s="1712">
        <f t="shared" si="48"/>
        <v>0</v>
      </c>
      <c r="U189" s="1712">
        <f t="shared" si="49"/>
        <v>0</v>
      </c>
      <c r="V189" s="1952"/>
    </row>
    <row r="190" spans="1:22" s="1942" customFormat="1" ht="24" outlineLevel="3">
      <c r="A190" s="1813" t="s">
        <v>3088</v>
      </c>
      <c r="B190" s="1978" t="s">
        <v>773</v>
      </c>
      <c r="C190" s="1810"/>
      <c r="D190" s="2038" t="s">
        <v>3740</v>
      </c>
      <c r="E190" s="1947" t="s">
        <v>3741</v>
      </c>
      <c r="F190" s="1462" t="s">
        <v>3742</v>
      </c>
      <c r="G190" s="1953" t="s">
        <v>4167</v>
      </c>
      <c r="H190" s="1975" t="s">
        <v>3926</v>
      </c>
      <c r="I190" s="1712">
        <f>$G$7</f>
        <v>480</v>
      </c>
      <c r="J190" s="1949">
        <v>1</v>
      </c>
      <c r="K190" s="1950" t="s">
        <v>3947</v>
      </c>
      <c r="L190" s="1947" t="s">
        <v>3926</v>
      </c>
      <c r="M190" s="1754">
        <f t="shared" si="62"/>
        <v>480</v>
      </c>
      <c r="N190" s="1712">
        <v>500</v>
      </c>
      <c r="O190" s="1712">
        <f t="shared" si="63"/>
        <v>24</v>
      </c>
      <c r="P190" s="1712">
        <f t="shared" si="64"/>
        <v>442.48</v>
      </c>
      <c r="Q190" s="1712">
        <f t="shared" si="65"/>
        <v>21.238938000000001</v>
      </c>
      <c r="R190" s="1757">
        <v>0.13</v>
      </c>
      <c r="S190" s="1712">
        <f t="shared" si="66"/>
        <v>2.761061999999999</v>
      </c>
      <c r="T190" s="1712">
        <f t="shared" si="48"/>
        <v>4.919387269406668</v>
      </c>
      <c r="U190" s="1712">
        <f t="shared" si="49"/>
        <v>5.5589076283268035</v>
      </c>
      <c r="V190" s="1952"/>
    </row>
    <row r="191" spans="1:22" s="1942" customFormat="1" ht="24" outlineLevel="2">
      <c r="A191" s="1813" t="s">
        <v>3088</v>
      </c>
      <c r="B191" s="1978" t="s">
        <v>777</v>
      </c>
      <c r="C191" s="1810"/>
      <c r="D191" s="2038" t="s">
        <v>814</v>
      </c>
      <c r="E191" s="1947" t="s">
        <v>3743</v>
      </c>
      <c r="F191" s="1462" t="s">
        <v>458</v>
      </c>
      <c r="G191" s="1953" t="s">
        <v>4164</v>
      </c>
      <c r="H191" s="1975" t="s">
        <v>10</v>
      </c>
      <c r="I191" s="1712">
        <f>$E$5</f>
        <v>43173.95</v>
      </c>
      <c r="J191" s="2035"/>
      <c r="K191" s="1950" t="s">
        <v>101</v>
      </c>
      <c r="L191" s="1947" t="s">
        <v>10</v>
      </c>
      <c r="M191" s="1754">
        <f t="shared" si="62"/>
        <v>0</v>
      </c>
      <c r="N191" s="1712"/>
      <c r="O191" s="1712">
        <f t="shared" si="63"/>
        <v>0</v>
      </c>
      <c r="P191" s="1712">
        <f t="shared" si="64"/>
        <v>0</v>
      </c>
      <c r="Q191" s="1712">
        <f t="shared" si="65"/>
        <v>0</v>
      </c>
      <c r="R191" s="1757">
        <v>0.09</v>
      </c>
      <c r="S191" s="1712">
        <f t="shared" si="66"/>
        <v>0</v>
      </c>
      <c r="T191" s="1712">
        <f t="shared" si="48"/>
        <v>0</v>
      </c>
      <c r="U191" s="1712">
        <f t="shared" si="49"/>
        <v>0</v>
      </c>
      <c r="V191" s="1952"/>
    </row>
    <row r="192" spans="1:22" s="1942" customFormat="1" ht="24" outlineLevel="2">
      <c r="A192" s="1813" t="s">
        <v>3088</v>
      </c>
      <c r="B192" s="1978" t="s">
        <v>778</v>
      </c>
      <c r="C192" s="1810"/>
      <c r="D192" s="2038" t="s">
        <v>815</v>
      </c>
      <c r="E192" s="1947" t="s">
        <v>3744</v>
      </c>
      <c r="F192" s="1462" t="s">
        <v>458</v>
      </c>
      <c r="G192" s="1953" t="s">
        <v>4164</v>
      </c>
      <c r="H192" s="1975" t="s">
        <v>10</v>
      </c>
      <c r="I192" s="1712">
        <f>$E$5</f>
        <v>43173.95</v>
      </c>
      <c r="J192" s="2035"/>
      <c r="K192" s="1950" t="s">
        <v>101</v>
      </c>
      <c r="L192" s="1947" t="s">
        <v>10</v>
      </c>
      <c r="M192" s="1754">
        <f t="shared" si="62"/>
        <v>0</v>
      </c>
      <c r="N192" s="1712"/>
      <c r="O192" s="1712">
        <f t="shared" si="63"/>
        <v>0</v>
      </c>
      <c r="P192" s="1712">
        <f t="shared" si="64"/>
        <v>0</v>
      </c>
      <c r="Q192" s="1712">
        <f t="shared" si="65"/>
        <v>0</v>
      </c>
      <c r="R192" s="1757">
        <v>0.09</v>
      </c>
      <c r="S192" s="1712">
        <f t="shared" si="66"/>
        <v>0</v>
      </c>
      <c r="T192" s="1712">
        <f t="shared" si="48"/>
        <v>0</v>
      </c>
      <c r="U192" s="1712">
        <f t="shared" si="49"/>
        <v>0</v>
      </c>
      <c r="V192" s="1952"/>
    </row>
    <row r="193" spans="1:22" ht="13" outlineLevel="1">
      <c r="A193" s="2019"/>
      <c r="B193" s="2023" t="s">
        <v>503</v>
      </c>
      <c r="C193" s="1852">
        <v>4</v>
      </c>
      <c r="D193" s="1966" t="s">
        <v>92</v>
      </c>
      <c r="E193" s="1967"/>
      <c r="F193" s="1968"/>
      <c r="G193" s="2007" t="s">
        <v>4117</v>
      </c>
      <c r="H193" s="1967"/>
      <c r="I193" s="1969"/>
      <c r="J193" s="1970"/>
      <c r="K193" s="1971"/>
      <c r="L193" s="1967"/>
      <c r="M193" s="1971"/>
      <c r="N193" s="1973"/>
      <c r="O193" s="1973">
        <f>SUBTOTAL(9,O194:O202)</f>
        <v>144</v>
      </c>
      <c r="P193" s="1973"/>
      <c r="Q193" s="1973">
        <f>SUBTOTAL(9,Q194:Q202)</f>
        <v>127.433628</v>
      </c>
      <c r="R193" s="1973"/>
      <c r="S193" s="1973">
        <f>SUBTOTAL(9,S194:S202)</f>
        <v>16.566372000000008</v>
      </c>
      <c r="T193" s="1973">
        <f t="shared" si="48"/>
        <v>29.516323616440008</v>
      </c>
      <c r="U193" s="1973">
        <f t="shared" si="49"/>
        <v>33.353445769960821</v>
      </c>
      <c r="V193" s="1974"/>
    </row>
    <row r="194" spans="1:22" s="1942" customFormat="1" outlineLevel="2">
      <c r="A194" s="1813" t="s">
        <v>3090</v>
      </c>
      <c r="B194" s="1807" t="s">
        <v>1600</v>
      </c>
      <c r="C194" s="1808"/>
      <c r="D194" s="2008" t="s">
        <v>3745</v>
      </c>
      <c r="E194" s="2009" t="s">
        <v>3746</v>
      </c>
      <c r="F194" s="1462" t="s">
        <v>461</v>
      </c>
      <c r="G194" s="1953" t="s">
        <v>4168</v>
      </c>
      <c r="H194" s="1975" t="s">
        <v>3926</v>
      </c>
      <c r="I194" s="1712">
        <f>$G$7</f>
        <v>480</v>
      </c>
      <c r="J194" s="1949">
        <v>1</v>
      </c>
      <c r="K194" s="1950" t="s">
        <v>3947</v>
      </c>
      <c r="L194" s="1947" t="s">
        <v>3926</v>
      </c>
      <c r="M194" s="1754">
        <f t="shared" si="62"/>
        <v>480</v>
      </c>
      <c r="N194" s="1712">
        <v>200</v>
      </c>
      <c r="O194" s="1712">
        <f>ROUND(M194*ROUND(N194,2)/10000,6)</f>
        <v>9.6</v>
      </c>
      <c r="P194" s="1712">
        <f>IFERROR(ROUND(Q194*10000/M194,2),0)</f>
        <v>176.99</v>
      </c>
      <c r="Q194" s="1712">
        <f>ROUND(O194/(1+R194),6)</f>
        <v>8.4955750000000005</v>
      </c>
      <c r="R194" s="1757">
        <v>0.13</v>
      </c>
      <c r="S194" s="1712">
        <f>O194-Q194</f>
        <v>1.1044249999999991</v>
      </c>
      <c r="T194" s="1712">
        <f t="shared" si="48"/>
        <v>1.967754861438437</v>
      </c>
      <c r="U194" s="1712">
        <f t="shared" si="49"/>
        <v>2.2235630513307214</v>
      </c>
      <c r="V194" s="1952"/>
    </row>
    <row r="195" spans="1:22" s="1942" customFormat="1" outlineLevel="2">
      <c r="A195" s="1813" t="s">
        <v>3075</v>
      </c>
      <c r="B195" s="1807" t="s">
        <v>1601</v>
      </c>
      <c r="C195" s="1808"/>
      <c r="D195" s="2008" t="s">
        <v>94</v>
      </c>
      <c r="E195" s="2009" t="s">
        <v>3747</v>
      </c>
      <c r="F195" s="1462" t="s">
        <v>1602</v>
      </c>
      <c r="G195" s="1953" t="s">
        <v>4169</v>
      </c>
      <c r="H195" s="1975" t="s">
        <v>3926</v>
      </c>
      <c r="I195" s="1712">
        <f>$G$7</f>
        <v>480</v>
      </c>
      <c r="J195" s="1949">
        <v>1</v>
      </c>
      <c r="K195" s="1950" t="s">
        <v>3947</v>
      </c>
      <c r="L195" s="1947" t="s">
        <v>3926</v>
      </c>
      <c r="M195" s="1754">
        <f t="shared" si="62"/>
        <v>480</v>
      </c>
      <c r="N195" s="1756">
        <v>2800</v>
      </c>
      <c r="O195" s="1712">
        <f t="shared" ref="O195:O202" si="67">ROUND(M195*ROUND(N195,2)/10000,6)</f>
        <v>134.4</v>
      </c>
      <c r="P195" s="1712">
        <f t="shared" ref="P195:P202" si="68">IFERROR(ROUND(Q195*10000/M195,2),0)</f>
        <v>2477.88</v>
      </c>
      <c r="Q195" s="1712">
        <f t="shared" ref="Q195:Q202" si="69">ROUND(O195/(1+R195),6)</f>
        <v>118.938053</v>
      </c>
      <c r="R195" s="1757">
        <v>0.13</v>
      </c>
      <c r="S195" s="1712">
        <f t="shared" ref="S195:S202" si="70">O195-Q195</f>
        <v>15.461947000000009</v>
      </c>
      <c r="T195" s="1712">
        <f t="shared" si="48"/>
        <v>27.548568755001572</v>
      </c>
      <c r="U195" s="1712">
        <f t="shared" si="49"/>
        <v>31.129882718630103</v>
      </c>
      <c r="V195" s="1952"/>
    </row>
    <row r="196" spans="1:22" s="1942" customFormat="1" ht="13" outlineLevel="2">
      <c r="A196" s="1944"/>
      <c r="B196" s="1807" t="s">
        <v>779</v>
      </c>
      <c r="C196" s="1808"/>
      <c r="D196" s="2008" t="s">
        <v>3748</v>
      </c>
      <c r="E196" s="2009" t="s">
        <v>3749</v>
      </c>
      <c r="F196" s="1462" t="s">
        <v>3531</v>
      </c>
      <c r="G196" s="1953" t="s">
        <v>4140</v>
      </c>
      <c r="H196" s="1975" t="s">
        <v>10</v>
      </c>
      <c r="I196" s="1712">
        <f>$E$5</f>
        <v>43173.95</v>
      </c>
      <c r="J196" s="1949"/>
      <c r="K196" s="1950" t="s">
        <v>101</v>
      </c>
      <c r="L196" s="1947" t="s">
        <v>10</v>
      </c>
      <c r="M196" s="1754">
        <f t="shared" si="62"/>
        <v>0</v>
      </c>
      <c r="N196" s="1712"/>
      <c r="O196" s="1712">
        <f t="shared" si="67"/>
        <v>0</v>
      </c>
      <c r="P196" s="1712">
        <f t="shared" si="68"/>
        <v>0</v>
      </c>
      <c r="Q196" s="1712">
        <f t="shared" si="69"/>
        <v>0</v>
      </c>
      <c r="R196" s="1713">
        <v>0.13</v>
      </c>
      <c r="S196" s="1712">
        <f t="shared" si="70"/>
        <v>0</v>
      </c>
      <c r="T196" s="1712">
        <f t="shared" si="48"/>
        <v>0</v>
      </c>
      <c r="U196" s="1712">
        <f t="shared" si="49"/>
        <v>0</v>
      </c>
      <c r="V196" s="1952"/>
    </row>
    <row r="197" spans="1:22" s="1942" customFormat="1" outlineLevel="2">
      <c r="A197" s="1813" t="s">
        <v>3102</v>
      </c>
      <c r="B197" s="1807" t="s">
        <v>780</v>
      </c>
      <c r="C197" s="1808"/>
      <c r="D197" s="2008" t="s">
        <v>95</v>
      </c>
      <c r="E197" s="2009" t="s">
        <v>3750</v>
      </c>
      <c r="F197" s="1462" t="s">
        <v>3531</v>
      </c>
      <c r="G197" s="1953" t="s">
        <v>4140</v>
      </c>
      <c r="H197" s="1975" t="s">
        <v>3926</v>
      </c>
      <c r="I197" s="1712">
        <f>$G$7</f>
        <v>480</v>
      </c>
      <c r="J197" s="2035"/>
      <c r="K197" s="1950" t="s">
        <v>3947</v>
      </c>
      <c r="L197" s="1947" t="s">
        <v>3926</v>
      </c>
      <c r="M197" s="1754">
        <f t="shared" si="62"/>
        <v>0</v>
      </c>
      <c r="N197" s="1712"/>
      <c r="O197" s="1712">
        <f t="shared" si="67"/>
        <v>0</v>
      </c>
      <c r="P197" s="1712">
        <f t="shared" si="68"/>
        <v>0</v>
      </c>
      <c r="Q197" s="1712">
        <f t="shared" si="69"/>
        <v>0</v>
      </c>
      <c r="R197" s="1713">
        <v>0.13</v>
      </c>
      <c r="S197" s="1712">
        <f t="shared" si="70"/>
        <v>0</v>
      </c>
      <c r="T197" s="1712">
        <f t="shared" si="48"/>
        <v>0</v>
      </c>
      <c r="U197" s="2043">
        <f t="shared" si="49"/>
        <v>0</v>
      </c>
      <c r="V197" s="1952"/>
    </row>
    <row r="198" spans="1:22" s="1942" customFormat="1" outlineLevel="2">
      <c r="A198" s="1813" t="s">
        <v>3102</v>
      </c>
      <c r="B198" s="1807" t="s">
        <v>781</v>
      </c>
      <c r="C198" s="1808"/>
      <c r="D198" s="2008" t="s">
        <v>3751</v>
      </c>
      <c r="E198" s="2009" t="s">
        <v>3752</v>
      </c>
      <c r="F198" s="1462" t="s">
        <v>3531</v>
      </c>
      <c r="G198" s="1953" t="s">
        <v>4140</v>
      </c>
      <c r="H198" s="1975" t="s">
        <v>10</v>
      </c>
      <c r="I198" s="1712">
        <f>$E$5</f>
        <v>43173.95</v>
      </c>
      <c r="J198" s="1949"/>
      <c r="K198" s="1950" t="s">
        <v>101</v>
      </c>
      <c r="L198" s="1947" t="s">
        <v>10</v>
      </c>
      <c r="M198" s="1754">
        <f t="shared" si="62"/>
        <v>0</v>
      </c>
      <c r="N198" s="1712"/>
      <c r="O198" s="1712">
        <f t="shared" si="67"/>
        <v>0</v>
      </c>
      <c r="P198" s="1712">
        <f t="shared" si="68"/>
        <v>0</v>
      </c>
      <c r="Q198" s="1712">
        <f t="shared" si="69"/>
        <v>0</v>
      </c>
      <c r="R198" s="1713">
        <v>0.13</v>
      </c>
      <c r="S198" s="1712">
        <f t="shared" si="70"/>
        <v>0</v>
      </c>
      <c r="T198" s="1712">
        <f t="shared" si="48"/>
        <v>0</v>
      </c>
      <c r="U198" s="2043">
        <f t="shared" si="49"/>
        <v>0</v>
      </c>
      <c r="V198" s="1952"/>
    </row>
    <row r="199" spans="1:22" s="1942" customFormat="1" outlineLevel="2">
      <c r="A199" s="1813" t="s">
        <v>3102</v>
      </c>
      <c r="B199" s="1807" t="s">
        <v>782</v>
      </c>
      <c r="C199" s="1808"/>
      <c r="D199" s="2008" t="s">
        <v>3753</v>
      </c>
      <c r="E199" s="2009" t="s">
        <v>3754</v>
      </c>
      <c r="F199" s="1462" t="s">
        <v>3531</v>
      </c>
      <c r="G199" s="1953" t="s">
        <v>4140</v>
      </c>
      <c r="H199" s="1975" t="s">
        <v>10</v>
      </c>
      <c r="I199" s="1948">
        <f>$E$5</f>
        <v>43173.95</v>
      </c>
      <c r="J199" s="1949"/>
      <c r="K199" s="1950" t="s">
        <v>101</v>
      </c>
      <c r="L199" s="1947" t="s">
        <v>10</v>
      </c>
      <c r="M199" s="1754">
        <f t="shared" si="62"/>
        <v>0</v>
      </c>
      <c r="N199" s="1712"/>
      <c r="O199" s="1712">
        <f t="shared" si="67"/>
        <v>0</v>
      </c>
      <c r="P199" s="1712">
        <f t="shared" si="68"/>
        <v>0</v>
      </c>
      <c r="Q199" s="1712">
        <f t="shared" si="69"/>
        <v>0</v>
      </c>
      <c r="R199" s="1713">
        <v>0.13</v>
      </c>
      <c r="S199" s="1712">
        <f t="shared" si="70"/>
        <v>0</v>
      </c>
      <c r="T199" s="1712">
        <f t="shared" si="48"/>
        <v>0</v>
      </c>
      <c r="U199" s="2043">
        <f t="shared" si="49"/>
        <v>0</v>
      </c>
      <c r="V199" s="1952"/>
    </row>
    <row r="200" spans="1:22" s="1942" customFormat="1" outlineLevel="2">
      <c r="A200" s="1813" t="s">
        <v>3102</v>
      </c>
      <c r="B200" s="1807" t="s">
        <v>3755</v>
      </c>
      <c r="C200" s="1808"/>
      <c r="D200" s="2008" t="s">
        <v>3756</v>
      </c>
      <c r="E200" s="2009" t="s">
        <v>3757</v>
      </c>
      <c r="F200" s="1462" t="s">
        <v>3531</v>
      </c>
      <c r="G200" s="1953" t="s">
        <v>4140</v>
      </c>
      <c r="H200" s="1975" t="s">
        <v>10</v>
      </c>
      <c r="I200" s="1948">
        <f>$E$5</f>
        <v>43173.95</v>
      </c>
      <c r="J200" s="1949"/>
      <c r="K200" s="1950" t="s">
        <v>101</v>
      </c>
      <c r="L200" s="1947" t="s">
        <v>10</v>
      </c>
      <c r="M200" s="1754">
        <f t="shared" si="62"/>
        <v>0</v>
      </c>
      <c r="N200" s="1712"/>
      <c r="O200" s="1712">
        <f t="shared" si="67"/>
        <v>0</v>
      </c>
      <c r="P200" s="1712">
        <f t="shared" si="68"/>
        <v>0</v>
      </c>
      <c r="Q200" s="1712">
        <f t="shared" si="69"/>
        <v>0</v>
      </c>
      <c r="R200" s="1713">
        <v>0.13</v>
      </c>
      <c r="S200" s="1712">
        <f t="shared" si="70"/>
        <v>0</v>
      </c>
      <c r="T200" s="1712">
        <f t="shared" si="48"/>
        <v>0</v>
      </c>
      <c r="U200" s="2043">
        <f t="shared" si="49"/>
        <v>0</v>
      </c>
      <c r="V200" s="1952"/>
    </row>
    <row r="201" spans="1:22" s="1942" customFormat="1" ht="13" outlineLevel="2">
      <c r="A201" s="1944"/>
      <c r="B201" s="1807" t="s">
        <v>3758</v>
      </c>
      <c r="C201" s="1808"/>
      <c r="D201" s="2008" t="s">
        <v>3759</v>
      </c>
      <c r="E201" s="2009" t="s">
        <v>3760</v>
      </c>
      <c r="F201" s="1462" t="s">
        <v>3531</v>
      </c>
      <c r="G201" s="1953" t="s">
        <v>4140</v>
      </c>
      <c r="H201" s="1975" t="s">
        <v>10</v>
      </c>
      <c r="I201" s="1948">
        <f>$E$5</f>
        <v>43173.95</v>
      </c>
      <c r="J201" s="1949"/>
      <c r="K201" s="1950" t="s">
        <v>101</v>
      </c>
      <c r="L201" s="1947" t="s">
        <v>10</v>
      </c>
      <c r="M201" s="1754">
        <f t="shared" si="62"/>
        <v>0</v>
      </c>
      <c r="N201" s="1712"/>
      <c r="O201" s="1712">
        <f t="shared" si="67"/>
        <v>0</v>
      </c>
      <c r="P201" s="1712">
        <f t="shared" si="68"/>
        <v>0</v>
      </c>
      <c r="Q201" s="1712">
        <f t="shared" si="69"/>
        <v>0</v>
      </c>
      <c r="R201" s="1713">
        <v>0.13</v>
      </c>
      <c r="S201" s="1712">
        <f t="shared" si="70"/>
        <v>0</v>
      </c>
      <c r="T201" s="1712">
        <f t="shared" si="48"/>
        <v>0</v>
      </c>
      <c r="U201" s="2043">
        <f t="shared" si="49"/>
        <v>0</v>
      </c>
      <c r="V201" s="1952"/>
    </row>
    <row r="202" spans="1:22" s="1942" customFormat="1" ht="13.5" outlineLevel="2" thickBot="1">
      <c r="A202" s="1944"/>
      <c r="B202" s="2044" t="s">
        <v>3761</v>
      </c>
      <c r="C202" s="2045"/>
      <c r="D202" s="2046" t="s">
        <v>3762</v>
      </c>
      <c r="E202" s="2047" t="s">
        <v>3763</v>
      </c>
      <c r="F202" s="2048" t="s">
        <v>3531</v>
      </c>
      <c r="G202" s="2049" t="s">
        <v>4140</v>
      </c>
      <c r="H202" s="2050" t="s">
        <v>10</v>
      </c>
      <c r="I202" s="2051">
        <f>$E$5</f>
        <v>43173.95</v>
      </c>
      <c r="J202" s="2100"/>
      <c r="K202" s="2053" t="s">
        <v>101</v>
      </c>
      <c r="L202" s="2054" t="s">
        <v>10</v>
      </c>
      <c r="M202" s="2055">
        <f t="shared" si="62"/>
        <v>0</v>
      </c>
      <c r="N202" s="2057"/>
      <c r="O202" s="2057">
        <f t="shared" si="67"/>
        <v>0</v>
      </c>
      <c r="P202" s="2057">
        <f t="shared" si="68"/>
        <v>0</v>
      </c>
      <c r="Q202" s="2057">
        <f t="shared" si="69"/>
        <v>0</v>
      </c>
      <c r="R202" s="2058">
        <v>0.13</v>
      </c>
      <c r="S202" s="2057">
        <f t="shared" si="70"/>
        <v>0</v>
      </c>
      <c r="T202" s="2057">
        <f t="shared" si="48"/>
        <v>0</v>
      </c>
      <c r="U202" s="2059">
        <f t="shared" si="49"/>
        <v>0</v>
      </c>
      <c r="V202" s="2060"/>
    </row>
    <row r="203" spans="1:22">
      <c r="O203" s="1902">
        <f>O11+O100+O126</f>
        <v>16200.315334000003</v>
      </c>
      <c r="R203" s="1900"/>
    </row>
    <row r="204" spans="1:22">
      <c r="O204" s="1902">
        <f>+O203/E6*10000</f>
        <v>3752.3356871446795</v>
      </c>
    </row>
    <row r="213" spans="4:4">
      <c r="D213" s="1784" t="s">
        <v>4113</v>
      </c>
    </row>
  </sheetData>
  <autoFilter ref="A10:Y204"/>
  <mergeCells count="24">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W15:W22"/>
    <mergeCell ref="W130:W131"/>
    <mergeCell ref="P9:P10"/>
    <mergeCell ref="Q9:Q10"/>
    <mergeCell ref="R9:R10"/>
    <mergeCell ref="S9:S10"/>
    <mergeCell ref="T9:T10"/>
    <mergeCell ref="U9:U10"/>
  </mergeCells>
  <phoneticPr fontId="19" type="noConversion"/>
  <conditionalFormatting sqref="B11:C11">
    <cfRule type="duplicateValues" dxfId="513" priority="9"/>
  </conditionalFormatting>
  <conditionalFormatting sqref="B12">
    <cfRule type="duplicateValues" dxfId="512" priority="10"/>
  </conditionalFormatting>
  <conditionalFormatting sqref="C12">
    <cfRule type="duplicateValues" dxfId="511" priority="8"/>
  </conditionalFormatting>
  <conditionalFormatting sqref="D14:F14">
    <cfRule type="duplicateValues" dxfId="510" priority="11"/>
  </conditionalFormatting>
  <conditionalFormatting sqref="B45">
    <cfRule type="duplicateValues" dxfId="509" priority="7"/>
  </conditionalFormatting>
  <conditionalFormatting sqref="C45">
    <cfRule type="duplicateValues" dxfId="508" priority="5"/>
  </conditionalFormatting>
  <conditionalFormatting sqref="D45:E45">
    <cfRule type="duplicateValues" dxfId="507" priority="6"/>
  </conditionalFormatting>
  <conditionalFormatting sqref="F45">
    <cfRule type="duplicateValues" dxfId="506" priority="12"/>
  </conditionalFormatting>
  <conditionalFormatting sqref="D46:E46">
    <cfRule type="duplicateValues" dxfId="505" priority="4"/>
  </conditionalFormatting>
  <conditionalFormatting sqref="D56:E56">
    <cfRule type="duplicateValues" dxfId="504" priority="3"/>
  </conditionalFormatting>
  <conditionalFormatting sqref="B100">
    <cfRule type="duplicateValues" dxfId="503" priority="2"/>
  </conditionalFormatting>
  <conditionalFormatting sqref="F101">
    <cfRule type="duplicateValues" dxfId="502" priority="13"/>
  </conditionalFormatting>
  <conditionalFormatting sqref="F120">
    <cfRule type="duplicateValues" dxfId="501" priority="19"/>
  </conditionalFormatting>
  <conditionalFormatting sqref="F124">
    <cfRule type="duplicateValues" dxfId="500" priority="14"/>
  </conditionalFormatting>
  <conditionalFormatting sqref="F125">
    <cfRule type="duplicateValues" dxfId="499" priority="15"/>
  </conditionalFormatting>
  <conditionalFormatting sqref="B126">
    <cfRule type="duplicateValues" dxfId="498" priority="1"/>
  </conditionalFormatting>
  <conditionalFormatting sqref="F127">
    <cfRule type="duplicateValues" dxfId="497" priority="16"/>
  </conditionalFormatting>
  <conditionalFormatting sqref="F170">
    <cfRule type="duplicateValues" dxfId="496" priority="17"/>
  </conditionalFormatting>
  <conditionalFormatting sqref="F184">
    <cfRule type="duplicateValues" dxfId="495" priority="18"/>
  </conditionalFormatting>
  <conditionalFormatting sqref="F193">
    <cfRule type="duplicateValues" dxfId="494" priority="20"/>
  </conditionalFormatting>
  <conditionalFormatting sqref="D11:G12">
    <cfRule type="duplicateValues" dxfId="493" priority="22"/>
  </conditionalFormatting>
  <conditionalFormatting sqref="G13:G14 D13:E13">
    <cfRule type="duplicateValues" dxfId="492" priority="21"/>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AC203"/>
  <sheetViews>
    <sheetView topLeftCell="B1" zoomScale="70" zoomScaleNormal="70" workbookViewId="0">
      <pane xSplit="3" ySplit="10" topLeftCell="E11" activePane="bottomRight" state="frozen"/>
      <selection activeCell="D8" sqref="D8"/>
      <selection pane="topRight" activeCell="D8" sqref="D8"/>
      <selection pane="bottomLeft" activeCell="D8" sqref="D8"/>
      <selection pane="bottomRight" activeCell="N103" sqref="N103"/>
    </sheetView>
  </sheetViews>
  <sheetFormatPr defaultColWidth="10" defaultRowHeight="12" outlineLevelRow="5"/>
  <cols>
    <col min="1" max="1" width="6.6640625" style="1942" hidden="1" customWidth="1"/>
    <col min="2" max="2" width="22" style="2101" customWidth="1"/>
    <col min="3" max="3" width="8.4140625" style="2102" hidden="1" customWidth="1"/>
    <col min="4" max="4" width="17.6640625" style="1784" customWidth="1"/>
    <col min="5" max="5" width="11.08203125" style="1656" customWidth="1"/>
    <col min="6" max="6" width="15.6640625" style="1900" customWidth="1"/>
    <col min="7" max="7" width="13.6640625" style="1900" customWidth="1"/>
    <col min="8" max="8" width="17.9140625" style="1656" customWidth="1"/>
    <col min="9" max="9" width="12.33203125" style="1895" customWidth="1"/>
    <col min="10" max="10" width="11.58203125" style="1902" customWidth="1"/>
    <col min="11" max="11" width="10" style="1900" customWidth="1"/>
    <col min="12" max="12" width="19.08203125" style="1656" customWidth="1"/>
    <col min="13" max="14" width="11.6640625" style="1900" customWidth="1"/>
    <col min="15" max="15" width="9.4140625" style="1902" customWidth="1"/>
    <col min="16" max="16" width="10.58203125" style="1902" customWidth="1"/>
    <col min="17" max="17" width="11.6640625" style="1902" customWidth="1"/>
    <col min="18" max="18" width="9.33203125" style="1902" customWidth="1"/>
    <col min="19" max="19" width="12" style="1903" customWidth="1"/>
    <col min="20" max="20" width="13.4140625" style="1902" customWidth="1"/>
    <col min="21" max="21" width="13.33203125" style="1902" customWidth="1"/>
    <col min="22" max="22" width="10.08203125" style="1902" customWidth="1"/>
    <col min="23" max="25" width="10" style="1898"/>
    <col min="26" max="26" width="11.9140625" style="2103" customWidth="1"/>
    <col min="27" max="29" width="10" style="2103"/>
    <col min="30" max="16384" width="10" style="1898"/>
  </cols>
  <sheetData>
    <row r="2" spans="1:29" ht="12.5" thickBot="1">
      <c r="D2" s="1904"/>
      <c r="E2" s="1693"/>
      <c r="F2" s="2450"/>
      <c r="G2" s="2450"/>
      <c r="H2" s="2450"/>
      <c r="I2" s="1905"/>
      <c r="K2" s="1898"/>
      <c r="L2" s="1906"/>
      <c r="O2" s="1907"/>
      <c r="R2" s="1898"/>
      <c r="T2" s="1907"/>
      <c r="U2" s="1898"/>
      <c r="V2" s="1907"/>
    </row>
    <row r="3" spans="1:29">
      <c r="C3" s="2104" t="s">
        <v>4001</v>
      </c>
      <c r="D3" s="1909" t="s">
        <v>106</v>
      </c>
      <c r="E3" s="1909" t="s">
        <v>4114</v>
      </c>
      <c r="F3" s="1910" t="s">
        <v>4002</v>
      </c>
      <c r="G3" s="1911">
        <f>'全期规划指标 '!D26</f>
        <v>1000</v>
      </c>
      <c r="H3" s="1910" t="s">
        <v>4003</v>
      </c>
      <c r="I3" s="2105" t="s">
        <v>1932</v>
      </c>
      <c r="J3" s="2106"/>
      <c r="K3" s="1934"/>
      <c r="L3" s="1902"/>
      <c r="O3" s="1898"/>
      <c r="P3" s="1900"/>
      <c r="Q3" s="1907"/>
      <c r="R3" s="1898"/>
      <c r="S3" s="1898"/>
      <c r="T3" s="1898"/>
      <c r="U3" s="1898"/>
      <c r="V3" s="1898"/>
    </row>
    <row r="4" spans="1:29">
      <c r="C4" s="2459" t="s">
        <v>3916</v>
      </c>
      <c r="D4" s="1915" t="s">
        <v>9</v>
      </c>
      <c r="E4" s="1916">
        <f>'全期规划指标 '!G26</f>
        <v>1058.9100000000001</v>
      </c>
      <c r="F4" s="1917" t="s">
        <v>107</v>
      </c>
      <c r="G4" s="1916">
        <f>'全期规划指标 '!F26</f>
        <v>1</v>
      </c>
      <c r="H4" s="1917" t="s">
        <v>4005</v>
      </c>
      <c r="I4" s="2107"/>
      <c r="J4" s="2106"/>
      <c r="K4" s="1934"/>
      <c r="L4" s="1902"/>
      <c r="O4" s="1898"/>
      <c r="P4" s="1900"/>
      <c r="Q4" s="1907"/>
      <c r="R4" s="1898"/>
      <c r="S4" s="1898"/>
      <c r="T4" s="1898"/>
      <c r="U4" s="1898"/>
      <c r="V4" s="1898"/>
    </row>
    <row r="5" spans="1:29">
      <c r="C5" s="2459"/>
      <c r="D5" s="1915" t="s">
        <v>10</v>
      </c>
      <c r="E5" s="1916">
        <f>'全期规划指标 '!H26</f>
        <v>1058.93</v>
      </c>
      <c r="F5" s="1917" t="s">
        <v>18</v>
      </c>
      <c r="G5" s="1916">
        <f>'全期规划指标 '!Q26</f>
        <v>1</v>
      </c>
      <c r="H5" s="1917" t="s">
        <v>4006</v>
      </c>
      <c r="I5" s="2107">
        <v>0</v>
      </c>
      <c r="J5" s="2106"/>
      <c r="K5" s="1934"/>
      <c r="L5" s="1902"/>
      <c r="O5" s="1898"/>
      <c r="P5" s="1900"/>
      <c r="Q5" s="1907"/>
      <c r="R5" s="1898"/>
      <c r="S5" s="1898"/>
      <c r="T5" s="1898"/>
      <c r="U5" s="1898"/>
      <c r="V5" s="1898"/>
    </row>
    <row r="6" spans="1:29">
      <c r="C6" s="2459"/>
      <c r="D6" s="1923" t="s">
        <v>20</v>
      </c>
      <c r="E6" s="1916">
        <f>'全期规划指标 '!I26</f>
        <v>1058.93</v>
      </c>
      <c r="F6" s="1917" t="s">
        <v>3923</v>
      </c>
      <c r="G6" s="1916">
        <f>'全期规划指标 '!S26</f>
        <v>1</v>
      </c>
      <c r="H6" s="1917" t="s">
        <v>4007</v>
      </c>
      <c r="I6" s="2107"/>
      <c r="J6" s="2106"/>
      <c r="K6" s="1934"/>
      <c r="L6" s="1902"/>
      <c r="O6" s="1898"/>
      <c r="P6" s="1900"/>
      <c r="Q6" s="1907"/>
      <c r="R6" s="1898"/>
      <c r="S6" s="1898"/>
      <c r="T6" s="1898"/>
      <c r="U6" s="1898"/>
      <c r="V6" s="1898"/>
    </row>
    <row r="7" spans="1:29" ht="12.5" thickBot="1">
      <c r="C7" s="2460"/>
      <c r="D7" s="1926" t="s">
        <v>4008</v>
      </c>
      <c r="E7" s="1927">
        <v>0</v>
      </c>
      <c r="F7" s="1928" t="s">
        <v>3926</v>
      </c>
      <c r="G7" s="1927">
        <f>'全期规划指标 '!R26</f>
        <v>33</v>
      </c>
      <c r="H7" s="1928" t="s">
        <v>4009</v>
      </c>
      <c r="I7" s="2108">
        <v>0</v>
      </c>
      <c r="J7" s="2109"/>
      <c r="K7" s="2094"/>
      <c r="L7" s="1902"/>
      <c r="O7" s="1898"/>
      <c r="P7" s="1900"/>
      <c r="Q7" s="1907"/>
      <c r="R7" s="1898"/>
      <c r="S7" s="1898"/>
      <c r="T7" s="1898"/>
      <c r="U7" s="1898"/>
      <c r="V7" s="1898"/>
    </row>
    <row r="8" spans="1:29" ht="12.5" thickBot="1">
      <c r="D8" s="1904"/>
      <c r="E8" s="1693"/>
      <c r="F8" s="1906"/>
      <c r="G8" s="1934"/>
      <c r="H8" s="1935"/>
      <c r="I8" s="1936"/>
      <c r="K8" s="1937"/>
      <c r="L8" s="1935"/>
      <c r="O8" s="1907"/>
      <c r="R8" s="1900"/>
      <c r="T8" s="1907"/>
      <c r="U8" s="1900"/>
      <c r="V8" s="1907"/>
    </row>
    <row r="9" spans="1:29" s="1938" customFormat="1" ht="13">
      <c r="B9" s="2451" t="s">
        <v>3131</v>
      </c>
      <c r="C9" s="2453" t="s">
        <v>25</v>
      </c>
      <c r="D9" s="2453" t="s">
        <v>23</v>
      </c>
      <c r="E9" s="2453" t="s">
        <v>3927</v>
      </c>
      <c r="F9" s="2453" t="s">
        <v>444</v>
      </c>
      <c r="G9" s="2453" t="s">
        <v>3207</v>
      </c>
      <c r="H9" s="2453" t="s">
        <v>3929</v>
      </c>
      <c r="I9" s="2453"/>
      <c r="J9" s="2457"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c r="X9" s="2457" t="s">
        <v>108</v>
      </c>
      <c r="Y9" s="2425" t="s">
        <v>1067</v>
      </c>
      <c r="Z9" s="2110"/>
      <c r="AA9" s="2110"/>
      <c r="AB9" s="2110"/>
      <c r="AC9" s="2110"/>
    </row>
    <row r="10" spans="1:29" s="1938" customFormat="1" ht="13">
      <c r="B10" s="2452"/>
      <c r="C10" s="2454"/>
      <c r="D10" s="2454"/>
      <c r="E10" s="2454"/>
      <c r="F10" s="2454"/>
      <c r="G10" s="2454"/>
      <c r="H10" s="1939" t="s">
        <v>13</v>
      </c>
      <c r="I10" s="1940" t="s">
        <v>3939</v>
      </c>
      <c r="J10" s="2458"/>
      <c r="K10" s="2449"/>
      <c r="L10" s="2454"/>
      <c r="M10" s="2449"/>
      <c r="N10" s="2426"/>
      <c r="O10" s="2449"/>
      <c r="P10" s="2449"/>
      <c r="Q10" s="2449"/>
      <c r="R10" s="2449"/>
      <c r="S10" s="2449"/>
      <c r="T10" s="2449"/>
      <c r="U10" s="2449"/>
      <c r="V10" s="2447"/>
      <c r="X10" s="2458"/>
      <c r="Y10" s="2426"/>
      <c r="Z10" s="2110"/>
      <c r="AA10" s="2110"/>
      <c r="AB10" s="2110"/>
      <c r="AC10" s="2110"/>
    </row>
    <row r="11" spans="1:29">
      <c r="A11" s="1898"/>
      <c r="B11" s="2111" t="s">
        <v>537</v>
      </c>
      <c r="C11" s="2112" t="s">
        <v>28</v>
      </c>
      <c r="D11" s="1956" t="s">
        <v>486</v>
      </c>
      <c r="E11" s="1957"/>
      <c r="F11" s="1958"/>
      <c r="G11" s="1957"/>
      <c r="H11" s="1959"/>
      <c r="I11" s="1960"/>
      <c r="J11" s="2113"/>
      <c r="K11" s="1962"/>
      <c r="L11" s="1959"/>
      <c r="M11" s="1962"/>
      <c r="N11" s="1963"/>
      <c r="O11" s="1963">
        <f>SUBTOTAL(9,O12:O99)</f>
        <v>310.10767799999985</v>
      </c>
      <c r="P11" s="1963"/>
      <c r="Q11" s="1963">
        <f>SUBTOTAL(9,Q12:Q99)</f>
        <v>283.98955199999995</v>
      </c>
      <c r="R11" s="1963"/>
      <c r="S11" s="1963">
        <f>SUBTOTAL(9,S12:S99)</f>
        <v>26.118126</v>
      </c>
      <c r="T11" s="1963">
        <f t="shared" ref="T11:T74" si="0">IFERROR(Q11*10000/$E$6,"")</f>
        <v>2681.8538713607127</v>
      </c>
      <c r="U11" s="1963">
        <f t="shared" ref="U11:U74" si="1">IFERROR(O11*10000/$E$6,"")</f>
        <v>2928.5002596961067</v>
      </c>
      <c r="V11" s="1964"/>
      <c r="X11" s="2113"/>
      <c r="Y11" s="1963"/>
    </row>
    <row r="12" spans="1:29" outlineLevel="1">
      <c r="A12" s="1898"/>
      <c r="B12" s="2114" t="s">
        <v>487</v>
      </c>
      <c r="C12" s="2115">
        <v>1</v>
      </c>
      <c r="D12" s="1966" t="s">
        <v>650</v>
      </c>
      <c r="E12" s="1967"/>
      <c r="F12" s="1968"/>
      <c r="G12" s="1967"/>
      <c r="H12" s="1967"/>
      <c r="I12" s="1969"/>
      <c r="J12" s="2116"/>
      <c r="K12" s="1971"/>
      <c r="L12" s="1967"/>
      <c r="M12" s="1972"/>
      <c r="N12" s="1973"/>
      <c r="O12" s="1973">
        <f>SUBTOTAL(9,O13:O44)</f>
        <v>268.90523199999996</v>
      </c>
      <c r="P12" s="1973"/>
      <c r="Q12" s="1973">
        <f>SUBTOTAL(9,Q13:Q44)</f>
        <v>246.53862899999999</v>
      </c>
      <c r="R12" s="1973"/>
      <c r="S12" s="1973">
        <f>SUBTOTAL(9,S13:S44)</f>
        <v>22.366603000000001</v>
      </c>
      <c r="T12" s="1973">
        <f t="shared" si="0"/>
        <v>2328.1862729358882</v>
      </c>
      <c r="U12" s="1973">
        <f t="shared" si="1"/>
        <v>2539.4051731464774</v>
      </c>
      <c r="V12" s="1974"/>
      <c r="X12" s="2116"/>
      <c r="Y12" s="1973"/>
    </row>
    <row r="13" spans="1:29" s="1942" customFormat="1" ht="13" outlineLevel="2">
      <c r="A13" s="1944"/>
      <c r="B13" s="2117" t="s">
        <v>651</v>
      </c>
      <c r="C13" s="2118"/>
      <c r="D13" s="1945" t="s">
        <v>3360</v>
      </c>
      <c r="E13" s="1946" t="s">
        <v>3361</v>
      </c>
      <c r="F13" s="1462" t="s">
        <v>3342</v>
      </c>
      <c r="G13" s="1946" t="s">
        <v>4116</v>
      </c>
      <c r="H13" s="1975" t="s">
        <v>9</v>
      </c>
      <c r="I13" s="1953">
        <f>$E$4</f>
        <v>1058.9100000000001</v>
      </c>
      <c r="J13" s="2099">
        <v>0.5</v>
      </c>
      <c r="K13" s="1977" t="s">
        <v>103</v>
      </c>
      <c r="L13" s="1947" t="s">
        <v>4013</v>
      </c>
      <c r="M13" s="1754">
        <f>ROUND(I13,2)*ROUND(J13,4)</f>
        <v>529.45500000000004</v>
      </c>
      <c r="N13" s="1712">
        <f>高层!N13</f>
        <v>71.38</v>
      </c>
      <c r="O13" s="1712">
        <f>ROUND(M13*ROUND(N13,2)/10000,6)</f>
        <v>3.7792500000000002</v>
      </c>
      <c r="P13" s="1712">
        <f>IFERROR(ROUND(Q13*10000/M13,2),0)</f>
        <v>65.489999999999995</v>
      </c>
      <c r="Q13" s="1712">
        <f>ROUND(O13/(1+R13),6)</f>
        <v>3.4672019999999999</v>
      </c>
      <c r="R13" s="1757">
        <v>0.09</v>
      </c>
      <c r="S13" s="1712">
        <f>O13-Q13</f>
        <v>0.31204800000000033</v>
      </c>
      <c r="T13" s="1712">
        <f t="shared" si="0"/>
        <v>32.742504225963941</v>
      </c>
      <c r="U13" s="1712">
        <f t="shared" si="1"/>
        <v>35.689327906471625</v>
      </c>
      <c r="V13" s="1952"/>
      <c r="X13" s="2099">
        <v>0.5</v>
      </c>
      <c r="Y13" s="2003">
        <v>60</v>
      </c>
      <c r="Z13" s="2119">
        <f t="shared" ref="Z13:Z77" si="2">J13-X13</f>
        <v>0</v>
      </c>
      <c r="AA13" s="2119">
        <f>N13-Y13</f>
        <v>11.379999999999995</v>
      </c>
      <c r="AB13" s="2119"/>
      <c r="AC13" s="2119"/>
    </row>
    <row r="14" spans="1:29" s="1942" customFormat="1" ht="13" outlineLevel="2">
      <c r="A14" s="1944"/>
      <c r="B14" s="2117" t="s">
        <v>655</v>
      </c>
      <c r="C14" s="2118"/>
      <c r="D14" s="1945" t="s">
        <v>488</v>
      </c>
      <c r="E14" s="1946"/>
      <c r="F14" s="1945"/>
      <c r="G14" s="1946" t="s">
        <v>4117</v>
      </c>
      <c r="H14" s="1947"/>
      <c r="I14" s="1948"/>
      <c r="J14" s="2099"/>
      <c r="K14" s="1950"/>
      <c r="L14" s="1947"/>
      <c r="M14" s="1754"/>
      <c r="N14" s="1712"/>
      <c r="O14" s="1712">
        <f>SUBTOTAL(9,O15:O43)</f>
        <v>265.12598199999996</v>
      </c>
      <c r="P14" s="1951"/>
      <c r="Q14" s="1712">
        <f>SUBTOTAL(9,Q15:Q43)</f>
        <v>243.071427</v>
      </c>
      <c r="R14" s="1712"/>
      <c r="S14" s="1712">
        <f>SUBTOTAL(9,S15:S43)</f>
        <v>22.054555000000004</v>
      </c>
      <c r="T14" s="1712">
        <f t="shared" si="0"/>
        <v>2295.4437687099239</v>
      </c>
      <c r="U14" s="1712">
        <f t="shared" si="1"/>
        <v>2503.7158452400063</v>
      </c>
      <c r="V14" s="1952"/>
      <c r="X14" s="2099"/>
      <c r="Y14" s="1712"/>
      <c r="Z14" s="2119">
        <f t="shared" si="2"/>
        <v>0</v>
      </c>
      <c r="AA14" s="2119">
        <f t="shared" ref="AA14:AA77" si="3">N14-Y14</f>
        <v>0</v>
      </c>
      <c r="AB14" s="2119"/>
      <c r="AC14" s="2119"/>
    </row>
    <row r="15" spans="1:29" s="1942" customFormat="1" ht="13" outlineLevel="3">
      <c r="A15" s="1944"/>
      <c r="B15" s="2120" t="s">
        <v>1626</v>
      </c>
      <c r="C15" s="2121"/>
      <c r="D15" s="1979" t="s">
        <v>59</v>
      </c>
      <c r="E15" s="1980" t="s">
        <v>3362</v>
      </c>
      <c r="F15" s="1462" t="s">
        <v>3342</v>
      </c>
      <c r="G15" s="1953" t="s">
        <v>4116</v>
      </c>
      <c r="H15" s="1947" t="s">
        <v>10</v>
      </c>
      <c r="I15" s="1953">
        <f>$E$5</f>
        <v>1058.93</v>
      </c>
      <c r="J15" s="2099">
        <v>0.5</v>
      </c>
      <c r="K15" s="1950" t="s">
        <v>103</v>
      </c>
      <c r="L15" s="1947" t="s">
        <v>4014</v>
      </c>
      <c r="M15" s="1754">
        <f>ROUND(I15,2)*ROUND(J15,4)</f>
        <v>529.46500000000003</v>
      </c>
      <c r="N15" s="1712">
        <f>高层!N15</f>
        <v>609.15</v>
      </c>
      <c r="O15" s="1712">
        <f>ROUND(M15*ROUND(N15,2)/10000,6)</f>
        <v>32.252360000000003</v>
      </c>
      <c r="P15" s="1712">
        <f>IFERROR(ROUND(Q15*10000/M15,2),0)</f>
        <v>558.85</v>
      </c>
      <c r="Q15" s="1712">
        <f>ROUND(O15/(1+R15),6)</f>
        <v>29.589321000000002</v>
      </c>
      <c r="R15" s="1757">
        <v>0.09</v>
      </c>
      <c r="S15" s="1712">
        <f>O15-Q15</f>
        <v>2.6630390000000013</v>
      </c>
      <c r="T15" s="1712">
        <f t="shared" si="0"/>
        <v>279.42660043628945</v>
      </c>
      <c r="U15" s="1712">
        <f t="shared" si="1"/>
        <v>304.57499551433995</v>
      </c>
      <c r="V15" s="1952"/>
      <c r="X15" s="2099">
        <v>0.6</v>
      </c>
      <c r="Y15" s="2003">
        <v>685</v>
      </c>
      <c r="Z15" s="2119">
        <f t="shared" si="2"/>
        <v>-9.9999999999999978E-2</v>
      </c>
      <c r="AA15" s="2119">
        <f t="shared" si="3"/>
        <v>-75.850000000000023</v>
      </c>
      <c r="AB15" s="2119"/>
      <c r="AC15" s="2119"/>
    </row>
    <row r="16" spans="1:29" s="1942" customFormat="1" ht="13" outlineLevel="3">
      <c r="A16" s="1944"/>
      <c r="B16" s="2120" t="s">
        <v>1482</v>
      </c>
      <c r="C16" s="2121"/>
      <c r="D16" s="1979" t="s">
        <v>658</v>
      </c>
      <c r="E16" s="1980" t="s">
        <v>3363</v>
      </c>
      <c r="F16" s="1462" t="s">
        <v>3342</v>
      </c>
      <c r="G16" s="1953" t="s">
        <v>4116</v>
      </c>
      <c r="H16" s="1947" t="s">
        <v>10</v>
      </c>
      <c r="I16" s="1953">
        <f>$E$5</f>
        <v>1058.93</v>
      </c>
      <c r="J16" s="2099">
        <v>44</v>
      </c>
      <c r="K16" s="1950" t="s">
        <v>104</v>
      </c>
      <c r="L16" s="1947" t="s">
        <v>4015</v>
      </c>
      <c r="M16" s="1754">
        <f t="shared" ref="M16:M44" si="4">ROUND(I16,2)*ROUND(J16,4)</f>
        <v>46592.920000000006</v>
      </c>
      <c r="N16" s="1712">
        <f>高层!N16</f>
        <v>8.2479399999999998</v>
      </c>
      <c r="O16" s="1712">
        <f t="shared" ref="O16:O22" si="5">ROUND(M16*ROUND(N16,2)/10000,6)</f>
        <v>38.439158999999997</v>
      </c>
      <c r="P16" s="1712">
        <f t="shared" ref="P16:P22" si="6">IFERROR(ROUND(Q16*10000/M16,2),0)</f>
        <v>7.57</v>
      </c>
      <c r="Q16" s="1712">
        <f t="shared" ref="Q16:Q22" si="7">ROUND(O16/(1+R16),6)</f>
        <v>35.265282999999997</v>
      </c>
      <c r="R16" s="1757">
        <v>0.09</v>
      </c>
      <c r="S16" s="1712">
        <f>O16-Q16</f>
        <v>3.1738759999999999</v>
      </c>
      <c r="T16" s="1712">
        <f t="shared" si="0"/>
        <v>333.02751834398867</v>
      </c>
      <c r="U16" s="1712">
        <f t="shared" si="1"/>
        <v>362.99999999999994</v>
      </c>
      <c r="V16" s="1952"/>
      <c r="X16" s="2099">
        <v>65</v>
      </c>
      <c r="Y16" s="2003">
        <v>6.68</v>
      </c>
      <c r="Z16" s="2119">
        <f t="shared" si="2"/>
        <v>-21</v>
      </c>
      <c r="AA16" s="2119">
        <f t="shared" si="3"/>
        <v>1.5679400000000001</v>
      </c>
      <c r="AB16" s="2119"/>
      <c r="AC16" s="2119"/>
    </row>
    <row r="17" spans="1:29" s="1942" customFormat="1" ht="13" outlineLevel="3">
      <c r="A17" s="1944"/>
      <c r="B17" s="2120" t="s">
        <v>1635</v>
      </c>
      <c r="C17" s="2121"/>
      <c r="D17" s="1979" t="s">
        <v>659</v>
      </c>
      <c r="E17" s="1980" t="s">
        <v>3364</v>
      </c>
      <c r="F17" s="1462" t="s">
        <v>3342</v>
      </c>
      <c r="G17" s="1953" t="s">
        <v>4116</v>
      </c>
      <c r="H17" s="1947" t="s">
        <v>10</v>
      </c>
      <c r="I17" s="1953">
        <f>$E$5</f>
        <v>1058.93</v>
      </c>
      <c r="J17" s="2099">
        <v>4</v>
      </c>
      <c r="K17" s="1950" t="s">
        <v>101</v>
      </c>
      <c r="L17" s="1947" t="s">
        <v>659</v>
      </c>
      <c r="M17" s="1754">
        <f t="shared" si="4"/>
        <v>4235.72</v>
      </c>
      <c r="N17" s="1712">
        <f>高层!N17</f>
        <v>80.180000000000007</v>
      </c>
      <c r="O17" s="1712">
        <f t="shared" si="5"/>
        <v>33.962003000000003</v>
      </c>
      <c r="P17" s="1712">
        <f t="shared" si="6"/>
        <v>73.56</v>
      </c>
      <c r="Q17" s="1712">
        <f t="shared" si="7"/>
        <v>31.157800999999999</v>
      </c>
      <c r="R17" s="1757">
        <v>0.09</v>
      </c>
      <c r="S17" s="1712">
        <f>O17-Q17</f>
        <v>2.8042020000000036</v>
      </c>
      <c r="T17" s="1712">
        <f t="shared" si="0"/>
        <v>294.23853323638014</v>
      </c>
      <c r="U17" s="1712">
        <f t="shared" si="1"/>
        <v>320.72000037773978</v>
      </c>
      <c r="V17" s="1952"/>
      <c r="X17" s="2099">
        <v>3.3</v>
      </c>
      <c r="Y17" s="2003">
        <v>76</v>
      </c>
      <c r="Z17" s="2119">
        <f t="shared" si="2"/>
        <v>0.70000000000000018</v>
      </c>
      <c r="AA17" s="2119">
        <f t="shared" si="3"/>
        <v>4.1800000000000068</v>
      </c>
      <c r="AB17" s="2119"/>
      <c r="AC17" s="2119"/>
    </row>
    <row r="18" spans="1:29" s="1942" customFormat="1" ht="13" outlineLevel="3">
      <c r="A18" s="1944"/>
      <c r="B18" s="2120" t="s">
        <v>1484</v>
      </c>
      <c r="C18" s="2121"/>
      <c r="D18" s="1979" t="s">
        <v>1636</v>
      </c>
      <c r="E18" s="1980" t="s">
        <v>3365</v>
      </c>
      <c r="F18" s="1462" t="s">
        <v>3342</v>
      </c>
      <c r="G18" s="1953" t="s">
        <v>4116</v>
      </c>
      <c r="H18" s="1947" t="s">
        <v>10</v>
      </c>
      <c r="I18" s="1953">
        <f>$E$5</f>
        <v>1058.93</v>
      </c>
      <c r="J18" s="2099">
        <v>0.3</v>
      </c>
      <c r="K18" s="1950" t="s">
        <v>103</v>
      </c>
      <c r="L18" s="1947" t="s">
        <v>4016</v>
      </c>
      <c r="M18" s="1754">
        <f t="shared" si="4"/>
        <v>317.67900000000003</v>
      </c>
      <c r="N18" s="1712">
        <f>高层!N18</f>
        <v>1280</v>
      </c>
      <c r="O18" s="1712">
        <f t="shared" si="5"/>
        <v>40.662911999999999</v>
      </c>
      <c r="P18" s="1712">
        <f t="shared" si="6"/>
        <v>1174.31</v>
      </c>
      <c r="Q18" s="1712">
        <f t="shared" si="7"/>
        <v>37.305424000000002</v>
      </c>
      <c r="R18" s="1757">
        <v>0.09</v>
      </c>
      <c r="S18" s="1712">
        <f>O18-Q18</f>
        <v>3.3574879999999965</v>
      </c>
      <c r="T18" s="1712">
        <f t="shared" si="0"/>
        <v>352.29357936785249</v>
      </c>
      <c r="U18" s="1712">
        <f t="shared" si="1"/>
        <v>384</v>
      </c>
      <c r="V18" s="1952"/>
      <c r="X18" s="2099">
        <v>0.15</v>
      </c>
      <c r="Y18" s="1712">
        <v>800</v>
      </c>
      <c r="Z18" s="2119">
        <f t="shared" si="2"/>
        <v>0.15</v>
      </c>
      <c r="AA18" s="2119">
        <f t="shared" si="3"/>
        <v>480</v>
      </c>
      <c r="AB18" s="2119"/>
      <c r="AC18" s="2119"/>
    </row>
    <row r="19" spans="1:29" s="1942" customFormat="1" ht="13" outlineLevel="3">
      <c r="A19" s="1944"/>
      <c r="B19" s="2120" t="s">
        <v>1485</v>
      </c>
      <c r="C19" s="2121"/>
      <c r="D19" s="1979" t="s">
        <v>3366</v>
      </c>
      <c r="E19" s="1980" t="s">
        <v>3367</v>
      </c>
      <c r="F19" s="1981"/>
      <c r="G19" s="1953" t="s">
        <v>4117</v>
      </c>
      <c r="H19" s="1947"/>
      <c r="I19" s="1948"/>
      <c r="J19" s="2099"/>
      <c r="K19" s="1982" t="s">
        <v>101</v>
      </c>
      <c r="L19" s="1947" t="s">
        <v>4112</v>
      </c>
      <c r="M19" s="1754"/>
      <c r="N19" s="1712"/>
      <c r="O19" s="1712">
        <f>SUBTOTAL(9,O20:O21)</f>
        <v>2.9988890000000001</v>
      </c>
      <c r="P19" s="1983"/>
      <c r="Q19" s="1712">
        <f>SUBTOTAL(9,Q20:Q21)</f>
        <v>2.7116579999999999</v>
      </c>
      <c r="R19" s="1757"/>
      <c r="S19" s="1712">
        <f>SUBTOTAL(9,S20:S21)</f>
        <v>0.28723100000000001</v>
      </c>
      <c r="T19" s="1712">
        <f t="shared" si="0"/>
        <v>25.607528354093279</v>
      </c>
      <c r="U19" s="1712">
        <f t="shared" si="1"/>
        <v>28.319992822943917</v>
      </c>
      <c r="V19" s="1952"/>
      <c r="X19" s="2099"/>
      <c r="Y19" s="1712"/>
      <c r="Z19" s="2119">
        <f t="shared" si="2"/>
        <v>0</v>
      </c>
      <c r="AA19" s="2119">
        <f t="shared" si="3"/>
        <v>0</v>
      </c>
      <c r="AB19" s="2119"/>
      <c r="AC19" s="2119"/>
    </row>
    <row r="20" spans="1:29" s="1942" customFormat="1" ht="13" outlineLevel="5">
      <c r="A20" s="1984"/>
      <c r="B20" s="2122" t="s">
        <v>4017</v>
      </c>
      <c r="C20" s="2123"/>
      <c r="D20" s="1986" t="s">
        <v>1487</v>
      </c>
      <c r="E20" s="1987"/>
      <c r="F20" s="1988" t="s">
        <v>3828</v>
      </c>
      <c r="G20" s="1989" t="s">
        <v>4118</v>
      </c>
      <c r="H20" s="1990" t="s">
        <v>10</v>
      </c>
      <c r="I20" s="1991">
        <f>$E$5</f>
        <v>1058.93</v>
      </c>
      <c r="J20" s="2124">
        <v>0.48</v>
      </c>
      <c r="K20" s="1992" t="s">
        <v>101</v>
      </c>
      <c r="L20" s="1990" t="s">
        <v>4018</v>
      </c>
      <c r="M20" s="1991">
        <f t="shared" si="4"/>
        <v>508.28640000000001</v>
      </c>
      <c r="N20" s="1991">
        <f>高层!N20</f>
        <v>24</v>
      </c>
      <c r="O20" s="1991">
        <f t="shared" si="5"/>
        <v>1.2198869999999999</v>
      </c>
      <c r="P20" s="1991">
        <f t="shared" si="6"/>
        <v>21.24</v>
      </c>
      <c r="Q20" s="1991">
        <f t="shared" si="7"/>
        <v>1.0795459999999999</v>
      </c>
      <c r="R20" s="1993">
        <v>0.13</v>
      </c>
      <c r="S20" s="1991">
        <f>O20-Q20</f>
        <v>0.14034100000000005</v>
      </c>
      <c r="T20" s="1991">
        <f t="shared" si="0"/>
        <v>10.19468708979819</v>
      </c>
      <c r="U20" s="1991">
        <f t="shared" si="1"/>
        <v>11.519996600341853</v>
      </c>
      <c r="V20" s="1994"/>
      <c r="X20" s="2124">
        <v>0.4</v>
      </c>
      <c r="Y20" s="1991">
        <v>20</v>
      </c>
      <c r="Z20" s="2119">
        <f t="shared" si="2"/>
        <v>7.999999999999996E-2</v>
      </c>
      <c r="AA20" s="2119">
        <f t="shared" si="3"/>
        <v>4</v>
      </c>
      <c r="AB20" s="2119"/>
      <c r="AC20" s="2119"/>
    </row>
    <row r="21" spans="1:29" s="1942" customFormat="1" ht="13" outlineLevel="5">
      <c r="A21" s="1944"/>
      <c r="B21" s="2122" t="s">
        <v>4019</v>
      </c>
      <c r="C21" s="2123"/>
      <c r="D21" s="1986" t="s">
        <v>1639</v>
      </c>
      <c r="E21" s="1987"/>
      <c r="F21" s="1988" t="s">
        <v>3342</v>
      </c>
      <c r="G21" s="1989" t="s">
        <v>4116</v>
      </c>
      <c r="H21" s="1990" t="s">
        <v>10</v>
      </c>
      <c r="I21" s="1991">
        <f>$E$5</f>
        <v>1058.93</v>
      </c>
      <c r="J21" s="2124">
        <v>0.48</v>
      </c>
      <c r="K21" s="1992" t="s">
        <v>101</v>
      </c>
      <c r="L21" s="1990" t="s">
        <v>4020</v>
      </c>
      <c r="M21" s="1991">
        <f t="shared" si="4"/>
        <v>508.28640000000001</v>
      </c>
      <c r="N21" s="1991">
        <f>高层!N21</f>
        <v>35</v>
      </c>
      <c r="O21" s="1991">
        <f t="shared" si="5"/>
        <v>1.779002</v>
      </c>
      <c r="P21" s="1991">
        <f t="shared" si="6"/>
        <v>32.11</v>
      </c>
      <c r="Q21" s="1991">
        <f t="shared" si="7"/>
        <v>1.632112</v>
      </c>
      <c r="R21" s="1993">
        <v>0.09</v>
      </c>
      <c r="S21" s="1991">
        <f>O21-Q21</f>
        <v>0.14688999999999997</v>
      </c>
      <c r="T21" s="1991">
        <f t="shared" si="0"/>
        <v>15.412841264295091</v>
      </c>
      <c r="U21" s="1991">
        <f t="shared" si="1"/>
        <v>16.799996222602061</v>
      </c>
      <c r="V21" s="1994"/>
      <c r="X21" s="2124">
        <v>0.4</v>
      </c>
      <c r="Y21" s="1991">
        <v>20</v>
      </c>
      <c r="Z21" s="2119">
        <f t="shared" si="2"/>
        <v>7.999999999999996E-2</v>
      </c>
      <c r="AA21" s="2119">
        <f t="shared" si="3"/>
        <v>15</v>
      </c>
      <c r="AB21" s="2119"/>
      <c r="AC21" s="2119"/>
    </row>
    <row r="22" spans="1:29" s="1942" customFormat="1" ht="13" outlineLevel="3">
      <c r="A22" s="1944"/>
      <c r="B22" s="2120" t="s">
        <v>1486</v>
      </c>
      <c r="C22" s="2121"/>
      <c r="D22" s="1979" t="s">
        <v>3369</v>
      </c>
      <c r="E22" s="1980" t="s">
        <v>3370</v>
      </c>
      <c r="F22" s="1462" t="s">
        <v>1493</v>
      </c>
      <c r="G22" s="1953" t="s">
        <v>4119</v>
      </c>
      <c r="H22" s="1947" t="s">
        <v>10</v>
      </c>
      <c r="I22" s="1948">
        <f>$E$5</f>
        <v>1058.93</v>
      </c>
      <c r="J22" s="2099">
        <v>1.5</v>
      </c>
      <c r="K22" s="1950" t="s">
        <v>101</v>
      </c>
      <c r="L22" s="1947" t="s">
        <v>4021</v>
      </c>
      <c r="M22" s="1754">
        <f t="shared" si="4"/>
        <v>1588.395</v>
      </c>
      <c r="N22" s="1712">
        <v>200</v>
      </c>
      <c r="O22" s="1712">
        <f t="shared" si="5"/>
        <v>31.767900000000001</v>
      </c>
      <c r="P22" s="1712">
        <f t="shared" si="6"/>
        <v>183.49</v>
      </c>
      <c r="Q22" s="1712">
        <f t="shared" si="7"/>
        <v>29.144862</v>
      </c>
      <c r="R22" s="1757">
        <v>0.09</v>
      </c>
      <c r="S22" s="1712">
        <f>O22-Q22</f>
        <v>2.6230380000000011</v>
      </c>
      <c r="T22" s="1712">
        <f t="shared" si="0"/>
        <v>275.2293541593873</v>
      </c>
      <c r="U22" s="1712">
        <f t="shared" si="1"/>
        <v>300</v>
      </c>
      <c r="V22" s="1952"/>
      <c r="X22" s="2125">
        <v>0.8</v>
      </c>
      <c r="Y22" s="2003">
        <v>200</v>
      </c>
      <c r="Z22" s="2119">
        <f t="shared" si="2"/>
        <v>0.7</v>
      </c>
      <c r="AA22" s="2119">
        <f t="shared" si="3"/>
        <v>0</v>
      </c>
      <c r="AB22" s="2119"/>
      <c r="AC22" s="2119"/>
    </row>
    <row r="23" spans="1:29" s="1942" customFormat="1" ht="13" outlineLevel="3">
      <c r="A23" s="1944"/>
      <c r="B23" s="2120" t="s">
        <v>1640</v>
      </c>
      <c r="C23" s="2121"/>
      <c r="D23" s="1979" t="s">
        <v>386</v>
      </c>
      <c r="E23" s="1980"/>
      <c r="F23" s="1462"/>
      <c r="G23" s="1953" t="s">
        <v>4117</v>
      </c>
      <c r="H23" s="1947"/>
      <c r="I23" s="1948"/>
      <c r="J23" s="2099"/>
      <c r="K23" s="1950"/>
      <c r="L23" s="1947"/>
      <c r="M23" s="1754"/>
      <c r="N23" s="1712"/>
      <c r="O23" s="1712">
        <f>SUBTOTAL(9,O24:O32)</f>
        <v>57.934151</v>
      </c>
      <c r="P23" s="1712"/>
      <c r="Q23" s="1712">
        <f>SUBTOTAL(9,Q24:Q32)</f>
        <v>53.026795</v>
      </c>
      <c r="R23" s="1712"/>
      <c r="S23" s="1712">
        <f>SUBTOTAL(9,S24:S32)</f>
        <v>4.9073560000000001</v>
      </c>
      <c r="T23" s="1712">
        <f t="shared" si="0"/>
        <v>500.75826541886613</v>
      </c>
      <c r="U23" s="1712">
        <f t="shared" si="1"/>
        <v>547.10085652498276</v>
      </c>
      <c r="V23" s="1952"/>
      <c r="X23" s="2099"/>
      <c r="Y23" s="1712"/>
      <c r="Z23" s="2119">
        <f t="shared" si="2"/>
        <v>0</v>
      </c>
      <c r="AA23" s="2119">
        <f t="shared" si="3"/>
        <v>0</v>
      </c>
      <c r="AB23" s="2119"/>
      <c r="AC23" s="2119"/>
    </row>
    <row r="24" spans="1:29" s="1942" customFormat="1" ht="13" outlineLevel="4">
      <c r="A24" s="1944"/>
      <c r="B24" s="2120" t="s">
        <v>1642</v>
      </c>
      <c r="C24" s="2121"/>
      <c r="D24" s="1995" t="s">
        <v>3371</v>
      </c>
      <c r="E24" s="1996" t="s">
        <v>3372</v>
      </c>
      <c r="F24" s="1462" t="s">
        <v>3342</v>
      </c>
      <c r="G24" s="1953" t="s">
        <v>4116</v>
      </c>
      <c r="H24" s="1947" t="s">
        <v>10</v>
      </c>
      <c r="I24" s="1712">
        <f>$E$5</f>
        <v>1058.93</v>
      </c>
      <c r="J24" s="2099">
        <v>0.7</v>
      </c>
      <c r="K24" s="1950" t="s">
        <v>101</v>
      </c>
      <c r="L24" s="1947" t="s">
        <v>4022</v>
      </c>
      <c r="M24" s="1754">
        <f t="shared" si="4"/>
        <v>741.25099999999998</v>
      </c>
      <c r="N24" s="2126">
        <v>100</v>
      </c>
      <c r="O24" s="1712">
        <f>ROUND(M24*ROUND(N24,2)/10000,6)</f>
        <v>7.4125100000000002</v>
      </c>
      <c r="P24" s="1712">
        <f>IFERROR(ROUND(Q24*10000/M24,2),0)</f>
        <v>91.74</v>
      </c>
      <c r="Q24" s="1712">
        <f>ROUND(O24/(1+R24),6)</f>
        <v>6.8004680000000004</v>
      </c>
      <c r="R24" s="1757">
        <v>0.09</v>
      </c>
      <c r="S24" s="1712">
        <f>O24-Q24</f>
        <v>0.61204199999999975</v>
      </c>
      <c r="T24" s="1712">
        <f t="shared" si="0"/>
        <v>64.220184525889351</v>
      </c>
      <c r="U24" s="1712">
        <f t="shared" si="1"/>
        <v>70</v>
      </c>
      <c r="V24" s="1952"/>
      <c r="X24" s="2099">
        <v>0.7</v>
      </c>
      <c r="Y24" s="1712">
        <v>60</v>
      </c>
      <c r="Z24" s="2119">
        <f t="shared" si="2"/>
        <v>0</v>
      </c>
      <c r="AA24" s="2119">
        <f t="shared" si="3"/>
        <v>40</v>
      </c>
      <c r="AB24" s="2119"/>
      <c r="AC24" s="2119"/>
    </row>
    <row r="25" spans="1:29" s="1942" customFormat="1" ht="13" outlineLevel="4">
      <c r="A25" s="1944"/>
      <c r="B25" s="2120" t="s">
        <v>1490</v>
      </c>
      <c r="C25" s="2121"/>
      <c r="D25" s="1995" t="s">
        <v>3373</v>
      </c>
      <c r="E25" s="1996" t="s">
        <v>3374</v>
      </c>
      <c r="F25" s="1462"/>
      <c r="G25" s="1953" t="s">
        <v>4117</v>
      </c>
      <c r="H25" s="1947"/>
      <c r="I25" s="1948"/>
      <c r="J25" s="2099"/>
      <c r="K25" s="1950" t="s">
        <v>101</v>
      </c>
      <c r="L25" s="1947" t="s">
        <v>4023</v>
      </c>
      <c r="M25" s="1754"/>
      <c r="N25" s="1712"/>
      <c r="O25" s="1712">
        <f>SUBTOTAL(9,O26:O27)</f>
        <v>15.337542000000001</v>
      </c>
      <c r="P25" s="1983"/>
      <c r="Q25" s="1712">
        <f>SUBTOTAL(9,Q26:Q27)</f>
        <v>13.947337999999998</v>
      </c>
      <c r="R25" s="1757"/>
      <c r="S25" s="1712">
        <f>SUBTOTAL(9,S26:S27)</f>
        <v>1.3902040000000011</v>
      </c>
      <c r="T25" s="1712">
        <f t="shared" si="0"/>
        <v>131.71161455431422</v>
      </c>
      <c r="U25" s="1712">
        <f t="shared" si="1"/>
        <v>144.83999886678063</v>
      </c>
      <c r="V25" s="1952"/>
      <c r="X25" s="2099"/>
      <c r="Y25" s="1712"/>
      <c r="Z25" s="2119">
        <f t="shared" si="2"/>
        <v>0</v>
      </c>
      <c r="AA25" s="2119">
        <f t="shared" si="3"/>
        <v>0</v>
      </c>
      <c r="AB25" s="2119"/>
      <c r="AC25" s="2119"/>
    </row>
    <row r="26" spans="1:29" s="1942" customFormat="1" ht="13" outlineLevel="5">
      <c r="A26" s="1944"/>
      <c r="B26" s="2122" t="s">
        <v>4024</v>
      </c>
      <c r="C26" s="2123"/>
      <c r="D26" s="1998" t="s">
        <v>4025</v>
      </c>
      <c r="E26" s="1999"/>
      <c r="F26" s="1988" t="s">
        <v>3342</v>
      </c>
      <c r="G26" s="1989" t="s">
        <v>4116</v>
      </c>
      <c r="H26" s="1990" t="s">
        <v>10</v>
      </c>
      <c r="I26" s="1991">
        <f>$E$5</f>
        <v>1058.93</v>
      </c>
      <c r="J26" s="2124">
        <v>2.4</v>
      </c>
      <c r="K26" s="2000"/>
      <c r="L26" s="1990" t="s">
        <v>4026</v>
      </c>
      <c r="M26" s="1991">
        <f t="shared" si="4"/>
        <v>2541.4320000000002</v>
      </c>
      <c r="N26" s="2127">
        <f>高层!N26</f>
        <v>45.35</v>
      </c>
      <c r="O26" s="1991">
        <f t="shared" ref="O26:O32" si="8">ROUND(M26*ROUND(N26,2)/10000,6)</f>
        <v>11.525394</v>
      </c>
      <c r="P26" s="1991">
        <f t="shared" ref="P26:P32" si="9">IFERROR(ROUND(Q26*10000/M26,2),0)</f>
        <v>41.61</v>
      </c>
      <c r="Q26" s="1991">
        <f t="shared" ref="Q26:Q32" si="10">ROUND(O26/(1+R26),6)</f>
        <v>10.573755999999999</v>
      </c>
      <c r="R26" s="1993">
        <v>0.09</v>
      </c>
      <c r="S26" s="1991">
        <f t="shared" ref="S26:S32" si="11">O26-Q26</f>
        <v>0.95163800000000087</v>
      </c>
      <c r="T26" s="1991">
        <f t="shared" si="0"/>
        <v>99.853210316073771</v>
      </c>
      <c r="U26" s="1991">
        <f t="shared" si="1"/>
        <v>108.83999886678062</v>
      </c>
      <c r="V26" s="1994"/>
      <c r="X26" s="2124">
        <v>2.4</v>
      </c>
      <c r="Y26" s="2127">
        <v>44</v>
      </c>
      <c r="Z26" s="2119">
        <f t="shared" si="2"/>
        <v>0</v>
      </c>
      <c r="AA26" s="2119">
        <f t="shared" si="3"/>
        <v>1.3500000000000014</v>
      </c>
      <c r="AB26" s="2119"/>
      <c r="AC26" s="2119"/>
    </row>
    <row r="27" spans="1:29" s="1942" customFormat="1" ht="13" outlineLevel="5">
      <c r="A27" s="1944"/>
      <c r="B27" s="2122" t="s">
        <v>4027</v>
      </c>
      <c r="C27" s="2123"/>
      <c r="D27" s="1998" t="s">
        <v>4028</v>
      </c>
      <c r="E27" s="1999"/>
      <c r="F27" s="1988" t="s">
        <v>3829</v>
      </c>
      <c r="G27" s="1989" t="s">
        <v>4120</v>
      </c>
      <c r="H27" s="1990" t="s">
        <v>10</v>
      </c>
      <c r="I27" s="1991">
        <f>$E$5</f>
        <v>1058.93</v>
      </c>
      <c r="J27" s="2124">
        <v>2.4</v>
      </c>
      <c r="K27" s="2000"/>
      <c r="L27" s="1990" t="s">
        <v>4029</v>
      </c>
      <c r="M27" s="1991">
        <f t="shared" si="4"/>
        <v>2541.4320000000002</v>
      </c>
      <c r="N27" s="1991">
        <v>15</v>
      </c>
      <c r="O27" s="1991">
        <f t="shared" si="8"/>
        <v>3.8121480000000001</v>
      </c>
      <c r="P27" s="1991">
        <f t="shared" si="9"/>
        <v>13.27</v>
      </c>
      <c r="Q27" s="1991">
        <f t="shared" si="10"/>
        <v>3.3735819999999999</v>
      </c>
      <c r="R27" s="1993">
        <v>0.13</v>
      </c>
      <c r="S27" s="1991">
        <f t="shared" si="11"/>
        <v>0.43856600000000023</v>
      </c>
      <c r="T27" s="1991">
        <f t="shared" si="0"/>
        <v>31.858404238240485</v>
      </c>
      <c r="U27" s="1991">
        <f t="shared" si="1"/>
        <v>36</v>
      </c>
      <c r="V27" s="1994"/>
      <c r="X27" s="2124">
        <v>2.4</v>
      </c>
      <c r="Y27" s="1991">
        <v>10</v>
      </c>
      <c r="Z27" s="2119">
        <f t="shared" si="2"/>
        <v>0</v>
      </c>
      <c r="AA27" s="2119">
        <f t="shared" si="3"/>
        <v>5</v>
      </c>
      <c r="AB27" s="2119"/>
      <c r="AC27" s="2119"/>
    </row>
    <row r="28" spans="1:29" s="1942" customFormat="1" ht="13" outlineLevel="4">
      <c r="A28" s="1944"/>
      <c r="B28" s="2120" t="s">
        <v>1491</v>
      </c>
      <c r="C28" s="2121"/>
      <c r="D28" s="1995" t="s">
        <v>3375</v>
      </c>
      <c r="E28" s="1996" t="s">
        <v>3376</v>
      </c>
      <c r="F28" s="1462" t="s">
        <v>3342</v>
      </c>
      <c r="G28" s="1953" t="s">
        <v>4116</v>
      </c>
      <c r="H28" s="1947" t="s">
        <v>10</v>
      </c>
      <c r="I28" s="1712">
        <f t="shared" ref="I28:I44" si="12">$E$5</f>
        <v>1058.93</v>
      </c>
      <c r="J28" s="2099">
        <f>J22</f>
        <v>1.5</v>
      </c>
      <c r="K28" s="1950" t="s">
        <v>101</v>
      </c>
      <c r="L28" s="1947" t="s">
        <v>4030</v>
      </c>
      <c r="M28" s="1754">
        <f t="shared" si="4"/>
        <v>1588.395</v>
      </c>
      <c r="N28" s="1712">
        <f>高层!N28</f>
        <v>37.32</v>
      </c>
      <c r="O28" s="1712">
        <f t="shared" si="8"/>
        <v>5.9278899999999997</v>
      </c>
      <c r="P28" s="1712">
        <f t="shared" si="9"/>
        <v>34.24</v>
      </c>
      <c r="Q28" s="1712">
        <f t="shared" si="10"/>
        <v>5.4384309999999996</v>
      </c>
      <c r="R28" s="1757">
        <v>0.09</v>
      </c>
      <c r="S28" s="1712">
        <f t="shared" si="11"/>
        <v>0.48945900000000009</v>
      </c>
      <c r="T28" s="1712">
        <f t="shared" si="0"/>
        <v>51.357795132822751</v>
      </c>
      <c r="U28" s="1712">
        <f t="shared" si="1"/>
        <v>55.979998677910714</v>
      </c>
      <c r="V28" s="1952"/>
      <c r="X28" s="2099">
        <v>0.8</v>
      </c>
      <c r="Y28" s="1712">
        <v>30</v>
      </c>
      <c r="Z28" s="2119">
        <f t="shared" si="2"/>
        <v>0.7</v>
      </c>
      <c r="AA28" s="2119">
        <f t="shared" si="3"/>
        <v>7.32</v>
      </c>
      <c r="AB28" s="2119"/>
      <c r="AC28" s="2119"/>
    </row>
    <row r="29" spans="1:29" s="1942" customFormat="1" ht="13" outlineLevel="4">
      <c r="A29" s="1944"/>
      <c r="B29" s="2120" t="s">
        <v>1492</v>
      </c>
      <c r="C29" s="2121"/>
      <c r="D29" s="1995" t="s">
        <v>3377</v>
      </c>
      <c r="E29" s="1996" t="s">
        <v>3378</v>
      </c>
      <c r="F29" s="1462" t="s">
        <v>3342</v>
      </c>
      <c r="G29" s="1953" t="s">
        <v>4116</v>
      </c>
      <c r="H29" s="1947" t="s">
        <v>10</v>
      </c>
      <c r="I29" s="1712">
        <f t="shared" si="12"/>
        <v>1058.93</v>
      </c>
      <c r="J29" s="2099">
        <v>0.7</v>
      </c>
      <c r="K29" s="1950" t="s">
        <v>101</v>
      </c>
      <c r="L29" s="1947" t="s">
        <v>4031</v>
      </c>
      <c r="M29" s="1754">
        <f t="shared" si="4"/>
        <v>741.25099999999998</v>
      </c>
      <c r="N29" s="1712">
        <f>高层!N29</f>
        <v>20.55</v>
      </c>
      <c r="O29" s="1712">
        <f t="shared" si="8"/>
        <v>1.523271</v>
      </c>
      <c r="P29" s="1712">
        <f t="shared" si="9"/>
        <v>18.850000000000001</v>
      </c>
      <c r="Q29" s="1712">
        <f t="shared" si="10"/>
        <v>1.3974960000000001</v>
      </c>
      <c r="R29" s="1757">
        <v>0.09</v>
      </c>
      <c r="S29" s="1712">
        <f t="shared" si="11"/>
        <v>0.12577499999999997</v>
      </c>
      <c r="T29" s="1712">
        <f t="shared" si="0"/>
        <v>13.197246276902156</v>
      </c>
      <c r="U29" s="1712">
        <f t="shared" si="1"/>
        <v>14.385001841481495</v>
      </c>
      <c r="V29" s="1952"/>
      <c r="X29" s="2099">
        <v>0.7</v>
      </c>
      <c r="Y29" s="1712">
        <v>30</v>
      </c>
      <c r="Z29" s="2119">
        <f t="shared" si="2"/>
        <v>0</v>
      </c>
      <c r="AA29" s="2119">
        <f t="shared" si="3"/>
        <v>-9.4499999999999993</v>
      </c>
      <c r="AB29" s="2119"/>
      <c r="AC29" s="2119"/>
    </row>
    <row r="30" spans="1:29" s="1942" customFormat="1" ht="13" outlineLevel="4">
      <c r="A30" s="1944"/>
      <c r="B30" s="2120" t="s">
        <v>3379</v>
      </c>
      <c r="C30" s="2121"/>
      <c r="D30" s="1995" t="s">
        <v>3380</v>
      </c>
      <c r="E30" s="1996" t="s">
        <v>3381</v>
      </c>
      <c r="F30" s="1462" t="s">
        <v>3342</v>
      </c>
      <c r="G30" s="1953" t="s">
        <v>4116</v>
      </c>
      <c r="H30" s="1947" t="s">
        <v>9</v>
      </c>
      <c r="I30" s="1712">
        <f>$E$4</f>
        <v>1058.9100000000001</v>
      </c>
      <c r="J30" s="2099">
        <v>1.1200000000000001</v>
      </c>
      <c r="K30" s="1950" t="s">
        <v>101</v>
      </c>
      <c r="L30" s="1947" t="s">
        <v>4032</v>
      </c>
      <c r="M30" s="1754">
        <f t="shared" si="4"/>
        <v>1185.9792000000002</v>
      </c>
      <c r="N30" s="1712">
        <f>高层!N30</f>
        <v>233.84</v>
      </c>
      <c r="O30" s="1712">
        <f t="shared" si="8"/>
        <v>27.732938000000001</v>
      </c>
      <c r="P30" s="1712">
        <f t="shared" si="9"/>
        <v>214.53</v>
      </c>
      <c r="Q30" s="1712">
        <f t="shared" si="10"/>
        <v>25.443062000000001</v>
      </c>
      <c r="R30" s="1757">
        <v>0.09</v>
      </c>
      <c r="S30" s="1712">
        <f t="shared" si="11"/>
        <v>2.2898759999999996</v>
      </c>
      <c r="T30" s="1712">
        <f t="shared" si="0"/>
        <v>240.27142492893771</v>
      </c>
      <c r="U30" s="1712">
        <f t="shared" si="1"/>
        <v>261.8958571388099</v>
      </c>
      <c r="V30" s="1952"/>
      <c r="X30" s="2099">
        <v>1.5</v>
      </c>
      <c r="Y30" s="1712">
        <v>90</v>
      </c>
      <c r="Z30" s="2119">
        <f t="shared" si="2"/>
        <v>-0.37999999999999989</v>
      </c>
      <c r="AA30" s="2119">
        <f t="shared" si="3"/>
        <v>143.84</v>
      </c>
      <c r="AB30" s="2119"/>
      <c r="AC30" s="2119"/>
    </row>
    <row r="31" spans="1:29" s="1942" customFormat="1" ht="13" outlineLevel="4">
      <c r="A31" s="1944"/>
      <c r="B31" s="2120" t="s">
        <v>3382</v>
      </c>
      <c r="C31" s="2121"/>
      <c r="D31" s="1995" t="s">
        <v>3383</v>
      </c>
      <c r="E31" s="1996" t="s">
        <v>3384</v>
      </c>
      <c r="F31" s="1462" t="s">
        <v>3342</v>
      </c>
      <c r="G31" s="1953" t="s">
        <v>4116</v>
      </c>
      <c r="H31" s="1975" t="s">
        <v>3849</v>
      </c>
      <c r="I31" s="1712"/>
      <c r="J31" s="2099"/>
      <c r="K31" s="1950" t="s">
        <v>101</v>
      </c>
      <c r="L31" s="1947" t="s">
        <v>4033</v>
      </c>
      <c r="M31" s="1754">
        <f t="shared" si="4"/>
        <v>0</v>
      </c>
      <c r="N31" s="1712"/>
      <c r="O31" s="1712">
        <f t="shared" si="8"/>
        <v>0</v>
      </c>
      <c r="P31" s="1712">
        <f t="shared" si="9"/>
        <v>0</v>
      </c>
      <c r="Q31" s="1712">
        <f t="shared" si="10"/>
        <v>0</v>
      </c>
      <c r="R31" s="1757">
        <v>0.09</v>
      </c>
      <c r="S31" s="1712">
        <f t="shared" si="11"/>
        <v>0</v>
      </c>
      <c r="T31" s="1712">
        <f t="shared" si="0"/>
        <v>0</v>
      </c>
      <c r="U31" s="1712">
        <f t="shared" si="1"/>
        <v>0</v>
      </c>
      <c r="V31" s="1952"/>
      <c r="X31" s="2099"/>
      <c r="Y31" s="1712"/>
      <c r="Z31" s="2119">
        <f t="shared" si="2"/>
        <v>0</v>
      </c>
      <c r="AA31" s="2119">
        <f t="shared" si="3"/>
        <v>0</v>
      </c>
      <c r="AB31" s="2119"/>
      <c r="AC31" s="2119"/>
    </row>
    <row r="32" spans="1:29" s="1942" customFormat="1" ht="13" outlineLevel="4">
      <c r="A32" s="1944"/>
      <c r="B32" s="2120" t="s">
        <v>3385</v>
      </c>
      <c r="C32" s="2121"/>
      <c r="D32" s="1995" t="s">
        <v>3386</v>
      </c>
      <c r="E32" s="1996" t="s">
        <v>3387</v>
      </c>
      <c r="F32" s="1462" t="s">
        <v>3342</v>
      </c>
      <c r="G32" s="1953" t="s">
        <v>4116</v>
      </c>
      <c r="H32" s="1975" t="s">
        <v>3849</v>
      </c>
      <c r="I32" s="1712"/>
      <c r="J32" s="2099"/>
      <c r="K32" s="1950" t="s">
        <v>101</v>
      </c>
      <c r="L32" s="1947" t="s">
        <v>4034</v>
      </c>
      <c r="M32" s="1754">
        <f t="shared" si="4"/>
        <v>0</v>
      </c>
      <c r="N32" s="1712"/>
      <c r="O32" s="1712">
        <f t="shared" si="8"/>
        <v>0</v>
      </c>
      <c r="P32" s="1712">
        <f t="shared" si="9"/>
        <v>0</v>
      </c>
      <c r="Q32" s="1712">
        <f t="shared" si="10"/>
        <v>0</v>
      </c>
      <c r="R32" s="1757">
        <v>0.09</v>
      </c>
      <c r="S32" s="1712">
        <f t="shared" si="11"/>
        <v>0</v>
      </c>
      <c r="T32" s="1712">
        <f t="shared" si="0"/>
        <v>0</v>
      </c>
      <c r="U32" s="1712">
        <f t="shared" si="1"/>
        <v>0</v>
      </c>
      <c r="V32" s="1952"/>
      <c r="X32" s="2099"/>
      <c r="Y32" s="1712"/>
      <c r="Z32" s="2119">
        <f t="shared" si="2"/>
        <v>0</v>
      </c>
      <c r="AA32" s="2119">
        <f t="shared" si="3"/>
        <v>0</v>
      </c>
      <c r="AB32" s="2119"/>
      <c r="AC32" s="2119"/>
    </row>
    <row r="33" spans="1:29" s="1942" customFormat="1" ht="13" outlineLevel="3">
      <c r="A33" s="1944"/>
      <c r="B33" s="2120" t="s">
        <v>1647</v>
      </c>
      <c r="C33" s="2121"/>
      <c r="D33" s="1995" t="s">
        <v>3388</v>
      </c>
      <c r="E33" s="1996"/>
      <c r="F33" s="1462"/>
      <c r="G33" s="1953" t="s">
        <v>4117</v>
      </c>
      <c r="H33" s="1947"/>
      <c r="I33" s="1948"/>
      <c r="J33" s="2099"/>
      <c r="K33" s="1950"/>
      <c r="L33" s="1947"/>
      <c r="M33" s="1754"/>
      <c r="N33" s="1712"/>
      <c r="O33" s="1712">
        <f>SUBTOTAL(9,O34:O38)</f>
        <v>27.108607999999997</v>
      </c>
      <c r="P33" s="2005"/>
      <c r="Q33" s="1712">
        <f>SUBTOTAL(9,Q34:Q38)</f>
        <v>24.870283000000001</v>
      </c>
      <c r="R33" s="2005"/>
      <c r="S33" s="1712">
        <f>SUBTOTAL(9,S34:S38)</f>
        <v>2.2383249999999983</v>
      </c>
      <c r="T33" s="1712">
        <f t="shared" si="0"/>
        <v>234.86238939306659</v>
      </c>
      <c r="U33" s="1712">
        <f t="shared" si="1"/>
        <v>255.99999999999994</v>
      </c>
      <c r="V33" s="1952"/>
      <c r="X33" s="2099"/>
      <c r="Y33" s="1712"/>
      <c r="Z33" s="2119">
        <f t="shared" si="2"/>
        <v>0</v>
      </c>
      <c r="AA33" s="2119">
        <f t="shared" si="3"/>
        <v>0</v>
      </c>
      <c r="AB33" s="2119"/>
      <c r="AC33" s="2119"/>
    </row>
    <row r="34" spans="1:29" s="1942" customFormat="1" ht="13" outlineLevel="4">
      <c r="A34" s="1944" t="s">
        <v>4011</v>
      </c>
      <c r="B34" s="2120" t="s">
        <v>1649</v>
      </c>
      <c r="C34" s="2121"/>
      <c r="D34" s="1995" t="s">
        <v>1643</v>
      </c>
      <c r="E34" s="1996" t="s">
        <v>3389</v>
      </c>
      <c r="F34" s="1462" t="s">
        <v>3342</v>
      </c>
      <c r="G34" s="1953" t="s">
        <v>4116</v>
      </c>
      <c r="H34" s="1975" t="s">
        <v>10</v>
      </c>
      <c r="I34" s="1712">
        <f t="shared" si="12"/>
        <v>1058.93</v>
      </c>
      <c r="J34" s="2099">
        <v>1</v>
      </c>
      <c r="K34" s="1950" t="s">
        <v>101</v>
      </c>
      <c r="L34" s="1947" t="s">
        <v>10</v>
      </c>
      <c r="M34" s="1754">
        <f t="shared" si="4"/>
        <v>1058.93</v>
      </c>
      <c r="N34" s="2001">
        <v>64</v>
      </c>
      <c r="O34" s="1712">
        <f t="shared" ref="O34:O44" si="13">ROUND(M34*ROUND(N34,2)/10000,6)</f>
        <v>6.7771520000000001</v>
      </c>
      <c r="P34" s="1712">
        <f t="shared" ref="P34:P44" si="14">IFERROR(ROUND(Q34*10000/M34,2),0)</f>
        <v>58.72</v>
      </c>
      <c r="Q34" s="1712">
        <f t="shared" ref="Q34:Q44" si="15">ROUND(O34/(1+R34),6)</f>
        <v>6.2175710000000004</v>
      </c>
      <c r="R34" s="1757">
        <v>0.09</v>
      </c>
      <c r="S34" s="1712">
        <f t="shared" ref="S34:S44" si="16">O34-Q34</f>
        <v>0.55958099999999966</v>
      </c>
      <c r="T34" s="1712">
        <f t="shared" si="0"/>
        <v>58.715599709140363</v>
      </c>
      <c r="U34" s="1712">
        <f t="shared" si="1"/>
        <v>64</v>
      </c>
      <c r="V34" s="1952"/>
      <c r="X34" s="2099">
        <v>1</v>
      </c>
      <c r="Y34" s="1712">
        <v>75</v>
      </c>
      <c r="Z34" s="2119">
        <f t="shared" si="2"/>
        <v>0</v>
      </c>
      <c r="AA34" s="2119">
        <f t="shared" si="3"/>
        <v>-11</v>
      </c>
      <c r="AB34" s="2119"/>
      <c r="AC34" s="2119"/>
    </row>
    <row r="35" spans="1:29" s="1942" customFormat="1" ht="13" outlineLevel="4">
      <c r="A35" s="1944" t="s">
        <v>4011</v>
      </c>
      <c r="B35" s="2120" t="s">
        <v>1494</v>
      </c>
      <c r="C35" s="2121"/>
      <c r="D35" s="1995" t="s">
        <v>1644</v>
      </c>
      <c r="E35" s="1996" t="s">
        <v>3390</v>
      </c>
      <c r="F35" s="1462" t="s">
        <v>3342</v>
      </c>
      <c r="G35" s="1953" t="s">
        <v>4116</v>
      </c>
      <c r="H35" s="1975" t="s">
        <v>10</v>
      </c>
      <c r="I35" s="1712">
        <f t="shared" si="12"/>
        <v>1058.93</v>
      </c>
      <c r="J35" s="2099">
        <v>1</v>
      </c>
      <c r="K35" s="1950" t="s">
        <v>101</v>
      </c>
      <c r="L35" s="1947" t="s">
        <v>10</v>
      </c>
      <c r="M35" s="1754">
        <f t="shared" si="4"/>
        <v>1058.93</v>
      </c>
      <c r="N35" s="2001">
        <v>100</v>
      </c>
      <c r="O35" s="1712">
        <f t="shared" si="13"/>
        <v>10.5893</v>
      </c>
      <c r="P35" s="1712">
        <f t="shared" si="14"/>
        <v>91.74</v>
      </c>
      <c r="Q35" s="1712">
        <f t="shared" si="15"/>
        <v>9.7149540000000005</v>
      </c>
      <c r="R35" s="1757">
        <v>0.09</v>
      </c>
      <c r="S35" s="1712">
        <f t="shared" si="16"/>
        <v>0.87434599999999918</v>
      </c>
      <c r="T35" s="1712">
        <f t="shared" si="0"/>
        <v>91.743118053129109</v>
      </c>
      <c r="U35" s="1712">
        <f t="shared" si="1"/>
        <v>100</v>
      </c>
      <c r="V35" s="1952"/>
      <c r="X35" s="2099">
        <v>1</v>
      </c>
      <c r="Y35" s="2003">
        <v>80</v>
      </c>
      <c r="Z35" s="2119">
        <f t="shared" si="2"/>
        <v>0</v>
      </c>
      <c r="AA35" s="2119">
        <f t="shared" si="3"/>
        <v>20</v>
      </c>
      <c r="AB35" s="2119"/>
      <c r="AC35" s="2119"/>
    </row>
    <row r="36" spans="1:29" s="1942" customFormat="1" ht="13" outlineLevel="4">
      <c r="A36" s="1944"/>
      <c r="B36" s="2120" t="s">
        <v>1495</v>
      </c>
      <c r="C36" s="2121"/>
      <c r="D36" s="1995" t="s">
        <v>1645</v>
      </c>
      <c r="E36" s="1996" t="s">
        <v>3391</v>
      </c>
      <c r="F36" s="1462" t="s">
        <v>3342</v>
      </c>
      <c r="G36" s="1953" t="s">
        <v>4116</v>
      </c>
      <c r="H36" s="1975" t="s">
        <v>10</v>
      </c>
      <c r="I36" s="1712">
        <f t="shared" si="12"/>
        <v>1058.93</v>
      </c>
      <c r="J36" s="2099">
        <v>1</v>
      </c>
      <c r="K36" s="1950" t="s">
        <v>101</v>
      </c>
      <c r="L36" s="1947" t="s">
        <v>10</v>
      </c>
      <c r="M36" s="1754">
        <f t="shared" si="4"/>
        <v>1058.93</v>
      </c>
      <c r="N36" s="1756">
        <v>1</v>
      </c>
      <c r="O36" s="1712">
        <f t="shared" si="13"/>
        <v>0.105893</v>
      </c>
      <c r="P36" s="1712">
        <f t="shared" si="14"/>
        <v>0.92</v>
      </c>
      <c r="Q36" s="1712">
        <f t="shared" si="15"/>
        <v>9.715E-2</v>
      </c>
      <c r="R36" s="1757">
        <v>0.09</v>
      </c>
      <c r="S36" s="1712">
        <f t="shared" si="16"/>
        <v>8.7430000000000008E-3</v>
      </c>
      <c r="T36" s="1712">
        <f t="shared" si="0"/>
        <v>0.9174355245389213</v>
      </c>
      <c r="U36" s="1712">
        <f t="shared" si="1"/>
        <v>1</v>
      </c>
      <c r="V36" s="1952"/>
      <c r="X36" s="2099">
        <v>1</v>
      </c>
      <c r="Y36" s="1712">
        <v>25</v>
      </c>
      <c r="Z36" s="2119">
        <f t="shared" si="2"/>
        <v>0</v>
      </c>
      <c r="AA36" s="2119">
        <f t="shared" si="3"/>
        <v>-24</v>
      </c>
      <c r="AB36" s="2119"/>
      <c r="AC36" s="2119"/>
    </row>
    <row r="37" spans="1:29" s="1942" customFormat="1" ht="13" outlineLevel="4">
      <c r="A37" s="1944"/>
      <c r="B37" s="2120" t="s">
        <v>3392</v>
      </c>
      <c r="C37" s="2121"/>
      <c r="D37" s="1995" t="s">
        <v>1646</v>
      </c>
      <c r="E37" s="1996" t="s">
        <v>3393</v>
      </c>
      <c r="F37" s="1462" t="s">
        <v>3342</v>
      </c>
      <c r="G37" s="1953" t="s">
        <v>4116</v>
      </c>
      <c r="H37" s="1975" t="s">
        <v>10</v>
      </c>
      <c r="I37" s="1712">
        <f t="shared" si="12"/>
        <v>1058.93</v>
      </c>
      <c r="J37" s="2099">
        <v>1</v>
      </c>
      <c r="K37" s="1950" t="s">
        <v>101</v>
      </c>
      <c r="L37" s="1947" t="s">
        <v>10</v>
      </c>
      <c r="M37" s="1754">
        <f t="shared" si="4"/>
        <v>1058.93</v>
      </c>
      <c r="N37" s="1756">
        <v>61</v>
      </c>
      <c r="O37" s="1712">
        <f t="shared" si="13"/>
        <v>6.459473</v>
      </c>
      <c r="P37" s="1712">
        <f t="shared" si="14"/>
        <v>55.96</v>
      </c>
      <c r="Q37" s="1712">
        <f t="shared" si="15"/>
        <v>5.9261220000000003</v>
      </c>
      <c r="R37" s="1757">
        <v>0.09</v>
      </c>
      <c r="S37" s="1712">
        <f t="shared" si="16"/>
        <v>0.53335099999999969</v>
      </c>
      <c r="T37" s="1712">
        <f t="shared" si="0"/>
        <v>55.963302579018439</v>
      </c>
      <c r="U37" s="1712">
        <f t="shared" si="1"/>
        <v>61</v>
      </c>
      <c r="V37" s="1952"/>
      <c r="X37" s="2099">
        <v>1</v>
      </c>
      <c r="Y37" s="1712">
        <v>15</v>
      </c>
      <c r="Z37" s="2119">
        <f t="shared" si="2"/>
        <v>0</v>
      </c>
      <c r="AA37" s="2119">
        <f t="shared" si="3"/>
        <v>46</v>
      </c>
      <c r="AB37" s="2119"/>
      <c r="AC37" s="2119"/>
    </row>
    <row r="38" spans="1:29" s="1942" customFormat="1" ht="13" outlineLevel="4">
      <c r="A38" s="1944"/>
      <c r="B38" s="2120" t="s">
        <v>3394</v>
      </c>
      <c r="C38" s="2121"/>
      <c r="D38" s="1995" t="s">
        <v>3395</v>
      </c>
      <c r="E38" s="1996" t="s">
        <v>3396</v>
      </c>
      <c r="F38" s="1462" t="s">
        <v>3342</v>
      </c>
      <c r="G38" s="1953" t="s">
        <v>4116</v>
      </c>
      <c r="H38" s="1975" t="s">
        <v>10</v>
      </c>
      <c r="I38" s="1712">
        <f t="shared" si="12"/>
        <v>1058.93</v>
      </c>
      <c r="J38" s="2099">
        <v>1</v>
      </c>
      <c r="K38" s="1950" t="s">
        <v>101</v>
      </c>
      <c r="L38" s="1947" t="s">
        <v>10</v>
      </c>
      <c r="M38" s="1754">
        <f t="shared" si="4"/>
        <v>1058.93</v>
      </c>
      <c r="N38" s="1756">
        <v>30</v>
      </c>
      <c r="O38" s="1712">
        <f t="shared" si="13"/>
        <v>3.17679</v>
      </c>
      <c r="P38" s="1712">
        <f t="shared" si="14"/>
        <v>27.52</v>
      </c>
      <c r="Q38" s="1712">
        <f t="shared" si="15"/>
        <v>2.9144860000000001</v>
      </c>
      <c r="R38" s="1757">
        <v>0.09</v>
      </c>
      <c r="S38" s="1712">
        <f t="shared" si="16"/>
        <v>0.26230399999999987</v>
      </c>
      <c r="T38" s="1712">
        <f t="shared" si="0"/>
        <v>27.522933527239761</v>
      </c>
      <c r="U38" s="1712">
        <f t="shared" si="1"/>
        <v>30</v>
      </c>
      <c r="V38" s="1952"/>
      <c r="X38" s="2099">
        <v>1</v>
      </c>
      <c r="Y38" s="1712">
        <v>30</v>
      </c>
      <c r="Z38" s="2119">
        <f t="shared" si="2"/>
        <v>0</v>
      </c>
      <c r="AA38" s="2119">
        <f t="shared" si="3"/>
        <v>0</v>
      </c>
      <c r="AB38" s="2119"/>
      <c r="AC38" s="2119"/>
    </row>
    <row r="39" spans="1:29" s="1942" customFormat="1" ht="13" outlineLevel="3">
      <c r="A39" s="1944"/>
      <c r="B39" s="2120" t="s">
        <v>1653</v>
      </c>
      <c r="C39" s="2121"/>
      <c r="D39" s="1995" t="s">
        <v>3397</v>
      </c>
      <c r="E39" s="1996" t="s">
        <v>3398</v>
      </c>
      <c r="F39" s="1462" t="s">
        <v>3342</v>
      </c>
      <c r="G39" s="1953" t="s">
        <v>4116</v>
      </c>
      <c r="H39" s="1947" t="s">
        <v>10</v>
      </c>
      <c r="I39" s="1712">
        <f t="shared" si="12"/>
        <v>1058.93</v>
      </c>
      <c r="J39" s="2099"/>
      <c r="K39" s="1950" t="s">
        <v>101</v>
      </c>
      <c r="L39" s="1947" t="s">
        <v>4035</v>
      </c>
      <c r="M39" s="1754">
        <f t="shared" si="4"/>
        <v>0</v>
      </c>
      <c r="N39" s="1712"/>
      <c r="O39" s="1712">
        <f t="shared" si="13"/>
        <v>0</v>
      </c>
      <c r="P39" s="1712">
        <f t="shared" si="14"/>
        <v>0</v>
      </c>
      <c r="Q39" s="1712">
        <f t="shared" si="15"/>
        <v>0</v>
      </c>
      <c r="R39" s="1757">
        <v>0.09</v>
      </c>
      <c r="S39" s="1712">
        <f t="shared" si="16"/>
        <v>0</v>
      </c>
      <c r="T39" s="1712">
        <f t="shared" si="0"/>
        <v>0</v>
      </c>
      <c r="U39" s="1712">
        <f t="shared" si="1"/>
        <v>0</v>
      </c>
      <c r="V39" s="1952"/>
      <c r="X39" s="2099"/>
      <c r="Y39" s="1712"/>
      <c r="Z39" s="2119">
        <f t="shared" si="2"/>
        <v>0</v>
      </c>
      <c r="AA39" s="2119">
        <f t="shared" si="3"/>
        <v>0</v>
      </c>
      <c r="AB39" s="2119"/>
      <c r="AC39" s="2119"/>
    </row>
    <row r="40" spans="1:29" s="1942" customFormat="1" ht="13" outlineLevel="3">
      <c r="A40" s="1944"/>
      <c r="B40" s="2120" t="s">
        <v>1655</v>
      </c>
      <c r="C40" s="2121"/>
      <c r="D40" s="1995" t="s">
        <v>1656</v>
      </c>
      <c r="E40" s="1996" t="s">
        <v>3399</v>
      </c>
      <c r="F40" s="1462" t="s">
        <v>1606</v>
      </c>
      <c r="G40" s="1953" t="s">
        <v>4121</v>
      </c>
      <c r="H40" s="1947" t="s">
        <v>10</v>
      </c>
      <c r="I40" s="1712">
        <f t="shared" si="12"/>
        <v>1058.93</v>
      </c>
      <c r="J40" s="2099"/>
      <c r="K40" s="1950" t="s">
        <v>101</v>
      </c>
      <c r="L40" s="1947" t="s">
        <v>10</v>
      </c>
      <c r="M40" s="1754">
        <f t="shared" si="4"/>
        <v>0</v>
      </c>
      <c r="N40" s="1712"/>
      <c r="O40" s="1712">
        <f t="shared" si="13"/>
        <v>0</v>
      </c>
      <c r="P40" s="1712">
        <f t="shared" si="14"/>
        <v>0</v>
      </c>
      <c r="Q40" s="1712">
        <f t="shared" si="15"/>
        <v>0</v>
      </c>
      <c r="R40" s="1757">
        <v>0.09</v>
      </c>
      <c r="S40" s="1712">
        <f t="shared" si="16"/>
        <v>0</v>
      </c>
      <c r="T40" s="1712">
        <f t="shared" si="0"/>
        <v>0</v>
      </c>
      <c r="U40" s="1712">
        <f t="shared" si="1"/>
        <v>0</v>
      </c>
      <c r="V40" s="1952"/>
      <c r="X40" s="2099"/>
      <c r="Y40" s="1712"/>
      <c r="Z40" s="2119">
        <f t="shared" si="2"/>
        <v>0</v>
      </c>
      <c r="AA40" s="2119">
        <f t="shared" si="3"/>
        <v>0</v>
      </c>
      <c r="AB40" s="2119"/>
      <c r="AC40" s="2119"/>
    </row>
    <row r="41" spans="1:29" s="1942" customFormat="1" ht="13" outlineLevel="3">
      <c r="A41" s="1944"/>
      <c r="B41" s="2120" t="s">
        <v>1657</v>
      </c>
      <c r="C41" s="2121"/>
      <c r="D41" s="1995" t="s">
        <v>3400</v>
      </c>
      <c r="E41" s="1996" t="s">
        <v>3401</v>
      </c>
      <c r="F41" s="1462" t="s">
        <v>3402</v>
      </c>
      <c r="G41" s="1953" t="s">
        <v>4122</v>
      </c>
      <c r="H41" s="1975" t="s">
        <v>10</v>
      </c>
      <c r="I41" s="1712">
        <f t="shared" si="12"/>
        <v>1058.93</v>
      </c>
      <c r="J41" s="2099"/>
      <c r="K41" s="1950" t="s">
        <v>101</v>
      </c>
      <c r="L41" s="1947" t="s">
        <v>10</v>
      </c>
      <c r="M41" s="1754">
        <f t="shared" si="4"/>
        <v>0</v>
      </c>
      <c r="N41" s="2126"/>
      <c r="O41" s="1712">
        <f t="shared" si="13"/>
        <v>0</v>
      </c>
      <c r="P41" s="1712">
        <f t="shared" si="14"/>
        <v>0</v>
      </c>
      <c r="Q41" s="1712">
        <f t="shared" si="15"/>
        <v>0</v>
      </c>
      <c r="R41" s="1757">
        <v>0.09</v>
      </c>
      <c r="S41" s="1712">
        <f t="shared" si="16"/>
        <v>0</v>
      </c>
      <c r="T41" s="1712">
        <f t="shared" si="0"/>
        <v>0</v>
      </c>
      <c r="U41" s="1712">
        <f t="shared" si="1"/>
        <v>0</v>
      </c>
      <c r="V41" s="1952"/>
      <c r="X41" s="2099"/>
      <c r="Y41" s="2126"/>
      <c r="Z41" s="2119">
        <f t="shared" si="2"/>
        <v>0</v>
      </c>
      <c r="AA41" s="2119">
        <f t="shared" si="3"/>
        <v>0</v>
      </c>
      <c r="AB41" s="2119"/>
      <c r="AC41" s="2119"/>
    </row>
    <row r="42" spans="1:29" s="1942" customFormat="1" ht="13" outlineLevel="3">
      <c r="A42" s="1944"/>
      <c r="B42" s="2120" t="s">
        <v>1659</v>
      </c>
      <c r="C42" s="2121"/>
      <c r="D42" s="1995" t="s">
        <v>3403</v>
      </c>
      <c r="E42" s="1996" t="s">
        <v>3404</v>
      </c>
      <c r="F42" s="1462" t="s">
        <v>3342</v>
      </c>
      <c r="G42" s="1953" t="s">
        <v>4116</v>
      </c>
      <c r="H42" s="1975" t="s">
        <v>10</v>
      </c>
      <c r="I42" s="1712">
        <f t="shared" si="12"/>
        <v>1058.93</v>
      </c>
      <c r="J42" s="2099">
        <v>1</v>
      </c>
      <c r="K42" s="1950" t="s">
        <v>101</v>
      </c>
      <c r="L42" s="1947" t="s">
        <v>10</v>
      </c>
      <c r="M42" s="1754">
        <f t="shared" si="4"/>
        <v>1058.93</v>
      </c>
      <c r="N42" s="1712"/>
      <c r="O42" s="1712">
        <f t="shared" si="13"/>
        <v>0</v>
      </c>
      <c r="P42" s="1712">
        <f t="shared" si="14"/>
        <v>0</v>
      </c>
      <c r="Q42" s="1712">
        <f t="shared" si="15"/>
        <v>0</v>
      </c>
      <c r="R42" s="1757">
        <v>0.09</v>
      </c>
      <c r="S42" s="1712">
        <f t="shared" si="16"/>
        <v>0</v>
      </c>
      <c r="T42" s="1712">
        <f t="shared" si="0"/>
        <v>0</v>
      </c>
      <c r="U42" s="1712">
        <f t="shared" si="1"/>
        <v>0</v>
      </c>
      <c r="V42" s="1952"/>
      <c r="X42" s="2099">
        <v>1</v>
      </c>
      <c r="Y42" s="2003">
        <v>150</v>
      </c>
      <c r="Z42" s="2119">
        <f t="shared" si="2"/>
        <v>0</v>
      </c>
      <c r="AA42" s="2119">
        <f t="shared" si="3"/>
        <v>-150</v>
      </c>
      <c r="AB42" s="2119"/>
      <c r="AC42" s="2119"/>
    </row>
    <row r="43" spans="1:29" s="1942" customFormat="1" ht="13" outlineLevel="3">
      <c r="A43" s="1944"/>
      <c r="B43" s="2120" t="s">
        <v>1497</v>
      </c>
      <c r="C43" s="2121"/>
      <c r="D43" s="1995" t="s">
        <v>3405</v>
      </c>
      <c r="E43" s="1996"/>
      <c r="F43" s="1462" t="s">
        <v>1424</v>
      </c>
      <c r="G43" s="1953" t="s">
        <v>4123</v>
      </c>
      <c r="H43" s="1975" t="s">
        <v>10</v>
      </c>
      <c r="I43" s="1712">
        <f t="shared" si="12"/>
        <v>1058.93</v>
      </c>
      <c r="J43" s="2099"/>
      <c r="K43" s="1950" t="s">
        <v>101</v>
      </c>
      <c r="L43" s="1947" t="s">
        <v>10</v>
      </c>
      <c r="M43" s="1754">
        <f t="shared" si="4"/>
        <v>0</v>
      </c>
      <c r="N43" s="1712"/>
      <c r="O43" s="1712">
        <f t="shared" si="13"/>
        <v>0</v>
      </c>
      <c r="P43" s="1712">
        <f t="shared" si="14"/>
        <v>0</v>
      </c>
      <c r="Q43" s="1712">
        <f t="shared" si="15"/>
        <v>0</v>
      </c>
      <c r="R43" s="1757">
        <v>0.06</v>
      </c>
      <c r="S43" s="1712">
        <f t="shared" si="16"/>
        <v>0</v>
      </c>
      <c r="T43" s="1712">
        <f t="shared" si="0"/>
        <v>0</v>
      </c>
      <c r="U43" s="1712">
        <f t="shared" si="1"/>
        <v>0</v>
      </c>
      <c r="V43" s="1952"/>
      <c r="X43" s="2099"/>
      <c r="Y43" s="1712"/>
      <c r="Z43" s="2119">
        <f t="shared" si="2"/>
        <v>0</v>
      </c>
      <c r="AA43" s="2119">
        <f t="shared" si="3"/>
        <v>0</v>
      </c>
      <c r="AB43" s="2119"/>
      <c r="AC43" s="2119"/>
    </row>
    <row r="44" spans="1:29" s="1942" customFormat="1" ht="13" outlineLevel="2">
      <c r="A44" s="1944"/>
      <c r="B44" s="2117" t="s">
        <v>3406</v>
      </c>
      <c r="C44" s="2121"/>
      <c r="D44" s="1995" t="s">
        <v>3407</v>
      </c>
      <c r="E44" s="1996" t="s">
        <v>3408</v>
      </c>
      <c r="F44" s="1462" t="s">
        <v>3342</v>
      </c>
      <c r="G44" s="1953" t="s">
        <v>4116</v>
      </c>
      <c r="H44" s="1975" t="s">
        <v>10</v>
      </c>
      <c r="I44" s="1712">
        <f t="shared" si="12"/>
        <v>1058.93</v>
      </c>
      <c r="J44" s="2099"/>
      <c r="K44" s="1950" t="s">
        <v>101</v>
      </c>
      <c r="L44" s="1947" t="s">
        <v>10</v>
      </c>
      <c r="M44" s="1754">
        <f t="shared" si="4"/>
        <v>0</v>
      </c>
      <c r="N44" s="1712"/>
      <c r="O44" s="1712">
        <f t="shared" si="13"/>
        <v>0</v>
      </c>
      <c r="P44" s="1712">
        <f t="shared" si="14"/>
        <v>0</v>
      </c>
      <c r="Q44" s="1712">
        <f t="shared" si="15"/>
        <v>0</v>
      </c>
      <c r="R44" s="1757">
        <v>0.09</v>
      </c>
      <c r="S44" s="1712">
        <f t="shared" si="16"/>
        <v>0</v>
      </c>
      <c r="T44" s="1712">
        <f t="shared" si="0"/>
        <v>0</v>
      </c>
      <c r="U44" s="1712">
        <f t="shared" si="1"/>
        <v>0</v>
      </c>
      <c r="V44" s="1952"/>
      <c r="X44" s="2099"/>
      <c r="Y44" s="1712"/>
      <c r="Z44" s="2119">
        <f t="shared" si="2"/>
        <v>0</v>
      </c>
      <c r="AA44" s="2119">
        <f t="shared" si="3"/>
        <v>0</v>
      </c>
      <c r="AB44" s="2119"/>
      <c r="AC44" s="2119"/>
    </row>
    <row r="45" spans="1:29" outlineLevel="1">
      <c r="A45" s="1898"/>
      <c r="B45" s="2114" t="s">
        <v>490</v>
      </c>
      <c r="C45" s="2115">
        <v>2</v>
      </c>
      <c r="D45" s="1966" t="s">
        <v>491</v>
      </c>
      <c r="E45" s="1967"/>
      <c r="F45" s="1968"/>
      <c r="G45" s="2007" t="s">
        <v>4117</v>
      </c>
      <c r="H45" s="1967"/>
      <c r="I45" s="1969"/>
      <c r="J45" s="2116"/>
      <c r="K45" s="1971"/>
      <c r="L45" s="1967"/>
      <c r="M45" s="1972"/>
      <c r="N45" s="1973"/>
      <c r="O45" s="1973">
        <f>SUBTOTAL(9,O46:O99)</f>
        <v>41.202445999999973</v>
      </c>
      <c r="P45" s="1973"/>
      <c r="Q45" s="1973">
        <f>SUBTOTAL(9,Q46:Q99)</f>
        <v>37.450922999999989</v>
      </c>
      <c r="R45" s="1973"/>
      <c r="S45" s="1973">
        <f>SUBTOTAL(9,S46:S99)</f>
        <v>3.7515229999999979</v>
      </c>
      <c r="T45" s="1973">
        <f t="shared" si="0"/>
        <v>353.66759842482492</v>
      </c>
      <c r="U45" s="1973">
        <f t="shared" si="1"/>
        <v>389.09508654963003</v>
      </c>
      <c r="V45" s="1974"/>
      <c r="X45" s="2116"/>
      <c r="Y45" s="1973"/>
      <c r="Z45" s="2119">
        <f t="shared" si="2"/>
        <v>0</v>
      </c>
      <c r="AA45" s="2119">
        <f t="shared" si="3"/>
        <v>0</v>
      </c>
    </row>
    <row r="46" spans="1:29" s="1942" customFormat="1" ht="13" outlineLevel="2">
      <c r="A46" s="1944"/>
      <c r="B46" s="2117" t="s">
        <v>661</v>
      </c>
      <c r="C46" s="2118"/>
      <c r="D46" s="1945" t="s">
        <v>3409</v>
      </c>
      <c r="E46" s="1946"/>
      <c r="F46" s="1462"/>
      <c r="G46" s="1953" t="s">
        <v>4117</v>
      </c>
      <c r="H46" s="1947"/>
      <c r="I46" s="1948"/>
      <c r="J46" s="2099"/>
      <c r="K46" s="1950"/>
      <c r="L46" s="1947"/>
      <c r="M46" s="1754"/>
      <c r="N46" s="1712"/>
      <c r="O46" s="1712">
        <f>SUBTOTAL(9,O47:O55)</f>
        <v>8.7891189999999995</v>
      </c>
      <c r="P46" s="1983"/>
      <c r="Q46" s="1712">
        <f>SUBTOTAL(9,Q47:Q55)</f>
        <v>8.0118279999999995</v>
      </c>
      <c r="R46" s="1757"/>
      <c r="S46" s="1712">
        <f>SUBTOTAL(9,S47:S55)</f>
        <v>0.77729099999999973</v>
      </c>
      <c r="T46" s="1712">
        <f t="shared" si="0"/>
        <v>75.659656445657404</v>
      </c>
      <c r="U46" s="1712">
        <f t="shared" si="1"/>
        <v>82.999999999999986</v>
      </c>
      <c r="V46" s="1952"/>
      <c r="X46" s="2099"/>
      <c r="Y46" s="1712"/>
      <c r="Z46" s="2119">
        <f t="shared" si="2"/>
        <v>0</v>
      </c>
      <c r="AA46" s="2119">
        <f t="shared" si="3"/>
        <v>0</v>
      </c>
      <c r="AB46" s="2119"/>
      <c r="AC46" s="2119"/>
    </row>
    <row r="47" spans="1:29" s="1942" customFormat="1" ht="13" outlineLevel="3">
      <c r="A47" s="1944"/>
      <c r="B47" s="2120" t="s">
        <v>662</v>
      </c>
      <c r="C47" s="2121"/>
      <c r="D47" s="1979" t="s">
        <v>3410</v>
      </c>
      <c r="E47" s="1980" t="s">
        <v>3411</v>
      </c>
      <c r="F47" s="1462" t="s">
        <v>3342</v>
      </c>
      <c r="G47" s="1953" t="s">
        <v>4116</v>
      </c>
      <c r="H47" s="1975" t="s">
        <v>10</v>
      </c>
      <c r="I47" s="1712">
        <f>$E$5</f>
        <v>1058.93</v>
      </c>
      <c r="J47" s="2099">
        <v>1</v>
      </c>
      <c r="K47" s="1950" t="s">
        <v>101</v>
      </c>
      <c r="L47" s="1947" t="s">
        <v>10</v>
      </c>
      <c r="M47" s="1754">
        <f>ROUND(I47,2)*ROUND(J47,4)</f>
        <v>1058.93</v>
      </c>
      <c r="N47" s="1712">
        <v>35</v>
      </c>
      <c r="O47" s="1712">
        <f>ROUND(M47*ROUND(N47,2)/10000,6)</f>
        <v>3.7062550000000001</v>
      </c>
      <c r="P47" s="1712">
        <f>IFERROR(ROUND(Q47*10000/M47,2),0)</f>
        <v>32.11</v>
      </c>
      <c r="Q47" s="1712">
        <f>ROUND(O47/(1+R47),6)</f>
        <v>3.4002340000000002</v>
      </c>
      <c r="R47" s="1757">
        <v>0.09</v>
      </c>
      <c r="S47" s="1712">
        <f>O47-Q47</f>
        <v>0.30602099999999988</v>
      </c>
      <c r="T47" s="1712">
        <f t="shared" si="0"/>
        <v>32.110092262944676</v>
      </c>
      <c r="U47" s="1712">
        <f t="shared" si="1"/>
        <v>35</v>
      </c>
      <c r="V47" s="1952"/>
      <c r="X47" s="2099">
        <v>1</v>
      </c>
      <c r="Y47" s="1712">
        <v>12</v>
      </c>
      <c r="Z47" s="2119">
        <f t="shared" si="2"/>
        <v>0</v>
      </c>
      <c r="AA47" s="2119">
        <f t="shared" si="3"/>
        <v>23</v>
      </c>
      <c r="AB47" s="2119"/>
      <c r="AC47" s="2119"/>
    </row>
    <row r="48" spans="1:29" s="1942" customFormat="1" ht="13" outlineLevel="3">
      <c r="A48" s="1944"/>
      <c r="B48" s="2120" t="s">
        <v>664</v>
      </c>
      <c r="C48" s="2121"/>
      <c r="D48" s="2008" t="s">
        <v>3412</v>
      </c>
      <c r="E48" s="2009" t="s">
        <v>3413</v>
      </c>
      <c r="F48" s="1462" t="s">
        <v>3342</v>
      </c>
      <c r="G48" s="1953" t="s">
        <v>4116</v>
      </c>
      <c r="H48" s="1975" t="s">
        <v>10</v>
      </c>
      <c r="I48" s="1712">
        <f>$E$5</f>
        <v>1058.93</v>
      </c>
      <c r="J48" s="2099">
        <v>1</v>
      </c>
      <c r="K48" s="1950" t="s">
        <v>101</v>
      </c>
      <c r="L48" s="1947" t="s">
        <v>10</v>
      </c>
      <c r="M48" s="1754">
        <f>ROUND(I48,2)*ROUND(J48,4)</f>
        <v>1058.93</v>
      </c>
      <c r="N48" s="1712">
        <v>15</v>
      </c>
      <c r="O48" s="1712">
        <f>ROUND(M48*ROUND(N48,2)/10000,6)</f>
        <v>1.588395</v>
      </c>
      <c r="P48" s="1712">
        <f>IFERROR(ROUND(Q48*10000/M48,2),0)</f>
        <v>13.76</v>
      </c>
      <c r="Q48" s="1712">
        <f>ROUND(O48/(1+R48),6)</f>
        <v>1.4572430000000001</v>
      </c>
      <c r="R48" s="1757">
        <v>0.09</v>
      </c>
      <c r="S48" s="1712">
        <f>O48-Q48</f>
        <v>0.13115199999999994</v>
      </c>
      <c r="T48" s="1712">
        <f t="shared" si="0"/>
        <v>13.761466763619881</v>
      </c>
      <c r="U48" s="1712">
        <f t="shared" si="1"/>
        <v>15</v>
      </c>
      <c r="V48" s="1952"/>
      <c r="X48" s="2099">
        <v>1</v>
      </c>
      <c r="Y48" s="1712">
        <v>5</v>
      </c>
      <c r="Z48" s="2119">
        <f t="shared" si="2"/>
        <v>0</v>
      </c>
      <c r="AA48" s="2119">
        <f t="shared" si="3"/>
        <v>10</v>
      </c>
      <c r="AB48" s="2119"/>
      <c r="AC48" s="2119"/>
    </row>
    <row r="49" spans="1:29" s="1942" customFormat="1" ht="13" outlineLevel="3">
      <c r="A49" s="1944"/>
      <c r="B49" s="2120" t="s">
        <v>665</v>
      </c>
      <c r="C49" s="2121"/>
      <c r="D49" s="2008" t="s">
        <v>3414</v>
      </c>
      <c r="E49" s="2009" t="s">
        <v>3415</v>
      </c>
      <c r="F49" s="1462"/>
      <c r="G49" s="1953" t="s">
        <v>4117</v>
      </c>
      <c r="H49" s="1975"/>
      <c r="I49" s="1948"/>
      <c r="J49" s="2099"/>
      <c r="K49" s="1950" t="s">
        <v>101</v>
      </c>
      <c r="L49" s="1947" t="s">
        <v>10</v>
      </c>
      <c r="M49" s="1754"/>
      <c r="N49" s="1712"/>
      <c r="O49" s="1712">
        <f>SUBTOTAL(9,O50:O51)</f>
        <v>1.588395</v>
      </c>
      <c r="P49" s="1983"/>
      <c r="Q49" s="1712">
        <f>SUBTOTAL(9,Q50:Q51)</f>
        <v>1.4572430000000001</v>
      </c>
      <c r="R49" s="1757"/>
      <c r="S49" s="1712">
        <f>SUBTOTAL(9,S50:S51)</f>
        <v>0.13115199999999994</v>
      </c>
      <c r="T49" s="1712">
        <f t="shared" si="0"/>
        <v>13.761466763619881</v>
      </c>
      <c r="U49" s="1712">
        <f t="shared" si="1"/>
        <v>15</v>
      </c>
      <c r="V49" s="1952"/>
      <c r="X49" s="2099"/>
      <c r="Y49" s="1712"/>
      <c r="Z49" s="2119">
        <f t="shared" si="2"/>
        <v>0</v>
      </c>
      <c r="AA49" s="2119">
        <f t="shared" si="3"/>
        <v>0</v>
      </c>
      <c r="AB49" s="2119"/>
      <c r="AC49" s="2119"/>
    </row>
    <row r="50" spans="1:29" s="1942" customFormat="1" ht="13" outlineLevel="4">
      <c r="A50" s="1944"/>
      <c r="B50" s="2122" t="s">
        <v>1666</v>
      </c>
      <c r="C50" s="2123"/>
      <c r="D50" s="2010" t="s">
        <v>4036</v>
      </c>
      <c r="E50" s="2011"/>
      <c r="F50" s="1988" t="s">
        <v>3342</v>
      </c>
      <c r="G50" s="1989" t="s">
        <v>4116</v>
      </c>
      <c r="H50" s="2012" t="s">
        <v>10</v>
      </c>
      <c r="I50" s="1991">
        <f>$E$5</f>
        <v>1058.93</v>
      </c>
      <c r="J50" s="2124">
        <v>1</v>
      </c>
      <c r="K50" s="2000" t="s">
        <v>101</v>
      </c>
      <c r="L50" s="1990" t="s">
        <v>10</v>
      </c>
      <c r="M50" s="1991">
        <f t="shared" ref="M50:M57" si="17">ROUND(I50,2)*ROUND(J50,4)</f>
        <v>1058.93</v>
      </c>
      <c r="N50" s="1991">
        <v>15</v>
      </c>
      <c r="O50" s="1991">
        <f t="shared" ref="O50:O55" si="18">ROUND(M50*ROUND(N50,2)/10000,6)</f>
        <v>1.588395</v>
      </c>
      <c r="P50" s="1991">
        <f t="shared" ref="P50:P55" si="19">IFERROR(ROUND(Q50*10000/M50,2),0)</f>
        <v>13.76</v>
      </c>
      <c r="Q50" s="1991">
        <f t="shared" ref="Q50:Q55" si="20">ROUND(O50/(1+R50),6)</f>
        <v>1.4572430000000001</v>
      </c>
      <c r="R50" s="1993">
        <v>0.09</v>
      </c>
      <c r="S50" s="1991">
        <f t="shared" ref="S50:S55" si="21">O50-Q50</f>
        <v>0.13115199999999994</v>
      </c>
      <c r="T50" s="1991">
        <f t="shared" si="0"/>
        <v>13.761466763619881</v>
      </c>
      <c r="U50" s="1991">
        <f t="shared" si="1"/>
        <v>15</v>
      </c>
      <c r="V50" s="1994"/>
      <c r="X50" s="2124">
        <v>1</v>
      </c>
      <c r="Y50" s="1991">
        <v>5</v>
      </c>
      <c r="Z50" s="2119">
        <f t="shared" si="2"/>
        <v>0</v>
      </c>
      <c r="AA50" s="2119">
        <f t="shared" si="3"/>
        <v>10</v>
      </c>
      <c r="AB50" s="2119"/>
      <c r="AC50" s="2119"/>
    </row>
    <row r="51" spans="1:29" s="1942" customFormat="1" ht="13" outlineLevel="4">
      <c r="A51" s="1944"/>
      <c r="B51" s="2122" t="s">
        <v>1507</v>
      </c>
      <c r="C51" s="2123"/>
      <c r="D51" s="2013" t="s">
        <v>4037</v>
      </c>
      <c r="E51" s="2011"/>
      <c r="F51" s="1988" t="s">
        <v>3833</v>
      </c>
      <c r="G51" s="1989" t="s">
        <v>4124</v>
      </c>
      <c r="H51" s="2012" t="s">
        <v>10</v>
      </c>
      <c r="I51" s="1991">
        <f>$E$5</f>
        <v>1058.93</v>
      </c>
      <c r="J51" s="2124">
        <v>1</v>
      </c>
      <c r="K51" s="2000" t="s">
        <v>101</v>
      </c>
      <c r="L51" s="1990" t="s">
        <v>10</v>
      </c>
      <c r="M51" s="1991">
        <f t="shared" si="17"/>
        <v>1058.93</v>
      </c>
      <c r="N51" s="1991"/>
      <c r="O51" s="1991">
        <f t="shared" si="18"/>
        <v>0</v>
      </c>
      <c r="P51" s="1991">
        <f t="shared" si="19"/>
        <v>0</v>
      </c>
      <c r="Q51" s="1991">
        <f t="shared" si="20"/>
        <v>0</v>
      </c>
      <c r="R51" s="1993">
        <v>0.13</v>
      </c>
      <c r="S51" s="1991">
        <f t="shared" si="21"/>
        <v>0</v>
      </c>
      <c r="T51" s="1991">
        <f t="shared" si="0"/>
        <v>0</v>
      </c>
      <c r="U51" s="1991">
        <f t="shared" si="1"/>
        <v>0</v>
      </c>
      <c r="V51" s="1994"/>
      <c r="X51" s="2124">
        <v>1</v>
      </c>
      <c r="Y51" s="1991"/>
      <c r="Z51" s="2119">
        <f t="shared" si="2"/>
        <v>0</v>
      </c>
      <c r="AA51" s="2119">
        <f t="shared" si="3"/>
        <v>0</v>
      </c>
      <c r="AB51" s="2119"/>
      <c r="AC51" s="2119"/>
    </row>
    <row r="52" spans="1:29" s="1942" customFormat="1" ht="13" outlineLevel="3">
      <c r="A52" s="1944"/>
      <c r="B52" s="2120" t="s">
        <v>666</v>
      </c>
      <c r="C52" s="2121"/>
      <c r="D52" s="2008" t="s">
        <v>3416</v>
      </c>
      <c r="E52" s="2009" t="s">
        <v>3417</v>
      </c>
      <c r="F52" s="1462" t="s">
        <v>3418</v>
      </c>
      <c r="G52" s="1953" t="s">
        <v>4125</v>
      </c>
      <c r="H52" s="1975" t="s">
        <v>3926</v>
      </c>
      <c r="I52" s="1712">
        <f>$G$7</f>
        <v>33</v>
      </c>
      <c r="J52" s="2099">
        <v>1</v>
      </c>
      <c r="K52" s="1950" t="s">
        <v>3947</v>
      </c>
      <c r="L52" s="1947" t="s">
        <v>3926</v>
      </c>
      <c r="M52" s="1754">
        <f t="shared" si="17"/>
        <v>33</v>
      </c>
      <c r="N52" s="1712"/>
      <c r="O52" s="1712">
        <f t="shared" si="18"/>
        <v>0</v>
      </c>
      <c r="P52" s="1712">
        <f t="shared" si="19"/>
        <v>0</v>
      </c>
      <c r="Q52" s="1712">
        <f t="shared" si="20"/>
        <v>0</v>
      </c>
      <c r="R52" s="1757">
        <v>0.13</v>
      </c>
      <c r="S52" s="1712">
        <f t="shared" si="21"/>
        <v>0</v>
      </c>
      <c r="T52" s="1712">
        <f t="shared" si="0"/>
        <v>0</v>
      </c>
      <c r="U52" s="1712">
        <f t="shared" si="1"/>
        <v>0</v>
      </c>
      <c r="V52" s="1952"/>
      <c r="X52" s="2099">
        <v>1</v>
      </c>
      <c r="Y52" s="1712"/>
      <c r="Z52" s="2119">
        <f t="shared" si="2"/>
        <v>0</v>
      </c>
      <c r="AA52" s="2119">
        <f t="shared" si="3"/>
        <v>0</v>
      </c>
      <c r="AB52" s="2119"/>
      <c r="AC52" s="2119"/>
    </row>
    <row r="53" spans="1:29" s="1942" customFormat="1" ht="13" outlineLevel="3">
      <c r="A53" s="1944"/>
      <c r="B53" s="2120" t="s">
        <v>3419</v>
      </c>
      <c r="C53" s="2121"/>
      <c r="D53" s="2008" t="s">
        <v>3420</v>
      </c>
      <c r="E53" s="2009" t="s">
        <v>3421</v>
      </c>
      <c r="F53" s="1462" t="s">
        <v>3422</v>
      </c>
      <c r="G53" s="1953" t="s">
        <v>4126</v>
      </c>
      <c r="H53" s="1975" t="s">
        <v>10</v>
      </c>
      <c r="I53" s="1712">
        <f>$E$5</f>
        <v>1058.93</v>
      </c>
      <c r="J53" s="2099">
        <v>1</v>
      </c>
      <c r="K53" s="1950" t="s">
        <v>101</v>
      </c>
      <c r="L53" s="1947" t="s">
        <v>10</v>
      </c>
      <c r="M53" s="1754">
        <f t="shared" si="17"/>
        <v>1058.93</v>
      </c>
      <c r="N53" s="1712">
        <v>15</v>
      </c>
      <c r="O53" s="1712">
        <f t="shared" si="18"/>
        <v>1.588395</v>
      </c>
      <c r="P53" s="1712">
        <f t="shared" si="19"/>
        <v>13.27</v>
      </c>
      <c r="Q53" s="1712">
        <f t="shared" si="20"/>
        <v>1.405659</v>
      </c>
      <c r="R53" s="1757">
        <v>0.13</v>
      </c>
      <c r="S53" s="1712">
        <f t="shared" si="21"/>
        <v>0.18273600000000001</v>
      </c>
      <c r="T53" s="1712">
        <f t="shared" si="0"/>
        <v>13.274333525351061</v>
      </c>
      <c r="U53" s="1712">
        <f t="shared" si="1"/>
        <v>15</v>
      </c>
      <c r="V53" s="1952"/>
      <c r="X53" s="2099">
        <v>1</v>
      </c>
      <c r="Y53" s="1712">
        <v>20</v>
      </c>
      <c r="Z53" s="2119">
        <f t="shared" si="2"/>
        <v>0</v>
      </c>
      <c r="AA53" s="2119">
        <f t="shared" si="3"/>
        <v>-5</v>
      </c>
      <c r="AB53" s="2119"/>
      <c r="AC53" s="2119"/>
    </row>
    <row r="54" spans="1:29" s="1942" customFormat="1" ht="13" outlineLevel="3">
      <c r="A54" s="1944"/>
      <c r="B54" s="2120" t="s">
        <v>3423</v>
      </c>
      <c r="C54" s="2121"/>
      <c r="D54" s="2008" t="s">
        <v>3424</v>
      </c>
      <c r="E54" s="2009" t="s">
        <v>3425</v>
      </c>
      <c r="F54" s="1462" t="s">
        <v>3342</v>
      </c>
      <c r="G54" s="1953" t="s">
        <v>4116</v>
      </c>
      <c r="H54" s="1975" t="s">
        <v>10</v>
      </c>
      <c r="I54" s="1712">
        <f t="shared" ref="I54:I66" si="22">$E$5</f>
        <v>1058.93</v>
      </c>
      <c r="J54" s="2099">
        <v>1</v>
      </c>
      <c r="K54" s="1950" t="s">
        <v>101</v>
      </c>
      <c r="L54" s="1947" t="s">
        <v>10</v>
      </c>
      <c r="M54" s="1754">
        <f t="shared" si="17"/>
        <v>1058.93</v>
      </c>
      <c r="N54" s="1712">
        <v>3</v>
      </c>
      <c r="O54" s="1712">
        <f t="shared" si="18"/>
        <v>0.31767899999999999</v>
      </c>
      <c r="P54" s="1712">
        <f t="shared" si="19"/>
        <v>2.75</v>
      </c>
      <c r="Q54" s="1712">
        <f t="shared" si="20"/>
        <v>0.29144900000000001</v>
      </c>
      <c r="R54" s="1757">
        <v>0.09</v>
      </c>
      <c r="S54" s="1712">
        <f t="shared" si="21"/>
        <v>2.6229999999999976E-2</v>
      </c>
      <c r="T54" s="1712">
        <f t="shared" si="0"/>
        <v>2.7522971301219155</v>
      </c>
      <c r="U54" s="1712">
        <f t="shared" si="1"/>
        <v>3</v>
      </c>
      <c r="V54" s="1952"/>
      <c r="X54" s="2099">
        <v>1</v>
      </c>
      <c r="Y54" s="1712">
        <v>3</v>
      </c>
      <c r="Z54" s="2119">
        <f t="shared" si="2"/>
        <v>0</v>
      </c>
      <c r="AA54" s="2119">
        <f t="shared" si="3"/>
        <v>0</v>
      </c>
      <c r="AB54" s="2119"/>
      <c r="AC54" s="2119"/>
    </row>
    <row r="55" spans="1:29" s="1942" customFormat="1" ht="13" outlineLevel="3">
      <c r="A55" s="1944"/>
      <c r="B55" s="2120" t="s">
        <v>3426</v>
      </c>
      <c r="C55" s="2121"/>
      <c r="D55" s="2008" t="s">
        <v>3427</v>
      </c>
      <c r="E55" s="2009" t="s">
        <v>3428</v>
      </c>
      <c r="F55" s="1462" t="s">
        <v>3342</v>
      </c>
      <c r="G55" s="1953" t="s">
        <v>4116</v>
      </c>
      <c r="H55" s="1975" t="s">
        <v>10</v>
      </c>
      <c r="I55" s="1712">
        <f t="shared" si="22"/>
        <v>1058.93</v>
      </c>
      <c r="J55" s="2099"/>
      <c r="K55" s="1950" t="s">
        <v>101</v>
      </c>
      <c r="L55" s="1947" t="s">
        <v>10</v>
      </c>
      <c r="M55" s="1754">
        <f t="shared" si="17"/>
        <v>0</v>
      </c>
      <c r="N55" s="1712"/>
      <c r="O55" s="1712">
        <f t="shared" si="18"/>
        <v>0</v>
      </c>
      <c r="P55" s="1712">
        <f t="shared" si="19"/>
        <v>0</v>
      </c>
      <c r="Q55" s="1712">
        <f t="shared" si="20"/>
        <v>0</v>
      </c>
      <c r="R55" s="1757">
        <v>0.13</v>
      </c>
      <c r="S55" s="1712">
        <f t="shared" si="21"/>
        <v>0</v>
      </c>
      <c r="T55" s="1712">
        <f t="shared" si="0"/>
        <v>0</v>
      </c>
      <c r="U55" s="1712">
        <f t="shared" si="1"/>
        <v>0</v>
      </c>
      <c r="V55" s="2015"/>
      <c r="X55" s="2099"/>
      <c r="Y55" s="1712"/>
      <c r="Z55" s="2119">
        <f t="shared" si="2"/>
        <v>0</v>
      </c>
      <c r="AA55" s="2119">
        <f t="shared" si="3"/>
        <v>0</v>
      </c>
      <c r="AB55" s="2119"/>
      <c r="AC55" s="2119"/>
    </row>
    <row r="56" spans="1:29" s="1942" customFormat="1" ht="13" outlineLevel="2">
      <c r="A56" s="1944"/>
      <c r="B56" s="2117" t="s">
        <v>670</v>
      </c>
      <c r="C56" s="2118"/>
      <c r="D56" s="1945" t="s">
        <v>3429</v>
      </c>
      <c r="E56" s="1946"/>
      <c r="F56" s="1462"/>
      <c r="G56" s="1953" t="s">
        <v>4117</v>
      </c>
      <c r="H56" s="1947"/>
      <c r="I56" s="1948"/>
      <c r="J56" s="2099"/>
      <c r="K56" s="1950"/>
      <c r="L56" s="1947"/>
      <c r="M56" s="1754"/>
      <c r="N56" s="1712"/>
      <c r="O56" s="1712">
        <f>SUBTOTAL(9,O57:O70)</f>
        <v>22.023491999999997</v>
      </c>
      <c r="P56" s="1983"/>
      <c r="Q56" s="1712">
        <f>SUBTOTAL(9,Q57:Q70)</f>
        <v>19.952244</v>
      </c>
      <c r="R56" s="1757"/>
      <c r="S56" s="1712">
        <f>SUBTOTAL(9,S57:S70)</f>
        <v>2.0712479999999984</v>
      </c>
      <c r="T56" s="1712">
        <f t="shared" si="0"/>
        <v>188.41891343148271</v>
      </c>
      <c r="U56" s="1712">
        <f t="shared" si="1"/>
        <v>207.97873324960099</v>
      </c>
      <c r="V56" s="1952"/>
      <c r="X56" s="2099"/>
      <c r="Y56" s="1712"/>
      <c r="Z56" s="2119">
        <f t="shared" si="2"/>
        <v>0</v>
      </c>
      <c r="AA56" s="2119">
        <f t="shared" si="3"/>
        <v>0</v>
      </c>
      <c r="AB56" s="2119"/>
      <c r="AC56" s="2119"/>
    </row>
    <row r="57" spans="1:29" s="1942" customFormat="1" ht="13" outlineLevel="3">
      <c r="A57" s="1944"/>
      <c r="B57" s="2120" t="s">
        <v>671</v>
      </c>
      <c r="C57" s="2121"/>
      <c r="D57" s="2008" t="s">
        <v>3430</v>
      </c>
      <c r="E57" s="2009" t="s">
        <v>3431</v>
      </c>
      <c r="F57" s="1462" t="s">
        <v>3342</v>
      </c>
      <c r="G57" s="1953" t="s">
        <v>4116</v>
      </c>
      <c r="H57" s="1975" t="s">
        <v>10</v>
      </c>
      <c r="I57" s="1712">
        <f t="shared" si="22"/>
        <v>1058.93</v>
      </c>
      <c r="J57" s="2099">
        <v>1</v>
      </c>
      <c r="K57" s="1950" t="s">
        <v>101</v>
      </c>
      <c r="L57" s="1947" t="s">
        <v>10</v>
      </c>
      <c r="M57" s="1754">
        <f t="shared" si="17"/>
        <v>1058.93</v>
      </c>
      <c r="N57" s="1712">
        <v>54</v>
      </c>
      <c r="O57" s="1712">
        <f>ROUND(M57*ROUND(N57,2)/10000,6)</f>
        <v>5.7182219999999999</v>
      </c>
      <c r="P57" s="1712">
        <f>IFERROR(ROUND(Q57*10000/M57,2),0)</f>
        <v>49.54</v>
      </c>
      <c r="Q57" s="1712">
        <f>ROUND(O57/(1+R57),6)</f>
        <v>5.2460750000000003</v>
      </c>
      <c r="R57" s="1757">
        <v>0.09</v>
      </c>
      <c r="S57" s="1712">
        <f>O57-Q57</f>
        <v>0.47214699999999965</v>
      </c>
      <c r="T57" s="1712">
        <f t="shared" si="0"/>
        <v>49.541282237730535</v>
      </c>
      <c r="U57" s="1712">
        <f t="shared" si="1"/>
        <v>54</v>
      </c>
      <c r="V57" s="1952"/>
      <c r="X57" s="2099">
        <v>1</v>
      </c>
      <c r="Y57" s="1712">
        <v>25</v>
      </c>
      <c r="Z57" s="2119">
        <f t="shared" si="2"/>
        <v>0</v>
      </c>
      <c r="AA57" s="2119">
        <f t="shared" si="3"/>
        <v>29</v>
      </c>
      <c r="AB57" s="2119"/>
      <c r="AC57" s="2119"/>
    </row>
    <row r="58" spans="1:29" s="1942" customFormat="1" ht="13" outlineLevel="3">
      <c r="A58" s="1944"/>
      <c r="B58" s="2120" t="s">
        <v>672</v>
      </c>
      <c r="C58" s="2121"/>
      <c r="D58" s="2008" t="s">
        <v>3432</v>
      </c>
      <c r="E58" s="2009" t="s">
        <v>3433</v>
      </c>
      <c r="F58" s="1462"/>
      <c r="G58" s="1953" t="s">
        <v>4117</v>
      </c>
      <c r="H58" s="1975"/>
      <c r="I58" s="1712"/>
      <c r="J58" s="2099"/>
      <c r="K58" s="1950" t="s">
        <v>101</v>
      </c>
      <c r="L58" s="1947" t="s">
        <v>10</v>
      </c>
      <c r="M58" s="1754"/>
      <c r="N58" s="1712"/>
      <c r="O58" s="1712">
        <f>SUBTOTAL(9,O59:O60)</f>
        <v>5.6123289999999999</v>
      </c>
      <c r="P58" s="1983"/>
      <c r="Q58" s="1712">
        <f>SUBTOTAL(9,Q59:Q60)</f>
        <v>5.1489260000000003</v>
      </c>
      <c r="R58" s="1757"/>
      <c r="S58" s="1712">
        <f>SUBTOTAL(9,S59:S60)</f>
        <v>0.46340299999999957</v>
      </c>
      <c r="T58" s="1712">
        <f t="shared" si="0"/>
        <v>48.623856156686465</v>
      </c>
      <c r="U58" s="1712">
        <f t="shared" si="1"/>
        <v>53</v>
      </c>
      <c r="V58" s="1952"/>
      <c r="X58" s="2099"/>
      <c r="Y58" s="1712"/>
      <c r="Z58" s="2119">
        <f t="shared" si="2"/>
        <v>0</v>
      </c>
      <c r="AA58" s="2119">
        <f t="shared" si="3"/>
        <v>0</v>
      </c>
      <c r="AB58" s="2119"/>
      <c r="AC58" s="2119"/>
    </row>
    <row r="59" spans="1:29" s="1942" customFormat="1" ht="13" outlineLevel="4">
      <c r="A59" s="1944"/>
      <c r="B59" s="2122" t="s">
        <v>1680</v>
      </c>
      <c r="C59" s="2123"/>
      <c r="D59" s="2013" t="s">
        <v>4038</v>
      </c>
      <c r="E59" s="2011"/>
      <c r="F59" s="1988" t="s">
        <v>3342</v>
      </c>
      <c r="G59" s="1989" t="s">
        <v>4116</v>
      </c>
      <c r="H59" s="2012" t="s">
        <v>10</v>
      </c>
      <c r="I59" s="1991">
        <f>$E$5</f>
        <v>1058.93</v>
      </c>
      <c r="J59" s="2124">
        <v>1</v>
      </c>
      <c r="K59" s="2000" t="s">
        <v>101</v>
      </c>
      <c r="L59" s="1990" t="s">
        <v>10</v>
      </c>
      <c r="M59" s="1991">
        <f t="shared" ref="M59:M70" si="23">ROUND(I59,2)*ROUND(J59,4)</f>
        <v>1058.93</v>
      </c>
      <c r="N59" s="1991">
        <v>53</v>
      </c>
      <c r="O59" s="1991">
        <f t="shared" ref="O59:O70" si="24">ROUND(M59*ROUND(N59,2)/10000,6)</f>
        <v>5.6123289999999999</v>
      </c>
      <c r="P59" s="1991">
        <f t="shared" ref="P59:P70" si="25">IFERROR(ROUND(Q59*10000/M59,2),0)</f>
        <v>48.62</v>
      </c>
      <c r="Q59" s="1991">
        <f t="shared" ref="Q59:Q70" si="26">ROUND(O59/(1+R59),6)</f>
        <v>5.1489260000000003</v>
      </c>
      <c r="R59" s="1993">
        <v>0.09</v>
      </c>
      <c r="S59" s="1991">
        <f t="shared" ref="S59:S70" si="27">O59-Q59</f>
        <v>0.46340299999999957</v>
      </c>
      <c r="T59" s="1991">
        <f t="shared" si="0"/>
        <v>48.623856156686465</v>
      </c>
      <c r="U59" s="1991">
        <f t="shared" si="1"/>
        <v>53</v>
      </c>
      <c r="V59" s="1994"/>
      <c r="X59" s="2124">
        <v>1</v>
      </c>
      <c r="Y59" s="1991">
        <v>40</v>
      </c>
      <c r="Z59" s="2119">
        <f t="shared" si="2"/>
        <v>0</v>
      </c>
      <c r="AA59" s="2119">
        <f t="shared" si="3"/>
        <v>13</v>
      </c>
      <c r="AB59" s="2119"/>
      <c r="AC59" s="2119"/>
    </row>
    <row r="60" spans="1:29" s="1942" customFormat="1" ht="13" outlineLevel="4">
      <c r="A60" s="1944"/>
      <c r="B60" s="2122" t="s">
        <v>1529</v>
      </c>
      <c r="C60" s="2123"/>
      <c r="D60" s="2013" t="s">
        <v>4039</v>
      </c>
      <c r="E60" s="2011"/>
      <c r="F60" s="1988" t="s">
        <v>3556</v>
      </c>
      <c r="G60" s="1989" t="s">
        <v>4127</v>
      </c>
      <c r="H60" s="2012" t="s">
        <v>10</v>
      </c>
      <c r="I60" s="1991">
        <f>$E$5</f>
        <v>1058.93</v>
      </c>
      <c r="J60" s="2124">
        <v>1</v>
      </c>
      <c r="K60" s="2000" t="s">
        <v>101</v>
      </c>
      <c r="L60" s="1990" t="s">
        <v>10</v>
      </c>
      <c r="M60" s="1991">
        <f t="shared" si="23"/>
        <v>1058.93</v>
      </c>
      <c r="N60" s="1991"/>
      <c r="O60" s="1991">
        <f t="shared" si="24"/>
        <v>0</v>
      </c>
      <c r="P60" s="1991">
        <f t="shared" si="25"/>
        <v>0</v>
      </c>
      <c r="Q60" s="1991">
        <f t="shared" si="26"/>
        <v>0</v>
      </c>
      <c r="R60" s="1993">
        <v>0.13</v>
      </c>
      <c r="S60" s="1991">
        <f t="shared" si="27"/>
        <v>0</v>
      </c>
      <c r="T60" s="1991">
        <f t="shared" si="0"/>
        <v>0</v>
      </c>
      <c r="U60" s="1991">
        <f t="shared" si="1"/>
        <v>0</v>
      </c>
      <c r="V60" s="1994"/>
      <c r="X60" s="2124">
        <v>1</v>
      </c>
      <c r="Y60" s="1991"/>
      <c r="Z60" s="2119">
        <f t="shared" si="2"/>
        <v>0</v>
      </c>
      <c r="AA60" s="2119">
        <f t="shared" si="3"/>
        <v>0</v>
      </c>
      <c r="AB60" s="2119"/>
      <c r="AC60" s="2119"/>
    </row>
    <row r="61" spans="1:29" s="1942" customFormat="1" ht="13" outlineLevel="3">
      <c r="A61" s="1944"/>
      <c r="B61" s="2120" t="s">
        <v>673</v>
      </c>
      <c r="C61" s="2121"/>
      <c r="D61" s="2008" t="s">
        <v>3434</v>
      </c>
      <c r="E61" s="2009" t="s">
        <v>3435</v>
      </c>
      <c r="F61" s="1462" t="s">
        <v>3342</v>
      </c>
      <c r="G61" s="1953" t="s">
        <v>4116</v>
      </c>
      <c r="H61" s="1975" t="s">
        <v>10</v>
      </c>
      <c r="I61" s="1712">
        <f t="shared" si="22"/>
        <v>1058.93</v>
      </c>
      <c r="J61" s="2099">
        <v>1</v>
      </c>
      <c r="K61" s="1950" t="s">
        <v>101</v>
      </c>
      <c r="L61" s="1947" t="s">
        <v>10</v>
      </c>
      <c r="M61" s="1754">
        <f t="shared" si="23"/>
        <v>1058.93</v>
      </c>
      <c r="N61" s="1712">
        <v>3</v>
      </c>
      <c r="O61" s="1712">
        <f t="shared" si="24"/>
        <v>0.31767899999999999</v>
      </c>
      <c r="P61" s="1712">
        <f t="shared" si="25"/>
        <v>2.75</v>
      </c>
      <c r="Q61" s="1712">
        <f t="shared" si="26"/>
        <v>0.29144900000000001</v>
      </c>
      <c r="R61" s="1757">
        <v>0.09</v>
      </c>
      <c r="S61" s="1712">
        <f t="shared" si="27"/>
        <v>2.6229999999999976E-2</v>
      </c>
      <c r="T61" s="1712">
        <f t="shared" si="0"/>
        <v>2.7522971301219155</v>
      </c>
      <c r="U61" s="1712">
        <f t="shared" si="1"/>
        <v>3</v>
      </c>
      <c r="V61" s="1952"/>
      <c r="X61" s="2099">
        <v>1</v>
      </c>
      <c r="Y61" s="1712"/>
      <c r="Z61" s="2119">
        <f t="shared" si="2"/>
        <v>0</v>
      </c>
      <c r="AA61" s="2119">
        <f t="shared" si="3"/>
        <v>3</v>
      </c>
      <c r="AB61" s="2119"/>
      <c r="AC61" s="2119"/>
    </row>
    <row r="62" spans="1:29" s="1942" customFormat="1" ht="13" outlineLevel="3">
      <c r="A62" s="1944"/>
      <c r="B62" s="2120" t="s">
        <v>1785</v>
      </c>
      <c r="C62" s="2121"/>
      <c r="D62" s="2008" t="s">
        <v>3436</v>
      </c>
      <c r="E62" s="2009" t="s">
        <v>3437</v>
      </c>
      <c r="F62" s="1462" t="s">
        <v>3342</v>
      </c>
      <c r="G62" s="1953" t="s">
        <v>4116</v>
      </c>
      <c r="H62" s="1975" t="s">
        <v>10</v>
      </c>
      <c r="I62" s="1712">
        <f t="shared" si="22"/>
        <v>1058.93</v>
      </c>
      <c r="J62" s="2099">
        <v>1</v>
      </c>
      <c r="K62" s="1950" t="s">
        <v>101</v>
      </c>
      <c r="L62" s="1947" t="s">
        <v>10</v>
      </c>
      <c r="M62" s="1754">
        <f t="shared" si="23"/>
        <v>1058.93</v>
      </c>
      <c r="N62" s="1712">
        <v>5</v>
      </c>
      <c r="O62" s="1712">
        <f t="shared" si="24"/>
        <v>0.52946499999999996</v>
      </c>
      <c r="P62" s="1712">
        <f t="shared" si="25"/>
        <v>4.59</v>
      </c>
      <c r="Q62" s="1712">
        <f t="shared" si="26"/>
        <v>0.48574800000000001</v>
      </c>
      <c r="R62" s="1757">
        <v>0.09</v>
      </c>
      <c r="S62" s="1712">
        <f t="shared" si="27"/>
        <v>4.371699999999995E-2</v>
      </c>
      <c r="T62" s="1712">
        <f t="shared" si="0"/>
        <v>4.58715873570491</v>
      </c>
      <c r="U62" s="1712">
        <f t="shared" si="1"/>
        <v>4.9999999999999991</v>
      </c>
      <c r="V62" s="1952"/>
      <c r="X62" s="2099">
        <v>1</v>
      </c>
      <c r="Y62" s="1712"/>
      <c r="Z62" s="2119">
        <f t="shared" si="2"/>
        <v>0</v>
      </c>
      <c r="AA62" s="2119">
        <f t="shared" si="3"/>
        <v>5</v>
      </c>
      <c r="AB62" s="2119"/>
      <c r="AC62" s="2119"/>
    </row>
    <row r="63" spans="1:29" s="1942" customFormat="1" ht="13" outlineLevel="3">
      <c r="A63" s="1944"/>
      <c r="B63" s="2120" t="s">
        <v>674</v>
      </c>
      <c r="C63" s="2121"/>
      <c r="D63" s="2008" t="s">
        <v>3438</v>
      </c>
      <c r="E63" s="2009" t="s">
        <v>3439</v>
      </c>
      <c r="F63" s="1462" t="s">
        <v>455</v>
      </c>
      <c r="G63" s="1953" t="s">
        <v>4128</v>
      </c>
      <c r="H63" s="1975" t="s">
        <v>10</v>
      </c>
      <c r="I63" s="1712">
        <f t="shared" si="22"/>
        <v>1058.93</v>
      </c>
      <c r="J63" s="2099">
        <v>1</v>
      </c>
      <c r="K63" s="1950" t="s">
        <v>101</v>
      </c>
      <c r="L63" s="1947" t="s">
        <v>10</v>
      </c>
      <c r="M63" s="1754">
        <f t="shared" si="23"/>
        <v>1058.93</v>
      </c>
      <c r="N63" s="1712">
        <v>3.89</v>
      </c>
      <c r="O63" s="1712">
        <f t="shared" si="24"/>
        <v>0.41192400000000001</v>
      </c>
      <c r="P63" s="1712">
        <f t="shared" si="25"/>
        <v>3.57</v>
      </c>
      <c r="Q63" s="1712">
        <f t="shared" si="26"/>
        <v>0.37791200000000003</v>
      </c>
      <c r="R63" s="1757">
        <v>0.09</v>
      </c>
      <c r="S63" s="1712">
        <f t="shared" si="27"/>
        <v>3.4011999999999987E-2</v>
      </c>
      <c r="T63" s="1712">
        <f t="shared" si="0"/>
        <v>3.5688100252141313</v>
      </c>
      <c r="U63" s="1712">
        <f t="shared" si="1"/>
        <v>3.8900021720038147</v>
      </c>
      <c r="V63" s="1952"/>
      <c r="X63" s="2099">
        <v>1</v>
      </c>
      <c r="Y63" s="1712"/>
      <c r="Z63" s="2119">
        <f t="shared" si="2"/>
        <v>0</v>
      </c>
      <c r="AA63" s="2119">
        <f t="shared" si="3"/>
        <v>3.89</v>
      </c>
      <c r="AB63" s="2119"/>
      <c r="AC63" s="2119"/>
    </row>
    <row r="64" spans="1:29" s="1942" customFormat="1" ht="13" outlineLevel="3">
      <c r="A64" s="1944"/>
      <c r="B64" s="2120" t="s">
        <v>3440</v>
      </c>
      <c r="C64" s="2121"/>
      <c r="D64" s="2008" t="s">
        <v>3441</v>
      </c>
      <c r="E64" s="2009" t="s">
        <v>3442</v>
      </c>
      <c r="F64" s="1462" t="s">
        <v>454</v>
      </c>
      <c r="G64" s="1953" t="s">
        <v>4129</v>
      </c>
      <c r="H64" s="1975" t="s">
        <v>10</v>
      </c>
      <c r="I64" s="1712">
        <f t="shared" si="22"/>
        <v>1058.93</v>
      </c>
      <c r="J64" s="2099">
        <v>1</v>
      </c>
      <c r="K64" s="1950" t="s">
        <v>101</v>
      </c>
      <c r="L64" s="1947" t="s">
        <v>10</v>
      </c>
      <c r="M64" s="1754">
        <f t="shared" si="23"/>
        <v>1058.93</v>
      </c>
      <c r="N64" s="1712">
        <v>40</v>
      </c>
      <c r="O64" s="1712">
        <f t="shared" si="24"/>
        <v>4.2357199999999997</v>
      </c>
      <c r="P64" s="1712">
        <f t="shared" si="25"/>
        <v>35.4</v>
      </c>
      <c r="Q64" s="1712">
        <f t="shared" si="26"/>
        <v>3.7484250000000001</v>
      </c>
      <c r="R64" s="1757">
        <v>0.13</v>
      </c>
      <c r="S64" s="1712">
        <f t="shared" si="27"/>
        <v>0.48729499999999959</v>
      </c>
      <c r="T64" s="1712">
        <f t="shared" si="0"/>
        <v>35.398232177764342</v>
      </c>
      <c r="U64" s="1712">
        <f t="shared" si="1"/>
        <v>39.999999999999993</v>
      </c>
      <c r="V64" s="2015"/>
      <c r="X64" s="2099">
        <v>1</v>
      </c>
      <c r="Y64" s="1712">
        <v>29.25</v>
      </c>
      <c r="Z64" s="2119">
        <f t="shared" si="2"/>
        <v>0</v>
      </c>
      <c r="AA64" s="2119">
        <f t="shared" si="3"/>
        <v>10.75</v>
      </c>
      <c r="AB64" s="2119"/>
      <c r="AC64" s="2119"/>
    </row>
    <row r="65" spans="1:29" s="1942" customFormat="1" ht="13" outlineLevel="3">
      <c r="A65" s="1944"/>
      <c r="B65" s="2120" t="s">
        <v>3443</v>
      </c>
      <c r="C65" s="2121"/>
      <c r="D65" s="2008" t="s">
        <v>3444</v>
      </c>
      <c r="E65" s="2009" t="s">
        <v>3445</v>
      </c>
      <c r="F65" s="1462" t="s">
        <v>1671</v>
      </c>
      <c r="G65" s="1953" t="s">
        <v>4130</v>
      </c>
      <c r="H65" s="1975" t="s">
        <v>10</v>
      </c>
      <c r="I65" s="1712">
        <f t="shared" si="22"/>
        <v>1058.93</v>
      </c>
      <c r="J65" s="2099">
        <v>1</v>
      </c>
      <c r="K65" s="1950" t="s">
        <v>101</v>
      </c>
      <c r="L65" s="1947" t="s">
        <v>10</v>
      </c>
      <c r="M65" s="1754">
        <f t="shared" si="23"/>
        <v>1058.93</v>
      </c>
      <c r="N65" s="1712">
        <v>20</v>
      </c>
      <c r="O65" s="1712">
        <f t="shared" si="24"/>
        <v>2.1178599999999999</v>
      </c>
      <c r="P65" s="1712">
        <f t="shared" si="25"/>
        <v>17.7</v>
      </c>
      <c r="Q65" s="1712">
        <f t="shared" si="26"/>
        <v>1.874212</v>
      </c>
      <c r="R65" s="1757">
        <v>0.13</v>
      </c>
      <c r="S65" s="1712">
        <f t="shared" si="27"/>
        <v>0.24364799999999986</v>
      </c>
      <c r="T65" s="1712">
        <f t="shared" si="0"/>
        <v>17.699111367134748</v>
      </c>
      <c r="U65" s="1712">
        <f t="shared" si="1"/>
        <v>19.999999999999996</v>
      </c>
      <c r="V65" s="2015"/>
      <c r="X65" s="2099">
        <v>1</v>
      </c>
      <c r="Y65" s="1712">
        <v>20</v>
      </c>
      <c r="Z65" s="2119">
        <f t="shared" si="2"/>
        <v>0</v>
      </c>
      <c r="AA65" s="2119">
        <f t="shared" si="3"/>
        <v>0</v>
      </c>
      <c r="AB65" s="2119"/>
      <c r="AC65" s="2119"/>
    </row>
    <row r="66" spans="1:29" s="1942" customFormat="1" ht="13" outlineLevel="3">
      <c r="A66" s="1944"/>
      <c r="B66" s="2120" t="s">
        <v>3446</v>
      </c>
      <c r="C66" s="2121"/>
      <c r="D66" s="2008" t="s">
        <v>3447</v>
      </c>
      <c r="E66" s="2009" t="s">
        <v>3448</v>
      </c>
      <c r="F66" s="1462" t="s">
        <v>3422</v>
      </c>
      <c r="G66" s="1953" t="s">
        <v>4126</v>
      </c>
      <c r="H66" s="1975" t="s">
        <v>10</v>
      </c>
      <c r="I66" s="1712">
        <f t="shared" si="22"/>
        <v>1058.93</v>
      </c>
      <c r="J66" s="2099">
        <v>1</v>
      </c>
      <c r="K66" s="1950" t="s">
        <v>101</v>
      </c>
      <c r="L66" s="1947" t="s">
        <v>10</v>
      </c>
      <c r="M66" s="1754">
        <f t="shared" si="23"/>
        <v>1058.93</v>
      </c>
      <c r="N66" s="1712">
        <v>10</v>
      </c>
      <c r="O66" s="1712">
        <f t="shared" si="24"/>
        <v>1.0589299999999999</v>
      </c>
      <c r="P66" s="1712">
        <f t="shared" si="25"/>
        <v>8.85</v>
      </c>
      <c r="Q66" s="1712">
        <f t="shared" si="26"/>
        <v>0.93710599999999999</v>
      </c>
      <c r="R66" s="1757">
        <v>0.13</v>
      </c>
      <c r="S66" s="1712">
        <f t="shared" si="27"/>
        <v>0.12182399999999993</v>
      </c>
      <c r="T66" s="1712">
        <f t="shared" si="0"/>
        <v>8.8495556835673739</v>
      </c>
      <c r="U66" s="1712">
        <f t="shared" si="1"/>
        <v>9.9999999999999982</v>
      </c>
      <c r="V66" s="2015"/>
      <c r="X66" s="2099">
        <v>1</v>
      </c>
      <c r="Y66" s="1712">
        <v>5</v>
      </c>
      <c r="Z66" s="2119">
        <f t="shared" si="2"/>
        <v>0</v>
      </c>
      <c r="AA66" s="2119">
        <f t="shared" si="3"/>
        <v>5</v>
      </c>
      <c r="AB66" s="2119"/>
      <c r="AC66" s="2119"/>
    </row>
    <row r="67" spans="1:29" s="1942" customFormat="1" ht="13" outlineLevel="3">
      <c r="A67" s="1944"/>
      <c r="B67" s="2120" t="s">
        <v>3449</v>
      </c>
      <c r="C67" s="2121"/>
      <c r="D67" s="2008" t="s">
        <v>3450</v>
      </c>
      <c r="E67" s="2009" t="s">
        <v>3451</v>
      </c>
      <c r="F67" s="1462" t="s">
        <v>1307</v>
      </c>
      <c r="G67" s="1953" t="s">
        <v>4131</v>
      </c>
      <c r="H67" s="1947" t="s">
        <v>3926</v>
      </c>
      <c r="I67" s="1712">
        <f>$G$7</f>
        <v>33</v>
      </c>
      <c r="J67" s="2099">
        <v>1</v>
      </c>
      <c r="K67" s="1950" t="s">
        <v>3947</v>
      </c>
      <c r="L67" s="1947" t="s">
        <v>3926</v>
      </c>
      <c r="M67" s="1754">
        <f t="shared" si="23"/>
        <v>33</v>
      </c>
      <c r="N67" s="1712">
        <v>0</v>
      </c>
      <c r="O67" s="1712">
        <f t="shared" si="24"/>
        <v>0</v>
      </c>
      <c r="P67" s="1712">
        <f t="shared" si="25"/>
        <v>0</v>
      </c>
      <c r="Q67" s="1712">
        <f t="shared" si="26"/>
        <v>0</v>
      </c>
      <c r="R67" s="1757">
        <v>0.13</v>
      </c>
      <c r="S67" s="1712">
        <f t="shared" si="27"/>
        <v>0</v>
      </c>
      <c r="T67" s="1712">
        <f t="shared" si="0"/>
        <v>0</v>
      </c>
      <c r="U67" s="1712">
        <f t="shared" si="1"/>
        <v>0</v>
      </c>
      <c r="V67" s="1952"/>
      <c r="X67" s="2099">
        <v>1</v>
      </c>
      <c r="Y67" s="1712">
        <v>0</v>
      </c>
      <c r="Z67" s="2119">
        <f t="shared" si="2"/>
        <v>0</v>
      </c>
      <c r="AA67" s="2119">
        <f t="shared" si="3"/>
        <v>0</v>
      </c>
      <c r="AB67" s="2119"/>
      <c r="AC67" s="2119"/>
    </row>
    <row r="68" spans="1:29" s="1942" customFormat="1" ht="13" outlineLevel="3">
      <c r="A68" s="1944"/>
      <c r="B68" s="2120" t="s">
        <v>3452</v>
      </c>
      <c r="C68" s="2121"/>
      <c r="D68" s="2008" t="s">
        <v>3453</v>
      </c>
      <c r="E68" s="2009" t="s">
        <v>3454</v>
      </c>
      <c r="F68" s="1462" t="s">
        <v>1329</v>
      </c>
      <c r="G68" s="1953" t="s">
        <v>4132</v>
      </c>
      <c r="H68" s="1947" t="s">
        <v>10</v>
      </c>
      <c r="I68" s="1712">
        <f>$E$5</f>
        <v>1058.93</v>
      </c>
      <c r="J68" s="2099">
        <v>1</v>
      </c>
      <c r="K68" s="1950" t="s">
        <v>101</v>
      </c>
      <c r="L68" s="1947" t="s">
        <v>10</v>
      </c>
      <c r="M68" s="1754">
        <f t="shared" si="23"/>
        <v>1058.93</v>
      </c>
      <c r="N68" s="1712">
        <v>3.51</v>
      </c>
      <c r="O68" s="1712">
        <f t="shared" si="24"/>
        <v>0.37168400000000001</v>
      </c>
      <c r="P68" s="1712">
        <f t="shared" si="25"/>
        <v>3.11</v>
      </c>
      <c r="Q68" s="1712">
        <f t="shared" si="26"/>
        <v>0.32892399999999999</v>
      </c>
      <c r="R68" s="1757">
        <v>0.13</v>
      </c>
      <c r="S68" s="1712">
        <f t="shared" si="27"/>
        <v>4.276000000000002E-2</v>
      </c>
      <c r="T68" s="1712">
        <f t="shared" si="0"/>
        <v>3.1061920995722092</v>
      </c>
      <c r="U68" s="1712">
        <f t="shared" si="1"/>
        <v>3.5099959392972151</v>
      </c>
      <c r="V68" s="2015"/>
      <c r="X68" s="2099">
        <v>1</v>
      </c>
      <c r="Y68" s="1712">
        <v>3.51</v>
      </c>
      <c r="Z68" s="2119">
        <f t="shared" si="2"/>
        <v>0</v>
      </c>
      <c r="AA68" s="2119">
        <f t="shared" si="3"/>
        <v>0</v>
      </c>
      <c r="AB68" s="2119"/>
      <c r="AC68" s="2119"/>
    </row>
    <row r="69" spans="1:29" s="1942" customFormat="1" ht="13" outlineLevel="3">
      <c r="A69" s="1944"/>
      <c r="B69" s="2120" t="s">
        <v>3455</v>
      </c>
      <c r="C69" s="2121"/>
      <c r="D69" s="2008" t="s">
        <v>3456</v>
      </c>
      <c r="E69" s="2009" t="s">
        <v>3457</v>
      </c>
      <c r="F69" s="1462" t="s">
        <v>3342</v>
      </c>
      <c r="G69" s="1953" t="s">
        <v>4116</v>
      </c>
      <c r="H69" s="1947" t="s">
        <v>107</v>
      </c>
      <c r="I69" s="1948">
        <f>$G$4</f>
        <v>1</v>
      </c>
      <c r="J69" s="2099">
        <v>4</v>
      </c>
      <c r="K69" s="2016" t="s">
        <v>4040</v>
      </c>
      <c r="L69" s="1947" t="s">
        <v>4041</v>
      </c>
      <c r="M69" s="1754">
        <f t="shared" si="23"/>
        <v>4</v>
      </c>
      <c r="N69" s="1712">
        <v>3330</v>
      </c>
      <c r="O69" s="1712">
        <f t="shared" si="24"/>
        <v>1.3320000000000001</v>
      </c>
      <c r="P69" s="1712">
        <f t="shared" si="25"/>
        <v>3055.05</v>
      </c>
      <c r="Q69" s="1712">
        <f t="shared" si="26"/>
        <v>1.222018</v>
      </c>
      <c r="R69" s="1757">
        <v>0.09</v>
      </c>
      <c r="S69" s="1712">
        <f t="shared" si="27"/>
        <v>0.10998200000000002</v>
      </c>
      <c r="T69" s="1712">
        <f t="shared" si="0"/>
        <v>11.540120687864164</v>
      </c>
      <c r="U69" s="1712">
        <f t="shared" si="1"/>
        <v>12.578735138299981</v>
      </c>
      <c r="V69" s="2015"/>
      <c r="X69" s="2099">
        <v>1</v>
      </c>
      <c r="Y69" s="1712"/>
      <c r="Z69" s="2119">
        <f t="shared" si="2"/>
        <v>3</v>
      </c>
      <c r="AA69" s="2119">
        <f t="shared" si="3"/>
        <v>3330</v>
      </c>
      <c r="AB69" s="2119"/>
      <c r="AC69" s="2119"/>
    </row>
    <row r="70" spans="1:29" s="1942" customFormat="1" ht="13" outlineLevel="3">
      <c r="A70" s="1944"/>
      <c r="B70" s="2120" t="s">
        <v>3458</v>
      </c>
      <c r="C70" s="2121"/>
      <c r="D70" s="2008" t="s">
        <v>3459</v>
      </c>
      <c r="E70" s="2009" t="s">
        <v>3460</v>
      </c>
      <c r="F70" s="1462" t="s">
        <v>3342</v>
      </c>
      <c r="G70" s="1953" t="s">
        <v>4116</v>
      </c>
      <c r="H70" s="1975" t="s">
        <v>10</v>
      </c>
      <c r="I70" s="1712">
        <f>$E$5</f>
        <v>1058.93</v>
      </c>
      <c r="J70" s="2099">
        <v>1</v>
      </c>
      <c r="K70" s="1950" t="s">
        <v>101</v>
      </c>
      <c r="L70" s="1947" t="s">
        <v>10</v>
      </c>
      <c r="M70" s="1754">
        <f t="shared" si="23"/>
        <v>1058.93</v>
      </c>
      <c r="N70" s="1712">
        <v>3</v>
      </c>
      <c r="O70" s="1712">
        <f t="shared" si="24"/>
        <v>0.31767899999999999</v>
      </c>
      <c r="P70" s="1712">
        <f t="shared" si="25"/>
        <v>2.75</v>
      </c>
      <c r="Q70" s="1712">
        <f t="shared" si="26"/>
        <v>0.29144900000000001</v>
      </c>
      <c r="R70" s="1757">
        <v>0.09</v>
      </c>
      <c r="S70" s="1712">
        <f t="shared" si="27"/>
        <v>2.6229999999999976E-2</v>
      </c>
      <c r="T70" s="1712">
        <f t="shared" si="0"/>
        <v>2.7522971301219155</v>
      </c>
      <c r="U70" s="1712">
        <f t="shared" si="1"/>
        <v>3</v>
      </c>
      <c r="V70" s="1952"/>
      <c r="X70" s="2099">
        <v>1</v>
      </c>
      <c r="Y70" s="1712">
        <v>2.34</v>
      </c>
      <c r="Z70" s="2119">
        <f t="shared" si="2"/>
        <v>0</v>
      </c>
      <c r="AA70" s="2119">
        <f t="shared" si="3"/>
        <v>0.66000000000000014</v>
      </c>
      <c r="AB70" s="2119"/>
      <c r="AC70" s="2119"/>
    </row>
    <row r="71" spans="1:29" s="1942" customFormat="1" ht="13" outlineLevel="2">
      <c r="A71" s="1944"/>
      <c r="B71" s="2120" t="s">
        <v>3461</v>
      </c>
      <c r="C71" s="2121"/>
      <c r="D71" s="2128"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f t="shared" si="0"/>
        <v>0</v>
      </c>
      <c r="U71" s="1712">
        <f t="shared" si="1"/>
        <v>0</v>
      </c>
      <c r="V71" s="2015"/>
      <c r="X71" s="2099"/>
      <c r="Y71" s="1712"/>
      <c r="Z71" s="2119">
        <f t="shared" si="2"/>
        <v>0</v>
      </c>
      <c r="AA71" s="2119">
        <f t="shared" si="3"/>
        <v>0</v>
      </c>
      <c r="AB71" s="2119"/>
      <c r="AC71" s="2119"/>
    </row>
    <row r="72" spans="1:29" s="1942" customFormat="1" ht="13" outlineLevel="3">
      <c r="A72" s="1944"/>
      <c r="B72" s="2120" t="s">
        <v>3462</v>
      </c>
      <c r="C72" s="2121"/>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f t="shared" si="0"/>
        <v>0</v>
      </c>
      <c r="U72" s="1712">
        <f t="shared" si="1"/>
        <v>0</v>
      </c>
      <c r="V72" s="1952"/>
      <c r="X72" s="2099">
        <v>1</v>
      </c>
      <c r="Y72" s="1712"/>
      <c r="Z72" s="2119">
        <f t="shared" si="2"/>
        <v>0</v>
      </c>
      <c r="AA72" s="2119">
        <f t="shared" si="3"/>
        <v>0</v>
      </c>
      <c r="AB72" s="2119"/>
      <c r="AC72" s="2119"/>
    </row>
    <row r="73" spans="1:29" s="1942" customFormat="1" ht="13" outlineLevel="4">
      <c r="A73" s="1944"/>
      <c r="B73" s="2122" t="s">
        <v>4042</v>
      </c>
      <c r="C73" s="2123"/>
      <c r="D73" s="2129" t="s">
        <v>4043</v>
      </c>
      <c r="E73" s="2011"/>
      <c r="F73" s="1988" t="s">
        <v>1502</v>
      </c>
      <c r="G73" s="1989" t="s">
        <v>4133</v>
      </c>
      <c r="H73" s="2012" t="s">
        <v>10</v>
      </c>
      <c r="I73" s="1991">
        <f>$E$5</f>
        <v>1058.93</v>
      </c>
      <c r="J73" s="2124">
        <v>1</v>
      </c>
      <c r="K73" s="2000" t="s">
        <v>101</v>
      </c>
      <c r="L73" s="1990" t="s">
        <v>10</v>
      </c>
      <c r="M73" s="1991">
        <f t="shared" ref="M73:M83" si="28">ROUND(I73,2)*ROUND(J73,4)</f>
        <v>1058.93</v>
      </c>
      <c r="N73" s="1991"/>
      <c r="O73" s="1991">
        <f>ROUND(M73*ROUND(N73,2)/10000,6)</f>
        <v>0</v>
      </c>
      <c r="P73" s="1991">
        <f>IFERROR(ROUND(Q73*10000/M73,2),0)</f>
        <v>0</v>
      </c>
      <c r="Q73" s="1991">
        <f>ROUND(O73/(1+R73),6)</f>
        <v>0</v>
      </c>
      <c r="R73" s="1993">
        <v>0.09</v>
      </c>
      <c r="S73" s="1991">
        <f>O73-Q73</f>
        <v>0</v>
      </c>
      <c r="T73" s="1991">
        <f t="shared" si="0"/>
        <v>0</v>
      </c>
      <c r="U73" s="1991">
        <f t="shared" si="1"/>
        <v>0</v>
      </c>
      <c r="V73" s="1994"/>
      <c r="X73" s="2124">
        <v>1</v>
      </c>
      <c r="Y73" s="1991"/>
      <c r="Z73" s="2119">
        <f t="shared" si="2"/>
        <v>0</v>
      </c>
      <c r="AA73" s="2119">
        <f t="shared" si="3"/>
        <v>0</v>
      </c>
      <c r="AB73" s="2119"/>
      <c r="AC73" s="2119"/>
    </row>
    <row r="74" spans="1:29" s="1942" customFormat="1" ht="13" outlineLevel="4">
      <c r="A74" s="1944"/>
      <c r="B74" s="2122" t="s">
        <v>4044</v>
      </c>
      <c r="C74" s="2123"/>
      <c r="D74" s="2129" t="s">
        <v>4045</v>
      </c>
      <c r="E74" s="2011"/>
      <c r="F74" s="1988" t="s">
        <v>1505</v>
      </c>
      <c r="G74" s="1989" t="s">
        <v>4134</v>
      </c>
      <c r="H74" s="2012" t="s">
        <v>3926</v>
      </c>
      <c r="I74" s="1991">
        <f>$G$7</f>
        <v>33</v>
      </c>
      <c r="J74" s="2124">
        <v>1</v>
      </c>
      <c r="K74" s="2000" t="s">
        <v>3947</v>
      </c>
      <c r="L74" s="1990" t="s">
        <v>3926</v>
      </c>
      <c r="M74" s="1991">
        <f t="shared" si="28"/>
        <v>33</v>
      </c>
      <c r="N74" s="1991"/>
      <c r="O74" s="1991">
        <f>ROUND(M74*ROUND(N74,2)/10000,6)</f>
        <v>0</v>
      </c>
      <c r="P74" s="1991">
        <f>IFERROR(ROUND(Q74*10000/M74,2),0)</f>
        <v>0</v>
      </c>
      <c r="Q74" s="1991">
        <f>ROUND(O74/(1+R74),6)</f>
        <v>0</v>
      </c>
      <c r="R74" s="1993">
        <v>0</v>
      </c>
      <c r="S74" s="1991">
        <f>O74-Q74</f>
        <v>0</v>
      </c>
      <c r="T74" s="1991">
        <f t="shared" si="0"/>
        <v>0</v>
      </c>
      <c r="U74" s="1991">
        <f t="shared" si="1"/>
        <v>0</v>
      </c>
      <c r="V74" s="1994"/>
      <c r="X74" s="2124">
        <v>1</v>
      </c>
      <c r="Y74" s="1991"/>
      <c r="Z74" s="2119">
        <f t="shared" si="2"/>
        <v>0</v>
      </c>
      <c r="AA74" s="2119">
        <f t="shared" si="3"/>
        <v>0</v>
      </c>
      <c r="AB74" s="2119"/>
      <c r="AC74" s="2119"/>
    </row>
    <row r="75" spans="1:29" s="1942" customFormat="1" ht="13" outlineLevel="3">
      <c r="A75" s="1944"/>
      <c r="B75" s="2120" t="s">
        <v>3465</v>
      </c>
      <c r="C75" s="2121"/>
      <c r="D75" s="2008" t="s">
        <v>3466</v>
      </c>
      <c r="E75" s="2009" t="s">
        <v>3467</v>
      </c>
      <c r="F75" s="1462" t="s">
        <v>1502</v>
      </c>
      <c r="G75" s="1953" t="s">
        <v>4133</v>
      </c>
      <c r="H75" s="1975" t="s">
        <v>10</v>
      </c>
      <c r="I75" s="1712">
        <f>$E$5</f>
        <v>1058.93</v>
      </c>
      <c r="J75" s="2099">
        <v>1</v>
      </c>
      <c r="K75" s="1950" t="s">
        <v>101</v>
      </c>
      <c r="L75" s="1947" t="s">
        <v>10</v>
      </c>
      <c r="M75" s="1754">
        <f t="shared" si="28"/>
        <v>1058.93</v>
      </c>
      <c r="N75" s="1712"/>
      <c r="O75" s="1712">
        <f>ROUND(M75*ROUND(N75,2)/10000,6)</f>
        <v>0</v>
      </c>
      <c r="P75" s="1712">
        <f>IFERROR(ROUND(Q75*10000/M75,2),0)</f>
        <v>0</v>
      </c>
      <c r="Q75" s="1712">
        <f>ROUND(O75/(1+R75),6)</f>
        <v>0</v>
      </c>
      <c r="R75" s="1757">
        <v>0.09</v>
      </c>
      <c r="S75" s="1712">
        <f>O75-Q75</f>
        <v>0</v>
      </c>
      <c r="T75" s="1712">
        <f t="shared" ref="T75:T138" si="29">IFERROR(Q75*10000/$E$6,"")</f>
        <v>0</v>
      </c>
      <c r="U75" s="1712">
        <f t="shared" ref="U75:U138" si="30">IFERROR(O75*10000/$E$6,"")</f>
        <v>0</v>
      </c>
      <c r="V75" s="1952"/>
      <c r="X75" s="2099">
        <v>1</v>
      </c>
      <c r="Y75" s="1712">
        <v>0</v>
      </c>
      <c r="Z75" s="2119">
        <f t="shared" si="2"/>
        <v>0</v>
      </c>
      <c r="AA75" s="2119">
        <f t="shared" si="3"/>
        <v>0</v>
      </c>
      <c r="AB75" s="2119"/>
      <c r="AC75" s="2119"/>
    </row>
    <row r="76" spans="1:29" s="1942" customFormat="1" ht="13" outlineLevel="2">
      <c r="A76" s="1944"/>
      <c r="B76" s="2120" t="s">
        <v>3468</v>
      </c>
      <c r="C76" s="2121"/>
      <c r="D76" s="2008" t="s">
        <v>668</v>
      </c>
      <c r="E76" s="2009" t="s">
        <v>3469</v>
      </c>
      <c r="F76" s="1462" t="s">
        <v>3470</v>
      </c>
      <c r="G76" s="1953" t="s">
        <v>4135</v>
      </c>
      <c r="H76" s="1975" t="s">
        <v>3926</v>
      </c>
      <c r="I76" s="1712">
        <f>$G$7</f>
        <v>33</v>
      </c>
      <c r="J76" s="2099">
        <v>1</v>
      </c>
      <c r="K76" s="1950" t="s">
        <v>3947</v>
      </c>
      <c r="L76" s="1947" t="s">
        <v>3926</v>
      </c>
      <c r="M76" s="1754">
        <f t="shared" si="28"/>
        <v>33</v>
      </c>
      <c r="N76" s="1712">
        <v>100</v>
      </c>
      <c r="O76" s="1712">
        <f>ROUND(M76*ROUND(N76,2)/10000,6)</f>
        <v>0.33</v>
      </c>
      <c r="P76" s="1712">
        <f>IFERROR(ROUND(Q76*10000/M76,2),0)</f>
        <v>88.5</v>
      </c>
      <c r="Q76" s="1712">
        <f>ROUND(O76/(1+R76),6)</f>
        <v>0.29203499999999999</v>
      </c>
      <c r="R76" s="1757">
        <v>0.13</v>
      </c>
      <c r="S76" s="1712">
        <f>O76-Q76</f>
        <v>3.7965000000000027E-2</v>
      </c>
      <c r="T76" s="1712">
        <f t="shared" si="29"/>
        <v>2.7578310181031793</v>
      </c>
      <c r="U76" s="1712">
        <f t="shared" si="30"/>
        <v>3.1163533000292745</v>
      </c>
      <c r="V76" s="1952"/>
      <c r="X76" s="2099">
        <v>1</v>
      </c>
      <c r="Y76" s="1712"/>
      <c r="Z76" s="2119">
        <f t="shared" si="2"/>
        <v>0</v>
      </c>
      <c r="AA76" s="2119">
        <f t="shared" si="3"/>
        <v>100</v>
      </c>
      <c r="AB76" s="2119"/>
      <c r="AC76" s="2119"/>
    </row>
    <row r="77" spans="1:29" s="1942" customFormat="1" ht="13" outlineLevel="2">
      <c r="A77" s="1944"/>
      <c r="B77" s="2120" t="s">
        <v>3471</v>
      </c>
      <c r="C77" s="2121"/>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f t="shared" si="29"/>
        <v>0</v>
      </c>
      <c r="U77" s="1712">
        <f t="shared" si="30"/>
        <v>0</v>
      </c>
      <c r="V77" s="2015"/>
      <c r="X77" s="2099"/>
      <c r="Y77" s="1712"/>
      <c r="Z77" s="2119">
        <f t="shared" si="2"/>
        <v>0</v>
      </c>
      <c r="AA77" s="2119">
        <f t="shared" si="3"/>
        <v>0</v>
      </c>
      <c r="AB77" s="2119"/>
      <c r="AC77" s="2119"/>
    </row>
    <row r="78" spans="1:29" s="1942" customFormat="1" ht="13" outlineLevel="3">
      <c r="A78" s="1944"/>
      <c r="B78" s="2120" t="s">
        <v>3473</v>
      </c>
      <c r="C78" s="2121"/>
      <c r="D78" s="2008" t="s">
        <v>3474</v>
      </c>
      <c r="E78" s="2009" t="s">
        <v>3475</v>
      </c>
      <c r="F78" s="1462" t="s">
        <v>456</v>
      </c>
      <c r="G78" s="1953" t="s">
        <v>4136</v>
      </c>
      <c r="H78" s="1947" t="s">
        <v>18</v>
      </c>
      <c r="I78" s="1948">
        <f>$G$5</f>
        <v>1</v>
      </c>
      <c r="J78" s="2099">
        <v>1</v>
      </c>
      <c r="K78" s="2016" t="s">
        <v>4046</v>
      </c>
      <c r="L78" s="1947" t="s">
        <v>4047</v>
      </c>
      <c r="M78" s="1754">
        <f t="shared" si="28"/>
        <v>1</v>
      </c>
      <c r="N78" s="1712"/>
      <c r="O78" s="1712">
        <f>ROUND(M78*ROUND(N78,2)/10000,6)</f>
        <v>0</v>
      </c>
      <c r="P78" s="1712">
        <f>IFERROR(ROUND(Q78*10000/M78,2),0)</f>
        <v>0</v>
      </c>
      <c r="Q78" s="1712">
        <f>ROUND(O78/(1+R78),6)</f>
        <v>0</v>
      </c>
      <c r="R78" s="1757">
        <v>0.13</v>
      </c>
      <c r="S78" s="1712">
        <f>O78-Q78</f>
        <v>0</v>
      </c>
      <c r="T78" s="1712">
        <f t="shared" si="29"/>
        <v>0</v>
      </c>
      <c r="U78" s="1712">
        <f t="shared" si="30"/>
        <v>0</v>
      </c>
      <c r="V78" s="1952"/>
      <c r="X78" s="2099">
        <v>1</v>
      </c>
      <c r="Y78" s="1712"/>
      <c r="Z78" s="2119">
        <f t="shared" ref="Z78:Z141" si="31">J78-X78</f>
        <v>0</v>
      </c>
      <c r="AA78" s="2119">
        <f t="shared" ref="AA78:AA141" si="32">N78-Y78</f>
        <v>0</v>
      </c>
      <c r="AB78" s="2119"/>
      <c r="AC78" s="2119"/>
    </row>
    <row r="79" spans="1:29" s="1942" customFormat="1" ht="13" outlineLevel="3">
      <c r="A79" s="1944"/>
      <c r="B79" s="2120" t="s">
        <v>3476</v>
      </c>
      <c r="C79" s="2121"/>
      <c r="D79" s="2008" t="s">
        <v>3477</v>
      </c>
      <c r="E79" s="2009" t="s">
        <v>3478</v>
      </c>
      <c r="F79" s="1462" t="s">
        <v>460</v>
      </c>
      <c r="G79" s="1953" t="s">
        <v>4137</v>
      </c>
      <c r="H79" s="1947" t="s">
        <v>18</v>
      </c>
      <c r="I79" s="1948">
        <f>$G$5</f>
        <v>1</v>
      </c>
      <c r="J79" s="2099">
        <v>1</v>
      </c>
      <c r="K79" s="2016" t="s">
        <v>4046</v>
      </c>
      <c r="L79" s="1947" t="s">
        <v>4047</v>
      </c>
      <c r="M79" s="1754">
        <f t="shared" si="28"/>
        <v>1</v>
      </c>
      <c r="N79" s="1712"/>
      <c r="O79" s="1712">
        <f>ROUND(M79*ROUND(N79,2)/10000,6)</f>
        <v>0</v>
      </c>
      <c r="P79" s="1712">
        <f>IFERROR(ROUND(Q79*10000/M79,2),0)</f>
        <v>0</v>
      </c>
      <c r="Q79" s="1712">
        <f>ROUND(O79/(1+R79),6)</f>
        <v>0</v>
      </c>
      <c r="R79" s="1757">
        <v>0.09</v>
      </c>
      <c r="S79" s="1712">
        <f>O79-Q79</f>
        <v>0</v>
      </c>
      <c r="T79" s="1712">
        <f t="shared" si="29"/>
        <v>0</v>
      </c>
      <c r="U79" s="1712">
        <f t="shared" si="30"/>
        <v>0</v>
      </c>
      <c r="V79" s="1952"/>
      <c r="X79" s="2099">
        <v>1</v>
      </c>
      <c r="Y79" s="1712"/>
      <c r="Z79" s="2119">
        <f t="shared" si="31"/>
        <v>0</v>
      </c>
      <c r="AA79" s="2119">
        <f t="shared" si="32"/>
        <v>0</v>
      </c>
      <c r="AB79" s="2119"/>
      <c r="AC79" s="2119"/>
    </row>
    <row r="80" spans="1:29" s="1942" customFormat="1" ht="13" outlineLevel="3">
      <c r="A80" s="1944"/>
      <c r="B80" s="2120" t="s">
        <v>3479</v>
      </c>
      <c r="C80" s="2121"/>
      <c r="D80" s="2008" t="s">
        <v>3480</v>
      </c>
      <c r="E80" s="2009" t="s">
        <v>3481</v>
      </c>
      <c r="F80" s="1462" t="s">
        <v>456</v>
      </c>
      <c r="G80" s="1953" t="s">
        <v>4136</v>
      </c>
      <c r="H80" s="1975" t="s">
        <v>3969</v>
      </c>
      <c r="I80" s="1948"/>
      <c r="J80" s="2099">
        <v>1</v>
      </c>
      <c r="K80" s="2016" t="s">
        <v>3974</v>
      </c>
      <c r="L80" s="1947" t="s">
        <v>4048</v>
      </c>
      <c r="M80" s="1754">
        <f t="shared" si="28"/>
        <v>0</v>
      </c>
      <c r="N80" s="1712"/>
      <c r="O80" s="1712">
        <f>ROUND(M80*ROUND(N80,2)/10000,6)</f>
        <v>0</v>
      </c>
      <c r="P80" s="1712">
        <f>IFERROR(ROUND(Q80*10000/M80,2),0)</f>
        <v>0</v>
      </c>
      <c r="Q80" s="1712">
        <f>ROUND(O80/(1+R80),6)</f>
        <v>0</v>
      </c>
      <c r="R80" s="1757">
        <v>0.13</v>
      </c>
      <c r="S80" s="1712">
        <f>O80-Q80</f>
        <v>0</v>
      </c>
      <c r="T80" s="1712">
        <f t="shared" si="29"/>
        <v>0</v>
      </c>
      <c r="U80" s="1712">
        <f t="shared" si="30"/>
        <v>0</v>
      </c>
      <c r="V80" s="2015"/>
      <c r="X80" s="2099">
        <v>1</v>
      </c>
      <c r="Y80" s="1712"/>
      <c r="Z80" s="2119">
        <f t="shared" si="31"/>
        <v>0</v>
      </c>
      <c r="AA80" s="2119">
        <f t="shared" si="32"/>
        <v>0</v>
      </c>
      <c r="AB80" s="2119"/>
      <c r="AC80" s="2119"/>
    </row>
    <row r="81" spans="1:29" s="1942" customFormat="1" ht="13" outlineLevel="3">
      <c r="A81" s="1944"/>
      <c r="B81" s="2120" t="s">
        <v>3482</v>
      </c>
      <c r="C81" s="2121"/>
      <c r="D81" s="2008" t="s">
        <v>1682</v>
      </c>
      <c r="E81" s="2009" t="s">
        <v>3483</v>
      </c>
      <c r="F81" s="1462" t="s">
        <v>460</v>
      </c>
      <c r="G81" s="1953" t="s">
        <v>4137</v>
      </c>
      <c r="H81" s="1975" t="s">
        <v>3969</v>
      </c>
      <c r="I81" s="1948"/>
      <c r="J81" s="2099">
        <v>1</v>
      </c>
      <c r="K81" s="2016" t="s">
        <v>3974</v>
      </c>
      <c r="L81" s="1947" t="s">
        <v>4048</v>
      </c>
      <c r="M81" s="1754">
        <f t="shared" si="28"/>
        <v>0</v>
      </c>
      <c r="N81" s="1712"/>
      <c r="O81" s="1712">
        <f>ROUND(M81*ROUND(N81,2)/10000,6)</f>
        <v>0</v>
      </c>
      <c r="P81" s="1712">
        <f>IFERROR(ROUND(Q81*10000/M81,2),0)</f>
        <v>0</v>
      </c>
      <c r="Q81" s="1712">
        <f>ROUND(O81/(1+R81),6)</f>
        <v>0</v>
      </c>
      <c r="R81" s="1757">
        <v>0.09</v>
      </c>
      <c r="S81" s="1712">
        <f>O81-Q81</f>
        <v>0</v>
      </c>
      <c r="T81" s="1712">
        <f t="shared" si="29"/>
        <v>0</v>
      </c>
      <c r="U81" s="1712">
        <f t="shared" si="30"/>
        <v>0</v>
      </c>
      <c r="V81" s="2015"/>
      <c r="X81" s="2099">
        <v>1</v>
      </c>
      <c r="Y81" s="1712"/>
      <c r="Z81" s="2119">
        <f t="shared" si="31"/>
        <v>0</v>
      </c>
      <c r="AA81" s="2119">
        <f t="shared" si="32"/>
        <v>0</v>
      </c>
      <c r="AB81" s="2119"/>
      <c r="AC81" s="2119"/>
    </row>
    <row r="82" spans="1:29" s="1942" customFormat="1" ht="13" outlineLevel="2">
      <c r="A82" s="1944"/>
      <c r="B82" s="2120" t="s">
        <v>3484</v>
      </c>
      <c r="C82" s="2121"/>
      <c r="D82" s="2008" t="s">
        <v>3485</v>
      </c>
      <c r="E82" s="2009"/>
      <c r="F82" s="1462"/>
      <c r="G82" s="1953" t="s">
        <v>4117</v>
      </c>
      <c r="H82" s="1947"/>
      <c r="I82" s="1948"/>
      <c r="J82" s="2099"/>
      <c r="K82" s="2016"/>
      <c r="L82" s="1947"/>
      <c r="M82" s="1950"/>
      <c r="N82" s="1712"/>
      <c r="O82" s="1712">
        <f>SUBTOTAL(9,O83:O93)</f>
        <v>9.0009049999999995</v>
      </c>
      <c r="P82" s="1712"/>
      <c r="Q82" s="1712">
        <f>SUBTOTAL(9,Q83:Q93)</f>
        <v>8.2233210000000003</v>
      </c>
      <c r="R82" s="1712"/>
      <c r="S82" s="1712">
        <f>SUBTOTAL(9,S83:S93)</f>
        <v>0.77758399999999961</v>
      </c>
      <c r="T82" s="1712">
        <f t="shared" si="29"/>
        <v>77.656889501666782</v>
      </c>
      <c r="U82" s="1712">
        <f t="shared" si="30"/>
        <v>84.999999999999986</v>
      </c>
      <c r="V82" s="2015"/>
      <c r="X82" s="2099"/>
      <c r="Y82" s="1712"/>
      <c r="Z82" s="2119">
        <f t="shared" si="31"/>
        <v>0</v>
      </c>
      <c r="AA82" s="2119">
        <f t="shared" si="32"/>
        <v>0</v>
      </c>
      <c r="AB82" s="2119"/>
      <c r="AC82" s="2119"/>
    </row>
    <row r="83" spans="1:29" s="1942" customFormat="1" ht="13" outlineLevel="3">
      <c r="A83" s="1944"/>
      <c r="B83" s="2120" t="s">
        <v>3486</v>
      </c>
      <c r="C83" s="2121"/>
      <c r="D83" s="2128" t="s">
        <v>3487</v>
      </c>
      <c r="E83" s="2009" t="s">
        <v>3488</v>
      </c>
      <c r="F83" s="1462" t="s">
        <v>455</v>
      </c>
      <c r="G83" s="1953" t="s">
        <v>4128</v>
      </c>
      <c r="H83" s="1975" t="s">
        <v>10</v>
      </c>
      <c r="I83" s="1712">
        <f>$E$5</f>
        <v>1058.93</v>
      </c>
      <c r="J83" s="2099">
        <v>1</v>
      </c>
      <c r="K83" s="1950" t="s">
        <v>101</v>
      </c>
      <c r="L83" s="1947" t="s">
        <v>10</v>
      </c>
      <c r="M83" s="1754">
        <f t="shared" si="28"/>
        <v>1058.93</v>
      </c>
      <c r="N83" s="1712">
        <v>20</v>
      </c>
      <c r="O83" s="1712">
        <f>ROUND(M83*ROUND(N83,2)/10000,6)</f>
        <v>2.1178599999999999</v>
      </c>
      <c r="P83" s="1712">
        <f>IFERROR(ROUND(Q83*10000/M83,2),0)</f>
        <v>18.350000000000001</v>
      </c>
      <c r="Q83" s="1712">
        <f>ROUND(O83/(1+R83),6)</f>
        <v>1.9429909999999999</v>
      </c>
      <c r="R83" s="1757">
        <v>0.09</v>
      </c>
      <c r="S83" s="1712">
        <f>O83-Q83</f>
        <v>0.17486899999999994</v>
      </c>
      <c r="T83" s="1712">
        <f t="shared" si="29"/>
        <v>18.34862549932479</v>
      </c>
      <c r="U83" s="1712">
        <f t="shared" si="30"/>
        <v>19.999999999999996</v>
      </c>
      <c r="V83" s="1952"/>
      <c r="X83" s="2099">
        <v>1</v>
      </c>
      <c r="Y83" s="1712">
        <v>25</v>
      </c>
      <c r="Z83" s="2119">
        <f t="shared" si="31"/>
        <v>0</v>
      </c>
      <c r="AA83" s="2119">
        <f t="shared" si="32"/>
        <v>-5</v>
      </c>
      <c r="AB83" s="2119"/>
      <c r="AC83" s="2119"/>
    </row>
    <row r="84" spans="1:29" s="1942" customFormat="1" ht="13" outlineLevel="3">
      <c r="A84" s="1944"/>
      <c r="B84" s="2120" t="s">
        <v>3489</v>
      </c>
      <c r="C84" s="2121"/>
      <c r="D84" s="2128" t="s">
        <v>3490</v>
      </c>
      <c r="E84" s="2009" t="s">
        <v>3491</v>
      </c>
      <c r="F84" s="1462"/>
      <c r="G84" s="1953" t="s">
        <v>4117</v>
      </c>
      <c r="H84" s="1975"/>
      <c r="I84" s="1712"/>
      <c r="J84" s="2099"/>
      <c r="K84" s="1950"/>
      <c r="L84" s="1947" t="s">
        <v>10</v>
      </c>
      <c r="M84" s="1754"/>
      <c r="N84" s="1712"/>
      <c r="O84" s="1712">
        <f>SUBTOTAL(9,O85:O86)</f>
        <v>4.2357199999999997</v>
      </c>
      <c r="P84" s="1983"/>
      <c r="Q84" s="1712">
        <f>SUBTOTAL(9,Q85:Q86)</f>
        <v>3.8515920000000001</v>
      </c>
      <c r="R84" s="1757"/>
      <c r="S84" s="1712">
        <f>SUBTOTAL(9,S85:S86)</f>
        <v>0.3841279999999998</v>
      </c>
      <c r="T84" s="1712">
        <f t="shared" si="29"/>
        <v>36.372489210807132</v>
      </c>
      <c r="U84" s="1712">
        <f t="shared" si="30"/>
        <v>39.999999999999993</v>
      </c>
      <c r="V84" s="1952"/>
      <c r="X84" s="2099"/>
      <c r="Y84" s="1712"/>
      <c r="Z84" s="2119">
        <f t="shared" si="31"/>
        <v>0</v>
      </c>
      <c r="AA84" s="2119">
        <f t="shared" si="32"/>
        <v>0</v>
      </c>
      <c r="AB84" s="2119"/>
      <c r="AC84" s="2119"/>
    </row>
    <row r="85" spans="1:29" s="1942" customFormat="1" ht="13" outlineLevel="4">
      <c r="A85" s="1944"/>
      <c r="B85" s="2122" t="s">
        <v>4049</v>
      </c>
      <c r="C85" s="2123"/>
      <c r="D85" s="2129" t="s">
        <v>4050</v>
      </c>
      <c r="E85" s="2011"/>
      <c r="F85" s="1988" t="s">
        <v>455</v>
      </c>
      <c r="G85" s="1989" t="s">
        <v>4128</v>
      </c>
      <c r="H85" s="2012" t="s">
        <v>10</v>
      </c>
      <c r="I85" s="1991">
        <f>$E$5</f>
        <v>1058.93</v>
      </c>
      <c r="J85" s="2124">
        <v>1</v>
      </c>
      <c r="K85" s="2000" t="s">
        <v>101</v>
      </c>
      <c r="L85" s="1990" t="s">
        <v>10</v>
      </c>
      <c r="M85" s="1991">
        <f t="shared" ref="M85:M94" si="33">ROUND(I85,2)*ROUND(J85,4)</f>
        <v>1058.93</v>
      </c>
      <c r="N85" s="1991">
        <v>30</v>
      </c>
      <c r="O85" s="1991">
        <f t="shared" ref="O85:O94" si="34">ROUND(M85*ROUND(N85,2)/10000,6)</f>
        <v>3.17679</v>
      </c>
      <c r="P85" s="1991">
        <f t="shared" ref="P85:P94" si="35">IFERROR(ROUND(Q85*10000/M85,2),0)</f>
        <v>27.52</v>
      </c>
      <c r="Q85" s="1991">
        <f t="shared" ref="Q85:Q94" si="36">ROUND(O85/(1+R85),6)</f>
        <v>2.9144860000000001</v>
      </c>
      <c r="R85" s="1993">
        <v>0.09</v>
      </c>
      <c r="S85" s="1991">
        <f t="shared" ref="S85:S94" si="37">O85-Q85</f>
        <v>0.26230399999999987</v>
      </c>
      <c r="T85" s="1991">
        <f t="shared" si="29"/>
        <v>27.522933527239761</v>
      </c>
      <c r="U85" s="1991">
        <f t="shared" si="30"/>
        <v>30</v>
      </c>
      <c r="V85" s="1994"/>
      <c r="X85" s="2124">
        <v>1</v>
      </c>
      <c r="Y85" s="1991">
        <v>30</v>
      </c>
      <c r="Z85" s="2119">
        <f t="shared" si="31"/>
        <v>0</v>
      </c>
      <c r="AA85" s="2119">
        <f t="shared" si="32"/>
        <v>0</v>
      </c>
      <c r="AB85" s="2119"/>
      <c r="AC85" s="2119"/>
    </row>
    <row r="86" spans="1:29" s="1942" customFormat="1" ht="13" outlineLevel="4">
      <c r="A86" s="1944"/>
      <c r="B86" s="2122" t="s">
        <v>4051</v>
      </c>
      <c r="C86" s="2123"/>
      <c r="D86" s="2129" t="s">
        <v>4052</v>
      </c>
      <c r="E86" s="2011"/>
      <c r="F86" s="1988" t="s">
        <v>3831</v>
      </c>
      <c r="G86" s="1989" t="s">
        <v>4138</v>
      </c>
      <c r="H86" s="2012" t="s">
        <v>10</v>
      </c>
      <c r="I86" s="1991">
        <f>$E$5</f>
        <v>1058.93</v>
      </c>
      <c r="J86" s="2124">
        <v>1</v>
      </c>
      <c r="K86" s="2000" t="s">
        <v>101</v>
      </c>
      <c r="L86" s="1990" t="s">
        <v>10</v>
      </c>
      <c r="M86" s="1991">
        <f t="shared" si="33"/>
        <v>1058.93</v>
      </c>
      <c r="N86" s="1991">
        <v>10</v>
      </c>
      <c r="O86" s="1991">
        <f t="shared" si="34"/>
        <v>1.0589299999999999</v>
      </c>
      <c r="P86" s="1991">
        <f t="shared" si="35"/>
        <v>8.85</v>
      </c>
      <c r="Q86" s="1991">
        <f t="shared" si="36"/>
        <v>0.93710599999999999</v>
      </c>
      <c r="R86" s="1993">
        <v>0.13</v>
      </c>
      <c r="S86" s="1991">
        <f t="shared" si="37"/>
        <v>0.12182399999999993</v>
      </c>
      <c r="T86" s="1991">
        <f t="shared" si="29"/>
        <v>8.8495556835673739</v>
      </c>
      <c r="U86" s="1991">
        <f t="shared" si="30"/>
        <v>9.9999999999999982</v>
      </c>
      <c r="V86" s="1994"/>
      <c r="X86" s="2124">
        <v>1</v>
      </c>
      <c r="Y86" s="1991">
        <v>10</v>
      </c>
      <c r="Z86" s="2119">
        <f t="shared" si="31"/>
        <v>0</v>
      </c>
      <c r="AA86" s="2119">
        <f t="shared" si="32"/>
        <v>0</v>
      </c>
      <c r="AB86" s="2119"/>
      <c r="AC86" s="2119"/>
    </row>
    <row r="87" spans="1:29" s="1942" customFormat="1" ht="13" outlineLevel="3">
      <c r="A87" s="1944"/>
      <c r="B87" s="2120" t="s">
        <v>3492</v>
      </c>
      <c r="C87" s="2121"/>
      <c r="D87" s="2128" t="s">
        <v>3493</v>
      </c>
      <c r="E87" s="2009" t="s">
        <v>3494</v>
      </c>
      <c r="F87" s="1462" t="s">
        <v>455</v>
      </c>
      <c r="G87" s="1953" t="s">
        <v>4128</v>
      </c>
      <c r="H87" s="1975" t="s">
        <v>10</v>
      </c>
      <c r="I87" s="1712">
        <f>$E$5</f>
        <v>1058.93</v>
      </c>
      <c r="J87" s="2099">
        <v>1</v>
      </c>
      <c r="K87" s="1950" t="s">
        <v>101</v>
      </c>
      <c r="L87" s="1947" t="s">
        <v>10</v>
      </c>
      <c r="M87" s="1754">
        <f t="shared" si="33"/>
        <v>1058.93</v>
      </c>
      <c r="N87" s="1712">
        <v>15</v>
      </c>
      <c r="O87" s="1712">
        <f t="shared" si="34"/>
        <v>1.588395</v>
      </c>
      <c r="P87" s="1712">
        <f t="shared" si="35"/>
        <v>13.76</v>
      </c>
      <c r="Q87" s="1712">
        <f t="shared" si="36"/>
        <v>1.4572430000000001</v>
      </c>
      <c r="R87" s="1757">
        <v>0.09</v>
      </c>
      <c r="S87" s="1712">
        <f t="shared" si="37"/>
        <v>0.13115199999999994</v>
      </c>
      <c r="T87" s="1712">
        <f t="shared" si="29"/>
        <v>13.761466763619881</v>
      </c>
      <c r="U87" s="1712">
        <f t="shared" si="30"/>
        <v>15</v>
      </c>
      <c r="V87" s="1952"/>
      <c r="X87" s="2099">
        <v>1</v>
      </c>
      <c r="Y87" s="1712">
        <v>15</v>
      </c>
      <c r="Z87" s="2119">
        <f t="shared" si="31"/>
        <v>0</v>
      </c>
      <c r="AA87" s="2119">
        <f t="shared" si="32"/>
        <v>0</v>
      </c>
      <c r="AB87" s="2119"/>
      <c r="AC87" s="2119"/>
    </row>
    <row r="88" spans="1:29" s="1942" customFormat="1" ht="13" outlineLevel="3">
      <c r="A88" s="1944"/>
      <c r="B88" s="2120" t="s">
        <v>3495</v>
      </c>
      <c r="C88" s="2121"/>
      <c r="D88" s="2128" t="s">
        <v>3496</v>
      </c>
      <c r="E88" s="2009" t="s">
        <v>3497</v>
      </c>
      <c r="F88" s="1462" t="s">
        <v>455</v>
      </c>
      <c r="G88" s="1953" t="s">
        <v>4128</v>
      </c>
      <c r="H88" s="1975" t="s">
        <v>10</v>
      </c>
      <c r="I88" s="1712">
        <f t="shared" ref="I88:I99" si="38">$E$5</f>
        <v>1058.93</v>
      </c>
      <c r="J88" s="2099">
        <v>1</v>
      </c>
      <c r="K88" s="1950" t="s">
        <v>101</v>
      </c>
      <c r="L88" s="1947" t="s">
        <v>10</v>
      </c>
      <c r="M88" s="1754">
        <f t="shared" si="33"/>
        <v>1058.93</v>
      </c>
      <c r="N88" s="1712"/>
      <c r="O88" s="1712">
        <f t="shared" si="34"/>
        <v>0</v>
      </c>
      <c r="P88" s="1712">
        <f t="shared" si="35"/>
        <v>0</v>
      </c>
      <c r="Q88" s="1712">
        <f t="shared" si="36"/>
        <v>0</v>
      </c>
      <c r="R88" s="1757">
        <v>0.09</v>
      </c>
      <c r="S88" s="1712">
        <f t="shared" si="37"/>
        <v>0</v>
      </c>
      <c r="T88" s="1712">
        <f t="shared" si="29"/>
        <v>0</v>
      </c>
      <c r="U88" s="1712">
        <f t="shared" si="30"/>
        <v>0</v>
      </c>
      <c r="V88" s="1952"/>
      <c r="X88" s="2099">
        <v>1</v>
      </c>
      <c r="Y88" s="1712"/>
      <c r="Z88" s="2119">
        <f t="shared" si="31"/>
        <v>0</v>
      </c>
      <c r="AA88" s="2119">
        <f t="shared" si="32"/>
        <v>0</v>
      </c>
      <c r="AB88" s="2119"/>
      <c r="AC88" s="2119"/>
    </row>
    <row r="89" spans="1:29" s="1942" customFormat="1" ht="13" outlineLevel="3">
      <c r="A89" s="1944"/>
      <c r="B89" s="2120" t="s">
        <v>3498</v>
      </c>
      <c r="C89" s="2121"/>
      <c r="D89" s="2128" t="s">
        <v>3499</v>
      </c>
      <c r="E89" s="2009" t="s">
        <v>3500</v>
      </c>
      <c r="F89" s="1462" t="s">
        <v>455</v>
      </c>
      <c r="G89" s="1953" t="s">
        <v>4128</v>
      </c>
      <c r="H89" s="1975" t="s">
        <v>10</v>
      </c>
      <c r="I89" s="1712">
        <f t="shared" si="38"/>
        <v>1058.93</v>
      </c>
      <c r="J89" s="2099">
        <v>1</v>
      </c>
      <c r="K89" s="1950" t="s">
        <v>101</v>
      </c>
      <c r="L89" s="1947" t="s">
        <v>10</v>
      </c>
      <c r="M89" s="1754">
        <f t="shared" si="33"/>
        <v>1058.93</v>
      </c>
      <c r="N89" s="1712">
        <v>10</v>
      </c>
      <c r="O89" s="1712">
        <f t="shared" si="34"/>
        <v>1.0589299999999999</v>
      </c>
      <c r="P89" s="1712">
        <f t="shared" si="35"/>
        <v>9.17</v>
      </c>
      <c r="Q89" s="1712">
        <f t="shared" si="36"/>
        <v>0.971495</v>
      </c>
      <c r="R89" s="1757">
        <v>0.09</v>
      </c>
      <c r="S89" s="1712">
        <f t="shared" si="37"/>
        <v>8.7434999999999929E-2</v>
      </c>
      <c r="T89" s="1712">
        <f t="shared" si="29"/>
        <v>9.1743080279149716</v>
      </c>
      <c r="U89" s="1712">
        <f t="shared" si="30"/>
        <v>9.9999999999999982</v>
      </c>
      <c r="V89" s="1952"/>
      <c r="X89" s="2099">
        <v>1</v>
      </c>
      <c r="Y89" s="1712">
        <v>10</v>
      </c>
      <c r="Z89" s="2119">
        <f t="shared" si="31"/>
        <v>0</v>
      </c>
      <c r="AA89" s="2119">
        <f t="shared" si="32"/>
        <v>0</v>
      </c>
      <c r="AB89" s="2119"/>
      <c r="AC89" s="2119"/>
    </row>
    <row r="90" spans="1:29" s="1942" customFormat="1" ht="13" outlineLevel="3">
      <c r="A90" s="1944"/>
      <c r="B90" s="2120" t="s">
        <v>3501</v>
      </c>
      <c r="C90" s="2121"/>
      <c r="D90" s="2128" t="s">
        <v>3502</v>
      </c>
      <c r="E90" s="2009" t="s">
        <v>3503</v>
      </c>
      <c r="F90" s="1462" t="s">
        <v>455</v>
      </c>
      <c r="G90" s="1953" t="s">
        <v>4128</v>
      </c>
      <c r="H90" s="1975" t="s">
        <v>10</v>
      </c>
      <c r="I90" s="1712">
        <f t="shared" si="38"/>
        <v>1058.93</v>
      </c>
      <c r="J90" s="2099">
        <v>1</v>
      </c>
      <c r="K90" s="1950" t="s">
        <v>101</v>
      </c>
      <c r="L90" s="1947" t="s">
        <v>10</v>
      </c>
      <c r="M90" s="1754">
        <f t="shared" si="33"/>
        <v>1058.93</v>
      </c>
      <c r="N90" s="1712"/>
      <c r="O90" s="1712">
        <f t="shared" si="34"/>
        <v>0</v>
      </c>
      <c r="P90" s="1712">
        <f t="shared" si="35"/>
        <v>0</v>
      </c>
      <c r="Q90" s="1712">
        <f t="shared" si="36"/>
        <v>0</v>
      </c>
      <c r="R90" s="1757">
        <v>0.09</v>
      </c>
      <c r="S90" s="1712">
        <f t="shared" si="37"/>
        <v>0</v>
      </c>
      <c r="T90" s="1712">
        <f t="shared" si="29"/>
        <v>0</v>
      </c>
      <c r="U90" s="1712">
        <f t="shared" si="30"/>
        <v>0</v>
      </c>
      <c r="V90" s="2015"/>
      <c r="X90" s="2099">
        <v>1</v>
      </c>
      <c r="Y90" s="1712"/>
      <c r="Z90" s="2119">
        <f t="shared" si="31"/>
        <v>0</v>
      </c>
      <c r="AA90" s="2119">
        <f t="shared" si="32"/>
        <v>0</v>
      </c>
      <c r="AB90" s="2119"/>
      <c r="AC90" s="2119"/>
    </row>
    <row r="91" spans="1:29" s="1942" customFormat="1" ht="13" outlineLevel="3">
      <c r="A91" s="1944"/>
      <c r="B91" s="2120" t="s">
        <v>3504</v>
      </c>
      <c r="C91" s="2121"/>
      <c r="D91" s="2128" t="s">
        <v>3505</v>
      </c>
      <c r="E91" s="2009" t="s">
        <v>3506</v>
      </c>
      <c r="F91" s="1462" t="s">
        <v>455</v>
      </c>
      <c r="G91" s="1953" t="s">
        <v>4128</v>
      </c>
      <c r="H91" s="1975" t="s">
        <v>10</v>
      </c>
      <c r="I91" s="1712">
        <f t="shared" si="38"/>
        <v>1058.93</v>
      </c>
      <c r="J91" s="2099">
        <v>1</v>
      </c>
      <c r="K91" s="1950" t="s">
        <v>101</v>
      </c>
      <c r="L91" s="1947" t="s">
        <v>10</v>
      </c>
      <c r="M91" s="1754">
        <f t="shared" si="33"/>
        <v>1058.93</v>
      </c>
      <c r="N91" s="1712"/>
      <c r="O91" s="1712">
        <f t="shared" si="34"/>
        <v>0</v>
      </c>
      <c r="P91" s="1712">
        <f t="shared" si="35"/>
        <v>0</v>
      </c>
      <c r="Q91" s="1712">
        <f t="shared" si="36"/>
        <v>0</v>
      </c>
      <c r="R91" s="1757">
        <v>0.09</v>
      </c>
      <c r="S91" s="1712">
        <f t="shared" si="37"/>
        <v>0</v>
      </c>
      <c r="T91" s="1712">
        <f t="shared" si="29"/>
        <v>0</v>
      </c>
      <c r="U91" s="1712">
        <f t="shared" si="30"/>
        <v>0</v>
      </c>
      <c r="V91" s="2015"/>
      <c r="X91" s="2099">
        <v>1</v>
      </c>
      <c r="Y91" s="1712"/>
      <c r="Z91" s="2119">
        <f t="shared" si="31"/>
        <v>0</v>
      </c>
      <c r="AA91" s="2119">
        <f t="shared" si="32"/>
        <v>0</v>
      </c>
      <c r="AB91" s="2119"/>
      <c r="AC91" s="2119"/>
    </row>
    <row r="92" spans="1:29" s="1942" customFormat="1" ht="13" outlineLevel="3">
      <c r="A92" s="1944"/>
      <c r="B92" s="2120" t="s">
        <v>3507</v>
      </c>
      <c r="C92" s="2121"/>
      <c r="D92" s="2128" t="s">
        <v>3508</v>
      </c>
      <c r="E92" s="2009" t="s">
        <v>3509</v>
      </c>
      <c r="F92" s="1462" t="s">
        <v>455</v>
      </c>
      <c r="G92" s="1953" t="s">
        <v>4128</v>
      </c>
      <c r="H92" s="1975" t="s">
        <v>10</v>
      </c>
      <c r="I92" s="1712">
        <f t="shared" si="38"/>
        <v>1058.93</v>
      </c>
      <c r="J92" s="2099">
        <v>1</v>
      </c>
      <c r="K92" s="1950" t="s">
        <v>101</v>
      </c>
      <c r="L92" s="1947" t="s">
        <v>10</v>
      </c>
      <c r="M92" s="1754">
        <f t="shared" si="33"/>
        <v>1058.93</v>
      </c>
      <c r="N92" s="1712"/>
      <c r="O92" s="1712">
        <f t="shared" si="34"/>
        <v>0</v>
      </c>
      <c r="P92" s="1712">
        <f t="shared" si="35"/>
        <v>0</v>
      </c>
      <c r="Q92" s="1712">
        <f t="shared" si="36"/>
        <v>0</v>
      </c>
      <c r="R92" s="1757">
        <v>0.09</v>
      </c>
      <c r="S92" s="1712">
        <f t="shared" si="37"/>
        <v>0</v>
      </c>
      <c r="T92" s="1712">
        <f t="shared" si="29"/>
        <v>0</v>
      </c>
      <c r="U92" s="1712">
        <f t="shared" si="30"/>
        <v>0</v>
      </c>
      <c r="V92" s="2015"/>
      <c r="X92" s="2099">
        <v>1</v>
      </c>
      <c r="Y92" s="1712"/>
      <c r="Z92" s="2119">
        <f t="shared" si="31"/>
        <v>0</v>
      </c>
      <c r="AA92" s="2119">
        <f t="shared" si="32"/>
        <v>0</v>
      </c>
      <c r="AB92" s="2119"/>
      <c r="AC92" s="2119"/>
    </row>
    <row r="93" spans="1:29" s="1942" customFormat="1" ht="13" outlineLevel="3">
      <c r="A93" s="1944"/>
      <c r="B93" s="2120" t="s">
        <v>3510</v>
      </c>
      <c r="C93" s="2121"/>
      <c r="D93" s="2128" t="s">
        <v>3511</v>
      </c>
      <c r="E93" s="2009" t="s">
        <v>3512</v>
      </c>
      <c r="F93" s="1462" t="s">
        <v>455</v>
      </c>
      <c r="G93" s="1953" t="s">
        <v>4128</v>
      </c>
      <c r="H93" s="1975" t="s">
        <v>10</v>
      </c>
      <c r="I93" s="1712">
        <f t="shared" si="38"/>
        <v>1058.93</v>
      </c>
      <c r="J93" s="2099">
        <v>1</v>
      </c>
      <c r="K93" s="1950" t="s">
        <v>101</v>
      </c>
      <c r="L93" s="1947" t="s">
        <v>10</v>
      </c>
      <c r="M93" s="1754">
        <f t="shared" si="33"/>
        <v>1058.93</v>
      </c>
      <c r="N93" s="1712"/>
      <c r="O93" s="1712">
        <f t="shared" si="34"/>
        <v>0</v>
      </c>
      <c r="P93" s="1712">
        <f t="shared" si="35"/>
        <v>0</v>
      </c>
      <c r="Q93" s="1712">
        <f t="shared" si="36"/>
        <v>0</v>
      </c>
      <c r="R93" s="1757">
        <v>0.09</v>
      </c>
      <c r="S93" s="1712">
        <f t="shared" si="37"/>
        <v>0</v>
      </c>
      <c r="T93" s="1712">
        <f t="shared" si="29"/>
        <v>0</v>
      </c>
      <c r="U93" s="1712">
        <f t="shared" si="30"/>
        <v>0</v>
      </c>
      <c r="V93" s="2015"/>
      <c r="X93" s="2099">
        <v>1</v>
      </c>
      <c r="Y93" s="1712"/>
      <c r="Z93" s="2119">
        <f t="shared" si="31"/>
        <v>0</v>
      </c>
      <c r="AA93" s="2119">
        <f t="shared" si="32"/>
        <v>0</v>
      </c>
      <c r="AB93" s="2119"/>
      <c r="AC93" s="2119"/>
    </row>
    <row r="94" spans="1:29" s="1942" customFormat="1" ht="13" outlineLevel="2">
      <c r="A94" s="1944"/>
      <c r="B94" s="2120" t="s">
        <v>3513</v>
      </c>
      <c r="C94" s="2121"/>
      <c r="D94" s="2008" t="s">
        <v>3514</v>
      </c>
      <c r="E94" s="2009" t="s">
        <v>3515</v>
      </c>
      <c r="F94" s="1462" t="s">
        <v>455</v>
      </c>
      <c r="G94" s="1953" t="s">
        <v>4128</v>
      </c>
      <c r="H94" s="1975" t="s">
        <v>10</v>
      </c>
      <c r="I94" s="1712">
        <f t="shared" si="38"/>
        <v>1058.93</v>
      </c>
      <c r="J94" s="2099">
        <v>1</v>
      </c>
      <c r="K94" s="1950" t="s">
        <v>101</v>
      </c>
      <c r="L94" s="1947" t="s">
        <v>10</v>
      </c>
      <c r="M94" s="1754">
        <f t="shared" si="33"/>
        <v>1058.93</v>
      </c>
      <c r="N94" s="1712">
        <v>10</v>
      </c>
      <c r="O94" s="1712">
        <f t="shared" si="34"/>
        <v>1.0589299999999999</v>
      </c>
      <c r="P94" s="1712">
        <f t="shared" si="35"/>
        <v>9.17</v>
      </c>
      <c r="Q94" s="1712">
        <f t="shared" si="36"/>
        <v>0.971495</v>
      </c>
      <c r="R94" s="1757">
        <v>0.09</v>
      </c>
      <c r="S94" s="1712">
        <f t="shared" si="37"/>
        <v>8.7434999999999929E-2</v>
      </c>
      <c r="T94" s="1712">
        <f t="shared" si="29"/>
        <v>9.1743080279149716</v>
      </c>
      <c r="U94" s="1712">
        <f t="shared" si="30"/>
        <v>9.9999999999999982</v>
      </c>
      <c r="V94" s="1952"/>
      <c r="X94" s="2099">
        <v>1</v>
      </c>
      <c r="Y94" s="1712">
        <v>10</v>
      </c>
      <c r="Z94" s="2119">
        <f t="shared" si="31"/>
        <v>0</v>
      </c>
      <c r="AA94" s="2119">
        <f t="shared" si="32"/>
        <v>0</v>
      </c>
      <c r="AB94" s="2119"/>
      <c r="AC94" s="2119"/>
    </row>
    <row r="95" spans="1:29" s="1942" customFormat="1" ht="13" outlineLevel="2">
      <c r="A95" s="1944"/>
      <c r="B95" s="2120" t="s">
        <v>3516</v>
      </c>
      <c r="C95" s="2121"/>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f t="shared" si="29"/>
        <v>0</v>
      </c>
      <c r="U95" s="1712">
        <f t="shared" si="30"/>
        <v>0</v>
      </c>
      <c r="V95" s="2015"/>
      <c r="X95" s="2099"/>
      <c r="Y95" s="1712"/>
      <c r="Z95" s="2119">
        <f t="shared" si="31"/>
        <v>0</v>
      </c>
      <c r="AA95" s="2119">
        <f t="shared" si="32"/>
        <v>0</v>
      </c>
      <c r="AB95" s="2119"/>
      <c r="AC95" s="2119"/>
    </row>
    <row r="96" spans="1:29" s="1942" customFormat="1" ht="13" outlineLevel="3">
      <c r="A96" s="1944"/>
      <c r="B96" s="2120" t="s">
        <v>3518</v>
      </c>
      <c r="C96" s="2121"/>
      <c r="D96" s="2008" t="s">
        <v>3519</v>
      </c>
      <c r="E96" s="2009" t="s">
        <v>3520</v>
      </c>
      <c r="F96" s="1462" t="s">
        <v>3521</v>
      </c>
      <c r="G96" s="1953" t="s">
        <v>4139</v>
      </c>
      <c r="H96" s="1947" t="s">
        <v>10</v>
      </c>
      <c r="I96" s="1712">
        <f t="shared" si="38"/>
        <v>1058.93</v>
      </c>
      <c r="J96" s="2099">
        <v>1</v>
      </c>
      <c r="K96" s="1950" t="s">
        <v>101</v>
      </c>
      <c r="L96" s="1947" t="s">
        <v>10</v>
      </c>
      <c r="M96" s="1754">
        <f>ROUND(I96,2)*ROUND(J96,4)</f>
        <v>1058.93</v>
      </c>
      <c r="N96" s="1712"/>
      <c r="O96" s="1712">
        <f>ROUND(M96*ROUND(N96,2)/10000,6)</f>
        <v>0</v>
      </c>
      <c r="P96" s="1712">
        <f>IFERROR(ROUND(Q96*10000/M96,2),0)</f>
        <v>0</v>
      </c>
      <c r="Q96" s="1712">
        <f>ROUND(O96/(1+R96),6)</f>
        <v>0</v>
      </c>
      <c r="R96" s="1757">
        <v>0.13</v>
      </c>
      <c r="S96" s="1712">
        <f>O96-Q96</f>
        <v>0</v>
      </c>
      <c r="T96" s="1712">
        <f t="shared" si="29"/>
        <v>0</v>
      </c>
      <c r="U96" s="1712">
        <f t="shared" si="30"/>
        <v>0</v>
      </c>
      <c r="V96" s="2015"/>
      <c r="X96" s="2099">
        <v>1</v>
      </c>
      <c r="Y96" s="1712"/>
      <c r="Z96" s="2119">
        <f t="shared" si="31"/>
        <v>0</v>
      </c>
      <c r="AA96" s="2119">
        <f t="shared" si="32"/>
        <v>0</v>
      </c>
      <c r="AB96" s="2119"/>
      <c r="AC96" s="2119"/>
    </row>
    <row r="97" spans="1:29" s="1942" customFormat="1" ht="13" outlineLevel="3">
      <c r="A97" s="1944"/>
      <c r="B97" s="2120" t="s">
        <v>3522</v>
      </c>
      <c r="C97" s="2121"/>
      <c r="D97" s="2008" t="s">
        <v>3523</v>
      </c>
      <c r="E97" s="2009" t="s">
        <v>3524</v>
      </c>
      <c r="F97" s="1462" t="s">
        <v>3521</v>
      </c>
      <c r="G97" s="1953" t="s">
        <v>4139</v>
      </c>
      <c r="H97" s="1975" t="s">
        <v>10</v>
      </c>
      <c r="I97" s="1712">
        <f t="shared" si="38"/>
        <v>1058.93</v>
      </c>
      <c r="J97" s="2099">
        <v>1</v>
      </c>
      <c r="K97" s="1950" t="s">
        <v>101</v>
      </c>
      <c r="L97" s="1947" t="s">
        <v>10</v>
      </c>
      <c r="M97" s="1754">
        <f>ROUND(I97,2)*ROUND(J97,4)</f>
        <v>1058.93</v>
      </c>
      <c r="N97" s="1712"/>
      <c r="O97" s="1712">
        <f>ROUND(M97*ROUND(N97,2)/10000,6)</f>
        <v>0</v>
      </c>
      <c r="P97" s="1712">
        <f>IFERROR(ROUND(Q97*10000/M97,2),0)</f>
        <v>0</v>
      </c>
      <c r="Q97" s="1712">
        <f>ROUND(O97/(1+R97),6)</f>
        <v>0</v>
      </c>
      <c r="R97" s="1757">
        <v>0.13</v>
      </c>
      <c r="S97" s="1712">
        <f>O97-Q97</f>
        <v>0</v>
      </c>
      <c r="T97" s="1712">
        <f t="shared" si="29"/>
        <v>0</v>
      </c>
      <c r="U97" s="1712">
        <f t="shared" si="30"/>
        <v>0</v>
      </c>
      <c r="V97" s="2015"/>
      <c r="X97" s="2099">
        <v>1</v>
      </c>
      <c r="Y97" s="1712"/>
      <c r="Z97" s="2119">
        <f t="shared" si="31"/>
        <v>0</v>
      </c>
      <c r="AA97" s="2119">
        <f t="shared" si="32"/>
        <v>0</v>
      </c>
      <c r="AB97" s="2119"/>
      <c r="AC97" s="2119"/>
    </row>
    <row r="98" spans="1:29" s="1942" customFormat="1" ht="13" outlineLevel="3">
      <c r="A98" s="1944"/>
      <c r="B98" s="2120" t="s">
        <v>3525</v>
      </c>
      <c r="C98" s="2121"/>
      <c r="D98" s="2008" t="s">
        <v>3526</v>
      </c>
      <c r="E98" s="2009" t="s">
        <v>3527</v>
      </c>
      <c r="F98" s="1462" t="s">
        <v>3521</v>
      </c>
      <c r="G98" s="1953" t="s">
        <v>4139</v>
      </c>
      <c r="H98" s="1975" t="s">
        <v>10</v>
      </c>
      <c r="I98" s="1712">
        <f t="shared" si="38"/>
        <v>1058.93</v>
      </c>
      <c r="J98" s="2099">
        <v>1</v>
      </c>
      <c r="K98" s="1950" t="s">
        <v>101</v>
      </c>
      <c r="L98" s="1947" t="s">
        <v>10</v>
      </c>
      <c r="M98" s="1754">
        <f>ROUND(I98,2)*ROUND(J98,4)</f>
        <v>1058.93</v>
      </c>
      <c r="N98" s="1712"/>
      <c r="O98" s="1712">
        <f>ROUND(M98*ROUND(N98,2)/10000,6)</f>
        <v>0</v>
      </c>
      <c r="P98" s="1712">
        <f>IFERROR(ROUND(Q98*10000/M98,2),0)</f>
        <v>0</v>
      </c>
      <c r="Q98" s="1712">
        <f>ROUND(O98/(1+R98),6)</f>
        <v>0</v>
      </c>
      <c r="R98" s="1757">
        <v>0.13</v>
      </c>
      <c r="S98" s="1712">
        <f>O98-Q98</f>
        <v>0</v>
      </c>
      <c r="T98" s="1712">
        <f t="shared" si="29"/>
        <v>0</v>
      </c>
      <c r="U98" s="1712">
        <f t="shared" si="30"/>
        <v>0</v>
      </c>
      <c r="V98" s="2015"/>
      <c r="X98" s="2099">
        <v>1</v>
      </c>
      <c r="Y98" s="1712"/>
      <c r="Z98" s="2119">
        <f t="shared" si="31"/>
        <v>0</v>
      </c>
      <c r="AA98" s="2119">
        <f t="shared" si="32"/>
        <v>0</v>
      </c>
      <c r="AB98" s="2119"/>
      <c r="AC98" s="2119"/>
    </row>
    <row r="99" spans="1:29" s="1942" customFormat="1" ht="13" outlineLevel="2">
      <c r="A99" s="1944"/>
      <c r="B99" s="2120" t="s">
        <v>3528</v>
      </c>
      <c r="C99" s="2121"/>
      <c r="D99" s="2128" t="s">
        <v>3529</v>
      </c>
      <c r="E99" s="2009" t="s">
        <v>3530</v>
      </c>
      <c r="F99" s="1462" t="s">
        <v>3531</v>
      </c>
      <c r="G99" s="1953" t="s">
        <v>4140</v>
      </c>
      <c r="H99" s="1975" t="s">
        <v>10</v>
      </c>
      <c r="I99" s="1712">
        <f t="shared" si="38"/>
        <v>1058.93</v>
      </c>
      <c r="J99" s="2099">
        <v>1</v>
      </c>
      <c r="K99" s="1950" t="s">
        <v>101</v>
      </c>
      <c r="L99" s="1947" t="s">
        <v>10</v>
      </c>
      <c r="M99" s="1754">
        <f>ROUND(I99,2)*ROUND(J99,4)</f>
        <v>1058.93</v>
      </c>
      <c r="N99" s="1712"/>
      <c r="O99" s="1712">
        <f>ROUND(M99*ROUND(N99,2)/10000,6)</f>
        <v>0</v>
      </c>
      <c r="P99" s="1712">
        <f>IFERROR(ROUND(Q99*10000/M99,2),0)</f>
        <v>0</v>
      </c>
      <c r="Q99" s="1712">
        <f>ROUND(O99/(1+R99),6)</f>
        <v>0</v>
      </c>
      <c r="R99" s="1757">
        <v>0.09</v>
      </c>
      <c r="S99" s="1712">
        <f>O99-Q99</f>
        <v>0</v>
      </c>
      <c r="T99" s="1712">
        <f t="shared" si="29"/>
        <v>0</v>
      </c>
      <c r="U99" s="1712">
        <f t="shared" si="30"/>
        <v>0</v>
      </c>
      <c r="V99" s="2015"/>
      <c r="X99" s="2099">
        <v>1</v>
      </c>
      <c r="Y99" s="1712"/>
      <c r="Z99" s="2119">
        <f t="shared" si="31"/>
        <v>0</v>
      </c>
      <c r="AA99" s="2119">
        <f t="shared" si="32"/>
        <v>0</v>
      </c>
      <c r="AB99" s="2119"/>
      <c r="AC99" s="2119"/>
    </row>
    <row r="100" spans="1:29" ht="13">
      <c r="A100" s="2019"/>
      <c r="B100" s="2130">
        <v>5001.04</v>
      </c>
      <c r="C100" s="2112"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f t="shared" si="29"/>
        <v>0</v>
      </c>
      <c r="U100" s="1963">
        <f t="shared" si="30"/>
        <v>0</v>
      </c>
      <c r="V100" s="1964"/>
      <c r="X100" s="2113"/>
      <c r="Y100" s="1963"/>
      <c r="Z100" s="2119">
        <f t="shared" si="31"/>
        <v>0</v>
      </c>
      <c r="AA100" s="2119">
        <f t="shared" si="32"/>
        <v>0</v>
      </c>
    </row>
    <row r="101" spans="1:29" ht="13" outlineLevel="1">
      <c r="A101" s="2019"/>
      <c r="B101" s="2131" t="s">
        <v>676</v>
      </c>
      <c r="C101" s="2115">
        <v>1</v>
      </c>
      <c r="D101" s="2024" t="s">
        <v>22</v>
      </c>
      <c r="E101" s="2025"/>
      <c r="F101" s="1968"/>
      <c r="G101" s="2007" t="s">
        <v>4117</v>
      </c>
      <c r="H101" s="1967"/>
      <c r="I101" s="1969"/>
      <c r="J101" s="2116"/>
      <c r="K101" s="1971"/>
      <c r="L101" s="1967"/>
      <c r="M101" s="1971"/>
      <c r="N101" s="1973"/>
      <c r="O101" s="1973">
        <f>SUBTOTAL(9,O102:O119)</f>
        <v>0</v>
      </c>
      <c r="P101" s="1973"/>
      <c r="Q101" s="1973">
        <f>SUBTOTAL(9,Q102:Q119)</f>
        <v>0</v>
      </c>
      <c r="R101" s="1973"/>
      <c r="S101" s="1973">
        <f>SUBTOTAL(9,S102:S119)</f>
        <v>0</v>
      </c>
      <c r="T101" s="1973">
        <f t="shared" si="29"/>
        <v>0</v>
      </c>
      <c r="U101" s="1973">
        <f t="shared" si="30"/>
        <v>0</v>
      </c>
      <c r="V101" s="1974"/>
      <c r="X101" s="2116"/>
      <c r="Y101" s="1973"/>
      <c r="Z101" s="2119">
        <f t="shared" si="31"/>
        <v>0</v>
      </c>
      <c r="AA101" s="2119">
        <f t="shared" si="32"/>
        <v>0</v>
      </c>
    </row>
    <row r="102" spans="1:29" s="1942" customFormat="1" ht="13" outlineLevel="2">
      <c r="A102" s="1944"/>
      <c r="B102" s="2132" t="s">
        <v>677</v>
      </c>
      <c r="C102" s="2118"/>
      <c r="D102" s="2133" t="s">
        <v>3575</v>
      </c>
      <c r="E102" s="2009" t="s">
        <v>3576</v>
      </c>
      <c r="F102" s="1462" t="s">
        <v>3577</v>
      </c>
      <c r="G102" s="1953" t="s">
        <v>4141</v>
      </c>
      <c r="H102" s="1975" t="s">
        <v>10</v>
      </c>
      <c r="I102" s="1712">
        <f>$E$5</f>
        <v>1058.93</v>
      </c>
      <c r="J102" s="2099">
        <v>1</v>
      </c>
      <c r="K102" s="1950" t="s">
        <v>101</v>
      </c>
      <c r="L102" s="1947" t="s">
        <v>10</v>
      </c>
      <c r="M102" s="1754">
        <f t="shared" ref="M102:M123" si="39">ROUND(I102,2)*ROUND(J102,4)</f>
        <v>1058.93</v>
      </c>
      <c r="N102" s="1712"/>
      <c r="O102" s="1712">
        <f t="shared" ref="O102:O119" si="40">ROUND(M102*ROUND(N102,2)/10000,6)</f>
        <v>0</v>
      </c>
      <c r="P102" s="1712">
        <f t="shared" ref="P102:P119" si="41">IFERROR(ROUND(Q102*10000/M102,2),0)</f>
        <v>0</v>
      </c>
      <c r="Q102" s="1712">
        <f t="shared" ref="Q102:Q119" si="42">ROUND(O102/(1+R102),6)</f>
        <v>0</v>
      </c>
      <c r="R102" s="1757">
        <v>0.09</v>
      </c>
      <c r="S102" s="1712">
        <f t="shared" ref="S102:S119" si="43">O102-Q102</f>
        <v>0</v>
      </c>
      <c r="T102" s="1712">
        <f t="shared" si="29"/>
        <v>0</v>
      </c>
      <c r="U102" s="1712">
        <f t="shared" si="30"/>
        <v>0</v>
      </c>
      <c r="V102" s="1952"/>
      <c r="X102" s="2099">
        <v>1</v>
      </c>
      <c r="Y102" s="1712"/>
      <c r="Z102" s="2119">
        <f t="shared" si="31"/>
        <v>0</v>
      </c>
      <c r="AA102" s="2119">
        <f t="shared" si="32"/>
        <v>0</v>
      </c>
      <c r="AB102" s="2119"/>
      <c r="AC102" s="2119"/>
    </row>
    <row r="103" spans="1:29" s="1942" customFormat="1" ht="13" outlineLevel="2">
      <c r="A103" s="1944"/>
      <c r="B103" s="2132" t="s">
        <v>678</v>
      </c>
      <c r="C103" s="2118"/>
      <c r="D103" s="2133" t="s">
        <v>3578</v>
      </c>
      <c r="E103" s="2009" t="s">
        <v>3579</v>
      </c>
      <c r="F103" s="1462" t="s">
        <v>3580</v>
      </c>
      <c r="G103" s="1953" t="s">
        <v>4142</v>
      </c>
      <c r="H103" s="1947" t="s">
        <v>3926</v>
      </c>
      <c r="I103" s="1712">
        <f>$G$7</f>
        <v>33</v>
      </c>
      <c r="J103" s="2099">
        <v>5</v>
      </c>
      <c r="K103" s="1950" t="s">
        <v>4</v>
      </c>
      <c r="L103" s="1947" t="s">
        <v>4053</v>
      </c>
      <c r="M103" s="1754">
        <f t="shared" si="39"/>
        <v>165</v>
      </c>
      <c r="N103" s="1712"/>
      <c r="O103" s="1712">
        <f t="shared" si="40"/>
        <v>0</v>
      </c>
      <c r="P103" s="1712">
        <f t="shared" si="41"/>
        <v>0</v>
      </c>
      <c r="Q103" s="1712">
        <f t="shared" si="42"/>
        <v>0</v>
      </c>
      <c r="R103" s="1757">
        <v>0.13</v>
      </c>
      <c r="S103" s="1712">
        <f t="shared" si="43"/>
        <v>0</v>
      </c>
      <c r="T103" s="1712">
        <f t="shared" si="29"/>
        <v>0</v>
      </c>
      <c r="U103" s="1712">
        <f t="shared" si="30"/>
        <v>0</v>
      </c>
      <c r="V103" s="1952"/>
      <c r="X103" s="2099">
        <v>5</v>
      </c>
      <c r="Y103" s="1712"/>
      <c r="Z103" s="2119">
        <f t="shared" si="31"/>
        <v>0</v>
      </c>
      <c r="AA103" s="2119">
        <f t="shared" si="32"/>
        <v>0</v>
      </c>
      <c r="AB103" s="2119"/>
      <c r="AC103" s="2119"/>
    </row>
    <row r="104" spans="1:29" s="1942" customFormat="1" ht="13" outlineLevel="2">
      <c r="A104" s="1944"/>
      <c r="B104" s="2132" t="s">
        <v>679</v>
      </c>
      <c r="C104" s="2118"/>
      <c r="D104" s="2133" t="s">
        <v>3581</v>
      </c>
      <c r="E104" s="2009" t="s">
        <v>3582</v>
      </c>
      <c r="F104" s="1462" t="s">
        <v>3014</v>
      </c>
      <c r="G104" s="1953" t="s">
        <v>4143</v>
      </c>
      <c r="H104" s="1947" t="s">
        <v>3926</v>
      </c>
      <c r="I104" s="1712">
        <f>$G$7</f>
        <v>33</v>
      </c>
      <c r="J104" s="2099">
        <v>1</v>
      </c>
      <c r="K104" s="1950" t="s">
        <v>3947</v>
      </c>
      <c r="L104" s="1947" t="s">
        <v>3926</v>
      </c>
      <c r="M104" s="1754">
        <f t="shared" si="39"/>
        <v>33</v>
      </c>
      <c r="N104" s="1712"/>
      <c r="O104" s="1712">
        <f t="shared" si="40"/>
        <v>0</v>
      </c>
      <c r="P104" s="1712">
        <f t="shared" si="41"/>
        <v>0</v>
      </c>
      <c r="Q104" s="1712">
        <f t="shared" si="42"/>
        <v>0</v>
      </c>
      <c r="R104" s="1757">
        <v>0.13</v>
      </c>
      <c r="S104" s="1712">
        <f t="shared" si="43"/>
        <v>0</v>
      </c>
      <c r="T104" s="1712">
        <f t="shared" si="29"/>
        <v>0</v>
      </c>
      <c r="U104" s="1712">
        <f t="shared" si="30"/>
        <v>0</v>
      </c>
      <c r="V104" s="1952"/>
      <c r="X104" s="2099">
        <v>1</v>
      </c>
      <c r="Y104" s="1712"/>
      <c r="Z104" s="2119">
        <f t="shared" si="31"/>
        <v>0</v>
      </c>
      <c r="AA104" s="2119">
        <f t="shared" si="32"/>
        <v>0</v>
      </c>
      <c r="AB104" s="2119"/>
      <c r="AC104" s="2119"/>
    </row>
    <row r="105" spans="1:29" s="1942" customFormat="1" ht="13" outlineLevel="2">
      <c r="A105" s="1944"/>
      <c r="B105" s="2132" t="s">
        <v>680</v>
      </c>
      <c r="C105" s="2118"/>
      <c r="D105" s="2133" t="s">
        <v>3583</v>
      </c>
      <c r="E105" s="2009" t="s">
        <v>3584</v>
      </c>
      <c r="F105" s="1462" t="s">
        <v>1329</v>
      </c>
      <c r="G105" s="1953" t="s">
        <v>4132</v>
      </c>
      <c r="H105" s="1947" t="s">
        <v>3926</v>
      </c>
      <c r="I105" s="1712">
        <f>$G$7</f>
        <v>33</v>
      </c>
      <c r="J105" s="2099">
        <v>1</v>
      </c>
      <c r="K105" s="1950" t="s">
        <v>4</v>
      </c>
      <c r="L105" s="1947" t="s">
        <v>4054</v>
      </c>
      <c r="M105" s="1754">
        <f t="shared" si="39"/>
        <v>33</v>
      </c>
      <c r="N105" s="1712"/>
      <c r="O105" s="1712">
        <f t="shared" si="40"/>
        <v>0</v>
      </c>
      <c r="P105" s="1712">
        <f t="shared" si="41"/>
        <v>0</v>
      </c>
      <c r="Q105" s="1712">
        <f t="shared" si="42"/>
        <v>0</v>
      </c>
      <c r="R105" s="1757">
        <v>0.13</v>
      </c>
      <c r="S105" s="1712">
        <f t="shared" si="43"/>
        <v>0</v>
      </c>
      <c r="T105" s="1712">
        <f t="shared" si="29"/>
        <v>0</v>
      </c>
      <c r="U105" s="1712">
        <f t="shared" si="30"/>
        <v>0</v>
      </c>
      <c r="V105" s="1952"/>
      <c r="X105" s="2099">
        <v>1</v>
      </c>
      <c r="Y105" s="1712"/>
      <c r="Z105" s="2119">
        <f t="shared" si="31"/>
        <v>0</v>
      </c>
      <c r="AA105" s="2119">
        <f t="shared" si="32"/>
        <v>0</v>
      </c>
      <c r="AB105" s="2119"/>
      <c r="AC105" s="2119"/>
    </row>
    <row r="106" spans="1:29" s="1942" customFormat="1" ht="13" outlineLevel="2">
      <c r="A106" s="1944"/>
      <c r="B106" s="2132" t="s">
        <v>681</v>
      </c>
      <c r="C106" s="2118"/>
      <c r="D106" s="2133" t="s">
        <v>3585</v>
      </c>
      <c r="E106" s="2009" t="s">
        <v>3586</v>
      </c>
      <c r="F106" s="1462" t="s">
        <v>450</v>
      </c>
      <c r="G106" s="1953" t="s">
        <v>4144</v>
      </c>
      <c r="H106" s="1975" t="s">
        <v>10</v>
      </c>
      <c r="I106" s="1712">
        <f>$E$5</f>
        <v>1058.93</v>
      </c>
      <c r="J106" s="2099">
        <v>1</v>
      </c>
      <c r="K106" s="1950" t="s">
        <v>101</v>
      </c>
      <c r="L106" s="1947" t="s">
        <v>10</v>
      </c>
      <c r="M106" s="1754">
        <f t="shared" si="39"/>
        <v>1058.93</v>
      </c>
      <c r="N106" s="1712"/>
      <c r="O106" s="1712">
        <f t="shared" si="40"/>
        <v>0</v>
      </c>
      <c r="P106" s="1712">
        <f t="shared" si="41"/>
        <v>0</v>
      </c>
      <c r="Q106" s="1712">
        <f t="shared" si="42"/>
        <v>0</v>
      </c>
      <c r="R106" s="1757">
        <v>0.13</v>
      </c>
      <c r="S106" s="1712">
        <f t="shared" si="43"/>
        <v>0</v>
      </c>
      <c r="T106" s="1712">
        <f t="shared" si="29"/>
        <v>0</v>
      </c>
      <c r="U106" s="1712">
        <f t="shared" si="30"/>
        <v>0</v>
      </c>
      <c r="V106" s="1952"/>
      <c r="X106" s="2099">
        <v>1</v>
      </c>
      <c r="Y106" s="1712"/>
      <c r="Z106" s="2119">
        <f t="shared" si="31"/>
        <v>0</v>
      </c>
      <c r="AA106" s="2119">
        <f t="shared" si="32"/>
        <v>0</v>
      </c>
      <c r="AB106" s="2119"/>
      <c r="AC106" s="2119"/>
    </row>
    <row r="107" spans="1:29" s="1942" customFormat="1" ht="13" outlineLevel="2">
      <c r="A107" s="1944"/>
      <c r="B107" s="2132" t="s">
        <v>682</v>
      </c>
      <c r="C107" s="2118"/>
      <c r="D107" s="2133" t="s">
        <v>3587</v>
      </c>
      <c r="E107" s="2009" t="s">
        <v>3588</v>
      </c>
      <c r="F107" s="1462" t="s">
        <v>1329</v>
      </c>
      <c r="G107" s="1953" t="s">
        <v>4132</v>
      </c>
      <c r="H107" s="1947" t="s">
        <v>3926</v>
      </c>
      <c r="I107" s="1712">
        <f>$G$7</f>
        <v>33</v>
      </c>
      <c r="J107" s="2099">
        <v>1</v>
      </c>
      <c r="K107" s="1950" t="s">
        <v>4</v>
      </c>
      <c r="L107" s="1947" t="s">
        <v>4055</v>
      </c>
      <c r="M107" s="1754">
        <f t="shared" si="39"/>
        <v>33</v>
      </c>
      <c r="N107" s="1712"/>
      <c r="O107" s="1712">
        <f t="shared" si="40"/>
        <v>0</v>
      </c>
      <c r="P107" s="1712">
        <f t="shared" si="41"/>
        <v>0</v>
      </c>
      <c r="Q107" s="1712">
        <f t="shared" si="42"/>
        <v>0</v>
      </c>
      <c r="R107" s="1757">
        <v>0.13</v>
      </c>
      <c r="S107" s="1712">
        <f t="shared" si="43"/>
        <v>0</v>
      </c>
      <c r="T107" s="1712">
        <f t="shared" si="29"/>
        <v>0</v>
      </c>
      <c r="U107" s="1712">
        <f t="shared" si="30"/>
        <v>0</v>
      </c>
      <c r="V107" s="1952"/>
      <c r="X107" s="2099">
        <v>1</v>
      </c>
      <c r="Y107" s="1712"/>
      <c r="Z107" s="2119">
        <f t="shared" si="31"/>
        <v>0</v>
      </c>
      <c r="AA107" s="2119">
        <f t="shared" si="32"/>
        <v>0</v>
      </c>
      <c r="AB107" s="2119"/>
      <c r="AC107" s="2119"/>
    </row>
    <row r="108" spans="1:29" s="1942" customFormat="1" ht="13" outlineLevel="2">
      <c r="A108" s="1944"/>
      <c r="B108" s="2132" t="s">
        <v>683</v>
      </c>
      <c r="C108" s="2118"/>
      <c r="D108" s="2133" t="s">
        <v>3589</v>
      </c>
      <c r="E108" s="2009" t="s">
        <v>3590</v>
      </c>
      <c r="F108" s="1462" t="s">
        <v>1548</v>
      </c>
      <c r="G108" s="1953" t="s">
        <v>4145</v>
      </c>
      <c r="H108" s="1975" t="s">
        <v>3926</v>
      </c>
      <c r="I108" s="1712">
        <f>$G$7</f>
        <v>33</v>
      </c>
      <c r="J108" s="2099">
        <v>1</v>
      </c>
      <c r="K108" s="1950" t="s">
        <v>3947</v>
      </c>
      <c r="L108" s="1947" t="s">
        <v>3926</v>
      </c>
      <c r="M108" s="1754">
        <f t="shared" si="39"/>
        <v>33</v>
      </c>
      <c r="N108" s="1712"/>
      <c r="O108" s="1712">
        <f t="shared" si="40"/>
        <v>0</v>
      </c>
      <c r="P108" s="1712">
        <f t="shared" si="41"/>
        <v>0</v>
      </c>
      <c r="Q108" s="1712">
        <f t="shared" si="42"/>
        <v>0</v>
      </c>
      <c r="R108" s="1757">
        <v>0.13</v>
      </c>
      <c r="S108" s="1712">
        <f t="shared" si="43"/>
        <v>0</v>
      </c>
      <c r="T108" s="1712">
        <f t="shared" si="29"/>
        <v>0</v>
      </c>
      <c r="U108" s="1712">
        <f t="shared" si="30"/>
        <v>0</v>
      </c>
      <c r="V108" s="1952"/>
      <c r="X108" s="2099">
        <v>1</v>
      </c>
      <c r="Y108" s="1712"/>
      <c r="Z108" s="2119">
        <f t="shared" si="31"/>
        <v>0</v>
      </c>
      <c r="AA108" s="2119">
        <f t="shared" si="32"/>
        <v>0</v>
      </c>
      <c r="AB108" s="2119"/>
      <c r="AC108" s="2119"/>
    </row>
    <row r="109" spans="1:29" s="1942" customFormat="1" ht="13" outlineLevel="2">
      <c r="A109" s="1944"/>
      <c r="B109" s="2132" t="s">
        <v>1549</v>
      </c>
      <c r="C109" s="2118"/>
      <c r="D109" s="2133" t="s">
        <v>3591</v>
      </c>
      <c r="E109" s="2009" t="s">
        <v>3592</v>
      </c>
      <c r="F109" s="1462" t="s">
        <v>3593</v>
      </c>
      <c r="G109" s="1953" t="s">
        <v>4146</v>
      </c>
      <c r="H109" s="1975" t="s">
        <v>10</v>
      </c>
      <c r="I109" s="1712">
        <f>$E$5</f>
        <v>1058.93</v>
      </c>
      <c r="J109" s="2099">
        <v>1</v>
      </c>
      <c r="K109" s="1950" t="s">
        <v>101</v>
      </c>
      <c r="L109" s="1947" t="s">
        <v>10</v>
      </c>
      <c r="M109" s="1754">
        <f t="shared" si="39"/>
        <v>1058.93</v>
      </c>
      <c r="N109" s="1712"/>
      <c r="O109" s="1712">
        <f t="shared" si="40"/>
        <v>0</v>
      </c>
      <c r="P109" s="1712">
        <f t="shared" si="41"/>
        <v>0</v>
      </c>
      <c r="Q109" s="1712">
        <f t="shared" si="42"/>
        <v>0</v>
      </c>
      <c r="R109" s="1757">
        <v>0.13</v>
      </c>
      <c r="S109" s="1712">
        <f t="shared" si="43"/>
        <v>0</v>
      </c>
      <c r="T109" s="1712">
        <f t="shared" si="29"/>
        <v>0</v>
      </c>
      <c r="U109" s="1712">
        <f t="shared" si="30"/>
        <v>0</v>
      </c>
      <c r="V109" s="1952"/>
      <c r="X109" s="2099">
        <v>1</v>
      </c>
      <c r="Y109" s="1712"/>
      <c r="Z109" s="2119">
        <f t="shared" si="31"/>
        <v>0</v>
      </c>
      <c r="AA109" s="2119">
        <f t="shared" si="32"/>
        <v>0</v>
      </c>
      <c r="AB109" s="2119"/>
      <c r="AC109" s="2119"/>
    </row>
    <row r="110" spans="1:29" s="1942" customFormat="1" ht="13" outlineLevel="2">
      <c r="A110" s="1944"/>
      <c r="B110" s="2132" t="s">
        <v>684</v>
      </c>
      <c r="C110" s="2118"/>
      <c r="D110" s="2133" t="s">
        <v>3594</v>
      </c>
      <c r="E110" s="2009" t="s">
        <v>3595</v>
      </c>
      <c r="F110" s="1462" t="s">
        <v>1329</v>
      </c>
      <c r="G110" s="1953" t="s">
        <v>4132</v>
      </c>
      <c r="H110" s="1975" t="s">
        <v>10</v>
      </c>
      <c r="I110" s="1712">
        <f t="shared" ref="I110:I125" si="44">$E$5</f>
        <v>1058.93</v>
      </c>
      <c r="J110" s="2099">
        <v>1</v>
      </c>
      <c r="K110" s="1950" t="s">
        <v>101</v>
      </c>
      <c r="L110" s="1947" t="s">
        <v>10</v>
      </c>
      <c r="M110" s="1754">
        <f t="shared" si="39"/>
        <v>1058.93</v>
      </c>
      <c r="N110" s="1712"/>
      <c r="O110" s="1712">
        <f t="shared" si="40"/>
        <v>0</v>
      </c>
      <c r="P110" s="1712">
        <f t="shared" si="41"/>
        <v>0</v>
      </c>
      <c r="Q110" s="1712">
        <f t="shared" si="42"/>
        <v>0</v>
      </c>
      <c r="R110" s="1757">
        <v>0.13</v>
      </c>
      <c r="S110" s="1712">
        <f t="shared" si="43"/>
        <v>0</v>
      </c>
      <c r="T110" s="1712">
        <f t="shared" si="29"/>
        <v>0</v>
      </c>
      <c r="U110" s="1712">
        <f t="shared" si="30"/>
        <v>0</v>
      </c>
      <c r="V110" s="1952"/>
      <c r="X110" s="2099">
        <v>1</v>
      </c>
      <c r="Y110" s="1712"/>
      <c r="Z110" s="2119">
        <f t="shared" si="31"/>
        <v>0</v>
      </c>
      <c r="AA110" s="2119">
        <f t="shared" si="32"/>
        <v>0</v>
      </c>
      <c r="AB110" s="2119"/>
      <c r="AC110" s="2119"/>
    </row>
    <row r="111" spans="1:29" s="1942" customFormat="1" ht="13" outlineLevel="2">
      <c r="A111" s="1944"/>
      <c r="B111" s="2132" t="s">
        <v>685</v>
      </c>
      <c r="C111" s="2118"/>
      <c r="D111" s="2133" t="s">
        <v>3596</v>
      </c>
      <c r="E111" s="2009" t="s">
        <v>3597</v>
      </c>
      <c r="F111" s="1462" t="s">
        <v>1329</v>
      </c>
      <c r="G111" s="1953" t="s">
        <v>4132</v>
      </c>
      <c r="H111" s="1975" t="s">
        <v>10</v>
      </c>
      <c r="I111" s="1712">
        <f t="shared" si="44"/>
        <v>1058.93</v>
      </c>
      <c r="J111" s="2099">
        <v>1</v>
      </c>
      <c r="K111" s="1950" t="s">
        <v>101</v>
      </c>
      <c r="L111" s="1947" t="s">
        <v>10</v>
      </c>
      <c r="M111" s="1754">
        <f t="shared" si="39"/>
        <v>1058.93</v>
      </c>
      <c r="N111" s="1712"/>
      <c r="O111" s="1712">
        <f t="shared" si="40"/>
        <v>0</v>
      </c>
      <c r="P111" s="1712">
        <f t="shared" si="41"/>
        <v>0</v>
      </c>
      <c r="Q111" s="1712">
        <f t="shared" si="42"/>
        <v>0</v>
      </c>
      <c r="R111" s="1757">
        <v>0.13</v>
      </c>
      <c r="S111" s="1712">
        <f t="shared" si="43"/>
        <v>0</v>
      </c>
      <c r="T111" s="1712">
        <f t="shared" si="29"/>
        <v>0</v>
      </c>
      <c r="U111" s="1712">
        <f t="shared" si="30"/>
        <v>0</v>
      </c>
      <c r="V111" s="1952"/>
      <c r="X111" s="2099">
        <v>1</v>
      </c>
      <c r="Y111" s="1712"/>
      <c r="Z111" s="2119">
        <f t="shared" si="31"/>
        <v>0</v>
      </c>
      <c r="AA111" s="2119">
        <f t="shared" si="32"/>
        <v>0</v>
      </c>
      <c r="AB111" s="2119"/>
      <c r="AC111" s="2119"/>
    </row>
    <row r="112" spans="1:29" s="1942" customFormat="1" ht="13" outlineLevel="2">
      <c r="A112" s="1944"/>
      <c r="B112" s="2132" t="s">
        <v>686</v>
      </c>
      <c r="C112" s="2118"/>
      <c r="D112" s="2133" t="s">
        <v>3598</v>
      </c>
      <c r="E112" s="2009" t="s">
        <v>3599</v>
      </c>
      <c r="F112" s="1462" t="s">
        <v>1329</v>
      </c>
      <c r="G112" s="1953" t="s">
        <v>4132</v>
      </c>
      <c r="H112" s="1975" t="s">
        <v>10</v>
      </c>
      <c r="I112" s="1712">
        <f t="shared" si="44"/>
        <v>1058.93</v>
      </c>
      <c r="J112" s="2099">
        <v>1</v>
      </c>
      <c r="K112" s="1950" t="s">
        <v>101</v>
      </c>
      <c r="L112" s="1947" t="s">
        <v>10</v>
      </c>
      <c r="M112" s="1754">
        <f t="shared" si="39"/>
        <v>1058.93</v>
      </c>
      <c r="N112" s="1712"/>
      <c r="O112" s="1712">
        <f t="shared" si="40"/>
        <v>0</v>
      </c>
      <c r="P112" s="1712">
        <f t="shared" si="41"/>
        <v>0</v>
      </c>
      <c r="Q112" s="1712">
        <f t="shared" si="42"/>
        <v>0</v>
      </c>
      <c r="R112" s="1757">
        <v>0.13</v>
      </c>
      <c r="S112" s="1712">
        <f t="shared" si="43"/>
        <v>0</v>
      </c>
      <c r="T112" s="1712">
        <f t="shared" si="29"/>
        <v>0</v>
      </c>
      <c r="U112" s="1712">
        <f t="shared" si="30"/>
        <v>0</v>
      </c>
      <c r="V112" s="1952"/>
      <c r="X112" s="2099">
        <v>1</v>
      </c>
      <c r="Y112" s="1712"/>
      <c r="Z112" s="2119">
        <f t="shared" si="31"/>
        <v>0</v>
      </c>
      <c r="AA112" s="2119">
        <f t="shared" si="32"/>
        <v>0</v>
      </c>
      <c r="AB112" s="2119"/>
      <c r="AC112" s="2119"/>
    </row>
    <row r="113" spans="1:29" s="1942" customFormat="1" ht="13" outlineLevel="2">
      <c r="A113" s="1944"/>
      <c r="B113" s="2132" t="s">
        <v>3600</v>
      </c>
      <c r="C113" s="2118"/>
      <c r="D113" s="2133" t="s">
        <v>3601</v>
      </c>
      <c r="E113" s="2009" t="s">
        <v>3602</v>
      </c>
      <c r="F113" s="1462" t="s">
        <v>1329</v>
      </c>
      <c r="G113" s="1953" t="s">
        <v>4132</v>
      </c>
      <c r="H113" s="1975" t="s">
        <v>10</v>
      </c>
      <c r="I113" s="1712">
        <f t="shared" si="44"/>
        <v>1058.93</v>
      </c>
      <c r="J113" s="2099">
        <v>1</v>
      </c>
      <c r="K113" s="1950" t="s">
        <v>101</v>
      </c>
      <c r="L113" s="1947" t="s">
        <v>10</v>
      </c>
      <c r="M113" s="1754">
        <f t="shared" si="39"/>
        <v>1058.93</v>
      </c>
      <c r="N113" s="1712"/>
      <c r="O113" s="1712">
        <f t="shared" si="40"/>
        <v>0</v>
      </c>
      <c r="P113" s="1712">
        <f t="shared" si="41"/>
        <v>0</v>
      </c>
      <c r="Q113" s="1712">
        <f t="shared" si="42"/>
        <v>0</v>
      </c>
      <c r="R113" s="1757">
        <v>0.13</v>
      </c>
      <c r="S113" s="1712">
        <f t="shared" si="43"/>
        <v>0</v>
      </c>
      <c r="T113" s="1712">
        <f t="shared" si="29"/>
        <v>0</v>
      </c>
      <c r="U113" s="1712">
        <f t="shared" si="30"/>
        <v>0</v>
      </c>
      <c r="V113" s="1952"/>
      <c r="X113" s="2099">
        <v>1</v>
      </c>
      <c r="Y113" s="1712"/>
      <c r="Z113" s="2119">
        <f t="shared" si="31"/>
        <v>0</v>
      </c>
      <c r="AA113" s="2119">
        <f t="shared" si="32"/>
        <v>0</v>
      </c>
      <c r="AB113" s="2119"/>
      <c r="AC113" s="2119"/>
    </row>
    <row r="114" spans="1:29" s="1942" customFormat="1" ht="13" outlineLevel="2">
      <c r="A114" s="1944"/>
      <c r="B114" s="2132" t="s">
        <v>3603</v>
      </c>
      <c r="C114" s="2118"/>
      <c r="D114" s="2133" t="s">
        <v>3604</v>
      </c>
      <c r="E114" s="2009" t="s">
        <v>3605</v>
      </c>
      <c r="F114" s="1462" t="s">
        <v>1329</v>
      </c>
      <c r="G114" s="1953" t="s">
        <v>4132</v>
      </c>
      <c r="H114" s="1975" t="s">
        <v>10</v>
      </c>
      <c r="I114" s="1712">
        <f t="shared" si="44"/>
        <v>1058.93</v>
      </c>
      <c r="J114" s="2099">
        <v>1</v>
      </c>
      <c r="K114" s="1950" t="s">
        <v>101</v>
      </c>
      <c r="L114" s="1947" t="s">
        <v>10</v>
      </c>
      <c r="M114" s="1754">
        <f t="shared" si="39"/>
        <v>1058.93</v>
      </c>
      <c r="N114" s="1712"/>
      <c r="O114" s="1712">
        <f t="shared" si="40"/>
        <v>0</v>
      </c>
      <c r="P114" s="1712">
        <f t="shared" si="41"/>
        <v>0</v>
      </c>
      <c r="Q114" s="1712">
        <f t="shared" si="42"/>
        <v>0</v>
      </c>
      <c r="R114" s="1757">
        <v>0.13</v>
      </c>
      <c r="S114" s="1712">
        <f t="shared" si="43"/>
        <v>0</v>
      </c>
      <c r="T114" s="1712">
        <f t="shared" si="29"/>
        <v>0</v>
      </c>
      <c r="U114" s="1712">
        <f t="shared" si="30"/>
        <v>0</v>
      </c>
      <c r="V114" s="1952"/>
      <c r="X114" s="2099">
        <v>1</v>
      </c>
      <c r="Y114" s="1712"/>
      <c r="Z114" s="2119">
        <f t="shared" si="31"/>
        <v>0</v>
      </c>
      <c r="AA114" s="2119">
        <f t="shared" si="32"/>
        <v>0</v>
      </c>
      <c r="AB114" s="2119"/>
      <c r="AC114" s="2119"/>
    </row>
    <row r="115" spans="1:29" s="1942" customFormat="1" ht="13" outlineLevel="2">
      <c r="A115" s="1944"/>
      <c r="B115" s="2132" t="s">
        <v>3606</v>
      </c>
      <c r="C115" s="2118"/>
      <c r="D115" s="2133" t="s">
        <v>3607</v>
      </c>
      <c r="E115" s="2009" t="s">
        <v>3608</v>
      </c>
      <c r="F115" s="1462" t="s">
        <v>1607</v>
      </c>
      <c r="G115" s="1953" t="s">
        <v>4147</v>
      </c>
      <c r="H115" s="1975" t="s">
        <v>10</v>
      </c>
      <c r="I115" s="1712">
        <f t="shared" si="44"/>
        <v>1058.93</v>
      </c>
      <c r="J115" s="2099">
        <v>1</v>
      </c>
      <c r="K115" s="1950" t="s">
        <v>101</v>
      </c>
      <c r="L115" s="1947" t="s">
        <v>10</v>
      </c>
      <c r="M115" s="1754">
        <f t="shared" si="39"/>
        <v>1058.93</v>
      </c>
      <c r="N115" s="1712"/>
      <c r="O115" s="1712">
        <f t="shared" si="40"/>
        <v>0</v>
      </c>
      <c r="P115" s="1712">
        <f t="shared" si="41"/>
        <v>0</v>
      </c>
      <c r="Q115" s="1712">
        <f t="shared" si="42"/>
        <v>0</v>
      </c>
      <c r="R115" s="1757">
        <v>0.13</v>
      </c>
      <c r="S115" s="1712">
        <f t="shared" si="43"/>
        <v>0</v>
      </c>
      <c r="T115" s="1712">
        <f t="shared" si="29"/>
        <v>0</v>
      </c>
      <c r="U115" s="1712">
        <f t="shared" si="30"/>
        <v>0</v>
      </c>
      <c r="V115" s="1952"/>
      <c r="X115" s="2099">
        <v>1</v>
      </c>
      <c r="Y115" s="1712"/>
      <c r="Z115" s="2119">
        <f t="shared" si="31"/>
        <v>0</v>
      </c>
      <c r="AA115" s="2119">
        <f t="shared" si="32"/>
        <v>0</v>
      </c>
      <c r="AB115" s="2119"/>
      <c r="AC115" s="2119"/>
    </row>
    <row r="116" spans="1:29" s="1942" customFormat="1" ht="13" outlineLevel="2">
      <c r="A116" s="1944"/>
      <c r="B116" s="2132" t="s">
        <v>3609</v>
      </c>
      <c r="C116" s="2118"/>
      <c r="D116" s="2133" t="s">
        <v>3610</v>
      </c>
      <c r="E116" s="2009" t="s">
        <v>3611</v>
      </c>
      <c r="F116" s="1462" t="s">
        <v>1607</v>
      </c>
      <c r="G116" s="1953" t="s">
        <v>4147</v>
      </c>
      <c r="H116" s="1975" t="s">
        <v>10</v>
      </c>
      <c r="I116" s="1712">
        <f t="shared" si="44"/>
        <v>1058.93</v>
      </c>
      <c r="J116" s="2099">
        <v>1</v>
      </c>
      <c r="K116" s="1950" t="s">
        <v>101</v>
      </c>
      <c r="L116" s="1947" t="s">
        <v>10</v>
      </c>
      <c r="M116" s="1754">
        <f t="shared" si="39"/>
        <v>1058.93</v>
      </c>
      <c r="N116" s="1712"/>
      <c r="O116" s="1712">
        <f t="shared" si="40"/>
        <v>0</v>
      </c>
      <c r="P116" s="1712">
        <f t="shared" si="41"/>
        <v>0</v>
      </c>
      <c r="Q116" s="1712">
        <f t="shared" si="42"/>
        <v>0</v>
      </c>
      <c r="R116" s="1757">
        <v>0.13</v>
      </c>
      <c r="S116" s="1712">
        <f t="shared" si="43"/>
        <v>0</v>
      </c>
      <c r="T116" s="1712">
        <f t="shared" si="29"/>
        <v>0</v>
      </c>
      <c r="U116" s="1712">
        <f t="shared" si="30"/>
        <v>0</v>
      </c>
      <c r="V116" s="1952"/>
      <c r="X116" s="2099">
        <v>1</v>
      </c>
      <c r="Y116" s="1712"/>
      <c r="Z116" s="2119">
        <f t="shared" si="31"/>
        <v>0</v>
      </c>
      <c r="AA116" s="2119">
        <f t="shared" si="32"/>
        <v>0</v>
      </c>
      <c r="AB116" s="2119"/>
      <c r="AC116" s="2119"/>
    </row>
    <row r="117" spans="1:29" s="1942" customFormat="1" ht="13" outlineLevel="2">
      <c r="A117" s="1944"/>
      <c r="B117" s="2132" t="s">
        <v>3612</v>
      </c>
      <c r="C117" s="2118"/>
      <c r="D117" s="2133" t="s">
        <v>3613</v>
      </c>
      <c r="E117" s="2009" t="s">
        <v>3614</v>
      </c>
      <c r="F117" s="1462" t="s">
        <v>3615</v>
      </c>
      <c r="G117" s="1953" t="s">
        <v>4148</v>
      </c>
      <c r="H117" s="1975" t="s">
        <v>10</v>
      </c>
      <c r="I117" s="1712">
        <f t="shared" si="44"/>
        <v>1058.93</v>
      </c>
      <c r="J117" s="2099">
        <v>1</v>
      </c>
      <c r="K117" s="1950" t="s">
        <v>101</v>
      </c>
      <c r="L117" s="1947" t="s">
        <v>10</v>
      </c>
      <c r="M117" s="1754">
        <f t="shared" si="39"/>
        <v>1058.93</v>
      </c>
      <c r="N117" s="1712"/>
      <c r="O117" s="1712">
        <f t="shared" si="40"/>
        <v>0</v>
      </c>
      <c r="P117" s="1712">
        <f t="shared" si="41"/>
        <v>0</v>
      </c>
      <c r="Q117" s="1712">
        <f t="shared" si="42"/>
        <v>0</v>
      </c>
      <c r="R117" s="1757">
        <v>0.13</v>
      </c>
      <c r="S117" s="1712">
        <f t="shared" si="43"/>
        <v>0</v>
      </c>
      <c r="T117" s="1712">
        <f t="shared" si="29"/>
        <v>0</v>
      </c>
      <c r="U117" s="1712">
        <f t="shared" si="30"/>
        <v>0</v>
      </c>
      <c r="V117" s="1952"/>
      <c r="X117" s="2099">
        <v>1</v>
      </c>
      <c r="Y117" s="1712"/>
      <c r="Z117" s="2119">
        <f t="shared" si="31"/>
        <v>0</v>
      </c>
      <c r="AA117" s="2119">
        <f t="shared" si="32"/>
        <v>0</v>
      </c>
      <c r="AB117" s="2119"/>
      <c r="AC117" s="2119"/>
    </row>
    <row r="118" spans="1:29" s="1942" customFormat="1" ht="13" outlineLevel="2">
      <c r="A118" s="1944"/>
      <c r="B118" s="2132" t="s">
        <v>3616</v>
      </c>
      <c r="C118" s="2118"/>
      <c r="D118" s="2133" t="s">
        <v>3617</v>
      </c>
      <c r="E118" s="2009" t="s">
        <v>3618</v>
      </c>
      <c r="F118" s="1462" t="s">
        <v>3521</v>
      </c>
      <c r="G118" s="1953" t="s">
        <v>4139</v>
      </c>
      <c r="H118" s="1975" t="s">
        <v>10</v>
      </c>
      <c r="I118" s="1712">
        <f t="shared" si="44"/>
        <v>1058.93</v>
      </c>
      <c r="J118" s="2099">
        <v>1</v>
      </c>
      <c r="K118" s="1950" t="s">
        <v>101</v>
      </c>
      <c r="L118" s="1947" t="s">
        <v>10</v>
      </c>
      <c r="M118" s="1754">
        <f t="shared" si="39"/>
        <v>1058.93</v>
      </c>
      <c r="N118" s="1712"/>
      <c r="O118" s="1712">
        <f t="shared" si="40"/>
        <v>0</v>
      </c>
      <c r="P118" s="1712">
        <f t="shared" si="41"/>
        <v>0</v>
      </c>
      <c r="Q118" s="1712">
        <f t="shared" si="42"/>
        <v>0</v>
      </c>
      <c r="R118" s="1757">
        <v>0.13</v>
      </c>
      <c r="S118" s="1712">
        <f t="shared" si="43"/>
        <v>0</v>
      </c>
      <c r="T118" s="1712">
        <f t="shared" si="29"/>
        <v>0</v>
      </c>
      <c r="U118" s="1712">
        <f t="shared" si="30"/>
        <v>0</v>
      </c>
      <c r="V118" s="1952"/>
      <c r="X118" s="2099">
        <v>1</v>
      </c>
      <c r="Y118" s="1712"/>
      <c r="Z118" s="2119">
        <f t="shared" si="31"/>
        <v>0</v>
      </c>
      <c r="AA118" s="2119">
        <f t="shared" si="32"/>
        <v>0</v>
      </c>
      <c r="AB118" s="2119"/>
      <c r="AC118" s="2119"/>
    </row>
    <row r="119" spans="1:29" s="1942" customFormat="1" ht="13" outlineLevel="2">
      <c r="A119" s="1944"/>
      <c r="B119" s="2132" t="s">
        <v>3619</v>
      </c>
      <c r="C119" s="2118"/>
      <c r="D119" s="2133" t="s">
        <v>3620</v>
      </c>
      <c r="E119" s="2009" t="s">
        <v>3621</v>
      </c>
      <c r="F119" s="1462" t="s">
        <v>1329</v>
      </c>
      <c r="G119" s="1953" t="s">
        <v>4132</v>
      </c>
      <c r="H119" s="1975" t="s">
        <v>10</v>
      </c>
      <c r="I119" s="1712">
        <f t="shared" si="44"/>
        <v>1058.93</v>
      </c>
      <c r="J119" s="2099">
        <v>1</v>
      </c>
      <c r="K119" s="1950" t="s">
        <v>101</v>
      </c>
      <c r="L119" s="1947" t="s">
        <v>10</v>
      </c>
      <c r="M119" s="1754">
        <f t="shared" si="39"/>
        <v>1058.93</v>
      </c>
      <c r="N119" s="1712"/>
      <c r="O119" s="1712">
        <f t="shared" si="40"/>
        <v>0</v>
      </c>
      <c r="P119" s="1712">
        <f t="shared" si="41"/>
        <v>0</v>
      </c>
      <c r="Q119" s="1712">
        <f t="shared" si="42"/>
        <v>0</v>
      </c>
      <c r="R119" s="1757">
        <v>0.13</v>
      </c>
      <c r="S119" s="1712">
        <f t="shared" si="43"/>
        <v>0</v>
      </c>
      <c r="T119" s="1712">
        <f t="shared" si="29"/>
        <v>0</v>
      </c>
      <c r="U119" s="1712">
        <f t="shared" si="30"/>
        <v>0</v>
      </c>
      <c r="V119" s="1952"/>
      <c r="X119" s="2099">
        <v>1</v>
      </c>
      <c r="Y119" s="1712"/>
      <c r="Z119" s="2119">
        <f t="shared" si="31"/>
        <v>0</v>
      </c>
      <c r="AA119" s="2119">
        <f t="shared" si="32"/>
        <v>0</v>
      </c>
      <c r="AB119" s="2119"/>
      <c r="AC119" s="2119"/>
    </row>
    <row r="120" spans="1:29" ht="13" outlineLevel="1">
      <c r="A120" s="2019"/>
      <c r="B120" s="2131" t="s">
        <v>687</v>
      </c>
      <c r="C120" s="2115">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f t="shared" si="29"/>
        <v>0</v>
      </c>
      <c r="U120" s="1973">
        <f t="shared" si="30"/>
        <v>0</v>
      </c>
      <c r="V120" s="1974"/>
      <c r="X120" s="2116"/>
      <c r="Y120" s="1973"/>
      <c r="Z120" s="2119">
        <f t="shared" si="31"/>
        <v>0</v>
      </c>
      <c r="AA120" s="2119">
        <f t="shared" si="32"/>
        <v>0</v>
      </c>
    </row>
    <row r="121" spans="1:29" s="1942" customFormat="1" ht="13" outlineLevel="2">
      <c r="A121" s="1944"/>
      <c r="B121" s="2132" t="s">
        <v>689</v>
      </c>
      <c r="C121" s="2118"/>
      <c r="D121" s="2008" t="s">
        <v>3622</v>
      </c>
      <c r="E121" s="2009" t="s">
        <v>3623</v>
      </c>
      <c r="F121" s="1462" t="s">
        <v>3624</v>
      </c>
      <c r="G121" s="1953" t="s">
        <v>4149</v>
      </c>
      <c r="H121" s="1975" t="s">
        <v>10</v>
      </c>
      <c r="I121" s="1712">
        <f t="shared" si="44"/>
        <v>1058.93</v>
      </c>
      <c r="J121" s="2099">
        <v>1</v>
      </c>
      <c r="K121" s="1950" t="s">
        <v>101</v>
      </c>
      <c r="L121" s="1947" t="s">
        <v>10</v>
      </c>
      <c r="M121" s="1754">
        <f t="shared" si="39"/>
        <v>1058.93</v>
      </c>
      <c r="N121" s="1712"/>
      <c r="O121" s="1712">
        <f>ROUND(M121*ROUND(N121,2)/10000,6)</f>
        <v>0</v>
      </c>
      <c r="P121" s="1712">
        <f>IFERROR(ROUND(Q121*10000/M121,2),0)</f>
        <v>0</v>
      </c>
      <c r="Q121" s="1712">
        <f>ROUND(O121/(1+R121),6)</f>
        <v>0</v>
      </c>
      <c r="R121" s="1757">
        <v>0.06</v>
      </c>
      <c r="S121" s="1712">
        <f>O121-Q121</f>
        <v>0</v>
      </c>
      <c r="T121" s="1712">
        <f t="shared" si="29"/>
        <v>0</v>
      </c>
      <c r="U121" s="1712">
        <f t="shared" si="30"/>
        <v>0</v>
      </c>
      <c r="V121" s="1952"/>
      <c r="X121" s="2099">
        <v>1</v>
      </c>
      <c r="Y121" s="1712"/>
      <c r="Z121" s="2119">
        <f t="shared" si="31"/>
        <v>0</v>
      </c>
      <c r="AA121" s="2119">
        <f t="shared" si="32"/>
        <v>0</v>
      </c>
      <c r="AB121" s="2119"/>
      <c r="AC121" s="2119"/>
    </row>
    <row r="122" spans="1:29" s="1942" customFormat="1" ht="13" outlineLevel="2">
      <c r="A122" s="1944"/>
      <c r="B122" s="2132" t="s">
        <v>691</v>
      </c>
      <c r="C122" s="2118"/>
      <c r="D122" s="2008" t="s">
        <v>3625</v>
      </c>
      <c r="E122" s="2009" t="s">
        <v>3626</v>
      </c>
      <c r="F122" s="1462" t="s">
        <v>3624</v>
      </c>
      <c r="G122" s="1953" t="s">
        <v>4149</v>
      </c>
      <c r="H122" s="1975" t="s">
        <v>10</v>
      </c>
      <c r="I122" s="1712">
        <f t="shared" si="44"/>
        <v>1058.93</v>
      </c>
      <c r="J122" s="2099">
        <v>1</v>
      </c>
      <c r="K122" s="1950" t="s">
        <v>101</v>
      </c>
      <c r="L122" s="1947" t="s">
        <v>10</v>
      </c>
      <c r="M122" s="1754">
        <f t="shared" si="39"/>
        <v>1058.93</v>
      </c>
      <c r="N122" s="1712"/>
      <c r="O122" s="1712">
        <f>ROUND(M122*ROUND(N122,2)/10000,6)</f>
        <v>0</v>
      </c>
      <c r="P122" s="1712">
        <f>IFERROR(ROUND(Q122*10000/M122,2),0)</f>
        <v>0</v>
      </c>
      <c r="Q122" s="1712">
        <f>ROUND(O122/(1+R122),6)</f>
        <v>0</v>
      </c>
      <c r="R122" s="1757">
        <v>0.06</v>
      </c>
      <c r="S122" s="1712">
        <f>O122-Q122</f>
        <v>0</v>
      </c>
      <c r="T122" s="1712">
        <f t="shared" si="29"/>
        <v>0</v>
      </c>
      <c r="U122" s="1712">
        <f t="shared" si="30"/>
        <v>0</v>
      </c>
      <c r="V122" s="1952"/>
      <c r="X122" s="2099">
        <v>1</v>
      </c>
      <c r="Y122" s="1712"/>
      <c r="Z122" s="2119">
        <f t="shared" si="31"/>
        <v>0</v>
      </c>
      <c r="AA122" s="2119">
        <f t="shared" si="32"/>
        <v>0</v>
      </c>
      <c r="AB122" s="2119"/>
      <c r="AC122" s="2119"/>
    </row>
    <row r="123" spans="1:29" s="1942" customFormat="1" ht="13" outlineLevel="2">
      <c r="A123" s="1944"/>
      <c r="B123" s="2132" t="s">
        <v>693</v>
      </c>
      <c r="C123" s="2118"/>
      <c r="D123" s="2008" t="s">
        <v>3627</v>
      </c>
      <c r="E123" s="2009" t="s">
        <v>3628</v>
      </c>
      <c r="F123" s="1462" t="s">
        <v>3624</v>
      </c>
      <c r="G123" s="1953" t="s">
        <v>4149</v>
      </c>
      <c r="H123" s="1975" t="s">
        <v>10</v>
      </c>
      <c r="I123" s="1712">
        <f t="shared" si="44"/>
        <v>1058.93</v>
      </c>
      <c r="J123" s="2099">
        <v>1</v>
      </c>
      <c r="K123" s="1950" t="s">
        <v>101</v>
      </c>
      <c r="L123" s="1947" t="s">
        <v>10</v>
      </c>
      <c r="M123" s="1754">
        <f t="shared" si="39"/>
        <v>1058.93</v>
      </c>
      <c r="N123" s="1712"/>
      <c r="O123" s="1712">
        <f>ROUND(M123*ROUND(N123,2)/10000,6)</f>
        <v>0</v>
      </c>
      <c r="P123" s="1712">
        <f>IFERROR(ROUND(Q123*10000/M123,2),0)</f>
        <v>0</v>
      </c>
      <c r="Q123" s="1712">
        <f>ROUND(O123/(1+R123),6)</f>
        <v>0</v>
      </c>
      <c r="R123" s="1757">
        <v>0.13</v>
      </c>
      <c r="S123" s="1712">
        <f>O123-Q123</f>
        <v>0</v>
      </c>
      <c r="T123" s="1712">
        <f t="shared" si="29"/>
        <v>0</v>
      </c>
      <c r="U123" s="1712">
        <f t="shared" si="30"/>
        <v>0</v>
      </c>
      <c r="V123" s="1952"/>
      <c r="X123" s="2099">
        <v>1</v>
      </c>
      <c r="Y123" s="1712"/>
      <c r="Z123" s="2119">
        <f t="shared" si="31"/>
        <v>0</v>
      </c>
      <c r="AA123" s="2119">
        <f t="shared" si="32"/>
        <v>0</v>
      </c>
      <c r="AB123" s="2119"/>
      <c r="AC123" s="2119"/>
    </row>
    <row r="124" spans="1:29" ht="13" outlineLevel="1">
      <c r="A124" s="2019"/>
      <c r="B124" s="2131" t="s">
        <v>695</v>
      </c>
      <c r="C124" s="2115">
        <v>3</v>
      </c>
      <c r="D124" s="2024" t="s">
        <v>3147</v>
      </c>
      <c r="E124" s="2025"/>
      <c r="F124" s="2026" t="s">
        <v>1424</v>
      </c>
      <c r="G124" s="2027" t="s">
        <v>4123</v>
      </c>
      <c r="H124" s="2028" t="s">
        <v>10</v>
      </c>
      <c r="I124" s="2029">
        <f t="shared" si="44"/>
        <v>1058.93</v>
      </c>
      <c r="J124" s="2134"/>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9"/>
        <v>0</v>
      </c>
      <c r="U124" s="1973">
        <f t="shared" si="30"/>
        <v>0</v>
      </c>
      <c r="V124" s="1974"/>
      <c r="X124" s="2134"/>
      <c r="Y124" s="1973"/>
      <c r="Z124" s="2119">
        <f t="shared" si="31"/>
        <v>0</v>
      </c>
      <c r="AA124" s="2119">
        <f t="shared" si="32"/>
        <v>0</v>
      </c>
    </row>
    <row r="125" spans="1:29" ht="13" outlineLevel="1">
      <c r="A125" s="2019"/>
      <c r="B125" s="2131" t="s">
        <v>697</v>
      </c>
      <c r="C125" s="2115">
        <v>4</v>
      </c>
      <c r="D125" s="2024" t="s">
        <v>3148</v>
      </c>
      <c r="E125" s="2025" t="s">
        <v>3629</v>
      </c>
      <c r="F125" s="2026" t="s">
        <v>3577</v>
      </c>
      <c r="G125" s="2027" t="s">
        <v>4141</v>
      </c>
      <c r="H125" s="2032" t="s">
        <v>10</v>
      </c>
      <c r="I125" s="2029">
        <f t="shared" si="44"/>
        <v>1058.93</v>
      </c>
      <c r="J125" s="2134"/>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9"/>
        <v>0</v>
      </c>
      <c r="U125" s="1973">
        <f t="shared" si="30"/>
        <v>0</v>
      </c>
      <c r="V125" s="1974"/>
      <c r="X125" s="2134"/>
      <c r="Y125" s="1973"/>
      <c r="Z125" s="2119">
        <f t="shared" si="31"/>
        <v>0</v>
      </c>
      <c r="AA125" s="2119">
        <f t="shared" si="32"/>
        <v>0</v>
      </c>
    </row>
    <row r="126" spans="1:29" ht="13">
      <c r="A126" s="2019"/>
      <c r="B126" s="2130">
        <v>5001.05</v>
      </c>
      <c r="C126" s="2112" t="s">
        <v>379</v>
      </c>
      <c r="D126" s="1956" t="s">
        <v>498</v>
      </c>
      <c r="E126" s="1957"/>
      <c r="F126" s="2020"/>
      <c r="G126" s="2021" t="s">
        <v>4117</v>
      </c>
      <c r="H126" s="1959"/>
      <c r="I126" s="1960"/>
      <c r="J126" s="2113"/>
      <c r="K126" s="2022"/>
      <c r="L126" s="1959"/>
      <c r="M126" s="2022"/>
      <c r="N126" s="1963"/>
      <c r="O126" s="1963">
        <f>SUBTOTAL(9,O127:O202)</f>
        <v>93.36778799999999</v>
      </c>
      <c r="P126" s="1963"/>
      <c r="Q126" s="1963">
        <f>SUBTOTAL(9,Q127:Q202)</f>
        <v>84.389420999999999</v>
      </c>
      <c r="R126" s="1963"/>
      <c r="S126" s="1963">
        <f>SUBTOTAL(9,S127:S202)</f>
        <v>8.9783669999999987</v>
      </c>
      <c r="T126" s="1963">
        <f t="shared" si="29"/>
        <v>796.93106248760535</v>
      </c>
      <c r="U126" s="1963">
        <f t="shared" si="30"/>
        <v>881.71822500070812</v>
      </c>
      <c r="V126" s="1964"/>
      <c r="X126" s="2113"/>
      <c r="Y126" s="1963"/>
      <c r="Z126" s="2119">
        <f t="shared" si="31"/>
        <v>0</v>
      </c>
      <c r="AA126" s="2119">
        <f t="shared" si="32"/>
        <v>0</v>
      </c>
    </row>
    <row r="127" spans="1:29" ht="13" outlineLevel="1">
      <c r="A127" s="2019"/>
      <c r="B127" s="2131" t="s">
        <v>499</v>
      </c>
      <c r="C127" s="2115">
        <v>1</v>
      </c>
      <c r="D127" s="2024" t="s">
        <v>35</v>
      </c>
      <c r="E127" s="2025"/>
      <c r="F127" s="1968"/>
      <c r="G127" s="2007" t="s">
        <v>4117</v>
      </c>
      <c r="H127" s="1967"/>
      <c r="I127" s="1969"/>
      <c r="J127" s="2116"/>
      <c r="K127" s="1971"/>
      <c r="L127" s="1967"/>
      <c r="M127" s="1971"/>
      <c r="N127" s="1973"/>
      <c r="O127" s="1973">
        <f>SUBTOTAL(9,O128:O169)</f>
        <v>85.942787999999979</v>
      </c>
      <c r="P127" s="1973"/>
      <c r="Q127" s="1973">
        <f>SUBTOTAL(9,Q128:Q169)</f>
        <v>77.577494999999999</v>
      </c>
      <c r="R127" s="1973"/>
      <c r="S127" s="1973">
        <f>SUBTOTAL(9,S128:S169)</f>
        <v>8.3652929999999976</v>
      </c>
      <c r="T127" s="1973">
        <f t="shared" si="29"/>
        <v>732.602674397741</v>
      </c>
      <c r="U127" s="1973">
        <f t="shared" si="30"/>
        <v>811.60027575004926</v>
      </c>
      <c r="V127" s="1974"/>
      <c r="X127" s="2116"/>
      <c r="Y127" s="1973"/>
      <c r="Z127" s="2119">
        <f t="shared" si="31"/>
        <v>0</v>
      </c>
      <c r="AA127" s="2119">
        <f t="shared" si="32"/>
        <v>0</v>
      </c>
    </row>
    <row r="128" spans="1:29" s="1942" customFormat="1" ht="13" outlineLevel="2">
      <c r="A128" s="1944"/>
      <c r="B128" s="2132" t="s">
        <v>700</v>
      </c>
      <c r="C128" s="2118"/>
      <c r="D128" s="2008" t="s">
        <v>701</v>
      </c>
      <c r="E128" s="2009"/>
      <c r="F128" s="1462"/>
      <c r="G128" s="1953" t="s">
        <v>4117</v>
      </c>
      <c r="H128" s="1947"/>
      <c r="I128" s="1948"/>
      <c r="J128" s="2099"/>
      <c r="K128" s="1950"/>
      <c r="L128" s="1947"/>
      <c r="M128" s="1950"/>
      <c r="N128" s="1712"/>
      <c r="O128" s="1712">
        <f>SUBTOTAL(9,O129:O143)</f>
        <v>30.497183999999997</v>
      </c>
      <c r="P128" s="1712"/>
      <c r="Q128" s="1712">
        <f>SUBTOTAL(9,Q129:Q143)</f>
        <v>27.552641999999999</v>
      </c>
      <c r="R128" s="1712"/>
      <c r="S128" s="1712">
        <f>SUBTOTAL(9,S129:S143)</f>
        <v>2.9445419999999984</v>
      </c>
      <c r="T128" s="1712">
        <f t="shared" si="29"/>
        <v>260.19323279159147</v>
      </c>
      <c r="U128" s="1712">
        <f t="shared" si="30"/>
        <v>287.99999999999994</v>
      </c>
      <c r="V128" s="1952"/>
      <c r="X128" s="2099"/>
      <c r="Y128" s="1712"/>
      <c r="Z128" s="2119">
        <f t="shared" si="31"/>
        <v>0</v>
      </c>
      <c r="AA128" s="2119">
        <f t="shared" si="32"/>
        <v>0</v>
      </c>
      <c r="AB128" s="2119"/>
      <c r="AC128" s="2119"/>
    </row>
    <row r="129" spans="1:29" s="1942" customFormat="1" ht="13" outlineLevel="3">
      <c r="A129" s="1944"/>
      <c r="B129" s="2120" t="s">
        <v>702</v>
      </c>
      <c r="C129" s="2121"/>
      <c r="D129" s="2008" t="s">
        <v>3630</v>
      </c>
      <c r="E129" s="2009" t="s">
        <v>3631</v>
      </c>
      <c r="F129" s="1462"/>
      <c r="G129" s="1953" t="s">
        <v>4117</v>
      </c>
      <c r="H129" s="1947"/>
      <c r="I129" s="1712"/>
      <c r="J129" s="2135"/>
      <c r="K129" s="1950"/>
      <c r="L129" s="1947"/>
      <c r="M129" s="1754"/>
      <c r="N129" s="1712"/>
      <c r="O129" s="1712">
        <f>SUBTOTAL(9,O130:O131)</f>
        <v>13.554304</v>
      </c>
      <c r="P129" s="1983"/>
      <c r="Q129" s="1712">
        <f>SUBTOTAL(9,Q130:Q131)</f>
        <v>12.215051000000001</v>
      </c>
      <c r="R129" s="1757"/>
      <c r="S129" s="1712">
        <f>SUBTOTAL(9,S130:S131)</f>
        <v>1.3392529999999994</v>
      </c>
      <c r="T129" s="1712">
        <f t="shared" si="29"/>
        <v>115.35277119356331</v>
      </c>
      <c r="U129" s="1712">
        <f t="shared" si="30"/>
        <v>128</v>
      </c>
      <c r="V129" s="1952"/>
      <c r="X129" s="2135"/>
      <c r="Y129" s="1712"/>
      <c r="Z129" s="2119">
        <f t="shared" si="31"/>
        <v>0</v>
      </c>
      <c r="AA129" s="2119">
        <f t="shared" si="32"/>
        <v>0</v>
      </c>
      <c r="AB129" s="2119"/>
      <c r="AC129" s="2119"/>
    </row>
    <row r="130" spans="1:29" s="1942" customFormat="1" ht="13" outlineLevel="4">
      <c r="A130" s="1944"/>
      <c r="B130" s="2122" t="s">
        <v>801</v>
      </c>
      <c r="C130" s="2123"/>
      <c r="D130" s="2013" t="s">
        <v>4057</v>
      </c>
      <c r="E130" s="2011"/>
      <c r="F130" s="1988" t="s">
        <v>459</v>
      </c>
      <c r="G130" s="1989" t="s">
        <v>4150</v>
      </c>
      <c r="H130" s="1990" t="s">
        <v>10</v>
      </c>
      <c r="I130" s="1991">
        <f>$E$5</f>
        <v>1058.93</v>
      </c>
      <c r="J130" s="2136">
        <v>1.6</v>
      </c>
      <c r="K130" s="2000" t="s">
        <v>101</v>
      </c>
      <c r="L130" s="1990" t="s">
        <v>4058</v>
      </c>
      <c r="M130" s="1991">
        <f>ROUND(I130,2)*ROUND(J130,4)</f>
        <v>1694.2880000000002</v>
      </c>
      <c r="N130" s="1991">
        <v>40</v>
      </c>
      <c r="O130" s="1991">
        <f>ROUND(M130*ROUND(N130,2)/10000,6)</f>
        <v>6.7771520000000001</v>
      </c>
      <c r="P130" s="1991">
        <f>IFERROR(ROUND(Q130*10000/M130,2),0)</f>
        <v>35.4</v>
      </c>
      <c r="Q130" s="1991">
        <f>ROUND(O130/(1+R130),6)</f>
        <v>5.9974800000000004</v>
      </c>
      <c r="R130" s="1993">
        <v>0.13</v>
      </c>
      <c r="S130" s="1991">
        <f>O130-Q130</f>
        <v>0.7796719999999997</v>
      </c>
      <c r="T130" s="1991">
        <f t="shared" si="29"/>
        <v>56.637171484422957</v>
      </c>
      <c r="U130" s="1991">
        <f t="shared" si="30"/>
        <v>64</v>
      </c>
      <c r="V130" s="1994"/>
      <c r="X130" s="2137">
        <v>0.4</v>
      </c>
      <c r="Y130" s="2127">
        <v>65</v>
      </c>
      <c r="Z130" s="2119">
        <f t="shared" si="31"/>
        <v>1.2000000000000002</v>
      </c>
      <c r="AA130" s="2119">
        <f t="shared" si="32"/>
        <v>-25</v>
      </c>
      <c r="AB130" s="2119"/>
      <c r="AC130" s="2119"/>
    </row>
    <row r="131" spans="1:29" s="1942" customFormat="1" ht="13" outlineLevel="4">
      <c r="A131" s="1944"/>
      <c r="B131" s="2122" t="s">
        <v>703</v>
      </c>
      <c r="C131" s="2123"/>
      <c r="D131" s="2013" t="s">
        <v>4059</v>
      </c>
      <c r="E131" s="2011"/>
      <c r="F131" s="1988" t="s">
        <v>1493</v>
      </c>
      <c r="G131" s="1989" t="s">
        <v>4119</v>
      </c>
      <c r="H131" s="1990" t="s">
        <v>10</v>
      </c>
      <c r="I131" s="1991">
        <f>$E$5</f>
        <v>1058.93</v>
      </c>
      <c r="J131" s="2136">
        <v>1.6</v>
      </c>
      <c r="K131" s="2000" t="s">
        <v>101</v>
      </c>
      <c r="L131" s="1990" t="s">
        <v>4058</v>
      </c>
      <c r="M131" s="1991">
        <f>ROUND(I131,2)*ROUND(J131,4)</f>
        <v>1694.2880000000002</v>
      </c>
      <c r="N131" s="1991">
        <v>40</v>
      </c>
      <c r="O131" s="1991">
        <f>ROUND(M131*ROUND(N131,2)/10000,6)</f>
        <v>6.7771520000000001</v>
      </c>
      <c r="P131" s="1991">
        <f>IFERROR(ROUND(Q131*10000/M131,2),0)</f>
        <v>36.700000000000003</v>
      </c>
      <c r="Q131" s="1991">
        <f>ROUND(O131/(1+R131),6)</f>
        <v>6.2175710000000004</v>
      </c>
      <c r="R131" s="1993">
        <v>0.09</v>
      </c>
      <c r="S131" s="1991">
        <f>O131-Q131</f>
        <v>0.55958099999999966</v>
      </c>
      <c r="T131" s="1991">
        <f t="shared" si="29"/>
        <v>58.715599709140363</v>
      </c>
      <c r="U131" s="1991">
        <f t="shared" si="30"/>
        <v>64</v>
      </c>
      <c r="V131" s="1994"/>
      <c r="X131" s="2137">
        <v>0.4</v>
      </c>
      <c r="Y131" s="2127">
        <v>40</v>
      </c>
      <c r="Z131" s="2119">
        <f t="shared" si="31"/>
        <v>1.2000000000000002</v>
      </c>
      <c r="AA131" s="2119">
        <f t="shared" si="32"/>
        <v>0</v>
      </c>
      <c r="AB131" s="2119"/>
      <c r="AC131" s="2119"/>
    </row>
    <row r="132" spans="1:29" s="1942" customFormat="1" ht="13" outlineLevel="3">
      <c r="A132" s="1944"/>
      <c r="B132" s="2120" t="s">
        <v>1558</v>
      </c>
      <c r="C132" s="2121"/>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f t="shared" si="29"/>
        <v>0</v>
      </c>
      <c r="U132" s="1712">
        <f t="shared" si="30"/>
        <v>0</v>
      </c>
      <c r="V132" s="1952"/>
      <c r="X132" s="2135"/>
      <c r="Y132" s="1712"/>
      <c r="Z132" s="2119">
        <f t="shared" si="31"/>
        <v>0</v>
      </c>
      <c r="AA132" s="2119">
        <f t="shared" si="32"/>
        <v>0</v>
      </c>
      <c r="AB132" s="2119"/>
      <c r="AC132" s="2119"/>
    </row>
    <row r="133" spans="1:29" s="1942" customFormat="1" ht="13" outlineLevel="4">
      <c r="A133" s="1944"/>
      <c r="B133" s="2122" t="s">
        <v>802</v>
      </c>
      <c r="C133" s="2123"/>
      <c r="D133" s="2013" t="s">
        <v>1569</v>
      </c>
      <c r="E133" s="2011"/>
      <c r="F133" s="1988" t="s">
        <v>469</v>
      </c>
      <c r="G133" s="1989" t="s">
        <v>4151</v>
      </c>
      <c r="H133" s="1990" t="s">
        <v>10</v>
      </c>
      <c r="I133" s="1991">
        <f>$E$5</f>
        <v>1058.93</v>
      </c>
      <c r="J133" s="2136">
        <v>0</v>
      </c>
      <c r="K133" s="2000" t="s">
        <v>101</v>
      </c>
      <c r="L133" s="1990" t="s">
        <v>4060</v>
      </c>
      <c r="M133" s="1991">
        <f t="shared" ref="M133:M183" si="45">ROUND(I133,2)*ROUND(J133,4)</f>
        <v>0</v>
      </c>
      <c r="N133" s="1991"/>
      <c r="O133" s="1991">
        <f t="shared" ref="O133:O143" si="46">ROUND(M133*ROUND(N133,2)/10000,6)</f>
        <v>0</v>
      </c>
      <c r="P133" s="1991">
        <f t="shared" ref="P133:P143" si="47">IFERROR(ROUND(Q133*10000/M133,2),0)</f>
        <v>0</v>
      </c>
      <c r="Q133" s="1991">
        <f t="shared" ref="Q133:Q143" si="48">ROUND(O133/(1+R133),6)</f>
        <v>0</v>
      </c>
      <c r="R133" s="1993">
        <v>0.13</v>
      </c>
      <c r="S133" s="1991">
        <f t="shared" ref="S133:S143" si="49">O133-Q133</f>
        <v>0</v>
      </c>
      <c r="T133" s="1991">
        <f t="shared" si="29"/>
        <v>0</v>
      </c>
      <c r="U133" s="1991">
        <f t="shared" si="30"/>
        <v>0</v>
      </c>
      <c r="V133" s="1994"/>
      <c r="X133" s="2136">
        <v>0.2</v>
      </c>
      <c r="Y133" s="1991"/>
      <c r="Z133" s="2119">
        <f t="shared" si="31"/>
        <v>-0.2</v>
      </c>
      <c r="AA133" s="2119">
        <f t="shared" si="32"/>
        <v>0</v>
      </c>
      <c r="AB133" s="2119"/>
      <c r="AC133" s="2119"/>
    </row>
    <row r="134" spans="1:29" s="1942" customFormat="1" ht="13" outlineLevel="4">
      <c r="A134" s="1944"/>
      <c r="B134" s="2122" t="s">
        <v>704</v>
      </c>
      <c r="C134" s="2123"/>
      <c r="D134" s="2013" t="s">
        <v>1571</v>
      </c>
      <c r="E134" s="2011"/>
      <c r="F134" s="1988" t="s">
        <v>3342</v>
      </c>
      <c r="G134" s="1989" t="s">
        <v>4116</v>
      </c>
      <c r="H134" s="1990" t="s">
        <v>10</v>
      </c>
      <c r="I134" s="1991">
        <f>$E$5</f>
        <v>1058.93</v>
      </c>
      <c r="J134" s="2136">
        <v>0</v>
      </c>
      <c r="K134" s="2000" t="s">
        <v>101</v>
      </c>
      <c r="L134" s="1990" t="s">
        <v>4060</v>
      </c>
      <c r="M134" s="1991">
        <f t="shared" si="45"/>
        <v>0</v>
      </c>
      <c r="N134" s="1991"/>
      <c r="O134" s="1991">
        <f t="shared" si="46"/>
        <v>0</v>
      </c>
      <c r="P134" s="1991">
        <f t="shared" si="47"/>
        <v>0</v>
      </c>
      <c r="Q134" s="1991">
        <f t="shared" si="48"/>
        <v>0</v>
      </c>
      <c r="R134" s="1993">
        <v>0.09</v>
      </c>
      <c r="S134" s="1991">
        <f t="shared" si="49"/>
        <v>0</v>
      </c>
      <c r="T134" s="1991">
        <f t="shared" si="29"/>
        <v>0</v>
      </c>
      <c r="U134" s="1991">
        <f t="shared" si="30"/>
        <v>0</v>
      </c>
      <c r="V134" s="1994"/>
      <c r="X134" s="2136">
        <v>0.2</v>
      </c>
      <c r="Y134" s="1991"/>
      <c r="Z134" s="2119">
        <f t="shared" si="31"/>
        <v>-0.2</v>
      </c>
      <c r="AA134" s="2119">
        <f t="shared" si="32"/>
        <v>0</v>
      </c>
      <c r="AB134" s="2119"/>
      <c r="AC134" s="2119"/>
    </row>
    <row r="135" spans="1:29" s="1942" customFormat="1" ht="13" outlineLevel="3">
      <c r="A135" s="1944"/>
      <c r="B135" s="2120" t="s">
        <v>1566</v>
      </c>
      <c r="C135" s="2121"/>
      <c r="D135" s="2008" t="s">
        <v>3634</v>
      </c>
      <c r="E135" s="2009" t="s">
        <v>3635</v>
      </c>
      <c r="F135" s="1462" t="s">
        <v>3832</v>
      </c>
      <c r="G135" s="1953" t="s">
        <v>4152</v>
      </c>
      <c r="H135" s="1947" t="s">
        <v>10</v>
      </c>
      <c r="I135" s="1712">
        <f>$E$5</f>
        <v>1058.93</v>
      </c>
      <c r="J135" s="2135">
        <v>0</v>
      </c>
      <c r="K135" s="1950" t="s">
        <v>101</v>
      </c>
      <c r="L135" s="1947" t="s">
        <v>4061</v>
      </c>
      <c r="M135" s="1754"/>
      <c r="N135" s="1712"/>
      <c r="O135" s="1712">
        <f t="shared" si="46"/>
        <v>0</v>
      </c>
      <c r="P135" s="1712">
        <f t="shared" si="47"/>
        <v>0</v>
      </c>
      <c r="Q135" s="1712">
        <f t="shared" si="48"/>
        <v>0</v>
      </c>
      <c r="R135" s="1757">
        <v>0.09</v>
      </c>
      <c r="S135" s="1712">
        <f t="shared" si="49"/>
        <v>0</v>
      </c>
      <c r="T135" s="1712">
        <f t="shared" si="29"/>
        <v>0</v>
      </c>
      <c r="U135" s="1712">
        <f t="shared" si="30"/>
        <v>0</v>
      </c>
      <c r="V135" s="1952"/>
      <c r="X135" s="2135">
        <v>1.2</v>
      </c>
      <c r="Y135" s="1712"/>
      <c r="Z135" s="2119">
        <f t="shared" si="31"/>
        <v>-1.2</v>
      </c>
      <c r="AA135" s="2119">
        <f t="shared" si="32"/>
        <v>0</v>
      </c>
      <c r="AB135" s="2119"/>
      <c r="AC135" s="2119"/>
    </row>
    <row r="136" spans="1:29" s="1942" customFormat="1" ht="13" outlineLevel="3">
      <c r="A136" s="1944"/>
      <c r="B136" s="2120" t="s">
        <v>1572</v>
      </c>
      <c r="C136" s="2121"/>
      <c r="D136" s="2008" t="s">
        <v>3637</v>
      </c>
      <c r="E136" s="2009" t="s">
        <v>3638</v>
      </c>
      <c r="F136" s="1462" t="s">
        <v>3636</v>
      </c>
      <c r="G136" s="1953" t="s">
        <v>4153</v>
      </c>
      <c r="H136" s="1947" t="s">
        <v>10</v>
      </c>
      <c r="I136" s="1712">
        <f t="shared" ref="I136:I143" si="50">$E$5</f>
        <v>1058.93</v>
      </c>
      <c r="J136" s="2135">
        <v>0</v>
      </c>
      <c r="K136" s="1950" t="s">
        <v>101</v>
      </c>
      <c r="L136" s="1947" t="s">
        <v>4062</v>
      </c>
      <c r="M136" s="1754">
        <f t="shared" si="45"/>
        <v>0</v>
      </c>
      <c r="N136" s="1712">
        <v>1000</v>
      </c>
      <c r="O136" s="1712">
        <f t="shared" si="46"/>
        <v>0</v>
      </c>
      <c r="P136" s="1712">
        <f t="shared" si="47"/>
        <v>0</v>
      </c>
      <c r="Q136" s="1712">
        <f t="shared" si="48"/>
        <v>0</v>
      </c>
      <c r="R136" s="1757">
        <v>0.09</v>
      </c>
      <c r="S136" s="1712">
        <f t="shared" si="49"/>
        <v>0</v>
      </c>
      <c r="T136" s="1712">
        <f t="shared" si="29"/>
        <v>0</v>
      </c>
      <c r="U136" s="1712">
        <f t="shared" si="30"/>
        <v>0</v>
      </c>
      <c r="V136" s="1952"/>
      <c r="X136" s="2138">
        <v>0.4</v>
      </c>
      <c r="Y136" s="2003">
        <v>1350</v>
      </c>
      <c r="Z136" s="2119">
        <f t="shared" si="31"/>
        <v>-0.4</v>
      </c>
      <c r="AA136" s="2119">
        <f t="shared" si="32"/>
        <v>-350</v>
      </c>
      <c r="AB136" s="2119"/>
      <c r="AC136" s="2119"/>
    </row>
    <row r="137" spans="1:29" s="1942" customFormat="1" ht="13" outlineLevel="3">
      <c r="A137" s="1944"/>
      <c r="B137" s="2120" t="s">
        <v>1578</v>
      </c>
      <c r="C137" s="2121"/>
      <c r="D137" s="2008" t="s">
        <v>3639</v>
      </c>
      <c r="E137" s="2009" t="s">
        <v>3640</v>
      </c>
      <c r="F137" s="1462" t="s">
        <v>3636</v>
      </c>
      <c r="G137" s="1953" t="s">
        <v>4153</v>
      </c>
      <c r="H137" s="1947" t="s">
        <v>10</v>
      </c>
      <c r="I137" s="1712">
        <f t="shared" si="50"/>
        <v>1058.93</v>
      </c>
      <c r="J137" s="2135">
        <v>0</v>
      </c>
      <c r="K137" s="1950" t="s">
        <v>101</v>
      </c>
      <c r="L137" s="1947" t="s">
        <v>4063</v>
      </c>
      <c r="M137" s="1754">
        <f t="shared" si="45"/>
        <v>0</v>
      </c>
      <c r="N137" s="1712">
        <v>1000</v>
      </c>
      <c r="O137" s="1712">
        <f t="shared" si="46"/>
        <v>0</v>
      </c>
      <c r="P137" s="1712">
        <f t="shared" si="47"/>
        <v>0</v>
      </c>
      <c r="Q137" s="1712">
        <f t="shared" si="48"/>
        <v>0</v>
      </c>
      <c r="R137" s="1757">
        <v>0.09</v>
      </c>
      <c r="S137" s="1712">
        <f t="shared" si="49"/>
        <v>0</v>
      </c>
      <c r="T137" s="1712">
        <f t="shared" si="29"/>
        <v>0</v>
      </c>
      <c r="U137" s="1712">
        <f t="shared" si="30"/>
        <v>0</v>
      </c>
      <c r="V137" s="1952"/>
      <c r="X137" s="2138">
        <v>0.5</v>
      </c>
      <c r="Y137" s="2003">
        <v>1200</v>
      </c>
      <c r="Z137" s="2119">
        <f t="shared" si="31"/>
        <v>-0.5</v>
      </c>
      <c r="AA137" s="2119">
        <f t="shared" si="32"/>
        <v>-200</v>
      </c>
      <c r="AB137" s="2119"/>
      <c r="AC137" s="2119"/>
    </row>
    <row r="138" spans="1:29" s="1942" customFormat="1" ht="13" outlineLevel="3">
      <c r="A138" s="1944"/>
      <c r="B138" s="2120" t="s">
        <v>705</v>
      </c>
      <c r="C138" s="2121"/>
      <c r="D138" s="2008" t="s">
        <v>3641</v>
      </c>
      <c r="E138" s="2009" t="s">
        <v>3642</v>
      </c>
      <c r="F138" s="1462" t="s">
        <v>1493</v>
      </c>
      <c r="G138" s="1953" t="s">
        <v>4119</v>
      </c>
      <c r="H138" s="1947" t="s">
        <v>10</v>
      </c>
      <c r="I138" s="1712">
        <f t="shared" si="50"/>
        <v>1058.93</v>
      </c>
      <c r="J138" s="2135"/>
      <c r="K138" s="1977" t="s">
        <v>4064</v>
      </c>
      <c r="L138" s="1947" t="s">
        <v>4065</v>
      </c>
      <c r="M138" s="1754">
        <f t="shared" si="45"/>
        <v>0</v>
      </c>
      <c r="N138" s="1712"/>
      <c r="O138" s="1712">
        <f t="shared" si="46"/>
        <v>0</v>
      </c>
      <c r="P138" s="1712">
        <f t="shared" si="47"/>
        <v>0</v>
      </c>
      <c r="Q138" s="1712">
        <f t="shared" si="48"/>
        <v>0</v>
      </c>
      <c r="R138" s="1757">
        <v>0.09</v>
      </c>
      <c r="S138" s="1712">
        <f t="shared" si="49"/>
        <v>0</v>
      </c>
      <c r="T138" s="1712">
        <f t="shared" si="29"/>
        <v>0</v>
      </c>
      <c r="U138" s="1712">
        <f t="shared" si="30"/>
        <v>0</v>
      </c>
      <c r="V138" s="1952"/>
      <c r="X138" s="2135"/>
      <c r="Y138" s="1712"/>
      <c r="Z138" s="2119">
        <f t="shared" si="31"/>
        <v>0</v>
      </c>
      <c r="AA138" s="2119">
        <f t="shared" si="32"/>
        <v>0</v>
      </c>
      <c r="AB138" s="2119"/>
      <c r="AC138" s="2119"/>
    </row>
    <row r="139" spans="1:29" s="1942" customFormat="1" ht="13" outlineLevel="3">
      <c r="A139" s="1944"/>
      <c r="B139" s="2120" t="s">
        <v>706</v>
      </c>
      <c r="C139" s="2121"/>
      <c r="D139" s="2008" t="s">
        <v>3643</v>
      </c>
      <c r="E139" s="2009" t="s">
        <v>3644</v>
      </c>
      <c r="F139" s="1462" t="s">
        <v>1606</v>
      </c>
      <c r="G139" s="1953" t="s">
        <v>4121</v>
      </c>
      <c r="H139" s="1947" t="s">
        <v>10</v>
      </c>
      <c r="I139" s="1712">
        <f t="shared" si="50"/>
        <v>1058.93</v>
      </c>
      <c r="J139" s="2135">
        <v>0.05</v>
      </c>
      <c r="K139" s="1977" t="s">
        <v>4085</v>
      </c>
      <c r="L139" s="1947" t="s">
        <v>4066</v>
      </c>
      <c r="M139" s="1754">
        <f t="shared" si="45"/>
        <v>52.946500000000007</v>
      </c>
      <c r="N139" s="1712">
        <v>1200</v>
      </c>
      <c r="O139" s="1712">
        <f t="shared" si="46"/>
        <v>6.35358</v>
      </c>
      <c r="P139" s="1712">
        <f t="shared" si="47"/>
        <v>1061.95</v>
      </c>
      <c r="Q139" s="1712">
        <f t="shared" si="48"/>
        <v>5.6226370000000001</v>
      </c>
      <c r="R139" s="1757">
        <v>0.13</v>
      </c>
      <c r="S139" s="1712">
        <f t="shared" si="49"/>
        <v>0.7309429999999999</v>
      </c>
      <c r="T139" s="1712">
        <f t="shared" ref="T139:T202" si="51">IFERROR(Q139*10000/$E$6,"")</f>
        <v>53.097343544899097</v>
      </c>
      <c r="U139" s="1712">
        <f t="shared" ref="U139:U202" si="52">IFERROR(O139*10000/$E$6,"")</f>
        <v>60</v>
      </c>
      <c r="V139" s="1952"/>
      <c r="X139" s="2138">
        <v>0.5</v>
      </c>
      <c r="Y139" s="2003">
        <v>1200</v>
      </c>
      <c r="Z139" s="2119">
        <f t="shared" si="31"/>
        <v>-0.45</v>
      </c>
      <c r="AA139" s="2119">
        <f t="shared" si="32"/>
        <v>0</v>
      </c>
      <c r="AB139" s="2119"/>
      <c r="AC139" s="2119"/>
    </row>
    <row r="140" spans="1:29" s="1942" customFormat="1" ht="13" outlineLevel="3">
      <c r="A140" s="1944"/>
      <c r="B140" s="2120" t="s">
        <v>707</v>
      </c>
      <c r="C140" s="2121"/>
      <c r="D140" s="2008" t="s">
        <v>97</v>
      </c>
      <c r="E140" s="2009" t="s">
        <v>3645</v>
      </c>
      <c r="F140" s="1462" t="s">
        <v>470</v>
      </c>
      <c r="G140" s="1953" t="s">
        <v>4154</v>
      </c>
      <c r="H140" s="1975" t="s">
        <v>10</v>
      </c>
      <c r="I140" s="1712">
        <f t="shared" si="50"/>
        <v>1058.93</v>
      </c>
      <c r="J140" s="2139">
        <v>1</v>
      </c>
      <c r="K140" s="1950" t="s">
        <v>101</v>
      </c>
      <c r="L140" s="1947" t="s">
        <v>10</v>
      </c>
      <c r="M140" s="1754">
        <f t="shared" si="45"/>
        <v>1058.93</v>
      </c>
      <c r="N140" s="1712">
        <v>100</v>
      </c>
      <c r="O140" s="1712">
        <f t="shared" si="46"/>
        <v>10.5893</v>
      </c>
      <c r="P140" s="1712">
        <f t="shared" si="47"/>
        <v>91.74</v>
      </c>
      <c r="Q140" s="1712">
        <f t="shared" si="48"/>
        <v>9.7149540000000005</v>
      </c>
      <c r="R140" s="1757">
        <v>0.09</v>
      </c>
      <c r="S140" s="1712">
        <f t="shared" si="49"/>
        <v>0.87434599999999918</v>
      </c>
      <c r="T140" s="1712">
        <f t="shared" si="51"/>
        <v>91.743118053129109</v>
      </c>
      <c r="U140" s="1712">
        <f t="shared" si="52"/>
        <v>100</v>
      </c>
      <c r="V140" s="1952"/>
      <c r="X140" s="2125">
        <v>1</v>
      </c>
      <c r="Y140" s="2003">
        <v>100</v>
      </c>
      <c r="Z140" s="2119">
        <f t="shared" si="31"/>
        <v>0</v>
      </c>
      <c r="AA140" s="2119">
        <f t="shared" si="32"/>
        <v>0</v>
      </c>
      <c r="AB140" s="2119"/>
      <c r="AC140" s="2119"/>
    </row>
    <row r="141" spans="1:29" s="1942" customFormat="1" ht="13" outlineLevel="3">
      <c r="A141" s="1944"/>
      <c r="B141" s="2120" t="s">
        <v>709</v>
      </c>
      <c r="C141" s="2121"/>
      <c r="D141" s="2008" t="s">
        <v>3646</v>
      </c>
      <c r="E141" s="2009" t="s">
        <v>3647</v>
      </c>
      <c r="F141" s="1462" t="s">
        <v>1363</v>
      </c>
      <c r="G141" s="1953" t="s">
        <v>4155</v>
      </c>
      <c r="H141" s="1975" t="s">
        <v>10</v>
      </c>
      <c r="I141" s="1712">
        <f t="shared" si="50"/>
        <v>1058.93</v>
      </c>
      <c r="J141" s="2139"/>
      <c r="K141" s="1950" t="s">
        <v>101</v>
      </c>
      <c r="L141" s="1947" t="s">
        <v>10</v>
      </c>
      <c r="M141" s="1754">
        <f t="shared" si="45"/>
        <v>0</v>
      </c>
      <c r="N141" s="1712"/>
      <c r="O141" s="1712">
        <f t="shared" si="46"/>
        <v>0</v>
      </c>
      <c r="P141" s="1712">
        <f t="shared" si="47"/>
        <v>0</v>
      </c>
      <c r="Q141" s="1712">
        <f t="shared" si="48"/>
        <v>0</v>
      </c>
      <c r="R141" s="1757">
        <v>0.09</v>
      </c>
      <c r="S141" s="1712">
        <f t="shared" si="49"/>
        <v>0</v>
      </c>
      <c r="T141" s="1712">
        <f t="shared" si="51"/>
        <v>0</v>
      </c>
      <c r="U141" s="1712">
        <f t="shared" si="52"/>
        <v>0</v>
      </c>
      <c r="V141" s="1952"/>
      <c r="X141" s="2139"/>
      <c r="Y141" s="1712"/>
      <c r="Z141" s="2119">
        <f t="shared" si="31"/>
        <v>0</v>
      </c>
      <c r="AA141" s="2119">
        <f t="shared" si="32"/>
        <v>0</v>
      </c>
      <c r="AB141" s="2119"/>
      <c r="AC141" s="2119"/>
    </row>
    <row r="142" spans="1:29" s="1942" customFormat="1" ht="13" outlineLevel="3">
      <c r="A142" s="1944"/>
      <c r="B142" s="2120" t="s">
        <v>710</v>
      </c>
      <c r="C142" s="2121"/>
      <c r="D142" s="2008" t="s">
        <v>3648</v>
      </c>
      <c r="E142" s="2009" t="s">
        <v>3649</v>
      </c>
      <c r="F142" s="1462" t="s">
        <v>3636</v>
      </c>
      <c r="G142" s="1953" t="s">
        <v>4153</v>
      </c>
      <c r="H142" s="1975" t="s">
        <v>10</v>
      </c>
      <c r="I142" s="1712">
        <f t="shared" si="50"/>
        <v>1058.93</v>
      </c>
      <c r="J142" s="2139"/>
      <c r="K142" s="1950" t="s">
        <v>101</v>
      </c>
      <c r="L142" s="1947" t="s">
        <v>4067</v>
      </c>
      <c r="M142" s="1754">
        <f t="shared" si="45"/>
        <v>0</v>
      </c>
      <c r="N142" s="1712"/>
      <c r="O142" s="1712">
        <f t="shared" si="46"/>
        <v>0</v>
      </c>
      <c r="P142" s="1712">
        <f t="shared" si="47"/>
        <v>0</v>
      </c>
      <c r="Q142" s="1712">
        <f t="shared" si="48"/>
        <v>0</v>
      </c>
      <c r="R142" s="1757">
        <v>0.09</v>
      </c>
      <c r="S142" s="1712">
        <f t="shared" si="49"/>
        <v>0</v>
      </c>
      <c r="T142" s="1712">
        <f t="shared" si="51"/>
        <v>0</v>
      </c>
      <c r="U142" s="1712">
        <f t="shared" si="52"/>
        <v>0</v>
      </c>
      <c r="V142" s="1952"/>
      <c r="X142" s="2139"/>
      <c r="Y142" s="1712"/>
      <c r="Z142" s="2119">
        <f t="shared" ref="Z142:Z202" si="53">J142-X142</f>
        <v>0</v>
      </c>
      <c r="AA142" s="2119">
        <f t="shared" ref="AA142:AA202" si="54">N142-Y142</f>
        <v>0</v>
      </c>
      <c r="AB142" s="2119"/>
      <c r="AC142" s="2119"/>
    </row>
    <row r="143" spans="1:29" s="1942" customFormat="1" ht="13" outlineLevel="3">
      <c r="A143" s="1944"/>
      <c r="B143" s="2120" t="s">
        <v>3650</v>
      </c>
      <c r="C143" s="2121"/>
      <c r="D143" s="2008" t="s">
        <v>3651</v>
      </c>
      <c r="E143" s="2009" t="s">
        <v>3652</v>
      </c>
      <c r="F143" s="1462" t="s">
        <v>1606</v>
      </c>
      <c r="G143" s="1953" t="s">
        <v>4121</v>
      </c>
      <c r="H143" s="1975" t="s">
        <v>10</v>
      </c>
      <c r="I143" s="1712">
        <f t="shared" si="50"/>
        <v>1058.93</v>
      </c>
      <c r="J143" s="2139"/>
      <c r="K143" s="1950" t="s">
        <v>101</v>
      </c>
      <c r="L143" s="1947" t="s">
        <v>4068</v>
      </c>
      <c r="M143" s="1754">
        <f t="shared" si="45"/>
        <v>0</v>
      </c>
      <c r="N143" s="1712"/>
      <c r="O143" s="1712">
        <f t="shared" si="46"/>
        <v>0</v>
      </c>
      <c r="P143" s="1712">
        <f t="shared" si="47"/>
        <v>0</v>
      </c>
      <c r="Q143" s="1712">
        <f t="shared" si="48"/>
        <v>0</v>
      </c>
      <c r="R143" s="1757">
        <v>0.13</v>
      </c>
      <c r="S143" s="1712">
        <f t="shared" si="49"/>
        <v>0</v>
      </c>
      <c r="T143" s="1712">
        <f t="shared" si="51"/>
        <v>0</v>
      </c>
      <c r="U143" s="1712">
        <f t="shared" si="52"/>
        <v>0</v>
      </c>
      <c r="V143" s="1952"/>
      <c r="X143" s="2139"/>
      <c r="Y143" s="1712"/>
      <c r="Z143" s="2119">
        <f t="shared" si="53"/>
        <v>0</v>
      </c>
      <c r="AA143" s="2119">
        <f t="shared" si="54"/>
        <v>0</v>
      </c>
      <c r="AB143" s="2119"/>
      <c r="AC143" s="2119"/>
    </row>
    <row r="144" spans="1:29" s="1942" customFormat="1" ht="13" outlineLevel="2">
      <c r="A144" s="1944"/>
      <c r="B144" s="2132" t="s">
        <v>712</v>
      </c>
      <c r="C144" s="2118"/>
      <c r="D144" s="2008" t="s">
        <v>713</v>
      </c>
      <c r="E144" s="2009"/>
      <c r="F144" s="1462"/>
      <c r="G144" s="1953" t="s">
        <v>4117</v>
      </c>
      <c r="H144" s="1947"/>
      <c r="I144" s="1948"/>
      <c r="J144" s="2099"/>
      <c r="K144" s="1950"/>
      <c r="L144" s="1947"/>
      <c r="M144" s="1950"/>
      <c r="N144" s="1712"/>
      <c r="O144" s="1712">
        <f>SUBTOTAL(9,O145:O152)</f>
        <v>7.2600000000000007</v>
      </c>
      <c r="P144" s="1712"/>
      <c r="Q144" s="1712">
        <f>SUBTOTAL(9,Q145:Q152)</f>
        <v>6.6605499999999997</v>
      </c>
      <c r="R144" s="1712"/>
      <c r="S144" s="1712">
        <f>SUBTOTAL(9,S145:S152)</f>
        <v>0.59945000000000048</v>
      </c>
      <c r="T144" s="1712">
        <f t="shared" si="51"/>
        <v>62.898869613666619</v>
      </c>
      <c r="U144" s="1712">
        <f t="shared" si="52"/>
        <v>68.559772600644038</v>
      </c>
      <c r="V144" s="1952"/>
      <c r="X144" s="2099"/>
      <c r="Y144" s="1712"/>
      <c r="Z144" s="2119">
        <f t="shared" si="53"/>
        <v>0</v>
      </c>
      <c r="AA144" s="2119">
        <f t="shared" si="54"/>
        <v>0</v>
      </c>
      <c r="AB144" s="2119"/>
      <c r="AC144" s="2119"/>
    </row>
    <row r="145" spans="1:29" s="1942" customFormat="1" ht="13" outlineLevel="3">
      <c r="A145" s="1944"/>
      <c r="B145" s="2120" t="s">
        <v>714</v>
      </c>
      <c r="C145" s="2121"/>
      <c r="D145" s="2008" t="s">
        <v>715</v>
      </c>
      <c r="E145" s="2009" t="s">
        <v>3653</v>
      </c>
      <c r="F145" s="1462" t="s">
        <v>3654</v>
      </c>
      <c r="G145" s="1953" t="s">
        <v>4156</v>
      </c>
      <c r="H145" s="1947" t="s">
        <v>3923</v>
      </c>
      <c r="I145" s="1712">
        <f>$G$6</f>
        <v>1</v>
      </c>
      <c r="J145" s="2135"/>
      <c r="K145" s="1977" t="s">
        <v>1836</v>
      </c>
      <c r="L145" s="1947" t="s">
        <v>4069</v>
      </c>
      <c r="M145" s="1754">
        <f t="shared" si="45"/>
        <v>0</v>
      </c>
      <c r="N145" s="1712">
        <v>150</v>
      </c>
      <c r="O145" s="1712">
        <f t="shared" ref="O145:O152" si="55">ROUND(M145*ROUND(N145,2)/10000,6)</f>
        <v>0</v>
      </c>
      <c r="P145" s="1712">
        <f t="shared" ref="P145:P152" si="56">IFERROR(ROUND(Q145*10000/M145,2),0)</f>
        <v>0</v>
      </c>
      <c r="Q145" s="1712">
        <f t="shared" ref="Q145:Q152" si="57">ROUND(O145/(1+R145),6)</f>
        <v>0</v>
      </c>
      <c r="R145" s="1757">
        <v>0.09</v>
      </c>
      <c r="S145" s="1712">
        <f t="shared" ref="S145:S152" si="58">O145-Q145</f>
        <v>0</v>
      </c>
      <c r="T145" s="1712">
        <f t="shared" si="51"/>
        <v>0</v>
      </c>
      <c r="U145" s="1712">
        <f t="shared" si="52"/>
        <v>0</v>
      </c>
      <c r="V145" s="1952"/>
      <c r="X145" s="2135"/>
      <c r="Y145" s="1712"/>
      <c r="Z145" s="2119">
        <f t="shared" si="53"/>
        <v>0</v>
      </c>
      <c r="AA145" s="2119">
        <f t="shared" si="54"/>
        <v>150</v>
      </c>
      <c r="AB145" s="2119"/>
      <c r="AC145" s="2119"/>
    </row>
    <row r="146" spans="1:29" s="1942" customFormat="1" ht="13" outlineLevel="3">
      <c r="A146" s="1944"/>
      <c r="B146" s="2120" t="s">
        <v>717</v>
      </c>
      <c r="C146" s="2121"/>
      <c r="D146" s="2008" t="s">
        <v>3655</v>
      </c>
      <c r="E146" s="2009" t="s">
        <v>3656</v>
      </c>
      <c r="F146" s="1462" t="s">
        <v>3654</v>
      </c>
      <c r="G146" s="1953" t="s">
        <v>4156</v>
      </c>
      <c r="H146" s="1947" t="s">
        <v>18</v>
      </c>
      <c r="I146" s="1712">
        <f>$G$5</f>
        <v>1</v>
      </c>
      <c r="J146" s="2135"/>
      <c r="K146" s="1950" t="s">
        <v>4064</v>
      </c>
      <c r="L146" s="1947" t="s">
        <v>4070</v>
      </c>
      <c r="M146" s="1754">
        <f t="shared" si="45"/>
        <v>0</v>
      </c>
      <c r="N146" s="1712"/>
      <c r="O146" s="1712">
        <f t="shared" si="55"/>
        <v>0</v>
      </c>
      <c r="P146" s="1712">
        <f t="shared" si="56"/>
        <v>0</v>
      </c>
      <c r="Q146" s="1712">
        <f t="shared" si="57"/>
        <v>0</v>
      </c>
      <c r="R146" s="1757">
        <v>0.09</v>
      </c>
      <c r="S146" s="1712">
        <f t="shared" si="58"/>
        <v>0</v>
      </c>
      <c r="T146" s="1712">
        <f t="shared" si="51"/>
        <v>0</v>
      </c>
      <c r="U146" s="1712">
        <f t="shared" si="52"/>
        <v>0</v>
      </c>
      <c r="V146" s="1952"/>
      <c r="X146" s="2135"/>
      <c r="Y146" s="1712"/>
      <c r="Z146" s="2119">
        <f t="shared" si="53"/>
        <v>0</v>
      </c>
      <c r="AA146" s="2119">
        <f t="shared" si="54"/>
        <v>0</v>
      </c>
      <c r="AB146" s="2119"/>
      <c r="AC146" s="2119"/>
    </row>
    <row r="147" spans="1:29" s="1942" customFormat="1" ht="13" outlineLevel="3">
      <c r="A147" s="1944"/>
      <c r="B147" s="2120" t="s">
        <v>718</v>
      </c>
      <c r="C147" s="2121"/>
      <c r="D147" s="2008" t="s">
        <v>3657</v>
      </c>
      <c r="E147" s="2009" t="s">
        <v>3658</v>
      </c>
      <c r="F147" s="1462" t="s">
        <v>3654</v>
      </c>
      <c r="G147" s="1953" t="s">
        <v>4156</v>
      </c>
      <c r="H147" s="1947" t="s">
        <v>3926</v>
      </c>
      <c r="I147" s="1712">
        <f>$G$7</f>
        <v>33</v>
      </c>
      <c r="J147" s="2135"/>
      <c r="K147" s="1950" t="s">
        <v>660</v>
      </c>
      <c r="L147" s="1947" t="s">
        <v>4071</v>
      </c>
      <c r="M147" s="1754">
        <f t="shared" si="45"/>
        <v>0</v>
      </c>
      <c r="N147" s="1712">
        <v>220</v>
      </c>
      <c r="O147" s="1712">
        <f t="shared" si="55"/>
        <v>0</v>
      </c>
      <c r="P147" s="1712">
        <f t="shared" si="56"/>
        <v>0</v>
      </c>
      <c r="Q147" s="1712">
        <f t="shared" si="57"/>
        <v>0</v>
      </c>
      <c r="R147" s="1757">
        <v>0.09</v>
      </c>
      <c r="S147" s="1712">
        <f t="shared" si="58"/>
        <v>0</v>
      </c>
      <c r="T147" s="1712">
        <f t="shared" si="51"/>
        <v>0</v>
      </c>
      <c r="U147" s="1712">
        <f t="shared" si="52"/>
        <v>0</v>
      </c>
      <c r="V147" s="1952"/>
      <c r="X147" s="2135"/>
      <c r="Y147" s="1712"/>
      <c r="Z147" s="2119">
        <f t="shared" si="53"/>
        <v>0</v>
      </c>
      <c r="AA147" s="2119">
        <f t="shared" si="54"/>
        <v>220</v>
      </c>
      <c r="AB147" s="2119"/>
      <c r="AC147" s="2119"/>
    </row>
    <row r="148" spans="1:29" s="1942" customFormat="1" ht="13" outlineLevel="3">
      <c r="A148" s="1944"/>
      <c r="B148" s="2120" t="s">
        <v>1585</v>
      </c>
      <c r="C148" s="2121"/>
      <c r="D148" s="2008" t="s">
        <v>3659</v>
      </c>
      <c r="E148" s="2009" t="s">
        <v>3660</v>
      </c>
      <c r="F148" s="1462" t="s">
        <v>3654</v>
      </c>
      <c r="G148" s="1953" t="s">
        <v>4156</v>
      </c>
      <c r="H148" s="1947" t="s">
        <v>3926</v>
      </c>
      <c r="I148" s="1712">
        <f>$G$7</f>
        <v>33</v>
      </c>
      <c r="J148" s="2135"/>
      <c r="K148" s="1950" t="s">
        <v>660</v>
      </c>
      <c r="L148" s="1947" t="s">
        <v>4072</v>
      </c>
      <c r="M148" s="1754">
        <f t="shared" si="45"/>
        <v>0</v>
      </c>
      <c r="N148" s="1712">
        <v>180</v>
      </c>
      <c r="O148" s="1712">
        <f t="shared" si="55"/>
        <v>0</v>
      </c>
      <c r="P148" s="1712">
        <f t="shared" si="56"/>
        <v>0</v>
      </c>
      <c r="Q148" s="1712">
        <f t="shared" si="57"/>
        <v>0</v>
      </c>
      <c r="R148" s="1757">
        <v>0.09</v>
      </c>
      <c r="S148" s="1712">
        <f t="shared" si="58"/>
        <v>0</v>
      </c>
      <c r="T148" s="1712">
        <f t="shared" si="51"/>
        <v>0</v>
      </c>
      <c r="U148" s="1712">
        <f t="shared" si="52"/>
        <v>0</v>
      </c>
      <c r="V148" s="1952"/>
      <c r="X148" s="2135"/>
      <c r="Y148" s="1712"/>
      <c r="Z148" s="2119">
        <f t="shared" si="53"/>
        <v>0</v>
      </c>
      <c r="AA148" s="2119">
        <f t="shared" si="54"/>
        <v>180</v>
      </c>
      <c r="AB148" s="2119"/>
      <c r="AC148" s="2119"/>
    </row>
    <row r="149" spans="1:29" s="1942" customFormat="1" ht="13" outlineLevel="3">
      <c r="A149" s="1944"/>
      <c r="B149" s="2120" t="s">
        <v>1586</v>
      </c>
      <c r="C149" s="2121"/>
      <c r="D149" s="2008" t="s">
        <v>720</v>
      </c>
      <c r="E149" s="2009" t="s">
        <v>3661</v>
      </c>
      <c r="F149" s="1462" t="s">
        <v>3654</v>
      </c>
      <c r="G149" s="1953" t="s">
        <v>4156</v>
      </c>
      <c r="H149" s="1947" t="s">
        <v>3926</v>
      </c>
      <c r="I149" s="1712">
        <f>$G$7</f>
        <v>33</v>
      </c>
      <c r="J149" s="2135">
        <v>5</v>
      </c>
      <c r="K149" s="1950" t="s">
        <v>660</v>
      </c>
      <c r="L149" s="1947" t="s">
        <v>4073</v>
      </c>
      <c r="M149" s="1754">
        <f t="shared" si="45"/>
        <v>165</v>
      </c>
      <c r="N149" s="1712">
        <v>80</v>
      </c>
      <c r="O149" s="1712">
        <f t="shared" si="55"/>
        <v>1.32</v>
      </c>
      <c r="P149" s="1712">
        <f t="shared" si="56"/>
        <v>73.39</v>
      </c>
      <c r="Q149" s="1712">
        <f t="shared" si="57"/>
        <v>1.211009</v>
      </c>
      <c r="R149" s="1757">
        <v>0.09</v>
      </c>
      <c r="S149" s="1712">
        <f t="shared" si="58"/>
        <v>0.10899100000000006</v>
      </c>
      <c r="T149" s="1712">
        <f t="shared" si="51"/>
        <v>11.436157253076217</v>
      </c>
      <c r="U149" s="1712">
        <f t="shared" si="52"/>
        <v>12.465413200117098</v>
      </c>
      <c r="V149" s="1952"/>
      <c r="X149" s="2135">
        <v>5</v>
      </c>
      <c r="Y149" s="1712">
        <v>80</v>
      </c>
      <c r="Z149" s="2119">
        <f t="shared" si="53"/>
        <v>0</v>
      </c>
      <c r="AA149" s="2119">
        <f t="shared" si="54"/>
        <v>0</v>
      </c>
      <c r="AB149" s="2119"/>
      <c r="AC149" s="2119"/>
    </row>
    <row r="150" spans="1:29" s="1942" customFormat="1" ht="13" outlineLevel="3">
      <c r="A150" s="1944"/>
      <c r="B150" s="2120" t="s">
        <v>3662</v>
      </c>
      <c r="C150" s="2121"/>
      <c r="D150" s="2008" t="s">
        <v>3663</v>
      </c>
      <c r="E150" s="2009" t="s">
        <v>3664</v>
      </c>
      <c r="F150" s="1462" t="s">
        <v>3654</v>
      </c>
      <c r="G150" s="1953" t="s">
        <v>4156</v>
      </c>
      <c r="H150" s="1947" t="s">
        <v>3926</v>
      </c>
      <c r="I150" s="1712">
        <f>$G$7</f>
        <v>33</v>
      </c>
      <c r="J150" s="2135">
        <v>10</v>
      </c>
      <c r="K150" s="1950" t="s">
        <v>722</v>
      </c>
      <c r="L150" s="1947" t="s">
        <v>4074</v>
      </c>
      <c r="M150" s="1754">
        <f t="shared" si="45"/>
        <v>330</v>
      </c>
      <c r="N150" s="1712">
        <v>180</v>
      </c>
      <c r="O150" s="1712">
        <f t="shared" si="55"/>
        <v>5.94</v>
      </c>
      <c r="P150" s="1712">
        <f t="shared" si="56"/>
        <v>165.14</v>
      </c>
      <c r="Q150" s="1712">
        <f t="shared" si="57"/>
        <v>5.449541</v>
      </c>
      <c r="R150" s="1757">
        <v>0.09</v>
      </c>
      <c r="S150" s="1712">
        <f t="shared" si="58"/>
        <v>0.49045900000000042</v>
      </c>
      <c r="T150" s="1712">
        <f t="shared" si="51"/>
        <v>51.462712360590402</v>
      </c>
      <c r="U150" s="1712">
        <f t="shared" si="52"/>
        <v>56.094359400526947</v>
      </c>
      <c r="V150" s="1952"/>
      <c r="X150" s="2135">
        <v>10</v>
      </c>
      <c r="Y150" s="1712">
        <v>350</v>
      </c>
      <c r="Z150" s="2119">
        <f t="shared" si="53"/>
        <v>0</v>
      </c>
      <c r="AA150" s="2119">
        <f t="shared" si="54"/>
        <v>-170</v>
      </c>
      <c r="AB150" s="2119"/>
      <c r="AC150" s="2119"/>
    </row>
    <row r="151" spans="1:29" s="1942" customFormat="1" ht="13" outlineLevel="3">
      <c r="A151" s="1944"/>
      <c r="B151" s="2120" t="s">
        <v>3665</v>
      </c>
      <c r="C151" s="2121"/>
      <c r="D151" s="2008" t="s">
        <v>3666</v>
      </c>
      <c r="E151" s="2009" t="s">
        <v>3667</v>
      </c>
      <c r="F151" s="1462" t="s">
        <v>3654</v>
      </c>
      <c r="G151" s="1953" t="s">
        <v>4156</v>
      </c>
      <c r="H151" s="1947" t="s">
        <v>9</v>
      </c>
      <c r="I151" s="1712">
        <f>$E$4</f>
        <v>1058.9100000000001</v>
      </c>
      <c r="J151" s="2135"/>
      <c r="K151" s="1950" t="s">
        <v>4075</v>
      </c>
      <c r="L151" s="1947" t="s">
        <v>4076</v>
      </c>
      <c r="M151" s="1754">
        <f t="shared" si="45"/>
        <v>0</v>
      </c>
      <c r="N151" s="1712"/>
      <c r="O151" s="1712">
        <f t="shared" si="55"/>
        <v>0</v>
      </c>
      <c r="P151" s="1712">
        <f t="shared" si="56"/>
        <v>0</v>
      </c>
      <c r="Q151" s="1712">
        <f t="shared" si="57"/>
        <v>0</v>
      </c>
      <c r="R151" s="1757">
        <v>0.09</v>
      </c>
      <c r="S151" s="1712">
        <f t="shared" si="58"/>
        <v>0</v>
      </c>
      <c r="T151" s="1712">
        <f t="shared" si="51"/>
        <v>0</v>
      </c>
      <c r="U151" s="1712">
        <f t="shared" si="52"/>
        <v>0</v>
      </c>
      <c r="V151" s="1952"/>
      <c r="X151" s="2135"/>
      <c r="Y151" s="1712"/>
      <c r="Z151" s="2119">
        <f t="shared" si="53"/>
        <v>0</v>
      </c>
      <c r="AA151" s="2119">
        <f t="shared" si="54"/>
        <v>0</v>
      </c>
      <c r="AB151" s="2119"/>
      <c r="AC151" s="2119"/>
    </row>
    <row r="152" spans="1:29" s="1942" customFormat="1" ht="13" outlineLevel="3">
      <c r="A152" s="1944"/>
      <c r="B152" s="2120" t="s">
        <v>3668</v>
      </c>
      <c r="C152" s="2121"/>
      <c r="D152" s="2008" t="s">
        <v>3669</v>
      </c>
      <c r="E152" s="2009" t="s">
        <v>3670</v>
      </c>
      <c r="F152" s="1462" t="s">
        <v>3654</v>
      </c>
      <c r="G152" s="1953" t="s">
        <v>4156</v>
      </c>
      <c r="H152" s="1947" t="s">
        <v>3926</v>
      </c>
      <c r="I152" s="1712">
        <f>$G$7</f>
        <v>33</v>
      </c>
      <c r="J152" s="2135"/>
      <c r="K152" s="1950" t="s">
        <v>101</v>
      </c>
      <c r="L152" s="1947" t="s">
        <v>4077</v>
      </c>
      <c r="M152" s="1754">
        <f t="shared" si="45"/>
        <v>0</v>
      </c>
      <c r="N152" s="1712"/>
      <c r="O152" s="1712">
        <f t="shared" si="55"/>
        <v>0</v>
      </c>
      <c r="P152" s="1712">
        <f t="shared" si="56"/>
        <v>0</v>
      </c>
      <c r="Q152" s="1712">
        <f t="shared" si="57"/>
        <v>0</v>
      </c>
      <c r="R152" s="1757">
        <v>0.09</v>
      </c>
      <c r="S152" s="1712">
        <f t="shared" si="58"/>
        <v>0</v>
      </c>
      <c r="T152" s="1712">
        <f t="shared" si="51"/>
        <v>0</v>
      </c>
      <c r="U152" s="1712">
        <f t="shared" si="52"/>
        <v>0</v>
      </c>
      <c r="V152" s="1952"/>
      <c r="X152" s="2135"/>
      <c r="Y152" s="1712"/>
      <c r="Z152" s="2119">
        <f t="shared" si="53"/>
        <v>0</v>
      </c>
      <c r="AA152" s="2119">
        <f t="shared" si="54"/>
        <v>0</v>
      </c>
      <c r="AB152" s="2119"/>
      <c r="AC152" s="2119"/>
    </row>
    <row r="153" spans="1:29" s="1942" customFormat="1" ht="13" outlineLevel="2">
      <c r="A153" s="1944"/>
      <c r="B153" s="2132" t="s">
        <v>723</v>
      </c>
      <c r="C153" s="2118"/>
      <c r="D153" s="2008" t="s">
        <v>21</v>
      </c>
      <c r="E153" s="2009"/>
      <c r="F153" s="1462"/>
      <c r="G153" s="1953" t="s">
        <v>4117</v>
      </c>
      <c r="H153" s="1947"/>
      <c r="I153" s="1948"/>
      <c r="J153" s="2099"/>
      <c r="K153" s="1950"/>
      <c r="L153" s="1947"/>
      <c r="M153" s="1950"/>
      <c r="N153" s="1712"/>
      <c r="O153" s="1712">
        <f>SUBTOTAL(9,O154:O158)</f>
        <v>47.653424999999999</v>
      </c>
      <c r="P153" s="1712"/>
      <c r="Q153" s="1712">
        <f>SUBTOTAL(9,Q154:Q158)</f>
        <v>42.893347000000006</v>
      </c>
      <c r="R153" s="1712"/>
      <c r="S153" s="1712">
        <f>SUBTOTAL(9,S154:S158)</f>
        <v>4.7600779999999983</v>
      </c>
      <c r="T153" s="1712">
        <f t="shared" si="51"/>
        <v>405.06310143257815</v>
      </c>
      <c r="U153" s="1712">
        <f t="shared" si="52"/>
        <v>450.01487350438646</v>
      </c>
      <c r="V153" s="1952"/>
      <c r="X153" s="2099"/>
      <c r="Y153" s="1712"/>
      <c r="Z153" s="2119">
        <f t="shared" si="53"/>
        <v>0</v>
      </c>
      <c r="AA153" s="2119">
        <f t="shared" si="54"/>
        <v>0</v>
      </c>
      <c r="AB153" s="2119"/>
      <c r="AC153" s="2119"/>
    </row>
    <row r="154" spans="1:29" s="1942" customFormat="1" ht="13" outlineLevel="3">
      <c r="A154" s="1944"/>
      <c r="B154" s="2120" t="s">
        <v>724</v>
      </c>
      <c r="C154" s="2121"/>
      <c r="D154" s="2008" t="s">
        <v>3671</v>
      </c>
      <c r="E154" s="2009" t="s">
        <v>3672</v>
      </c>
      <c r="F154" s="1462" t="s">
        <v>1606</v>
      </c>
      <c r="G154" s="1953" t="s">
        <v>4121</v>
      </c>
      <c r="H154" s="1947" t="s">
        <v>10</v>
      </c>
      <c r="I154" s="1712">
        <f>$E$5</f>
        <v>1058.93</v>
      </c>
      <c r="J154" s="2135">
        <v>0.1</v>
      </c>
      <c r="K154" s="1950" t="s">
        <v>101</v>
      </c>
      <c r="L154" s="1947" t="s">
        <v>4078</v>
      </c>
      <c r="M154" s="1754">
        <f t="shared" si="45"/>
        <v>105.89300000000001</v>
      </c>
      <c r="N154" s="1712">
        <v>2100</v>
      </c>
      <c r="O154" s="1712">
        <f>ROUND(M154*ROUND(N154,2)/10000,6)</f>
        <v>22.23753</v>
      </c>
      <c r="P154" s="1712">
        <f>IFERROR(ROUND(Q154*10000/M154,2),0)</f>
        <v>1926.61</v>
      </c>
      <c r="Q154" s="1712">
        <f>ROUND(O154/(1+R154),6)</f>
        <v>20.401403999999999</v>
      </c>
      <c r="R154" s="1757">
        <v>0.09</v>
      </c>
      <c r="S154" s="1712">
        <f>O154-Q154</f>
        <v>1.8361260000000001</v>
      </c>
      <c r="T154" s="1712">
        <f t="shared" si="51"/>
        <v>192.66055357766803</v>
      </c>
      <c r="U154" s="1712">
        <f t="shared" si="52"/>
        <v>209.99999999999997</v>
      </c>
      <c r="V154" s="1952"/>
      <c r="X154" s="2138">
        <v>0.1</v>
      </c>
      <c r="Y154" s="1712">
        <v>2100</v>
      </c>
      <c r="Z154" s="2119">
        <f t="shared" si="53"/>
        <v>0</v>
      </c>
      <c r="AA154" s="2119">
        <f t="shared" si="54"/>
        <v>0</v>
      </c>
      <c r="AB154" s="2119"/>
      <c r="AC154" s="2119"/>
    </row>
    <row r="155" spans="1:29" s="1942" customFormat="1" ht="13" outlineLevel="3">
      <c r="A155" s="1944"/>
      <c r="B155" s="2120" t="s">
        <v>726</v>
      </c>
      <c r="C155" s="2121"/>
      <c r="D155" s="2008" t="s">
        <v>61</v>
      </c>
      <c r="E155" s="2009" t="s">
        <v>3673</v>
      </c>
      <c r="F155" s="1462" t="s">
        <v>3674</v>
      </c>
      <c r="G155" s="1953" t="s">
        <v>4157</v>
      </c>
      <c r="H155" s="1947" t="s">
        <v>3926</v>
      </c>
      <c r="I155" s="1712">
        <f>$G$7</f>
        <v>33</v>
      </c>
      <c r="J155" s="2135">
        <v>0</v>
      </c>
      <c r="K155" s="1950" t="s">
        <v>6</v>
      </c>
      <c r="L155" s="1947" t="s">
        <v>4079</v>
      </c>
      <c r="M155" s="1754">
        <f t="shared" si="45"/>
        <v>0</v>
      </c>
      <c r="N155" s="1712">
        <v>1400</v>
      </c>
      <c r="O155" s="1712">
        <f>ROUND(M155*ROUND(N155,2)/10000,6)</f>
        <v>0</v>
      </c>
      <c r="P155" s="1712">
        <f>IFERROR(ROUND(Q155*10000/M155,2),0)</f>
        <v>0</v>
      </c>
      <c r="Q155" s="1712">
        <f>ROUND(O155/(1+R155),6)</f>
        <v>0</v>
      </c>
      <c r="R155" s="1757">
        <v>0.13</v>
      </c>
      <c r="S155" s="1712">
        <f>O155-Q155</f>
        <v>0</v>
      </c>
      <c r="T155" s="1712">
        <f t="shared" si="51"/>
        <v>0</v>
      </c>
      <c r="U155" s="1712">
        <f t="shared" si="52"/>
        <v>0</v>
      </c>
      <c r="V155" s="1952"/>
      <c r="X155" s="2135">
        <v>0</v>
      </c>
      <c r="Y155" s="1712">
        <v>1400</v>
      </c>
      <c r="Z155" s="2119">
        <f t="shared" si="53"/>
        <v>0</v>
      </c>
      <c r="AA155" s="2119">
        <f t="shared" si="54"/>
        <v>0</v>
      </c>
      <c r="AB155" s="2119"/>
      <c r="AC155" s="2119"/>
    </row>
    <row r="156" spans="1:29" s="1942" customFormat="1" ht="13" outlineLevel="3">
      <c r="A156" s="1944"/>
      <c r="B156" s="2120" t="s">
        <v>728</v>
      </c>
      <c r="C156" s="2121"/>
      <c r="D156" s="2008" t="s">
        <v>3675</v>
      </c>
      <c r="E156" s="2009" t="s">
        <v>3676</v>
      </c>
      <c r="F156" s="1462" t="s">
        <v>3677</v>
      </c>
      <c r="G156" s="1953" t="s">
        <v>4158</v>
      </c>
      <c r="H156" s="1947" t="s">
        <v>3923</v>
      </c>
      <c r="I156" s="1712">
        <f>G6</f>
        <v>1</v>
      </c>
      <c r="J156" s="2135">
        <v>3.5000000000000003E-2</v>
      </c>
      <c r="K156" s="1950" t="s">
        <v>101</v>
      </c>
      <c r="L156" s="1947" t="s">
        <v>4080</v>
      </c>
      <c r="M156" s="1754">
        <f t="shared" si="45"/>
        <v>3.5000000000000003E-2</v>
      </c>
      <c r="N156" s="1712">
        <v>450</v>
      </c>
      <c r="O156" s="1712">
        <f>ROUND(M156*ROUND(N156,2)/10000,6)</f>
        <v>1.575E-3</v>
      </c>
      <c r="P156" s="1712">
        <f>IFERROR(ROUND(Q156*10000/M156,2),0)</f>
        <v>398.29</v>
      </c>
      <c r="Q156" s="1712">
        <f>ROUND(O156/(1+R156),6)</f>
        <v>1.3940000000000001E-3</v>
      </c>
      <c r="R156" s="1757">
        <v>0.13</v>
      </c>
      <c r="S156" s="1712">
        <f>O156-Q156</f>
        <v>1.8099999999999995E-4</v>
      </c>
      <c r="T156" s="1712">
        <f t="shared" si="51"/>
        <v>1.3164231818911543E-2</v>
      </c>
      <c r="U156" s="1712">
        <f t="shared" si="52"/>
        <v>1.4873504386503356E-2</v>
      </c>
      <c r="V156" s="1952"/>
      <c r="X156" s="2135">
        <v>3.5000000000000003E-2</v>
      </c>
      <c r="Y156" s="1712">
        <v>450</v>
      </c>
      <c r="Z156" s="2119">
        <f t="shared" si="53"/>
        <v>0</v>
      </c>
      <c r="AA156" s="2119">
        <f t="shared" si="54"/>
        <v>0</v>
      </c>
      <c r="AB156" s="2119"/>
      <c r="AC156" s="2119"/>
    </row>
    <row r="157" spans="1:29" s="1942" customFormat="1" ht="13" outlineLevel="3">
      <c r="A157" s="1944"/>
      <c r="B157" s="2120" t="s">
        <v>730</v>
      </c>
      <c r="C157" s="2121"/>
      <c r="D157" s="2008" t="s">
        <v>62</v>
      </c>
      <c r="E157" s="2009" t="s">
        <v>3678</v>
      </c>
      <c r="F157" s="1462" t="s">
        <v>3679</v>
      </c>
      <c r="G157" s="1953" t="s">
        <v>4159</v>
      </c>
      <c r="H157" s="1947" t="s">
        <v>10</v>
      </c>
      <c r="I157" s="1712">
        <f>$E$5</f>
        <v>1058.93</v>
      </c>
      <c r="J157" s="2135">
        <v>0.3</v>
      </c>
      <c r="K157" s="1950" t="s">
        <v>101</v>
      </c>
      <c r="L157" s="1947" t="s">
        <v>4081</v>
      </c>
      <c r="M157" s="1754">
        <f t="shared" si="45"/>
        <v>317.67900000000003</v>
      </c>
      <c r="N157" s="1712">
        <v>800</v>
      </c>
      <c r="O157" s="1712">
        <f>ROUND(M157*ROUND(N157,2)/10000,6)</f>
        <v>25.41432</v>
      </c>
      <c r="P157" s="1712">
        <f>IFERROR(ROUND(Q157*10000/M157,2),0)</f>
        <v>707.96</v>
      </c>
      <c r="Q157" s="1712">
        <f>ROUND(O157/(1+R157),6)</f>
        <v>22.490549000000001</v>
      </c>
      <c r="R157" s="1757">
        <v>0.13</v>
      </c>
      <c r="S157" s="1712">
        <f>O157-Q157</f>
        <v>2.9237709999999986</v>
      </c>
      <c r="T157" s="1712">
        <f t="shared" si="51"/>
        <v>212.38938362309125</v>
      </c>
      <c r="U157" s="1712">
        <f t="shared" si="52"/>
        <v>240</v>
      </c>
      <c r="V157" s="1952"/>
      <c r="X157" s="2138">
        <v>0.2</v>
      </c>
      <c r="Y157" s="2003">
        <v>700</v>
      </c>
      <c r="Z157" s="2119">
        <f t="shared" si="53"/>
        <v>9.9999999999999978E-2</v>
      </c>
      <c r="AA157" s="2119">
        <f t="shared" si="54"/>
        <v>100</v>
      </c>
      <c r="AB157" s="2119"/>
      <c r="AC157" s="2119"/>
    </row>
    <row r="158" spans="1:29" s="1942" customFormat="1" ht="13" outlineLevel="3">
      <c r="A158" s="1944"/>
      <c r="B158" s="2120" t="s">
        <v>3680</v>
      </c>
      <c r="C158" s="2121"/>
      <c r="D158" s="2008" t="s">
        <v>3681</v>
      </c>
      <c r="E158" s="2009" t="s">
        <v>3682</v>
      </c>
      <c r="F158" s="1462" t="s">
        <v>3677</v>
      </c>
      <c r="G158" s="1953" t="s">
        <v>4158</v>
      </c>
      <c r="H158" s="1947" t="s">
        <v>10</v>
      </c>
      <c r="I158" s="1712">
        <f>$E$5</f>
        <v>1058.93</v>
      </c>
      <c r="J158" s="2135"/>
      <c r="K158" s="1950" t="s">
        <v>101</v>
      </c>
      <c r="L158" s="1947" t="s">
        <v>4082</v>
      </c>
      <c r="M158" s="1754">
        <f t="shared" si="45"/>
        <v>0</v>
      </c>
      <c r="N158" s="1712"/>
      <c r="O158" s="1712">
        <f>ROUND(M158*ROUND(N158,2)/10000,6)</f>
        <v>0</v>
      </c>
      <c r="P158" s="1712">
        <f>IFERROR(ROUND(Q158*10000/M158,2),0)</f>
        <v>0</v>
      </c>
      <c r="Q158" s="1712">
        <f>ROUND(O158/(1+R158),6)</f>
        <v>0</v>
      </c>
      <c r="R158" s="1757">
        <v>0.13</v>
      </c>
      <c r="S158" s="1712">
        <f>O158-Q158</f>
        <v>0</v>
      </c>
      <c r="T158" s="1712">
        <f t="shared" si="51"/>
        <v>0</v>
      </c>
      <c r="U158" s="1712">
        <f t="shared" si="52"/>
        <v>0</v>
      </c>
      <c r="V158" s="1952"/>
      <c r="X158" s="2135"/>
      <c r="Y158" s="1712"/>
      <c r="Z158" s="2119">
        <f t="shared" si="53"/>
        <v>0</v>
      </c>
      <c r="AA158" s="2119">
        <f t="shared" si="54"/>
        <v>0</v>
      </c>
      <c r="AB158" s="2119"/>
      <c r="AC158" s="2119"/>
    </row>
    <row r="159" spans="1:29" s="1942" customFormat="1" ht="13" outlineLevel="2">
      <c r="A159" s="1944"/>
      <c r="B159" s="2132" t="s">
        <v>731</v>
      </c>
      <c r="C159" s="211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f t="shared" si="51"/>
        <v>0</v>
      </c>
      <c r="U159" s="1712">
        <f t="shared" si="52"/>
        <v>0</v>
      </c>
      <c r="V159" s="1952"/>
      <c r="X159" s="2099"/>
      <c r="Y159" s="1712"/>
      <c r="Z159" s="2119">
        <f t="shared" si="53"/>
        <v>0</v>
      </c>
      <c r="AA159" s="2119">
        <f t="shared" si="54"/>
        <v>0</v>
      </c>
      <c r="AB159" s="2119"/>
      <c r="AC159" s="2119"/>
    </row>
    <row r="160" spans="1:29" s="1942" customFormat="1" ht="13" outlineLevel="3">
      <c r="A160" s="1944"/>
      <c r="B160" s="2120" t="s">
        <v>733</v>
      </c>
      <c r="C160" s="2121"/>
      <c r="D160" s="2038" t="s">
        <v>3683</v>
      </c>
      <c r="E160" s="1947" t="s">
        <v>3684</v>
      </c>
      <c r="F160" s="1462" t="s">
        <v>3342</v>
      </c>
      <c r="G160" s="1953" t="s">
        <v>4116</v>
      </c>
      <c r="H160" s="1947" t="s">
        <v>9</v>
      </c>
      <c r="I160" s="1712">
        <f>$E$4</f>
        <v>1058.9100000000001</v>
      </c>
      <c r="J160" s="2135"/>
      <c r="K160" s="1950" t="s">
        <v>101</v>
      </c>
      <c r="L160" s="1947" t="s">
        <v>4083</v>
      </c>
      <c r="M160" s="1754">
        <f t="shared" si="45"/>
        <v>0</v>
      </c>
      <c r="N160" s="1712"/>
      <c r="O160" s="1712">
        <f>ROUND(M160*ROUND(N160,2)/10000,6)</f>
        <v>0</v>
      </c>
      <c r="P160" s="1712">
        <f>IFERROR(ROUND(Q160*10000/M160,2),0)</f>
        <v>0</v>
      </c>
      <c r="Q160" s="1712">
        <f>ROUND(O160/(1+R160),6)</f>
        <v>0</v>
      </c>
      <c r="R160" s="1757">
        <v>0.09</v>
      </c>
      <c r="S160" s="1712">
        <f>O160-Q160</f>
        <v>0</v>
      </c>
      <c r="T160" s="1712">
        <f t="shared" si="51"/>
        <v>0</v>
      </c>
      <c r="U160" s="1712">
        <f t="shared" si="52"/>
        <v>0</v>
      </c>
      <c r="V160" s="1952"/>
      <c r="X160" s="2135">
        <v>1.5</v>
      </c>
      <c r="Y160" s="1712">
        <v>90</v>
      </c>
      <c r="Z160" s="2119">
        <f t="shared" si="53"/>
        <v>-1.5</v>
      </c>
      <c r="AA160" s="2119">
        <f t="shared" si="54"/>
        <v>-90</v>
      </c>
      <c r="AB160" s="2119"/>
      <c r="AC160" s="2119"/>
    </row>
    <row r="161" spans="1:29" s="1942" customFormat="1" ht="13" outlineLevel="3">
      <c r="A161" s="1944"/>
      <c r="B161" s="2120" t="s">
        <v>735</v>
      </c>
      <c r="C161" s="2121"/>
      <c r="D161" s="2038" t="s">
        <v>3685</v>
      </c>
      <c r="E161" s="1947" t="s">
        <v>3686</v>
      </c>
      <c r="F161" s="1462" t="s">
        <v>3342</v>
      </c>
      <c r="G161" s="1953" t="s">
        <v>4116</v>
      </c>
      <c r="H161" s="1947" t="s">
        <v>9</v>
      </c>
      <c r="I161" s="1712">
        <f>$E$4</f>
        <v>1058.9100000000001</v>
      </c>
      <c r="J161" s="2139"/>
      <c r="K161" s="1950" t="s">
        <v>101</v>
      </c>
      <c r="L161" s="1947" t="s">
        <v>9</v>
      </c>
      <c r="M161" s="1754">
        <f t="shared" si="45"/>
        <v>0</v>
      </c>
      <c r="N161" s="1712"/>
      <c r="O161" s="1712">
        <f>ROUND(M161*ROUND(N161,2)/10000,6)</f>
        <v>0</v>
      </c>
      <c r="P161" s="1712">
        <f>IFERROR(ROUND(Q161*10000/M161,2),0)</f>
        <v>0</v>
      </c>
      <c r="Q161" s="1712">
        <f>ROUND(O161/(1+R161),6)</f>
        <v>0</v>
      </c>
      <c r="R161" s="1757">
        <v>0.09</v>
      </c>
      <c r="S161" s="1712">
        <f>O161-Q161</f>
        <v>0</v>
      </c>
      <c r="T161" s="1712">
        <f t="shared" si="51"/>
        <v>0</v>
      </c>
      <c r="U161" s="1712">
        <f t="shared" si="52"/>
        <v>0</v>
      </c>
      <c r="V161" s="1952"/>
      <c r="X161" s="2139"/>
      <c r="Y161" s="1712"/>
      <c r="Z161" s="2119">
        <f t="shared" si="53"/>
        <v>0</v>
      </c>
      <c r="AA161" s="2119">
        <f t="shared" si="54"/>
        <v>0</v>
      </c>
      <c r="AB161" s="2119"/>
      <c r="AC161" s="2119"/>
    </row>
    <row r="162" spans="1:29" s="1942" customFormat="1" ht="13" outlineLevel="3">
      <c r="A162" s="1944"/>
      <c r="B162" s="2120" t="s">
        <v>737</v>
      </c>
      <c r="C162" s="2121"/>
      <c r="D162" s="2038" t="s">
        <v>3687</v>
      </c>
      <c r="E162" s="1947" t="s">
        <v>3688</v>
      </c>
      <c r="F162" s="1462" t="s">
        <v>471</v>
      </c>
      <c r="G162" s="1953" t="s">
        <v>4160</v>
      </c>
      <c r="H162" s="1947" t="s">
        <v>9</v>
      </c>
      <c r="I162" s="1712">
        <f>$E$4</f>
        <v>1058.9100000000001</v>
      </c>
      <c r="J162" s="2135"/>
      <c r="K162" s="1950" t="s">
        <v>101</v>
      </c>
      <c r="L162" s="1947" t="s">
        <v>4084</v>
      </c>
      <c r="M162" s="1754">
        <f t="shared" si="45"/>
        <v>0</v>
      </c>
      <c r="N162" s="1712"/>
      <c r="O162" s="1712">
        <f>ROUND(M162*ROUND(N162,2)/10000,6)</f>
        <v>0</v>
      </c>
      <c r="P162" s="1712">
        <f>IFERROR(ROUND(Q162*10000/M162,2),0)</f>
        <v>0</v>
      </c>
      <c r="Q162" s="1712">
        <f>ROUND(O162/(1+R162),6)</f>
        <v>0</v>
      </c>
      <c r="R162" s="1757">
        <v>0.13</v>
      </c>
      <c r="S162" s="1712">
        <f>O162-Q162</f>
        <v>0</v>
      </c>
      <c r="T162" s="1712">
        <f t="shared" si="51"/>
        <v>0</v>
      </c>
      <c r="U162" s="1712">
        <f t="shared" si="52"/>
        <v>0</v>
      </c>
      <c r="V162" s="1952"/>
      <c r="X162" s="2135"/>
      <c r="Y162" s="1712"/>
      <c r="Z162" s="2119">
        <f t="shared" si="53"/>
        <v>0</v>
      </c>
      <c r="AA162" s="2119">
        <f t="shared" si="54"/>
        <v>0</v>
      </c>
      <c r="AB162" s="2119"/>
      <c r="AC162" s="2119"/>
    </row>
    <row r="163" spans="1:29" s="1942" customFormat="1" ht="13" outlineLevel="2">
      <c r="A163" s="1944"/>
      <c r="B163" s="2120" t="s">
        <v>3689</v>
      </c>
      <c r="C163" s="2121"/>
      <c r="D163" s="2038" t="s">
        <v>3690</v>
      </c>
      <c r="E163" s="1947"/>
      <c r="F163" s="1462"/>
      <c r="G163" s="1953" t="s">
        <v>4117</v>
      </c>
      <c r="H163" s="1947"/>
      <c r="I163" s="1948"/>
      <c r="J163" s="2135"/>
      <c r="K163" s="1950"/>
      <c r="L163" s="1947"/>
      <c r="M163" s="1950"/>
      <c r="N163" s="1712"/>
      <c r="O163" s="1712">
        <f>SUBTOTAL(9,O164:O166)</f>
        <v>0.31767899999999999</v>
      </c>
      <c r="P163" s="1712"/>
      <c r="Q163" s="1712">
        <f>SUBTOTAL(9,Q164:Q166)</f>
        <v>0.28113300000000002</v>
      </c>
      <c r="R163" s="1712"/>
      <c r="S163" s="1712">
        <f>SUBTOTAL(9,S164:S166)</f>
        <v>3.6545999999999995E-2</v>
      </c>
      <c r="T163" s="1712">
        <f t="shared" si="51"/>
        <v>2.654878037264031</v>
      </c>
      <c r="U163" s="1712">
        <f t="shared" si="52"/>
        <v>3</v>
      </c>
      <c r="V163" s="1952"/>
      <c r="X163" s="2135"/>
      <c r="Y163" s="1712"/>
      <c r="Z163" s="2119">
        <f t="shared" si="53"/>
        <v>0</v>
      </c>
      <c r="AA163" s="2119">
        <f t="shared" si="54"/>
        <v>0</v>
      </c>
      <c r="AB163" s="2119"/>
      <c r="AC163" s="2119"/>
    </row>
    <row r="164" spans="1:29" s="1942" customFormat="1" ht="13" outlineLevel="3">
      <c r="A164" s="1944"/>
      <c r="B164" s="2120" t="s">
        <v>3691</v>
      </c>
      <c r="C164" s="2121"/>
      <c r="D164" s="2038" t="s">
        <v>3692</v>
      </c>
      <c r="E164" s="1947" t="s">
        <v>3693</v>
      </c>
      <c r="F164" s="1462" t="s">
        <v>3694</v>
      </c>
      <c r="G164" s="1953" t="s">
        <v>4161</v>
      </c>
      <c r="H164" s="1975" t="s">
        <v>10</v>
      </c>
      <c r="I164" s="1712">
        <f>$E$5</f>
        <v>1058.93</v>
      </c>
      <c r="J164" s="2135">
        <v>1</v>
      </c>
      <c r="K164" s="1950" t="s">
        <v>101</v>
      </c>
      <c r="L164" s="1947" t="s">
        <v>10</v>
      </c>
      <c r="M164" s="1754">
        <f t="shared" si="45"/>
        <v>1058.93</v>
      </c>
      <c r="N164" s="1712">
        <v>1</v>
      </c>
      <c r="O164" s="1712">
        <f t="shared" ref="O164:O169" si="59">ROUND(M164*ROUND(N164,2)/10000,6)</f>
        <v>0.105893</v>
      </c>
      <c r="P164" s="1712">
        <f t="shared" ref="P164:P169" si="60">IFERROR(ROUND(Q164*10000/M164,2),0)</f>
        <v>0.88</v>
      </c>
      <c r="Q164" s="1712">
        <f t="shared" ref="Q164:Q169" si="61">ROUND(O164/(1+R164),6)</f>
        <v>9.3711000000000003E-2</v>
      </c>
      <c r="R164" s="1757">
        <v>0.13</v>
      </c>
      <c r="S164" s="1712">
        <f t="shared" ref="S164:S169" si="62">O164-Q164</f>
        <v>1.2181999999999998E-2</v>
      </c>
      <c r="T164" s="1712">
        <f t="shared" si="51"/>
        <v>0.88495934575467683</v>
      </c>
      <c r="U164" s="1712">
        <f t="shared" si="52"/>
        <v>1</v>
      </c>
      <c r="V164" s="1952"/>
      <c r="X164" s="2135">
        <v>1</v>
      </c>
      <c r="Y164" s="1712"/>
      <c r="Z164" s="2119">
        <f t="shared" si="53"/>
        <v>0</v>
      </c>
      <c r="AA164" s="2119">
        <f t="shared" si="54"/>
        <v>1</v>
      </c>
      <c r="AB164" s="2119"/>
      <c r="AC164" s="2119"/>
    </row>
    <row r="165" spans="1:29" s="1942" customFormat="1" ht="13" outlineLevel="3">
      <c r="A165" s="1944"/>
      <c r="B165" s="2120" t="s">
        <v>3695</v>
      </c>
      <c r="C165" s="2121"/>
      <c r="D165" s="2038" t="s">
        <v>3696</v>
      </c>
      <c r="E165" s="1947" t="s">
        <v>3697</v>
      </c>
      <c r="F165" s="1462" t="s">
        <v>3694</v>
      </c>
      <c r="G165" s="1953" t="s">
        <v>4161</v>
      </c>
      <c r="H165" s="1975" t="s">
        <v>10</v>
      </c>
      <c r="I165" s="1712">
        <f>$E$5</f>
        <v>1058.93</v>
      </c>
      <c r="J165" s="2135">
        <v>1</v>
      </c>
      <c r="K165" s="1950" t="s">
        <v>101</v>
      </c>
      <c r="L165" s="1947" t="s">
        <v>10</v>
      </c>
      <c r="M165" s="1754">
        <f t="shared" si="45"/>
        <v>1058.93</v>
      </c>
      <c r="N165" s="1712">
        <v>1</v>
      </c>
      <c r="O165" s="1712">
        <f t="shared" si="59"/>
        <v>0.105893</v>
      </c>
      <c r="P165" s="1712">
        <f t="shared" si="60"/>
        <v>0.88</v>
      </c>
      <c r="Q165" s="1712">
        <f t="shared" si="61"/>
        <v>9.3711000000000003E-2</v>
      </c>
      <c r="R165" s="1757">
        <v>0.13</v>
      </c>
      <c r="S165" s="1712">
        <f t="shared" si="62"/>
        <v>1.2181999999999998E-2</v>
      </c>
      <c r="T165" s="1712">
        <f t="shared" si="51"/>
        <v>0.88495934575467683</v>
      </c>
      <c r="U165" s="1712">
        <f t="shared" si="52"/>
        <v>1</v>
      </c>
      <c r="V165" s="1952"/>
      <c r="X165" s="2135">
        <v>1</v>
      </c>
      <c r="Y165" s="1712">
        <v>2</v>
      </c>
      <c r="Z165" s="2119">
        <f t="shared" si="53"/>
        <v>0</v>
      </c>
      <c r="AA165" s="2119">
        <f t="shared" si="54"/>
        <v>-1</v>
      </c>
      <c r="AB165" s="2119"/>
      <c r="AC165" s="2119"/>
    </row>
    <row r="166" spans="1:29" s="1942" customFormat="1" ht="13" outlineLevel="3">
      <c r="A166" s="1944"/>
      <c r="B166" s="2120" t="s">
        <v>3698</v>
      </c>
      <c r="C166" s="2121"/>
      <c r="D166" s="2038" t="s">
        <v>3699</v>
      </c>
      <c r="E166" s="1947" t="s">
        <v>3700</v>
      </c>
      <c r="F166" s="1462" t="s">
        <v>3694</v>
      </c>
      <c r="G166" s="1953" t="s">
        <v>4161</v>
      </c>
      <c r="H166" s="1975" t="s">
        <v>10</v>
      </c>
      <c r="I166" s="1712">
        <f>$E$5</f>
        <v>1058.93</v>
      </c>
      <c r="J166" s="2135">
        <v>1</v>
      </c>
      <c r="K166" s="1950" t="s">
        <v>101</v>
      </c>
      <c r="L166" s="1947" t="s">
        <v>10</v>
      </c>
      <c r="M166" s="1754">
        <f t="shared" si="45"/>
        <v>1058.93</v>
      </c>
      <c r="N166" s="1712">
        <v>1</v>
      </c>
      <c r="O166" s="1712">
        <f t="shared" si="59"/>
        <v>0.105893</v>
      </c>
      <c r="P166" s="1712">
        <f t="shared" si="60"/>
        <v>0.88</v>
      </c>
      <c r="Q166" s="1712">
        <f t="shared" si="61"/>
        <v>9.3711000000000003E-2</v>
      </c>
      <c r="R166" s="1757">
        <v>0.13</v>
      </c>
      <c r="S166" s="1712">
        <f t="shared" si="62"/>
        <v>1.2181999999999998E-2</v>
      </c>
      <c r="T166" s="1712">
        <f t="shared" si="51"/>
        <v>0.88495934575467683</v>
      </c>
      <c r="U166" s="1712">
        <f t="shared" si="52"/>
        <v>1</v>
      </c>
      <c r="V166" s="1952"/>
      <c r="X166" s="2135">
        <v>1</v>
      </c>
      <c r="Y166" s="1712">
        <v>1</v>
      </c>
      <c r="Z166" s="2119">
        <f t="shared" si="53"/>
        <v>0</v>
      </c>
      <c r="AA166" s="2119">
        <f t="shared" si="54"/>
        <v>0</v>
      </c>
      <c r="AB166" s="2119"/>
      <c r="AC166" s="2119"/>
    </row>
    <row r="167" spans="1:29" s="1942" customFormat="1" ht="13" outlineLevel="2">
      <c r="A167" s="1944"/>
      <c r="B167" s="2120" t="s">
        <v>3705</v>
      </c>
      <c r="C167" s="2121"/>
      <c r="D167" s="2038" t="s">
        <v>740</v>
      </c>
      <c r="E167" s="1947" t="s">
        <v>3702</v>
      </c>
      <c r="F167" s="1462" t="s">
        <v>463</v>
      </c>
      <c r="G167" s="1953" t="s">
        <v>4162</v>
      </c>
      <c r="H167" s="1975" t="s">
        <v>3926</v>
      </c>
      <c r="I167" s="1712">
        <f>$G$7</f>
        <v>33</v>
      </c>
      <c r="J167" s="2135">
        <v>1</v>
      </c>
      <c r="K167" s="1950" t="s">
        <v>3947</v>
      </c>
      <c r="L167" s="1947" t="s">
        <v>3926</v>
      </c>
      <c r="M167" s="1754">
        <f t="shared" si="45"/>
        <v>33</v>
      </c>
      <c r="N167" s="1712">
        <v>65</v>
      </c>
      <c r="O167" s="1712">
        <f t="shared" si="59"/>
        <v>0.2145</v>
      </c>
      <c r="P167" s="1712">
        <f t="shared" si="60"/>
        <v>57.52</v>
      </c>
      <c r="Q167" s="1712">
        <f t="shared" si="61"/>
        <v>0.18982299999999999</v>
      </c>
      <c r="R167" s="1757">
        <v>0.13</v>
      </c>
      <c r="S167" s="1712">
        <f t="shared" si="62"/>
        <v>2.4677000000000004E-2</v>
      </c>
      <c r="T167" s="1712">
        <f t="shared" si="51"/>
        <v>1.7925925226407788</v>
      </c>
      <c r="U167" s="1712">
        <f t="shared" si="52"/>
        <v>2.0256296450190283</v>
      </c>
      <c r="V167" s="1952"/>
      <c r="X167" s="2135">
        <v>1</v>
      </c>
      <c r="Y167" s="1712"/>
      <c r="Z167" s="2119">
        <f t="shared" si="53"/>
        <v>0</v>
      </c>
      <c r="AA167" s="2119">
        <f t="shared" si="54"/>
        <v>65</v>
      </c>
      <c r="AB167" s="2119"/>
      <c r="AC167" s="2119"/>
    </row>
    <row r="168" spans="1:29" s="1942" customFormat="1" ht="13" outlineLevel="2">
      <c r="A168" s="1944"/>
      <c r="B168" s="2120" t="s">
        <v>3701</v>
      </c>
      <c r="C168" s="2121"/>
      <c r="D168" s="2038" t="s">
        <v>3704</v>
      </c>
      <c r="E168" s="1947"/>
      <c r="F168" s="1462" t="s">
        <v>1424</v>
      </c>
      <c r="G168" s="1953" t="s">
        <v>4123</v>
      </c>
      <c r="H168" s="1975" t="s">
        <v>10</v>
      </c>
      <c r="I168" s="1712">
        <f>$E$5</f>
        <v>1058.93</v>
      </c>
      <c r="J168" s="2139"/>
      <c r="K168" s="1950" t="s">
        <v>101</v>
      </c>
      <c r="L168" s="1947" t="s">
        <v>10</v>
      </c>
      <c r="M168" s="1754">
        <f t="shared" si="45"/>
        <v>0</v>
      </c>
      <c r="N168" s="1712"/>
      <c r="O168" s="1712">
        <f t="shared" si="59"/>
        <v>0</v>
      </c>
      <c r="P168" s="1712">
        <f t="shared" si="60"/>
        <v>0</v>
      </c>
      <c r="Q168" s="1712">
        <f t="shared" si="61"/>
        <v>0</v>
      </c>
      <c r="R168" s="1757">
        <v>0.06</v>
      </c>
      <c r="S168" s="1712">
        <f t="shared" si="62"/>
        <v>0</v>
      </c>
      <c r="T168" s="1712">
        <f t="shared" si="51"/>
        <v>0</v>
      </c>
      <c r="U168" s="1712">
        <f t="shared" si="52"/>
        <v>0</v>
      </c>
      <c r="V168" s="1952"/>
      <c r="X168" s="2139"/>
      <c r="Y168" s="1712"/>
      <c r="Z168" s="2119">
        <f t="shared" si="53"/>
        <v>0</v>
      </c>
      <c r="AA168" s="2119">
        <f t="shared" si="54"/>
        <v>0</v>
      </c>
      <c r="AB168" s="2119"/>
      <c r="AC168" s="2119"/>
    </row>
    <row r="169" spans="1:29" s="1942" customFormat="1" ht="13" outlineLevel="2">
      <c r="A169" s="1944"/>
      <c r="B169" s="2120" t="s">
        <v>3703</v>
      </c>
      <c r="C169" s="2121"/>
      <c r="D169" s="2039" t="s">
        <v>3706</v>
      </c>
      <c r="E169" s="1982" t="s">
        <v>3707</v>
      </c>
      <c r="F169" s="1462" t="s">
        <v>3694</v>
      </c>
      <c r="G169" s="1982" t="s">
        <v>4161</v>
      </c>
      <c r="H169" s="1975" t="s">
        <v>10</v>
      </c>
      <c r="I169" s="1712">
        <f>$E$5</f>
        <v>1058.93</v>
      </c>
      <c r="J169" s="2139"/>
      <c r="K169" s="1950" t="s">
        <v>101</v>
      </c>
      <c r="L169" s="1947" t="s">
        <v>10</v>
      </c>
      <c r="M169" s="1754">
        <f t="shared" si="45"/>
        <v>0</v>
      </c>
      <c r="N169" s="1712"/>
      <c r="O169" s="1712">
        <f t="shared" si="59"/>
        <v>0</v>
      </c>
      <c r="P169" s="1712">
        <f t="shared" si="60"/>
        <v>0</v>
      </c>
      <c r="Q169" s="1712">
        <f t="shared" si="61"/>
        <v>0</v>
      </c>
      <c r="R169" s="1757">
        <v>0.13</v>
      </c>
      <c r="S169" s="1712">
        <f t="shared" si="62"/>
        <v>0</v>
      </c>
      <c r="T169" s="1712">
        <f t="shared" si="51"/>
        <v>0</v>
      </c>
      <c r="U169" s="1712">
        <f t="shared" si="52"/>
        <v>0</v>
      </c>
      <c r="V169" s="1952"/>
      <c r="X169" s="2139"/>
      <c r="Y169" s="1712"/>
      <c r="Z169" s="2119">
        <f t="shared" si="53"/>
        <v>0</v>
      </c>
      <c r="AA169" s="2119">
        <f t="shared" si="54"/>
        <v>0</v>
      </c>
      <c r="AB169" s="2119"/>
      <c r="AC169" s="2119"/>
    </row>
    <row r="170" spans="1:29" ht="13" outlineLevel="1">
      <c r="A170" s="2019"/>
      <c r="B170" s="2131" t="s">
        <v>501</v>
      </c>
      <c r="C170" s="2115">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f t="shared" si="51"/>
        <v>0</v>
      </c>
      <c r="U170" s="1973">
        <f t="shared" si="52"/>
        <v>0</v>
      </c>
      <c r="V170" s="1974"/>
      <c r="X170" s="2116"/>
      <c r="Y170" s="1973"/>
      <c r="Z170" s="2119">
        <f t="shared" si="53"/>
        <v>0</v>
      </c>
      <c r="AA170" s="2119">
        <f t="shared" si="54"/>
        <v>0</v>
      </c>
    </row>
    <row r="171" spans="1:29" s="1942" customFormat="1" ht="13" outlineLevel="2">
      <c r="A171" s="1944"/>
      <c r="B171" s="2132" t="s">
        <v>742</v>
      </c>
      <c r="C171" s="2118"/>
      <c r="D171" s="2008" t="s">
        <v>51</v>
      </c>
      <c r="E171" s="2009" t="s">
        <v>3709</v>
      </c>
      <c r="F171" s="1462" t="s">
        <v>3577</v>
      </c>
      <c r="G171" s="1953" t="s">
        <v>4141</v>
      </c>
      <c r="H171" s="1947" t="s">
        <v>18</v>
      </c>
      <c r="I171" s="1712">
        <f>$G$5</f>
        <v>1</v>
      </c>
      <c r="J171" s="2140">
        <v>50</v>
      </c>
      <c r="K171" s="1947" t="s">
        <v>4085</v>
      </c>
      <c r="L171" s="1947" t="s">
        <v>4086</v>
      </c>
      <c r="M171" s="1754">
        <f t="shared" si="45"/>
        <v>50</v>
      </c>
      <c r="N171" s="1712"/>
      <c r="O171" s="1712">
        <f t="shared" ref="O171:O183" si="63">ROUND(M171*ROUND(N171,2)/10000,6)</f>
        <v>0</v>
      </c>
      <c r="P171" s="1712">
        <f t="shared" ref="P171:P183" si="64">IFERROR(ROUND(Q171*10000/M171,2),0)</f>
        <v>0</v>
      </c>
      <c r="Q171" s="1712">
        <f t="shared" ref="Q171:Q183" si="65">ROUND(O171/(1+R171),6)</f>
        <v>0</v>
      </c>
      <c r="R171" s="1757">
        <v>0.09</v>
      </c>
      <c r="S171" s="1712">
        <f t="shared" ref="S171:S183" si="66">O171-Q171</f>
        <v>0</v>
      </c>
      <c r="T171" s="1712">
        <f t="shared" si="51"/>
        <v>0</v>
      </c>
      <c r="U171" s="1712">
        <f t="shared" si="52"/>
        <v>0</v>
      </c>
      <c r="V171" s="1952"/>
      <c r="X171" s="2140">
        <v>50</v>
      </c>
      <c r="Y171" s="1712"/>
      <c r="Z171" s="2119">
        <f t="shared" si="53"/>
        <v>0</v>
      </c>
      <c r="AA171" s="2119">
        <f t="shared" si="54"/>
        <v>0</v>
      </c>
      <c r="AB171" s="2119"/>
      <c r="AC171" s="2119"/>
    </row>
    <row r="172" spans="1:29" s="1942" customFormat="1" ht="13" outlineLevel="2">
      <c r="A172" s="1944"/>
      <c r="B172" s="2132" t="s">
        <v>746</v>
      </c>
      <c r="C172" s="2121"/>
      <c r="D172" s="2038" t="s">
        <v>89</v>
      </c>
      <c r="E172" s="1947" t="s">
        <v>3710</v>
      </c>
      <c r="F172" s="1462" t="s">
        <v>3577</v>
      </c>
      <c r="G172" s="1953" t="s">
        <v>4141</v>
      </c>
      <c r="H172" s="1947" t="s">
        <v>18</v>
      </c>
      <c r="I172" s="1712">
        <f>$G$5</f>
        <v>1</v>
      </c>
      <c r="J172" s="2140">
        <v>35</v>
      </c>
      <c r="K172" s="1947" t="s">
        <v>4085</v>
      </c>
      <c r="L172" s="1947" t="s">
        <v>4087</v>
      </c>
      <c r="M172" s="1754">
        <f t="shared" si="45"/>
        <v>35</v>
      </c>
      <c r="N172" s="1712"/>
      <c r="O172" s="1712">
        <f t="shared" si="63"/>
        <v>0</v>
      </c>
      <c r="P172" s="1712">
        <f t="shared" si="64"/>
        <v>0</v>
      </c>
      <c r="Q172" s="1712">
        <f t="shared" si="65"/>
        <v>0</v>
      </c>
      <c r="R172" s="1757">
        <v>0.09</v>
      </c>
      <c r="S172" s="1712">
        <f t="shared" si="66"/>
        <v>0</v>
      </c>
      <c r="T172" s="1712">
        <f t="shared" si="51"/>
        <v>0</v>
      </c>
      <c r="U172" s="1712">
        <f t="shared" si="52"/>
        <v>0</v>
      </c>
      <c r="V172" s="1952"/>
      <c r="X172" s="2140">
        <v>35</v>
      </c>
      <c r="Y172" s="1712"/>
      <c r="Z172" s="2119">
        <f t="shared" si="53"/>
        <v>0</v>
      </c>
      <c r="AA172" s="2119">
        <f t="shared" si="54"/>
        <v>0</v>
      </c>
      <c r="AB172" s="2119"/>
      <c r="AC172" s="2119"/>
    </row>
    <row r="173" spans="1:29" s="1942" customFormat="1" ht="13" outlineLevel="2">
      <c r="A173" s="1944"/>
      <c r="B173" s="2132" t="s">
        <v>753</v>
      </c>
      <c r="C173" s="2121"/>
      <c r="D173" s="2038" t="s">
        <v>3711</v>
      </c>
      <c r="E173" s="1947" t="s">
        <v>3712</v>
      </c>
      <c r="F173" s="1462" t="s">
        <v>3577</v>
      </c>
      <c r="G173" s="1953" t="s">
        <v>4141</v>
      </c>
      <c r="H173" s="1947" t="s">
        <v>10</v>
      </c>
      <c r="I173" s="1712">
        <f>$E$5</f>
        <v>1058.93</v>
      </c>
      <c r="J173" s="2140"/>
      <c r="K173" s="1947" t="s">
        <v>101</v>
      </c>
      <c r="L173" s="1947" t="s">
        <v>4088</v>
      </c>
      <c r="M173" s="1754">
        <f t="shared" si="45"/>
        <v>0</v>
      </c>
      <c r="N173" s="1712"/>
      <c r="O173" s="1712">
        <f t="shared" si="63"/>
        <v>0</v>
      </c>
      <c r="P173" s="1712">
        <f t="shared" si="64"/>
        <v>0</v>
      </c>
      <c r="Q173" s="1712">
        <f t="shared" si="65"/>
        <v>0</v>
      </c>
      <c r="R173" s="1757">
        <v>0.09</v>
      </c>
      <c r="S173" s="1712">
        <f t="shared" si="66"/>
        <v>0</v>
      </c>
      <c r="T173" s="1712">
        <f t="shared" si="51"/>
        <v>0</v>
      </c>
      <c r="U173" s="1712">
        <f t="shared" si="52"/>
        <v>0</v>
      </c>
      <c r="V173" s="1952"/>
      <c r="X173" s="2140"/>
      <c r="Y173" s="1712"/>
      <c r="Z173" s="2119">
        <f t="shared" si="53"/>
        <v>0</v>
      </c>
      <c r="AA173" s="2119">
        <f t="shared" si="54"/>
        <v>0</v>
      </c>
      <c r="AB173" s="2119"/>
      <c r="AC173" s="2119"/>
    </row>
    <row r="174" spans="1:29" s="1942" customFormat="1" ht="13" outlineLevel="2">
      <c r="A174" s="1944"/>
      <c r="B174" s="2132" t="s">
        <v>755</v>
      </c>
      <c r="C174" s="2121"/>
      <c r="D174" s="2038" t="s">
        <v>90</v>
      </c>
      <c r="E174" s="1947" t="s">
        <v>3713</v>
      </c>
      <c r="F174" s="1462" t="s">
        <v>3577</v>
      </c>
      <c r="G174" s="1953" t="s">
        <v>4141</v>
      </c>
      <c r="H174" s="1947" t="s">
        <v>18</v>
      </c>
      <c r="I174" s="1712">
        <f>$G$5</f>
        <v>1</v>
      </c>
      <c r="J174" s="2140"/>
      <c r="K174" s="1947" t="s">
        <v>4085</v>
      </c>
      <c r="L174" s="1947" t="s">
        <v>4089</v>
      </c>
      <c r="M174" s="1754">
        <f t="shared" si="45"/>
        <v>0</v>
      </c>
      <c r="N174" s="1712"/>
      <c r="O174" s="1712">
        <f t="shared" si="63"/>
        <v>0</v>
      </c>
      <c r="P174" s="1712">
        <f t="shared" si="64"/>
        <v>0</v>
      </c>
      <c r="Q174" s="1712">
        <f t="shared" si="65"/>
        <v>0</v>
      </c>
      <c r="R174" s="1757">
        <v>0.09</v>
      </c>
      <c r="S174" s="1712">
        <f t="shared" si="66"/>
        <v>0</v>
      </c>
      <c r="T174" s="1712">
        <f t="shared" si="51"/>
        <v>0</v>
      </c>
      <c r="U174" s="1712">
        <f t="shared" si="52"/>
        <v>0</v>
      </c>
      <c r="V174" s="1952"/>
      <c r="X174" s="2140"/>
      <c r="Y174" s="1712"/>
      <c r="Z174" s="2119">
        <f t="shared" si="53"/>
        <v>0</v>
      </c>
      <c r="AA174" s="2119">
        <f t="shared" si="54"/>
        <v>0</v>
      </c>
      <c r="AB174" s="2119"/>
      <c r="AC174" s="2119"/>
    </row>
    <row r="175" spans="1:29" s="1942" customFormat="1" ht="13" outlineLevel="2">
      <c r="A175" s="1944"/>
      <c r="B175" s="2132" t="s">
        <v>756</v>
      </c>
      <c r="C175" s="2121"/>
      <c r="D175" s="2038" t="s">
        <v>757</v>
      </c>
      <c r="E175" s="1947" t="s">
        <v>3714</v>
      </c>
      <c r="F175" s="1462" t="s">
        <v>3577</v>
      </c>
      <c r="G175" s="1953" t="s">
        <v>4141</v>
      </c>
      <c r="H175" s="1947" t="s">
        <v>3923</v>
      </c>
      <c r="I175" s="1712">
        <f>$G$6</f>
        <v>1</v>
      </c>
      <c r="J175" s="2140">
        <v>15</v>
      </c>
      <c r="K175" s="1947" t="s">
        <v>2</v>
      </c>
      <c r="L175" s="1947" t="s">
        <v>4090</v>
      </c>
      <c r="M175" s="1754">
        <f t="shared" si="45"/>
        <v>15</v>
      </c>
      <c r="N175" s="1712">
        <v>0</v>
      </c>
      <c r="O175" s="1712">
        <f t="shared" si="63"/>
        <v>0</v>
      </c>
      <c r="P175" s="1712">
        <f t="shared" si="64"/>
        <v>0</v>
      </c>
      <c r="Q175" s="1712">
        <f t="shared" si="65"/>
        <v>0</v>
      </c>
      <c r="R175" s="1757">
        <v>0.09</v>
      </c>
      <c r="S175" s="1712">
        <f t="shared" si="66"/>
        <v>0</v>
      </c>
      <c r="T175" s="1712">
        <f t="shared" si="51"/>
        <v>0</v>
      </c>
      <c r="U175" s="1712">
        <f t="shared" si="52"/>
        <v>0</v>
      </c>
      <c r="V175" s="1952"/>
      <c r="X175" s="2140">
        <v>15</v>
      </c>
      <c r="Y175" s="1712">
        <v>180</v>
      </c>
      <c r="Z175" s="2119">
        <f t="shared" si="53"/>
        <v>0</v>
      </c>
      <c r="AA175" s="2119">
        <f t="shared" si="54"/>
        <v>-180</v>
      </c>
      <c r="AB175" s="2119"/>
      <c r="AC175" s="2119"/>
    </row>
    <row r="176" spans="1:29" s="1942" customFormat="1" ht="13" outlineLevel="2">
      <c r="A176" s="1944"/>
      <c r="B176" s="2132" t="s">
        <v>758</v>
      </c>
      <c r="C176" s="2121"/>
      <c r="D176" s="2038" t="s">
        <v>118</v>
      </c>
      <c r="E176" s="1947" t="s">
        <v>3715</v>
      </c>
      <c r="F176" s="1462" t="s">
        <v>3577</v>
      </c>
      <c r="G176" s="1953" t="s">
        <v>4141</v>
      </c>
      <c r="H176" s="1947" t="s">
        <v>3923</v>
      </c>
      <c r="I176" s="1712">
        <f>$G$6</f>
        <v>1</v>
      </c>
      <c r="J176" s="2140">
        <v>0</v>
      </c>
      <c r="K176" s="1947" t="s">
        <v>2</v>
      </c>
      <c r="L176" s="1947" t="s">
        <v>4091</v>
      </c>
      <c r="M176" s="1754">
        <f t="shared" si="45"/>
        <v>0</v>
      </c>
      <c r="N176" s="1712"/>
      <c r="O176" s="1712">
        <f t="shared" si="63"/>
        <v>0</v>
      </c>
      <c r="P176" s="1712">
        <f t="shared" si="64"/>
        <v>0</v>
      </c>
      <c r="Q176" s="1712">
        <f t="shared" si="65"/>
        <v>0</v>
      </c>
      <c r="R176" s="1757">
        <v>0.09</v>
      </c>
      <c r="S176" s="1712">
        <f t="shared" si="66"/>
        <v>0</v>
      </c>
      <c r="T176" s="1712">
        <f t="shared" si="51"/>
        <v>0</v>
      </c>
      <c r="U176" s="1712">
        <f t="shared" si="52"/>
        <v>0</v>
      </c>
      <c r="V176" s="1952"/>
      <c r="X176" s="2141">
        <v>0</v>
      </c>
      <c r="Y176" s="1712">
        <v>800</v>
      </c>
      <c r="Z176" s="2119">
        <f t="shared" si="53"/>
        <v>0</v>
      </c>
      <c r="AA176" s="2119">
        <f t="shared" si="54"/>
        <v>-800</v>
      </c>
      <c r="AB176" s="2119"/>
      <c r="AC176" s="2119"/>
    </row>
    <row r="177" spans="1:29" s="1942" customFormat="1" ht="13" outlineLevel="2">
      <c r="A177" s="1944"/>
      <c r="B177" s="2132" t="s">
        <v>763</v>
      </c>
      <c r="C177" s="2121"/>
      <c r="D177" s="2038" t="s">
        <v>807</v>
      </c>
      <c r="E177" s="1947" t="s">
        <v>3716</v>
      </c>
      <c r="F177" s="1462" t="s">
        <v>3577</v>
      </c>
      <c r="G177" s="1953" t="s">
        <v>4141</v>
      </c>
      <c r="H177" s="1947" t="s">
        <v>4092</v>
      </c>
      <c r="I177" s="1712">
        <f>$G$5</f>
        <v>1</v>
      </c>
      <c r="J177" s="2140">
        <v>2</v>
      </c>
      <c r="K177" s="1947" t="s">
        <v>2942</v>
      </c>
      <c r="L177" s="1947" t="s">
        <v>4093</v>
      </c>
      <c r="M177" s="1754">
        <f t="shared" si="45"/>
        <v>2</v>
      </c>
      <c r="N177" s="1712"/>
      <c r="O177" s="1712">
        <f t="shared" si="63"/>
        <v>0</v>
      </c>
      <c r="P177" s="1712">
        <f t="shared" si="64"/>
        <v>0</v>
      </c>
      <c r="Q177" s="1712">
        <f t="shared" si="65"/>
        <v>0</v>
      </c>
      <c r="R177" s="1757">
        <v>0.09</v>
      </c>
      <c r="S177" s="1712">
        <f t="shared" si="66"/>
        <v>0</v>
      </c>
      <c r="T177" s="1712">
        <f t="shared" si="51"/>
        <v>0</v>
      </c>
      <c r="U177" s="1712">
        <f t="shared" si="52"/>
        <v>0</v>
      </c>
      <c r="V177" s="1952"/>
      <c r="X177" s="2140">
        <v>2</v>
      </c>
      <c r="Y177" s="1712"/>
      <c r="Z177" s="2119">
        <f t="shared" si="53"/>
        <v>0</v>
      </c>
      <c r="AA177" s="2119">
        <f t="shared" si="54"/>
        <v>0</v>
      </c>
      <c r="AB177" s="2119"/>
      <c r="AC177" s="2119"/>
    </row>
    <row r="178" spans="1:29" s="1942" customFormat="1" ht="13" outlineLevel="2">
      <c r="A178" s="1944"/>
      <c r="B178" s="2132" t="s">
        <v>764</v>
      </c>
      <c r="C178" s="2121"/>
      <c r="D178" s="2038" t="s">
        <v>808</v>
      </c>
      <c r="E178" s="1947" t="s">
        <v>3717</v>
      </c>
      <c r="F178" s="1462" t="s">
        <v>3577</v>
      </c>
      <c r="G178" s="1953" t="s">
        <v>4141</v>
      </c>
      <c r="H178" s="1975" t="s">
        <v>3969</v>
      </c>
      <c r="I178" s="1948"/>
      <c r="J178" s="2140"/>
      <c r="K178" s="1947" t="s">
        <v>3974</v>
      </c>
      <c r="L178" s="1947" t="s">
        <v>4048</v>
      </c>
      <c r="M178" s="1754">
        <f t="shared" si="45"/>
        <v>0</v>
      </c>
      <c r="N178" s="1712"/>
      <c r="O178" s="1712">
        <f t="shared" si="63"/>
        <v>0</v>
      </c>
      <c r="P178" s="1712">
        <f t="shared" si="64"/>
        <v>0</v>
      </c>
      <c r="Q178" s="1712">
        <f t="shared" si="65"/>
        <v>0</v>
      </c>
      <c r="R178" s="1757">
        <v>0.09</v>
      </c>
      <c r="S178" s="1712">
        <f t="shared" si="66"/>
        <v>0</v>
      </c>
      <c r="T178" s="1712">
        <f t="shared" si="51"/>
        <v>0</v>
      </c>
      <c r="U178" s="1712">
        <f t="shared" si="52"/>
        <v>0</v>
      </c>
      <c r="V178" s="1952"/>
      <c r="X178" s="2140"/>
      <c r="Y178" s="1712"/>
      <c r="Z178" s="2119">
        <f t="shared" si="53"/>
        <v>0</v>
      </c>
      <c r="AA178" s="2119">
        <f t="shared" si="54"/>
        <v>0</v>
      </c>
      <c r="AB178" s="2119"/>
      <c r="AC178" s="2119"/>
    </row>
    <row r="179" spans="1:29" s="1942" customFormat="1" ht="13" outlineLevel="2">
      <c r="A179" s="1944"/>
      <c r="B179" s="2132" t="s">
        <v>765</v>
      </c>
      <c r="C179" s="2118"/>
      <c r="D179" s="2008" t="s">
        <v>3718</v>
      </c>
      <c r="E179" s="2009" t="s">
        <v>3719</v>
      </c>
      <c r="F179" s="1462" t="s">
        <v>3577</v>
      </c>
      <c r="G179" s="1953" t="s">
        <v>4141</v>
      </c>
      <c r="H179" s="1947" t="s">
        <v>10</v>
      </c>
      <c r="I179" s="1712">
        <f>$E$5</f>
        <v>1058.93</v>
      </c>
      <c r="J179" s="2140"/>
      <c r="K179" s="1947" t="s">
        <v>101</v>
      </c>
      <c r="L179" s="1947" t="s">
        <v>4094</v>
      </c>
      <c r="M179" s="1754">
        <f t="shared" si="45"/>
        <v>0</v>
      </c>
      <c r="N179" s="1712"/>
      <c r="O179" s="1712">
        <f t="shared" si="63"/>
        <v>0</v>
      </c>
      <c r="P179" s="1712">
        <f t="shared" si="64"/>
        <v>0</v>
      </c>
      <c r="Q179" s="1712">
        <f t="shared" si="65"/>
        <v>0</v>
      </c>
      <c r="R179" s="1757">
        <v>0.09</v>
      </c>
      <c r="S179" s="1712">
        <f t="shared" si="66"/>
        <v>0</v>
      </c>
      <c r="T179" s="1712">
        <f t="shared" si="51"/>
        <v>0</v>
      </c>
      <c r="U179" s="1712">
        <f t="shared" si="52"/>
        <v>0</v>
      </c>
      <c r="V179" s="1952"/>
      <c r="X179" s="2140"/>
      <c r="Y179" s="1712"/>
      <c r="Z179" s="2119">
        <f t="shared" si="53"/>
        <v>0</v>
      </c>
      <c r="AA179" s="2119">
        <f t="shared" si="54"/>
        <v>0</v>
      </c>
      <c r="AB179" s="2119"/>
      <c r="AC179" s="2119"/>
    </row>
    <row r="180" spans="1:29" s="1942" customFormat="1" ht="13" outlineLevel="2">
      <c r="A180" s="1944"/>
      <c r="B180" s="2132" t="s">
        <v>810</v>
      </c>
      <c r="C180" s="2118"/>
      <c r="D180" s="2008" t="s">
        <v>3720</v>
      </c>
      <c r="E180" s="2009" t="s">
        <v>3721</v>
      </c>
      <c r="F180" s="1462" t="s">
        <v>3577</v>
      </c>
      <c r="G180" s="1953" t="s">
        <v>4141</v>
      </c>
      <c r="H180" s="1947" t="s">
        <v>10</v>
      </c>
      <c r="I180" s="1712">
        <f>$E$5</f>
        <v>1058.93</v>
      </c>
      <c r="J180" s="2140"/>
      <c r="K180" s="1947" t="s">
        <v>101</v>
      </c>
      <c r="L180" s="1947" t="s">
        <v>4095</v>
      </c>
      <c r="M180" s="1754">
        <f t="shared" si="45"/>
        <v>0</v>
      </c>
      <c r="N180" s="1712"/>
      <c r="O180" s="1712">
        <f t="shared" si="63"/>
        <v>0</v>
      </c>
      <c r="P180" s="1712">
        <f t="shared" si="64"/>
        <v>0</v>
      </c>
      <c r="Q180" s="1712">
        <f t="shared" si="65"/>
        <v>0</v>
      </c>
      <c r="R180" s="1757">
        <v>0.09</v>
      </c>
      <c r="S180" s="1712">
        <f t="shared" si="66"/>
        <v>0</v>
      </c>
      <c r="T180" s="1712">
        <f t="shared" si="51"/>
        <v>0</v>
      </c>
      <c r="U180" s="1712">
        <f t="shared" si="52"/>
        <v>0</v>
      </c>
      <c r="V180" s="1952"/>
      <c r="X180" s="2140"/>
      <c r="Y180" s="1712"/>
      <c r="Z180" s="2119">
        <f t="shared" si="53"/>
        <v>0</v>
      </c>
      <c r="AA180" s="2119">
        <f t="shared" si="54"/>
        <v>0</v>
      </c>
      <c r="AB180" s="2119"/>
      <c r="AC180" s="2119"/>
    </row>
    <row r="181" spans="1:29" s="1942" customFormat="1" ht="13" outlineLevel="2">
      <c r="A181" s="1944"/>
      <c r="B181" s="2132" t="s">
        <v>3722</v>
      </c>
      <c r="C181" s="2118"/>
      <c r="D181" s="2008" t="s">
        <v>3723</v>
      </c>
      <c r="E181" s="2009" t="s">
        <v>3724</v>
      </c>
      <c r="F181" s="1462" t="s">
        <v>3577</v>
      </c>
      <c r="G181" s="1953" t="s">
        <v>4141</v>
      </c>
      <c r="H181" s="1947" t="s">
        <v>10</v>
      </c>
      <c r="I181" s="1712">
        <f>$E$5</f>
        <v>1058.93</v>
      </c>
      <c r="J181" s="2140"/>
      <c r="K181" s="1947" t="s">
        <v>101</v>
      </c>
      <c r="L181" s="1947" t="s">
        <v>4096</v>
      </c>
      <c r="M181" s="1754">
        <f t="shared" si="45"/>
        <v>0</v>
      </c>
      <c r="N181" s="1712"/>
      <c r="O181" s="1712">
        <f t="shared" si="63"/>
        <v>0</v>
      </c>
      <c r="P181" s="1712">
        <f t="shared" si="64"/>
        <v>0</v>
      </c>
      <c r="Q181" s="1712">
        <f t="shared" si="65"/>
        <v>0</v>
      </c>
      <c r="R181" s="1757">
        <v>0.09</v>
      </c>
      <c r="S181" s="1712">
        <f t="shared" si="66"/>
        <v>0</v>
      </c>
      <c r="T181" s="1712">
        <f t="shared" si="51"/>
        <v>0</v>
      </c>
      <c r="U181" s="1712">
        <f t="shared" si="52"/>
        <v>0</v>
      </c>
      <c r="V181" s="1952"/>
      <c r="X181" s="2140"/>
      <c r="Y181" s="1712"/>
      <c r="Z181" s="2119">
        <f t="shared" si="53"/>
        <v>0</v>
      </c>
      <c r="AA181" s="2119">
        <f t="shared" si="54"/>
        <v>0</v>
      </c>
      <c r="AB181" s="2119"/>
      <c r="AC181" s="2119"/>
    </row>
    <row r="182" spans="1:29" s="1942" customFormat="1" ht="13" outlineLevel="2">
      <c r="A182" s="1944"/>
      <c r="B182" s="2132" t="s">
        <v>3725</v>
      </c>
      <c r="C182" s="2121"/>
      <c r="D182" s="2038" t="s">
        <v>811</v>
      </c>
      <c r="E182" s="1947" t="s">
        <v>3726</v>
      </c>
      <c r="F182" s="1462" t="s">
        <v>3624</v>
      </c>
      <c r="G182" s="1953" t="s">
        <v>4149</v>
      </c>
      <c r="H182" s="1975" t="s">
        <v>10</v>
      </c>
      <c r="I182" s="1712">
        <f>$E$5</f>
        <v>1058.93</v>
      </c>
      <c r="J182" s="2140"/>
      <c r="K182" s="1947" t="s">
        <v>101</v>
      </c>
      <c r="L182" s="1947" t="s">
        <v>10</v>
      </c>
      <c r="M182" s="1754">
        <f t="shared" si="45"/>
        <v>0</v>
      </c>
      <c r="N182" s="1712"/>
      <c r="O182" s="1712">
        <f t="shared" si="63"/>
        <v>0</v>
      </c>
      <c r="P182" s="1712">
        <f t="shared" si="64"/>
        <v>0</v>
      </c>
      <c r="Q182" s="1712">
        <f t="shared" si="65"/>
        <v>0</v>
      </c>
      <c r="R182" s="1757">
        <v>0.06</v>
      </c>
      <c r="S182" s="1712">
        <f t="shared" si="66"/>
        <v>0</v>
      </c>
      <c r="T182" s="1712">
        <f t="shared" si="51"/>
        <v>0</v>
      </c>
      <c r="U182" s="1712">
        <f t="shared" si="52"/>
        <v>0</v>
      </c>
      <c r="V182" s="1952"/>
      <c r="X182" s="2140"/>
      <c r="Y182" s="1712"/>
      <c r="Z182" s="2119">
        <f t="shared" si="53"/>
        <v>0</v>
      </c>
      <c r="AA182" s="2119">
        <f t="shared" si="54"/>
        <v>0</v>
      </c>
      <c r="AB182" s="2119"/>
      <c r="AC182" s="2119"/>
    </row>
    <row r="183" spans="1:29" s="1942" customFormat="1" ht="13" outlineLevel="2">
      <c r="A183" s="1944"/>
      <c r="B183" s="2132" t="s">
        <v>3727</v>
      </c>
      <c r="C183" s="2121"/>
      <c r="D183" s="2038" t="s">
        <v>3728</v>
      </c>
      <c r="E183" s="1947" t="s">
        <v>3729</v>
      </c>
      <c r="F183" s="1462" t="s">
        <v>3730</v>
      </c>
      <c r="G183" s="1953" t="s">
        <v>4163</v>
      </c>
      <c r="H183" s="1975" t="s">
        <v>3849</v>
      </c>
      <c r="I183" s="1948"/>
      <c r="J183" s="2140"/>
      <c r="K183" s="1947" t="s">
        <v>101</v>
      </c>
      <c r="L183" s="1947" t="s">
        <v>3849</v>
      </c>
      <c r="M183" s="1754">
        <f t="shared" si="45"/>
        <v>0</v>
      </c>
      <c r="N183" s="1712"/>
      <c r="O183" s="1712">
        <f t="shared" si="63"/>
        <v>0</v>
      </c>
      <c r="P183" s="1712">
        <f t="shared" si="64"/>
        <v>0</v>
      </c>
      <c r="Q183" s="1712">
        <f t="shared" si="65"/>
        <v>0</v>
      </c>
      <c r="R183" s="1757">
        <v>0.09</v>
      </c>
      <c r="S183" s="1712">
        <f t="shared" si="66"/>
        <v>0</v>
      </c>
      <c r="T183" s="1712">
        <f t="shared" si="51"/>
        <v>0</v>
      </c>
      <c r="U183" s="1712">
        <f t="shared" si="52"/>
        <v>0</v>
      </c>
      <c r="V183" s="1952"/>
      <c r="X183" s="2140"/>
      <c r="Y183" s="1712"/>
      <c r="Z183" s="2119">
        <f t="shared" si="53"/>
        <v>0</v>
      </c>
      <c r="AA183" s="2119">
        <f t="shared" si="54"/>
        <v>0</v>
      </c>
      <c r="AB183" s="2119"/>
      <c r="AC183" s="2119"/>
    </row>
    <row r="184" spans="1:29" ht="13" outlineLevel="1">
      <c r="A184" s="2019"/>
      <c r="B184" s="2131" t="s">
        <v>502</v>
      </c>
      <c r="C184" s="2115">
        <v>3</v>
      </c>
      <c r="D184" s="1966" t="s">
        <v>84</v>
      </c>
      <c r="E184" s="1967"/>
      <c r="F184" s="1968"/>
      <c r="G184" s="2007" t="s">
        <v>4117</v>
      </c>
      <c r="H184" s="1967"/>
      <c r="I184" s="1969"/>
      <c r="J184" s="2116"/>
      <c r="K184" s="1971"/>
      <c r="L184" s="1967"/>
      <c r="M184" s="1971"/>
      <c r="N184" s="1973"/>
      <c r="O184" s="1973">
        <f>SUBTOTAL(9,O185:O192)</f>
        <v>7.4250000000000007</v>
      </c>
      <c r="P184" s="1973"/>
      <c r="Q184" s="1973">
        <f>SUBTOTAL(9,Q185:Q192)</f>
        <v>6.8119259999999997</v>
      </c>
      <c r="R184" s="1973"/>
      <c r="S184" s="1973">
        <f>SUBTOTAL(9,S185:S192)</f>
        <v>0.61307400000000034</v>
      </c>
      <c r="T184" s="1973">
        <f t="shared" si="51"/>
        <v>64.328388089864291</v>
      </c>
      <c r="U184" s="1973">
        <f t="shared" si="52"/>
        <v>70.117949250658683</v>
      </c>
      <c r="V184" s="1974"/>
      <c r="X184" s="2116"/>
      <c r="Y184" s="1973"/>
      <c r="Z184" s="2119">
        <f t="shared" si="53"/>
        <v>0</v>
      </c>
      <c r="AA184" s="2119">
        <f t="shared" si="54"/>
        <v>0</v>
      </c>
    </row>
    <row r="185" spans="1:29" s="1942" customFormat="1" ht="13" outlineLevel="2">
      <c r="A185" s="1944"/>
      <c r="B185" s="2132" t="s">
        <v>766</v>
      </c>
      <c r="C185" s="2118"/>
      <c r="D185" s="2008" t="s">
        <v>3731</v>
      </c>
      <c r="E185" s="2009"/>
      <c r="F185" s="1462"/>
      <c r="G185" s="1953" t="s">
        <v>4117</v>
      </c>
      <c r="H185" s="1947"/>
      <c r="I185" s="1948"/>
      <c r="J185" s="2099"/>
      <c r="K185" s="1950"/>
      <c r="L185" s="1947"/>
      <c r="M185" s="1950"/>
      <c r="N185" s="1712"/>
      <c r="O185" s="1712">
        <f>SUBTOTAL(9,O186:O190)</f>
        <v>7.4250000000000007</v>
      </c>
      <c r="P185" s="1712"/>
      <c r="Q185" s="1712">
        <f>SUBTOTAL(9,Q186:Q190)</f>
        <v>6.8119259999999997</v>
      </c>
      <c r="R185" s="1712"/>
      <c r="S185" s="1712">
        <f>SUBTOTAL(9,S186:S190)</f>
        <v>0.61307400000000034</v>
      </c>
      <c r="T185" s="1712">
        <f t="shared" si="51"/>
        <v>64.328388089864291</v>
      </c>
      <c r="U185" s="1712">
        <f t="shared" si="52"/>
        <v>70.117949250658683</v>
      </c>
      <c r="V185" s="1952"/>
      <c r="X185" s="2099"/>
      <c r="Y185" s="1712"/>
      <c r="Z185" s="2119">
        <f t="shared" si="53"/>
        <v>0</v>
      </c>
      <c r="AA185" s="2119">
        <f t="shared" si="54"/>
        <v>0</v>
      </c>
      <c r="AB185" s="2119"/>
      <c r="AC185" s="2119"/>
    </row>
    <row r="186" spans="1:29" s="1942" customFormat="1" ht="13" outlineLevel="3">
      <c r="A186" s="1944"/>
      <c r="B186" s="2120" t="s">
        <v>767</v>
      </c>
      <c r="C186" s="2121"/>
      <c r="D186" s="2038" t="s">
        <v>3732</v>
      </c>
      <c r="E186" s="1947" t="s">
        <v>3733</v>
      </c>
      <c r="F186" s="1462" t="s">
        <v>458</v>
      </c>
      <c r="G186" s="1953" t="s">
        <v>4164</v>
      </c>
      <c r="H186" s="1947" t="s">
        <v>10</v>
      </c>
      <c r="I186" s="1712">
        <f>$E$5</f>
        <v>1058.93</v>
      </c>
      <c r="J186" s="2099">
        <v>0</v>
      </c>
      <c r="K186" s="1947" t="s">
        <v>101</v>
      </c>
      <c r="L186" s="1947" t="s">
        <v>10</v>
      </c>
      <c r="M186" s="1754">
        <f t="shared" ref="M186:M202" si="67">ROUND(I186,2)*ROUND(J186,4)</f>
        <v>0</v>
      </c>
      <c r="N186" s="1756">
        <v>12</v>
      </c>
      <c r="O186" s="1712">
        <f t="shared" ref="O186:O192" si="68">ROUND(M186*ROUND(N186,2)/10000,6)</f>
        <v>0</v>
      </c>
      <c r="P186" s="1712">
        <f t="shared" ref="P186:P192" si="69">IFERROR(ROUND(Q186*10000/M186,2),0)</f>
        <v>0</v>
      </c>
      <c r="Q186" s="1712">
        <f t="shared" ref="Q186:Q192" si="70">ROUND(O186/(1+R186),6)</f>
        <v>0</v>
      </c>
      <c r="R186" s="1757">
        <v>0.09</v>
      </c>
      <c r="S186" s="1712">
        <f t="shared" ref="S186:S192" si="71">O186-Q186</f>
        <v>0</v>
      </c>
      <c r="T186" s="1712">
        <f t="shared" si="51"/>
        <v>0</v>
      </c>
      <c r="U186" s="1712">
        <f t="shared" si="52"/>
        <v>0</v>
      </c>
      <c r="V186" s="1952"/>
      <c r="X186" s="2099">
        <v>0</v>
      </c>
      <c r="Y186" s="1712"/>
      <c r="Z186" s="2119">
        <f t="shared" si="53"/>
        <v>0</v>
      </c>
      <c r="AA186" s="2119">
        <f t="shared" si="54"/>
        <v>12</v>
      </c>
      <c r="AB186" s="2119"/>
      <c r="AC186" s="2119"/>
    </row>
    <row r="187" spans="1:29" s="1942" customFormat="1" ht="13" outlineLevel="3">
      <c r="A187" s="1944"/>
      <c r="B187" s="2120" t="s">
        <v>769</v>
      </c>
      <c r="C187" s="2121"/>
      <c r="D187" s="2038" t="s">
        <v>3734</v>
      </c>
      <c r="E187" s="1947" t="s">
        <v>3735</v>
      </c>
      <c r="F187" s="1462" t="s">
        <v>3736</v>
      </c>
      <c r="G187" s="1953" t="s">
        <v>4165</v>
      </c>
      <c r="H187" s="1975" t="s">
        <v>3926</v>
      </c>
      <c r="I187" s="1712">
        <f>$G$7</f>
        <v>33</v>
      </c>
      <c r="J187" s="2099">
        <v>1</v>
      </c>
      <c r="K187" s="1950" t="s">
        <v>3947</v>
      </c>
      <c r="L187" s="1947" t="s">
        <v>3926</v>
      </c>
      <c r="M187" s="1754">
        <f t="shared" si="67"/>
        <v>33</v>
      </c>
      <c r="N187" s="1712">
        <v>500</v>
      </c>
      <c r="O187" s="1712">
        <f t="shared" si="68"/>
        <v>1.65</v>
      </c>
      <c r="P187" s="1712">
        <f t="shared" si="69"/>
        <v>458.72</v>
      </c>
      <c r="Q187" s="1712">
        <f t="shared" si="70"/>
        <v>1.5137609999999999</v>
      </c>
      <c r="R187" s="1757">
        <v>0.09</v>
      </c>
      <c r="S187" s="1712">
        <f t="shared" si="71"/>
        <v>0.136239</v>
      </c>
      <c r="T187" s="1712">
        <f t="shared" si="51"/>
        <v>14.295194205471558</v>
      </c>
      <c r="U187" s="1712">
        <f t="shared" si="52"/>
        <v>15.581766500146374</v>
      </c>
      <c r="V187" s="1952"/>
      <c r="X187" s="2099">
        <v>1</v>
      </c>
      <c r="Y187" s="1712">
        <v>500</v>
      </c>
      <c r="Z187" s="2119">
        <f t="shared" si="53"/>
        <v>0</v>
      </c>
      <c r="AA187" s="2119">
        <f t="shared" si="54"/>
        <v>0</v>
      </c>
      <c r="AB187" s="2119"/>
      <c r="AC187" s="2119"/>
    </row>
    <row r="188" spans="1:29" s="1942" customFormat="1" ht="13" outlineLevel="3">
      <c r="A188" s="1944"/>
      <c r="B188" s="2120" t="s">
        <v>770</v>
      </c>
      <c r="C188" s="2121"/>
      <c r="D188" s="2038" t="s">
        <v>771</v>
      </c>
      <c r="E188" s="1947" t="s">
        <v>3737</v>
      </c>
      <c r="F188" s="1462" t="s">
        <v>3738</v>
      </c>
      <c r="G188" s="1953" t="s">
        <v>4166</v>
      </c>
      <c r="H188" s="1975" t="s">
        <v>3926</v>
      </c>
      <c r="I188" s="1712">
        <f>$G$7</f>
        <v>33</v>
      </c>
      <c r="J188" s="2099">
        <v>1</v>
      </c>
      <c r="K188" s="1950" t="s">
        <v>3947</v>
      </c>
      <c r="L188" s="1947" t="s">
        <v>3926</v>
      </c>
      <c r="M188" s="1754">
        <f t="shared" si="67"/>
        <v>33</v>
      </c>
      <c r="N188" s="1712">
        <v>1750</v>
      </c>
      <c r="O188" s="1712">
        <f t="shared" si="68"/>
        <v>5.7750000000000004</v>
      </c>
      <c r="P188" s="1712">
        <f t="shared" si="69"/>
        <v>1605.5</v>
      </c>
      <c r="Q188" s="1712">
        <f t="shared" si="70"/>
        <v>5.298165</v>
      </c>
      <c r="R188" s="1757">
        <v>0.09</v>
      </c>
      <c r="S188" s="1712">
        <f t="shared" si="71"/>
        <v>0.47683500000000034</v>
      </c>
      <c r="T188" s="1712">
        <f t="shared" si="51"/>
        <v>50.033193884392738</v>
      </c>
      <c r="U188" s="1712">
        <f t="shared" si="52"/>
        <v>54.536182750512303</v>
      </c>
      <c r="V188" s="1952"/>
      <c r="X188" s="2099">
        <v>1</v>
      </c>
      <c r="Y188" s="1712"/>
      <c r="Z188" s="2119">
        <f t="shared" si="53"/>
        <v>0</v>
      </c>
      <c r="AA188" s="2119">
        <f t="shared" si="54"/>
        <v>1750</v>
      </c>
      <c r="AB188" s="2119"/>
      <c r="AC188" s="2119"/>
    </row>
    <row r="189" spans="1:29" s="1942" customFormat="1" ht="13" outlineLevel="3">
      <c r="A189" s="1944"/>
      <c r="B189" s="2120" t="s">
        <v>772</v>
      </c>
      <c r="C189" s="2121"/>
      <c r="D189" s="2038" t="s">
        <v>1598</v>
      </c>
      <c r="E189" s="1947" t="s">
        <v>3739</v>
      </c>
      <c r="F189" s="1462" t="s">
        <v>458</v>
      </c>
      <c r="G189" s="1953" t="s">
        <v>4164</v>
      </c>
      <c r="H189" s="1975" t="s">
        <v>3926</v>
      </c>
      <c r="I189" s="1712">
        <f>$G$7</f>
        <v>33</v>
      </c>
      <c r="J189" s="2099">
        <v>1</v>
      </c>
      <c r="K189" s="1950" t="s">
        <v>3947</v>
      </c>
      <c r="L189" s="1947" t="s">
        <v>3926</v>
      </c>
      <c r="M189" s="1754">
        <f t="shared" si="67"/>
        <v>33</v>
      </c>
      <c r="N189" s="1712"/>
      <c r="O189" s="1712">
        <f t="shared" si="68"/>
        <v>0</v>
      </c>
      <c r="P189" s="1712">
        <f t="shared" si="69"/>
        <v>0</v>
      </c>
      <c r="Q189" s="1712">
        <f t="shared" si="70"/>
        <v>0</v>
      </c>
      <c r="R189" s="1757">
        <v>0.09</v>
      </c>
      <c r="S189" s="1712">
        <f t="shared" si="71"/>
        <v>0</v>
      </c>
      <c r="T189" s="1712">
        <f t="shared" si="51"/>
        <v>0</v>
      </c>
      <c r="U189" s="1712">
        <f t="shared" si="52"/>
        <v>0</v>
      </c>
      <c r="V189" s="1952"/>
      <c r="X189" s="2099">
        <v>1</v>
      </c>
      <c r="Y189" s="1712"/>
      <c r="Z189" s="2119">
        <f t="shared" si="53"/>
        <v>0</v>
      </c>
      <c r="AA189" s="2119">
        <f t="shared" si="54"/>
        <v>0</v>
      </c>
      <c r="AB189" s="2119"/>
      <c r="AC189" s="2119"/>
    </row>
    <row r="190" spans="1:29" s="1942" customFormat="1" ht="13" outlineLevel="3">
      <c r="A190" s="1944"/>
      <c r="B190" s="2120" t="s">
        <v>773</v>
      </c>
      <c r="C190" s="2121"/>
      <c r="D190" s="2038" t="s">
        <v>3740</v>
      </c>
      <c r="E190" s="1947" t="s">
        <v>3741</v>
      </c>
      <c r="F190" s="1462" t="s">
        <v>3742</v>
      </c>
      <c r="G190" s="1953" t="s">
        <v>4167</v>
      </c>
      <c r="H190" s="1975" t="s">
        <v>3926</v>
      </c>
      <c r="I190" s="1712">
        <f>$G$7</f>
        <v>33</v>
      </c>
      <c r="J190" s="2099">
        <v>1</v>
      </c>
      <c r="K190" s="1950" t="s">
        <v>3947</v>
      </c>
      <c r="L190" s="1947" t="s">
        <v>3926</v>
      </c>
      <c r="M190" s="1754">
        <f t="shared" si="67"/>
        <v>33</v>
      </c>
      <c r="N190" s="1712"/>
      <c r="O190" s="1712">
        <f t="shared" si="68"/>
        <v>0</v>
      </c>
      <c r="P190" s="1712">
        <f t="shared" si="69"/>
        <v>0</v>
      </c>
      <c r="Q190" s="1712">
        <f t="shared" si="70"/>
        <v>0</v>
      </c>
      <c r="R190" s="1757">
        <v>0.13</v>
      </c>
      <c r="S190" s="1712">
        <f t="shared" si="71"/>
        <v>0</v>
      </c>
      <c r="T190" s="1712">
        <f t="shared" si="51"/>
        <v>0</v>
      </c>
      <c r="U190" s="1712">
        <f t="shared" si="52"/>
        <v>0</v>
      </c>
      <c r="V190" s="1952"/>
      <c r="X190" s="2099">
        <v>1</v>
      </c>
      <c r="Y190" s="1712"/>
      <c r="Z190" s="2119">
        <f t="shared" si="53"/>
        <v>0</v>
      </c>
      <c r="AA190" s="2119">
        <f t="shared" si="54"/>
        <v>0</v>
      </c>
      <c r="AB190" s="2119"/>
      <c r="AC190" s="2119"/>
    </row>
    <row r="191" spans="1:29" s="1942" customFormat="1" ht="13" outlineLevel="2">
      <c r="A191" s="1944"/>
      <c r="B191" s="2120" t="s">
        <v>777</v>
      </c>
      <c r="C191" s="2121"/>
      <c r="D191" s="2038" t="s">
        <v>814</v>
      </c>
      <c r="E191" s="1947" t="s">
        <v>3743</v>
      </c>
      <c r="F191" s="1462" t="s">
        <v>458</v>
      </c>
      <c r="G191" s="1953" t="s">
        <v>4164</v>
      </c>
      <c r="H191" s="1975" t="s">
        <v>10</v>
      </c>
      <c r="I191" s="1712">
        <f>$E$5</f>
        <v>1058.93</v>
      </c>
      <c r="J191" s="2135"/>
      <c r="K191" s="1950" t="s">
        <v>101</v>
      </c>
      <c r="L191" s="1947" t="s">
        <v>10</v>
      </c>
      <c r="M191" s="1754">
        <f t="shared" si="67"/>
        <v>0</v>
      </c>
      <c r="N191" s="1712"/>
      <c r="O191" s="1712">
        <f t="shared" si="68"/>
        <v>0</v>
      </c>
      <c r="P191" s="1712">
        <f t="shared" si="69"/>
        <v>0</v>
      </c>
      <c r="Q191" s="1712">
        <f t="shared" si="70"/>
        <v>0</v>
      </c>
      <c r="R191" s="1757">
        <v>0.09</v>
      </c>
      <c r="S191" s="1712">
        <f t="shared" si="71"/>
        <v>0</v>
      </c>
      <c r="T191" s="1712">
        <f t="shared" si="51"/>
        <v>0</v>
      </c>
      <c r="U191" s="1712">
        <f t="shared" si="52"/>
        <v>0</v>
      </c>
      <c r="V191" s="1952"/>
      <c r="X191" s="2135"/>
      <c r="Y191" s="1712"/>
      <c r="Z191" s="2119">
        <f t="shared" si="53"/>
        <v>0</v>
      </c>
      <c r="AA191" s="2119">
        <f t="shared" si="54"/>
        <v>0</v>
      </c>
      <c r="AB191" s="2119"/>
      <c r="AC191" s="2119"/>
    </row>
    <row r="192" spans="1:29" s="1942" customFormat="1" ht="13" outlineLevel="2">
      <c r="A192" s="1944"/>
      <c r="B192" s="2120" t="s">
        <v>778</v>
      </c>
      <c r="C192" s="2121"/>
      <c r="D192" s="2038" t="s">
        <v>815</v>
      </c>
      <c r="E192" s="1947" t="s">
        <v>3744</v>
      </c>
      <c r="F192" s="1462" t="s">
        <v>458</v>
      </c>
      <c r="G192" s="1953" t="s">
        <v>4164</v>
      </c>
      <c r="H192" s="1975" t="s">
        <v>10</v>
      </c>
      <c r="I192" s="1712">
        <f>$E$5</f>
        <v>1058.93</v>
      </c>
      <c r="J192" s="2135"/>
      <c r="K192" s="1950" t="s">
        <v>101</v>
      </c>
      <c r="L192" s="1947" t="s">
        <v>10</v>
      </c>
      <c r="M192" s="1754">
        <f t="shared" si="67"/>
        <v>0</v>
      </c>
      <c r="N192" s="1712"/>
      <c r="O192" s="1712">
        <f t="shared" si="68"/>
        <v>0</v>
      </c>
      <c r="P192" s="1712">
        <f t="shared" si="69"/>
        <v>0</v>
      </c>
      <c r="Q192" s="1712">
        <f t="shared" si="70"/>
        <v>0</v>
      </c>
      <c r="R192" s="1757">
        <v>0.09</v>
      </c>
      <c r="S192" s="1712">
        <f t="shared" si="71"/>
        <v>0</v>
      </c>
      <c r="T192" s="1712">
        <f t="shared" si="51"/>
        <v>0</v>
      </c>
      <c r="U192" s="1712">
        <f t="shared" si="52"/>
        <v>0</v>
      </c>
      <c r="V192" s="1952"/>
      <c r="X192" s="2135"/>
      <c r="Y192" s="1712"/>
      <c r="Z192" s="2119">
        <f t="shared" si="53"/>
        <v>0</v>
      </c>
      <c r="AA192" s="2119">
        <f t="shared" si="54"/>
        <v>0</v>
      </c>
      <c r="AB192" s="2119"/>
      <c r="AC192" s="2119"/>
    </row>
    <row r="193" spans="1:29" ht="13" outlineLevel="1">
      <c r="A193" s="2019"/>
      <c r="B193" s="2131" t="s">
        <v>503</v>
      </c>
      <c r="C193" s="2115">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f t="shared" si="51"/>
        <v>0</v>
      </c>
      <c r="U193" s="1973">
        <f t="shared" si="52"/>
        <v>0</v>
      </c>
      <c r="V193" s="1974"/>
      <c r="X193" s="2116"/>
      <c r="Y193" s="1973"/>
      <c r="Z193" s="2119">
        <f t="shared" si="53"/>
        <v>0</v>
      </c>
      <c r="AA193" s="2119">
        <f t="shared" si="54"/>
        <v>0</v>
      </c>
    </row>
    <row r="194" spans="1:29" s="1942" customFormat="1" ht="13" outlineLevel="2">
      <c r="A194" s="1944"/>
      <c r="B194" s="2132" t="s">
        <v>1600</v>
      </c>
      <c r="C194" s="2118"/>
      <c r="D194" s="2008" t="s">
        <v>3745</v>
      </c>
      <c r="E194" s="2009" t="s">
        <v>3746</v>
      </c>
      <c r="F194" s="1462" t="s">
        <v>461</v>
      </c>
      <c r="G194" s="1953" t="s">
        <v>4168</v>
      </c>
      <c r="H194" s="1975" t="s">
        <v>3926</v>
      </c>
      <c r="I194" s="1712">
        <f>$G$7</f>
        <v>33</v>
      </c>
      <c r="J194" s="2099">
        <v>1</v>
      </c>
      <c r="K194" s="1950" t="s">
        <v>3947</v>
      </c>
      <c r="L194" s="1947" t="s">
        <v>3926</v>
      </c>
      <c r="M194" s="1754">
        <f t="shared" si="67"/>
        <v>33</v>
      </c>
      <c r="N194" s="1712">
        <v>0</v>
      </c>
      <c r="O194" s="1712">
        <f t="shared" ref="O194:O202" si="72">ROUND(M194*ROUND(N194,2)/10000,6)</f>
        <v>0</v>
      </c>
      <c r="P194" s="1712">
        <f t="shared" ref="P194:P202" si="73">IFERROR(ROUND(Q194*10000/M194,2),0)</f>
        <v>0</v>
      </c>
      <c r="Q194" s="1712">
        <f t="shared" ref="Q194:Q202" si="74">ROUND(O194/(1+R194),6)</f>
        <v>0</v>
      </c>
      <c r="R194" s="1757">
        <v>0.13</v>
      </c>
      <c r="S194" s="1712">
        <f t="shared" ref="S194:S202" si="75">O194-Q194</f>
        <v>0</v>
      </c>
      <c r="T194" s="1712">
        <f t="shared" si="51"/>
        <v>0</v>
      </c>
      <c r="U194" s="1712">
        <f t="shared" si="52"/>
        <v>0</v>
      </c>
      <c r="V194" s="1952"/>
      <c r="X194" s="2099">
        <v>1</v>
      </c>
      <c r="Y194" s="1712"/>
      <c r="Z194" s="2119">
        <f t="shared" si="53"/>
        <v>0</v>
      </c>
      <c r="AA194" s="2119">
        <f t="shared" si="54"/>
        <v>0</v>
      </c>
      <c r="AB194" s="2119"/>
      <c r="AC194" s="2119"/>
    </row>
    <row r="195" spans="1:29" s="1942" customFormat="1" ht="13" outlineLevel="2">
      <c r="A195" s="1944"/>
      <c r="B195" s="2132" t="s">
        <v>1601</v>
      </c>
      <c r="C195" s="2118"/>
      <c r="D195" s="2008" t="s">
        <v>94</v>
      </c>
      <c r="E195" s="2009" t="s">
        <v>3747</v>
      </c>
      <c r="F195" s="1462" t="s">
        <v>1602</v>
      </c>
      <c r="G195" s="1953" t="s">
        <v>4169</v>
      </c>
      <c r="H195" s="1975" t="s">
        <v>3926</v>
      </c>
      <c r="I195" s="1712">
        <f>$G$7</f>
        <v>33</v>
      </c>
      <c r="J195" s="2099">
        <v>1</v>
      </c>
      <c r="K195" s="1950" t="s">
        <v>3947</v>
      </c>
      <c r="L195" s="1947" t="s">
        <v>3926</v>
      </c>
      <c r="M195" s="1754">
        <f t="shared" si="67"/>
        <v>33</v>
      </c>
      <c r="N195" s="1712"/>
      <c r="O195" s="1712">
        <f t="shared" si="72"/>
        <v>0</v>
      </c>
      <c r="P195" s="1712">
        <f t="shared" si="73"/>
        <v>0</v>
      </c>
      <c r="Q195" s="1712">
        <f t="shared" si="74"/>
        <v>0</v>
      </c>
      <c r="R195" s="1757">
        <v>0.13</v>
      </c>
      <c r="S195" s="1712">
        <f t="shared" si="75"/>
        <v>0</v>
      </c>
      <c r="T195" s="1712">
        <f t="shared" si="51"/>
        <v>0</v>
      </c>
      <c r="U195" s="1712">
        <f t="shared" si="52"/>
        <v>0</v>
      </c>
      <c r="V195" s="1952"/>
      <c r="X195" s="2099">
        <v>1</v>
      </c>
      <c r="Y195" s="1712"/>
      <c r="Z195" s="2119">
        <f t="shared" si="53"/>
        <v>0</v>
      </c>
      <c r="AA195" s="2119">
        <f t="shared" si="54"/>
        <v>0</v>
      </c>
      <c r="AB195" s="2119"/>
      <c r="AC195" s="2119"/>
    </row>
    <row r="196" spans="1:29" s="1942" customFormat="1" ht="13" outlineLevel="2">
      <c r="A196" s="1944"/>
      <c r="B196" s="2132" t="s">
        <v>779</v>
      </c>
      <c r="C196" s="2118"/>
      <c r="D196" s="2008" t="s">
        <v>3748</v>
      </c>
      <c r="E196" s="2009" t="s">
        <v>3749</v>
      </c>
      <c r="F196" s="1462" t="s">
        <v>3531</v>
      </c>
      <c r="G196" s="1953" t="s">
        <v>4140</v>
      </c>
      <c r="H196" s="1975" t="s">
        <v>10</v>
      </c>
      <c r="I196" s="1712">
        <f>$E$5</f>
        <v>1058.93</v>
      </c>
      <c r="J196" s="2139"/>
      <c r="K196" s="1950" t="s">
        <v>101</v>
      </c>
      <c r="L196" s="1947" t="s">
        <v>10</v>
      </c>
      <c r="M196" s="1754">
        <f t="shared" si="67"/>
        <v>0</v>
      </c>
      <c r="N196" s="1712"/>
      <c r="O196" s="1712">
        <f t="shared" si="72"/>
        <v>0</v>
      </c>
      <c r="P196" s="1712">
        <f t="shared" si="73"/>
        <v>0</v>
      </c>
      <c r="Q196" s="1712">
        <f t="shared" si="74"/>
        <v>0</v>
      </c>
      <c r="R196" s="1713">
        <v>0.13</v>
      </c>
      <c r="S196" s="1712">
        <f t="shared" si="75"/>
        <v>0</v>
      </c>
      <c r="T196" s="1712">
        <f t="shared" si="51"/>
        <v>0</v>
      </c>
      <c r="U196" s="1712">
        <f t="shared" si="52"/>
        <v>0</v>
      </c>
      <c r="V196" s="1952"/>
      <c r="X196" s="2139"/>
      <c r="Y196" s="1712"/>
      <c r="Z196" s="2119">
        <f t="shared" si="53"/>
        <v>0</v>
      </c>
      <c r="AA196" s="2119">
        <f t="shared" si="54"/>
        <v>0</v>
      </c>
      <c r="AB196" s="2119"/>
      <c r="AC196" s="2119"/>
    </row>
    <row r="197" spans="1:29" s="1942" customFormat="1" ht="13" outlineLevel="2">
      <c r="A197" s="1944"/>
      <c r="B197" s="2132" t="s">
        <v>780</v>
      </c>
      <c r="C197" s="2118"/>
      <c r="D197" s="2008" t="s">
        <v>95</v>
      </c>
      <c r="E197" s="2009" t="s">
        <v>3750</v>
      </c>
      <c r="F197" s="1462" t="s">
        <v>3531</v>
      </c>
      <c r="G197" s="1953" t="s">
        <v>4140</v>
      </c>
      <c r="H197" s="1975" t="s">
        <v>3926</v>
      </c>
      <c r="I197" s="1712">
        <f>$G$7</f>
        <v>33</v>
      </c>
      <c r="J197" s="2135"/>
      <c r="K197" s="1950" t="s">
        <v>3947</v>
      </c>
      <c r="L197" s="1947" t="s">
        <v>3926</v>
      </c>
      <c r="M197" s="1754">
        <f t="shared" si="67"/>
        <v>0</v>
      </c>
      <c r="N197" s="1712"/>
      <c r="O197" s="1712">
        <f t="shared" si="72"/>
        <v>0</v>
      </c>
      <c r="P197" s="1712">
        <f t="shared" si="73"/>
        <v>0</v>
      </c>
      <c r="Q197" s="1712">
        <f t="shared" si="74"/>
        <v>0</v>
      </c>
      <c r="R197" s="1713">
        <v>0.13</v>
      </c>
      <c r="S197" s="1712">
        <f t="shared" si="75"/>
        <v>0</v>
      </c>
      <c r="T197" s="1712">
        <f t="shared" si="51"/>
        <v>0</v>
      </c>
      <c r="U197" s="2043">
        <f t="shared" si="52"/>
        <v>0</v>
      </c>
      <c r="V197" s="1952"/>
      <c r="X197" s="2135"/>
      <c r="Y197" s="1712"/>
      <c r="Z197" s="2119">
        <f t="shared" si="53"/>
        <v>0</v>
      </c>
      <c r="AA197" s="2119">
        <f t="shared" si="54"/>
        <v>0</v>
      </c>
      <c r="AB197" s="2119"/>
      <c r="AC197" s="2119"/>
    </row>
    <row r="198" spans="1:29" s="1942" customFormat="1" ht="13" outlineLevel="2">
      <c r="A198" s="1944"/>
      <c r="B198" s="2132" t="s">
        <v>781</v>
      </c>
      <c r="C198" s="2118"/>
      <c r="D198" s="2008" t="s">
        <v>3751</v>
      </c>
      <c r="E198" s="2009" t="s">
        <v>3752</v>
      </c>
      <c r="F198" s="1462" t="s">
        <v>3531</v>
      </c>
      <c r="G198" s="1953" t="s">
        <v>4140</v>
      </c>
      <c r="H198" s="1975" t="s">
        <v>10</v>
      </c>
      <c r="I198" s="1712">
        <f>$E$5</f>
        <v>1058.93</v>
      </c>
      <c r="J198" s="2139"/>
      <c r="K198" s="1950" t="s">
        <v>101</v>
      </c>
      <c r="L198" s="1947" t="s">
        <v>10</v>
      </c>
      <c r="M198" s="1754">
        <f t="shared" si="67"/>
        <v>0</v>
      </c>
      <c r="N198" s="1712"/>
      <c r="O198" s="1712">
        <f t="shared" si="72"/>
        <v>0</v>
      </c>
      <c r="P198" s="1712">
        <f t="shared" si="73"/>
        <v>0</v>
      </c>
      <c r="Q198" s="1712">
        <f t="shared" si="74"/>
        <v>0</v>
      </c>
      <c r="R198" s="1713">
        <v>0.13</v>
      </c>
      <c r="S198" s="1712">
        <f t="shared" si="75"/>
        <v>0</v>
      </c>
      <c r="T198" s="1712">
        <f t="shared" si="51"/>
        <v>0</v>
      </c>
      <c r="U198" s="2043">
        <f t="shared" si="52"/>
        <v>0</v>
      </c>
      <c r="V198" s="1952"/>
      <c r="X198" s="2139"/>
      <c r="Y198" s="1712"/>
      <c r="Z198" s="2119">
        <f t="shared" si="53"/>
        <v>0</v>
      </c>
      <c r="AA198" s="2119">
        <f t="shared" si="54"/>
        <v>0</v>
      </c>
      <c r="AB198" s="2119"/>
      <c r="AC198" s="2119"/>
    </row>
    <row r="199" spans="1:29" s="1942" customFormat="1" ht="13" outlineLevel="2">
      <c r="A199" s="1944"/>
      <c r="B199" s="2132" t="s">
        <v>782</v>
      </c>
      <c r="C199" s="2118"/>
      <c r="D199" s="2008" t="s">
        <v>3753</v>
      </c>
      <c r="E199" s="2009" t="s">
        <v>3754</v>
      </c>
      <c r="F199" s="1462" t="s">
        <v>3531</v>
      </c>
      <c r="G199" s="1953" t="s">
        <v>4140</v>
      </c>
      <c r="H199" s="1975" t="s">
        <v>10</v>
      </c>
      <c r="I199" s="1948">
        <f>$E$5</f>
        <v>1058.93</v>
      </c>
      <c r="J199" s="2139"/>
      <c r="K199" s="1950" t="s">
        <v>101</v>
      </c>
      <c r="L199" s="1947" t="s">
        <v>10</v>
      </c>
      <c r="M199" s="1754">
        <f t="shared" si="67"/>
        <v>0</v>
      </c>
      <c r="N199" s="1712"/>
      <c r="O199" s="1712">
        <f t="shared" si="72"/>
        <v>0</v>
      </c>
      <c r="P199" s="1712">
        <f t="shared" si="73"/>
        <v>0</v>
      </c>
      <c r="Q199" s="1712">
        <f t="shared" si="74"/>
        <v>0</v>
      </c>
      <c r="R199" s="1713">
        <v>0.13</v>
      </c>
      <c r="S199" s="1712">
        <f t="shared" si="75"/>
        <v>0</v>
      </c>
      <c r="T199" s="1712">
        <f t="shared" si="51"/>
        <v>0</v>
      </c>
      <c r="U199" s="2043">
        <f t="shared" si="52"/>
        <v>0</v>
      </c>
      <c r="V199" s="1952"/>
      <c r="X199" s="2139"/>
      <c r="Y199" s="1712"/>
      <c r="Z199" s="2119">
        <f t="shared" si="53"/>
        <v>0</v>
      </c>
      <c r="AA199" s="2119">
        <f t="shared" si="54"/>
        <v>0</v>
      </c>
      <c r="AB199" s="2119"/>
      <c r="AC199" s="2119"/>
    </row>
    <row r="200" spans="1:29" s="1942" customFormat="1" ht="13" outlineLevel="2">
      <c r="A200" s="1944"/>
      <c r="B200" s="2132" t="s">
        <v>3755</v>
      </c>
      <c r="C200" s="2118"/>
      <c r="D200" s="2008" t="s">
        <v>3756</v>
      </c>
      <c r="E200" s="2009" t="s">
        <v>3757</v>
      </c>
      <c r="F200" s="1462" t="s">
        <v>3531</v>
      </c>
      <c r="G200" s="1953" t="s">
        <v>4140</v>
      </c>
      <c r="H200" s="1975" t="s">
        <v>10</v>
      </c>
      <c r="I200" s="1948">
        <f>$E$5</f>
        <v>1058.93</v>
      </c>
      <c r="J200" s="2139"/>
      <c r="K200" s="1950" t="s">
        <v>101</v>
      </c>
      <c r="L200" s="1947" t="s">
        <v>10</v>
      </c>
      <c r="M200" s="1754">
        <f t="shared" si="67"/>
        <v>0</v>
      </c>
      <c r="N200" s="1712"/>
      <c r="O200" s="1712">
        <f t="shared" si="72"/>
        <v>0</v>
      </c>
      <c r="P200" s="1712">
        <f t="shared" si="73"/>
        <v>0</v>
      </c>
      <c r="Q200" s="1712">
        <f t="shared" si="74"/>
        <v>0</v>
      </c>
      <c r="R200" s="1713">
        <v>0.13</v>
      </c>
      <c r="S200" s="1712">
        <f t="shared" si="75"/>
        <v>0</v>
      </c>
      <c r="T200" s="1712">
        <f t="shared" si="51"/>
        <v>0</v>
      </c>
      <c r="U200" s="2043">
        <f t="shared" si="52"/>
        <v>0</v>
      </c>
      <c r="V200" s="1952"/>
      <c r="X200" s="2139"/>
      <c r="Y200" s="1712"/>
      <c r="Z200" s="2119">
        <f t="shared" si="53"/>
        <v>0</v>
      </c>
      <c r="AA200" s="2119">
        <f t="shared" si="54"/>
        <v>0</v>
      </c>
      <c r="AB200" s="2119"/>
      <c r="AC200" s="2119"/>
    </row>
    <row r="201" spans="1:29" s="1942" customFormat="1" ht="13" outlineLevel="2">
      <c r="A201" s="1944"/>
      <c r="B201" s="2132" t="s">
        <v>3758</v>
      </c>
      <c r="C201" s="2118"/>
      <c r="D201" s="2008" t="s">
        <v>3759</v>
      </c>
      <c r="E201" s="2009" t="s">
        <v>3760</v>
      </c>
      <c r="F201" s="1462" t="s">
        <v>3531</v>
      </c>
      <c r="G201" s="1953" t="s">
        <v>4140</v>
      </c>
      <c r="H201" s="1975" t="s">
        <v>10</v>
      </c>
      <c r="I201" s="1948">
        <f>$E$5</f>
        <v>1058.93</v>
      </c>
      <c r="J201" s="2139"/>
      <c r="K201" s="1950" t="s">
        <v>101</v>
      </c>
      <c r="L201" s="1947" t="s">
        <v>10</v>
      </c>
      <c r="M201" s="1754">
        <f t="shared" si="67"/>
        <v>0</v>
      </c>
      <c r="N201" s="1712"/>
      <c r="O201" s="1712">
        <f t="shared" si="72"/>
        <v>0</v>
      </c>
      <c r="P201" s="1712">
        <f t="shared" si="73"/>
        <v>0</v>
      </c>
      <c r="Q201" s="1712">
        <f t="shared" si="74"/>
        <v>0</v>
      </c>
      <c r="R201" s="1713">
        <v>0.13</v>
      </c>
      <c r="S201" s="1712">
        <f t="shared" si="75"/>
        <v>0</v>
      </c>
      <c r="T201" s="1712">
        <f t="shared" si="51"/>
        <v>0</v>
      </c>
      <c r="U201" s="2043">
        <f t="shared" si="52"/>
        <v>0</v>
      </c>
      <c r="V201" s="1952"/>
      <c r="X201" s="2139"/>
      <c r="Y201" s="1712"/>
      <c r="Z201" s="2119">
        <f t="shared" si="53"/>
        <v>0</v>
      </c>
      <c r="AA201" s="2119">
        <f t="shared" si="54"/>
        <v>0</v>
      </c>
      <c r="AB201" s="2119"/>
      <c r="AC201" s="2119"/>
    </row>
    <row r="202" spans="1:29" s="1942" customFormat="1" ht="13.5" outlineLevel="2" thickBot="1">
      <c r="A202" s="1944"/>
      <c r="B202" s="2142" t="s">
        <v>3761</v>
      </c>
      <c r="C202" s="2143"/>
      <c r="D202" s="2046" t="s">
        <v>3762</v>
      </c>
      <c r="E202" s="2047" t="s">
        <v>3763</v>
      </c>
      <c r="F202" s="2048" t="s">
        <v>3531</v>
      </c>
      <c r="G202" s="2049" t="s">
        <v>4140</v>
      </c>
      <c r="H202" s="2050" t="s">
        <v>10</v>
      </c>
      <c r="I202" s="2051">
        <f>$E$5</f>
        <v>1058.93</v>
      </c>
      <c r="J202" s="2144"/>
      <c r="K202" s="2053" t="s">
        <v>101</v>
      </c>
      <c r="L202" s="2054" t="s">
        <v>10</v>
      </c>
      <c r="M202" s="2055">
        <f t="shared" si="67"/>
        <v>0</v>
      </c>
      <c r="N202" s="2057"/>
      <c r="O202" s="2057">
        <f t="shared" si="72"/>
        <v>0</v>
      </c>
      <c r="P202" s="2057">
        <f t="shared" si="73"/>
        <v>0</v>
      </c>
      <c r="Q202" s="2057">
        <f t="shared" si="74"/>
        <v>0</v>
      </c>
      <c r="R202" s="2058">
        <v>0.13</v>
      </c>
      <c r="S202" s="2057">
        <f t="shared" si="75"/>
        <v>0</v>
      </c>
      <c r="T202" s="2057">
        <f t="shared" si="51"/>
        <v>0</v>
      </c>
      <c r="U202" s="2059">
        <f t="shared" si="52"/>
        <v>0</v>
      </c>
      <c r="V202" s="2060"/>
      <c r="X202" s="2144"/>
      <c r="Y202" s="2057"/>
      <c r="Z202" s="2119">
        <f t="shared" si="53"/>
        <v>0</v>
      </c>
      <c r="AA202" s="2119">
        <f t="shared" si="54"/>
        <v>0</v>
      </c>
      <c r="AB202" s="2119"/>
      <c r="AC202" s="2119"/>
    </row>
    <row r="203" spans="1:29">
      <c r="O203" s="1902">
        <f>O11+O100+O126</f>
        <v>403.47546599999987</v>
      </c>
    </row>
  </sheetData>
  <mergeCells count="24">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X9:X10"/>
    <mergeCell ref="Y9:Y10"/>
    <mergeCell ref="P9:P10"/>
    <mergeCell ref="Q9:Q10"/>
    <mergeCell ref="R9:R10"/>
    <mergeCell ref="S9:S10"/>
    <mergeCell ref="T9:T10"/>
    <mergeCell ref="U9:U10"/>
  </mergeCells>
  <phoneticPr fontId="19" type="noConversion"/>
  <conditionalFormatting sqref="B11:C11">
    <cfRule type="duplicateValues" dxfId="491" priority="10"/>
  </conditionalFormatting>
  <conditionalFormatting sqref="B12">
    <cfRule type="duplicateValues" dxfId="490" priority="11"/>
  </conditionalFormatting>
  <conditionalFormatting sqref="C12">
    <cfRule type="duplicateValues" dxfId="489" priority="9"/>
  </conditionalFormatting>
  <conditionalFormatting sqref="D14:F14">
    <cfRule type="duplicateValues" dxfId="488" priority="13"/>
  </conditionalFormatting>
  <conditionalFormatting sqref="B45">
    <cfRule type="duplicateValues" dxfId="487" priority="8"/>
  </conditionalFormatting>
  <conditionalFormatting sqref="C45">
    <cfRule type="duplicateValues" dxfId="486" priority="6"/>
  </conditionalFormatting>
  <conditionalFormatting sqref="D45:E45">
    <cfRule type="duplicateValues" dxfId="485" priority="7"/>
  </conditionalFormatting>
  <conditionalFormatting sqref="F45">
    <cfRule type="duplicateValues" dxfId="484" priority="14"/>
  </conditionalFormatting>
  <conditionalFormatting sqref="D46:E46">
    <cfRule type="duplicateValues" dxfId="483" priority="5"/>
  </conditionalFormatting>
  <conditionalFormatting sqref="D56:E56">
    <cfRule type="duplicateValues" dxfId="482" priority="4"/>
  </conditionalFormatting>
  <conditionalFormatting sqref="B100">
    <cfRule type="duplicateValues" dxfId="481" priority="3"/>
  </conditionalFormatting>
  <conditionalFormatting sqref="F101">
    <cfRule type="duplicateValues" dxfId="480" priority="15"/>
  </conditionalFormatting>
  <conditionalFormatting sqref="F120">
    <cfRule type="duplicateValues" dxfId="479" priority="21"/>
  </conditionalFormatting>
  <conditionalFormatting sqref="F124">
    <cfRule type="duplicateValues" dxfId="478" priority="16"/>
  </conditionalFormatting>
  <conditionalFormatting sqref="F125">
    <cfRule type="duplicateValues" dxfId="477" priority="17"/>
  </conditionalFormatting>
  <conditionalFormatting sqref="B126">
    <cfRule type="duplicateValues" dxfId="476" priority="1"/>
  </conditionalFormatting>
  <conditionalFormatting sqref="F127">
    <cfRule type="duplicateValues" dxfId="475" priority="18"/>
  </conditionalFormatting>
  <conditionalFormatting sqref="F170">
    <cfRule type="duplicateValues" dxfId="474" priority="19"/>
  </conditionalFormatting>
  <conditionalFormatting sqref="F184">
    <cfRule type="duplicateValues" dxfId="473" priority="20"/>
  </conditionalFormatting>
  <conditionalFormatting sqref="F193">
    <cfRule type="duplicateValues" dxfId="472" priority="22"/>
  </conditionalFormatting>
  <conditionalFormatting sqref="D11:G12">
    <cfRule type="duplicateValues" dxfId="471" priority="12"/>
  </conditionalFormatting>
  <conditionalFormatting sqref="G13:G14 D13:E13">
    <cfRule type="duplicateValues" dxfId="470"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2:AC204"/>
  <sheetViews>
    <sheetView zoomScale="70" zoomScaleNormal="70" workbookViewId="0">
      <pane xSplit="4" ySplit="10" topLeftCell="E146" activePane="bottomRight" state="frozen"/>
      <selection activeCell="D8" sqref="D8"/>
      <selection pane="topRight" activeCell="D8" sqref="D8"/>
      <selection pane="bottomLeft" activeCell="D8" sqref="D8"/>
      <selection pane="bottomRight" activeCell="N158" sqref="N158"/>
    </sheetView>
  </sheetViews>
  <sheetFormatPr defaultColWidth="10" defaultRowHeight="12" outlineLevelRow="5"/>
  <cols>
    <col min="1" max="1" width="6.6640625" style="1942" customWidth="1"/>
    <col min="2" max="2" width="22" style="1899" customWidth="1"/>
    <col min="3" max="3" width="8.33203125" style="1664" customWidth="1"/>
    <col min="4" max="4" width="17.6640625" style="1784" customWidth="1"/>
    <col min="5" max="5" width="11" style="1656" customWidth="1"/>
    <col min="6" max="6" width="15.6640625" style="1900" customWidth="1"/>
    <col min="7" max="7" width="13.6640625" style="1900" customWidth="1"/>
    <col min="8" max="8" width="17.6640625" style="1656" customWidth="1"/>
    <col min="9" max="9" width="12.33203125" style="1895" customWidth="1"/>
    <col min="10" max="10" width="11.4140625" style="1902" customWidth="1"/>
    <col min="11" max="11" width="10" style="1900" customWidth="1"/>
    <col min="12" max="12" width="19" style="1656" customWidth="1"/>
    <col min="13" max="14" width="11.6640625" style="1900" customWidth="1"/>
    <col min="15" max="15" width="11.4140625" style="1902" customWidth="1"/>
    <col min="16" max="16" width="10.4140625" style="1902" customWidth="1"/>
    <col min="17" max="17" width="11.6640625" style="1902" customWidth="1"/>
    <col min="18" max="18" width="9.33203125" style="1902" customWidth="1"/>
    <col min="19" max="19" width="12" style="1903" customWidth="1"/>
    <col min="20" max="21" width="13.33203125" style="1902" customWidth="1"/>
    <col min="22" max="22" width="10" style="1902" customWidth="1"/>
    <col min="23" max="25" width="10" style="1898"/>
    <col min="26" max="26" width="11.6640625" style="2103" customWidth="1"/>
    <col min="27" max="29" width="10" style="2103"/>
    <col min="30" max="16384" width="10" style="1898"/>
  </cols>
  <sheetData>
    <row r="2" spans="1:29" ht="12.5" thickBot="1">
      <c r="D2" s="1904"/>
      <c r="E2" s="1693"/>
      <c r="F2" s="2450"/>
      <c r="G2" s="2450"/>
      <c r="H2" s="2450"/>
      <c r="I2" s="1905"/>
      <c r="K2" s="1898"/>
      <c r="L2" s="1906"/>
      <c r="O2" s="1907"/>
      <c r="R2" s="1898"/>
      <c r="T2" s="1907"/>
      <c r="U2" s="1898"/>
      <c r="V2" s="1907"/>
    </row>
    <row r="3" spans="1:29">
      <c r="C3" s="1908" t="s">
        <v>4001</v>
      </c>
      <c r="D3" s="1909" t="s">
        <v>106</v>
      </c>
      <c r="E3" s="1909" t="s">
        <v>3834</v>
      </c>
      <c r="F3" s="1910" t="s">
        <v>4002</v>
      </c>
      <c r="G3" s="1911">
        <f>+'全期规划指标 '!D24</f>
        <v>29015</v>
      </c>
      <c r="H3" s="1910" t="s">
        <v>4003</v>
      </c>
      <c r="I3" s="2086" t="s">
        <v>1931</v>
      </c>
      <c r="J3" s="2106"/>
      <c r="K3" s="1934"/>
      <c r="L3" s="1902"/>
      <c r="O3" s="1898"/>
      <c r="P3" s="1900"/>
      <c r="Q3" s="1907"/>
      <c r="R3" s="1898"/>
      <c r="S3" s="1898"/>
      <c r="T3" s="1898"/>
      <c r="U3" s="1898"/>
      <c r="V3" s="1898"/>
    </row>
    <row r="4" spans="1:29">
      <c r="C4" s="2412" t="s">
        <v>3916</v>
      </c>
      <c r="D4" s="1915" t="s">
        <v>9</v>
      </c>
      <c r="E4" s="1916">
        <f>+'全期规划指标 '!G24</f>
        <v>5428</v>
      </c>
      <c r="F4" s="1917" t="s">
        <v>107</v>
      </c>
      <c r="G4" s="1916">
        <f>+'全期规划指标 '!F24</f>
        <v>10</v>
      </c>
      <c r="H4" s="1917" t="s">
        <v>4005</v>
      </c>
      <c r="I4" s="2145"/>
      <c r="J4" s="2106"/>
      <c r="K4" s="1934"/>
      <c r="L4" s="1902"/>
      <c r="O4" s="1898"/>
      <c r="P4" s="1900"/>
      <c r="Q4" s="1907"/>
      <c r="R4" s="1898"/>
      <c r="S4" s="1898"/>
      <c r="T4" s="1898"/>
      <c r="U4" s="1898"/>
      <c r="V4" s="1898"/>
    </row>
    <row r="5" spans="1:29">
      <c r="C5" s="2412"/>
      <c r="D5" s="1915" t="s">
        <v>10</v>
      </c>
      <c r="E5" s="1916">
        <f>'全期规划指标 '!H24+'全期规划指标 '!U24</f>
        <v>59174.38</v>
      </c>
      <c r="F5" s="1917" t="s">
        <v>18</v>
      </c>
      <c r="G5" s="1916">
        <f>+'全期规划指标 '!Q24</f>
        <v>23</v>
      </c>
      <c r="H5" s="1917" t="s">
        <v>4006</v>
      </c>
      <c r="I5" s="2145">
        <f>+'全期规划指标 '!Q24</f>
        <v>23</v>
      </c>
      <c r="J5" s="2106"/>
      <c r="K5" s="1934"/>
      <c r="L5" s="1902"/>
      <c r="O5" s="1898"/>
      <c r="P5" s="1900"/>
      <c r="Q5" s="1907"/>
      <c r="R5" s="1898"/>
      <c r="S5" s="1898"/>
      <c r="T5" s="1898"/>
      <c r="U5" s="1898"/>
      <c r="V5" s="1898"/>
    </row>
    <row r="6" spans="1:29">
      <c r="C6" s="2412"/>
      <c r="D6" s="1923" t="s">
        <v>20</v>
      </c>
      <c r="E6" s="1916">
        <f>+'全期规划指标 '!I24</f>
        <v>59174.38</v>
      </c>
      <c r="F6" s="1917" t="s">
        <v>3923</v>
      </c>
      <c r="G6" s="1916">
        <f>+'全期规划指标 '!S24</f>
        <v>253</v>
      </c>
      <c r="H6" s="1917" t="s">
        <v>4007</v>
      </c>
      <c r="I6" s="2145">
        <f>+'全期规划指标 '!R24</f>
        <v>505</v>
      </c>
      <c r="J6" s="2106"/>
      <c r="K6" s="1934"/>
      <c r="L6" s="1902"/>
      <c r="O6" s="1898"/>
      <c r="P6" s="1900"/>
      <c r="Q6" s="1907"/>
      <c r="R6" s="1898"/>
      <c r="S6" s="1898"/>
      <c r="T6" s="1898"/>
      <c r="U6" s="1898"/>
      <c r="V6" s="1898"/>
    </row>
    <row r="7" spans="1:29" ht="12.5" thickBot="1">
      <c r="C7" s="2413"/>
      <c r="D7" s="1926" t="s">
        <v>4008</v>
      </c>
      <c r="E7" s="1927"/>
      <c r="F7" s="1928" t="s">
        <v>3926</v>
      </c>
      <c r="G7" s="1927">
        <f>+'全期规划指标 '!R24</f>
        <v>505</v>
      </c>
      <c r="H7" s="1928" t="s">
        <v>4009</v>
      </c>
      <c r="I7" s="2146">
        <f>+'全期规划指标 '!T24</f>
        <v>2.9</v>
      </c>
      <c r="J7" s="2109"/>
      <c r="K7" s="2094"/>
      <c r="L7" s="1902"/>
      <c r="O7" s="1898"/>
      <c r="P7" s="1900"/>
      <c r="Q7" s="1907"/>
      <c r="R7" s="1898"/>
      <c r="S7" s="1898"/>
      <c r="T7" s="1898"/>
      <c r="U7" s="1898"/>
      <c r="V7" s="1898"/>
    </row>
    <row r="8" spans="1:29" ht="12.5" thickBot="1">
      <c r="D8" s="1904"/>
      <c r="E8" s="1693"/>
      <c r="F8" s="1906"/>
      <c r="G8" s="1934"/>
      <c r="H8" s="1935"/>
      <c r="I8" s="1936"/>
      <c r="K8" s="1937"/>
      <c r="L8" s="1935"/>
      <c r="O8" s="1907"/>
      <c r="R8" s="1900"/>
      <c r="T8" s="1907"/>
      <c r="U8" s="1900"/>
      <c r="V8" s="1907"/>
    </row>
    <row r="9" spans="1:29" s="1938" customFormat="1" ht="20.5" customHeight="1">
      <c r="B9" s="2451" t="s">
        <v>3131</v>
      </c>
      <c r="C9" s="2453" t="s">
        <v>25</v>
      </c>
      <c r="D9" s="2453" t="s">
        <v>23</v>
      </c>
      <c r="E9" s="2453" t="s">
        <v>3927</v>
      </c>
      <c r="F9" s="2453" t="s">
        <v>444</v>
      </c>
      <c r="G9" s="2453" t="s">
        <v>3207</v>
      </c>
      <c r="H9" s="2453" t="s">
        <v>3929</v>
      </c>
      <c r="I9" s="2453"/>
      <c r="J9" s="2457"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c r="X9" s="2457" t="s">
        <v>108</v>
      </c>
      <c r="Y9" s="2425" t="s">
        <v>1067</v>
      </c>
      <c r="Z9" s="2110"/>
      <c r="AA9" s="2110"/>
      <c r="AB9" s="2110"/>
      <c r="AC9" s="2110"/>
    </row>
    <row r="10" spans="1:29" s="1938" customFormat="1" ht="17.5" customHeight="1">
      <c r="B10" s="2452"/>
      <c r="C10" s="2454"/>
      <c r="D10" s="2454"/>
      <c r="E10" s="2454"/>
      <c r="F10" s="2454"/>
      <c r="G10" s="2454"/>
      <c r="H10" s="1939" t="s">
        <v>13</v>
      </c>
      <c r="I10" s="1940" t="s">
        <v>3939</v>
      </c>
      <c r="J10" s="2458"/>
      <c r="K10" s="2449"/>
      <c r="L10" s="2454"/>
      <c r="M10" s="2449"/>
      <c r="N10" s="2426"/>
      <c r="O10" s="2449"/>
      <c r="P10" s="2449"/>
      <c r="Q10" s="2449"/>
      <c r="R10" s="2449"/>
      <c r="S10" s="2449"/>
      <c r="T10" s="2449"/>
      <c r="U10" s="2449"/>
      <c r="V10" s="2447"/>
      <c r="X10" s="2458"/>
      <c r="Y10" s="2426"/>
      <c r="Z10" s="2110"/>
      <c r="AA10" s="2110"/>
      <c r="AB10" s="2110"/>
      <c r="AC10" s="2110"/>
    </row>
    <row r="11" spans="1:29">
      <c r="A11" s="1898"/>
      <c r="B11" s="1785" t="s">
        <v>537</v>
      </c>
      <c r="C11" s="1685" t="s">
        <v>28</v>
      </c>
      <c r="D11" s="1956" t="s">
        <v>486</v>
      </c>
      <c r="E11" s="1957"/>
      <c r="F11" s="1958"/>
      <c r="G11" s="1957"/>
      <c r="H11" s="1959"/>
      <c r="I11" s="1960"/>
      <c r="J11" s="2113"/>
      <c r="K11" s="1962"/>
      <c r="L11" s="1959"/>
      <c r="M11" s="1962"/>
      <c r="N11" s="1963"/>
      <c r="O11" s="1963">
        <f>SUBTOTAL(9,O12:O99)</f>
        <v>13477.775215999998</v>
      </c>
      <c r="P11" s="1963"/>
      <c r="Q11" s="1963">
        <f>SUBTOTAL(9,Q12:Q99)</f>
        <v>12324.632450999998</v>
      </c>
      <c r="R11" s="1963"/>
      <c r="S11" s="1963">
        <f>SUBTOTAL(9,S12:S99)</f>
        <v>1153.1427650000003</v>
      </c>
      <c r="T11" s="1963">
        <f t="shared" ref="T11:T74" si="0">IFERROR(Q11*10000/$E$6,"")</f>
        <v>2082.7649484455937</v>
      </c>
      <c r="U11" s="1963">
        <f t="shared" ref="U11:U74" si="1">IFERROR(O11*10000/$E$6,"")</f>
        <v>2277.6369124611024</v>
      </c>
      <c r="V11" s="1964"/>
      <c r="X11" s="2113"/>
      <c r="Y11" s="1963"/>
    </row>
    <row r="12" spans="1:29" outlineLevel="1">
      <c r="A12" s="1898"/>
      <c r="B12" s="1965" t="s">
        <v>487</v>
      </c>
      <c r="C12" s="1852">
        <v>1</v>
      </c>
      <c r="D12" s="1966" t="s">
        <v>650</v>
      </c>
      <c r="E12" s="1967"/>
      <c r="F12" s="1968"/>
      <c r="G12" s="1967"/>
      <c r="H12" s="1967"/>
      <c r="I12" s="1969"/>
      <c r="J12" s="2116"/>
      <c r="K12" s="1971"/>
      <c r="L12" s="1967"/>
      <c r="M12" s="1972"/>
      <c r="N12" s="1973"/>
      <c r="O12" s="1973">
        <f>SUBTOTAL(9,O13:O44)</f>
        <v>10837.502026999999</v>
      </c>
      <c r="P12" s="1973"/>
      <c r="Q12" s="1973">
        <f>SUBTOTAL(9,Q13:Q44)</f>
        <v>9932.9063480000004</v>
      </c>
      <c r="R12" s="1973"/>
      <c r="S12" s="1973">
        <f>SUBTOTAL(9,S13:S44)</f>
        <v>904.59567900000002</v>
      </c>
      <c r="T12" s="1973">
        <f t="shared" si="0"/>
        <v>1678.5822425177926</v>
      </c>
      <c r="U12" s="1973">
        <f t="shared" si="1"/>
        <v>1831.4517240400319</v>
      </c>
      <c r="V12" s="1974"/>
      <c r="X12" s="2116"/>
      <c r="Y12" s="1973"/>
    </row>
    <row r="13" spans="1:29" s="1942" customFormat="1" ht="13" outlineLevel="2">
      <c r="A13" s="1944"/>
      <c r="B13" s="1820" t="s">
        <v>651</v>
      </c>
      <c r="C13" s="1808"/>
      <c r="D13" s="1945" t="s">
        <v>3360</v>
      </c>
      <c r="E13" s="1946" t="s">
        <v>3361</v>
      </c>
      <c r="F13" s="1462" t="s">
        <v>3342</v>
      </c>
      <c r="G13" s="1946" t="s">
        <v>4116</v>
      </c>
      <c r="H13" s="1975" t="s">
        <v>9</v>
      </c>
      <c r="I13" s="1953">
        <f>$E$4</f>
        <v>5428</v>
      </c>
      <c r="J13" s="2099">
        <v>0.5</v>
      </c>
      <c r="K13" s="1977" t="s">
        <v>103</v>
      </c>
      <c r="L13" s="1947" t="s">
        <v>4013</v>
      </c>
      <c r="M13" s="1754">
        <f>ROUND(I13,2)*ROUND(J13,4)</f>
        <v>2714</v>
      </c>
      <c r="N13" s="1712">
        <v>35</v>
      </c>
      <c r="O13" s="1712">
        <f>ROUND(M13*ROUND(N13,2)/10000,6)</f>
        <v>9.4990000000000006</v>
      </c>
      <c r="P13" s="1712">
        <f>IFERROR(ROUND(Q13*10000/M13,2),0)</f>
        <v>32.11</v>
      </c>
      <c r="Q13" s="1712">
        <f>ROUND(O13/(1+R13),6)</f>
        <v>8.7146790000000003</v>
      </c>
      <c r="R13" s="1757">
        <v>0.09</v>
      </c>
      <c r="S13" s="1712">
        <f>O13-Q13</f>
        <v>0.78432100000000027</v>
      </c>
      <c r="T13" s="1712">
        <f t="shared" si="0"/>
        <v>1.4727115011597927</v>
      </c>
      <c r="U13" s="1712">
        <f t="shared" si="1"/>
        <v>1.605255517675048</v>
      </c>
      <c r="V13" s="1952"/>
      <c r="X13" s="2099">
        <v>0.5</v>
      </c>
      <c r="Y13" s="2003">
        <v>60</v>
      </c>
      <c r="Z13" s="2119">
        <f t="shared" ref="Z13:Z77" si="2">J13-X13</f>
        <v>0</v>
      </c>
      <c r="AA13" s="2119">
        <f>N13-Y13</f>
        <v>-25</v>
      </c>
      <c r="AB13" s="2119"/>
      <c r="AC13" s="2119"/>
    </row>
    <row r="14" spans="1:29" s="1942" customFormat="1" ht="13" outlineLevel="2">
      <c r="A14" s="1944"/>
      <c r="B14" s="1820" t="s">
        <v>655</v>
      </c>
      <c r="C14" s="1808"/>
      <c r="D14" s="1945" t="s">
        <v>488</v>
      </c>
      <c r="E14" s="1946"/>
      <c r="F14" s="1945"/>
      <c r="G14" s="1946" t="s">
        <v>4117</v>
      </c>
      <c r="H14" s="1947"/>
      <c r="I14" s="1948"/>
      <c r="J14" s="2099"/>
      <c r="K14" s="1950"/>
      <c r="L14" s="1947"/>
      <c r="M14" s="1754"/>
      <c r="N14" s="1712"/>
      <c r="O14" s="1712">
        <f>SUBTOTAL(9,O15:O43)</f>
        <v>10828.003026999999</v>
      </c>
      <c r="P14" s="1951"/>
      <c r="Q14" s="1712">
        <f>SUBTOTAL(9,Q15:Q43)</f>
        <v>9924.1916689999998</v>
      </c>
      <c r="R14" s="1712"/>
      <c r="S14" s="1712">
        <f>SUBTOTAL(9,S15:S43)</f>
        <v>903.81135799999993</v>
      </c>
      <c r="T14" s="1712">
        <f t="shared" si="0"/>
        <v>1677.1095310166327</v>
      </c>
      <c r="U14" s="1712">
        <f t="shared" si="1"/>
        <v>1829.8464685223569</v>
      </c>
      <c r="V14" s="1952"/>
      <c r="X14" s="2099"/>
      <c r="Y14" s="1712"/>
      <c r="Z14" s="2119">
        <f t="shared" si="2"/>
        <v>0</v>
      </c>
      <c r="AA14" s="2119">
        <f t="shared" ref="AA14:AA77" si="3">N14-Y14</f>
        <v>0</v>
      </c>
      <c r="AB14" s="2119"/>
      <c r="AC14" s="2119"/>
    </row>
    <row r="15" spans="1:29" s="1942" customFormat="1" ht="12" customHeight="1" outlineLevel="3">
      <c r="A15" s="1944"/>
      <c r="B15" s="1978" t="s">
        <v>1626</v>
      </c>
      <c r="C15" s="1810"/>
      <c r="D15" s="1979" t="s">
        <v>59</v>
      </c>
      <c r="E15" s="1980" t="s">
        <v>3362</v>
      </c>
      <c r="F15" s="1462" t="s">
        <v>3342</v>
      </c>
      <c r="G15" s="1953" t="s">
        <v>4116</v>
      </c>
      <c r="H15" s="1947" t="s">
        <v>10</v>
      </c>
      <c r="I15" s="1953">
        <f>$E$5</f>
        <v>59174.38</v>
      </c>
      <c r="J15" s="2099">
        <v>0.38</v>
      </c>
      <c r="K15" s="1950" t="s">
        <v>103</v>
      </c>
      <c r="L15" s="1947" t="s">
        <v>4014</v>
      </c>
      <c r="M15" s="1754">
        <f>ROUND(I15,2)*ROUND(J15,4)</f>
        <v>22486.2644</v>
      </c>
      <c r="N15" s="1756">
        <v>619.27</v>
      </c>
      <c r="O15" s="1712">
        <f>ROUND(M15*ROUND(N15,2)/10000,6)</f>
        <v>1392.506895</v>
      </c>
      <c r="P15" s="1712">
        <f>IFERROR(ROUND(Q15*10000/M15,2),0)</f>
        <v>568.14</v>
      </c>
      <c r="Q15" s="1712">
        <f>ROUND(O15/(1+R15),6)</f>
        <v>1277.5292609999999</v>
      </c>
      <c r="R15" s="1757">
        <v>0.09</v>
      </c>
      <c r="S15" s="1712">
        <f>O15-Q15</f>
        <v>114.97763400000008</v>
      </c>
      <c r="T15" s="1712">
        <f t="shared" si="0"/>
        <v>215.89229342157873</v>
      </c>
      <c r="U15" s="1712">
        <f t="shared" si="1"/>
        <v>235.32259991570677</v>
      </c>
      <c r="V15" s="1952"/>
      <c r="X15" s="2099">
        <v>0.6</v>
      </c>
      <c r="Y15" s="2003">
        <v>685</v>
      </c>
      <c r="Z15" s="2119">
        <f t="shared" si="2"/>
        <v>-0.21999999999999997</v>
      </c>
      <c r="AA15" s="2119">
        <f t="shared" si="3"/>
        <v>-65.730000000000018</v>
      </c>
      <c r="AB15" s="2119"/>
      <c r="AC15" s="2119"/>
    </row>
    <row r="16" spans="1:29" s="1942" customFormat="1" ht="12" customHeight="1" outlineLevel="3">
      <c r="A16" s="1944"/>
      <c r="B16" s="1978" t="s">
        <v>1482</v>
      </c>
      <c r="C16" s="1810"/>
      <c r="D16" s="1979" t="s">
        <v>658</v>
      </c>
      <c r="E16" s="1980" t="s">
        <v>3363</v>
      </c>
      <c r="F16" s="1462" t="s">
        <v>3342</v>
      </c>
      <c r="G16" s="1953" t="s">
        <v>4116</v>
      </c>
      <c r="H16" s="1947" t="s">
        <v>10</v>
      </c>
      <c r="I16" s="1953">
        <f>$E$5</f>
        <v>59174.38</v>
      </c>
      <c r="J16" s="2099">
        <v>36</v>
      </c>
      <c r="K16" s="1950" t="s">
        <v>104</v>
      </c>
      <c r="L16" s="1947" t="s">
        <v>4015</v>
      </c>
      <c r="M16" s="1754">
        <f t="shared" ref="M16:M44" si="4">ROUND(I16,2)*ROUND(J16,4)</f>
        <v>2130277.6799999997</v>
      </c>
      <c r="N16" s="1756">
        <v>8.3662399999999995</v>
      </c>
      <c r="O16" s="1712">
        <f t="shared" ref="O16:O22" si="5">ROUND(M16*ROUND(N16,2)/10000,6)</f>
        <v>1783.042418</v>
      </c>
      <c r="P16" s="1712">
        <f t="shared" ref="P16:P22" si="6">IFERROR(ROUND(Q16*10000/M16,2),0)</f>
        <v>7.68</v>
      </c>
      <c r="Q16" s="1712">
        <f t="shared" ref="Q16:Q22" si="7">ROUND(O16/(1+R16),6)</f>
        <v>1635.818732</v>
      </c>
      <c r="R16" s="1757">
        <v>0.09</v>
      </c>
      <c r="S16" s="1712">
        <f>O16-Q16</f>
        <v>147.22368600000004</v>
      </c>
      <c r="T16" s="1712">
        <f t="shared" si="0"/>
        <v>276.44036692906627</v>
      </c>
      <c r="U16" s="1712">
        <f t="shared" si="1"/>
        <v>301.31999997296128</v>
      </c>
      <c r="V16" s="1952"/>
      <c r="X16" s="2099">
        <v>65</v>
      </c>
      <c r="Y16" s="2003">
        <v>6.68</v>
      </c>
      <c r="Z16" s="2119">
        <f t="shared" si="2"/>
        <v>-29</v>
      </c>
      <c r="AA16" s="2119">
        <f t="shared" si="3"/>
        <v>1.6862399999999997</v>
      </c>
      <c r="AB16" s="2119"/>
      <c r="AC16" s="2119"/>
    </row>
    <row r="17" spans="1:29" s="1942" customFormat="1" ht="12" customHeight="1" outlineLevel="3">
      <c r="A17" s="1944"/>
      <c r="B17" s="1978" t="s">
        <v>1635</v>
      </c>
      <c r="C17" s="1810"/>
      <c r="D17" s="1979" t="s">
        <v>659</v>
      </c>
      <c r="E17" s="1980" t="s">
        <v>3364</v>
      </c>
      <c r="F17" s="1462" t="s">
        <v>3342</v>
      </c>
      <c r="G17" s="1953" t="s">
        <v>4116</v>
      </c>
      <c r="H17" s="1947" t="s">
        <v>10</v>
      </c>
      <c r="I17" s="1953">
        <f>$E$5</f>
        <v>59174.38</v>
      </c>
      <c r="J17" s="2099">
        <v>3.5</v>
      </c>
      <c r="K17" s="1950" t="s">
        <v>101</v>
      </c>
      <c r="L17" s="1947" t="s">
        <v>659</v>
      </c>
      <c r="M17" s="1754">
        <f t="shared" si="4"/>
        <v>207110.33</v>
      </c>
      <c r="N17" s="1756">
        <v>92.95</v>
      </c>
      <c r="O17" s="1712">
        <f t="shared" si="5"/>
        <v>1925.0905170000001</v>
      </c>
      <c r="P17" s="1712">
        <f t="shared" si="6"/>
        <v>85.28</v>
      </c>
      <c r="Q17" s="1712">
        <f t="shared" si="7"/>
        <v>1766.138089</v>
      </c>
      <c r="R17" s="1757">
        <v>0.09</v>
      </c>
      <c r="S17" s="1712">
        <f>O17-Q17</f>
        <v>158.95242800000005</v>
      </c>
      <c r="T17" s="1712">
        <f t="shared" si="0"/>
        <v>298.46330269958048</v>
      </c>
      <c r="U17" s="1712">
        <f t="shared" si="1"/>
        <v>325.32499994085282</v>
      </c>
      <c r="V17" s="1952"/>
      <c r="X17" s="2099">
        <v>3.3</v>
      </c>
      <c r="Y17" s="2003">
        <v>76</v>
      </c>
      <c r="Z17" s="2119">
        <f t="shared" si="2"/>
        <v>0.20000000000000018</v>
      </c>
      <c r="AA17" s="2119">
        <f t="shared" si="3"/>
        <v>16.950000000000003</v>
      </c>
      <c r="AB17" s="2119"/>
      <c r="AC17" s="2119"/>
    </row>
    <row r="18" spans="1:29" s="1942" customFormat="1" ht="12" customHeight="1" outlineLevel="3">
      <c r="A18" s="1944"/>
      <c r="B18" s="1978" t="s">
        <v>1484</v>
      </c>
      <c r="C18" s="1810"/>
      <c r="D18" s="1979" t="s">
        <v>1636</v>
      </c>
      <c r="E18" s="1980" t="s">
        <v>3365</v>
      </c>
      <c r="F18" s="1462" t="s">
        <v>3342</v>
      </c>
      <c r="G18" s="1953" t="s">
        <v>4116</v>
      </c>
      <c r="H18" s="1947" t="s">
        <v>10</v>
      </c>
      <c r="I18" s="1953">
        <f>$E$5</f>
        <v>59174.38</v>
      </c>
      <c r="J18" s="2099">
        <v>0.1</v>
      </c>
      <c r="K18" s="1950" t="s">
        <v>103</v>
      </c>
      <c r="L18" s="1947" t="s">
        <v>4016</v>
      </c>
      <c r="M18" s="1754">
        <f t="shared" si="4"/>
        <v>5917.4380000000001</v>
      </c>
      <c r="N18" s="1756">
        <v>1280</v>
      </c>
      <c r="O18" s="1712">
        <f t="shared" si="5"/>
        <v>757.43206399999997</v>
      </c>
      <c r="P18" s="1712">
        <f t="shared" si="6"/>
        <v>1174.31</v>
      </c>
      <c r="Q18" s="1712">
        <f t="shared" si="7"/>
        <v>694.89180199999998</v>
      </c>
      <c r="R18" s="1757">
        <v>0.09</v>
      </c>
      <c r="S18" s="1712">
        <f>O18-Q18</f>
        <v>62.540261999999984</v>
      </c>
      <c r="T18" s="1712">
        <f t="shared" si="0"/>
        <v>117.4311926884574</v>
      </c>
      <c r="U18" s="1712">
        <f t="shared" si="1"/>
        <v>128</v>
      </c>
      <c r="V18" s="1952"/>
      <c r="X18" s="2099">
        <v>0.15</v>
      </c>
      <c r="Y18" s="1712">
        <v>800</v>
      </c>
      <c r="Z18" s="2119">
        <f t="shared" si="2"/>
        <v>-4.9999999999999989E-2</v>
      </c>
      <c r="AA18" s="2119">
        <f t="shared" si="3"/>
        <v>480</v>
      </c>
      <c r="AB18" s="2119"/>
      <c r="AC18" s="2119"/>
    </row>
    <row r="19" spans="1:29" s="1942" customFormat="1" ht="19.25"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201.53314499999999</v>
      </c>
      <c r="P19" s="1983"/>
      <c r="Q19" s="1712">
        <f>SUBTOTAL(9,Q20:Q21)</f>
        <v>182.34315900000001</v>
      </c>
      <c r="R19" s="1757"/>
      <c r="S19" s="1712">
        <f>SUBTOTAL(9,S20:S21)</f>
        <v>19.189986000000005</v>
      </c>
      <c r="T19" s="1712">
        <f t="shared" si="0"/>
        <v>30.814544909469269</v>
      </c>
      <c r="U19" s="1712">
        <f t="shared" si="1"/>
        <v>34.057500053232495</v>
      </c>
      <c r="V19" s="1952"/>
      <c r="X19" s="2099"/>
      <c r="Y19" s="1712"/>
      <c r="Z19" s="2119">
        <f t="shared" si="2"/>
        <v>0</v>
      </c>
      <c r="AA19" s="2119">
        <f t="shared" si="3"/>
        <v>0</v>
      </c>
      <c r="AB19" s="2119"/>
      <c r="AC19" s="2119"/>
    </row>
    <row r="20" spans="1:29" s="1942" customFormat="1" ht="12" customHeight="1" outlineLevel="5">
      <c r="A20" s="1984"/>
      <c r="B20" s="1985" t="s">
        <v>4017</v>
      </c>
      <c r="C20" s="1828"/>
      <c r="D20" s="1986" t="s">
        <v>1487</v>
      </c>
      <c r="E20" s="1987"/>
      <c r="F20" s="1988" t="s">
        <v>3828</v>
      </c>
      <c r="G20" s="1989" t="s">
        <v>4118</v>
      </c>
      <c r="H20" s="1990" t="s">
        <v>10</v>
      </c>
      <c r="I20" s="1991">
        <f>$E$5</f>
        <v>59174.38</v>
      </c>
      <c r="J20" s="2124">
        <v>0.25</v>
      </c>
      <c r="K20" s="1992" t="s">
        <v>101</v>
      </c>
      <c r="L20" s="1990" t="s">
        <v>4018</v>
      </c>
      <c r="M20" s="1991">
        <f t="shared" si="4"/>
        <v>14793.594999999999</v>
      </c>
      <c r="N20" s="1991">
        <v>53.0703125</v>
      </c>
      <c r="O20" s="1991">
        <f t="shared" si="5"/>
        <v>78.509608999999998</v>
      </c>
      <c r="P20" s="1991">
        <f t="shared" si="6"/>
        <v>46.96</v>
      </c>
      <c r="Q20" s="1991">
        <f t="shared" si="7"/>
        <v>69.477530000000002</v>
      </c>
      <c r="R20" s="1993">
        <v>0.13</v>
      </c>
      <c r="S20" s="1991">
        <f>O20-Q20</f>
        <v>9.032078999999996</v>
      </c>
      <c r="T20" s="1991">
        <f t="shared" si="0"/>
        <v>11.741150477622243</v>
      </c>
      <c r="U20" s="1991">
        <f t="shared" si="1"/>
        <v>13.267500056612338</v>
      </c>
      <c r="V20" s="1994"/>
      <c r="X20" s="2124">
        <v>0.4</v>
      </c>
      <c r="Y20" s="1991">
        <v>20</v>
      </c>
      <c r="Z20" s="2119">
        <f t="shared" si="2"/>
        <v>-0.15000000000000002</v>
      </c>
      <c r="AA20" s="2119">
        <f t="shared" si="3"/>
        <v>33.0703125</v>
      </c>
      <c r="AB20" s="2119"/>
      <c r="AC20" s="2119"/>
    </row>
    <row r="21" spans="1:29" s="1942" customFormat="1" ht="12" customHeight="1" outlineLevel="5">
      <c r="A21" s="1944"/>
      <c r="B21" s="1985" t="s">
        <v>4019</v>
      </c>
      <c r="C21" s="1828"/>
      <c r="D21" s="1986" t="s">
        <v>1639</v>
      </c>
      <c r="E21" s="1987"/>
      <c r="F21" s="1988" t="s">
        <v>3342</v>
      </c>
      <c r="G21" s="1989" t="s">
        <v>4116</v>
      </c>
      <c r="H21" s="1990" t="s">
        <v>10</v>
      </c>
      <c r="I21" s="1991">
        <f>$E$5</f>
        <v>59174.38</v>
      </c>
      <c r="J21" s="2124">
        <v>0.25</v>
      </c>
      <c r="K21" s="1992" t="s">
        <v>101</v>
      </c>
      <c r="L21" s="1990" t="s">
        <v>4020</v>
      </c>
      <c r="M21" s="1991">
        <f t="shared" si="4"/>
        <v>14793.594999999999</v>
      </c>
      <c r="N21" s="1991">
        <v>83.16</v>
      </c>
      <c r="O21" s="1991">
        <f t="shared" si="5"/>
        <v>123.02353600000001</v>
      </c>
      <c r="P21" s="1991">
        <f t="shared" si="6"/>
        <v>76.290000000000006</v>
      </c>
      <c r="Q21" s="1991">
        <f t="shared" si="7"/>
        <v>112.865629</v>
      </c>
      <c r="R21" s="1993">
        <v>0.09</v>
      </c>
      <c r="S21" s="1991">
        <f>O21-Q21</f>
        <v>10.157907000000009</v>
      </c>
      <c r="T21" s="1991">
        <f t="shared" si="0"/>
        <v>19.073394431847028</v>
      </c>
      <c r="U21" s="1991">
        <f t="shared" si="1"/>
        <v>20.789999996620161</v>
      </c>
      <c r="V21" s="1994"/>
      <c r="X21" s="2124">
        <v>0.4</v>
      </c>
      <c r="Y21" s="1991">
        <v>20</v>
      </c>
      <c r="Z21" s="2119">
        <f t="shared" si="2"/>
        <v>-0.15000000000000002</v>
      </c>
      <c r="AA21" s="2119">
        <f t="shared" si="3"/>
        <v>63.16</v>
      </c>
      <c r="AB21" s="2119"/>
      <c r="AC21" s="2119"/>
    </row>
    <row r="22" spans="1:29" s="1942" customFormat="1" ht="12" customHeight="1" outlineLevel="3">
      <c r="A22" s="1944"/>
      <c r="B22" s="1978" t="s">
        <v>1486</v>
      </c>
      <c r="C22" s="1810"/>
      <c r="D22" s="1979" t="s">
        <v>3369</v>
      </c>
      <c r="E22" s="1980" t="s">
        <v>3370</v>
      </c>
      <c r="F22" s="1462" t="s">
        <v>1493</v>
      </c>
      <c r="G22" s="1953" t="s">
        <v>4119</v>
      </c>
      <c r="H22" s="1947" t="s">
        <v>10</v>
      </c>
      <c r="I22" s="1948">
        <f>$E$5</f>
        <v>59174.38</v>
      </c>
      <c r="J22" s="2147">
        <v>1.25</v>
      </c>
      <c r="K22" s="1950" t="s">
        <v>101</v>
      </c>
      <c r="L22" s="1947" t="s">
        <v>4021</v>
      </c>
      <c r="M22" s="1754">
        <f t="shared" si="4"/>
        <v>73967.974999999991</v>
      </c>
      <c r="N22" s="1756">
        <v>130</v>
      </c>
      <c r="O22" s="1712">
        <f t="shared" si="5"/>
        <v>961.58367499999997</v>
      </c>
      <c r="P22" s="1712">
        <f t="shared" si="6"/>
        <v>119.27</v>
      </c>
      <c r="Q22" s="1712">
        <f t="shared" si="7"/>
        <v>882.18685800000003</v>
      </c>
      <c r="R22" s="1757">
        <v>0.09</v>
      </c>
      <c r="S22" s="1712">
        <f>O22-Q22</f>
        <v>79.396816999999942</v>
      </c>
      <c r="T22" s="1712">
        <f t="shared" si="0"/>
        <v>149.08256884144794</v>
      </c>
      <c r="U22" s="1712">
        <f t="shared" si="1"/>
        <v>162.5</v>
      </c>
      <c r="V22" s="1952"/>
      <c r="X22" s="2125">
        <v>0.8</v>
      </c>
      <c r="Y22" s="2003">
        <v>200</v>
      </c>
      <c r="Z22" s="2119">
        <f t="shared" si="2"/>
        <v>0.44999999999999996</v>
      </c>
      <c r="AA22" s="2119">
        <f t="shared" si="3"/>
        <v>-70</v>
      </c>
      <c r="AB22" s="2119"/>
      <c r="AC22" s="2119"/>
    </row>
    <row r="23" spans="1:29" s="1942" customFormat="1" ht="12" customHeight="1" outlineLevel="3">
      <c r="A23" s="1944"/>
      <c r="B23" s="1978" t="s">
        <v>1640</v>
      </c>
      <c r="C23" s="1810"/>
      <c r="D23" s="1979" t="s">
        <v>386</v>
      </c>
      <c r="E23" s="1980"/>
      <c r="F23" s="1462"/>
      <c r="G23" s="1953" t="s">
        <v>4117</v>
      </c>
      <c r="H23" s="1947"/>
      <c r="I23" s="1948"/>
      <c r="J23" s="2099"/>
      <c r="K23" s="1950"/>
      <c r="L23" s="1947"/>
      <c r="M23" s="1754"/>
      <c r="N23" s="1712"/>
      <c r="O23" s="1712">
        <f>SUBTOTAL(9,O24:O32)</f>
        <v>1589.7346190000001</v>
      </c>
      <c r="P23" s="1712"/>
      <c r="Q23" s="1712">
        <f>SUBTOTAL(9,Q24:Q32)</f>
        <v>1451.2657009999998</v>
      </c>
      <c r="R23" s="1712"/>
      <c r="S23" s="1712">
        <f>SUBTOTAL(9,S24:S32)</f>
        <v>138.468918</v>
      </c>
      <c r="T23" s="1712">
        <f t="shared" si="0"/>
        <v>245.25237121200084</v>
      </c>
      <c r="U23" s="1712">
        <f t="shared" si="1"/>
        <v>268.65251803229711</v>
      </c>
      <c r="V23" s="1952"/>
      <c r="X23" s="2099"/>
      <c r="Y23" s="1712"/>
      <c r="Z23" s="2119">
        <f t="shared" si="2"/>
        <v>0</v>
      </c>
      <c r="AA23" s="2119">
        <f t="shared" si="3"/>
        <v>0</v>
      </c>
      <c r="AB23" s="2119"/>
      <c r="AC23" s="2119"/>
    </row>
    <row r="24" spans="1:29" s="1942" customFormat="1" ht="12" customHeight="1" outlineLevel="4">
      <c r="A24" s="1944"/>
      <c r="B24" s="1978" t="s">
        <v>1642</v>
      </c>
      <c r="C24" s="1810"/>
      <c r="D24" s="1995" t="s">
        <v>3371</v>
      </c>
      <c r="E24" s="1996" t="s">
        <v>3372</v>
      </c>
      <c r="F24" s="1462" t="s">
        <v>3342</v>
      </c>
      <c r="G24" s="1953" t="s">
        <v>4116</v>
      </c>
      <c r="H24" s="1947" t="s">
        <v>10</v>
      </c>
      <c r="I24" s="1712">
        <f>$E$5</f>
        <v>59174.38</v>
      </c>
      <c r="J24" s="2099">
        <v>0.85</v>
      </c>
      <c r="K24" s="1950" t="s">
        <v>101</v>
      </c>
      <c r="L24" s="1947" t="s">
        <v>4022</v>
      </c>
      <c r="M24" s="1754">
        <f t="shared" si="4"/>
        <v>50298.222999999998</v>
      </c>
      <c r="N24" s="2126">
        <v>80</v>
      </c>
      <c r="O24" s="1712">
        <f>ROUND(M24*ROUND(N24,2)/10000,6)</f>
        <v>402.385784</v>
      </c>
      <c r="P24" s="1712">
        <f>IFERROR(ROUND(Q24*10000/M24,2),0)</f>
        <v>73.39</v>
      </c>
      <c r="Q24" s="1712">
        <f>ROUND(O24/(1+R24),6)</f>
        <v>369.16127</v>
      </c>
      <c r="R24" s="1757">
        <v>0.09</v>
      </c>
      <c r="S24" s="1712">
        <f>O24-Q24</f>
        <v>33.224513999999999</v>
      </c>
      <c r="T24" s="1712">
        <f t="shared" si="0"/>
        <v>62.385321147429011</v>
      </c>
      <c r="U24" s="1712">
        <f t="shared" si="1"/>
        <v>68</v>
      </c>
      <c r="V24" s="1952"/>
      <c r="X24" s="2099">
        <v>0.7</v>
      </c>
      <c r="Y24" s="1712">
        <v>60</v>
      </c>
      <c r="Z24" s="2119">
        <f t="shared" si="2"/>
        <v>0.15000000000000002</v>
      </c>
      <c r="AA24" s="2119">
        <f t="shared" si="3"/>
        <v>20</v>
      </c>
      <c r="AB24" s="2119"/>
      <c r="AC24" s="2119"/>
    </row>
    <row r="25" spans="1:29" s="1942" customFormat="1" ht="12"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962.02748299999996</v>
      </c>
      <c r="P25" s="1983"/>
      <c r="Q25" s="1712">
        <f>SUBTOTAL(9,Q26:Q27)</f>
        <v>875.38759400000004</v>
      </c>
      <c r="R25" s="1757"/>
      <c r="S25" s="1712">
        <f>SUBTOTAL(9,S26:S27)</f>
        <v>86.639889000000011</v>
      </c>
      <c r="T25" s="1712">
        <f t="shared" si="0"/>
        <v>147.93354725474097</v>
      </c>
      <c r="U25" s="1712">
        <f t="shared" si="1"/>
        <v>162.57500002534883</v>
      </c>
      <c r="V25" s="1952"/>
      <c r="X25" s="2099"/>
      <c r="Y25" s="1712"/>
      <c r="Z25" s="2119">
        <f t="shared" si="2"/>
        <v>0</v>
      </c>
      <c r="AA25" s="2119">
        <f t="shared" si="3"/>
        <v>0</v>
      </c>
      <c r="AB25" s="2119"/>
      <c r="AC25" s="2119"/>
    </row>
    <row r="26" spans="1:29" s="1942" customFormat="1" ht="12" customHeight="1" outlineLevel="5">
      <c r="A26" s="1944"/>
      <c r="B26" s="1985" t="s">
        <v>4024</v>
      </c>
      <c r="C26" s="1828"/>
      <c r="D26" s="1998" t="s">
        <v>4025</v>
      </c>
      <c r="E26" s="1999"/>
      <c r="F26" s="1988" t="s">
        <v>3342</v>
      </c>
      <c r="G26" s="1989" t="s">
        <v>4116</v>
      </c>
      <c r="H26" s="1990" t="s">
        <v>10</v>
      </c>
      <c r="I26" s="1991">
        <f>$E$5</f>
        <v>59174.38</v>
      </c>
      <c r="J26" s="2124">
        <v>2.5</v>
      </c>
      <c r="K26" s="2000"/>
      <c r="L26" s="1990" t="s">
        <v>4026</v>
      </c>
      <c r="M26" s="1991">
        <f t="shared" si="4"/>
        <v>147935.94999999998</v>
      </c>
      <c r="N26" s="2127">
        <v>50.028514800000004</v>
      </c>
      <c r="O26" s="1991">
        <f t="shared" ref="O26:O32" si="8">ROUND(M26*ROUND(N26,2)/10000,6)</f>
        <v>740.123558</v>
      </c>
      <c r="P26" s="1991">
        <f t="shared" ref="P26:P32" si="9">IFERROR(ROUND(Q26*10000/M26,2),0)</f>
        <v>45.9</v>
      </c>
      <c r="Q26" s="1991">
        <f t="shared" ref="Q26:Q32" si="10">ROUND(O26/(1+R26),6)</f>
        <v>679.01243899999997</v>
      </c>
      <c r="R26" s="1993">
        <v>0.09</v>
      </c>
      <c r="S26" s="1991">
        <f t="shared" ref="S26:S32" si="11">O26-Q26</f>
        <v>61.111119000000031</v>
      </c>
      <c r="T26" s="1991">
        <f t="shared" si="0"/>
        <v>114.74770652434381</v>
      </c>
      <c r="U26" s="1991">
        <f t="shared" si="1"/>
        <v>125.07500002534881</v>
      </c>
      <c r="V26" s="1994"/>
      <c r="X26" s="2124">
        <v>2.4</v>
      </c>
      <c r="Y26" s="2127">
        <v>44</v>
      </c>
      <c r="Z26" s="2119">
        <f t="shared" si="2"/>
        <v>0.10000000000000009</v>
      </c>
      <c r="AA26" s="2119">
        <f t="shared" si="3"/>
        <v>6.0285148000000035</v>
      </c>
      <c r="AB26" s="2119"/>
      <c r="AC26" s="2119"/>
    </row>
    <row r="27" spans="1:29" s="1942" customFormat="1" ht="12" customHeight="1" outlineLevel="5">
      <c r="A27" s="1944"/>
      <c r="B27" s="1985" t="s">
        <v>4027</v>
      </c>
      <c r="C27" s="1828"/>
      <c r="D27" s="1998" t="s">
        <v>4028</v>
      </c>
      <c r="E27" s="1999"/>
      <c r="F27" s="1988" t="s">
        <v>3829</v>
      </c>
      <c r="G27" s="1989" t="s">
        <v>4120</v>
      </c>
      <c r="H27" s="1990" t="s">
        <v>10</v>
      </c>
      <c r="I27" s="1991">
        <f>$E$5</f>
        <v>59174.38</v>
      </c>
      <c r="J27" s="2124">
        <v>2.5</v>
      </c>
      <c r="K27" s="2000"/>
      <c r="L27" s="1990" t="s">
        <v>4029</v>
      </c>
      <c r="M27" s="1991">
        <f t="shared" si="4"/>
        <v>147935.94999999998</v>
      </c>
      <c r="N27" s="1991">
        <v>15</v>
      </c>
      <c r="O27" s="1991">
        <f t="shared" si="8"/>
        <v>221.90392499999999</v>
      </c>
      <c r="P27" s="1991">
        <f t="shared" si="9"/>
        <v>13.27</v>
      </c>
      <c r="Q27" s="1991">
        <f t="shared" si="10"/>
        <v>196.37515500000001</v>
      </c>
      <c r="R27" s="1993">
        <v>0.13</v>
      </c>
      <c r="S27" s="1991">
        <f t="shared" si="11"/>
        <v>25.52876999999998</v>
      </c>
      <c r="T27" s="1991">
        <f t="shared" si="0"/>
        <v>33.185840730397175</v>
      </c>
      <c r="U27" s="1991">
        <f t="shared" si="1"/>
        <v>37.5</v>
      </c>
      <c r="V27" s="1994"/>
      <c r="X27" s="2124">
        <v>2.4</v>
      </c>
      <c r="Y27" s="1991">
        <v>10</v>
      </c>
      <c r="Z27" s="2119">
        <f t="shared" si="2"/>
        <v>0.10000000000000009</v>
      </c>
      <c r="AA27" s="2119">
        <f t="shared" si="3"/>
        <v>5</v>
      </c>
      <c r="AB27" s="2119"/>
      <c r="AC27" s="2119"/>
    </row>
    <row r="28" spans="1:29" s="1942" customFormat="1" ht="12" customHeight="1" outlineLevel="4">
      <c r="A28" s="1944"/>
      <c r="B28" s="1978" t="s">
        <v>1491</v>
      </c>
      <c r="C28" s="1810"/>
      <c r="D28" s="1995" t="s">
        <v>3375</v>
      </c>
      <c r="E28" s="1996" t="s">
        <v>3376</v>
      </c>
      <c r="F28" s="1462" t="s">
        <v>3342</v>
      </c>
      <c r="G28" s="1953" t="s">
        <v>4116</v>
      </c>
      <c r="H28" s="1947" t="s">
        <v>10</v>
      </c>
      <c r="I28" s="1712">
        <f t="shared" ref="I28:I44" si="12">$E$5</f>
        <v>59174.38</v>
      </c>
      <c r="J28" s="2099">
        <v>0.8</v>
      </c>
      <c r="K28" s="1950" t="s">
        <v>101</v>
      </c>
      <c r="L28" s="1947" t="s">
        <v>4030</v>
      </c>
      <c r="M28" s="1754">
        <f t="shared" si="4"/>
        <v>47339.504000000001</v>
      </c>
      <c r="N28" s="1712">
        <v>15.963683152466499</v>
      </c>
      <c r="O28" s="1712">
        <f t="shared" si="8"/>
        <v>75.553848000000002</v>
      </c>
      <c r="P28" s="1712">
        <f t="shared" si="9"/>
        <v>14.64</v>
      </c>
      <c r="Q28" s="1712">
        <f t="shared" si="10"/>
        <v>69.315456999999995</v>
      </c>
      <c r="R28" s="1757">
        <v>0.09</v>
      </c>
      <c r="S28" s="1712">
        <f t="shared" si="11"/>
        <v>6.2383910000000071</v>
      </c>
      <c r="T28" s="1712">
        <f t="shared" si="0"/>
        <v>11.713761428510109</v>
      </c>
      <c r="U28" s="1712">
        <f t="shared" si="1"/>
        <v>12.767999935107051</v>
      </c>
      <c r="V28" s="1952"/>
      <c r="X28" s="2099">
        <v>0.8</v>
      </c>
      <c r="Y28" s="1712">
        <v>30</v>
      </c>
      <c r="Z28" s="2119">
        <f t="shared" si="2"/>
        <v>0</v>
      </c>
      <c r="AA28" s="2119">
        <f t="shared" si="3"/>
        <v>-14.036316847533501</v>
      </c>
      <c r="AB28" s="2119"/>
      <c r="AC28" s="2119"/>
    </row>
    <row r="29" spans="1:29" s="1942" customFormat="1" ht="12" customHeight="1" outlineLevel="4">
      <c r="A29" s="1944"/>
      <c r="B29" s="1978" t="s">
        <v>1492</v>
      </c>
      <c r="C29" s="1810"/>
      <c r="D29" s="1995" t="s">
        <v>3377</v>
      </c>
      <c r="E29" s="1996" t="s">
        <v>3378</v>
      </c>
      <c r="F29" s="1462" t="s">
        <v>3342</v>
      </c>
      <c r="G29" s="1953" t="s">
        <v>4116</v>
      </c>
      <c r="H29" s="1947" t="s">
        <v>10</v>
      </c>
      <c r="I29" s="1712">
        <f t="shared" si="12"/>
        <v>59174.38</v>
      </c>
      <c r="J29" s="2099">
        <v>7.0000000000000007E-2</v>
      </c>
      <c r="K29" s="1950" t="s">
        <v>101</v>
      </c>
      <c r="L29" s="1947" t="s">
        <v>4031</v>
      </c>
      <c r="M29" s="1754">
        <f t="shared" si="4"/>
        <v>4142.2066000000004</v>
      </c>
      <c r="N29" s="1712">
        <v>30</v>
      </c>
      <c r="O29" s="1712">
        <f t="shared" si="8"/>
        <v>12.42662</v>
      </c>
      <c r="P29" s="1712">
        <f t="shared" si="9"/>
        <v>27.52</v>
      </c>
      <c r="Q29" s="1712">
        <f t="shared" si="10"/>
        <v>11.400569000000001</v>
      </c>
      <c r="R29" s="1757">
        <v>0.09</v>
      </c>
      <c r="S29" s="1712">
        <f t="shared" si="11"/>
        <v>1.0260509999999989</v>
      </c>
      <c r="T29" s="1712">
        <f t="shared" si="0"/>
        <v>1.9266055681529743</v>
      </c>
      <c r="U29" s="1712">
        <f t="shared" si="1"/>
        <v>2.1000000337984108</v>
      </c>
      <c r="V29" s="1952"/>
      <c r="X29" s="2099">
        <v>0.7</v>
      </c>
      <c r="Y29" s="1712">
        <v>30</v>
      </c>
      <c r="Z29" s="2119">
        <f t="shared" si="2"/>
        <v>-0.62999999999999989</v>
      </c>
      <c r="AA29" s="2119">
        <f t="shared" si="3"/>
        <v>0</v>
      </c>
      <c r="AB29" s="2119"/>
      <c r="AC29" s="2119"/>
    </row>
    <row r="30" spans="1:29" s="1942" customFormat="1" ht="12" customHeight="1" outlineLevel="4">
      <c r="A30" s="1944"/>
      <c r="B30" s="1978" t="s">
        <v>3379</v>
      </c>
      <c r="C30" s="1810"/>
      <c r="D30" s="1995" t="s">
        <v>3380</v>
      </c>
      <c r="E30" s="1996" t="s">
        <v>3381</v>
      </c>
      <c r="F30" s="1462" t="s">
        <v>3342</v>
      </c>
      <c r="G30" s="1953" t="s">
        <v>4116</v>
      </c>
      <c r="H30" s="1947" t="s">
        <v>9</v>
      </c>
      <c r="I30" s="1712">
        <f>$E$4</f>
        <v>5428</v>
      </c>
      <c r="J30" s="2099">
        <v>1.1499999999999999</v>
      </c>
      <c r="K30" s="1950" t="s">
        <v>101</v>
      </c>
      <c r="L30" s="1947" t="s">
        <v>4032</v>
      </c>
      <c r="M30" s="1754">
        <f t="shared" si="4"/>
        <v>6242.2</v>
      </c>
      <c r="N30" s="1712">
        <v>220.01889800000001</v>
      </c>
      <c r="O30" s="1712">
        <f t="shared" si="8"/>
        <v>137.34088399999999</v>
      </c>
      <c r="P30" s="1712">
        <f t="shared" si="9"/>
        <v>201.85</v>
      </c>
      <c r="Q30" s="1712">
        <f t="shared" si="10"/>
        <v>126.000811</v>
      </c>
      <c r="R30" s="1757">
        <v>0.09</v>
      </c>
      <c r="S30" s="1712">
        <f t="shared" si="11"/>
        <v>11.34007299999999</v>
      </c>
      <c r="T30" s="1712">
        <f t="shared" si="0"/>
        <v>21.293135813167797</v>
      </c>
      <c r="U30" s="1712">
        <f t="shared" si="1"/>
        <v>23.209518038042813</v>
      </c>
      <c r="V30" s="1952"/>
      <c r="X30" s="2099">
        <v>1.5</v>
      </c>
      <c r="Y30" s="1712">
        <v>90</v>
      </c>
      <c r="Z30" s="2119">
        <f t="shared" si="2"/>
        <v>-0.35000000000000009</v>
      </c>
      <c r="AA30" s="2119">
        <f t="shared" si="3"/>
        <v>130.01889800000001</v>
      </c>
      <c r="AB30" s="2119"/>
      <c r="AC30" s="2119"/>
    </row>
    <row r="31" spans="1:29" s="1942" customFormat="1" ht="12"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4"/>
        <v>0</v>
      </c>
      <c r="N31" s="1712"/>
      <c r="O31" s="1712">
        <f t="shared" si="8"/>
        <v>0</v>
      </c>
      <c r="P31" s="1712">
        <f t="shared" si="9"/>
        <v>0</v>
      </c>
      <c r="Q31" s="1712">
        <f t="shared" si="10"/>
        <v>0</v>
      </c>
      <c r="R31" s="1757">
        <v>0.09</v>
      </c>
      <c r="S31" s="1712">
        <f t="shared" si="11"/>
        <v>0</v>
      </c>
      <c r="T31" s="1712">
        <f t="shared" si="0"/>
        <v>0</v>
      </c>
      <c r="U31" s="1712">
        <f t="shared" si="1"/>
        <v>0</v>
      </c>
      <c r="V31" s="1952"/>
      <c r="X31" s="2099"/>
      <c r="Y31" s="1712"/>
      <c r="Z31" s="2119">
        <f t="shared" si="2"/>
        <v>0</v>
      </c>
      <c r="AA31" s="2119">
        <f t="shared" si="3"/>
        <v>0</v>
      </c>
      <c r="AB31" s="2119"/>
      <c r="AC31" s="2119"/>
    </row>
    <row r="32" spans="1:29" s="1942" customFormat="1" ht="12"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4"/>
        <v>0</v>
      </c>
      <c r="N32" s="1712"/>
      <c r="O32" s="1712">
        <f t="shared" si="8"/>
        <v>0</v>
      </c>
      <c r="P32" s="1712">
        <f t="shared" si="9"/>
        <v>0</v>
      </c>
      <c r="Q32" s="1712">
        <f t="shared" si="10"/>
        <v>0</v>
      </c>
      <c r="R32" s="1757">
        <v>0.09</v>
      </c>
      <c r="S32" s="1712">
        <f t="shared" si="11"/>
        <v>0</v>
      </c>
      <c r="T32" s="1712">
        <f t="shared" si="0"/>
        <v>0</v>
      </c>
      <c r="U32" s="1712">
        <f t="shared" si="1"/>
        <v>0</v>
      </c>
      <c r="V32" s="1952"/>
      <c r="X32" s="2099"/>
      <c r="Y32" s="1712"/>
      <c r="Z32" s="2119">
        <f t="shared" si="2"/>
        <v>0</v>
      </c>
      <c r="AA32" s="2119">
        <f t="shared" si="3"/>
        <v>0</v>
      </c>
      <c r="AB32" s="2119"/>
      <c r="AC32" s="2119"/>
    </row>
    <row r="33" spans="1:29" s="1942" customFormat="1" ht="12" customHeight="1" outlineLevel="3">
      <c r="A33" s="1944"/>
      <c r="B33" s="1978" t="s">
        <v>1647</v>
      </c>
      <c r="C33" s="1810"/>
      <c r="D33" s="1995" t="s">
        <v>3388</v>
      </c>
      <c r="E33" s="1996"/>
      <c r="F33" s="1462"/>
      <c r="G33" s="1953" t="s">
        <v>4117</v>
      </c>
      <c r="H33" s="1947"/>
      <c r="I33" s="1948"/>
      <c r="J33" s="2099"/>
      <c r="K33" s="1950"/>
      <c r="L33" s="1947"/>
      <c r="M33" s="1754"/>
      <c r="N33" s="1712"/>
      <c r="O33" s="1712">
        <f>SUBTOTAL(9,O34:O38)</f>
        <v>1514.8641279999999</v>
      </c>
      <c r="P33" s="2005"/>
      <c r="Q33" s="1712">
        <f>SUBTOTAL(9,Q34:Q38)</f>
        <v>1389.7836030000001</v>
      </c>
      <c r="R33" s="2005"/>
      <c r="S33" s="1712">
        <f>SUBTOTAL(9,S34:S38)</f>
        <v>125.08052499999991</v>
      </c>
      <c r="T33" s="1712">
        <f t="shared" si="0"/>
        <v>234.86238520792278</v>
      </c>
      <c r="U33" s="1712">
        <f t="shared" si="1"/>
        <v>256</v>
      </c>
      <c r="V33" s="1952"/>
      <c r="X33" s="2099"/>
      <c r="Y33" s="1712"/>
      <c r="Z33" s="2119">
        <f t="shared" si="2"/>
        <v>0</v>
      </c>
      <c r="AA33" s="2119">
        <f t="shared" si="3"/>
        <v>0</v>
      </c>
      <c r="AB33" s="2119"/>
      <c r="AC33" s="2119"/>
    </row>
    <row r="34" spans="1:29" s="1942" customFormat="1" ht="12" customHeight="1" outlineLevel="4">
      <c r="A34" s="1944" t="s">
        <v>4011</v>
      </c>
      <c r="B34" s="1978" t="s">
        <v>1649</v>
      </c>
      <c r="C34" s="1810"/>
      <c r="D34" s="1995" t="s">
        <v>1643</v>
      </c>
      <c r="E34" s="1996" t="s">
        <v>3389</v>
      </c>
      <c r="F34" s="1462" t="s">
        <v>3342</v>
      </c>
      <c r="G34" s="1953" t="s">
        <v>4116</v>
      </c>
      <c r="H34" s="1975" t="s">
        <v>10</v>
      </c>
      <c r="I34" s="1712">
        <f t="shared" si="12"/>
        <v>59174.38</v>
      </c>
      <c r="J34" s="2099">
        <v>1</v>
      </c>
      <c r="K34" s="1950" t="s">
        <v>101</v>
      </c>
      <c r="L34" s="1947" t="s">
        <v>10</v>
      </c>
      <c r="M34" s="1754">
        <f t="shared" si="4"/>
        <v>59174.38</v>
      </c>
      <c r="N34" s="2001">
        <v>64</v>
      </c>
      <c r="O34" s="1712">
        <f t="shared" ref="O34:O44" si="13">ROUND(M34*ROUND(N34,2)/10000,6)</f>
        <v>378.71603199999998</v>
      </c>
      <c r="P34" s="1712">
        <f t="shared" ref="P34:P44" si="14">IFERROR(ROUND(Q34*10000/M34,2),0)</f>
        <v>58.72</v>
      </c>
      <c r="Q34" s="1712">
        <f t="shared" ref="Q34:Q44" si="15">ROUND(O34/(1+R34),6)</f>
        <v>347.44590099999999</v>
      </c>
      <c r="R34" s="1757">
        <v>0.09</v>
      </c>
      <c r="S34" s="1712">
        <f t="shared" ref="S34:S44" si="16">O34-Q34</f>
        <v>31.270130999999992</v>
      </c>
      <c r="T34" s="1712">
        <f t="shared" si="0"/>
        <v>58.7155963442287</v>
      </c>
      <c r="U34" s="1712">
        <f t="shared" si="1"/>
        <v>64</v>
      </c>
      <c r="V34" s="1952"/>
      <c r="X34" s="2099">
        <v>1</v>
      </c>
      <c r="Y34" s="1712">
        <v>75</v>
      </c>
      <c r="Z34" s="2119">
        <f t="shared" si="2"/>
        <v>0</v>
      </c>
      <c r="AA34" s="2119">
        <f t="shared" si="3"/>
        <v>-11</v>
      </c>
      <c r="AB34" s="2119"/>
      <c r="AC34" s="2119"/>
    </row>
    <row r="35" spans="1:29" s="1942" customFormat="1" ht="12" customHeight="1" outlineLevel="4">
      <c r="A35" s="1944" t="s">
        <v>4011</v>
      </c>
      <c r="B35" s="1978" t="s">
        <v>1494</v>
      </c>
      <c r="C35" s="1810"/>
      <c r="D35" s="1995" t="s">
        <v>1644</v>
      </c>
      <c r="E35" s="1996" t="s">
        <v>3390</v>
      </c>
      <c r="F35" s="1462" t="s">
        <v>3342</v>
      </c>
      <c r="G35" s="1953" t="s">
        <v>4116</v>
      </c>
      <c r="H35" s="1975" t="s">
        <v>10</v>
      </c>
      <c r="I35" s="1712">
        <f t="shared" si="12"/>
        <v>59174.38</v>
      </c>
      <c r="J35" s="2099">
        <v>1</v>
      </c>
      <c r="K35" s="1950" t="s">
        <v>101</v>
      </c>
      <c r="L35" s="1947" t="s">
        <v>10</v>
      </c>
      <c r="M35" s="1754">
        <f t="shared" si="4"/>
        <v>59174.38</v>
      </c>
      <c r="N35" s="2001">
        <v>100</v>
      </c>
      <c r="O35" s="1712">
        <f t="shared" si="13"/>
        <v>591.74379999999996</v>
      </c>
      <c r="P35" s="1712">
        <f t="shared" si="14"/>
        <v>91.74</v>
      </c>
      <c r="Q35" s="1712">
        <f t="shared" si="15"/>
        <v>542.88422000000003</v>
      </c>
      <c r="R35" s="1757">
        <v>0.09</v>
      </c>
      <c r="S35" s="1712">
        <f t="shared" si="16"/>
        <v>48.859579999999937</v>
      </c>
      <c r="T35" s="1712">
        <f t="shared" si="0"/>
        <v>91.743119235047331</v>
      </c>
      <c r="U35" s="1712">
        <f t="shared" si="1"/>
        <v>100</v>
      </c>
      <c r="V35" s="1952"/>
      <c r="X35" s="2099">
        <v>1</v>
      </c>
      <c r="Y35" s="2003">
        <v>80</v>
      </c>
      <c r="Z35" s="2119">
        <f t="shared" si="2"/>
        <v>0</v>
      </c>
      <c r="AA35" s="2119">
        <f t="shared" si="3"/>
        <v>20</v>
      </c>
      <c r="AB35" s="2119"/>
      <c r="AC35" s="2119"/>
    </row>
    <row r="36" spans="1:29" s="1942" customFormat="1" ht="12" customHeight="1" outlineLevel="4">
      <c r="A36" s="1944"/>
      <c r="B36" s="1978" t="s">
        <v>1495</v>
      </c>
      <c r="C36" s="1810"/>
      <c r="D36" s="1995" t="s">
        <v>1645</v>
      </c>
      <c r="E36" s="1996" t="s">
        <v>3391</v>
      </c>
      <c r="F36" s="1462" t="s">
        <v>3342</v>
      </c>
      <c r="G36" s="1953" t="s">
        <v>4116</v>
      </c>
      <c r="H36" s="1975" t="s">
        <v>10</v>
      </c>
      <c r="I36" s="1712">
        <f t="shared" si="12"/>
        <v>59174.38</v>
      </c>
      <c r="J36" s="2099">
        <v>1</v>
      </c>
      <c r="K36" s="1950" t="s">
        <v>101</v>
      </c>
      <c r="L36" s="1947" t="s">
        <v>10</v>
      </c>
      <c r="M36" s="1754">
        <f t="shared" si="4"/>
        <v>59174.38</v>
      </c>
      <c r="N36" s="1756">
        <v>1</v>
      </c>
      <c r="O36" s="1712">
        <f t="shared" si="13"/>
        <v>5.9174379999999998</v>
      </c>
      <c r="P36" s="1712">
        <f t="shared" si="14"/>
        <v>0.92</v>
      </c>
      <c r="Q36" s="1712">
        <f t="shared" si="15"/>
        <v>5.4288420000000004</v>
      </c>
      <c r="R36" s="1757">
        <v>0.09</v>
      </c>
      <c r="S36" s="1712">
        <f t="shared" si="16"/>
        <v>0.48859599999999936</v>
      </c>
      <c r="T36" s="1712">
        <f t="shared" si="0"/>
        <v>0.9174311585520627</v>
      </c>
      <c r="U36" s="1712">
        <f t="shared" si="1"/>
        <v>1</v>
      </c>
      <c r="V36" s="1952"/>
      <c r="X36" s="2099">
        <v>1</v>
      </c>
      <c r="Y36" s="1712">
        <v>25</v>
      </c>
      <c r="Z36" s="2119">
        <f t="shared" si="2"/>
        <v>0</v>
      </c>
      <c r="AA36" s="2119">
        <f t="shared" si="3"/>
        <v>-24</v>
      </c>
      <c r="AB36" s="2119"/>
      <c r="AC36" s="2119"/>
    </row>
    <row r="37" spans="1:29" s="1942" customFormat="1" ht="12" customHeight="1" outlineLevel="4">
      <c r="A37" s="1944"/>
      <c r="B37" s="1978" t="s">
        <v>3392</v>
      </c>
      <c r="C37" s="1810"/>
      <c r="D37" s="1995" t="s">
        <v>1646</v>
      </c>
      <c r="E37" s="1996" t="s">
        <v>3393</v>
      </c>
      <c r="F37" s="1462" t="s">
        <v>3342</v>
      </c>
      <c r="G37" s="1953" t="s">
        <v>4116</v>
      </c>
      <c r="H37" s="1975" t="s">
        <v>10</v>
      </c>
      <c r="I37" s="1712">
        <f t="shared" si="12"/>
        <v>59174.38</v>
      </c>
      <c r="J37" s="2099">
        <v>1</v>
      </c>
      <c r="K37" s="1950" t="s">
        <v>101</v>
      </c>
      <c r="L37" s="1947" t="s">
        <v>10</v>
      </c>
      <c r="M37" s="1754">
        <f t="shared" si="4"/>
        <v>59174.38</v>
      </c>
      <c r="N37" s="1756">
        <v>61</v>
      </c>
      <c r="O37" s="1712">
        <f t="shared" si="13"/>
        <v>360.96371799999997</v>
      </c>
      <c r="P37" s="1712">
        <f t="shared" si="14"/>
        <v>55.96</v>
      </c>
      <c r="Q37" s="1712">
        <f t="shared" si="15"/>
        <v>331.15937400000001</v>
      </c>
      <c r="R37" s="1757">
        <v>0.09</v>
      </c>
      <c r="S37" s="1712">
        <f t="shared" si="16"/>
        <v>29.804343999999958</v>
      </c>
      <c r="T37" s="1712">
        <f t="shared" si="0"/>
        <v>55.963302699580467</v>
      </c>
      <c r="U37" s="1712">
        <f t="shared" si="1"/>
        <v>61</v>
      </c>
      <c r="V37" s="1952"/>
      <c r="X37" s="2099">
        <v>1</v>
      </c>
      <c r="Y37" s="1712">
        <v>15</v>
      </c>
      <c r="Z37" s="2119">
        <f t="shared" si="2"/>
        <v>0</v>
      </c>
      <c r="AA37" s="2119">
        <f t="shared" si="3"/>
        <v>46</v>
      </c>
      <c r="AB37" s="2119"/>
      <c r="AC37" s="2119"/>
    </row>
    <row r="38" spans="1:29" s="1942" customFormat="1" ht="12" customHeight="1" outlineLevel="4">
      <c r="A38" s="1944"/>
      <c r="B38" s="1978" t="s">
        <v>3394</v>
      </c>
      <c r="C38" s="1810"/>
      <c r="D38" s="1995" t="s">
        <v>3395</v>
      </c>
      <c r="E38" s="1996" t="s">
        <v>3396</v>
      </c>
      <c r="F38" s="1462" t="s">
        <v>3342</v>
      </c>
      <c r="G38" s="1953" t="s">
        <v>4116</v>
      </c>
      <c r="H38" s="1975" t="s">
        <v>10</v>
      </c>
      <c r="I38" s="1712">
        <f t="shared" si="12"/>
        <v>59174.38</v>
      </c>
      <c r="J38" s="2099">
        <v>1</v>
      </c>
      <c r="K38" s="1950" t="s">
        <v>101</v>
      </c>
      <c r="L38" s="1947" t="s">
        <v>10</v>
      </c>
      <c r="M38" s="1754">
        <f t="shared" si="4"/>
        <v>59174.38</v>
      </c>
      <c r="N38" s="1756">
        <v>30</v>
      </c>
      <c r="O38" s="1712">
        <f t="shared" si="13"/>
        <v>177.52314000000001</v>
      </c>
      <c r="P38" s="1712">
        <f t="shared" si="14"/>
        <v>27.52</v>
      </c>
      <c r="Q38" s="1712">
        <f t="shared" si="15"/>
        <v>162.86526599999999</v>
      </c>
      <c r="R38" s="1757">
        <v>0.09</v>
      </c>
      <c r="S38" s="1712">
        <f t="shared" si="16"/>
        <v>14.657874000000021</v>
      </c>
      <c r="T38" s="1712">
        <f t="shared" si="0"/>
        <v>27.522935770514199</v>
      </c>
      <c r="U38" s="1712">
        <f t="shared" si="1"/>
        <v>30.000000000000004</v>
      </c>
      <c r="V38" s="1952"/>
      <c r="X38" s="2099">
        <v>1</v>
      </c>
      <c r="Y38" s="1712">
        <v>30</v>
      </c>
      <c r="Z38" s="2119">
        <f t="shared" si="2"/>
        <v>0</v>
      </c>
      <c r="AA38" s="2119">
        <f t="shared" si="3"/>
        <v>0</v>
      </c>
      <c r="AB38" s="2119"/>
      <c r="AC38" s="2119"/>
    </row>
    <row r="39" spans="1:29" s="1942" customFormat="1" ht="12" customHeight="1" outlineLevel="3">
      <c r="A39" s="1944"/>
      <c r="B39" s="1978" t="s">
        <v>1653</v>
      </c>
      <c r="C39" s="1810"/>
      <c r="D39" s="1995" t="s">
        <v>3397</v>
      </c>
      <c r="E39" s="1996" t="s">
        <v>3398</v>
      </c>
      <c r="F39" s="1462" t="s">
        <v>3342</v>
      </c>
      <c r="G39" s="1953" t="s">
        <v>4116</v>
      </c>
      <c r="H39" s="1947" t="s">
        <v>10</v>
      </c>
      <c r="I39" s="1712">
        <f t="shared" si="12"/>
        <v>59174.38</v>
      </c>
      <c r="J39" s="2099">
        <v>1</v>
      </c>
      <c r="K39" s="1950" t="s">
        <v>101</v>
      </c>
      <c r="L39" s="1947" t="s">
        <v>4035</v>
      </c>
      <c r="M39" s="1754">
        <f t="shared" si="4"/>
        <v>59174.38</v>
      </c>
      <c r="N39" s="1712">
        <v>0</v>
      </c>
      <c r="O39" s="1712">
        <f t="shared" si="13"/>
        <v>0</v>
      </c>
      <c r="P39" s="1712">
        <f t="shared" si="14"/>
        <v>0</v>
      </c>
      <c r="Q39" s="1712">
        <f t="shared" si="15"/>
        <v>0</v>
      </c>
      <c r="R39" s="1757">
        <v>0.09</v>
      </c>
      <c r="S39" s="1712">
        <f t="shared" si="16"/>
        <v>0</v>
      </c>
      <c r="T39" s="1712">
        <f t="shared" si="0"/>
        <v>0</v>
      </c>
      <c r="U39" s="1712">
        <f t="shared" si="1"/>
        <v>0</v>
      </c>
      <c r="V39" s="1952"/>
      <c r="X39" s="2099"/>
      <c r="Y39" s="1712"/>
      <c r="Z39" s="2119">
        <f t="shared" si="2"/>
        <v>1</v>
      </c>
      <c r="AA39" s="2119">
        <f t="shared" si="3"/>
        <v>0</v>
      </c>
      <c r="AB39" s="2119"/>
      <c r="AC39" s="2119"/>
    </row>
    <row r="40" spans="1:29" s="1942" customFormat="1" ht="12" customHeight="1" outlineLevel="3">
      <c r="A40" s="1944"/>
      <c r="B40" s="1978" t="s">
        <v>1655</v>
      </c>
      <c r="C40" s="1810"/>
      <c r="D40" s="1995" t="s">
        <v>1656</v>
      </c>
      <c r="E40" s="1996" t="s">
        <v>3399</v>
      </c>
      <c r="F40" s="1462" t="s">
        <v>1606</v>
      </c>
      <c r="G40" s="1953" t="s">
        <v>4121</v>
      </c>
      <c r="H40" s="1947" t="s">
        <v>10</v>
      </c>
      <c r="I40" s="1712">
        <f t="shared" si="12"/>
        <v>59174.38</v>
      </c>
      <c r="J40" s="2099"/>
      <c r="K40" s="1950" t="s">
        <v>101</v>
      </c>
      <c r="L40" s="1947" t="s">
        <v>10</v>
      </c>
      <c r="M40" s="1754">
        <f t="shared" si="4"/>
        <v>0</v>
      </c>
      <c r="N40" s="1712"/>
      <c r="O40" s="1712">
        <f t="shared" si="13"/>
        <v>0</v>
      </c>
      <c r="P40" s="1712">
        <f t="shared" si="14"/>
        <v>0</v>
      </c>
      <c r="Q40" s="1712">
        <f t="shared" si="15"/>
        <v>0</v>
      </c>
      <c r="R40" s="1757">
        <v>0.09</v>
      </c>
      <c r="S40" s="1712">
        <f t="shared" si="16"/>
        <v>0</v>
      </c>
      <c r="T40" s="1712">
        <f t="shared" si="0"/>
        <v>0</v>
      </c>
      <c r="U40" s="1712">
        <f t="shared" si="1"/>
        <v>0</v>
      </c>
      <c r="V40" s="1952"/>
      <c r="X40" s="2099"/>
      <c r="Y40" s="1712"/>
      <c r="Z40" s="2119">
        <f t="shared" si="2"/>
        <v>0</v>
      </c>
      <c r="AA40" s="2119">
        <f t="shared" si="3"/>
        <v>0</v>
      </c>
      <c r="AB40" s="2119"/>
      <c r="AC40" s="2119"/>
    </row>
    <row r="41" spans="1:29" s="1942" customFormat="1" ht="12" customHeight="1" outlineLevel="3">
      <c r="A41" s="1944"/>
      <c r="B41" s="1978" t="s">
        <v>1657</v>
      </c>
      <c r="C41" s="1810"/>
      <c r="D41" s="1995" t="s">
        <v>3400</v>
      </c>
      <c r="E41" s="1996" t="s">
        <v>3401</v>
      </c>
      <c r="F41" s="1462" t="s">
        <v>3342</v>
      </c>
      <c r="G41" s="1953" t="s">
        <v>4116</v>
      </c>
      <c r="H41" s="1975" t="s">
        <v>10</v>
      </c>
      <c r="I41" s="1712">
        <v>9395.92</v>
      </c>
      <c r="J41" s="1976">
        <v>1</v>
      </c>
      <c r="K41" s="1950" t="s">
        <v>101</v>
      </c>
      <c r="L41" s="1947" t="s">
        <v>10</v>
      </c>
      <c r="M41" s="1754">
        <f t="shared" si="4"/>
        <v>9395.92</v>
      </c>
      <c r="N41" s="1712">
        <v>338</v>
      </c>
      <c r="O41" s="1712">
        <f t="shared" si="13"/>
        <v>317.58209599999998</v>
      </c>
      <c r="P41" s="1712">
        <f t="shared" si="14"/>
        <v>310.08999999999997</v>
      </c>
      <c r="Q41" s="1712">
        <f t="shared" si="15"/>
        <v>291.35972099999998</v>
      </c>
      <c r="R41" s="1757">
        <v>0.09</v>
      </c>
      <c r="S41" s="1712">
        <f t="shared" si="16"/>
        <v>26.222375</v>
      </c>
      <c r="T41" s="1712">
        <f t="shared" si="0"/>
        <v>49.237477604328092</v>
      </c>
      <c r="U41" s="1712">
        <f t="shared" si="1"/>
        <v>53.668850607306744</v>
      </c>
      <c r="V41" s="1952"/>
      <c r="X41" s="2099"/>
      <c r="Y41" s="2126"/>
      <c r="Z41" s="2119">
        <f t="shared" si="2"/>
        <v>1</v>
      </c>
      <c r="AA41" s="2119">
        <f t="shared" si="3"/>
        <v>338</v>
      </c>
      <c r="AB41" s="2119"/>
      <c r="AC41" s="2119"/>
    </row>
    <row r="42" spans="1:29" s="1942" customFormat="1" ht="12" customHeight="1" outlineLevel="3">
      <c r="A42" s="1944"/>
      <c r="B42" s="1978" t="s">
        <v>1659</v>
      </c>
      <c r="C42" s="1810"/>
      <c r="D42" s="1995" t="s">
        <v>3403</v>
      </c>
      <c r="E42" s="1996" t="s">
        <v>3404</v>
      </c>
      <c r="F42" s="1462" t="s">
        <v>3342</v>
      </c>
      <c r="G42" s="1953" t="s">
        <v>4116</v>
      </c>
      <c r="H42" s="1975" t="s">
        <v>10</v>
      </c>
      <c r="I42" s="1712">
        <f t="shared" si="12"/>
        <v>59174.38</v>
      </c>
      <c r="J42" s="2099">
        <v>1</v>
      </c>
      <c r="K42" s="1950" t="s">
        <v>101</v>
      </c>
      <c r="L42" s="1947" t="s">
        <v>10</v>
      </c>
      <c r="M42" s="1754">
        <f t="shared" si="4"/>
        <v>59174.38</v>
      </c>
      <c r="N42" s="1712">
        <v>65</v>
      </c>
      <c r="O42" s="1712">
        <f t="shared" si="13"/>
        <v>384.63346999999999</v>
      </c>
      <c r="P42" s="1712">
        <f t="shared" si="14"/>
        <v>59.63</v>
      </c>
      <c r="Q42" s="1712">
        <f t="shared" si="15"/>
        <v>352.87474300000002</v>
      </c>
      <c r="R42" s="1757">
        <v>0.09</v>
      </c>
      <c r="S42" s="1712">
        <f t="shared" si="16"/>
        <v>31.758726999999965</v>
      </c>
      <c r="T42" s="1712">
        <f t="shared" si="0"/>
        <v>59.63302750278077</v>
      </c>
      <c r="U42" s="1712">
        <f t="shared" si="1"/>
        <v>65</v>
      </c>
      <c r="V42" s="1952"/>
      <c r="X42" s="2099">
        <v>1</v>
      </c>
      <c r="Y42" s="2003">
        <v>150</v>
      </c>
      <c r="Z42" s="2119">
        <f t="shared" si="2"/>
        <v>0</v>
      </c>
      <c r="AA42" s="2119">
        <f t="shared" si="3"/>
        <v>-85</v>
      </c>
      <c r="AB42" s="2119"/>
      <c r="AC42" s="2119"/>
    </row>
    <row r="43" spans="1:29" s="1942" customFormat="1" ht="12" customHeight="1" outlineLevel="3">
      <c r="A43" s="1944"/>
      <c r="B43" s="1978" t="s">
        <v>1497</v>
      </c>
      <c r="C43" s="1810"/>
      <c r="D43" s="1995" t="s">
        <v>3405</v>
      </c>
      <c r="E43" s="1996"/>
      <c r="F43" s="1462" t="s">
        <v>1424</v>
      </c>
      <c r="G43" s="1953" t="s">
        <v>4123</v>
      </c>
      <c r="H43" s="1975" t="s">
        <v>10</v>
      </c>
      <c r="I43" s="1712">
        <f t="shared" si="12"/>
        <v>59174.38</v>
      </c>
      <c r="J43" s="2099"/>
      <c r="K43" s="1950" t="s">
        <v>101</v>
      </c>
      <c r="L43" s="1947" t="s">
        <v>10</v>
      </c>
      <c r="M43" s="1754">
        <f t="shared" si="4"/>
        <v>0</v>
      </c>
      <c r="N43" s="1712"/>
      <c r="O43" s="1712">
        <f t="shared" si="13"/>
        <v>0</v>
      </c>
      <c r="P43" s="1712">
        <f t="shared" si="14"/>
        <v>0</v>
      </c>
      <c r="Q43" s="1712">
        <f t="shared" si="15"/>
        <v>0</v>
      </c>
      <c r="R43" s="1757">
        <v>0.06</v>
      </c>
      <c r="S43" s="1712">
        <f t="shared" si="16"/>
        <v>0</v>
      </c>
      <c r="T43" s="1712">
        <f t="shared" si="0"/>
        <v>0</v>
      </c>
      <c r="U43" s="1712">
        <f t="shared" si="1"/>
        <v>0</v>
      </c>
      <c r="V43" s="1952"/>
      <c r="X43" s="2099"/>
      <c r="Y43" s="1712"/>
      <c r="Z43" s="2119">
        <f t="shared" si="2"/>
        <v>0</v>
      </c>
      <c r="AA43" s="2119">
        <f t="shared" si="3"/>
        <v>0</v>
      </c>
      <c r="AB43" s="2119"/>
      <c r="AC43" s="2119"/>
    </row>
    <row r="44" spans="1:29" s="1942" customFormat="1" ht="13" outlineLevel="2">
      <c r="A44" s="1944"/>
      <c r="B44" s="1820" t="s">
        <v>3406</v>
      </c>
      <c r="C44" s="1810"/>
      <c r="D44" s="1995" t="s">
        <v>3407</v>
      </c>
      <c r="E44" s="1996" t="s">
        <v>3408</v>
      </c>
      <c r="F44" s="1462" t="s">
        <v>3342</v>
      </c>
      <c r="G44" s="1953" t="s">
        <v>4116</v>
      </c>
      <c r="H44" s="1975" t="s">
        <v>10</v>
      </c>
      <c r="I44" s="1712">
        <f t="shared" si="12"/>
        <v>59174.38</v>
      </c>
      <c r="J44" s="2099">
        <v>1</v>
      </c>
      <c r="K44" s="1950" t="s">
        <v>101</v>
      </c>
      <c r="L44" s="1947" t="s">
        <v>10</v>
      </c>
      <c r="M44" s="1754">
        <f t="shared" si="4"/>
        <v>59174.38</v>
      </c>
      <c r="N44" s="1712"/>
      <c r="O44" s="1712">
        <f t="shared" si="13"/>
        <v>0</v>
      </c>
      <c r="P44" s="1712">
        <f t="shared" si="14"/>
        <v>0</v>
      </c>
      <c r="Q44" s="1712">
        <f t="shared" si="15"/>
        <v>0</v>
      </c>
      <c r="R44" s="1757">
        <v>0.09</v>
      </c>
      <c r="S44" s="1712">
        <f t="shared" si="16"/>
        <v>0</v>
      </c>
      <c r="T44" s="1712">
        <f t="shared" si="0"/>
        <v>0</v>
      </c>
      <c r="U44" s="1712">
        <f t="shared" si="1"/>
        <v>0</v>
      </c>
      <c r="V44" s="1952"/>
      <c r="X44" s="2099"/>
      <c r="Y44" s="1712"/>
      <c r="Z44" s="2119">
        <f t="shared" si="2"/>
        <v>1</v>
      </c>
      <c r="AA44" s="2119">
        <f t="shared" si="3"/>
        <v>0</v>
      </c>
      <c r="AB44" s="2119"/>
      <c r="AC44" s="2119"/>
    </row>
    <row r="45" spans="1:29" outlineLevel="1">
      <c r="A45" s="1898"/>
      <c r="B45" s="1965" t="s">
        <v>490</v>
      </c>
      <c r="C45" s="1852">
        <v>2</v>
      </c>
      <c r="D45" s="1966" t="s">
        <v>491</v>
      </c>
      <c r="E45" s="1967"/>
      <c r="F45" s="1968"/>
      <c r="G45" s="2007" t="s">
        <v>4117</v>
      </c>
      <c r="H45" s="1967"/>
      <c r="I45" s="1969"/>
      <c r="J45" s="2116"/>
      <c r="K45" s="1971"/>
      <c r="L45" s="1967"/>
      <c r="M45" s="1972"/>
      <c r="N45" s="1973"/>
      <c r="O45" s="1973">
        <f>SUBTOTAL(9,O46:O99)</f>
        <v>2640.2731890000005</v>
      </c>
      <c r="P45" s="1973"/>
      <c r="Q45" s="1973">
        <f>SUBTOTAL(9,Q46:Q99)</f>
        <v>2391.726103</v>
      </c>
      <c r="R45" s="1973"/>
      <c r="S45" s="1973">
        <f>SUBTOTAL(9,S46:S99)</f>
        <v>248.54708600000006</v>
      </c>
      <c r="T45" s="1973">
        <f t="shared" si="0"/>
        <v>404.18270592780192</v>
      </c>
      <c r="U45" s="1973">
        <f t="shared" si="1"/>
        <v>446.18518842107017</v>
      </c>
      <c r="V45" s="1974"/>
      <c r="X45" s="2116"/>
      <c r="Y45" s="1973"/>
      <c r="Z45" s="2119">
        <f t="shared" si="2"/>
        <v>0</v>
      </c>
      <c r="AA45" s="2119">
        <f t="shared" si="3"/>
        <v>0</v>
      </c>
    </row>
    <row r="46" spans="1:29" s="1942" customFormat="1" ht="13" outlineLevel="2">
      <c r="A46" s="1944"/>
      <c r="B46" s="1820" t="s">
        <v>661</v>
      </c>
      <c r="C46" s="1808"/>
      <c r="D46" s="1945" t="s">
        <v>3409</v>
      </c>
      <c r="E46" s="1946"/>
      <c r="F46" s="1462"/>
      <c r="G46" s="1953" t="s">
        <v>4117</v>
      </c>
      <c r="H46" s="1947"/>
      <c r="I46" s="1948"/>
      <c r="J46" s="2099"/>
      <c r="K46" s="1950"/>
      <c r="L46" s="1947"/>
      <c r="M46" s="1754"/>
      <c r="N46" s="1712"/>
      <c r="O46" s="1712">
        <f>SUBTOTAL(9,O47:O55)</f>
        <v>334.33524699999998</v>
      </c>
      <c r="P46" s="1983"/>
      <c r="Q46" s="1712">
        <f>SUBTOTAL(9,Q47:Q55)</f>
        <v>304.80787099999998</v>
      </c>
      <c r="R46" s="1757"/>
      <c r="S46" s="1712">
        <f>SUBTOTAL(9,S47:S55)</f>
        <v>29.527376000000004</v>
      </c>
      <c r="T46" s="1712">
        <f t="shared" si="0"/>
        <v>51.510108090697358</v>
      </c>
      <c r="U46" s="1712">
        <f t="shared" si="1"/>
        <v>56.5</v>
      </c>
      <c r="V46" s="1952"/>
      <c r="X46" s="2099"/>
      <c r="Y46" s="1712"/>
      <c r="Z46" s="2119">
        <f t="shared" si="2"/>
        <v>0</v>
      </c>
      <c r="AA46" s="2119">
        <f t="shared" si="3"/>
        <v>0</v>
      </c>
      <c r="AB46" s="2119"/>
      <c r="AC46" s="2119"/>
    </row>
    <row r="47" spans="1:29" s="1942" customFormat="1" ht="12" customHeight="1" outlineLevel="3">
      <c r="A47" s="1944"/>
      <c r="B47" s="1978" t="s">
        <v>662</v>
      </c>
      <c r="C47" s="1810"/>
      <c r="D47" s="1979" t="s">
        <v>3410</v>
      </c>
      <c r="E47" s="1980" t="s">
        <v>3411</v>
      </c>
      <c r="F47" s="1462" t="s">
        <v>3342</v>
      </c>
      <c r="G47" s="1953" t="s">
        <v>4116</v>
      </c>
      <c r="H47" s="1975" t="s">
        <v>10</v>
      </c>
      <c r="I47" s="1712">
        <f>$E$5</f>
        <v>59174.38</v>
      </c>
      <c r="J47" s="2099">
        <v>1</v>
      </c>
      <c r="K47" s="1950" t="s">
        <v>101</v>
      </c>
      <c r="L47" s="1947" t="s">
        <v>10</v>
      </c>
      <c r="M47" s="1754">
        <f>ROUND(I47,2)*ROUND(J47,4)</f>
        <v>59174.38</v>
      </c>
      <c r="N47" s="1712">
        <v>11.5</v>
      </c>
      <c r="O47" s="1712">
        <f>ROUND(M47*ROUND(N47,2)/10000,6)</f>
        <v>68.050537000000006</v>
      </c>
      <c r="P47" s="1712">
        <f>IFERROR(ROUND(Q47*10000/M47,2),0)</f>
        <v>10.55</v>
      </c>
      <c r="Q47" s="1712">
        <f>ROUND(O47/(1+R47),6)</f>
        <v>62.431685000000002</v>
      </c>
      <c r="R47" s="1757">
        <v>0.09</v>
      </c>
      <c r="S47" s="1712">
        <f>O47-Q47</f>
        <v>5.618852000000004</v>
      </c>
      <c r="T47" s="1712">
        <f t="shared" si="0"/>
        <v>10.550458661332828</v>
      </c>
      <c r="U47" s="1712">
        <f t="shared" si="1"/>
        <v>11.500000000000002</v>
      </c>
      <c r="V47" s="1952"/>
      <c r="X47" s="2099">
        <v>1</v>
      </c>
      <c r="Y47" s="1712">
        <v>12</v>
      </c>
      <c r="Z47" s="2119">
        <f t="shared" si="2"/>
        <v>0</v>
      </c>
      <c r="AA47" s="2119">
        <f t="shared" si="3"/>
        <v>-0.5</v>
      </c>
      <c r="AB47" s="2119"/>
      <c r="AC47" s="2119"/>
    </row>
    <row r="48" spans="1:29" s="1942" customFormat="1" ht="12" customHeight="1" outlineLevel="3">
      <c r="A48" s="1944"/>
      <c r="B48" s="1978" t="s">
        <v>664</v>
      </c>
      <c r="C48" s="1810"/>
      <c r="D48" s="2008" t="s">
        <v>3412</v>
      </c>
      <c r="E48" s="2009" t="s">
        <v>3413</v>
      </c>
      <c r="F48" s="1462" t="s">
        <v>3342</v>
      </c>
      <c r="G48" s="1953" t="s">
        <v>4116</v>
      </c>
      <c r="H48" s="1975" t="s">
        <v>10</v>
      </c>
      <c r="I48" s="1712">
        <f>$E$5</f>
        <v>59174.38</v>
      </c>
      <c r="J48" s="2099">
        <v>1</v>
      </c>
      <c r="K48" s="1950" t="s">
        <v>101</v>
      </c>
      <c r="L48" s="1947" t="s">
        <v>10</v>
      </c>
      <c r="M48" s="1754">
        <f>ROUND(I48,2)*ROUND(J48,4)</f>
        <v>59174.38</v>
      </c>
      <c r="N48" s="1712">
        <v>7.5</v>
      </c>
      <c r="O48" s="1712">
        <f>ROUND(M48*ROUND(N48,2)/10000,6)</f>
        <v>44.380785000000003</v>
      </c>
      <c r="P48" s="1712">
        <f>IFERROR(ROUND(Q48*10000/M48,2),0)</f>
        <v>6.88</v>
      </c>
      <c r="Q48" s="1712">
        <f>ROUND(O48/(1+R48),6)</f>
        <v>40.716316999999997</v>
      </c>
      <c r="R48" s="1757">
        <v>0.09</v>
      </c>
      <c r="S48" s="1712">
        <f>O48-Q48</f>
        <v>3.6644680000000065</v>
      </c>
      <c r="T48" s="1712">
        <f t="shared" si="0"/>
        <v>6.8807340271245767</v>
      </c>
      <c r="U48" s="1712">
        <f t="shared" si="1"/>
        <v>7.5000000000000009</v>
      </c>
      <c r="V48" s="1952"/>
      <c r="X48" s="2099">
        <v>1</v>
      </c>
      <c r="Y48" s="1712">
        <v>5</v>
      </c>
      <c r="Z48" s="2119">
        <f t="shared" si="2"/>
        <v>0</v>
      </c>
      <c r="AA48" s="2119">
        <f t="shared" si="3"/>
        <v>2.5</v>
      </c>
      <c r="AB48" s="2119"/>
      <c r="AC48" s="2119"/>
    </row>
    <row r="49" spans="1:29" s="1942" customFormat="1" ht="12"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144.97723099999999</v>
      </c>
      <c r="P49" s="1983"/>
      <c r="Q49" s="1712">
        <f>SUBTOTAL(9,Q50:Q51)</f>
        <v>133.00663399999999</v>
      </c>
      <c r="R49" s="1757"/>
      <c r="S49" s="1712">
        <f>SUBTOTAL(9,S50:S51)</f>
        <v>11.970596999999998</v>
      </c>
      <c r="T49" s="1712">
        <f t="shared" si="0"/>
        <v>22.477064229485798</v>
      </c>
      <c r="U49" s="1712">
        <f t="shared" si="1"/>
        <v>24.499999999999996</v>
      </c>
      <c r="V49" s="1952"/>
      <c r="X49" s="2099"/>
      <c r="Y49" s="1712"/>
      <c r="Z49" s="2119">
        <f t="shared" si="2"/>
        <v>0</v>
      </c>
      <c r="AA49" s="2119">
        <f t="shared" si="3"/>
        <v>0</v>
      </c>
      <c r="AB49" s="2119"/>
      <c r="AC49" s="2119"/>
    </row>
    <row r="50" spans="1:29" s="1942" customFormat="1" ht="14.5" customHeight="1" outlineLevel="4">
      <c r="A50" s="1944"/>
      <c r="B50" s="1985" t="s">
        <v>1666</v>
      </c>
      <c r="C50" s="1828"/>
      <c r="D50" s="2010" t="s">
        <v>4036</v>
      </c>
      <c r="E50" s="2011"/>
      <c r="F50" s="1988" t="s">
        <v>3342</v>
      </c>
      <c r="G50" s="1989" t="s">
        <v>4116</v>
      </c>
      <c r="H50" s="2012" t="s">
        <v>10</v>
      </c>
      <c r="I50" s="1991">
        <f>$E$5</f>
        <v>59174.38</v>
      </c>
      <c r="J50" s="2124">
        <v>1</v>
      </c>
      <c r="K50" s="2000" t="s">
        <v>101</v>
      </c>
      <c r="L50" s="1990" t="s">
        <v>10</v>
      </c>
      <c r="M50" s="1991">
        <f t="shared" ref="M50:M57" si="17">ROUND(I50,2)*ROUND(J50,4)</f>
        <v>59174.38</v>
      </c>
      <c r="N50" s="1991">
        <v>24.5</v>
      </c>
      <c r="O50" s="1991">
        <f t="shared" ref="O50:O55" si="18">ROUND(M50*ROUND(N50,2)/10000,6)</f>
        <v>144.97723099999999</v>
      </c>
      <c r="P50" s="1991">
        <f t="shared" ref="P50:P55" si="19">IFERROR(ROUND(Q50*10000/M50,2),0)</f>
        <v>22.48</v>
      </c>
      <c r="Q50" s="1991">
        <f t="shared" ref="Q50:Q55" si="20">ROUND(O50/(1+R50),6)</f>
        <v>133.00663399999999</v>
      </c>
      <c r="R50" s="1993">
        <v>0.09</v>
      </c>
      <c r="S50" s="1991">
        <f t="shared" ref="S50:S55" si="21">O50-Q50</f>
        <v>11.970596999999998</v>
      </c>
      <c r="T50" s="1991">
        <f t="shared" si="0"/>
        <v>22.477064229485798</v>
      </c>
      <c r="U50" s="1991">
        <f t="shared" si="1"/>
        <v>24.499999999999996</v>
      </c>
      <c r="V50" s="1994"/>
      <c r="X50" s="2124">
        <v>1</v>
      </c>
      <c r="Y50" s="1991">
        <v>5</v>
      </c>
      <c r="Z50" s="2119">
        <f t="shared" si="2"/>
        <v>0</v>
      </c>
      <c r="AA50" s="2119">
        <f t="shared" si="3"/>
        <v>19.5</v>
      </c>
      <c r="AB50" s="2119"/>
      <c r="AC50" s="2119"/>
    </row>
    <row r="51" spans="1:29" s="1942" customFormat="1" ht="12" customHeight="1" outlineLevel="4">
      <c r="A51" s="1944"/>
      <c r="B51" s="1985" t="s">
        <v>1507</v>
      </c>
      <c r="C51" s="1828"/>
      <c r="D51" s="2013" t="s">
        <v>4037</v>
      </c>
      <c r="E51" s="2011"/>
      <c r="F51" s="1988" t="s">
        <v>3833</v>
      </c>
      <c r="G51" s="1989" t="s">
        <v>4124</v>
      </c>
      <c r="H51" s="2012" t="s">
        <v>10</v>
      </c>
      <c r="I51" s="1991">
        <f>$E$5</f>
        <v>59174.38</v>
      </c>
      <c r="J51" s="2124">
        <v>1</v>
      </c>
      <c r="K51" s="2000" t="s">
        <v>101</v>
      </c>
      <c r="L51" s="1990" t="s">
        <v>10</v>
      </c>
      <c r="M51" s="1991">
        <f t="shared" si="17"/>
        <v>59174.38</v>
      </c>
      <c r="N51" s="1991"/>
      <c r="O51" s="1991">
        <f t="shared" si="18"/>
        <v>0</v>
      </c>
      <c r="P51" s="1991">
        <f t="shared" si="19"/>
        <v>0</v>
      </c>
      <c r="Q51" s="1991">
        <f t="shared" si="20"/>
        <v>0</v>
      </c>
      <c r="R51" s="1993">
        <v>0.13</v>
      </c>
      <c r="S51" s="1991">
        <f t="shared" si="21"/>
        <v>0</v>
      </c>
      <c r="T51" s="1991">
        <f t="shared" si="0"/>
        <v>0</v>
      </c>
      <c r="U51" s="1991">
        <f t="shared" si="1"/>
        <v>0</v>
      </c>
      <c r="V51" s="1994"/>
      <c r="X51" s="2124">
        <v>1</v>
      </c>
      <c r="Y51" s="1991"/>
      <c r="Z51" s="2119">
        <f t="shared" si="2"/>
        <v>0</v>
      </c>
      <c r="AA51" s="2119">
        <f t="shared" si="3"/>
        <v>0</v>
      </c>
      <c r="AB51" s="2119"/>
      <c r="AC51" s="2119"/>
    </row>
    <row r="52" spans="1:29" s="1942" customFormat="1" ht="12" customHeight="1" outlineLevel="3">
      <c r="A52" s="1944"/>
      <c r="B52" s="1978" t="s">
        <v>666</v>
      </c>
      <c r="C52" s="1810"/>
      <c r="D52" s="2008" t="s">
        <v>3416</v>
      </c>
      <c r="E52" s="2009" t="s">
        <v>3417</v>
      </c>
      <c r="F52" s="1462" t="s">
        <v>3418</v>
      </c>
      <c r="G52" s="1953" t="s">
        <v>4125</v>
      </c>
      <c r="H52" s="1975" t="s">
        <v>3926</v>
      </c>
      <c r="I52" s="1712">
        <f>$G$7</f>
        <v>505</v>
      </c>
      <c r="J52" s="2099">
        <v>1</v>
      </c>
      <c r="K52" s="1950" t="s">
        <v>3947</v>
      </c>
      <c r="L52" s="1947" t="s">
        <v>3926</v>
      </c>
      <c r="M52" s="1754">
        <f t="shared" si="17"/>
        <v>505</v>
      </c>
      <c r="N52" s="1712"/>
      <c r="O52" s="1712">
        <f t="shared" si="18"/>
        <v>0</v>
      </c>
      <c r="P52" s="1712">
        <f t="shared" si="19"/>
        <v>0</v>
      </c>
      <c r="Q52" s="1712">
        <f t="shared" si="20"/>
        <v>0</v>
      </c>
      <c r="R52" s="1757">
        <v>0.13</v>
      </c>
      <c r="S52" s="1712">
        <f t="shared" si="21"/>
        <v>0</v>
      </c>
      <c r="T52" s="1712">
        <f t="shared" si="0"/>
        <v>0</v>
      </c>
      <c r="U52" s="1712">
        <f t="shared" si="1"/>
        <v>0</v>
      </c>
      <c r="V52" s="1952"/>
      <c r="X52" s="2099">
        <v>1</v>
      </c>
      <c r="Y52" s="1712"/>
      <c r="Z52" s="2119">
        <f t="shared" si="2"/>
        <v>0</v>
      </c>
      <c r="AA52" s="2119">
        <f t="shared" si="3"/>
        <v>0</v>
      </c>
      <c r="AB52" s="2119"/>
      <c r="AC52" s="2119"/>
    </row>
    <row r="53" spans="1:29" s="1942" customFormat="1" ht="12" customHeight="1" outlineLevel="3">
      <c r="A53" s="1944"/>
      <c r="B53" s="1978" t="s">
        <v>3419</v>
      </c>
      <c r="C53" s="1810"/>
      <c r="D53" s="2008" t="s">
        <v>3420</v>
      </c>
      <c r="E53" s="2009" t="s">
        <v>3421</v>
      </c>
      <c r="F53" s="1462" t="s">
        <v>3422</v>
      </c>
      <c r="G53" s="1953" t="s">
        <v>4126</v>
      </c>
      <c r="H53" s="1975" t="s">
        <v>10</v>
      </c>
      <c r="I53" s="1712">
        <f>$E$5</f>
        <v>59174.38</v>
      </c>
      <c r="J53" s="2147">
        <v>1</v>
      </c>
      <c r="K53" s="1950" t="s">
        <v>101</v>
      </c>
      <c r="L53" s="1947" t="s">
        <v>10</v>
      </c>
      <c r="M53" s="1754">
        <f t="shared" si="17"/>
        <v>59174.38</v>
      </c>
      <c r="N53" s="1756">
        <v>10</v>
      </c>
      <c r="O53" s="1712">
        <f t="shared" si="18"/>
        <v>59.174379999999999</v>
      </c>
      <c r="P53" s="1712">
        <f t="shared" si="19"/>
        <v>8.85</v>
      </c>
      <c r="Q53" s="1712">
        <f t="shared" si="20"/>
        <v>52.366708000000003</v>
      </c>
      <c r="R53" s="1757">
        <v>0.13</v>
      </c>
      <c r="S53" s="1712">
        <f t="shared" si="21"/>
        <v>6.8076719999999966</v>
      </c>
      <c r="T53" s="1712">
        <f t="shared" si="0"/>
        <v>8.8495575281059136</v>
      </c>
      <c r="U53" s="1712">
        <f t="shared" si="1"/>
        <v>10.000000000000002</v>
      </c>
      <c r="V53" s="1952"/>
      <c r="X53" s="2099">
        <v>1</v>
      </c>
      <c r="Y53" s="1712">
        <v>20</v>
      </c>
      <c r="Z53" s="2119">
        <f t="shared" si="2"/>
        <v>0</v>
      </c>
      <c r="AA53" s="2119">
        <f t="shared" si="3"/>
        <v>-10</v>
      </c>
      <c r="AB53" s="2119"/>
      <c r="AC53" s="2119"/>
    </row>
    <row r="54" spans="1:29" s="1942" customFormat="1" ht="12" customHeight="1" outlineLevel="3">
      <c r="A54" s="1944"/>
      <c r="B54" s="1978" t="s">
        <v>3423</v>
      </c>
      <c r="C54" s="1810"/>
      <c r="D54" s="2008" t="s">
        <v>3424</v>
      </c>
      <c r="E54" s="2009" t="s">
        <v>3425</v>
      </c>
      <c r="F54" s="1462" t="s">
        <v>3342</v>
      </c>
      <c r="G54" s="1953" t="s">
        <v>4116</v>
      </c>
      <c r="H54" s="1975" t="s">
        <v>10</v>
      </c>
      <c r="I54" s="1712">
        <f t="shared" ref="I54:I66" si="22">$E$5</f>
        <v>59174.38</v>
      </c>
      <c r="J54" s="2099">
        <v>1</v>
      </c>
      <c r="K54" s="1950" t="s">
        <v>101</v>
      </c>
      <c r="L54" s="1947" t="s">
        <v>10</v>
      </c>
      <c r="M54" s="1754">
        <f t="shared" si="17"/>
        <v>59174.38</v>
      </c>
      <c r="N54" s="1712">
        <v>3</v>
      </c>
      <c r="O54" s="1712">
        <f t="shared" si="18"/>
        <v>17.752313999999998</v>
      </c>
      <c r="P54" s="1712">
        <f t="shared" si="19"/>
        <v>2.75</v>
      </c>
      <c r="Q54" s="1712">
        <f t="shared" si="20"/>
        <v>16.286527</v>
      </c>
      <c r="R54" s="1757">
        <v>0.09</v>
      </c>
      <c r="S54" s="1712">
        <f t="shared" si="21"/>
        <v>1.4657869999999988</v>
      </c>
      <c r="T54" s="1712">
        <f t="shared" si="0"/>
        <v>2.7522936446482413</v>
      </c>
      <c r="U54" s="1712">
        <f t="shared" si="1"/>
        <v>3</v>
      </c>
      <c r="V54" s="1952"/>
      <c r="X54" s="2099">
        <v>1</v>
      </c>
      <c r="Y54" s="1712">
        <v>3</v>
      </c>
      <c r="Z54" s="2119">
        <f t="shared" si="2"/>
        <v>0</v>
      </c>
      <c r="AA54" s="2119">
        <f t="shared" si="3"/>
        <v>0</v>
      </c>
      <c r="AB54" s="2119"/>
      <c r="AC54" s="2119"/>
    </row>
    <row r="55" spans="1:29" s="1942" customFormat="1" ht="12" customHeight="1" outlineLevel="3">
      <c r="A55" s="1944"/>
      <c r="B55" s="1978" t="s">
        <v>3426</v>
      </c>
      <c r="C55" s="1810"/>
      <c r="D55" s="2008" t="s">
        <v>3427</v>
      </c>
      <c r="E55" s="2009" t="s">
        <v>3428</v>
      </c>
      <c r="F55" s="1462" t="s">
        <v>3342</v>
      </c>
      <c r="G55" s="1953" t="s">
        <v>4116</v>
      </c>
      <c r="H55" s="1975" t="s">
        <v>10</v>
      </c>
      <c r="I55" s="1712">
        <f t="shared" si="22"/>
        <v>59174.38</v>
      </c>
      <c r="J55" s="2099"/>
      <c r="K55" s="1950" t="s">
        <v>101</v>
      </c>
      <c r="L55" s="1947" t="s">
        <v>10</v>
      </c>
      <c r="M55" s="1754">
        <f t="shared" si="17"/>
        <v>0</v>
      </c>
      <c r="N55" s="1712"/>
      <c r="O55" s="1712">
        <f t="shared" si="18"/>
        <v>0</v>
      </c>
      <c r="P55" s="1712">
        <f t="shared" si="19"/>
        <v>0</v>
      </c>
      <c r="Q55" s="1712">
        <f t="shared" si="20"/>
        <v>0</v>
      </c>
      <c r="R55" s="1757">
        <v>0.13</v>
      </c>
      <c r="S55" s="1712">
        <f t="shared" si="21"/>
        <v>0</v>
      </c>
      <c r="T55" s="1712">
        <f t="shared" si="0"/>
        <v>0</v>
      </c>
      <c r="U55" s="1712">
        <f t="shared" si="1"/>
        <v>0</v>
      </c>
      <c r="V55" s="2015"/>
      <c r="X55" s="2099"/>
      <c r="Y55" s="1712"/>
      <c r="Z55" s="2119">
        <f t="shared" si="2"/>
        <v>0</v>
      </c>
      <c r="AA55" s="2119">
        <f t="shared" si="3"/>
        <v>0</v>
      </c>
      <c r="AB55" s="2119"/>
      <c r="AC55" s="2119"/>
    </row>
    <row r="56" spans="1:29" s="1942" customFormat="1" ht="13" outlineLevel="2">
      <c r="A56" s="1944"/>
      <c r="B56" s="1820" t="s">
        <v>670</v>
      </c>
      <c r="C56" s="1808"/>
      <c r="D56" s="1945" t="s">
        <v>3429</v>
      </c>
      <c r="E56" s="1946"/>
      <c r="F56" s="1462"/>
      <c r="G56" s="1953" t="s">
        <v>4117</v>
      </c>
      <c r="H56" s="1947"/>
      <c r="I56" s="1948"/>
      <c r="J56" s="2099"/>
      <c r="K56" s="1950"/>
      <c r="L56" s="1947"/>
      <c r="M56" s="1754"/>
      <c r="N56" s="1712"/>
      <c r="O56" s="1712">
        <f>SUBTOTAL(9,O57:O70)</f>
        <v>1049.3126010000001</v>
      </c>
      <c r="P56" s="1983"/>
      <c r="Q56" s="1712">
        <f>SUBTOTAL(9,Q57:Q70)</f>
        <v>949.12210600000003</v>
      </c>
      <c r="R56" s="1757"/>
      <c r="S56" s="1712">
        <f>SUBTOTAL(9,S57:S70)</f>
        <v>100.19049500000004</v>
      </c>
      <c r="T56" s="1712">
        <f t="shared" si="0"/>
        <v>160.3940938629184</v>
      </c>
      <c r="U56" s="1712">
        <f t="shared" si="1"/>
        <v>177.32549136974484</v>
      </c>
      <c r="V56" s="1952"/>
      <c r="X56" s="2099"/>
      <c r="Y56" s="1712"/>
      <c r="Z56" s="2119">
        <f t="shared" si="2"/>
        <v>0</v>
      </c>
      <c r="AA56" s="2119">
        <f t="shared" si="3"/>
        <v>0</v>
      </c>
      <c r="AB56" s="2119"/>
      <c r="AC56" s="2119"/>
    </row>
    <row r="57" spans="1:29" s="1942" customFormat="1" ht="12" customHeight="1" outlineLevel="3">
      <c r="A57" s="1944"/>
      <c r="B57" s="1978" t="s">
        <v>671</v>
      </c>
      <c r="C57" s="1810"/>
      <c r="D57" s="2008" t="s">
        <v>3430</v>
      </c>
      <c r="E57" s="2009" t="s">
        <v>3431</v>
      </c>
      <c r="F57" s="1462" t="s">
        <v>3342</v>
      </c>
      <c r="G57" s="1953" t="s">
        <v>4116</v>
      </c>
      <c r="H57" s="1975" t="s">
        <v>10</v>
      </c>
      <c r="I57" s="1712">
        <f t="shared" si="22"/>
        <v>59174.38</v>
      </c>
      <c r="J57" s="2099">
        <v>1</v>
      </c>
      <c r="K57" s="1950" t="s">
        <v>101</v>
      </c>
      <c r="L57" s="1947" t="s">
        <v>10</v>
      </c>
      <c r="M57" s="1754">
        <f t="shared" si="17"/>
        <v>59174.38</v>
      </c>
      <c r="N57" s="1712">
        <v>46.5</v>
      </c>
      <c r="O57" s="1712">
        <f>ROUND(M57*ROUND(N57,2)/10000,6)</f>
        <v>275.160867</v>
      </c>
      <c r="P57" s="1712">
        <f>IFERROR(ROUND(Q57*10000/M57,2),0)</f>
        <v>42.66</v>
      </c>
      <c r="Q57" s="1712">
        <f>ROUND(O57/(1+R57),6)</f>
        <v>252.44116199999999</v>
      </c>
      <c r="R57" s="1757">
        <v>0.09</v>
      </c>
      <c r="S57" s="1712">
        <f>O57-Q57</f>
        <v>22.719705000000005</v>
      </c>
      <c r="T57" s="1712">
        <f t="shared" si="0"/>
        <v>42.660550393599394</v>
      </c>
      <c r="U57" s="1712">
        <f t="shared" si="1"/>
        <v>46.5</v>
      </c>
      <c r="V57" s="1952"/>
      <c r="X57" s="2099">
        <v>1</v>
      </c>
      <c r="Y57" s="1712">
        <v>25</v>
      </c>
      <c r="Z57" s="2119">
        <f t="shared" si="2"/>
        <v>0</v>
      </c>
      <c r="AA57" s="2119">
        <f t="shared" si="3"/>
        <v>21.5</v>
      </c>
      <c r="AB57" s="2119"/>
      <c r="AC57" s="2119"/>
    </row>
    <row r="58" spans="1:29" s="1942" customFormat="1" ht="12"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59.174379999999999</v>
      </c>
      <c r="P58" s="1983"/>
      <c r="Q58" s="1712">
        <f>SUBTOTAL(9,Q59:Q60)</f>
        <v>54.288421999999997</v>
      </c>
      <c r="R58" s="1757"/>
      <c r="S58" s="1712">
        <f>SUBTOTAL(9,S59:S60)</f>
        <v>4.8859580000000022</v>
      </c>
      <c r="T58" s="1712">
        <f t="shared" si="0"/>
        <v>9.1743119235047335</v>
      </c>
      <c r="U58" s="1712">
        <f t="shared" si="1"/>
        <v>10.000000000000002</v>
      </c>
      <c r="V58" s="1952"/>
      <c r="X58" s="2099"/>
      <c r="Y58" s="1712"/>
      <c r="Z58" s="2119">
        <f t="shared" si="2"/>
        <v>0</v>
      </c>
      <c r="AA58" s="2119">
        <f t="shared" si="3"/>
        <v>0</v>
      </c>
      <c r="AB58" s="2119"/>
      <c r="AC58" s="2119"/>
    </row>
    <row r="59" spans="1:29" s="1942" customFormat="1" ht="12" customHeight="1" outlineLevel="4">
      <c r="A59" s="1944"/>
      <c r="B59" s="1985" t="s">
        <v>1680</v>
      </c>
      <c r="C59" s="1828"/>
      <c r="D59" s="2013" t="s">
        <v>4038</v>
      </c>
      <c r="E59" s="2011"/>
      <c r="F59" s="1988" t="s">
        <v>3342</v>
      </c>
      <c r="G59" s="1989" t="s">
        <v>4116</v>
      </c>
      <c r="H59" s="2012" t="s">
        <v>10</v>
      </c>
      <c r="I59" s="1991">
        <f>$E$5</f>
        <v>59174.38</v>
      </c>
      <c r="J59" s="2124">
        <v>1</v>
      </c>
      <c r="K59" s="2000" t="s">
        <v>101</v>
      </c>
      <c r="L59" s="1990" t="s">
        <v>10</v>
      </c>
      <c r="M59" s="1991">
        <f t="shared" ref="M59:M70" si="23">ROUND(I59,2)*ROUND(J59,4)</f>
        <v>59174.38</v>
      </c>
      <c r="N59" s="1991">
        <v>10</v>
      </c>
      <c r="O59" s="1991">
        <f t="shared" ref="O59:O70" si="24">ROUND(M59*ROUND(N59,2)/10000,6)</f>
        <v>59.174379999999999</v>
      </c>
      <c r="P59" s="1991">
        <f t="shared" ref="P59:P70" si="25">IFERROR(ROUND(Q59*10000/M59,2),0)</f>
        <v>9.17</v>
      </c>
      <c r="Q59" s="1991">
        <f t="shared" ref="Q59:Q70" si="26">ROUND(O59/(1+R59),6)</f>
        <v>54.288421999999997</v>
      </c>
      <c r="R59" s="1993">
        <v>0.09</v>
      </c>
      <c r="S59" s="1991">
        <f t="shared" ref="S59:S70" si="27">O59-Q59</f>
        <v>4.8859580000000022</v>
      </c>
      <c r="T59" s="1991">
        <f t="shared" si="0"/>
        <v>9.1743119235047335</v>
      </c>
      <c r="U59" s="1991">
        <f t="shared" si="1"/>
        <v>10.000000000000002</v>
      </c>
      <c r="V59" s="1994"/>
      <c r="X59" s="2124">
        <v>1</v>
      </c>
      <c r="Y59" s="1991">
        <v>40</v>
      </c>
      <c r="Z59" s="2119">
        <f t="shared" si="2"/>
        <v>0</v>
      </c>
      <c r="AA59" s="2119">
        <f t="shared" si="3"/>
        <v>-30</v>
      </c>
      <c r="AB59" s="2119"/>
      <c r="AC59" s="2119"/>
    </row>
    <row r="60" spans="1:29" s="1942" customFormat="1" ht="12" customHeight="1" outlineLevel="4">
      <c r="A60" s="1944"/>
      <c r="B60" s="1985" t="s">
        <v>1529</v>
      </c>
      <c r="C60" s="1828"/>
      <c r="D60" s="2013" t="s">
        <v>4039</v>
      </c>
      <c r="E60" s="2011"/>
      <c r="F60" s="1988" t="s">
        <v>3556</v>
      </c>
      <c r="G60" s="1989" t="s">
        <v>4127</v>
      </c>
      <c r="H60" s="2012" t="s">
        <v>10</v>
      </c>
      <c r="I60" s="1991">
        <f>$E$5</f>
        <v>59174.38</v>
      </c>
      <c r="J60" s="2124">
        <v>1</v>
      </c>
      <c r="K60" s="2000" t="s">
        <v>101</v>
      </c>
      <c r="L60" s="1990" t="s">
        <v>10</v>
      </c>
      <c r="M60" s="1991">
        <f t="shared" si="23"/>
        <v>59174.38</v>
      </c>
      <c r="N60" s="1991"/>
      <c r="O60" s="1991">
        <f t="shared" si="24"/>
        <v>0</v>
      </c>
      <c r="P60" s="1991">
        <f t="shared" si="25"/>
        <v>0</v>
      </c>
      <c r="Q60" s="1991">
        <f t="shared" si="26"/>
        <v>0</v>
      </c>
      <c r="R60" s="1993">
        <v>0.13</v>
      </c>
      <c r="S60" s="1991">
        <f t="shared" si="27"/>
        <v>0</v>
      </c>
      <c r="T60" s="1991">
        <f t="shared" si="0"/>
        <v>0</v>
      </c>
      <c r="U60" s="1991">
        <f t="shared" si="1"/>
        <v>0</v>
      </c>
      <c r="V60" s="1994"/>
      <c r="X60" s="2124">
        <v>1</v>
      </c>
      <c r="Y60" s="1991"/>
      <c r="Z60" s="2119">
        <f t="shared" si="2"/>
        <v>0</v>
      </c>
      <c r="AA60" s="2119">
        <f t="shared" si="3"/>
        <v>0</v>
      </c>
      <c r="AB60" s="2119"/>
      <c r="AC60" s="2119"/>
    </row>
    <row r="61" spans="1:29" s="1942" customFormat="1" ht="12.75" customHeight="1" outlineLevel="3">
      <c r="A61" s="1944"/>
      <c r="B61" s="1978" t="s">
        <v>673</v>
      </c>
      <c r="C61" s="1810"/>
      <c r="D61" s="2008" t="s">
        <v>3434</v>
      </c>
      <c r="E61" s="2009" t="s">
        <v>3435</v>
      </c>
      <c r="F61" s="1462" t="s">
        <v>3342</v>
      </c>
      <c r="G61" s="1953" t="s">
        <v>4116</v>
      </c>
      <c r="H61" s="1975" t="s">
        <v>10</v>
      </c>
      <c r="I61" s="1712">
        <f t="shared" si="22"/>
        <v>59174.38</v>
      </c>
      <c r="J61" s="2099">
        <v>1</v>
      </c>
      <c r="K61" s="1950" t="s">
        <v>101</v>
      </c>
      <c r="L61" s="1947" t="s">
        <v>10</v>
      </c>
      <c r="M61" s="1754">
        <f t="shared" si="23"/>
        <v>59174.38</v>
      </c>
      <c r="N61" s="1712">
        <v>3</v>
      </c>
      <c r="O61" s="1712">
        <f t="shared" si="24"/>
        <v>17.752313999999998</v>
      </c>
      <c r="P61" s="1712">
        <f t="shared" si="25"/>
        <v>2.75</v>
      </c>
      <c r="Q61" s="1712">
        <f t="shared" si="26"/>
        <v>16.286527</v>
      </c>
      <c r="R61" s="1757">
        <v>0.09</v>
      </c>
      <c r="S61" s="1712">
        <f t="shared" si="27"/>
        <v>1.4657869999999988</v>
      </c>
      <c r="T61" s="1712">
        <f t="shared" si="0"/>
        <v>2.7522936446482413</v>
      </c>
      <c r="U61" s="1712">
        <f t="shared" si="1"/>
        <v>3</v>
      </c>
      <c r="V61" s="1952"/>
      <c r="X61" s="2099">
        <v>1</v>
      </c>
      <c r="Y61" s="1712"/>
      <c r="Z61" s="2119">
        <f t="shared" si="2"/>
        <v>0</v>
      </c>
      <c r="AA61" s="2119">
        <f t="shared" si="3"/>
        <v>3</v>
      </c>
      <c r="AB61" s="2119"/>
      <c r="AC61" s="2119"/>
    </row>
    <row r="62" spans="1:29" s="1942" customFormat="1" ht="12" customHeight="1" outlineLevel="3">
      <c r="A62" s="1944"/>
      <c r="B62" s="1978" t="s">
        <v>1785</v>
      </c>
      <c r="C62" s="1810"/>
      <c r="D62" s="2008" t="s">
        <v>3436</v>
      </c>
      <c r="E62" s="2009" t="s">
        <v>3437</v>
      </c>
      <c r="F62" s="1462" t="s">
        <v>3342</v>
      </c>
      <c r="G62" s="1953" t="s">
        <v>4116</v>
      </c>
      <c r="H62" s="1975" t="s">
        <v>10</v>
      </c>
      <c r="I62" s="1712">
        <f t="shared" si="22"/>
        <v>59174.38</v>
      </c>
      <c r="J62" s="2099">
        <v>1</v>
      </c>
      <c r="K62" s="1950" t="s">
        <v>101</v>
      </c>
      <c r="L62" s="1947" t="s">
        <v>10</v>
      </c>
      <c r="M62" s="1754">
        <f t="shared" si="23"/>
        <v>59174.38</v>
      </c>
      <c r="N62" s="1712">
        <v>13.5</v>
      </c>
      <c r="O62" s="1712">
        <f t="shared" si="24"/>
        <v>79.885413</v>
      </c>
      <c r="P62" s="1712">
        <f t="shared" si="25"/>
        <v>12.39</v>
      </c>
      <c r="Q62" s="1712">
        <f t="shared" si="26"/>
        <v>73.289370000000005</v>
      </c>
      <c r="R62" s="1757">
        <v>0.09</v>
      </c>
      <c r="S62" s="1712">
        <f t="shared" si="27"/>
        <v>6.5960429999999945</v>
      </c>
      <c r="T62" s="1712">
        <f t="shared" si="0"/>
        <v>12.385321147429007</v>
      </c>
      <c r="U62" s="1712">
        <f t="shared" si="1"/>
        <v>13.5</v>
      </c>
      <c r="V62" s="1952"/>
      <c r="X62" s="2099">
        <v>1</v>
      </c>
      <c r="Y62" s="1712"/>
      <c r="Z62" s="2119">
        <f t="shared" si="2"/>
        <v>0</v>
      </c>
      <c r="AA62" s="2119">
        <f t="shared" si="3"/>
        <v>13.5</v>
      </c>
      <c r="AB62" s="2119"/>
      <c r="AC62" s="2119"/>
    </row>
    <row r="63" spans="1:29" s="1942" customFormat="1" ht="12" customHeight="1" outlineLevel="3">
      <c r="A63" s="1944"/>
      <c r="B63" s="1978" t="s">
        <v>674</v>
      </c>
      <c r="C63" s="1810"/>
      <c r="D63" s="2008" t="s">
        <v>3438</v>
      </c>
      <c r="E63" s="2009" t="s">
        <v>3439</v>
      </c>
      <c r="F63" s="1462" t="s">
        <v>455</v>
      </c>
      <c r="G63" s="1953" t="s">
        <v>4128</v>
      </c>
      <c r="H63" s="1975" t="s">
        <v>10</v>
      </c>
      <c r="I63" s="1712">
        <f t="shared" si="22"/>
        <v>59174.38</v>
      </c>
      <c r="J63" s="2147">
        <v>1</v>
      </c>
      <c r="K63" s="1950" t="s">
        <v>101</v>
      </c>
      <c r="L63" s="1947" t="s">
        <v>10</v>
      </c>
      <c r="M63" s="1754">
        <f t="shared" si="23"/>
        <v>59174.38</v>
      </c>
      <c r="N63" s="1756">
        <v>15</v>
      </c>
      <c r="O63" s="1712">
        <f t="shared" si="24"/>
        <v>88.761570000000006</v>
      </c>
      <c r="P63" s="1712">
        <f t="shared" si="25"/>
        <v>13.76</v>
      </c>
      <c r="Q63" s="1712">
        <f t="shared" si="26"/>
        <v>81.432632999999996</v>
      </c>
      <c r="R63" s="1757">
        <v>0.09</v>
      </c>
      <c r="S63" s="1712">
        <f t="shared" si="27"/>
        <v>7.3289370000000105</v>
      </c>
      <c r="T63" s="1712">
        <f t="shared" si="0"/>
        <v>13.761467885257099</v>
      </c>
      <c r="U63" s="1712">
        <f t="shared" si="1"/>
        <v>15.000000000000002</v>
      </c>
      <c r="V63" s="1952"/>
      <c r="X63" s="2099">
        <v>1</v>
      </c>
      <c r="Y63" s="1712"/>
      <c r="Z63" s="2119">
        <f t="shared" si="2"/>
        <v>0</v>
      </c>
      <c r="AA63" s="2119">
        <f t="shared" si="3"/>
        <v>15</v>
      </c>
      <c r="AB63" s="2119"/>
      <c r="AC63" s="2119"/>
    </row>
    <row r="64" spans="1:29" s="1942" customFormat="1" ht="12" customHeight="1" outlineLevel="3">
      <c r="A64" s="1944"/>
      <c r="B64" s="1978" t="s">
        <v>3440</v>
      </c>
      <c r="C64" s="1810"/>
      <c r="D64" s="2008" t="s">
        <v>3441</v>
      </c>
      <c r="E64" s="2009" t="s">
        <v>3442</v>
      </c>
      <c r="F64" s="1462" t="s">
        <v>454</v>
      </c>
      <c r="G64" s="1953" t="s">
        <v>4129</v>
      </c>
      <c r="H64" s="1975" t="s">
        <v>10</v>
      </c>
      <c r="I64" s="1712">
        <f t="shared" si="22"/>
        <v>59174.38</v>
      </c>
      <c r="J64" s="2147">
        <v>1</v>
      </c>
      <c r="K64" s="1950" t="s">
        <v>101</v>
      </c>
      <c r="L64" s="1947" t="s">
        <v>10</v>
      </c>
      <c r="M64" s="1754">
        <f t="shared" si="23"/>
        <v>59174.38</v>
      </c>
      <c r="N64" s="1756">
        <v>45</v>
      </c>
      <c r="O64" s="1712">
        <f t="shared" si="24"/>
        <v>266.28471000000002</v>
      </c>
      <c r="P64" s="1712">
        <f t="shared" si="25"/>
        <v>39.82</v>
      </c>
      <c r="Q64" s="1712">
        <f t="shared" si="26"/>
        <v>235.65018599999999</v>
      </c>
      <c r="R64" s="1757">
        <v>0.13</v>
      </c>
      <c r="S64" s="1712">
        <f t="shared" si="27"/>
        <v>30.634524000000027</v>
      </c>
      <c r="T64" s="1712">
        <f t="shared" si="0"/>
        <v>39.823008876476607</v>
      </c>
      <c r="U64" s="1712">
        <f t="shared" si="1"/>
        <v>45.000000000000007</v>
      </c>
      <c r="V64" s="2015"/>
      <c r="X64" s="2099">
        <v>1</v>
      </c>
      <c r="Y64" s="1712">
        <v>29.25</v>
      </c>
      <c r="Z64" s="2119">
        <f t="shared" si="2"/>
        <v>0</v>
      </c>
      <c r="AA64" s="2119">
        <f t="shared" si="3"/>
        <v>15.75</v>
      </c>
      <c r="AB64" s="2119"/>
      <c r="AC64" s="2119"/>
    </row>
    <row r="65" spans="1:29" s="1942" customFormat="1" ht="12" customHeight="1" outlineLevel="3">
      <c r="A65" s="1944"/>
      <c r="B65" s="1978" t="s">
        <v>3443</v>
      </c>
      <c r="C65" s="1810"/>
      <c r="D65" s="2008" t="s">
        <v>3444</v>
      </c>
      <c r="E65" s="2009" t="s">
        <v>3445</v>
      </c>
      <c r="F65" s="1462" t="s">
        <v>1671</v>
      </c>
      <c r="G65" s="1953" t="s">
        <v>4130</v>
      </c>
      <c r="H65" s="1975" t="s">
        <v>10</v>
      </c>
      <c r="I65" s="1712">
        <f t="shared" si="22"/>
        <v>59174.38</v>
      </c>
      <c r="J65" s="2147">
        <v>1</v>
      </c>
      <c r="K65" s="1950" t="s">
        <v>101</v>
      </c>
      <c r="L65" s="1947" t="s">
        <v>10</v>
      </c>
      <c r="M65" s="1754">
        <f t="shared" si="23"/>
        <v>59174.38</v>
      </c>
      <c r="N65" s="1756">
        <v>15</v>
      </c>
      <c r="O65" s="1712">
        <f t="shared" si="24"/>
        <v>88.761570000000006</v>
      </c>
      <c r="P65" s="1712">
        <f t="shared" si="25"/>
        <v>13.27</v>
      </c>
      <c r="Q65" s="1712">
        <f t="shared" si="26"/>
        <v>78.550061999999997</v>
      </c>
      <c r="R65" s="1757">
        <v>0.13</v>
      </c>
      <c r="S65" s="1712">
        <f t="shared" si="27"/>
        <v>10.211508000000009</v>
      </c>
      <c r="T65" s="1712">
        <f t="shared" si="0"/>
        <v>13.274336292158871</v>
      </c>
      <c r="U65" s="1712">
        <f t="shared" si="1"/>
        <v>15.000000000000002</v>
      </c>
      <c r="V65" s="2015"/>
      <c r="X65" s="2099">
        <v>1</v>
      </c>
      <c r="Y65" s="1712">
        <v>20</v>
      </c>
      <c r="Z65" s="2119">
        <f t="shared" si="2"/>
        <v>0</v>
      </c>
      <c r="AA65" s="2119">
        <f t="shared" si="3"/>
        <v>-5</v>
      </c>
      <c r="AB65" s="2119"/>
      <c r="AC65" s="2119"/>
    </row>
    <row r="66" spans="1:29" s="1942" customFormat="1" ht="12" customHeight="1" outlineLevel="3">
      <c r="A66" s="1944"/>
      <c r="B66" s="1978" t="s">
        <v>3446</v>
      </c>
      <c r="C66" s="1810"/>
      <c r="D66" s="2008" t="s">
        <v>3447</v>
      </c>
      <c r="E66" s="2009" t="s">
        <v>3448</v>
      </c>
      <c r="F66" s="1462" t="s">
        <v>3422</v>
      </c>
      <c r="G66" s="1953" t="s">
        <v>4126</v>
      </c>
      <c r="H66" s="1975" t="s">
        <v>10</v>
      </c>
      <c r="I66" s="1712">
        <f t="shared" si="22"/>
        <v>59174.38</v>
      </c>
      <c r="J66" s="2147">
        <v>1</v>
      </c>
      <c r="K66" s="1950" t="s">
        <v>101</v>
      </c>
      <c r="L66" s="1947" t="s">
        <v>10</v>
      </c>
      <c r="M66" s="1754">
        <f t="shared" si="23"/>
        <v>59174.38</v>
      </c>
      <c r="N66" s="1756">
        <v>7</v>
      </c>
      <c r="O66" s="1712">
        <f t="shared" si="24"/>
        <v>41.422066000000001</v>
      </c>
      <c r="P66" s="1712">
        <f t="shared" si="25"/>
        <v>6.19</v>
      </c>
      <c r="Q66" s="1712">
        <f t="shared" si="26"/>
        <v>36.656695999999997</v>
      </c>
      <c r="R66" s="1757">
        <v>0.13</v>
      </c>
      <c r="S66" s="1712">
        <f t="shared" si="27"/>
        <v>4.7653700000000043</v>
      </c>
      <c r="T66" s="1712">
        <f t="shared" si="0"/>
        <v>6.1946903372709601</v>
      </c>
      <c r="U66" s="1712">
        <f t="shared" si="1"/>
        <v>7.0000000000000009</v>
      </c>
      <c r="V66" s="2015"/>
      <c r="X66" s="2099">
        <v>1</v>
      </c>
      <c r="Y66" s="1712">
        <v>5</v>
      </c>
      <c r="Z66" s="2119">
        <f t="shared" si="2"/>
        <v>0</v>
      </c>
      <c r="AA66" s="2119">
        <f t="shared" si="3"/>
        <v>2</v>
      </c>
      <c r="AB66" s="2119"/>
      <c r="AC66" s="2119"/>
    </row>
    <row r="67" spans="1:29" s="1942" customFormat="1" ht="12" customHeight="1" outlineLevel="3">
      <c r="A67" s="1944"/>
      <c r="B67" s="1978" t="s">
        <v>3449</v>
      </c>
      <c r="C67" s="1810"/>
      <c r="D67" s="2008" t="s">
        <v>3450</v>
      </c>
      <c r="E67" s="2009" t="s">
        <v>3451</v>
      </c>
      <c r="F67" s="1462" t="s">
        <v>1307</v>
      </c>
      <c r="G67" s="1953" t="s">
        <v>4131</v>
      </c>
      <c r="H67" s="1947" t="s">
        <v>3926</v>
      </c>
      <c r="I67" s="1712">
        <f>$G$7</f>
        <v>505</v>
      </c>
      <c r="J67" s="2099">
        <v>1</v>
      </c>
      <c r="K67" s="1950" t="s">
        <v>3947</v>
      </c>
      <c r="L67" s="1947" t="s">
        <v>3926</v>
      </c>
      <c r="M67" s="1754">
        <f t="shared" si="23"/>
        <v>505</v>
      </c>
      <c r="N67" s="1712">
        <v>0</v>
      </c>
      <c r="O67" s="1712">
        <f t="shared" si="24"/>
        <v>0</v>
      </c>
      <c r="P67" s="1712">
        <f t="shared" si="25"/>
        <v>0</v>
      </c>
      <c r="Q67" s="1712">
        <f t="shared" si="26"/>
        <v>0</v>
      </c>
      <c r="R67" s="1757">
        <v>0.13</v>
      </c>
      <c r="S67" s="1712">
        <f t="shared" si="27"/>
        <v>0</v>
      </c>
      <c r="T67" s="1712">
        <f t="shared" si="0"/>
        <v>0</v>
      </c>
      <c r="U67" s="1712">
        <f t="shared" si="1"/>
        <v>0</v>
      </c>
      <c r="V67" s="1952"/>
      <c r="X67" s="2099">
        <v>1</v>
      </c>
      <c r="Y67" s="1712">
        <v>0</v>
      </c>
      <c r="Z67" s="2119">
        <f t="shared" si="2"/>
        <v>0</v>
      </c>
      <c r="AA67" s="2119">
        <f t="shared" si="3"/>
        <v>0</v>
      </c>
      <c r="AB67" s="2119"/>
      <c r="AC67" s="2119"/>
    </row>
    <row r="68" spans="1:29" s="1942" customFormat="1" ht="12" customHeight="1" outlineLevel="3">
      <c r="A68" s="1944"/>
      <c r="B68" s="1978" t="s">
        <v>3452</v>
      </c>
      <c r="C68" s="1810"/>
      <c r="D68" s="2008" t="s">
        <v>3453</v>
      </c>
      <c r="E68" s="2009" t="s">
        <v>3454</v>
      </c>
      <c r="F68" s="1462" t="s">
        <v>1329</v>
      </c>
      <c r="G68" s="1953" t="s">
        <v>4132</v>
      </c>
      <c r="H68" s="1947" t="s">
        <v>10</v>
      </c>
      <c r="I68" s="1712">
        <f>$E$5</f>
        <v>59174.38</v>
      </c>
      <c r="J68" s="2099">
        <v>1</v>
      </c>
      <c r="K68" s="1950" t="s">
        <v>101</v>
      </c>
      <c r="L68" s="1947" t="s">
        <v>10</v>
      </c>
      <c r="M68" s="1754">
        <f t="shared" si="23"/>
        <v>59174.38</v>
      </c>
      <c r="N68" s="1712">
        <v>3.51</v>
      </c>
      <c r="O68" s="1712">
        <f t="shared" si="24"/>
        <v>20.770206999999999</v>
      </c>
      <c r="P68" s="1712">
        <f t="shared" si="25"/>
        <v>3.11</v>
      </c>
      <c r="Q68" s="1712">
        <f t="shared" si="26"/>
        <v>18.380714000000001</v>
      </c>
      <c r="R68" s="1757">
        <v>0.13</v>
      </c>
      <c r="S68" s="1712">
        <f t="shared" si="27"/>
        <v>2.3894929999999981</v>
      </c>
      <c r="T68" s="1712">
        <f t="shared" si="0"/>
        <v>3.1061946065172128</v>
      </c>
      <c r="U68" s="1712">
        <f t="shared" si="1"/>
        <v>3.5099999357830196</v>
      </c>
      <c r="V68" s="2015"/>
      <c r="X68" s="2099">
        <v>1</v>
      </c>
      <c r="Y68" s="1712">
        <v>3.51</v>
      </c>
      <c r="Z68" s="2119">
        <f t="shared" si="2"/>
        <v>0</v>
      </c>
      <c r="AA68" s="2119">
        <f t="shared" si="3"/>
        <v>0</v>
      </c>
      <c r="AB68" s="2119"/>
      <c r="AC68" s="2119"/>
    </row>
    <row r="69" spans="1:29" s="1942" customFormat="1" ht="12" customHeight="1" outlineLevel="3">
      <c r="A69" s="1944"/>
      <c r="B69" s="1978" t="s">
        <v>3455</v>
      </c>
      <c r="C69" s="1810"/>
      <c r="D69" s="2008" t="s">
        <v>3456</v>
      </c>
      <c r="E69" s="2009" t="s">
        <v>3457</v>
      </c>
      <c r="F69" s="1462" t="s">
        <v>3342</v>
      </c>
      <c r="G69" s="1953" t="s">
        <v>4116</v>
      </c>
      <c r="H69" s="1947" t="s">
        <v>107</v>
      </c>
      <c r="I69" s="1948">
        <f>$G$4</f>
        <v>10</v>
      </c>
      <c r="J69" s="2099">
        <v>4</v>
      </c>
      <c r="K69" s="2016" t="s">
        <v>4040</v>
      </c>
      <c r="L69" s="1947" t="s">
        <v>4041</v>
      </c>
      <c r="M69" s="1754">
        <f t="shared" si="23"/>
        <v>40</v>
      </c>
      <c r="N69" s="1712">
        <v>16000</v>
      </c>
      <c r="O69" s="1712">
        <f t="shared" si="24"/>
        <v>64</v>
      </c>
      <c r="P69" s="1712">
        <f t="shared" si="25"/>
        <v>14678.9</v>
      </c>
      <c r="Q69" s="1712">
        <f t="shared" si="26"/>
        <v>58.715595999999998</v>
      </c>
      <c r="R69" s="1757">
        <v>0.09</v>
      </c>
      <c r="S69" s="1712">
        <f t="shared" si="27"/>
        <v>5.2844040000000021</v>
      </c>
      <c r="T69" s="1712">
        <f t="shared" si="0"/>
        <v>9.9224691496556439</v>
      </c>
      <c r="U69" s="1712">
        <f t="shared" si="1"/>
        <v>10.815491433961792</v>
      </c>
      <c r="V69" s="2015"/>
      <c r="X69" s="2099">
        <v>1</v>
      </c>
      <c r="Y69" s="1712"/>
      <c r="Z69" s="2119">
        <f t="shared" si="2"/>
        <v>3</v>
      </c>
      <c r="AA69" s="2119">
        <f t="shared" si="3"/>
        <v>16000</v>
      </c>
      <c r="AB69" s="2119"/>
      <c r="AC69" s="2119"/>
    </row>
    <row r="70" spans="1:29" s="1942" customFormat="1" ht="14" customHeight="1" outlineLevel="3">
      <c r="A70" s="1944"/>
      <c r="B70" s="1978" t="s">
        <v>3458</v>
      </c>
      <c r="C70" s="1810"/>
      <c r="D70" s="2008" t="s">
        <v>3459</v>
      </c>
      <c r="E70" s="2009" t="s">
        <v>3460</v>
      </c>
      <c r="F70" s="1462" t="s">
        <v>3342</v>
      </c>
      <c r="G70" s="1953" t="s">
        <v>4116</v>
      </c>
      <c r="H70" s="1975" t="s">
        <v>10</v>
      </c>
      <c r="I70" s="1712">
        <f>$E$5</f>
        <v>59174.38</v>
      </c>
      <c r="J70" s="2099">
        <v>1</v>
      </c>
      <c r="K70" s="1950" t="s">
        <v>101</v>
      </c>
      <c r="L70" s="1947" t="s">
        <v>10</v>
      </c>
      <c r="M70" s="1754">
        <f t="shared" si="23"/>
        <v>59174.38</v>
      </c>
      <c r="N70" s="1712">
        <v>8</v>
      </c>
      <c r="O70" s="1712">
        <f t="shared" si="24"/>
        <v>47.339503999999998</v>
      </c>
      <c r="P70" s="1712">
        <f t="shared" si="25"/>
        <v>7.34</v>
      </c>
      <c r="Q70" s="1712">
        <f t="shared" si="26"/>
        <v>43.430737999999998</v>
      </c>
      <c r="R70" s="1757">
        <v>0.09</v>
      </c>
      <c r="S70" s="1712">
        <f t="shared" si="27"/>
        <v>3.908766</v>
      </c>
      <c r="T70" s="1712">
        <f t="shared" si="0"/>
        <v>7.3394496064006081</v>
      </c>
      <c r="U70" s="1712">
        <f t="shared" si="1"/>
        <v>8</v>
      </c>
      <c r="V70" s="1952"/>
      <c r="X70" s="2099">
        <v>1</v>
      </c>
      <c r="Y70" s="1712">
        <v>2.34</v>
      </c>
      <c r="Z70" s="2119">
        <f t="shared" si="2"/>
        <v>0</v>
      </c>
      <c r="AA70" s="2119">
        <f t="shared" si="3"/>
        <v>5.66</v>
      </c>
      <c r="AB70" s="2119"/>
      <c r="AC70" s="2119"/>
    </row>
    <row r="71" spans="1:29" s="1942" customFormat="1" ht="14" customHeight="1" outlineLevel="2">
      <c r="A71" s="1944"/>
      <c r="B71" s="1978" t="s">
        <v>3461</v>
      </c>
      <c r="C71" s="1810"/>
      <c r="D71" s="2017" t="s">
        <v>667</v>
      </c>
      <c r="E71" s="2009"/>
      <c r="F71" s="1462"/>
      <c r="G71" s="1953" t="s">
        <v>4117</v>
      </c>
      <c r="H71" s="1947"/>
      <c r="I71" s="1948"/>
      <c r="J71" s="2099"/>
      <c r="K71" s="2016"/>
      <c r="L71" s="1947"/>
      <c r="M71" s="1950"/>
      <c r="N71" s="1712"/>
      <c r="O71" s="1712">
        <f>SUBTOTAL(9,O72:O75)</f>
        <v>402.385784</v>
      </c>
      <c r="P71" s="1712"/>
      <c r="Q71" s="1712">
        <f>SUBTOTAL(9,Q72:Q75)</f>
        <v>369.16127</v>
      </c>
      <c r="R71" s="1712"/>
      <c r="S71" s="1712">
        <f>SUBTOTAL(9,S72:S75)</f>
        <v>33.224513999999999</v>
      </c>
      <c r="T71" s="1712">
        <f t="shared" si="0"/>
        <v>62.385321147429011</v>
      </c>
      <c r="U71" s="1712">
        <f t="shared" si="1"/>
        <v>68</v>
      </c>
      <c r="V71" s="2015"/>
      <c r="X71" s="2099"/>
      <c r="Y71" s="1712"/>
      <c r="Z71" s="2119">
        <f t="shared" si="2"/>
        <v>0</v>
      </c>
      <c r="AA71" s="2119">
        <f t="shared" si="3"/>
        <v>0</v>
      </c>
      <c r="AB71" s="2119"/>
      <c r="AC71" s="2119"/>
    </row>
    <row r="72" spans="1:29" s="1942" customFormat="1" ht="14"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f t="shared" si="0"/>
        <v>0</v>
      </c>
      <c r="U72" s="1712">
        <f t="shared" si="1"/>
        <v>0</v>
      </c>
      <c r="V72" s="1952"/>
      <c r="X72" s="2099">
        <v>1</v>
      </c>
      <c r="Y72" s="1712"/>
      <c r="Z72" s="2119">
        <f t="shared" si="2"/>
        <v>0</v>
      </c>
      <c r="AA72" s="2119">
        <f t="shared" si="3"/>
        <v>0</v>
      </c>
      <c r="AB72" s="2119"/>
      <c r="AC72" s="2119"/>
    </row>
    <row r="73" spans="1:29" s="1942" customFormat="1" ht="14" customHeight="1" outlineLevel="4">
      <c r="A73" s="1944"/>
      <c r="B73" s="1985" t="s">
        <v>4042</v>
      </c>
      <c r="C73" s="1828"/>
      <c r="D73" s="2018" t="s">
        <v>4043</v>
      </c>
      <c r="E73" s="2011"/>
      <c r="F73" s="1988" t="s">
        <v>1502</v>
      </c>
      <c r="G73" s="1989" t="s">
        <v>4133</v>
      </c>
      <c r="H73" s="2012" t="s">
        <v>10</v>
      </c>
      <c r="I73" s="1991">
        <f>$E$5</f>
        <v>59174.38</v>
      </c>
      <c r="J73" s="2124">
        <v>1</v>
      </c>
      <c r="K73" s="2000" t="s">
        <v>101</v>
      </c>
      <c r="L73" s="1990" t="s">
        <v>10</v>
      </c>
      <c r="M73" s="1991">
        <f t="shared" ref="M73:M83" si="28">ROUND(I73,2)*ROUND(J73,4)</f>
        <v>59174.38</v>
      </c>
      <c r="N73" s="1991">
        <v>0</v>
      </c>
      <c r="O73" s="1991">
        <f>ROUND(M73*ROUND(N73,2)/10000,6)</f>
        <v>0</v>
      </c>
      <c r="P73" s="1991">
        <f>IFERROR(ROUND(Q73*10000/M73,2),0)</f>
        <v>0</v>
      </c>
      <c r="Q73" s="1991">
        <f>ROUND(O73/(1+R73),6)</f>
        <v>0</v>
      </c>
      <c r="R73" s="1993">
        <v>0.09</v>
      </c>
      <c r="S73" s="1991">
        <f>O73-Q73</f>
        <v>0</v>
      </c>
      <c r="T73" s="1991">
        <f t="shared" si="0"/>
        <v>0</v>
      </c>
      <c r="U73" s="1991">
        <f t="shared" si="1"/>
        <v>0</v>
      </c>
      <c r="V73" s="1994"/>
      <c r="X73" s="2124">
        <v>1</v>
      </c>
      <c r="Y73" s="1991"/>
      <c r="Z73" s="2119">
        <f t="shared" si="2"/>
        <v>0</v>
      </c>
      <c r="AA73" s="2119">
        <f t="shared" si="3"/>
        <v>0</v>
      </c>
      <c r="AB73" s="2119"/>
      <c r="AC73" s="2119"/>
    </row>
    <row r="74" spans="1:29" s="1942" customFormat="1" ht="13.75" customHeight="1" outlineLevel="4">
      <c r="A74" s="1944"/>
      <c r="B74" s="1985" t="s">
        <v>4044</v>
      </c>
      <c r="C74" s="1828"/>
      <c r="D74" s="2018" t="s">
        <v>4045</v>
      </c>
      <c r="E74" s="2011"/>
      <c r="F74" s="1988" t="s">
        <v>1505</v>
      </c>
      <c r="G74" s="1989" t="s">
        <v>4134</v>
      </c>
      <c r="H74" s="2012" t="s">
        <v>3926</v>
      </c>
      <c r="I74" s="1991">
        <f>$G$7</f>
        <v>505</v>
      </c>
      <c r="J74" s="2124">
        <v>1</v>
      </c>
      <c r="K74" s="2000" t="s">
        <v>3947</v>
      </c>
      <c r="L74" s="1990" t="s">
        <v>3926</v>
      </c>
      <c r="M74" s="1991">
        <f t="shared" si="28"/>
        <v>505</v>
      </c>
      <c r="N74" s="1991">
        <v>0</v>
      </c>
      <c r="O74" s="1991">
        <f>ROUND(M74*ROUND(N74,2)/10000,6)</f>
        <v>0</v>
      </c>
      <c r="P74" s="1991">
        <f>IFERROR(ROUND(Q74*10000/M74,2),0)</f>
        <v>0</v>
      </c>
      <c r="Q74" s="1991">
        <f>ROUND(O74/(1+R74),6)</f>
        <v>0</v>
      </c>
      <c r="R74" s="1993">
        <v>0</v>
      </c>
      <c r="S74" s="1991">
        <f>O74-Q74</f>
        <v>0</v>
      </c>
      <c r="T74" s="1991">
        <f t="shared" si="0"/>
        <v>0</v>
      </c>
      <c r="U74" s="1991">
        <f t="shared" si="1"/>
        <v>0</v>
      </c>
      <c r="V74" s="1994"/>
      <c r="X74" s="2124">
        <v>1</v>
      </c>
      <c r="Y74" s="1991"/>
      <c r="Z74" s="2119">
        <f t="shared" si="2"/>
        <v>0</v>
      </c>
      <c r="AA74" s="2119">
        <f t="shared" si="3"/>
        <v>0</v>
      </c>
      <c r="AB74" s="2119"/>
      <c r="AC74" s="2119"/>
    </row>
    <row r="75" spans="1:29" s="1942" customFormat="1" ht="14" customHeight="1" outlineLevel="3">
      <c r="A75" s="1944"/>
      <c r="B75" s="1978" t="s">
        <v>3465</v>
      </c>
      <c r="C75" s="1810"/>
      <c r="D75" s="2008" t="s">
        <v>3466</v>
      </c>
      <c r="E75" s="2009" t="s">
        <v>3467</v>
      </c>
      <c r="F75" s="1462" t="s">
        <v>1502</v>
      </c>
      <c r="G75" s="1953" t="s">
        <v>4133</v>
      </c>
      <c r="H75" s="1975" t="s">
        <v>10</v>
      </c>
      <c r="I75" s="1712">
        <f>$E$5</f>
        <v>59174.38</v>
      </c>
      <c r="J75" s="2099">
        <v>1</v>
      </c>
      <c r="K75" s="1950" t="s">
        <v>101</v>
      </c>
      <c r="L75" s="1947" t="s">
        <v>10</v>
      </c>
      <c r="M75" s="1754">
        <f t="shared" si="28"/>
        <v>59174.38</v>
      </c>
      <c r="N75" s="1712">
        <v>68</v>
      </c>
      <c r="O75" s="1712">
        <f>ROUND(M75*ROUND(N75,2)/10000,6)</f>
        <v>402.385784</v>
      </c>
      <c r="P75" s="1712">
        <f>IFERROR(ROUND(Q75*10000/M75,2),0)</f>
        <v>62.39</v>
      </c>
      <c r="Q75" s="1712">
        <f>ROUND(O75/(1+R75),6)</f>
        <v>369.16127</v>
      </c>
      <c r="R75" s="1757">
        <v>0.09</v>
      </c>
      <c r="S75" s="1712">
        <f>O75-Q75</f>
        <v>33.224513999999999</v>
      </c>
      <c r="T75" s="1712">
        <f t="shared" ref="T75:T138" si="29">IFERROR(Q75*10000/$E$6,"")</f>
        <v>62.385321147429011</v>
      </c>
      <c r="U75" s="1712">
        <f t="shared" ref="U75:U138" si="30">IFERROR(O75*10000/$E$6,"")</f>
        <v>68</v>
      </c>
      <c r="V75" s="1952"/>
      <c r="X75" s="2099">
        <v>1</v>
      </c>
      <c r="Y75" s="1712">
        <v>0</v>
      </c>
      <c r="Z75" s="2119">
        <f t="shared" si="2"/>
        <v>0</v>
      </c>
      <c r="AA75" s="2119">
        <f t="shared" si="3"/>
        <v>68</v>
      </c>
      <c r="AB75" s="2119"/>
      <c r="AC75" s="2119"/>
    </row>
    <row r="76" spans="1:29" s="1942" customFormat="1" ht="14" customHeight="1" outlineLevel="2">
      <c r="A76" s="1944"/>
      <c r="B76" s="1978" t="s">
        <v>3468</v>
      </c>
      <c r="C76" s="1810"/>
      <c r="D76" s="2008" t="s">
        <v>668</v>
      </c>
      <c r="E76" s="2009" t="s">
        <v>3469</v>
      </c>
      <c r="F76" s="1462" t="s">
        <v>3470</v>
      </c>
      <c r="G76" s="1953" t="s">
        <v>4135</v>
      </c>
      <c r="H76" s="1975" t="s">
        <v>3926</v>
      </c>
      <c r="I76" s="1712">
        <f>$G$7</f>
        <v>505</v>
      </c>
      <c r="J76" s="2099">
        <v>1</v>
      </c>
      <c r="K76" s="1950" t="s">
        <v>3947</v>
      </c>
      <c r="L76" s="1947" t="s">
        <v>3926</v>
      </c>
      <c r="M76" s="1754">
        <f t="shared" si="28"/>
        <v>505</v>
      </c>
      <c r="N76" s="1712">
        <v>2683</v>
      </c>
      <c r="O76" s="1712">
        <f>ROUND(M76*ROUND(N76,2)/10000,6)</f>
        <v>135.4915</v>
      </c>
      <c r="P76" s="1712">
        <f>IFERROR(ROUND(Q76*10000/M76,2),0)</f>
        <v>2374.34</v>
      </c>
      <c r="Q76" s="1712">
        <f>ROUND(O76/(1+R76),6)</f>
        <v>119.903982</v>
      </c>
      <c r="R76" s="1757">
        <v>0.13</v>
      </c>
      <c r="S76" s="1712">
        <f>O76-Q76</f>
        <v>15.587518000000003</v>
      </c>
      <c r="T76" s="1712">
        <f t="shared" si="29"/>
        <v>20.262820159670454</v>
      </c>
      <c r="U76" s="1712">
        <f t="shared" si="30"/>
        <v>22.89698683788491</v>
      </c>
      <c r="V76" s="1952"/>
      <c r="X76" s="2099">
        <v>1</v>
      </c>
      <c r="Y76" s="1712"/>
      <c r="Z76" s="2119">
        <f t="shared" si="2"/>
        <v>0</v>
      </c>
      <c r="AA76" s="2119">
        <f t="shared" si="3"/>
        <v>2683</v>
      </c>
      <c r="AB76" s="2119"/>
      <c r="AC76" s="2119"/>
    </row>
    <row r="77" spans="1:29" s="1942" customFormat="1" ht="14" customHeight="1" outlineLevel="2">
      <c r="A77" s="1944"/>
      <c r="B77" s="1978" t="s">
        <v>3471</v>
      </c>
      <c r="C77" s="1810"/>
      <c r="D77" s="2008" t="s">
        <v>3472</v>
      </c>
      <c r="E77" s="2009"/>
      <c r="F77" s="1462"/>
      <c r="G77" s="1953" t="s">
        <v>4117</v>
      </c>
      <c r="H77" s="1947"/>
      <c r="I77" s="1948"/>
      <c r="J77" s="2099"/>
      <c r="K77" s="2016"/>
      <c r="L77" s="1947"/>
      <c r="M77" s="1754"/>
      <c r="N77" s="1712"/>
      <c r="O77" s="1712">
        <f>SUBTOTAL(9,O78:O81)</f>
        <v>414</v>
      </c>
      <c r="P77" s="1712"/>
      <c r="Q77" s="1712">
        <f>SUBTOTAL(9,Q78:Q81)</f>
        <v>370.106357</v>
      </c>
      <c r="R77" s="1712"/>
      <c r="S77" s="1712">
        <f>SUBTOTAL(9,S78:S81)</f>
        <v>43.893643000000012</v>
      </c>
      <c r="T77" s="1712">
        <f t="shared" si="29"/>
        <v>62.545033340442266</v>
      </c>
      <c r="U77" s="1712">
        <f t="shared" si="30"/>
        <v>69.962710213440346</v>
      </c>
      <c r="V77" s="2015"/>
      <c r="X77" s="2099"/>
      <c r="Y77" s="1712"/>
      <c r="Z77" s="2119">
        <f t="shared" si="2"/>
        <v>0</v>
      </c>
      <c r="AA77" s="2119">
        <f t="shared" si="3"/>
        <v>0</v>
      </c>
      <c r="AB77" s="2119"/>
      <c r="AC77" s="2119"/>
    </row>
    <row r="78" spans="1:29" s="1942" customFormat="1" ht="14" customHeight="1" outlineLevel="3">
      <c r="A78" s="1944"/>
      <c r="B78" s="1978" t="s">
        <v>3473</v>
      </c>
      <c r="C78" s="1810"/>
      <c r="D78" s="2008" t="s">
        <v>3474</v>
      </c>
      <c r="E78" s="2009" t="s">
        <v>3475</v>
      </c>
      <c r="F78" s="1462" t="s">
        <v>456</v>
      </c>
      <c r="G78" s="1953" t="s">
        <v>4136</v>
      </c>
      <c r="H78" s="1947" t="s">
        <v>18</v>
      </c>
      <c r="I78" s="1948">
        <f>$G$5</f>
        <v>23</v>
      </c>
      <c r="J78" s="2099">
        <v>1</v>
      </c>
      <c r="K78" s="2016" t="s">
        <v>4046</v>
      </c>
      <c r="L78" s="1947" t="s">
        <v>4047</v>
      </c>
      <c r="M78" s="1754">
        <f t="shared" si="28"/>
        <v>23</v>
      </c>
      <c r="N78" s="1712">
        <v>130000</v>
      </c>
      <c r="O78" s="1712">
        <f>ROUND(M78*ROUND(N78,2)/10000,6)</f>
        <v>299</v>
      </c>
      <c r="P78" s="1712">
        <f>IFERROR(ROUND(Q78*10000/M78,2),0)</f>
        <v>115044.25</v>
      </c>
      <c r="Q78" s="1712">
        <f>ROUND(O78/(1+R78),6)</f>
        <v>264.60176999999999</v>
      </c>
      <c r="R78" s="1757">
        <v>0.13</v>
      </c>
      <c r="S78" s="1712">
        <f>O78-Q78</f>
        <v>34.398230000000012</v>
      </c>
      <c r="T78" s="1712">
        <f t="shared" si="29"/>
        <v>44.715596513220753</v>
      </c>
      <c r="U78" s="1712">
        <f t="shared" si="30"/>
        <v>50.528624043040253</v>
      </c>
      <c r="V78" s="1952"/>
      <c r="X78" s="2099">
        <v>1</v>
      </c>
      <c r="Y78" s="1712"/>
      <c r="Z78" s="2119">
        <f t="shared" ref="Z78:Z141" si="31">J78-X78</f>
        <v>0</v>
      </c>
      <c r="AA78" s="2119">
        <f t="shared" ref="AA78:AA141" si="32">N78-Y78</f>
        <v>130000</v>
      </c>
      <c r="AB78" s="2119"/>
      <c r="AC78" s="2119"/>
    </row>
    <row r="79" spans="1:29" s="1942" customFormat="1" ht="14" customHeight="1" outlineLevel="3">
      <c r="A79" s="1944"/>
      <c r="B79" s="1978" t="s">
        <v>3476</v>
      </c>
      <c r="C79" s="1810"/>
      <c r="D79" s="2008" t="s">
        <v>3477</v>
      </c>
      <c r="E79" s="2009" t="s">
        <v>3478</v>
      </c>
      <c r="F79" s="1462" t="s">
        <v>460</v>
      </c>
      <c r="G79" s="1953" t="s">
        <v>4137</v>
      </c>
      <c r="H79" s="1947" t="s">
        <v>18</v>
      </c>
      <c r="I79" s="1948">
        <f>$G$5</f>
        <v>23</v>
      </c>
      <c r="J79" s="2099">
        <v>1</v>
      </c>
      <c r="K79" s="2016" t="s">
        <v>4046</v>
      </c>
      <c r="L79" s="1947" t="s">
        <v>4047</v>
      </c>
      <c r="M79" s="1754">
        <f t="shared" si="28"/>
        <v>23</v>
      </c>
      <c r="N79" s="1712">
        <v>50000</v>
      </c>
      <c r="O79" s="1712">
        <f>ROUND(M79*ROUND(N79,2)/10000,6)</f>
        <v>115</v>
      </c>
      <c r="P79" s="1712">
        <f>IFERROR(ROUND(Q79*10000/M79,2),0)</f>
        <v>45871.56</v>
      </c>
      <c r="Q79" s="1712">
        <f>ROUND(O79/(1+R79),6)</f>
        <v>105.504587</v>
      </c>
      <c r="R79" s="1757">
        <v>0.09</v>
      </c>
      <c r="S79" s="1712">
        <f>O79-Q79</f>
        <v>9.4954129999999992</v>
      </c>
      <c r="T79" s="1712">
        <f t="shared" si="29"/>
        <v>17.829436827221514</v>
      </c>
      <c r="U79" s="1712">
        <f t="shared" si="30"/>
        <v>19.434086170400096</v>
      </c>
      <c r="V79" s="1952"/>
      <c r="X79" s="2099">
        <v>1</v>
      </c>
      <c r="Y79" s="1712"/>
      <c r="Z79" s="2119">
        <f t="shared" si="31"/>
        <v>0</v>
      </c>
      <c r="AA79" s="2119">
        <f t="shared" si="32"/>
        <v>50000</v>
      </c>
      <c r="AB79" s="2119"/>
      <c r="AC79" s="2119"/>
    </row>
    <row r="80" spans="1:29" s="1942" customFormat="1" ht="14"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28"/>
        <v>0</v>
      </c>
      <c r="N80" s="1712"/>
      <c r="O80" s="1712">
        <f>ROUND(M80*ROUND(N80,2)/10000,6)</f>
        <v>0</v>
      </c>
      <c r="P80" s="1712">
        <f>IFERROR(ROUND(Q80*10000/M80,2),0)</f>
        <v>0</v>
      </c>
      <c r="Q80" s="1712">
        <f>ROUND(O80/(1+R80),6)</f>
        <v>0</v>
      </c>
      <c r="R80" s="1757">
        <v>0.13</v>
      </c>
      <c r="S80" s="1712">
        <f>O80-Q80</f>
        <v>0</v>
      </c>
      <c r="T80" s="1712">
        <f t="shared" si="29"/>
        <v>0</v>
      </c>
      <c r="U80" s="1712">
        <f t="shared" si="30"/>
        <v>0</v>
      </c>
      <c r="V80" s="2015"/>
      <c r="X80" s="2099">
        <v>1</v>
      </c>
      <c r="Y80" s="1712"/>
      <c r="Z80" s="2119">
        <f t="shared" si="31"/>
        <v>-1</v>
      </c>
      <c r="AA80" s="2119">
        <f t="shared" si="32"/>
        <v>0</v>
      </c>
      <c r="AB80" s="2119"/>
      <c r="AC80" s="2119"/>
    </row>
    <row r="81" spans="1:29" s="1942" customFormat="1" ht="14"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28"/>
        <v>0</v>
      </c>
      <c r="N81" s="1712"/>
      <c r="O81" s="1712">
        <f>ROUND(M81*ROUND(N81,2)/10000,6)</f>
        <v>0</v>
      </c>
      <c r="P81" s="1712">
        <f>IFERROR(ROUND(Q81*10000/M81,2),0)</f>
        <v>0</v>
      </c>
      <c r="Q81" s="1712">
        <f>ROUND(O81/(1+R81),6)</f>
        <v>0</v>
      </c>
      <c r="R81" s="1757">
        <v>0.09</v>
      </c>
      <c r="S81" s="1712">
        <f>O81-Q81</f>
        <v>0</v>
      </c>
      <c r="T81" s="1712">
        <f t="shared" si="29"/>
        <v>0</v>
      </c>
      <c r="U81" s="1712">
        <f t="shared" si="30"/>
        <v>0</v>
      </c>
      <c r="V81" s="2015"/>
      <c r="X81" s="2099">
        <v>1</v>
      </c>
      <c r="Y81" s="1712"/>
      <c r="Z81" s="2119">
        <f t="shared" si="31"/>
        <v>-1</v>
      </c>
      <c r="AA81" s="2119">
        <f t="shared" si="32"/>
        <v>0</v>
      </c>
      <c r="AB81" s="2119"/>
      <c r="AC81" s="2119"/>
    </row>
    <row r="82" spans="1:29" s="1942" customFormat="1" ht="14" customHeight="1" outlineLevel="2">
      <c r="A82" s="1944"/>
      <c r="B82" s="1978" t="s">
        <v>3484</v>
      </c>
      <c r="C82" s="1810"/>
      <c r="D82" s="2008" t="s">
        <v>3485</v>
      </c>
      <c r="E82" s="2009"/>
      <c r="F82" s="1462"/>
      <c r="G82" s="1953" t="s">
        <v>4117</v>
      </c>
      <c r="H82" s="1947"/>
      <c r="I82" s="1948"/>
      <c r="J82" s="2099"/>
      <c r="K82" s="2016"/>
      <c r="L82" s="1947"/>
      <c r="M82" s="1950"/>
      <c r="N82" s="1712"/>
      <c r="O82" s="1712">
        <f>SUBTOTAL(9,O83:O93)</f>
        <v>304.74805699999996</v>
      </c>
      <c r="P82" s="1712"/>
      <c r="Q82" s="1712">
        <f>SUBTOTAL(9,Q83:Q93)</f>
        <v>278.62451700000003</v>
      </c>
      <c r="R82" s="1712"/>
      <c r="S82" s="1712">
        <f>SUBTOTAL(9,S83:S93)</f>
        <v>26.123539999999998</v>
      </c>
      <c r="T82" s="1712">
        <f t="shared" si="29"/>
        <v>47.085329326644413</v>
      </c>
      <c r="U82" s="1712">
        <f t="shared" si="30"/>
        <v>51.5</v>
      </c>
      <c r="V82" s="2015"/>
      <c r="X82" s="2099"/>
      <c r="Y82" s="1712"/>
      <c r="Z82" s="2119">
        <f t="shared" si="31"/>
        <v>0</v>
      </c>
      <c r="AA82" s="2119">
        <f t="shared" si="32"/>
        <v>0</v>
      </c>
      <c r="AB82" s="2119"/>
      <c r="AC82" s="2119"/>
    </row>
    <row r="83" spans="1:29" s="1942" customFormat="1" ht="14" customHeight="1" outlineLevel="3">
      <c r="A83" s="1944"/>
      <c r="B83" s="1978" t="s">
        <v>3486</v>
      </c>
      <c r="C83" s="1810"/>
      <c r="D83" s="2017" t="s">
        <v>3487</v>
      </c>
      <c r="E83" s="2009" t="s">
        <v>3488</v>
      </c>
      <c r="F83" s="1462" t="s">
        <v>455</v>
      </c>
      <c r="G83" s="1953" t="s">
        <v>4128</v>
      </c>
      <c r="H83" s="1975" t="s">
        <v>10</v>
      </c>
      <c r="I83" s="1712">
        <f>$E$5</f>
        <v>59174.38</v>
      </c>
      <c r="J83" s="2147">
        <v>1</v>
      </c>
      <c r="K83" s="1950" t="s">
        <v>101</v>
      </c>
      <c r="L83" s="1947" t="s">
        <v>10</v>
      </c>
      <c r="M83" s="1754">
        <f t="shared" si="28"/>
        <v>59174.38</v>
      </c>
      <c r="N83" s="1756">
        <v>14</v>
      </c>
      <c r="O83" s="1712">
        <f>ROUND(M83*ROUND(N83,2)/10000,6)</f>
        <v>82.844132000000002</v>
      </c>
      <c r="P83" s="1712">
        <f>IFERROR(ROUND(Q83*10000/M83,2),0)</f>
        <v>12.84</v>
      </c>
      <c r="Q83" s="1712">
        <f>ROUND(O83/(1+R83),6)</f>
        <v>76.003791000000007</v>
      </c>
      <c r="R83" s="1757">
        <v>0.09</v>
      </c>
      <c r="S83" s="1712">
        <f>O83-Q83</f>
        <v>6.8403409999999951</v>
      </c>
      <c r="T83" s="1712">
        <f t="shared" si="29"/>
        <v>12.844036726705038</v>
      </c>
      <c r="U83" s="1712">
        <f t="shared" si="30"/>
        <v>14.000000000000002</v>
      </c>
      <c r="V83" s="1952"/>
      <c r="X83" s="2099">
        <v>1</v>
      </c>
      <c r="Y83" s="1712">
        <v>25</v>
      </c>
      <c r="Z83" s="2119">
        <f t="shared" si="31"/>
        <v>0</v>
      </c>
      <c r="AA83" s="2119">
        <f t="shared" si="32"/>
        <v>-11</v>
      </c>
      <c r="AB83" s="2119"/>
      <c r="AC83" s="2119"/>
    </row>
    <row r="84" spans="1:29" s="1942" customFormat="1" ht="14" customHeight="1" outlineLevel="3">
      <c r="A84" s="1944"/>
      <c r="B84" s="1978" t="s">
        <v>3489</v>
      </c>
      <c r="C84" s="1810"/>
      <c r="D84" s="2017" t="s">
        <v>3490</v>
      </c>
      <c r="E84" s="2009" t="s">
        <v>3491</v>
      </c>
      <c r="F84" s="1462"/>
      <c r="G84" s="1953" t="s">
        <v>4117</v>
      </c>
      <c r="H84" s="1975"/>
      <c r="I84" s="1712"/>
      <c r="J84" s="2099"/>
      <c r="K84" s="1950"/>
      <c r="L84" s="1947" t="s">
        <v>10</v>
      </c>
      <c r="M84" s="1754"/>
      <c r="N84" s="1712"/>
      <c r="O84" s="1712">
        <f>SUBTOTAL(9,O85:O86)</f>
        <v>147.93594999999999</v>
      </c>
      <c r="P84" s="1983"/>
      <c r="Q84" s="1712">
        <f>SUBTOTAL(9,Q85:Q86)</f>
        <v>134.760198</v>
      </c>
      <c r="R84" s="1757"/>
      <c r="S84" s="1712">
        <f>SUBTOTAL(9,S85:S86)</f>
        <v>13.175752000000003</v>
      </c>
      <c r="T84" s="1712">
        <f t="shared" si="29"/>
        <v>22.773402611062423</v>
      </c>
      <c r="U84" s="1712">
        <f t="shared" si="30"/>
        <v>25</v>
      </c>
      <c r="V84" s="1952"/>
      <c r="X84" s="2099"/>
      <c r="Y84" s="1712"/>
      <c r="Z84" s="2119">
        <f t="shared" si="31"/>
        <v>0</v>
      </c>
      <c r="AA84" s="2119">
        <f t="shared" si="32"/>
        <v>0</v>
      </c>
      <c r="AB84" s="2119"/>
      <c r="AC84" s="2119"/>
    </row>
    <row r="85" spans="1:29" s="1942" customFormat="1" ht="14" customHeight="1" outlineLevel="4">
      <c r="A85" s="1944"/>
      <c r="B85" s="1985" t="s">
        <v>4049</v>
      </c>
      <c r="C85" s="1828"/>
      <c r="D85" s="2018" t="s">
        <v>4050</v>
      </c>
      <c r="E85" s="2011"/>
      <c r="F85" s="1988" t="s">
        <v>455</v>
      </c>
      <c r="G85" s="1989" t="s">
        <v>4128</v>
      </c>
      <c r="H85" s="2012" t="s">
        <v>10</v>
      </c>
      <c r="I85" s="1991">
        <f>$E$5</f>
        <v>59174.38</v>
      </c>
      <c r="J85" s="2147">
        <v>1</v>
      </c>
      <c r="K85" s="2000" t="s">
        <v>101</v>
      </c>
      <c r="L85" s="1990" t="s">
        <v>10</v>
      </c>
      <c r="M85" s="1991">
        <f t="shared" ref="M85:M94" si="33">ROUND(I85,2)*ROUND(J85,4)</f>
        <v>59174.38</v>
      </c>
      <c r="N85" s="1756">
        <v>20</v>
      </c>
      <c r="O85" s="1991">
        <f t="shared" ref="O85:O94" si="34">ROUND(M85*ROUND(N85,2)/10000,6)</f>
        <v>118.34876</v>
      </c>
      <c r="P85" s="1991">
        <f t="shared" ref="P85:P94" si="35">IFERROR(ROUND(Q85*10000/M85,2),0)</f>
        <v>18.350000000000001</v>
      </c>
      <c r="Q85" s="1991">
        <f t="shared" ref="Q85:Q94" si="36">ROUND(O85/(1+R85),6)</f>
        <v>108.57684399999999</v>
      </c>
      <c r="R85" s="1993">
        <v>0.09</v>
      </c>
      <c r="S85" s="1991">
        <f t="shared" ref="S85:S94" si="37">O85-Q85</f>
        <v>9.7719160000000045</v>
      </c>
      <c r="T85" s="1991">
        <f t="shared" si="29"/>
        <v>18.348623847009467</v>
      </c>
      <c r="U85" s="1991">
        <f t="shared" si="30"/>
        <v>20.000000000000004</v>
      </c>
      <c r="V85" s="1994"/>
      <c r="X85" s="2124">
        <v>1</v>
      </c>
      <c r="Y85" s="1991">
        <v>30</v>
      </c>
      <c r="Z85" s="2119">
        <f t="shared" si="31"/>
        <v>0</v>
      </c>
      <c r="AA85" s="2119">
        <f t="shared" si="32"/>
        <v>-10</v>
      </c>
      <c r="AB85" s="2119"/>
      <c r="AC85" s="2119"/>
    </row>
    <row r="86" spans="1:29" s="1942" customFormat="1" ht="14" customHeight="1" outlineLevel="4">
      <c r="A86" s="1944"/>
      <c r="B86" s="1985" t="s">
        <v>4051</v>
      </c>
      <c r="C86" s="1828"/>
      <c r="D86" s="2018" t="s">
        <v>4052</v>
      </c>
      <c r="E86" s="2011"/>
      <c r="F86" s="1988" t="s">
        <v>3831</v>
      </c>
      <c r="G86" s="1989" t="s">
        <v>4138</v>
      </c>
      <c r="H86" s="2012" t="s">
        <v>10</v>
      </c>
      <c r="I86" s="1991">
        <f>$E$5</f>
        <v>59174.38</v>
      </c>
      <c r="J86" s="2124">
        <v>1</v>
      </c>
      <c r="K86" s="2000" t="s">
        <v>101</v>
      </c>
      <c r="L86" s="1990" t="s">
        <v>10</v>
      </c>
      <c r="M86" s="1991">
        <f t="shared" si="33"/>
        <v>59174.38</v>
      </c>
      <c r="N86" s="1991">
        <v>5</v>
      </c>
      <c r="O86" s="1991">
        <f t="shared" si="34"/>
        <v>29.58719</v>
      </c>
      <c r="P86" s="1991">
        <f t="shared" si="35"/>
        <v>4.42</v>
      </c>
      <c r="Q86" s="1991">
        <f t="shared" si="36"/>
        <v>26.183354000000001</v>
      </c>
      <c r="R86" s="1993">
        <v>0.13</v>
      </c>
      <c r="S86" s="1991">
        <f t="shared" si="37"/>
        <v>3.4038359999999983</v>
      </c>
      <c r="T86" s="1991">
        <f t="shared" si="29"/>
        <v>4.4247787640529568</v>
      </c>
      <c r="U86" s="1991">
        <f t="shared" si="30"/>
        <v>5.0000000000000009</v>
      </c>
      <c r="V86" s="1994"/>
      <c r="X86" s="2124">
        <v>1</v>
      </c>
      <c r="Y86" s="1991">
        <v>10</v>
      </c>
      <c r="Z86" s="2119">
        <f t="shared" si="31"/>
        <v>0</v>
      </c>
      <c r="AA86" s="2119">
        <f t="shared" si="32"/>
        <v>-5</v>
      </c>
      <c r="AB86" s="2119"/>
      <c r="AC86" s="2119"/>
    </row>
    <row r="87" spans="1:29" s="1942" customFormat="1" ht="14" customHeight="1" outlineLevel="3">
      <c r="A87" s="1944"/>
      <c r="B87" s="1978" t="s">
        <v>3492</v>
      </c>
      <c r="C87" s="1810"/>
      <c r="D87" s="2017" t="s">
        <v>3493</v>
      </c>
      <c r="E87" s="2009" t="s">
        <v>3494</v>
      </c>
      <c r="F87" s="1462" t="s">
        <v>455</v>
      </c>
      <c r="G87" s="1953" t="s">
        <v>4128</v>
      </c>
      <c r="H87" s="1975" t="s">
        <v>10</v>
      </c>
      <c r="I87" s="1712">
        <f>$E$5</f>
        <v>59174.38</v>
      </c>
      <c r="J87" s="2147">
        <v>1</v>
      </c>
      <c r="K87" s="1950" t="s">
        <v>101</v>
      </c>
      <c r="L87" s="1947" t="s">
        <v>10</v>
      </c>
      <c r="M87" s="1754">
        <f t="shared" si="33"/>
        <v>59174.38</v>
      </c>
      <c r="N87" s="1756">
        <v>10</v>
      </c>
      <c r="O87" s="1712">
        <f t="shared" si="34"/>
        <v>59.174379999999999</v>
      </c>
      <c r="P87" s="1712">
        <f t="shared" si="35"/>
        <v>9.17</v>
      </c>
      <c r="Q87" s="1712">
        <f t="shared" si="36"/>
        <v>54.288421999999997</v>
      </c>
      <c r="R87" s="1757">
        <v>0.09</v>
      </c>
      <c r="S87" s="1712">
        <f t="shared" si="37"/>
        <v>4.8859580000000022</v>
      </c>
      <c r="T87" s="1712">
        <f t="shared" si="29"/>
        <v>9.1743119235047335</v>
      </c>
      <c r="U87" s="1712">
        <f t="shared" si="30"/>
        <v>10.000000000000002</v>
      </c>
      <c r="V87" s="1952"/>
      <c r="X87" s="2099">
        <v>1</v>
      </c>
      <c r="Y87" s="1712">
        <v>15</v>
      </c>
      <c r="Z87" s="2119">
        <f t="shared" si="31"/>
        <v>0</v>
      </c>
      <c r="AA87" s="2119">
        <f t="shared" si="32"/>
        <v>-5</v>
      </c>
      <c r="AB87" s="2119"/>
      <c r="AC87" s="2119"/>
    </row>
    <row r="88" spans="1:29" s="1942" customFormat="1" ht="14" customHeight="1" outlineLevel="3">
      <c r="A88" s="1944"/>
      <c r="B88" s="1978" t="s">
        <v>3495</v>
      </c>
      <c r="C88" s="1810"/>
      <c r="D88" s="2017" t="s">
        <v>3496</v>
      </c>
      <c r="E88" s="2009" t="s">
        <v>3497</v>
      </c>
      <c r="F88" s="1462" t="s">
        <v>455</v>
      </c>
      <c r="G88" s="1953" t="s">
        <v>4128</v>
      </c>
      <c r="H88" s="1975" t="s">
        <v>10</v>
      </c>
      <c r="I88" s="1712">
        <f t="shared" ref="I88:I99" si="38">$E$5</f>
        <v>59174.38</v>
      </c>
      <c r="J88" s="2099">
        <v>1</v>
      </c>
      <c r="K88" s="1950" t="s">
        <v>101</v>
      </c>
      <c r="L88" s="1947" t="s">
        <v>10</v>
      </c>
      <c r="M88" s="1754">
        <f t="shared" si="33"/>
        <v>59174.38</v>
      </c>
      <c r="N88" s="1712"/>
      <c r="O88" s="1712">
        <f t="shared" si="34"/>
        <v>0</v>
      </c>
      <c r="P88" s="1712">
        <f t="shared" si="35"/>
        <v>0</v>
      </c>
      <c r="Q88" s="1712">
        <f t="shared" si="36"/>
        <v>0</v>
      </c>
      <c r="R88" s="1757">
        <v>0.09</v>
      </c>
      <c r="S88" s="1712">
        <f t="shared" si="37"/>
        <v>0</v>
      </c>
      <c r="T88" s="1712">
        <f t="shared" si="29"/>
        <v>0</v>
      </c>
      <c r="U88" s="1712">
        <f t="shared" si="30"/>
        <v>0</v>
      </c>
      <c r="V88" s="1952"/>
      <c r="X88" s="2099">
        <v>1</v>
      </c>
      <c r="Y88" s="1712"/>
      <c r="Z88" s="2119">
        <f t="shared" si="31"/>
        <v>0</v>
      </c>
      <c r="AA88" s="2119">
        <f t="shared" si="32"/>
        <v>0</v>
      </c>
      <c r="AB88" s="2119"/>
      <c r="AC88" s="2119"/>
    </row>
    <row r="89" spans="1:29" s="1942" customFormat="1" ht="14" customHeight="1" outlineLevel="3">
      <c r="A89" s="1944"/>
      <c r="B89" s="1978" t="s">
        <v>3498</v>
      </c>
      <c r="C89" s="1810"/>
      <c r="D89" s="2017" t="s">
        <v>3499</v>
      </c>
      <c r="E89" s="2009" t="s">
        <v>3500</v>
      </c>
      <c r="F89" s="1462" t="s">
        <v>455</v>
      </c>
      <c r="G89" s="1953" t="s">
        <v>4128</v>
      </c>
      <c r="H89" s="1975" t="s">
        <v>10</v>
      </c>
      <c r="I89" s="1712">
        <f t="shared" si="38"/>
        <v>59174.38</v>
      </c>
      <c r="J89" s="2147">
        <v>1</v>
      </c>
      <c r="K89" s="1950" t="s">
        <v>101</v>
      </c>
      <c r="L89" s="1947" t="s">
        <v>10</v>
      </c>
      <c r="M89" s="1754">
        <f t="shared" si="33"/>
        <v>59174.38</v>
      </c>
      <c r="N89" s="1756">
        <v>2.5</v>
      </c>
      <c r="O89" s="1712">
        <f t="shared" si="34"/>
        <v>14.793595</v>
      </c>
      <c r="P89" s="1712">
        <f t="shared" si="35"/>
        <v>2.29</v>
      </c>
      <c r="Q89" s="1712">
        <f t="shared" si="36"/>
        <v>13.572106</v>
      </c>
      <c r="R89" s="1757">
        <v>0.09</v>
      </c>
      <c r="S89" s="1712">
        <f t="shared" si="37"/>
        <v>1.221489</v>
      </c>
      <c r="T89" s="1712">
        <f t="shared" si="29"/>
        <v>2.29357806537221</v>
      </c>
      <c r="U89" s="1712">
        <f t="shared" si="30"/>
        <v>2.5000000000000004</v>
      </c>
      <c r="V89" s="1952"/>
      <c r="X89" s="2099">
        <v>1</v>
      </c>
      <c r="Y89" s="1712">
        <v>10</v>
      </c>
      <c r="Z89" s="2119">
        <f t="shared" si="31"/>
        <v>0</v>
      </c>
      <c r="AA89" s="2119">
        <f t="shared" si="32"/>
        <v>-7.5</v>
      </c>
      <c r="AB89" s="2119"/>
      <c r="AC89" s="2119"/>
    </row>
    <row r="90" spans="1:29" s="1942" customFormat="1" ht="14" customHeight="1" outlineLevel="3">
      <c r="A90" s="1944"/>
      <c r="B90" s="1978" t="s">
        <v>3501</v>
      </c>
      <c r="C90" s="1810"/>
      <c r="D90" s="2017" t="s">
        <v>3502</v>
      </c>
      <c r="E90" s="2009" t="s">
        <v>3503</v>
      </c>
      <c r="F90" s="1462" t="s">
        <v>455</v>
      </c>
      <c r="G90" s="1953" t="s">
        <v>4128</v>
      </c>
      <c r="H90" s="1975" t="s">
        <v>10</v>
      </c>
      <c r="I90" s="1712">
        <f t="shared" si="38"/>
        <v>59174.38</v>
      </c>
      <c r="J90" s="2099">
        <v>1</v>
      </c>
      <c r="K90" s="1950" t="s">
        <v>101</v>
      </c>
      <c r="L90" s="1947" t="s">
        <v>10</v>
      </c>
      <c r="M90" s="1754">
        <f t="shared" si="33"/>
        <v>59174.38</v>
      </c>
      <c r="N90" s="1712"/>
      <c r="O90" s="1712">
        <f t="shared" si="34"/>
        <v>0</v>
      </c>
      <c r="P90" s="1712">
        <f t="shared" si="35"/>
        <v>0</v>
      </c>
      <c r="Q90" s="1712">
        <f t="shared" si="36"/>
        <v>0</v>
      </c>
      <c r="R90" s="1757">
        <v>0.09</v>
      </c>
      <c r="S90" s="1712">
        <f t="shared" si="37"/>
        <v>0</v>
      </c>
      <c r="T90" s="1712">
        <f t="shared" si="29"/>
        <v>0</v>
      </c>
      <c r="U90" s="1712">
        <f t="shared" si="30"/>
        <v>0</v>
      </c>
      <c r="V90" s="2015"/>
      <c r="X90" s="2099">
        <v>1</v>
      </c>
      <c r="Y90" s="1712"/>
      <c r="Z90" s="2119">
        <f t="shared" si="31"/>
        <v>0</v>
      </c>
      <c r="AA90" s="2119">
        <f t="shared" si="32"/>
        <v>0</v>
      </c>
      <c r="AB90" s="2119"/>
      <c r="AC90" s="2119"/>
    </row>
    <row r="91" spans="1:29" s="1942" customFormat="1" ht="14" customHeight="1" outlineLevel="3">
      <c r="A91" s="1944"/>
      <c r="B91" s="1978" t="s">
        <v>3504</v>
      </c>
      <c r="C91" s="1810"/>
      <c r="D91" s="2017" t="s">
        <v>3505</v>
      </c>
      <c r="E91" s="2009" t="s">
        <v>3506</v>
      </c>
      <c r="F91" s="1462" t="s">
        <v>455</v>
      </c>
      <c r="G91" s="1953" t="s">
        <v>4128</v>
      </c>
      <c r="H91" s="1975" t="s">
        <v>10</v>
      </c>
      <c r="I91" s="1712">
        <f t="shared" si="38"/>
        <v>59174.38</v>
      </c>
      <c r="J91" s="2099">
        <v>1</v>
      </c>
      <c r="K91" s="1950" t="s">
        <v>101</v>
      </c>
      <c r="L91" s="1947" t="s">
        <v>10</v>
      </c>
      <c r="M91" s="1754">
        <f t="shared" si="33"/>
        <v>59174.38</v>
      </c>
      <c r="N91" s="1712"/>
      <c r="O91" s="1712">
        <f t="shared" si="34"/>
        <v>0</v>
      </c>
      <c r="P91" s="1712">
        <f t="shared" si="35"/>
        <v>0</v>
      </c>
      <c r="Q91" s="1712">
        <f t="shared" si="36"/>
        <v>0</v>
      </c>
      <c r="R91" s="1757">
        <v>0.09</v>
      </c>
      <c r="S91" s="1712">
        <f t="shared" si="37"/>
        <v>0</v>
      </c>
      <c r="T91" s="1712">
        <f t="shared" si="29"/>
        <v>0</v>
      </c>
      <c r="U91" s="1712">
        <f t="shared" si="30"/>
        <v>0</v>
      </c>
      <c r="V91" s="2015"/>
      <c r="X91" s="2099">
        <v>1</v>
      </c>
      <c r="Y91" s="1712"/>
      <c r="Z91" s="2119">
        <f t="shared" si="31"/>
        <v>0</v>
      </c>
      <c r="AA91" s="2119">
        <f t="shared" si="32"/>
        <v>0</v>
      </c>
      <c r="AB91" s="2119"/>
      <c r="AC91" s="2119"/>
    </row>
    <row r="92" spans="1:29" s="1942" customFormat="1" ht="14" customHeight="1" outlineLevel="3">
      <c r="A92" s="1944"/>
      <c r="B92" s="1978" t="s">
        <v>3507</v>
      </c>
      <c r="C92" s="1810"/>
      <c r="D92" s="2017" t="s">
        <v>3508</v>
      </c>
      <c r="E92" s="2009" t="s">
        <v>3509</v>
      </c>
      <c r="F92" s="1462" t="s">
        <v>455</v>
      </c>
      <c r="G92" s="1953" t="s">
        <v>4128</v>
      </c>
      <c r="H92" s="1975" t="s">
        <v>10</v>
      </c>
      <c r="I92" s="1712">
        <f t="shared" si="38"/>
        <v>59174.38</v>
      </c>
      <c r="J92" s="2099">
        <v>1</v>
      </c>
      <c r="K92" s="1950" t="s">
        <v>101</v>
      </c>
      <c r="L92" s="1947" t="s">
        <v>10</v>
      </c>
      <c r="M92" s="1754">
        <f t="shared" si="33"/>
        <v>59174.38</v>
      </c>
      <c r="N92" s="1712"/>
      <c r="O92" s="1712">
        <f t="shared" si="34"/>
        <v>0</v>
      </c>
      <c r="P92" s="1712">
        <f t="shared" si="35"/>
        <v>0</v>
      </c>
      <c r="Q92" s="1712">
        <f t="shared" si="36"/>
        <v>0</v>
      </c>
      <c r="R92" s="1757">
        <v>0.09</v>
      </c>
      <c r="S92" s="1712">
        <f t="shared" si="37"/>
        <v>0</v>
      </c>
      <c r="T92" s="1712">
        <f t="shared" si="29"/>
        <v>0</v>
      </c>
      <c r="U92" s="1712">
        <f t="shared" si="30"/>
        <v>0</v>
      </c>
      <c r="V92" s="2015"/>
      <c r="X92" s="2099">
        <v>1</v>
      </c>
      <c r="Y92" s="1712"/>
      <c r="Z92" s="2119">
        <f t="shared" si="31"/>
        <v>0</v>
      </c>
      <c r="AA92" s="2119">
        <f t="shared" si="32"/>
        <v>0</v>
      </c>
      <c r="AB92" s="2119"/>
      <c r="AC92" s="2119"/>
    </row>
    <row r="93" spans="1:29" s="1942" customFormat="1" ht="14" customHeight="1" outlineLevel="3">
      <c r="A93" s="1944"/>
      <c r="B93" s="1978" t="s">
        <v>3510</v>
      </c>
      <c r="C93" s="1810"/>
      <c r="D93" s="2017" t="s">
        <v>3511</v>
      </c>
      <c r="E93" s="2009" t="s">
        <v>3512</v>
      </c>
      <c r="F93" s="1462" t="s">
        <v>455</v>
      </c>
      <c r="G93" s="1953" t="s">
        <v>4128</v>
      </c>
      <c r="H93" s="1975" t="s">
        <v>10</v>
      </c>
      <c r="I93" s="1712">
        <f t="shared" si="38"/>
        <v>59174.38</v>
      </c>
      <c r="J93" s="2099">
        <v>1</v>
      </c>
      <c r="K93" s="1950" t="s">
        <v>101</v>
      </c>
      <c r="L93" s="1947" t="s">
        <v>10</v>
      </c>
      <c r="M93" s="1754">
        <f t="shared" si="33"/>
        <v>59174.38</v>
      </c>
      <c r="N93" s="1712"/>
      <c r="O93" s="1712">
        <f t="shared" si="34"/>
        <v>0</v>
      </c>
      <c r="P93" s="1712">
        <f t="shared" si="35"/>
        <v>0</v>
      </c>
      <c r="Q93" s="1712">
        <f t="shared" si="36"/>
        <v>0</v>
      </c>
      <c r="R93" s="1757">
        <v>0.09</v>
      </c>
      <c r="S93" s="1712">
        <f t="shared" si="37"/>
        <v>0</v>
      </c>
      <c r="T93" s="1712">
        <f t="shared" si="29"/>
        <v>0</v>
      </c>
      <c r="U93" s="1712">
        <f t="shared" si="30"/>
        <v>0</v>
      </c>
      <c r="V93" s="2015"/>
      <c r="X93" s="2099">
        <v>1</v>
      </c>
      <c r="Y93" s="1712"/>
      <c r="Z93" s="2119">
        <f t="shared" si="31"/>
        <v>0</v>
      </c>
      <c r="AA93" s="2119">
        <f t="shared" si="32"/>
        <v>0</v>
      </c>
      <c r="AB93" s="2119"/>
      <c r="AC93" s="2119"/>
    </row>
    <row r="94" spans="1:29" s="1942" customFormat="1" ht="14" customHeight="1" outlineLevel="2">
      <c r="A94" s="1944"/>
      <c r="B94" s="1978" t="s">
        <v>3513</v>
      </c>
      <c r="C94" s="1810"/>
      <c r="D94" s="2008" t="s">
        <v>3514</v>
      </c>
      <c r="E94" s="2009" t="s">
        <v>3515</v>
      </c>
      <c r="F94" s="1462" t="s">
        <v>455</v>
      </c>
      <c r="G94" s="1953" t="s">
        <v>4128</v>
      </c>
      <c r="H94" s="1975" t="s">
        <v>10</v>
      </c>
      <c r="I94" s="1712">
        <f t="shared" si="38"/>
        <v>59174.38</v>
      </c>
      <c r="J94" s="2099">
        <v>1</v>
      </c>
      <c r="K94" s="1950" t="s">
        <v>101</v>
      </c>
      <c r="L94" s="1947" t="s">
        <v>10</v>
      </c>
      <c r="M94" s="1754">
        <f t="shared" si="33"/>
        <v>59174.38</v>
      </c>
      <c r="N94" s="1712"/>
      <c r="O94" s="1712">
        <f t="shared" si="34"/>
        <v>0</v>
      </c>
      <c r="P94" s="1712">
        <f t="shared" si="35"/>
        <v>0</v>
      </c>
      <c r="Q94" s="1712">
        <f t="shared" si="36"/>
        <v>0</v>
      </c>
      <c r="R94" s="1757">
        <v>0.09</v>
      </c>
      <c r="S94" s="1712">
        <f t="shared" si="37"/>
        <v>0</v>
      </c>
      <c r="T94" s="1712">
        <f t="shared" si="29"/>
        <v>0</v>
      </c>
      <c r="U94" s="1712">
        <f t="shared" si="30"/>
        <v>0</v>
      </c>
      <c r="V94" s="1952"/>
      <c r="X94" s="2099">
        <v>1</v>
      </c>
      <c r="Y94" s="1712">
        <v>10</v>
      </c>
      <c r="Z94" s="2119">
        <f t="shared" si="31"/>
        <v>0</v>
      </c>
      <c r="AA94" s="2119">
        <f t="shared" si="32"/>
        <v>-10</v>
      </c>
      <c r="AB94" s="2119"/>
      <c r="AC94" s="2119"/>
    </row>
    <row r="95" spans="1:29" s="1942" customFormat="1" ht="14"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f t="shared" si="29"/>
        <v>0</v>
      </c>
      <c r="U95" s="1712">
        <f t="shared" si="30"/>
        <v>0</v>
      </c>
      <c r="V95" s="2015"/>
      <c r="X95" s="2099"/>
      <c r="Y95" s="1712"/>
      <c r="Z95" s="2119">
        <f t="shared" si="31"/>
        <v>0</v>
      </c>
      <c r="AA95" s="2119">
        <f t="shared" si="32"/>
        <v>0</v>
      </c>
      <c r="AB95" s="2119"/>
      <c r="AC95" s="2119"/>
    </row>
    <row r="96" spans="1:29" s="1942" customFormat="1" ht="14" customHeight="1" outlineLevel="3">
      <c r="A96" s="1944"/>
      <c r="B96" s="1978" t="s">
        <v>3518</v>
      </c>
      <c r="C96" s="1810"/>
      <c r="D96" s="2008" t="s">
        <v>3519</v>
      </c>
      <c r="E96" s="2009" t="s">
        <v>3520</v>
      </c>
      <c r="F96" s="1462" t="s">
        <v>3521</v>
      </c>
      <c r="G96" s="1953" t="s">
        <v>4139</v>
      </c>
      <c r="H96" s="1947" t="s">
        <v>10</v>
      </c>
      <c r="I96" s="1712">
        <f t="shared" si="38"/>
        <v>59174.38</v>
      </c>
      <c r="J96" s="2099">
        <v>1</v>
      </c>
      <c r="K96" s="1950" t="s">
        <v>101</v>
      </c>
      <c r="L96" s="1947" t="s">
        <v>10</v>
      </c>
      <c r="M96" s="1754">
        <f>ROUND(I96,2)*ROUND(J96,4)</f>
        <v>59174.38</v>
      </c>
      <c r="N96" s="1712"/>
      <c r="O96" s="1712">
        <f>ROUND(M96*ROUND(N96,2)/10000,6)</f>
        <v>0</v>
      </c>
      <c r="P96" s="1712">
        <f>IFERROR(ROUND(Q96*10000/M96,2),0)</f>
        <v>0</v>
      </c>
      <c r="Q96" s="1712">
        <f>ROUND(O96/(1+R96),6)</f>
        <v>0</v>
      </c>
      <c r="R96" s="1757">
        <v>0.13</v>
      </c>
      <c r="S96" s="1712">
        <f>O96-Q96</f>
        <v>0</v>
      </c>
      <c r="T96" s="1712">
        <f t="shared" si="29"/>
        <v>0</v>
      </c>
      <c r="U96" s="1712">
        <f t="shared" si="30"/>
        <v>0</v>
      </c>
      <c r="V96" s="2015"/>
      <c r="X96" s="2099">
        <v>1</v>
      </c>
      <c r="Y96" s="1712"/>
      <c r="Z96" s="2119">
        <f t="shared" si="31"/>
        <v>0</v>
      </c>
      <c r="AA96" s="2119">
        <f t="shared" si="32"/>
        <v>0</v>
      </c>
      <c r="AB96" s="2119"/>
      <c r="AC96" s="2119"/>
    </row>
    <row r="97" spans="1:29" s="1942" customFormat="1" ht="14" customHeight="1" outlineLevel="3">
      <c r="A97" s="1944"/>
      <c r="B97" s="1978" t="s">
        <v>3522</v>
      </c>
      <c r="C97" s="1810"/>
      <c r="D97" s="2008" t="s">
        <v>3523</v>
      </c>
      <c r="E97" s="2009" t="s">
        <v>3524</v>
      </c>
      <c r="F97" s="1462" t="s">
        <v>3521</v>
      </c>
      <c r="G97" s="1953" t="s">
        <v>4139</v>
      </c>
      <c r="H97" s="1975" t="s">
        <v>10</v>
      </c>
      <c r="I97" s="1712">
        <f t="shared" si="38"/>
        <v>59174.38</v>
      </c>
      <c r="J97" s="2099">
        <v>1</v>
      </c>
      <c r="K97" s="1950" t="s">
        <v>101</v>
      </c>
      <c r="L97" s="1947" t="s">
        <v>10</v>
      </c>
      <c r="M97" s="1754">
        <f>ROUND(I97,2)*ROUND(J97,4)</f>
        <v>59174.38</v>
      </c>
      <c r="N97" s="1712"/>
      <c r="O97" s="1712">
        <f>ROUND(M97*ROUND(N97,2)/10000,6)</f>
        <v>0</v>
      </c>
      <c r="P97" s="1712">
        <f>IFERROR(ROUND(Q97*10000/M97,2),0)</f>
        <v>0</v>
      </c>
      <c r="Q97" s="1712">
        <f>ROUND(O97/(1+R97),6)</f>
        <v>0</v>
      </c>
      <c r="R97" s="1757">
        <v>0.13</v>
      </c>
      <c r="S97" s="1712">
        <f>O97-Q97</f>
        <v>0</v>
      </c>
      <c r="T97" s="1712">
        <f t="shared" si="29"/>
        <v>0</v>
      </c>
      <c r="U97" s="1712">
        <f t="shared" si="30"/>
        <v>0</v>
      </c>
      <c r="V97" s="2015"/>
      <c r="X97" s="2099">
        <v>1</v>
      </c>
      <c r="Y97" s="1712"/>
      <c r="Z97" s="2119">
        <f t="shared" si="31"/>
        <v>0</v>
      </c>
      <c r="AA97" s="2119">
        <f t="shared" si="32"/>
        <v>0</v>
      </c>
      <c r="AB97" s="2119"/>
      <c r="AC97" s="2119"/>
    </row>
    <row r="98" spans="1:29" s="1942" customFormat="1" ht="14" customHeight="1" outlineLevel="3">
      <c r="A98" s="1944"/>
      <c r="B98" s="1978" t="s">
        <v>3525</v>
      </c>
      <c r="C98" s="1810"/>
      <c r="D98" s="2008" t="s">
        <v>3526</v>
      </c>
      <c r="E98" s="2009" t="s">
        <v>3527</v>
      </c>
      <c r="F98" s="1462" t="s">
        <v>3521</v>
      </c>
      <c r="G98" s="1953" t="s">
        <v>4139</v>
      </c>
      <c r="H98" s="1975" t="s">
        <v>10</v>
      </c>
      <c r="I98" s="1712">
        <f t="shared" si="38"/>
        <v>59174.38</v>
      </c>
      <c r="J98" s="2099">
        <v>1</v>
      </c>
      <c r="K98" s="1950" t="s">
        <v>101</v>
      </c>
      <c r="L98" s="1947" t="s">
        <v>10</v>
      </c>
      <c r="M98" s="1754">
        <f>ROUND(I98,2)*ROUND(J98,4)</f>
        <v>59174.38</v>
      </c>
      <c r="N98" s="1712"/>
      <c r="O98" s="1712">
        <f>ROUND(M98*ROUND(N98,2)/10000,6)</f>
        <v>0</v>
      </c>
      <c r="P98" s="1712">
        <f>IFERROR(ROUND(Q98*10000/M98,2),0)</f>
        <v>0</v>
      </c>
      <c r="Q98" s="1712">
        <f>ROUND(O98/(1+R98),6)</f>
        <v>0</v>
      </c>
      <c r="R98" s="1757">
        <v>0.13</v>
      </c>
      <c r="S98" s="1712">
        <f>O98-Q98</f>
        <v>0</v>
      </c>
      <c r="T98" s="1712">
        <f t="shared" si="29"/>
        <v>0</v>
      </c>
      <c r="U98" s="1712">
        <f t="shared" si="30"/>
        <v>0</v>
      </c>
      <c r="V98" s="2015"/>
      <c r="X98" s="2099">
        <v>1</v>
      </c>
      <c r="Y98" s="1712"/>
      <c r="Z98" s="2119">
        <f t="shared" si="31"/>
        <v>0</v>
      </c>
      <c r="AA98" s="2119">
        <f t="shared" si="32"/>
        <v>0</v>
      </c>
      <c r="AB98" s="2119"/>
      <c r="AC98" s="2119"/>
    </row>
    <row r="99" spans="1:29" s="1942" customFormat="1" ht="14" customHeight="1" outlineLevel="2">
      <c r="A99" s="1944"/>
      <c r="B99" s="1978" t="s">
        <v>3528</v>
      </c>
      <c r="C99" s="1810"/>
      <c r="D99" s="2017" t="s">
        <v>3529</v>
      </c>
      <c r="E99" s="2009" t="s">
        <v>3530</v>
      </c>
      <c r="F99" s="1462" t="s">
        <v>3531</v>
      </c>
      <c r="G99" s="1953" t="s">
        <v>4140</v>
      </c>
      <c r="H99" s="1975" t="s">
        <v>10</v>
      </c>
      <c r="I99" s="1712">
        <f t="shared" si="38"/>
        <v>59174.38</v>
      </c>
      <c r="J99" s="2099">
        <v>1</v>
      </c>
      <c r="K99" s="1950" t="s">
        <v>101</v>
      </c>
      <c r="L99" s="1947" t="s">
        <v>10</v>
      </c>
      <c r="M99" s="1754">
        <f>ROUND(I99,2)*ROUND(J99,4)</f>
        <v>59174.38</v>
      </c>
      <c r="N99" s="1712"/>
      <c r="O99" s="1712">
        <f>ROUND(M99*ROUND(N99,2)/10000,6)</f>
        <v>0</v>
      </c>
      <c r="P99" s="1712">
        <f>IFERROR(ROUND(Q99*10000/M99,2),0)</f>
        <v>0</v>
      </c>
      <c r="Q99" s="1712">
        <f>ROUND(O99/(1+R99),6)</f>
        <v>0</v>
      </c>
      <c r="R99" s="1757">
        <v>0.09</v>
      </c>
      <c r="S99" s="1712">
        <f>O99-Q99</f>
        <v>0</v>
      </c>
      <c r="T99" s="1712">
        <f t="shared" si="29"/>
        <v>0</v>
      </c>
      <c r="U99" s="1712">
        <f t="shared" si="30"/>
        <v>0</v>
      </c>
      <c r="V99" s="2015"/>
      <c r="X99" s="2099">
        <v>1</v>
      </c>
      <c r="Y99" s="1712"/>
      <c r="Z99" s="2119">
        <f t="shared" si="31"/>
        <v>0</v>
      </c>
      <c r="AA99" s="2119">
        <f t="shared" si="32"/>
        <v>0</v>
      </c>
      <c r="AB99" s="2119"/>
      <c r="AC99" s="2119"/>
    </row>
    <row r="100" spans="1:29" ht="13">
      <c r="A100" s="2019"/>
      <c r="B100" s="1684">
        <v>5001.04</v>
      </c>
      <c r="C100" s="1685" t="s">
        <v>34</v>
      </c>
      <c r="D100" s="1956" t="s">
        <v>497</v>
      </c>
      <c r="E100" s="1957"/>
      <c r="F100" s="2020"/>
      <c r="G100" s="2021" t="s">
        <v>4117</v>
      </c>
      <c r="H100" s="1959"/>
      <c r="I100" s="1960"/>
      <c r="J100" s="2113"/>
      <c r="K100" s="2022"/>
      <c r="L100" s="1959"/>
      <c r="M100" s="2022"/>
      <c r="N100" s="1963"/>
      <c r="O100" s="1963">
        <f>SUBTOTAL(9,O101:O125)</f>
        <v>4660.6333419999992</v>
      </c>
      <c r="P100" s="1963"/>
      <c r="Q100" s="1963">
        <f>SUBTOTAL(9,Q101:Q125)</f>
        <v>4195.5346449999997</v>
      </c>
      <c r="R100" s="1963"/>
      <c r="S100" s="1963">
        <f>SUBTOTAL(9,S101:S125)</f>
        <v>465.09869700000002</v>
      </c>
      <c r="T100" s="1963">
        <f t="shared" si="29"/>
        <v>709.012015841991</v>
      </c>
      <c r="U100" s="1963">
        <f t="shared" si="30"/>
        <v>787.60999980058932</v>
      </c>
      <c r="V100" s="1964"/>
      <c r="X100" s="2113"/>
      <c r="Y100" s="1963"/>
      <c r="Z100" s="2119">
        <f t="shared" si="31"/>
        <v>0</v>
      </c>
      <c r="AA100" s="2119">
        <f t="shared" si="32"/>
        <v>0</v>
      </c>
    </row>
    <row r="101" spans="1:29" ht="13" outlineLevel="1">
      <c r="A101" s="2019"/>
      <c r="B101" s="2023" t="s">
        <v>676</v>
      </c>
      <c r="C101" s="1852">
        <v>1</v>
      </c>
      <c r="D101" s="2024" t="s">
        <v>22</v>
      </c>
      <c r="E101" s="2025"/>
      <c r="F101" s="1968"/>
      <c r="G101" s="2007" t="s">
        <v>4117</v>
      </c>
      <c r="H101" s="1967"/>
      <c r="I101" s="1969"/>
      <c r="J101" s="2116"/>
      <c r="K101" s="1971"/>
      <c r="L101" s="1967"/>
      <c r="M101" s="1971"/>
      <c r="N101" s="1973">
        <f>O101/M102*10000</f>
        <v>787.60999980058921</v>
      </c>
      <c r="O101" s="1973">
        <f>SUBTOTAL(9,O102:O119)</f>
        <v>4660.6333419999992</v>
      </c>
      <c r="P101" s="1973"/>
      <c r="Q101" s="1973">
        <f>SUBTOTAL(9,Q102:Q119)</f>
        <v>4195.5346449999997</v>
      </c>
      <c r="R101" s="1973"/>
      <c r="S101" s="1973">
        <f>SUBTOTAL(9,S102:S119)</f>
        <v>465.09869700000002</v>
      </c>
      <c r="T101" s="1973">
        <f t="shared" si="29"/>
        <v>709.012015841991</v>
      </c>
      <c r="U101" s="1973">
        <f t="shared" si="30"/>
        <v>787.60999980058932</v>
      </c>
      <c r="V101" s="1974"/>
      <c r="X101" s="2116"/>
      <c r="Y101" s="1973"/>
      <c r="Z101" s="2119">
        <f t="shared" si="31"/>
        <v>0</v>
      </c>
      <c r="AA101" s="2119">
        <f t="shared" si="32"/>
        <v>787.60999980058921</v>
      </c>
    </row>
    <row r="102" spans="1:29" s="1942" customFormat="1" ht="13" outlineLevel="2">
      <c r="A102" s="1944"/>
      <c r="B102" s="1807" t="s">
        <v>677</v>
      </c>
      <c r="C102" s="1808"/>
      <c r="D102" s="1843" t="s">
        <v>3575</v>
      </c>
      <c r="E102" s="2009" t="s">
        <v>3576</v>
      </c>
      <c r="F102" s="1462" t="s">
        <v>3577</v>
      </c>
      <c r="G102" s="1953" t="s">
        <v>4141</v>
      </c>
      <c r="H102" s="1975" t="s">
        <v>10</v>
      </c>
      <c r="I102" s="1712">
        <f>$E$5</f>
        <v>59174.38</v>
      </c>
      <c r="J102" s="2099">
        <v>1</v>
      </c>
      <c r="K102" s="1950" t="s">
        <v>101</v>
      </c>
      <c r="L102" s="1947" t="s">
        <v>10</v>
      </c>
      <c r="M102" s="1754">
        <f t="shared" ref="M102:M123" si="39">ROUND(I102,2)*ROUND(J102,4)</f>
        <v>59174.38</v>
      </c>
      <c r="N102" s="1712">
        <f>391.545126584143-29.4+7.73</f>
        <v>369.87512658414306</v>
      </c>
      <c r="O102" s="1712">
        <f t="shared" ref="O102:O119" si="40">ROUND(M102*ROUND(N102,2)/10000,6)</f>
        <v>2188.7419669999999</v>
      </c>
      <c r="P102" s="1712">
        <f t="shared" ref="P102:P119" si="41">IFERROR(ROUND(Q102*10000/M102,2),0)</f>
        <v>339.34</v>
      </c>
      <c r="Q102" s="1712">
        <f t="shared" ref="Q102:Q119" si="42">ROUND(O102/(1+R102),6)</f>
        <v>2008.0201529999999</v>
      </c>
      <c r="R102" s="1757">
        <v>0.09</v>
      </c>
      <c r="S102" s="1712">
        <f t="shared" ref="S102:S119" si="43">O102-Q102</f>
        <v>180.72181399999999</v>
      </c>
      <c r="T102" s="1712">
        <f t="shared" si="29"/>
        <v>339.33944943740858</v>
      </c>
      <c r="U102" s="1712">
        <f t="shared" si="30"/>
        <v>369.87999992564346</v>
      </c>
      <c r="V102" s="1952"/>
      <c r="X102" s="2099">
        <v>1</v>
      </c>
      <c r="Y102" s="1712"/>
      <c r="Z102" s="2119">
        <f t="shared" si="31"/>
        <v>0</v>
      </c>
      <c r="AA102" s="2119">
        <f t="shared" si="32"/>
        <v>369.87512658414306</v>
      </c>
      <c r="AB102" s="2119"/>
      <c r="AC102" s="2119"/>
    </row>
    <row r="103" spans="1:29" s="1942" customFormat="1" ht="13" outlineLevel="2">
      <c r="A103" s="1944"/>
      <c r="B103" s="1807" t="s">
        <v>678</v>
      </c>
      <c r="C103" s="1808"/>
      <c r="D103" s="1843" t="s">
        <v>3578</v>
      </c>
      <c r="E103" s="2009" t="s">
        <v>3579</v>
      </c>
      <c r="F103" s="1462" t="s">
        <v>3580</v>
      </c>
      <c r="G103" s="1953" t="s">
        <v>4142</v>
      </c>
      <c r="H103" s="1975" t="s">
        <v>10</v>
      </c>
      <c r="I103" s="1712">
        <f t="shared" ref="I103:I125" si="44">$E$5</f>
        <v>59174.38</v>
      </c>
      <c r="J103" s="2099">
        <v>1</v>
      </c>
      <c r="K103" s="1950" t="s">
        <v>4</v>
      </c>
      <c r="L103" s="1947" t="s">
        <v>4053</v>
      </c>
      <c r="M103" s="1754">
        <f t="shared" si="39"/>
        <v>59174.38</v>
      </c>
      <c r="N103" s="1712">
        <f>71.0525796814101+34.86</f>
        <v>105.91257968141009</v>
      </c>
      <c r="O103" s="1712">
        <f t="shared" si="40"/>
        <v>626.71585900000002</v>
      </c>
      <c r="P103" s="1712">
        <f t="shared" si="41"/>
        <v>93.73</v>
      </c>
      <c r="Q103" s="1712">
        <f t="shared" si="42"/>
        <v>554.61580400000003</v>
      </c>
      <c r="R103" s="1757">
        <v>0.13</v>
      </c>
      <c r="S103" s="1712">
        <f t="shared" si="43"/>
        <v>72.100054999999998</v>
      </c>
      <c r="T103" s="1712">
        <f t="shared" si="29"/>
        <v>93.725663707841136</v>
      </c>
      <c r="U103" s="1712">
        <f t="shared" si="30"/>
        <v>105.91000007097666</v>
      </c>
      <c r="V103" s="1952"/>
      <c r="X103" s="2099">
        <v>5</v>
      </c>
      <c r="Y103" s="1712"/>
      <c r="Z103" s="2119">
        <f t="shared" si="31"/>
        <v>-4</v>
      </c>
      <c r="AA103" s="2119">
        <f t="shared" si="32"/>
        <v>105.91257968141009</v>
      </c>
      <c r="AB103" s="2119"/>
      <c r="AC103" s="2119"/>
    </row>
    <row r="104" spans="1:29" s="1942" customFormat="1" ht="13" outlineLevel="2">
      <c r="A104" s="1944"/>
      <c r="B104" s="1807" t="s">
        <v>679</v>
      </c>
      <c r="C104" s="1808"/>
      <c r="D104" s="1843" t="s">
        <v>3581</v>
      </c>
      <c r="E104" s="2009" t="s">
        <v>3582</v>
      </c>
      <c r="F104" s="1462" t="s">
        <v>3014</v>
      </c>
      <c r="G104" s="1953" t="s">
        <v>4143</v>
      </c>
      <c r="H104" s="1975" t="s">
        <v>10</v>
      </c>
      <c r="I104" s="1712">
        <f t="shared" si="44"/>
        <v>59174.38</v>
      </c>
      <c r="J104" s="2099">
        <v>1</v>
      </c>
      <c r="K104" s="1950" t="s">
        <v>3947</v>
      </c>
      <c r="L104" s="1947" t="s">
        <v>3926</v>
      </c>
      <c r="M104" s="1754">
        <f t="shared" si="39"/>
        <v>59174.38</v>
      </c>
      <c r="N104" s="1712">
        <v>104.898220799922</v>
      </c>
      <c r="O104" s="1712">
        <f t="shared" si="40"/>
        <v>620.73924599999998</v>
      </c>
      <c r="P104" s="1712">
        <f t="shared" si="41"/>
        <v>92.83</v>
      </c>
      <c r="Q104" s="1712">
        <f t="shared" si="42"/>
        <v>549.32676600000002</v>
      </c>
      <c r="R104" s="1757">
        <v>0.13</v>
      </c>
      <c r="S104" s="1712">
        <f t="shared" si="43"/>
        <v>71.41247999999996</v>
      </c>
      <c r="T104" s="1712">
        <f t="shared" si="29"/>
        <v>92.831858314358342</v>
      </c>
      <c r="U104" s="1712">
        <f t="shared" si="30"/>
        <v>104.89999996620159</v>
      </c>
      <c r="V104" s="1952"/>
      <c r="X104" s="2099">
        <v>1</v>
      </c>
      <c r="Y104" s="1712"/>
      <c r="Z104" s="2119">
        <f t="shared" si="31"/>
        <v>0</v>
      </c>
      <c r="AA104" s="2119">
        <f t="shared" si="32"/>
        <v>104.898220799922</v>
      </c>
      <c r="AB104" s="2119"/>
      <c r="AC104" s="2119"/>
    </row>
    <row r="105" spans="1:29" s="1942" customFormat="1" ht="13" outlineLevel="2">
      <c r="A105" s="1944"/>
      <c r="B105" s="1807" t="s">
        <v>680</v>
      </c>
      <c r="C105" s="1808"/>
      <c r="D105" s="1843" t="s">
        <v>3583</v>
      </c>
      <c r="E105" s="2009" t="s">
        <v>3584</v>
      </c>
      <c r="F105" s="1462" t="s">
        <v>1329</v>
      </c>
      <c r="G105" s="1953" t="s">
        <v>4132</v>
      </c>
      <c r="H105" s="1975" t="s">
        <v>10</v>
      </c>
      <c r="I105" s="1712">
        <f t="shared" si="44"/>
        <v>59174.38</v>
      </c>
      <c r="J105" s="2099">
        <v>1</v>
      </c>
      <c r="K105" s="1950" t="s">
        <v>4</v>
      </c>
      <c r="L105" s="1947" t="s">
        <v>4054</v>
      </c>
      <c r="M105" s="1754">
        <f t="shared" si="39"/>
        <v>59174.38</v>
      </c>
      <c r="N105" s="1712">
        <v>18.676409570111002</v>
      </c>
      <c r="O105" s="1712">
        <f t="shared" si="40"/>
        <v>110.53774199999999</v>
      </c>
      <c r="P105" s="1712">
        <f t="shared" si="41"/>
        <v>16.53</v>
      </c>
      <c r="Q105" s="1712">
        <f t="shared" si="42"/>
        <v>97.821010999999999</v>
      </c>
      <c r="R105" s="1757">
        <v>0.13</v>
      </c>
      <c r="S105" s="1712">
        <f t="shared" si="43"/>
        <v>12.716730999999996</v>
      </c>
      <c r="T105" s="1712">
        <f t="shared" si="29"/>
        <v>16.530973539562222</v>
      </c>
      <c r="U105" s="1712">
        <f t="shared" si="30"/>
        <v>18.680000027038727</v>
      </c>
      <c r="V105" s="1952"/>
      <c r="X105" s="2099">
        <v>1</v>
      </c>
      <c r="Y105" s="1712"/>
      <c r="Z105" s="2119">
        <f t="shared" si="31"/>
        <v>0</v>
      </c>
      <c r="AA105" s="2119">
        <f t="shared" si="32"/>
        <v>18.676409570111002</v>
      </c>
      <c r="AB105" s="2119"/>
      <c r="AC105" s="2119"/>
    </row>
    <row r="106" spans="1:29" s="1942" customFormat="1" ht="13" outlineLevel="2">
      <c r="A106" s="1944"/>
      <c r="B106" s="1807" t="s">
        <v>681</v>
      </c>
      <c r="C106" s="1808"/>
      <c r="D106" s="1843" t="s">
        <v>3585</v>
      </c>
      <c r="E106" s="2009" t="s">
        <v>3586</v>
      </c>
      <c r="F106" s="1462" t="s">
        <v>450</v>
      </c>
      <c r="G106" s="1953" t="s">
        <v>4144</v>
      </c>
      <c r="H106" s="1975" t="s">
        <v>10</v>
      </c>
      <c r="I106" s="1712">
        <f t="shared" si="44"/>
        <v>59174.38</v>
      </c>
      <c r="J106" s="2099">
        <v>1</v>
      </c>
      <c r="K106" s="1950" t="s">
        <v>101</v>
      </c>
      <c r="L106" s="1947" t="s">
        <v>10</v>
      </c>
      <c r="M106" s="1754">
        <f t="shared" si="39"/>
        <v>59174.38</v>
      </c>
      <c r="N106" s="1712">
        <v>36.641760442114197</v>
      </c>
      <c r="O106" s="1712">
        <f t="shared" si="40"/>
        <v>216.81492800000001</v>
      </c>
      <c r="P106" s="1712">
        <f t="shared" si="41"/>
        <v>32.42</v>
      </c>
      <c r="Q106" s="1712">
        <f t="shared" si="42"/>
        <v>191.87161800000001</v>
      </c>
      <c r="R106" s="1757">
        <v>0.13</v>
      </c>
      <c r="S106" s="1712">
        <f t="shared" si="43"/>
        <v>24.943309999999997</v>
      </c>
      <c r="T106" s="1712">
        <f t="shared" si="29"/>
        <v>32.424778764052959</v>
      </c>
      <c r="U106" s="1712">
        <f t="shared" si="30"/>
        <v>36.639999945922547</v>
      </c>
      <c r="V106" s="1952"/>
      <c r="X106" s="2099">
        <v>1</v>
      </c>
      <c r="Y106" s="1712"/>
      <c r="Z106" s="2119">
        <f t="shared" si="31"/>
        <v>0</v>
      </c>
      <c r="AA106" s="2119">
        <f t="shared" si="32"/>
        <v>36.641760442114197</v>
      </c>
      <c r="AB106" s="2119"/>
      <c r="AC106" s="2119"/>
    </row>
    <row r="107" spans="1:29" s="1942" customFormat="1" ht="13.75" customHeight="1" outlineLevel="2">
      <c r="A107" s="1944"/>
      <c r="B107" s="1807" t="s">
        <v>682</v>
      </c>
      <c r="C107" s="1808"/>
      <c r="D107" s="1843" t="s">
        <v>3587</v>
      </c>
      <c r="E107" s="2009" t="s">
        <v>3588</v>
      </c>
      <c r="F107" s="1462" t="s">
        <v>1329</v>
      </c>
      <c r="G107" s="1953" t="s">
        <v>4132</v>
      </c>
      <c r="H107" s="1975" t="s">
        <v>10</v>
      </c>
      <c r="I107" s="1712">
        <f t="shared" si="44"/>
        <v>59174.38</v>
      </c>
      <c r="J107" s="2099">
        <v>1</v>
      </c>
      <c r="K107" s="1950" t="s">
        <v>4</v>
      </c>
      <c r="L107" s="1947" t="s">
        <v>4055</v>
      </c>
      <c r="M107" s="1754">
        <f t="shared" si="39"/>
        <v>59174.38</v>
      </c>
      <c r="N107" s="1712">
        <v>0</v>
      </c>
      <c r="O107" s="1712">
        <f t="shared" si="40"/>
        <v>0</v>
      </c>
      <c r="P107" s="1712">
        <f t="shared" si="41"/>
        <v>0</v>
      </c>
      <c r="Q107" s="1712">
        <f t="shared" si="42"/>
        <v>0</v>
      </c>
      <c r="R107" s="1757">
        <v>0.13</v>
      </c>
      <c r="S107" s="1712">
        <f t="shared" si="43"/>
        <v>0</v>
      </c>
      <c r="T107" s="1712">
        <f t="shared" si="29"/>
        <v>0</v>
      </c>
      <c r="U107" s="1712">
        <f t="shared" si="30"/>
        <v>0</v>
      </c>
      <c r="V107" s="1952"/>
      <c r="X107" s="2099">
        <v>1</v>
      </c>
      <c r="Y107" s="1712"/>
      <c r="Z107" s="2119">
        <f t="shared" si="31"/>
        <v>0</v>
      </c>
      <c r="AA107" s="2119">
        <f t="shared" si="32"/>
        <v>0</v>
      </c>
      <c r="AB107" s="2119"/>
      <c r="AC107" s="2119"/>
    </row>
    <row r="108" spans="1:29" s="1942" customFormat="1" ht="13" outlineLevel="2">
      <c r="A108" s="1944"/>
      <c r="B108" s="1807" t="s">
        <v>683</v>
      </c>
      <c r="C108" s="1808"/>
      <c r="D108" s="1843" t="s">
        <v>3589</v>
      </c>
      <c r="E108" s="2009" t="s">
        <v>3590</v>
      </c>
      <c r="F108" s="1462" t="s">
        <v>1548</v>
      </c>
      <c r="G108" s="1953" t="s">
        <v>4145</v>
      </c>
      <c r="H108" s="1975" t="s">
        <v>10</v>
      </c>
      <c r="I108" s="1712">
        <f t="shared" si="44"/>
        <v>59174.38</v>
      </c>
      <c r="J108" s="2099">
        <v>1</v>
      </c>
      <c r="K108" s="1950" t="s">
        <v>3947</v>
      </c>
      <c r="L108" s="1947" t="s">
        <v>3926</v>
      </c>
      <c r="M108" s="1754">
        <f t="shared" si="39"/>
        <v>59174.38</v>
      </c>
      <c r="N108" s="1712">
        <v>40.510884055276001</v>
      </c>
      <c r="O108" s="1712">
        <f t="shared" si="40"/>
        <v>239.71541300000001</v>
      </c>
      <c r="P108" s="1712">
        <f t="shared" si="41"/>
        <v>35.85</v>
      </c>
      <c r="Q108" s="1712">
        <f t="shared" si="42"/>
        <v>212.13753399999999</v>
      </c>
      <c r="R108" s="1757">
        <v>0.13</v>
      </c>
      <c r="S108" s="1712">
        <f t="shared" si="43"/>
        <v>27.577879000000024</v>
      </c>
      <c r="T108" s="1712">
        <f t="shared" si="29"/>
        <v>35.849557528105912</v>
      </c>
      <c r="U108" s="1712">
        <f t="shared" si="30"/>
        <v>40.509999935783028</v>
      </c>
      <c r="V108" s="1952"/>
      <c r="X108" s="2099">
        <v>1</v>
      </c>
      <c r="Y108" s="1712"/>
      <c r="Z108" s="2119">
        <f t="shared" si="31"/>
        <v>0</v>
      </c>
      <c r="AA108" s="2119">
        <f t="shared" si="32"/>
        <v>40.510884055276001</v>
      </c>
      <c r="AB108" s="2119"/>
      <c r="AC108" s="2119"/>
    </row>
    <row r="109" spans="1:29" s="1942" customFormat="1" ht="13" outlineLevel="2">
      <c r="A109" s="1944"/>
      <c r="B109" s="1807" t="s">
        <v>1549</v>
      </c>
      <c r="C109" s="1808"/>
      <c r="D109" s="1843" t="s">
        <v>3591</v>
      </c>
      <c r="E109" s="2009" t="s">
        <v>3592</v>
      </c>
      <c r="F109" s="1462" t="s">
        <v>3593</v>
      </c>
      <c r="G109" s="1953" t="s">
        <v>4146</v>
      </c>
      <c r="H109" s="1975" t="s">
        <v>10</v>
      </c>
      <c r="I109" s="1712">
        <f t="shared" si="44"/>
        <v>59174.38</v>
      </c>
      <c r="J109" s="2099">
        <v>1</v>
      </c>
      <c r="K109" s="1950" t="s">
        <v>101</v>
      </c>
      <c r="L109" s="1947" t="s">
        <v>10</v>
      </c>
      <c r="M109" s="1754">
        <f t="shared" si="39"/>
        <v>59174.38</v>
      </c>
      <c r="N109" s="1712">
        <v>53.3866867748918</v>
      </c>
      <c r="O109" s="1712">
        <f t="shared" si="40"/>
        <v>315.93201499999998</v>
      </c>
      <c r="P109" s="1712">
        <f t="shared" si="41"/>
        <v>47.25</v>
      </c>
      <c r="Q109" s="1712">
        <f t="shared" si="42"/>
        <v>279.58585399999998</v>
      </c>
      <c r="R109" s="1757">
        <v>0.13</v>
      </c>
      <c r="S109" s="1712">
        <f t="shared" si="43"/>
        <v>36.346160999999995</v>
      </c>
      <c r="T109" s="1712">
        <f t="shared" si="29"/>
        <v>47.247787640529573</v>
      </c>
      <c r="U109" s="1712">
        <f t="shared" si="30"/>
        <v>53.39000003041857</v>
      </c>
      <c r="V109" s="1952"/>
      <c r="X109" s="2099">
        <v>1</v>
      </c>
      <c r="Y109" s="1712"/>
      <c r="Z109" s="2119">
        <f t="shared" si="31"/>
        <v>0</v>
      </c>
      <c r="AA109" s="2119">
        <f t="shared" si="32"/>
        <v>53.3866867748918</v>
      </c>
      <c r="AB109" s="2119"/>
      <c r="AC109" s="2119"/>
    </row>
    <row r="110" spans="1:29" s="1942" customFormat="1" ht="13" outlineLevel="2">
      <c r="A110" s="1944"/>
      <c r="B110" s="1807" t="s">
        <v>684</v>
      </c>
      <c r="C110" s="1808"/>
      <c r="D110" s="1843" t="s">
        <v>3594</v>
      </c>
      <c r="E110" s="2009" t="s">
        <v>3595</v>
      </c>
      <c r="F110" s="1462" t="s">
        <v>1329</v>
      </c>
      <c r="G110" s="1953" t="s">
        <v>4132</v>
      </c>
      <c r="H110" s="1975" t="s">
        <v>10</v>
      </c>
      <c r="I110" s="1712">
        <f t="shared" si="44"/>
        <v>59174.38</v>
      </c>
      <c r="J110" s="2099">
        <v>1</v>
      </c>
      <c r="K110" s="1950" t="s">
        <v>101</v>
      </c>
      <c r="L110" s="1947" t="s">
        <v>10</v>
      </c>
      <c r="M110" s="1754">
        <f t="shared" si="39"/>
        <v>59174.38</v>
      </c>
      <c r="N110" s="1712">
        <v>0</v>
      </c>
      <c r="O110" s="1712">
        <f t="shared" si="40"/>
        <v>0</v>
      </c>
      <c r="P110" s="1712">
        <f t="shared" si="41"/>
        <v>0</v>
      </c>
      <c r="Q110" s="1712">
        <f t="shared" si="42"/>
        <v>0</v>
      </c>
      <c r="R110" s="1757">
        <v>0.13</v>
      </c>
      <c r="S110" s="1712">
        <f t="shared" si="43"/>
        <v>0</v>
      </c>
      <c r="T110" s="1712">
        <f t="shared" si="29"/>
        <v>0</v>
      </c>
      <c r="U110" s="1712">
        <f t="shared" si="30"/>
        <v>0</v>
      </c>
      <c r="V110" s="1952"/>
      <c r="X110" s="2099">
        <v>1</v>
      </c>
      <c r="Y110" s="1712"/>
      <c r="Z110" s="2119">
        <f t="shared" si="31"/>
        <v>0</v>
      </c>
      <c r="AA110" s="2119">
        <f t="shared" si="32"/>
        <v>0</v>
      </c>
      <c r="AB110" s="2119"/>
      <c r="AC110" s="2119"/>
    </row>
    <row r="111" spans="1:29" s="1942" customFormat="1" ht="13" outlineLevel="2">
      <c r="A111" s="1944"/>
      <c r="B111" s="1807" t="s">
        <v>685</v>
      </c>
      <c r="C111" s="1808"/>
      <c r="D111" s="1843" t="s">
        <v>3596</v>
      </c>
      <c r="E111" s="2009" t="s">
        <v>3597</v>
      </c>
      <c r="F111" s="1462" t="s">
        <v>1329</v>
      </c>
      <c r="G111" s="1953" t="s">
        <v>4132</v>
      </c>
      <c r="H111" s="1975" t="s">
        <v>10</v>
      </c>
      <c r="I111" s="1712">
        <f t="shared" si="44"/>
        <v>59174.38</v>
      </c>
      <c r="J111" s="2099">
        <v>1</v>
      </c>
      <c r="K111" s="1950" t="s">
        <v>101</v>
      </c>
      <c r="L111" s="1947" t="s">
        <v>10</v>
      </c>
      <c r="M111" s="1754">
        <f t="shared" si="39"/>
        <v>59174.38</v>
      </c>
      <c r="N111" s="1712">
        <v>2.7226064645911499</v>
      </c>
      <c r="O111" s="1712">
        <f t="shared" si="40"/>
        <v>16.095431000000001</v>
      </c>
      <c r="P111" s="1712">
        <f t="shared" si="41"/>
        <v>2.41</v>
      </c>
      <c r="Q111" s="1712">
        <f t="shared" si="42"/>
        <v>14.243744</v>
      </c>
      <c r="R111" s="1757">
        <v>0.13</v>
      </c>
      <c r="S111" s="1712">
        <f t="shared" si="43"/>
        <v>1.8516870000000019</v>
      </c>
      <c r="T111" s="1712">
        <f t="shared" si="29"/>
        <v>2.4070795503053857</v>
      </c>
      <c r="U111" s="1712">
        <f t="shared" si="30"/>
        <v>2.7199999391628613</v>
      </c>
      <c r="V111" s="1952"/>
      <c r="X111" s="2099">
        <v>1</v>
      </c>
      <c r="Y111" s="1712"/>
      <c r="Z111" s="2119">
        <f t="shared" si="31"/>
        <v>0</v>
      </c>
      <c r="AA111" s="2119">
        <f t="shared" si="32"/>
        <v>2.7226064645911499</v>
      </c>
      <c r="AB111" s="2119"/>
      <c r="AC111" s="2119"/>
    </row>
    <row r="112" spans="1:29" s="1942" customFormat="1" ht="13" outlineLevel="2">
      <c r="A112" s="1944"/>
      <c r="B112" s="1807" t="s">
        <v>686</v>
      </c>
      <c r="C112" s="1808"/>
      <c r="D112" s="1843" t="s">
        <v>3598</v>
      </c>
      <c r="E112" s="2009" t="s">
        <v>3599</v>
      </c>
      <c r="F112" s="1462" t="s">
        <v>1329</v>
      </c>
      <c r="G112" s="1953" t="s">
        <v>4132</v>
      </c>
      <c r="H112" s="1975" t="s">
        <v>10</v>
      </c>
      <c r="I112" s="1712">
        <f t="shared" si="44"/>
        <v>59174.38</v>
      </c>
      <c r="J112" s="2099">
        <v>1</v>
      </c>
      <c r="K112" s="1950" t="s">
        <v>101</v>
      </c>
      <c r="L112" s="1947" t="s">
        <v>10</v>
      </c>
      <c r="M112" s="1754">
        <f t="shared" si="39"/>
        <v>59174.38</v>
      </c>
      <c r="N112" s="1712">
        <v>0</v>
      </c>
      <c r="O112" s="1712">
        <f t="shared" si="40"/>
        <v>0</v>
      </c>
      <c r="P112" s="1712">
        <f t="shared" si="41"/>
        <v>0</v>
      </c>
      <c r="Q112" s="1712">
        <f t="shared" si="42"/>
        <v>0</v>
      </c>
      <c r="R112" s="1757">
        <v>0.13</v>
      </c>
      <c r="S112" s="1712">
        <f t="shared" si="43"/>
        <v>0</v>
      </c>
      <c r="T112" s="1712">
        <f t="shared" si="29"/>
        <v>0</v>
      </c>
      <c r="U112" s="1712">
        <f t="shared" si="30"/>
        <v>0</v>
      </c>
      <c r="V112" s="1952"/>
      <c r="X112" s="2099">
        <v>1</v>
      </c>
      <c r="Y112" s="1712"/>
      <c r="Z112" s="2119">
        <f t="shared" si="31"/>
        <v>0</v>
      </c>
      <c r="AA112" s="2119">
        <f t="shared" si="32"/>
        <v>0</v>
      </c>
      <c r="AB112" s="2119"/>
      <c r="AC112" s="2119"/>
    </row>
    <row r="113" spans="1:29" s="1942" customFormat="1" ht="13" outlineLevel="2">
      <c r="A113" s="1944"/>
      <c r="B113" s="1807" t="s">
        <v>3600</v>
      </c>
      <c r="C113" s="1808"/>
      <c r="D113" s="1843" t="s">
        <v>3601</v>
      </c>
      <c r="E113" s="2009" t="s">
        <v>3602</v>
      </c>
      <c r="F113" s="1462" t="s">
        <v>1329</v>
      </c>
      <c r="G113" s="1953" t="s">
        <v>4132</v>
      </c>
      <c r="H113" s="1975" t="s">
        <v>10</v>
      </c>
      <c r="I113" s="1712">
        <f t="shared" si="44"/>
        <v>59174.38</v>
      </c>
      <c r="J113" s="2099">
        <v>1</v>
      </c>
      <c r="K113" s="1950" t="s">
        <v>101</v>
      </c>
      <c r="L113" s="1947" t="s">
        <v>10</v>
      </c>
      <c r="M113" s="1754">
        <f t="shared" si="39"/>
        <v>59174.38</v>
      </c>
      <c r="N113" s="1712">
        <v>6.4574432897182996</v>
      </c>
      <c r="O113" s="1712">
        <f t="shared" si="40"/>
        <v>38.226649000000002</v>
      </c>
      <c r="P113" s="1712">
        <f t="shared" si="41"/>
        <v>5.72</v>
      </c>
      <c r="Q113" s="1712">
        <f t="shared" si="42"/>
        <v>33.828893000000001</v>
      </c>
      <c r="R113" s="1757">
        <v>0.13</v>
      </c>
      <c r="S113" s="1712">
        <f t="shared" si="43"/>
        <v>4.3977560000000011</v>
      </c>
      <c r="T113" s="1712">
        <f t="shared" si="29"/>
        <v>5.7168141009673441</v>
      </c>
      <c r="U113" s="1712">
        <f t="shared" si="30"/>
        <v>6.4599999188838142</v>
      </c>
      <c r="V113" s="1952"/>
      <c r="X113" s="2099">
        <v>1</v>
      </c>
      <c r="Y113" s="1712"/>
      <c r="Z113" s="2119">
        <f t="shared" si="31"/>
        <v>0</v>
      </c>
      <c r="AA113" s="2119">
        <f t="shared" si="32"/>
        <v>6.4574432897182996</v>
      </c>
      <c r="AB113" s="2119"/>
      <c r="AC113" s="2119"/>
    </row>
    <row r="114" spans="1:29" s="1942" customFormat="1" ht="13" outlineLevel="2">
      <c r="A114" s="1944"/>
      <c r="B114" s="1807" t="s">
        <v>3603</v>
      </c>
      <c r="C114" s="1808"/>
      <c r="D114" s="1843" t="s">
        <v>3604</v>
      </c>
      <c r="E114" s="2009" t="s">
        <v>3605</v>
      </c>
      <c r="F114" s="1462" t="s">
        <v>1329</v>
      </c>
      <c r="G114" s="1953" t="s">
        <v>4132</v>
      </c>
      <c r="H114" s="1975" t="s">
        <v>10</v>
      </c>
      <c r="I114" s="1712">
        <f t="shared" si="44"/>
        <v>59174.38</v>
      </c>
      <c r="J114" s="2099">
        <v>1</v>
      </c>
      <c r="K114" s="1950" t="s">
        <v>101</v>
      </c>
      <c r="L114" s="1947" t="s">
        <v>10</v>
      </c>
      <c r="M114" s="1754">
        <f t="shared" si="39"/>
        <v>59174.38</v>
      </c>
      <c r="N114" s="1712">
        <v>7.5173443974948198</v>
      </c>
      <c r="O114" s="1712">
        <f t="shared" si="40"/>
        <v>44.499133999999998</v>
      </c>
      <c r="P114" s="1712">
        <f t="shared" si="41"/>
        <v>6.65</v>
      </c>
      <c r="Q114" s="1712">
        <f t="shared" si="42"/>
        <v>39.379764999999999</v>
      </c>
      <c r="R114" s="1757">
        <v>0.13</v>
      </c>
      <c r="S114" s="1712">
        <f t="shared" si="43"/>
        <v>5.1193689999999989</v>
      </c>
      <c r="T114" s="1712">
        <f t="shared" si="29"/>
        <v>6.6548673598270058</v>
      </c>
      <c r="U114" s="1712">
        <f t="shared" si="30"/>
        <v>7.5200000405580925</v>
      </c>
      <c r="V114" s="1952"/>
      <c r="X114" s="2099">
        <v>1</v>
      </c>
      <c r="Y114" s="1712"/>
      <c r="Z114" s="2119">
        <f t="shared" si="31"/>
        <v>0</v>
      </c>
      <c r="AA114" s="2119">
        <f t="shared" si="32"/>
        <v>7.5173443974948198</v>
      </c>
      <c r="AB114" s="2119"/>
      <c r="AC114" s="2119"/>
    </row>
    <row r="115" spans="1:29" s="1942" customFormat="1" ht="13" outlineLevel="2">
      <c r="A115" s="1944"/>
      <c r="B115" s="1807" t="s">
        <v>3606</v>
      </c>
      <c r="C115" s="1808"/>
      <c r="D115" s="1843" t="s">
        <v>3607</v>
      </c>
      <c r="E115" s="2009" t="s">
        <v>3608</v>
      </c>
      <c r="F115" s="1462" t="s">
        <v>1607</v>
      </c>
      <c r="G115" s="1953" t="s">
        <v>4147</v>
      </c>
      <c r="H115" s="1975" t="s">
        <v>10</v>
      </c>
      <c r="I115" s="1712">
        <f t="shared" si="44"/>
        <v>59174.38</v>
      </c>
      <c r="J115" s="2099">
        <v>1</v>
      </c>
      <c r="K115" s="1950" t="s">
        <v>101</v>
      </c>
      <c r="L115" s="1947" t="s">
        <v>10</v>
      </c>
      <c r="M115" s="1754">
        <f t="shared" si="39"/>
        <v>59174.38</v>
      </c>
      <c r="N115" s="1712">
        <v>28.024474734073198</v>
      </c>
      <c r="O115" s="1712">
        <f t="shared" si="40"/>
        <v>165.806613</v>
      </c>
      <c r="P115" s="1712">
        <f t="shared" si="41"/>
        <v>24.8</v>
      </c>
      <c r="Q115" s="1712">
        <f t="shared" si="42"/>
        <v>146.731516</v>
      </c>
      <c r="R115" s="1757">
        <v>0.13</v>
      </c>
      <c r="S115" s="1712">
        <f t="shared" si="43"/>
        <v>19.075097</v>
      </c>
      <c r="T115" s="1712">
        <f t="shared" si="29"/>
        <v>24.796460224847308</v>
      </c>
      <c r="U115" s="1712">
        <f t="shared" si="30"/>
        <v>28.020000040558092</v>
      </c>
      <c r="V115" s="1952"/>
      <c r="X115" s="2099">
        <v>1</v>
      </c>
      <c r="Y115" s="1712"/>
      <c r="Z115" s="2119">
        <f t="shared" si="31"/>
        <v>0</v>
      </c>
      <c r="AA115" s="2119">
        <f t="shared" si="32"/>
        <v>28.024474734073198</v>
      </c>
      <c r="AB115" s="2119"/>
      <c r="AC115" s="2119"/>
    </row>
    <row r="116" spans="1:29" s="1942" customFormat="1" ht="13" outlineLevel="2">
      <c r="A116" s="1944"/>
      <c r="B116" s="1807" t="s">
        <v>3609</v>
      </c>
      <c r="C116" s="1808"/>
      <c r="D116" s="1843" t="s">
        <v>3610</v>
      </c>
      <c r="E116" s="2009" t="s">
        <v>3611</v>
      </c>
      <c r="F116" s="1462" t="s">
        <v>1607</v>
      </c>
      <c r="G116" s="1953" t="s">
        <v>4147</v>
      </c>
      <c r="H116" s="1975" t="s">
        <v>10</v>
      </c>
      <c r="I116" s="1712">
        <f t="shared" si="44"/>
        <v>59174.38</v>
      </c>
      <c r="J116" s="2099">
        <v>1</v>
      </c>
      <c r="K116" s="1950" t="s">
        <v>101</v>
      </c>
      <c r="L116" s="1947" t="s">
        <v>10</v>
      </c>
      <c r="M116" s="1754">
        <f t="shared" si="39"/>
        <v>59174.38</v>
      </c>
      <c r="N116" s="1712">
        <v>5.7599624013361597</v>
      </c>
      <c r="O116" s="1712">
        <f t="shared" si="40"/>
        <v>34.084443</v>
      </c>
      <c r="P116" s="1712">
        <f t="shared" si="41"/>
        <v>5.0999999999999996</v>
      </c>
      <c r="Q116" s="1712">
        <f t="shared" si="42"/>
        <v>30.163224</v>
      </c>
      <c r="R116" s="1757">
        <v>0.13</v>
      </c>
      <c r="S116" s="1712">
        <f t="shared" si="43"/>
        <v>3.9212190000000007</v>
      </c>
      <c r="T116" s="1712">
        <f t="shared" si="29"/>
        <v>5.0973451686354805</v>
      </c>
      <c r="U116" s="1712">
        <f t="shared" si="30"/>
        <v>5.7600000202790467</v>
      </c>
      <c r="V116" s="1952"/>
      <c r="X116" s="2099">
        <v>1</v>
      </c>
      <c r="Y116" s="1712"/>
      <c r="Z116" s="2119">
        <f t="shared" si="31"/>
        <v>0</v>
      </c>
      <c r="AA116" s="2119">
        <f t="shared" si="32"/>
        <v>5.7599624013361597</v>
      </c>
      <c r="AB116" s="2119"/>
      <c r="AC116" s="2119"/>
    </row>
    <row r="117" spans="1:29" s="1942" customFormat="1" ht="13" outlineLevel="2">
      <c r="A117" s="1944"/>
      <c r="B117" s="1807" t="s">
        <v>3612</v>
      </c>
      <c r="C117" s="1808"/>
      <c r="D117" s="1843" t="s">
        <v>3613</v>
      </c>
      <c r="E117" s="2009" t="s">
        <v>3614</v>
      </c>
      <c r="F117" s="1462" t="s">
        <v>3615</v>
      </c>
      <c r="G117" s="1953" t="s">
        <v>4148</v>
      </c>
      <c r="H117" s="1975" t="s">
        <v>10</v>
      </c>
      <c r="I117" s="1712">
        <f t="shared" si="44"/>
        <v>59174.38</v>
      </c>
      <c r="J117" s="2099">
        <v>1</v>
      </c>
      <c r="K117" s="1950" t="s">
        <v>101</v>
      </c>
      <c r="L117" s="1947" t="s">
        <v>10</v>
      </c>
      <c r="M117" s="1754">
        <f t="shared" si="39"/>
        <v>59174.38</v>
      </c>
      <c r="N117" s="1712">
        <v>0</v>
      </c>
      <c r="O117" s="1712">
        <f t="shared" si="40"/>
        <v>0</v>
      </c>
      <c r="P117" s="1712">
        <f t="shared" si="41"/>
        <v>0</v>
      </c>
      <c r="Q117" s="1712">
        <f t="shared" si="42"/>
        <v>0</v>
      </c>
      <c r="R117" s="1757">
        <v>0.13</v>
      </c>
      <c r="S117" s="1712">
        <f t="shared" si="43"/>
        <v>0</v>
      </c>
      <c r="T117" s="1712">
        <f t="shared" si="29"/>
        <v>0</v>
      </c>
      <c r="U117" s="1712">
        <f t="shared" si="30"/>
        <v>0</v>
      </c>
      <c r="V117" s="1952"/>
      <c r="X117" s="2099">
        <v>1</v>
      </c>
      <c r="Y117" s="1712"/>
      <c r="Z117" s="2119">
        <f t="shared" si="31"/>
        <v>0</v>
      </c>
      <c r="AA117" s="2119">
        <f t="shared" si="32"/>
        <v>0</v>
      </c>
      <c r="AB117" s="2119"/>
      <c r="AC117" s="2119"/>
    </row>
    <row r="118" spans="1:29" s="1942" customFormat="1" ht="13" outlineLevel="2">
      <c r="A118" s="1944"/>
      <c r="B118" s="1807" t="s">
        <v>3616</v>
      </c>
      <c r="C118" s="1808"/>
      <c r="D118" s="1843" t="s">
        <v>3617</v>
      </c>
      <c r="E118" s="2009" t="s">
        <v>3618</v>
      </c>
      <c r="F118" s="1462" t="s">
        <v>3521</v>
      </c>
      <c r="G118" s="1953" t="s">
        <v>4139</v>
      </c>
      <c r="H118" s="1975" t="s">
        <v>10</v>
      </c>
      <c r="I118" s="1712">
        <f t="shared" si="44"/>
        <v>59174.38</v>
      </c>
      <c r="J118" s="2099">
        <v>1</v>
      </c>
      <c r="K118" s="1950" t="s">
        <v>101</v>
      </c>
      <c r="L118" s="1947" t="s">
        <v>10</v>
      </c>
      <c r="M118" s="1754">
        <f t="shared" si="39"/>
        <v>59174.38</v>
      </c>
      <c r="N118" s="1712">
        <v>0</v>
      </c>
      <c r="O118" s="1712">
        <f t="shared" si="40"/>
        <v>0</v>
      </c>
      <c r="P118" s="1712">
        <f t="shared" si="41"/>
        <v>0</v>
      </c>
      <c r="Q118" s="1712">
        <f t="shared" si="42"/>
        <v>0</v>
      </c>
      <c r="R118" s="1757">
        <v>0.13</v>
      </c>
      <c r="S118" s="1712">
        <f t="shared" si="43"/>
        <v>0</v>
      </c>
      <c r="T118" s="1712">
        <f t="shared" si="29"/>
        <v>0</v>
      </c>
      <c r="U118" s="1712">
        <f t="shared" si="30"/>
        <v>0</v>
      </c>
      <c r="V118" s="1952"/>
      <c r="X118" s="2099">
        <v>1</v>
      </c>
      <c r="Y118" s="1712"/>
      <c r="Z118" s="2119">
        <f t="shared" si="31"/>
        <v>0</v>
      </c>
      <c r="AA118" s="2119">
        <f t="shared" si="32"/>
        <v>0</v>
      </c>
      <c r="AB118" s="2119"/>
      <c r="AC118" s="2119"/>
    </row>
    <row r="119" spans="1:29" s="1942" customFormat="1" ht="13" outlineLevel="2">
      <c r="A119" s="1944"/>
      <c r="B119" s="1807" t="s">
        <v>3619</v>
      </c>
      <c r="C119" s="1808"/>
      <c r="D119" s="1843" t="s">
        <v>3620</v>
      </c>
      <c r="E119" s="2009" t="s">
        <v>3621</v>
      </c>
      <c r="F119" s="1462" t="s">
        <v>1329</v>
      </c>
      <c r="G119" s="1953" t="s">
        <v>4132</v>
      </c>
      <c r="H119" s="1975" t="s">
        <v>10</v>
      </c>
      <c r="I119" s="1712">
        <f t="shared" si="44"/>
        <v>59174.38</v>
      </c>
      <c r="J119" s="2099">
        <v>1</v>
      </c>
      <c r="K119" s="1950" t="s">
        <v>101</v>
      </c>
      <c r="L119" s="1947" t="s">
        <v>10</v>
      </c>
      <c r="M119" s="1754">
        <f t="shared" si="39"/>
        <v>59174.38</v>
      </c>
      <c r="N119" s="1712">
        <v>7.21772401907615</v>
      </c>
      <c r="O119" s="1712">
        <f t="shared" si="40"/>
        <v>42.723902000000002</v>
      </c>
      <c r="P119" s="1712">
        <f t="shared" si="41"/>
        <v>6.39</v>
      </c>
      <c r="Q119" s="1712">
        <f t="shared" si="42"/>
        <v>37.808762999999999</v>
      </c>
      <c r="R119" s="1757">
        <v>0.13</v>
      </c>
      <c r="S119" s="1712">
        <f t="shared" si="43"/>
        <v>4.9151390000000035</v>
      </c>
      <c r="T119" s="1712">
        <f t="shared" si="29"/>
        <v>6.3893805055498687</v>
      </c>
      <c r="U119" s="1712">
        <f t="shared" si="30"/>
        <v>7.2199999391628618</v>
      </c>
      <c r="V119" s="1952"/>
      <c r="X119" s="2099">
        <v>1</v>
      </c>
      <c r="Y119" s="1712"/>
      <c r="Z119" s="2119">
        <f t="shared" si="31"/>
        <v>0</v>
      </c>
      <c r="AA119" s="2119">
        <f t="shared" si="32"/>
        <v>7.21772401907615</v>
      </c>
      <c r="AB119" s="2119"/>
      <c r="AC119" s="2119"/>
    </row>
    <row r="120" spans="1:29" ht="13"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f t="shared" si="29"/>
        <v>0</v>
      </c>
      <c r="U120" s="1973">
        <f t="shared" si="30"/>
        <v>0</v>
      </c>
      <c r="V120" s="1974"/>
      <c r="X120" s="2116"/>
      <c r="Y120" s="1973"/>
      <c r="Z120" s="2119">
        <f t="shared" si="31"/>
        <v>0</v>
      </c>
      <c r="AA120" s="2119">
        <f t="shared" si="32"/>
        <v>0</v>
      </c>
    </row>
    <row r="121" spans="1:29" s="1942" customFormat="1" ht="13" outlineLevel="2">
      <c r="A121" s="1944"/>
      <c r="B121" s="1807" t="s">
        <v>689</v>
      </c>
      <c r="C121" s="1808"/>
      <c r="D121" s="2008" t="s">
        <v>3622</v>
      </c>
      <c r="E121" s="2009" t="s">
        <v>3623</v>
      </c>
      <c r="F121" s="1462" t="s">
        <v>3624</v>
      </c>
      <c r="G121" s="1953" t="s">
        <v>4149</v>
      </c>
      <c r="H121" s="1975" t="s">
        <v>10</v>
      </c>
      <c r="I121" s="1712">
        <f t="shared" si="44"/>
        <v>59174.38</v>
      </c>
      <c r="J121" s="2099">
        <v>1</v>
      </c>
      <c r="K121" s="1950" t="s">
        <v>101</v>
      </c>
      <c r="L121" s="1947" t="s">
        <v>10</v>
      </c>
      <c r="M121" s="1754">
        <f t="shared" si="39"/>
        <v>59174.38</v>
      </c>
      <c r="N121" s="1712"/>
      <c r="O121" s="1712">
        <f>ROUND(M121*ROUND(N121,2)/10000,6)</f>
        <v>0</v>
      </c>
      <c r="P121" s="1712">
        <f>IFERROR(ROUND(Q121*10000/M121,2),0)</f>
        <v>0</v>
      </c>
      <c r="Q121" s="1712">
        <f>ROUND(O121/(1+R121),6)</f>
        <v>0</v>
      </c>
      <c r="R121" s="1757">
        <v>0.06</v>
      </c>
      <c r="S121" s="1712">
        <f>O121-Q121</f>
        <v>0</v>
      </c>
      <c r="T121" s="1712">
        <f t="shared" si="29"/>
        <v>0</v>
      </c>
      <c r="U121" s="1712">
        <f t="shared" si="30"/>
        <v>0</v>
      </c>
      <c r="V121" s="1952"/>
      <c r="X121" s="2099">
        <v>1</v>
      </c>
      <c r="Y121" s="1712"/>
      <c r="Z121" s="2119">
        <f t="shared" si="31"/>
        <v>0</v>
      </c>
      <c r="AA121" s="2119">
        <f t="shared" si="32"/>
        <v>0</v>
      </c>
      <c r="AB121" s="2119"/>
      <c r="AC121" s="2119"/>
    </row>
    <row r="122" spans="1:29" s="1942" customFormat="1" ht="13" outlineLevel="2">
      <c r="A122" s="1944"/>
      <c r="B122" s="1807" t="s">
        <v>691</v>
      </c>
      <c r="C122" s="1808"/>
      <c r="D122" s="2008" t="s">
        <v>3625</v>
      </c>
      <c r="E122" s="2009" t="s">
        <v>3626</v>
      </c>
      <c r="F122" s="1462" t="s">
        <v>3624</v>
      </c>
      <c r="G122" s="1953" t="s">
        <v>4149</v>
      </c>
      <c r="H122" s="1975" t="s">
        <v>10</v>
      </c>
      <c r="I122" s="1712">
        <f t="shared" si="44"/>
        <v>59174.38</v>
      </c>
      <c r="J122" s="2099">
        <v>1</v>
      </c>
      <c r="K122" s="1950" t="s">
        <v>101</v>
      </c>
      <c r="L122" s="1947" t="s">
        <v>10</v>
      </c>
      <c r="M122" s="1754">
        <f t="shared" si="39"/>
        <v>59174.38</v>
      </c>
      <c r="N122" s="1712"/>
      <c r="O122" s="1712">
        <f>ROUND(M122*ROUND(N122,2)/10000,6)</f>
        <v>0</v>
      </c>
      <c r="P122" s="1712">
        <f>IFERROR(ROUND(Q122*10000/M122,2),0)</f>
        <v>0</v>
      </c>
      <c r="Q122" s="1712">
        <f>ROUND(O122/(1+R122),6)</f>
        <v>0</v>
      </c>
      <c r="R122" s="1757">
        <v>0.06</v>
      </c>
      <c r="S122" s="1712">
        <f>O122-Q122</f>
        <v>0</v>
      </c>
      <c r="T122" s="1712">
        <f t="shared" si="29"/>
        <v>0</v>
      </c>
      <c r="U122" s="1712">
        <f t="shared" si="30"/>
        <v>0</v>
      </c>
      <c r="V122" s="1952"/>
      <c r="X122" s="2099">
        <v>1</v>
      </c>
      <c r="Y122" s="1712"/>
      <c r="Z122" s="2119">
        <f t="shared" si="31"/>
        <v>0</v>
      </c>
      <c r="AA122" s="2119">
        <f t="shared" si="32"/>
        <v>0</v>
      </c>
      <c r="AB122" s="2119"/>
      <c r="AC122" s="2119"/>
    </row>
    <row r="123" spans="1:29" s="1942" customFormat="1" ht="13" outlineLevel="2">
      <c r="A123" s="1944"/>
      <c r="B123" s="1807" t="s">
        <v>693</v>
      </c>
      <c r="C123" s="1808"/>
      <c r="D123" s="2008" t="s">
        <v>3627</v>
      </c>
      <c r="E123" s="2009" t="s">
        <v>3628</v>
      </c>
      <c r="F123" s="1462" t="s">
        <v>3624</v>
      </c>
      <c r="G123" s="1953" t="s">
        <v>4149</v>
      </c>
      <c r="H123" s="1975" t="s">
        <v>10</v>
      </c>
      <c r="I123" s="1712">
        <f t="shared" si="44"/>
        <v>59174.38</v>
      </c>
      <c r="J123" s="2099">
        <v>1</v>
      </c>
      <c r="K123" s="1950" t="s">
        <v>101</v>
      </c>
      <c r="L123" s="1947" t="s">
        <v>10</v>
      </c>
      <c r="M123" s="1754">
        <f t="shared" si="39"/>
        <v>59174.38</v>
      </c>
      <c r="N123" s="1712"/>
      <c r="O123" s="1712">
        <f>ROUND(M123*ROUND(N123,2)/10000,6)</f>
        <v>0</v>
      </c>
      <c r="P123" s="1712">
        <f>IFERROR(ROUND(Q123*10000/M123,2),0)</f>
        <v>0</v>
      </c>
      <c r="Q123" s="1712">
        <f>ROUND(O123/(1+R123),6)</f>
        <v>0</v>
      </c>
      <c r="R123" s="1757">
        <v>0.13</v>
      </c>
      <c r="S123" s="1712">
        <f>O123-Q123</f>
        <v>0</v>
      </c>
      <c r="T123" s="1712">
        <f t="shared" si="29"/>
        <v>0</v>
      </c>
      <c r="U123" s="1712">
        <f t="shared" si="30"/>
        <v>0</v>
      </c>
      <c r="V123" s="1952"/>
      <c r="X123" s="2099">
        <v>1</v>
      </c>
      <c r="Y123" s="1712"/>
      <c r="Z123" s="2119">
        <f t="shared" si="31"/>
        <v>0</v>
      </c>
      <c r="AA123" s="2119">
        <f t="shared" si="32"/>
        <v>0</v>
      </c>
      <c r="AB123" s="2119"/>
      <c r="AC123" s="2119"/>
    </row>
    <row r="124" spans="1:29" ht="13" outlineLevel="1">
      <c r="A124" s="2019"/>
      <c r="B124" s="2023" t="s">
        <v>695</v>
      </c>
      <c r="C124" s="1852">
        <v>3</v>
      </c>
      <c r="D124" s="2024" t="s">
        <v>3147</v>
      </c>
      <c r="E124" s="2025"/>
      <c r="F124" s="2026" t="s">
        <v>1424</v>
      </c>
      <c r="G124" s="2027" t="s">
        <v>4123</v>
      </c>
      <c r="H124" s="2028" t="s">
        <v>10</v>
      </c>
      <c r="I124" s="2029">
        <f t="shared" si="44"/>
        <v>59174.38</v>
      </c>
      <c r="J124" s="2134"/>
      <c r="K124" s="2031" t="s">
        <v>101</v>
      </c>
      <c r="L124" s="2032" t="s">
        <v>10</v>
      </c>
      <c r="M124" s="1971"/>
      <c r="N124" s="1973"/>
      <c r="O124" s="1973">
        <f>ROUND(M124*ROUND(N124,2)/10000,6)</f>
        <v>0</v>
      </c>
      <c r="P124" s="1973">
        <f>IFERROR(ROUND(Q124*10000/M124,2),0)</f>
        <v>0</v>
      </c>
      <c r="Q124" s="1973">
        <f>ROUND(O124/(1+R124),6)</f>
        <v>0</v>
      </c>
      <c r="R124" s="2033">
        <v>0.06</v>
      </c>
      <c r="S124" s="2034">
        <f>O124-Q124</f>
        <v>0</v>
      </c>
      <c r="T124" s="1973">
        <f t="shared" si="29"/>
        <v>0</v>
      </c>
      <c r="U124" s="1973">
        <f t="shared" si="30"/>
        <v>0</v>
      </c>
      <c r="V124" s="1974"/>
      <c r="X124" s="2134"/>
      <c r="Y124" s="1973"/>
      <c r="Z124" s="2119">
        <f t="shared" si="31"/>
        <v>0</v>
      </c>
      <c r="AA124" s="2119">
        <f t="shared" si="32"/>
        <v>0</v>
      </c>
    </row>
    <row r="125" spans="1:29" ht="13" outlineLevel="1">
      <c r="A125" s="2019"/>
      <c r="B125" s="2023" t="s">
        <v>697</v>
      </c>
      <c r="C125" s="1852">
        <v>4</v>
      </c>
      <c r="D125" s="2024" t="s">
        <v>3148</v>
      </c>
      <c r="E125" s="2025" t="s">
        <v>3629</v>
      </c>
      <c r="F125" s="2026" t="s">
        <v>3577</v>
      </c>
      <c r="G125" s="2027" t="s">
        <v>4141</v>
      </c>
      <c r="H125" s="2032" t="s">
        <v>10</v>
      </c>
      <c r="I125" s="2029">
        <f t="shared" si="44"/>
        <v>59174.38</v>
      </c>
      <c r="J125" s="2134"/>
      <c r="K125" s="2031" t="s">
        <v>101</v>
      </c>
      <c r="L125" s="2032" t="s">
        <v>4056</v>
      </c>
      <c r="M125" s="1971"/>
      <c r="N125" s="1973"/>
      <c r="O125" s="1973">
        <f>ROUND(M125*ROUND(N125,2)/10000,6)</f>
        <v>0</v>
      </c>
      <c r="P125" s="1973">
        <f>IFERROR(ROUND(Q125*10000/M125,2),0)</f>
        <v>0</v>
      </c>
      <c r="Q125" s="1973">
        <f>ROUND(O125/(1+R125),6)</f>
        <v>0</v>
      </c>
      <c r="R125" s="2033">
        <v>0.09</v>
      </c>
      <c r="S125" s="2034">
        <f>O125-Q125</f>
        <v>0</v>
      </c>
      <c r="T125" s="1973">
        <f t="shared" si="29"/>
        <v>0</v>
      </c>
      <c r="U125" s="1973">
        <f t="shared" si="30"/>
        <v>0</v>
      </c>
      <c r="V125" s="1974"/>
      <c r="X125" s="2134"/>
      <c r="Y125" s="1973"/>
      <c r="Z125" s="2119">
        <f t="shared" si="31"/>
        <v>0</v>
      </c>
      <c r="AA125" s="2119">
        <f t="shared" si="32"/>
        <v>0</v>
      </c>
    </row>
    <row r="126" spans="1:29" ht="13">
      <c r="A126" s="2019"/>
      <c r="B126" s="1684">
        <v>5001.05</v>
      </c>
      <c r="C126" s="1685" t="s">
        <v>379</v>
      </c>
      <c r="D126" s="1956" t="s">
        <v>498</v>
      </c>
      <c r="E126" s="1957"/>
      <c r="F126" s="2020"/>
      <c r="G126" s="2021" t="s">
        <v>4117</v>
      </c>
      <c r="H126" s="1959"/>
      <c r="I126" s="1960"/>
      <c r="J126" s="2113"/>
      <c r="K126" s="2022"/>
      <c r="L126" s="1959"/>
      <c r="M126" s="2022"/>
      <c r="N126" s="1963"/>
      <c r="O126" s="1963">
        <f>SUBTOTAL(9,O127:O202)</f>
        <v>4070.3024239999995</v>
      </c>
      <c r="P126" s="1963"/>
      <c r="Q126" s="1963">
        <f>SUBTOTAL(9,Q127:Q202)</f>
        <v>3667.5830739999997</v>
      </c>
      <c r="R126" s="1963"/>
      <c r="S126" s="1963">
        <f>SUBTOTAL(9,S127:S202)</f>
        <v>402.71934999999996</v>
      </c>
      <c r="T126" s="1963">
        <f t="shared" si="29"/>
        <v>619.79239562797272</v>
      </c>
      <c r="U126" s="1963">
        <f t="shared" si="30"/>
        <v>687.84876563134242</v>
      </c>
      <c r="V126" s="1964"/>
      <c r="X126" s="2113"/>
      <c r="Y126" s="1963"/>
      <c r="Z126" s="2119">
        <f t="shared" si="31"/>
        <v>0</v>
      </c>
      <c r="AA126" s="2119">
        <f t="shared" si="32"/>
        <v>0</v>
      </c>
    </row>
    <row r="127" spans="1:29" ht="13"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2934.9244680000002</v>
      </c>
      <c r="P127" s="1973"/>
      <c r="Q127" s="1973">
        <f>SUBTOTAL(9,Q128:Q169)</f>
        <v>2631.6919560000001</v>
      </c>
      <c r="R127" s="1973"/>
      <c r="S127" s="1973">
        <f>SUBTOTAL(9,S128:S169)</f>
        <v>303.23251199999999</v>
      </c>
      <c r="T127" s="1973">
        <f t="shared" si="29"/>
        <v>444.73502823350248</v>
      </c>
      <c r="U127" s="1973">
        <f t="shared" si="30"/>
        <v>495.97891317154495</v>
      </c>
      <c r="V127" s="1974"/>
      <c r="X127" s="2116"/>
      <c r="Y127" s="1973"/>
      <c r="Z127" s="2119">
        <f t="shared" si="31"/>
        <v>0</v>
      </c>
      <c r="AA127" s="2119">
        <f t="shared" si="32"/>
        <v>0</v>
      </c>
    </row>
    <row r="128" spans="1:29" s="1942" customFormat="1" ht="13"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859.97161799999992</v>
      </c>
      <c r="P128" s="1712"/>
      <c r="Q128" s="1712">
        <f>SUBTOTAL(9,Q129:Q143)</f>
        <v>782.01542400000005</v>
      </c>
      <c r="R128" s="1712"/>
      <c r="S128" s="1712">
        <f>SUBTOTAL(9,S129:S143)</f>
        <v>77.956193999999982</v>
      </c>
      <c r="T128" s="1712">
        <f t="shared" si="29"/>
        <v>132.15439249215623</v>
      </c>
      <c r="U128" s="1712">
        <f t="shared" si="30"/>
        <v>145.32836981139474</v>
      </c>
      <c r="V128" s="1952"/>
      <c r="X128" s="2099"/>
      <c r="Y128" s="1712"/>
      <c r="Z128" s="2119">
        <f t="shared" si="31"/>
        <v>0</v>
      </c>
      <c r="AA128" s="2119">
        <f t="shared" si="32"/>
        <v>0</v>
      </c>
      <c r="AB128" s="2119"/>
      <c r="AC128" s="2119"/>
    </row>
    <row r="129" spans="1:29" s="1942" customFormat="1" ht="12"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538.48685799999998</v>
      </c>
      <c r="P129" s="1983"/>
      <c r="Q129" s="1712">
        <f>SUBTOTAL(9,Q130:Q131)</f>
        <v>488.64384100000001</v>
      </c>
      <c r="R129" s="1757"/>
      <c r="S129" s="1712">
        <f>SUBTOTAL(9,S130:S131)</f>
        <v>49.843016999999975</v>
      </c>
      <c r="T129" s="1712">
        <f t="shared" si="29"/>
        <v>82.576926196776384</v>
      </c>
      <c r="U129" s="1712">
        <f t="shared" si="30"/>
        <v>91</v>
      </c>
      <c r="V129" s="1952"/>
      <c r="X129" s="2135"/>
      <c r="Y129" s="1712"/>
      <c r="Z129" s="2119">
        <f t="shared" si="31"/>
        <v>0</v>
      </c>
      <c r="AA129" s="2119">
        <f t="shared" si="32"/>
        <v>0</v>
      </c>
      <c r="AB129" s="2119"/>
      <c r="AC129" s="2119"/>
    </row>
    <row r="130" spans="1:29" s="1942" customFormat="1" ht="12" customHeight="1" outlineLevel="4">
      <c r="A130" s="1944"/>
      <c r="B130" s="1985" t="s">
        <v>801</v>
      </c>
      <c r="C130" s="1828"/>
      <c r="D130" s="2013" t="s">
        <v>4057</v>
      </c>
      <c r="E130" s="2011"/>
      <c r="F130" s="1988" t="s">
        <v>459</v>
      </c>
      <c r="G130" s="1989" t="s">
        <v>4150</v>
      </c>
      <c r="H130" s="1990" t="s">
        <v>10</v>
      </c>
      <c r="I130" s="1991">
        <f>$E$5</f>
        <v>59174.38</v>
      </c>
      <c r="J130" s="2148">
        <v>1.4</v>
      </c>
      <c r="K130" s="2000" t="s">
        <v>101</v>
      </c>
      <c r="L130" s="1990" t="s">
        <v>4058</v>
      </c>
      <c r="M130" s="1991">
        <f>ROUND(I130,2)*ROUND(J130,4)</f>
        <v>82844.131999999998</v>
      </c>
      <c r="N130" s="1756">
        <v>20</v>
      </c>
      <c r="O130" s="1991">
        <f>ROUND(M130*ROUND(N130,2)/10000,6)</f>
        <v>165.688264</v>
      </c>
      <c r="P130" s="1991">
        <f>IFERROR(ROUND(Q130*10000/M130,2),0)</f>
        <v>17.7</v>
      </c>
      <c r="Q130" s="1991">
        <f>ROUND(O130/(1+R130),6)</f>
        <v>146.62678199999999</v>
      </c>
      <c r="R130" s="1993">
        <v>0.13</v>
      </c>
      <c r="S130" s="1991">
        <f>O130-Q130</f>
        <v>19.061482000000012</v>
      </c>
      <c r="T130" s="1991">
        <f t="shared" si="29"/>
        <v>24.778761011099736</v>
      </c>
      <c r="U130" s="1991">
        <f t="shared" si="30"/>
        <v>28.000000000000004</v>
      </c>
      <c r="V130" s="1994"/>
      <c r="X130" s="2137">
        <v>0.4</v>
      </c>
      <c r="Y130" s="2127">
        <v>65</v>
      </c>
      <c r="Z130" s="2119">
        <f t="shared" si="31"/>
        <v>0.99999999999999989</v>
      </c>
      <c r="AA130" s="2119">
        <f t="shared" si="32"/>
        <v>-45</v>
      </c>
      <c r="AB130" s="2119"/>
      <c r="AC130" s="2119"/>
    </row>
    <row r="131" spans="1:29" s="1942" customFormat="1" ht="12" customHeight="1" outlineLevel="4">
      <c r="A131" s="1944"/>
      <c r="B131" s="1985" t="s">
        <v>703</v>
      </c>
      <c r="C131" s="1828"/>
      <c r="D131" s="2013" t="s">
        <v>4059</v>
      </c>
      <c r="E131" s="2011"/>
      <c r="F131" s="1988" t="s">
        <v>1493</v>
      </c>
      <c r="G131" s="1989" t="s">
        <v>4119</v>
      </c>
      <c r="H131" s="1990" t="s">
        <v>10</v>
      </c>
      <c r="I131" s="1991">
        <f>$E$5</f>
        <v>59174.38</v>
      </c>
      <c r="J131" s="2148">
        <v>1.4</v>
      </c>
      <c r="K131" s="2000" t="s">
        <v>101</v>
      </c>
      <c r="L131" s="1990" t="s">
        <v>4058</v>
      </c>
      <c r="M131" s="1991">
        <f>ROUND(I131,2)*ROUND(J131,4)</f>
        <v>82844.131999999998</v>
      </c>
      <c r="N131" s="1756">
        <v>45</v>
      </c>
      <c r="O131" s="1991">
        <f>ROUND(M131*ROUND(N131,2)/10000,6)</f>
        <v>372.79859399999998</v>
      </c>
      <c r="P131" s="1991">
        <f>IFERROR(ROUND(Q131*10000/M131,2),0)</f>
        <v>41.28</v>
      </c>
      <c r="Q131" s="1991">
        <f>ROUND(O131/(1+R131),6)</f>
        <v>342.01705900000002</v>
      </c>
      <c r="R131" s="1993">
        <v>0.09</v>
      </c>
      <c r="S131" s="1991">
        <f>O131-Q131</f>
        <v>30.781534999999963</v>
      </c>
      <c r="T131" s="1991">
        <f t="shared" si="29"/>
        <v>57.798165185676645</v>
      </c>
      <c r="U131" s="1991">
        <f t="shared" si="30"/>
        <v>63</v>
      </c>
      <c r="V131" s="1994"/>
      <c r="X131" s="2137">
        <v>0.4</v>
      </c>
      <c r="Y131" s="2127">
        <v>40</v>
      </c>
      <c r="Z131" s="2119">
        <f t="shared" si="31"/>
        <v>0.99999999999999989</v>
      </c>
      <c r="AA131" s="2119">
        <f t="shared" si="32"/>
        <v>5</v>
      </c>
      <c r="AB131" s="2119"/>
      <c r="AC131" s="2119"/>
    </row>
    <row r="132" spans="1:29" s="1942" customFormat="1" ht="12"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f t="shared" si="29"/>
        <v>0</v>
      </c>
      <c r="U132" s="1712">
        <f t="shared" si="30"/>
        <v>0</v>
      </c>
      <c r="V132" s="1952"/>
      <c r="X132" s="2135"/>
      <c r="Y132" s="1712"/>
      <c r="Z132" s="2119">
        <f t="shared" si="31"/>
        <v>0</v>
      </c>
      <c r="AA132" s="2119">
        <f t="shared" si="32"/>
        <v>0</v>
      </c>
      <c r="AB132" s="2119"/>
      <c r="AC132" s="2119"/>
    </row>
    <row r="133" spans="1:29" s="1942" customFormat="1" ht="12" customHeight="1" outlineLevel="4">
      <c r="A133" s="1944"/>
      <c r="B133" s="1985" t="s">
        <v>802</v>
      </c>
      <c r="C133" s="1828"/>
      <c r="D133" s="2013" t="s">
        <v>1569</v>
      </c>
      <c r="E133" s="2011"/>
      <c r="F133" s="1988" t="s">
        <v>469</v>
      </c>
      <c r="G133" s="1989" t="s">
        <v>4151</v>
      </c>
      <c r="H133" s="1990" t="s">
        <v>10</v>
      </c>
      <c r="I133" s="1991">
        <f>$E$5</f>
        <v>59174.38</v>
      </c>
      <c r="J133" s="2136"/>
      <c r="K133" s="2000" t="s">
        <v>101</v>
      </c>
      <c r="L133" s="1990" t="s">
        <v>4060</v>
      </c>
      <c r="M133" s="1991">
        <f t="shared" ref="M133:M183" si="45">ROUND(I133,2)*ROUND(J133,4)</f>
        <v>0</v>
      </c>
      <c r="N133" s="1991"/>
      <c r="O133" s="1991">
        <f t="shared" ref="O133:O143" si="46">ROUND(M133*ROUND(N133,2)/10000,6)</f>
        <v>0</v>
      </c>
      <c r="P133" s="1991">
        <f t="shared" ref="P133:P143" si="47">IFERROR(ROUND(Q133*10000/M133,2),0)</f>
        <v>0</v>
      </c>
      <c r="Q133" s="1991">
        <f t="shared" ref="Q133:Q143" si="48">ROUND(O133/(1+R133),6)</f>
        <v>0</v>
      </c>
      <c r="R133" s="1993">
        <v>0.13</v>
      </c>
      <c r="S133" s="1991">
        <f t="shared" ref="S133:S143" si="49">O133-Q133</f>
        <v>0</v>
      </c>
      <c r="T133" s="1991">
        <f t="shared" si="29"/>
        <v>0</v>
      </c>
      <c r="U133" s="1991">
        <f t="shared" si="30"/>
        <v>0</v>
      </c>
      <c r="V133" s="1994"/>
      <c r="X133" s="2136">
        <v>0.2</v>
      </c>
      <c r="Y133" s="1991"/>
      <c r="Z133" s="2119">
        <f t="shared" si="31"/>
        <v>-0.2</v>
      </c>
      <c r="AA133" s="2119">
        <f t="shared" si="32"/>
        <v>0</v>
      </c>
      <c r="AB133" s="2119"/>
      <c r="AC133" s="2119"/>
    </row>
    <row r="134" spans="1:29" s="1942" customFormat="1" ht="12" customHeight="1" outlineLevel="4">
      <c r="A134" s="1944"/>
      <c r="B134" s="1985" t="s">
        <v>704</v>
      </c>
      <c r="C134" s="1828"/>
      <c r="D134" s="2013" t="s">
        <v>1571</v>
      </c>
      <c r="E134" s="2011"/>
      <c r="F134" s="1988" t="s">
        <v>3342</v>
      </c>
      <c r="G134" s="1989" t="s">
        <v>4116</v>
      </c>
      <c r="H134" s="1990" t="s">
        <v>10</v>
      </c>
      <c r="I134" s="1991">
        <f>$E$5</f>
        <v>59174.38</v>
      </c>
      <c r="J134" s="2136"/>
      <c r="K134" s="2000" t="s">
        <v>101</v>
      </c>
      <c r="L134" s="1990" t="s">
        <v>4060</v>
      </c>
      <c r="M134" s="1991">
        <f t="shared" si="45"/>
        <v>0</v>
      </c>
      <c r="N134" s="1991"/>
      <c r="O134" s="1991">
        <f t="shared" si="46"/>
        <v>0</v>
      </c>
      <c r="P134" s="1991">
        <f t="shared" si="47"/>
        <v>0</v>
      </c>
      <c r="Q134" s="1991">
        <f t="shared" si="48"/>
        <v>0</v>
      </c>
      <c r="R134" s="1993">
        <v>0.09</v>
      </c>
      <c r="S134" s="1991">
        <f t="shared" si="49"/>
        <v>0</v>
      </c>
      <c r="T134" s="1991">
        <f t="shared" si="29"/>
        <v>0</v>
      </c>
      <c r="U134" s="1991">
        <f t="shared" si="30"/>
        <v>0</v>
      </c>
      <c r="V134" s="1994"/>
      <c r="X134" s="2136">
        <v>0.2</v>
      </c>
      <c r="Y134" s="1991"/>
      <c r="Z134" s="2119">
        <f t="shared" si="31"/>
        <v>-0.2</v>
      </c>
      <c r="AA134" s="2119">
        <f t="shared" si="32"/>
        <v>0</v>
      </c>
      <c r="AB134" s="2119"/>
      <c r="AC134" s="2119"/>
    </row>
    <row r="135" spans="1:29" s="1942" customFormat="1" ht="12" customHeight="1" outlineLevel="3">
      <c r="A135" s="1944"/>
      <c r="B135" s="1978" t="s">
        <v>1566</v>
      </c>
      <c r="C135" s="1810"/>
      <c r="D135" s="2008" t="s">
        <v>3634</v>
      </c>
      <c r="E135" s="2009" t="s">
        <v>3635</v>
      </c>
      <c r="F135" s="1462" t="s">
        <v>3636</v>
      </c>
      <c r="G135" s="1953" t="s">
        <v>4152</v>
      </c>
      <c r="H135" s="1947" t="s">
        <v>10</v>
      </c>
      <c r="I135" s="1712">
        <f>$E$5</f>
        <v>59174.38</v>
      </c>
      <c r="J135" s="2135">
        <v>0.02</v>
      </c>
      <c r="K135" s="1950" t="s">
        <v>101</v>
      </c>
      <c r="L135" s="1947" t="s">
        <v>4061</v>
      </c>
      <c r="M135" s="1754">
        <f t="shared" si="45"/>
        <v>1183.4875999999999</v>
      </c>
      <c r="N135" s="1712">
        <v>900</v>
      </c>
      <c r="O135" s="1712">
        <f t="shared" si="46"/>
        <v>106.513884</v>
      </c>
      <c r="P135" s="1712">
        <f t="shared" si="47"/>
        <v>825.69</v>
      </c>
      <c r="Q135" s="1712">
        <f t="shared" si="48"/>
        <v>97.719160000000002</v>
      </c>
      <c r="R135" s="1757">
        <v>0.09</v>
      </c>
      <c r="S135" s="1712">
        <f t="shared" si="49"/>
        <v>8.7947240000000022</v>
      </c>
      <c r="T135" s="1712">
        <f t="shared" si="29"/>
        <v>16.513761529905342</v>
      </c>
      <c r="U135" s="1712">
        <f t="shared" si="30"/>
        <v>18.000000000000004</v>
      </c>
      <c r="V135" s="1952"/>
      <c r="X135" s="2135">
        <v>1.2</v>
      </c>
      <c r="Y135" s="1712"/>
      <c r="Z135" s="2119">
        <f t="shared" si="31"/>
        <v>-1.18</v>
      </c>
      <c r="AA135" s="2119">
        <f t="shared" si="32"/>
        <v>900</v>
      </c>
      <c r="AB135" s="2119"/>
      <c r="AC135" s="2119"/>
    </row>
    <row r="136" spans="1:29" s="1942" customFormat="1" ht="12" customHeight="1" outlineLevel="3">
      <c r="A136" s="1944"/>
      <c r="B136" s="1978" t="s">
        <v>1572</v>
      </c>
      <c r="C136" s="1810"/>
      <c r="D136" s="2008" t="s">
        <v>3637</v>
      </c>
      <c r="E136" s="2009" t="s">
        <v>3638</v>
      </c>
      <c r="F136" s="1462" t="s">
        <v>3636</v>
      </c>
      <c r="G136" s="1953" t="s">
        <v>4153</v>
      </c>
      <c r="H136" s="1947" t="s">
        <v>10</v>
      </c>
      <c r="I136" s="1712">
        <f t="shared" ref="I136:I143" si="50">$E$5</f>
        <v>59174.38</v>
      </c>
      <c r="J136" s="2135"/>
      <c r="K136" s="1950" t="s">
        <v>101</v>
      </c>
      <c r="L136" s="1947" t="s">
        <v>4062</v>
      </c>
      <c r="M136" s="1754">
        <f t="shared" si="45"/>
        <v>0</v>
      </c>
      <c r="N136" s="1712"/>
      <c r="O136" s="1712">
        <f t="shared" si="46"/>
        <v>0</v>
      </c>
      <c r="P136" s="1712">
        <f t="shared" si="47"/>
        <v>0</v>
      </c>
      <c r="Q136" s="1712">
        <f t="shared" si="48"/>
        <v>0</v>
      </c>
      <c r="R136" s="1757">
        <v>0.09</v>
      </c>
      <c r="S136" s="1712">
        <f t="shared" si="49"/>
        <v>0</v>
      </c>
      <c r="T136" s="1712">
        <f t="shared" si="29"/>
        <v>0</v>
      </c>
      <c r="U136" s="1712">
        <f t="shared" si="30"/>
        <v>0</v>
      </c>
      <c r="V136" s="1952"/>
      <c r="X136" s="2138">
        <v>0.4</v>
      </c>
      <c r="Y136" s="2003">
        <v>1350</v>
      </c>
      <c r="Z136" s="2119">
        <f t="shared" si="31"/>
        <v>-0.4</v>
      </c>
      <c r="AA136" s="2119">
        <f t="shared" si="32"/>
        <v>-1350</v>
      </c>
      <c r="AB136" s="2119"/>
      <c r="AC136" s="2119"/>
    </row>
    <row r="137" spans="1:29" s="1942" customFormat="1" ht="12" customHeight="1" outlineLevel="3">
      <c r="A137" s="1944"/>
      <c r="B137" s="1978" t="s">
        <v>1578</v>
      </c>
      <c r="C137" s="1810"/>
      <c r="D137" s="2008" t="s">
        <v>3639</v>
      </c>
      <c r="E137" s="2009" t="s">
        <v>3640</v>
      </c>
      <c r="F137" s="1462" t="s">
        <v>3636</v>
      </c>
      <c r="G137" s="1953" t="s">
        <v>4153</v>
      </c>
      <c r="H137" s="1947" t="s">
        <v>10</v>
      </c>
      <c r="I137" s="1712">
        <f t="shared" si="50"/>
        <v>59174.38</v>
      </c>
      <c r="J137" s="2135"/>
      <c r="K137" s="1950" t="s">
        <v>101</v>
      </c>
      <c r="L137" s="1947" t="s">
        <v>4063</v>
      </c>
      <c r="M137" s="1754">
        <f t="shared" si="45"/>
        <v>0</v>
      </c>
      <c r="N137" s="1712"/>
      <c r="O137" s="1712">
        <f t="shared" si="46"/>
        <v>0</v>
      </c>
      <c r="P137" s="1712">
        <f t="shared" si="47"/>
        <v>0</v>
      </c>
      <c r="Q137" s="1712">
        <f t="shared" si="48"/>
        <v>0</v>
      </c>
      <c r="R137" s="1757">
        <v>0.09</v>
      </c>
      <c r="S137" s="1712">
        <f t="shared" si="49"/>
        <v>0</v>
      </c>
      <c r="T137" s="1712">
        <f t="shared" si="29"/>
        <v>0</v>
      </c>
      <c r="U137" s="1712">
        <f t="shared" si="30"/>
        <v>0</v>
      </c>
      <c r="V137" s="1952"/>
      <c r="X137" s="2138">
        <v>0.5</v>
      </c>
      <c r="Y137" s="2003">
        <v>1200</v>
      </c>
      <c r="Z137" s="2119">
        <f t="shared" si="31"/>
        <v>-0.5</v>
      </c>
      <c r="AA137" s="2119">
        <f t="shared" si="32"/>
        <v>-1200</v>
      </c>
      <c r="AB137" s="2119"/>
      <c r="AC137" s="2119"/>
    </row>
    <row r="138" spans="1:29" s="1942" customFormat="1" ht="12" customHeight="1" outlineLevel="3">
      <c r="A138" s="1944"/>
      <c r="B138" s="1978" t="s">
        <v>705</v>
      </c>
      <c r="C138" s="1810"/>
      <c r="D138" s="2008" t="s">
        <v>3641</v>
      </c>
      <c r="E138" s="2009" t="s">
        <v>3642</v>
      </c>
      <c r="F138" s="1462" t="s">
        <v>1493</v>
      </c>
      <c r="G138" s="1953" t="s">
        <v>4119</v>
      </c>
      <c r="H138" s="1947" t="s">
        <v>10</v>
      </c>
      <c r="I138" s="1712">
        <f t="shared" si="50"/>
        <v>59174.38</v>
      </c>
      <c r="J138" s="2135"/>
      <c r="K138" s="1977" t="s">
        <v>4064</v>
      </c>
      <c r="L138" s="1947" t="s">
        <v>4065</v>
      </c>
      <c r="M138" s="1754">
        <f t="shared" si="45"/>
        <v>0</v>
      </c>
      <c r="N138" s="1712"/>
      <c r="O138" s="1712">
        <f t="shared" si="46"/>
        <v>0</v>
      </c>
      <c r="P138" s="1712">
        <f t="shared" si="47"/>
        <v>0</v>
      </c>
      <c r="Q138" s="1712">
        <f t="shared" si="48"/>
        <v>0</v>
      </c>
      <c r="R138" s="1757">
        <v>0.09</v>
      </c>
      <c r="S138" s="1712">
        <f t="shared" si="49"/>
        <v>0</v>
      </c>
      <c r="T138" s="1712">
        <f t="shared" si="29"/>
        <v>0</v>
      </c>
      <c r="U138" s="1712">
        <f t="shared" si="30"/>
        <v>0</v>
      </c>
      <c r="V138" s="1952"/>
      <c r="X138" s="2135"/>
      <c r="Y138" s="1712"/>
      <c r="Z138" s="2119">
        <f t="shared" si="31"/>
        <v>0</v>
      </c>
      <c r="AA138" s="2119">
        <f t="shared" si="32"/>
        <v>0</v>
      </c>
      <c r="AB138" s="2119"/>
      <c r="AC138" s="2119"/>
    </row>
    <row r="139" spans="1:29" s="1942" customFormat="1" ht="12" customHeight="1" outlineLevel="3">
      <c r="A139" s="1944"/>
      <c r="B139" s="1978" t="s">
        <v>706</v>
      </c>
      <c r="C139" s="1810"/>
      <c r="D139" s="2008" t="s">
        <v>3643</v>
      </c>
      <c r="E139" s="2009" t="s">
        <v>3644</v>
      </c>
      <c r="F139" s="1462" t="s">
        <v>3636</v>
      </c>
      <c r="G139" s="1953" t="s">
        <v>4153</v>
      </c>
      <c r="H139" s="1947" t="str">
        <f>F5</f>
        <v>单元数</v>
      </c>
      <c r="I139" s="1712">
        <f>G5</f>
        <v>23</v>
      </c>
      <c r="J139" s="2135">
        <v>15</v>
      </c>
      <c r="K139" s="1977" t="s">
        <v>4085</v>
      </c>
      <c r="L139" s="1947" t="s">
        <v>4066</v>
      </c>
      <c r="M139" s="1754">
        <f t="shared" si="45"/>
        <v>345</v>
      </c>
      <c r="N139" s="1712">
        <v>1400</v>
      </c>
      <c r="O139" s="1712">
        <f t="shared" si="46"/>
        <v>48.3</v>
      </c>
      <c r="P139" s="1712">
        <f t="shared" si="47"/>
        <v>1238.94</v>
      </c>
      <c r="Q139" s="1712">
        <f t="shared" si="48"/>
        <v>42.743363000000002</v>
      </c>
      <c r="R139" s="1757">
        <v>0.13</v>
      </c>
      <c r="S139" s="1712">
        <f t="shared" si="49"/>
        <v>5.5566369999999949</v>
      </c>
      <c r="T139" s="1712">
        <f t="shared" ref="T139:T202" si="51">IFERROR(Q139*10000/$E$6,"")</f>
        <v>7.2232886935190539</v>
      </c>
      <c r="U139" s="1712">
        <f t="shared" ref="U139:U202" si="52">IFERROR(O139*10000/$E$6,"")</f>
        <v>8.1623161915680402</v>
      </c>
      <c r="V139" s="1952"/>
      <c r="X139" s="2138">
        <v>0.5</v>
      </c>
      <c r="Y139" s="2003">
        <v>1200</v>
      </c>
      <c r="Z139" s="2119">
        <f t="shared" si="31"/>
        <v>14.5</v>
      </c>
      <c r="AA139" s="2119">
        <f t="shared" si="32"/>
        <v>200</v>
      </c>
      <c r="AB139" s="2119"/>
      <c r="AC139" s="2119"/>
    </row>
    <row r="140" spans="1:29" s="1942" customFormat="1" ht="12" customHeight="1" outlineLevel="3">
      <c r="A140" s="1944"/>
      <c r="B140" s="1978" t="s">
        <v>707</v>
      </c>
      <c r="C140" s="1810"/>
      <c r="D140" s="2008" t="s">
        <v>97</v>
      </c>
      <c r="E140" s="2009" t="s">
        <v>3645</v>
      </c>
      <c r="F140" s="1462" t="s">
        <v>470</v>
      </c>
      <c r="G140" s="1953" t="s">
        <v>4154</v>
      </c>
      <c r="H140" s="1975" t="s">
        <v>10</v>
      </c>
      <c r="I140" s="1712">
        <f t="shared" si="50"/>
        <v>59174.38</v>
      </c>
      <c r="J140" s="2099">
        <v>1</v>
      </c>
      <c r="K140" s="1950" t="s">
        <v>101</v>
      </c>
      <c r="L140" s="1947" t="s">
        <v>10</v>
      </c>
      <c r="M140" s="1754">
        <f t="shared" si="45"/>
        <v>59174.38</v>
      </c>
      <c r="N140" s="1712">
        <v>2</v>
      </c>
      <c r="O140" s="1712">
        <f t="shared" si="46"/>
        <v>11.834876</v>
      </c>
      <c r="P140" s="1712">
        <f t="shared" si="47"/>
        <v>1.83</v>
      </c>
      <c r="Q140" s="1712">
        <f t="shared" si="48"/>
        <v>10.857684000000001</v>
      </c>
      <c r="R140" s="1757">
        <v>0.09</v>
      </c>
      <c r="S140" s="1712">
        <f t="shared" si="49"/>
        <v>0.97719199999999873</v>
      </c>
      <c r="T140" s="1712">
        <f t="shared" si="51"/>
        <v>1.8348623171041254</v>
      </c>
      <c r="U140" s="1712">
        <f t="shared" si="52"/>
        <v>2</v>
      </c>
      <c r="V140" s="1952"/>
      <c r="X140" s="2125">
        <v>1</v>
      </c>
      <c r="Y140" s="2003">
        <v>100</v>
      </c>
      <c r="Z140" s="2119">
        <f t="shared" si="31"/>
        <v>0</v>
      </c>
      <c r="AA140" s="2119">
        <f t="shared" si="32"/>
        <v>-98</v>
      </c>
      <c r="AB140" s="2119"/>
      <c r="AC140" s="2119"/>
    </row>
    <row r="141" spans="1:29" s="1942" customFormat="1" ht="12" customHeight="1" outlineLevel="3">
      <c r="A141" s="1944"/>
      <c r="B141" s="1978" t="s">
        <v>709</v>
      </c>
      <c r="C141" s="1810"/>
      <c r="D141" s="2008" t="s">
        <v>3646</v>
      </c>
      <c r="E141" s="2009" t="s">
        <v>3647</v>
      </c>
      <c r="F141" s="1462" t="s">
        <v>1363</v>
      </c>
      <c r="G141" s="1953" t="s">
        <v>4155</v>
      </c>
      <c r="H141" s="1975" t="s">
        <v>10</v>
      </c>
      <c r="I141" s="1712">
        <f t="shared" si="50"/>
        <v>59174.38</v>
      </c>
      <c r="J141" s="2099"/>
      <c r="K141" s="1950" t="s">
        <v>101</v>
      </c>
      <c r="L141" s="1947" t="s">
        <v>10</v>
      </c>
      <c r="M141" s="1754">
        <f t="shared" si="45"/>
        <v>0</v>
      </c>
      <c r="N141" s="1712"/>
      <c r="O141" s="1712">
        <f t="shared" si="46"/>
        <v>0</v>
      </c>
      <c r="P141" s="1712">
        <f t="shared" si="47"/>
        <v>0</v>
      </c>
      <c r="Q141" s="1712">
        <f t="shared" si="48"/>
        <v>0</v>
      </c>
      <c r="R141" s="1757">
        <v>0.09</v>
      </c>
      <c r="S141" s="1712">
        <f t="shared" si="49"/>
        <v>0</v>
      </c>
      <c r="T141" s="1712">
        <f t="shared" si="51"/>
        <v>0</v>
      </c>
      <c r="U141" s="1712">
        <f t="shared" si="52"/>
        <v>0</v>
      </c>
      <c r="V141" s="1952"/>
      <c r="X141" s="2139"/>
      <c r="Y141" s="1712"/>
      <c r="Z141" s="2119">
        <f t="shared" si="31"/>
        <v>0</v>
      </c>
      <c r="AA141" s="2119">
        <f t="shared" si="32"/>
        <v>0</v>
      </c>
      <c r="AB141" s="2119"/>
      <c r="AC141" s="2119"/>
    </row>
    <row r="142" spans="1:29" s="1942" customFormat="1" ht="12" customHeight="1" outlineLevel="3">
      <c r="A142" s="1944"/>
      <c r="B142" s="1978" t="s">
        <v>710</v>
      </c>
      <c r="C142" s="1810"/>
      <c r="D142" s="2008" t="s">
        <v>3648</v>
      </c>
      <c r="E142" s="2009" t="s">
        <v>3649</v>
      </c>
      <c r="F142" s="1462" t="s">
        <v>3636</v>
      </c>
      <c r="G142" s="1953" t="s">
        <v>4153</v>
      </c>
      <c r="H142" s="1975" t="str">
        <f>F5</f>
        <v>单元数</v>
      </c>
      <c r="I142" s="1712">
        <f>G5</f>
        <v>23</v>
      </c>
      <c r="J142" s="2099">
        <v>67.319999999999993</v>
      </c>
      <c r="K142" s="1950" t="s">
        <v>101</v>
      </c>
      <c r="L142" s="1947" t="s">
        <v>4067</v>
      </c>
      <c r="M142" s="1754">
        <f t="shared" si="45"/>
        <v>1548.36</v>
      </c>
      <c r="N142" s="1712">
        <v>1000</v>
      </c>
      <c r="O142" s="1712">
        <f t="shared" si="46"/>
        <v>154.83600000000001</v>
      </c>
      <c r="P142" s="1712">
        <f t="shared" si="47"/>
        <v>917.43</v>
      </c>
      <c r="Q142" s="1712">
        <f t="shared" si="48"/>
        <v>142.051376</v>
      </c>
      <c r="R142" s="1757">
        <v>0.09</v>
      </c>
      <c r="S142" s="1712">
        <f t="shared" si="49"/>
        <v>12.784624000000008</v>
      </c>
      <c r="T142" s="1712">
        <f t="shared" si="51"/>
        <v>24.005553754851341</v>
      </c>
      <c r="U142" s="1712">
        <f t="shared" si="52"/>
        <v>26.166053619826695</v>
      </c>
      <c r="V142" s="1952"/>
      <c r="X142" s="2139"/>
      <c r="Y142" s="1712"/>
      <c r="Z142" s="2119">
        <f t="shared" ref="Z142:Z202" si="53">J142-X142</f>
        <v>67.319999999999993</v>
      </c>
      <c r="AA142" s="2119">
        <f t="shared" ref="AA142:AA202" si="54">N142-Y142</f>
        <v>1000</v>
      </c>
      <c r="AB142" s="2119"/>
      <c r="AC142" s="2119"/>
    </row>
    <row r="143" spans="1:29" s="1942" customFormat="1" ht="12" customHeight="1" outlineLevel="3">
      <c r="A143" s="1944"/>
      <c r="B143" s="1978" t="s">
        <v>3650</v>
      </c>
      <c r="C143" s="1810"/>
      <c r="D143" s="2008" t="s">
        <v>3651</v>
      </c>
      <c r="E143" s="2009" t="s">
        <v>3652</v>
      </c>
      <c r="F143" s="1462" t="s">
        <v>1606</v>
      </c>
      <c r="G143" s="1953" t="s">
        <v>4121</v>
      </c>
      <c r="H143" s="1975" t="s">
        <v>10</v>
      </c>
      <c r="I143" s="1712">
        <f t="shared" si="50"/>
        <v>59174.38</v>
      </c>
      <c r="J143" s="2099"/>
      <c r="K143" s="1950" t="s">
        <v>101</v>
      </c>
      <c r="L143" s="1947" t="s">
        <v>4068</v>
      </c>
      <c r="M143" s="1754">
        <f t="shared" si="45"/>
        <v>0</v>
      </c>
      <c r="N143" s="1712"/>
      <c r="O143" s="1712">
        <f t="shared" si="46"/>
        <v>0</v>
      </c>
      <c r="P143" s="1712">
        <f t="shared" si="47"/>
        <v>0</v>
      </c>
      <c r="Q143" s="1712">
        <f t="shared" si="48"/>
        <v>0</v>
      </c>
      <c r="R143" s="1757">
        <v>0.13</v>
      </c>
      <c r="S143" s="1712">
        <f t="shared" si="49"/>
        <v>0</v>
      </c>
      <c r="T143" s="1712">
        <f t="shared" si="51"/>
        <v>0</v>
      </c>
      <c r="U143" s="1712">
        <f t="shared" si="52"/>
        <v>0</v>
      </c>
      <c r="V143" s="1952"/>
      <c r="X143" s="2139"/>
      <c r="Y143" s="1712"/>
      <c r="Z143" s="2119">
        <f t="shared" si="53"/>
        <v>0</v>
      </c>
      <c r="AA143" s="2119">
        <f t="shared" si="54"/>
        <v>0</v>
      </c>
      <c r="AB143" s="2119"/>
      <c r="AC143" s="2119"/>
    </row>
    <row r="144" spans="1:29" s="1942" customFormat="1" ht="13"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367.69939999999997</v>
      </c>
      <c r="P144" s="1712"/>
      <c r="Q144" s="1712">
        <f>SUBTOTAL(9,Q145:Q152)</f>
        <v>337.33889899999997</v>
      </c>
      <c r="R144" s="1712"/>
      <c r="S144" s="1712">
        <f>SUBTOTAL(9,S145:S152)</f>
        <v>30.360500999999992</v>
      </c>
      <c r="T144" s="1712">
        <f t="shared" si="51"/>
        <v>57.007593319946906</v>
      </c>
      <c r="U144" s="1712">
        <f t="shared" si="52"/>
        <v>62.138276733951407</v>
      </c>
      <c r="V144" s="1952"/>
      <c r="X144" s="2099"/>
      <c r="Y144" s="1712"/>
      <c r="Z144" s="2119">
        <f t="shared" si="53"/>
        <v>0</v>
      </c>
      <c r="AA144" s="2119">
        <f t="shared" si="54"/>
        <v>0</v>
      </c>
      <c r="AB144" s="2119"/>
      <c r="AC144" s="2119"/>
    </row>
    <row r="145" spans="1:29" s="1942" customFormat="1" ht="12" customHeight="1" outlineLevel="3">
      <c r="A145" s="1944"/>
      <c r="B145" s="1978" t="s">
        <v>714</v>
      </c>
      <c r="C145" s="1810"/>
      <c r="D145" s="2008" t="s">
        <v>715</v>
      </c>
      <c r="E145" s="2009" t="s">
        <v>3653</v>
      </c>
      <c r="F145" s="1462" t="s">
        <v>3654</v>
      </c>
      <c r="G145" s="1953" t="s">
        <v>4156</v>
      </c>
      <c r="H145" s="1947" t="s">
        <v>3923</v>
      </c>
      <c r="I145" s="1712">
        <f>$G$6</f>
        <v>253</v>
      </c>
      <c r="J145" s="2148">
        <v>6.6</v>
      </c>
      <c r="K145" s="1977" t="s">
        <v>1836</v>
      </c>
      <c r="L145" s="1947" t="s">
        <v>4069</v>
      </c>
      <c r="M145" s="1754">
        <f t="shared" si="45"/>
        <v>1669.8</v>
      </c>
      <c r="N145" s="1756">
        <v>180</v>
      </c>
      <c r="O145" s="1712">
        <f t="shared" ref="O145:O152" si="55">ROUND(M145*ROUND(N145,2)/10000,6)</f>
        <v>30.0564</v>
      </c>
      <c r="P145" s="1712">
        <f t="shared" ref="P145:P152" si="56">IFERROR(ROUND(Q145*10000/M145,2),0)</f>
        <v>165.14</v>
      </c>
      <c r="Q145" s="1712">
        <f t="shared" ref="Q145:Q152" si="57">ROUND(O145/(1+R145),6)</f>
        <v>27.574679</v>
      </c>
      <c r="R145" s="1757">
        <v>0.09</v>
      </c>
      <c r="S145" s="1712">
        <f t="shared" ref="S145:S152" si="58">O145-Q145</f>
        <v>2.4817210000000003</v>
      </c>
      <c r="T145" s="1712">
        <f t="shared" si="51"/>
        <v>4.6599016331054077</v>
      </c>
      <c r="U145" s="1712">
        <f t="shared" si="52"/>
        <v>5.0792927614957692</v>
      </c>
      <c r="V145" s="1952"/>
      <c r="X145" s="2135"/>
      <c r="Y145" s="1712"/>
      <c r="Z145" s="2119">
        <f t="shared" si="53"/>
        <v>6.6</v>
      </c>
      <c r="AA145" s="2119">
        <f t="shared" si="54"/>
        <v>180</v>
      </c>
      <c r="AB145" s="2119"/>
      <c r="AC145" s="2119"/>
    </row>
    <row r="146" spans="1:29" s="1942" customFormat="1" ht="12" customHeight="1" outlineLevel="3">
      <c r="A146" s="1944"/>
      <c r="B146" s="1978" t="s">
        <v>717</v>
      </c>
      <c r="C146" s="1810"/>
      <c r="D146" s="2008" t="s">
        <v>3655</v>
      </c>
      <c r="E146" s="2009" t="s">
        <v>3656</v>
      </c>
      <c r="F146" s="1462" t="s">
        <v>3654</v>
      </c>
      <c r="G146" s="1953" t="s">
        <v>4156</v>
      </c>
      <c r="H146" s="1947" t="s">
        <v>3923</v>
      </c>
      <c r="I146" s="1712">
        <f>$G$6</f>
        <v>253</v>
      </c>
      <c r="J146" s="2148"/>
      <c r="K146" s="1950" t="s">
        <v>4064</v>
      </c>
      <c r="L146" s="1947" t="s">
        <v>4070</v>
      </c>
      <c r="M146" s="1754">
        <f t="shared" si="45"/>
        <v>0</v>
      </c>
      <c r="N146" s="1756">
        <v>150</v>
      </c>
      <c r="O146" s="1712">
        <f t="shared" si="55"/>
        <v>0</v>
      </c>
      <c r="P146" s="1712">
        <f t="shared" si="56"/>
        <v>0</v>
      </c>
      <c r="Q146" s="1712">
        <f t="shared" si="57"/>
        <v>0</v>
      </c>
      <c r="R146" s="1757">
        <v>0.09</v>
      </c>
      <c r="S146" s="1712">
        <f t="shared" si="58"/>
        <v>0</v>
      </c>
      <c r="T146" s="1712">
        <f t="shared" si="51"/>
        <v>0</v>
      </c>
      <c r="U146" s="1712">
        <f t="shared" si="52"/>
        <v>0</v>
      </c>
      <c r="V146" s="1952"/>
      <c r="X146" s="2135"/>
      <c r="Y146" s="1712"/>
      <c r="Z146" s="2119">
        <f t="shared" si="53"/>
        <v>0</v>
      </c>
      <c r="AA146" s="2119">
        <f t="shared" si="54"/>
        <v>150</v>
      </c>
      <c r="AB146" s="2119"/>
      <c r="AC146" s="2119"/>
    </row>
    <row r="147" spans="1:29" s="1942" customFormat="1" ht="12" customHeight="1" outlineLevel="3">
      <c r="A147" s="1944"/>
      <c r="B147" s="1978" t="s">
        <v>718</v>
      </c>
      <c r="C147" s="1810"/>
      <c r="D147" s="2008" t="s">
        <v>3657</v>
      </c>
      <c r="E147" s="2009" t="s">
        <v>3658</v>
      </c>
      <c r="F147" s="1462" t="s">
        <v>3654</v>
      </c>
      <c r="G147" s="1953" t="s">
        <v>4156</v>
      </c>
      <c r="H147" s="1947" t="s">
        <v>3926</v>
      </c>
      <c r="I147" s="1712">
        <f>$G$7</f>
        <v>505</v>
      </c>
      <c r="J147" s="2148">
        <v>5.3</v>
      </c>
      <c r="K147" s="1950" t="s">
        <v>660</v>
      </c>
      <c r="L147" s="1947" t="s">
        <v>4071</v>
      </c>
      <c r="M147" s="1754">
        <f t="shared" si="45"/>
        <v>2676.5</v>
      </c>
      <c r="N147" s="1756">
        <v>150</v>
      </c>
      <c r="O147" s="1712">
        <f t="shared" si="55"/>
        <v>40.147500000000001</v>
      </c>
      <c r="P147" s="1712">
        <f t="shared" si="56"/>
        <v>137.61000000000001</v>
      </c>
      <c r="Q147" s="1712">
        <f t="shared" si="57"/>
        <v>36.832568999999999</v>
      </c>
      <c r="R147" s="1757">
        <v>0.09</v>
      </c>
      <c r="S147" s="1712">
        <f t="shared" si="58"/>
        <v>3.3149310000000014</v>
      </c>
      <c r="T147" s="1712">
        <f t="shared" si="51"/>
        <v>6.2244114767235414</v>
      </c>
      <c r="U147" s="1712">
        <f t="shared" si="52"/>
        <v>6.7846084741403292</v>
      </c>
      <c r="V147" s="1952"/>
      <c r="X147" s="2135"/>
      <c r="Y147" s="1712"/>
      <c r="Z147" s="2119">
        <f t="shared" si="53"/>
        <v>5.3</v>
      </c>
      <c r="AA147" s="2119">
        <f t="shared" si="54"/>
        <v>150</v>
      </c>
      <c r="AB147" s="2119"/>
      <c r="AC147" s="2119"/>
    </row>
    <row r="148" spans="1:29" s="1942" customFormat="1" ht="12" customHeight="1" outlineLevel="3">
      <c r="A148" s="1944"/>
      <c r="B148" s="1978" t="s">
        <v>1585</v>
      </c>
      <c r="C148" s="1810"/>
      <c r="D148" s="2008" t="s">
        <v>3659</v>
      </c>
      <c r="E148" s="2009" t="s">
        <v>3660</v>
      </c>
      <c r="F148" s="1462" t="s">
        <v>3654</v>
      </c>
      <c r="G148" s="1953" t="s">
        <v>4156</v>
      </c>
      <c r="H148" s="1947" t="s">
        <v>3926</v>
      </c>
      <c r="I148" s="1712">
        <f>$G$7</f>
        <v>505</v>
      </c>
      <c r="J148" s="2148">
        <v>8</v>
      </c>
      <c r="K148" s="1950" t="s">
        <v>660</v>
      </c>
      <c r="L148" s="1947" t="s">
        <v>4072</v>
      </c>
      <c r="M148" s="1754">
        <f t="shared" si="45"/>
        <v>4040</v>
      </c>
      <c r="N148" s="1756">
        <v>180</v>
      </c>
      <c r="O148" s="1712">
        <f t="shared" si="55"/>
        <v>72.72</v>
      </c>
      <c r="P148" s="1712">
        <f t="shared" si="56"/>
        <v>165.14</v>
      </c>
      <c r="Q148" s="1712">
        <f t="shared" si="57"/>
        <v>66.715596000000005</v>
      </c>
      <c r="R148" s="1757">
        <v>0.09</v>
      </c>
      <c r="S148" s="1712">
        <f t="shared" si="58"/>
        <v>6.0044039999999939</v>
      </c>
      <c r="T148" s="1712">
        <f t="shared" si="51"/>
        <v>11.27440557890087</v>
      </c>
      <c r="U148" s="1712">
        <f t="shared" si="52"/>
        <v>12.289102141839088</v>
      </c>
      <c r="V148" s="1952"/>
      <c r="X148" s="2135"/>
      <c r="Y148" s="1712"/>
      <c r="Z148" s="2119">
        <f t="shared" si="53"/>
        <v>8</v>
      </c>
      <c r="AA148" s="2119">
        <f t="shared" si="54"/>
        <v>180</v>
      </c>
      <c r="AB148" s="2119"/>
      <c r="AC148" s="2119"/>
    </row>
    <row r="149" spans="1:29" s="1942" customFormat="1" ht="12" customHeight="1" outlineLevel="3">
      <c r="A149" s="1944"/>
      <c r="B149" s="1978" t="s">
        <v>1586</v>
      </c>
      <c r="C149" s="1810"/>
      <c r="D149" s="2008" t="s">
        <v>720</v>
      </c>
      <c r="E149" s="2009" t="s">
        <v>3661</v>
      </c>
      <c r="F149" s="1462" t="s">
        <v>3654</v>
      </c>
      <c r="G149" s="1953" t="s">
        <v>4156</v>
      </c>
      <c r="H149" s="1947" t="s">
        <v>3926</v>
      </c>
      <c r="I149" s="1712">
        <f>$G$7</f>
        <v>505</v>
      </c>
      <c r="J149" s="2148">
        <v>3.5</v>
      </c>
      <c r="K149" s="1950" t="s">
        <v>660</v>
      </c>
      <c r="L149" s="1947" t="s">
        <v>4073</v>
      </c>
      <c r="M149" s="1754">
        <f t="shared" si="45"/>
        <v>1767.5</v>
      </c>
      <c r="N149" s="1756">
        <v>90</v>
      </c>
      <c r="O149" s="1712">
        <f t="shared" si="55"/>
        <v>15.907500000000001</v>
      </c>
      <c r="P149" s="1712">
        <f t="shared" si="56"/>
        <v>82.57</v>
      </c>
      <c r="Q149" s="1712">
        <f t="shared" si="57"/>
        <v>14.594037</v>
      </c>
      <c r="R149" s="1757">
        <v>0.09</v>
      </c>
      <c r="S149" s="1712">
        <f t="shared" si="58"/>
        <v>1.3134630000000005</v>
      </c>
      <c r="T149" s="1712">
        <f t="shared" si="51"/>
        <v>2.466276283756585</v>
      </c>
      <c r="U149" s="1712">
        <f t="shared" si="52"/>
        <v>2.6882410935273002</v>
      </c>
      <c r="V149" s="1952"/>
      <c r="X149" s="2135">
        <v>5</v>
      </c>
      <c r="Y149" s="1712">
        <v>80</v>
      </c>
      <c r="Z149" s="2119">
        <f t="shared" si="53"/>
        <v>-1.5</v>
      </c>
      <c r="AA149" s="2119">
        <f t="shared" si="54"/>
        <v>10</v>
      </c>
      <c r="AB149" s="2119"/>
      <c r="AC149" s="2119"/>
    </row>
    <row r="150" spans="1:29" s="1942" customFormat="1" ht="12" customHeight="1" outlineLevel="3">
      <c r="A150" s="1944"/>
      <c r="B150" s="1978" t="s">
        <v>3662</v>
      </c>
      <c r="C150" s="1810"/>
      <c r="D150" s="2008" t="s">
        <v>3663</v>
      </c>
      <c r="E150" s="2009" t="s">
        <v>3664</v>
      </c>
      <c r="F150" s="1462" t="s">
        <v>3654</v>
      </c>
      <c r="G150" s="1953" t="s">
        <v>4156</v>
      </c>
      <c r="H150" s="1947" t="s">
        <v>3926</v>
      </c>
      <c r="I150" s="1712">
        <f>$G$7</f>
        <v>505</v>
      </c>
      <c r="J150" s="2148">
        <v>18.8</v>
      </c>
      <c r="K150" s="1950" t="s">
        <v>722</v>
      </c>
      <c r="L150" s="1947" t="s">
        <v>4074</v>
      </c>
      <c r="M150" s="1754">
        <f t="shared" si="45"/>
        <v>9494</v>
      </c>
      <c r="N150" s="1756">
        <v>220</v>
      </c>
      <c r="O150" s="1712">
        <f t="shared" si="55"/>
        <v>208.86799999999999</v>
      </c>
      <c r="P150" s="1712">
        <f t="shared" si="56"/>
        <v>201.83</v>
      </c>
      <c r="Q150" s="1712">
        <f t="shared" si="57"/>
        <v>191.622018</v>
      </c>
      <c r="R150" s="1757">
        <v>0.09</v>
      </c>
      <c r="S150" s="1712">
        <f t="shared" si="58"/>
        <v>17.245981999999998</v>
      </c>
      <c r="T150" s="1712">
        <f t="shared" si="51"/>
        <v>32.382598347460508</v>
      </c>
      <c r="U150" s="1712">
        <f t="shared" si="52"/>
        <v>35.297032262948932</v>
      </c>
      <c r="V150" s="1952"/>
      <c r="X150" s="2135">
        <v>10</v>
      </c>
      <c r="Y150" s="1712">
        <v>350</v>
      </c>
      <c r="Z150" s="2119">
        <f t="shared" si="53"/>
        <v>8.8000000000000007</v>
      </c>
      <c r="AA150" s="2119">
        <f t="shared" si="54"/>
        <v>-130</v>
      </c>
      <c r="AB150" s="2119"/>
      <c r="AC150" s="2119"/>
    </row>
    <row r="151" spans="1:29" s="1942" customFormat="1" ht="12" customHeight="1" outlineLevel="3">
      <c r="A151" s="1944"/>
      <c r="B151" s="1978" t="s">
        <v>3665</v>
      </c>
      <c r="C151" s="1810"/>
      <c r="D151" s="2008" t="s">
        <v>3666</v>
      </c>
      <c r="E151" s="2009" t="s">
        <v>3667</v>
      </c>
      <c r="F151" s="1462" t="s">
        <v>3654</v>
      </c>
      <c r="G151" s="1953" t="s">
        <v>4156</v>
      </c>
      <c r="H151" s="1947" t="s">
        <v>9</v>
      </c>
      <c r="I151" s="1712">
        <f>$E$4</f>
        <v>5428</v>
      </c>
      <c r="J151" s="2135"/>
      <c r="K151" s="1950" t="s">
        <v>4075</v>
      </c>
      <c r="L151" s="1947" t="s">
        <v>4076</v>
      </c>
      <c r="M151" s="1754">
        <f t="shared" si="45"/>
        <v>0</v>
      </c>
      <c r="N151" s="1712"/>
      <c r="O151" s="1712">
        <f t="shared" si="55"/>
        <v>0</v>
      </c>
      <c r="P151" s="1712">
        <f t="shared" si="56"/>
        <v>0</v>
      </c>
      <c r="Q151" s="1712">
        <f t="shared" si="57"/>
        <v>0</v>
      </c>
      <c r="R151" s="1757">
        <v>0.09</v>
      </c>
      <c r="S151" s="1712">
        <f t="shared" si="58"/>
        <v>0</v>
      </c>
      <c r="T151" s="1712">
        <f t="shared" si="51"/>
        <v>0</v>
      </c>
      <c r="U151" s="1712">
        <f t="shared" si="52"/>
        <v>0</v>
      </c>
      <c r="V151" s="1952"/>
      <c r="X151" s="2135"/>
      <c r="Y151" s="1712"/>
      <c r="Z151" s="2119">
        <f t="shared" si="53"/>
        <v>0</v>
      </c>
      <c r="AA151" s="2119">
        <f t="shared" si="54"/>
        <v>0</v>
      </c>
      <c r="AB151" s="2119"/>
      <c r="AC151" s="2119"/>
    </row>
    <row r="152" spans="1:29" s="1942" customFormat="1" ht="12" customHeight="1" outlineLevel="3">
      <c r="A152" s="1944"/>
      <c r="B152" s="1978" t="s">
        <v>3668</v>
      </c>
      <c r="C152" s="1810"/>
      <c r="D152" s="2008" t="s">
        <v>3669</v>
      </c>
      <c r="E152" s="2009" t="s">
        <v>3670</v>
      </c>
      <c r="F152" s="1462" t="s">
        <v>3654</v>
      </c>
      <c r="G152" s="1953" t="s">
        <v>4156</v>
      </c>
      <c r="H152" s="1947" t="s">
        <v>3926</v>
      </c>
      <c r="I152" s="1712">
        <f>$G$7</f>
        <v>505</v>
      </c>
      <c r="J152" s="2135"/>
      <c r="K152" s="1950" t="s">
        <v>101</v>
      </c>
      <c r="L152" s="1947" t="s">
        <v>4077</v>
      </c>
      <c r="M152" s="1754">
        <f t="shared" si="45"/>
        <v>0</v>
      </c>
      <c r="N152" s="1712"/>
      <c r="O152" s="1712">
        <f t="shared" si="55"/>
        <v>0</v>
      </c>
      <c r="P152" s="1712">
        <f t="shared" si="56"/>
        <v>0</v>
      </c>
      <c r="Q152" s="1712">
        <f t="shared" si="57"/>
        <v>0</v>
      </c>
      <c r="R152" s="1757">
        <v>0.09</v>
      </c>
      <c r="S152" s="1712">
        <f t="shared" si="58"/>
        <v>0</v>
      </c>
      <c r="T152" s="1712">
        <f t="shared" si="51"/>
        <v>0</v>
      </c>
      <c r="U152" s="1712">
        <f t="shared" si="52"/>
        <v>0</v>
      </c>
      <c r="V152" s="1952"/>
      <c r="X152" s="2135"/>
      <c r="Y152" s="1712"/>
      <c r="Z152" s="2119">
        <f t="shared" si="53"/>
        <v>0</v>
      </c>
      <c r="AA152" s="2119">
        <f t="shared" si="54"/>
        <v>0</v>
      </c>
      <c r="AB152" s="2119"/>
      <c r="AC152" s="2119"/>
    </row>
    <row r="153" spans="1:29" s="1942" customFormat="1" ht="13" outlineLevel="2">
      <c r="A153" s="1944"/>
      <c r="B153" s="1807" t="s">
        <v>723</v>
      </c>
      <c r="C153" s="1808"/>
      <c r="D153" s="2008" t="s">
        <v>21</v>
      </c>
      <c r="E153" s="2009"/>
      <c r="F153" s="1462"/>
      <c r="G153" s="1953" t="s">
        <v>4117</v>
      </c>
      <c r="H153" s="1947"/>
      <c r="I153" s="1948"/>
      <c r="J153" s="2099"/>
      <c r="K153" s="1950"/>
      <c r="L153" s="1947"/>
      <c r="M153" s="1950"/>
      <c r="N153" s="1712"/>
      <c r="O153" s="1712">
        <f>SUBTOTAL(9,O154:O158)</f>
        <v>1682.936136</v>
      </c>
      <c r="P153" s="1712"/>
      <c r="Q153" s="1712">
        <f>SUBTOTAL(9,Q154:Q158)</f>
        <v>1490.8178849999999</v>
      </c>
      <c r="R153" s="1712"/>
      <c r="S153" s="1712">
        <f>SUBTOTAL(9,S154:S158)</f>
        <v>192.11825100000001</v>
      </c>
      <c r="T153" s="1712">
        <f t="shared" si="51"/>
        <v>251.93637601272712</v>
      </c>
      <c r="U153" s="1712">
        <f t="shared" si="52"/>
        <v>284.40283379394936</v>
      </c>
      <c r="V153" s="1952"/>
      <c r="X153" s="2099"/>
      <c r="Y153" s="1712"/>
      <c r="Z153" s="2119">
        <f t="shared" si="53"/>
        <v>0</v>
      </c>
      <c r="AA153" s="2119">
        <f t="shared" si="54"/>
        <v>0</v>
      </c>
      <c r="AB153" s="2119"/>
      <c r="AC153" s="2119"/>
    </row>
    <row r="154" spans="1:29" s="1942" customFormat="1" ht="12" customHeight="1" outlineLevel="3">
      <c r="A154" s="1944"/>
      <c r="B154" s="1978" t="s">
        <v>724</v>
      </c>
      <c r="C154" s="1810"/>
      <c r="D154" s="2008" t="s">
        <v>3671</v>
      </c>
      <c r="E154" s="2009" t="s">
        <v>3672</v>
      </c>
      <c r="F154" s="1462" t="s">
        <v>3636</v>
      </c>
      <c r="G154" s="1953" t="s">
        <v>4153</v>
      </c>
      <c r="H154" s="1947" t="str">
        <f>F5</f>
        <v>单元数</v>
      </c>
      <c r="I154" s="1712">
        <f>G5</f>
        <v>23</v>
      </c>
      <c r="J154" s="2148">
        <v>1</v>
      </c>
      <c r="K154" s="1950" t="s">
        <v>101</v>
      </c>
      <c r="L154" s="1947" t="s">
        <v>4078</v>
      </c>
      <c r="M154" s="1754">
        <f t="shared" si="45"/>
        <v>23</v>
      </c>
      <c r="N154" s="1756">
        <v>20000</v>
      </c>
      <c r="O154" s="1712">
        <f>ROUND(M154*ROUND(N154,2)/10000,6)</f>
        <v>46</v>
      </c>
      <c r="P154" s="1712">
        <f>IFERROR(ROUND(Q154*10000/M154,2),0)</f>
        <v>18348.62</v>
      </c>
      <c r="Q154" s="1712">
        <f>ROUND(O154/(1+R154),6)</f>
        <v>42.201835000000003</v>
      </c>
      <c r="R154" s="1757">
        <v>0.09</v>
      </c>
      <c r="S154" s="1712">
        <f>O154-Q154</f>
        <v>3.7981649999999973</v>
      </c>
      <c r="T154" s="1712">
        <f t="shared" si="51"/>
        <v>7.131774764687016</v>
      </c>
      <c r="U154" s="1712">
        <f t="shared" si="52"/>
        <v>7.7736344681600382</v>
      </c>
      <c r="V154" s="1952"/>
      <c r="X154" s="2138">
        <v>0.1</v>
      </c>
      <c r="Y154" s="1712">
        <v>2100</v>
      </c>
      <c r="Z154" s="2119">
        <f t="shared" si="53"/>
        <v>0.9</v>
      </c>
      <c r="AA154" s="2119">
        <f t="shared" si="54"/>
        <v>17900</v>
      </c>
      <c r="AB154" s="2119"/>
      <c r="AC154" s="2119"/>
    </row>
    <row r="155" spans="1:29" s="1942" customFormat="1" ht="12" customHeight="1" outlineLevel="3">
      <c r="A155" s="1944"/>
      <c r="B155" s="1978" t="s">
        <v>726</v>
      </c>
      <c r="C155" s="1810"/>
      <c r="D155" s="2008" t="s">
        <v>61</v>
      </c>
      <c r="E155" s="2009" t="s">
        <v>3673</v>
      </c>
      <c r="F155" s="1462" t="s">
        <v>3674</v>
      </c>
      <c r="G155" s="1953" t="s">
        <v>4157</v>
      </c>
      <c r="H155" s="1947" t="s">
        <v>3926</v>
      </c>
      <c r="I155" s="1712">
        <f>$G$7</f>
        <v>505</v>
      </c>
      <c r="J155" s="2148">
        <v>1</v>
      </c>
      <c r="K155" s="1950" t="s">
        <v>6</v>
      </c>
      <c r="L155" s="1947" t="s">
        <v>4079</v>
      </c>
      <c r="M155" s="1754">
        <f t="shared" si="45"/>
        <v>505</v>
      </c>
      <c r="N155" s="1756">
        <v>1800</v>
      </c>
      <c r="O155" s="1712">
        <f>ROUND(M155*ROUND(N155,2)/10000,6)</f>
        <v>90.9</v>
      </c>
      <c r="P155" s="1712">
        <f>IFERROR(ROUND(Q155*10000/M155,2),0)</f>
        <v>1592.92</v>
      </c>
      <c r="Q155" s="1712">
        <f>ROUND(O155/(1+R155),6)</f>
        <v>80.442477999999994</v>
      </c>
      <c r="R155" s="1757">
        <v>0.13</v>
      </c>
      <c r="S155" s="1712">
        <f>O155-Q155</f>
        <v>10.457522000000012</v>
      </c>
      <c r="T155" s="1712">
        <f t="shared" si="51"/>
        <v>13.594139558369685</v>
      </c>
      <c r="U155" s="1712">
        <f t="shared" si="52"/>
        <v>15.361377677298858</v>
      </c>
      <c r="V155" s="1952"/>
      <c r="X155" s="2135">
        <v>0</v>
      </c>
      <c r="Y155" s="1712">
        <v>1400</v>
      </c>
      <c r="Z155" s="2119">
        <f t="shared" si="53"/>
        <v>1</v>
      </c>
      <c r="AA155" s="2119">
        <f t="shared" si="54"/>
        <v>400</v>
      </c>
      <c r="AB155" s="2119"/>
      <c r="AC155" s="2119"/>
    </row>
    <row r="156" spans="1:29" s="1942" customFormat="1" ht="12" customHeight="1" outlineLevel="3">
      <c r="A156" s="1944"/>
      <c r="B156" s="1978" t="s">
        <v>728</v>
      </c>
      <c r="C156" s="1810"/>
      <c r="D156" s="2008" t="s">
        <v>3675</v>
      </c>
      <c r="E156" s="2009" t="s">
        <v>3676</v>
      </c>
      <c r="F156" s="1462" t="s">
        <v>3677</v>
      </c>
      <c r="G156" s="1953" t="s">
        <v>4158</v>
      </c>
      <c r="H156" s="1947" t="s">
        <v>3923</v>
      </c>
      <c r="I156" s="1712">
        <f>G6</f>
        <v>253</v>
      </c>
      <c r="J156" s="2148">
        <v>9</v>
      </c>
      <c r="K156" s="1950" t="s">
        <v>101</v>
      </c>
      <c r="L156" s="1947" t="s">
        <v>4080</v>
      </c>
      <c r="M156" s="1754">
        <f t="shared" si="45"/>
        <v>2277</v>
      </c>
      <c r="N156" s="1756">
        <v>350</v>
      </c>
      <c r="O156" s="1712">
        <f>ROUND(M156*ROUND(N156,2)/10000,6)</f>
        <v>79.694999999999993</v>
      </c>
      <c r="P156" s="1712">
        <f>IFERROR(ROUND(Q156*10000/M156,2),0)</f>
        <v>309.73</v>
      </c>
      <c r="Q156" s="1712">
        <f>ROUND(O156/(1+R156),6)</f>
        <v>70.526549000000003</v>
      </c>
      <c r="R156" s="1757">
        <v>0.13</v>
      </c>
      <c r="S156" s="1712">
        <f>O156-Q156</f>
        <v>9.1684509999999904</v>
      </c>
      <c r="T156" s="1712">
        <f t="shared" si="51"/>
        <v>11.918426352756041</v>
      </c>
      <c r="U156" s="1712">
        <f t="shared" si="52"/>
        <v>13.467821716087265</v>
      </c>
      <c r="V156" s="1952"/>
      <c r="X156" s="2135">
        <v>3.5000000000000003E-2</v>
      </c>
      <c r="Y156" s="1712">
        <v>450</v>
      </c>
      <c r="Z156" s="2119">
        <f t="shared" si="53"/>
        <v>8.9649999999999999</v>
      </c>
      <c r="AA156" s="2119">
        <f t="shared" si="54"/>
        <v>-100</v>
      </c>
      <c r="AB156" s="2119"/>
      <c r="AC156" s="2119"/>
    </row>
    <row r="157" spans="1:29" s="1942" customFormat="1" ht="12" customHeight="1" outlineLevel="3">
      <c r="A157" s="1944"/>
      <c r="B157" s="1978" t="s">
        <v>730</v>
      </c>
      <c r="C157" s="1810"/>
      <c r="D157" s="2008" t="s">
        <v>62</v>
      </c>
      <c r="E157" s="2009" t="s">
        <v>3678</v>
      </c>
      <c r="F157" s="1462" t="s">
        <v>3679</v>
      </c>
      <c r="G157" s="1953" t="s">
        <v>4159</v>
      </c>
      <c r="H157" s="1947" t="s">
        <v>10</v>
      </c>
      <c r="I157" s="1712">
        <f>$E$5</f>
        <v>59174.38</v>
      </c>
      <c r="J157" s="2148">
        <v>0.21</v>
      </c>
      <c r="K157" s="1950" t="s">
        <v>101</v>
      </c>
      <c r="L157" s="1947" t="s">
        <v>4081</v>
      </c>
      <c r="M157" s="1754">
        <f t="shared" si="45"/>
        <v>12426.619799999999</v>
      </c>
      <c r="N157" s="1756">
        <v>1180</v>
      </c>
      <c r="O157" s="1712">
        <f>ROUND(M157*ROUND(N157,2)/10000,6)</f>
        <v>1466.341136</v>
      </c>
      <c r="P157" s="1712">
        <f>IFERROR(ROUND(Q157*10000/M157,2),0)</f>
        <v>1044.25</v>
      </c>
      <c r="Q157" s="1712">
        <f>ROUND(O157/(1+R157),6)</f>
        <v>1297.647023</v>
      </c>
      <c r="R157" s="1757">
        <v>0.13</v>
      </c>
      <c r="S157" s="1712">
        <f>O157-Q157</f>
        <v>168.69411300000002</v>
      </c>
      <c r="T157" s="1712">
        <f t="shared" si="51"/>
        <v>219.29203533691441</v>
      </c>
      <c r="U157" s="1712">
        <f t="shared" si="52"/>
        <v>247.79999993240318</v>
      </c>
      <c r="V157" s="1952"/>
      <c r="X157" s="2138">
        <v>0.2</v>
      </c>
      <c r="Y157" s="2003">
        <v>700</v>
      </c>
      <c r="Z157" s="2119">
        <f t="shared" si="53"/>
        <v>9.9999999999999811E-3</v>
      </c>
      <c r="AA157" s="2119">
        <f t="shared" si="54"/>
        <v>480</v>
      </c>
      <c r="AB157" s="2119"/>
      <c r="AC157" s="2119"/>
    </row>
    <row r="158" spans="1:29" s="1942" customFormat="1" ht="12" customHeight="1" outlineLevel="3">
      <c r="A158" s="1944"/>
      <c r="B158" s="1978" t="s">
        <v>3680</v>
      </c>
      <c r="C158" s="1810"/>
      <c r="D158" s="2008" t="s">
        <v>3681</v>
      </c>
      <c r="E158" s="2009" t="s">
        <v>3682</v>
      </c>
      <c r="F158" s="1462" t="s">
        <v>3677</v>
      </c>
      <c r="G158" s="1953" t="s">
        <v>4158</v>
      </c>
      <c r="H158" s="1947" t="s">
        <v>10</v>
      </c>
      <c r="I158" s="1712">
        <f>$E$5</f>
        <v>59174.38</v>
      </c>
      <c r="J158" s="2135"/>
      <c r="K158" s="1950" t="s">
        <v>101</v>
      </c>
      <c r="L158" s="1947" t="s">
        <v>4082</v>
      </c>
      <c r="M158" s="1754">
        <f t="shared" si="45"/>
        <v>0</v>
      </c>
      <c r="N158" s="1712"/>
      <c r="O158" s="1712">
        <f>ROUND(M158*ROUND(N158,2)/10000,6)</f>
        <v>0</v>
      </c>
      <c r="P158" s="1712">
        <f>IFERROR(ROUND(Q158*10000/M158,2),0)</f>
        <v>0</v>
      </c>
      <c r="Q158" s="1712">
        <f>ROUND(O158/(1+R158),6)</f>
        <v>0</v>
      </c>
      <c r="R158" s="1757">
        <v>0.13</v>
      </c>
      <c r="S158" s="1712">
        <f>O158-Q158</f>
        <v>0</v>
      </c>
      <c r="T158" s="1712">
        <f t="shared" si="51"/>
        <v>0</v>
      </c>
      <c r="U158" s="1712">
        <f t="shared" si="52"/>
        <v>0</v>
      </c>
      <c r="V158" s="1952"/>
      <c r="X158" s="2135"/>
      <c r="Y158" s="1712"/>
      <c r="Z158" s="2119">
        <f t="shared" si="53"/>
        <v>0</v>
      </c>
      <c r="AA158" s="2119">
        <f t="shared" si="54"/>
        <v>0</v>
      </c>
      <c r="AB158" s="2119"/>
      <c r="AC158" s="2119"/>
    </row>
    <row r="159" spans="1:29" s="1942" customFormat="1" ht="13"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f t="shared" si="51"/>
        <v>0</v>
      </c>
      <c r="U159" s="1712">
        <f t="shared" si="52"/>
        <v>0</v>
      </c>
      <c r="V159" s="1952"/>
      <c r="X159" s="2099"/>
      <c r="Y159" s="1712"/>
      <c r="Z159" s="2119">
        <f t="shared" si="53"/>
        <v>0</v>
      </c>
      <c r="AA159" s="2119">
        <f t="shared" si="54"/>
        <v>0</v>
      </c>
      <c r="AB159" s="2119"/>
      <c r="AC159" s="2119"/>
    </row>
    <row r="160" spans="1:29" s="1942" customFormat="1" ht="12" customHeight="1" outlineLevel="3">
      <c r="A160" s="1944"/>
      <c r="B160" s="1978" t="s">
        <v>733</v>
      </c>
      <c r="C160" s="1810"/>
      <c r="D160" s="2038" t="s">
        <v>3683</v>
      </c>
      <c r="E160" s="1947" t="s">
        <v>3684</v>
      </c>
      <c r="F160" s="1462" t="s">
        <v>3342</v>
      </c>
      <c r="G160" s="1953" t="s">
        <v>4116</v>
      </c>
      <c r="H160" s="1947" t="s">
        <v>9</v>
      </c>
      <c r="I160" s="1712">
        <f>$E$4</f>
        <v>5428</v>
      </c>
      <c r="J160" s="2135">
        <v>1.2</v>
      </c>
      <c r="K160" s="1950" t="s">
        <v>101</v>
      </c>
      <c r="L160" s="1947" t="s">
        <v>4083</v>
      </c>
      <c r="M160" s="1754">
        <f t="shared" si="45"/>
        <v>6513.5999999999995</v>
      </c>
      <c r="N160" s="1712">
        <v>0</v>
      </c>
      <c r="O160" s="1712">
        <f>ROUND(M160*ROUND(N160,2)/10000,6)</f>
        <v>0</v>
      </c>
      <c r="P160" s="1712">
        <f>IFERROR(ROUND(Q160*10000/M160,2),0)</f>
        <v>0</v>
      </c>
      <c r="Q160" s="1712">
        <f>ROUND(O160/(1+R160),6)</f>
        <v>0</v>
      </c>
      <c r="R160" s="1757">
        <v>0.09</v>
      </c>
      <c r="S160" s="1712">
        <f>O160-Q160</f>
        <v>0</v>
      </c>
      <c r="T160" s="1712">
        <f t="shared" si="51"/>
        <v>0</v>
      </c>
      <c r="U160" s="1712">
        <f t="shared" si="52"/>
        <v>0</v>
      </c>
      <c r="V160" s="1952"/>
      <c r="X160" s="2135">
        <v>1.5</v>
      </c>
      <c r="Y160" s="1712">
        <v>90</v>
      </c>
      <c r="Z160" s="2119">
        <f t="shared" si="53"/>
        <v>-0.30000000000000004</v>
      </c>
      <c r="AA160" s="2119">
        <f t="shared" si="54"/>
        <v>-90</v>
      </c>
      <c r="AB160" s="2119"/>
      <c r="AC160" s="2119"/>
    </row>
    <row r="161" spans="1:29" s="1942" customFormat="1" ht="12" customHeight="1" outlineLevel="3">
      <c r="A161" s="1944"/>
      <c r="B161" s="1978" t="s">
        <v>735</v>
      </c>
      <c r="C161" s="1810"/>
      <c r="D161" s="2038" t="s">
        <v>3685</v>
      </c>
      <c r="E161" s="1947" t="s">
        <v>3686</v>
      </c>
      <c r="F161" s="1462" t="s">
        <v>3342</v>
      </c>
      <c r="G161" s="1953" t="s">
        <v>4116</v>
      </c>
      <c r="H161" s="1947" t="s">
        <v>9</v>
      </c>
      <c r="I161" s="1712">
        <f>$E$4</f>
        <v>5428</v>
      </c>
      <c r="J161" s="2099"/>
      <c r="K161" s="1950" t="s">
        <v>101</v>
      </c>
      <c r="L161" s="1947" t="s">
        <v>9</v>
      </c>
      <c r="M161" s="1754">
        <f t="shared" si="45"/>
        <v>0</v>
      </c>
      <c r="N161" s="1712"/>
      <c r="O161" s="1712">
        <f>ROUND(M161*ROUND(N161,2)/10000,6)</f>
        <v>0</v>
      </c>
      <c r="P161" s="1712">
        <f>IFERROR(ROUND(Q161*10000/M161,2),0)</f>
        <v>0</v>
      </c>
      <c r="Q161" s="1712">
        <f>ROUND(O161/(1+R161),6)</f>
        <v>0</v>
      </c>
      <c r="R161" s="1757">
        <v>0.09</v>
      </c>
      <c r="S161" s="1712">
        <f>O161-Q161</f>
        <v>0</v>
      </c>
      <c r="T161" s="1712">
        <f t="shared" si="51"/>
        <v>0</v>
      </c>
      <c r="U161" s="1712">
        <f t="shared" si="52"/>
        <v>0</v>
      </c>
      <c r="V161" s="1952"/>
      <c r="X161" s="2139"/>
      <c r="Y161" s="1712"/>
      <c r="Z161" s="2119">
        <f t="shared" si="53"/>
        <v>0</v>
      </c>
      <c r="AA161" s="2119">
        <f t="shared" si="54"/>
        <v>0</v>
      </c>
      <c r="AB161" s="2119"/>
      <c r="AC161" s="2119"/>
    </row>
    <row r="162" spans="1:29" s="1942" customFormat="1" ht="12" customHeight="1" outlineLevel="3">
      <c r="A162" s="1944"/>
      <c r="B162" s="1978" t="s">
        <v>737</v>
      </c>
      <c r="C162" s="1810"/>
      <c r="D162" s="2038" t="s">
        <v>3687</v>
      </c>
      <c r="E162" s="1947" t="s">
        <v>3688</v>
      </c>
      <c r="F162" s="1462" t="s">
        <v>471</v>
      </c>
      <c r="G162" s="1953" t="s">
        <v>4160</v>
      </c>
      <c r="H162" s="1947" t="s">
        <v>9</v>
      </c>
      <c r="I162" s="1712">
        <f>$E$4</f>
        <v>5428</v>
      </c>
      <c r="J162" s="2135"/>
      <c r="K162" s="1950" t="s">
        <v>101</v>
      </c>
      <c r="L162" s="1947" t="s">
        <v>4084</v>
      </c>
      <c r="M162" s="1754">
        <f t="shared" si="45"/>
        <v>0</v>
      </c>
      <c r="N162" s="1712"/>
      <c r="O162" s="1712">
        <f>ROUND(M162*ROUND(N162,2)/10000,6)</f>
        <v>0</v>
      </c>
      <c r="P162" s="1712">
        <f>IFERROR(ROUND(Q162*10000/M162,2),0)</f>
        <v>0</v>
      </c>
      <c r="Q162" s="1712">
        <f>ROUND(O162/(1+R162),6)</f>
        <v>0</v>
      </c>
      <c r="R162" s="1757">
        <v>0.13</v>
      </c>
      <c r="S162" s="1712">
        <f>O162-Q162</f>
        <v>0</v>
      </c>
      <c r="T162" s="1712">
        <f t="shared" si="51"/>
        <v>0</v>
      </c>
      <c r="U162" s="1712">
        <f t="shared" si="52"/>
        <v>0</v>
      </c>
      <c r="V162" s="1952"/>
      <c r="X162" s="2135"/>
      <c r="Y162" s="1712"/>
      <c r="Z162" s="2119">
        <f t="shared" si="53"/>
        <v>0</v>
      </c>
      <c r="AA162" s="2119">
        <f t="shared" si="54"/>
        <v>0</v>
      </c>
      <c r="AB162" s="2119"/>
      <c r="AC162" s="2119"/>
    </row>
    <row r="163" spans="1:29" s="1942" customFormat="1" ht="13"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17.752313999999998</v>
      </c>
      <c r="P163" s="1712"/>
      <c r="Q163" s="1712">
        <f>SUBTOTAL(9,Q164:Q166)</f>
        <v>15.710013</v>
      </c>
      <c r="R163" s="1712"/>
      <c r="S163" s="1712">
        <f>SUBTOTAL(9,S164:S166)</f>
        <v>2.0423009999999984</v>
      </c>
      <c r="T163" s="1712">
        <f t="shared" si="51"/>
        <v>2.6548673598270063</v>
      </c>
      <c r="U163" s="1712">
        <f t="shared" si="52"/>
        <v>3</v>
      </c>
      <c r="V163" s="1952"/>
      <c r="X163" s="2135"/>
      <c r="Y163" s="1712"/>
      <c r="Z163" s="2119">
        <f t="shared" si="53"/>
        <v>0</v>
      </c>
      <c r="AA163" s="2119">
        <f t="shared" si="54"/>
        <v>0</v>
      </c>
      <c r="AB163" s="2119"/>
      <c r="AC163" s="2119"/>
    </row>
    <row r="164" spans="1:29" s="1942" customFormat="1" ht="12" customHeight="1" outlineLevel="3">
      <c r="A164" s="1944"/>
      <c r="B164" s="1978" t="s">
        <v>3691</v>
      </c>
      <c r="C164" s="1810"/>
      <c r="D164" s="2038" t="s">
        <v>3692</v>
      </c>
      <c r="E164" s="1947" t="s">
        <v>3693</v>
      </c>
      <c r="F164" s="1462" t="s">
        <v>3694</v>
      </c>
      <c r="G164" s="1953" t="s">
        <v>4161</v>
      </c>
      <c r="H164" s="1975" t="s">
        <v>10</v>
      </c>
      <c r="I164" s="1712">
        <f>$E$5</f>
        <v>59174.38</v>
      </c>
      <c r="J164" s="2148">
        <v>1</v>
      </c>
      <c r="K164" s="1950" t="s">
        <v>101</v>
      </c>
      <c r="L164" s="1947" t="s">
        <v>10</v>
      </c>
      <c r="M164" s="1754">
        <f t="shared" si="45"/>
        <v>59174.38</v>
      </c>
      <c r="N164" s="1756">
        <v>1</v>
      </c>
      <c r="O164" s="1712">
        <f t="shared" ref="O164:O169" si="59">ROUND(M164*ROUND(N164,2)/10000,6)</f>
        <v>5.9174379999999998</v>
      </c>
      <c r="P164" s="1712">
        <f t="shared" ref="P164:P169" si="60">IFERROR(ROUND(Q164*10000/M164,2),0)</f>
        <v>0.88</v>
      </c>
      <c r="Q164" s="1712">
        <f t="shared" ref="Q164:Q169" si="61">ROUND(O164/(1+R164),6)</f>
        <v>5.2366710000000003</v>
      </c>
      <c r="R164" s="1757">
        <v>0.13</v>
      </c>
      <c r="S164" s="1712">
        <f t="shared" ref="S164:S169" si="62">O164-Q164</f>
        <v>0.68076699999999946</v>
      </c>
      <c r="T164" s="1712">
        <f t="shared" si="51"/>
        <v>0.8849557866090022</v>
      </c>
      <c r="U164" s="1712">
        <f t="shared" si="52"/>
        <v>1</v>
      </c>
      <c r="V164" s="1952"/>
      <c r="X164" s="2135">
        <v>1</v>
      </c>
      <c r="Y164" s="1712"/>
      <c r="Z164" s="2119">
        <f t="shared" si="53"/>
        <v>0</v>
      </c>
      <c r="AA164" s="2119">
        <f t="shared" si="54"/>
        <v>1</v>
      </c>
      <c r="AB164" s="2119"/>
      <c r="AC164" s="2119"/>
    </row>
    <row r="165" spans="1:29" s="1942" customFormat="1" ht="12" customHeight="1" outlineLevel="3">
      <c r="A165" s="1944"/>
      <c r="B165" s="1978" t="s">
        <v>3695</v>
      </c>
      <c r="C165" s="1810"/>
      <c r="D165" s="2038" t="s">
        <v>3696</v>
      </c>
      <c r="E165" s="1947" t="s">
        <v>3697</v>
      </c>
      <c r="F165" s="1462" t="s">
        <v>3694</v>
      </c>
      <c r="G165" s="1953" t="s">
        <v>4161</v>
      </c>
      <c r="H165" s="1975" t="s">
        <v>10</v>
      </c>
      <c r="I165" s="1712">
        <f>$E$5</f>
        <v>59174.38</v>
      </c>
      <c r="J165" s="2148">
        <v>1</v>
      </c>
      <c r="K165" s="1950" t="s">
        <v>101</v>
      </c>
      <c r="L165" s="1947" t="s">
        <v>10</v>
      </c>
      <c r="M165" s="1754">
        <f t="shared" si="45"/>
        <v>59174.38</v>
      </c>
      <c r="N165" s="1756">
        <v>1</v>
      </c>
      <c r="O165" s="1712">
        <f t="shared" si="59"/>
        <v>5.9174379999999998</v>
      </c>
      <c r="P165" s="1712">
        <f t="shared" si="60"/>
        <v>0.88</v>
      </c>
      <c r="Q165" s="1712">
        <f t="shared" si="61"/>
        <v>5.2366710000000003</v>
      </c>
      <c r="R165" s="1757">
        <v>0.13</v>
      </c>
      <c r="S165" s="1712">
        <f t="shared" si="62"/>
        <v>0.68076699999999946</v>
      </c>
      <c r="T165" s="1712">
        <f t="shared" si="51"/>
        <v>0.8849557866090022</v>
      </c>
      <c r="U165" s="1712">
        <f t="shared" si="52"/>
        <v>1</v>
      </c>
      <c r="V165" s="1952"/>
      <c r="X165" s="2135">
        <v>1</v>
      </c>
      <c r="Y165" s="1712">
        <v>2</v>
      </c>
      <c r="Z165" s="2119">
        <f t="shared" si="53"/>
        <v>0</v>
      </c>
      <c r="AA165" s="2119">
        <f t="shared" si="54"/>
        <v>-1</v>
      </c>
      <c r="AB165" s="2119"/>
      <c r="AC165" s="2119"/>
    </row>
    <row r="166" spans="1:29" s="1942" customFormat="1" ht="12" customHeight="1" outlineLevel="3">
      <c r="A166" s="1944"/>
      <c r="B166" s="1978" t="s">
        <v>3698</v>
      </c>
      <c r="C166" s="1810"/>
      <c r="D166" s="2038" t="s">
        <v>3699</v>
      </c>
      <c r="E166" s="1947" t="s">
        <v>3700</v>
      </c>
      <c r="F166" s="1462" t="s">
        <v>3694</v>
      </c>
      <c r="G166" s="1953" t="s">
        <v>4161</v>
      </c>
      <c r="H166" s="1975" t="s">
        <v>10</v>
      </c>
      <c r="I166" s="1712">
        <f>$E$5</f>
        <v>59174.38</v>
      </c>
      <c r="J166" s="2148">
        <v>1</v>
      </c>
      <c r="K166" s="1950" t="s">
        <v>101</v>
      </c>
      <c r="L166" s="1947" t="s">
        <v>10</v>
      </c>
      <c r="M166" s="1754">
        <f t="shared" si="45"/>
        <v>59174.38</v>
      </c>
      <c r="N166" s="1756">
        <v>1</v>
      </c>
      <c r="O166" s="1712">
        <f t="shared" si="59"/>
        <v>5.9174379999999998</v>
      </c>
      <c r="P166" s="1712">
        <f t="shared" si="60"/>
        <v>0.88</v>
      </c>
      <c r="Q166" s="1712">
        <f t="shared" si="61"/>
        <v>5.2366710000000003</v>
      </c>
      <c r="R166" s="1757">
        <v>0.13</v>
      </c>
      <c r="S166" s="1712">
        <f t="shared" si="62"/>
        <v>0.68076699999999946</v>
      </c>
      <c r="T166" s="1712">
        <f t="shared" si="51"/>
        <v>0.8849557866090022</v>
      </c>
      <c r="U166" s="1712">
        <f t="shared" si="52"/>
        <v>1</v>
      </c>
      <c r="V166" s="1952"/>
      <c r="X166" s="2135">
        <v>1</v>
      </c>
      <c r="Y166" s="1712">
        <v>1</v>
      </c>
      <c r="Z166" s="2119">
        <f t="shared" si="53"/>
        <v>0</v>
      </c>
      <c r="AA166" s="2119">
        <f t="shared" si="54"/>
        <v>0</v>
      </c>
      <c r="AB166" s="2119"/>
      <c r="AC166" s="2119"/>
    </row>
    <row r="167" spans="1:29" s="1942" customFormat="1" ht="13" outlineLevel="2">
      <c r="A167" s="1944"/>
      <c r="B167" s="1978" t="s">
        <v>3705</v>
      </c>
      <c r="C167" s="1810"/>
      <c r="D167" s="2038" t="s">
        <v>740</v>
      </c>
      <c r="E167" s="1947" t="s">
        <v>3702</v>
      </c>
      <c r="F167" s="1462" t="s">
        <v>463</v>
      </c>
      <c r="G167" s="1953" t="s">
        <v>4162</v>
      </c>
      <c r="H167" s="1975" t="s">
        <v>3926</v>
      </c>
      <c r="I167" s="1712">
        <f>$G$7</f>
        <v>505</v>
      </c>
      <c r="J167" s="2148">
        <v>1</v>
      </c>
      <c r="K167" s="1950" t="s">
        <v>3947</v>
      </c>
      <c r="L167" s="1947" t="s">
        <v>3926</v>
      </c>
      <c r="M167" s="1754">
        <f t="shared" si="45"/>
        <v>505</v>
      </c>
      <c r="N167" s="1756">
        <v>130</v>
      </c>
      <c r="O167" s="1712">
        <f t="shared" si="59"/>
        <v>6.5650000000000004</v>
      </c>
      <c r="P167" s="1712">
        <f t="shared" si="60"/>
        <v>115.04</v>
      </c>
      <c r="Q167" s="1712">
        <f t="shared" si="61"/>
        <v>5.8097349999999999</v>
      </c>
      <c r="R167" s="1757">
        <v>0.13</v>
      </c>
      <c r="S167" s="1712">
        <f t="shared" si="62"/>
        <v>0.75526500000000052</v>
      </c>
      <c r="T167" s="1712">
        <f t="shared" si="51"/>
        <v>0.98179904884512526</v>
      </c>
      <c r="U167" s="1712">
        <f t="shared" si="52"/>
        <v>1.1094328322493621</v>
      </c>
      <c r="V167" s="1952"/>
      <c r="X167" s="2135">
        <v>1</v>
      </c>
      <c r="Y167" s="1712"/>
      <c r="Z167" s="2119">
        <f t="shared" si="53"/>
        <v>0</v>
      </c>
      <c r="AA167" s="2119">
        <f t="shared" si="54"/>
        <v>130</v>
      </c>
      <c r="AB167" s="2119"/>
      <c r="AC167" s="2119"/>
    </row>
    <row r="168" spans="1:29" s="1942" customFormat="1" ht="13" outlineLevel="2">
      <c r="A168" s="1944"/>
      <c r="B168" s="1978" t="s">
        <v>3701</v>
      </c>
      <c r="C168" s="1810"/>
      <c r="D168" s="2038" t="s">
        <v>3704</v>
      </c>
      <c r="E168" s="1947"/>
      <c r="F168" s="1462" t="s">
        <v>1424</v>
      </c>
      <c r="G168" s="1953" t="s">
        <v>4123</v>
      </c>
      <c r="H168" s="1975" t="s">
        <v>10</v>
      </c>
      <c r="I168" s="1712">
        <f>$E$5</f>
        <v>59174.38</v>
      </c>
      <c r="J168" s="2099"/>
      <c r="K168" s="1950" t="s">
        <v>101</v>
      </c>
      <c r="L168" s="1947" t="s">
        <v>10</v>
      </c>
      <c r="M168" s="1754">
        <f t="shared" si="45"/>
        <v>0</v>
      </c>
      <c r="N168" s="1712"/>
      <c r="O168" s="1712">
        <f t="shared" si="59"/>
        <v>0</v>
      </c>
      <c r="P168" s="1712">
        <f t="shared" si="60"/>
        <v>0</v>
      </c>
      <c r="Q168" s="1712">
        <f t="shared" si="61"/>
        <v>0</v>
      </c>
      <c r="R168" s="1757">
        <v>0.06</v>
      </c>
      <c r="S168" s="1712">
        <f t="shared" si="62"/>
        <v>0</v>
      </c>
      <c r="T168" s="1712">
        <f t="shared" si="51"/>
        <v>0</v>
      </c>
      <c r="U168" s="1712">
        <f t="shared" si="52"/>
        <v>0</v>
      </c>
      <c r="V168" s="1952"/>
      <c r="X168" s="2139"/>
      <c r="Y168" s="1712"/>
      <c r="Z168" s="2119">
        <f t="shared" si="53"/>
        <v>0</v>
      </c>
      <c r="AA168" s="2119">
        <f t="shared" si="54"/>
        <v>0</v>
      </c>
      <c r="AB168" s="2119"/>
      <c r="AC168" s="2119"/>
    </row>
    <row r="169" spans="1:29" s="1942" customFormat="1" ht="13" outlineLevel="2">
      <c r="A169" s="1944"/>
      <c r="B169" s="1978" t="s">
        <v>3703</v>
      </c>
      <c r="C169" s="1810"/>
      <c r="D169" s="2039" t="s">
        <v>3706</v>
      </c>
      <c r="E169" s="1982" t="s">
        <v>3707</v>
      </c>
      <c r="F169" s="1462" t="s">
        <v>3694</v>
      </c>
      <c r="G169" s="1982" t="s">
        <v>4161</v>
      </c>
      <c r="H169" s="1975" t="s">
        <v>10</v>
      </c>
      <c r="I169" s="1712">
        <f>$E$5</f>
        <v>59174.38</v>
      </c>
      <c r="J169" s="2099"/>
      <c r="K169" s="1950" t="s">
        <v>101</v>
      </c>
      <c r="L169" s="1947" t="s">
        <v>10</v>
      </c>
      <c r="M169" s="1754">
        <f t="shared" si="45"/>
        <v>0</v>
      </c>
      <c r="N169" s="1712"/>
      <c r="O169" s="1712">
        <f t="shared" si="59"/>
        <v>0</v>
      </c>
      <c r="P169" s="1712">
        <f t="shared" si="60"/>
        <v>0</v>
      </c>
      <c r="Q169" s="1712">
        <f t="shared" si="61"/>
        <v>0</v>
      </c>
      <c r="R169" s="1757">
        <v>0.13</v>
      </c>
      <c r="S169" s="1712">
        <f t="shared" si="62"/>
        <v>0</v>
      </c>
      <c r="T169" s="1712">
        <f t="shared" si="51"/>
        <v>0</v>
      </c>
      <c r="U169" s="1712">
        <f t="shared" si="52"/>
        <v>0</v>
      </c>
      <c r="V169" s="1952"/>
      <c r="X169" s="2139"/>
      <c r="Y169" s="1712"/>
      <c r="Z169" s="2119">
        <f t="shared" si="53"/>
        <v>0</v>
      </c>
      <c r="AA169" s="2119">
        <f t="shared" si="54"/>
        <v>0</v>
      </c>
      <c r="AB169" s="2119"/>
      <c r="AC169" s="2119"/>
    </row>
    <row r="170" spans="1:29" ht="13"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773.99369999999999</v>
      </c>
      <c r="P170" s="1973"/>
      <c r="Q170" s="1973">
        <f>SUBTOTAL(9,Q171:Q183)</f>
        <v>710.08596299999999</v>
      </c>
      <c r="R170" s="1973"/>
      <c r="S170" s="1973">
        <f>SUBTOTAL(9,S171:S183)</f>
        <v>63.907736999999983</v>
      </c>
      <c r="T170" s="1973">
        <f t="shared" si="51"/>
        <v>119.99888515942203</v>
      </c>
      <c r="U170" s="1973">
        <f t="shared" si="52"/>
        <v>130.79878487953741</v>
      </c>
      <c r="V170" s="1974"/>
      <c r="X170" s="2116"/>
      <c r="Y170" s="1973"/>
      <c r="Z170" s="2119">
        <f t="shared" si="53"/>
        <v>0</v>
      </c>
      <c r="AA170" s="2119">
        <f t="shared" si="54"/>
        <v>0</v>
      </c>
    </row>
    <row r="171" spans="1:29" s="1942" customFormat="1" ht="13" outlineLevel="2">
      <c r="A171" s="1944"/>
      <c r="B171" s="1807" t="s">
        <v>742</v>
      </c>
      <c r="C171" s="1808"/>
      <c r="D171" s="2008" t="s">
        <v>51</v>
      </c>
      <c r="E171" s="2009" t="s">
        <v>3709</v>
      </c>
      <c r="F171" s="1462" t="s">
        <v>3577</v>
      </c>
      <c r="G171" s="1953" t="s">
        <v>4141</v>
      </c>
      <c r="H171" s="1947" t="s">
        <v>18</v>
      </c>
      <c r="I171" s="1712">
        <f>$G$5</f>
        <v>23</v>
      </c>
      <c r="J171" s="2149">
        <v>26.5</v>
      </c>
      <c r="K171" s="1947" t="s">
        <v>4085</v>
      </c>
      <c r="L171" s="1947" t="s">
        <v>4086</v>
      </c>
      <c r="M171" s="1754">
        <f t="shared" si="45"/>
        <v>609.5</v>
      </c>
      <c r="N171" s="1756">
        <v>1646</v>
      </c>
      <c r="O171" s="1712">
        <f t="shared" ref="O171:O183" si="63">ROUND(M171*ROUND(N171,2)/10000,6)</f>
        <v>100.3237</v>
      </c>
      <c r="P171" s="1712">
        <f t="shared" ref="P171:P183" si="64">IFERROR(ROUND(Q171*10000/M171,2),0)</f>
        <v>1510.09</v>
      </c>
      <c r="Q171" s="1712">
        <f t="shared" ref="Q171:Q183" si="65">ROUND(O171/(1+R171),6)</f>
        <v>92.040092000000001</v>
      </c>
      <c r="R171" s="1757">
        <v>0.09</v>
      </c>
      <c r="S171" s="1712">
        <f t="shared" ref="S171:S183" si="66">O171-Q171</f>
        <v>8.283608000000001</v>
      </c>
      <c r="T171" s="1712">
        <f t="shared" si="51"/>
        <v>15.55404416573524</v>
      </c>
      <c r="U171" s="1712">
        <f t="shared" si="52"/>
        <v>16.953908093333634</v>
      </c>
      <c r="V171" s="1952"/>
      <c r="X171" s="2140">
        <v>50</v>
      </c>
      <c r="Y171" s="1712"/>
      <c r="Z171" s="2119">
        <f t="shared" si="53"/>
        <v>-23.5</v>
      </c>
      <c r="AA171" s="2119">
        <f t="shared" si="54"/>
        <v>1646</v>
      </c>
      <c r="AB171" s="2119"/>
      <c r="AC171" s="2119"/>
    </row>
    <row r="172" spans="1:29" s="1942" customFormat="1" ht="13" outlineLevel="2">
      <c r="A172" s="1944"/>
      <c r="B172" s="1807" t="s">
        <v>746</v>
      </c>
      <c r="C172" s="1810"/>
      <c r="D172" s="2038" t="s">
        <v>89</v>
      </c>
      <c r="E172" s="1947" t="s">
        <v>3710</v>
      </c>
      <c r="F172" s="1462" t="s">
        <v>3577</v>
      </c>
      <c r="G172" s="1953" t="s">
        <v>4141</v>
      </c>
      <c r="H172" s="1947" t="s">
        <v>18</v>
      </c>
      <c r="I172" s="1712">
        <f>$G$5</f>
        <v>23</v>
      </c>
      <c r="J172" s="2149">
        <v>30</v>
      </c>
      <c r="K172" s="1947" t="s">
        <v>4085</v>
      </c>
      <c r="L172" s="1947" t="s">
        <v>4087</v>
      </c>
      <c r="M172" s="1754">
        <f t="shared" si="45"/>
        <v>690</v>
      </c>
      <c r="N172" s="1756">
        <v>1880</v>
      </c>
      <c r="O172" s="1712">
        <f t="shared" si="63"/>
        <v>129.72</v>
      </c>
      <c r="P172" s="1712">
        <f t="shared" si="64"/>
        <v>1724.77</v>
      </c>
      <c r="Q172" s="1712">
        <f t="shared" si="65"/>
        <v>119.009174</v>
      </c>
      <c r="R172" s="1757">
        <v>0.09</v>
      </c>
      <c r="S172" s="1712">
        <f t="shared" si="66"/>
        <v>10.710825999999997</v>
      </c>
      <c r="T172" s="1712">
        <f t="shared" si="51"/>
        <v>20.111604718122944</v>
      </c>
      <c r="U172" s="1712">
        <f t="shared" si="52"/>
        <v>21.921649200211309</v>
      </c>
      <c r="V172" s="1952"/>
      <c r="X172" s="2140">
        <v>35</v>
      </c>
      <c r="Y172" s="1712"/>
      <c r="Z172" s="2119">
        <f t="shared" si="53"/>
        <v>-5</v>
      </c>
      <c r="AA172" s="2119">
        <f t="shared" si="54"/>
        <v>1880</v>
      </c>
      <c r="AB172" s="2119"/>
      <c r="AC172" s="2119"/>
    </row>
    <row r="173" spans="1:29" s="1942" customFormat="1" ht="13" outlineLevel="2">
      <c r="A173" s="1944"/>
      <c r="B173" s="1807" t="s">
        <v>753</v>
      </c>
      <c r="C173" s="1810"/>
      <c r="D173" s="2038" t="s">
        <v>3711</v>
      </c>
      <c r="E173" s="1947" t="s">
        <v>3712</v>
      </c>
      <c r="F173" s="1462" t="s">
        <v>3577</v>
      </c>
      <c r="G173" s="1953" t="s">
        <v>4141</v>
      </c>
      <c r="H173" s="1947" t="s">
        <v>10</v>
      </c>
      <c r="I173" s="1712">
        <f>$E$5</f>
        <v>59174.38</v>
      </c>
      <c r="J173" s="2140"/>
      <c r="K173" s="1947" t="s">
        <v>101</v>
      </c>
      <c r="L173" s="1947" t="s">
        <v>4088</v>
      </c>
      <c r="M173" s="1754">
        <f t="shared" si="45"/>
        <v>0</v>
      </c>
      <c r="N173" s="1712"/>
      <c r="O173" s="1712">
        <f t="shared" si="63"/>
        <v>0</v>
      </c>
      <c r="P173" s="1712">
        <f t="shared" si="64"/>
        <v>0</v>
      </c>
      <c r="Q173" s="1712">
        <f t="shared" si="65"/>
        <v>0</v>
      </c>
      <c r="R173" s="1757">
        <v>0.09</v>
      </c>
      <c r="S173" s="1712">
        <f t="shared" si="66"/>
        <v>0</v>
      </c>
      <c r="T173" s="1712">
        <f t="shared" si="51"/>
        <v>0</v>
      </c>
      <c r="U173" s="1712">
        <f t="shared" si="52"/>
        <v>0</v>
      </c>
      <c r="V173" s="1952"/>
      <c r="X173" s="2140"/>
      <c r="Y173" s="1712"/>
      <c r="Z173" s="2119">
        <f t="shared" si="53"/>
        <v>0</v>
      </c>
      <c r="AA173" s="2119">
        <f t="shared" si="54"/>
        <v>0</v>
      </c>
      <c r="AB173" s="2119"/>
      <c r="AC173" s="2119"/>
    </row>
    <row r="174" spans="1:29" s="1942" customFormat="1" ht="13" outlineLevel="2">
      <c r="A174" s="1944"/>
      <c r="B174" s="1807" t="s">
        <v>755</v>
      </c>
      <c r="C174" s="1810"/>
      <c r="D174" s="2038" t="s">
        <v>90</v>
      </c>
      <c r="E174" s="1947" t="s">
        <v>3713</v>
      </c>
      <c r="F174" s="1462" t="s">
        <v>3577</v>
      </c>
      <c r="G174" s="1953" t="s">
        <v>4141</v>
      </c>
      <c r="H174" s="1947" t="s">
        <v>18</v>
      </c>
      <c r="I174" s="1712">
        <f>$G$5</f>
        <v>23</v>
      </c>
      <c r="J174" s="2140"/>
      <c r="K174" s="1947" t="s">
        <v>4085</v>
      </c>
      <c r="L174" s="1947" t="s">
        <v>4089</v>
      </c>
      <c r="M174" s="1754">
        <f t="shared" si="45"/>
        <v>0</v>
      </c>
      <c r="N174" s="1712"/>
      <c r="O174" s="1712">
        <f t="shared" si="63"/>
        <v>0</v>
      </c>
      <c r="P174" s="1712">
        <f t="shared" si="64"/>
        <v>0</v>
      </c>
      <c r="Q174" s="1712">
        <f t="shared" si="65"/>
        <v>0</v>
      </c>
      <c r="R174" s="1757">
        <v>0.09</v>
      </c>
      <c r="S174" s="1712">
        <f t="shared" si="66"/>
        <v>0</v>
      </c>
      <c r="T174" s="1712">
        <f t="shared" si="51"/>
        <v>0</v>
      </c>
      <c r="U174" s="1712">
        <f t="shared" si="52"/>
        <v>0</v>
      </c>
      <c r="V174" s="1952"/>
      <c r="X174" s="2140"/>
      <c r="Y174" s="1712"/>
      <c r="Z174" s="2119">
        <f t="shared" si="53"/>
        <v>0</v>
      </c>
      <c r="AA174" s="2119">
        <f t="shared" si="54"/>
        <v>0</v>
      </c>
      <c r="AB174" s="2119"/>
      <c r="AC174" s="2119"/>
    </row>
    <row r="175" spans="1:29" s="1942" customFormat="1" ht="13" outlineLevel="2">
      <c r="A175" s="1944"/>
      <c r="B175" s="1807" t="s">
        <v>756</v>
      </c>
      <c r="C175" s="1810"/>
      <c r="D175" s="2038" t="s">
        <v>757</v>
      </c>
      <c r="E175" s="1947" t="s">
        <v>3714</v>
      </c>
      <c r="F175" s="1462" t="s">
        <v>3342</v>
      </c>
      <c r="G175" s="1953" t="s">
        <v>4116</v>
      </c>
      <c r="H175" s="1947" t="s">
        <v>3923</v>
      </c>
      <c r="I175" s="1712">
        <f>$G$6</f>
        <v>253</v>
      </c>
      <c r="J175" s="2149">
        <v>12</v>
      </c>
      <c r="K175" s="1947" t="s">
        <v>2</v>
      </c>
      <c r="L175" s="1947" t="s">
        <v>4090</v>
      </c>
      <c r="M175" s="1754">
        <f t="shared" si="45"/>
        <v>3036</v>
      </c>
      <c r="N175" s="1756">
        <v>600</v>
      </c>
      <c r="O175" s="1712">
        <f t="shared" si="63"/>
        <v>182.16</v>
      </c>
      <c r="P175" s="1712">
        <f t="shared" si="64"/>
        <v>550.46</v>
      </c>
      <c r="Q175" s="1712">
        <f t="shared" si="65"/>
        <v>167.11926600000001</v>
      </c>
      <c r="R175" s="1757">
        <v>0.09</v>
      </c>
      <c r="S175" s="1712">
        <f t="shared" si="66"/>
        <v>15.040733999999986</v>
      </c>
      <c r="T175" s="1712">
        <f t="shared" si="51"/>
        <v>28.241827966765349</v>
      </c>
      <c r="U175" s="1712">
        <f t="shared" si="52"/>
        <v>30.783592493913751</v>
      </c>
      <c r="V175" s="1952"/>
      <c r="X175" s="2140">
        <v>15</v>
      </c>
      <c r="Y175" s="1712">
        <v>180</v>
      </c>
      <c r="Z175" s="2119">
        <f t="shared" si="53"/>
        <v>-3</v>
      </c>
      <c r="AA175" s="2119">
        <f t="shared" si="54"/>
        <v>420</v>
      </c>
      <c r="AB175" s="2119"/>
      <c r="AC175" s="2119"/>
    </row>
    <row r="176" spans="1:29" s="1942" customFormat="1" ht="13" outlineLevel="2">
      <c r="A176" s="1944"/>
      <c r="B176" s="1807" t="s">
        <v>758</v>
      </c>
      <c r="C176" s="1810"/>
      <c r="D176" s="2038" t="s">
        <v>118</v>
      </c>
      <c r="E176" s="1947" t="s">
        <v>3715</v>
      </c>
      <c r="F176" s="1462" t="s">
        <v>3577</v>
      </c>
      <c r="G176" s="1953" t="s">
        <v>4141</v>
      </c>
      <c r="H176" s="1947" t="s">
        <v>3923</v>
      </c>
      <c r="I176" s="1712">
        <f>$G$6</f>
        <v>253</v>
      </c>
      <c r="J176" s="2149">
        <v>11</v>
      </c>
      <c r="K176" s="1947" t="s">
        <v>2</v>
      </c>
      <c r="L176" s="1947" t="s">
        <v>4091</v>
      </c>
      <c r="M176" s="1754">
        <f t="shared" si="45"/>
        <v>2783</v>
      </c>
      <c r="N176" s="1756">
        <v>1300</v>
      </c>
      <c r="O176" s="1712">
        <f t="shared" si="63"/>
        <v>361.79</v>
      </c>
      <c r="P176" s="1712">
        <f t="shared" si="64"/>
        <v>1192.6600000000001</v>
      </c>
      <c r="Q176" s="1712">
        <f t="shared" si="65"/>
        <v>331.91743100000002</v>
      </c>
      <c r="R176" s="1757">
        <v>0.09</v>
      </c>
      <c r="S176" s="1712">
        <f t="shared" si="66"/>
        <v>29.872568999999999</v>
      </c>
      <c r="T176" s="1712">
        <f t="shared" si="51"/>
        <v>56.091408308798506</v>
      </c>
      <c r="U176" s="1712">
        <f t="shared" si="52"/>
        <v>61.139635092078706</v>
      </c>
      <c r="V176" s="1952"/>
      <c r="X176" s="2141">
        <v>0</v>
      </c>
      <c r="Y176" s="1712">
        <v>800</v>
      </c>
      <c r="Z176" s="2119">
        <f t="shared" si="53"/>
        <v>11</v>
      </c>
      <c r="AA176" s="2119">
        <f t="shared" si="54"/>
        <v>500</v>
      </c>
      <c r="AB176" s="2119"/>
      <c r="AC176" s="2119"/>
    </row>
    <row r="177" spans="1:29" s="1942" customFormat="1" ht="13" outlineLevel="2">
      <c r="A177" s="1944"/>
      <c r="B177" s="1807" t="s">
        <v>763</v>
      </c>
      <c r="C177" s="1810"/>
      <c r="D177" s="2038" t="s">
        <v>807</v>
      </c>
      <c r="E177" s="1947" t="s">
        <v>3716</v>
      </c>
      <c r="F177" s="1462" t="s">
        <v>3577</v>
      </c>
      <c r="G177" s="1953" t="s">
        <v>4141</v>
      </c>
      <c r="H177" s="1947" t="s">
        <v>4092</v>
      </c>
      <c r="I177" s="1712">
        <f>$G$5</f>
        <v>23</v>
      </c>
      <c r="J177" s="2140"/>
      <c r="K177" s="1947" t="s">
        <v>2942</v>
      </c>
      <c r="L177" s="1947" t="s">
        <v>4093</v>
      </c>
      <c r="M177" s="1754">
        <f t="shared" si="45"/>
        <v>0</v>
      </c>
      <c r="N177" s="1712"/>
      <c r="O177" s="1712">
        <f t="shared" si="63"/>
        <v>0</v>
      </c>
      <c r="P177" s="1712">
        <f t="shared" si="64"/>
        <v>0</v>
      </c>
      <c r="Q177" s="1712">
        <f t="shared" si="65"/>
        <v>0</v>
      </c>
      <c r="R177" s="1757">
        <v>0.09</v>
      </c>
      <c r="S177" s="1712">
        <f t="shared" si="66"/>
        <v>0</v>
      </c>
      <c r="T177" s="1712">
        <f t="shared" si="51"/>
        <v>0</v>
      </c>
      <c r="U177" s="1712">
        <f t="shared" si="52"/>
        <v>0</v>
      </c>
      <c r="V177" s="1952"/>
      <c r="X177" s="2140">
        <v>2</v>
      </c>
      <c r="Y177" s="1712"/>
      <c r="Z177" s="2119">
        <f t="shared" si="53"/>
        <v>-2</v>
      </c>
      <c r="AA177" s="2119">
        <f t="shared" si="54"/>
        <v>0</v>
      </c>
      <c r="AB177" s="2119"/>
      <c r="AC177" s="2119"/>
    </row>
    <row r="178" spans="1:29" s="1942" customFormat="1" ht="13"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45"/>
        <v>0</v>
      </c>
      <c r="N178" s="1712"/>
      <c r="O178" s="1712">
        <f t="shared" si="63"/>
        <v>0</v>
      </c>
      <c r="P178" s="1712">
        <f t="shared" si="64"/>
        <v>0</v>
      </c>
      <c r="Q178" s="1712">
        <f t="shared" si="65"/>
        <v>0</v>
      </c>
      <c r="R178" s="1757">
        <v>0.09</v>
      </c>
      <c r="S178" s="1712">
        <f t="shared" si="66"/>
        <v>0</v>
      </c>
      <c r="T178" s="1712">
        <f t="shared" si="51"/>
        <v>0</v>
      </c>
      <c r="U178" s="1712">
        <f t="shared" si="52"/>
        <v>0</v>
      </c>
      <c r="V178" s="1952"/>
      <c r="X178" s="2140"/>
      <c r="Y178" s="1712"/>
      <c r="Z178" s="2119">
        <f t="shared" si="53"/>
        <v>0</v>
      </c>
      <c r="AA178" s="2119">
        <f t="shared" si="54"/>
        <v>0</v>
      </c>
      <c r="AB178" s="2119"/>
      <c r="AC178" s="2119"/>
    </row>
    <row r="179" spans="1:29" s="1942" customFormat="1" ht="13" outlineLevel="2">
      <c r="A179" s="1944"/>
      <c r="B179" s="1807" t="s">
        <v>765</v>
      </c>
      <c r="C179" s="1808"/>
      <c r="D179" s="2008" t="s">
        <v>3718</v>
      </c>
      <c r="E179" s="2009" t="s">
        <v>3719</v>
      </c>
      <c r="F179" s="1462" t="s">
        <v>3577</v>
      </c>
      <c r="G179" s="1953" t="s">
        <v>4116</v>
      </c>
      <c r="H179" s="1947" t="s">
        <v>3923</v>
      </c>
      <c r="I179" s="1712">
        <f>$G$6</f>
        <v>253</v>
      </c>
      <c r="J179" s="2140"/>
      <c r="K179" s="1947" t="s">
        <v>101</v>
      </c>
      <c r="L179" s="1947" t="s">
        <v>4094</v>
      </c>
      <c r="M179" s="1754">
        <f t="shared" si="45"/>
        <v>0</v>
      </c>
      <c r="N179" s="1712"/>
      <c r="O179" s="1712">
        <f t="shared" si="63"/>
        <v>0</v>
      </c>
      <c r="P179" s="1712">
        <f t="shared" si="64"/>
        <v>0</v>
      </c>
      <c r="Q179" s="1712">
        <f t="shared" si="65"/>
        <v>0</v>
      </c>
      <c r="R179" s="1757">
        <v>0.09</v>
      </c>
      <c r="S179" s="1712">
        <f t="shared" si="66"/>
        <v>0</v>
      </c>
      <c r="T179" s="1712">
        <f t="shared" si="51"/>
        <v>0</v>
      </c>
      <c r="U179" s="1712">
        <f t="shared" si="52"/>
        <v>0</v>
      </c>
      <c r="V179" s="1952"/>
      <c r="X179" s="2140"/>
      <c r="Y179" s="1712"/>
      <c r="Z179" s="2119">
        <f t="shared" si="53"/>
        <v>0</v>
      </c>
      <c r="AA179" s="2119">
        <f t="shared" si="54"/>
        <v>0</v>
      </c>
      <c r="AB179" s="2119"/>
      <c r="AC179" s="2119"/>
    </row>
    <row r="180" spans="1:29" s="1942" customFormat="1" ht="13" outlineLevel="2">
      <c r="A180" s="1944"/>
      <c r="B180" s="1807" t="s">
        <v>810</v>
      </c>
      <c r="C180" s="1808"/>
      <c r="D180" s="2008" t="s">
        <v>3720</v>
      </c>
      <c r="E180" s="2009" t="s">
        <v>3721</v>
      </c>
      <c r="F180" s="1462" t="s">
        <v>3577</v>
      </c>
      <c r="G180" s="1953" t="s">
        <v>4141</v>
      </c>
      <c r="H180" s="1947" t="s">
        <v>10</v>
      </c>
      <c r="I180" s="1712">
        <f>$E$5</f>
        <v>59174.38</v>
      </c>
      <c r="J180" s="2140"/>
      <c r="K180" s="1947" t="s">
        <v>101</v>
      </c>
      <c r="L180" s="1947" t="s">
        <v>4095</v>
      </c>
      <c r="M180" s="1754">
        <f t="shared" si="45"/>
        <v>0</v>
      </c>
      <c r="N180" s="1712"/>
      <c r="O180" s="1712">
        <f t="shared" si="63"/>
        <v>0</v>
      </c>
      <c r="P180" s="1712">
        <f t="shared" si="64"/>
        <v>0</v>
      </c>
      <c r="Q180" s="1712">
        <f t="shared" si="65"/>
        <v>0</v>
      </c>
      <c r="R180" s="1757">
        <v>0.09</v>
      </c>
      <c r="S180" s="1712">
        <f t="shared" si="66"/>
        <v>0</v>
      </c>
      <c r="T180" s="1712">
        <f t="shared" si="51"/>
        <v>0</v>
      </c>
      <c r="U180" s="1712">
        <f t="shared" si="52"/>
        <v>0</v>
      </c>
      <c r="V180" s="1952"/>
      <c r="X180" s="2140"/>
      <c r="Y180" s="1712"/>
      <c r="Z180" s="2119">
        <f t="shared" si="53"/>
        <v>0</v>
      </c>
      <c r="AA180" s="2119">
        <f t="shared" si="54"/>
        <v>0</v>
      </c>
      <c r="AB180" s="2119"/>
      <c r="AC180" s="2119"/>
    </row>
    <row r="181" spans="1:29" s="1942" customFormat="1" ht="13" outlineLevel="2">
      <c r="A181" s="1944"/>
      <c r="B181" s="1807" t="s">
        <v>3722</v>
      </c>
      <c r="C181" s="1808"/>
      <c r="D181" s="2008" t="s">
        <v>3723</v>
      </c>
      <c r="E181" s="2009" t="s">
        <v>3724</v>
      </c>
      <c r="F181" s="1462" t="s">
        <v>3577</v>
      </c>
      <c r="G181" s="1953" t="s">
        <v>4141</v>
      </c>
      <c r="H181" s="1947" t="s">
        <v>10</v>
      </c>
      <c r="I181" s="1712">
        <f>$E$5</f>
        <v>59174.38</v>
      </c>
      <c r="J181" s="2140"/>
      <c r="K181" s="1947" t="s">
        <v>101</v>
      </c>
      <c r="L181" s="1947" t="s">
        <v>4096</v>
      </c>
      <c r="M181" s="1754">
        <f t="shared" si="45"/>
        <v>0</v>
      </c>
      <c r="N181" s="1712"/>
      <c r="O181" s="1712">
        <f t="shared" si="63"/>
        <v>0</v>
      </c>
      <c r="P181" s="1712">
        <f t="shared" si="64"/>
        <v>0</v>
      </c>
      <c r="Q181" s="1712">
        <f t="shared" si="65"/>
        <v>0</v>
      </c>
      <c r="R181" s="1757">
        <v>0.09</v>
      </c>
      <c r="S181" s="1712">
        <f t="shared" si="66"/>
        <v>0</v>
      </c>
      <c r="T181" s="1712">
        <f t="shared" si="51"/>
        <v>0</v>
      </c>
      <c r="U181" s="1712">
        <f t="shared" si="52"/>
        <v>0</v>
      </c>
      <c r="V181" s="1952"/>
      <c r="X181" s="2140"/>
      <c r="Y181" s="1712"/>
      <c r="Z181" s="2119">
        <f t="shared" si="53"/>
        <v>0</v>
      </c>
      <c r="AA181" s="2119">
        <f t="shared" si="54"/>
        <v>0</v>
      </c>
      <c r="AB181" s="2119"/>
      <c r="AC181" s="2119"/>
    </row>
    <row r="182" spans="1:29" s="1942" customFormat="1" ht="13" outlineLevel="2">
      <c r="A182" s="1944"/>
      <c r="B182" s="1807" t="s">
        <v>3725</v>
      </c>
      <c r="C182" s="1810"/>
      <c r="D182" s="2038" t="s">
        <v>811</v>
      </c>
      <c r="E182" s="1947" t="s">
        <v>3726</v>
      </c>
      <c r="F182" s="1462" t="s">
        <v>3624</v>
      </c>
      <c r="G182" s="1953" t="s">
        <v>4149</v>
      </c>
      <c r="H182" s="1975" t="s">
        <v>10</v>
      </c>
      <c r="I182" s="1712">
        <f>$E$5</f>
        <v>59174.38</v>
      </c>
      <c r="J182" s="2140"/>
      <c r="K182" s="1947" t="s">
        <v>101</v>
      </c>
      <c r="L182" s="1947" t="s">
        <v>10</v>
      </c>
      <c r="M182" s="1754">
        <f t="shared" si="45"/>
        <v>0</v>
      </c>
      <c r="N182" s="1712"/>
      <c r="O182" s="1712">
        <f t="shared" si="63"/>
        <v>0</v>
      </c>
      <c r="P182" s="1712">
        <f t="shared" si="64"/>
        <v>0</v>
      </c>
      <c r="Q182" s="1712">
        <f t="shared" si="65"/>
        <v>0</v>
      </c>
      <c r="R182" s="1757">
        <v>0.06</v>
      </c>
      <c r="S182" s="1712">
        <f t="shared" si="66"/>
        <v>0</v>
      </c>
      <c r="T182" s="1712">
        <f t="shared" si="51"/>
        <v>0</v>
      </c>
      <c r="U182" s="1712">
        <f t="shared" si="52"/>
        <v>0</v>
      </c>
      <c r="V182" s="1952"/>
      <c r="X182" s="2140"/>
      <c r="Y182" s="1712"/>
      <c r="Z182" s="2119">
        <f t="shared" si="53"/>
        <v>0</v>
      </c>
      <c r="AA182" s="2119">
        <f t="shared" si="54"/>
        <v>0</v>
      </c>
      <c r="AB182" s="2119"/>
      <c r="AC182" s="2119"/>
    </row>
    <row r="183" spans="1:29" s="1942" customFormat="1" ht="13" outlineLevel="2">
      <c r="A183" s="1944"/>
      <c r="B183" s="1807" t="s">
        <v>3727</v>
      </c>
      <c r="C183" s="1810"/>
      <c r="D183" s="2038" t="s">
        <v>3728</v>
      </c>
      <c r="E183" s="1947" t="s">
        <v>3729</v>
      </c>
      <c r="F183" s="1462" t="s">
        <v>3730</v>
      </c>
      <c r="G183" s="1953" t="s">
        <v>4163</v>
      </c>
      <c r="H183" s="1975" t="s">
        <v>3849</v>
      </c>
      <c r="I183" s="1948"/>
      <c r="J183" s="2140"/>
      <c r="K183" s="1947" t="s">
        <v>101</v>
      </c>
      <c r="L183" s="1947" t="s">
        <v>3849</v>
      </c>
      <c r="M183" s="1754">
        <f t="shared" si="45"/>
        <v>0</v>
      </c>
      <c r="N183" s="1712"/>
      <c r="O183" s="1712">
        <f t="shared" si="63"/>
        <v>0</v>
      </c>
      <c r="P183" s="1712">
        <f t="shared" si="64"/>
        <v>0</v>
      </c>
      <c r="Q183" s="1712">
        <f t="shared" si="65"/>
        <v>0</v>
      </c>
      <c r="R183" s="1757">
        <v>0.09</v>
      </c>
      <c r="S183" s="1712">
        <f t="shared" si="66"/>
        <v>0</v>
      </c>
      <c r="T183" s="1712">
        <f t="shared" si="51"/>
        <v>0</v>
      </c>
      <c r="U183" s="1712">
        <f t="shared" si="52"/>
        <v>0</v>
      </c>
      <c r="V183" s="1952"/>
      <c r="X183" s="2140"/>
      <c r="Y183" s="1712"/>
      <c r="Z183" s="2119">
        <f t="shared" si="53"/>
        <v>0</v>
      </c>
      <c r="AA183" s="2119">
        <f t="shared" si="54"/>
        <v>0</v>
      </c>
      <c r="AB183" s="2119"/>
      <c r="AC183" s="2119"/>
    </row>
    <row r="184" spans="1:29" ht="13"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209.88425599999999</v>
      </c>
      <c r="P184" s="1973"/>
      <c r="Q184" s="1973">
        <f>SUBTOTAL(9,Q185:Q192)</f>
        <v>191.73435900000001</v>
      </c>
      <c r="R184" s="1973"/>
      <c r="S184" s="1973">
        <f>SUBTOTAL(9,S185:S192)</f>
        <v>18.149896999999985</v>
      </c>
      <c r="T184" s="1973">
        <f t="shared" si="51"/>
        <v>32.401583083760237</v>
      </c>
      <c r="U184" s="1973">
        <f t="shared" si="52"/>
        <v>35.468771451428815</v>
      </c>
      <c r="V184" s="1974"/>
      <c r="X184" s="2116"/>
      <c r="Y184" s="1973"/>
      <c r="Z184" s="2119">
        <f t="shared" si="53"/>
        <v>0</v>
      </c>
      <c r="AA184" s="2119">
        <f t="shared" si="54"/>
        <v>0</v>
      </c>
    </row>
    <row r="185" spans="1:29" s="1942" customFormat="1" ht="13"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209.88425599999999</v>
      </c>
      <c r="P185" s="1712"/>
      <c r="Q185" s="1712">
        <f>SUBTOTAL(9,Q186:Q190)</f>
        <v>191.73435900000001</v>
      </c>
      <c r="R185" s="1712"/>
      <c r="S185" s="1712">
        <f>SUBTOTAL(9,S186:S190)</f>
        <v>18.149896999999985</v>
      </c>
      <c r="T185" s="1712">
        <f t="shared" si="51"/>
        <v>32.401583083760237</v>
      </c>
      <c r="U185" s="1712">
        <f t="shared" si="52"/>
        <v>35.468771451428815</v>
      </c>
      <c r="V185" s="1952"/>
      <c r="X185" s="2099"/>
      <c r="Y185" s="1712"/>
      <c r="Z185" s="2119">
        <f t="shared" si="53"/>
        <v>0</v>
      </c>
      <c r="AA185" s="2119">
        <f t="shared" si="54"/>
        <v>0</v>
      </c>
      <c r="AB185" s="2119"/>
      <c r="AC185" s="2119"/>
    </row>
    <row r="186" spans="1:29" s="1942" customFormat="1" ht="12" customHeight="1" outlineLevel="3">
      <c r="A186" s="1944"/>
      <c r="B186" s="1978" t="s">
        <v>767</v>
      </c>
      <c r="C186" s="1810"/>
      <c r="D186" s="2038" t="s">
        <v>3732</v>
      </c>
      <c r="E186" s="1947" t="s">
        <v>3733</v>
      </c>
      <c r="F186" s="1462" t="s">
        <v>458</v>
      </c>
      <c r="G186" s="1953" t="s">
        <v>4164</v>
      </c>
      <c r="H186" s="1947" t="s">
        <v>10</v>
      </c>
      <c r="I186" s="1712">
        <f>$E$5</f>
        <v>59174.38</v>
      </c>
      <c r="J186" s="2147">
        <v>1</v>
      </c>
      <c r="K186" s="1947" t="s">
        <v>101</v>
      </c>
      <c r="L186" s="1947" t="s">
        <v>10</v>
      </c>
      <c r="M186" s="1754">
        <f t="shared" ref="M186:M202" si="67">ROUND(I186,2)*ROUND(J186,4)</f>
        <v>59174.38</v>
      </c>
      <c r="N186" s="1756">
        <v>12</v>
      </c>
      <c r="O186" s="1712">
        <f t="shared" ref="O186:O192" si="68">ROUND(M186*ROUND(N186,2)/10000,6)</f>
        <v>71.009255999999993</v>
      </c>
      <c r="P186" s="1712">
        <f t="shared" ref="P186:P192" si="69">IFERROR(ROUND(Q186*10000/M186,2),0)</f>
        <v>11.01</v>
      </c>
      <c r="Q186" s="1712">
        <f t="shared" ref="Q186:Q192" si="70">ROUND(O186/(1+R186),6)</f>
        <v>65.146106000000003</v>
      </c>
      <c r="R186" s="1757">
        <v>0.09</v>
      </c>
      <c r="S186" s="1712">
        <f t="shared" ref="S186:S192" si="71">O186-Q186</f>
        <v>5.8631499999999903</v>
      </c>
      <c r="T186" s="1712">
        <f t="shared" si="51"/>
        <v>11.009174240608859</v>
      </c>
      <c r="U186" s="1712">
        <f t="shared" si="52"/>
        <v>12</v>
      </c>
      <c r="V186" s="1952"/>
      <c r="X186" s="2099">
        <v>0</v>
      </c>
      <c r="Y186" s="1712"/>
      <c r="Z186" s="2119">
        <f t="shared" si="53"/>
        <v>1</v>
      </c>
      <c r="AA186" s="2119">
        <f t="shared" si="54"/>
        <v>12</v>
      </c>
      <c r="AB186" s="2119"/>
      <c r="AC186" s="2119"/>
    </row>
    <row r="187" spans="1:29" s="1942" customFormat="1" ht="12" customHeight="1" outlineLevel="3">
      <c r="A187" s="1944"/>
      <c r="B187" s="1978" t="s">
        <v>769</v>
      </c>
      <c r="C187" s="1810"/>
      <c r="D187" s="2038" t="s">
        <v>3734</v>
      </c>
      <c r="E187" s="1947" t="s">
        <v>3735</v>
      </c>
      <c r="F187" s="1462" t="s">
        <v>458</v>
      </c>
      <c r="G187" s="1953" t="s">
        <v>4164</v>
      </c>
      <c r="H187" s="1975" t="s">
        <v>3926</v>
      </c>
      <c r="I187" s="1712">
        <f>$G$7</f>
        <v>505</v>
      </c>
      <c r="J187" s="2147">
        <v>1</v>
      </c>
      <c r="K187" s="1950" t="s">
        <v>3947</v>
      </c>
      <c r="L187" s="1947" t="s">
        <v>3926</v>
      </c>
      <c r="M187" s="1754">
        <f t="shared" si="67"/>
        <v>505</v>
      </c>
      <c r="N187" s="1756">
        <v>500</v>
      </c>
      <c r="O187" s="1712">
        <f t="shared" si="68"/>
        <v>25.25</v>
      </c>
      <c r="P187" s="1712">
        <f t="shared" si="69"/>
        <v>458.72</v>
      </c>
      <c r="Q187" s="1712">
        <f t="shared" si="70"/>
        <v>23.165137999999999</v>
      </c>
      <c r="R187" s="1757">
        <v>0.09</v>
      </c>
      <c r="S187" s="1712">
        <f t="shared" si="71"/>
        <v>2.0848620000000011</v>
      </c>
      <c r="T187" s="1712">
        <f t="shared" si="51"/>
        <v>3.9147242438366061</v>
      </c>
      <c r="U187" s="1712">
        <f t="shared" si="52"/>
        <v>4.2670493548052386</v>
      </c>
      <c r="V187" s="1952"/>
      <c r="X187" s="2099">
        <v>1</v>
      </c>
      <c r="Y187" s="1712">
        <v>500</v>
      </c>
      <c r="Z187" s="2119">
        <f t="shared" si="53"/>
        <v>0</v>
      </c>
      <c r="AA187" s="2119">
        <f t="shared" si="54"/>
        <v>0</v>
      </c>
      <c r="AB187" s="2119"/>
      <c r="AC187" s="2119"/>
    </row>
    <row r="188" spans="1:29" s="1942" customFormat="1" ht="12" customHeight="1" outlineLevel="3">
      <c r="A188" s="1944"/>
      <c r="B188" s="1978" t="s">
        <v>770</v>
      </c>
      <c r="C188" s="1810"/>
      <c r="D188" s="2038" t="s">
        <v>771</v>
      </c>
      <c r="E188" s="1947" t="s">
        <v>3737</v>
      </c>
      <c r="F188" s="1462" t="s">
        <v>3738</v>
      </c>
      <c r="G188" s="1953" t="s">
        <v>4166</v>
      </c>
      <c r="H188" s="1975" t="s">
        <v>3926</v>
      </c>
      <c r="I188" s="1712">
        <f>$G$7</f>
        <v>505</v>
      </c>
      <c r="J188" s="2147">
        <v>1</v>
      </c>
      <c r="K188" s="1950" t="s">
        <v>3947</v>
      </c>
      <c r="L188" s="1947" t="s">
        <v>3926</v>
      </c>
      <c r="M188" s="1754">
        <f t="shared" si="67"/>
        <v>505</v>
      </c>
      <c r="N188" s="1756">
        <v>1750</v>
      </c>
      <c r="O188" s="1712">
        <f t="shared" si="68"/>
        <v>88.375</v>
      </c>
      <c r="P188" s="1712">
        <f t="shared" si="69"/>
        <v>1605.5</v>
      </c>
      <c r="Q188" s="1712">
        <f t="shared" si="70"/>
        <v>81.077982000000006</v>
      </c>
      <c r="R188" s="1757">
        <v>0.09</v>
      </c>
      <c r="S188" s="1712">
        <f t="shared" si="71"/>
        <v>7.2970179999999942</v>
      </c>
      <c r="T188" s="1712">
        <f t="shared" si="51"/>
        <v>13.701534684436071</v>
      </c>
      <c r="U188" s="1712">
        <f t="shared" si="52"/>
        <v>14.934672741818336</v>
      </c>
      <c r="V188" s="1952"/>
      <c r="X188" s="2099">
        <v>1</v>
      </c>
      <c r="Y188" s="1712"/>
      <c r="Z188" s="2119">
        <f t="shared" si="53"/>
        <v>0</v>
      </c>
      <c r="AA188" s="2119">
        <f t="shared" si="54"/>
        <v>1750</v>
      </c>
      <c r="AB188" s="2119"/>
      <c r="AC188" s="2119"/>
    </row>
    <row r="189" spans="1:29" s="1942" customFormat="1" ht="12" customHeight="1" outlineLevel="3">
      <c r="A189" s="1944"/>
      <c r="B189" s="1978" t="s">
        <v>772</v>
      </c>
      <c r="C189" s="1810"/>
      <c r="D189" s="2038" t="s">
        <v>1598</v>
      </c>
      <c r="E189" s="1947" t="s">
        <v>3739</v>
      </c>
      <c r="F189" s="1462" t="s">
        <v>458</v>
      </c>
      <c r="G189" s="1953" t="s">
        <v>4164</v>
      </c>
      <c r="H189" s="1975" t="s">
        <v>3926</v>
      </c>
      <c r="I189" s="1712">
        <f>$G$7</f>
        <v>505</v>
      </c>
      <c r="J189" s="2099">
        <v>1</v>
      </c>
      <c r="K189" s="1950" t="s">
        <v>3947</v>
      </c>
      <c r="L189" s="1947" t="s">
        <v>3926</v>
      </c>
      <c r="M189" s="1754">
        <f t="shared" si="67"/>
        <v>505</v>
      </c>
      <c r="N189" s="1712"/>
      <c r="O189" s="1712">
        <f t="shared" si="68"/>
        <v>0</v>
      </c>
      <c r="P189" s="1712">
        <f t="shared" si="69"/>
        <v>0</v>
      </c>
      <c r="Q189" s="1712">
        <f t="shared" si="70"/>
        <v>0</v>
      </c>
      <c r="R189" s="1757">
        <v>0.09</v>
      </c>
      <c r="S189" s="1712">
        <f t="shared" si="71"/>
        <v>0</v>
      </c>
      <c r="T189" s="1712">
        <f t="shared" si="51"/>
        <v>0</v>
      </c>
      <c r="U189" s="1712">
        <f t="shared" si="52"/>
        <v>0</v>
      </c>
      <c r="V189" s="1952"/>
      <c r="X189" s="2099">
        <v>1</v>
      </c>
      <c r="Y189" s="1712"/>
      <c r="Z189" s="2119">
        <f t="shared" si="53"/>
        <v>0</v>
      </c>
      <c r="AA189" s="2119">
        <f t="shared" si="54"/>
        <v>0</v>
      </c>
      <c r="AB189" s="2119"/>
      <c r="AC189" s="2119"/>
    </row>
    <row r="190" spans="1:29" s="1942" customFormat="1" ht="12" customHeight="1" outlineLevel="3">
      <c r="A190" s="1944"/>
      <c r="B190" s="1978" t="s">
        <v>773</v>
      </c>
      <c r="C190" s="1810"/>
      <c r="D190" s="2038" t="s">
        <v>3740</v>
      </c>
      <c r="E190" s="1947" t="s">
        <v>3741</v>
      </c>
      <c r="F190" s="1462" t="s">
        <v>3742</v>
      </c>
      <c r="G190" s="1953" t="s">
        <v>4167</v>
      </c>
      <c r="H190" s="1975" t="s">
        <v>3926</v>
      </c>
      <c r="I190" s="1712">
        <f>$G$7</f>
        <v>505</v>
      </c>
      <c r="J190" s="2147">
        <v>1</v>
      </c>
      <c r="K190" s="1950" t="s">
        <v>3947</v>
      </c>
      <c r="L190" s="1947" t="s">
        <v>3926</v>
      </c>
      <c r="M190" s="1754">
        <f t="shared" si="67"/>
        <v>505</v>
      </c>
      <c r="N190" s="1756">
        <v>500</v>
      </c>
      <c r="O190" s="1712">
        <f t="shared" si="68"/>
        <v>25.25</v>
      </c>
      <c r="P190" s="1712">
        <f t="shared" si="69"/>
        <v>442.48</v>
      </c>
      <c r="Q190" s="1712">
        <f t="shared" si="70"/>
        <v>22.345133000000001</v>
      </c>
      <c r="R190" s="1757">
        <v>0.13</v>
      </c>
      <c r="S190" s="1712">
        <f t="shared" si="71"/>
        <v>2.9048669999999994</v>
      </c>
      <c r="T190" s="1712">
        <f t="shared" si="51"/>
        <v>3.7761499148787032</v>
      </c>
      <c r="U190" s="1712">
        <f t="shared" si="52"/>
        <v>4.2670493548052386</v>
      </c>
      <c r="V190" s="1952"/>
      <c r="X190" s="2099">
        <v>1</v>
      </c>
      <c r="Y190" s="1712"/>
      <c r="Z190" s="2119">
        <f t="shared" si="53"/>
        <v>0</v>
      </c>
      <c r="AA190" s="2119">
        <f t="shared" si="54"/>
        <v>500</v>
      </c>
      <c r="AB190" s="2119"/>
      <c r="AC190" s="2119"/>
    </row>
    <row r="191" spans="1:29" s="1942" customFormat="1" ht="13" outlineLevel="2">
      <c r="A191" s="1944"/>
      <c r="B191" s="1978" t="s">
        <v>777</v>
      </c>
      <c r="C191" s="1810"/>
      <c r="D191" s="2038" t="s">
        <v>814</v>
      </c>
      <c r="E191" s="1947" t="s">
        <v>3743</v>
      </c>
      <c r="F191" s="1462" t="s">
        <v>458</v>
      </c>
      <c r="G191" s="1953" t="s">
        <v>4164</v>
      </c>
      <c r="H191" s="1975" t="s">
        <v>10</v>
      </c>
      <c r="I191" s="1712">
        <f>$E$5</f>
        <v>59174.38</v>
      </c>
      <c r="J191" s="2135"/>
      <c r="K191" s="1950" t="s">
        <v>101</v>
      </c>
      <c r="L191" s="1947" t="s">
        <v>10</v>
      </c>
      <c r="M191" s="1754">
        <f t="shared" si="67"/>
        <v>0</v>
      </c>
      <c r="N191" s="1712"/>
      <c r="O191" s="1712">
        <f t="shared" si="68"/>
        <v>0</v>
      </c>
      <c r="P191" s="1712">
        <f t="shared" si="69"/>
        <v>0</v>
      </c>
      <c r="Q191" s="1712">
        <f t="shared" si="70"/>
        <v>0</v>
      </c>
      <c r="R191" s="1757">
        <v>0.09</v>
      </c>
      <c r="S191" s="1712">
        <f t="shared" si="71"/>
        <v>0</v>
      </c>
      <c r="T191" s="1712">
        <f t="shared" si="51"/>
        <v>0</v>
      </c>
      <c r="U191" s="1712">
        <f t="shared" si="52"/>
        <v>0</v>
      </c>
      <c r="V191" s="1952"/>
      <c r="X191" s="2135"/>
      <c r="Y191" s="1712"/>
      <c r="Z191" s="2119">
        <f t="shared" si="53"/>
        <v>0</v>
      </c>
      <c r="AA191" s="2119">
        <f t="shared" si="54"/>
        <v>0</v>
      </c>
      <c r="AB191" s="2119"/>
      <c r="AC191" s="2119"/>
    </row>
    <row r="192" spans="1:29" s="1942" customFormat="1" ht="13" outlineLevel="2">
      <c r="A192" s="1944"/>
      <c r="B192" s="1978" t="s">
        <v>778</v>
      </c>
      <c r="C192" s="1810"/>
      <c r="D192" s="2038" t="s">
        <v>815</v>
      </c>
      <c r="E192" s="1947" t="s">
        <v>3744</v>
      </c>
      <c r="F192" s="1462" t="s">
        <v>458</v>
      </c>
      <c r="G192" s="1953" t="s">
        <v>4164</v>
      </c>
      <c r="H192" s="1975" t="s">
        <v>10</v>
      </c>
      <c r="I192" s="1712">
        <f>$E$5</f>
        <v>59174.38</v>
      </c>
      <c r="J192" s="2135"/>
      <c r="K192" s="1950" t="s">
        <v>101</v>
      </c>
      <c r="L192" s="1947" t="s">
        <v>10</v>
      </c>
      <c r="M192" s="1754">
        <f t="shared" si="67"/>
        <v>0</v>
      </c>
      <c r="N192" s="1712"/>
      <c r="O192" s="1712">
        <f t="shared" si="68"/>
        <v>0</v>
      </c>
      <c r="P192" s="1712">
        <f t="shared" si="69"/>
        <v>0</v>
      </c>
      <c r="Q192" s="1712">
        <f t="shared" si="70"/>
        <v>0</v>
      </c>
      <c r="R192" s="1757">
        <v>0.09</v>
      </c>
      <c r="S192" s="1712">
        <f t="shared" si="71"/>
        <v>0</v>
      </c>
      <c r="T192" s="1712">
        <f t="shared" si="51"/>
        <v>0</v>
      </c>
      <c r="U192" s="1712">
        <f t="shared" si="52"/>
        <v>0</v>
      </c>
      <c r="V192" s="1952"/>
      <c r="X192" s="2135"/>
      <c r="Y192" s="1712"/>
      <c r="Z192" s="2119">
        <f t="shared" si="53"/>
        <v>0</v>
      </c>
      <c r="AA192" s="2119">
        <f t="shared" si="54"/>
        <v>0</v>
      </c>
      <c r="AB192" s="2119"/>
      <c r="AC192" s="2119"/>
    </row>
    <row r="193" spans="1:29" ht="13"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151.5</v>
      </c>
      <c r="P193" s="1973"/>
      <c r="Q193" s="1973">
        <f>SUBTOTAL(9,Q194:Q202)</f>
        <v>134.070796</v>
      </c>
      <c r="R193" s="1973"/>
      <c r="S193" s="1973">
        <f>SUBTOTAL(9,S194:S202)</f>
        <v>17.429203999999999</v>
      </c>
      <c r="T193" s="1973">
        <f t="shared" si="51"/>
        <v>22.656899151288108</v>
      </c>
      <c r="U193" s="1973">
        <f t="shared" si="52"/>
        <v>25.60229612883143</v>
      </c>
      <c r="V193" s="1974"/>
      <c r="X193" s="2116"/>
      <c r="Y193" s="1973"/>
      <c r="Z193" s="2119">
        <f t="shared" si="53"/>
        <v>0</v>
      </c>
      <c r="AA193" s="2119">
        <f t="shared" si="54"/>
        <v>0</v>
      </c>
    </row>
    <row r="194" spans="1:29" s="1942" customFormat="1" ht="13" outlineLevel="2">
      <c r="A194" s="1944"/>
      <c r="B194" s="1807" t="s">
        <v>1600</v>
      </c>
      <c r="C194" s="1808"/>
      <c r="D194" s="2008" t="s">
        <v>3745</v>
      </c>
      <c r="E194" s="2009" t="s">
        <v>3746</v>
      </c>
      <c r="F194" s="1462" t="s">
        <v>461</v>
      </c>
      <c r="G194" s="1953" t="s">
        <v>4168</v>
      </c>
      <c r="H194" s="1975" t="s">
        <v>3926</v>
      </c>
      <c r="I194" s="1712">
        <f>$G$7</f>
        <v>505</v>
      </c>
      <c r="J194" s="2147">
        <v>1</v>
      </c>
      <c r="K194" s="1950" t="s">
        <v>3947</v>
      </c>
      <c r="L194" s="1947" t="s">
        <v>3926</v>
      </c>
      <c r="M194" s="1754">
        <f t="shared" si="67"/>
        <v>505</v>
      </c>
      <c r="N194" s="1756">
        <v>200</v>
      </c>
      <c r="O194" s="1712">
        <f t="shared" ref="O194:O202" si="72">ROUND(M194*ROUND(N194,2)/10000,6)</f>
        <v>10.1</v>
      </c>
      <c r="P194" s="1712">
        <f t="shared" ref="P194:P202" si="73">IFERROR(ROUND(Q194*10000/M194,2),0)</f>
        <v>176.99</v>
      </c>
      <c r="Q194" s="1712">
        <f t="shared" ref="Q194:Q202" si="74">ROUND(O194/(1+R194),6)</f>
        <v>8.938053</v>
      </c>
      <c r="R194" s="1757">
        <v>0.13</v>
      </c>
      <c r="S194" s="1712">
        <f t="shared" ref="S194:S202" si="75">O194-Q194</f>
        <v>1.1619469999999996</v>
      </c>
      <c r="T194" s="1712">
        <f t="shared" si="51"/>
        <v>1.5104599321530703</v>
      </c>
      <c r="U194" s="1712">
        <f t="shared" si="52"/>
        <v>1.7068197419220954</v>
      </c>
      <c r="V194" s="1952"/>
      <c r="X194" s="2099">
        <v>1</v>
      </c>
      <c r="Y194" s="1712"/>
      <c r="Z194" s="2119">
        <f t="shared" si="53"/>
        <v>0</v>
      </c>
      <c r="AA194" s="2119">
        <f t="shared" si="54"/>
        <v>200</v>
      </c>
      <c r="AB194" s="2119"/>
      <c r="AC194" s="2119"/>
    </row>
    <row r="195" spans="1:29" s="1942" customFormat="1" ht="13" outlineLevel="2">
      <c r="A195" s="1944"/>
      <c r="B195" s="1807" t="s">
        <v>1601</v>
      </c>
      <c r="C195" s="1808"/>
      <c r="D195" s="2008" t="s">
        <v>94</v>
      </c>
      <c r="E195" s="2009" t="s">
        <v>3747</v>
      </c>
      <c r="F195" s="1462" t="s">
        <v>1602</v>
      </c>
      <c r="G195" s="1953" t="s">
        <v>4169</v>
      </c>
      <c r="H195" s="1975" t="s">
        <v>3926</v>
      </c>
      <c r="I195" s="1712">
        <f>$G$7</f>
        <v>505</v>
      </c>
      <c r="J195" s="2147">
        <v>1</v>
      </c>
      <c r="K195" s="1950" t="s">
        <v>3947</v>
      </c>
      <c r="L195" s="1947" t="s">
        <v>3926</v>
      </c>
      <c r="M195" s="1754">
        <f t="shared" si="67"/>
        <v>505</v>
      </c>
      <c r="N195" s="1756">
        <v>2800</v>
      </c>
      <c r="O195" s="1712">
        <f t="shared" si="72"/>
        <v>141.4</v>
      </c>
      <c r="P195" s="1712">
        <f t="shared" si="73"/>
        <v>2477.88</v>
      </c>
      <c r="Q195" s="1712">
        <f t="shared" si="74"/>
        <v>125.132743</v>
      </c>
      <c r="R195" s="1757">
        <v>0.13</v>
      </c>
      <c r="S195" s="1712">
        <f t="shared" si="75"/>
        <v>16.267257000000001</v>
      </c>
      <c r="T195" s="1712">
        <f t="shared" si="51"/>
        <v>21.146439219135036</v>
      </c>
      <c r="U195" s="1712">
        <f t="shared" si="52"/>
        <v>23.895476386909337</v>
      </c>
      <c r="V195" s="1952"/>
      <c r="X195" s="2099">
        <v>1</v>
      </c>
      <c r="Y195" s="1712"/>
      <c r="Z195" s="2119">
        <f t="shared" si="53"/>
        <v>0</v>
      </c>
      <c r="AA195" s="2119">
        <f t="shared" si="54"/>
        <v>2800</v>
      </c>
      <c r="AB195" s="2119"/>
      <c r="AC195" s="2119"/>
    </row>
    <row r="196" spans="1:29" s="1942" customFormat="1" ht="13" outlineLevel="2">
      <c r="A196" s="1944"/>
      <c r="B196" s="1807" t="s">
        <v>779</v>
      </c>
      <c r="C196" s="1808"/>
      <c r="D196" s="2008" t="s">
        <v>3748</v>
      </c>
      <c r="E196" s="2009" t="s">
        <v>3749</v>
      </c>
      <c r="F196" s="1462" t="s">
        <v>3531</v>
      </c>
      <c r="G196" s="1953" t="s">
        <v>4140</v>
      </c>
      <c r="H196" s="1975" t="s">
        <v>10</v>
      </c>
      <c r="I196" s="1712">
        <f>$E$5</f>
        <v>59174.38</v>
      </c>
      <c r="J196" s="2099"/>
      <c r="K196" s="1950" t="s">
        <v>101</v>
      </c>
      <c r="L196" s="1947" t="s">
        <v>10</v>
      </c>
      <c r="M196" s="1754">
        <f t="shared" si="67"/>
        <v>0</v>
      </c>
      <c r="N196" s="1712"/>
      <c r="O196" s="1712">
        <f t="shared" si="72"/>
        <v>0</v>
      </c>
      <c r="P196" s="1712">
        <f t="shared" si="73"/>
        <v>0</v>
      </c>
      <c r="Q196" s="1712">
        <f t="shared" si="74"/>
        <v>0</v>
      </c>
      <c r="R196" s="1713">
        <v>0.13</v>
      </c>
      <c r="S196" s="1712">
        <f t="shared" si="75"/>
        <v>0</v>
      </c>
      <c r="T196" s="1712">
        <f t="shared" si="51"/>
        <v>0</v>
      </c>
      <c r="U196" s="1712">
        <f t="shared" si="52"/>
        <v>0</v>
      </c>
      <c r="V196" s="1952"/>
      <c r="X196" s="2139"/>
      <c r="Y196" s="1712"/>
      <c r="Z196" s="2119">
        <f t="shared" si="53"/>
        <v>0</v>
      </c>
      <c r="AA196" s="2119">
        <f t="shared" si="54"/>
        <v>0</v>
      </c>
      <c r="AB196" s="2119"/>
      <c r="AC196" s="2119"/>
    </row>
    <row r="197" spans="1:29" s="1942" customFormat="1" ht="13" outlineLevel="2">
      <c r="A197" s="1944"/>
      <c r="B197" s="1807" t="s">
        <v>780</v>
      </c>
      <c r="C197" s="1808"/>
      <c r="D197" s="2008" t="s">
        <v>95</v>
      </c>
      <c r="E197" s="2009" t="s">
        <v>3750</v>
      </c>
      <c r="F197" s="1462" t="s">
        <v>3531</v>
      </c>
      <c r="G197" s="1953" t="s">
        <v>4140</v>
      </c>
      <c r="H197" s="1975" t="s">
        <v>3926</v>
      </c>
      <c r="I197" s="1712">
        <f>$G$7</f>
        <v>505</v>
      </c>
      <c r="J197" s="2135"/>
      <c r="K197" s="1950" t="s">
        <v>3947</v>
      </c>
      <c r="L197" s="1947" t="s">
        <v>3926</v>
      </c>
      <c r="M197" s="1754">
        <f t="shared" si="67"/>
        <v>0</v>
      </c>
      <c r="N197" s="1712"/>
      <c r="O197" s="1712">
        <f t="shared" si="72"/>
        <v>0</v>
      </c>
      <c r="P197" s="1712">
        <f t="shared" si="73"/>
        <v>0</v>
      </c>
      <c r="Q197" s="1712">
        <f t="shared" si="74"/>
        <v>0</v>
      </c>
      <c r="R197" s="1713">
        <v>0.13</v>
      </c>
      <c r="S197" s="1712">
        <f t="shared" si="75"/>
        <v>0</v>
      </c>
      <c r="T197" s="1712">
        <f t="shared" si="51"/>
        <v>0</v>
      </c>
      <c r="U197" s="2043">
        <f t="shared" si="52"/>
        <v>0</v>
      </c>
      <c r="V197" s="1952"/>
      <c r="X197" s="2135"/>
      <c r="Y197" s="1712"/>
      <c r="Z197" s="2119">
        <f t="shared" si="53"/>
        <v>0</v>
      </c>
      <c r="AA197" s="2119">
        <f t="shared" si="54"/>
        <v>0</v>
      </c>
      <c r="AB197" s="2119"/>
      <c r="AC197" s="2119"/>
    </row>
    <row r="198" spans="1:29" s="1942" customFormat="1" ht="13" outlineLevel="2">
      <c r="A198" s="1944"/>
      <c r="B198" s="1807" t="s">
        <v>781</v>
      </c>
      <c r="C198" s="1808"/>
      <c r="D198" s="2008" t="s">
        <v>3751</v>
      </c>
      <c r="E198" s="2009" t="s">
        <v>3752</v>
      </c>
      <c r="F198" s="1462" t="s">
        <v>3531</v>
      </c>
      <c r="G198" s="1953" t="s">
        <v>4140</v>
      </c>
      <c r="H198" s="1975" t="s">
        <v>10</v>
      </c>
      <c r="I198" s="1712">
        <f>$E$5</f>
        <v>59174.38</v>
      </c>
      <c r="J198" s="2099"/>
      <c r="K198" s="1950" t="s">
        <v>101</v>
      </c>
      <c r="L198" s="1947" t="s">
        <v>10</v>
      </c>
      <c r="M198" s="1754">
        <f t="shared" si="67"/>
        <v>0</v>
      </c>
      <c r="N198" s="1712"/>
      <c r="O198" s="1712">
        <f t="shared" si="72"/>
        <v>0</v>
      </c>
      <c r="P198" s="1712">
        <f t="shared" si="73"/>
        <v>0</v>
      </c>
      <c r="Q198" s="1712">
        <f t="shared" si="74"/>
        <v>0</v>
      </c>
      <c r="R198" s="1713">
        <v>0.13</v>
      </c>
      <c r="S198" s="1712">
        <f t="shared" si="75"/>
        <v>0</v>
      </c>
      <c r="T198" s="1712">
        <f t="shared" si="51"/>
        <v>0</v>
      </c>
      <c r="U198" s="2043">
        <f t="shared" si="52"/>
        <v>0</v>
      </c>
      <c r="V198" s="1952"/>
      <c r="X198" s="2139"/>
      <c r="Y198" s="1712"/>
      <c r="Z198" s="2119">
        <f t="shared" si="53"/>
        <v>0</v>
      </c>
      <c r="AA198" s="2119">
        <f t="shared" si="54"/>
        <v>0</v>
      </c>
      <c r="AB198" s="2119"/>
      <c r="AC198" s="2119"/>
    </row>
    <row r="199" spans="1:29" s="1942" customFormat="1" ht="13" outlineLevel="2">
      <c r="A199" s="1944"/>
      <c r="B199" s="1807" t="s">
        <v>782</v>
      </c>
      <c r="C199" s="1808"/>
      <c r="D199" s="2008" t="s">
        <v>3753</v>
      </c>
      <c r="E199" s="2009" t="s">
        <v>3754</v>
      </c>
      <c r="F199" s="1462" t="s">
        <v>3531</v>
      </c>
      <c r="G199" s="1953" t="s">
        <v>4140</v>
      </c>
      <c r="H199" s="1975" t="s">
        <v>10</v>
      </c>
      <c r="I199" s="1948">
        <f>$E$5</f>
        <v>59174.38</v>
      </c>
      <c r="J199" s="2099"/>
      <c r="K199" s="1950" t="s">
        <v>101</v>
      </c>
      <c r="L199" s="1947" t="s">
        <v>10</v>
      </c>
      <c r="M199" s="1754">
        <f t="shared" si="67"/>
        <v>0</v>
      </c>
      <c r="N199" s="1712"/>
      <c r="O199" s="1712">
        <f t="shared" si="72"/>
        <v>0</v>
      </c>
      <c r="P199" s="1712">
        <f t="shared" si="73"/>
        <v>0</v>
      </c>
      <c r="Q199" s="1712">
        <f t="shared" si="74"/>
        <v>0</v>
      </c>
      <c r="R199" s="1713">
        <v>0.13</v>
      </c>
      <c r="S199" s="1712">
        <f t="shared" si="75"/>
        <v>0</v>
      </c>
      <c r="T199" s="1712">
        <f t="shared" si="51"/>
        <v>0</v>
      </c>
      <c r="U199" s="2043">
        <f t="shared" si="52"/>
        <v>0</v>
      </c>
      <c r="V199" s="1952"/>
      <c r="X199" s="2139"/>
      <c r="Y199" s="1712"/>
      <c r="Z199" s="2119">
        <f t="shared" si="53"/>
        <v>0</v>
      </c>
      <c r="AA199" s="2119">
        <f t="shared" si="54"/>
        <v>0</v>
      </c>
      <c r="AB199" s="2119"/>
      <c r="AC199" s="2119"/>
    </row>
    <row r="200" spans="1:29" s="1942" customFormat="1" ht="13" outlineLevel="2">
      <c r="A200" s="1944"/>
      <c r="B200" s="1807" t="s">
        <v>3755</v>
      </c>
      <c r="C200" s="1808"/>
      <c r="D200" s="2008" t="s">
        <v>3756</v>
      </c>
      <c r="E200" s="2009" t="s">
        <v>3757</v>
      </c>
      <c r="F200" s="1462" t="s">
        <v>3531</v>
      </c>
      <c r="G200" s="1953" t="s">
        <v>4140</v>
      </c>
      <c r="H200" s="1975" t="s">
        <v>10</v>
      </c>
      <c r="I200" s="1948">
        <f>$E$5</f>
        <v>59174.38</v>
      </c>
      <c r="J200" s="2099"/>
      <c r="K200" s="1950" t="s">
        <v>101</v>
      </c>
      <c r="L200" s="1947" t="s">
        <v>10</v>
      </c>
      <c r="M200" s="1754">
        <f t="shared" si="67"/>
        <v>0</v>
      </c>
      <c r="N200" s="1712"/>
      <c r="O200" s="1712">
        <f t="shared" si="72"/>
        <v>0</v>
      </c>
      <c r="P200" s="1712">
        <f t="shared" si="73"/>
        <v>0</v>
      </c>
      <c r="Q200" s="1712">
        <f t="shared" si="74"/>
        <v>0</v>
      </c>
      <c r="R200" s="1713">
        <v>0.13</v>
      </c>
      <c r="S200" s="1712">
        <f t="shared" si="75"/>
        <v>0</v>
      </c>
      <c r="T200" s="1712">
        <f t="shared" si="51"/>
        <v>0</v>
      </c>
      <c r="U200" s="2043">
        <f t="shared" si="52"/>
        <v>0</v>
      </c>
      <c r="V200" s="1952"/>
      <c r="X200" s="2139"/>
      <c r="Y200" s="1712"/>
      <c r="Z200" s="2119">
        <f t="shared" si="53"/>
        <v>0</v>
      </c>
      <c r="AA200" s="2119">
        <f t="shared" si="54"/>
        <v>0</v>
      </c>
      <c r="AB200" s="2119"/>
      <c r="AC200" s="2119"/>
    </row>
    <row r="201" spans="1:29" s="1942" customFormat="1" ht="13" outlineLevel="2">
      <c r="A201" s="1944"/>
      <c r="B201" s="1807" t="s">
        <v>3758</v>
      </c>
      <c r="C201" s="1808"/>
      <c r="D201" s="2008" t="s">
        <v>3759</v>
      </c>
      <c r="E201" s="2009" t="s">
        <v>3760</v>
      </c>
      <c r="F201" s="1462" t="s">
        <v>3531</v>
      </c>
      <c r="G201" s="1953" t="s">
        <v>4140</v>
      </c>
      <c r="H201" s="1975" t="s">
        <v>10</v>
      </c>
      <c r="I201" s="1948">
        <f>$E$5</f>
        <v>59174.38</v>
      </c>
      <c r="J201" s="2099"/>
      <c r="K201" s="1950" t="s">
        <v>101</v>
      </c>
      <c r="L201" s="1947" t="s">
        <v>10</v>
      </c>
      <c r="M201" s="1754">
        <f t="shared" si="67"/>
        <v>0</v>
      </c>
      <c r="N201" s="1712"/>
      <c r="O201" s="1712">
        <f t="shared" si="72"/>
        <v>0</v>
      </c>
      <c r="P201" s="1712">
        <f t="shared" si="73"/>
        <v>0</v>
      </c>
      <c r="Q201" s="1712">
        <f t="shared" si="74"/>
        <v>0</v>
      </c>
      <c r="R201" s="1713">
        <v>0.13</v>
      </c>
      <c r="S201" s="1712">
        <f t="shared" si="75"/>
        <v>0</v>
      </c>
      <c r="T201" s="1712">
        <f t="shared" si="51"/>
        <v>0</v>
      </c>
      <c r="U201" s="2043">
        <f t="shared" si="52"/>
        <v>0</v>
      </c>
      <c r="V201" s="1952"/>
      <c r="X201" s="2139"/>
      <c r="Y201" s="1712"/>
      <c r="Z201" s="2119">
        <f t="shared" si="53"/>
        <v>0</v>
      </c>
      <c r="AA201" s="2119">
        <f t="shared" si="54"/>
        <v>0</v>
      </c>
      <c r="AB201" s="2119"/>
      <c r="AC201" s="2119"/>
    </row>
    <row r="202" spans="1:29" s="1942" customFormat="1" ht="13.5" outlineLevel="2" thickBot="1">
      <c r="A202" s="1944"/>
      <c r="B202" s="2044" t="s">
        <v>3761</v>
      </c>
      <c r="C202" s="2045"/>
      <c r="D202" s="2046" t="s">
        <v>3762</v>
      </c>
      <c r="E202" s="2047" t="s">
        <v>3763</v>
      </c>
      <c r="F202" s="2048" t="s">
        <v>3531</v>
      </c>
      <c r="G202" s="2049" t="s">
        <v>4140</v>
      </c>
      <c r="H202" s="2050" t="s">
        <v>10</v>
      </c>
      <c r="I202" s="2051">
        <f>$E$5</f>
        <v>59174.38</v>
      </c>
      <c r="J202" s="2150"/>
      <c r="K202" s="2053" t="s">
        <v>101</v>
      </c>
      <c r="L202" s="2054" t="s">
        <v>10</v>
      </c>
      <c r="M202" s="2055">
        <f t="shared" si="67"/>
        <v>0</v>
      </c>
      <c r="N202" s="2057"/>
      <c r="O202" s="2057">
        <f t="shared" si="72"/>
        <v>0</v>
      </c>
      <c r="P202" s="2057">
        <f t="shared" si="73"/>
        <v>0</v>
      </c>
      <c r="Q202" s="2057">
        <f t="shared" si="74"/>
        <v>0</v>
      </c>
      <c r="R202" s="2058">
        <v>0.13</v>
      </c>
      <c r="S202" s="2057">
        <f t="shared" si="75"/>
        <v>0</v>
      </c>
      <c r="T202" s="2057">
        <f t="shared" si="51"/>
        <v>0</v>
      </c>
      <c r="U202" s="2059">
        <f t="shared" si="52"/>
        <v>0</v>
      </c>
      <c r="V202" s="2060"/>
      <c r="X202" s="2144"/>
      <c r="Y202" s="2057"/>
      <c r="Z202" s="2119">
        <f t="shared" si="53"/>
        <v>0</v>
      </c>
      <c r="AA202" s="2119">
        <f t="shared" si="54"/>
        <v>0</v>
      </c>
      <c r="AB202" s="2119"/>
      <c r="AC202" s="2119"/>
    </row>
    <row r="203" spans="1:29">
      <c r="O203" s="1902">
        <f>O11+O100+O126</f>
        <v>22208.710981999997</v>
      </c>
    </row>
    <row r="204" spans="1:29">
      <c r="O204" s="1902">
        <f>O203/E6*10000</f>
        <v>3753.0956778930336</v>
      </c>
    </row>
  </sheetData>
  <autoFilter ref="A10:AC204"/>
  <mergeCells count="24">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X9:X10"/>
    <mergeCell ref="Y9:Y10"/>
    <mergeCell ref="P9:P10"/>
    <mergeCell ref="Q9:Q10"/>
    <mergeCell ref="R9:R10"/>
    <mergeCell ref="S9:S10"/>
    <mergeCell ref="T9:T10"/>
    <mergeCell ref="U9:U10"/>
  </mergeCells>
  <phoneticPr fontId="19" type="noConversion"/>
  <conditionalFormatting sqref="B11:C11">
    <cfRule type="duplicateValues" dxfId="469" priority="10"/>
  </conditionalFormatting>
  <conditionalFormatting sqref="B12">
    <cfRule type="duplicateValues" dxfId="468" priority="11"/>
  </conditionalFormatting>
  <conditionalFormatting sqref="C12">
    <cfRule type="duplicateValues" dxfId="467" priority="9"/>
  </conditionalFormatting>
  <conditionalFormatting sqref="D14:F14">
    <cfRule type="duplicateValues" dxfId="466" priority="13"/>
  </conditionalFormatting>
  <conditionalFormatting sqref="B45">
    <cfRule type="duplicateValues" dxfId="465" priority="8"/>
  </conditionalFormatting>
  <conditionalFormatting sqref="C45">
    <cfRule type="duplicateValues" dxfId="464" priority="6"/>
  </conditionalFormatting>
  <conditionalFormatting sqref="D45:E45">
    <cfRule type="duplicateValues" dxfId="463" priority="7"/>
  </conditionalFormatting>
  <conditionalFormatting sqref="F45">
    <cfRule type="duplicateValues" dxfId="462" priority="14"/>
  </conditionalFormatting>
  <conditionalFormatting sqref="D46:E46">
    <cfRule type="duplicateValues" dxfId="461" priority="5"/>
  </conditionalFormatting>
  <conditionalFormatting sqref="D56:E56">
    <cfRule type="duplicateValues" dxfId="460" priority="4"/>
  </conditionalFormatting>
  <conditionalFormatting sqref="B100">
    <cfRule type="duplicateValues" dxfId="459" priority="3"/>
  </conditionalFormatting>
  <conditionalFormatting sqref="F101">
    <cfRule type="duplicateValues" dxfId="458" priority="15"/>
  </conditionalFormatting>
  <conditionalFormatting sqref="F120">
    <cfRule type="duplicateValues" dxfId="457" priority="21"/>
  </conditionalFormatting>
  <conditionalFormatting sqref="F124">
    <cfRule type="duplicateValues" dxfId="456" priority="16"/>
  </conditionalFormatting>
  <conditionalFormatting sqref="F125">
    <cfRule type="duplicateValues" dxfId="455" priority="17"/>
  </conditionalFormatting>
  <conditionalFormatting sqref="B126">
    <cfRule type="duplicateValues" dxfId="454" priority="1"/>
  </conditionalFormatting>
  <conditionalFormatting sqref="F127">
    <cfRule type="duplicateValues" dxfId="453" priority="18"/>
  </conditionalFormatting>
  <conditionalFormatting sqref="F170">
    <cfRule type="duplicateValues" dxfId="452" priority="19"/>
  </conditionalFormatting>
  <conditionalFormatting sqref="F184">
    <cfRule type="duplicateValues" dxfId="451" priority="20"/>
  </conditionalFormatting>
  <conditionalFormatting sqref="F193">
    <cfRule type="duplicateValues" dxfId="450" priority="22"/>
  </conditionalFormatting>
  <conditionalFormatting sqref="D11:G12">
    <cfRule type="duplicateValues" dxfId="449" priority="12"/>
  </conditionalFormatting>
  <conditionalFormatting sqref="G13:G14 D13:E13">
    <cfRule type="duplicateValues" dxfId="448" priority="2"/>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V231"/>
  <sheetViews>
    <sheetView zoomScale="70" zoomScaleNormal="70" workbookViewId="0">
      <pane xSplit="4" ySplit="10" topLeftCell="K11" activePane="bottomRight" state="frozen"/>
      <selection activeCell="D8" sqref="D8"/>
      <selection pane="topRight" activeCell="D8" sqref="D8"/>
      <selection pane="bottomLeft" activeCell="D8" sqref="D8"/>
      <selection pane="bottomRight" activeCell="P218" sqref="P218"/>
    </sheetView>
  </sheetViews>
  <sheetFormatPr defaultColWidth="10" defaultRowHeight="33.65" customHeight="1" outlineLevelRow="5"/>
  <cols>
    <col min="1" max="1" width="6.6640625" style="1942" customWidth="1"/>
    <col min="2" max="2" width="17.4140625" style="1899" customWidth="1"/>
    <col min="3" max="3" width="8.6640625" style="1664" customWidth="1"/>
    <col min="4" max="4" width="19.33203125" style="1784" customWidth="1"/>
    <col min="5" max="5" width="11.08203125" style="1656" customWidth="1"/>
    <col min="6" max="6" width="23.08203125" style="1900" customWidth="1"/>
    <col min="7" max="7" width="13.6640625" style="1900" customWidth="1"/>
    <col min="8" max="8" width="17" style="1656" customWidth="1"/>
    <col min="9" max="9" width="12.33203125" style="1895" customWidth="1"/>
    <col min="10" max="10" width="11.4140625" style="1902" customWidth="1"/>
    <col min="11" max="11" width="10" style="1900" customWidth="1"/>
    <col min="12" max="12" width="19.08203125" style="1656" customWidth="1"/>
    <col min="13" max="13" width="11.6640625" style="1900" customWidth="1"/>
    <col min="14" max="14" width="10.4140625" style="1900" customWidth="1"/>
    <col min="15" max="15" width="10.6640625" style="1902" customWidth="1"/>
    <col min="16" max="16" width="10.4140625" style="1902" customWidth="1"/>
    <col min="17" max="17" width="11.6640625" style="1902" customWidth="1"/>
    <col min="18" max="18" width="9.33203125" style="1902" customWidth="1"/>
    <col min="19" max="19" width="12" style="1903" customWidth="1"/>
    <col min="20" max="20" width="13.4140625" style="1902" customWidth="1"/>
    <col min="21" max="21" width="13.33203125" style="1902" customWidth="1"/>
    <col min="22" max="22" width="10.08203125" style="1902" customWidth="1"/>
    <col min="23" max="16384" width="10" style="1898"/>
  </cols>
  <sheetData>
    <row r="1" spans="1:22" ht="12"/>
    <row r="2" spans="1:22" ht="12.5" thickBot="1">
      <c r="D2" s="1904"/>
      <c r="E2" s="1693"/>
      <c r="F2" s="2450"/>
      <c r="G2" s="2450"/>
      <c r="H2" s="2450"/>
      <c r="I2" s="1905"/>
      <c r="K2" s="1898"/>
      <c r="L2" s="1906"/>
      <c r="O2" s="2094"/>
      <c r="P2" s="2109"/>
      <c r="Q2" s="2109"/>
      <c r="R2" s="1898"/>
      <c r="T2" s="1907"/>
      <c r="U2" s="1898"/>
      <c r="V2" s="1907"/>
    </row>
    <row r="3" spans="1:22" ht="12">
      <c r="C3" s="1908" t="s">
        <v>4001</v>
      </c>
      <c r="D3" s="1909" t="s">
        <v>106</v>
      </c>
      <c r="E3" s="1909" t="s">
        <v>1233</v>
      </c>
      <c r="F3" s="1910" t="s">
        <v>4002</v>
      </c>
      <c r="G3" s="1911">
        <f>+'全期规划指标 '!D30</f>
        <v>0</v>
      </c>
      <c r="H3" s="1910" t="s">
        <v>4003</v>
      </c>
      <c r="I3" s="2151"/>
      <c r="J3" s="2152" t="s">
        <v>4004</v>
      </c>
      <c r="K3" s="2153"/>
      <c r="L3" s="2154"/>
      <c r="M3" s="2155"/>
      <c r="N3" s="2156"/>
      <c r="O3" s="2157"/>
      <c r="P3" s="2156"/>
      <c r="Q3" s="2094"/>
      <c r="R3" s="1898"/>
      <c r="S3" s="1898"/>
      <c r="T3" s="1898"/>
      <c r="U3" s="1898"/>
      <c r="V3" s="1898"/>
    </row>
    <row r="4" spans="1:22" ht="12">
      <c r="C4" s="2412" t="s">
        <v>3916</v>
      </c>
      <c r="D4" s="1915" t="s">
        <v>9</v>
      </c>
      <c r="E4" s="1916">
        <f>+'全期规划指标 '!G30</f>
        <v>0</v>
      </c>
      <c r="F4" s="1917" t="s">
        <v>107</v>
      </c>
      <c r="G4" s="1916">
        <f>+'全期规划指标 '!F30</f>
        <v>0</v>
      </c>
      <c r="H4" s="1917" t="s">
        <v>4005</v>
      </c>
      <c r="I4" s="2158"/>
      <c r="J4" s="2159" t="s">
        <v>3115</v>
      </c>
      <c r="K4" s="2160">
        <v>1</v>
      </c>
      <c r="L4" s="2161"/>
      <c r="M4" s="2162"/>
      <c r="N4" s="2156"/>
      <c r="O4" s="2157"/>
      <c r="P4" s="2156"/>
      <c r="Q4" s="2094"/>
      <c r="R4" s="1898"/>
      <c r="S4" s="1898"/>
      <c r="T4" s="1898"/>
      <c r="U4" s="1898"/>
      <c r="V4" s="1898"/>
    </row>
    <row r="5" spans="1:22" ht="12">
      <c r="C5" s="2412"/>
      <c r="D5" s="1915" t="s">
        <v>10</v>
      </c>
      <c r="E5" s="1916">
        <f>+'全期规划指标 '!H30</f>
        <v>0</v>
      </c>
      <c r="F5" s="1917" t="s">
        <v>18</v>
      </c>
      <c r="G5" s="2163">
        <f>+'全期规划指标 '!Q30</f>
        <v>0</v>
      </c>
      <c r="H5" s="1917" t="s">
        <v>4006</v>
      </c>
      <c r="I5" s="2158"/>
      <c r="J5" s="2164" t="s">
        <v>3116</v>
      </c>
      <c r="K5" s="1924" t="s">
        <v>4115</v>
      </c>
      <c r="L5" s="1924"/>
      <c r="M5" s="1925"/>
      <c r="N5" s="1922"/>
      <c r="O5" s="2157"/>
      <c r="P5" s="1922"/>
      <c r="Q5" s="2094"/>
      <c r="R5" s="1898"/>
      <c r="S5" s="1898"/>
      <c r="T5" s="1898"/>
      <c r="U5" s="1898"/>
      <c r="V5" s="1898"/>
    </row>
    <row r="6" spans="1:22" ht="12">
      <c r="C6" s="2412"/>
      <c r="D6" s="1923" t="s">
        <v>20</v>
      </c>
      <c r="E6" s="1916">
        <f>+'全期规划指标 '!I30</f>
        <v>0</v>
      </c>
      <c r="F6" s="1917" t="s">
        <v>3923</v>
      </c>
      <c r="G6" s="2163">
        <f>+'全期规划指标 '!S30</f>
        <v>0</v>
      </c>
      <c r="H6" s="1917" t="s">
        <v>4007</v>
      </c>
      <c r="I6" s="2158"/>
      <c r="J6" s="2164"/>
      <c r="K6" s="1924"/>
      <c r="L6" s="1924"/>
      <c r="M6" s="1925"/>
      <c r="N6" s="1922"/>
      <c r="O6" s="2157"/>
      <c r="P6" s="1922"/>
      <c r="Q6" s="2094"/>
      <c r="R6" s="1898"/>
      <c r="S6" s="1898"/>
      <c r="T6" s="1898"/>
      <c r="U6" s="1898"/>
      <c r="V6" s="1898"/>
    </row>
    <row r="7" spans="1:22" ht="12.5" thickBot="1">
      <c r="C7" s="2413"/>
      <c r="D7" s="1926" t="s">
        <v>4008</v>
      </c>
      <c r="E7" s="1927">
        <v>0</v>
      </c>
      <c r="F7" s="1928" t="s">
        <v>3926</v>
      </c>
      <c r="G7" s="2165">
        <f>+'全期规划指标 '!R30</f>
        <v>0</v>
      </c>
      <c r="H7" s="1928" t="s">
        <v>4009</v>
      </c>
      <c r="I7" s="2166"/>
      <c r="J7" s="2167"/>
      <c r="K7" s="1931"/>
      <c r="L7" s="1931"/>
      <c r="M7" s="1932"/>
      <c r="N7" s="1933"/>
      <c r="O7" s="2157"/>
      <c r="P7" s="1933"/>
      <c r="Q7" s="2094"/>
      <c r="R7" s="1898"/>
      <c r="S7" s="1898"/>
      <c r="T7" s="1898"/>
      <c r="U7" s="1898"/>
      <c r="V7" s="1898"/>
    </row>
    <row r="8" spans="1:22" ht="12.5" thickBot="1">
      <c r="D8" s="1904"/>
      <c r="E8" s="1693"/>
      <c r="F8" s="1906"/>
      <c r="G8" s="1934"/>
      <c r="H8" s="1935"/>
      <c r="I8" s="1936"/>
      <c r="K8" s="1937"/>
      <c r="L8" s="1935"/>
      <c r="O8" s="1907"/>
      <c r="R8" s="1900"/>
      <c r="T8" s="1907"/>
      <c r="U8" s="1900"/>
      <c r="V8" s="1907"/>
    </row>
    <row r="9" spans="1:22" s="1938" customFormat="1" ht="20.5" customHeight="1">
      <c r="B9" s="2461" t="s">
        <v>3131</v>
      </c>
      <c r="C9" s="2463" t="s">
        <v>25</v>
      </c>
      <c r="D9" s="2453" t="s">
        <v>23</v>
      </c>
      <c r="E9" s="2453" t="s">
        <v>3927</v>
      </c>
      <c r="F9" s="2453" t="s">
        <v>444</v>
      </c>
      <c r="G9" s="2453" t="s">
        <v>3207</v>
      </c>
      <c r="H9" s="2453" t="s">
        <v>3929</v>
      </c>
      <c r="I9" s="2453"/>
      <c r="J9" s="2457"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row>
    <row r="10" spans="1:22" s="1938" customFormat="1" ht="17.5" customHeight="1">
      <c r="B10" s="2462"/>
      <c r="C10" s="2464"/>
      <c r="D10" s="2454"/>
      <c r="E10" s="2454"/>
      <c r="F10" s="2454"/>
      <c r="G10" s="2454"/>
      <c r="H10" s="1939" t="s">
        <v>13</v>
      </c>
      <c r="I10" s="1940" t="s">
        <v>3939</v>
      </c>
      <c r="J10" s="2458"/>
      <c r="K10" s="2449"/>
      <c r="L10" s="2454"/>
      <c r="M10" s="2449"/>
      <c r="N10" s="2426"/>
      <c r="O10" s="2449"/>
      <c r="P10" s="2449"/>
      <c r="Q10" s="2449"/>
      <c r="R10" s="2449"/>
      <c r="S10" s="2449"/>
      <c r="T10" s="2449"/>
      <c r="U10" s="2449"/>
      <c r="V10" s="2447"/>
    </row>
    <row r="11" spans="1:22" ht="12" collapsed="1">
      <c r="A11" s="1898"/>
      <c r="B11" s="1785" t="s">
        <v>537</v>
      </c>
      <c r="C11" s="1685" t="s">
        <v>28</v>
      </c>
      <c r="D11" s="1956" t="s">
        <v>486</v>
      </c>
      <c r="E11" s="1957"/>
      <c r="F11" s="1958"/>
      <c r="G11" s="1957"/>
      <c r="H11" s="1959"/>
      <c r="I11" s="1960"/>
      <c r="J11" s="2113"/>
      <c r="K11" s="1962"/>
      <c r="L11" s="1959"/>
      <c r="M11" s="1962"/>
      <c r="N11" s="1963"/>
      <c r="O11" s="1963">
        <f>SUBTOTAL(9,O12:O99)</f>
        <v>0</v>
      </c>
      <c r="P11" s="1963"/>
      <c r="Q11" s="1963">
        <f>SUBTOTAL(9,Q12:Q99)</f>
        <v>0</v>
      </c>
      <c r="R11" s="1963"/>
      <c r="S11" s="1963">
        <f>SUBTOTAL(9,S12:S99)</f>
        <v>0</v>
      </c>
      <c r="T11" s="1963" t="str">
        <f t="shared" ref="T11:T74" si="0">IFERROR(Q11*10000/$E$6,"")</f>
        <v/>
      </c>
      <c r="U11" s="1963" t="str">
        <f t="shared" ref="U11" si="1">IFERROR(O11*10000/$E$6,"")</f>
        <v/>
      </c>
      <c r="V11" s="1964"/>
    </row>
    <row r="12" spans="1:22" ht="12" hidden="1" outlineLevel="1">
      <c r="A12" s="1898"/>
      <c r="B12" s="1965" t="s">
        <v>487</v>
      </c>
      <c r="C12" s="1852">
        <v>1</v>
      </c>
      <c r="D12" s="1966" t="s">
        <v>650</v>
      </c>
      <c r="E12" s="1967"/>
      <c r="F12" s="1968"/>
      <c r="G12" s="1967"/>
      <c r="H12" s="1967"/>
      <c r="I12" s="1969"/>
      <c r="J12" s="2116"/>
      <c r="K12" s="1971"/>
      <c r="L12" s="1967"/>
      <c r="M12" s="1972"/>
      <c r="N12" s="1973" t="e">
        <f>O12/I15*10000</f>
        <v>#DIV/0!</v>
      </c>
      <c r="O12" s="1973">
        <f>SUBTOTAL(9,O13:O44)</f>
        <v>0</v>
      </c>
      <c r="P12" s="1973"/>
      <c r="Q12" s="1973">
        <f>SUBTOTAL(9,Q13:Q44)</f>
        <v>0</v>
      </c>
      <c r="R12" s="1973"/>
      <c r="S12" s="1973">
        <f>SUBTOTAL(9,S13:S44)</f>
        <v>0</v>
      </c>
      <c r="T12" s="1973" t="str">
        <f t="shared" si="0"/>
        <v/>
      </c>
      <c r="U12" s="1973" t="e">
        <f>+O12/$E$5*10000</f>
        <v>#DIV/0!</v>
      </c>
      <c r="V12" s="1974"/>
    </row>
    <row r="13" spans="1:22" s="1942" customFormat="1" ht="13" hidden="1" outlineLevel="2">
      <c r="A13" s="2006" t="s">
        <v>4011</v>
      </c>
      <c r="B13" s="1820" t="s">
        <v>651</v>
      </c>
      <c r="C13" s="1808"/>
      <c r="D13" s="1945" t="s">
        <v>3360</v>
      </c>
      <c r="E13" s="1946" t="s">
        <v>3361</v>
      </c>
      <c r="F13" s="1462" t="s">
        <v>3342</v>
      </c>
      <c r="G13" s="1946" t="s">
        <v>4116</v>
      </c>
      <c r="H13" s="1975" t="s">
        <v>9</v>
      </c>
      <c r="I13" s="1953">
        <f>$E$4</f>
        <v>0</v>
      </c>
      <c r="J13" s="2099">
        <v>1</v>
      </c>
      <c r="K13" s="1977" t="s">
        <v>103</v>
      </c>
      <c r="L13" s="1947" t="s">
        <v>4013</v>
      </c>
      <c r="M13" s="1754">
        <f>ROUND(I13,2)*ROUND(J13,4)</f>
        <v>0</v>
      </c>
      <c r="N13" s="2003">
        <v>60</v>
      </c>
      <c r="O13" s="1712">
        <f>ROUND(M13*ROUND(N13,2)/10000,6)</f>
        <v>0</v>
      </c>
      <c r="P13" s="1712">
        <f>IFERROR(ROUND(Q13*10000/M13,2),0)</f>
        <v>0</v>
      </c>
      <c r="Q13" s="1712">
        <f>ROUND(O13/(1+R13),6)</f>
        <v>0</v>
      </c>
      <c r="R13" s="1757">
        <v>0.09</v>
      </c>
      <c r="S13" s="1712">
        <f>O13-Q13</f>
        <v>0</v>
      </c>
      <c r="T13" s="1712" t="str">
        <f t="shared" si="0"/>
        <v/>
      </c>
      <c r="U13" s="1712" t="e">
        <f t="shared" ref="U13:U76" si="2">+O13/$E$5*10000</f>
        <v>#DIV/0!</v>
      </c>
      <c r="V13" s="1952"/>
    </row>
    <row r="14" spans="1:22" s="1942" customFormat="1" ht="13" hidden="1" outlineLevel="2">
      <c r="A14" s="1944"/>
      <c r="B14" s="1820" t="s">
        <v>655</v>
      </c>
      <c r="C14" s="1808"/>
      <c r="D14" s="1945" t="s">
        <v>488</v>
      </c>
      <c r="E14" s="1946"/>
      <c r="F14" s="1945"/>
      <c r="G14" s="1946" t="s">
        <v>4117</v>
      </c>
      <c r="H14" s="1947"/>
      <c r="I14" s="1948"/>
      <c r="J14" s="2099"/>
      <c r="K14" s="1950"/>
      <c r="L14" s="1947"/>
      <c r="M14" s="1754"/>
      <c r="N14" s="1712"/>
      <c r="O14" s="1712">
        <f>SUBTOTAL(9,O15:O43)</f>
        <v>0</v>
      </c>
      <c r="P14" s="1951"/>
      <c r="Q14" s="1712">
        <f>SUBTOTAL(9,Q15:Q43)</f>
        <v>0</v>
      </c>
      <c r="R14" s="1712"/>
      <c r="S14" s="1712">
        <f>SUBTOTAL(9,S15:S43)</f>
        <v>0</v>
      </c>
      <c r="T14" s="1712" t="str">
        <f t="shared" si="0"/>
        <v/>
      </c>
      <c r="U14" s="1712" t="e">
        <f t="shared" si="2"/>
        <v>#DIV/0!</v>
      </c>
      <c r="V14" s="1952"/>
    </row>
    <row r="15" spans="1:22" s="1942" customFormat="1" ht="12" hidden="1" customHeight="1" outlineLevel="3">
      <c r="A15" s="2006" t="s">
        <v>4011</v>
      </c>
      <c r="B15" s="1978" t="s">
        <v>1626</v>
      </c>
      <c r="C15" s="1810"/>
      <c r="D15" s="1979" t="s">
        <v>59</v>
      </c>
      <c r="E15" s="1980" t="s">
        <v>3362</v>
      </c>
      <c r="F15" s="1462" t="s">
        <v>3342</v>
      </c>
      <c r="G15" s="1953" t="s">
        <v>4116</v>
      </c>
      <c r="H15" s="1947" t="s">
        <v>10</v>
      </c>
      <c r="I15" s="1953">
        <f>$E$5</f>
        <v>0</v>
      </c>
      <c r="J15" s="2099">
        <v>0.5</v>
      </c>
      <c r="K15" s="1950" t="s">
        <v>103</v>
      </c>
      <c r="L15" s="1947" t="s">
        <v>4014</v>
      </c>
      <c r="M15" s="1754">
        <f>ROUND(I15,2)*ROUND(J15,4)</f>
        <v>0</v>
      </c>
      <c r="N15" s="1756">
        <v>619.27</v>
      </c>
      <c r="O15" s="1712">
        <f>ROUND(M15*ROUND(N15,2)/10000,6)</f>
        <v>0</v>
      </c>
      <c r="P15" s="1712">
        <f>IFERROR(ROUND(Q15*10000/M15,2),0)</f>
        <v>0</v>
      </c>
      <c r="Q15" s="1712">
        <f>ROUND(O15/(1+R15),6)</f>
        <v>0</v>
      </c>
      <c r="R15" s="1757">
        <v>0.09</v>
      </c>
      <c r="S15" s="1712">
        <f>O15-Q15</f>
        <v>0</v>
      </c>
      <c r="T15" s="1712" t="str">
        <f t="shared" si="0"/>
        <v/>
      </c>
      <c r="U15" s="1712" t="e">
        <f t="shared" si="2"/>
        <v>#DIV/0!</v>
      </c>
      <c r="V15" s="1952"/>
    </row>
    <row r="16" spans="1:22" s="1942" customFormat="1" ht="12" hidden="1" customHeight="1" outlineLevel="3">
      <c r="A16" s="2006" t="s">
        <v>4011</v>
      </c>
      <c r="B16" s="1978" t="s">
        <v>1482</v>
      </c>
      <c r="C16" s="1810"/>
      <c r="D16" s="1979" t="s">
        <v>658</v>
      </c>
      <c r="E16" s="1980" t="s">
        <v>3363</v>
      </c>
      <c r="F16" s="1462" t="s">
        <v>3342</v>
      </c>
      <c r="G16" s="1953" t="s">
        <v>4116</v>
      </c>
      <c r="H16" s="1947" t="s">
        <v>10</v>
      </c>
      <c r="I16" s="1953">
        <f t="shared" ref="I16:I18" si="3">$E$5</f>
        <v>0</v>
      </c>
      <c r="J16" s="2099">
        <v>61</v>
      </c>
      <c r="K16" s="1950" t="s">
        <v>104</v>
      </c>
      <c r="L16" s="1947" t="s">
        <v>4015</v>
      </c>
      <c r="M16" s="1754">
        <f t="shared" ref="M16:M44" si="4">ROUND(I16,2)*ROUND(J16,4)</f>
        <v>0</v>
      </c>
      <c r="N16" s="1756">
        <v>8.3662399999999995</v>
      </c>
      <c r="O16" s="1712">
        <f t="shared" ref="O16:O22" si="5">ROUND(M16*ROUND(N16,2)/10000,6)</f>
        <v>0</v>
      </c>
      <c r="P16" s="1712">
        <f t="shared" ref="P16:P22" si="6">IFERROR(ROUND(Q16*10000/M16,2),0)</f>
        <v>0</v>
      </c>
      <c r="Q16" s="1712">
        <f t="shared" ref="Q16:Q22" si="7">ROUND(O16/(1+R16),6)</f>
        <v>0</v>
      </c>
      <c r="R16" s="1757">
        <v>0.09</v>
      </c>
      <c r="S16" s="1712">
        <f>O16-Q16</f>
        <v>0</v>
      </c>
      <c r="T16" s="1712" t="str">
        <f t="shared" si="0"/>
        <v/>
      </c>
      <c r="U16" s="1712" t="e">
        <f t="shared" si="2"/>
        <v>#DIV/0!</v>
      </c>
      <c r="V16" s="1952"/>
    </row>
    <row r="17" spans="1:22" s="1942" customFormat="1" ht="12" hidden="1" customHeight="1" outlineLevel="3">
      <c r="A17" s="2006" t="s">
        <v>4011</v>
      </c>
      <c r="B17" s="1978" t="s">
        <v>1635</v>
      </c>
      <c r="C17" s="1810"/>
      <c r="D17" s="1979" t="s">
        <v>659</v>
      </c>
      <c r="E17" s="1980" t="s">
        <v>3364</v>
      </c>
      <c r="F17" s="1462" t="s">
        <v>3342</v>
      </c>
      <c r="G17" s="1953" t="s">
        <v>4116</v>
      </c>
      <c r="H17" s="1947" t="s">
        <v>10</v>
      </c>
      <c r="I17" s="1953">
        <f t="shared" si="3"/>
        <v>0</v>
      </c>
      <c r="J17" s="2099">
        <v>2.5</v>
      </c>
      <c r="K17" s="1950" t="s">
        <v>101</v>
      </c>
      <c r="L17" s="1947" t="s">
        <v>659</v>
      </c>
      <c r="M17" s="1754">
        <f t="shared" si="4"/>
        <v>0</v>
      </c>
      <c r="N17" s="1756">
        <v>92.95</v>
      </c>
      <c r="O17" s="1712">
        <f t="shared" si="5"/>
        <v>0</v>
      </c>
      <c r="P17" s="1712">
        <f t="shared" si="6"/>
        <v>0</v>
      </c>
      <c r="Q17" s="1712">
        <f t="shared" si="7"/>
        <v>0</v>
      </c>
      <c r="R17" s="1757">
        <v>0.09</v>
      </c>
      <c r="S17" s="1712">
        <f>O17-Q17</f>
        <v>0</v>
      </c>
      <c r="T17" s="1712" t="str">
        <f t="shared" si="0"/>
        <v/>
      </c>
      <c r="U17" s="1712" t="e">
        <f t="shared" si="2"/>
        <v>#DIV/0!</v>
      </c>
      <c r="V17" s="1952"/>
    </row>
    <row r="18" spans="1:22" s="1942" customFormat="1" ht="12" hidden="1" customHeight="1" outlineLevel="3">
      <c r="A18" s="1944"/>
      <c r="B18" s="1978" t="s">
        <v>1484</v>
      </c>
      <c r="C18" s="1810"/>
      <c r="D18" s="1979" t="s">
        <v>1636</v>
      </c>
      <c r="E18" s="1980" t="s">
        <v>3365</v>
      </c>
      <c r="F18" s="1462" t="s">
        <v>3342</v>
      </c>
      <c r="G18" s="1953" t="s">
        <v>4116</v>
      </c>
      <c r="H18" s="1947" t="s">
        <v>10</v>
      </c>
      <c r="I18" s="1953">
        <f t="shared" si="3"/>
        <v>0</v>
      </c>
      <c r="J18" s="2099">
        <v>0.15</v>
      </c>
      <c r="K18" s="1950" t="s">
        <v>103</v>
      </c>
      <c r="L18" s="1947" t="s">
        <v>4016</v>
      </c>
      <c r="M18" s="1754">
        <f t="shared" si="4"/>
        <v>0</v>
      </c>
      <c r="N18" s="1756">
        <v>1280</v>
      </c>
      <c r="O18" s="1712">
        <f t="shared" si="5"/>
        <v>0</v>
      </c>
      <c r="P18" s="1712">
        <f t="shared" si="6"/>
        <v>0</v>
      </c>
      <c r="Q18" s="1712">
        <f t="shared" si="7"/>
        <v>0</v>
      </c>
      <c r="R18" s="1757">
        <v>0.09</v>
      </c>
      <c r="S18" s="1712">
        <f>O18-Q18</f>
        <v>0</v>
      </c>
      <c r="T18" s="1712" t="str">
        <f t="shared" si="0"/>
        <v/>
      </c>
      <c r="U18" s="1712" t="e">
        <f t="shared" si="2"/>
        <v>#DIV/0!</v>
      </c>
      <c r="V18" s="1952"/>
    </row>
    <row r="19" spans="1:22" s="1942" customFormat="1" ht="19.25" hidden="1"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0</v>
      </c>
      <c r="P19" s="1983"/>
      <c r="Q19" s="1712">
        <f>SUBTOTAL(9,Q20:Q21)</f>
        <v>0</v>
      </c>
      <c r="R19" s="1757"/>
      <c r="S19" s="1712">
        <f>SUBTOTAL(9,S20:S21)</f>
        <v>0</v>
      </c>
      <c r="T19" s="1712" t="str">
        <f t="shared" si="0"/>
        <v/>
      </c>
      <c r="U19" s="1712" t="e">
        <f t="shared" si="2"/>
        <v>#DIV/0!</v>
      </c>
      <c r="V19" s="1952"/>
    </row>
    <row r="20" spans="1:22" s="1942" customFormat="1" ht="12" hidden="1" customHeight="1" outlineLevel="5">
      <c r="A20" s="1984"/>
      <c r="B20" s="1985" t="s">
        <v>4017</v>
      </c>
      <c r="C20" s="1828"/>
      <c r="D20" s="1986" t="s">
        <v>1487</v>
      </c>
      <c r="E20" s="1987"/>
      <c r="F20" s="1988" t="s">
        <v>3828</v>
      </c>
      <c r="G20" s="1989" t="s">
        <v>4118</v>
      </c>
      <c r="H20" s="1990" t="s">
        <v>10</v>
      </c>
      <c r="I20" s="1991">
        <f>$E$5</f>
        <v>0</v>
      </c>
      <c r="J20" s="2124">
        <v>0.5</v>
      </c>
      <c r="K20" s="1992" t="s">
        <v>101</v>
      </c>
      <c r="L20" s="1990" t="s">
        <v>4018</v>
      </c>
      <c r="M20" s="1991">
        <f t="shared" si="4"/>
        <v>0</v>
      </c>
      <c r="N20" s="1991">
        <v>53.0703125</v>
      </c>
      <c r="O20" s="1991">
        <f t="shared" si="5"/>
        <v>0</v>
      </c>
      <c r="P20" s="1991">
        <f t="shared" si="6"/>
        <v>0</v>
      </c>
      <c r="Q20" s="1991">
        <f t="shared" si="7"/>
        <v>0</v>
      </c>
      <c r="R20" s="1993">
        <v>0.13</v>
      </c>
      <c r="S20" s="1991">
        <f>O20-Q20</f>
        <v>0</v>
      </c>
      <c r="T20" s="1991" t="str">
        <f t="shared" si="0"/>
        <v/>
      </c>
      <c r="U20" s="1991" t="e">
        <f t="shared" si="2"/>
        <v>#DIV/0!</v>
      </c>
      <c r="V20" s="1994"/>
    </row>
    <row r="21" spans="1:22" s="1942" customFormat="1" ht="12" hidden="1" customHeight="1" outlineLevel="5">
      <c r="A21" s="1944"/>
      <c r="B21" s="1985" t="s">
        <v>4019</v>
      </c>
      <c r="C21" s="1828"/>
      <c r="D21" s="1986" t="s">
        <v>1639</v>
      </c>
      <c r="E21" s="1987"/>
      <c r="F21" s="1988" t="s">
        <v>3342</v>
      </c>
      <c r="G21" s="1989" t="s">
        <v>4116</v>
      </c>
      <c r="H21" s="1990" t="s">
        <v>10</v>
      </c>
      <c r="I21" s="1991">
        <f>$E$5</f>
        <v>0</v>
      </c>
      <c r="J21" s="2124">
        <v>0.5</v>
      </c>
      <c r="K21" s="1992" t="s">
        <v>101</v>
      </c>
      <c r="L21" s="1990" t="s">
        <v>4020</v>
      </c>
      <c r="M21" s="1991">
        <f t="shared" si="4"/>
        <v>0</v>
      </c>
      <c r="N21" s="1991">
        <v>83.16</v>
      </c>
      <c r="O21" s="1991">
        <f t="shared" si="5"/>
        <v>0</v>
      </c>
      <c r="P21" s="1991">
        <f t="shared" si="6"/>
        <v>0</v>
      </c>
      <c r="Q21" s="1991">
        <f t="shared" si="7"/>
        <v>0</v>
      </c>
      <c r="R21" s="1993">
        <v>0.09</v>
      </c>
      <c r="S21" s="1991">
        <f>O21-Q21</f>
        <v>0</v>
      </c>
      <c r="T21" s="1991" t="str">
        <f t="shared" si="0"/>
        <v/>
      </c>
      <c r="U21" s="1991" t="e">
        <f t="shared" si="2"/>
        <v>#DIV/0!</v>
      </c>
      <c r="V21" s="1994"/>
    </row>
    <row r="22" spans="1:22" s="1942" customFormat="1" ht="12" hidden="1" customHeight="1" outlineLevel="3">
      <c r="A22" s="1944"/>
      <c r="B22" s="1978" t="s">
        <v>1486</v>
      </c>
      <c r="C22" s="1810"/>
      <c r="D22" s="1979" t="s">
        <v>3369</v>
      </c>
      <c r="E22" s="1980" t="s">
        <v>3370</v>
      </c>
      <c r="F22" s="1462" t="s">
        <v>1493</v>
      </c>
      <c r="G22" s="1953" t="s">
        <v>4119</v>
      </c>
      <c r="H22" s="1947" t="s">
        <v>10</v>
      </c>
      <c r="I22" s="1948">
        <f>$E$5</f>
        <v>0</v>
      </c>
      <c r="J22" s="2168">
        <v>1.5</v>
      </c>
      <c r="K22" s="1950" t="s">
        <v>101</v>
      </c>
      <c r="L22" s="1947" t="s">
        <v>4021</v>
      </c>
      <c r="M22" s="1754">
        <f t="shared" si="4"/>
        <v>0</v>
      </c>
      <c r="N22" s="2169">
        <v>212</v>
      </c>
      <c r="O22" s="1712">
        <f t="shared" si="5"/>
        <v>0</v>
      </c>
      <c r="P22" s="1712">
        <f t="shared" si="6"/>
        <v>0</v>
      </c>
      <c r="Q22" s="1712">
        <f t="shared" si="7"/>
        <v>0</v>
      </c>
      <c r="R22" s="1757">
        <v>0.09</v>
      </c>
      <c r="S22" s="1712">
        <f>O22-Q22</f>
        <v>0</v>
      </c>
      <c r="T22" s="1712" t="str">
        <f t="shared" si="0"/>
        <v/>
      </c>
      <c r="U22" s="1712" t="e">
        <f t="shared" si="2"/>
        <v>#DIV/0!</v>
      </c>
      <c r="V22" s="1952"/>
    </row>
    <row r="23" spans="1:22" s="1942" customFormat="1" ht="12" hidden="1" customHeight="1" outlineLevel="3">
      <c r="A23" s="1944"/>
      <c r="B23" s="1978" t="s">
        <v>1640</v>
      </c>
      <c r="C23" s="1810"/>
      <c r="D23" s="1979" t="s">
        <v>386</v>
      </c>
      <c r="E23" s="1980"/>
      <c r="F23" s="1462"/>
      <c r="G23" s="1953" t="s">
        <v>4117</v>
      </c>
      <c r="H23" s="1947"/>
      <c r="I23" s="1948"/>
      <c r="J23" s="2099"/>
      <c r="K23" s="1950"/>
      <c r="L23" s="1947"/>
      <c r="M23" s="1754"/>
      <c r="N23" s="1712"/>
      <c r="O23" s="1712">
        <f>SUBTOTAL(9,O24:O32)</f>
        <v>0</v>
      </c>
      <c r="P23" s="1712"/>
      <c r="Q23" s="1712">
        <f>SUBTOTAL(9,Q24:Q32)</f>
        <v>0</v>
      </c>
      <c r="R23" s="1712"/>
      <c r="S23" s="1712">
        <f>SUBTOTAL(9,S24:S32)</f>
        <v>0</v>
      </c>
      <c r="T23" s="1712" t="str">
        <f t="shared" si="0"/>
        <v/>
      </c>
      <c r="U23" s="1712" t="e">
        <f t="shared" si="2"/>
        <v>#DIV/0!</v>
      </c>
      <c r="V23" s="1952"/>
    </row>
    <row r="24" spans="1:22" s="1942" customFormat="1" ht="12" hidden="1" customHeight="1" outlineLevel="4">
      <c r="A24" s="1944"/>
      <c r="B24" s="1978" t="s">
        <v>1642</v>
      </c>
      <c r="C24" s="1810"/>
      <c r="D24" s="1995" t="s">
        <v>3371</v>
      </c>
      <c r="E24" s="1996" t="s">
        <v>3372</v>
      </c>
      <c r="F24" s="1462" t="s">
        <v>3342</v>
      </c>
      <c r="G24" s="1953" t="s">
        <v>4116</v>
      </c>
      <c r="H24" s="1947" t="s">
        <v>10</v>
      </c>
      <c r="I24" s="1712">
        <f>$E$5</f>
        <v>0</v>
      </c>
      <c r="J24" s="2099">
        <v>0.7</v>
      </c>
      <c r="K24" s="1950" t="s">
        <v>101</v>
      </c>
      <c r="L24" s="1947" t="s">
        <v>4022</v>
      </c>
      <c r="M24" s="1754">
        <f t="shared" si="4"/>
        <v>0</v>
      </c>
      <c r="N24" s="2126">
        <v>80</v>
      </c>
      <c r="O24" s="1712">
        <f t="shared" ref="O24" si="8">ROUND(M24*ROUND(N24,2)/10000,6)</f>
        <v>0</v>
      </c>
      <c r="P24" s="1712">
        <f t="shared" ref="P24" si="9">IFERROR(ROUND(Q24*10000/M24,2),0)</f>
        <v>0</v>
      </c>
      <c r="Q24" s="1712">
        <f t="shared" ref="Q24" si="10">ROUND(O24/(1+R24),6)</f>
        <v>0</v>
      </c>
      <c r="R24" s="1757">
        <v>0.09</v>
      </c>
      <c r="S24" s="1712">
        <f>O24-Q24</f>
        <v>0</v>
      </c>
      <c r="T24" s="1712" t="str">
        <f t="shared" si="0"/>
        <v/>
      </c>
      <c r="U24" s="1712" t="e">
        <f t="shared" si="2"/>
        <v>#DIV/0!</v>
      </c>
      <c r="V24" s="1952"/>
    </row>
    <row r="25" spans="1:22" s="1942" customFormat="1" ht="12" hidden="1"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0</v>
      </c>
      <c r="P25" s="1983"/>
      <c r="Q25" s="1712">
        <f>SUBTOTAL(9,Q26:Q27)</f>
        <v>0</v>
      </c>
      <c r="R25" s="1757"/>
      <c r="S25" s="1712">
        <f>SUBTOTAL(9,S26:S27)</f>
        <v>0</v>
      </c>
      <c r="T25" s="1712" t="str">
        <f t="shared" si="0"/>
        <v/>
      </c>
      <c r="U25" s="1712" t="e">
        <f t="shared" si="2"/>
        <v>#DIV/0!</v>
      </c>
      <c r="V25" s="1952"/>
    </row>
    <row r="26" spans="1:22" s="1942" customFormat="1" ht="12" hidden="1" customHeight="1" outlineLevel="5">
      <c r="A26" s="2006" t="s">
        <v>4011</v>
      </c>
      <c r="B26" s="1985" t="s">
        <v>4024</v>
      </c>
      <c r="C26" s="1828"/>
      <c r="D26" s="1998" t="s">
        <v>4025</v>
      </c>
      <c r="E26" s="1999"/>
      <c r="F26" s="1988" t="s">
        <v>3342</v>
      </c>
      <c r="G26" s="1989" t="s">
        <v>4116</v>
      </c>
      <c r="H26" s="1990" t="s">
        <v>10</v>
      </c>
      <c r="I26" s="1991">
        <f>$E$5</f>
        <v>0</v>
      </c>
      <c r="J26" s="2124">
        <v>2.4</v>
      </c>
      <c r="K26" s="2000"/>
      <c r="L26" s="1990" t="s">
        <v>4026</v>
      </c>
      <c r="M26" s="1991">
        <f t="shared" si="4"/>
        <v>0</v>
      </c>
      <c r="N26" s="2127">
        <v>50.028514800000004</v>
      </c>
      <c r="O26" s="1991">
        <f t="shared" ref="O26:O32" si="11">ROUND(M26*ROUND(N26,2)/10000,6)</f>
        <v>0</v>
      </c>
      <c r="P26" s="1991">
        <f t="shared" ref="P26:P32" si="12">IFERROR(ROUND(Q26*10000/M26,2),0)</f>
        <v>0</v>
      </c>
      <c r="Q26" s="1991">
        <f t="shared" ref="Q26:Q32" si="13">ROUND(O26/(1+R26),6)</f>
        <v>0</v>
      </c>
      <c r="R26" s="1993">
        <v>0.09</v>
      </c>
      <c r="S26" s="1991">
        <f t="shared" ref="S26:S32" si="14">O26-Q26</f>
        <v>0</v>
      </c>
      <c r="T26" s="1991" t="str">
        <f t="shared" si="0"/>
        <v/>
      </c>
      <c r="U26" s="1991" t="e">
        <f t="shared" si="2"/>
        <v>#DIV/0!</v>
      </c>
      <c r="V26" s="1994"/>
    </row>
    <row r="27" spans="1:22" s="1942" customFormat="1" ht="12" hidden="1" customHeight="1" outlineLevel="5">
      <c r="A27" s="1944"/>
      <c r="B27" s="1985" t="s">
        <v>4027</v>
      </c>
      <c r="C27" s="1828"/>
      <c r="D27" s="1998" t="s">
        <v>4028</v>
      </c>
      <c r="E27" s="1999"/>
      <c r="F27" s="1988" t="s">
        <v>3829</v>
      </c>
      <c r="G27" s="1989" t="s">
        <v>4120</v>
      </c>
      <c r="H27" s="1990" t="s">
        <v>10</v>
      </c>
      <c r="I27" s="1991">
        <f>$E$5</f>
        <v>0</v>
      </c>
      <c r="J27" s="2124">
        <v>2.4</v>
      </c>
      <c r="K27" s="2000"/>
      <c r="L27" s="1990" t="s">
        <v>4029</v>
      </c>
      <c r="M27" s="1991">
        <f t="shared" si="4"/>
        <v>0</v>
      </c>
      <c r="N27" s="1991">
        <v>15</v>
      </c>
      <c r="O27" s="1991">
        <f t="shared" si="11"/>
        <v>0</v>
      </c>
      <c r="P27" s="1991">
        <f t="shared" si="12"/>
        <v>0</v>
      </c>
      <c r="Q27" s="1991">
        <f t="shared" si="13"/>
        <v>0</v>
      </c>
      <c r="R27" s="1993">
        <v>0.13</v>
      </c>
      <c r="S27" s="1991">
        <f t="shared" si="14"/>
        <v>0</v>
      </c>
      <c r="T27" s="1991" t="str">
        <f t="shared" si="0"/>
        <v/>
      </c>
      <c r="U27" s="1991" t="e">
        <f t="shared" si="2"/>
        <v>#DIV/0!</v>
      </c>
      <c r="V27" s="1994"/>
    </row>
    <row r="28" spans="1:22" s="1942" customFormat="1" ht="12" hidden="1" customHeight="1" outlineLevel="4">
      <c r="A28" s="1944"/>
      <c r="B28" s="1978" t="s">
        <v>1491</v>
      </c>
      <c r="C28" s="1810"/>
      <c r="D28" s="1995" t="s">
        <v>3375</v>
      </c>
      <c r="E28" s="1996" t="s">
        <v>3376</v>
      </c>
      <c r="F28" s="1462" t="s">
        <v>3342</v>
      </c>
      <c r="G28" s="1953" t="s">
        <v>4116</v>
      </c>
      <c r="H28" s="1947" t="s">
        <v>10</v>
      </c>
      <c r="I28" s="1712">
        <f t="shared" ref="I28:I44" si="15">$E$5</f>
        <v>0</v>
      </c>
      <c r="J28" s="2099">
        <v>1.2</v>
      </c>
      <c r="K28" s="1950" t="s">
        <v>101</v>
      </c>
      <c r="L28" s="1947" t="s">
        <v>4030</v>
      </c>
      <c r="M28" s="1754">
        <f t="shared" si="4"/>
        <v>0</v>
      </c>
      <c r="N28" s="1712">
        <v>15.963683152466499</v>
      </c>
      <c r="O28" s="1712">
        <f t="shared" si="11"/>
        <v>0</v>
      </c>
      <c r="P28" s="1712">
        <f t="shared" si="12"/>
        <v>0</v>
      </c>
      <c r="Q28" s="1712">
        <f t="shared" si="13"/>
        <v>0</v>
      </c>
      <c r="R28" s="1757">
        <v>0.09</v>
      </c>
      <c r="S28" s="1712">
        <f t="shared" si="14"/>
        <v>0</v>
      </c>
      <c r="T28" s="1712" t="str">
        <f t="shared" si="0"/>
        <v/>
      </c>
      <c r="U28" s="1712" t="e">
        <f t="shared" si="2"/>
        <v>#DIV/0!</v>
      </c>
      <c r="V28" s="1952"/>
    </row>
    <row r="29" spans="1:22" s="1942" customFormat="1" ht="12" hidden="1" customHeight="1" outlineLevel="4">
      <c r="A29" s="1944"/>
      <c r="B29" s="1978" t="s">
        <v>1492</v>
      </c>
      <c r="C29" s="1810"/>
      <c r="D29" s="1995" t="s">
        <v>3377</v>
      </c>
      <c r="E29" s="1996" t="s">
        <v>3378</v>
      </c>
      <c r="F29" s="1462" t="s">
        <v>3342</v>
      </c>
      <c r="G29" s="1953" t="s">
        <v>4116</v>
      </c>
      <c r="H29" s="1947" t="s">
        <v>10</v>
      </c>
      <c r="I29" s="1712">
        <f t="shared" si="15"/>
        <v>0</v>
      </c>
      <c r="J29" s="2099">
        <v>0.7</v>
      </c>
      <c r="K29" s="1950" t="s">
        <v>101</v>
      </c>
      <c r="L29" s="1947" t="s">
        <v>4031</v>
      </c>
      <c r="M29" s="1754">
        <f t="shared" si="4"/>
        <v>0</v>
      </c>
      <c r="N29" s="1712">
        <v>30</v>
      </c>
      <c r="O29" s="1712">
        <f t="shared" si="11"/>
        <v>0</v>
      </c>
      <c r="P29" s="1712">
        <f t="shared" si="12"/>
        <v>0</v>
      </c>
      <c r="Q29" s="1712">
        <f t="shared" si="13"/>
        <v>0</v>
      </c>
      <c r="R29" s="1757">
        <v>0.09</v>
      </c>
      <c r="S29" s="1712">
        <f t="shared" si="14"/>
        <v>0</v>
      </c>
      <c r="T29" s="1712" t="str">
        <f t="shared" si="0"/>
        <v/>
      </c>
      <c r="U29" s="1712" t="e">
        <f t="shared" si="2"/>
        <v>#DIV/0!</v>
      </c>
      <c r="V29" s="1952"/>
    </row>
    <row r="30" spans="1:22" s="1942" customFormat="1" ht="12" hidden="1" customHeight="1" outlineLevel="4">
      <c r="A30" s="1944"/>
      <c r="B30" s="1978" t="s">
        <v>3379</v>
      </c>
      <c r="C30" s="1810"/>
      <c r="D30" s="1995" t="s">
        <v>3380</v>
      </c>
      <c r="E30" s="1996" t="s">
        <v>3381</v>
      </c>
      <c r="F30" s="1462" t="s">
        <v>3342</v>
      </c>
      <c r="G30" s="1953" t="s">
        <v>4116</v>
      </c>
      <c r="H30" s="1947" t="s">
        <v>9</v>
      </c>
      <c r="I30" s="1712">
        <f>$E$4</f>
        <v>0</v>
      </c>
      <c r="J30" s="2099">
        <v>1.5</v>
      </c>
      <c r="K30" s="1950" t="s">
        <v>101</v>
      </c>
      <c r="L30" s="1947" t="s">
        <v>4032</v>
      </c>
      <c r="M30" s="1754">
        <f t="shared" si="4"/>
        <v>0</v>
      </c>
      <c r="N30" s="1712">
        <v>220.01889800000001</v>
      </c>
      <c r="O30" s="1712">
        <f t="shared" si="11"/>
        <v>0</v>
      </c>
      <c r="P30" s="1712">
        <f t="shared" si="12"/>
        <v>0</v>
      </c>
      <c r="Q30" s="1712">
        <f t="shared" si="13"/>
        <v>0</v>
      </c>
      <c r="R30" s="1757">
        <v>0.09</v>
      </c>
      <c r="S30" s="1712">
        <f t="shared" si="14"/>
        <v>0</v>
      </c>
      <c r="T30" s="1712" t="str">
        <f t="shared" si="0"/>
        <v/>
      </c>
      <c r="U30" s="1712" t="e">
        <f t="shared" si="2"/>
        <v>#DIV/0!</v>
      </c>
      <c r="V30" s="1952"/>
    </row>
    <row r="31" spans="1:22" s="1942" customFormat="1" ht="12" hidden="1"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4"/>
        <v>0</v>
      </c>
      <c r="N31" s="1712"/>
      <c r="O31" s="1712">
        <f t="shared" si="11"/>
        <v>0</v>
      </c>
      <c r="P31" s="1712">
        <f t="shared" si="12"/>
        <v>0</v>
      </c>
      <c r="Q31" s="1712">
        <f t="shared" si="13"/>
        <v>0</v>
      </c>
      <c r="R31" s="1757">
        <v>0.09</v>
      </c>
      <c r="S31" s="1712">
        <f t="shared" si="14"/>
        <v>0</v>
      </c>
      <c r="T31" s="1712" t="str">
        <f t="shared" si="0"/>
        <v/>
      </c>
      <c r="U31" s="1712" t="e">
        <f t="shared" si="2"/>
        <v>#DIV/0!</v>
      </c>
      <c r="V31" s="1952"/>
    </row>
    <row r="32" spans="1:22" s="1942" customFormat="1" ht="12" hidden="1"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4"/>
        <v>0</v>
      </c>
      <c r="N32" s="1712"/>
      <c r="O32" s="1712">
        <f t="shared" si="11"/>
        <v>0</v>
      </c>
      <c r="P32" s="1712">
        <f t="shared" si="12"/>
        <v>0</v>
      </c>
      <c r="Q32" s="1712">
        <f t="shared" si="13"/>
        <v>0</v>
      </c>
      <c r="R32" s="1757">
        <v>0.09</v>
      </c>
      <c r="S32" s="1712">
        <f t="shared" si="14"/>
        <v>0</v>
      </c>
      <c r="T32" s="1712" t="str">
        <f t="shared" si="0"/>
        <v/>
      </c>
      <c r="U32" s="1712" t="e">
        <f t="shared" si="2"/>
        <v>#DIV/0!</v>
      </c>
      <c r="V32" s="1952"/>
    </row>
    <row r="33" spans="1:22" s="1942" customFormat="1" ht="12" hidden="1" customHeight="1" outlineLevel="3">
      <c r="A33" s="1944"/>
      <c r="B33" s="1978" t="s">
        <v>1647</v>
      </c>
      <c r="C33" s="1810"/>
      <c r="D33" s="1995" t="s">
        <v>3388</v>
      </c>
      <c r="E33" s="1996"/>
      <c r="F33" s="1462"/>
      <c r="G33" s="1953" t="s">
        <v>4117</v>
      </c>
      <c r="H33" s="1947"/>
      <c r="I33" s="1948"/>
      <c r="J33" s="2099"/>
      <c r="K33" s="1950"/>
      <c r="L33" s="1947"/>
      <c r="M33" s="1754"/>
      <c r="N33" s="1712"/>
      <c r="O33" s="1712">
        <f>SUBTOTAL(9,O34:O38)</f>
        <v>0</v>
      </c>
      <c r="P33" s="2005"/>
      <c r="Q33" s="1712">
        <f>SUBTOTAL(9,Q34:Q38)</f>
        <v>0</v>
      </c>
      <c r="R33" s="2005"/>
      <c r="S33" s="1712">
        <f>SUBTOTAL(9,S34:S38)</f>
        <v>0</v>
      </c>
      <c r="T33" s="1712" t="str">
        <f t="shared" si="0"/>
        <v/>
      </c>
      <c r="U33" s="1712" t="e">
        <f t="shared" si="2"/>
        <v>#DIV/0!</v>
      </c>
      <c r="V33" s="1952"/>
    </row>
    <row r="34" spans="1:22" s="1942" customFormat="1" ht="12" hidden="1" customHeight="1" outlineLevel="4">
      <c r="A34" s="1944"/>
      <c r="B34" s="1978" t="s">
        <v>1649</v>
      </c>
      <c r="C34" s="1810"/>
      <c r="D34" s="1995" t="s">
        <v>1643</v>
      </c>
      <c r="E34" s="1996" t="s">
        <v>3389</v>
      </c>
      <c r="F34" s="1462" t="s">
        <v>3342</v>
      </c>
      <c r="G34" s="1953" t="s">
        <v>4116</v>
      </c>
      <c r="H34" s="1975" t="s">
        <v>10</v>
      </c>
      <c r="I34" s="1712">
        <f t="shared" si="15"/>
        <v>0</v>
      </c>
      <c r="J34" s="2099">
        <v>1</v>
      </c>
      <c r="K34" s="1950" t="s">
        <v>101</v>
      </c>
      <c r="L34" s="1947" t="s">
        <v>10</v>
      </c>
      <c r="M34" s="1754">
        <f t="shared" si="4"/>
        <v>0</v>
      </c>
      <c r="N34" s="2001">
        <v>64</v>
      </c>
      <c r="O34" s="1712">
        <f t="shared" ref="O34:O44" si="16">ROUND(M34*ROUND(N34,2)/10000,6)</f>
        <v>0</v>
      </c>
      <c r="P34" s="1712">
        <f t="shared" ref="P34:P44" si="17">IFERROR(ROUND(Q34*10000/M34,2),0)</f>
        <v>0</v>
      </c>
      <c r="Q34" s="1712">
        <f t="shared" ref="Q34:Q44" si="18">ROUND(O34/(1+R34),6)</f>
        <v>0</v>
      </c>
      <c r="R34" s="1757">
        <v>0.09</v>
      </c>
      <c r="S34" s="1712">
        <f t="shared" ref="S34:S44" si="19">O34-Q34</f>
        <v>0</v>
      </c>
      <c r="T34" s="1712" t="str">
        <f t="shared" si="0"/>
        <v/>
      </c>
      <c r="U34" s="1712" t="e">
        <f t="shared" si="2"/>
        <v>#DIV/0!</v>
      </c>
      <c r="V34" s="1952"/>
    </row>
    <row r="35" spans="1:22" s="1942" customFormat="1" ht="12" hidden="1" customHeight="1" outlineLevel="4">
      <c r="A35" s="1944" t="s">
        <v>4011</v>
      </c>
      <c r="B35" s="1978" t="s">
        <v>1494</v>
      </c>
      <c r="C35" s="1810"/>
      <c r="D35" s="1995" t="s">
        <v>1644</v>
      </c>
      <c r="E35" s="1996" t="s">
        <v>3390</v>
      </c>
      <c r="F35" s="1462" t="s">
        <v>3342</v>
      </c>
      <c r="G35" s="1953" t="s">
        <v>4116</v>
      </c>
      <c r="H35" s="1975" t="s">
        <v>10</v>
      </c>
      <c r="I35" s="1712">
        <f t="shared" si="15"/>
        <v>0</v>
      </c>
      <c r="J35" s="2099">
        <v>1</v>
      </c>
      <c r="K35" s="1950" t="s">
        <v>101</v>
      </c>
      <c r="L35" s="1947" t="s">
        <v>10</v>
      </c>
      <c r="M35" s="1754">
        <f t="shared" si="4"/>
        <v>0</v>
      </c>
      <c r="N35" s="2001">
        <v>100</v>
      </c>
      <c r="O35" s="1712">
        <f t="shared" si="16"/>
        <v>0</v>
      </c>
      <c r="P35" s="1712">
        <f t="shared" si="17"/>
        <v>0</v>
      </c>
      <c r="Q35" s="1712">
        <f t="shared" si="18"/>
        <v>0</v>
      </c>
      <c r="R35" s="1757">
        <v>0.09</v>
      </c>
      <c r="S35" s="1712">
        <f t="shared" si="19"/>
        <v>0</v>
      </c>
      <c r="T35" s="1712" t="str">
        <f t="shared" si="0"/>
        <v/>
      </c>
      <c r="U35" s="1712" t="e">
        <f t="shared" si="2"/>
        <v>#DIV/0!</v>
      </c>
      <c r="V35" s="1952"/>
    </row>
    <row r="36" spans="1:22" s="1942" customFormat="1" ht="12" hidden="1" customHeight="1" outlineLevel="4">
      <c r="A36" s="1944"/>
      <c r="B36" s="1978" t="s">
        <v>1495</v>
      </c>
      <c r="C36" s="1810"/>
      <c r="D36" s="1995" t="s">
        <v>1645</v>
      </c>
      <c r="E36" s="1996" t="s">
        <v>3391</v>
      </c>
      <c r="F36" s="1462" t="s">
        <v>3342</v>
      </c>
      <c r="G36" s="1953" t="s">
        <v>4116</v>
      </c>
      <c r="H36" s="1975" t="s">
        <v>10</v>
      </c>
      <c r="I36" s="1712">
        <f t="shared" si="15"/>
        <v>0</v>
      </c>
      <c r="J36" s="2099">
        <v>1</v>
      </c>
      <c r="K36" s="1950" t="s">
        <v>101</v>
      </c>
      <c r="L36" s="1947" t="s">
        <v>10</v>
      </c>
      <c r="M36" s="1754">
        <f t="shared" si="4"/>
        <v>0</v>
      </c>
      <c r="N36" s="1756">
        <v>1</v>
      </c>
      <c r="O36" s="1712">
        <f t="shared" si="16"/>
        <v>0</v>
      </c>
      <c r="P36" s="1712">
        <f t="shared" si="17"/>
        <v>0</v>
      </c>
      <c r="Q36" s="1712">
        <f t="shared" si="18"/>
        <v>0</v>
      </c>
      <c r="R36" s="1757">
        <v>0.09</v>
      </c>
      <c r="S36" s="1712">
        <f t="shared" si="19"/>
        <v>0</v>
      </c>
      <c r="T36" s="1712" t="str">
        <f t="shared" si="0"/>
        <v/>
      </c>
      <c r="U36" s="1712" t="e">
        <f t="shared" si="2"/>
        <v>#DIV/0!</v>
      </c>
      <c r="V36" s="1952"/>
    </row>
    <row r="37" spans="1:22" s="1942" customFormat="1" ht="12" hidden="1" customHeight="1" outlineLevel="4">
      <c r="A37" s="1944"/>
      <c r="B37" s="1978" t="s">
        <v>3392</v>
      </c>
      <c r="C37" s="1810"/>
      <c r="D37" s="1995" t="s">
        <v>1646</v>
      </c>
      <c r="E37" s="1996" t="s">
        <v>3393</v>
      </c>
      <c r="F37" s="1462" t="s">
        <v>3342</v>
      </c>
      <c r="G37" s="1953" t="s">
        <v>4116</v>
      </c>
      <c r="H37" s="1975" t="s">
        <v>10</v>
      </c>
      <c r="I37" s="1712">
        <f t="shared" si="15"/>
        <v>0</v>
      </c>
      <c r="J37" s="2099">
        <v>1</v>
      </c>
      <c r="K37" s="1950" t="s">
        <v>101</v>
      </c>
      <c r="L37" s="1947" t="s">
        <v>10</v>
      </c>
      <c r="M37" s="1754">
        <f t="shared" si="4"/>
        <v>0</v>
      </c>
      <c r="N37" s="1756">
        <v>61</v>
      </c>
      <c r="O37" s="1712">
        <f t="shared" si="16"/>
        <v>0</v>
      </c>
      <c r="P37" s="1712">
        <f t="shared" si="17"/>
        <v>0</v>
      </c>
      <c r="Q37" s="1712">
        <f t="shared" si="18"/>
        <v>0</v>
      </c>
      <c r="R37" s="1757">
        <v>0.09</v>
      </c>
      <c r="S37" s="1712">
        <f t="shared" si="19"/>
        <v>0</v>
      </c>
      <c r="T37" s="1712" t="str">
        <f t="shared" si="0"/>
        <v/>
      </c>
      <c r="U37" s="1712" t="e">
        <f t="shared" si="2"/>
        <v>#DIV/0!</v>
      </c>
      <c r="V37" s="1952"/>
    </row>
    <row r="38" spans="1:22" s="1942" customFormat="1" ht="12" hidden="1" customHeight="1" outlineLevel="4">
      <c r="A38" s="1944"/>
      <c r="B38" s="1978" t="s">
        <v>3394</v>
      </c>
      <c r="C38" s="1810"/>
      <c r="D38" s="1995" t="s">
        <v>3395</v>
      </c>
      <c r="E38" s="1996" t="s">
        <v>3396</v>
      </c>
      <c r="F38" s="1462" t="s">
        <v>3342</v>
      </c>
      <c r="G38" s="1953" t="s">
        <v>4116</v>
      </c>
      <c r="H38" s="1975" t="s">
        <v>10</v>
      </c>
      <c r="I38" s="1712">
        <f t="shared" si="15"/>
        <v>0</v>
      </c>
      <c r="J38" s="2099">
        <v>1</v>
      </c>
      <c r="K38" s="1950" t="s">
        <v>101</v>
      </c>
      <c r="L38" s="1947" t="s">
        <v>10</v>
      </c>
      <c r="M38" s="1754">
        <f t="shared" si="4"/>
        <v>0</v>
      </c>
      <c r="N38" s="1756">
        <v>30</v>
      </c>
      <c r="O38" s="1712">
        <f t="shared" si="16"/>
        <v>0</v>
      </c>
      <c r="P38" s="1712">
        <f t="shared" si="17"/>
        <v>0</v>
      </c>
      <c r="Q38" s="1712">
        <f t="shared" si="18"/>
        <v>0</v>
      </c>
      <c r="R38" s="1757">
        <v>0.09</v>
      </c>
      <c r="S38" s="1712">
        <f t="shared" si="19"/>
        <v>0</v>
      </c>
      <c r="T38" s="1712" t="str">
        <f t="shared" si="0"/>
        <v/>
      </c>
      <c r="U38" s="1712" t="e">
        <f t="shared" si="2"/>
        <v>#DIV/0!</v>
      </c>
      <c r="V38" s="1952"/>
    </row>
    <row r="39" spans="1:22" s="1942" customFormat="1" ht="12" hidden="1" customHeight="1" outlineLevel="3">
      <c r="A39" s="1944"/>
      <c r="B39" s="1978" t="s">
        <v>1653</v>
      </c>
      <c r="C39" s="1810"/>
      <c r="D39" s="1995" t="s">
        <v>3397</v>
      </c>
      <c r="E39" s="1996" t="s">
        <v>3398</v>
      </c>
      <c r="F39" s="1462" t="s">
        <v>3342</v>
      </c>
      <c r="G39" s="1953" t="s">
        <v>4116</v>
      </c>
      <c r="H39" s="1947" t="s">
        <v>10</v>
      </c>
      <c r="I39" s="1712">
        <f t="shared" si="15"/>
        <v>0</v>
      </c>
      <c r="J39" s="2099"/>
      <c r="K39" s="1950" t="s">
        <v>101</v>
      </c>
      <c r="L39" s="1947" t="s">
        <v>4035</v>
      </c>
      <c r="M39" s="1754">
        <f t="shared" si="4"/>
        <v>0</v>
      </c>
      <c r="N39" s="1712"/>
      <c r="O39" s="1712">
        <f t="shared" si="16"/>
        <v>0</v>
      </c>
      <c r="P39" s="1712">
        <f t="shared" si="17"/>
        <v>0</v>
      </c>
      <c r="Q39" s="1712">
        <f t="shared" si="18"/>
        <v>0</v>
      </c>
      <c r="R39" s="1757">
        <v>0.09</v>
      </c>
      <c r="S39" s="1712">
        <f t="shared" si="19"/>
        <v>0</v>
      </c>
      <c r="T39" s="1712" t="str">
        <f t="shared" si="0"/>
        <v/>
      </c>
      <c r="U39" s="1712" t="e">
        <f t="shared" si="2"/>
        <v>#DIV/0!</v>
      </c>
      <c r="V39" s="1952"/>
    </row>
    <row r="40" spans="1:22" s="1942" customFormat="1" ht="12" hidden="1" customHeight="1" outlineLevel="3">
      <c r="A40" s="1944"/>
      <c r="B40" s="1978" t="s">
        <v>1655</v>
      </c>
      <c r="C40" s="1810"/>
      <c r="D40" s="1995" t="s">
        <v>1656</v>
      </c>
      <c r="E40" s="1996" t="s">
        <v>3399</v>
      </c>
      <c r="F40" s="1462" t="s">
        <v>1606</v>
      </c>
      <c r="G40" s="1953" t="s">
        <v>4121</v>
      </c>
      <c r="H40" s="1947" t="s">
        <v>10</v>
      </c>
      <c r="I40" s="1712">
        <f t="shared" si="15"/>
        <v>0</v>
      </c>
      <c r="J40" s="2099"/>
      <c r="K40" s="1950" t="s">
        <v>101</v>
      </c>
      <c r="L40" s="1947" t="s">
        <v>10</v>
      </c>
      <c r="M40" s="1754">
        <f t="shared" si="4"/>
        <v>0</v>
      </c>
      <c r="N40" s="1712"/>
      <c r="O40" s="1712">
        <f t="shared" si="16"/>
        <v>0</v>
      </c>
      <c r="P40" s="1712">
        <f t="shared" si="17"/>
        <v>0</v>
      </c>
      <c r="Q40" s="1712">
        <f t="shared" si="18"/>
        <v>0</v>
      </c>
      <c r="R40" s="1757">
        <v>0.09</v>
      </c>
      <c r="S40" s="1712">
        <f t="shared" si="19"/>
        <v>0</v>
      </c>
      <c r="T40" s="1712" t="str">
        <f t="shared" si="0"/>
        <v/>
      </c>
      <c r="U40" s="1712" t="e">
        <f t="shared" si="2"/>
        <v>#DIV/0!</v>
      </c>
      <c r="V40" s="1952"/>
    </row>
    <row r="41" spans="1:22" s="1942" customFormat="1" ht="12" hidden="1" customHeight="1" outlineLevel="3">
      <c r="A41" s="1944" t="s">
        <v>4011</v>
      </c>
      <c r="B41" s="1978" t="s">
        <v>1657</v>
      </c>
      <c r="C41" s="1810"/>
      <c r="D41" s="1995" t="s">
        <v>3400</v>
      </c>
      <c r="E41" s="1996" t="s">
        <v>3401</v>
      </c>
      <c r="F41" s="1462" t="s">
        <v>3402</v>
      </c>
      <c r="G41" s="1953" t="s">
        <v>4122</v>
      </c>
      <c r="H41" s="1975" t="s">
        <v>10</v>
      </c>
      <c r="I41" s="1712">
        <f t="shared" si="15"/>
        <v>0</v>
      </c>
      <c r="J41" s="2099">
        <v>1</v>
      </c>
      <c r="K41" s="1950" t="s">
        <v>101</v>
      </c>
      <c r="L41" s="1947" t="s">
        <v>10</v>
      </c>
      <c r="M41" s="1754">
        <f t="shared" si="4"/>
        <v>0</v>
      </c>
      <c r="N41" s="1712">
        <v>0</v>
      </c>
      <c r="O41" s="1712">
        <f t="shared" si="16"/>
        <v>0</v>
      </c>
      <c r="P41" s="1712">
        <f t="shared" si="17"/>
        <v>0</v>
      </c>
      <c r="Q41" s="1712">
        <f t="shared" si="18"/>
        <v>0</v>
      </c>
      <c r="R41" s="1757">
        <v>0.09</v>
      </c>
      <c r="S41" s="1712">
        <f t="shared" si="19"/>
        <v>0</v>
      </c>
      <c r="T41" s="1712" t="str">
        <f t="shared" si="0"/>
        <v/>
      </c>
      <c r="U41" s="1712" t="e">
        <f t="shared" si="2"/>
        <v>#DIV/0!</v>
      </c>
      <c r="V41" s="1952"/>
    </row>
    <row r="42" spans="1:22" s="1942" customFormat="1" ht="12" hidden="1" customHeight="1" outlineLevel="3">
      <c r="A42" s="1944"/>
      <c r="B42" s="1978" t="s">
        <v>1659</v>
      </c>
      <c r="C42" s="1810"/>
      <c r="D42" s="1995" t="s">
        <v>3403</v>
      </c>
      <c r="E42" s="1996" t="s">
        <v>3404</v>
      </c>
      <c r="F42" s="1462" t="s">
        <v>3342</v>
      </c>
      <c r="G42" s="1953" t="s">
        <v>4116</v>
      </c>
      <c r="H42" s="1975" t="s">
        <v>10</v>
      </c>
      <c r="I42" s="1712">
        <f t="shared" si="15"/>
        <v>0</v>
      </c>
      <c r="J42" s="2099">
        <v>1</v>
      </c>
      <c r="K42" s="1950" t="s">
        <v>101</v>
      </c>
      <c r="L42" s="1947" t="s">
        <v>10</v>
      </c>
      <c r="M42" s="1754">
        <f t="shared" si="4"/>
        <v>0</v>
      </c>
      <c r="N42" s="2003">
        <v>100</v>
      </c>
      <c r="O42" s="1712">
        <f t="shared" si="16"/>
        <v>0</v>
      </c>
      <c r="P42" s="1712">
        <f t="shared" si="17"/>
        <v>0</v>
      </c>
      <c r="Q42" s="1712">
        <f t="shared" si="18"/>
        <v>0</v>
      </c>
      <c r="R42" s="1757">
        <v>0.09</v>
      </c>
      <c r="S42" s="1712">
        <f t="shared" si="19"/>
        <v>0</v>
      </c>
      <c r="T42" s="1712" t="str">
        <f t="shared" si="0"/>
        <v/>
      </c>
      <c r="U42" s="1712" t="e">
        <f t="shared" si="2"/>
        <v>#DIV/0!</v>
      </c>
      <c r="V42" s="1952"/>
    </row>
    <row r="43" spans="1:22" s="1942" customFormat="1" ht="12" hidden="1" customHeight="1" outlineLevel="3">
      <c r="A43" s="1944"/>
      <c r="B43" s="1978" t="s">
        <v>1497</v>
      </c>
      <c r="C43" s="1810"/>
      <c r="D43" s="1995" t="s">
        <v>3405</v>
      </c>
      <c r="E43" s="1996"/>
      <c r="F43" s="1462" t="s">
        <v>1424</v>
      </c>
      <c r="G43" s="1953" t="s">
        <v>4123</v>
      </c>
      <c r="H43" s="1975" t="s">
        <v>10</v>
      </c>
      <c r="I43" s="1712">
        <f t="shared" si="15"/>
        <v>0</v>
      </c>
      <c r="J43" s="2099"/>
      <c r="K43" s="1950" t="s">
        <v>101</v>
      </c>
      <c r="L43" s="1947" t="s">
        <v>10</v>
      </c>
      <c r="M43" s="1754">
        <f t="shared" si="4"/>
        <v>0</v>
      </c>
      <c r="N43" s="1712"/>
      <c r="O43" s="1712">
        <f t="shared" si="16"/>
        <v>0</v>
      </c>
      <c r="P43" s="1712">
        <f t="shared" si="17"/>
        <v>0</v>
      </c>
      <c r="Q43" s="1712">
        <f t="shared" si="18"/>
        <v>0</v>
      </c>
      <c r="R43" s="1757">
        <v>0.06</v>
      </c>
      <c r="S43" s="1712">
        <f t="shared" si="19"/>
        <v>0</v>
      </c>
      <c r="T43" s="1712" t="str">
        <f t="shared" si="0"/>
        <v/>
      </c>
      <c r="U43" s="1712" t="e">
        <f t="shared" si="2"/>
        <v>#DIV/0!</v>
      </c>
      <c r="V43" s="1952"/>
    </row>
    <row r="44" spans="1:22" s="1942" customFormat="1" ht="13" hidden="1" outlineLevel="2">
      <c r="A44" s="1944"/>
      <c r="B44" s="1820" t="s">
        <v>3406</v>
      </c>
      <c r="C44" s="1810"/>
      <c r="D44" s="1995" t="s">
        <v>3407</v>
      </c>
      <c r="E44" s="1996" t="s">
        <v>3408</v>
      </c>
      <c r="F44" s="1462" t="s">
        <v>3342</v>
      </c>
      <c r="G44" s="1953" t="s">
        <v>4116</v>
      </c>
      <c r="H44" s="1975" t="s">
        <v>10</v>
      </c>
      <c r="I44" s="1712">
        <f t="shared" si="15"/>
        <v>0</v>
      </c>
      <c r="J44" s="2099"/>
      <c r="K44" s="1950" t="s">
        <v>101</v>
      </c>
      <c r="L44" s="1947" t="s">
        <v>10</v>
      </c>
      <c r="M44" s="1754">
        <f t="shared" si="4"/>
        <v>0</v>
      </c>
      <c r="N44" s="1712"/>
      <c r="O44" s="1712">
        <f t="shared" si="16"/>
        <v>0</v>
      </c>
      <c r="P44" s="1712">
        <f t="shared" si="17"/>
        <v>0</v>
      </c>
      <c r="Q44" s="1712">
        <f t="shared" si="18"/>
        <v>0</v>
      </c>
      <c r="R44" s="1757">
        <v>0.09</v>
      </c>
      <c r="S44" s="1712">
        <f t="shared" si="19"/>
        <v>0</v>
      </c>
      <c r="T44" s="1712" t="str">
        <f t="shared" si="0"/>
        <v/>
      </c>
      <c r="U44" s="1712" t="e">
        <f t="shared" si="2"/>
        <v>#DIV/0!</v>
      </c>
      <c r="V44" s="1952"/>
    </row>
    <row r="45" spans="1:22" ht="12" hidden="1" outlineLevel="1">
      <c r="A45" s="1898"/>
      <c r="B45" s="1965" t="s">
        <v>490</v>
      </c>
      <c r="C45" s="1852">
        <v>2</v>
      </c>
      <c r="D45" s="1966" t="s">
        <v>491</v>
      </c>
      <c r="E45" s="1967"/>
      <c r="F45" s="1968"/>
      <c r="G45" s="2007" t="s">
        <v>4117</v>
      </c>
      <c r="H45" s="1967"/>
      <c r="I45" s="1969"/>
      <c r="J45" s="2116"/>
      <c r="K45" s="1971"/>
      <c r="L45" s="1967"/>
      <c r="M45" s="1972"/>
      <c r="N45" s="1973"/>
      <c r="O45" s="1973">
        <f>SUBTOTAL(9,O46:O99)</f>
        <v>0</v>
      </c>
      <c r="P45" s="1973"/>
      <c r="Q45" s="1973">
        <f>SUBTOTAL(9,Q46:Q99)</f>
        <v>0</v>
      </c>
      <c r="R45" s="1973"/>
      <c r="S45" s="1973">
        <f>SUBTOTAL(9,S46:S99)</f>
        <v>0</v>
      </c>
      <c r="T45" s="1973" t="str">
        <f t="shared" si="0"/>
        <v/>
      </c>
      <c r="U45" s="1973" t="e">
        <f t="shared" si="2"/>
        <v>#DIV/0!</v>
      </c>
      <c r="V45" s="1974"/>
    </row>
    <row r="46" spans="1:22" s="1942" customFormat="1" ht="13" hidden="1" outlineLevel="2">
      <c r="A46" s="1944"/>
      <c r="B46" s="1820" t="s">
        <v>661</v>
      </c>
      <c r="C46" s="1808"/>
      <c r="D46" s="1945" t="s">
        <v>3409</v>
      </c>
      <c r="E46" s="1946"/>
      <c r="F46" s="1462"/>
      <c r="G46" s="1953" t="s">
        <v>4117</v>
      </c>
      <c r="H46" s="1947"/>
      <c r="I46" s="1948"/>
      <c r="J46" s="2099"/>
      <c r="K46" s="1950"/>
      <c r="L46" s="1947"/>
      <c r="M46" s="1754"/>
      <c r="N46" s="1712"/>
      <c r="O46" s="1712">
        <f>SUBTOTAL(9,O47:O55)</f>
        <v>0</v>
      </c>
      <c r="P46" s="1983"/>
      <c r="Q46" s="1712">
        <f>SUBTOTAL(9,Q47:Q55)</f>
        <v>0</v>
      </c>
      <c r="R46" s="1757"/>
      <c r="S46" s="1712">
        <f>SUBTOTAL(9,S47:S55)</f>
        <v>0</v>
      </c>
      <c r="T46" s="1712" t="str">
        <f t="shared" si="0"/>
        <v/>
      </c>
      <c r="U46" s="1712" t="e">
        <f t="shared" si="2"/>
        <v>#DIV/0!</v>
      </c>
      <c r="V46" s="1952"/>
    </row>
    <row r="47" spans="1:22" s="1942" customFormat="1" ht="12" hidden="1" customHeight="1" outlineLevel="3">
      <c r="A47" s="1944"/>
      <c r="B47" s="1978" t="s">
        <v>662</v>
      </c>
      <c r="C47" s="1810"/>
      <c r="D47" s="1979" t="s">
        <v>3410</v>
      </c>
      <c r="E47" s="1980" t="s">
        <v>3411</v>
      </c>
      <c r="F47" s="1462" t="s">
        <v>3342</v>
      </c>
      <c r="G47" s="1953" t="s">
        <v>4116</v>
      </c>
      <c r="H47" s="1975" t="s">
        <v>10</v>
      </c>
      <c r="I47" s="1712">
        <f>$E$5</f>
        <v>0</v>
      </c>
      <c r="J47" s="2099">
        <v>1</v>
      </c>
      <c r="K47" s="1950" t="s">
        <v>101</v>
      </c>
      <c r="L47" s="1947" t="s">
        <v>10</v>
      </c>
      <c r="M47" s="1754">
        <f t="shared" ref="M47:M48" si="20">ROUND(I47,2)*ROUND(J47,4)</f>
        <v>0</v>
      </c>
      <c r="N47" s="1712">
        <v>15</v>
      </c>
      <c r="O47" s="1712">
        <f t="shared" ref="O47:O48" si="21">ROUND(M47*ROUND(N47,2)/10000,6)</f>
        <v>0</v>
      </c>
      <c r="P47" s="1712">
        <f t="shared" ref="P47:P48" si="22">IFERROR(ROUND(Q47*10000/M47,2),0)</f>
        <v>0</v>
      </c>
      <c r="Q47" s="1712">
        <f t="shared" ref="Q47:Q48" si="23">ROUND(O47/(1+R47),6)</f>
        <v>0</v>
      </c>
      <c r="R47" s="1757">
        <v>0.09</v>
      </c>
      <c r="S47" s="1712">
        <f>O47-Q47</f>
        <v>0</v>
      </c>
      <c r="T47" s="1712" t="str">
        <f t="shared" si="0"/>
        <v/>
      </c>
      <c r="U47" s="1712" t="e">
        <f t="shared" si="2"/>
        <v>#DIV/0!</v>
      </c>
      <c r="V47" s="1952"/>
    </row>
    <row r="48" spans="1:22" s="1942" customFormat="1" ht="12" hidden="1" customHeight="1" outlineLevel="3">
      <c r="A48" s="1944"/>
      <c r="B48" s="1978" t="s">
        <v>664</v>
      </c>
      <c r="C48" s="1810"/>
      <c r="D48" s="2008" t="s">
        <v>3412</v>
      </c>
      <c r="E48" s="2009" t="s">
        <v>3413</v>
      </c>
      <c r="F48" s="1462" t="s">
        <v>3342</v>
      </c>
      <c r="G48" s="1953" t="s">
        <v>4116</v>
      </c>
      <c r="H48" s="1975" t="s">
        <v>10</v>
      </c>
      <c r="I48" s="1712">
        <f>$E$5</f>
        <v>0</v>
      </c>
      <c r="J48" s="2099">
        <v>1</v>
      </c>
      <c r="K48" s="1950" t="s">
        <v>101</v>
      </c>
      <c r="L48" s="1947" t="s">
        <v>10</v>
      </c>
      <c r="M48" s="1754">
        <f t="shared" si="20"/>
        <v>0</v>
      </c>
      <c r="N48" s="1712">
        <v>12</v>
      </c>
      <c r="O48" s="1712">
        <f t="shared" si="21"/>
        <v>0</v>
      </c>
      <c r="P48" s="1712">
        <f t="shared" si="22"/>
        <v>0</v>
      </c>
      <c r="Q48" s="1712">
        <f t="shared" si="23"/>
        <v>0</v>
      </c>
      <c r="R48" s="1757">
        <v>0.09</v>
      </c>
      <c r="S48" s="1712">
        <f>O48-Q48</f>
        <v>0</v>
      </c>
      <c r="T48" s="1712" t="str">
        <f t="shared" si="0"/>
        <v/>
      </c>
      <c r="U48" s="1712" t="e">
        <f t="shared" si="2"/>
        <v>#DIV/0!</v>
      </c>
      <c r="V48" s="1952"/>
    </row>
    <row r="49" spans="1:22" s="1942" customFormat="1" ht="12" hidden="1"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0</v>
      </c>
      <c r="P49" s="1983"/>
      <c r="Q49" s="1712">
        <f>SUBTOTAL(9,Q50:Q51)</f>
        <v>0</v>
      </c>
      <c r="R49" s="1757"/>
      <c r="S49" s="1712">
        <f>SUBTOTAL(9,S50:S51)</f>
        <v>0</v>
      </c>
      <c r="T49" s="1712" t="str">
        <f t="shared" si="0"/>
        <v/>
      </c>
      <c r="U49" s="1712" t="e">
        <f t="shared" si="2"/>
        <v>#DIV/0!</v>
      </c>
      <c r="V49" s="1952"/>
    </row>
    <row r="50" spans="1:22" s="1942" customFormat="1" ht="14.5" hidden="1" customHeight="1" outlineLevel="4">
      <c r="A50" s="1944"/>
      <c r="B50" s="1985" t="s">
        <v>1666</v>
      </c>
      <c r="C50" s="1828"/>
      <c r="D50" s="2010" t="s">
        <v>4036</v>
      </c>
      <c r="E50" s="2011"/>
      <c r="F50" s="1988" t="s">
        <v>3342</v>
      </c>
      <c r="G50" s="1989" t="s">
        <v>4116</v>
      </c>
      <c r="H50" s="2012" t="s">
        <v>10</v>
      </c>
      <c r="I50" s="1991">
        <f>$E$5</f>
        <v>0</v>
      </c>
      <c r="J50" s="2124">
        <v>1</v>
      </c>
      <c r="K50" s="2000" t="s">
        <v>101</v>
      </c>
      <c r="L50" s="1990" t="s">
        <v>10</v>
      </c>
      <c r="M50" s="1991">
        <f t="shared" ref="M50:M57" si="24">ROUND(I50,2)*ROUND(J50,4)</f>
        <v>0</v>
      </c>
      <c r="N50" s="1991">
        <v>5</v>
      </c>
      <c r="O50" s="1991">
        <f t="shared" ref="O50:O55" si="25">ROUND(M50*ROUND(N50,2)/10000,6)</f>
        <v>0</v>
      </c>
      <c r="P50" s="1991">
        <f t="shared" ref="P50:P55" si="26">IFERROR(ROUND(Q50*10000/M50,2),0)</f>
        <v>0</v>
      </c>
      <c r="Q50" s="1991">
        <f t="shared" ref="Q50:Q55" si="27">ROUND(O50/(1+R50),6)</f>
        <v>0</v>
      </c>
      <c r="R50" s="1993">
        <v>0.09</v>
      </c>
      <c r="S50" s="1991">
        <f t="shared" ref="S50:S55" si="28">O50-Q50</f>
        <v>0</v>
      </c>
      <c r="T50" s="1991" t="str">
        <f t="shared" si="0"/>
        <v/>
      </c>
      <c r="U50" s="1991" t="e">
        <f t="shared" si="2"/>
        <v>#DIV/0!</v>
      </c>
      <c r="V50" s="1994"/>
    </row>
    <row r="51" spans="1:22" s="1942" customFormat="1" ht="12" hidden="1" customHeight="1" outlineLevel="4">
      <c r="A51" s="1944"/>
      <c r="B51" s="1985" t="s">
        <v>1507</v>
      </c>
      <c r="C51" s="1828"/>
      <c r="D51" s="2013" t="s">
        <v>4037</v>
      </c>
      <c r="E51" s="2011"/>
      <c r="F51" s="1988" t="s">
        <v>3833</v>
      </c>
      <c r="G51" s="1989" t="s">
        <v>4124</v>
      </c>
      <c r="H51" s="2012" t="s">
        <v>10</v>
      </c>
      <c r="I51" s="1991">
        <f>$E$5</f>
        <v>0</v>
      </c>
      <c r="J51" s="2124">
        <v>1</v>
      </c>
      <c r="K51" s="2000" t="s">
        <v>101</v>
      </c>
      <c r="L51" s="1990" t="s">
        <v>10</v>
      </c>
      <c r="M51" s="1991">
        <f t="shared" si="24"/>
        <v>0</v>
      </c>
      <c r="N51" s="1991"/>
      <c r="O51" s="1991">
        <f t="shared" si="25"/>
        <v>0</v>
      </c>
      <c r="P51" s="1991">
        <f t="shared" si="26"/>
        <v>0</v>
      </c>
      <c r="Q51" s="1991">
        <f t="shared" si="27"/>
        <v>0</v>
      </c>
      <c r="R51" s="1993">
        <v>0.13</v>
      </c>
      <c r="S51" s="1991">
        <f t="shared" si="28"/>
        <v>0</v>
      </c>
      <c r="T51" s="1991" t="str">
        <f t="shared" si="0"/>
        <v/>
      </c>
      <c r="U51" s="1991" t="e">
        <f t="shared" si="2"/>
        <v>#DIV/0!</v>
      </c>
      <c r="V51" s="1994"/>
    </row>
    <row r="52" spans="1:22" s="1942" customFormat="1" ht="12" hidden="1" customHeight="1" outlineLevel="3">
      <c r="A52" s="1944"/>
      <c r="B52" s="1978" t="s">
        <v>666</v>
      </c>
      <c r="C52" s="1810"/>
      <c r="D52" s="2008" t="s">
        <v>3416</v>
      </c>
      <c r="E52" s="2009" t="s">
        <v>3417</v>
      </c>
      <c r="F52" s="1462" t="s">
        <v>3418</v>
      </c>
      <c r="G52" s="1953" t="s">
        <v>4125</v>
      </c>
      <c r="H52" s="1975" t="s">
        <v>3926</v>
      </c>
      <c r="I52" s="1712">
        <f>$G$7</f>
        <v>0</v>
      </c>
      <c r="J52" s="2099">
        <v>1</v>
      </c>
      <c r="K52" s="1950" t="s">
        <v>3947</v>
      </c>
      <c r="L52" s="1947" t="s">
        <v>3926</v>
      </c>
      <c r="M52" s="1754">
        <f t="shared" si="24"/>
        <v>0</v>
      </c>
      <c r="N52" s="1712"/>
      <c r="O52" s="1712">
        <f t="shared" si="25"/>
        <v>0</v>
      </c>
      <c r="P52" s="1712">
        <f t="shared" si="26"/>
        <v>0</v>
      </c>
      <c r="Q52" s="1712">
        <f t="shared" si="27"/>
        <v>0</v>
      </c>
      <c r="R52" s="1757">
        <v>0.13</v>
      </c>
      <c r="S52" s="1712">
        <f t="shared" si="28"/>
        <v>0</v>
      </c>
      <c r="T52" s="1712" t="str">
        <f t="shared" si="0"/>
        <v/>
      </c>
      <c r="U52" s="1712" t="e">
        <f t="shared" si="2"/>
        <v>#DIV/0!</v>
      </c>
      <c r="V52" s="1952"/>
    </row>
    <row r="53" spans="1:22" s="1942" customFormat="1" ht="12" hidden="1" customHeight="1" outlineLevel="3">
      <c r="A53" s="1944"/>
      <c r="B53" s="1978" t="s">
        <v>3419</v>
      </c>
      <c r="C53" s="1810"/>
      <c r="D53" s="2008" t="s">
        <v>3420</v>
      </c>
      <c r="E53" s="2009" t="s">
        <v>3421</v>
      </c>
      <c r="F53" s="1462" t="s">
        <v>3422</v>
      </c>
      <c r="G53" s="1953" t="s">
        <v>4126</v>
      </c>
      <c r="H53" s="1975" t="s">
        <v>10</v>
      </c>
      <c r="I53" s="1712">
        <f>$E$5</f>
        <v>0</v>
      </c>
      <c r="J53" s="2099">
        <v>1</v>
      </c>
      <c r="K53" s="1950" t="s">
        <v>101</v>
      </c>
      <c r="L53" s="1947" t="s">
        <v>10</v>
      </c>
      <c r="M53" s="1754">
        <f t="shared" si="24"/>
        <v>0</v>
      </c>
      <c r="N53" s="1712">
        <v>20</v>
      </c>
      <c r="O53" s="1712">
        <f t="shared" si="25"/>
        <v>0</v>
      </c>
      <c r="P53" s="1712">
        <f t="shared" si="26"/>
        <v>0</v>
      </c>
      <c r="Q53" s="1712">
        <f t="shared" si="27"/>
        <v>0</v>
      </c>
      <c r="R53" s="1757">
        <v>0.13</v>
      </c>
      <c r="S53" s="1712">
        <f t="shared" si="28"/>
        <v>0</v>
      </c>
      <c r="T53" s="1712" t="str">
        <f t="shared" si="0"/>
        <v/>
      </c>
      <c r="U53" s="1712" t="e">
        <f t="shared" si="2"/>
        <v>#DIV/0!</v>
      </c>
      <c r="V53" s="1952"/>
    </row>
    <row r="54" spans="1:22" s="1942" customFormat="1" ht="12" hidden="1" customHeight="1" outlineLevel="3">
      <c r="A54" s="1944"/>
      <c r="B54" s="1978" t="s">
        <v>3423</v>
      </c>
      <c r="C54" s="1810"/>
      <c r="D54" s="2008" t="s">
        <v>3424</v>
      </c>
      <c r="E54" s="2009" t="s">
        <v>3425</v>
      </c>
      <c r="F54" s="1462" t="s">
        <v>3342</v>
      </c>
      <c r="G54" s="1953" t="s">
        <v>4116</v>
      </c>
      <c r="H54" s="1975" t="s">
        <v>10</v>
      </c>
      <c r="I54" s="1712">
        <f t="shared" ref="I54:I66" si="29">$E$5</f>
        <v>0</v>
      </c>
      <c r="J54" s="2099">
        <v>1</v>
      </c>
      <c r="K54" s="1950" t="s">
        <v>101</v>
      </c>
      <c r="L54" s="1947" t="s">
        <v>10</v>
      </c>
      <c r="M54" s="1754">
        <f t="shared" si="24"/>
        <v>0</v>
      </c>
      <c r="N54" s="1712">
        <v>3</v>
      </c>
      <c r="O54" s="1712">
        <f t="shared" si="25"/>
        <v>0</v>
      </c>
      <c r="P54" s="1712">
        <f t="shared" si="26"/>
        <v>0</v>
      </c>
      <c r="Q54" s="1712">
        <f t="shared" si="27"/>
        <v>0</v>
      </c>
      <c r="R54" s="1757">
        <v>0.09</v>
      </c>
      <c r="S54" s="1712">
        <f t="shared" si="28"/>
        <v>0</v>
      </c>
      <c r="T54" s="1712" t="str">
        <f t="shared" si="0"/>
        <v/>
      </c>
      <c r="U54" s="1712" t="e">
        <f t="shared" si="2"/>
        <v>#DIV/0!</v>
      </c>
      <c r="V54" s="1952"/>
    </row>
    <row r="55" spans="1:22" s="1942" customFormat="1" ht="12" hidden="1" customHeight="1" outlineLevel="3">
      <c r="A55" s="1944"/>
      <c r="B55" s="1978" t="s">
        <v>3426</v>
      </c>
      <c r="C55" s="1810"/>
      <c r="D55" s="2008" t="s">
        <v>3427</v>
      </c>
      <c r="E55" s="2009" t="s">
        <v>3428</v>
      </c>
      <c r="F55" s="1462" t="s">
        <v>3342</v>
      </c>
      <c r="G55" s="1953" t="s">
        <v>4116</v>
      </c>
      <c r="H55" s="1975" t="s">
        <v>10</v>
      </c>
      <c r="I55" s="1712">
        <f t="shared" si="29"/>
        <v>0</v>
      </c>
      <c r="J55" s="2099"/>
      <c r="K55" s="1950" t="s">
        <v>101</v>
      </c>
      <c r="L55" s="1947" t="s">
        <v>10</v>
      </c>
      <c r="M55" s="1754">
        <f t="shared" si="24"/>
        <v>0</v>
      </c>
      <c r="N55" s="1712"/>
      <c r="O55" s="1712">
        <f t="shared" si="25"/>
        <v>0</v>
      </c>
      <c r="P55" s="1712">
        <f t="shared" si="26"/>
        <v>0</v>
      </c>
      <c r="Q55" s="1712">
        <f t="shared" si="27"/>
        <v>0</v>
      </c>
      <c r="R55" s="1757">
        <v>0.13</v>
      </c>
      <c r="S55" s="1712">
        <f t="shared" si="28"/>
        <v>0</v>
      </c>
      <c r="T55" s="1712" t="str">
        <f t="shared" si="0"/>
        <v/>
      </c>
      <c r="U55" s="1712" t="e">
        <f t="shared" si="2"/>
        <v>#DIV/0!</v>
      </c>
      <c r="V55" s="2015"/>
    </row>
    <row r="56" spans="1:22" s="1942" customFormat="1" ht="13" hidden="1" outlineLevel="2">
      <c r="A56" s="1944"/>
      <c r="B56" s="1820" t="s">
        <v>670</v>
      </c>
      <c r="C56" s="1808"/>
      <c r="D56" s="1945" t="s">
        <v>3429</v>
      </c>
      <c r="E56" s="1946"/>
      <c r="F56" s="1462"/>
      <c r="G56" s="1953" t="s">
        <v>4117</v>
      </c>
      <c r="H56" s="1947"/>
      <c r="I56" s="1948"/>
      <c r="J56" s="2099"/>
      <c r="K56" s="1950"/>
      <c r="L56" s="1947"/>
      <c r="M56" s="1754"/>
      <c r="N56" s="1712"/>
      <c r="O56" s="1712">
        <f>SUBTOTAL(9,O57:O70)</f>
        <v>0</v>
      </c>
      <c r="P56" s="1983"/>
      <c r="Q56" s="1712">
        <f>SUBTOTAL(9,Q57:Q70)</f>
        <v>0</v>
      </c>
      <c r="R56" s="1757"/>
      <c r="S56" s="1712">
        <f>SUBTOTAL(9,S57:S70)</f>
        <v>0</v>
      </c>
      <c r="T56" s="1712" t="str">
        <f t="shared" si="0"/>
        <v/>
      </c>
      <c r="U56" s="1712" t="e">
        <f t="shared" si="2"/>
        <v>#DIV/0!</v>
      </c>
      <c r="V56" s="1952"/>
    </row>
    <row r="57" spans="1:22" s="1942" customFormat="1" ht="12" hidden="1" customHeight="1" outlineLevel="3">
      <c r="A57" s="1944"/>
      <c r="B57" s="1978" t="s">
        <v>671</v>
      </c>
      <c r="C57" s="1810"/>
      <c r="D57" s="2008" t="s">
        <v>3430</v>
      </c>
      <c r="E57" s="2009" t="s">
        <v>3431</v>
      </c>
      <c r="F57" s="1462" t="s">
        <v>3342</v>
      </c>
      <c r="G57" s="1953" t="s">
        <v>4116</v>
      </c>
      <c r="H57" s="1975" t="s">
        <v>10</v>
      </c>
      <c r="I57" s="1712">
        <f t="shared" si="29"/>
        <v>0</v>
      </c>
      <c r="J57" s="2099">
        <v>1</v>
      </c>
      <c r="K57" s="1950" t="s">
        <v>101</v>
      </c>
      <c r="L57" s="1947" t="s">
        <v>10</v>
      </c>
      <c r="M57" s="1754">
        <f t="shared" si="24"/>
        <v>0</v>
      </c>
      <c r="N57" s="1712">
        <v>45</v>
      </c>
      <c r="O57" s="1712">
        <f t="shared" ref="O57" si="30">ROUND(M57*ROUND(N57,2)/10000,6)</f>
        <v>0</v>
      </c>
      <c r="P57" s="1712">
        <f t="shared" ref="P57" si="31">IFERROR(ROUND(Q57*10000/M57,2),0)</f>
        <v>0</v>
      </c>
      <c r="Q57" s="1712">
        <f t="shared" ref="Q57" si="32">ROUND(O57/(1+R57),6)</f>
        <v>0</v>
      </c>
      <c r="R57" s="1757">
        <v>0.09</v>
      </c>
      <c r="S57" s="1712">
        <f>O57-Q57</f>
        <v>0</v>
      </c>
      <c r="T57" s="1712" t="str">
        <f t="shared" si="0"/>
        <v/>
      </c>
      <c r="U57" s="1712" t="e">
        <f t="shared" si="2"/>
        <v>#DIV/0!</v>
      </c>
      <c r="V57" s="1952"/>
    </row>
    <row r="58" spans="1:22" s="1942" customFormat="1" ht="12" hidden="1"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0</v>
      </c>
      <c r="P58" s="1983"/>
      <c r="Q58" s="1712">
        <f>SUBTOTAL(9,Q59:Q60)</f>
        <v>0</v>
      </c>
      <c r="R58" s="1757"/>
      <c r="S58" s="1712">
        <f>SUBTOTAL(9,S59:S60)</f>
        <v>0</v>
      </c>
      <c r="T58" s="1712" t="str">
        <f t="shared" si="0"/>
        <v/>
      </c>
      <c r="U58" s="1712" t="e">
        <f t="shared" si="2"/>
        <v>#DIV/0!</v>
      </c>
      <c r="V58" s="1952"/>
    </row>
    <row r="59" spans="1:22" s="1942" customFormat="1" ht="12" hidden="1" customHeight="1" outlineLevel="4">
      <c r="A59" s="1944"/>
      <c r="B59" s="1985" t="s">
        <v>1680</v>
      </c>
      <c r="C59" s="1828"/>
      <c r="D59" s="2013" t="s">
        <v>4038</v>
      </c>
      <c r="E59" s="2011"/>
      <c r="F59" s="1988" t="s">
        <v>3342</v>
      </c>
      <c r="G59" s="1989" t="s">
        <v>4116</v>
      </c>
      <c r="H59" s="2012" t="s">
        <v>10</v>
      </c>
      <c r="I59" s="1991">
        <f>$E$5</f>
        <v>0</v>
      </c>
      <c r="J59" s="2124">
        <v>1</v>
      </c>
      <c r="K59" s="2000" t="s">
        <v>101</v>
      </c>
      <c r="L59" s="1990" t="s">
        <v>10</v>
      </c>
      <c r="M59" s="1991">
        <f t="shared" ref="M59:M70" si="33">ROUND(I59,2)*ROUND(J59,4)</f>
        <v>0</v>
      </c>
      <c r="N59" s="1991">
        <v>40</v>
      </c>
      <c r="O59" s="1991">
        <f t="shared" ref="O59:O70" si="34">ROUND(M59*ROUND(N59,2)/10000,6)</f>
        <v>0</v>
      </c>
      <c r="P59" s="1991">
        <f t="shared" ref="P59:P70" si="35">IFERROR(ROUND(Q59*10000/M59,2),0)</f>
        <v>0</v>
      </c>
      <c r="Q59" s="1991">
        <f t="shared" ref="Q59:Q70" si="36">ROUND(O59/(1+R59),6)</f>
        <v>0</v>
      </c>
      <c r="R59" s="1993">
        <v>0.09</v>
      </c>
      <c r="S59" s="1991">
        <f t="shared" ref="S59:S70" si="37">O59-Q59</f>
        <v>0</v>
      </c>
      <c r="T59" s="1991" t="str">
        <f t="shared" si="0"/>
        <v/>
      </c>
      <c r="U59" s="1991" t="e">
        <f t="shared" si="2"/>
        <v>#DIV/0!</v>
      </c>
      <c r="V59" s="1994"/>
    </row>
    <row r="60" spans="1:22" s="1942" customFormat="1" ht="12" hidden="1" customHeight="1" outlineLevel="4">
      <c r="A60" s="1944"/>
      <c r="B60" s="1985" t="s">
        <v>1529</v>
      </c>
      <c r="C60" s="1828"/>
      <c r="D60" s="2013" t="s">
        <v>4039</v>
      </c>
      <c r="E60" s="2011"/>
      <c r="F60" s="1988" t="s">
        <v>3556</v>
      </c>
      <c r="G60" s="1989" t="s">
        <v>4127</v>
      </c>
      <c r="H60" s="2012" t="s">
        <v>10</v>
      </c>
      <c r="I60" s="1991">
        <f>$E$5</f>
        <v>0</v>
      </c>
      <c r="J60" s="2124">
        <v>1</v>
      </c>
      <c r="K60" s="2000" t="s">
        <v>101</v>
      </c>
      <c r="L60" s="1990" t="s">
        <v>10</v>
      </c>
      <c r="M60" s="1991">
        <f t="shared" si="33"/>
        <v>0</v>
      </c>
      <c r="N60" s="1991"/>
      <c r="O60" s="1991">
        <f t="shared" si="34"/>
        <v>0</v>
      </c>
      <c r="P60" s="1991">
        <f t="shared" si="35"/>
        <v>0</v>
      </c>
      <c r="Q60" s="1991">
        <f t="shared" si="36"/>
        <v>0</v>
      </c>
      <c r="R60" s="1993">
        <v>0.13</v>
      </c>
      <c r="S60" s="1991">
        <f t="shared" si="37"/>
        <v>0</v>
      </c>
      <c r="T60" s="1991" t="str">
        <f t="shared" si="0"/>
        <v/>
      </c>
      <c r="U60" s="1991" t="e">
        <f t="shared" si="2"/>
        <v>#DIV/0!</v>
      </c>
      <c r="V60" s="1994"/>
    </row>
    <row r="61" spans="1:22" s="1942" customFormat="1" ht="12.5" hidden="1" customHeight="1" outlineLevel="3">
      <c r="A61" s="1944"/>
      <c r="B61" s="1978" t="s">
        <v>673</v>
      </c>
      <c r="C61" s="1810"/>
      <c r="D61" s="2008" t="s">
        <v>3434</v>
      </c>
      <c r="E61" s="2009" t="s">
        <v>3435</v>
      </c>
      <c r="F61" s="1462" t="s">
        <v>3342</v>
      </c>
      <c r="G61" s="1953" t="s">
        <v>4116</v>
      </c>
      <c r="H61" s="1975" t="s">
        <v>10</v>
      </c>
      <c r="I61" s="1712">
        <f t="shared" si="29"/>
        <v>0</v>
      </c>
      <c r="J61" s="2099">
        <v>1</v>
      </c>
      <c r="K61" s="1950" t="s">
        <v>101</v>
      </c>
      <c r="L61" s="1947" t="s">
        <v>10</v>
      </c>
      <c r="M61" s="1754">
        <f t="shared" si="33"/>
        <v>0</v>
      </c>
      <c r="N61" s="1712"/>
      <c r="O61" s="1712">
        <f t="shared" si="34"/>
        <v>0</v>
      </c>
      <c r="P61" s="1712">
        <f t="shared" si="35"/>
        <v>0</v>
      </c>
      <c r="Q61" s="1712">
        <f t="shared" si="36"/>
        <v>0</v>
      </c>
      <c r="R61" s="1757">
        <v>0.09</v>
      </c>
      <c r="S61" s="1712">
        <f t="shared" si="37"/>
        <v>0</v>
      </c>
      <c r="T61" s="1712" t="str">
        <f t="shared" si="0"/>
        <v/>
      </c>
      <c r="U61" s="1712" t="e">
        <f t="shared" si="2"/>
        <v>#DIV/0!</v>
      </c>
      <c r="V61" s="1952"/>
    </row>
    <row r="62" spans="1:22" s="1942" customFormat="1" ht="12" hidden="1" customHeight="1" outlineLevel="3">
      <c r="A62" s="1944"/>
      <c r="B62" s="1978" t="s">
        <v>1785</v>
      </c>
      <c r="C62" s="1810"/>
      <c r="D62" s="2008" t="s">
        <v>3436</v>
      </c>
      <c r="E62" s="2009" t="s">
        <v>3437</v>
      </c>
      <c r="F62" s="1462" t="s">
        <v>3342</v>
      </c>
      <c r="G62" s="1953" t="s">
        <v>4116</v>
      </c>
      <c r="H62" s="1975" t="s">
        <v>10</v>
      </c>
      <c r="I62" s="1712">
        <f t="shared" si="29"/>
        <v>0</v>
      </c>
      <c r="J62" s="2099">
        <v>1</v>
      </c>
      <c r="K62" s="1950" t="s">
        <v>101</v>
      </c>
      <c r="L62" s="1947" t="s">
        <v>10</v>
      </c>
      <c r="M62" s="1754">
        <f t="shared" si="33"/>
        <v>0</v>
      </c>
      <c r="N62" s="1712"/>
      <c r="O62" s="1712">
        <f t="shared" si="34"/>
        <v>0</v>
      </c>
      <c r="P62" s="1712">
        <f t="shared" si="35"/>
        <v>0</v>
      </c>
      <c r="Q62" s="1712">
        <f t="shared" si="36"/>
        <v>0</v>
      </c>
      <c r="R62" s="1757">
        <v>0.09</v>
      </c>
      <c r="S62" s="1712">
        <f t="shared" si="37"/>
        <v>0</v>
      </c>
      <c r="T62" s="1712" t="str">
        <f t="shared" si="0"/>
        <v/>
      </c>
      <c r="U62" s="1712" t="e">
        <f t="shared" si="2"/>
        <v>#DIV/0!</v>
      </c>
      <c r="V62" s="1952"/>
    </row>
    <row r="63" spans="1:22" s="1942" customFormat="1" ht="12" hidden="1" customHeight="1" outlineLevel="3">
      <c r="A63" s="1944"/>
      <c r="B63" s="1978" t="s">
        <v>674</v>
      </c>
      <c r="C63" s="1810"/>
      <c r="D63" s="2008" t="s">
        <v>3438</v>
      </c>
      <c r="E63" s="2009" t="s">
        <v>3439</v>
      </c>
      <c r="F63" s="1462" t="s">
        <v>455</v>
      </c>
      <c r="G63" s="1953" t="s">
        <v>4128</v>
      </c>
      <c r="H63" s="1975" t="s">
        <v>10</v>
      </c>
      <c r="I63" s="1712">
        <f t="shared" si="29"/>
        <v>0</v>
      </c>
      <c r="J63" s="2099">
        <v>1</v>
      </c>
      <c r="K63" s="1950" t="s">
        <v>101</v>
      </c>
      <c r="L63" s="1947" t="s">
        <v>10</v>
      </c>
      <c r="M63" s="1754">
        <f t="shared" si="33"/>
        <v>0</v>
      </c>
      <c r="N63" s="2169">
        <v>10</v>
      </c>
      <c r="O63" s="1712">
        <f t="shared" si="34"/>
        <v>0</v>
      </c>
      <c r="P63" s="1712">
        <f t="shared" si="35"/>
        <v>0</v>
      </c>
      <c r="Q63" s="1712">
        <f t="shared" si="36"/>
        <v>0</v>
      </c>
      <c r="R63" s="1757">
        <v>0.09</v>
      </c>
      <c r="S63" s="1712">
        <f t="shared" si="37"/>
        <v>0</v>
      </c>
      <c r="T63" s="1712" t="str">
        <f t="shared" si="0"/>
        <v/>
      </c>
      <c r="U63" s="1712" t="e">
        <f t="shared" si="2"/>
        <v>#DIV/0!</v>
      </c>
      <c r="V63" s="1952"/>
    </row>
    <row r="64" spans="1:22" s="1942" customFormat="1" ht="12" hidden="1" customHeight="1" outlineLevel="3">
      <c r="A64" s="1944"/>
      <c r="B64" s="1978" t="s">
        <v>3440</v>
      </c>
      <c r="C64" s="1810"/>
      <c r="D64" s="2008" t="s">
        <v>3441</v>
      </c>
      <c r="E64" s="2009" t="s">
        <v>3442</v>
      </c>
      <c r="F64" s="1462" t="s">
        <v>454</v>
      </c>
      <c r="G64" s="1953" t="s">
        <v>4129</v>
      </c>
      <c r="H64" s="1975" t="s">
        <v>10</v>
      </c>
      <c r="I64" s="1712">
        <f t="shared" si="29"/>
        <v>0</v>
      </c>
      <c r="J64" s="2099">
        <v>1</v>
      </c>
      <c r="K64" s="1950" t="s">
        <v>101</v>
      </c>
      <c r="L64" s="1947" t="s">
        <v>10</v>
      </c>
      <c r="M64" s="1754">
        <f t="shared" si="33"/>
        <v>0</v>
      </c>
      <c r="N64" s="2169">
        <v>33</v>
      </c>
      <c r="O64" s="1712">
        <f t="shared" si="34"/>
        <v>0</v>
      </c>
      <c r="P64" s="1712">
        <f t="shared" si="35"/>
        <v>0</v>
      </c>
      <c r="Q64" s="1712">
        <f t="shared" si="36"/>
        <v>0</v>
      </c>
      <c r="R64" s="1757">
        <v>0.13</v>
      </c>
      <c r="S64" s="1712">
        <f t="shared" si="37"/>
        <v>0</v>
      </c>
      <c r="T64" s="1712" t="str">
        <f t="shared" si="0"/>
        <v/>
      </c>
      <c r="U64" s="1712" t="e">
        <f t="shared" si="2"/>
        <v>#DIV/0!</v>
      </c>
      <c r="V64" s="2015"/>
    </row>
    <row r="65" spans="1:22" s="1942" customFormat="1" ht="12" hidden="1" customHeight="1" outlineLevel="3">
      <c r="A65" s="1944"/>
      <c r="B65" s="1978" t="s">
        <v>3443</v>
      </c>
      <c r="C65" s="1810"/>
      <c r="D65" s="2008" t="s">
        <v>3444</v>
      </c>
      <c r="E65" s="2009" t="s">
        <v>3445</v>
      </c>
      <c r="F65" s="1462" t="s">
        <v>1671</v>
      </c>
      <c r="G65" s="1953" t="s">
        <v>4130</v>
      </c>
      <c r="H65" s="1975" t="s">
        <v>10</v>
      </c>
      <c r="I65" s="1712">
        <f t="shared" si="29"/>
        <v>0</v>
      </c>
      <c r="J65" s="2099">
        <v>1</v>
      </c>
      <c r="K65" s="1950" t="s">
        <v>101</v>
      </c>
      <c r="L65" s="1947" t="s">
        <v>10</v>
      </c>
      <c r="M65" s="1754">
        <f t="shared" si="33"/>
        <v>0</v>
      </c>
      <c r="N65" s="2169">
        <v>45</v>
      </c>
      <c r="O65" s="1712">
        <f t="shared" si="34"/>
        <v>0</v>
      </c>
      <c r="P65" s="1712">
        <f t="shared" si="35"/>
        <v>0</v>
      </c>
      <c r="Q65" s="1712">
        <f t="shared" si="36"/>
        <v>0</v>
      </c>
      <c r="R65" s="1757">
        <v>0.13</v>
      </c>
      <c r="S65" s="1712">
        <f t="shared" si="37"/>
        <v>0</v>
      </c>
      <c r="T65" s="1712" t="str">
        <f t="shared" si="0"/>
        <v/>
      </c>
      <c r="U65" s="1712" t="e">
        <f t="shared" si="2"/>
        <v>#DIV/0!</v>
      </c>
      <c r="V65" s="2015"/>
    </row>
    <row r="66" spans="1:22" s="1942" customFormat="1" ht="12" hidden="1" customHeight="1" outlineLevel="3">
      <c r="A66" s="1944"/>
      <c r="B66" s="1978" t="s">
        <v>3446</v>
      </c>
      <c r="C66" s="1810"/>
      <c r="D66" s="2008" t="s">
        <v>3447</v>
      </c>
      <c r="E66" s="2009" t="s">
        <v>3448</v>
      </c>
      <c r="F66" s="1462" t="s">
        <v>3422</v>
      </c>
      <c r="G66" s="1953" t="s">
        <v>4126</v>
      </c>
      <c r="H66" s="1975" t="s">
        <v>10</v>
      </c>
      <c r="I66" s="1712">
        <f t="shared" si="29"/>
        <v>0</v>
      </c>
      <c r="J66" s="2099">
        <v>1</v>
      </c>
      <c r="K66" s="1950" t="s">
        <v>101</v>
      </c>
      <c r="L66" s="1947" t="s">
        <v>10</v>
      </c>
      <c r="M66" s="1754">
        <f t="shared" si="33"/>
        <v>0</v>
      </c>
      <c r="N66" s="1712">
        <v>5</v>
      </c>
      <c r="O66" s="1712">
        <f t="shared" si="34"/>
        <v>0</v>
      </c>
      <c r="P66" s="1712">
        <f t="shared" si="35"/>
        <v>0</v>
      </c>
      <c r="Q66" s="1712">
        <f t="shared" si="36"/>
        <v>0</v>
      </c>
      <c r="R66" s="1757">
        <v>0.13</v>
      </c>
      <c r="S66" s="1712">
        <f t="shared" si="37"/>
        <v>0</v>
      </c>
      <c r="T66" s="1712" t="str">
        <f t="shared" si="0"/>
        <v/>
      </c>
      <c r="U66" s="1712" t="e">
        <f t="shared" si="2"/>
        <v>#DIV/0!</v>
      </c>
      <c r="V66" s="2015"/>
    </row>
    <row r="67" spans="1:22" s="1942" customFormat="1" ht="12" hidden="1" customHeight="1" outlineLevel="3">
      <c r="A67" s="1944"/>
      <c r="B67" s="1978" t="s">
        <v>3449</v>
      </c>
      <c r="C67" s="1810"/>
      <c r="D67" s="2008" t="s">
        <v>3450</v>
      </c>
      <c r="E67" s="2009" t="s">
        <v>3451</v>
      </c>
      <c r="F67" s="1462" t="s">
        <v>1307</v>
      </c>
      <c r="G67" s="1953" t="s">
        <v>4131</v>
      </c>
      <c r="H67" s="1947" t="s">
        <v>3926</v>
      </c>
      <c r="I67" s="1712">
        <f>$G$7</f>
        <v>0</v>
      </c>
      <c r="J67" s="2099">
        <v>1</v>
      </c>
      <c r="K67" s="1950" t="s">
        <v>3947</v>
      </c>
      <c r="L67" s="1947" t="s">
        <v>3926</v>
      </c>
      <c r="M67" s="1754">
        <f t="shared" si="33"/>
        <v>0</v>
      </c>
      <c r="N67" s="1712">
        <v>0</v>
      </c>
      <c r="O67" s="1712">
        <f t="shared" si="34"/>
        <v>0</v>
      </c>
      <c r="P67" s="1712">
        <f t="shared" si="35"/>
        <v>0</v>
      </c>
      <c r="Q67" s="1712">
        <f t="shared" si="36"/>
        <v>0</v>
      </c>
      <c r="R67" s="1757">
        <v>0.13</v>
      </c>
      <c r="S67" s="1712">
        <f t="shared" si="37"/>
        <v>0</v>
      </c>
      <c r="T67" s="1712" t="str">
        <f t="shared" si="0"/>
        <v/>
      </c>
      <c r="U67" s="1712" t="e">
        <f t="shared" si="2"/>
        <v>#DIV/0!</v>
      </c>
      <c r="V67" s="1952"/>
    </row>
    <row r="68" spans="1:22" s="1942" customFormat="1" ht="12" hidden="1" customHeight="1" outlineLevel="3">
      <c r="A68" s="1944"/>
      <c r="B68" s="1978" t="s">
        <v>3452</v>
      </c>
      <c r="C68" s="1810"/>
      <c r="D68" s="2008" t="s">
        <v>3453</v>
      </c>
      <c r="E68" s="2009" t="s">
        <v>3454</v>
      </c>
      <c r="F68" s="1462" t="s">
        <v>1329</v>
      </c>
      <c r="G68" s="1953" t="s">
        <v>4132</v>
      </c>
      <c r="H68" s="1947" t="s">
        <v>10</v>
      </c>
      <c r="I68" s="1712">
        <f>$E$5</f>
        <v>0</v>
      </c>
      <c r="J68" s="2099">
        <v>1</v>
      </c>
      <c r="K68" s="1950" t="s">
        <v>101</v>
      </c>
      <c r="L68" s="1947" t="s">
        <v>10</v>
      </c>
      <c r="M68" s="1754">
        <f t="shared" si="33"/>
        <v>0</v>
      </c>
      <c r="N68" s="1712">
        <v>3.51</v>
      </c>
      <c r="O68" s="1712">
        <f t="shared" si="34"/>
        <v>0</v>
      </c>
      <c r="P68" s="1712">
        <f t="shared" si="35"/>
        <v>0</v>
      </c>
      <c r="Q68" s="1712">
        <f t="shared" si="36"/>
        <v>0</v>
      </c>
      <c r="R68" s="1757">
        <v>0.13</v>
      </c>
      <c r="S68" s="1712">
        <f t="shared" si="37"/>
        <v>0</v>
      </c>
      <c r="T68" s="1712" t="str">
        <f t="shared" si="0"/>
        <v/>
      </c>
      <c r="U68" s="1712" t="e">
        <f t="shared" si="2"/>
        <v>#DIV/0!</v>
      </c>
      <c r="V68" s="2015"/>
    </row>
    <row r="69" spans="1:22" s="1942" customFormat="1" ht="12" hidden="1" customHeight="1" outlineLevel="3">
      <c r="A69" s="1944"/>
      <c r="B69" s="1978" t="s">
        <v>3455</v>
      </c>
      <c r="C69" s="1810"/>
      <c r="D69" s="2008" t="s">
        <v>3456</v>
      </c>
      <c r="E69" s="2009" t="s">
        <v>3457</v>
      </c>
      <c r="F69" s="1462" t="s">
        <v>3342</v>
      </c>
      <c r="G69" s="1953" t="s">
        <v>4116</v>
      </c>
      <c r="H69" s="1947" t="s">
        <v>107</v>
      </c>
      <c r="I69" s="1948">
        <f>$G$4</f>
        <v>0</v>
      </c>
      <c r="J69" s="2099">
        <v>1</v>
      </c>
      <c r="K69" s="2016" t="s">
        <v>4040</v>
      </c>
      <c r="L69" s="1947" t="s">
        <v>4041</v>
      </c>
      <c r="M69" s="1754">
        <f t="shared" si="33"/>
        <v>0</v>
      </c>
      <c r="N69" s="1712"/>
      <c r="O69" s="1712">
        <f t="shared" si="34"/>
        <v>0</v>
      </c>
      <c r="P69" s="1712">
        <f t="shared" si="35"/>
        <v>0</v>
      </c>
      <c r="Q69" s="1712">
        <f t="shared" si="36"/>
        <v>0</v>
      </c>
      <c r="R69" s="1757">
        <v>0.09</v>
      </c>
      <c r="S69" s="1712">
        <f t="shared" si="37"/>
        <v>0</v>
      </c>
      <c r="T69" s="1712" t="str">
        <f t="shared" si="0"/>
        <v/>
      </c>
      <c r="U69" s="1712" t="e">
        <f t="shared" si="2"/>
        <v>#DIV/0!</v>
      </c>
      <c r="V69" s="2015"/>
    </row>
    <row r="70" spans="1:22" s="1942" customFormat="1" ht="14" hidden="1" customHeight="1" outlineLevel="3">
      <c r="A70" s="1944"/>
      <c r="B70" s="1978" t="s">
        <v>3458</v>
      </c>
      <c r="C70" s="1810"/>
      <c r="D70" s="2008" t="s">
        <v>3459</v>
      </c>
      <c r="E70" s="2009" t="s">
        <v>3460</v>
      </c>
      <c r="F70" s="1462" t="s">
        <v>3342</v>
      </c>
      <c r="G70" s="1953" t="s">
        <v>4116</v>
      </c>
      <c r="H70" s="1975" t="s">
        <v>10</v>
      </c>
      <c r="I70" s="1712">
        <f>$E$5</f>
        <v>0</v>
      </c>
      <c r="J70" s="2099">
        <v>1</v>
      </c>
      <c r="K70" s="1950" t="s">
        <v>101</v>
      </c>
      <c r="L70" s="1947" t="s">
        <v>10</v>
      </c>
      <c r="M70" s="1754">
        <f t="shared" si="33"/>
        <v>0</v>
      </c>
      <c r="N70" s="1712">
        <v>2.34</v>
      </c>
      <c r="O70" s="1712">
        <f t="shared" si="34"/>
        <v>0</v>
      </c>
      <c r="P70" s="1712">
        <f t="shared" si="35"/>
        <v>0</v>
      </c>
      <c r="Q70" s="1712">
        <f t="shared" si="36"/>
        <v>0</v>
      </c>
      <c r="R70" s="1757">
        <v>0.09</v>
      </c>
      <c r="S70" s="1712">
        <f t="shared" si="37"/>
        <v>0</v>
      </c>
      <c r="T70" s="1712" t="str">
        <f t="shared" si="0"/>
        <v/>
      </c>
      <c r="U70" s="1712" t="e">
        <f t="shared" si="2"/>
        <v>#DIV/0!</v>
      </c>
      <c r="V70" s="1952"/>
    </row>
    <row r="71" spans="1:22" s="1942" customFormat="1" ht="14" hidden="1" customHeight="1" outlineLevel="2">
      <c r="A71" s="1944"/>
      <c r="B71" s="1978" t="s">
        <v>3461</v>
      </c>
      <c r="C71" s="1810"/>
      <c r="D71" s="2128"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t="str">
        <f t="shared" si="0"/>
        <v/>
      </c>
      <c r="U71" s="1712" t="e">
        <f t="shared" si="2"/>
        <v>#DIV/0!</v>
      </c>
      <c r="V71" s="2015"/>
    </row>
    <row r="72" spans="1:22" s="1942" customFormat="1" ht="14" hidden="1"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t="str">
        <f t="shared" si="0"/>
        <v/>
      </c>
      <c r="U72" s="1712" t="e">
        <f t="shared" si="2"/>
        <v>#DIV/0!</v>
      </c>
      <c r="V72" s="1952"/>
    </row>
    <row r="73" spans="1:22" s="1942" customFormat="1" ht="14" hidden="1" customHeight="1" outlineLevel="4">
      <c r="A73" s="2006" t="s">
        <v>4011</v>
      </c>
      <c r="B73" s="1985" t="s">
        <v>4042</v>
      </c>
      <c r="C73" s="1828"/>
      <c r="D73" s="2129" t="s">
        <v>4043</v>
      </c>
      <c r="E73" s="2011"/>
      <c r="F73" s="1988" t="s">
        <v>1502</v>
      </c>
      <c r="G73" s="1989" t="s">
        <v>4133</v>
      </c>
      <c r="H73" s="2012" t="s">
        <v>10</v>
      </c>
      <c r="I73" s="1991">
        <f>$E$5</f>
        <v>0</v>
      </c>
      <c r="J73" s="2124">
        <v>1</v>
      </c>
      <c r="K73" s="2000" t="s">
        <v>101</v>
      </c>
      <c r="L73" s="1990" t="s">
        <v>10</v>
      </c>
      <c r="M73" s="1991">
        <f t="shared" ref="M73:M83" si="38">ROUND(I73,2)*ROUND(J73,4)</f>
        <v>0</v>
      </c>
      <c r="N73" s="2127"/>
      <c r="O73" s="1991">
        <f t="shared" ref="O73:O76" si="39">ROUND(M73*ROUND(N73,2)/10000,6)</f>
        <v>0</v>
      </c>
      <c r="P73" s="1991">
        <f t="shared" ref="P73:P76" si="40">IFERROR(ROUND(Q73*10000/M73,2),0)</f>
        <v>0</v>
      </c>
      <c r="Q73" s="1991">
        <f t="shared" ref="Q73:Q76" si="41">ROUND(O73/(1+R73),6)</f>
        <v>0</v>
      </c>
      <c r="R73" s="1993">
        <v>0.09</v>
      </c>
      <c r="S73" s="1991">
        <f>O73-Q73</f>
        <v>0</v>
      </c>
      <c r="T73" s="1991" t="str">
        <f t="shared" si="0"/>
        <v/>
      </c>
      <c r="U73" s="1991" t="e">
        <f t="shared" si="2"/>
        <v>#DIV/0!</v>
      </c>
      <c r="V73" s="1994"/>
    </row>
    <row r="74" spans="1:22" s="1942" customFormat="1" ht="14" hidden="1" customHeight="1" outlineLevel="4">
      <c r="A74" s="1944"/>
      <c r="B74" s="1985" t="s">
        <v>4044</v>
      </c>
      <c r="C74" s="1828"/>
      <c r="D74" s="2129" t="s">
        <v>4045</v>
      </c>
      <c r="E74" s="2011"/>
      <c r="F74" s="1988" t="s">
        <v>1505</v>
      </c>
      <c r="G74" s="1989" t="s">
        <v>4134</v>
      </c>
      <c r="H74" s="2012" t="s">
        <v>3926</v>
      </c>
      <c r="I74" s="1991">
        <f>$G$7</f>
        <v>0</v>
      </c>
      <c r="J74" s="2124">
        <v>1</v>
      </c>
      <c r="K74" s="2000" t="s">
        <v>3947</v>
      </c>
      <c r="L74" s="1990" t="s">
        <v>3926</v>
      </c>
      <c r="M74" s="1991">
        <f t="shared" si="38"/>
        <v>0</v>
      </c>
      <c r="N74" s="1991">
        <v>30000</v>
      </c>
      <c r="O74" s="1991">
        <f t="shared" si="39"/>
        <v>0</v>
      </c>
      <c r="P74" s="1991">
        <f t="shared" si="40"/>
        <v>0</v>
      </c>
      <c r="Q74" s="1991">
        <f t="shared" si="41"/>
        <v>0</v>
      </c>
      <c r="R74" s="1993">
        <v>0</v>
      </c>
      <c r="S74" s="1991">
        <f>O74-Q74</f>
        <v>0</v>
      </c>
      <c r="T74" s="1991" t="str">
        <f t="shared" si="0"/>
        <v/>
      </c>
      <c r="U74" s="1991" t="e">
        <f t="shared" si="2"/>
        <v>#DIV/0!</v>
      </c>
      <c r="V74" s="1994"/>
    </row>
    <row r="75" spans="1:22" s="1942" customFormat="1" ht="14" hidden="1" customHeight="1" outlineLevel="3">
      <c r="A75" s="1944"/>
      <c r="B75" s="1978" t="s">
        <v>3465</v>
      </c>
      <c r="C75" s="1810"/>
      <c r="D75" s="2008" t="s">
        <v>3466</v>
      </c>
      <c r="E75" s="2009" t="s">
        <v>3467</v>
      </c>
      <c r="F75" s="1462" t="s">
        <v>1502</v>
      </c>
      <c r="G75" s="1953" t="s">
        <v>4133</v>
      </c>
      <c r="H75" s="1975" t="s">
        <v>10</v>
      </c>
      <c r="I75" s="1712">
        <f>$E$5</f>
        <v>0</v>
      </c>
      <c r="J75" s="2099">
        <v>1</v>
      </c>
      <c r="K75" s="1950" t="s">
        <v>101</v>
      </c>
      <c r="L75" s="1947" t="s">
        <v>10</v>
      </c>
      <c r="M75" s="1754">
        <f t="shared" si="38"/>
        <v>0</v>
      </c>
      <c r="N75" s="1712">
        <v>85</v>
      </c>
      <c r="O75" s="1712">
        <f t="shared" si="39"/>
        <v>0</v>
      </c>
      <c r="P75" s="1712">
        <f t="shared" si="40"/>
        <v>0</v>
      </c>
      <c r="Q75" s="1712">
        <f t="shared" si="41"/>
        <v>0</v>
      </c>
      <c r="R75" s="1757">
        <v>0.09</v>
      </c>
      <c r="S75" s="1712">
        <f>O75-Q75</f>
        <v>0</v>
      </c>
      <c r="T75" s="1712" t="str">
        <f t="shared" ref="T75:T138" si="42">IFERROR(Q75*10000/$E$6,"")</f>
        <v/>
      </c>
      <c r="U75" s="1712" t="e">
        <f t="shared" si="2"/>
        <v>#DIV/0!</v>
      </c>
      <c r="V75" s="1952"/>
    </row>
    <row r="76" spans="1:22" s="1942" customFormat="1" ht="14" hidden="1" customHeight="1" outlineLevel="2">
      <c r="A76" s="1944"/>
      <c r="B76" s="1978" t="s">
        <v>3468</v>
      </c>
      <c r="C76" s="1810"/>
      <c r="D76" s="2008" t="s">
        <v>668</v>
      </c>
      <c r="E76" s="2009" t="s">
        <v>3469</v>
      </c>
      <c r="F76" s="1462" t="s">
        <v>3470</v>
      </c>
      <c r="G76" s="1953" t="s">
        <v>4135</v>
      </c>
      <c r="H76" s="1975" t="s">
        <v>10</v>
      </c>
      <c r="I76" s="1712">
        <f>+E5</f>
        <v>0</v>
      </c>
      <c r="J76" s="2099">
        <v>1</v>
      </c>
      <c r="K76" s="1950" t="s">
        <v>101</v>
      </c>
      <c r="L76" s="1947" t="s">
        <v>10</v>
      </c>
      <c r="M76" s="1754">
        <f t="shared" si="38"/>
        <v>0</v>
      </c>
      <c r="N76" s="2169">
        <v>165</v>
      </c>
      <c r="O76" s="1712">
        <f t="shared" si="39"/>
        <v>0</v>
      </c>
      <c r="P76" s="1712">
        <f t="shared" si="40"/>
        <v>0</v>
      </c>
      <c r="Q76" s="1712">
        <f t="shared" si="41"/>
        <v>0</v>
      </c>
      <c r="R76" s="1757">
        <v>0.13</v>
      </c>
      <c r="S76" s="1712">
        <f>O76-Q76</f>
        <v>0</v>
      </c>
      <c r="T76" s="1712" t="str">
        <f t="shared" si="42"/>
        <v/>
      </c>
      <c r="U76" s="1712" t="e">
        <f t="shared" si="2"/>
        <v>#DIV/0!</v>
      </c>
      <c r="V76" s="1952"/>
    </row>
    <row r="77" spans="1:22" s="1942" customFormat="1" ht="14" hidden="1" customHeight="1" outlineLevel="2">
      <c r="A77" s="1944"/>
      <c r="B77" s="1978" t="s">
        <v>3471</v>
      </c>
      <c r="C77" s="1810"/>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t="str">
        <f t="shared" si="42"/>
        <v/>
      </c>
      <c r="U77" s="1712" t="e">
        <f t="shared" ref="U77:U140" si="43">+O77/$E$5*10000</f>
        <v>#DIV/0!</v>
      </c>
      <c r="V77" s="2015"/>
    </row>
    <row r="78" spans="1:22" s="1942" customFormat="1" ht="14" hidden="1" customHeight="1" outlineLevel="3">
      <c r="A78" s="1944"/>
      <c r="B78" s="1978" t="s">
        <v>3473</v>
      </c>
      <c r="C78" s="1810"/>
      <c r="D78" s="2008" t="s">
        <v>3474</v>
      </c>
      <c r="E78" s="2009" t="s">
        <v>3475</v>
      </c>
      <c r="F78" s="1462" t="s">
        <v>456</v>
      </c>
      <c r="G78" s="1953" t="s">
        <v>4136</v>
      </c>
      <c r="H78" s="1947" t="s">
        <v>18</v>
      </c>
      <c r="I78" s="1948">
        <f>$G$5</f>
        <v>0</v>
      </c>
      <c r="J78" s="2099">
        <v>1</v>
      </c>
      <c r="K78" s="2016" t="s">
        <v>4046</v>
      </c>
      <c r="L78" s="1947" t="s">
        <v>4047</v>
      </c>
      <c r="M78" s="1754">
        <f t="shared" si="38"/>
        <v>0</v>
      </c>
      <c r="N78" s="1712">
        <v>50000</v>
      </c>
      <c r="O78" s="1712">
        <f t="shared" ref="O78:O81" si="44">ROUND(M78*ROUND(N78,2)/10000,6)</f>
        <v>0</v>
      </c>
      <c r="P78" s="1712">
        <f t="shared" ref="P78:P81" si="45">IFERROR(ROUND(Q78*10000/M78,2),0)</f>
        <v>0</v>
      </c>
      <c r="Q78" s="1712">
        <f t="shared" ref="Q78:Q81" si="46">ROUND(O78/(1+R78),6)</f>
        <v>0</v>
      </c>
      <c r="R78" s="1757">
        <v>0.13</v>
      </c>
      <c r="S78" s="1712">
        <f>O78-Q78</f>
        <v>0</v>
      </c>
      <c r="T78" s="1712" t="str">
        <f t="shared" si="42"/>
        <v/>
      </c>
      <c r="U78" s="1712" t="e">
        <f t="shared" si="43"/>
        <v>#DIV/0!</v>
      </c>
      <c r="V78" s="1952"/>
    </row>
    <row r="79" spans="1:22" s="1942" customFormat="1" ht="14" hidden="1" customHeight="1" outlineLevel="3">
      <c r="A79" s="1944"/>
      <c r="B79" s="1978" t="s">
        <v>3476</v>
      </c>
      <c r="C79" s="1810"/>
      <c r="D79" s="2008" t="s">
        <v>3477</v>
      </c>
      <c r="E79" s="2009" t="s">
        <v>3478</v>
      </c>
      <c r="F79" s="1462" t="s">
        <v>460</v>
      </c>
      <c r="G79" s="1953" t="s">
        <v>4137</v>
      </c>
      <c r="H79" s="1947" t="s">
        <v>18</v>
      </c>
      <c r="I79" s="1948">
        <f>$G$5</f>
        <v>0</v>
      </c>
      <c r="J79" s="2099">
        <v>1</v>
      </c>
      <c r="K79" s="2016" t="s">
        <v>4046</v>
      </c>
      <c r="L79" s="1947" t="s">
        <v>4047</v>
      </c>
      <c r="M79" s="1754">
        <f t="shared" si="38"/>
        <v>0</v>
      </c>
      <c r="N79" s="1712">
        <v>10000</v>
      </c>
      <c r="O79" s="1712">
        <f t="shared" si="44"/>
        <v>0</v>
      </c>
      <c r="P79" s="1712">
        <f t="shared" si="45"/>
        <v>0</v>
      </c>
      <c r="Q79" s="1712">
        <f t="shared" si="46"/>
        <v>0</v>
      </c>
      <c r="R79" s="1757">
        <v>0.09</v>
      </c>
      <c r="S79" s="1712">
        <f>O79-Q79</f>
        <v>0</v>
      </c>
      <c r="T79" s="1712" t="str">
        <f t="shared" si="42"/>
        <v/>
      </c>
      <c r="U79" s="1712" t="e">
        <f t="shared" si="43"/>
        <v>#DIV/0!</v>
      </c>
      <c r="V79" s="1952"/>
    </row>
    <row r="80" spans="1:22" s="1942" customFormat="1" ht="14" hidden="1"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38"/>
        <v>0</v>
      </c>
      <c r="N80" s="1712"/>
      <c r="O80" s="1712">
        <f t="shared" si="44"/>
        <v>0</v>
      </c>
      <c r="P80" s="1712">
        <f t="shared" si="45"/>
        <v>0</v>
      </c>
      <c r="Q80" s="1712">
        <f t="shared" si="46"/>
        <v>0</v>
      </c>
      <c r="R80" s="1757">
        <v>0.13</v>
      </c>
      <c r="S80" s="1712">
        <f>O80-Q80</f>
        <v>0</v>
      </c>
      <c r="T80" s="1712" t="str">
        <f t="shared" si="42"/>
        <v/>
      </c>
      <c r="U80" s="1712" t="e">
        <f t="shared" si="43"/>
        <v>#DIV/0!</v>
      </c>
      <c r="V80" s="2015"/>
    </row>
    <row r="81" spans="1:22" s="1942" customFormat="1" ht="14" hidden="1"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38"/>
        <v>0</v>
      </c>
      <c r="N81" s="1712"/>
      <c r="O81" s="1712">
        <f t="shared" si="44"/>
        <v>0</v>
      </c>
      <c r="P81" s="1712">
        <f t="shared" si="45"/>
        <v>0</v>
      </c>
      <c r="Q81" s="1712">
        <f t="shared" si="46"/>
        <v>0</v>
      </c>
      <c r="R81" s="1757">
        <v>0.09</v>
      </c>
      <c r="S81" s="1712">
        <f>O81-Q81</f>
        <v>0</v>
      </c>
      <c r="T81" s="1712" t="str">
        <f t="shared" si="42"/>
        <v/>
      </c>
      <c r="U81" s="1712" t="e">
        <f t="shared" si="43"/>
        <v>#DIV/0!</v>
      </c>
      <c r="V81" s="2015"/>
    </row>
    <row r="82" spans="1:22" s="1942" customFormat="1" ht="14" hidden="1" customHeight="1" outlineLevel="2">
      <c r="A82" s="1944"/>
      <c r="B82" s="1978" t="s">
        <v>3484</v>
      </c>
      <c r="C82" s="1810"/>
      <c r="D82" s="2008" t="s">
        <v>3485</v>
      </c>
      <c r="E82" s="2009"/>
      <c r="F82" s="1462"/>
      <c r="G82" s="1953" t="s">
        <v>4117</v>
      </c>
      <c r="H82" s="1947"/>
      <c r="I82" s="1948"/>
      <c r="J82" s="2099"/>
      <c r="K82" s="2016"/>
      <c r="L82" s="1947"/>
      <c r="M82" s="1950"/>
      <c r="N82" s="1712"/>
      <c r="O82" s="1712">
        <f>SUBTOTAL(9,O83:O93)</f>
        <v>0</v>
      </c>
      <c r="P82" s="1712"/>
      <c r="Q82" s="1712">
        <f>SUBTOTAL(9,Q83:Q93)</f>
        <v>0</v>
      </c>
      <c r="R82" s="1712"/>
      <c r="S82" s="1712">
        <f>SUBTOTAL(9,S83:S93)</f>
        <v>0</v>
      </c>
      <c r="T82" s="1712" t="str">
        <f t="shared" si="42"/>
        <v/>
      </c>
      <c r="U82" s="1712" t="e">
        <f t="shared" si="43"/>
        <v>#DIV/0!</v>
      </c>
      <c r="V82" s="2015"/>
    </row>
    <row r="83" spans="1:22" s="1942" customFormat="1" ht="14" hidden="1" customHeight="1" outlineLevel="3">
      <c r="A83" s="1944"/>
      <c r="B83" s="1978" t="s">
        <v>3486</v>
      </c>
      <c r="C83" s="1810"/>
      <c r="D83" s="2128" t="s">
        <v>3487</v>
      </c>
      <c r="E83" s="2009" t="s">
        <v>3488</v>
      </c>
      <c r="F83" s="1462" t="s">
        <v>455</v>
      </c>
      <c r="G83" s="1953" t="s">
        <v>4128</v>
      </c>
      <c r="H83" s="1975" t="s">
        <v>10</v>
      </c>
      <c r="I83" s="1712">
        <f>$E$5</f>
        <v>0</v>
      </c>
      <c r="J83" s="2099">
        <v>1</v>
      </c>
      <c r="K83" s="1950" t="s">
        <v>101</v>
      </c>
      <c r="L83" s="1947" t="s">
        <v>10</v>
      </c>
      <c r="M83" s="1754">
        <f t="shared" si="38"/>
        <v>0</v>
      </c>
      <c r="N83" s="2169">
        <v>30</v>
      </c>
      <c r="O83" s="1712">
        <f t="shared" ref="O83" si="47">ROUND(M83*ROUND(N83,2)/10000,6)</f>
        <v>0</v>
      </c>
      <c r="P83" s="1712">
        <f t="shared" ref="P83" si="48">IFERROR(ROUND(Q83*10000/M83,2),0)</f>
        <v>0</v>
      </c>
      <c r="Q83" s="1712">
        <f t="shared" ref="Q83" si="49">ROUND(O83/(1+R83),6)</f>
        <v>0</v>
      </c>
      <c r="R83" s="1757">
        <v>0.09</v>
      </c>
      <c r="S83" s="1712">
        <f>O83-Q83</f>
        <v>0</v>
      </c>
      <c r="T83" s="1712" t="str">
        <f t="shared" si="42"/>
        <v/>
      </c>
      <c r="U83" s="1712" t="e">
        <f t="shared" si="43"/>
        <v>#DIV/0!</v>
      </c>
      <c r="V83" s="1952"/>
    </row>
    <row r="84" spans="1:22" s="1942" customFormat="1" ht="14" hidden="1" customHeight="1" outlineLevel="3">
      <c r="A84" s="1944"/>
      <c r="B84" s="1978" t="s">
        <v>3489</v>
      </c>
      <c r="C84" s="1810"/>
      <c r="D84" s="2128" t="s">
        <v>3490</v>
      </c>
      <c r="E84" s="2009" t="s">
        <v>3491</v>
      </c>
      <c r="F84" s="1462"/>
      <c r="G84" s="1953" t="s">
        <v>4117</v>
      </c>
      <c r="H84" s="1975"/>
      <c r="I84" s="1712"/>
      <c r="J84" s="2099"/>
      <c r="K84" s="1950"/>
      <c r="L84" s="1947" t="s">
        <v>10</v>
      </c>
      <c r="M84" s="1754"/>
      <c r="N84" s="1712"/>
      <c r="O84" s="1712">
        <f>SUBTOTAL(9,O85:O86)</f>
        <v>0</v>
      </c>
      <c r="P84" s="1983"/>
      <c r="Q84" s="1712">
        <f>SUBTOTAL(9,Q85:Q86)</f>
        <v>0</v>
      </c>
      <c r="R84" s="1757"/>
      <c r="S84" s="1712">
        <f>SUBTOTAL(9,S85:S86)</f>
        <v>0</v>
      </c>
      <c r="T84" s="1712" t="str">
        <f t="shared" si="42"/>
        <v/>
      </c>
      <c r="U84" s="1712" t="e">
        <f t="shared" si="43"/>
        <v>#DIV/0!</v>
      </c>
      <c r="V84" s="1952"/>
    </row>
    <row r="85" spans="1:22" s="1942" customFormat="1" ht="14" hidden="1" customHeight="1" outlineLevel="4">
      <c r="A85" s="1944"/>
      <c r="B85" s="1985" t="s">
        <v>4049</v>
      </c>
      <c r="C85" s="1828"/>
      <c r="D85" s="2129" t="s">
        <v>4050</v>
      </c>
      <c r="E85" s="2011"/>
      <c r="F85" s="1988" t="s">
        <v>455</v>
      </c>
      <c r="G85" s="1989" t="s">
        <v>4128</v>
      </c>
      <c r="H85" s="2012" t="s">
        <v>10</v>
      </c>
      <c r="I85" s="1991">
        <f>$E$5</f>
        <v>0</v>
      </c>
      <c r="J85" s="2124">
        <v>1</v>
      </c>
      <c r="K85" s="2000" t="s">
        <v>101</v>
      </c>
      <c r="L85" s="1990" t="s">
        <v>10</v>
      </c>
      <c r="M85" s="1991">
        <f t="shared" ref="M85:M94" si="50">ROUND(I85,2)*ROUND(J85,4)</f>
        <v>0</v>
      </c>
      <c r="N85" s="2169">
        <v>30</v>
      </c>
      <c r="O85" s="1991">
        <f t="shared" ref="O85:O94" si="51">ROUND(M85*ROUND(N85,2)/10000,6)</f>
        <v>0</v>
      </c>
      <c r="P85" s="1991">
        <f t="shared" ref="P85:P94" si="52">IFERROR(ROUND(Q85*10000/M85,2),0)</f>
        <v>0</v>
      </c>
      <c r="Q85" s="1991">
        <f t="shared" ref="Q85:Q94" si="53">ROUND(O85/(1+R85),6)</f>
        <v>0</v>
      </c>
      <c r="R85" s="1993">
        <v>0.09</v>
      </c>
      <c r="S85" s="1991">
        <f t="shared" ref="S85:S94" si="54">O85-Q85</f>
        <v>0</v>
      </c>
      <c r="T85" s="1991" t="str">
        <f t="shared" si="42"/>
        <v/>
      </c>
      <c r="U85" s="1991" t="e">
        <f t="shared" si="43"/>
        <v>#DIV/0!</v>
      </c>
      <c r="V85" s="1994"/>
    </row>
    <row r="86" spans="1:22" s="1942" customFormat="1" ht="13.75" hidden="1" customHeight="1" outlineLevel="4">
      <c r="A86" s="1944"/>
      <c r="B86" s="1985" t="s">
        <v>4051</v>
      </c>
      <c r="C86" s="1828"/>
      <c r="D86" s="2129" t="s">
        <v>4052</v>
      </c>
      <c r="E86" s="2011"/>
      <c r="F86" s="1988" t="s">
        <v>3831</v>
      </c>
      <c r="G86" s="1989" t="s">
        <v>4138</v>
      </c>
      <c r="H86" s="2012" t="s">
        <v>10</v>
      </c>
      <c r="I86" s="1991">
        <f>$E$5</f>
        <v>0</v>
      </c>
      <c r="J86" s="2124">
        <v>1</v>
      </c>
      <c r="K86" s="2000" t="s">
        <v>101</v>
      </c>
      <c r="L86" s="1990" t="s">
        <v>10</v>
      </c>
      <c r="M86" s="1991">
        <f t="shared" si="50"/>
        <v>0</v>
      </c>
      <c r="N86" s="1991">
        <v>10</v>
      </c>
      <c r="O86" s="1991">
        <f t="shared" si="51"/>
        <v>0</v>
      </c>
      <c r="P86" s="1991">
        <f t="shared" si="52"/>
        <v>0</v>
      </c>
      <c r="Q86" s="1991">
        <f t="shared" si="53"/>
        <v>0</v>
      </c>
      <c r="R86" s="1993">
        <v>0.13</v>
      </c>
      <c r="S86" s="1991">
        <f t="shared" si="54"/>
        <v>0</v>
      </c>
      <c r="T86" s="1991" t="str">
        <f t="shared" si="42"/>
        <v/>
      </c>
      <c r="U86" s="1991" t="e">
        <f t="shared" si="43"/>
        <v>#DIV/0!</v>
      </c>
      <c r="V86" s="1994"/>
    </row>
    <row r="87" spans="1:22" s="1942" customFormat="1" ht="14" hidden="1" customHeight="1" outlineLevel="3">
      <c r="A87" s="1944"/>
      <c r="B87" s="1978" t="s">
        <v>3492</v>
      </c>
      <c r="C87" s="1810"/>
      <c r="D87" s="2128" t="s">
        <v>3493</v>
      </c>
      <c r="E87" s="2009" t="s">
        <v>3494</v>
      </c>
      <c r="F87" s="1462" t="s">
        <v>455</v>
      </c>
      <c r="G87" s="1953" t="s">
        <v>4128</v>
      </c>
      <c r="H87" s="1975" t="s">
        <v>10</v>
      </c>
      <c r="I87" s="1712">
        <f>$E$5</f>
        <v>0</v>
      </c>
      <c r="J87" s="2099">
        <v>1</v>
      </c>
      <c r="K87" s="1950" t="s">
        <v>101</v>
      </c>
      <c r="L87" s="1947" t="s">
        <v>10</v>
      </c>
      <c r="M87" s="1754">
        <f t="shared" si="50"/>
        <v>0</v>
      </c>
      <c r="N87" s="2169">
        <v>12.5</v>
      </c>
      <c r="O87" s="1712">
        <f t="shared" si="51"/>
        <v>0</v>
      </c>
      <c r="P87" s="1712">
        <f t="shared" si="52"/>
        <v>0</v>
      </c>
      <c r="Q87" s="1712">
        <f t="shared" si="53"/>
        <v>0</v>
      </c>
      <c r="R87" s="1757">
        <v>0.09</v>
      </c>
      <c r="S87" s="1712">
        <f t="shared" si="54"/>
        <v>0</v>
      </c>
      <c r="T87" s="1712" t="str">
        <f t="shared" si="42"/>
        <v/>
      </c>
      <c r="U87" s="1712" t="e">
        <f t="shared" si="43"/>
        <v>#DIV/0!</v>
      </c>
      <c r="V87" s="1952"/>
    </row>
    <row r="88" spans="1:22" s="1942" customFormat="1" ht="14" hidden="1" customHeight="1" outlineLevel="3">
      <c r="A88" s="1944"/>
      <c r="B88" s="1978" t="s">
        <v>3495</v>
      </c>
      <c r="C88" s="1810"/>
      <c r="D88" s="2128" t="s">
        <v>3496</v>
      </c>
      <c r="E88" s="2009" t="s">
        <v>3497</v>
      </c>
      <c r="F88" s="1462" t="s">
        <v>455</v>
      </c>
      <c r="G88" s="1953" t="s">
        <v>4128</v>
      </c>
      <c r="H88" s="1975" t="s">
        <v>10</v>
      </c>
      <c r="I88" s="1712">
        <f t="shared" ref="I88:I99" si="55">$E$5</f>
        <v>0</v>
      </c>
      <c r="J88" s="2099">
        <v>1</v>
      </c>
      <c r="K88" s="1950" t="s">
        <v>101</v>
      </c>
      <c r="L88" s="1947" t="s">
        <v>10</v>
      </c>
      <c r="M88" s="1754">
        <f t="shared" si="50"/>
        <v>0</v>
      </c>
      <c r="N88" s="1712"/>
      <c r="O88" s="1712">
        <f t="shared" si="51"/>
        <v>0</v>
      </c>
      <c r="P88" s="1712">
        <f t="shared" si="52"/>
        <v>0</v>
      </c>
      <c r="Q88" s="1712">
        <f t="shared" si="53"/>
        <v>0</v>
      </c>
      <c r="R88" s="1757">
        <v>0.09</v>
      </c>
      <c r="S88" s="1712">
        <f t="shared" si="54"/>
        <v>0</v>
      </c>
      <c r="T88" s="1712" t="str">
        <f t="shared" si="42"/>
        <v/>
      </c>
      <c r="U88" s="1712" t="e">
        <f t="shared" si="43"/>
        <v>#DIV/0!</v>
      </c>
      <c r="V88" s="1952"/>
    </row>
    <row r="89" spans="1:22" s="1942" customFormat="1" ht="14" hidden="1" customHeight="1" outlineLevel="3">
      <c r="A89" s="1944"/>
      <c r="B89" s="1978" t="s">
        <v>3498</v>
      </c>
      <c r="C89" s="1810"/>
      <c r="D89" s="2128" t="s">
        <v>3499</v>
      </c>
      <c r="E89" s="2009" t="s">
        <v>3500</v>
      </c>
      <c r="F89" s="1462" t="s">
        <v>455</v>
      </c>
      <c r="G89" s="1953" t="s">
        <v>4128</v>
      </c>
      <c r="H89" s="1975" t="s">
        <v>10</v>
      </c>
      <c r="I89" s="1712">
        <f t="shared" si="55"/>
        <v>0</v>
      </c>
      <c r="J89" s="2099">
        <v>1</v>
      </c>
      <c r="K89" s="1950" t="s">
        <v>101</v>
      </c>
      <c r="L89" s="1947" t="s">
        <v>10</v>
      </c>
      <c r="M89" s="1754">
        <f t="shared" si="50"/>
        <v>0</v>
      </c>
      <c r="N89" s="2169">
        <v>7.5</v>
      </c>
      <c r="O89" s="1712">
        <f t="shared" si="51"/>
        <v>0</v>
      </c>
      <c r="P89" s="1712">
        <f t="shared" si="52"/>
        <v>0</v>
      </c>
      <c r="Q89" s="1712">
        <f t="shared" si="53"/>
        <v>0</v>
      </c>
      <c r="R89" s="1757">
        <v>0.09</v>
      </c>
      <c r="S89" s="1712">
        <f t="shared" si="54"/>
        <v>0</v>
      </c>
      <c r="T89" s="1712" t="str">
        <f t="shared" si="42"/>
        <v/>
      </c>
      <c r="U89" s="1712" t="e">
        <f t="shared" si="43"/>
        <v>#DIV/0!</v>
      </c>
      <c r="V89" s="1952"/>
    </row>
    <row r="90" spans="1:22" s="1942" customFormat="1" ht="14" hidden="1" customHeight="1" outlineLevel="3">
      <c r="A90" s="1944"/>
      <c r="B90" s="1978" t="s">
        <v>3501</v>
      </c>
      <c r="C90" s="1810"/>
      <c r="D90" s="2128" t="s">
        <v>3502</v>
      </c>
      <c r="E90" s="2009" t="s">
        <v>3503</v>
      </c>
      <c r="F90" s="1462" t="s">
        <v>455</v>
      </c>
      <c r="G90" s="1953" t="s">
        <v>4128</v>
      </c>
      <c r="H90" s="1975" t="s">
        <v>10</v>
      </c>
      <c r="I90" s="1712">
        <f t="shared" si="55"/>
        <v>0</v>
      </c>
      <c r="J90" s="2099">
        <v>1</v>
      </c>
      <c r="K90" s="1950" t="s">
        <v>101</v>
      </c>
      <c r="L90" s="1947" t="s">
        <v>10</v>
      </c>
      <c r="M90" s="1754">
        <f t="shared" si="50"/>
        <v>0</v>
      </c>
      <c r="N90" s="1712"/>
      <c r="O90" s="1712">
        <f t="shared" si="51"/>
        <v>0</v>
      </c>
      <c r="P90" s="1712">
        <f t="shared" si="52"/>
        <v>0</v>
      </c>
      <c r="Q90" s="1712">
        <f t="shared" si="53"/>
        <v>0</v>
      </c>
      <c r="R90" s="1757">
        <v>0.09</v>
      </c>
      <c r="S90" s="1712">
        <f t="shared" si="54"/>
        <v>0</v>
      </c>
      <c r="T90" s="1712" t="str">
        <f t="shared" si="42"/>
        <v/>
      </c>
      <c r="U90" s="1712" t="e">
        <f t="shared" si="43"/>
        <v>#DIV/0!</v>
      </c>
      <c r="V90" s="2015"/>
    </row>
    <row r="91" spans="1:22" s="1942" customFormat="1" ht="14" hidden="1" customHeight="1" outlineLevel="3">
      <c r="A91" s="1944"/>
      <c r="B91" s="1978" t="s">
        <v>3504</v>
      </c>
      <c r="C91" s="1810"/>
      <c r="D91" s="2128" t="s">
        <v>3505</v>
      </c>
      <c r="E91" s="2009" t="s">
        <v>3506</v>
      </c>
      <c r="F91" s="1462" t="s">
        <v>455</v>
      </c>
      <c r="G91" s="1953" t="s">
        <v>4128</v>
      </c>
      <c r="H91" s="1975" t="s">
        <v>10</v>
      </c>
      <c r="I91" s="1712">
        <f t="shared" si="55"/>
        <v>0</v>
      </c>
      <c r="J91" s="2099">
        <v>1</v>
      </c>
      <c r="K91" s="1950" t="s">
        <v>101</v>
      </c>
      <c r="L91" s="1947" t="s">
        <v>10</v>
      </c>
      <c r="M91" s="1754">
        <f t="shared" si="50"/>
        <v>0</v>
      </c>
      <c r="N91" s="1712"/>
      <c r="O91" s="1712">
        <f t="shared" si="51"/>
        <v>0</v>
      </c>
      <c r="P91" s="1712">
        <f t="shared" si="52"/>
        <v>0</v>
      </c>
      <c r="Q91" s="1712">
        <f t="shared" si="53"/>
        <v>0</v>
      </c>
      <c r="R91" s="1757">
        <v>0.09</v>
      </c>
      <c r="S91" s="1712">
        <f t="shared" si="54"/>
        <v>0</v>
      </c>
      <c r="T91" s="1712" t="str">
        <f t="shared" si="42"/>
        <v/>
      </c>
      <c r="U91" s="1712" t="e">
        <f t="shared" si="43"/>
        <v>#DIV/0!</v>
      </c>
      <c r="V91" s="2015"/>
    </row>
    <row r="92" spans="1:22" s="1942" customFormat="1" ht="14" hidden="1" customHeight="1" outlineLevel="3">
      <c r="A92" s="1944"/>
      <c r="B92" s="1978" t="s">
        <v>3507</v>
      </c>
      <c r="C92" s="1810"/>
      <c r="D92" s="2128" t="s">
        <v>3508</v>
      </c>
      <c r="E92" s="2009" t="s">
        <v>3509</v>
      </c>
      <c r="F92" s="1462" t="s">
        <v>455</v>
      </c>
      <c r="G92" s="1953" t="s">
        <v>4128</v>
      </c>
      <c r="H92" s="1975" t="s">
        <v>10</v>
      </c>
      <c r="I92" s="1712">
        <f t="shared" si="55"/>
        <v>0</v>
      </c>
      <c r="J92" s="2099">
        <v>1</v>
      </c>
      <c r="K92" s="1950" t="s">
        <v>101</v>
      </c>
      <c r="L92" s="1947" t="s">
        <v>10</v>
      </c>
      <c r="M92" s="1754">
        <f t="shared" si="50"/>
        <v>0</v>
      </c>
      <c r="N92" s="1712"/>
      <c r="O92" s="1712">
        <f t="shared" si="51"/>
        <v>0</v>
      </c>
      <c r="P92" s="1712">
        <f t="shared" si="52"/>
        <v>0</v>
      </c>
      <c r="Q92" s="1712">
        <f t="shared" si="53"/>
        <v>0</v>
      </c>
      <c r="R92" s="1757">
        <v>0.09</v>
      </c>
      <c r="S92" s="1712">
        <f t="shared" si="54"/>
        <v>0</v>
      </c>
      <c r="T92" s="1712" t="str">
        <f t="shared" si="42"/>
        <v/>
      </c>
      <c r="U92" s="1712" t="e">
        <f t="shared" si="43"/>
        <v>#DIV/0!</v>
      </c>
      <c r="V92" s="2015"/>
    </row>
    <row r="93" spans="1:22" s="1942" customFormat="1" ht="14" hidden="1" customHeight="1" outlineLevel="3">
      <c r="A93" s="1944"/>
      <c r="B93" s="1978" t="s">
        <v>3510</v>
      </c>
      <c r="C93" s="1810"/>
      <c r="D93" s="2128" t="s">
        <v>3511</v>
      </c>
      <c r="E93" s="2009" t="s">
        <v>3512</v>
      </c>
      <c r="F93" s="1462" t="s">
        <v>455</v>
      </c>
      <c r="G93" s="1953" t="s">
        <v>4128</v>
      </c>
      <c r="H93" s="1975" t="s">
        <v>10</v>
      </c>
      <c r="I93" s="1712">
        <f t="shared" si="55"/>
        <v>0</v>
      </c>
      <c r="J93" s="2099">
        <v>1</v>
      </c>
      <c r="K93" s="1950" t="s">
        <v>101</v>
      </c>
      <c r="L93" s="1947" t="s">
        <v>10</v>
      </c>
      <c r="M93" s="1754">
        <f t="shared" si="50"/>
        <v>0</v>
      </c>
      <c r="N93" s="2169">
        <v>5</v>
      </c>
      <c r="O93" s="1712">
        <f t="shared" si="51"/>
        <v>0</v>
      </c>
      <c r="P93" s="1712">
        <f t="shared" si="52"/>
        <v>0</v>
      </c>
      <c r="Q93" s="1712">
        <f t="shared" si="53"/>
        <v>0</v>
      </c>
      <c r="R93" s="1757">
        <v>0.09</v>
      </c>
      <c r="S93" s="1712">
        <f t="shared" si="54"/>
        <v>0</v>
      </c>
      <c r="T93" s="1712" t="str">
        <f t="shared" si="42"/>
        <v/>
      </c>
      <c r="U93" s="1712" t="e">
        <f t="shared" si="43"/>
        <v>#DIV/0!</v>
      </c>
      <c r="V93" s="2015"/>
    </row>
    <row r="94" spans="1:22" s="1942" customFormat="1" ht="14" hidden="1" customHeight="1" outlineLevel="2">
      <c r="A94" s="1944"/>
      <c r="B94" s="1978" t="s">
        <v>3513</v>
      </c>
      <c r="C94" s="1810"/>
      <c r="D94" s="2008" t="s">
        <v>3514</v>
      </c>
      <c r="E94" s="2009" t="s">
        <v>3515</v>
      </c>
      <c r="F94" s="1462" t="s">
        <v>455</v>
      </c>
      <c r="G94" s="1953" t="s">
        <v>4128</v>
      </c>
      <c r="H94" s="1975" t="s">
        <v>10</v>
      </c>
      <c r="I94" s="1712">
        <f t="shared" si="55"/>
        <v>0</v>
      </c>
      <c r="J94" s="2099">
        <v>1</v>
      </c>
      <c r="K94" s="1950" t="s">
        <v>101</v>
      </c>
      <c r="L94" s="1947" t="s">
        <v>10</v>
      </c>
      <c r="M94" s="1754">
        <f t="shared" si="50"/>
        <v>0</v>
      </c>
      <c r="N94" s="2169">
        <v>53</v>
      </c>
      <c r="O94" s="1712">
        <f t="shared" si="51"/>
        <v>0</v>
      </c>
      <c r="P94" s="1712">
        <f t="shared" si="52"/>
        <v>0</v>
      </c>
      <c r="Q94" s="1712">
        <f t="shared" si="53"/>
        <v>0</v>
      </c>
      <c r="R94" s="1757">
        <v>0.09</v>
      </c>
      <c r="S94" s="1712">
        <f t="shared" si="54"/>
        <v>0</v>
      </c>
      <c r="T94" s="1712" t="str">
        <f t="shared" si="42"/>
        <v/>
      </c>
      <c r="U94" s="1712" t="e">
        <f t="shared" si="43"/>
        <v>#DIV/0!</v>
      </c>
      <c r="V94" s="1952"/>
    </row>
    <row r="95" spans="1:22" s="1942" customFormat="1" ht="14" hidden="1"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t="str">
        <f t="shared" si="42"/>
        <v/>
      </c>
      <c r="U95" s="1712" t="e">
        <f t="shared" si="43"/>
        <v>#DIV/0!</v>
      </c>
      <c r="V95" s="2015"/>
    </row>
    <row r="96" spans="1:22" s="1942" customFormat="1" ht="14" hidden="1" customHeight="1" outlineLevel="3">
      <c r="A96" s="1944"/>
      <c r="B96" s="1978" t="s">
        <v>3518</v>
      </c>
      <c r="C96" s="1810"/>
      <c r="D96" s="2008" t="s">
        <v>3519</v>
      </c>
      <c r="E96" s="2009" t="s">
        <v>3520</v>
      </c>
      <c r="F96" s="1462" t="s">
        <v>3521</v>
      </c>
      <c r="G96" s="1953" t="s">
        <v>4139</v>
      </c>
      <c r="H96" s="1947" t="s">
        <v>10</v>
      </c>
      <c r="I96" s="1712">
        <f t="shared" si="55"/>
        <v>0</v>
      </c>
      <c r="J96" s="2099">
        <v>1</v>
      </c>
      <c r="K96" s="1950" t="s">
        <v>101</v>
      </c>
      <c r="L96" s="1947" t="s">
        <v>10</v>
      </c>
      <c r="M96" s="1754">
        <f t="shared" ref="M96:M99" si="56">ROUND(I96,2)*ROUND(J96,4)</f>
        <v>0</v>
      </c>
      <c r="N96" s="1712">
        <v>350</v>
      </c>
      <c r="O96" s="1712">
        <f t="shared" ref="O96:O99" si="57">ROUND(M96*ROUND(N96,2)/10000,6)</f>
        <v>0</v>
      </c>
      <c r="P96" s="1712">
        <f t="shared" ref="P96:P99" si="58">IFERROR(ROUND(Q96*10000/M96,2),0)</f>
        <v>0</v>
      </c>
      <c r="Q96" s="1712">
        <f t="shared" ref="Q96:Q99" si="59">ROUND(O96/(1+R96),6)</f>
        <v>0</v>
      </c>
      <c r="R96" s="1757">
        <v>0.13</v>
      </c>
      <c r="S96" s="1712">
        <f>O96-Q96</f>
        <v>0</v>
      </c>
      <c r="T96" s="1712" t="str">
        <f t="shared" si="42"/>
        <v/>
      </c>
      <c r="U96" s="1712" t="e">
        <f t="shared" si="43"/>
        <v>#DIV/0!</v>
      </c>
      <c r="V96" s="2015"/>
    </row>
    <row r="97" spans="1:22" s="1942" customFormat="1" ht="14" hidden="1" customHeight="1" outlineLevel="3">
      <c r="A97" s="1944"/>
      <c r="B97" s="1978" t="s">
        <v>3522</v>
      </c>
      <c r="C97" s="1810"/>
      <c r="D97" s="2008" t="s">
        <v>3523</v>
      </c>
      <c r="E97" s="2009" t="s">
        <v>3524</v>
      </c>
      <c r="F97" s="1462" t="s">
        <v>3521</v>
      </c>
      <c r="G97" s="1953" t="s">
        <v>4139</v>
      </c>
      <c r="H97" s="1975" t="s">
        <v>10</v>
      </c>
      <c r="I97" s="1712">
        <f t="shared" si="55"/>
        <v>0</v>
      </c>
      <c r="J97" s="2099">
        <v>1</v>
      </c>
      <c r="K97" s="1950" t="s">
        <v>101</v>
      </c>
      <c r="L97" s="1947" t="s">
        <v>10</v>
      </c>
      <c r="M97" s="1754">
        <f t="shared" si="56"/>
        <v>0</v>
      </c>
      <c r="N97" s="1712"/>
      <c r="O97" s="1712">
        <f t="shared" si="57"/>
        <v>0</v>
      </c>
      <c r="P97" s="1712">
        <f t="shared" si="58"/>
        <v>0</v>
      </c>
      <c r="Q97" s="1712">
        <f t="shared" si="59"/>
        <v>0</v>
      </c>
      <c r="R97" s="1757">
        <v>0.13</v>
      </c>
      <c r="S97" s="1712">
        <f>O97-Q97</f>
        <v>0</v>
      </c>
      <c r="T97" s="1712" t="str">
        <f t="shared" si="42"/>
        <v/>
      </c>
      <c r="U97" s="1712" t="e">
        <f t="shared" si="43"/>
        <v>#DIV/0!</v>
      </c>
      <c r="V97" s="2015"/>
    </row>
    <row r="98" spans="1:22" s="1942" customFormat="1" ht="14" hidden="1" customHeight="1" outlineLevel="3">
      <c r="A98" s="1944"/>
      <c r="B98" s="1978" t="s">
        <v>3525</v>
      </c>
      <c r="C98" s="1810"/>
      <c r="D98" s="2008" t="s">
        <v>3526</v>
      </c>
      <c r="E98" s="2009" t="s">
        <v>3527</v>
      </c>
      <c r="F98" s="1462" t="s">
        <v>3521</v>
      </c>
      <c r="G98" s="1953" t="s">
        <v>4139</v>
      </c>
      <c r="H98" s="1975" t="s">
        <v>10</v>
      </c>
      <c r="I98" s="1712">
        <f t="shared" si="55"/>
        <v>0</v>
      </c>
      <c r="J98" s="2099">
        <v>1</v>
      </c>
      <c r="K98" s="1950" t="s">
        <v>101</v>
      </c>
      <c r="L98" s="1947" t="s">
        <v>10</v>
      </c>
      <c r="M98" s="1754">
        <f t="shared" si="56"/>
        <v>0</v>
      </c>
      <c r="N98" s="1712"/>
      <c r="O98" s="1712">
        <f t="shared" si="57"/>
        <v>0</v>
      </c>
      <c r="P98" s="1712">
        <f t="shared" si="58"/>
        <v>0</v>
      </c>
      <c r="Q98" s="1712">
        <f t="shared" si="59"/>
        <v>0</v>
      </c>
      <c r="R98" s="1757">
        <v>0.13</v>
      </c>
      <c r="S98" s="1712">
        <f>O98-Q98</f>
        <v>0</v>
      </c>
      <c r="T98" s="1712" t="str">
        <f t="shared" si="42"/>
        <v/>
      </c>
      <c r="U98" s="1712" t="e">
        <f t="shared" si="43"/>
        <v>#DIV/0!</v>
      </c>
      <c r="V98" s="2015"/>
    </row>
    <row r="99" spans="1:22" s="1942" customFormat="1" ht="14" hidden="1" customHeight="1" outlineLevel="2">
      <c r="A99" s="1944"/>
      <c r="B99" s="1978" t="s">
        <v>3528</v>
      </c>
      <c r="C99" s="1810"/>
      <c r="D99" s="2128" t="s">
        <v>3529</v>
      </c>
      <c r="E99" s="2009" t="s">
        <v>3530</v>
      </c>
      <c r="F99" s="1462" t="s">
        <v>3531</v>
      </c>
      <c r="G99" s="1953" t="s">
        <v>4140</v>
      </c>
      <c r="H99" s="1975" t="s">
        <v>10</v>
      </c>
      <c r="I99" s="1712">
        <f t="shared" si="55"/>
        <v>0</v>
      </c>
      <c r="J99" s="2099">
        <v>1</v>
      </c>
      <c r="K99" s="1950" t="s">
        <v>101</v>
      </c>
      <c r="L99" s="1947" t="s">
        <v>10</v>
      </c>
      <c r="M99" s="1754">
        <f t="shared" si="56"/>
        <v>0</v>
      </c>
      <c r="N99" s="1712"/>
      <c r="O99" s="1712">
        <f t="shared" si="57"/>
        <v>0</v>
      </c>
      <c r="P99" s="1712">
        <f t="shared" si="58"/>
        <v>0</v>
      </c>
      <c r="Q99" s="1712">
        <f t="shared" si="59"/>
        <v>0</v>
      </c>
      <c r="R99" s="1757">
        <v>0.09</v>
      </c>
      <c r="S99" s="1712">
        <f>O99-Q99</f>
        <v>0</v>
      </c>
      <c r="T99" s="1712" t="str">
        <f t="shared" si="42"/>
        <v/>
      </c>
      <c r="U99" s="1712" t="e">
        <f t="shared" si="43"/>
        <v>#DIV/0!</v>
      </c>
      <c r="V99" s="2015"/>
    </row>
    <row r="100" spans="1:22" ht="13" collapsed="1">
      <c r="A100" s="2019"/>
      <c r="B100" s="1684">
        <v>5001.04</v>
      </c>
      <c r="C100" s="1685"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t="str">
        <f t="shared" si="42"/>
        <v/>
      </c>
      <c r="U100" s="1963" t="e">
        <f t="shared" si="43"/>
        <v>#DIV/0!</v>
      </c>
      <c r="V100" s="1964"/>
    </row>
    <row r="101" spans="1:22" ht="13" hidden="1" outlineLevel="1">
      <c r="A101" s="2019"/>
      <c r="B101" s="2023" t="s">
        <v>676</v>
      </c>
      <c r="C101" s="1852">
        <v>1</v>
      </c>
      <c r="D101" s="2024" t="s">
        <v>22</v>
      </c>
      <c r="E101" s="2025"/>
      <c r="F101" s="1968"/>
      <c r="G101" s="2007" t="s">
        <v>4117</v>
      </c>
      <c r="H101" s="1967"/>
      <c r="I101" s="1969"/>
      <c r="J101" s="2116"/>
      <c r="K101" s="1971"/>
      <c r="L101" s="1967"/>
      <c r="M101" s="1971"/>
      <c r="N101" s="1973"/>
      <c r="O101" s="1973">
        <f>SUBTOTAL(9,O102:O119)</f>
        <v>0</v>
      </c>
      <c r="P101" s="1973"/>
      <c r="Q101" s="1973">
        <f>SUBTOTAL(9,Q102:Q119)</f>
        <v>0</v>
      </c>
      <c r="R101" s="1973"/>
      <c r="S101" s="1973">
        <f>SUBTOTAL(9,S102:S119)</f>
        <v>0</v>
      </c>
      <c r="T101" s="1973" t="str">
        <f t="shared" si="42"/>
        <v/>
      </c>
      <c r="U101" s="1973" t="e">
        <f t="shared" si="43"/>
        <v>#DIV/0!</v>
      </c>
      <c r="V101" s="1974"/>
    </row>
    <row r="102" spans="1:22" s="1942" customFormat="1" ht="13" hidden="1" outlineLevel="2">
      <c r="A102" s="1944"/>
      <c r="B102" s="1807" t="s">
        <v>677</v>
      </c>
      <c r="C102" s="1808"/>
      <c r="D102" s="2133" t="s">
        <v>3575</v>
      </c>
      <c r="E102" s="2009" t="s">
        <v>3576</v>
      </c>
      <c r="F102" s="1462" t="s">
        <v>3577</v>
      </c>
      <c r="G102" s="1953" t="s">
        <v>4141</v>
      </c>
      <c r="H102" s="1975" t="s">
        <v>10</v>
      </c>
      <c r="I102" s="1712">
        <f>$E$5</f>
        <v>0</v>
      </c>
      <c r="J102" s="2099">
        <v>1</v>
      </c>
      <c r="K102" s="1950" t="s">
        <v>101</v>
      </c>
      <c r="L102" s="1947" t="s">
        <v>10</v>
      </c>
      <c r="M102" s="1754">
        <f t="shared" ref="M102:M123" si="60">ROUND(I102,2)*ROUND(J102,4)</f>
        <v>0</v>
      </c>
      <c r="N102" s="1712">
        <v>400</v>
      </c>
      <c r="O102" s="1712">
        <f t="shared" ref="O102:O119" si="61">ROUND(M102*ROUND(N102,2)/10000,6)</f>
        <v>0</v>
      </c>
      <c r="P102" s="1712">
        <f t="shared" ref="P102:P119" si="62">IFERROR(ROUND(Q102*10000/M102,2),0)</f>
        <v>0</v>
      </c>
      <c r="Q102" s="1712">
        <f t="shared" ref="Q102:Q119" si="63">ROUND(O102/(1+R102),6)</f>
        <v>0</v>
      </c>
      <c r="R102" s="1757">
        <v>0.09</v>
      </c>
      <c r="S102" s="1712">
        <f t="shared" ref="S102:S119" si="64">O102-Q102</f>
        <v>0</v>
      </c>
      <c r="T102" s="1712" t="str">
        <f t="shared" si="42"/>
        <v/>
      </c>
      <c r="U102" s="1712" t="e">
        <f t="shared" si="43"/>
        <v>#DIV/0!</v>
      </c>
      <c r="V102" s="1952"/>
    </row>
    <row r="103" spans="1:22" s="1942" customFormat="1" ht="13" hidden="1" outlineLevel="2">
      <c r="A103" s="1944"/>
      <c r="B103" s="1807" t="s">
        <v>678</v>
      </c>
      <c r="C103" s="1808"/>
      <c r="D103" s="2133" t="s">
        <v>3578</v>
      </c>
      <c r="E103" s="2009" t="s">
        <v>3579</v>
      </c>
      <c r="F103" s="1462" t="s">
        <v>3580</v>
      </c>
      <c r="G103" s="1953" t="s">
        <v>4142</v>
      </c>
      <c r="H103" s="1947" t="s">
        <v>3926</v>
      </c>
      <c r="I103" s="1712">
        <f>$G$7</f>
        <v>0</v>
      </c>
      <c r="J103" s="2099">
        <v>5</v>
      </c>
      <c r="K103" s="1950" t="s">
        <v>4</v>
      </c>
      <c r="L103" s="1947" t="s">
        <v>4053</v>
      </c>
      <c r="M103" s="1754">
        <f t="shared" si="60"/>
        <v>0</v>
      </c>
      <c r="N103" s="1712"/>
      <c r="O103" s="1712">
        <f t="shared" si="61"/>
        <v>0</v>
      </c>
      <c r="P103" s="1712">
        <f t="shared" si="62"/>
        <v>0</v>
      </c>
      <c r="Q103" s="1712">
        <f t="shared" si="63"/>
        <v>0</v>
      </c>
      <c r="R103" s="1757">
        <v>0.13</v>
      </c>
      <c r="S103" s="1712">
        <f t="shared" si="64"/>
        <v>0</v>
      </c>
      <c r="T103" s="1712" t="str">
        <f t="shared" si="42"/>
        <v/>
      </c>
      <c r="U103" s="1712" t="e">
        <f t="shared" si="43"/>
        <v>#DIV/0!</v>
      </c>
      <c r="V103" s="1952"/>
    </row>
    <row r="104" spans="1:22" s="1942" customFormat="1" ht="13" hidden="1" outlineLevel="2">
      <c r="A104" s="1944"/>
      <c r="B104" s="1807" t="s">
        <v>679</v>
      </c>
      <c r="C104" s="1808"/>
      <c r="D104" s="2133" t="s">
        <v>3581</v>
      </c>
      <c r="E104" s="2009" t="s">
        <v>3582</v>
      </c>
      <c r="F104" s="1462" t="s">
        <v>3014</v>
      </c>
      <c r="G104" s="1953" t="s">
        <v>4143</v>
      </c>
      <c r="H104" s="1947" t="s">
        <v>3926</v>
      </c>
      <c r="I104" s="1712">
        <f>$G$7</f>
        <v>0</v>
      </c>
      <c r="J104" s="2099">
        <v>1</v>
      </c>
      <c r="K104" s="1950" t="s">
        <v>3947</v>
      </c>
      <c r="L104" s="1947" t="s">
        <v>3926</v>
      </c>
      <c r="M104" s="1754">
        <f t="shared" si="60"/>
        <v>0</v>
      </c>
      <c r="N104" s="1712"/>
      <c r="O104" s="1712">
        <f t="shared" si="61"/>
        <v>0</v>
      </c>
      <c r="P104" s="1712">
        <f t="shared" si="62"/>
        <v>0</v>
      </c>
      <c r="Q104" s="1712">
        <f t="shared" si="63"/>
        <v>0</v>
      </c>
      <c r="R104" s="1757">
        <v>0.13</v>
      </c>
      <c r="S104" s="1712">
        <f t="shared" si="64"/>
        <v>0</v>
      </c>
      <c r="T104" s="1712" t="str">
        <f t="shared" si="42"/>
        <v/>
      </c>
      <c r="U104" s="1712" t="e">
        <f t="shared" si="43"/>
        <v>#DIV/0!</v>
      </c>
      <c r="V104" s="1952"/>
    </row>
    <row r="105" spans="1:22" s="1942" customFormat="1" ht="13" hidden="1" outlineLevel="2">
      <c r="A105" s="1944"/>
      <c r="B105" s="1807" t="s">
        <v>680</v>
      </c>
      <c r="C105" s="1808"/>
      <c r="D105" s="2133" t="s">
        <v>3583</v>
      </c>
      <c r="E105" s="2009" t="s">
        <v>3584</v>
      </c>
      <c r="F105" s="1462" t="s">
        <v>1329</v>
      </c>
      <c r="G105" s="1953" t="s">
        <v>4132</v>
      </c>
      <c r="H105" s="1947" t="s">
        <v>3926</v>
      </c>
      <c r="I105" s="1712">
        <f>$G$7</f>
        <v>0</v>
      </c>
      <c r="J105" s="2099">
        <v>1</v>
      </c>
      <c r="K105" s="1950" t="s">
        <v>4</v>
      </c>
      <c r="L105" s="1947" t="s">
        <v>4054</v>
      </c>
      <c r="M105" s="1754">
        <f t="shared" si="60"/>
        <v>0</v>
      </c>
      <c r="N105" s="1712"/>
      <c r="O105" s="1712">
        <f t="shared" si="61"/>
        <v>0</v>
      </c>
      <c r="P105" s="1712">
        <f t="shared" si="62"/>
        <v>0</v>
      </c>
      <c r="Q105" s="1712">
        <f t="shared" si="63"/>
        <v>0</v>
      </c>
      <c r="R105" s="1757">
        <v>0.13</v>
      </c>
      <c r="S105" s="1712">
        <f t="shared" si="64"/>
        <v>0</v>
      </c>
      <c r="T105" s="1712" t="str">
        <f t="shared" si="42"/>
        <v/>
      </c>
      <c r="U105" s="1712" t="e">
        <f t="shared" si="43"/>
        <v>#DIV/0!</v>
      </c>
      <c r="V105" s="1952"/>
    </row>
    <row r="106" spans="1:22" s="1942" customFormat="1" ht="13" hidden="1" outlineLevel="2">
      <c r="A106" s="1944"/>
      <c r="B106" s="1807" t="s">
        <v>681</v>
      </c>
      <c r="C106" s="1808"/>
      <c r="D106" s="2133" t="s">
        <v>3585</v>
      </c>
      <c r="E106" s="2009" t="s">
        <v>3586</v>
      </c>
      <c r="F106" s="1462" t="s">
        <v>450</v>
      </c>
      <c r="G106" s="1953" t="s">
        <v>4144</v>
      </c>
      <c r="H106" s="1975" t="s">
        <v>10</v>
      </c>
      <c r="I106" s="1712">
        <f>$E$5</f>
        <v>0</v>
      </c>
      <c r="J106" s="2099">
        <v>1</v>
      </c>
      <c r="K106" s="1950" t="s">
        <v>101</v>
      </c>
      <c r="L106" s="1947" t="s">
        <v>10</v>
      </c>
      <c r="M106" s="1754">
        <f t="shared" si="60"/>
        <v>0</v>
      </c>
      <c r="N106" s="1712"/>
      <c r="O106" s="1712">
        <f t="shared" si="61"/>
        <v>0</v>
      </c>
      <c r="P106" s="1712">
        <f t="shared" si="62"/>
        <v>0</v>
      </c>
      <c r="Q106" s="1712">
        <f t="shared" si="63"/>
        <v>0</v>
      </c>
      <c r="R106" s="1757">
        <v>0.13</v>
      </c>
      <c r="S106" s="1712">
        <f t="shared" si="64"/>
        <v>0</v>
      </c>
      <c r="T106" s="1712" t="str">
        <f t="shared" si="42"/>
        <v/>
      </c>
      <c r="U106" s="1712" t="e">
        <f t="shared" si="43"/>
        <v>#DIV/0!</v>
      </c>
      <c r="V106" s="1952"/>
    </row>
    <row r="107" spans="1:22" s="1942" customFormat="1" ht="13.75" hidden="1" customHeight="1" outlineLevel="2">
      <c r="A107" s="1944"/>
      <c r="B107" s="1807" t="s">
        <v>682</v>
      </c>
      <c r="C107" s="1808"/>
      <c r="D107" s="2133" t="s">
        <v>3587</v>
      </c>
      <c r="E107" s="2009" t="s">
        <v>3588</v>
      </c>
      <c r="F107" s="1462" t="s">
        <v>1329</v>
      </c>
      <c r="G107" s="1953" t="s">
        <v>4132</v>
      </c>
      <c r="H107" s="1947" t="s">
        <v>3926</v>
      </c>
      <c r="I107" s="1712">
        <f>$G$7</f>
        <v>0</v>
      </c>
      <c r="J107" s="2099">
        <v>1</v>
      </c>
      <c r="K107" s="1950" t="s">
        <v>4</v>
      </c>
      <c r="L107" s="1947" t="s">
        <v>4055</v>
      </c>
      <c r="M107" s="1754">
        <f t="shared" si="60"/>
        <v>0</v>
      </c>
      <c r="N107" s="1712"/>
      <c r="O107" s="1712">
        <f t="shared" si="61"/>
        <v>0</v>
      </c>
      <c r="P107" s="1712">
        <f t="shared" si="62"/>
        <v>0</v>
      </c>
      <c r="Q107" s="1712">
        <f t="shared" si="63"/>
        <v>0</v>
      </c>
      <c r="R107" s="1757">
        <v>0.13</v>
      </c>
      <c r="S107" s="1712">
        <f t="shared" si="64"/>
        <v>0</v>
      </c>
      <c r="T107" s="1712" t="str">
        <f t="shared" si="42"/>
        <v/>
      </c>
      <c r="U107" s="1712" t="e">
        <f t="shared" si="43"/>
        <v>#DIV/0!</v>
      </c>
      <c r="V107" s="1952"/>
    </row>
    <row r="108" spans="1:22" s="1942" customFormat="1" ht="13" hidden="1" outlineLevel="2">
      <c r="A108" s="1944"/>
      <c r="B108" s="1807" t="s">
        <v>683</v>
      </c>
      <c r="C108" s="1808"/>
      <c r="D108" s="2133" t="s">
        <v>3589</v>
      </c>
      <c r="E108" s="2009" t="s">
        <v>3590</v>
      </c>
      <c r="F108" s="1462" t="s">
        <v>1548</v>
      </c>
      <c r="G108" s="1953" t="s">
        <v>4145</v>
      </c>
      <c r="H108" s="1975" t="s">
        <v>3926</v>
      </c>
      <c r="I108" s="1712">
        <f t="shared" ref="I108" si="65">$G$7</f>
        <v>0</v>
      </c>
      <c r="J108" s="2099">
        <v>1</v>
      </c>
      <c r="K108" s="1950" t="s">
        <v>3947</v>
      </c>
      <c r="L108" s="1947" t="s">
        <v>3926</v>
      </c>
      <c r="M108" s="1754">
        <f t="shared" si="60"/>
        <v>0</v>
      </c>
      <c r="N108" s="1712"/>
      <c r="O108" s="1712">
        <f t="shared" si="61"/>
        <v>0</v>
      </c>
      <c r="P108" s="1712">
        <f t="shared" si="62"/>
        <v>0</v>
      </c>
      <c r="Q108" s="1712">
        <f t="shared" si="63"/>
        <v>0</v>
      </c>
      <c r="R108" s="1757">
        <v>0.13</v>
      </c>
      <c r="S108" s="1712">
        <f t="shared" si="64"/>
        <v>0</v>
      </c>
      <c r="T108" s="1712" t="str">
        <f t="shared" si="42"/>
        <v/>
      </c>
      <c r="U108" s="1712" t="e">
        <f t="shared" si="43"/>
        <v>#DIV/0!</v>
      </c>
      <c r="V108" s="1952"/>
    </row>
    <row r="109" spans="1:22" s="1942" customFormat="1" ht="13" hidden="1" outlineLevel="2">
      <c r="A109" s="1944"/>
      <c r="B109" s="1807" t="s">
        <v>1549</v>
      </c>
      <c r="C109" s="1808"/>
      <c r="D109" s="2133" t="s">
        <v>3591</v>
      </c>
      <c r="E109" s="2009" t="s">
        <v>3592</v>
      </c>
      <c r="F109" s="1462" t="s">
        <v>3593</v>
      </c>
      <c r="G109" s="1953" t="s">
        <v>4146</v>
      </c>
      <c r="H109" s="1975" t="s">
        <v>10</v>
      </c>
      <c r="I109" s="1712">
        <f>$E$5</f>
        <v>0</v>
      </c>
      <c r="J109" s="2099">
        <v>1</v>
      </c>
      <c r="K109" s="1950" t="s">
        <v>101</v>
      </c>
      <c r="L109" s="1947" t="s">
        <v>10</v>
      </c>
      <c r="M109" s="1754">
        <f t="shared" si="60"/>
        <v>0</v>
      </c>
      <c r="N109" s="1712">
        <v>600</v>
      </c>
      <c r="O109" s="1712">
        <f t="shared" si="61"/>
        <v>0</v>
      </c>
      <c r="P109" s="1712">
        <f t="shared" si="62"/>
        <v>0</v>
      </c>
      <c r="Q109" s="1712">
        <f t="shared" si="63"/>
        <v>0</v>
      </c>
      <c r="R109" s="1757">
        <v>0.13</v>
      </c>
      <c r="S109" s="1712">
        <f t="shared" si="64"/>
        <v>0</v>
      </c>
      <c r="T109" s="1712" t="str">
        <f t="shared" si="42"/>
        <v/>
      </c>
      <c r="U109" s="1712" t="e">
        <f t="shared" si="43"/>
        <v>#DIV/0!</v>
      </c>
      <c r="V109" s="1952"/>
    </row>
    <row r="110" spans="1:22" s="1942" customFormat="1" ht="13" hidden="1" outlineLevel="2">
      <c r="A110" s="1944"/>
      <c r="B110" s="1807" t="s">
        <v>684</v>
      </c>
      <c r="C110" s="1808"/>
      <c r="D110" s="2133" t="s">
        <v>3594</v>
      </c>
      <c r="E110" s="2009" t="s">
        <v>3595</v>
      </c>
      <c r="F110" s="1462" t="s">
        <v>1329</v>
      </c>
      <c r="G110" s="1953" t="s">
        <v>4132</v>
      </c>
      <c r="H110" s="1975" t="s">
        <v>10</v>
      </c>
      <c r="I110" s="1712">
        <f t="shared" ref="I110:I125" si="66">$E$5</f>
        <v>0</v>
      </c>
      <c r="J110" s="2099">
        <v>1</v>
      </c>
      <c r="K110" s="1950" t="s">
        <v>101</v>
      </c>
      <c r="L110" s="1947" t="s">
        <v>10</v>
      </c>
      <c r="M110" s="1754">
        <f t="shared" si="60"/>
        <v>0</v>
      </c>
      <c r="N110" s="1712"/>
      <c r="O110" s="1712">
        <f t="shared" si="61"/>
        <v>0</v>
      </c>
      <c r="P110" s="1712">
        <f t="shared" si="62"/>
        <v>0</v>
      </c>
      <c r="Q110" s="1712">
        <f t="shared" si="63"/>
        <v>0</v>
      </c>
      <c r="R110" s="1757">
        <v>0.13</v>
      </c>
      <c r="S110" s="1712">
        <f t="shared" si="64"/>
        <v>0</v>
      </c>
      <c r="T110" s="1712" t="str">
        <f t="shared" si="42"/>
        <v/>
      </c>
      <c r="U110" s="1712" t="e">
        <f t="shared" si="43"/>
        <v>#DIV/0!</v>
      </c>
      <c r="V110" s="1952"/>
    </row>
    <row r="111" spans="1:22" s="1942" customFormat="1" ht="13" hidden="1" outlineLevel="2">
      <c r="A111" s="1944"/>
      <c r="B111" s="1807" t="s">
        <v>685</v>
      </c>
      <c r="C111" s="1808"/>
      <c r="D111" s="2133" t="s">
        <v>3596</v>
      </c>
      <c r="E111" s="2009" t="s">
        <v>3597</v>
      </c>
      <c r="F111" s="1462" t="s">
        <v>1329</v>
      </c>
      <c r="G111" s="1953" t="s">
        <v>4132</v>
      </c>
      <c r="H111" s="1975" t="s">
        <v>10</v>
      </c>
      <c r="I111" s="1712">
        <f t="shared" si="66"/>
        <v>0</v>
      </c>
      <c r="J111" s="2099">
        <v>1</v>
      </c>
      <c r="K111" s="1950" t="s">
        <v>101</v>
      </c>
      <c r="L111" s="1947" t="s">
        <v>10</v>
      </c>
      <c r="M111" s="1754">
        <f t="shared" si="60"/>
        <v>0</v>
      </c>
      <c r="N111" s="1712"/>
      <c r="O111" s="1712">
        <f t="shared" si="61"/>
        <v>0</v>
      </c>
      <c r="P111" s="1712">
        <f t="shared" si="62"/>
        <v>0</v>
      </c>
      <c r="Q111" s="1712">
        <f t="shared" si="63"/>
        <v>0</v>
      </c>
      <c r="R111" s="1757">
        <v>0.13</v>
      </c>
      <c r="S111" s="1712">
        <f t="shared" si="64"/>
        <v>0</v>
      </c>
      <c r="T111" s="1712" t="str">
        <f t="shared" si="42"/>
        <v/>
      </c>
      <c r="U111" s="1712" t="e">
        <f t="shared" si="43"/>
        <v>#DIV/0!</v>
      </c>
      <c r="V111" s="1952"/>
    </row>
    <row r="112" spans="1:22" s="1942" customFormat="1" ht="13" hidden="1" outlineLevel="2">
      <c r="A112" s="1944"/>
      <c r="B112" s="1807" t="s">
        <v>686</v>
      </c>
      <c r="C112" s="1808"/>
      <c r="D112" s="2133" t="s">
        <v>3598</v>
      </c>
      <c r="E112" s="2009" t="s">
        <v>3599</v>
      </c>
      <c r="F112" s="1462" t="s">
        <v>1329</v>
      </c>
      <c r="G112" s="1953" t="s">
        <v>4132</v>
      </c>
      <c r="H112" s="1975" t="s">
        <v>10</v>
      </c>
      <c r="I112" s="1712">
        <f t="shared" si="66"/>
        <v>0</v>
      </c>
      <c r="J112" s="2099">
        <v>1</v>
      </c>
      <c r="K112" s="1950" t="s">
        <v>101</v>
      </c>
      <c r="L112" s="1947" t="s">
        <v>10</v>
      </c>
      <c r="M112" s="1754">
        <f t="shared" si="60"/>
        <v>0</v>
      </c>
      <c r="N112" s="1712"/>
      <c r="O112" s="1712">
        <f t="shared" si="61"/>
        <v>0</v>
      </c>
      <c r="P112" s="1712">
        <f t="shared" si="62"/>
        <v>0</v>
      </c>
      <c r="Q112" s="1712">
        <f t="shared" si="63"/>
        <v>0</v>
      </c>
      <c r="R112" s="1757">
        <v>0.13</v>
      </c>
      <c r="S112" s="1712">
        <f t="shared" si="64"/>
        <v>0</v>
      </c>
      <c r="T112" s="1712" t="str">
        <f t="shared" si="42"/>
        <v/>
      </c>
      <c r="U112" s="1712" t="e">
        <f t="shared" si="43"/>
        <v>#DIV/0!</v>
      </c>
      <c r="V112" s="1952"/>
    </row>
    <row r="113" spans="1:22" s="1942" customFormat="1" ht="13" hidden="1" outlineLevel="2">
      <c r="A113" s="1944"/>
      <c r="B113" s="1807" t="s">
        <v>3600</v>
      </c>
      <c r="C113" s="1808"/>
      <c r="D113" s="2133" t="s">
        <v>3601</v>
      </c>
      <c r="E113" s="2009" t="s">
        <v>3602</v>
      </c>
      <c r="F113" s="1462" t="s">
        <v>1329</v>
      </c>
      <c r="G113" s="1953" t="s">
        <v>4132</v>
      </c>
      <c r="H113" s="1975" t="s">
        <v>10</v>
      </c>
      <c r="I113" s="1712">
        <f t="shared" si="66"/>
        <v>0</v>
      </c>
      <c r="J113" s="2099">
        <v>1</v>
      </c>
      <c r="K113" s="1950" t="s">
        <v>101</v>
      </c>
      <c r="L113" s="1947" t="s">
        <v>10</v>
      </c>
      <c r="M113" s="1754">
        <f t="shared" si="60"/>
        <v>0</v>
      </c>
      <c r="N113" s="1712"/>
      <c r="O113" s="1712">
        <f t="shared" si="61"/>
        <v>0</v>
      </c>
      <c r="P113" s="1712">
        <f t="shared" si="62"/>
        <v>0</v>
      </c>
      <c r="Q113" s="1712">
        <f t="shared" si="63"/>
        <v>0</v>
      </c>
      <c r="R113" s="1757">
        <v>0.13</v>
      </c>
      <c r="S113" s="1712">
        <f t="shared" si="64"/>
        <v>0</v>
      </c>
      <c r="T113" s="1712" t="str">
        <f t="shared" si="42"/>
        <v/>
      </c>
      <c r="U113" s="1712" t="e">
        <f t="shared" si="43"/>
        <v>#DIV/0!</v>
      </c>
      <c r="V113" s="1952"/>
    </row>
    <row r="114" spans="1:22" s="1942" customFormat="1" ht="13" hidden="1" outlineLevel="2">
      <c r="A114" s="1944"/>
      <c r="B114" s="1807" t="s">
        <v>3603</v>
      </c>
      <c r="C114" s="1808"/>
      <c r="D114" s="2133" t="s">
        <v>3604</v>
      </c>
      <c r="E114" s="2009" t="s">
        <v>3605</v>
      </c>
      <c r="F114" s="1462" t="s">
        <v>1329</v>
      </c>
      <c r="G114" s="1953" t="s">
        <v>4132</v>
      </c>
      <c r="H114" s="1975" t="s">
        <v>10</v>
      </c>
      <c r="I114" s="1712">
        <f t="shared" si="66"/>
        <v>0</v>
      </c>
      <c r="J114" s="2099">
        <v>1</v>
      </c>
      <c r="K114" s="1950" t="s">
        <v>101</v>
      </c>
      <c r="L114" s="1947" t="s">
        <v>10</v>
      </c>
      <c r="M114" s="1754">
        <f t="shared" si="60"/>
        <v>0</v>
      </c>
      <c r="N114" s="1712"/>
      <c r="O114" s="1712">
        <f t="shared" si="61"/>
        <v>0</v>
      </c>
      <c r="P114" s="1712">
        <f t="shared" si="62"/>
        <v>0</v>
      </c>
      <c r="Q114" s="1712">
        <f t="shared" si="63"/>
        <v>0</v>
      </c>
      <c r="R114" s="1757">
        <v>0.13</v>
      </c>
      <c r="S114" s="1712">
        <f t="shared" si="64"/>
        <v>0</v>
      </c>
      <c r="T114" s="1712" t="str">
        <f t="shared" si="42"/>
        <v/>
      </c>
      <c r="U114" s="1712" t="e">
        <f t="shared" si="43"/>
        <v>#DIV/0!</v>
      </c>
      <c r="V114" s="1952"/>
    </row>
    <row r="115" spans="1:22" s="1942" customFormat="1" ht="13" hidden="1" outlineLevel="2">
      <c r="A115" s="1944"/>
      <c r="B115" s="1807" t="s">
        <v>3606</v>
      </c>
      <c r="C115" s="1808"/>
      <c r="D115" s="2133" t="s">
        <v>3607</v>
      </c>
      <c r="E115" s="2009" t="s">
        <v>3608</v>
      </c>
      <c r="F115" s="1462" t="s">
        <v>1607</v>
      </c>
      <c r="G115" s="1953" t="s">
        <v>4147</v>
      </c>
      <c r="H115" s="1975" t="s">
        <v>10</v>
      </c>
      <c r="I115" s="1712">
        <f t="shared" si="66"/>
        <v>0</v>
      </c>
      <c r="J115" s="2099">
        <v>1</v>
      </c>
      <c r="K115" s="1950" t="s">
        <v>101</v>
      </c>
      <c r="L115" s="1947" t="s">
        <v>10</v>
      </c>
      <c r="M115" s="1754">
        <f t="shared" si="60"/>
        <v>0</v>
      </c>
      <c r="N115" s="1712"/>
      <c r="O115" s="1712">
        <f t="shared" si="61"/>
        <v>0</v>
      </c>
      <c r="P115" s="1712">
        <f t="shared" si="62"/>
        <v>0</v>
      </c>
      <c r="Q115" s="1712">
        <f t="shared" si="63"/>
        <v>0</v>
      </c>
      <c r="R115" s="1757">
        <v>0.13</v>
      </c>
      <c r="S115" s="1712">
        <f t="shared" si="64"/>
        <v>0</v>
      </c>
      <c r="T115" s="1712" t="str">
        <f t="shared" si="42"/>
        <v/>
      </c>
      <c r="U115" s="1712" t="e">
        <f t="shared" si="43"/>
        <v>#DIV/0!</v>
      </c>
      <c r="V115" s="1952"/>
    </row>
    <row r="116" spans="1:22" s="1942" customFormat="1" ht="13" hidden="1" outlineLevel="2">
      <c r="A116" s="1944"/>
      <c r="B116" s="1807" t="s">
        <v>3609</v>
      </c>
      <c r="C116" s="1808"/>
      <c r="D116" s="2133" t="s">
        <v>3610</v>
      </c>
      <c r="E116" s="2009" t="s">
        <v>3611</v>
      </c>
      <c r="F116" s="1462" t="s">
        <v>1607</v>
      </c>
      <c r="G116" s="1953" t="s">
        <v>4147</v>
      </c>
      <c r="H116" s="1975" t="s">
        <v>10</v>
      </c>
      <c r="I116" s="1712">
        <f t="shared" si="66"/>
        <v>0</v>
      </c>
      <c r="J116" s="2099">
        <v>1</v>
      </c>
      <c r="K116" s="1950" t="s">
        <v>101</v>
      </c>
      <c r="L116" s="1947" t="s">
        <v>10</v>
      </c>
      <c r="M116" s="1754">
        <f t="shared" si="60"/>
        <v>0</v>
      </c>
      <c r="N116" s="1712"/>
      <c r="O116" s="1712">
        <f t="shared" si="61"/>
        <v>0</v>
      </c>
      <c r="P116" s="1712">
        <f t="shared" si="62"/>
        <v>0</v>
      </c>
      <c r="Q116" s="1712">
        <f t="shared" si="63"/>
        <v>0</v>
      </c>
      <c r="R116" s="1757">
        <v>0.13</v>
      </c>
      <c r="S116" s="1712">
        <f t="shared" si="64"/>
        <v>0</v>
      </c>
      <c r="T116" s="1712" t="str">
        <f t="shared" si="42"/>
        <v/>
      </c>
      <c r="U116" s="1712" t="e">
        <f t="shared" si="43"/>
        <v>#DIV/0!</v>
      </c>
      <c r="V116" s="1952"/>
    </row>
    <row r="117" spans="1:22" s="1942" customFormat="1" ht="13" hidden="1" outlineLevel="2">
      <c r="A117" s="1944"/>
      <c r="B117" s="1807" t="s">
        <v>3612</v>
      </c>
      <c r="C117" s="1808"/>
      <c r="D117" s="2133" t="s">
        <v>3613</v>
      </c>
      <c r="E117" s="2009" t="s">
        <v>3614</v>
      </c>
      <c r="F117" s="1462" t="s">
        <v>3615</v>
      </c>
      <c r="G117" s="1953" t="s">
        <v>4148</v>
      </c>
      <c r="H117" s="1975" t="s">
        <v>10</v>
      </c>
      <c r="I117" s="1712">
        <f t="shared" si="66"/>
        <v>0</v>
      </c>
      <c r="J117" s="2099">
        <v>1</v>
      </c>
      <c r="K117" s="1950" t="s">
        <v>101</v>
      </c>
      <c r="L117" s="1947" t="s">
        <v>10</v>
      </c>
      <c r="M117" s="1754">
        <f t="shared" si="60"/>
        <v>0</v>
      </c>
      <c r="N117" s="1712"/>
      <c r="O117" s="1712">
        <f t="shared" si="61"/>
        <v>0</v>
      </c>
      <c r="P117" s="1712">
        <f t="shared" si="62"/>
        <v>0</v>
      </c>
      <c r="Q117" s="1712">
        <f t="shared" si="63"/>
        <v>0</v>
      </c>
      <c r="R117" s="1757">
        <v>0.13</v>
      </c>
      <c r="S117" s="1712">
        <f t="shared" si="64"/>
        <v>0</v>
      </c>
      <c r="T117" s="1712" t="str">
        <f t="shared" si="42"/>
        <v/>
      </c>
      <c r="U117" s="1712" t="e">
        <f t="shared" si="43"/>
        <v>#DIV/0!</v>
      </c>
      <c r="V117" s="1952"/>
    </row>
    <row r="118" spans="1:22" s="1942" customFormat="1" ht="13" hidden="1" outlineLevel="2">
      <c r="A118" s="1944"/>
      <c r="B118" s="1807" t="s">
        <v>3616</v>
      </c>
      <c r="C118" s="1808"/>
      <c r="D118" s="2133" t="s">
        <v>3617</v>
      </c>
      <c r="E118" s="2009" t="s">
        <v>3618</v>
      </c>
      <c r="F118" s="1462" t="s">
        <v>3521</v>
      </c>
      <c r="G118" s="1953" t="s">
        <v>4139</v>
      </c>
      <c r="H118" s="1975" t="s">
        <v>10</v>
      </c>
      <c r="I118" s="1712">
        <f t="shared" si="66"/>
        <v>0</v>
      </c>
      <c r="J118" s="2099">
        <v>1</v>
      </c>
      <c r="K118" s="1950" t="s">
        <v>101</v>
      </c>
      <c r="L118" s="1947" t="s">
        <v>10</v>
      </c>
      <c r="M118" s="1754">
        <f t="shared" si="60"/>
        <v>0</v>
      </c>
      <c r="N118" s="1712"/>
      <c r="O118" s="1712">
        <f t="shared" si="61"/>
        <v>0</v>
      </c>
      <c r="P118" s="1712">
        <f t="shared" si="62"/>
        <v>0</v>
      </c>
      <c r="Q118" s="1712">
        <f t="shared" si="63"/>
        <v>0</v>
      </c>
      <c r="R118" s="1757">
        <v>0.13</v>
      </c>
      <c r="S118" s="1712">
        <f t="shared" si="64"/>
        <v>0</v>
      </c>
      <c r="T118" s="1712" t="str">
        <f t="shared" si="42"/>
        <v/>
      </c>
      <c r="U118" s="1712" t="e">
        <f t="shared" si="43"/>
        <v>#DIV/0!</v>
      </c>
      <c r="V118" s="1952"/>
    </row>
    <row r="119" spans="1:22" s="1942" customFormat="1" ht="13" hidden="1" outlineLevel="2">
      <c r="A119" s="1944"/>
      <c r="B119" s="1807" t="s">
        <v>3619</v>
      </c>
      <c r="C119" s="1808"/>
      <c r="D119" s="2133" t="s">
        <v>3620</v>
      </c>
      <c r="E119" s="2009" t="s">
        <v>3621</v>
      </c>
      <c r="F119" s="1462" t="s">
        <v>1329</v>
      </c>
      <c r="G119" s="1953" t="s">
        <v>4132</v>
      </c>
      <c r="H119" s="1975" t="s">
        <v>10</v>
      </c>
      <c r="I119" s="1712">
        <f t="shared" si="66"/>
        <v>0</v>
      </c>
      <c r="J119" s="2099">
        <v>1</v>
      </c>
      <c r="K119" s="1950" t="s">
        <v>101</v>
      </c>
      <c r="L119" s="1947" t="s">
        <v>10</v>
      </c>
      <c r="M119" s="1754">
        <f t="shared" si="60"/>
        <v>0</v>
      </c>
      <c r="N119" s="1712"/>
      <c r="O119" s="1712">
        <f t="shared" si="61"/>
        <v>0</v>
      </c>
      <c r="P119" s="1712">
        <f t="shared" si="62"/>
        <v>0</v>
      </c>
      <c r="Q119" s="1712">
        <f t="shared" si="63"/>
        <v>0</v>
      </c>
      <c r="R119" s="1757">
        <v>0.13</v>
      </c>
      <c r="S119" s="1712">
        <f t="shared" si="64"/>
        <v>0</v>
      </c>
      <c r="T119" s="1712" t="str">
        <f t="shared" si="42"/>
        <v/>
      </c>
      <c r="U119" s="1712" t="e">
        <f t="shared" si="43"/>
        <v>#DIV/0!</v>
      </c>
      <c r="V119" s="1952"/>
    </row>
    <row r="120" spans="1:22" ht="13" hidden="1"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t="str">
        <f t="shared" si="42"/>
        <v/>
      </c>
      <c r="U120" s="1973" t="e">
        <f t="shared" si="43"/>
        <v>#DIV/0!</v>
      </c>
      <c r="V120" s="1974"/>
    </row>
    <row r="121" spans="1:22" s="1942" customFormat="1" ht="13" hidden="1" outlineLevel="2">
      <c r="A121" s="1944"/>
      <c r="B121" s="1807" t="s">
        <v>689</v>
      </c>
      <c r="C121" s="1808"/>
      <c r="D121" s="2008" t="s">
        <v>3622</v>
      </c>
      <c r="E121" s="2009" t="s">
        <v>3623</v>
      </c>
      <c r="F121" s="1462" t="s">
        <v>3624</v>
      </c>
      <c r="G121" s="1953" t="s">
        <v>4149</v>
      </c>
      <c r="H121" s="1975" t="s">
        <v>10</v>
      </c>
      <c r="I121" s="1712">
        <f t="shared" si="66"/>
        <v>0</v>
      </c>
      <c r="J121" s="2099">
        <v>1</v>
      </c>
      <c r="K121" s="1950" t="s">
        <v>101</v>
      </c>
      <c r="L121" s="1947" t="s">
        <v>10</v>
      </c>
      <c r="M121" s="1754">
        <f t="shared" si="60"/>
        <v>0</v>
      </c>
      <c r="N121" s="1712"/>
      <c r="O121" s="1712">
        <f t="shared" ref="O121:O125" si="67">ROUND(M121*ROUND(N121,2)/10000,6)</f>
        <v>0</v>
      </c>
      <c r="P121" s="1712">
        <f t="shared" ref="P121:P125" si="68">IFERROR(ROUND(Q121*10000/M121,2),0)</f>
        <v>0</v>
      </c>
      <c r="Q121" s="1712">
        <f t="shared" ref="Q121:Q125" si="69">ROUND(O121/(1+R121),6)</f>
        <v>0</v>
      </c>
      <c r="R121" s="1757">
        <v>0.06</v>
      </c>
      <c r="S121" s="1712">
        <f>O121-Q121</f>
        <v>0</v>
      </c>
      <c r="T121" s="1712" t="str">
        <f t="shared" si="42"/>
        <v/>
      </c>
      <c r="U121" s="1712" t="e">
        <f t="shared" si="43"/>
        <v>#DIV/0!</v>
      </c>
      <c r="V121" s="1952"/>
    </row>
    <row r="122" spans="1:22" s="1942" customFormat="1" ht="13" hidden="1" outlineLevel="2">
      <c r="A122" s="1944"/>
      <c r="B122" s="1807" t="s">
        <v>691</v>
      </c>
      <c r="C122" s="1808"/>
      <c r="D122" s="2008" t="s">
        <v>3625</v>
      </c>
      <c r="E122" s="2009" t="s">
        <v>3626</v>
      </c>
      <c r="F122" s="1462" t="s">
        <v>3624</v>
      </c>
      <c r="G122" s="1953" t="s">
        <v>4149</v>
      </c>
      <c r="H122" s="1975" t="s">
        <v>10</v>
      </c>
      <c r="I122" s="1712">
        <f t="shared" si="66"/>
        <v>0</v>
      </c>
      <c r="J122" s="2099">
        <v>1</v>
      </c>
      <c r="K122" s="1950" t="s">
        <v>101</v>
      </c>
      <c r="L122" s="1947" t="s">
        <v>10</v>
      </c>
      <c r="M122" s="1754">
        <f t="shared" si="60"/>
        <v>0</v>
      </c>
      <c r="N122" s="1712"/>
      <c r="O122" s="1712">
        <f t="shared" si="67"/>
        <v>0</v>
      </c>
      <c r="P122" s="1712">
        <f t="shared" si="68"/>
        <v>0</v>
      </c>
      <c r="Q122" s="1712">
        <f t="shared" si="69"/>
        <v>0</v>
      </c>
      <c r="R122" s="1757">
        <v>0.06</v>
      </c>
      <c r="S122" s="1712">
        <f>O122-Q122</f>
        <v>0</v>
      </c>
      <c r="T122" s="1712" t="str">
        <f t="shared" si="42"/>
        <v/>
      </c>
      <c r="U122" s="1712" t="e">
        <f t="shared" si="43"/>
        <v>#DIV/0!</v>
      </c>
      <c r="V122" s="1952"/>
    </row>
    <row r="123" spans="1:22" s="1942" customFormat="1" ht="13" hidden="1" outlineLevel="2">
      <c r="A123" s="1944"/>
      <c r="B123" s="1807" t="s">
        <v>693</v>
      </c>
      <c r="C123" s="1808"/>
      <c r="D123" s="2008" t="s">
        <v>3627</v>
      </c>
      <c r="E123" s="2009" t="s">
        <v>3628</v>
      </c>
      <c r="F123" s="1462" t="s">
        <v>3624</v>
      </c>
      <c r="G123" s="1953" t="s">
        <v>4149</v>
      </c>
      <c r="H123" s="1975" t="s">
        <v>10</v>
      </c>
      <c r="I123" s="1712">
        <f t="shared" si="66"/>
        <v>0</v>
      </c>
      <c r="J123" s="2099">
        <v>1</v>
      </c>
      <c r="K123" s="1950" t="s">
        <v>101</v>
      </c>
      <c r="L123" s="1947" t="s">
        <v>10</v>
      </c>
      <c r="M123" s="1754">
        <f t="shared" si="60"/>
        <v>0</v>
      </c>
      <c r="N123" s="1712"/>
      <c r="O123" s="1712">
        <f t="shared" si="67"/>
        <v>0</v>
      </c>
      <c r="P123" s="1712">
        <f t="shared" si="68"/>
        <v>0</v>
      </c>
      <c r="Q123" s="1712">
        <f t="shared" si="69"/>
        <v>0</v>
      </c>
      <c r="R123" s="1757">
        <v>0.13</v>
      </c>
      <c r="S123" s="1712">
        <f>O123-Q123</f>
        <v>0</v>
      </c>
      <c r="T123" s="1712" t="str">
        <f t="shared" si="42"/>
        <v/>
      </c>
      <c r="U123" s="1712" t="e">
        <f t="shared" si="43"/>
        <v>#DIV/0!</v>
      </c>
      <c r="V123" s="1952"/>
    </row>
    <row r="124" spans="1:22" ht="13" hidden="1" outlineLevel="1">
      <c r="A124" s="2019"/>
      <c r="B124" s="2023" t="s">
        <v>695</v>
      </c>
      <c r="C124" s="1852">
        <v>3</v>
      </c>
      <c r="D124" s="2024" t="s">
        <v>3147</v>
      </c>
      <c r="E124" s="2025"/>
      <c r="F124" s="2026" t="s">
        <v>1424</v>
      </c>
      <c r="G124" s="2027" t="s">
        <v>4123</v>
      </c>
      <c r="H124" s="2028" t="s">
        <v>10</v>
      </c>
      <c r="I124" s="2029">
        <f t="shared" si="66"/>
        <v>0</v>
      </c>
      <c r="J124" s="2134"/>
      <c r="K124" s="2031" t="s">
        <v>101</v>
      </c>
      <c r="L124" s="2032" t="s">
        <v>10</v>
      </c>
      <c r="M124" s="1971"/>
      <c r="N124" s="1973"/>
      <c r="O124" s="1973">
        <f t="shared" si="67"/>
        <v>0</v>
      </c>
      <c r="P124" s="1973">
        <f t="shared" si="68"/>
        <v>0</v>
      </c>
      <c r="Q124" s="1973">
        <f t="shared" si="69"/>
        <v>0</v>
      </c>
      <c r="R124" s="2170">
        <v>0.06</v>
      </c>
      <c r="S124" s="2034">
        <f>O124-Q124</f>
        <v>0</v>
      </c>
      <c r="T124" s="1973" t="str">
        <f t="shared" si="42"/>
        <v/>
      </c>
      <c r="U124" s="1973" t="e">
        <f t="shared" si="43"/>
        <v>#DIV/0!</v>
      </c>
      <c r="V124" s="1974"/>
    </row>
    <row r="125" spans="1:22" ht="13" hidden="1" outlineLevel="1">
      <c r="A125" s="2019"/>
      <c r="B125" s="2023" t="s">
        <v>697</v>
      </c>
      <c r="C125" s="1852">
        <v>4</v>
      </c>
      <c r="D125" s="2024" t="s">
        <v>3148</v>
      </c>
      <c r="E125" s="2025" t="s">
        <v>3629</v>
      </c>
      <c r="F125" s="2026" t="s">
        <v>3577</v>
      </c>
      <c r="G125" s="2027" t="s">
        <v>4141</v>
      </c>
      <c r="H125" s="2032" t="s">
        <v>10</v>
      </c>
      <c r="I125" s="2029">
        <f t="shared" si="66"/>
        <v>0</v>
      </c>
      <c r="J125" s="2134"/>
      <c r="K125" s="2031" t="s">
        <v>101</v>
      </c>
      <c r="L125" s="2032" t="s">
        <v>4056</v>
      </c>
      <c r="M125" s="1971"/>
      <c r="N125" s="1973"/>
      <c r="O125" s="1973">
        <f t="shared" si="67"/>
        <v>0</v>
      </c>
      <c r="P125" s="1973">
        <f t="shared" si="68"/>
        <v>0</v>
      </c>
      <c r="Q125" s="1973">
        <f t="shared" si="69"/>
        <v>0</v>
      </c>
      <c r="R125" s="2170">
        <v>0.09</v>
      </c>
      <c r="S125" s="2034">
        <f>O125-Q125</f>
        <v>0</v>
      </c>
      <c r="T125" s="1973" t="str">
        <f t="shared" si="42"/>
        <v/>
      </c>
      <c r="U125" s="1973" t="e">
        <f t="shared" si="43"/>
        <v>#DIV/0!</v>
      </c>
      <c r="V125" s="1974"/>
    </row>
    <row r="126" spans="1:22" ht="13" collapsed="1">
      <c r="A126" s="2019"/>
      <c r="B126" s="1684">
        <v>5001.05</v>
      </c>
      <c r="C126" s="1685" t="s">
        <v>379</v>
      </c>
      <c r="D126" s="1956" t="s">
        <v>498</v>
      </c>
      <c r="E126" s="1957"/>
      <c r="F126" s="2020"/>
      <c r="G126" s="2021" t="s">
        <v>4117</v>
      </c>
      <c r="H126" s="1959"/>
      <c r="I126" s="1960"/>
      <c r="J126" s="2113"/>
      <c r="K126" s="2022"/>
      <c r="L126" s="1959"/>
      <c r="M126" s="2022"/>
      <c r="N126" s="1963"/>
      <c r="O126" s="1963">
        <f>SUBTOTAL(9,O127:O202)</f>
        <v>0</v>
      </c>
      <c r="P126" s="1963"/>
      <c r="Q126" s="1963">
        <f>SUBTOTAL(9,Q127:Q202)</f>
        <v>0</v>
      </c>
      <c r="R126" s="1963"/>
      <c r="S126" s="1963">
        <f>SUBTOTAL(9,S127:S202)</f>
        <v>0</v>
      </c>
      <c r="T126" s="1963" t="str">
        <f t="shared" si="42"/>
        <v/>
      </c>
      <c r="U126" s="1963" t="e">
        <f t="shared" si="43"/>
        <v>#DIV/0!</v>
      </c>
      <c r="V126" s="1964"/>
    </row>
    <row r="127" spans="1:22" ht="13" hidden="1"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0</v>
      </c>
      <c r="P127" s="1973"/>
      <c r="Q127" s="1973">
        <f>SUBTOTAL(9,Q128:Q169)</f>
        <v>0</v>
      </c>
      <c r="R127" s="1973"/>
      <c r="S127" s="1973">
        <f>SUBTOTAL(9,S128:S169)</f>
        <v>0</v>
      </c>
      <c r="T127" s="1973" t="str">
        <f t="shared" si="42"/>
        <v/>
      </c>
      <c r="U127" s="1973" t="e">
        <f t="shared" si="43"/>
        <v>#DIV/0!</v>
      </c>
      <c r="V127" s="1974"/>
    </row>
    <row r="128" spans="1:22" s="1942" customFormat="1" ht="13" hidden="1"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0</v>
      </c>
      <c r="P128" s="1712"/>
      <c r="Q128" s="1712">
        <f>SUBTOTAL(9,Q129:Q143)</f>
        <v>0</v>
      </c>
      <c r="R128" s="1712"/>
      <c r="S128" s="1712">
        <f>SUBTOTAL(9,S129:S143)</f>
        <v>0</v>
      </c>
      <c r="T128" s="1712" t="str">
        <f t="shared" si="42"/>
        <v/>
      </c>
      <c r="U128" s="1712" t="e">
        <f t="shared" si="43"/>
        <v>#DIV/0!</v>
      </c>
      <c r="V128" s="1952"/>
    </row>
    <row r="129" spans="1:22" s="1942" customFormat="1" ht="12" hidden="1"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0</v>
      </c>
      <c r="P129" s="1983"/>
      <c r="Q129" s="1712">
        <f>SUBTOTAL(9,Q130:Q131)</f>
        <v>0</v>
      </c>
      <c r="R129" s="1757"/>
      <c r="S129" s="1712">
        <f>SUBTOTAL(9,S130:S131)</f>
        <v>0</v>
      </c>
      <c r="T129" s="1712" t="str">
        <f t="shared" si="42"/>
        <v/>
      </c>
      <c r="U129" s="1712" t="e">
        <f t="shared" si="43"/>
        <v>#DIV/0!</v>
      </c>
      <c r="V129" s="1952"/>
    </row>
    <row r="130" spans="1:22" s="1942" customFormat="1" ht="12" hidden="1" customHeight="1" outlineLevel="4">
      <c r="A130" s="1944"/>
      <c r="B130" s="1985" t="s">
        <v>801</v>
      </c>
      <c r="C130" s="1828"/>
      <c r="D130" s="2013" t="s">
        <v>4057</v>
      </c>
      <c r="E130" s="2011"/>
      <c r="F130" s="1988" t="s">
        <v>459</v>
      </c>
      <c r="G130" s="1989" t="s">
        <v>4150</v>
      </c>
      <c r="H130" s="1990" t="s">
        <v>10</v>
      </c>
      <c r="I130" s="1991">
        <f>$E$5</f>
        <v>0</v>
      </c>
      <c r="J130" s="2171">
        <v>1.6</v>
      </c>
      <c r="K130" s="2000" t="s">
        <v>101</v>
      </c>
      <c r="L130" s="1990" t="s">
        <v>4058</v>
      </c>
      <c r="M130" s="1991">
        <f t="shared" ref="M130:M131" si="70">ROUND(I130,2)*ROUND(J130,4)</f>
        <v>0</v>
      </c>
      <c r="N130" s="2172">
        <v>20</v>
      </c>
      <c r="O130" s="1991">
        <f t="shared" ref="O130:O131" si="71">ROUND(M130*ROUND(N130,2)/10000,6)</f>
        <v>0</v>
      </c>
      <c r="P130" s="1991">
        <f t="shared" ref="P130:P131" si="72">IFERROR(ROUND(Q130*10000/M130,2),0)</f>
        <v>0</v>
      </c>
      <c r="Q130" s="1991">
        <f t="shared" ref="Q130:Q131" si="73">ROUND(O130/(1+R130),6)</f>
        <v>0</v>
      </c>
      <c r="R130" s="1993">
        <v>0.13</v>
      </c>
      <c r="S130" s="1991">
        <f>O130-Q130</f>
        <v>0</v>
      </c>
      <c r="T130" s="1991" t="str">
        <f t="shared" si="42"/>
        <v/>
      </c>
      <c r="U130" s="1991" t="e">
        <f t="shared" si="43"/>
        <v>#DIV/0!</v>
      </c>
      <c r="V130" s="1994"/>
    </row>
    <row r="131" spans="1:22" s="1942" customFormat="1" ht="12" hidden="1" customHeight="1" outlineLevel="4">
      <c r="A131" s="1944"/>
      <c r="B131" s="1985" t="s">
        <v>703</v>
      </c>
      <c r="C131" s="1828"/>
      <c r="D131" s="2013" t="s">
        <v>4059</v>
      </c>
      <c r="E131" s="2011"/>
      <c r="F131" s="1988" t="s">
        <v>1493</v>
      </c>
      <c r="G131" s="1989" t="s">
        <v>4119</v>
      </c>
      <c r="H131" s="1990" t="s">
        <v>10</v>
      </c>
      <c r="I131" s="1991">
        <f>$E$5</f>
        <v>0</v>
      </c>
      <c r="J131" s="2171">
        <v>1.6</v>
      </c>
      <c r="K131" s="2000" t="s">
        <v>101</v>
      </c>
      <c r="L131" s="1990" t="s">
        <v>4058</v>
      </c>
      <c r="M131" s="1991">
        <f t="shared" si="70"/>
        <v>0</v>
      </c>
      <c r="N131" s="2169">
        <v>50</v>
      </c>
      <c r="O131" s="1991">
        <f t="shared" si="71"/>
        <v>0</v>
      </c>
      <c r="P131" s="1991">
        <f t="shared" si="72"/>
        <v>0</v>
      </c>
      <c r="Q131" s="1991">
        <f t="shared" si="73"/>
        <v>0</v>
      </c>
      <c r="R131" s="1993">
        <v>0.09</v>
      </c>
      <c r="S131" s="1991">
        <f>O131-Q131</f>
        <v>0</v>
      </c>
      <c r="T131" s="1991" t="str">
        <f t="shared" si="42"/>
        <v/>
      </c>
      <c r="U131" s="1991" t="e">
        <f t="shared" si="43"/>
        <v>#DIV/0!</v>
      </c>
      <c r="V131" s="1994"/>
    </row>
    <row r="132" spans="1:22" s="1942" customFormat="1" ht="12" hidden="1"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t="str">
        <f t="shared" si="42"/>
        <v/>
      </c>
      <c r="U132" s="1712" t="e">
        <f t="shared" si="43"/>
        <v>#DIV/0!</v>
      </c>
      <c r="V132" s="1952"/>
    </row>
    <row r="133" spans="1:22" s="1942" customFormat="1" ht="12" hidden="1" customHeight="1" outlineLevel="4">
      <c r="A133" s="1944"/>
      <c r="B133" s="1985" t="s">
        <v>802</v>
      </c>
      <c r="C133" s="1828"/>
      <c r="D133" s="2013" t="s">
        <v>1569</v>
      </c>
      <c r="E133" s="2011"/>
      <c r="F133" s="1988" t="s">
        <v>469</v>
      </c>
      <c r="G133" s="1989" t="s">
        <v>4151</v>
      </c>
      <c r="H133" s="1990" t="s">
        <v>10</v>
      </c>
      <c r="I133" s="1991">
        <f>$E$5</f>
        <v>0</v>
      </c>
      <c r="J133" s="2136">
        <v>0.2</v>
      </c>
      <c r="K133" s="2000" t="s">
        <v>101</v>
      </c>
      <c r="L133" s="1990" t="s">
        <v>4060</v>
      </c>
      <c r="M133" s="1991">
        <f t="shared" ref="M133:M183" si="74">ROUND(I133,2)*ROUND(J133,4)</f>
        <v>0</v>
      </c>
      <c r="N133" s="1991"/>
      <c r="O133" s="1991">
        <f t="shared" ref="O133:O143" si="75">ROUND(M133*ROUND(N133,2)/10000,6)</f>
        <v>0</v>
      </c>
      <c r="P133" s="1991">
        <f t="shared" ref="P133:P143" si="76">IFERROR(ROUND(Q133*10000/M133,2),0)</f>
        <v>0</v>
      </c>
      <c r="Q133" s="1991">
        <f t="shared" ref="Q133:Q143" si="77">ROUND(O133/(1+R133),6)</f>
        <v>0</v>
      </c>
      <c r="R133" s="1993">
        <v>0.13</v>
      </c>
      <c r="S133" s="1991">
        <f t="shared" ref="S133:S143" si="78">O133-Q133</f>
        <v>0</v>
      </c>
      <c r="T133" s="1991" t="str">
        <f t="shared" si="42"/>
        <v/>
      </c>
      <c r="U133" s="1991" t="e">
        <f t="shared" si="43"/>
        <v>#DIV/0!</v>
      </c>
      <c r="V133" s="1994"/>
    </row>
    <row r="134" spans="1:22" s="1942" customFormat="1" ht="12" hidden="1" customHeight="1" outlineLevel="4">
      <c r="A134" s="1944"/>
      <c r="B134" s="1985" t="s">
        <v>704</v>
      </c>
      <c r="C134" s="1828"/>
      <c r="D134" s="2013" t="s">
        <v>1571</v>
      </c>
      <c r="E134" s="2011"/>
      <c r="F134" s="1988" t="s">
        <v>3342</v>
      </c>
      <c r="G134" s="1989" t="s">
        <v>4116</v>
      </c>
      <c r="H134" s="1990" t="s">
        <v>10</v>
      </c>
      <c r="I134" s="1991">
        <f>$E$5</f>
        <v>0</v>
      </c>
      <c r="J134" s="2136">
        <v>0.2</v>
      </c>
      <c r="K134" s="2000" t="s">
        <v>101</v>
      </c>
      <c r="L134" s="1990" t="s">
        <v>4060</v>
      </c>
      <c r="M134" s="1991">
        <f t="shared" si="74"/>
        <v>0</v>
      </c>
      <c r="N134" s="1991"/>
      <c r="O134" s="1991">
        <f t="shared" si="75"/>
        <v>0</v>
      </c>
      <c r="P134" s="1991">
        <f t="shared" si="76"/>
        <v>0</v>
      </c>
      <c r="Q134" s="1991">
        <f t="shared" si="77"/>
        <v>0</v>
      </c>
      <c r="R134" s="1993">
        <v>0.09</v>
      </c>
      <c r="S134" s="1991">
        <f t="shared" si="78"/>
        <v>0</v>
      </c>
      <c r="T134" s="1991" t="str">
        <f t="shared" si="42"/>
        <v/>
      </c>
      <c r="U134" s="1991" t="e">
        <f t="shared" si="43"/>
        <v>#DIV/0!</v>
      </c>
      <c r="V134" s="1994"/>
    </row>
    <row r="135" spans="1:22" s="1942" customFormat="1" ht="12" hidden="1" customHeight="1" outlineLevel="3">
      <c r="A135" s="1944"/>
      <c r="B135" s="1978" t="s">
        <v>1566</v>
      </c>
      <c r="C135" s="1810"/>
      <c r="D135" s="2008" t="s">
        <v>3634</v>
      </c>
      <c r="E135" s="2009" t="s">
        <v>3635</v>
      </c>
      <c r="F135" s="1462" t="s">
        <v>3832</v>
      </c>
      <c r="G135" s="1953" t="s">
        <v>4152</v>
      </c>
      <c r="H135" s="1947" t="s">
        <v>10</v>
      </c>
      <c r="I135" s="1712">
        <f>$E$5</f>
        <v>0</v>
      </c>
      <c r="J135" s="2135">
        <v>0.01</v>
      </c>
      <c r="K135" s="1950" t="s">
        <v>101</v>
      </c>
      <c r="L135" s="1947" t="s">
        <v>4061</v>
      </c>
      <c r="M135" s="1754">
        <f t="shared" si="74"/>
        <v>0</v>
      </c>
      <c r="N135" s="1712"/>
      <c r="O135" s="1712">
        <f t="shared" si="75"/>
        <v>0</v>
      </c>
      <c r="P135" s="1712">
        <f t="shared" si="76"/>
        <v>0</v>
      </c>
      <c r="Q135" s="1712">
        <f t="shared" si="77"/>
        <v>0</v>
      </c>
      <c r="R135" s="1757">
        <v>0.09</v>
      </c>
      <c r="S135" s="1712">
        <f t="shared" si="78"/>
        <v>0</v>
      </c>
      <c r="T135" s="1712" t="str">
        <f t="shared" si="42"/>
        <v/>
      </c>
      <c r="U135" s="1712" t="e">
        <f t="shared" si="43"/>
        <v>#DIV/0!</v>
      </c>
      <c r="V135" s="1952"/>
    </row>
    <row r="136" spans="1:22" s="1942" customFormat="1" ht="12" hidden="1" customHeight="1" outlineLevel="3">
      <c r="A136" s="1944"/>
      <c r="B136" s="1978" t="s">
        <v>1572</v>
      </c>
      <c r="C136" s="1810"/>
      <c r="D136" s="2008" t="s">
        <v>3637</v>
      </c>
      <c r="E136" s="2009" t="s">
        <v>3638</v>
      </c>
      <c r="F136" s="1462" t="s">
        <v>3636</v>
      </c>
      <c r="G136" s="1953" t="s">
        <v>4153</v>
      </c>
      <c r="H136" s="1947" t="s">
        <v>10</v>
      </c>
      <c r="I136" s="1712">
        <f t="shared" ref="I136:I143" si="79">$E$5</f>
        <v>0</v>
      </c>
      <c r="J136" s="2135"/>
      <c r="K136" s="1950" t="s">
        <v>101</v>
      </c>
      <c r="L136" s="1947" t="s">
        <v>4062</v>
      </c>
      <c r="M136" s="1754">
        <f t="shared" si="74"/>
        <v>0</v>
      </c>
      <c r="N136" s="1712"/>
      <c r="O136" s="1712">
        <f t="shared" si="75"/>
        <v>0</v>
      </c>
      <c r="P136" s="1712">
        <f t="shared" si="76"/>
        <v>0</v>
      </c>
      <c r="Q136" s="1712">
        <f t="shared" si="77"/>
        <v>0</v>
      </c>
      <c r="R136" s="1757">
        <v>0.09</v>
      </c>
      <c r="S136" s="1712">
        <f t="shared" si="78"/>
        <v>0</v>
      </c>
      <c r="T136" s="1712" t="str">
        <f t="shared" si="42"/>
        <v/>
      </c>
      <c r="U136" s="1712" t="e">
        <f t="shared" si="43"/>
        <v>#DIV/0!</v>
      </c>
      <c r="V136" s="1952"/>
    </row>
    <row r="137" spans="1:22" s="1942" customFormat="1" ht="12" hidden="1" customHeight="1" outlineLevel="3">
      <c r="A137" s="1944"/>
      <c r="B137" s="1978" t="s">
        <v>1578</v>
      </c>
      <c r="C137" s="1810"/>
      <c r="D137" s="2008" t="s">
        <v>3639</v>
      </c>
      <c r="E137" s="2009" t="s">
        <v>3640</v>
      </c>
      <c r="F137" s="1462" t="s">
        <v>3636</v>
      </c>
      <c r="G137" s="1953" t="s">
        <v>4153</v>
      </c>
      <c r="H137" s="1947" t="s">
        <v>10</v>
      </c>
      <c r="I137" s="1712">
        <f t="shared" si="79"/>
        <v>0</v>
      </c>
      <c r="J137" s="2171">
        <v>0</v>
      </c>
      <c r="K137" s="1950" t="s">
        <v>101</v>
      </c>
      <c r="L137" s="1947" t="s">
        <v>4063</v>
      </c>
      <c r="M137" s="1754">
        <f t="shared" si="74"/>
        <v>0</v>
      </c>
      <c r="N137" s="2169">
        <v>1200</v>
      </c>
      <c r="O137" s="1712">
        <f t="shared" si="75"/>
        <v>0</v>
      </c>
      <c r="P137" s="1712">
        <f t="shared" si="76"/>
        <v>0</v>
      </c>
      <c r="Q137" s="1712">
        <f t="shared" si="77"/>
        <v>0</v>
      </c>
      <c r="R137" s="1757">
        <v>0.09</v>
      </c>
      <c r="S137" s="1712">
        <f t="shared" si="78"/>
        <v>0</v>
      </c>
      <c r="T137" s="1712" t="str">
        <f t="shared" si="42"/>
        <v/>
      </c>
      <c r="U137" s="1712" t="e">
        <f t="shared" si="43"/>
        <v>#DIV/0!</v>
      </c>
      <c r="V137" s="1952"/>
    </row>
    <row r="138" spans="1:22" s="1942" customFormat="1" ht="12" hidden="1" customHeight="1" outlineLevel="3">
      <c r="A138" s="1944"/>
      <c r="B138" s="1978" t="s">
        <v>705</v>
      </c>
      <c r="C138" s="1810"/>
      <c r="D138" s="2008" t="s">
        <v>3641</v>
      </c>
      <c r="E138" s="2009" t="s">
        <v>3642</v>
      </c>
      <c r="F138" s="1462" t="s">
        <v>1493</v>
      </c>
      <c r="G138" s="1953" t="s">
        <v>4119</v>
      </c>
      <c r="H138" s="1947" t="s">
        <v>10</v>
      </c>
      <c r="I138" s="1712">
        <f t="shared" si="79"/>
        <v>0</v>
      </c>
      <c r="J138" s="2135"/>
      <c r="K138" s="1977" t="s">
        <v>4064</v>
      </c>
      <c r="L138" s="1947" t="s">
        <v>4065</v>
      </c>
      <c r="M138" s="1754">
        <f t="shared" si="74"/>
        <v>0</v>
      </c>
      <c r="N138" s="1712"/>
      <c r="O138" s="1712">
        <f t="shared" si="75"/>
        <v>0</v>
      </c>
      <c r="P138" s="1712">
        <f t="shared" si="76"/>
        <v>0</v>
      </c>
      <c r="Q138" s="1712">
        <f t="shared" si="77"/>
        <v>0</v>
      </c>
      <c r="R138" s="1757">
        <v>0.09</v>
      </c>
      <c r="S138" s="1712">
        <f t="shared" si="78"/>
        <v>0</v>
      </c>
      <c r="T138" s="1712" t="str">
        <f t="shared" si="42"/>
        <v/>
      </c>
      <c r="U138" s="1712" t="e">
        <f t="shared" si="43"/>
        <v>#DIV/0!</v>
      </c>
      <c r="V138" s="1952"/>
    </row>
    <row r="139" spans="1:22" s="1942" customFormat="1" ht="12" hidden="1" customHeight="1" outlineLevel="3">
      <c r="A139" s="1944"/>
      <c r="B139" s="1978" t="s">
        <v>706</v>
      </c>
      <c r="C139" s="1810"/>
      <c r="D139" s="2008" t="s">
        <v>3643</v>
      </c>
      <c r="E139" s="2009" t="s">
        <v>3644</v>
      </c>
      <c r="F139" s="1462" t="s">
        <v>1606</v>
      </c>
      <c r="G139" s="1953" t="s">
        <v>4121</v>
      </c>
      <c r="H139" s="1947" t="s">
        <v>18</v>
      </c>
      <c r="I139" s="1712">
        <f>$G$5</f>
        <v>0</v>
      </c>
      <c r="J139" s="2135"/>
      <c r="K139" s="1977" t="s">
        <v>4085</v>
      </c>
      <c r="L139" s="1947" t="s">
        <v>4066</v>
      </c>
      <c r="M139" s="1754">
        <f t="shared" si="74"/>
        <v>0</v>
      </c>
      <c r="N139" s="1712"/>
      <c r="O139" s="1712">
        <f t="shared" si="75"/>
        <v>0</v>
      </c>
      <c r="P139" s="1712">
        <f t="shared" si="76"/>
        <v>0</v>
      </c>
      <c r="Q139" s="1712">
        <f t="shared" si="77"/>
        <v>0</v>
      </c>
      <c r="R139" s="1757">
        <v>0.13</v>
      </c>
      <c r="S139" s="1712">
        <f t="shared" si="78"/>
        <v>0</v>
      </c>
      <c r="T139" s="1712" t="str">
        <f t="shared" ref="T139:T202" si="80">IFERROR(Q139*10000/$E$6,"")</f>
        <v/>
      </c>
      <c r="U139" s="1712" t="e">
        <f t="shared" si="43"/>
        <v>#DIV/0!</v>
      </c>
      <c r="V139" s="1952"/>
    </row>
    <row r="140" spans="1:22" s="1942" customFormat="1" ht="12" hidden="1" customHeight="1" outlineLevel="3">
      <c r="A140" s="1944"/>
      <c r="B140" s="1978" t="s">
        <v>707</v>
      </c>
      <c r="C140" s="1810"/>
      <c r="D140" s="2008" t="s">
        <v>97</v>
      </c>
      <c r="E140" s="2009" t="s">
        <v>3645</v>
      </c>
      <c r="F140" s="1462" t="s">
        <v>470</v>
      </c>
      <c r="G140" s="1953" t="s">
        <v>4154</v>
      </c>
      <c r="H140" s="1975" t="s">
        <v>10</v>
      </c>
      <c r="I140" s="1712">
        <f t="shared" si="79"/>
        <v>0</v>
      </c>
      <c r="J140" s="2139">
        <v>1</v>
      </c>
      <c r="K140" s="1950" t="s">
        <v>101</v>
      </c>
      <c r="L140" s="1947" t="s">
        <v>10</v>
      </c>
      <c r="M140" s="1754">
        <f t="shared" si="74"/>
        <v>0</v>
      </c>
      <c r="N140" s="1712">
        <v>5</v>
      </c>
      <c r="O140" s="1712">
        <f t="shared" si="75"/>
        <v>0</v>
      </c>
      <c r="P140" s="1712">
        <f t="shared" si="76"/>
        <v>0</v>
      </c>
      <c r="Q140" s="1712">
        <f t="shared" si="77"/>
        <v>0</v>
      </c>
      <c r="R140" s="1757">
        <v>0.09</v>
      </c>
      <c r="S140" s="1712">
        <f t="shared" si="78"/>
        <v>0</v>
      </c>
      <c r="T140" s="1712" t="str">
        <f t="shared" si="80"/>
        <v/>
      </c>
      <c r="U140" s="1712" t="e">
        <f t="shared" si="43"/>
        <v>#DIV/0!</v>
      </c>
      <c r="V140" s="1952"/>
    </row>
    <row r="141" spans="1:22" s="1942" customFormat="1" ht="12" hidden="1" customHeight="1" outlineLevel="3">
      <c r="A141" s="1944"/>
      <c r="B141" s="1978" t="s">
        <v>709</v>
      </c>
      <c r="C141" s="1810"/>
      <c r="D141" s="2008" t="s">
        <v>3646</v>
      </c>
      <c r="E141" s="2009" t="s">
        <v>3647</v>
      </c>
      <c r="F141" s="1462" t="s">
        <v>1363</v>
      </c>
      <c r="G141" s="1953" t="s">
        <v>4155</v>
      </c>
      <c r="H141" s="1975" t="s">
        <v>10</v>
      </c>
      <c r="I141" s="1712">
        <f t="shared" si="79"/>
        <v>0</v>
      </c>
      <c r="J141" s="2139"/>
      <c r="K141" s="1950" t="s">
        <v>101</v>
      </c>
      <c r="L141" s="1947" t="s">
        <v>10</v>
      </c>
      <c r="M141" s="1754">
        <f t="shared" si="74"/>
        <v>0</v>
      </c>
      <c r="N141" s="1712"/>
      <c r="O141" s="1712">
        <f t="shared" si="75"/>
        <v>0</v>
      </c>
      <c r="P141" s="1712">
        <f t="shared" si="76"/>
        <v>0</v>
      </c>
      <c r="Q141" s="1712">
        <f t="shared" si="77"/>
        <v>0</v>
      </c>
      <c r="R141" s="1757">
        <v>0.09</v>
      </c>
      <c r="S141" s="1712">
        <f t="shared" si="78"/>
        <v>0</v>
      </c>
      <c r="T141" s="1712" t="str">
        <f t="shared" si="80"/>
        <v/>
      </c>
      <c r="U141" s="1712" t="e">
        <f t="shared" ref="U141:U202" si="81">+O141/$E$5*10000</f>
        <v>#DIV/0!</v>
      </c>
      <c r="V141" s="1952"/>
    </row>
    <row r="142" spans="1:22" s="1942" customFormat="1" ht="12" hidden="1" customHeight="1" outlineLevel="3">
      <c r="A142" s="1944"/>
      <c r="B142" s="1978" t="s">
        <v>710</v>
      </c>
      <c r="C142" s="1810"/>
      <c r="D142" s="2008" t="s">
        <v>3648</v>
      </c>
      <c r="E142" s="2009" t="s">
        <v>3649</v>
      </c>
      <c r="F142" s="1462" t="s">
        <v>3636</v>
      </c>
      <c r="G142" s="1953" t="s">
        <v>4153</v>
      </c>
      <c r="H142" s="1975" t="s">
        <v>10</v>
      </c>
      <c r="I142" s="1712">
        <f t="shared" si="79"/>
        <v>0</v>
      </c>
      <c r="J142" s="2139"/>
      <c r="K142" s="1950" t="s">
        <v>101</v>
      </c>
      <c r="L142" s="1947" t="s">
        <v>4067</v>
      </c>
      <c r="M142" s="1754">
        <f t="shared" si="74"/>
        <v>0</v>
      </c>
      <c r="N142" s="1712"/>
      <c r="O142" s="1712">
        <f t="shared" si="75"/>
        <v>0</v>
      </c>
      <c r="P142" s="1712">
        <f t="shared" si="76"/>
        <v>0</v>
      </c>
      <c r="Q142" s="1712">
        <f t="shared" si="77"/>
        <v>0</v>
      </c>
      <c r="R142" s="1757">
        <v>0.09</v>
      </c>
      <c r="S142" s="1712">
        <f t="shared" si="78"/>
        <v>0</v>
      </c>
      <c r="T142" s="1712" t="str">
        <f t="shared" si="80"/>
        <v/>
      </c>
      <c r="U142" s="1712" t="e">
        <f t="shared" si="81"/>
        <v>#DIV/0!</v>
      </c>
      <c r="V142" s="1952"/>
    </row>
    <row r="143" spans="1:22" s="1942" customFormat="1" ht="12" hidden="1" customHeight="1" outlineLevel="3">
      <c r="A143" s="1944"/>
      <c r="B143" s="1978" t="s">
        <v>3650</v>
      </c>
      <c r="C143" s="1810"/>
      <c r="D143" s="2008" t="s">
        <v>3651</v>
      </c>
      <c r="E143" s="2009" t="s">
        <v>3652</v>
      </c>
      <c r="F143" s="1462" t="s">
        <v>1606</v>
      </c>
      <c r="G143" s="1953" t="s">
        <v>4121</v>
      </c>
      <c r="H143" s="1975" t="s">
        <v>10</v>
      </c>
      <c r="I143" s="1712">
        <f t="shared" si="79"/>
        <v>0</v>
      </c>
      <c r="J143" s="2139"/>
      <c r="K143" s="1950" t="s">
        <v>101</v>
      </c>
      <c r="L143" s="1947" t="s">
        <v>4068</v>
      </c>
      <c r="M143" s="1754">
        <f t="shared" si="74"/>
        <v>0</v>
      </c>
      <c r="N143" s="1712"/>
      <c r="O143" s="1712">
        <f t="shared" si="75"/>
        <v>0</v>
      </c>
      <c r="P143" s="1712">
        <f t="shared" si="76"/>
        <v>0</v>
      </c>
      <c r="Q143" s="1712">
        <f t="shared" si="77"/>
        <v>0</v>
      </c>
      <c r="R143" s="1757">
        <v>0.13</v>
      </c>
      <c r="S143" s="1712">
        <f t="shared" si="78"/>
        <v>0</v>
      </c>
      <c r="T143" s="1712" t="str">
        <f t="shared" si="80"/>
        <v/>
      </c>
      <c r="U143" s="1712" t="e">
        <f t="shared" si="81"/>
        <v>#DIV/0!</v>
      </c>
      <c r="V143" s="1952"/>
    </row>
    <row r="144" spans="1:22" s="1942" customFormat="1" ht="13" hidden="1"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0</v>
      </c>
      <c r="P144" s="1712"/>
      <c r="Q144" s="1712">
        <f>SUBTOTAL(9,Q145:Q152)</f>
        <v>0</v>
      </c>
      <c r="R144" s="1712"/>
      <c r="S144" s="1712">
        <f>SUBTOTAL(9,S145:S152)</f>
        <v>0</v>
      </c>
      <c r="T144" s="1712" t="str">
        <f t="shared" si="80"/>
        <v/>
      </c>
      <c r="U144" s="1712" t="e">
        <f t="shared" si="81"/>
        <v>#DIV/0!</v>
      </c>
      <c r="V144" s="1952"/>
    </row>
    <row r="145" spans="1:22" s="1942" customFormat="1" ht="12" hidden="1" customHeight="1" outlineLevel="3">
      <c r="A145" s="1944"/>
      <c r="B145" s="1978" t="s">
        <v>714</v>
      </c>
      <c r="C145" s="1810"/>
      <c r="D145" s="2008" t="s">
        <v>715</v>
      </c>
      <c r="E145" s="2009" t="s">
        <v>3653</v>
      </c>
      <c r="F145" s="1462" t="s">
        <v>3654</v>
      </c>
      <c r="G145" s="1953" t="s">
        <v>4156</v>
      </c>
      <c r="H145" s="1947" t="s">
        <v>3923</v>
      </c>
      <c r="I145" s="1712">
        <f>$G$6</f>
        <v>0</v>
      </c>
      <c r="J145" s="2135">
        <v>140</v>
      </c>
      <c r="K145" s="1977" t="s">
        <v>1836</v>
      </c>
      <c r="L145" s="1947" t="s">
        <v>4069</v>
      </c>
      <c r="M145" s="1754">
        <f t="shared" si="74"/>
        <v>0</v>
      </c>
      <c r="N145" s="1712">
        <v>180</v>
      </c>
      <c r="O145" s="1712">
        <f t="shared" ref="O145:O152" si="82">ROUND(M145*ROUND(N145,2)/10000,6)</f>
        <v>0</v>
      </c>
      <c r="P145" s="1712">
        <f t="shared" ref="P145:P152" si="83">IFERROR(ROUND(Q145*10000/M145,2),0)</f>
        <v>0</v>
      </c>
      <c r="Q145" s="1712">
        <f t="shared" ref="Q145:Q152" si="84">ROUND(O145/(1+R145),6)</f>
        <v>0</v>
      </c>
      <c r="R145" s="1757">
        <v>0.09</v>
      </c>
      <c r="S145" s="1712">
        <f t="shared" ref="S145:S152" si="85">O145-Q145</f>
        <v>0</v>
      </c>
      <c r="T145" s="1712" t="str">
        <f t="shared" si="80"/>
        <v/>
      </c>
      <c r="U145" s="1712" t="e">
        <f t="shared" si="81"/>
        <v>#DIV/0!</v>
      </c>
      <c r="V145" s="1952"/>
    </row>
    <row r="146" spans="1:22" s="1942" customFormat="1" ht="12" hidden="1" customHeight="1" outlineLevel="3">
      <c r="A146" s="1944"/>
      <c r="B146" s="1978" t="s">
        <v>717</v>
      </c>
      <c r="C146" s="1810"/>
      <c r="D146" s="2008" t="s">
        <v>3655</v>
      </c>
      <c r="E146" s="2009" t="s">
        <v>3656</v>
      </c>
      <c r="F146" s="1462" t="s">
        <v>3654</v>
      </c>
      <c r="G146" s="1953" t="s">
        <v>4156</v>
      </c>
      <c r="H146" s="1947" t="s">
        <v>18</v>
      </c>
      <c r="I146" s="1712">
        <f>$G$5</f>
        <v>0</v>
      </c>
      <c r="J146" s="2135"/>
      <c r="K146" s="1950" t="s">
        <v>4064</v>
      </c>
      <c r="L146" s="1947" t="s">
        <v>4070</v>
      </c>
      <c r="M146" s="1754">
        <f t="shared" si="74"/>
        <v>0</v>
      </c>
      <c r="N146" s="1712"/>
      <c r="O146" s="1712">
        <f t="shared" si="82"/>
        <v>0</v>
      </c>
      <c r="P146" s="1712">
        <f t="shared" si="83"/>
        <v>0</v>
      </c>
      <c r="Q146" s="1712">
        <f t="shared" si="84"/>
        <v>0</v>
      </c>
      <c r="R146" s="1757">
        <v>0.09</v>
      </c>
      <c r="S146" s="1712">
        <f t="shared" si="85"/>
        <v>0</v>
      </c>
      <c r="T146" s="1712" t="str">
        <f t="shared" si="80"/>
        <v/>
      </c>
      <c r="U146" s="1712" t="e">
        <f t="shared" si="81"/>
        <v>#DIV/0!</v>
      </c>
      <c r="V146" s="1952"/>
    </row>
    <row r="147" spans="1:22" s="1942" customFormat="1" ht="12" hidden="1" customHeight="1" outlineLevel="3">
      <c r="A147" s="1944"/>
      <c r="B147" s="1978" t="s">
        <v>718</v>
      </c>
      <c r="C147" s="1810"/>
      <c r="D147" s="2008" t="s">
        <v>3657</v>
      </c>
      <c r="E147" s="2009" t="s">
        <v>3658</v>
      </c>
      <c r="F147" s="1462" t="s">
        <v>3654</v>
      </c>
      <c r="G147" s="1953" t="s">
        <v>4156</v>
      </c>
      <c r="H147" s="1947" t="s">
        <v>3926</v>
      </c>
      <c r="I147" s="1712">
        <f>$G$7</f>
        <v>0</v>
      </c>
      <c r="J147" s="2135">
        <v>200</v>
      </c>
      <c r="K147" s="1950" t="s">
        <v>660</v>
      </c>
      <c r="L147" s="1947" t="s">
        <v>4071</v>
      </c>
      <c r="M147" s="1754">
        <f t="shared" si="74"/>
        <v>0</v>
      </c>
      <c r="N147" s="1712">
        <v>250</v>
      </c>
      <c r="O147" s="1712">
        <f t="shared" si="82"/>
        <v>0</v>
      </c>
      <c r="P147" s="1712">
        <f t="shared" si="83"/>
        <v>0</v>
      </c>
      <c r="Q147" s="1712">
        <f t="shared" si="84"/>
        <v>0</v>
      </c>
      <c r="R147" s="1757">
        <v>0.09</v>
      </c>
      <c r="S147" s="1712">
        <f t="shared" si="85"/>
        <v>0</v>
      </c>
      <c r="T147" s="1712" t="str">
        <f t="shared" si="80"/>
        <v/>
      </c>
      <c r="U147" s="1712" t="e">
        <f t="shared" si="81"/>
        <v>#DIV/0!</v>
      </c>
      <c r="V147" s="1952"/>
    </row>
    <row r="148" spans="1:22" s="1942" customFormat="1" ht="12" hidden="1" customHeight="1" outlineLevel="3">
      <c r="A148" s="1944"/>
      <c r="B148" s="1978" t="s">
        <v>1585</v>
      </c>
      <c r="C148" s="1810"/>
      <c r="D148" s="2008" t="s">
        <v>3659</v>
      </c>
      <c r="E148" s="2009" t="s">
        <v>3660</v>
      </c>
      <c r="F148" s="1462" t="s">
        <v>3654</v>
      </c>
      <c r="G148" s="1953" t="s">
        <v>4156</v>
      </c>
      <c r="H148" s="1947" t="s">
        <v>3926</v>
      </c>
      <c r="I148" s="1712">
        <f>$G$7</f>
        <v>0</v>
      </c>
      <c r="J148" s="2135">
        <v>80</v>
      </c>
      <c r="K148" s="1950" t="s">
        <v>660</v>
      </c>
      <c r="L148" s="1947" t="s">
        <v>4072</v>
      </c>
      <c r="M148" s="1754">
        <f t="shared" si="74"/>
        <v>0</v>
      </c>
      <c r="N148" s="1712">
        <v>180</v>
      </c>
      <c r="O148" s="1712">
        <f t="shared" si="82"/>
        <v>0</v>
      </c>
      <c r="P148" s="1712">
        <f t="shared" si="83"/>
        <v>0</v>
      </c>
      <c r="Q148" s="1712">
        <f t="shared" si="84"/>
        <v>0</v>
      </c>
      <c r="R148" s="1757">
        <v>0.09</v>
      </c>
      <c r="S148" s="1712">
        <f t="shared" si="85"/>
        <v>0</v>
      </c>
      <c r="T148" s="1712" t="str">
        <f t="shared" si="80"/>
        <v/>
      </c>
      <c r="U148" s="1712" t="e">
        <f t="shared" si="81"/>
        <v>#DIV/0!</v>
      </c>
      <c r="V148" s="1952"/>
    </row>
    <row r="149" spans="1:22" s="1942" customFormat="1" ht="12" hidden="1" customHeight="1" outlineLevel="3">
      <c r="A149" s="1944"/>
      <c r="B149" s="1978" t="s">
        <v>1586</v>
      </c>
      <c r="C149" s="1810"/>
      <c r="D149" s="2008" t="s">
        <v>720</v>
      </c>
      <c r="E149" s="2009" t="s">
        <v>3661</v>
      </c>
      <c r="F149" s="1462" t="s">
        <v>3654</v>
      </c>
      <c r="G149" s="1953" t="s">
        <v>4156</v>
      </c>
      <c r="H149" s="1947" t="s">
        <v>3926</v>
      </c>
      <c r="I149" s="1712">
        <f>$G$7</f>
        <v>0</v>
      </c>
      <c r="J149" s="2135">
        <v>120</v>
      </c>
      <c r="K149" s="1950" t="s">
        <v>660</v>
      </c>
      <c r="L149" s="1947" t="s">
        <v>4073</v>
      </c>
      <c r="M149" s="1754">
        <f t="shared" si="74"/>
        <v>0</v>
      </c>
      <c r="N149" s="1712">
        <v>90</v>
      </c>
      <c r="O149" s="1712">
        <f t="shared" si="82"/>
        <v>0</v>
      </c>
      <c r="P149" s="1712">
        <f t="shared" si="83"/>
        <v>0</v>
      </c>
      <c r="Q149" s="1712">
        <f t="shared" si="84"/>
        <v>0</v>
      </c>
      <c r="R149" s="1757">
        <v>0.09</v>
      </c>
      <c r="S149" s="1712">
        <f t="shared" si="85"/>
        <v>0</v>
      </c>
      <c r="T149" s="1712" t="str">
        <f t="shared" si="80"/>
        <v/>
      </c>
      <c r="U149" s="1712" t="e">
        <f t="shared" si="81"/>
        <v>#DIV/0!</v>
      </c>
      <c r="V149" s="1952"/>
    </row>
    <row r="150" spans="1:22" s="1942" customFormat="1" ht="12" hidden="1" customHeight="1" outlineLevel="3">
      <c r="A150" s="1944"/>
      <c r="B150" s="1978" t="s">
        <v>3662</v>
      </c>
      <c r="C150" s="1810"/>
      <c r="D150" s="2008" t="s">
        <v>3663</v>
      </c>
      <c r="E150" s="2009" t="s">
        <v>3664</v>
      </c>
      <c r="F150" s="1462" t="s">
        <v>3654</v>
      </c>
      <c r="G150" s="1953" t="s">
        <v>4156</v>
      </c>
      <c r="H150" s="1947" t="s">
        <v>3926</v>
      </c>
      <c r="I150" s="1712">
        <f>$G$7</f>
        <v>0</v>
      </c>
      <c r="J150" s="2135">
        <v>120</v>
      </c>
      <c r="K150" s="1950" t="s">
        <v>722</v>
      </c>
      <c r="L150" s="1947" t="s">
        <v>4074</v>
      </c>
      <c r="M150" s="1754">
        <f t="shared" si="74"/>
        <v>0</v>
      </c>
      <c r="N150" s="1712">
        <v>200</v>
      </c>
      <c r="O150" s="1712">
        <f t="shared" si="82"/>
        <v>0</v>
      </c>
      <c r="P150" s="1712">
        <f t="shared" si="83"/>
        <v>0</v>
      </c>
      <c r="Q150" s="1712">
        <f t="shared" si="84"/>
        <v>0</v>
      </c>
      <c r="R150" s="1757">
        <v>0.09</v>
      </c>
      <c r="S150" s="1712">
        <f t="shared" si="85"/>
        <v>0</v>
      </c>
      <c r="T150" s="1712" t="str">
        <f t="shared" si="80"/>
        <v/>
      </c>
      <c r="U150" s="1712" t="e">
        <f t="shared" si="81"/>
        <v>#DIV/0!</v>
      </c>
      <c r="V150" s="1952"/>
    </row>
    <row r="151" spans="1:22" s="1942" customFormat="1" ht="12" hidden="1" customHeight="1" outlineLevel="3">
      <c r="A151" s="1944"/>
      <c r="B151" s="1978" t="s">
        <v>3665</v>
      </c>
      <c r="C151" s="1810"/>
      <c r="D151" s="2008" t="s">
        <v>3666</v>
      </c>
      <c r="E151" s="2009" t="s">
        <v>3667</v>
      </c>
      <c r="F151" s="1462" t="s">
        <v>3654</v>
      </c>
      <c r="G151" s="1953" t="s">
        <v>4156</v>
      </c>
      <c r="H151" s="1947" t="s">
        <v>9</v>
      </c>
      <c r="I151" s="1712">
        <f>$E$4</f>
        <v>0</v>
      </c>
      <c r="J151" s="2135"/>
      <c r="K151" s="1950" t="s">
        <v>4075</v>
      </c>
      <c r="L151" s="1947" t="s">
        <v>4076</v>
      </c>
      <c r="M151" s="1754">
        <f t="shared" si="74"/>
        <v>0</v>
      </c>
      <c r="N151" s="1712"/>
      <c r="O151" s="1712">
        <f t="shared" si="82"/>
        <v>0</v>
      </c>
      <c r="P151" s="1712">
        <f t="shared" si="83"/>
        <v>0</v>
      </c>
      <c r="Q151" s="1712">
        <f t="shared" si="84"/>
        <v>0</v>
      </c>
      <c r="R151" s="1757">
        <v>0.09</v>
      </c>
      <c r="S151" s="1712">
        <f t="shared" si="85"/>
        <v>0</v>
      </c>
      <c r="T151" s="1712" t="str">
        <f t="shared" si="80"/>
        <v/>
      </c>
      <c r="U151" s="1712" t="e">
        <f t="shared" si="81"/>
        <v>#DIV/0!</v>
      </c>
      <c r="V151" s="1952"/>
    </row>
    <row r="152" spans="1:22" s="1942" customFormat="1" ht="12" hidden="1" customHeight="1" outlineLevel="3">
      <c r="A152" s="1944"/>
      <c r="B152" s="1978" t="s">
        <v>3668</v>
      </c>
      <c r="C152" s="1810"/>
      <c r="D152" s="2008" t="s">
        <v>3669</v>
      </c>
      <c r="E152" s="2009" t="s">
        <v>3670</v>
      </c>
      <c r="F152" s="1462" t="s">
        <v>3654</v>
      </c>
      <c r="G152" s="1953" t="s">
        <v>4156</v>
      </c>
      <c r="H152" s="1947" t="s">
        <v>3926</v>
      </c>
      <c r="I152" s="1712">
        <f>$G$7</f>
        <v>0</v>
      </c>
      <c r="J152" s="2135"/>
      <c r="K152" s="1950" t="s">
        <v>101</v>
      </c>
      <c r="L152" s="1947" t="s">
        <v>4077</v>
      </c>
      <c r="M152" s="1754">
        <f t="shared" si="74"/>
        <v>0</v>
      </c>
      <c r="N152" s="1712"/>
      <c r="O152" s="1712">
        <f t="shared" si="82"/>
        <v>0</v>
      </c>
      <c r="P152" s="1712">
        <f t="shared" si="83"/>
        <v>0</v>
      </c>
      <c r="Q152" s="1712">
        <f t="shared" si="84"/>
        <v>0</v>
      </c>
      <c r="R152" s="1757">
        <v>0.09</v>
      </c>
      <c r="S152" s="1712">
        <f t="shared" si="85"/>
        <v>0</v>
      </c>
      <c r="T152" s="1712" t="str">
        <f t="shared" si="80"/>
        <v/>
      </c>
      <c r="U152" s="1712" t="e">
        <f t="shared" si="81"/>
        <v>#DIV/0!</v>
      </c>
      <c r="V152" s="1952"/>
    </row>
    <row r="153" spans="1:22" s="1942" customFormat="1" ht="13" hidden="1" outlineLevel="2">
      <c r="A153" s="1944"/>
      <c r="B153" s="1807" t="s">
        <v>723</v>
      </c>
      <c r="C153" s="1808"/>
      <c r="D153" s="2008" t="s">
        <v>21</v>
      </c>
      <c r="E153" s="2009"/>
      <c r="F153" s="1462"/>
      <c r="G153" s="1953" t="s">
        <v>4117</v>
      </c>
      <c r="H153" s="1947"/>
      <c r="I153" s="1948"/>
      <c r="J153" s="2099"/>
      <c r="K153" s="1950"/>
      <c r="L153" s="1947"/>
      <c r="M153" s="1950"/>
      <c r="N153" s="1712"/>
      <c r="O153" s="1712">
        <f>SUBTOTAL(9,O154:O158)</f>
        <v>0</v>
      </c>
      <c r="P153" s="1712"/>
      <c r="Q153" s="1712">
        <f>SUBTOTAL(9,Q154:Q158)</f>
        <v>0</v>
      </c>
      <c r="R153" s="1712"/>
      <c r="S153" s="1712">
        <f>SUBTOTAL(9,S154:S158)</f>
        <v>0</v>
      </c>
      <c r="T153" s="1712" t="str">
        <f t="shared" si="80"/>
        <v/>
      </c>
      <c r="U153" s="1712" t="e">
        <f t="shared" si="81"/>
        <v>#DIV/0!</v>
      </c>
      <c r="V153" s="1952"/>
    </row>
    <row r="154" spans="1:22" s="1942" customFormat="1" ht="12" hidden="1" customHeight="1" outlineLevel="3">
      <c r="A154" s="1944"/>
      <c r="B154" s="1978" t="s">
        <v>724</v>
      </c>
      <c r="C154" s="1810"/>
      <c r="D154" s="2008" t="s">
        <v>3671</v>
      </c>
      <c r="E154" s="2009" t="s">
        <v>3672</v>
      </c>
      <c r="F154" s="1462" t="s">
        <v>1606</v>
      </c>
      <c r="G154" s="1953" t="s">
        <v>4121</v>
      </c>
      <c r="H154" s="1947" t="s">
        <v>18</v>
      </c>
      <c r="I154" s="1712">
        <f>$G$5</f>
        <v>0</v>
      </c>
      <c r="J154" s="2135">
        <v>1</v>
      </c>
      <c r="K154" s="1950" t="s">
        <v>2942</v>
      </c>
      <c r="L154" s="1947" t="s">
        <v>4078</v>
      </c>
      <c r="M154" s="1754">
        <f t="shared" si="74"/>
        <v>0</v>
      </c>
      <c r="N154" s="1712"/>
      <c r="O154" s="1712">
        <f t="shared" ref="O154:O158" si="86">ROUND(M154*ROUND(N154,2)/10000,6)</f>
        <v>0</v>
      </c>
      <c r="P154" s="1712">
        <f t="shared" ref="P154:P158" si="87">IFERROR(ROUND(Q154*10000/M154,2),0)</f>
        <v>0</v>
      </c>
      <c r="Q154" s="1712">
        <f t="shared" ref="Q154:Q158" si="88">ROUND(O154/(1+R154),6)</f>
        <v>0</v>
      </c>
      <c r="R154" s="1757">
        <v>0.09</v>
      </c>
      <c r="S154" s="1712">
        <f t="shared" ref="S154:S158" si="89">O154-Q154</f>
        <v>0</v>
      </c>
      <c r="T154" s="1712" t="str">
        <f t="shared" si="80"/>
        <v/>
      </c>
      <c r="U154" s="1712" t="e">
        <f t="shared" si="81"/>
        <v>#DIV/0!</v>
      </c>
      <c r="V154" s="1952"/>
    </row>
    <row r="155" spans="1:22" s="1942" customFormat="1" ht="12" hidden="1" customHeight="1" outlineLevel="3">
      <c r="A155" s="1944"/>
      <c r="B155" s="1978" t="s">
        <v>726</v>
      </c>
      <c r="C155" s="1810"/>
      <c r="D155" s="2008" t="s">
        <v>61</v>
      </c>
      <c r="E155" s="2009" t="s">
        <v>3673</v>
      </c>
      <c r="F155" s="1462" t="s">
        <v>3674</v>
      </c>
      <c r="G155" s="1953" t="s">
        <v>4157</v>
      </c>
      <c r="H155" s="1947" t="s">
        <v>3926</v>
      </c>
      <c r="I155" s="1712">
        <f>$G$7</f>
        <v>0</v>
      </c>
      <c r="J155" s="2135">
        <v>1</v>
      </c>
      <c r="K155" s="1950" t="s">
        <v>6</v>
      </c>
      <c r="L155" s="1947" t="s">
        <v>4079</v>
      </c>
      <c r="M155" s="1754">
        <f t="shared" si="74"/>
        <v>0</v>
      </c>
      <c r="N155" s="1712">
        <v>60000</v>
      </c>
      <c r="O155" s="1712">
        <f t="shared" si="86"/>
        <v>0</v>
      </c>
      <c r="P155" s="1712">
        <f t="shared" si="87"/>
        <v>0</v>
      </c>
      <c r="Q155" s="1712">
        <f t="shared" si="88"/>
        <v>0</v>
      </c>
      <c r="R155" s="1757">
        <v>0.13</v>
      </c>
      <c r="S155" s="1712">
        <f t="shared" si="89"/>
        <v>0</v>
      </c>
      <c r="T155" s="1712" t="str">
        <f t="shared" si="80"/>
        <v/>
      </c>
      <c r="U155" s="1712" t="e">
        <f t="shared" si="81"/>
        <v>#DIV/0!</v>
      </c>
      <c r="V155" s="1952"/>
    </row>
    <row r="156" spans="1:22" s="1942" customFormat="1" ht="12" hidden="1" customHeight="1" outlineLevel="3">
      <c r="A156" s="1944"/>
      <c r="B156" s="1978" t="s">
        <v>728</v>
      </c>
      <c r="C156" s="1810"/>
      <c r="D156" s="2008" t="s">
        <v>3675</v>
      </c>
      <c r="E156" s="2009" t="s">
        <v>3676</v>
      </c>
      <c r="F156" s="1462" t="s">
        <v>3677</v>
      </c>
      <c r="G156" s="1953" t="s">
        <v>4158</v>
      </c>
      <c r="H156" s="1947" t="s">
        <v>3923</v>
      </c>
      <c r="I156" s="1712">
        <f>G6</f>
        <v>0</v>
      </c>
      <c r="J156" s="2171">
        <v>7</v>
      </c>
      <c r="K156" s="1950" t="s">
        <v>101</v>
      </c>
      <c r="L156" s="1947" t="s">
        <v>4080</v>
      </c>
      <c r="M156" s="1754">
        <f t="shared" si="74"/>
        <v>0</v>
      </c>
      <c r="N156" s="2169">
        <v>400</v>
      </c>
      <c r="O156" s="1712">
        <f t="shared" si="86"/>
        <v>0</v>
      </c>
      <c r="P156" s="1712">
        <f t="shared" si="87"/>
        <v>0</v>
      </c>
      <c r="Q156" s="1712">
        <f t="shared" si="88"/>
        <v>0</v>
      </c>
      <c r="R156" s="1757">
        <v>0.13</v>
      </c>
      <c r="S156" s="1712">
        <f t="shared" si="89"/>
        <v>0</v>
      </c>
      <c r="T156" s="1712" t="str">
        <f t="shared" si="80"/>
        <v/>
      </c>
      <c r="U156" s="1712" t="e">
        <f t="shared" si="81"/>
        <v>#DIV/0!</v>
      </c>
      <c r="V156" s="1952"/>
    </row>
    <row r="157" spans="1:22" s="1942" customFormat="1" ht="12" hidden="1" customHeight="1" outlineLevel="3">
      <c r="A157" s="1944"/>
      <c r="B157" s="1978" t="s">
        <v>730</v>
      </c>
      <c r="C157" s="1810"/>
      <c r="D157" s="2008" t="s">
        <v>62</v>
      </c>
      <c r="E157" s="2009" t="s">
        <v>3678</v>
      </c>
      <c r="F157" s="1462" t="s">
        <v>3679</v>
      </c>
      <c r="G157" s="1953" t="s">
        <v>4159</v>
      </c>
      <c r="H157" s="1947" t="s">
        <v>10</v>
      </c>
      <c r="I157" s="1712">
        <f>$E$5</f>
        <v>0</v>
      </c>
      <c r="J157" s="2171">
        <v>0.25</v>
      </c>
      <c r="K157" s="1950" t="s">
        <v>101</v>
      </c>
      <c r="L157" s="1947" t="s">
        <v>4081</v>
      </c>
      <c r="M157" s="1754">
        <f t="shared" si="74"/>
        <v>0</v>
      </c>
      <c r="N157" s="2169">
        <v>800</v>
      </c>
      <c r="O157" s="1712">
        <f t="shared" si="86"/>
        <v>0</v>
      </c>
      <c r="P157" s="1712">
        <f t="shared" si="87"/>
        <v>0</v>
      </c>
      <c r="Q157" s="1712">
        <f t="shared" si="88"/>
        <v>0</v>
      </c>
      <c r="R157" s="1757">
        <v>0.13</v>
      </c>
      <c r="S157" s="1712">
        <f t="shared" si="89"/>
        <v>0</v>
      </c>
      <c r="T157" s="1712" t="str">
        <f t="shared" si="80"/>
        <v/>
      </c>
      <c r="U157" s="1712" t="e">
        <f t="shared" si="81"/>
        <v>#DIV/0!</v>
      </c>
      <c r="V157" s="1952"/>
    </row>
    <row r="158" spans="1:22" s="1942" customFormat="1" ht="12" hidden="1" customHeight="1" outlineLevel="3">
      <c r="A158" s="1944"/>
      <c r="B158" s="1978" t="s">
        <v>3680</v>
      </c>
      <c r="C158" s="1810"/>
      <c r="D158" s="2008" t="s">
        <v>3681</v>
      </c>
      <c r="E158" s="2009" t="s">
        <v>3682</v>
      </c>
      <c r="F158" s="1462" t="s">
        <v>3677</v>
      </c>
      <c r="G158" s="1953" t="s">
        <v>4158</v>
      </c>
      <c r="H158" s="1947" t="s">
        <v>10</v>
      </c>
      <c r="I158" s="1712">
        <f>$E$5</f>
        <v>0</v>
      </c>
      <c r="J158" s="2135"/>
      <c r="K158" s="1950" t="s">
        <v>101</v>
      </c>
      <c r="L158" s="1947" t="s">
        <v>4082</v>
      </c>
      <c r="M158" s="1754">
        <f t="shared" si="74"/>
        <v>0</v>
      </c>
      <c r="N158" s="1712"/>
      <c r="O158" s="1712">
        <f t="shared" si="86"/>
        <v>0</v>
      </c>
      <c r="P158" s="1712">
        <f t="shared" si="87"/>
        <v>0</v>
      </c>
      <c r="Q158" s="1712">
        <f t="shared" si="88"/>
        <v>0</v>
      </c>
      <c r="R158" s="1757">
        <v>0.13</v>
      </c>
      <c r="S158" s="1712">
        <f t="shared" si="89"/>
        <v>0</v>
      </c>
      <c r="T158" s="1712" t="str">
        <f t="shared" si="80"/>
        <v/>
      </c>
      <c r="U158" s="1712" t="e">
        <f t="shared" si="81"/>
        <v>#DIV/0!</v>
      </c>
      <c r="V158" s="1952"/>
    </row>
    <row r="159" spans="1:22" s="1942" customFormat="1" ht="13" hidden="1"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t="str">
        <f t="shared" si="80"/>
        <v/>
      </c>
      <c r="U159" s="1712" t="e">
        <f t="shared" si="81"/>
        <v>#DIV/0!</v>
      </c>
      <c r="V159" s="1952"/>
    </row>
    <row r="160" spans="1:22" s="1942" customFormat="1" ht="12" hidden="1" customHeight="1" outlineLevel="3">
      <c r="A160" s="1944"/>
      <c r="B160" s="1978" t="s">
        <v>733</v>
      </c>
      <c r="C160" s="1810"/>
      <c r="D160" s="2038" t="s">
        <v>3683</v>
      </c>
      <c r="E160" s="1947" t="s">
        <v>3684</v>
      </c>
      <c r="F160" s="1462" t="s">
        <v>3342</v>
      </c>
      <c r="G160" s="1953" t="s">
        <v>4116</v>
      </c>
      <c r="H160" s="1947" t="s">
        <v>9</v>
      </c>
      <c r="I160" s="1712">
        <f>$E$4</f>
        <v>0</v>
      </c>
      <c r="J160" s="2135">
        <v>1.5</v>
      </c>
      <c r="K160" s="1950" t="s">
        <v>101</v>
      </c>
      <c r="L160" s="1947" t="s">
        <v>4083</v>
      </c>
      <c r="M160" s="1754">
        <f t="shared" si="74"/>
        <v>0</v>
      </c>
      <c r="N160" s="1712">
        <v>90</v>
      </c>
      <c r="O160" s="1712">
        <f t="shared" ref="O160:O162" si="90">ROUND(M160*ROUND(N160,2)/10000,6)</f>
        <v>0</v>
      </c>
      <c r="P160" s="1712">
        <f t="shared" ref="P160:P162" si="91">IFERROR(ROUND(Q160*10000/M160,2),0)</f>
        <v>0</v>
      </c>
      <c r="Q160" s="1712">
        <f t="shared" ref="Q160:Q162" si="92">ROUND(O160/(1+R160),6)</f>
        <v>0</v>
      </c>
      <c r="R160" s="1757">
        <v>0.09</v>
      </c>
      <c r="S160" s="1712">
        <f t="shared" ref="S160:S162" si="93">O160-Q160</f>
        <v>0</v>
      </c>
      <c r="T160" s="1712" t="str">
        <f t="shared" si="80"/>
        <v/>
      </c>
      <c r="U160" s="1712" t="e">
        <f t="shared" si="81"/>
        <v>#DIV/0!</v>
      </c>
      <c r="V160" s="1952"/>
    </row>
    <row r="161" spans="1:22" s="1942" customFormat="1" ht="12" hidden="1" customHeight="1" outlineLevel="3">
      <c r="A161" s="1944"/>
      <c r="B161" s="1978" t="s">
        <v>735</v>
      </c>
      <c r="C161" s="1810"/>
      <c r="D161" s="2038" t="s">
        <v>3685</v>
      </c>
      <c r="E161" s="1947" t="s">
        <v>3686</v>
      </c>
      <c r="F161" s="1462" t="s">
        <v>3342</v>
      </c>
      <c r="G161" s="1953" t="s">
        <v>4116</v>
      </c>
      <c r="H161" s="1947" t="s">
        <v>9</v>
      </c>
      <c r="I161" s="1712">
        <f t="shared" ref="I161:I162" si="94">$E$4</f>
        <v>0</v>
      </c>
      <c r="J161" s="2139"/>
      <c r="K161" s="1950" t="s">
        <v>101</v>
      </c>
      <c r="L161" s="1947" t="s">
        <v>9</v>
      </c>
      <c r="M161" s="1754">
        <f t="shared" si="74"/>
        <v>0</v>
      </c>
      <c r="N161" s="1712"/>
      <c r="O161" s="1712">
        <f t="shared" si="90"/>
        <v>0</v>
      </c>
      <c r="P161" s="1712">
        <f t="shared" si="91"/>
        <v>0</v>
      </c>
      <c r="Q161" s="1712">
        <f t="shared" si="92"/>
        <v>0</v>
      </c>
      <c r="R161" s="1757">
        <v>0.09</v>
      </c>
      <c r="S161" s="1712">
        <f t="shared" si="93"/>
        <v>0</v>
      </c>
      <c r="T161" s="1712" t="str">
        <f t="shared" si="80"/>
        <v/>
      </c>
      <c r="U161" s="1712" t="e">
        <f t="shared" si="81"/>
        <v>#DIV/0!</v>
      </c>
      <c r="V161" s="1952"/>
    </row>
    <row r="162" spans="1:22" s="1942" customFormat="1" ht="12" hidden="1" customHeight="1" outlineLevel="3">
      <c r="A162" s="1944"/>
      <c r="B162" s="1978" t="s">
        <v>737</v>
      </c>
      <c r="C162" s="1810"/>
      <c r="D162" s="2038" t="s">
        <v>3687</v>
      </c>
      <c r="E162" s="1947" t="s">
        <v>3688</v>
      </c>
      <c r="F162" s="1462" t="s">
        <v>471</v>
      </c>
      <c r="G162" s="1953" t="s">
        <v>4160</v>
      </c>
      <c r="H162" s="1947" t="s">
        <v>9</v>
      </c>
      <c r="I162" s="1712">
        <f t="shared" si="94"/>
        <v>0</v>
      </c>
      <c r="J162" s="2135"/>
      <c r="K162" s="1950" t="s">
        <v>101</v>
      </c>
      <c r="L162" s="1947" t="s">
        <v>4084</v>
      </c>
      <c r="M162" s="1754">
        <f t="shared" si="74"/>
        <v>0</v>
      </c>
      <c r="N162" s="1712"/>
      <c r="O162" s="1712">
        <f t="shared" si="90"/>
        <v>0</v>
      </c>
      <c r="P162" s="1712">
        <f t="shared" si="91"/>
        <v>0</v>
      </c>
      <c r="Q162" s="1712">
        <f t="shared" si="92"/>
        <v>0</v>
      </c>
      <c r="R162" s="1757">
        <v>0.13</v>
      </c>
      <c r="S162" s="1712">
        <f t="shared" si="93"/>
        <v>0</v>
      </c>
      <c r="T162" s="1712" t="str">
        <f t="shared" si="80"/>
        <v/>
      </c>
      <c r="U162" s="1712" t="e">
        <f t="shared" si="81"/>
        <v>#DIV/0!</v>
      </c>
      <c r="V162" s="1952"/>
    </row>
    <row r="163" spans="1:22" s="1942" customFormat="1" ht="13" hidden="1"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0</v>
      </c>
      <c r="P163" s="1712"/>
      <c r="Q163" s="1712">
        <f>SUBTOTAL(9,Q164:Q166)</f>
        <v>0</v>
      </c>
      <c r="R163" s="1712"/>
      <c r="S163" s="1712">
        <f>SUBTOTAL(9,S164:S166)</f>
        <v>0</v>
      </c>
      <c r="T163" s="1712" t="str">
        <f t="shared" si="80"/>
        <v/>
      </c>
      <c r="U163" s="1712" t="e">
        <f t="shared" si="81"/>
        <v>#DIV/0!</v>
      </c>
      <c r="V163" s="1952"/>
    </row>
    <row r="164" spans="1:22" s="1942" customFormat="1" ht="12" hidden="1" customHeight="1" outlineLevel="3">
      <c r="A164" s="1944"/>
      <c r="B164" s="1978" t="s">
        <v>3691</v>
      </c>
      <c r="C164" s="1810"/>
      <c r="D164" s="2038" t="s">
        <v>3692</v>
      </c>
      <c r="E164" s="1947" t="s">
        <v>3693</v>
      </c>
      <c r="F164" s="1462" t="s">
        <v>3694</v>
      </c>
      <c r="G164" s="1953" t="s">
        <v>4161</v>
      </c>
      <c r="H164" s="1975" t="s">
        <v>10</v>
      </c>
      <c r="I164" s="1712">
        <f>$E$5</f>
        <v>0</v>
      </c>
      <c r="J164" s="2135">
        <v>1</v>
      </c>
      <c r="K164" s="1950" t="s">
        <v>101</v>
      </c>
      <c r="L164" s="1947" t="s">
        <v>10</v>
      </c>
      <c r="M164" s="1754">
        <f t="shared" si="74"/>
        <v>0</v>
      </c>
      <c r="N164" s="1712">
        <v>3</v>
      </c>
      <c r="O164" s="1712">
        <f t="shared" ref="O164:O169" si="95">ROUND(M164*ROUND(N164,2)/10000,6)</f>
        <v>0</v>
      </c>
      <c r="P164" s="1712">
        <f t="shared" ref="P164:P169" si="96">IFERROR(ROUND(Q164*10000/M164,2),0)</f>
        <v>0</v>
      </c>
      <c r="Q164" s="1712">
        <f t="shared" ref="Q164:Q169" si="97">ROUND(O164/(1+R164),6)</f>
        <v>0</v>
      </c>
      <c r="R164" s="1757">
        <v>0.13</v>
      </c>
      <c r="S164" s="1712">
        <f t="shared" ref="S164:S169" si="98">O164-Q164</f>
        <v>0</v>
      </c>
      <c r="T164" s="1712" t="str">
        <f t="shared" si="80"/>
        <v/>
      </c>
      <c r="U164" s="1712" t="e">
        <f t="shared" si="81"/>
        <v>#DIV/0!</v>
      </c>
      <c r="V164" s="1952"/>
    </row>
    <row r="165" spans="1:22" s="1942" customFormat="1" ht="12" hidden="1" customHeight="1" outlineLevel="3">
      <c r="A165" s="1944"/>
      <c r="B165" s="1978" t="s">
        <v>3695</v>
      </c>
      <c r="C165" s="1810"/>
      <c r="D165" s="2038" t="s">
        <v>3696</v>
      </c>
      <c r="E165" s="1947" t="s">
        <v>3697</v>
      </c>
      <c r="F165" s="1462" t="s">
        <v>3694</v>
      </c>
      <c r="G165" s="1953" t="s">
        <v>4161</v>
      </c>
      <c r="H165" s="1975" t="s">
        <v>10</v>
      </c>
      <c r="I165" s="1712">
        <f t="shared" ref="I165:I166" si="99">$E$5</f>
        <v>0</v>
      </c>
      <c r="J165" s="2135">
        <v>1</v>
      </c>
      <c r="K165" s="1950" t="s">
        <v>101</v>
      </c>
      <c r="L165" s="1947" t="s">
        <v>10</v>
      </c>
      <c r="M165" s="1754">
        <f t="shared" si="74"/>
        <v>0</v>
      </c>
      <c r="N165" s="1712">
        <v>2</v>
      </c>
      <c r="O165" s="1712">
        <f t="shared" si="95"/>
        <v>0</v>
      </c>
      <c r="P165" s="1712">
        <f t="shared" si="96"/>
        <v>0</v>
      </c>
      <c r="Q165" s="1712">
        <f t="shared" si="97"/>
        <v>0</v>
      </c>
      <c r="R165" s="1757">
        <v>0.13</v>
      </c>
      <c r="S165" s="1712">
        <f t="shared" si="98"/>
        <v>0</v>
      </c>
      <c r="T165" s="1712" t="str">
        <f t="shared" si="80"/>
        <v/>
      </c>
      <c r="U165" s="1712" t="e">
        <f t="shared" si="81"/>
        <v>#DIV/0!</v>
      </c>
      <c r="V165" s="1952"/>
    </row>
    <row r="166" spans="1:22" s="1942" customFormat="1" ht="12" hidden="1" customHeight="1" outlineLevel="3">
      <c r="A166" s="1944"/>
      <c r="B166" s="1978" t="s">
        <v>3698</v>
      </c>
      <c r="C166" s="1810"/>
      <c r="D166" s="2038" t="s">
        <v>3699</v>
      </c>
      <c r="E166" s="1947" t="s">
        <v>3700</v>
      </c>
      <c r="F166" s="1462" t="s">
        <v>3694</v>
      </c>
      <c r="G166" s="1953" t="s">
        <v>4161</v>
      </c>
      <c r="H166" s="1975" t="s">
        <v>10</v>
      </c>
      <c r="I166" s="1712">
        <f t="shared" si="99"/>
        <v>0</v>
      </c>
      <c r="J166" s="2135">
        <v>1</v>
      </c>
      <c r="K166" s="1950" t="s">
        <v>101</v>
      </c>
      <c r="L166" s="1947" t="s">
        <v>10</v>
      </c>
      <c r="M166" s="1754">
        <f t="shared" si="74"/>
        <v>0</v>
      </c>
      <c r="N166" s="1712">
        <v>1</v>
      </c>
      <c r="O166" s="1712">
        <f t="shared" si="95"/>
        <v>0</v>
      </c>
      <c r="P166" s="1712">
        <f t="shared" si="96"/>
        <v>0</v>
      </c>
      <c r="Q166" s="1712">
        <f t="shared" si="97"/>
        <v>0</v>
      </c>
      <c r="R166" s="1757">
        <v>0.13</v>
      </c>
      <c r="S166" s="1712">
        <f t="shared" si="98"/>
        <v>0</v>
      </c>
      <c r="T166" s="1712" t="str">
        <f t="shared" si="80"/>
        <v/>
      </c>
      <c r="U166" s="1712" t="e">
        <f t="shared" si="81"/>
        <v>#DIV/0!</v>
      </c>
      <c r="V166" s="1952"/>
    </row>
    <row r="167" spans="1:22" s="1942" customFormat="1" ht="13" hidden="1" outlineLevel="2">
      <c r="A167" s="1944"/>
      <c r="B167" s="1978" t="s">
        <v>3705</v>
      </c>
      <c r="C167" s="1810"/>
      <c r="D167" s="2038" t="s">
        <v>740</v>
      </c>
      <c r="E167" s="1947" t="s">
        <v>3702</v>
      </c>
      <c r="F167" s="1462" t="s">
        <v>463</v>
      </c>
      <c r="G167" s="1953" t="s">
        <v>4162</v>
      </c>
      <c r="H167" s="1975" t="s">
        <v>3926</v>
      </c>
      <c r="I167" s="1712">
        <f>$G$7</f>
        <v>0</v>
      </c>
      <c r="J167" s="2135">
        <v>1</v>
      </c>
      <c r="K167" s="1950" t="s">
        <v>3947</v>
      </c>
      <c r="L167" s="1947" t="s">
        <v>3926</v>
      </c>
      <c r="M167" s="1754">
        <f t="shared" si="74"/>
        <v>0</v>
      </c>
      <c r="N167" s="1712">
        <v>80</v>
      </c>
      <c r="O167" s="1712">
        <f t="shared" si="95"/>
        <v>0</v>
      </c>
      <c r="P167" s="1712">
        <f t="shared" si="96"/>
        <v>0</v>
      </c>
      <c r="Q167" s="1712">
        <f t="shared" si="97"/>
        <v>0</v>
      </c>
      <c r="R167" s="1757">
        <v>0.13</v>
      </c>
      <c r="S167" s="1712">
        <f t="shared" si="98"/>
        <v>0</v>
      </c>
      <c r="T167" s="1712" t="str">
        <f t="shared" si="80"/>
        <v/>
      </c>
      <c r="U167" s="1712" t="e">
        <f t="shared" si="81"/>
        <v>#DIV/0!</v>
      </c>
      <c r="V167" s="1952"/>
    </row>
    <row r="168" spans="1:22" s="1942" customFormat="1" ht="13" hidden="1" outlineLevel="2">
      <c r="A168" s="1944"/>
      <c r="B168" s="1978" t="s">
        <v>3701</v>
      </c>
      <c r="C168" s="1810"/>
      <c r="D168" s="2038" t="s">
        <v>3704</v>
      </c>
      <c r="E168" s="1947"/>
      <c r="F168" s="1462" t="s">
        <v>1424</v>
      </c>
      <c r="G168" s="1953" t="s">
        <v>4123</v>
      </c>
      <c r="H168" s="1975" t="s">
        <v>10</v>
      </c>
      <c r="I168" s="1712">
        <f>$E$5</f>
        <v>0</v>
      </c>
      <c r="J168" s="2139"/>
      <c r="K168" s="1950" t="s">
        <v>101</v>
      </c>
      <c r="L168" s="1947" t="s">
        <v>10</v>
      </c>
      <c r="M168" s="1754">
        <f t="shared" si="74"/>
        <v>0</v>
      </c>
      <c r="N168" s="1712"/>
      <c r="O168" s="1712">
        <f t="shared" si="95"/>
        <v>0</v>
      </c>
      <c r="P168" s="1712">
        <f t="shared" si="96"/>
        <v>0</v>
      </c>
      <c r="Q168" s="1712">
        <f t="shared" si="97"/>
        <v>0</v>
      </c>
      <c r="R168" s="1757">
        <v>0.06</v>
      </c>
      <c r="S168" s="1712">
        <f t="shared" si="98"/>
        <v>0</v>
      </c>
      <c r="T168" s="1712" t="str">
        <f t="shared" si="80"/>
        <v/>
      </c>
      <c r="U168" s="1712" t="e">
        <f t="shared" si="81"/>
        <v>#DIV/0!</v>
      </c>
      <c r="V168" s="1952"/>
    </row>
    <row r="169" spans="1:22" s="1942" customFormat="1" ht="13" hidden="1" outlineLevel="2">
      <c r="A169" s="1944"/>
      <c r="B169" s="1978" t="s">
        <v>3703</v>
      </c>
      <c r="C169" s="1810"/>
      <c r="D169" s="2039" t="s">
        <v>3706</v>
      </c>
      <c r="E169" s="1982" t="s">
        <v>3707</v>
      </c>
      <c r="F169" s="1462" t="s">
        <v>3694</v>
      </c>
      <c r="G169" s="1982" t="s">
        <v>4161</v>
      </c>
      <c r="H169" s="1975" t="s">
        <v>10</v>
      </c>
      <c r="I169" s="1712">
        <f>$E$5</f>
        <v>0</v>
      </c>
      <c r="J169" s="2139"/>
      <c r="K169" s="1950" t="s">
        <v>101</v>
      </c>
      <c r="L169" s="1947" t="s">
        <v>10</v>
      </c>
      <c r="M169" s="1754">
        <f t="shared" si="74"/>
        <v>0</v>
      </c>
      <c r="N169" s="1712"/>
      <c r="O169" s="1712">
        <f t="shared" si="95"/>
        <v>0</v>
      </c>
      <c r="P169" s="1712">
        <f t="shared" si="96"/>
        <v>0</v>
      </c>
      <c r="Q169" s="1712">
        <f t="shared" si="97"/>
        <v>0</v>
      </c>
      <c r="R169" s="1757">
        <v>0.13</v>
      </c>
      <c r="S169" s="1712">
        <f t="shared" si="98"/>
        <v>0</v>
      </c>
      <c r="T169" s="1712" t="str">
        <f t="shared" si="80"/>
        <v/>
      </c>
      <c r="U169" s="1712" t="e">
        <f t="shared" si="81"/>
        <v>#DIV/0!</v>
      </c>
      <c r="V169" s="1952"/>
    </row>
    <row r="170" spans="1:22" ht="13" hidden="1"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t="str">
        <f t="shared" si="80"/>
        <v/>
      </c>
      <c r="U170" s="1973" t="e">
        <f t="shared" si="81"/>
        <v>#DIV/0!</v>
      </c>
      <c r="V170" s="1974"/>
    </row>
    <row r="171" spans="1:22" s="1942" customFormat="1" ht="13" hidden="1" outlineLevel="2">
      <c r="A171" s="1944"/>
      <c r="B171" s="1807" t="s">
        <v>742</v>
      </c>
      <c r="C171" s="1808"/>
      <c r="D171" s="2008" t="s">
        <v>51</v>
      </c>
      <c r="E171" s="2009" t="s">
        <v>3709</v>
      </c>
      <c r="F171" s="1462" t="s">
        <v>3577</v>
      </c>
      <c r="G171" s="1953" t="s">
        <v>4141</v>
      </c>
      <c r="H171" s="1947" t="s">
        <v>18</v>
      </c>
      <c r="I171" s="1712">
        <f>$G$5</f>
        <v>0</v>
      </c>
      <c r="J171" s="2140">
        <v>100</v>
      </c>
      <c r="K171" s="1947" t="s">
        <v>4085</v>
      </c>
      <c r="L171" s="1947" t="s">
        <v>4086</v>
      </c>
      <c r="M171" s="1754">
        <f t="shared" si="74"/>
        <v>0</v>
      </c>
      <c r="N171" s="1712">
        <v>2000</v>
      </c>
      <c r="O171" s="1712">
        <f t="shared" ref="O171:O183" si="100">ROUND(M171*ROUND(N171,2)/10000,6)</f>
        <v>0</v>
      </c>
      <c r="P171" s="1712">
        <f t="shared" ref="P171:P183" si="101">IFERROR(ROUND(Q171*10000/M171,2),0)</f>
        <v>0</v>
      </c>
      <c r="Q171" s="1712">
        <f t="shared" ref="Q171:Q183" si="102">ROUND(O171/(1+R171),6)</f>
        <v>0</v>
      </c>
      <c r="R171" s="1757">
        <v>0.09</v>
      </c>
      <c r="S171" s="1712">
        <f t="shared" ref="S171:S183" si="103">O171-Q171</f>
        <v>0</v>
      </c>
      <c r="T171" s="1712" t="str">
        <f t="shared" si="80"/>
        <v/>
      </c>
      <c r="U171" s="1712" t="e">
        <f t="shared" si="81"/>
        <v>#DIV/0!</v>
      </c>
      <c r="V171" s="1952"/>
    </row>
    <row r="172" spans="1:22" s="1942" customFormat="1" ht="13" hidden="1" outlineLevel="2">
      <c r="A172" s="1944"/>
      <c r="B172" s="1807" t="s">
        <v>746</v>
      </c>
      <c r="C172" s="1810"/>
      <c r="D172" s="2038" t="s">
        <v>89</v>
      </c>
      <c r="E172" s="1947" t="s">
        <v>3710</v>
      </c>
      <c r="F172" s="1462" t="s">
        <v>3577</v>
      </c>
      <c r="G172" s="1953" t="s">
        <v>4141</v>
      </c>
      <c r="H172" s="1947" t="s">
        <v>18</v>
      </c>
      <c r="I172" s="1712">
        <f>$G$5</f>
        <v>0</v>
      </c>
      <c r="J172" s="2140">
        <v>30</v>
      </c>
      <c r="K172" s="1947" t="s">
        <v>4085</v>
      </c>
      <c r="L172" s="1947" t="s">
        <v>4087</v>
      </c>
      <c r="M172" s="1754">
        <f t="shared" si="74"/>
        <v>0</v>
      </c>
      <c r="N172" s="1712"/>
      <c r="O172" s="1712">
        <f t="shared" si="100"/>
        <v>0</v>
      </c>
      <c r="P172" s="1712">
        <f t="shared" si="101"/>
        <v>0</v>
      </c>
      <c r="Q172" s="1712">
        <f t="shared" si="102"/>
        <v>0</v>
      </c>
      <c r="R172" s="1757">
        <v>0.09</v>
      </c>
      <c r="S172" s="1712">
        <f t="shared" si="103"/>
        <v>0</v>
      </c>
      <c r="T172" s="1712" t="str">
        <f t="shared" si="80"/>
        <v/>
      </c>
      <c r="U172" s="1712" t="e">
        <f t="shared" si="81"/>
        <v>#DIV/0!</v>
      </c>
      <c r="V172" s="1952"/>
    </row>
    <row r="173" spans="1:22" s="1942" customFormat="1" ht="13" hidden="1" outlineLevel="2">
      <c r="A173" s="1944"/>
      <c r="B173" s="1807" t="s">
        <v>753</v>
      </c>
      <c r="C173" s="1810"/>
      <c r="D173" s="2038" t="s">
        <v>3711</v>
      </c>
      <c r="E173" s="1947" t="s">
        <v>3712</v>
      </c>
      <c r="F173" s="1462" t="s">
        <v>3577</v>
      </c>
      <c r="G173" s="1953" t="s">
        <v>4141</v>
      </c>
      <c r="H173" s="1947" t="s">
        <v>10</v>
      </c>
      <c r="I173" s="1712">
        <f>$E$5</f>
        <v>0</v>
      </c>
      <c r="J173" s="2140"/>
      <c r="K173" s="1947" t="s">
        <v>101</v>
      </c>
      <c r="L173" s="1947" t="s">
        <v>4088</v>
      </c>
      <c r="M173" s="1754">
        <f t="shared" si="74"/>
        <v>0</v>
      </c>
      <c r="N173" s="1712"/>
      <c r="O173" s="1712">
        <f t="shared" si="100"/>
        <v>0</v>
      </c>
      <c r="P173" s="1712">
        <f t="shared" si="101"/>
        <v>0</v>
      </c>
      <c r="Q173" s="1712">
        <f t="shared" si="102"/>
        <v>0</v>
      </c>
      <c r="R173" s="1757">
        <v>0.09</v>
      </c>
      <c r="S173" s="1712">
        <f t="shared" si="103"/>
        <v>0</v>
      </c>
      <c r="T173" s="1712" t="str">
        <f t="shared" si="80"/>
        <v/>
      </c>
      <c r="U173" s="1712" t="e">
        <f t="shared" si="81"/>
        <v>#DIV/0!</v>
      </c>
      <c r="V173" s="1952"/>
    </row>
    <row r="174" spans="1:22" s="1942" customFormat="1" ht="13" hidden="1" outlineLevel="2">
      <c r="A174" s="1944"/>
      <c r="B174" s="1807" t="s">
        <v>755</v>
      </c>
      <c r="C174" s="1810"/>
      <c r="D174" s="2038" t="s">
        <v>90</v>
      </c>
      <c r="E174" s="1947" t="s">
        <v>3713</v>
      </c>
      <c r="F174" s="1462" t="s">
        <v>3577</v>
      </c>
      <c r="G174" s="1953" t="s">
        <v>4141</v>
      </c>
      <c r="H174" s="1947" t="s">
        <v>18</v>
      </c>
      <c r="I174" s="1712">
        <f>$G$5</f>
        <v>0</v>
      </c>
      <c r="J174" s="2140"/>
      <c r="K174" s="1947" t="s">
        <v>4085</v>
      </c>
      <c r="L174" s="1947" t="s">
        <v>4089</v>
      </c>
      <c r="M174" s="1754">
        <f t="shared" si="74"/>
        <v>0</v>
      </c>
      <c r="N174" s="1712"/>
      <c r="O174" s="1712">
        <f t="shared" si="100"/>
        <v>0</v>
      </c>
      <c r="P174" s="1712">
        <f t="shared" si="101"/>
        <v>0</v>
      </c>
      <c r="Q174" s="1712">
        <f t="shared" si="102"/>
        <v>0</v>
      </c>
      <c r="R174" s="1757">
        <v>0.09</v>
      </c>
      <c r="S174" s="1712">
        <f t="shared" si="103"/>
        <v>0</v>
      </c>
      <c r="T174" s="1712" t="str">
        <f t="shared" si="80"/>
        <v/>
      </c>
      <c r="U174" s="1712" t="e">
        <f t="shared" si="81"/>
        <v>#DIV/0!</v>
      </c>
      <c r="V174" s="1952"/>
    </row>
    <row r="175" spans="1:22" s="1942" customFormat="1" ht="13" hidden="1" outlineLevel="2">
      <c r="A175" s="1944"/>
      <c r="B175" s="1807" t="s">
        <v>756</v>
      </c>
      <c r="C175" s="1810"/>
      <c r="D175" s="2038" t="s">
        <v>757</v>
      </c>
      <c r="E175" s="1947" t="s">
        <v>3714</v>
      </c>
      <c r="F175" s="1462" t="s">
        <v>3577</v>
      </c>
      <c r="G175" s="1953" t="s">
        <v>4141</v>
      </c>
      <c r="H175" s="1947" t="s">
        <v>3923</v>
      </c>
      <c r="I175" s="1712">
        <f>$G$6</f>
        <v>0</v>
      </c>
      <c r="J175" s="2140">
        <v>15</v>
      </c>
      <c r="K175" s="1947" t="s">
        <v>2</v>
      </c>
      <c r="L175" s="1947" t="s">
        <v>4090</v>
      </c>
      <c r="M175" s="1754">
        <f t="shared" si="74"/>
        <v>0</v>
      </c>
      <c r="N175" s="1712">
        <v>800</v>
      </c>
      <c r="O175" s="1712">
        <f t="shared" si="100"/>
        <v>0</v>
      </c>
      <c r="P175" s="1712">
        <f t="shared" si="101"/>
        <v>0</v>
      </c>
      <c r="Q175" s="1712">
        <f t="shared" si="102"/>
        <v>0</v>
      </c>
      <c r="R175" s="1757">
        <v>0.09</v>
      </c>
      <c r="S175" s="1712">
        <f t="shared" si="103"/>
        <v>0</v>
      </c>
      <c r="T175" s="1712" t="str">
        <f t="shared" si="80"/>
        <v/>
      </c>
      <c r="U175" s="1712" t="e">
        <f t="shared" si="81"/>
        <v>#DIV/0!</v>
      </c>
      <c r="V175" s="1952"/>
    </row>
    <row r="176" spans="1:22" s="1942" customFormat="1" ht="13" hidden="1" outlineLevel="2">
      <c r="A176" s="1944"/>
      <c r="B176" s="1807" t="s">
        <v>758</v>
      </c>
      <c r="C176" s="1810"/>
      <c r="D176" s="2038" t="s">
        <v>118</v>
      </c>
      <c r="E176" s="1947" t="s">
        <v>3715</v>
      </c>
      <c r="F176" s="1462" t="s">
        <v>3577</v>
      </c>
      <c r="G176" s="1953" t="s">
        <v>4141</v>
      </c>
      <c r="H176" s="1947" t="s">
        <v>3923</v>
      </c>
      <c r="I176" s="1712">
        <f>$G$6</f>
        <v>0</v>
      </c>
      <c r="J176" s="2140">
        <v>20</v>
      </c>
      <c r="K176" s="1947" t="s">
        <v>2</v>
      </c>
      <c r="L176" s="1947" t="s">
        <v>4091</v>
      </c>
      <c r="M176" s="1754">
        <f t="shared" si="74"/>
        <v>0</v>
      </c>
      <c r="N176" s="1712">
        <v>800</v>
      </c>
      <c r="O176" s="1712">
        <f t="shared" si="100"/>
        <v>0</v>
      </c>
      <c r="P176" s="1712">
        <f t="shared" si="101"/>
        <v>0</v>
      </c>
      <c r="Q176" s="1712">
        <f t="shared" si="102"/>
        <v>0</v>
      </c>
      <c r="R176" s="1757">
        <v>0.09</v>
      </c>
      <c r="S176" s="1712">
        <f t="shared" si="103"/>
        <v>0</v>
      </c>
      <c r="T176" s="1712" t="str">
        <f t="shared" si="80"/>
        <v/>
      </c>
      <c r="U176" s="1712" t="e">
        <f t="shared" si="81"/>
        <v>#DIV/0!</v>
      </c>
      <c r="V176" s="1952"/>
    </row>
    <row r="177" spans="1:22" s="1942" customFormat="1" ht="13" hidden="1" outlineLevel="2">
      <c r="A177" s="1944"/>
      <c r="B177" s="1807" t="s">
        <v>763</v>
      </c>
      <c r="C177" s="1810"/>
      <c r="D177" s="2038" t="s">
        <v>807</v>
      </c>
      <c r="E177" s="1947" t="s">
        <v>3716</v>
      </c>
      <c r="F177" s="1462" t="s">
        <v>3577</v>
      </c>
      <c r="G177" s="1953" t="s">
        <v>4141</v>
      </c>
      <c r="H177" s="1947" t="s">
        <v>4092</v>
      </c>
      <c r="I177" s="1712">
        <f>$G$5</f>
        <v>0</v>
      </c>
      <c r="J177" s="2140">
        <v>2</v>
      </c>
      <c r="K177" s="1947" t="s">
        <v>2942</v>
      </c>
      <c r="L177" s="1947" t="s">
        <v>4093</v>
      </c>
      <c r="M177" s="1754">
        <f t="shared" si="74"/>
        <v>0</v>
      </c>
      <c r="N177" s="1712"/>
      <c r="O177" s="1712">
        <f t="shared" si="100"/>
        <v>0</v>
      </c>
      <c r="P177" s="1712">
        <f t="shared" si="101"/>
        <v>0</v>
      </c>
      <c r="Q177" s="1712">
        <f t="shared" si="102"/>
        <v>0</v>
      </c>
      <c r="R177" s="1757">
        <v>0.09</v>
      </c>
      <c r="S177" s="1712">
        <f t="shared" si="103"/>
        <v>0</v>
      </c>
      <c r="T177" s="1712" t="str">
        <f t="shared" si="80"/>
        <v/>
      </c>
      <c r="U177" s="1712" t="e">
        <f t="shared" si="81"/>
        <v>#DIV/0!</v>
      </c>
      <c r="V177" s="1952"/>
    </row>
    <row r="178" spans="1:22" s="1942" customFormat="1" ht="13" hidden="1"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74"/>
        <v>0</v>
      </c>
      <c r="N178" s="1712"/>
      <c r="O178" s="1712">
        <f t="shared" si="100"/>
        <v>0</v>
      </c>
      <c r="P178" s="1712">
        <f t="shared" si="101"/>
        <v>0</v>
      </c>
      <c r="Q178" s="1712">
        <f t="shared" si="102"/>
        <v>0</v>
      </c>
      <c r="R178" s="1757">
        <v>0.09</v>
      </c>
      <c r="S178" s="1712">
        <f t="shared" si="103"/>
        <v>0</v>
      </c>
      <c r="T178" s="1712" t="str">
        <f t="shared" si="80"/>
        <v/>
      </c>
      <c r="U178" s="1712" t="e">
        <f t="shared" si="81"/>
        <v>#DIV/0!</v>
      </c>
      <c r="V178" s="1952"/>
    </row>
    <row r="179" spans="1:22" s="1942" customFormat="1" ht="13" hidden="1" outlineLevel="2">
      <c r="A179" s="1944"/>
      <c r="B179" s="1807" t="s">
        <v>765</v>
      </c>
      <c r="C179" s="1808"/>
      <c r="D179" s="2008" t="s">
        <v>3718</v>
      </c>
      <c r="E179" s="2009" t="s">
        <v>3719</v>
      </c>
      <c r="F179" s="1462" t="s">
        <v>3577</v>
      </c>
      <c r="G179" s="1953" t="s">
        <v>4141</v>
      </c>
      <c r="H179" s="1947" t="s">
        <v>10</v>
      </c>
      <c r="I179" s="1712">
        <f>$E$5</f>
        <v>0</v>
      </c>
      <c r="J179" s="2140"/>
      <c r="K179" s="1947" t="s">
        <v>101</v>
      </c>
      <c r="L179" s="1947" t="s">
        <v>4094</v>
      </c>
      <c r="M179" s="1754">
        <f t="shared" si="74"/>
        <v>0</v>
      </c>
      <c r="N179" s="1712"/>
      <c r="O179" s="1712">
        <f t="shared" si="100"/>
        <v>0</v>
      </c>
      <c r="P179" s="1712">
        <f t="shared" si="101"/>
        <v>0</v>
      </c>
      <c r="Q179" s="1712">
        <f t="shared" si="102"/>
        <v>0</v>
      </c>
      <c r="R179" s="1757">
        <v>0.09</v>
      </c>
      <c r="S179" s="1712">
        <f t="shared" si="103"/>
        <v>0</v>
      </c>
      <c r="T179" s="1712" t="str">
        <f t="shared" si="80"/>
        <v/>
      </c>
      <c r="U179" s="1712" t="e">
        <f t="shared" si="81"/>
        <v>#DIV/0!</v>
      </c>
      <c r="V179" s="1952"/>
    </row>
    <row r="180" spans="1:22" s="1942" customFormat="1" ht="13" hidden="1" outlineLevel="2">
      <c r="A180" s="1944"/>
      <c r="B180" s="1807" t="s">
        <v>810</v>
      </c>
      <c r="C180" s="1808"/>
      <c r="D180" s="2008" t="s">
        <v>3720</v>
      </c>
      <c r="E180" s="2009" t="s">
        <v>3721</v>
      </c>
      <c r="F180" s="1462" t="s">
        <v>3577</v>
      </c>
      <c r="G180" s="1953" t="s">
        <v>4141</v>
      </c>
      <c r="H180" s="1947" t="s">
        <v>10</v>
      </c>
      <c r="I180" s="1712">
        <f t="shared" ref="I180:I182" si="104">$E$5</f>
        <v>0</v>
      </c>
      <c r="J180" s="2140"/>
      <c r="K180" s="1947" t="s">
        <v>101</v>
      </c>
      <c r="L180" s="1947" t="s">
        <v>4095</v>
      </c>
      <c r="M180" s="1754">
        <f t="shared" si="74"/>
        <v>0</v>
      </c>
      <c r="N180" s="1712"/>
      <c r="O180" s="1712">
        <f t="shared" si="100"/>
        <v>0</v>
      </c>
      <c r="P180" s="1712">
        <f t="shared" si="101"/>
        <v>0</v>
      </c>
      <c r="Q180" s="1712">
        <f t="shared" si="102"/>
        <v>0</v>
      </c>
      <c r="R180" s="1757">
        <v>0.09</v>
      </c>
      <c r="S180" s="1712">
        <f t="shared" si="103"/>
        <v>0</v>
      </c>
      <c r="T180" s="1712" t="str">
        <f t="shared" si="80"/>
        <v/>
      </c>
      <c r="U180" s="1712" t="e">
        <f t="shared" si="81"/>
        <v>#DIV/0!</v>
      </c>
      <c r="V180" s="1952"/>
    </row>
    <row r="181" spans="1:22" s="1942" customFormat="1" ht="13" hidden="1" outlineLevel="2">
      <c r="A181" s="1944"/>
      <c r="B181" s="1807" t="s">
        <v>3722</v>
      </c>
      <c r="C181" s="1808"/>
      <c r="D181" s="2008" t="s">
        <v>3723</v>
      </c>
      <c r="E181" s="2009" t="s">
        <v>3724</v>
      </c>
      <c r="F181" s="1462" t="s">
        <v>3577</v>
      </c>
      <c r="G181" s="1953" t="s">
        <v>4141</v>
      </c>
      <c r="H181" s="1947" t="s">
        <v>10</v>
      </c>
      <c r="I181" s="1712">
        <f t="shared" si="104"/>
        <v>0</v>
      </c>
      <c r="J181" s="2140"/>
      <c r="K181" s="1947" t="s">
        <v>101</v>
      </c>
      <c r="L181" s="1947" t="s">
        <v>4096</v>
      </c>
      <c r="M181" s="1754">
        <f t="shared" si="74"/>
        <v>0</v>
      </c>
      <c r="N181" s="1712"/>
      <c r="O181" s="1712">
        <f t="shared" si="100"/>
        <v>0</v>
      </c>
      <c r="P181" s="1712">
        <f t="shared" si="101"/>
        <v>0</v>
      </c>
      <c r="Q181" s="1712">
        <f t="shared" si="102"/>
        <v>0</v>
      </c>
      <c r="R181" s="1757">
        <v>0.09</v>
      </c>
      <c r="S181" s="1712">
        <f t="shared" si="103"/>
        <v>0</v>
      </c>
      <c r="T181" s="1712" t="str">
        <f t="shared" si="80"/>
        <v/>
      </c>
      <c r="U181" s="1712" t="e">
        <f t="shared" si="81"/>
        <v>#DIV/0!</v>
      </c>
      <c r="V181" s="1952"/>
    </row>
    <row r="182" spans="1:22" s="1942" customFormat="1" ht="13" hidden="1" outlineLevel="2">
      <c r="A182" s="1944"/>
      <c r="B182" s="1807" t="s">
        <v>3725</v>
      </c>
      <c r="C182" s="1810"/>
      <c r="D182" s="2038" t="s">
        <v>811</v>
      </c>
      <c r="E182" s="1947" t="s">
        <v>3726</v>
      </c>
      <c r="F182" s="1462" t="s">
        <v>3624</v>
      </c>
      <c r="G182" s="1953" t="s">
        <v>4149</v>
      </c>
      <c r="H182" s="1975" t="s">
        <v>10</v>
      </c>
      <c r="I182" s="1712">
        <f t="shared" si="104"/>
        <v>0</v>
      </c>
      <c r="J182" s="2140"/>
      <c r="K182" s="1947" t="s">
        <v>101</v>
      </c>
      <c r="L182" s="1947" t="s">
        <v>10</v>
      </c>
      <c r="M182" s="1754">
        <f t="shared" si="74"/>
        <v>0</v>
      </c>
      <c r="N182" s="1712"/>
      <c r="O182" s="1712">
        <f t="shared" si="100"/>
        <v>0</v>
      </c>
      <c r="P182" s="1712">
        <f t="shared" si="101"/>
        <v>0</v>
      </c>
      <c r="Q182" s="1712">
        <f t="shared" si="102"/>
        <v>0</v>
      </c>
      <c r="R182" s="1757">
        <v>0.06</v>
      </c>
      <c r="S182" s="1712">
        <f t="shared" si="103"/>
        <v>0</v>
      </c>
      <c r="T182" s="1712" t="str">
        <f t="shared" si="80"/>
        <v/>
      </c>
      <c r="U182" s="1712" t="e">
        <f t="shared" si="81"/>
        <v>#DIV/0!</v>
      </c>
      <c r="V182" s="1952"/>
    </row>
    <row r="183" spans="1:22" s="1942" customFormat="1" ht="13" hidden="1" outlineLevel="2">
      <c r="A183" s="1944"/>
      <c r="B183" s="1807" t="s">
        <v>3727</v>
      </c>
      <c r="C183" s="1810"/>
      <c r="D183" s="2038" t="s">
        <v>3728</v>
      </c>
      <c r="E183" s="1947" t="s">
        <v>3729</v>
      </c>
      <c r="F183" s="1462" t="s">
        <v>3730</v>
      </c>
      <c r="G183" s="1953" t="s">
        <v>4163</v>
      </c>
      <c r="H183" s="1975" t="s">
        <v>3849</v>
      </c>
      <c r="I183" s="1948"/>
      <c r="J183" s="2140"/>
      <c r="K183" s="1947" t="s">
        <v>101</v>
      </c>
      <c r="L183" s="1947" t="s">
        <v>3849</v>
      </c>
      <c r="M183" s="1754">
        <f t="shared" si="74"/>
        <v>0</v>
      </c>
      <c r="N183" s="1712"/>
      <c r="O183" s="1712">
        <f t="shared" si="100"/>
        <v>0</v>
      </c>
      <c r="P183" s="1712">
        <f t="shared" si="101"/>
        <v>0</v>
      </c>
      <c r="Q183" s="1712">
        <f t="shared" si="102"/>
        <v>0</v>
      </c>
      <c r="R183" s="1757">
        <v>0.09</v>
      </c>
      <c r="S183" s="1712">
        <f t="shared" si="103"/>
        <v>0</v>
      </c>
      <c r="T183" s="1712" t="str">
        <f t="shared" si="80"/>
        <v/>
      </c>
      <c r="U183" s="1712" t="e">
        <f t="shared" si="81"/>
        <v>#DIV/0!</v>
      </c>
      <c r="V183" s="1952"/>
    </row>
    <row r="184" spans="1:22" ht="13" hidden="1"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0</v>
      </c>
      <c r="P184" s="1973"/>
      <c r="Q184" s="1973">
        <f>SUBTOTAL(9,Q185:Q192)</f>
        <v>0</v>
      </c>
      <c r="R184" s="1973"/>
      <c r="S184" s="1973">
        <f>SUBTOTAL(9,S185:S192)</f>
        <v>0</v>
      </c>
      <c r="T184" s="1973" t="str">
        <f t="shared" si="80"/>
        <v/>
      </c>
      <c r="U184" s="1973" t="e">
        <f t="shared" si="81"/>
        <v>#DIV/0!</v>
      </c>
      <c r="V184" s="1974"/>
    </row>
    <row r="185" spans="1:22" s="1942" customFormat="1" ht="13" hidden="1"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0</v>
      </c>
      <c r="P185" s="1712"/>
      <c r="Q185" s="1712">
        <f>SUBTOTAL(9,Q186:Q190)</f>
        <v>0</v>
      </c>
      <c r="R185" s="1712"/>
      <c r="S185" s="1712">
        <f>SUBTOTAL(9,S186:S190)</f>
        <v>0</v>
      </c>
      <c r="T185" s="1712" t="str">
        <f t="shared" si="80"/>
        <v/>
      </c>
      <c r="U185" s="1712" t="e">
        <f t="shared" si="81"/>
        <v>#DIV/0!</v>
      </c>
      <c r="V185" s="1952"/>
    </row>
    <row r="186" spans="1:22" s="1942" customFormat="1" ht="12" hidden="1" customHeight="1" outlineLevel="3">
      <c r="A186" s="1944"/>
      <c r="B186" s="1978" t="s">
        <v>767</v>
      </c>
      <c r="C186" s="1810"/>
      <c r="D186" s="2038" t="s">
        <v>3732</v>
      </c>
      <c r="E186" s="1947" t="s">
        <v>3733</v>
      </c>
      <c r="F186" s="1462" t="s">
        <v>458</v>
      </c>
      <c r="G186" s="1953" t="s">
        <v>4164</v>
      </c>
      <c r="H186" s="1947" t="s">
        <v>10</v>
      </c>
      <c r="I186" s="1712">
        <f>$E$5</f>
        <v>0</v>
      </c>
      <c r="J186" s="2099">
        <v>1</v>
      </c>
      <c r="K186" s="1947" t="s">
        <v>101</v>
      </c>
      <c r="L186" s="1947" t="s">
        <v>10</v>
      </c>
      <c r="M186" s="1754">
        <f t="shared" ref="M186:M202" si="105">ROUND(I186,2)*ROUND(J186,4)</f>
        <v>0</v>
      </c>
      <c r="N186" s="1712">
        <v>60</v>
      </c>
      <c r="O186" s="1712">
        <f t="shared" ref="O186:O192" si="106">ROUND(M186*ROUND(N186,2)/10000,6)</f>
        <v>0</v>
      </c>
      <c r="P186" s="1712">
        <f t="shared" ref="P186:P192" si="107">IFERROR(ROUND(Q186*10000/M186,2),0)</f>
        <v>0</v>
      </c>
      <c r="Q186" s="1712">
        <f t="shared" ref="Q186:Q192" si="108">ROUND(O186/(1+R186),6)</f>
        <v>0</v>
      </c>
      <c r="R186" s="1757">
        <v>0.09</v>
      </c>
      <c r="S186" s="1712">
        <f t="shared" ref="S186:S192" si="109">O186-Q186</f>
        <v>0</v>
      </c>
      <c r="T186" s="1712" t="str">
        <f t="shared" si="80"/>
        <v/>
      </c>
      <c r="U186" s="1712" t="e">
        <f t="shared" si="81"/>
        <v>#DIV/0!</v>
      </c>
      <c r="V186" s="1952"/>
    </row>
    <row r="187" spans="1:22" s="1942" customFormat="1" ht="12" hidden="1" customHeight="1" outlineLevel="3">
      <c r="A187" s="1944"/>
      <c r="B187" s="1978" t="s">
        <v>769</v>
      </c>
      <c r="C187" s="1810"/>
      <c r="D187" s="2038" t="s">
        <v>3734</v>
      </c>
      <c r="E187" s="1947" t="s">
        <v>3735</v>
      </c>
      <c r="F187" s="1462" t="s">
        <v>3736</v>
      </c>
      <c r="G187" s="1953" t="s">
        <v>4165</v>
      </c>
      <c r="H187" s="1975" t="s">
        <v>3926</v>
      </c>
      <c r="I187" s="1712">
        <f>$G$7</f>
        <v>0</v>
      </c>
      <c r="J187" s="2099">
        <v>1</v>
      </c>
      <c r="K187" s="1950" t="s">
        <v>3947</v>
      </c>
      <c r="L187" s="1947" t="s">
        <v>3926</v>
      </c>
      <c r="M187" s="1754">
        <f t="shared" si="105"/>
        <v>0</v>
      </c>
      <c r="N187" s="1712">
        <v>700</v>
      </c>
      <c r="O187" s="1712">
        <f t="shared" si="106"/>
        <v>0</v>
      </c>
      <c r="P187" s="1712">
        <f t="shared" si="107"/>
        <v>0</v>
      </c>
      <c r="Q187" s="1712">
        <f t="shared" si="108"/>
        <v>0</v>
      </c>
      <c r="R187" s="1757">
        <v>0.09</v>
      </c>
      <c r="S187" s="1712">
        <f t="shared" si="109"/>
        <v>0</v>
      </c>
      <c r="T187" s="1712" t="str">
        <f t="shared" si="80"/>
        <v/>
      </c>
      <c r="U187" s="1712" t="e">
        <f t="shared" si="81"/>
        <v>#DIV/0!</v>
      </c>
      <c r="V187" s="1952"/>
    </row>
    <row r="188" spans="1:22" s="1942" customFormat="1" ht="12" hidden="1" customHeight="1" outlineLevel="3">
      <c r="A188" s="1944"/>
      <c r="B188" s="1978" t="s">
        <v>770</v>
      </c>
      <c r="C188" s="1810"/>
      <c r="D188" s="2038" t="s">
        <v>771</v>
      </c>
      <c r="E188" s="1947" t="s">
        <v>3737</v>
      </c>
      <c r="F188" s="1462" t="s">
        <v>3738</v>
      </c>
      <c r="G188" s="1953" t="s">
        <v>4166</v>
      </c>
      <c r="H188" s="1975" t="s">
        <v>3926</v>
      </c>
      <c r="I188" s="1712">
        <f>$G$7</f>
        <v>0</v>
      </c>
      <c r="J188" s="2099">
        <v>1</v>
      </c>
      <c r="K188" s="1950" t="s">
        <v>3947</v>
      </c>
      <c r="L188" s="1947" t="s">
        <v>3926</v>
      </c>
      <c r="M188" s="1754">
        <f t="shared" si="105"/>
        <v>0</v>
      </c>
      <c r="N188" s="1712">
        <v>1000</v>
      </c>
      <c r="O188" s="1712">
        <f t="shared" si="106"/>
        <v>0</v>
      </c>
      <c r="P188" s="1712">
        <f t="shared" si="107"/>
        <v>0</v>
      </c>
      <c r="Q188" s="1712">
        <f t="shared" si="108"/>
        <v>0</v>
      </c>
      <c r="R188" s="1757">
        <v>0.09</v>
      </c>
      <c r="S188" s="1712">
        <f t="shared" si="109"/>
        <v>0</v>
      </c>
      <c r="T188" s="1712" t="str">
        <f t="shared" si="80"/>
        <v/>
      </c>
      <c r="U188" s="1712" t="e">
        <f t="shared" si="81"/>
        <v>#DIV/0!</v>
      </c>
      <c r="V188" s="1952"/>
    </row>
    <row r="189" spans="1:22" s="1942" customFormat="1" ht="12" hidden="1" customHeight="1" outlineLevel="3">
      <c r="A189" s="1944"/>
      <c r="B189" s="1978" t="s">
        <v>772</v>
      </c>
      <c r="C189" s="1810"/>
      <c r="D189" s="2038" t="s">
        <v>1598</v>
      </c>
      <c r="E189" s="1947" t="s">
        <v>3739</v>
      </c>
      <c r="F189" s="1462" t="s">
        <v>458</v>
      </c>
      <c r="G189" s="1953" t="s">
        <v>4164</v>
      </c>
      <c r="H189" s="1975" t="s">
        <v>3926</v>
      </c>
      <c r="I189" s="1712">
        <f>$G$7</f>
        <v>0</v>
      </c>
      <c r="J189" s="2099">
        <v>1</v>
      </c>
      <c r="K189" s="1950" t="s">
        <v>3947</v>
      </c>
      <c r="L189" s="1947" t="s">
        <v>3926</v>
      </c>
      <c r="M189" s="1754">
        <f t="shared" si="105"/>
        <v>0</v>
      </c>
      <c r="N189" s="1712"/>
      <c r="O189" s="1712">
        <f t="shared" si="106"/>
        <v>0</v>
      </c>
      <c r="P189" s="1712">
        <f t="shared" si="107"/>
        <v>0</v>
      </c>
      <c r="Q189" s="1712">
        <f t="shared" si="108"/>
        <v>0</v>
      </c>
      <c r="R189" s="1757">
        <v>0.09</v>
      </c>
      <c r="S189" s="1712">
        <f t="shared" si="109"/>
        <v>0</v>
      </c>
      <c r="T189" s="1712" t="str">
        <f t="shared" si="80"/>
        <v/>
      </c>
      <c r="U189" s="1712" t="e">
        <f t="shared" si="81"/>
        <v>#DIV/0!</v>
      </c>
      <c r="V189" s="1952"/>
    </row>
    <row r="190" spans="1:22" s="1942" customFormat="1" ht="12" hidden="1" customHeight="1" outlineLevel="3">
      <c r="A190" s="1944"/>
      <c r="B190" s="1978" t="s">
        <v>773</v>
      </c>
      <c r="C190" s="1810"/>
      <c r="D190" s="2038" t="s">
        <v>3740</v>
      </c>
      <c r="E190" s="1947" t="s">
        <v>3741</v>
      </c>
      <c r="F190" s="1462" t="s">
        <v>3742</v>
      </c>
      <c r="G190" s="1953" t="s">
        <v>4167</v>
      </c>
      <c r="H190" s="1975" t="s">
        <v>3926</v>
      </c>
      <c r="I190" s="1712">
        <f>$G$7</f>
        <v>0</v>
      </c>
      <c r="J190" s="2099">
        <v>1</v>
      </c>
      <c r="K190" s="1950" t="s">
        <v>3947</v>
      </c>
      <c r="L190" s="1947" t="s">
        <v>3926</v>
      </c>
      <c r="M190" s="1754">
        <f t="shared" si="105"/>
        <v>0</v>
      </c>
      <c r="N190" s="1712"/>
      <c r="O190" s="1712">
        <f t="shared" si="106"/>
        <v>0</v>
      </c>
      <c r="P190" s="1712">
        <f t="shared" si="107"/>
        <v>0</v>
      </c>
      <c r="Q190" s="1712">
        <f t="shared" si="108"/>
        <v>0</v>
      </c>
      <c r="R190" s="1757">
        <v>0.13</v>
      </c>
      <c r="S190" s="1712">
        <f t="shared" si="109"/>
        <v>0</v>
      </c>
      <c r="T190" s="1712" t="str">
        <f t="shared" si="80"/>
        <v/>
      </c>
      <c r="U190" s="1712" t="e">
        <f t="shared" si="81"/>
        <v>#DIV/0!</v>
      </c>
      <c r="V190" s="1952"/>
    </row>
    <row r="191" spans="1:22" s="1942" customFormat="1" ht="13" hidden="1" outlineLevel="2">
      <c r="A191" s="1944"/>
      <c r="B191" s="1978" t="s">
        <v>777</v>
      </c>
      <c r="C191" s="1810"/>
      <c r="D191" s="2038" t="s">
        <v>814</v>
      </c>
      <c r="E191" s="1947" t="s">
        <v>3743</v>
      </c>
      <c r="F191" s="1462" t="s">
        <v>458</v>
      </c>
      <c r="G191" s="1953" t="s">
        <v>4164</v>
      </c>
      <c r="H191" s="1975" t="s">
        <v>10</v>
      </c>
      <c r="I191" s="1712">
        <f>$E$5</f>
        <v>0</v>
      </c>
      <c r="J191" s="2135"/>
      <c r="K191" s="1950" t="s">
        <v>101</v>
      </c>
      <c r="L191" s="1947" t="s">
        <v>10</v>
      </c>
      <c r="M191" s="1754">
        <f t="shared" si="105"/>
        <v>0</v>
      </c>
      <c r="N191" s="1712"/>
      <c r="O191" s="1712">
        <f t="shared" si="106"/>
        <v>0</v>
      </c>
      <c r="P191" s="1712">
        <f t="shared" si="107"/>
        <v>0</v>
      </c>
      <c r="Q191" s="1712">
        <f t="shared" si="108"/>
        <v>0</v>
      </c>
      <c r="R191" s="1757">
        <v>0.09</v>
      </c>
      <c r="S191" s="1712">
        <f t="shared" si="109"/>
        <v>0</v>
      </c>
      <c r="T191" s="1712" t="str">
        <f t="shared" si="80"/>
        <v/>
      </c>
      <c r="U191" s="1712" t="e">
        <f t="shared" si="81"/>
        <v>#DIV/0!</v>
      </c>
      <c r="V191" s="1952"/>
    </row>
    <row r="192" spans="1:22" s="1942" customFormat="1" ht="13" hidden="1" outlineLevel="2">
      <c r="A192" s="1944"/>
      <c r="B192" s="1978" t="s">
        <v>778</v>
      </c>
      <c r="C192" s="1810"/>
      <c r="D192" s="2038" t="s">
        <v>815</v>
      </c>
      <c r="E192" s="1947" t="s">
        <v>3744</v>
      </c>
      <c r="F192" s="1462" t="s">
        <v>458</v>
      </c>
      <c r="G192" s="1953" t="s">
        <v>4164</v>
      </c>
      <c r="H192" s="1975" t="s">
        <v>10</v>
      </c>
      <c r="I192" s="1712">
        <f>$E$5</f>
        <v>0</v>
      </c>
      <c r="J192" s="2135"/>
      <c r="K192" s="1950" t="s">
        <v>101</v>
      </c>
      <c r="L192" s="1947" t="s">
        <v>10</v>
      </c>
      <c r="M192" s="1754">
        <f t="shared" si="105"/>
        <v>0</v>
      </c>
      <c r="N192" s="1712"/>
      <c r="O192" s="1712">
        <f t="shared" si="106"/>
        <v>0</v>
      </c>
      <c r="P192" s="1712">
        <f t="shared" si="107"/>
        <v>0</v>
      </c>
      <c r="Q192" s="1712">
        <f t="shared" si="108"/>
        <v>0</v>
      </c>
      <c r="R192" s="1757">
        <v>0.09</v>
      </c>
      <c r="S192" s="1712">
        <f t="shared" si="109"/>
        <v>0</v>
      </c>
      <c r="T192" s="1712" t="str">
        <f t="shared" si="80"/>
        <v/>
      </c>
      <c r="U192" s="1712" t="e">
        <f t="shared" si="81"/>
        <v>#DIV/0!</v>
      </c>
      <c r="V192" s="1952"/>
    </row>
    <row r="193" spans="1:22" ht="13" hidden="1"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t="str">
        <f t="shared" si="80"/>
        <v/>
      </c>
      <c r="U193" s="1973" t="e">
        <f t="shared" si="81"/>
        <v>#DIV/0!</v>
      </c>
      <c r="V193" s="1974"/>
    </row>
    <row r="194" spans="1:22" s="1942" customFormat="1" ht="13" hidden="1" outlineLevel="2">
      <c r="A194" s="1944"/>
      <c r="B194" s="1807" t="s">
        <v>1600</v>
      </c>
      <c r="C194" s="1808"/>
      <c r="D194" s="2008" t="s">
        <v>3745</v>
      </c>
      <c r="E194" s="2009" t="s">
        <v>3746</v>
      </c>
      <c r="F194" s="1462" t="s">
        <v>461</v>
      </c>
      <c r="G194" s="1953" t="s">
        <v>4168</v>
      </c>
      <c r="H194" s="1975" t="s">
        <v>3926</v>
      </c>
      <c r="I194" s="1712">
        <f>$G$7</f>
        <v>0</v>
      </c>
      <c r="J194" s="2099">
        <v>1</v>
      </c>
      <c r="K194" s="1950" t="s">
        <v>3947</v>
      </c>
      <c r="L194" s="1947" t="s">
        <v>3926</v>
      </c>
      <c r="M194" s="1754">
        <f t="shared" si="105"/>
        <v>0</v>
      </c>
      <c r="N194" s="1712"/>
      <c r="O194" s="1712">
        <f t="shared" ref="O194:O202" si="110">ROUND(M194*ROUND(N194,2)/10000,6)</f>
        <v>0</v>
      </c>
      <c r="P194" s="1712">
        <f t="shared" ref="P194:P202" si="111">IFERROR(ROUND(Q194*10000/M194,2),0)</f>
        <v>0</v>
      </c>
      <c r="Q194" s="1712">
        <f t="shared" ref="Q194:Q202" si="112">ROUND(O194/(1+R194),6)</f>
        <v>0</v>
      </c>
      <c r="R194" s="1757">
        <v>0.13</v>
      </c>
      <c r="S194" s="1712">
        <f t="shared" ref="S194:S202" si="113">O194-Q194</f>
        <v>0</v>
      </c>
      <c r="T194" s="1712" t="str">
        <f t="shared" si="80"/>
        <v/>
      </c>
      <c r="U194" s="1712" t="e">
        <f t="shared" si="81"/>
        <v>#DIV/0!</v>
      </c>
      <c r="V194" s="1952"/>
    </row>
    <row r="195" spans="1:22" s="1942" customFormat="1" ht="13" hidden="1" outlineLevel="2">
      <c r="A195" s="1944"/>
      <c r="B195" s="1807" t="s">
        <v>1601</v>
      </c>
      <c r="C195" s="1808"/>
      <c r="D195" s="2008" t="s">
        <v>94</v>
      </c>
      <c r="E195" s="2009" t="s">
        <v>3747</v>
      </c>
      <c r="F195" s="1462" t="s">
        <v>1602</v>
      </c>
      <c r="G195" s="1953" t="s">
        <v>4169</v>
      </c>
      <c r="H195" s="1975" t="s">
        <v>3926</v>
      </c>
      <c r="I195" s="1712">
        <f>$G$7</f>
        <v>0</v>
      </c>
      <c r="J195" s="2099">
        <v>1</v>
      </c>
      <c r="K195" s="1950" t="s">
        <v>3947</v>
      </c>
      <c r="L195" s="1947" t="s">
        <v>3926</v>
      </c>
      <c r="M195" s="1754">
        <f t="shared" si="105"/>
        <v>0</v>
      </c>
      <c r="N195" s="1712"/>
      <c r="O195" s="1712">
        <f t="shared" si="110"/>
        <v>0</v>
      </c>
      <c r="P195" s="1712">
        <f t="shared" si="111"/>
        <v>0</v>
      </c>
      <c r="Q195" s="1712">
        <f t="shared" si="112"/>
        <v>0</v>
      </c>
      <c r="R195" s="1757">
        <v>0.13</v>
      </c>
      <c r="S195" s="1712">
        <f t="shared" si="113"/>
        <v>0</v>
      </c>
      <c r="T195" s="1712" t="str">
        <f t="shared" si="80"/>
        <v/>
      </c>
      <c r="U195" s="1712" t="e">
        <f t="shared" si="81"/>
        <v>#DIV/0!</v>
      </c>
      <c r="V195" s="1952"/>
    </row>
    <row r="196" spans="1:22" s="1942" customFormat="1" ht="13" hidden="1" outlineLevel="2">
      <c r="A196" s="1944"/>
      <c r="B196" s="1807" t="s">
        <v>779</v>
      </c>
      <c r="C196" s="1808"/>
      <c r="D196" s="2008" t="s">
        <v>3748</v>
      </c>
      <c r="E196" s="2009" t="s">
        <v>3749</v>
      </c>
      <c r="F196" s="1462" t="s">
        <v>3531</v>
      </c>
      <c r="G196" s="1953" t="s">
        <v>4140</v>
      </c>
      <c r="H196" s="1975" t="s">
        <v>10</v>
      </c>
      <c r="I196" s="1712">
        <f>$E$5</f>
        <v>0</v>
      </c>
      <c r="J196" s="2139"/>
      <c r="K196" s="1950" t="s">
        <v>101</v>
      </c>
      <c r="L196" s="1947" t="s">
        <v>10</v>
      </c>
      <c r="M196" s="1754">
        <f t="shared" si="105"/>
        <v>0</v>
      </c>
      <c r="N196" s="1712"/>
      <c r="O196" s="1712">
        <f t="shared" si="110"/>
        <v>0</v>
      </c>
      <c r="P196" s="1712">
        <f t="shared" si="111"/>
        <v>0</v>
      </c>
      <c r="Q196" s="1712">
        <f t="shared" si="112"/>
        <v>0</v>
      </c>
      <c r="R196" s="2173">
        <v>0.13</v>
      </c>
      <c r="S196" s="1712">
        <f t="shared" si="113"/>
        <v>0</v>
      </c>
      <c r="T196" s="1712" t="str">
        <f t="shared" si="80"/>
        <v/>
      </c>
      <c r="U196" s="1712" t="e">
        <f t="shared" si="81"/>
        <v>#DIV/0!</v>
      </c>
      <c r="V196" s="1952"/>
    </row>
    <row r="197" spans="1:22" s="1942" customFormat="1" ht="13" hidden="1" outlineLevel="2">
      <c r="A197" s="1944"/>
      <c r="B197" s="1807" t="s">
        <v>780</v>
      </c>
      <c r="C197" s="1808"/>
      <c r="D197" s="2008" t="s">
        <v>95</v>
      </c>
      <c r="E197" s="2009" t="s">
        <v>3750</v>
      </c>
      <c r="F197" s="1462" t="s">
        <v>3531</v>
      </c>
      <c r="G197" s="1953" t="s">
        <v>4140</v>
      </c>
      <c r="H197" s="1975" t="s">
        <v>3926</v>
      </c>
      <c r="I197" s="1712">
        <f>$G$7</f>
        <v>0</v>
      </c>
      <c r="J197" s="2135"/>
      <c r="K197" s="1950" t="s">
        <v>3947</v>
      </c>
      <c r="L197" s="1947" t="s">
        <v>3926</v>
      </c>
      <c r="M197" s="1754">
        <f t="shared" si="105"/>
        <v>0</v>
      </c>
      <c r="N197" s="1712"/>
      <c r="O197" s="1712">
        <f t="shared" si="110"/>
        <v>0</v>
      </c>
      <c r="P197" s="1712">
        <f t="shared" si="111"/>
        <v>0</v>
      </c>
      <c r="Q197" s="1712">
        <f t="shared" si="112"/>
        <v>0</v>
      </c>
      <c r="R197" s="2173">
        <v>0.13</v>
      </c>
      <c r="S197" s="1712">
        <f t="shared" si="113"/>
        <v>0</v>
      </c>
      <c r="T197" s="1712" t="str">
        <f t="shared" si="80"/>
        <v/>
      </c>
      <c r="U197" s="2043" t="e">
        <f t="shared" si="81"/>
        <v>#DIV/0!</v>
      </c>
      <c r="V197" s="1952"/>
    </row>
    <row r="198" spans="1:22" s="1942" customFormat="1" ht="13" hidden="1" outlineLevel="2">
      <c r="A198" s="1944"/>
      <c r="B198" s="1807" t="s">
        <v>781</v>
      </c>
      <c r="C198" s="1808"/>
      <c r="D198" s="2008" t="s">
        <v>3751</v>
      </c>
      <c r="E198" s="2009" t="s">
        <v>3752</v>
      </c>
      <c r="F198" s="1462" t="s">
        <v>3531</v>
      </c>
      <c r="G198" s="1953" t="s">
        <v>4140</v>
      </c>
      <c r="H198" s="1975" t="s">
        <v>10</v>
      </c>
      <c r="I198" s="1712">
        <f>$E$5</f>
        <v>0</v>
      </c>
      <c r="J198" s="2139"/>
      <c r="K198" s="1950" t="s">
        <v>101</v>
      </c>
      <c r="L198" s="1947" t="s">
        <v>10</v>
      </c>
      <c r="M198" s="1754">
        <f t="shared" si="105"/>
        <v>0</v>
      </c>
      <c r="N198" s="1712"/>
      <c r="O198" s="1712">
        <f t="shared" si="110"/>
        <v>0</v>
      </c>
      <c r="P198" s="1712">
        <f t="shared" si="111"/>
        <v>0</v>
      </c>
      <c r="Q198" s="1712">
        <f t="shared" si="112"/>
        <v>0</v>
      </c>
      <c r="R198" s="2173">
        <v>0.13</v>
      </c>
      <c r="S198" s="1712">
        <f t="shared" si="113"/>
        <v>0</v>
      </c>
      <c r="T198" s="1712" t="str">
        <f t="shared" si="80"/>
        <v/>
      </c>
      <c r="U198" s="2043" t="e">
        <f t="shared" si="81"/>
        <v>#DIV/0!</v>
      </c>
      <c r="V198" s="1952"/>
    </row>
    <row r="199" spans="1:22" s="1942" customFormat="1" ht="13" hidden="1" outlineLevel="2">
      <c r="A199" s="1944"/>
      <c r="B199" s="1807" t="s">
        <v>782</v>
      </c>
      <c r="C199" s="1808"/>
      <c r="D199" s="2008" t="s">
        <v>3753</v>
      </c>
      <c r="E199" s="2009" t="s">
        <v>3754</v>
      </c>
      <c r="F199" s="1462" t="s">
        <v>3531</v>
      </c>
      <c r="G199" s="1953" t="s">
        <v>4140</v>
      </c>
      <c r="H199" s="1975" t="s">
        <v>10</v>
      </c>
      <c r="I199" s="1948">
        <f t="shared" ref="I199:I202" si="114">$E$5</f>
        <v>0</v>
      </c>
      <c r="J199" s="2139"/>
      <c r="K199" s="1950" t="s">
        <v>101</v>
      </c>
      <c r="L199" s="1947" t="s">
        <v>10</v>
      </c>
      <c r="M199" s="1754">
        <f t="shared" si="105"/>
        <v>0</v>
      </c>
      <c r="N199" s="1712"/>
      <c r="O199" s="1712">
        <f t="shared" si="110"/>
        <v>0</v>
      </c>
      <c r="P199" s="1712">
        <f t="shared" si="111"/>
        <v>0</v>
      </c>
      <c r="Q199" s="1712">
        <f t="shared" si="112"/>
        <v>0</v>
      </c>
      <c r="R199" s="2173">
        <v>0.13</v>
      </c>
      <c r="S199" s="1712">
        <f t="shared" si="113"/>
        <v>0</v>
      </c>
      <c r="T199" s="1712" t="str">
        <f t="shared" si="80"/>
        <v/>
      </c>
      <c r="U199" s="2043" t="e">
        <f t="shared" si="81"/>
        <v>#DIV/0!</v>
      </c>
      <c r="V199" s="1952"/>
    </row>
    <row r="200" spans="1:22" s="1942" customFormat="1" ht="13" hidden="1" outlineLevel="2">
      <c r="A200" s="1944"/>
      <c r="B200" s="1807" t="s">
        <v>3755</v>
      </c>
      <c r="C200" s="1808"/>
      <c r="D200" s="2008" t="s">
        <v>3756</v>
      </c>
      <c r="E200" s="2009" t="s">
        <v>3757</v>
      </c>
      <c r="F200" s="1462" t="s">
        <v>3531</v>
      </c>
      <c r="G200" s="1953" t="s">
        <v>4140</v>
      </c>
      <c r="H200" s="1975" t="s">
        <v>10</v>
      </c>
      <c r="I200" s="1948">
        <f t="shared" si="114"/>
        <v>0</v>
      </c>
      <c r="J200" s="2139"/>
      <c r="K200" s="1950" t="s">
        <v>101</v>
      </c>
      <c r="L200" s="1947" t="s">
        <v>10</v>
      </c>
      <c r="M200" s="1754">
        <f t="shared" si="105"/>
        <v>0</v>
      </c>
      <c r="N200" s="1712"/>
      <c r="O200" s="1712">
        <f t="shared" si="110"/>
        <v>0</v>
      </c>
      <c r="P200" s="1712">
        <f t="shared" si="111"/>
        <v>0</v>
      </c>
      <c r="Q200" s="1712">
        <f t="shared" si="112"/>
        <v>0</v>
      </c>
      <c r="R200" s="2173">
        <v>0.13</v>
      </c>
      <c r="S200" s="1712">
        <f t="shared" si="113"/>
        <v>0</v>
      </c>
      <c r="T200" s="1712" t="str">
        <f t="shared" si="80"/>
        <v/>
      </c>
      <c r="U200" s="2043" t="e">
        <f t="shared" si="81"/>
        <v>#DIV/0!</v>
      </c>
      <c r="V200" s="1952"/>
    </row>
    <row r="201" spans="1:22" s="1942" customFormat="1" ht="13" hidden="1" outlineLevel="2">
      <c r="A201" s="1944"/>
      <c r="B201" s="1807" t="s">
        <v>3758</v>
      </c>
      <c r="C201" s="1808"/>
      <c r="D201" s="2008" t="s">
        <v>3759</v>
      </c>
      <c r="E201" s="2009" t="s">
        <v>3760</v>
      </c>
      <c r="F201" s="1462" t="s">
        <v>3531</v>
      </c>
      <c r="G201" s="1953" t="s">
        <v>4140</v>
      </c>
      <c r="H201" s="1975" t="s">
        <v>10</v>
      </c>
      <c r="I201" s="1948">
        <f t="shared" si="114"/>
        <v>0</v>
      </c>
      <c r="J201" s="2139"/>
      <c r="K201" s="1950" t="s">
        <v>101</v>
      </c>
      <c r="L201" s="1947" t="s">
        <v>10</v>
      </c>
      <c r="M201" s="1754">
        <f t="shared" si="105"/>
        <v>0</v>
      </c>
      <c r="N201" s="1712"/>
      <c r="O201" s="1712">
        <f t="shared" si="110"/>
        <v>0</v>
      </c>
      <c r="P201" s="1712">
        <f t="shared" si="111"/>
        <v>0</v>
      </c>
      <c r="Q201" s="1712">
        <f t="shared" si="112"/>
        <v>0</v>
      </c>
      <c r="R201" s="2173">
        <v>0.13</v>
      </c>
      <c r="S201" s="1712">
        <f t="shared" si="113"/>
        <v>0</v>
      </c>
      <c r="T201" s="1712" t="str">
        <f t="shared" si="80"/>
        <v/>
      </c>
      <c r="U201" s="2043" t="e">
        <f t="shared" si="81"/>
        <v>#DIV/0!</v>
      </c>
      <c r="V201" s="1952"/>
    </row>
    <row r="202" spans="1:22" s="1942" customFormat="1" ht="13.5" hidden="1" outlineLevel="2" thickBot="1">
      <c r="A202" s="1944"/>
      <c r="B202" s="2044" t="s">
        <v>3761</v>
      </c>
      <c r="C202" s="2045"/>
      <c r="D202" s="2046" t="s">
        <v>3762</v>
      </c>
      <c r="E202" s="2047" t="s">
        <v>3763</v>
      </c>
      <c r="F202" s="2048" t="s">
        <v>3531</v>
      </c>
      <c r="G202" s="2049" t="s">
        <v>4140</v>
      </c>
      <c r="H202" s="2050" t="s">
        <v>10</v>
      </c>
      <c r="I202" s="2051">
        <f t="shared" si="114"/>
        <v>0</v>
      </c>
      <c r="J202" s="2144"/>
      <c r="K202" s="2053" t="s">
        <v>101</v>
      </c>
      <c r="L202" s="2054" t="s">
        <v>10</v>
      </c>
      <c r="M202" s="2055">
        <f t="shared" si="105"/>
        <v>0</v>
      </c>
      <c r="N202" s="2057"/>
      <c r="O202" s="2057">
        <f t="shared" si="110"/>
        <v>0</v>
      </c>
      <c r="P202" s="2057">
        <f t="shared" si="111"/>
        <v>0</v>
      </c>
      <c r="Q202" s="2057">
        <f t="shared" si="112"/>
        <v>0</v>
      </c>
      <c r="R202" s="2174">
        <v>0.13</v>
      </c>
      <c r="S202" s="2057">
        <f t="shared" si="113"/>
        <v>0</v>
      </c>
      <c r="T202" s="2057" t="str">
        <f t="shared" si="80"/>
        <v/>
      </c>
      <c r="U202" s="2059" t="e">
        <f t="shared" si="81"/>
        <v>#DIV/0!</v>
      </c>
      <c r="V202" s="2060"/>
    </row>
    <row r="203" spans="1:22" ht="12">
      <c r="O203" s="1902">
        <f>O11+O100+O126</f>
        <v>0</v>
      </c>
      <c r="Q203" s="1902">
        <f>Q11+Q100+Q126</f>
        <v>0</v>
      </c>
      <c r="S203" s="1902">
        <f>S11+S100+S126</f>
        <v>0</v>
      </c>
    </row>
    <row r="204" spans="1:22" ht="12"/>
    <row r="205" spans="1:22" ht="12"/>
    <row r="206" spans="1:22" ht="12">
      <c r="O206" s="1902" t="e">
        <f>O203/E5*10000</f>
        <v>#DIV/0!</v>
      </c>
    </row>
    <row r="207" spans="1:22" ht="12"/>
    <row r="208" spans="1:22"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sheetData>
  <autoFilter ref="A10:W204"/>
  <mergeCells count="22">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P9:P10"/>
    <mergeCell ref="Q9:Q10"/>
    <mergeCell ref="R9:R10"/>
    <mergeCell ref="S9:S10"/>
    <mergeCell ref="T9:T10"/>
    <mergeCell ref="U9:U10"/>
  </mergeCells>
  <phoneticPr fontId="19" type="noConversion"/>
  <conditionalFormatting sqref="B11:C11">
    <cfRule type="duplicateValues" dxfId="447" priority="10"/>
  </conditionalFormatting>
  <conditionalFormatting sqref="B12">
    <cfRule type="duplicateValues" dxfId="446" priority="11"/>
  </conditionalFormatting>
  <conditionalFormatting sqref="C12">
    <cfRule type="duplicateValues" dxfId="445" priority="9"/>
  </conditionalFormatting>
  <conditionalFormatting sqref="D14:F14">
    <cfRule type="duplicateValues" dxfId="444" priority="13"/>
  </conditionalFormatting>
  <conditionalFormatting sqref="B45">
    <cfRule type="duplicateValues" dxfId="443" priority="8"/>
  </conditionalFormatting>
  <conditionalFormatting sqref="C45">
    <cfRule type="duplicateValues" dxfId="442" priority="6"/>
  </conditionalFormatting>
  <conditionalFormatting sqref="D45:E45">
    <cfRule type="duplicateValues" dxfId="441" priority="7"/>
  </conditionalFormatting>
  <conditionalFormatting sqref="F45">
    <cfRule type="duplicateValues" dxfId="440" priority="14"/>
  </conditionalFormatting>
  <conditionalFormatting sqref="D46:E46">
    <cfRule type="duplicateValues" dxfId="439" priority="5"/>
  </conditionalFormatting>
  <conditionalFormatting sqref="D56:E56">
    <cfRule type="duplicateValues" dxfId="438" priority="4"/>
  </conditionalFormatting>
  <conditionalFormatting sqref="B100">
    <cfRule type="duplicateValues" dxfId="437" priority="3"/>
  </conditionalFormatting>
  <conditionalFormatting sqref="F101">
    <cfRule type="duplicateValues" dxfId="436" priority="15"/>
  </conditionalFormatting>
  <conditionalFormatting sqref="F120">
    <cfRule type="duplicateValues" dxfId="435" priority="21"/>
  </conditionalFormatting>
  <conditionalFormatting sqref="F124">
    <cfRule type="duplicateValues" dxfId="434" priority="16"/>
  </conditionalFormatting>
  <conditionalFormatting sqref="F125">
    <cfRule type="duplicateValues" dxfId="433" priority="17"/>
  </conditionalFormatting>
  <conditionalFormatting sqref="B126">
    <cfRule type="duplicateValues" dxfId="432" priority="1"/>
  </conditionalFormatting>
  <conditionalFormatting sqref="F127">
    <cfRule type="duplicateValues" dxfId="431" priority="18"/>
  </conditionalFormatting>
  <conditionalFormatting sqref="F170">
    <cfRule type="duplicateValues" dxfId="430" priority="19"/>
  </conditionalFormatting>
  <conditionalFormatting sqref="F184">
    <cfRule type="duplicateValues" dxfId="429" priority="20"/>
  </conditionalFormatting>
  <conditionalFormatting sqref="F193">
    <cfRule type="duplicateValues" dxfId="428" priority="22"/>
  </conditionalFormatting>
  <conditionalFormatting sqref="D11:G12">
    <cfRule type="duplicateValues" dxfId="427" priority="12"/>
  </conditionalFormatting>
  <conditionalFormatting sqref="G13:G14 D13:E13">
    <cfRule type="duplicateValues" dxfId="426" priority="2"/>
  </conditionalFormatting>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2:V204"/>
  <sheetViews>
    <sheetView zoomScale="70" zoomScaleNormal="70" workbookViewId="0">
      <pane xSplit="4" ySplit="10" topLeftCell="E107" activePane="bottomRight" state="frozen"/>
      <selection activeCell="D8" sqref="D8"/>
      <selection pane="topRight" activeCell="D8" sqref="D8"/>
      <selection pane="bottomLeft" activeCell="D8" sqref="D8"/>
      <selection pane="bottomRight" activeCell="I5" sqref="I5"/>
    </sheetView>
  </sheetViews>
  <sheetFormatPr defaultColWidth="10" defaultRowHeight="15.5" outlineLevelRow="5"/>
  <cols>
    <col min="1" max="1" width="6.6640625" hidden="1" customWidth="1"/>
    <col min="2" max="2" width="22" customWidth="1"/>
    <col min="3" max="3" width="8.6640625" customWidth="1"/>
    <col min="4" max="4" width="25" customWidth="1"/>
    <col min="5" max="5" width="10.4140625" customWidth="1"/>
    <col min="6" max="6" width="19.6640625" customWidth="1"/>
    <col min="7" max="7" width="11.6640625" customWidth="1"/>
    <col min="8" max="8" width="17.6640625" customWidth="1"/>
    <col min="9" max="9" width="12.33203125" customWidth="1"/>
    <col min="10" max="10" width="11.4140625" customWidth="1"/>
    <col min="11" max="11" width="10" customWidth="1"/>
    <col min="12" max="12" width="20" customWidth="1"/>
    <col min="13" max="14" width="11.6640625" customWidth="1"/>
    <col min="15" max="15" width="9.33203125" customWidth="1"/>
    <col min="16" max="16" width="10.4140625" customWidth="1"/>
    <col min="17" max="17" width="11.6640625" customWidth="1"/>
    <col min="18" max="18" width="9.33203125" customWidth="1"/>
    <col min="19" max="19" width="12" customWidth="1"/>
    <col min="20" max="21" width="13.33203125" customWidth="1"/>
    <col min="22" max="22" width="10" customWidth="1"/>
  </cols>
  <sheetData>
    <row r="2" spans="1:22" ht="16" thickBot="1">
      <c r="A2" s="1942"/>
      <c r="B2" s="1899"/>
      <c r="C2" s="1664"/>
      <c r="D2" s="1904"/>
      <c r="E2" s="1693"/>
      <c r="F2" s="2450"/>
      <c r="G2" s="2450"/>
      <c r="H2" s="2450"/>
      <c r="I2" s="1905"/>
      <c r="J2" s="1902"/>
      <c r="K2" s="1898"/>
      <c r="L2" s="1906"/>
      <c r="M2" s="1900"/>
      <c r="N2" s="1900"/>
      <c r="O2" s="1907"/>
      <c r="P2" s="1902"/>
      <c r="Q2" s="1902"/>
      <c r="R2" s="1898"/>
      <c r="S2" s="1903"/>
      <c r="T2" s="1907"/>
      <c r="U2" s="1898"/>
      <c r="V2" s="1907"/>
    </row>
    <row r="3" spans="1:22">
      <c r="A3" s="1942"/>
      <c r="B3" s="1899"/>
      <c r="C3" s="1908" t="s">
        <v>4001</v>
      </c>
      <c r="D3" s="1909" t="s">
        <v>106</v>
      </c>
      <c r="E3" s="1909" t="s">
        <v>3136</v>
      </c>
      <c r="F3" s="1910" t="s">
        <v>4002</v>
      </c>
      <c r="G3" s="1911">
        <f>'全期规划指标 '!D22</f>
        <v>0</v>
      </c>
      <c r="H3" s="1910" t="s">
        <v>4003</v>
      </c>
      <c r="I3" s="2175" t="s">
        <v>4170</v>
      </c>
      <c r="J3" s="2106"/>
      <c r="K3" s="1934"/>
      <c r="L3" s="1902"/>
      <c r="M3" s="1900"/>
      <c r="N3" s="1900"/>
      <c r="O3" s="1898"/>
      <c r="P3" s="1900"/>
      <c r="Q3" s="1907"/>
      <c r="R3" s="1898"/>
      <c r="S3" s="1898"/>
      <c r="T3" s="1898"/>
      <c r="U3" s="1898"/>
      <c r="V3" s="1898"/>
    </row>
    <row r="4" spans="1:22">
      <c r="A4" s="1942"/>
      <c r="B4" s="1899"/>
      <c r="C4" s="2412" t="s">
        <v>3916</v>
      </c>
      <c r="D4" s="1915" t="s">
        <v>9</v>
      </c>
      <c r="E4" s="1916">
        <f>'全期规划指标 '!G22</f>
        <v>0</v>
      </c>
      <c r="F4" s="1917" t="s">
        <v>107</v>
      </c>
      <c r="G4" s="1916">
        <f>'全期规划指标 '!F22</f>
        <v>0</v>
      </c>
      <c r="H4" s="1917" t="s">
        <v>4005</v>
      </c>
      <c r="I4" s="2015"/>
      <c r="J4" s="2106"/>
      <c r="K4" s="1934"/>
      <c r="L4" s="1902"/>
      <c r="M4" s="1900"/>
      <c r="N4" s="1900"/>
      <c r="O4" s="1898"/>
      <c r="P4" s="1900"/>
      <c r="Q4" s="1907"/>
      <c r="R4" s="1898"/>
      <c r="S4" s="1898"/>
      <c r="T4" s="1898"/>
      <c r="U4" s="1898"/>
      <c r="V4" s="1898"/>
    </row>
    <row r="5" spans="1:22">
      <c r="A5" s="1942"/>
      <c r="B5" s="1899"/>
      <c r="C5" s="2412"/>
      <c r="D5" s="1915" t="s">
        <v>10</v>
      </c>
      <c r="E5" s="1916">
        <f>'全期规划指标 '!I22</f>
        <v>0</v>
      </c>
      <c r="F5" s="1917" t="s">
        <v>18</v>
      </c>
      <c r="G5" s="2163">
        <f>'全期规划指标 '!Q22</f>
        <v>0</v>
      </c>
      <c r="H5" s="1917" t="s">
        <v>4006</v>
      </c>
      <c r="I5" s="2107"/>
      <c r="J5" s="2106"/>
      <c r="K5" s="1934"/>
      <c r="L5" s="1902"/>
      <c r="M5" s="1900"/>
      <c r="N5" s="1900"/>
      <c r="O5" s="1898"/>
      <c r="P5" s="1900"/>
      <c r="Q5" s="1907"/>
      <c r="R5" s="1898"/>
      <c r="S5" s="1898"/>
      <c r="T5" s="1898"/>
      <c r="U5" s="1898"/>
      <c r="V5" s="1898"/>
    </row>
    <row r="6" spans="1:22">
      <c r="A6" s="1942"/>
      <c r="B6" s="1899"/>
      <c r="C6" s="2412"/>
      <c r="D6" s="1923" t="s">
        <v>20</v>
      </c>
      <c r="E6" s="1916">
        <f>'全期规划指标 '!I22</f>
        <v>0</v>
      </c>
      <c r="F6" s="1917" t="s">
        <v>3923</v>
      </c>
      <c r="G6" s="2163">
        <f>'全期规划指标 '!S22</f>
        <v>0</v>
      </c>
      <c r="H6" s="1917" t="s">
        <v>4007</v>
      </c>
      <c r="I6" s="2107">
        <f>'全期规划指标 '!R22</f>
        <v>0</v>
      </c>
      <c r="J6" s="2106"/>
      <c r="K6" s="1934"/>
      <c r="L6" s="1902"/>
      <c r="M6" s="1900"/>
      <c r="N6" s="1900"/>
      <c r="O6" s="1898"/>
      <c r="P6" s="1900"/>
      <c r="Q6" s="1907"/>
      <c r="R6" s="1898"/>
      <c r="S6" s="1898"/>
      <c r="T6" s="1898"/>
      <c r="U6" s="1898"/>
      <c r="V6" s="1898"/>
    </row>
    <row r="7" spans="1:22" ht="16" thickBot="1">
      <c r="A7" s="1942"/>
      <c r="B7" s="1899"/>
      <c r="C7" s="2413"/>
      <c r="D7" s="1926" t="s">
        <v>4008</v>
      </c>
      <c r="E7" s="1927">
        <f>'全期规划指标 '!V22</f>
        <v>0</v>
      </c>
      <c r="F7" s="1928" t="s">
        <v>3926</v>
      </c>
      <c r="G7" s="2165">
        <f>'全期规划指标 '!R22</f>
        <v>0</v>
      </c>
      <c r="H7" s="1928" t="s">
        <v>4009</v>
      </c>
      <c r="I7" s="2108">
        <f>'全期规划指标 '!T22</f>
        <v>0</v>
      </c>
      <c r="J7" s="2109"/>
      <c r="K7" s="2094"/>
      <c r="L7" s="1902"/>
      <c r="M7" s="1900"/>
      <c r="N7" s="1900"/>
      <c r="O7" s="1898"/>
      <c r="P7" s="1900"/>
      <c r="Q7" s="1907"/>
      <c r="R7" s="1898"/>
      <c r="S7" s="1898"/>
      <c r="T7" s="1898"/>
      <c r="U7" s="1898"/>
      <c r="V7" s="1898"/>
    </row>
    <row r="8" spans="1:22" ht="16" thickBot="1">
      <c r="A8" s="1942"/>
      <c r="B8" s="1899"/>
      <c r="C8" s="1664"/>
      <c r="D8" s="1904"/>
      <c r="E8" s="1693"/>
      <c r="F8" s="1906"/>
      <c r="G8" s="1934"/>
      <c r="H8" s="1935"/>
      <c r="I8" s="1936"/>
      <c r="J8" s="1902"/>
      <c r="K8" s="1937"/>
      <c r="L8" s="1935"/>
      <c r="M8" s="1900"/>
      <c r="N8" s="1900"/>
      <c r="O8" s="1907"/>
      <c r="P8" s="1902"/>
      <c r="Q8" s="1902"/>
      <c r="R8" s="1900"/>
      <c r="S8" s="1903"/>
      <c r="T8" s="1907"/>
      <c r="U8" s="1900"/>
      <c r="V8" s="1907"/>
    </row>
    <row r="9" spans="1:22" s="1938" customFormat="1" ht="20.5" customHeight="1">
      <c r="B9" s="2451" t="s">
        <v>3131</v>
      </c>
      <c r="C9" s="2453" t="s">
        <v>25</v>
      </c>
      <c r="D9" s="2453" t="s">
        <v>23</v>
      </c>
      <c r="E9" s="2453" t="s">
        <v>3927</v>
      </c>
      <c r="F9" s="2453" t="s">
        <v>444</v>
      </c>
      <c r="G9" s="2453" t="s">
        <v>3207</v>
      </c>
      <c r="H9" s="2453" t="s">
        <v>3929</v>
      </c>
      <c r="I9" s="2453"/>
      <c r="J9" s="2457"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row>
    <row r="10" spans="1:22" s="1938" customFormat="1" ht="17.5" customHeight="1">
      <c r="B10" s="2452"/>
      <c r="C10" s="2454"/>
      <c r="D10" s="2454"/>
      <c r="E10" s="2454"/>
      <c r="F10" s="2454"/>
      <c r="G10" s="2454"/>
      <c r="H10" s="1939" t="s">
        <v>13</v>
      </c>
      <c r="I10" s="1940" t="s">
        <v>3939</v>
      </c>
      <c r="J10" s="2458"/>
      <c r="K10" s="2449"/>
      <c r="L10" s="2454"/>
      <c r="M10" s="2449"/>
      <c r="N10" s="2426"/>
      <c r="O10" s="2449"/>
      <c r="P10" s="2449"/>
      <c r="Q10" s="2449"/>
      <c r="R10" s="2449"/>
      <c r="S10" s="2449"/>
      <c r="T10" s="2449"/>
      <c r="U10" s="2449"/>
      <c r="V10" s="2447"/>
    </row>
    <row r="11" spans="1:22">
      <c r="A11" s="1898"/>
      <c r="B11" s="1785" t="s">
        <v>537</v>
      </c>
      <c r="C11" s="1685" t="s">
        <v>28</v>
      </c>
      <c r="D11" s="1956" t="s">
        <v>486</v>
      </c>
      <c r="E11" s="1957"/>
      <c r="F11" s="1958"/>
      <c r="G11" s="1957"/>
      <c r="H11" s="1959"/>
      <c r="I11" s="1960"/>
      <c r="J11" s="2113"/>
      <c r="K11" s="1962"/>
      <c r="L11" s="1959"/>
      <c r="M11" s="1962"/>
      <c r="N11" s="1963"/>
      <c r="O11" s="1963">
        <f>SUBTOTAL(9,O12:O99)</f>
        <v>0</v>
      </c>
      <c r="P11" s="1963"/>
      <c r="Q11" s="1963">
        <f>SUBTOTAL(9,Q12:Q99)</f>
        <v>0</v>
      </c>
      <c r="R11" s="1963"/>
      <c r="S11" s="1963">
        <f>SUBTOTAL(9,S12:S99)</f>
        <v>0</v>
      </c>
      <c r="T11" s="1963" t="str">
        <f t="shared" ref="T11:T74" si="0">IFERROR(Q11*10000/$E$6,"")</f>
        <v/>
      </c>
      <c r="U11" s="1963" t="str">
        <f t="shared" ref="U11:U74" si="1">IFERROR(O11*10000/$E$6,"")</f>
        <v/>
      </c>
      <c r="V11" s="1964"/>
    </row>
    <row r="12" spans="1:22" outlineLevel="1">
      <c r="A12" s="1898"/>
      <c r="B12" s="1965" t="s">
        <v>487</v>
      </c>
      <c r="C12" s="1852">
        <v>1</v>
      </c>
      <c r="D12" s="1966" t="s">
        <v>650</v>
      </c>
      <c r="E12" s="1967"/>
      <c r="F12" s="1968"/>
      <c r="G12" s="1967"/>
      <c r="H12" s="1967"/>
      <c r="I12" s="1969"/>
      <c r="J12" s="2116"/>
      <c r="K12" s="1971"/>
      <c r="L12" s="1967"/>
      <c r="M12" s="1972"/>
      <c r="N12" s="1973"/>
      <c r="O12" s="1973">
        <f>SUBTOTAL(9,O13:O44)</f>
        <v>0</v>
      </c>
      <c r="P12" s="1973"/>
      <c r="Q12" s="1973">
        <f>SUBTOTAL(9,Q13:Q44)</f>
        <v>0</v>
      </c>
      <c r="R12" s="1973"/>
      <c r="S12" s="1973">
        <f>SUBTOTAL(9,S13:S44)</f>
        <v>0</v>
      </c>
      <c r="T12" s="1973" t="str">
        <f t="shared" si="0"/>
        <v/>
      </c>
      <c r="U12" s="1973" t="str">
        <f t="shared" si="1"/>
        <v/>
      </c>
      <c r="V12" s="1974"/>
    </row>
    <row r="13" spans="1:22" s="1942" customFormat="1" ht="13" outlineLevel="2">
      <c r="A13" s="1944"/>
      <c r="B13" s="1820" t="s">
        <v>651</v>
      </c>
      <c r="C13" s="1808"/>
      <c r="D13" s="1945" t="s">
        <v>3360</v>
      </c>
      <c r="E13" s="1946" t="s">
        <v>3361</v>
      </c>
      <c r="F13" s="1462" t="s">
        <v>3342</v>
      </c>
      <c r="G13" s="1946" t="s">
        <v>4116</v>
      </c>
      <c r="H13" s="1975" t="s">
        <v>9</v>
      </c>
      <c r="I13" s="1953">
        <f>$E$4</f>
        <v>0</v>
      </c>
      <c r="J13" s="2099">
        <v>0.5</v>
      </c>
      <c r="K13" s="1977" t="s">
        <v>103</v>
      </c>
      <c r="L13" s="1947" t="s">
        <v>4013</v>
      </c>
      <c r="M13" s="1754">
        <f>ROUND(I13,2)*ROUND(J13,4)</f>
        <v>0</v>
      </c>
      <c r="N13" s="1712">
        <v>71.38</v>
      </c>
      <c r="O13" s="1712">
        <f>ROUND(M13*ROUND(N13,2)/10000,6)</f>
        <v>0</v>
      </c>
      <c r="P13" s="1712">
        <f>IFERROR(ROUND(Q13*10000/M13,2),0)</f>
        <v>0</v>
      </c>
      <c r="Q13" s="1712">
        <f>ROUND(O13/(1+R13),6)</f>
        <v>0</v>
      </c>
      <c r="R13" s="1757">
        <v>0.09</v>
      </c>
      <c r="S13" s="1712">
        <f>O13-Q13</f>
        <v>0</v>
      </c>
      <c r="T13" s="1712" t="str">
        <f t="shared" si="0"/>
        <v/>
      </c>
      <c r="U13" s="1712" t="str">
        <f t="shared" si="1"/>
        <v/>
      </c>
      <c r="V13" s="1952"/>
    </row>
    <row r="14" spans="1:22" s="1942" customFormat="1" ht="13" outlineLevel="2">
      <c r="A14" s="1944"/>
      <c r="B14" s="1820" t="s">
        <v>655</v>
      </c>
      <c r="C14" s="1808"/>
      <c r="D14" s="1945" t="s">
        <v>488</v>
      </c>
      <c r="E14" s="1946"/>
      <c r="F14" s="1945"/>
      <c r="G14" s="1946" t="s">
        <v>4117</v>
      </c>
      <c r="H14" s="1947"/>
      <c r="I14" s="1948"/>
      <c r="J14" s="2099"/>
      <c r="K14" s="1950"/>
      <c r="L14" s="1947"/>
      <c r="M14" s="1754"/>
      <c r="N14" s="1712"/>
      <c r="O14" s="1712">
        <f>SUBTOTAL(9,O15:O43)</f>
        <v>0</v>
      </c>
      <c r="P14" s="1951"/>
      <c r="Q14" s="1712">
        <f>SUBTOTAL(9,Q15:Q43)</f>
        <v>0</v>
      </c>
      <c r="R14" s="1712"/>
      <c r="S14" s="1712">
        <f>SUBTOTAL(9,S15:S43)</f>
        <v>0</v>
      </c>
      <c r="T14" s="1712" t="str">
        <f t="shared" si="0"/>
        <v/>
      </c>
      <c r="U14" s="1712" t="str">
        <f t="shared" si="1"/>
        <v/>
      </c>
      <c r="V14" s="1952"/>
    </row>
    <row r="15" spans="1:22" s="1942" customFormat="1" ht="12" customHeight="1" outlineLevel="3">
      <c r="A15" s="1944"/>
      <c r="B15" s="1978" t="s">
        <v>1626</v>
      </c>
      <c r="C15" s="1810"/>
      <c r="D15" s="1979" t="s">
        <v>59</v>
      </c>
      <c r="E15" s="1980" t="s">
        <v>3362</v>
      </c>
      <c r="F15" s="1462" t="s">
        <v>3342</v>
      </c>
      <c r="G15" s="1953" t="s">
        <v>4116</v>
      </c>
      <c r="H15" s="1947" t="s">
        <v>10</v>
      </c>
      <c r="I15" s="1953">
        <f>$E$5</f>
        <v>0</v>
      </c>
      <c r="J15" s="2099">
        <v>0.35</v>
      </c>
      <c r="K15" s="1950" t="s">
        <v>103</v>
      </c>
      <c r="L15" s="1947" t="s">
        <v>4014</v>
      </c>
      <c r="M15" s="1754">
        <f>ROUND(I15,2)*ROUND(J15,4)</f>
        <v>0</v>
      </c>
      <c r="N15" s="1756">
        <v>609.15</v>
      </c>
      <c r="O15" s="1712">
        <f>ROUND(M15*ROUND(N15,2)/10000,6)</f>
        <v>0</v>
      </c>
      <c r="P15" s="1712">
        <f>IFERROR(ROUND(Q15*10000/M15,2),0)</f>
        <v>0</v>
      </c>
      <c r="Q15" s="1712">
        <f>ROUND(O15/(1+R15),6)</f>
        <v>0</v>
      </c>
      <c r="R15" s="1757">
        <v>0.09</v>
      </c>
      <c r="S15" s="1712">
        <f>O15-Q15</f>
        <v>0</v>
      </c>
      <c r="T15" s="1712" t="str">
        <f t="shared" si="0"/>
        <v/>
      </c>
      <c r="U15" s="1712" t="str">
        <f t="shared" si="1"/>
        <v/>
      </c>
      <c r="V15" s="1952"/>
    </row>
    <row r="16" spans="1:22" s="1942" customFormat="1" ht="12" customHeight="1" outlineLevel="3">
      <c r="A16" s="1944"/>
      <c r="B16" s="1978" t="s">
        <v>1482</v>
      </c>
      <c r="C16" s="1810"/>
      <c r="D16" s="1979" t="s">
        <v>658</v>
      </c>
      <c r="E16" s="1980" t="s">
        <v>3363</v>
      </c>
      <c r="F16" s="1462" t="s">
        <v>3342</v>
      </c>
      <c r="G16" s="1953" t="s">
        <v>4116</v>
      </c>
      <c r="H16" s="1947" t="s">
        <v>10</v>
      </c>
      <c r="I16" s="1953">
        <f>$E$5</f>
        <v>0</v>
      </c>
      <c r="J16" s="2099">
        <v>41</v>
      </c>
      <c r="K16" s="1950" t="s">
        <v>104</v>
      </c>
      <c r="L16" s="1947" t="s">
        <v>4015</v>
      </c>
      <c r="M16" s="1754">
        <f t="shared" ref="M16:M44" si="2">ROUND(I16,2)*ROUND(J16,4)</f>
        <v>0</v>
      </c>
      <c r="N16" s="1756">
        <v>8.2479399999999998</v>
      </c>
      <c r="O16" s="1712">
        <f t="shared" ref="O16:O22" si="3">ROUND(M16*ROUND(N16,2)/10000,6)</f>
        <v>0</v>
      </c>
      <c r="P16" s="1712">
        <f t="shared" ref="P16:P22" si="4">IFERROR(ROUND(Q16*10000/M16,2),0)</f>
        <v>0</v>
      </c>
      <c r="Q16" s="1712">
        <f t="shared" ref="Q16:Q22" si="5">ROUND(O16/(1+R16),6)</f>
        <v>0</v>
      </c>
      <c r="R16" s="1757">
        <v>0.09</v>
      </c>
      <c r="S16" s="1712">
        <f>O16-Q16</f>
        <v>0</v>
      </c>
      <c r="T16" s="1712" t="str">
        <f t="shared" si="0"/>
        <v/>
      </c>
      <c r="U16" s="1712" t="str">
        <f t="shared" si="1"/>
        <v/>
      </c>
      <c r="V16" s="1952"/>
    </row>
    <row r="17" spans="1:22" s="1942" customFormat="1" ht="12" customHeight="1" outlineLevel="3">
      <c r="A17" s="1944"/>
      <c r="B17" s="1978" t="s">
        <v>1635</v>
      </c>
      <c r="C17" s="1810"/>
      <c r="D17" s="1979" t="s">
        <v>659</v>
      </c>
      <c r="E17" s="1980" t="s">
        <v>3364</v>
      </c>
      <c r="F17" s="1462" t="s">
        <v>3342</v>
      </c>
      <c r="G17" s="1953" t="s">
        <v>4116</v>
      </c>
      <c r="H17" s="1947" t="s">
        <v>10</v>
      </c>
      <c r="I17" s="1953">
        <f>$E$5</f>
        <v>0</v>
      </c>
      <c r="J17" s="2099">
        <v>3.5</v>
      </c>
      <c r="K17" s="1950" t="s">
        <v>101</v>
      </c>
      <c r="L17" s="1947" t="s">
        <v>659</v>
      </c>
      <c r="M17" s="1754">
        <f t="shared" si="2"/>
        <v>0</v>
      </c>
      <c r="N17" s="1712">
        <v>80.180000000000007</v>
      </c>
      <c r="O17" s="1712">
        <f t="shared" si="3"/>
        <v>0</v>
      </c>
      <c r="P17" s="1712">
        <f t="shared" si="4"/>
        <v>0</v>
      </c>
      <c r="Q17" s="1712">
        <f t="shared" si="5"/>
        <v>0</v>
      </c>
      <c r="R17" s="1757">
        <v>0.09</v>
      </c>
      <c r="S17" s="1712">
        <f>O17-Q17</f>
        <v>0</v>
      </c>
      <c r="T17" s="1712" t="str">
        <f t="shared" si="0"/>
        <v/>
      </c>
      <c r="U17" s="1712" t="str">
        <f t="shared" si="1"/>
        <v/>
      </c>
      <c r="V17" s="1952"/>
    </row>
    <row r="18" spans="1:22" s="1942" customFormat="1" ht="12" customHeight="1" outlineLevel="3">
      <c r="A18" s="1944"/>
      <c r="B18" s="1978" t="s">
        <v>1484</v>
      </c>
      <c r="C18" s="1810"/>
      <c r="D18" s="1979" t="s">
        <v>1636</v>
      </c>
      <c r="E18" s="1980" t="s">
        <v>3365</v>
      </c>
      <c r="F18" s="1462" t="s">
        <v>3342</v>
      </c>
      <c r="G18" s="1953" t="s">
        <v>4116</v>
      </c>
      <c r="H18" s="1947" t="s">
        <v>10</v>
      </c>
      <c r="I18" s="1953">
        <f>$E$5</f>
        <v>0</v>
      </c>
      <c r="J18" s="2099">
        <v>7.0000000000000007E-2</v>
      </c>
      <c r="K18" s="1950" t="s">
        <v>103</v>
      </c>
      <c r="L18" s="1947" t="s">
        <v>4016</v>
      </c>
      <c r="M18" s="1754">
        <f t="shared" si="2"/>
        <v>0</v>
      </c>
      <c r="N18" s="1712">
        <v>1280</v>
      </c>
      <c r="O18" s="1712">
        <f t="shared" si="3"/>
        <v>0</v>
      </c>
      <c r="P18" s="1712">
        <f t="shared" si="4"/>
        <v>0</v>
      </c>
      <c r="Q18" s="1712">
        <f t="shared" si="5"/>
        <v>0</v>
      </c>
      <c r="R18" s="1757">
        <v>0.09</v>
      </c>
      <c r="S18" s="1712">
        <f>O18-Q18</f>
        <v>0</v>
      </c>
      <c r="T18" s="1712" t="str">
        <f t="shared" si="0"/>
        <v/>
      </c>
      <c r="U18" s="1712" t="str">
        <f t="shared" si="1"/>
        <v/>
      </c>
      <c r="V18" s="1952"/>
    </row>
    <row r="19" spans="1:22" s="1942" customFormat="1" ht="19.25" customHeight="1" outlineLevel="3">
      <c r="A19" s="1944"/>
      <c r="B19" s="1978" t="s">
        <v>1485</v>
      </c>
      <c r="C19" s="1810"/>
      <c r="D19" s="1979" t="s">
        <v>3366</v>
      </c>
      <c r="E19" s="1980" t="s">
        <v>3367</v>
      </c>
      <c r="F19" s="1981"/>
      <c r="G19" s="1953" t="s">
        <v>4117</v>
      </c>
      <c r="H19" s="1947"/>
      <c r="I19" s="1948"/>
      <c r="J19" s="2099"/>
      <c r="K19" s="1982" t="s">
        <v>101</v>
      </c>
      <c r="L19" s="1947" t="s">
        <v>4112</v>
      </c>
      <c r="M19" s="1754"/>
      <c r="N19" s="1712"/>
      <c r="O19" s="1712">
        <f>SUBTOTAL(9,O20:O21)</f>
        <v>0</v>
      </c>
      <c r="P19" s="1983"/>
      <c r="Q19" s="1712">
        <f>SUBTOTAL(9,Q20:Q21)</f>
        <v>0</v>
      </c>
      <c r="R19" s="1757"/>
      <c r="S19" s="1712">
        <f>SUBTOTAL(9,S20:S21)</f>
        <v>0</v>
      </c>
      <c r="T19" s="1712" t="str">
        <f t="shared" si="0"/>
        <v/>
      </c>
      <c r="U19" s="1712" t="str">
        <f t="shared" si="1"/>
        <v/>
      </c>
      <c r="V19" s="1952"/>
    </row>
    <row r="20" spans="1:22" s="1942" customFormat="1" ht="12" customHeight="1" outlineLevel="5">
      <c r="A20" s="1984"/>
      <c r="B20" s="1985" t="s">
        <v>4017</v>
      </c>
      <c r="C20" s="1828"/>
      <c r="D20" s="1986" t="s">
        <v>1487</v>
      </c>
      <c r="E20" s="1987"/>
      <c r="F20" s="1988" t="s">
        <v>3828</v>
      </c>
      <c r="G20" s="1989" t="s">
        <v>4118</v>
      </c>
      <c r="H20" s="1990" t="s">
        <v>10</v>
      </c>
      <c r="I20" s="1991">
        <f>$E$5</f>
        <v>0</v>
      </c>
      <c r="J20" s="2124">
        <v>0.28000000000000003</v>
      </c>
      <c r="K20" s="1992" t="s">
        <v>101</v>
      </c>
      <c r="L20" s="1990" t="s">
        <v>4018</v>
      </c>
      <c r="M20" s="1991">
        <f t="shared" si="2"/>
        <v>0</v>
      </c>
      <c r="N20" s="1991">
        <v>24</v>
      </c>
      <c r="O20" s="1991">
        <f t="shared" si="3"/>
        <v>0</v>
      </c>
      <c r="P20" s="1991">
        <f t="shared" si="4"/>
        <v>0</v>
      </c>
      <c r="Q20" s="1991">
        <f t="shared" si="5"/>
        <v>0</v>
      </c>
      <c r="R20" s="1993">
        <v>0.13</v>
      </c>
      <c r="S20" s="1991">
        <f>O20-Q20</f>
        <v>0</v>
      </c>
      <c r="T20" s="1991" t="str">
        <f t="shared" si="0"/>
        <v/>
      </c>
      <c r="U20" s="1991" t="str">
        <f t="shared" si="1"/>
        <v/>
      </c>
      <c r="V20" s="1994"/>
    </row>
    <row r="21" spans="1:22" s="1942" customFormat="1" ht="12" customHeight="1" outlineLevel="5">
      <c r="A21" s="1944"/>
      <c r="B21" s="1985" t="s">
        <v>4019</v>
      </c>
      <c r="C21" s="1828"/>
      <c r="D21" s="1986" t="s">
        <v>1639</v>
      </c>
      <c r="E21" s="1987"/>
      <c r="F21" s="1988" t="s">
        <v>3342</v>
      </c>
      <c r="G21" s="1989" t="s">
        <v>4116</v>
      </c>
      <c r="H21" s="1990" t="s">
        <v>10</v>
      </c>
      <c r="I21" s="1991">
        <f>$E$5</f>
        <v>0</v>
      </c>
      <c r="J21" s="2124">
        <v>0.6</v>
      </c>
      <c r="K21" s="1992" t="s">
        <v>101</v>
      </c>
      <c r="L21" s="1990" t="s">
        <v>4020</v>
      </c>
      <c r="M21" s="1991">
        <f t="shared" si="2"/>
        <v>0</v>
      </c>
      <c r="N21" s="1991">
        <v>35</v>
      </c>
      <c r="O21" s="1991">
        <f t="shared" si="3"/>
        <v>0</v>
      </c>
      <c r="P21" s="1991">
        <f t="shared" si="4"/>
        <v>0</v>
      </c>
      <c r="Q21" s="1991">
        <f t="shared" si="5"/>
        <v>0</v>
      </c>
      <c r="R21" s="1993">
        <v>0.09</v>
      </c>
      <c r="S21" s="1991">
        <f>O21-Q21</f>
        <v>0</v>
      </c>
      <c r="T21" s="1991" t="str">
        <f t="shared" si="0"/>
        <v/>
      </c>
      <c r="U21" s="1991" t="str">
        <f t="shared" si="1"/>
        <v/>
      </c>
      <c r="V21" s="1994"/>
    </row>
    <row r="22" spans="1:22" s="1942" customFormat="1" ht="12" customHeight="1" outlineLevel="3">
      <c r="A22" s="1944"/>
      <c r="B22" s="1978" t="s">
        <v>1486</v>
      </c>
      <c r="C22" s="1810"/>
      <c r="D22" s="1979" t="s">
        <v>3369</v>
      </c>
      <c r="E22" s="1980" t="s">
        <v>3370</v>
      </c>
      <c r="F22" s="1462" t="s">
        <v>1493</v>
      </c>
      <c r="G22" s="1953" t="s">
        <v>4119</v>
      </c>
      <c r="H22" s="1947" t="s">
        <v>10</v>
      </c>
      <c r="I22" s="1948">
        <f>$E$5</f>
        <v>0</v>
      </c>
      <c r="J22" s="2147">
        <v>1.35</v>
      </c>
      <c r="K22" s="1950" t="s">
        <v>101</v>
      </c>
      <c r="L22" s="1947" t="s">
        <v>4021</v>
      </c>
      <c r="M22" s="1754">
        <f t="shared" si="2"/>
        <v>0</v>
      </c>
      <c r="N22" s="1756">
        <v>130</v>
      </c>
      <c r="O22" s="1712">
        <f t="shared" si="3"/>
        <v>0</v>
      </c>
      <c r="P22" s="1712">
        <f t="shared" si="4"/>
        <v>0</v>
      </c>
      <c r="Q22" s="1712">
        <f t="shared" si="5"/>
        <v>0</v>
      </c>
      <c r="R22" s="1757">
        <v>0.09</v>
      </c>
      <c r="S22" s="1712">
        <f>O22-Q22</f>
        <v>0</v>
      </c>
      <c r="T22" s="1712" t="str">
        <f t="shared" si="0"/>
        <v/>
      </c>
      <c r="U22" s="1712" t="str">
        <f t="shared" si="1"/>
        <v/>
      </c>
      <c r="V22" s="1952"/>
    </row>
    <row r="23" spans="1:22" s="1942" customFormat="1" ht="12" customHeight="1" outlineLevel="3">
      <c r="A23" s="1944"/>
      <c r="B23" s="1978" t="s">
        <v>1640</v>
      </c>
      <c r="C23" s="1810"/>
      <c r="D23" s="1979" t="s">
        <v>386</v>
      </c>
      <c r="E23" s="1980"/>
      <c r="F23" s="1462"/>
      <c r="G23" s="1953" t="s">
        <v>4117</v>
      </c>
      <c r="H23" s="1947"/>
      <c r="I23" s="1948"/>
      <c r="J23" s="2099"/>
      <c r="K23" s="1950"/>
      <c r="L23" s="1947"/>
      <c r="M23" s="1754"/>
      <c r="N23" s="1712"/>
      <c r="O23" s="1712">
        <f>SUBTOTAL(9,O24:O32)</f>
        <v>0</v>
      </c>
      <c r="P23" s="1712"/>
      <c r="Q23" s="1712">
        <f>SUBTOTAL(9,Q24:Q32)</f>
        <v>0</v>
      </c>
      <c r="R23" s="1712"/>
      <c r="S23" s="1712">
        <f>SUBTOTAL(9,S24:S32)</f>
        <v>0</v>
      </c>
      <c r="T23" s="1712" t="str">
        <f t="shared" si="0"/>
        <v/>
      </c>
      <c r="U23" s="1712" t="str">
        <f t="shared" si="1"/>
        <v/>
      </c>
      <c r="V23" s="1952"/>
    </row>
    <row r="24" spans="1:22" s="1942" customFormat="1" ht="12" customHeight="1" outlineLevel="4">
      <c r="A24" s="1944"/>
      <c r="B24" s="1978" t="s">
        <v>1642</v>
      </c>
      <c r="C24" s="1810"/>
      <c r="D24" s="1995" t="s">
        <v>3371</v>
      </c>
      <c r="E24" s="1996" t="s">
        <v>3372</v>
      </c>
      <c r="F24" s="1462" t="s">
        <v>3342</v>
      </c>
      <c r="G24" s="1953" t="s">
        <v>4116</v>
      </c>
      <c r="H24" s="1947" t="s">
        <v>10</v>
      </c>
      <c r="I24" s="1712">
        <f>$E$5</f>
        <v>0</v>
      </c>
      <c r="J24" s="2099">
        <v>0.75</v>
      </c>
      <c r="K24" s="1950" t="s">
        <v>101</v>
      </c>
      <c r="L24" s="1947" t="s">
        <v>4022</v>
      </c>
      <c r="M24" s="1754">
        <f t="shared" si="2"/>
        <v>0</v>
      </c>
      <c r="N24" s="1712">
        <v>67.209999999999994</v>
      </c>
      <c r="O24" s="1712">
        <f>ROUND(M24*ROUND(N24,2)/10000,6)</f>
        <v>0</v>
      </c>
      <c r="P24" s="1712">
        <f>IFERROR(ROUND(Q24*10000/M24,2),0)</f>
        <v>0</v>
      </c>
      <c r="Q24" s="1712">
        <f>ROUND(O24/(1+R24),6)</f>
        <v>0</v>
      </c>
      <c r="R24" s="1757">
        <v>0.09</v>
      </c>
      <c r="S24" s="1712">
        <f>O24-Q24</f>
        <v>0</v>
      </c>
      <c r="T24" s="1712" t="str">
        <f t="shared" si="0"/>
        <v/>
      </c>
      <c r="U24" s="1712" t="str">
        <f t="shared" si="1"/>
        <v/>
      </c>
      <c r="V24" s="1952"/>
    </row>
    <row r="25" spans="1:22" s="1942" customFormat="1" ht="12" customHeight="1" outlineLevel="4">
      <c r="A25" s="1944"/>
      <c r="B25" s="1978" t="s">
        <v>1490</v>
      </c>
      <c r="C25" s="1810"/>
      <c r="D25" s="1995" t="s">
        <v>3373</v>
      </c>
      <c r="E25" s="1996" t="s">
        <v>3374</v>
      </c>
      <c r="F25" s="1462"/>
      <c r="G25" s="1953" t="s">
        <v>4117</v>
      </c>
      <c r="H25" s="1947"/>
      <c r="I25" s="1948"/>
      <c r="J25" s="2099"/>
      <c r="K25" s="1950" t="s">
        <v>101</v>
      </c>
      <c r="L25" s="1947" t="s">
        <v>4023</v>
      </c>
      <c r="M25" s="1754"/>
      <c r="N25" s="1712"/>
      <c r="O25" s="1712">
        <f>SUBTOTAL(9,O26:O27)</f>
        <v>0</v>
      </c>
      <c r="P25" s="1983"/>
      <c r="Q25" s="1712">
        <f>SUBTOTAL(9,Q26:Q27)</f>
        <v>0</v>
      </c>
      <c r="R25" s="1757"/>
      <c r="S25" s="1712">
        <f>SUBTOTAL(9,S26:S27)</f>
        <v>0</v>
      </c>
      <c r="T25" s="1712" t="str">
        <f t="shared" si="0"/>
        <v/>
      </c>
      <c r="U25" s="1712" t="str">
        <f t="shared" si="1"/>
        <v/>
      </c>
      <c r="V25" s="1952"/>
    </row>
    <row r="26" spans="1:22" s="1942" customFormat="1" ht="12" customHeight="1" outlineLevel="5">
      <c r="A26" s="1944"/>
      <c r="B26" s="1985" t="s">
        <v>4024</v>
      </c>
      <c r="C26" s="1828"/>
      <c r="D26" s="1998" t="s">
        <v>4025</v>
      </c>
      <c r="E26" s="1999"/>
      <c r="F26" s="1988" t="s">
        <v>3342</v>
      </c>
      <c r="G26" s="1989" t="s">
        <v>4116</v>
      </c>
      <c r="H26" s="1990" t="s">
        <v>10</v>
      </c>
      <c r="I26" s="1991">
        <f>$E$5</f>
        <v>0</v>
      </c>
      <c r="J26" s="2124">
        <v>2.33</v>
      </c>
      <c r="K26" s="1991"/>
      <c r="L26" s="1991" t="s">
        <v>4026</v>
      </c>
      <c r="M26" s="1991">
        <f t="shared" si="2"/>
        <v>0</v>
      </c>
      <c r="N26" s="2127">
        <v>45.35</v>
      </c>
      <c r="O26" s="1991">
        <f t="shared" ref="O26:O32" si="6">ROUND(M26*ROUND(N26,2)/10000,6)</f>
        <v>0</v>
      </c>
      <c r="P26" s="1991">
        <f t="shared" ref="P26:P32" si="7">IFERROR(ROUND(Q26*10000/M26,2),0)</f>
        <v>0</v>
      </c>
      <c r="Q26" s="1991">
        <f t="shared" ref="Q26:Q32" si="8">ROUND(O26/(1+R26),6)</f>
        <v>0</v>
      </c>
      <c r="R26" s="1993">
        <v>0.09</v>
      </c>
      <c r="S26" s="1991">
        <f t="shared" ref="S26:S32" si="9">O26-Q26</f>
        <v>0</v>
      </c>
      <c r="T26" s="1991" t="str">
        <f t="shared" si="0"/>
        <v/>
      </c>
      <c r="U26" s="1991" t="str">
        <f t="shared" si="1"/>
        <v/>
      </c>
      <c r="V26" s="1994"/>
    </row>
    <row r="27" spans="1:22" s="1942" customFormat="1" ht="12" customHeight="1" outlineLevel="5">
      <c r="A27" s="1944"/>
      <c r="B27" s="1985" t="s">
        <v>4027</v>
      </c>
      <c r="C27" s="1828"/>
      <c r="D27" s="1998" t="s">
        <v>4028</v>
      </c>
      <c r="E27" s="1999"/>
      <c r="F27" s="1988" t="s">
        <v>3829</v>
      </c>
      <c r="G27" s="1989" t="s">
        <v>4120</v>
      </c>
      <c r="H27" s="1990" t="s">
        <v>10</v>
      </c>
      <c r="I27" s="1991">
        <f>$E$5</f>
        <v>0</v>
      </c>
      <c r="J27" s="2124">
        <v>2.33</v>
      </c>
      <c r="K27" s="1991"/>
      <c r="L27" s="1991" t="s">
        <v>4029</v>
      </c>
      <c r="M27" s="1991">
        <f t="shared" si="2"/>
        <v>0</v>
      </c>
      <c r="N27" s="1991">
        <v>15</v>
      </c>
      <c r="O27" s="1991">
        <f t="shared" si="6"/>
        <v>0</v>
      </c>
      <c r="P27" s="1991">
        <f t="shared" si="7"/>
        <v>0</v>
      </c>
      <c r="Q27" s="1991">
        <f t="shared" si="8"/>
        <v>0</v>
      </c>
      <c r="R27" s="1993">
        <v>0.13</v>
      </c>
      <c r="S27" s="1991">
        <f t="shared" si="9"/>
        <v>0</v>
      </c>
      <c r="T27" s="1991" t="str">
        <f t="shared" si="0"/>
        <v/>
      </c>
      <c r="U27" s="1991" t="str">
        <f t="shared" si="1"/>
        <v/>
      </c>
      <c r="V27" s="1994"/>
    </row>
    <row r="28" spans="1:22" s="1942" customFormat="1" ht="12" customHeight="1" outlineLevel="4">
      <c r="A28" s="1944"/>
      <c r="B28" s="1978" t="s">
        <v>1491</v>
      </c>
      <c r="C28" s="1810"/>
      <c r="D28" s="1995" t="s">
        <v>3375</v>
      </c>
      <c r="E28" s="1996" t="s">
        <v>3376</v>
      </c>
      <c r="F28" s="1462" t="s">
        <v>3342</v>
      </c>
      <c r="G28" s="1953" t="s">
        <v>4116</v>
      </c>
      <c r="H28" s="1947" t="s">
        <v>10</v>
      </c>
      <c r="I28" s="1712">
        <f t="shared" ref="I28:I44" si="10">$E$5</f>
        <v>0</v>
      </c>
      <c r="J28" s="2099">
        <v>0.72450000000000003</v>
      </c>
      <c r="K28" s="1712" t="s">
        <v>101</v>
      </c>
      <c r="L28" s="1712" t="s">
        <v>4030</v>
      </c>
      <c r="M28" s="1712">
        <f t="shared" si="2"/>
        <v>0</v>
      </c>
      <c r="N28" s="1712">
        <v>37.32</v>
      </c>
      <c r="O28" s="1712">
        <f t="shared" si="6"/>
        <v>0</v>
      </c>
      <c r="P28" s="1712">
        <f t="shared" si="7"/>
        <v>0</v>
      </c>
      <c r="Q28" s="1712">
        <f t="shared" si="8"/>
        <v>0</v>
      </c>
      <c r="R28" s="1757">
        <v>0.09</v>
      </c>
      <c r="S28" s="1712">
        <f t="shared" si="9"/>
        <v>0</v>
      </c>
      <c r="T28" s="1712" t="str">
        <f t="shared" si="0"/>
        <v/>
      </c>
      <c r="U28" s="1712" t="str">
        <f t="shared" si="1"/>
        <v/>
      </c>
      <c r="V28" s="1952"/>
    </row>
    <row r="29" spans="1:22" s="1942" customFormat="1" ht="12" customHeight="1" outlineLevel="4">
      <c r="A29" s="1944"/>
      <c r="B29" s="1978" t="s">
        <v>1492</v>
      </c>
      <c r="C29" s="1810"/>
      <c r="D29" s="1995" t="s">
        <v>3377</v>
      </c>
      <c r="E29" s="1996" t="s">
        <v>3378</v>
      </c>
      <c r="F29" s="1462" t="s">
        <v>3342</v>
      </c>
      <c r="G29" s="1953" t="s">
        <v>4116</v>
      </c>
      <c r="H29" s="1947" t="s">
        <v>10</v>
      </c>
      <c r="I29" s="1712">
        <f t="shared" si="10"/>
        <v>0</v>
      </c>
      <c r="J29" s="2099">
        <v>0.38</v>
      </c>
      <c r="K29" s="1712" t="s">
        <v>101</v>
      </c>
      <c r="L29" s="1712" t="s">
        <v>4031</v>
      </c>
      <c r="M29" s="1712">
        <f t="shared" si="2"/>
        <v>0</v>
      </c>
      <c r="N29" s="1712">
        <v>20.55</v>
      </c>
      <c r="O29" s="1712">
        <f t="shared" si="6"/>
        <v>0</v>
      </c>
      <c r="P29" s="1712">
        <f t="shared" si="7"/>
        <v>0</v>
      </c>
      <c r="Q29" s="1712">
        <f t="shared" si="8"/>
        <v>0</v>
      </c>
      <c r="R29" s="1757">
        <v>0.09</v>
      </c>
      <c r="S29" s="1712">
        <f t="shared" si="9"/>
        <v>0</v>
      </c>
      <c r="T29" s="1712" t="str">
        <f t="shared" si="0"/>
        <v/>
      </c>
      <c r="U29" s="1712" t="str">
        <f t="shared" si="1"/>
        <v/>
      </c>
      <c r="V29" s="1952"/>
    </row>
    <row r="30" spans="1:22" s="1942" customFormat="1" ht="12" customHeight="1" outlineLevel="4">
      <c r="A30" s="1944"/>
      <c r="B30" s="1978" t="s">
        <v>3379</v>
      </c>
      <c r="C30" s="1810"/>
      <c r="D30" s="1995" t="s">
        <v>3380</v>
      </c>
      <c r="E30" s="1996" t="s">
        <v>3381</v>
      </c>
      <c r="F30" s="1462" t="s">
        <v>3342</v>
      </c>
      <c r="G30" s="1953" t="s">
        <v>4116</v>
      </c>
      <c r="H30" s="1947" t="s">
        <v>9</v>
      </c>
      <c r="I30" s="1712">
        <f>$E$4</f>
        <v>0</v>
      </c>
      <c r="J30" s="2099">
        <v>1.0900000000000001</v>
      </c>
      <c r="K30" s="1712" t="s">
        <v>101</v>
      </c>
      <c r="L30" s="1712" t="s">
        <v>4032</v>
      </c>
      <c r="M30" s="1712">
        <f t="shared" si="2"/>
        <v>0</v>
      </c>
      <c r="N30" s="1712">
        <v>233.84</v>
      </c>
      <c r="O30" s="1712">
        <f t="shared" si="6"/>
        <v>0</v>
      </c>
      <c r="P30" s="1712">
        <f t="shared" si="7"/>
        <v>0</v>
      </c>
      <c r="Q30" s="1712">
        <f t="shared" si="8"/>
        <v>0</v>
      </c>
      <c r="R30" s="1757">
        <v>0.09</v>
      </c>
      <c r="S30" s="1712">
        <f t="shared" si="9"/>
        <v>0</v>
      </c>
      <c r="T30" s="1712" t="str">
        <f t="shared" si="0"/>
        <v/>
      </c>
      <c r="U30" s="1712" t="str">
        <f t="shared" si="1"/>
        <v/>
      </c>
      <c r="V30" s="1952"/>
    </row>
    <row r="31" spans="1:22" s="1942" customFormat="1" ht="12" customHeight="1" outlineLevel="4">
      <c r="A31" s="1944"/>
      <c r="B31" s="1978" t="s">
        <v>3382</v>
      </c>
      <c r="C31" s="1810"/>
      <c r="D31" s="1995" t="s">
        <v>3383</v>
      </c>
      <c r="E31" s="1996" t="s">
        <v>3384</v>
      </c>
      <c r="F31" s="1462" t="s">
        <v>3342</v>
      </c>
      <c r="G31" s="1953" t="s">
        <v>4116</v>
      </c>
      <c r="H31" s="1975" t="s">
        <v>3849</v>
      </c>
      <c r="I31" s="1712"/>
      <c r="J31" s="2099"/>
      <c r="K31" s="1950" t="s">
        <v>101</v>
      </c>
      <c r="L31" s="1947" t="s">
        <v>4033</v>
      </c>
      <c r="M31" s="1754">
        <f t="shared" si="2"/>
        <v>0</v>
      </c>
      <c r="N31" s="1712"/>
      <c r="O31" s="1712">
        <f t="shared" si="6"/>
        <v>0</v>
      </c>
      <c r="P31" s="1712">
        <f t="shared" si="7"/>
        <v>0</v>
      </c>
      <c r="Q31" s="1712">
        <f t="shared" si="8"/>
        <v>0</v>
      </c>
      <c r="R31" s="1757">
        <v>0.09</v>
      </c>
      <c r="S31" s="1712">
        <f t="shared" si="9"/>
        <v>0</v>
      </c>
      <c r="T31" s="1712" t="str">
        <f t="shared" si="0"/>
        <v/>
      </c>
      <c r="U31" s="1712" t="str">
        <f t="shared" si="1"/>
        <v/>
      </c>
      <c r="V31" s="1952"/>
    </row>
    <row r="32" spans="1:22" s="1942" customFormat="1" ht="12" customHeight="1" outlineLevel="4">
      <c r="A32" s="1944"/>
      <c r="B32" s="1978" t="s">
        <v>3385</v>
      </c>
      <c r="C32" s="1810"/>
      <c r="D32" s="1995" t="s">
        <v>3386</v>
      </c>
      <c r="E32" s="1996" t="s">
        <v>3387</v>
      </c>
      <c r="F32" s="1462" t="s">
        <v>3342</v>
      </c>
      <c r="G32" s="1953" t="s">
        <v>4116</v>
      </c>
      <c r="H32" s="1975" t="s">
        <v>3849</v>
      </c>
      <c r="I32" s="1712"/>
      <c r="J32" s="2099"/>
      <c r="K32" s="1950" t="s">
        <v>101</v>
      </c>
      <c r="L32" s="1947" t="s">
        <v>4034</v>
      </c>
      <c r="M32" s="1754">
        <f t="shared" si="2"/>
        <v>0</v>
      </c>
      <c r="N32" s="1712"/>
      <c r="O32" s="1712">
        <f t="shared" si="6"/>
        <v>0</v>
      </c>
      <c r="P32" s="1712">
        <f t="shared" si="7"/>
        <v>0</v>
      </c>
      <c r="Q32" s="1712">
        <f t="shared" si="8"/>
        <v>0</v>
      </c>
      <c r="R32" s="1757">
        <v>0.09</v>
      </c>
      <c r="S32" s="1712">
        <f t="shared" si="9"/>
        <v>0</v>
      </c>
      <c r="T32" s="1712" t="str">
        <f t="shared" si="0"/>
        <v/>
      </c>
      <c r="U32" s="1712" t="str">
        <f t="shared" si="1"/>
        <v/>
      </c>
      <c r="V32" s="1952"/>
    </row>
    <row r="33" spans="1:22" s="1942" customFormat="1" ht="12" customHeight="1" outlineLevel="3">
      <c r="A33" s="1944"/>
      <c r="B33" s="1978" t="s">
        <v>1647</v>
      </c>
      <c r="C33" s="1810"/>
      <c r="D33" s="1995" t="s">
        <v>3388</v>
      </c>
      <c r="E33" s="1996"/>
      <c r="F33" s="1462"/>
      <c r="G33" s="1953" t="s">
        <v>4117</v>
      </c>
      <c r="H33" s="1947"/>
      <c r="I33" s="1948"/>
      <c r="J33" s="2099"/>
      <c r="K33" s="1950"/>
      <c r="L33" s="1947"/>
      <c r="M33" s="1754"/>
      <c r="N33" s="1712"/>
      <c r="O33" s="1712">
        <f>SUBTOTAL(9,O34:O38)</f>
        <v>0</v>
      </c>
      <c r="P33" s="2005"/>
      <c r="Q33" s="1712">
        <f>SUBTOTAL(9,Q34:Q38)</f>
        <v>0</v>
      </c>
      <c r="R33" s="2005"/>
      <c r="S33" s="1712">
        <f>SUBTOTAL(9,S34:S38)</f>
        <v>0</v>
      </c>
      <c r="T33" s="1712" t="str">
        <f t="shared" si="0"/>
        <v/>
      </c>
      <c r="U33" s="1712" t="str">
        <f t="shared" si="1"/>
        <v/>
      </c>
      <c r="V33" s="1952"/>
    </row>
    <row r="34" spans="1:22" s="1942" customFormat="1" ht="12" customHeight="1" outlineLevel="4">
      <c r="A34" s="1944" t="s">
        <v>4011</v>
      </c>
      <c r="B34" s="1978" t="s">
        <v>1649</v>
      </c>
      <c r="C34" s="1810"/>
      <c r="D34" s="1995" t="s">
        <v>1643</v>
      </c>
      <c r="E34" s="1996" t="s">
        <v>3389</v>
      </c>
      <c r="F34" s="1462" t="s">
        <v>3342</v>
      </c>
      <c r="G34" s="1953" t="s">
        <v>4116</v>
      </c>
      <c r="H34" s="1975" t="s">
        <v>10</v>
      </c>
      <c r="I34" s="1712">
        <f t="shared" si="10"/>
        <v>0</v>
      </c>
      <c r="J34" s="2099">
        <v>1</v>
      </c>
      <c r="K34" s="1950" t="s">
        <v>101</v>
      </c>
      <c r="L34" s="1947" t="s">
        <v>10</v>
      </c>
      <c r="M34" s="1754">
        <f t="shared" si="2"/>
        <v>0</v>
      </c>
      <c r="N34" s="2001">
        <v>64</v>
      </c>
      <c r="O34" s="1712">
        <f t="shared" ref="O34:O44" si="11">ROUND(M34*ROUND(N34,2)/10000,6)</f>
        <v>0</v>
      </c>
      <c r="P34" s="1712">
        <f t="shared" ref="P34:P44" si="12">IFERROR(ROUND(Q34*10000/M34,2),0)</f>
        <v>0</v>
      </c>
      <c r="Q34" s="1712">
        <f t="shared" ref="Q34:Q44" si="13">ROUND(O34/(1+R34),6)</f>
        <v>0</v>
      </c>
      <c r="R34" s="1757">
        <v>0.09</v>
      </c>
      <c r="S34" s="1712">
        <f t="shared" ref="S34:S44" si="14">O34-Q34</f>
        <v>0</v>
      </c>
      <c r="T34" s="1712" t="str">
        <f t="shared" si="0"/>
        <v/>
      </c>
      <c r="U34" s="1712" t="str">
        <f t="shared" si="1"/>
        <v/>
      </c>
      <c r="V34" s="1952"/>
    </row>
    <row r="35" spans="1:22" s="1942" customFormat="1" ht="12" customHeight="1" outlineLevel="4">
      <c r="A35" s="1944" t="s">
        <v>4011</v>
      </c>
      <c r="B35" s="1978" t="s">
        <v>1494</v>
      </c>
      <c r="C35" s="1810"/>
      <c r="D35" s="1995" t="s">
        <v>1644</v>
      </c>
      <c r="E35" s="1996" t="s">
        <v>3390</v>
      </c>
      <c r="F35" s="1462" t="s">
        <v>3342</v>
      </c>
      <c r="G35" s="1953" t="s">
        <v>4116</v>
      </c>
      <c r="H35" s="1975" t="s">
        <v>10</v>
      </c>
      <c r="I35" s="1712">
        <f t="shared" si="10"/>
        <v>0</v>
      </c>
      <c r="J35" s="2099">
        <v>1</v>
      </c>
      <c r="K35" s="1950" t="s">
        <v>101</v>
      </c>
      <c r="L35" s="1947" t="s">
        <v>10</v>
      </c>
      <c r="M35" s="1754">
        <f t="shared" si="2"/>
        <v>0</v>
      </c>
      <c r="N35" s="2001">
        <v>100</v>
      </c>
      <c r="O35" s="1712">
        <f t="shared" si="11"/>
        <v>0</v>
      </c>
      <c r="P35" s="1712">
        <f t="shared" si="12"/>
        <v>0</v>
      </c>
      <c r="Q35" s="1712">
        <f t="shared" si="13"/>
        <v>0</v>
      </c>
      <c r="R35" s="1757">
        <v>0.09</v>
      </c>
      <c r="S35" s="1712">
        <f t="shared" si="14"/>
        <v>0</v>
      </c>
      <c r="T35" s="1712" t="str">
        <f t="shared" si="0"/>
        <v/>
      </c>
      <c r="U35" s="1712" t="str">
        <f t="shared" si="1"/>
        <v/>
      </c>
      <c r="V35" s="1952"/>
    </row>
    <row r="36" spans="1:22" s="1942" customFormat="1" ht="12" customHeight="1" outlineLevel="4">
      <c r="A36" s="1944"/>
      <c r="B36" s="1978" t="s">
        <v>1495</v>
      </c>
      <c r="C36" s="1810"/>
      <c r="D36" s="1995" t="s">
        <v>1645</v>
      </c>
      <c r="E36" s="1996" t="s">
        <v>3391</v>
      </c>
      <c r="F36" s="1462" t="s">
        <v>3342</v>
      </c>
      <c r="G36" s="1953" t="s">
        <v>4116</v>
      </c>
      <c r="H36" s="1975" t="s">
        <v>10</v>
      </c>
      <c r="I36" s="1712">
        <f t="shared" si="10"/>
        <v>0</v>
      </c>
      <c r="J36" s="2099">
        <v>1</v>
      </c>
      <c r="K36" s="1950" t="s">
        <v>101</v>
      </c>
      <c r="L36" s="1947" t="s">
        <v>10</v>
      </c>
      <c r="M36" s="1754">
        <f t="shared" si="2"/>
        <v>0</v>
      </c>
      <c r="N36" s="1756">
        <v>1</v>
      </c>
      <c r="O36" s="1712">
        <f t="shared" si="11"/>
        <v>0</v>
      </c>
      <c r="P36" s="1712">
        <f t="shared" si="12"/>
        <v>0</v>
      </c>
      <c r="Q36" s="1712">
        <f t="shared" si="13"/>
        <v>0</v>
      </c>
      <c r="R36" s="1757">
        <v>0.09</v>
      </c>
      <c r="S36" s="1712">
        <f t="shared" si="14"/>
        <v>0</v>
      </c>
      <c r="T36" s="1712" t="str">
        <f t="shared" si="0"/>
        <v/>
      </c>
      <c r="U36" s="1712" t="str">
        <f t="shared" si="1"/>
        <v/>
      </c>
      <c r="V36" s="1952"/>
    </row>
    <row r="37" spans="1:22" s="1942" customFormat="1" ht="12" customHeight="1" outlineLevel="4">
      <c r="A37" s="1944"/>
      <c r="B37" s="1978" t="s">
        <v>3392</v>
      </c>
      <c r="C37" s="1810"/>
      <c r="D37" s="1995" t="s">
        <v>1646</v>
      </c>
      <c r="E37" s="1996" t="s">
        <v>3393</v>
      </c>
      <c r="F37" s="1462" t="s">
        <v>3342</v>
      </c>
      <c r="G37" s="1953" t="s">
        <v>4116</v>
      </c>
      <c r="H37" s="1975" t="s">
        <v>10</v>
      </c>
      <c r="I37" s="1712">
        <f t="shared" si="10"/>
        <v>0</v>
      </c>
      <c r="J37" s="2099">
        <v>1</v>
      </c>
      <c r="K37" s="1950" t="s">
        <v>101</v>
      </c>
      <c r="L37" s="1947" t="s">
        <v>10</v>
      </c>
      <c r="M37" s="1754">
        <f t="shared" si="2"/>
        <v>0</v>
      </c>
      <c r="N37" s="1756">
        <v>61</v>
      </c>
      <c r="O37" s="1712">
        <f t="shared" si="11"/>
        <v>0</v>
      </c>
      <c r="P37" s="1712">
        <f t="shared" si="12"/>
        <v>0</v>
      </c>
      <c r="Q37" s="1712">
        <f t="shared" si="13"/>
        <v>0</v>
      </c>
      <c r="R37" s="1757">
        <v>0.09</v>
      </c>
      <c r="S37" s="1712">
        <f t="shared" si="14"/>
        <v>0</v>
      </c>
      <c r="T37" s="1712" t="str">
        <f t="shared" si="0"/>
        <v/>
      </c>
      <c r="U37" s="1712" t="str">
        <f t="shared" si="1"/>
        <v/>
      </c>
      <c r="V37" s="1952"/>
    </row>
    <row r="38" spans="1:22" s="1942" customFormat="1" ht="12" customHeight="1" outlineLevel="4">
      <c r="A38" s="1944"/>
      <c r="B38" s="1978" t="s">
        <v>3394</v>
      </c>
      <c r="C38" s="1810"/>
      <c r="D38" s="1995" t="s">
        <v>3395</v>
      </c>
      <c r="E38" s="1996" t="s">
        <v>3396</v>
      </c>
      <c r="F38" s="1462" t="s">
        <v>3342</v>
      </c>
      <c r="G38" s="1953" t="s">
        <v>4116</v>
      </c>
      <c r="H38" s="1975" t="s">
        <v>10</v>
      </c>
      <c r="I38" s="1712">
        <f t="shared" si="10"/>
        <v>0</v>
      </c>
      <c r="J38" s="2099">
        <v>1</v>
      </c>
      <c r="K38" s="1950" t="s">
        <v>101</v>
      </c>
      <c r="L38" s="1947" t="s">
        <v>10</v>
      </c>
      <c r="M38" s="1754">
        <f t="shared" si="2"/>
        <v>0</v>
      </c>
      <c r="N38" s="1756">
        <v>30</v>
      </c>
      <c r="O38" s="1712">
        <f t="shared" si="11"/>
        <v>0</v>
      </c>
      <c r="P38" s="1712">
        <f t="shared" si="12"/>
        <v>0</v>
      </c>
      <c r="Q38" s="1712">
        <f t="shared" si="13"/>
        <v>0</v>
      </c>
      <c r="R38" s="1757">
        <v>0.09</v>
      </c>
      <c r="S38" s="1712">
        <f t="shared" si="14"/>
        <v>0</v>
      </c>
      <c r="T38" s="1712" t="str">
        <f t="shared" si="0"/>
        <v/>
      </c>
      <c r="U38" s="1712" t="str">
        <f t="shared" si="1"/>
        <v/>
      </c>
      <c r="V38" s="1952"/>
    </row>
    <row r="39" spans="1:22" s="1942" customFormat="1" ht="12" customHeight="1" outlineLevel="3">
      <c r="A39" s="1944"/>
      <c r="B39" s="1978" t="s">
        <v>1653</v>
      </c>
      <c r="C39" s="1810"/>
      <c r="D39" s="1995" t="s">
        <v>3397</v>
      </c>
      <c r="E39" s="1996" t="s">
        <v>3398</v>
      </c>
      <c r="F39" s="1462" t="s">
        <v>3342</v>
      </c>
      <c r="G39" s="1953" t="s">
        <v>4116</v>
      </c>
      <c r="H39" s="1947" t="s">
        <v>10</v>
      </c>
      <c r="I39" s="1712">
        <f t="shared" si="10"/>
        <v>0</v>
      </c>
      <c r="J39" s="2099">
        <v>1</v>
      </c>
      <c r="K39" s="1950" t="s">
        <v>101</v>
      </c>
      <c r="L39" s="1947" t="s">
        <v>4035</v>
      </c>
      <c r="M39" s="1754">
        <f t="shared" si="2"/>
        <v>0</v>
      </c>
      <c r="N39" s="1712">
        <v>0</v>
      </c>
      <c r="O39" s="1712">
        <f t="shared" si="11"/>
        <v>0</v>
      </c>
      <c r="P39" s="1712">
        <f t="shared" si="12"/>
        <v>0</v>
      </c>
      <c r="Q39" s="1712">
        <f t="shared" si="13"/>
        <v>0</v>
      </c>
      <c r="R39" s="1757">
        <v>0.09</v>
      </c>
      <c r="S39" s="1712">
        <f t="shared" si="14"/>
        <v>0</v>
      </c>
      <c r="T39" s="1712" t="str">
        <f t="shared" si="0"/>
        <v/>
      </c>
      <c r="U39" s="1712" t="str">
        <f t="shared" si="1"/>
        <v/>
      </c>
      <c r="V39" s="1952"/>
    </row>
    <row r="40" spans="1:22" s="1942" customFormat="1" ht="12" customHeight="1" outlineLevel="3">
      <c r="A40" s="1944"/>
      <c r="B40" s="1978" t="s">
        <v>1655</v>
      </c>
      <c r="C40" s="1810"/>
      <c r="D40" s="1995" t="s">
        <v>1656</v>
      </c>
      <c r="E40" s="1996" t="s">
        <v>3399</v>
      </c>
      <c r="F40" s="1462" t="s">
        <v>1606</v>
      </c>
      <c r="G40" s="1953" t="s">
        <v>4121</v>
      </c>
      <c r="H40" s="1947" t="s">
        <v>10</v>
      </c>
      <c r="I40" s="1712">
        <f t="shared" si="10"/>
        <v>0</v>
      </c>
      <c r="J40" s="2099"/>
      <c r="K40" s="1950" t="s">
        <v>101</v>
      </c>
      <c r="L40" s="1947" t="s">
        <v>10</v>
      </c>
      <c r="M40" s="1754">
        <f t="shared" si="2"/>
        <v>0</v>
      </c>
      <c r="N40" s="1712"/>
      <c r="O40" s="1712">
        <f t="shared" si="11"/>
        <v>0</v>
      </c>
      <c r="P40" s="1712">
        <f t="shared" si="12"/>
        <v>0</v>
      </c>
      <c r="Q40" s="1712">
        <f t="shared" si="13"/>
        <v>0</v>
      </c>
      <c r="R40" s="1757">
        <v>0.09</v>
      </c>
      <c r="S40" s="1712">
        <f t="shared" si="14"/>
        <v>0</v>
      </c>
      <c r="T40" s="1712" t="str">
        <f t="shared" si="0"/>
        <v/>
      </c>
      <c r="U40" s="1712" t="str">
        <f t="shared" si="1"/>
        <v/>
      </c>
      <c r="V40" s="1952"/>
    </row>
    <row r="41" spans="1:22" s="1942" customFormat="1" ht="12" customHeight="1" outlineLevel="3">
      <c r="A41" s="1944"/>
      <c r="B41" s="1978" t="s">
        <v>1657</v>
      </c>
      <c r="C41" s="1810"/>
      <c r="D41" s="1995" t="s">
        <v>3400</v>
      </c>
      <c r="E41" s="1996" t="s">
        <v>3401</v>
      </c>
      <c r="F41" s="1462" t="s">
        <v>3402</v>
      </c>
      <c r="G41" s="1953" t="s">
        <v>4122</v>
      </c>
      <c r="H41" s="1975" t="s">
        <v>10</v>
      </c>
      <c r="I41" s="1712">
        <f t="shared" si="10"/>
        <v>0</v>
      </c>
      <c r="J41" s="2099"/>
      <c r="K41" s="1950" t="s">
        <v>101</v>
      </c>
      <c r="L41" s="1947" t="s">
        <v>10</v>
      </c>
      <c r="M41" s="1754">
        <f t="shared" si="2"/>
        <v>0</v>
      </c>
      <c r="N41" s="1712"/>
      <c r="O41" s="1712">
        <f t="shared" si="11"/>
        <v>0</v>
      </c>
      <c r="P41" s="1712">
        <f t="shared" si="12"/>
        <v>0</v>
      </c>
      <c r="Q41" s="1712">
        <f t="shared" si="13"/>
        <v>0</v>
      </c>
      <c r="R41" s="1757">
        <v>0.09</v>
      </c>
      <c r="S41" s="1712">
        <f t="shared" si="14"/>
        <v>0</v>
      </c>
      <c r="T41" s="1712" t="str">
        <f t="shared" si="0"/>
        <v/>
      </c>
      <c r="U41" s="1712" t="str">
        <f t="shared" si="1"/>
        <v/>
      </c>
      <c r="V41" s="1952"/>
    </row>
    <row r="42" spans="1:22" s="1942" customFormat="1" ht="12" customHeight="1" outlineLevel="3">
      <c r="A42" s="1944"/>
      <c r="B42" s="1978" t="s">
        <v>1659</v>
      </c>
      <c r="C42" s="1810"/>
      <c r="D42" s="1995" t="s">
        <v>3403</v>
      </c>
      <c r="E42" s="1996" t="s">
        <v>3404</v>
      </c>
      <c r="F42" s="1462" t="s">
        <v>3342</v>
      </c>
      <c r="G42" s="1953" t="s">
        <v>4116</v>
      </c>
      <c r="H42" s="1975" t="s">
        <v>10</v>
      </c>
      <c r="I42" s="1712">
        <f t="shared" si="10"/>
        <v>0</v>
      </c>
      <c r="J42" s="2099">
        <v>1</v>
      </c>
      <c r="K42" s="1950" t="s">
        <v>101</v>
      </c>
      <c r="L42" s="1947" t="s">
        <v>10</v>
      </c>
      <c r="M42" s="1754">
        <f t="shared" si="2"/>
        <v>0</v>
      </c>
      <c r="N42" s="1712">
        <v>65</v>
      </c>
      <c r="O42" s="1712">
        <f t="shared" si="11"/>
        <v>0</v>
      </c>
      <c r="P42" s="1712">
        <f t="shared" si="12"/>
        <v>0</v>
      </c>
      <c r="Q42" s="1712">
        <f t="shared" si="13"/>
        <v>0</v>
      </c>
      <c r="R42" s="1757">
        <v>0.09</v>
      </c>
      <c r="S42" s="1712">
        <f t="shared" si="14"/>
        <v>0</v>
      </c>
      <c r="T42" s="1712" t="str">
        <f t="shared" si="0"/>
        <v/>
      </c>
      <c r="U42" s="1712" t="str">
        <f t="shared" si="1"/>
        <v/>
      </c>
      <c r="V42" s="1952"/>
    </row>
    <row r="43" spans="1:22" s="1942" customFormat="1" ht="12" customHeight="1" outlineLevel="3">
      <c r="A43" s="1944"/>
      <c r="B43" s="1978" t="s">
        <v>1497</v>
      </c>
      <c r="C43" s="1810"/>
      <c r="D43" s="1995" t="s">
        <v>3405</v>
      </c>
      <c r="E43" s="1996"/>
      <c r="F43" s="1462" t="s">
        <v>1424</v>
      </c>
      <c r="G43" s="1953" t="s">
        <v>4123</v>
      </c>
      <c r="H43" s="1975" t="s">
        <v>10</v>
      </c>
      <c r="I43" s="1712">
        <f t="shared" si="10"/>
        <v>0</v>
      </c>
      <c r="J43" s="2099"/>
      <c r="K43" s="1950" t="s">
        <v>101</v>
      </c>
      <c r="L43" s="1947" t="s">
        <v>10</v>
      </c>
      <c r="M43" s="1754">
        <f t="shared" si="2"/>
        <v>0</v>
      </c>
      <c r="N43" s="1712"/>
      <c r="O43" s="1712">
        <f t="shared" si="11"/>
        <v>0</v>
      </c>
      <c r="P43" s="1712">
        <f t="shared" si="12"/>
        <v>0</v>
      </c>
      <c r="Q43" s="1712">
        <f t="shared" si="13"/>
        <v>0</v>
      </c>
      <c r="R43" s="1757">
        <v>0.06</v>
      </c>
      <c r="S43" s="1712">
        <f t="shared" si="14"/>
        <v>0</v>
      </c>
      <c r="T43" s="1712" t="str">
        <f t="shared" si="0"/>
        <v/>
      </c>
      <c r="U43" s="1712" t="str">
        <f t="shared" si="1"/>
        <v/>
      </c>
      <c r="V43" s="1952"/>
    </row>
    <row r="44" spans="1:22" s="1942" customFormat="1" ht="13" outlineLevel="2">
      <c r="A44" s="1944"/>
      <c r="B44" s="1820" t="s">
        <v>3406</v>
      </c>
      <c r="C44" s="1810"/>
      <c r="D44" s="1995" t="s">
        <v>3407</v>
      </c>
      <c r="E44" s="1996" t="s">
        <v>3408</v>
      </c>
      <c r="F44" s="1462" t="s">
        <v>3342</v>
      </c>
      <c r="G44" s="1953" t="s">
        <v>4116</v>
      </c>
      <c r="H44" s="1975" t="s">
        <v>10</v>
      </c>
      <c r="I44" s="1712">
        <f t="shared" si="10"/>
        <v>0</v>
      </c>
      <c r="J44" s="2099"/>
      <c r="K44" s="1950" t="s">
        <v>101</v>
      </c>
      <c r="L44" s="1947" t="s">
        <v>10</v>
      </c>
      <c r="M44" s="1754">
        <f t="shared" si="2"/>
        <v>0</v>
      </c>
      <c r="N44" s="1712"/>
      <c r="O44" s="1712">
        <f t="shared" si="11"/>
        <v>0</v>
      </c>
      <c r="P44" s="1712">
        <f t="shared" si="12"/>
        <v>0</v>
      </c>
      <c r="Q44" s="1712">
        <f t="shared" si="13"/>
        <v>0</v>
      </c>
      <c r="R44" s="1757">
        <v>0.09</v>
      </c>
      <c r="S44" s="1712">
        <f t="shared" si="14"/>
        <v>0</v>
      </c>
      <c r="T44" s="1712" t="str">
        <f t="shared" si="0"/>
        <v/>
      </c>
      <c r="U44" s="1712" t="str">
        <f t="shared" si="1"/>
        <v/>
      </c>
      <c r="V44" s="1952"/>
    </row>
    <row r="45" spans="1:22" outlineLevel="1">
      <c r="A45" s="1898"/>
      <c r="B45" s="1965" t="s">
        <v>490</v>
      </c>
      <c r="C45" s="1852">
        <v>2</v>
      </c>
      <c r="D45" s="1966" t="s">
        <v>491</v>
      </c>
      <c r="E45" s="1967"/>
      <c r="F45" s="1968"/>
      <c r="G45" s="2007" t="s">
        <v>4117</v>
      </c>
      <c r="H45" s="1967"/>
      <c r="I45" s="1969"/>
      <c r="J45" s="2116"/>
      <c r="K45" s="1971"/>
      <c r="L45" s="1967"/>
      <c r="M45" s="1972"/>
      <c r="N45" s="1973"/>
      <c r="O45" s="1973">
        <f>SUBTOTAL(9,O46:O99)</f>
        <v>0</v>
      </c>
      <c r="P45" s="1973"/>
      <c r="Q45" s="1973">
        <f>SUBTOTAL(9,Q46:Q99)</f>
        <v>0</v>
      </c>
      <c r="R45" s="1973"/>
      <c r="S45" s="1973">
        <f>SUBTOTAL(9,S46:S99)</f>
        <v>0</v>
      </c>
      <c r="T45" s="1973" t="str">
        <f t="shared" si="0"/>
        <v/>
      </c>
      <c r="U45" s="1973" t="str">
        <f t="shared" si="1"/>
        <v/>
      </c>
      <c r="V45" s="1974"/>
    </row>
    <row r="46" spans="1:22" s="1942" customFormat="1" ht="13" outlineLevel="2">
      <c r="A46" s="1944"/>
      <c r="B46" s="1820" t="s">
        <v>661</v>
      </c>
      <c r="C46" s="1808"/>
      <c r="D46" s="1945" t="s">
        <v>3409</v>
      </c>
      <c r="E46" s="1946"/>
      <c r="F46" s="1462"/>
      <c r="G46" s="1953" t="s">
        <v>4117</v>
      </c>
      <c r="H46" s="1947"/>
      <c r="I46" s="1948"/>
      <c r="J46" s="2099"/>
      <c r="K46" s="1950"/>
      <c r="L46" s="1947"/>
      <c r="M46" s="1754"/>
      <c r="N46" s="1712"/>
      <c r="O46" s="1712">
        <f>SUBTOTAL(9,O47:O55)</f>
        <v>0</v>
      </c>
      <c r="P46" s="1983"/>
      <c r="Q46" s="1712">
        <f>SUBTOTAL(9,Q47:Q55)</f>
        <v>0</v>
      </c>
      <c r="R46" s="1757"/>
      <c r="S46" s="1712">
        <f>SUBTOTAL(9,S47:S55)</f>
        <v>0</v>
      </c>
      <c r="T46" s="1712" t="str">
        <f t="shared" si="0"/>
        <v/>
      </c>
      <c r="U46" s="1712" t="str">
        <f t="shared" si="1"/>
        <v/>
      </c>
      <c r="V46" s="1952"/>
    </row>
    <row r="47" spans="1:22" s="1942" customFormat="1" ht="12" customHeight="1" outlineLevel="3">
      <c r="A47" s="1944"/>
      <c r="B47" s="1978" t="s">
        <v>662</v>
      </c>
      <c r="C47" s="1810"/>
      <c r="D47" s="1979" t="s">
        <v>3410</v>
      </c>
      <c r="E47" s="1980" t="s">
        <v>3411</v>
      </c>
      <c r="F47" s="1462" t="s">
        <v>3342</v>
      </c>
      <c r="G47" s="1953" t="s">
        <v>4116</v>
      </c>
      <c r="H47" s="1975" t="s">
        <v>10</v>
      </c>
      <c r="I47" s="1712">
        <f>$E$5</f>
        <v>0</v>
      </c>
      <c r="J47" s="2099">
        <v>1</v>
      </c>
      <c r="K47" s="1950" t="s">
        <v>101</v>
      </c>
      <c r="L47" s="1947" t="s">
        <v>10</v>
      </c>
      <c r="M47" s="1754">
        <f>ROUND(I47,2)*ROUND(J47,4)</f>
        <v>0</v>
      </c>
      <c r="N47" s="1712">
        <v>11.5</v>
      </c>
      <c r="O47" s="1712">
        <f>ROUND(M47*ROUND(N47,2)/10000,6)</f>
        <v>0</v>
      </c>
      <c r="P47" s="1712">
        <f>IFERROR(ROUND(Q47*10000/M47,2),0)</f>
        <v>0</v>
      </c>
      <c r="Q47" s="1712">
        <f>ROUND(O47/(1+R47),6)</f>
        <v>0</v>
      </c>
      <c r="R47" s="1757">
        <v>0.09</v>
      </c>
      <c r="S47" s="1712">
        <f>O47-Q47</f>
        <v>0</v>
      </c>
      <c r="T47" s="1712" t="str">
        <f t="shared" si="0"/>
        <v/>
      </c>
      <c r="U47" s="1712" t="str">
        <f t="shared" si="1"/>
        <v/>
      </c>
      <c r="V47" s="1952"/>
    </row>
    <row r="48" spans="1:22" s="1942" customFormat="1" ht="12" customHeight="1" outlineLevel="3">
      <c r="A48" s="1944"/>
      <c r="B48" s="1978" t="s">
        <v>664</v>
      </c>
      <c r="C48" s="1810"/>
      <c r="D48" s="2008" t="s">
        <v>3412</v>
      </c>
      <c r="E48" s="2009" t="s">
        <v>3413</v>
      </c>
      <c r="F48" s="1462" t="s">
        <v>3342</v>
      </c>
      <c r="G48" s="1953" t="s">
        <v>4116</v>
      </c>
      <c r="H48" s="1975" t="s">
        <v>10</v>
      </c>
      <c r="I48" s="1712">
        <f>$E$5</f>
        <v>0</v>
      </c>
      <c r="J48" s="2099">
        <v>1</v>
      </c>
      <c r="K48" s="1950" t="s">
        <v>101</v>
      </c>
      <c r="L48" s="1947" t="s">
        <v>10</v>
      </c>
      <c r="M48" s="1754">
        <f>ROUND(I48,2)*ROUND(J48,4)</f>
        <v>0</v>
      </c>
      <c r="N48" s="1712">
        <v>7.5</v>
      </c>
      <c r="O48" s="1712">
        <f>ROUND(M48*ROUND(N48,2)/10000,6)</f>
        <v>0</v>
      </c>
      <c r="P48" s="1712">
        <f>IFERROR(ROUND(Q48*10000/M48,2),0)</f>
        <v>0</v>
      </c>
      <c r="Q48" s="1712">
        <f>ROUND(O48/(1+R48),6)</f>
        <v>0</v>
      </c>
      <c r="R48" s="1757">
        <v>0.09</v>
      </c>
      <c r="S48" s="1712">
        <f>O48-Q48</f>
        <v>0</v>
      </c>
      <c r="T48" s="1712" t="str">
        <f t="shared" si="0"/>
        <v/>
      </c>
      <c r="U48" s="1712" t="str">
        <f t="shared" si="1"/>
        <v/>
      </c>
      <c r="V48" s="1952"/>
    </row>
    <row r="49" spans="1:22" s="1942" customFormat="1" ht="12" customHeight="1" outlineLevel="3">
      <c r="A49" s="1944"/>
      <c r="B49" s="1978" t="s">
        <v>665</v>
      </c>
      <c r="C49" s="1810"/>
      <c r="D49" s="2008" t="s">
        <v>3414</v>
      </c>
      <c r="E49" s="2009" t="s">
        <v>3415</v>
      </c>
      <c r="F49" s="1462"/>
      <c r="G49" s="1953" t="s">
        <v>4117</v>
      </c>
      <c r="H49" s="1975"/>
      <c r="I49" s="1948"/>
      <c r="J49" s="2099"/>
      <c r="K49" s="1950" t="s">
        <v>101</v>
      </c>
      <c r="L49" s="1947" t="s">
        <v>10</v>
      </c>
      <c r="M49" s="1754"/>
      <c r="N49" s="1712"/>
      <c r="O49" s="1712">
        <f>SUBTOTAL(9,O50:O51)</f>
        <v>0</v>
      </c>
      <c r="P49" s="1983"/>
      <c r="Q49" s="1712">
        <f>SUBTOTAL(9,Q50:Q51)</f>
        <v>0</v>
      </c>
      <c r="R49" s="1757"/>
      <c r="S49" s="1712">
        <f>SUBTOTAL(9,S50:S51)</f>
        <v>0</v>
      </c>
      <c r="T49" s="1712" t="str">
        <f t="shared" si="0"/>
        <v/>
      </c>
      <c r="U49" s="1712" t="str">
        <f t="shared" si="1"/>
        <v/>
      </c>
      <c r="V49" s="1952"/>
    </row>
    <row r="50" spans="1:22" s="1942" customFormat="1" ht="14.5" customHeight="1" outlineLevel="4">
      <c r="A50" s="1944"/>
      <c r="B50" s="1985" t="s">
        <v>1666</v>
      </c>
      <c r="C50" s="1828"/>
      <c r="D50" s="2010" t="s">
        <v>4036</v>
      </c>
      <c r="E50" s="2011"/>
      <c r="F50" s="1988" t="s">
        <v>3342</v>
      </c>
      <c r="G50" s="1989" t="s">
        <v>4116</v>
      </c>
      <c r="H50" s="2012" t="s">
        <v>10</v>
      </c>
      <c r="I50" s="1991">
        <f>$E$5</f>
        <v>0</v>
      </c>
      <c r="J50" s="2124">
        <v>1</v>
      </c>
      <c r="K50" s="2000" t="s">
        <v>101</v>
      </c>
      <c r="L50" s="1990" t="s">
        <v>10</v>
      </c>
      <c r="M50" s="1991">
        <f t="shared" ref="M50:M57" si="15">ROUND(I50,2)*ROUND(J50,4)</f>
        <v>0</v>
      </c>
      <c r="N50" s="1991">
        <v>24.5</v>
      </c>
      <c r="O50" s="1991">
        <f t="shared" ref="O50:O55" si="16">ROUND(M50*ROUND(N50,2)/10000,6)</f>
        <v>0</v>
      </c>
      <c r="P50" s="1991">
        <f t="shared" ref="P50:P55" si="17">IFERROR(ROUND(Q50*10000/M50,2),0)</f>
        <v>0</v>
      </c>
      <c r="Q50" s="1991">
        <f t="shared" ref="Q50:Q55" si="18">ROUND(O50/(1+R50),6)</f>
        <v>0</v>
      </c>
      <c r="R50" s="1993">
        <v>0.09</v>
      </c>
      <c r="S50" s="1991">
        <f t="shared" ref="S50:S55" si="19">O50-Q50</f>
        <v>0</v>
      </c>
      <c r="T50" s="1991" t="str">
        <f t="shared" si="0"/>
        <v/>
      </c>
      <c r="U50" s="1991" t="str">
        <f t="shared" si="1"/>
        <v/>
      </c>
      <c r="V50" s="1994"/>
    </row>
    <row r="51" spans="1:22" s="1942" customFormat="1" ht="12" customHeight="1" outlineLevel="4">
      <c r="A51" s="1944"/>
      <c r="B51" s="1985" t="s">
        <v>1507</v>
      </c>
      <c r="C51" s="1828"/>
      <c r="D51" s="2013" t="s">
        <v>4037</v>
      </c>
      <c r="E51" s="2011"/>
      <c r="F51" s="1988" t="s">
        <v>3833</v>
      </c>
      <c r="G51" s="1989" t="s">
        <v>4124</v>
      </c>
      <c r="H51" s="2012" t="s">
        <v>10</v>
      </c>
      <c r="I51" s="1991">
        <f>$E$5</f>
        <v>0</v>
      </c>
      <c r="J51" s="2124">
        <v>1</v>
      </c>
      <c r="K51" s="2000" t="s">
        <v>101</v>
      </c>
      <c r="L51" s="1990" t="s">
        <v>10</v>
      </c>
      <c r="M51" s="1991">
        <f t="shared" si="15"/>
        <v>0</v>
      </c>
      <c r="N51" s="1991"/>
      <c r="O51" s="1991">
        <f t="shared" si="16"/>
        <v>0</v>
      </c>
      <c r="P51" s="1991">
        <f t="shared" si="17"/>
        <v>0</v>
      </c>
      <c r="Q51" s="1991">
        <f t="shared" si="18"/>
        <v>0</v>
      </c>
      <c r="R51" s="1993">
        <v>0.13</v>
      </c>
      <c r="S51" s="1991">
        <f t="shared" si="19"/>
        <v>0</v>
      </c>
      <c r="T51" s="1991" t="str">
        <f t="shared" si="0"/>
        <v/>
      </c>
      <c r="U51" s="1991" t="str">
        <f t="shared" si="1"/>
        <v/>
      </c>
      <c r="V51" s="1994"/>
    </row>
    <row r="52" spans="1:22" s="1942" customFormat="1" ht="12" customHeight="1" outlineLevel="3">
      <c r="A52" s="1944"/>
      <c r="B52" s="1978" t="s">
        <v>666</v>
      </c>
      <c r="C52" s="1810"/>
      <c r="D52" s="2008" t="s">
        <v>3416</v>
      </c>
      <c r="E52" s="2009" t="s">
        <v>3417</v>
      </c>
      <c r="F52" s="1462" t="s">
        <v>3418</v>
      </c>
      <c r="G52" s="1953" t="s">
        <v>4125</v>
      </c>
      <c r="H52" s="1975" t="s">
        <v>3926</v>
      </c>
      <c r="I52" s="1712">
        <f>$G$7</f>
        <v>0</v>
      </c>
      <c r="J52" s="2099">
        <v>1</v>
      </c>
      <c r="K52" s="1950" t="s">
        <v>3947</v>
      </c>
      <c r="L52" s="1947" t="s">
        <v>3926</v>
      </c>
      <c r="M52" s="1754">
        <f t="shared" si="15"/>
        <v>0</v>
      </c>
      <c r="N52" s="1712"/>
      <c r="O52" s="1712">
        <f t="shared" si="16"/>
        <v>0</v>
      </c>
      <c r="P52" s="1712">
        <f t="shared" si="17"/>
        <v>0</v>
      </c>
      <c r="Q52" s="1712">
        <f t="shared" si="18"/>
        <v>0</v>
      </c>
      <c r="R52" s="1757">
        <v>0.13</v>
      </c>
      <c r="S52" s="1712">
        <f t="shared" si="19"/>
        <v>0</v>
      </c>
      <c r="T52" s="1712" t="str">
        <f t="shared" si="0"/>
        <v/>
      </c>
      <c r="U52" s="1712" t="str">
        <f t="shared" si="1"/>
        <v/>
      </c>
      <c r="V52" s="1952"/>
    </row>
    <row r="53" spans="1:22" s="1942" customFormat="1" ht="12" customHeight="1" outlineLevel="3">
      <c r="A53" s="1944"/>
      <c r="B53" s="1978" t="s">
        <v>3419</v>
      </c>
      <c r="C53" s="1810"/>
      <c r="D53" s="2008" t="s">
        <v>3420</v>
      </c>
      <c r="E53" s="2009" t="s">
        <v>3421</v>
      </c>
      <c r="F53" s="1462" t="s">
        <v>3422</v>
      </c>
      <c r="G53" s="1953" t="s">
        <v>4126</v>
      </c>
      <c r="H53" s="1975" t="s">
        <v>10</v>
      </c>
      <c r="I53" s="1712">
        <f>$E$5</f>
        <v>0</v>
      </c>
      <c r="J53" s="2147">
        <v>1</v>
      </c>
      <c r="K53" s="1950" t="s">
        <v>101</v>
      </c>
      <c r="L53" s="1947" t="s">
        <v>10</v>
      </c>
      <c r="M53" s="1754">
        <f t="shared" si="15"/>
        <v>0</v>
      </c>
      <c r="N53" s="1756">
        <v>10</v>
      </c>
      <c r="O53" s="1712">
        <f t="shared" si="16"/>
        <v>0</v>
      </c>
      <c r="P53" s="1712">
        <f t="shared" si="17"/>
        <v>0</v>
      </c>
      <c r="Q53" s="1712">
        <f t="shared" si="18"/>
        <v>0</v>
      </c>
      <c r="R53" s="1757">
        <v>0.13</v>
      </c>
      <c r="S53" s="1712">
        <f t="shared" si="19"/>
        <v>0</v>
      </c>
      <c r="T53" s="1712" t="str">
        <f t="shared" si="0"/>
        <v/>
      </c>
      <c r="U53" s="1712" t="str">
        <f t="shared" si="1"/>
        <v/>
      </c>
      <c r="V53" s="1952"/>
    </row>
    <row r="54" spans="1:22" s="1942" customFormat="1" ht="12" customHeight="1" outlineLevel="3">
      <c r="A54" s="1944"/>
      <c r="B54" s="1978" t="s">
        <v>3423</v>
      </c>
      <c r="C54" s="1810"/>
      <c r="D54" s="2008" t="s">
        <v>3424</v>
      </c>
      <c r="E54" s="2009" t="s">
        <v>3425</v>
      </c>
      <c r="F54" s="1462" t="s">
        <v>3342</v>
      </c>
      <c r="G54" s="1953" t="s">
        <v>4116</v>
      </c>
      <c r="H54" s="1975" t="s">
        <v>10</v>
      </c>
      <c r="I54" s="1712">
        <f t="shared" ref="I54:I66" si="20">$E$5</f>
        <v>0</v>
      </c>
      <c r="J54" s="2099">
        <v>1</v>
      </c>
      <c r="K54" s="1950" t="s">
        <v>101</v>
      </c>
      <c r="L54" s="1947" t="s">
        <v>10</v>
      </c>
      <c r="M54" s="1754">
        <f t="shared" si="15"/>
        <v>0</v>
      </c>
      <c r="N54" s="1712">
        <v>3</v>
      </c>
      <c r="O54" s="1712">
        <f t="shared" si="16"/>
        <v>0</v>
      </c>
      <c r="P54" s="1712">
        <f t="shared" si="17"/>
        <v>0</v>
      </c>
      <c r="Q54" s="1712">
        <f t="shared" si="18"/>
        <v>0</v>
      </c>
      <c r="R54" s="1757">
        <v>0.09</v>
      </c>
      <c r="S54" s="1712">
        <f t="shared" si="19"/>
        <v>0</v>
      </c>
      <c r="T54" s="1712" t="str">
        <f t="shared" si="0"/>
        <v/>
      </c>
      <c r="U54" s="1712" t="str">
        <f t="shared" si="1"/>
        <v/>
      </c>
      <c r="V54" s="1952"/>
    </row>
    <row r="55" spans="1:22" s="1942" customFormat="1" ht="12" customHeight="1" outlineLevel="3">
      <c r="A55" s="1944"/>
      <c r="B55" s="1978" t="s">
        <v>3426</v>
      </c>
      <c r="C55" s="1810"/>
      <c r="D55" s="2008" t="s">
        <v>3427</v>
      </c>
      <c r="E55" s="2009" t="s">
        <v>3428</v>
      </c>
      <c r="F55" s="1462" t="s">
        <v>3342</v>
      </c>
      <c r="G55" s="1953" t="s">
        <v>4116</v>
      </c>
      <c r="H55" s="1975" t="s">
        <v>10</v>
      </c>
      <c r="I55" s="1712">
        <f t="shared" si="20"/>
        <v>0</v>
      </c>
      <c r="J55" s="2099"/>
      <c r="K55" s="1950" t="s">
        <v>101</v>
      </c>
      <c r="L55" s="1947" t="s">
        <v>10</v>
      </c>
      <c r="M55" s="1754">
        <f t="shared" si="15"/>
        <v>0</v>
      </c>
      <c r="N55" s="1712"/>
      <c r="O55" s="1712">
        <f t="shared" si="16"/>
        <v>0</v>
      </c>
      <c r="P55" s="1712">
        <f t="shared" si="17"/>
        <v>0</v>
      </c>
      <c r="Q55" s="1712">
        <f t="shared" si="18"/>
        <v>0</v>
      </c>
      <c r="R55" s="1757">
        <v>0.13</v>
      </c>
      <c r="S55" s="1712">
        <f t="shared" si="19"/>
        <v>0</v>
      </c>
      <c r="T55" s="1712" t="str">
        <f t="shared" si="0"/>
        <v/>
      </c>
      <c r="U55" s="1712" t="str">
        <f t="shared" si="1"/>
        <v/>
      </c>
      <c r="V55" s="2015"/>
    </row>
    <row r="56" spans="1:22" s="1942" customFormat="1" ht="13" outlineLevel="2">
      <c r="A56" s="1944"/>
      <c r="B56" s="1820" t="s">
        <v>670</v>
      </c>
      <c r="C56" s="1808"/>
      <c r="D56" s="1945" t="s">
        <v>3429</v>
      </c>
      <c r="E56" s="1946"/>
      <c r="F56" s="1462"/>
      <c r="G56" s="1953" t="s">
        <v>4117</v>
      </c>
      <c r="H56" s="1947"/>
      <c r="I56" s="1948"/>
      <c r="J56" s="2099"/>
      <c r="K56" s="1950"/>
      <c r="L56" s="1947"/>
      <c r="M56" s="1754"/>
      <c r="N56" s="1712"/>
      <c r="O56" s="1712">
        <f>SUBTOTAL(9,O57:O70)</f>
        <v>0</v>
      </c>
      <c r="P56" s="1983"/>
      <c r="Q56" s="1712">
        <f>SUBTOTAL(9,Q57:Q70)</f>
        <v>0</v>
      </c>
      <c r="R56" s="1757"/>
      <c r="S56" s="1712">
        <f>SUBTOTAL(9,S57:S70)</f>
        <v>0</v>
      </c>
      <c r="T56" s="1712" t="str">
        <f t="shared" si="0"/>
        <v/>
      </c>
      <c r="U56" s="1712" t="str">
        <f t="shared" si="1"/>
        <v/>
      </c>
      <c r="V56" s="1952"/>
    </row>
    <row r="57" spans="1:22" s="1942" customFormat="1" ht="12" customHeight="1" outlineLevel="3">
      <c r="A57" s="1944"/>
      <c r="B57" s="1978" t="s">
        <v>671</v>
      </c>
      <c r="C57" s="1810"/>
      <c r="D57" s="2008" t="s">
        <v>3430</v>
      </c>
      <c r="E57" s="2009" t="s">
        <v>3431</v>
      </c>
      <c r="F57" s="1462" t="s">
        <v>3342</v>
      </c>
      <c r="G57" s="1953" t="s">
        <v>4116</v>
      </c>
      <c r="H57" s="1975" t="s">
        <v>10</v>
      </c>
      <c r="I57" s="1712">
        <f t="shared" si="20"/>
        <v>0</v>
      </c>
      <c r="J57" s="2099">
        <v>1</v>
      </c>
      <c r="K57" s="1950" t="s">
        <v>101</v>
      </c>
      <c r="L57" s="1947" t="s">
        <v>10</v>
      </c>
      <c r="M57" s="1754">
        <f t="shared" si="15"/>
        <v>0</v>
      </c>
      <c r="N57" s="1712">
        <v>46.5</v>
      </c>
      <c r="O57" s="1712">
        <f>ROUND(M57*ROUND(N57,2)/10000,6)</f>
        <v>0</v>
      </c>
      <c r="P57" s="1712">
        <f>IFERROR(ROUND(Q57*10000/M57,2),0)</f>
        <v>0</v>
      </c>
      <c r="Q57" s="1712">
        <f>ROUND(O57/(1+R57),6)</f>
        <v>0</v>
      </c>
      <c r="R57" s="1757">
        <v>0.09</v>
      </c>
      <c r="S57" s="1712">
        <f>O57-Q57</f>
        <v>0</v>
      </c>
      <c r="T57" s="1712" t="str">
        <f t="shared" si="0"/>
        <v/>
      </c>
      <c r="U57" s="1712" t="str">
        <f t="shared" si="1"/>
        <v/>
      </c>
      <c r="V57" s="1952"/>
    </row>
    <row r="58" spans="1:22" s="1942" customFormat="1" ht="12" customHeight="1" outlineLevel="3">
      <c r="A58" s="1944"/>
      <c r="B58" s="1978" t="s">
        <v>672</v>
      </c>
      <c r="C58" s="1810"/>
      <c r="D58" s="2008" t="s">
        <v>3432</v>
      </c>
      <c r="E58" s="2009" t="s">
        <v>3433</v>
      </c>
      <c r="F58" s="1462"/>
      <c r="G58" s="1953" t="s">
        <v>4117</v>
      </c>
      <c r="H58" s="1975"/>
      <c r="I58" s="1712"/>
      <c r="J58" s="2099"/>
      <c r="K58" s="1950" t="s">
        <v>101</v>
      </c>
      <c r="L58" s="1947" t="s">
        <v>10</v>
      </c>
      <c r="M58" s="1754"/>
      <c r="N58" s="1712"/>
      <c r="O58" s="1712">
        <f>SUBTOTAL(9,O59:O60)</f>
        <v>0</v>
      </c>
      <c r="P58" s="1983"/>
      <c r="Q58" s="1712">
        <f>SUBTOTAL(9,Q59:Q60)</f>
        <v>0</v>
      </c>
      <c r="R58" s="1757"/>
      <c r="S58" s="1712">
        <f>SUBTOTAL(9,S59:S60)</f>
        <v>0</v>
      </c>
      <c r="T58" s="1712" t="str">
        <f t="shared" si="0"/>
        <v/>
      </c>
      <c r="U58" s="1712" t="str">
        <f t="shared" si="1"/>
        <v/>
      </c>
      <c r="V58" s="1952"/>
    </row>
    <row r="59" spans="1:22" s="1942" customFormat="1" ht="12" customHeight="1" outlineLevel="4">
      <c r="A59" s="1944"/>
      <c r="B59" s="1985" t="s">
        <v>1680</v>
      </c>
      <c r="C59" s="1828"/>
      <c r="D59" s="2013" t="s">
        <v>4038</v>
      </c>
      <c r="E59" s="2011"/>
      <c r="F59" s="1988" t="s">
        <v>3342</v>
      </c>
      <c r="G59" s="1989" t="s">
        <v>4116</v>
      </c>
      <c r="H59" s="2012" t="s">
        <v>10</v>
      </c>
      <c r="I59" s="1991">
        <f>$E$5</f>
        <v>0</v>
      </c>
      <c r="J59" s="2124">
        <v>1</v>
      </c>
      <c r="K59" s="2000" t="s">
        <v>101</v>
      </c>
      <c r="L59" s="1990" t="s">
        <v>10</v>
      </c>
      <c r="M59" s="1991">
        <f t="shared" ref="M59:M70" si="21">ROUND(I59,2)*ROUND(J59,4)</f>
        <v>0</v>
      </c>
      <c r="N59" s="1991">
        <v>10</v>
      </c>
      <c r="O59" s="1991">
        <f t="shared" ref="O59:O70" si="22">ROUND(M59*ROUND(N59,2)/10000,6)</f>
        <v>0</v>
      </c>
      <c r="P59" s="1991">
        <f t="shared" ref="P59:P70" si="23">IFERROR(ROUND(Q59*10000/M59,2),0)</f>
        <v>0</v>
      </c>
      <c r="Q59" s="1991">
        <f t="shared" ref="Q59:Q70" si="24">ROUND(O59/(1+R59),6)</f>
        <v>0</v>
      </c>
      <c r="R59" s="1993">
        <v>0.09</v>
      </c>
      <c r="S59" s="1991">
        <f t="shared" ref="S59:S70" si="25">O59-Q59</f>
        <v>0</v>
      </c>
      <c r="T59" s="1991" t="str">
        <f t="shared" si="0"/>
        <v/>
      </c>
      <c r="U59" s="1991" t="str">
        <f t="shared" si="1"/>
        <v/>
      </c>
      <c r="V59" s="1994"/>
    </row>
    <row r="60" spans="1:22" s="1942" customFormat="1" ht="12" customHeight="1" outlineLevel="4">
      <c r="A60" s="1944"/>
      <c r="B60" s="1985" t="s">
        <v>1529</v>
      </c>
      <c r="C60" s="1828"/>
      <c r="D60" s="2013" t="s">
        <v>4039</v>
      </c>
      <c r="E60" s="2011"/>
      <c r="F60" s="1988" t="s">
        <v>3556</v>
      </c>
      <c r="G60" s="1989" t="s">
        <v>4127</v>
      </c>
      <c r="H60" s="2012" t="s">
        <v>10</v>
      </c>
      <c r="I60" s="1991">
        <f>$E$5</f>
        <v>0</v>
      </c>
      <c r="J60" s="2124">
        <v>1</v>
      </c>
      <c r="K60" s="2000" t="s">
        <v>101</v>
      </c>
      <c r="L60" s="1990" t="s">
        <v>10</v>
      </c>
      <c r="M60" s="1991">
        <f t="shared" si="21"/>
        <v>0</v>
      </c>
      <c r="N60" s="1991"/>
      <c r="O60" s="1991">
        <f t="shared" si="22"/>
        <v>0</v>
      </c>
      <c r="P60" s="1991">
        <f t="shared" si="23"/>
        <v>0</v>
      </c>
      <c r="Q60" s="1991">
        <f t="shared" si="24"/>
        <v>0</v>
      </c>
      <c r="R60" s="1993">
        <v>0.13</v>
      </c>
      <c r="S60" s="1991">
        <f t="shared" si="25"/>
        <v>0</v>
      </c>
      <c r="T60" s="1991" t="str">
        <f t="shared" si="0"/>
        <v/>
      </c>
      <c r="U60" s="1991" t="str">
        <f t="shared" si="1"/>
        <v/>
      </c>
      <c r="V60" s="1994"/>
    </row>
    <row r="61" spans="1:22" s="1942" customFormat="1" ht="12.75" customHeight="1" outlineLevel="3">
      <c r="A61" s="1944"/>
      <c r="B61" s="1978" t="s">
        <v>673</v>
      </c>
      <c r="C61" s="1810"/>
      <c r="D61" s="2008" t="s">
        <v>3434</v>
      </c>
      <c r="E61" s="2009" t="s">
        <v>3435</v>
      </c>
      <c r="F61" s="1462" t="s">
        <v>3342</v>
      </c>
      <c r="G61" s="1953" t="s">
        <v>4116</v>
      </c>
      <c r="H61" s="1975" t="s">
        <v>10</v>
      </c>
      <c r="I61" s="1712">
        <f t="shared" si="20"/>
        <v>0</v>
      </c>
      <c r="J61" s="2099">
        <v>1</v>
      </c>
      <c r="K61" s="1950" t="s">
        <v>101</v>
      </c>
      <c r="L61" s="1947" t="s">
        <v>10</v>
      </c>
      <c r="M61" s="1754">
        <f t="shared" si="21"/>
        <v>0</v>
      </c>
      <c r="N61" s="1712">
        <v>3</v>
      </c>
      <c r="O61" s="1712">
        <f t="shared" si="22"/>
        <v>0</v>
      </c>
      <c r="P61" s="1712">
        <f t="shared" si="23"/>
        <v>0</v>
      </c>
      <c r="Q61" s="1712">
        <f t="shared" si="24"/>
        <v>0</v>
      </c>
      <c r="R61" s="1757">
        <v>0.09</v>
      </c>
      <c r="S61" s="1712">
        <f t="shared" si="25"/>
        <v>0</v>
      </c>
      <c r="T61" s="1712" t="str">
        <f t="shared" si="0"/>
        <v/>
      </c>
      <c r="U61" s="1712" t="str">
        <f t="shared" si="1"/>
        <v/>
      </c>
      <c r="V61" s="1952"/>
    </row>
    <row r="62" spans="1:22" s="1942" customFormat="1" ht="12" customHeight="1" outlineLevel="3">
      <c r="A62" s="1944"/>
      <c r="B62" s="1978" t="s">
        <v>1785</v>
      </c>
      <c r="C62" s="1810"/>
      <c r="D62" s="2008" t="s">
        <v>3436</v>
      </c>
      <c r="E62" s="2009" t="s">
        <v>3437</v>
      </c>
      <c r="F62" s="1462" t="s">
        <v>3342</v>
      </c>
      <c r="G62" s="1953" t="s">
        <v>4116</v>
      </c>
      <c r="H62" s="1975" t="s">
        <v>10</v>
      </c>
      <c r="I62" s="1712">
        <f t="shared" si="20"/>
        <v>0</v>
      </c>
      <c r="J62" s="2099">
        <v>1</v>
      </c>
      <c r="K62" s="1950" t="s">
        <v>101</v>
      </c>
      <c r="L62" s="1947" t="s">
        <v>10</v>
      </c>
      <c r="M62" s="1754">
        <f t="shared" si="21"/>
        <v>0</v>
      </c>
      <c r="N62" s="1712">
        <v>13.5</v>
      </c>
      <c r="O62" s="1712">
        <f t="shared" si="22"/>
        <v>0</v>
      </c>
      <c r="P62" s="1712">
        <f t="shared" si="23"/>
        <v>0</v>
      </c>
      <c r="Q62" s="1712">
        <f t="shared" si="24"/>
        <v>0</v>
      </c>
      <c r="R62" s="1757">
        <v>0.09</v>
      </c>
      <c r="S62" s="1712">
        <f t="shared" si="25"/>
        <v>0</v>
      </c>
      <c r="T62" s="1712" t="str">
        <f t="shared" si="0"/>
        <v/>
      </c>
      <c r="U62" s="1712" t="str">
        <f t="shared" si="1"/>
        <v/>
      </c>
      <c r="V62" s="1952"/>
    </row>
    <row r="63" spans="1:22" s="1942" customFormat="1" ht="12" customHeight="1" outlineLevel="3">
      <c r="A63" s="1944"/>
      <c r="B63" s="1978" t="s">
        <v>674</v>
      </c>
      <c r="C63" s="1810"/>
      <c r="D63" s="2008" t="s">
        <v>3438</v>
      </c>
      <c r="E63" s="2009" t="s">
        <v>3439</v>
      </c>
      <c r="F63" s="1462" t="s">
        <v>455</v>
      </c>
      <c r="G63" s="1953" t="s">
        <v>4128</v>
      </c>
      <c r="H63" s="1975" t="s">
        <v>10</v>
      </c>
      <c r="I63" s="1712">
        <f t="shared" si="20"/>
        <v>0</v>
      </c>
      <c r="J63" s="2099">
        <v>1</v>
      </c>
      <c r="K63" s="1950" t="s">
        <v>101</v>
      </c>
      <c r="L63" s="1947" t="s">
        <v>10</v>
      </c>
      <c r="M63" s="1754">
        <f t="shared" si="21"/>
        <v>0</v>
      </c>
      <c r="N63" s="1712">
        <v>15</v>
      </c>
      <c r="O63" s="1712">
        <f t="shared" si="22"/>
        <v>0</v>
      </c>
      <c r="P63" s="1712">
        <f t="shared" si="23"/>
        <v>0</v>
      </c>
      <c r="Q63" s="1712">
        <f t="shared" si="24"/>
        <v>0</v>
      </c>
      <c r="R63" s="1757">
        <v>0.09</v>
      </c>
      <c r="S63" s="1712">
        <f t="shared" si="25"/>
        <v>0</v>
      </c>
      <c r="T63" s="1712" t="str">
        <f t="shared" si="0"/>
        <v/>
      </c>
      <c r="U63" s="1712" t="str">
        <f t="shared" si="1"/>
        <v/>
      </c>
      <c r="V63" s="1952"/>
    </row>
    <row r="64" spans="1:22" s="1942" customFormat="1" ht="12" customHeight="1" outlineLevel="3">
      <c r="A64" s="1944"/>
      <c r="B64" s="1978" t="s">
        <v>3440</v>
      </c>
      <c r="C64" s="1810"/>
      <c r="D64" s="2008" t="s">
        <v>3441</v>
      </c>
      <c r="E64" s="2009" t="s">
        <v>3442</v>
      </c>
      <c r="F64" s="1462" t="s">
        <v>454</v>
      </c>
      <c r="G64" s="1953" t="s">
        <v>4129</v>
      </c>
      <c r="H64" s="1975" t="s">
        <v>10</v>
      </c>
      <c r="I64" s="1712">
        <f t="shared" si="20"/>
        <v>0</v>
      </c>
      <c r="J64" s="2147">
        <v>1</v>
      </c>
      <c r="K64" s="1950" t="s">
        <v>101</v>
      </c>
      <c r="L64" s="1947" t="s">
        <v>10</v>
      </c>
      <c r="M64" s="1754">
        <f t="shared" si="21"/>
        <v>0</v>
      </c>
      <c r="N64" s="1756">
        <v>45</v>
      </c>
      <c r="O64" s="1712">
        <f t="shared" si="22"/>
        <v>0</v>
      </c>
      <c r="P64" s="1712">
        <f t="shared" si="23"/>
        <v>0</v>
      </c>
      <c r="Q64" s="1712">
        <f t="shared" si="24"/>
        <v>0</v>
      </c>
      <c r="R64" s="1757">
        <v>0.13</v>
      </c>
      <c r="S64" s="1712">
        <f t="shared" si="25"/>
        <v>0</v>
      </c>
      <c r="T64" s="1712" t="str">
        <f t="shared" si="0"/>
        <v/>
      </c>
      <c r="U64" s="1712" t="str">
        <f t="shared" si="1"/>
        <v/>
      </c>
      <c r="V64" s="2015"/>
    </row>
    <row r="65" spans="1:22" s="1942" customFormat="1" ht="12" customHeight="1" outlineLevel="3">
      <c r="A65" s="1944"/>
      <c r="B65" s="1978" t="s">
        <v>3443</v>
      </c>
      <c r="C65" s="1810"/>
      <c r="D65" s="2008" t="s">
        <v>3444</v>
      </c>
      <c r="E65" s="2009" t="s">
        <v>3445</v>
      </c>
      <c r="F65" s="1462" t="s">
        <v>1671</v>
      </c>
      <c r="G65" s="1953" t="s">
        <v>4130</v>
      </c>
      <c r="H65" s="1975" t="s">
        <v>10</v>
      </c>
      <c r="I65" s="1712">
        <f t="shared" si="20"/>
        <v>0</v>
      </c>
      <c r="J65" s="2147">
        <v>1</v>
      </c>
      <c r="K65" s="1950" t="s">
        <v>101</v>
      </c>
      <c r="L65" s="1947" t="s">
        <v>10</v>
      </c>
      <c r="M65" s="1754">
        <f t="shared" si="21"/>
        <v>0</v>
      </c>
      <c r="N65" s="1756">
        <v>10</v>
      </c>
      <c r="O65" s="1712">
        <f t="shared" si="22"/>
        <v>0</v>
      </c>
      <c r="P65" s="1712">
        <f t="shared" si="23"/>
        <v>0</v>
      </c>
      <c r="Q65" s="1712">
        <f t="shared" si="24"/>
        <v>0</v>
      </c>
      <c r="R65" s="1757">
        <v>0.13</v>
      </c>
      <c r="S65" s="1712">
        <f t="shared" si="25"/>
        <v>0</v>
      </c>
      <c r="T65" s="1712" t="str">
        <f t="shared" si="0"/>
        <v/>
      </c>
      <c r="U65" s="1712" t="str">
        <f t="shared" si="1"/>
        <v/>
      </c>
      <c r="V65" s="2015"/>
    </row>
    <row r="66" spans="1:22" s="1942" customFormat="1" ht="12" customHeight="1" outlineLevel="3">
      <c r="A66" s="1944"/>
      <c r="B66" s="1978" t="s">
        <v>3446</v>
      </c>
      <c r="C66" s="1810"/>
      <c r="D66" s="2008" t="s">
        <v>3447</v>
      </c>
      <c r="E66" s="2009" t="s">
        <v>3448</v>
      </c>
      <c r="F66" s="1462" t="s">
        <v>3422</v>
      </c>
      <c r="G66" s="1953" t="s">
        <v>4126</v>
      </c>
      <c r="H66" s="1975" t="s">
        <v>10</v>
      </c>
      <c r="I66" s="1712">
        <f t="shared" si="20"/>
        <v>0</v>
      </c>
      <c r="J66" s="2147">
        <v>1</v>
      </c>
      <c r="K66" s="1950" t="s">
        <v>101</v>
      </c>
      <c r="L66" s="1947" t="s">
        <v>10</v>
      </c>
      <c r="M66" s="1754">
        <f t="shared" si="21"/>
        <v>0</v>
      </c>
      <c r="N66" s="1756">
        <v>7</v>
      </c>
      <c r="O66" s="1712">
        <f t="shared" si="22"/>
        <v>0</v>
      </c>
      <c r="P66" s="1712">
        <f t="shared" si="23"/>
        <v>0</v>
      </c>
      <c r="Q66" s="1712">
        <f t="shared" si="24"/>
        <v>0</v>
      </c>
      <c r="R66" s="1757">
        <v>0.13</v>
      </c>
      <c r="S66" s="1712">
        <f t="shared" si="25"/>
        <v>0</v>
      </c>
      <c r="T66" s="1712" t="str">
        <f t="shared" si="0"/>
        <v/>
      </c>
      <c r="U66" s="1712" t="str">
        <f t="shared" si="1"/>
        <v/>
      </c>
      <c r="V66" s="2015"/>
    </row>
    <row r="67" spans="1:22" s="1942" customFormat="1" ht="12" customHeight="1" outlineLevel="3">
      <c r="A67" s="1944"/>
      <c r="B67" s="1978" t="s">
        <v>3449</v>
      </c>
      <c r="C67" s="1810"/>
      <c r="D67" s="2008" t="s">
        <v>3450</v>
      </c>
      <c r="E67" s="2009" t="s">
        <v>3451</v>
      </c>
      <c r="F67" s="1462" t="s">
        <v>1307</v>
      </c>
      <c r="G67" s="1953" t="s">
        <v>4131</v>
      </c>
      <c r="H67" s="1947" t="s">
        <v>3926</v>
      </c>
      <c r="I67" s="1712">
        <f>$G$7</f>
        <v>0</v>
      </c>
      <c r="J67" s="2099">
        <v>1</v>
      </c>
      <c r="K67" s="1950" t="s">
        <v>3947</v>
      </c>
      <c r="L67" s="1947" t="s">
        <v>3926</v>
      </c>
      <c r="M67" s="1754">
        <f t="shared" si="21"/>
        <v>0</v>
      </c>
      <c r="N67" s="1712">
        <v>0</v>
      </c>
      <c r="O67" s="1712">
        <f t="shared" si="22"/>
        <v>0</v>
      </c>
      <c r="P67" s="1712">
        <f t="shared" si="23"/>
        <v>0</v>
      </c>
      <c r="Q67" s="1712">
        <f t="shared" si="24"/>
        <v>0</v>
      </c>
      <c r="R67" s="1757">
        <v>0.13</v>
      </c>
      <c r="S67" s="1712">
        <f t="shared" si="25"/>
        <v>0</v>
      </c>
      <c r="T67" s="1712" t="str">
        <f t="shared" si="0"/>
        <v/>
      </c>
      <c r="U67" s="1712" t="str">
        <f t="shared" si="1"/>
        <v/>
      </c>
      <c r="V67" s="1952"/>
    </row>
    <row r="68" spans="1:22" s="1942" customFormat="1" ht="12" customHeight="1" outlineLevel="3">
      <c r="A68" s="1944"/>
      <c r="B68" s="1978" t="s">
        <v>3452</v>
      </c>
      <c r="C68" s="1810"/>
      <c r="D68" s="2008" t="s">
        <v>3453</v>
      </c>
      <c r="E68" s="2009" t="s">
        <v>3454</v>
      </c>
      <c r="F68" s="1462" t="s">
        <v>1329</v>
      </c>
      <c r="G68" s="1953" t="s">
        <v>4132</v>
      </c>
      <c r="H68" s="1947" t="s">
        <v>10</v>
      </c>
      <c r="I68" s="1712">
        <f>$E$5</f>
        <v>0</v>
      </c>
      <c r="J68" s="2099">
        <v>1</v>
      </c>
      <c r="K68" s="1950" t="s">
        <v>101</v>
      </c>
      <c r="L68" s="1947" t="s">
        <v>10</v>
      </c>
      <c r="M68" s="1754">
        <f t="shared" si="21"/>
        <v>0</v>
      </c>
      <c r="N68" s="1712">
        <v>3.51</v>
      </c>
      <c r="O68" s="1712">
        <f t="shared" si="22"/>
        <v>0</v>
      </c>
      <c r="P68" s="1712">
        <f t="shared" si="23"/>
        <v>0</v>
      </c>
      <c r="Q68" s="1712">
        <f t="shared" si="24"/>
        <v>0</v>
      </c>
      <c r="R68" s="1757">
        <v>0.13</v>
      </c>
      <c r="S68" s="1712">
        <f t="shared" si="25"/>
        <v>0</v>
      </c>
      <c r="T68" s="1712" t="str">
        <f t="shared" si="0"/>
        <v/>
      </c>
      <c r="U68" s="1712" t="str">
        <f t="shared" si="1"/>
        <v/>
      </c>
      <c r="V68" s="2015"/>
    </row>
    <row r="69" spans="1:22" s="1942" customFormat="1" ht="12" customHeight="1" outlineLevel="3">
      <c r="A69" s="1944"/>
      <c r="B69" s="1978" t="s">
        <v>3455</v>
      </c>
      <c r="C69" s="1810"/>
      <c r="D69" s="2008" t="s">
        <v>3456</v>
      </c>
      <c r="E69" s="2009" t="s">
        <v>3457</v>
      </c>
      <c r="F69" s="1462" t="s">
        <v>3342</v>
      </c>
      <c r="G69" s="1953" t="s">
        <v>4116</v>
      </c>
      <c r="H69" s="1947" t="s">
        <v>107</v>
      </c>
      <c r="I69" s="1948">
        <f>$G$4</f>
        <v>0</v>
      </c>
      <c r="J69" s="2099">
        <v>4</v>
      </c>
      <c r="K69" s="2016" t="s">
        <v>4040</v>
      </c>
      <c r="L69" s="1947" t="s">
        <v>4041</v>
      </c>
      <c r="M69" s="1754">
        <f t="shared" si="21"/>
        <v>0</v>
      </c>
      <c r="N69" s="1712">
        <v>16000</v>
      </c>
      <c r="O69" s="1712">
        <f t="shared" si="22"/>
        <v>0</v>
      </c>
      <c r="P69" s="1712">
        <f t="shared" si="23"/>
        <v>0</v>
      </c>
      <c r="Q69" s="1712">
        <f t="shared" si="24"/>
        <v>0</v>
      </c>
      <c r="R69" s="1757">
        <v>0.09</v>
      </c>
      <c r="S69" s="1712">
        <f t="shared" si="25"/>
        <v>0</v>
      </c>
      <c r="T69" s="1712" t="str">
        <f t="shared" si="0"/>
        <v/>
      </c>
      <c r="U69" s="1712" t="str">
        <f t="shared" si="1"/>
        <v/>
      </c>
      <c r="V69" s="2015"/>
    </row>
    <row r="70" spans="1:22" s="1942" customFormat="1" ht="14" customHeight="1" outlineLevel="3">
      <c r="A70" s="1944"/>
      <c r="B70" s="1978" t="s">
        <v>3458</v>
      </c>
      <c r="C70" s="1810"/>
      <c r="D70" s="2008" t="s">
        <v>3459</v>
      </c>
      <c r="E70" s="2009" t="s">
        <v>3460</v>
      </c>
      <c r="F70" s="1462" t="s">
        <v>3342</v>
      </c>
      <c r="G70" s="1953" t="s">
        <v>4116</v>
      </c>
      <c r="H70" s="1975" t="s">
        <v>10</v>
      </c>
      <c r="I70" s="1712">
        <f>$E$5</f>
        <v>0</v>
      </c>
      <c r="J70" s="2099">
        <v>1</v>
      </c>
      <c r="K70" s="1950" t="s">
        <v>101</v>
      </c>
      <c r="L70" s="1947" t="s">
        <v>10</v>
      </c>
      <c r="M70" s="1754">
        <f t="shared" si="21"/>
        <v>0</v>
      </c>
      <c r="N70" s="1712">
        <v>8</v>
      </c>
      <c r="O70" s="1712">
        <f t="shared" si="22"/>
        <v>0</v>
      </c>
      <c r="P70" s="1712">
        <f t="shared" si="23"/>
        <v>0</v>
      </c>
      <c r="Q70" s="1712">
        <f t="shared" si="24"/>
        <v>0</v>
      </c>
      <c r="R70" s="1757">
        <v>0.09</v>
      </c>
      <c r="S70" s="1712">
        <f t="shared" si="25"/>
        <v>0</v>
      </c>
      <c r="T70" s="1712" t="str">
        <f t="shared" si="0"/>
        <v/>
      </c>
      <c r="U70" s="1712" t="str">
        <f t="shared" si="1"/>
        <v/>
      </c>
      <c r="V70" s="1952"/>
    </row>
    <row r="71" spans="1:22" s="1942" customFormat="1" ht="14" customHeight="1" outlineLevel="2">
      <c r="A71" s="1944"/>
      <c r="B71" s="1978" t="s">
        <v>3461</v>
      </c>
      <c r="C71" s="1810"/>
      <c r="D71" s="2017" t="s">
        <v>667</v>
      </c>
      <c r="E71" s="2009"/>
      <c r="F71" s="1462"/>
      <c r="G71" s="1953" t="s">
        <v>4117</v>
      </c>
      <c r="H71" s="1947"/>
      <c r="I71" s="1948"/>
      <c r="J71" s="2099"/>
      <c r="K71" s="2016"/>
      <c r="L71" s="1947"/>
      <c r="M71" s="1950"/>
      <c r="N71" s="1712"/>
      <c r="O71" s="1712">
        <f>SUBTOTAL(9,O72:O75)</f>
        <v>0</v>
      </c>
      <c r="P71" s="1712"/>
      <c r="Q71" s="1712">
        <f>SUBTOTAL(9,Q72:Q75)</f>
        <v>0</v>
      </c>
      <c r="R71" s="1712"/>
      <c r="S71" s="1712">
        <f>SUBTOTAL(9,S72:S75)</f>
        <v>0</v>
      </c>
      <c r="T71" s="1712" t="str">
        <f t="shared" si="0"/>
        <v/>
      </c>
      <c r="U71" s="1712" t="str">
        <f t="shared" si="1"/>
        <v/>
      </c>
      <c r="V71" s="2015"/>
    </row>
    <row r="72" spans="1:22" s="1942" customFormat="1" ht="14" customHeight="1" outlineLevel="3">
      <c r="A72" s="1944"/>
      <c r="B72" s="1978" t="s">
        <v>3462</v>
      </c>
      <c r="C72" s="1810"/>
      <c r="D72" s="2008" t="s">
        <v>3463</v>
      </c>
      <c r="E72" s="2009" t="s">
        <v>3464</v>
      </c>
      <c r="F72" s="1462"/>
      <c r="G72" s="1953" t="s">
        <v>4117</v>
      </c>
      <c r="H72" s="1975"/>
      <c r="I72" s="1712"/>
      <c r="J72" s="2099">
        <v>1</v>
      </c>
      <c r="K72" s="1950"/>
      <c r="L72" s="1947"/>
      <c r="M72" s="1754"/>
      <c r="N72" s="1712"/>
      <c r="O72" s="1712">
        <f>SUBTOTAL(9,O73:O74)</f>
        <v>0</v>
      </c>
      <c r="P72" s="1983"/>
      <c r="Q72" s="1712">
        <f>SUBTOTAL(9,Q73:Q74)</f>
        <v>0</v>
      </c>
      <c r="R72" s="1757"/>
      <c r="S72" s="1712">
        <f>SUBTOTAL(9,S73:S74)</f>
        <v>0</v>
      </c>
      <c r="T72" s="1712" t="str">
        <f t="shared" si="0"/>
        <v/>
      </c>
      <c r="U72" s="1712" t="str">
        <f t="shared" si="1"/>
        <v/>
      </c>
      <c r="V72" s="1952"/>
    </row>
    <row r="73" spans="1:22" s="1942" customFormat="1" ht="14" customHeight="1" outlineLevel="4">
      <c r="A73" s="1944"/>
      <c r="B73" s="1985" t="s">
        <v>4042</v>
      </c>
      <c r="C73" s="1828"/>
      <c r="D73" s="2018" t="s">
        <v>4043</v>
      </c>
      <c r="E73" s="2011"/>
      <c r="F73" s="1988" t="s">
        <v>1502</v>
      </c>
      <c r="G73" s="1989" t="s">
        <v>4133</v>
      </c>
      <c r="H73" s="2012" t="s">
        <v>10</v>
      </c>
      <c r="I73" s="1991">
        <f>$E$5</f>
        <v>0</v>
      </c>
      <c r="J73" s="2124">
        <v>1</v>
      </c>
      <c r="K73" s="2000" t="s">
        <v>101</v>
      </c>
      <c r="L73" s="1990" t="s">
        <v>10</v>
      </c>
      <c r="M73" s="1991">
        <f t="shared" ref="M73:M83" si="26">ROUND(I73,2)*ROUND(J73,4)</f>
        <v>0</v>
      </c>
      <c r="N73" s="1991">
        <v>0</v>
      </c>
      <c r="O73" s="1991">
        <f>ROUND(M73*ROUND(N73,2)/10000,6)</f>
        <v>0</v>
      </c>
      <c r="P73" s="1991">
        <f>IFERROR(ROUND(Q73*10000/M73,2),0)</f>
        <v>0</v>
      </c>
      <c r="Q73" s="1991">
        <f>ROUND(O73/(1+R73),6)</f>
        <v>0</v>
      </c>
      <c r="R73" s="1993">
        <v>0.09</v>
      </c>
      <c r="S73" s="1991">
        <f>O73-Q73</f>
        <v>0</v>
      </c>
      <c r="T73" s="1991" t="str">
        <f t="shared" si="0"/>
        <v/>
      </c>
      <c r="U73" s="1991" t="str">
        <f t="shared" si="1"/>
        <v/>
      </c>
      <c r="V73" s="1994"/>
    </row>
    <row r="74" spans="1:22" s="1942" customFormat="1" ht="14" customHeight="1" outlineLevel="4">
      <c r="A74" s="1944"/>
      <c r="B74" s="1985" t="s">
        <v>4044</v>
      </c>
      <c r="C74" s="1828"/>
      <c r="D74" s="2018" t="s">
        <v>4045</v>
      </c>
      <c r="E74" s="2011"/>
      <c r="F74" s="1988" t="s">
        <v>1505</v>
      </c>
      <c r="G74" s="1989" t="s">
        <v>4134</v>
      </c>
      <c r="H74" s="2012" t="s">
        <v>3926</v>
      </c>
      <c r="I74" s="1991">
        <f>$G$7</f>
        <v>0</v>
      </c>
      <c r="J74" s="2124">
        <v>1</v>
      </c>
      <c r="K74" s="2000" t="s">
        <v>3947</v>
      </c>
      <c r="L74" s="1990" t="s">
        <v>3926</v>
      </c>
      <c r="M74" s="1991">
        <f t="shared" si="26"/>
        <v>0</v>
      </c>
      <c r="N74" s="1991">
        <v>0</v>
      </c>
      <c r="O74" s="1991">
        <f>ROUND(M74*ROUND(N74,2)/10000,6)</f>
        <v>0</v>
      </c>
      <c r="P74" s="1991">
        <f>IFERROR(ROUND(Q74*10000/M74,2),0)</f>
        <v>0</v>
      </c>
      <c r="Q74" s="1991">
        <f>ROUND(O74/(1+R74),6)</f>
        <v>0</v>
      </c>
      <c r="R74" s="1993">
        <v>0</v>
      </c>
      <c r="S74" s="1991">
        <f>O74-Q74</f>
        <v>0</v>
      </c>
      <c r="T74" s="1991" t="str">
        <f t="shared" si="0"/>
        <v/>
      </c>
      <c r="U74" s="1991" t="str">
        <f t="shared" si="1"/>
        <v/>
      </c>
      <c r="V74" s="1994"/>
    </row>
    <row r="75" spans="1:22" s="1942" customFormat="1" ht="14" customHeight="1" outlineLevel="3">
      <c r="A75" s="1944"/>
      <c r="B75" s="1978" t="s">
        <v>3465</v>
      </c>
      <c r="C75" s="1810"/>
      <c r="D75" s="2008" t="s">
        <v>3466</v>
      </c>
      <c r="E75" s="2009" t="s">
        <v>3467</v>
      </c>
      <c r="F75" s="1462" t="s">
        <v>1502</v>
      </c>
      <c r="G75" s="1953" t="s">
        <v>4133</v>
      </c>
      <c r="H75" s="1975" t="s">
        <v>10</v>
      </c>
      <c r="I75" s="1712">
        <f>$E$5</f>
        <v>0</v>
      </c>
      <c r="J75" s="2099">
        <v>1</v>
      </c>
      <c r="K75" s="1950" t="s">
        <v>101</v>
      </c>
      <c r="L75" s="1947" t="s">
        <v>10</v>
      </c>
      <c r="M75" s="1754">
        <f t="shared" si="26"/>
        <v>0</v>
      </c>
      <c r="N75" s="1712">
        <v>68</v>
      </c>
      <c r="O75" s="1712">
        <f>ROUND(M75*ROUND(N75,2)/10000,6)</f>
        <v>0</v>
      </c>
      <c r="P75" s="1712">
        <f>IFERROR(ROUND(Q75*10000/M75,2),0)</f>
        <v>0</v>
      </c>
      <c r="Q75" s="1712">
        <f>ROUND(O75/(1+R75),6)</f>
        <v>0</v>
      </c>
      <c r="R75" s="1757">
        <v>0.09</v>
      </c>
      <c r="S75" s="1712">
        <f>O75-Q75</f>
        <v>0</v>
      </c>
      <c r="T75" s="1712" t="str">
        <f t="shared" ref="T75:T138" si="27">IFERROR(Q75*10000/$E$6,"")</f>
        <v/>
      </c>
      <c r="U75" s="1712" t="str">
        <f t="shared" ref="U75:U138" si="28">IFERROR(O75*10000/$E$6,"")</f>
        <v/>
      </c>
      <c r="V75" s="1952"/>
    </row>
    <row r="76" spans="1:22" s="1942" customFormat="1" ht="14" customHeight="1" outlineLevel="2">
      <c r="A76" s="1944"/>
      <c r="B76" s="1978" t="s">
        <v>3468</v>
      </c>
      <c r="C76" s="1810"/>
      <c r="D76" s="2008" t="s">
        <v>668</v>
      </c>
      <c r="E76" s="2009" t="s">
        <v>3469</v>
      </c>
      <c r="F76" s="1462" t="s">
        <v>3470</v>
      </c>
      <c r="G76" s="1953" t="s">
        <v>4135</v>
      </c>
      <c r="H76" s="1975" t="s">
        <v>3926</v>
      </c>
      <c r="I76" s="1712">
        <f>$G$7</f>
        <v>0</v>
      </c>
      <c r="J76" s="2099">
        <v>1</v>
      </c>
      <c r="K76" s="1950" t="s">
        <v>3947</v>
      </c>
      <c r="L76" s="1947" t="s">
        <v>3926</v>
      </c>
      <c r="M76" s="1754">
        <f t="shared" si="26"/>
        <v>0</v>
      </c>
      <c r="N76" s="1712">
        <v>2683</v>
      </c>
      <c r="O76" s="1712">
        <f>ROUND(M76*ROUND(N76,2)/10000,6)</f>
        <v>0</v>
      </c>
      <c r="P76" s="1712">
        <f>IFERROR(ROUND(Q76*10000/M76,2),0)</f>
        <v>0</v>
      </c>
      <c r="Q76" s="1712">
        <f>ROUND(O76/(1+R76),6)</f>
        <v>0</v>
      </c>
      <c r="R76" s="1757">
        <v>0.13</v>
      </c>
      <c r="S76" s="1712">
        <f>O76-Q76</f>
        <v>0</v>
      </c>
      <c r="T76" s="1712" t="str">
        <f t="shared" si="27"/>
        <v/>
      </c>
      <c r="U76" s="1712" t="str">
        <f t="shared" si="28"/>
        <v/>
      </c>
      <c r="V76" s="1952"/>
    </row>
    <row r="77" spans="1:22" s="1942" customFormat="1" ht="14" customHeight="1" outlineLevel="2">
      <c r="A77" s="1944"/>
      <c r="B77" s="1978" t="s">
        <v>3471</v>
      </c>
      <c r="C77" s="1810"/>
      <c r="D77" s="2008" t="s">
        <v>3472</v>
      </c>
      <c r="E77" s="2009"/>
      <c r="F77" s="1462"/>
      <c r="G77" s="1953" t="s">
        <v>4117</v>
      </c>
      <c r="H77" s="1947"/>
      <c r="I77" s="1948"/>
      <c r="J77" s="2099"/>
      <c r="K77" s="2016"/>
      <c r="L77" s="1947"/>
      <c r="M77" s="1754"/>
      <c r="N77" s="1712"/>
      <c r="O77" s="1712">
        <f>SUBTOTAL(9,O78:O81)</f>
        <v>0</v>
      </c>
      <c r="P77" s="1712"/>
      <c r="Q77" s="1712">
        <f>SUBTOTAL(9,Q78:Q81)</f>
        <v>0</v>
      </c>
      <c r="R77" s="1712"/>
      <c r="S77" s="1712">
        <f>SUBTOTAL(9,S78:S81)</f>
        <v>0</v>
      </c>
      <c r="T77" s="1712" t="str">
        <f t="shared" si="27"/>
        <v/>
      </c>
      <c r="U77" s="1712" t="str">
        <f t="shared" si="28"/>
        <v/>
      </c>
      <c r="V77" s="2015"/>
    </row>
    <row r="78" spans="1:22" s="1942" customFormat="1" ht="14" customHeight="1" outlineLevel="3">
      <c r="A78" s="1944"/>
      <c r="B78" s="1978" t="s">
        <v>3473</v>
      </c>
      <c r="C78" s="1810"/>
      <c r="D78" s="2008" t="s">
        <v>3474</v>
      </c>
      <c r="E78" s="2009" t="s">
        <v>3475</v>
      </c>
      <c r="F78" s="1462" t="s">
        <v>456</v>
      </c>
      <c r="G78" s="1953" t="s">
        <v>4136</v>
      </c>
      <c r="H78" s="1947" t="s">
        <v>18</v>
      </c>
      <c r="I78" s="1948">
        <f>+I5</f>
        <v>0</v>
      </c>
      <c r="J78" s="2099">
        <v>1</v>
      </c>
      <c r="K78" s="2016" t="s">
        <v>4046</v>
      </c>
      <c r="L78" s="1947" t="s">
        <v>4047</v>
      </c>
      <c r="M78" s="1754">
        <f t="shared" si="26"/>
        <v>0</v>
      </c>
      <c r="N78" s="1712">
        <v>155000</v>
      </c>
      <c r="O78" s="1712">
        <f>ROUND(M78*ROUND(N78,2)/10000,6)</f>
        <v>0</v>
      </c>
      <c r="P78" s="1712">
        <f>IFERROR(ROUND(Q78*10000/M78,2),0)</f>
        <v>0</v>
      </c>
      <c r="Q78" s="1712">
        <f>ROUND(O78/(1+R78),6)</f>
        <v>0</v>
      </c>
      <c r="R78" s="1757">
        <v>0.13</v>
      </c>
      <c r="S78" s="1712">
        <f>O78-Q78</f>
        <v>0</v>
      </c>
      <c r="T78" s="1712" t="str">
        <f t="shared" si="27"/>
        <v/>
      </c>
      <c r="U78" s="1712" t="str">
        <f t="shared" si="28"/>
        <v/>
      </c>
      <c r="V78" s="1952"/>
    </row>
    <row r="79" spans="1:22" s="1942" customFormat="1" ht="14" customHeight="1" outlineLevel="3">
      <c r="A79" s="1944"/>
      <c r="B79" s="1978" t="s">
        <v>3476</v>
      </c>
      <c r="C79" s="1810"/>
      <c r="D79" s="2008" t="s">
        <v>3477</v>
      </c>
      <c r="E79" s="2009" t="s">
        <v>3478</v>
      </c>
      <c r="F79" s="1462" t="s">
        <v>460</v>
      </c>
      <c r="G79" s="1953" t="s">
        <v>4137</v>
      </c>
      <c r="H79" s="1947" t="s">
        <v>18</v>
      </c>
      <c r="I79" s="1948">
        <f>+I78</f>
        <v>0</v>
      </c>
      <c r="J79" s="2099">
        <v>1</v>
      </c>
      <c r="K79" s="2016" t="s">
        <v>4046</v>
      </c>
      <c r="L79" s="1947" t="s">
        <v>4047</v>
      </c>
      <c r="M79" s="1754">
        <f t="shared" si="26"/>
        <v>0</v>
      </c>
      <c r="N79" s="1712">
        <v>55000</v>
      </c>
      <c r="O79" s="1712">
        <f>ROUND(M79*ROUND(N79,2)/10000,6)</f>
        <v>0</v>
      </c>
      <c r="P79" s="1712">
        <f>IFERROR(ROUND(Q79*10000/M79,2),0)</f>
        <v>0</v>
      </c>
      <c r="Q79" s="1712">
        <f>ROUND(O79/(1+R79),6)</f>
        <v>0</v>
      </c>
      <c r="R79" s="1757">
        <v>0.09</v>
      </c>
      <c r="S79" s="1712">
        <f>O79-Q79</f>
        <v>0</v>
      </c>
      <c r="T79" s="1712" t="str">
        <f t="shared" si="27"/>
        <v/>
      </c>
      <c r="U79" s="1712" t="str">
        <f t="shared" si="28"/>
        <v/>
      </c>
      <c r="V79" s="1952"/>
    </row>
    <row r="80" spans="1:22" s="1942" customFormat="1" ht="14" customHeight="1" outlineLevel="3">
      <c r="A80" s="1944"/>
      <c r="B80" s="1978" t="s">
        <v>3479</v>
      </c>
      <c r="C80" s="1810"/>
      <c r="D80" s="2008" t="s">
        <v>3480</v>
      </c>
      <c r="E80" s="2009" t="s">
        <v>3481</v>
      </c>
      <c r="F80" s="1462" t="s">
        <v>456</v>
      </c>
      <c r="G80" s="1953" t="s">
        <v>4136</v>
      </c>
      <c r="H80" s="1975" t="s">
        <v>3969</v>
      </c>
      <c r="I80" s="1948"/>
      <c r="J80" s="2099">
        <v>0</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t="str">
        <f t="shared" si="27"/>
        <v/>
      </c>
      <c r="U80" s="1712" t="str">
        <f t="shared" si="28"/>
        <v/>
      </c>
      <c r="V80" s="2015"/>
    </row>
    <row r="81" spans="1:22" s="1942" customFormat="1" ht="14" customHeight="1" outlineLevel="3">
      <c r="A81" s="1944"/>
      <c r="B81" s="1978" t="s">
        <v>3482</v>
      </c>
      <c r="C81" s="1810"/>
      <c r="D81" s="2008" t="s">
        <v>1682</v>
      </c>
      <c r="E81" s="2009" t="s">
        <v>3483</v>
      </c>
      <c r="F81" s="1462" t="s">
        <v>460</v>
      </c>
      <c r="G81" s="1953" t="s">
        <v>4137</v>
      </c>
      <c r="H81" s="1975" t="s">
        <v>3969</v>
      </c>
      <c r="I81" s="1948"/>
      <c r="J81" s="2099">
        <v>0</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t="str">
        <f t="shared" si="27"/>
        <v/>
      </c>
      <c r="U81" s="1712" t="str">
        <f t="shared" si="28"/>
        <v/>
      </c>
      <c r="V81" s="2015"/>
    </row>
    <row r="82" spans="1:22" s="1942" customFormat="1" ht="14" customHeight="1" outlineLevel="2">
      <c r="A82" s="1944"/>
      <c r="B82" s="1978" t="s">
        <v>3484</v>
      </c>
      <c r="C82" s="1810"/>
      <c r="D82" s="2008" t="s">
        <v>3485</v>
      </c>
      <c r="E82" s="2009"/>
      <c r="F82" s="1462"/>
      <c r="G82" s="1953" t="s">
        <v>4117</v>
      </c>
      <c r="H82" s="1947"/>
      <c r="I82" s="1948"/>
      <c r="J82" s="2099"/>
      <c r="K82" s="2016"/>
      <c r="L82" s="1947"/>
      <c r="M82" s="1950"/>
      <c r="N82" s="1712"/>
      <c r="O82" s="1712">
        <f>SUBTOTAL(9,O83:O93)</f>
        <v>0</v>
      </c>
      <c r="P82" s="1712"/>
      <c r="Q82" s="1712">
        <f>SUBTOTAL(9,Q83:Q93)</f>
        <v>0</v>
      </c>
      <c r="R82" s="1712"/>
      <c r="S82" s="1712">
        <f>SUBTOTAL(9,S83:S93)</f>
        <v>0</v>
      </c>
      <c r="T82" s="1712" t="str">
        <f t="shared" si="27"/>
        <v/>
      </c>
      <c r="U82" s="1712" t="str">
        <f t="shared" si="28"/>
        <v/>
      </c>
      <c r="V82" s="2015"/>
    </row>
    <row r="83" spans="1:22" s="1942" customFormat="1" ht="14" customHeight="1" outlineLevel="3">
      <c r="A83" s="1944"/>
      <c r="B83" s="1978" t="s">
        <v>3486</v>
      </c>
      <c r="C83" s="1810"/>
      <c r="D83" s="2017" t="s">
        <v>3487</v>
      </c>
      <c r="E83" s="2009" t="s">
        <v>3488</v>
      </c>
      <c r="F83" s="1462" t="s">
        <v>455</v>
      </c>
      <c r="G83" s="1953" t="s">
        <v>4128</v>
      </c>
      <c r="H83" s="1975" t="s">
        <v>10</v>
      </c>
      <c r="I83" s="1712">
        <f>$E$5</f>
        <v>0</v>
      </c>
      <c r="J83" s="2099">
        <v>1</v>
      </c>
      <c r="K83" s="1950" t="s">
        <v>101</v>
      </c>
      <c r="L83" s="1947" t="s">
        <v>10</v>
      </c>
      <c r="M83" s="1754">
        <f t="shared" si="26"/>
        <v>0</v>
      </c>
      <c r="N83" s="1712">
        <v>10</v>
      </c>
      <c r="O83" s="1712">
        <f>ROUND(M83*ROUND(N83,2)/10000,6)</f>
        <v>0</v>
      </c>
      <c r="P83" s="1712">
        <f>IFERROR(ROUND(Q83*10000/M83,2),0)</f>
        <v>0</v>
      </c>
      <c r="Q83" s="1712">
        <f>ROUND(O83/(1+R83),6)</f>
        <v>0</v>
      </c>
      <c r="R83" s="1757">
        <v>0.09</v>
      </c>
      <c r="S83" s="1712">
        <f>O83-Q83</f>
        <v>0</v>
      </c>
      <c r="T83" s="1712" t="str">
        <f t="shared" si="27"/>
        <v/>
      </c>
      <c r="U83" s="1712" t="str">
        <f t="shared" si="28"/>
        <v/>
      </c>
      <c r="V83" s="1952"/>
    </row>
    <row r="84" spans="1:22" s="1942" customFormat="1" ht="14" customHeight="1" outlineLevel="3">
      <c r="A84" s="1944"/>
      <c r="B84" s="1978" t="s">
        <v>3489</v>
      </c>
      <c r="C84" s="1810"/>
      <c r="D84" s="2017" t="s">
        <v>3490</v>
      </c>
      <c r="E84" s="2009" t="s">
        <v>3491</v>
      </c>
      <c r="F84" s="1462"/>
      <c r="G84" s="1953" t="s">
        <v>4117</v>
      </c>
      <c r="H84" s="1975"/>
      <c r="I84" s="1712"/>
      <c r="J84" s="2099"/>
      <c r="K84" s="1950"/>
      <c r="L84" s="1947" t="s">
        <v>10</v>
      </c>
      <c r="M84" s="1754"/>
      <c r="N84" s="1712"/>
      <c r="O84" s="1712">
        <f>SUBTOTAL(9,O85:O86)</f>
        <v>0</v>
      </c>
      <c r="P84" s="1983"/>
      <c r="Q84" s="1712">
        <f>SUBTOTAL(9,Q85:Q86)</f>
        <v>0</v>
      </c>
      <c r="R84" s="1757"/>
      <c r="S84" s="1712">
        <f>SUBTOTAL(9,S85:S86)</f>
        <v>0</v>
      </c>
      <c r="T84" s="1712" t="str">
        <f t="shared" si="27"/>
        <v/>
      </c>
      <c r="U84" s="1712" t="str">
        <f t="shared" si="28"/>
        <v/>
      </c>
      <c r="V84" s="1952"/>
    </row>
    <row r="85" spans="1:22" s="1942" customFormat="1" ht="14" customHeight="1" outlineLevel="4">
      <c r="A85" s="1944"/>
      <c r="B85" s="1985" t="s">
        <v>4049</v>
      </c>
      <c r="C85" s="1828"/>
      <c r="D85" s="2018" t="s">
        <v>4050</v>
      </c>
      <c r="E85" s="2011"/>
      <c r="F85" s="1988" t="s">
        <v>455</v>
      </c>
      <c r="G85" s="1989" t="s">
        <v>4128</v>
      </c>
      <c r="H85" s="2012" t="s">
        <v>10</v>
      </c>
      <c r="I85" s="1991">
        <f>$E$5</f>
        <v>0</v>
      </c>
      <c r="J85" s="2124">
        <v>1</v>
      </c>
      <c r="K85" s="2000" t="s">
        <v>101</v>
      </c>
      <c r="L85" s="1990" t="s">
        <v>10</v>
      </c>
      <c r="M85" s="1991">
        <f t="shared" ref="M85:M94" si="29">ROUND(I85,2)*ROUND(J85,4)</f>
        <v>0</v>
      </c>
      <c r="N85" s="1991">
        <v>15</v>
      </c>
      <c r="O85" s="1991">
        <f t="shared" ref="O85:O94" si="30">ROUND(M85*ROUND(N85,2)/10000,6)</f>
        <v>0</v>
      </c>
      <c r="P85" s="1991">
        <f t="shared" ref="P85:P94" si="31">IFERROR(ROUND(Q85*10000/M85,2),0)</f>
        <v>0</v>
      </c>
      <c r="Q85" s="1991">
        <f t="shared" ref="Q85:Q94" si="32">ROUND(O85/(1+R85),6)</f>
        <v>0</v>
      </c>
      <c r="R85" s="1993">
        <v>0.09</v>
      </c>
      <c r="S85" s="1991">
        <f t="shared" ref="S85:S94" si="33">O85-Q85</f>
        <v>0</v>
      </c>
      <c r="T85" s="1991" t="str">
        <f t="shared" si="27"/>
        <v/>
      </c>
      <c r="U85" s="1991" t="str">
        <f t="shared" si="28"/>
        <v/>
      </c>
      <c r="V85" s="1994"/>
    </row>
    <row r="86" spans="1:22" s="1942" customFormat="1" ht="14" customHeight="1" outlineLevel="4">
      <c r="A86" s="1944"/>
      <c r="B86" s="1985" t="s">
        <v>4051</v>
      </c>
      <c r="C86" s="1828"/>
      <c r="D86" s="2018" t="s">
        <v>4052</v>
      </c>
      <c r="E86" s="2011"/>
      <c r="F86" s="1988" t="s">
        <v>3831</v>
      </c>
      <c r="G86" s="1989" t="s">
        <v>4138</v>
      </c>
      <c r="H86" s="2012" t="s">
        <v>10</v>
      </c>
      <c r="I86" s="1991">
        <f>$E$5</f>
        <v>0</v>
      </c>
      <c r="J86" s="2124">
        <v>1</v>
      </c>
      <c r="K86" s="2000" t="s">
        <v>101</v>
      </c>
      <c r="L86" s="1990" t="s">
        <v>10</v>
      </c>
      <c r="M86" s="1991">
        <f t="shared" si="29"/>
        <v>0</v>
      </c>
      <c r="N86" s="1991">
        <v>5</v>
      </c>
      <c r="O86" s="1991">
        <f t="shared" si="30"/>
        <v>0</v>
      </c>
      <c r="P86" s="1991">
        <f t="shared" si="31"/>
        <v>0</v>
      </c>
      <c r="Q86" s="1991">
        <f t="shared" si="32"/>
        <v>0</v>
      </c>
      <c r="R86" s="1993">
        <v>0.13</v>
      </c>
      <c r="S86" s="1991">
        <f t="shared" si="33"/>
        <v>0</v>
      </c>
      <c r="T86" s="1991" t="str">
        <f t="shared" si="27"/>
        <v/>
      </c>
      <c r="U86" s="1991" t="str">
        <f t="shared" si="28"/>
        <v/>
      </c>
      <c r="V86" s="1994"/>
    </row>
    <row r="87" spans="1:22" s="1942" customFormat="1" ht="14" customHeight="1" outlineLevel="3">
      <c r="A87" s="1944"/>
      <c r="B87" s="1978" t="s">
        <v>3492</v>
      </c>
      <c r="C87" s="1810"/>
      <c r="D87" s="2017" t="s">
        <v>3493</v>
      </c>
      <c r="E87" s="2009" t="s">
        <v>3494</v>
      </c>
      <c r="F87" s="1462" t="s">
        <v>455</v>
      </c>
      <c r="G87" s="1953" t="s">
        <v>4128</v>
      </c>
      <c r="H87" s="1975" t="s">
        <v>10</v>
      </c>
      <c r="I87" s="1712">
        <f>$E$5</f>
        <v>0</v>
      </c>
      <c r="J87" s="2099">
        <v>1</v>
      </c>
      <c r="K87" s="1950" t="s">
        <v>101</v>
      </c>
      <c r="L87" s="1947" t="s">
        <v>10</v>
      </c>
      <c r="M87" s="1754">
        <f t="shared" si="29"/>
        <v>0</v>
      </c>
      <c r="N87" s="1712">
        <v>0.5</v>
      </c>
      <c r="O87" s="1712">
        <f t="shared" si="30"/>
        <v>0</v>
      </c>
      <c r="P87" s="1712">
        <f t="shared" si="31"/>
        <v>0</v>
      </c>
      <c r="Q87" s="1712">
        <f t="shared" si="32"/>
        <v>0</v>
      </c>
      <c r="R87" s="1757">
        <v>0.09</v>
      </c>
      <c r="S87" s="1712">
        <f t="shared" si="33"/>
        <v>0</v>
      </c>
      <c r="T87" s="1712" t="str">
        <f t="shared" si="27"/>
        <v/>
      </c>
      <c r="U87" s="1712" t="str">
        <f t="shared" si="28"/>
        <v/>
      </c>
      <c r="V87" s="1952"/>
    </row>
    <row r="88" spans="1:22" s="1942" customFormat="1" ht="14" customHeight="1" outlineLevel="3">
      <c r="A88" s="1944"/>
      <c r="B88" s="1978" t="s">
        <v>3495</v>
      </c>
      <c r="C88" s="1810"/>
      <c r="D88" s="2017" t="s">
        <v>3496</v>
      </c>
      <c r="E88" s="2009" t="s">
        <v>3497</v>
      </c>
      <c r="F88" s="1462" t="s">
        <v>455</v>
      </c>
      <c r="G88" s="1953" t="s">
        <v>4128</v>
      </c>
      <c r="H88" s="1975" t="s">
        <v>10</v>
      </c>
      <c r="I88" s="1712">
        <f t="shared" ref="I88:I99" si="34">$E$5</f>
        <v>0</v>
      </c>
      <c r="J88" s="2099">
        <v>1</v>
      </c>
      <c r="K88" s="1950" t="s">
        <v>101</v>
      </c>
      <c r="L88" s="1947" t="s">
        <v>10</v>
      </c>
      <c r="M88" s="1754">
        <f t="shared" si="29"/>
        <v>0</v>
      </c>
      <c r="N88" s="1712"/>
      <c r="O88" s="1712">
        <f t="shared" si="30"/>
        <v>0</v>
      </c>
      <c r="P88" s="1712">
        <f t="shared" si="31"/>
        <v>0</v>
      </c>
      <c r="Q88" s="1712">
        <f t="shared" si="32"/>
        <v>0</v>
      </c>
      <c r="R88" s="1757">
        <v>0.09</v>
      </c>
      <c r="S88" s="1712">
        <f t="shared" si="33"/>
        <v>0</v>
      </c>
      <c r="T88" s="1712" t="str">
        <f t="shared" si="27"/>
        <v/>
      </c>
      <c r="U88" s="1712" t="str">
        <f t="shared" si="28"/>
        <v/>
      </c>
      <c r="V88" s="1952"/>
    </row>
    <row r="89" spans="1:22" s="1942" customFormat="1" ht="14" customHeight="1" outlineLevel="3">
      <c r="A89" s="1944"/>
      <c r="B89" s="1978" t="s">
        <v>3498</v>
      </c>
      <c r="C89" s="1810"/>
      <c r="D89" s="2017" t="s">
        <v>3499</v>
      </c>
      <c r="E89" s="2009" t="s">
        <v>3500</v>
      </c>
      <c r="F89" s="1462" t="s">
        <v>455</v>
      </c>
      <c r="G89" s="1953" t="s">
        <v>4128</v>
      </c>
      <c r="H89" s="1975" t="s">
        <v>10</v>
      </c>
      <c r="I89" s="1712">
        <f t="shared" si="34"/>
        <v>0</v>
      </c>
      <c r="J89" s="2099">
        <v>1</v>
      </c>
      <c r="K89" s="1950" t="s">
        <v>101</v>
      </c>
      <c r="L89" s="1947" t="s">
        <v>10</v>
      </c>
      <c r="M89" s="1754">
        <f t="shared" si="29"/>
        <v>0</v>
      </c>
      <c r="N89" s="1712">
        <v>2.5</v>
      </c>
      <c r="O89" s="1712">
        <f t="shared" si="30"/>
        <v>0</v>
      </c>
      <c r="P89" s="1712">
        <f t="shared" si="31"/>
        <v>0</v>
      </c>
      <c r="Q89" s="1712">
        <f t="shared" si="32"/>
        <v>0</v>
      </c>
      <c r="R89" s="1757">
        <v>0.09</v>
      </c>
      <c r="S89" s="1712">
        <f t="shared" si="33"/>
        <v>0</v>
      </c>
      <c r="T89" s="1712" t="str">
        <f t="shared" si="27"/>
        <v/>
      </c>
      <c r="U89" s="1712" t="str">
        <f t="shared" si="28"/>
        <v/>
      </c>
      <c r="V89" s="1952"/>
    </row>
    <row r="90" spans="1:22" s="1942" customFormat="1" ht="14" customHeight="1" outlineLevel="3">
      <c r="A90" s="1944"/>
      <c r="B90" s="1978" t="s">
        <v>3501</v>
      </c>
      <c r="C90" s="1810"/>
      <c r="D90" s="2017" t="s">
        <v>3502</v>
      </c>
      <c r="E90" s="2009" t="s">
        <v>3503</v>
      </c>
      <c r="F90" s="1462" t="s">
        <v>455</v>
      </c>
      <c r="G90" s="1953" t="s">
        <v>4128</v>
      </c>
      <c r="H90" s="1975" t="s">
        <v>10</v>
      </c>
      <c r="I90" s="1712">
        <f t="shared" si="34"/>
        <v>0</v>
      </c>
      <c r="J90" s="2099">
        <v>1</v>
      </c>
      <c r="K90" s="1950" t="s">
        <v>101</v>
      </c>
      <c r="L90" s="1947" t="s">
        <v>10</v>
      </c>
      <c r="M90" s="1754">
        <f t="shared" si="29"/>
        <v>0</v>
      </c>
      <c r="N90" s="1712"/>
      <c r="O90" s="1712">
        <f t="shared" si="30"/>
        <v>0</v>
      </c>
      <c r="P90" s="1712">
        <f t="shared" si="31"/>
        <v>0</v>
      </c>
      <c r="Q90" s="1712">
        <f t="shared" si="32"/>
        <v>0</v>
      </c>
      <c r="R90" s="1757">
        <v>0.09</v>
      </c>
      <c r="S90" s="1712">
        <f t="shared" si="33"/>
        <v>0</v>
      </c>
      <c r="T90" s="1712" t="str">
        <f t="shared" si="27"/>
        <v/>
      </c>
      <c r="U90" s="1712" t="str">
        <f t="shared" si="28"/>
        <v/>
      </c>
      <c r="V90" s="2015"/>
    </row>
    <row r="91" spans="1:22" s="1942" customFormat="1" ht="14" customHeight="1" outlineLevel="3">
      <c r="A91" s="1944"/>
      <c r="B91" s="1978" t="s">
        <v>3504</v>
      </c>
      <c r="C91" s="1810"/>
      <c r="D91" s="2017" t="s">
        <v>3505</v>
      </c>
      <c r="E91" s="2009" t="s">
        <v>3506</v>
      </c>
      <c r="F91" s="1462" t="s">
        <v>455</v>
      </c>
      <c r="G91" s="1953" t="s">
        <v>4128</v>
      </c>
      <c r="H91" s="1975" t="s">
        <v>10</v>
      </c>
      <c r="I91" s="1712">
        <f t="shared" si="34"/>
        <v>0</v>
      </c>
      <c r="J91" s="2099">
        <v>1</v>
      </c>
      <c r="K91" s="1950" t="s">
        <v>101</v>
      </c>
      <c r="L91" s="1947" t="s">
        <v>10</v>
      </c>
      <c r="M91" s="1754">
        <f t="shared" si="29"/>
        <v>0</v>
      </c>
      <c r="N91" s="1712"/>
      <c r="O91" s="1712">
        <f t="shared" si="30"/>
        <v>0</v>
      </c>
      <c r="P91" s="1712">
        <f t="shared" si="31"/>
        <v>0</v>
      </c>
      <c r="Q91" s="1712">
        <f t="shared" si="32"/>
        <v>0</v>
      </c>
      <c r="R91" s="1757">
        <v>0.09</v>
      </c>
      <c r="S91" s="1712">
        <f t="shared" si="33"/>
        <v>0</v>
      </c>
      <c r="T91" s="1712" t="str">
        <f t="shared" si="27"/>
        <v/>
      </c>
      <c r="U91" s="1712" t="str">
        <f t="shared" si="28"/>
        <v/>
      </c>
      <c r="V91" s="2015"/>
    </row>
    <row r="92" spans="1:22" s="1942" customFormat="1" ht="14" customHeight="1" outlineLevel="3">
      <c r="A92" s="1944"/>
      <c r="B92" s="1978" t="s">
        <v>3507</v>
      </c>
      <c r="C92" s="1810"/>
      <c r="D92" s="2017" t="s">
        <v>3508</v>
      </c>
      <c r="E92" s="2009" t="s">
        <v>3509</v>
      </c>
      <c r="F92" s="1462" t="s">
        <v>455</v>
      </c>
      <c r="G92" s="1953" t="s">
        <v>4128</v>
      </c>
      <c r="H92" s="1975" t="s">
        <v>10</v>
      </c>
      <c r="I92" s="1712">
        <f t="shared" si="34"/>
        <v>0</v>
      </c>
      <c r="J92" s="2099">
        <v>1</v>
      </c>
      <c r="K92" s="1950" t="s">
        <v>101</v>
      </c>
      <c r="L92" s="1947" t="s">
        <v>10</v>
      </c>
      <c r="M92" s="1754">
        <f t="shared" si="29"/>
        <v>0</v>
      </c>
      <c r="N92" s="1712"/>
      <c r="O92" s="1712">
        <f t="shared" si="30"/>
        <v>0</v>
      </c>
      <c r="P92" s="1712">
        <f t="shared" si="31"/>
        <v>0</v>
      </c>
      <c r="Q92" s="1712">
        <f t="shared" si="32"/>
        <v>0</v>
      </c>
      <c r="R92" s="1757">
        <v>0.09</v>
      </c>
      <c r="S92" s="1712">
        <f t="shared" si="33"/>
        <v>0</v>
      </c>
      <c r="T92" s="1712" t="str">
        <f t="shared" si="27"/>
        <v/>
      </c>
      <c r="U92" s="1712" t="str">
        <f t="shared" si="28"/>
        <v/>
      </c>
      <c r="V92" s="2015"/>
    </row>
    <row r="93" spans="1:22" s="1942" customFormat="1" ht="14" customHeight="1" outlineLevel="3">
      <c r="A93" s="1944"/>
      <c r="B93" s="1978" t="s">
        <v>3510</v>
      </c>
      <c r="C93" s="1810"/>
      <c r="D93" s="2017" t="s">
        <v>3511</v>
      </c>
      <c r="E93" s="2009" t="s">
        <v>3512</v>
      </c>
      <c r="F93" s="1462" t="s">
        <v>455</v>
      </c>
      <c r="G93" s="1953" t="s">
        <v>4128</v>
      </c>
      <c r="H93" s="1975" t="s">
        <v>10</v>
      </c>
      <c r="I93" s="1712">
        <f t="shared" si="34"/>
        <v>0</v>
      </c>
      <c r="J93" s="2099">
        <v>1</v>
      </c>
      <c r="K93" s="1950" t="s">
        <v>101</v>
      </c>
      <c r="L93" s="1947" t="s">
        <v>10</v>
      </c>
      <c r="M93" s="1754">
        <f t="shared" si="29"/>
        <v>0</v>
      </c>
      <c r="N93" s="1712"/>
      <c r="O93" s="1712">
        <f t="shared" si="30"/>
        <v>0</v>
      </c>
      <c r="P93" s="1712">
        <f t="shared" si="31"/>
        <v>0</v>
      </c>
      <c r="Q93" s="1712">
        <f t="shared" si="32"/>
        <v>0</v>
      </c>
      <c r="R93" s="1757">
        <v>0.09</v>
      </c>
      <c r="S93" s="1712">
        <f t="shared" si="33"/>
        <v>0</v>
      </c>
      <c r="T93" s="1712" t="str">
        <f t="shared" si="27"/>
        <v/>
      </c>
      <c r="U93" s="1712" t="str">
        <f t="shared" si="28"/>
        <v/>
      </c>
      <c r="V93" s="2015"/>
    </row>
    <row r="94" spans="1:22" s="1942" customFormat="1" ht="14" customHeight="1" outlineLevel="2">
      <c r="A94" s="1944"/>
      <c r="B94" s="1978" t="s">
        <v>3513</v>
      </c>
      <c r="C94" s="1810"/>
      <c r="D94" s="2008" t="s">
        <v>3514</v>
      </c>
      <c r="E94" s="2009" t="s">
        <v>3515</v>
      </c>
      <c r="F94" s="1462" t="s">
        <v>455</v>
      </c>
      <c r="G94" s="1953" t="s">
        <v>4128</v>
      </c>
      <c r="H94" s="1975" t="s">
        <v>10</v>
      </c>
      <c r="I94" s="1712">
        <f t="shared" si="34"/>
        <v>0</v>
      </c>
      <c r="J94" s="2099">
        <v>1</v>
      </c>
      <c r="K94" s="1950" t="s">
        <v>101</v>
      </c>
      <c r="L94" s="1947" t="s">
        <v>10</v>
      </c>
      <c r="M94" s="1754">
        <f t="shared" si="29"/>
        <v>0</v>
      </c>
      <c r="N94" s="1712"/>
      <c r="O94" s="1712">
        <f t="shared" si="30"/>
        <v>0</v>
      </c>
      <c r="P94" s="1712">
        <f t="shared" si="31"/>
        <v>0</v>
      </c>
      <c r="Q94" s="1712">
        <f t="shared" si="32"/>
        <v>0</v>
      </c>
      <c r="R94" s="1757">
        <v>0.09</v>
      </c>
      <c r="S94" s="1712">
        <f t="shared" si="33"/>
        <v>0</v>
      </c>
      <c r="T94" s="1712" t="str">
        <f t="shared" si="27"/>
        <v/>
      </c>
      <c r="U94" s="1712" t="str">
        <f t="shared" si="28"/>
        <v/>
      </c>
      <c r="V94" s="1952"/>
    </row>
    <row r="95" spans="1:22" s="1942" customFormat="1" ht="14" customHeight="1" outlineLevel="2">
      <c r="A95" s="1944"/>
      <c r="B95" s="1978" t="s">
        <v>3516</v>
      </c>
      <c r="C95" s="1810"/>
      <c r="D95" s="2008" t="s">
        <v>3517</v>
      </c>
      <c r="E95" s="2009"/>
      <c r="F95" s="1462"/>
      <c r="G95" s="1953" t="s">
        <v>4117</v>
      </c>
      <c r="H95" s="1947"/>
      <c r="I95" s="1948"/>
      <c r="J95" s="2099"/>
      <c r="K95" s="2016"/>
      <c r="L95" s="1947"/>
      <c r="M95" s="1754"/>
      <c r="N95" s="1712"/>
      <c r="O95" s="1712">
        <f>SUBTOTAL(9,O96:O98)</f>
        <v>0</v>
      </c>
      <c r="P95" s="1983"/>
      <c r="Q95" s="1712">
        <f>SUBTOTAL(9,Q96:Q98)</f>
        <v>0</v>
      </c>
      <c r="R95" s="1757"/>
      <c r="S95" s="1712">
        <f>SUBTOTAL(9,S96:S98)</f>
        <v>0</v>
      </c>
      <c r="T95" s="1712" t="str">
        <f t="shared" si="27"/>
        <v/>
      </c>
      <c r="U95" s="1712" t="str">
        <f t="shared" si="28"/>
        <v/>
      </c>
      <c r="V95" s="2015"/>
    </row>
    <row r="96" spans="1:22" s="1942" customFormat="1" ht="14" customHeight="1" outlineLevel="3">
      <c r="A96" s="1944"/>
      <c r="B96" s="1978" t="s">
        <v>3518</v>
      </c>
      <c r="C96" s="1810"/>
      <c r="D96" s="2008" t="s">
        <v>3519</v>
      </c>
      <c r="E96" s="2009" t="s">
        <v>3520</v>
      </c>
      <c r="F96" s="1462" t="s">
        <v>3521</v>
      </c>
      <c r="G96" s="1953" t="s">
        <v>4139</v>
      </c>
      <c r="H96" s="1947" t="s">
        <v>10</v>
      </c>
      <c r="I96" s="1712">
        <f t="shared" si="34"/>
        <v>0</v>
      </c>
      <c r="J96" s="2099">
        <v>1</v>
      </c>
      <c r="K96" s="1950" t="s">
        <v>101</v>
      </c>
      <c r="L96" s="1947" t="s">
        <v>10</v>
      </c>
      <c r="M96" s="1754">
        <f>ROUND(I96,2)*ROUND(J96,4)</f>
        <v>0</v>
      </c>
      <c r="N96" s="1712"/>
      <c r="O96" s="1712">
        <f>ROUND(M96*ROUND(N96,2)/10000,6)</f>
        <v>0</v>
      </c>
      <c r="P96" s="1712">
        <f>IFERROR(ROUND(Q96*10000/M96,2),0)</f>
        <v>0</v>
      </c>
      <c r="Q96" s="1712">
        <f>ROUND(O96/(1+R96),6)</f>
        <v>0</v>
      </c>
      <c r="R96" s="1757">
        <v>0.13</v>
      </c>
      <c r="S96" s="1712">
        <f>O96-Q96</f>
        <v>0</v>
      </c>
      <c r="T96" s="1712" t="str">
        <f t="shared" si="27"/>
        <v/>
      </c>
      <c r="U96" s="1712" t="str">
        <f t="shared" si="28"/>
        <v/>
      </c>
      <c r="V96" s="2015"/>
    </row>
    <row r="97" spans="1:22" s="1942" customFormat="1" ht="14" customHeight="1" outlineLevel="3">
      <c r="A97" s="1944"/>
      <c r="B97" s="1978" t="s">
        <v>3522</v>
      </c>
      <c r="C97" s="1810"/>
      <c r="D97" s="2008" t="s">
        <v>3523</v>
      </c>
      <c r="E97" s="2009" t="s">
        <v>3524</v>
      </c>
      <c r="F97" s="1462" t="s">
        <v>3521</v>
      </c>
      <c r="G97" s="1953" t="s">
        <v>4139</v>
      </c>
      <c r="H97" s="1975" t="s">
        <v>10</v>
      </c>
      <c r="I97" s="1712">
        <f t="shared" si="34"/>
        <v>0</v>
      </c>
      <c r="J97" s="2099">
        <v>1</v>
      </c>
      <c r="K97" s="1950" t="s">
        <v>101</v>
      </c>
      <c r="L97" s="1947" t="s">
        <v>10</v>
      </c>
      <c r="M97" s="1754">
        <f>ROUND(I97,2)*ROUND(J97,4)</f>
        <v>0</v>
      </c>
      <c r="N97" s="1712"/>
      <c r="O97" s="1712">
        <f>ROUND(M97*ROUND(N97,2)/10000,6)</f>
        <v>0</v>
      </c>
      <c r="P97" s="1712">
        <f>IFERROR(ROUND(Q97*10000/M97,2),0)</f>
        <v>0</v>
      </c>
      <c r="Q97" s="1712">
        <f>ROUND(O97/(1+R97),6)</f>
        <v>0</v>
      </c>
      <c r="R97" s="1757">
        <v>0.13</v>
      </c>
      <c r="S97" s="1712">
        <f>O97-Q97</f>
        <v>0</v>
      </c>
      <c r="T97" s="1712" t="str">
        <f t="shared" si="27"/>
        <v/>
      </c>
      <c r="U97" s="1712" t="str">
        <f t="shared" si="28"/>
        <v/>
      </c>
      <c r="V97" s="2015"/>
    </row>
    <row r="98" spans="1:22" s="1942" customFormat="1" ht="14" customHeight="1" outlineLevel="3">
      <c r="A98" s="1944"/>
      <c r="B98" s="1978" t="s">
        <v>3525</v>
      </c>
      <c r="C98" s="1810"/>
      <c r="D98" s="2008" t="s">
        <v>3526</v>
      </c>
      <c r="E98" s="2009" t="s">
        <v>3527</v>
      </c>
      <c r="F98" s="1462" t="s">
        <v>3521</v>
      </c>
      <c r="G98" s="1953" t="s">
        <v>4139</v>
      </c>
      <c r="H98" s="1975" t="s">
        <v>10</v>
      </c>
      <c r="I98" s="1712">
        <f t="shared" si="34"/>
        <v>0</v>
      </c>
      <c r="J98" s="2099">
        <v>1</v>
      </c>
      <c r="K98" s="1950" t="s">
        <v>101</v>
      </c>
      <c r="L98" s="1947" t="s">
        <v>10</v>
      </c>
      <c r="M98" s="1754">
        <f>ROUND(I98,2)*ROUND(J98,4)</f>
        <v>0</v>
      </c>
      <c r="N98" s="1712"/>
      <c r="O98" s="1712">
        <f>ROUND(M98*ROUND(N98,2)/10000,6)</f>
        <v>0</v>
      </c>
      <c r="P98" s="1712">
        <f>IFERROR(ROUND(Q98*10000/M98,2),0)</f>
        <v>0</v>
      </c>
      <c r="Q98" s="1712">
        <f>ROUND(O98/(1+R98),6)</f>
        <v>0</v>
      </c>
      <c r="R98" s="1757">
        <v>0.13</v>
      </c>
      <c r="S98" s="1712">
        <f>O98-Q98</f>
        <v>0</v>
      </c>
      <c r="T98" s="1712" t="str">
        <f t="shared" si="27"/>
        <v/>
      </c>
      <c r="U98" s="1712" t="str">
        <f t="shared" si="28"/>
        <v/>
      </c>
      <c r="V98" s="2015"/>
    </row>
    <row r="99" spans="1:22" s="1942" customFormat="1" ht="14" customHeight="1" outlineLevel="2">
      <c r="A99" s="1944"/>
      <c r="B99" s="1978" t="s">
        <v>3528</v>
      </c>
      <c r="C99" s="1810"/>
      <c r="D99" s="2017" t="s">
        <v>3529</v>
      </c>
      <c r="E99" s="2009" t="s">
        <v>3530</v>
      </c>
      <c r="F99" s="1462" t="s">
        <v>3531</v>
      </c>
      <c r="G99" s="1953" t="s">
        <v>4140</v>
      </c>
      <c r="H99" s="1975" t="s">
        <v>10</v>
      </c>
      <c r="I99" s="1712">
        <f t="shared" si="34"/>
        <v>0</v>
      </c>
      <c r="J99" s="2099">
        <v>1</v>
      </c>
      <c r="K99" s="1950" t="s">
        <v>101</v>
      </c>
      <c r="L99" s="1947" t="s">
        <v>10</v>
      </c>
      <c r="M99" s="1754">
        <f>ROUND(I99,2)*ROUND(J99,4)</f>
        <v>0</v>
      </c>
      <c r="N99" s="1712"/>
      <c r="O99" s="1712">
        <f>ROUND(M99*ROUND(N99,2)/10000,6)</f>
        <v>0</v>
      </c>
      <c r="P99" s="1712">
        <f>IFERROR(ROUND(Q99*10000/M99,2),0)</f>
        <v>0</v>
      </c>
      <c r="Q99" s="1712">
        <f>ROUND(O99/(1+R99),6)</f>
        <v>0</v>
      </c>
      <c r="R99" s="1757">
        <v>0.09</v>
      </c>
      <c r="S99" s="1712">
        <f>O99-Q99</f>
        <v>0</v>
      </c>
      <c r="T99" s="1712" t="str">
        <f t="shared" si="27"/>
        <v/>
      </c>
      <c r="U99" s="1712" t="str">
        <f t="shared" si="28"/>
        <v/>
      </c>
      <c r="V99" s="2015"/>
    </row>
    <row r="100" spans="1:22">
      <c r="A100" s="2019"/>
      <c r="B100" s="1684">
        <v>5001.04</v>
      </c>
      <c r="C100" s="1685" t="s">
        <v>34</v>
      </c>
      <c r="D100" s="1956" t="s">
        <v>497</v>
      </c>
      <c r="E100" s="1957"/>
      <c r="F100" s="2020"/>
      <c r="G100" s="2021" t="s">
        <v>4117</v>
      </c>
      <c r="H100" s="1959"/>
      <c r="I100" s="1960"/>
      <c r="J100" s="2113"/>
      <c r="K100" s="2022"/>
      <c r="L100" s="1959"/>
      <c r="M100" s="2022"/>
      <c r="N100" s="1963"/>
      <c r="O100" s="1963">
        <f>SUBTOTAL(9,O101:O125)</f>
        <v>0</v>
      </c>
      <c r="P100" s="1963"/>
      <c r="Q100" s="1963">
        <f>SUBTOTAL(9,Q101:Q125)</f>
        <v>0</v>
      </c>
      <c r="R100" s="1963"/>
      <c r="S100" s="1963">
        <f>SUBTOTAL(9,S101:S125)</f>
        <v>0</v>
      </c>
      <c r="T100" s="1963" t="str">
        <f t="shared" si="27"/>
        <v/>
      </c>
      <c r="U100" s="1963" t="str">
        <f t="shared" si="28"/>
        <v/>
      </c>
      <c r="V100" s="1964"/>
    </row>
    <row r="101" spans="1:22" outlineLevel="1">
      <c r="A101" s="2019"/>
      <c r="B101" s="2023" t="s">
        <v>676</v>
      </c>
      <c r="C101" s="1852">
        <v>1</v>
      </c>
      <c r="D101" s="2024" t="s">
        <v>22</v>
      </c>
      <c r="E101" s="2025"/>
      <c r="F101" s="1968"/>
      <c r="G101" s="2007" t="s">
        <v>4117</v>
      </c>
      <c r="H101" s="1967"/>
      <c r="I101" s="1969"/>
      <c r="J101" s="2116"/>
      <c r="K101" s="1971"/>
      <c r="L101" s="1967"/>
      <c r="M101" s="1971"/>
      <c r="N101" s="1973" t="e">
        <f>+O101/E6*10000</f>
        <v>#DIV/0!</v>
      </c>
      <c r="O101" s="1973">
        <f>SUBTOTAL(9,O102:O119)</f>
        <v>0</v>
      </c>
      <c r="P101" s="1973"/>
      <c r="Q101" s="1973">
        <f>SUBTOTAL(9,Q102:Q119)</f>
        <v>0</v>
      </c>
      <c r="R101" s="1973"/>
      <c r="S101" s="1973">
        <f>SUBTOTAL(9,S102:S119)</f>
        <v>0</v>
      </c>
      <c r="T101" s="1973" t="str">
        <f t="shared" si="27"/>
        <v/>
      </c>
      <c r="U101" s="1973" t="str">
        <f t="shared" si="28"/>
        <v/>
      </c>
      <c r="V101" s="1974"/>
    </row>
    <row r="102" spans="1:22" s="1942" customFormat="1" ht="13" outlineLevel="2">
      <c r="A102" s="1944"/>
      <c r="B102" s="1807" t="s">
        <v>677</v>
      </c>
      <c r="C102" s="1808"/>
      <c r="D102" s="1843" t="s">
        <v>3575</v>
      </c>
      <c r="E102" s="2009" t="s">
        <v>3576</v>
      </c>
      <c r="F102" s="1462" t="s">
        <v>3577</v>
      </c>
      <c r="G102" s="1953" t="s">
        <v>4141</v>
      </c>
      <c r="H102" s="1975" t="s">
        <v>10</v>
      </c>
      <c r="I102" s="1712">
        <f>$E$5</f>
        <v>0</v>
      </c>
      <c r="J102" s="2099">
        <v>1</v>
      </c>
      <c r="K102" s="1950" t="s">
        <v>101</v>
      </c>
      <c r="L102" s="1947" t="s">
        <v>10</v>
      </c>
      <c r="M102" s="1754">
        <f t="shared" ref="M102:M123" si="35">ROUND(I102,2)*ROUND(J102,4)</f>
        <v>0</v>
      </c>
      <c r="N102" s="1712"/>
      <c r="O102" s="1712">
        <f>ROUND(M102*ROUND(N102,2)/10000,6)</f>
        <v>0</v>
      </c>
      <c r="P102" s="1712">
        <f t="shared" ref="P102:P119" si="36">IFERROR(ROUND(Q102*10000/M102,2),0)</f>
        <v>0</v>
      </c>
      <c r="Q102" s="1712">
        <f t="shared" ref="Q102:Q119" si="37">ROUND(O102/(1+R102),6)</f>
        <v>0</v>
      </c>
      <c r="R102" s="1757">
        <v>0.09</v>
      </c>
      <c r="S102" s="1712">
        <f t="shared" ref="S102:S119" si="38">O102-Q102</f>
        <v>0</v>
      </c>
      <c r="T102" s="1712" t="str">
        <f t="shared" si="27"/>
        <v/>
      </c>
      <c r="U102" s="1712" t="str">
        <f t="shared" si="28"/>
        <v/>
      </c>
      <c r="V102" s="1952"/>
    </row>
    <row r="103" spans="1:22" s="1942" customFormat="1" ht="13" outlineLevel="2">
      <c r="A103" s="1944"/>
      <c r="B103" s="1807" t="s">
        <v>678</v>
      </c>
      <c r="C103" s="1808"/>
      <c r="D103" s="1843" t="s">
        <v>3578</v>
      </c>
      <c r="E103" s="2009" t="s">
        <v>3579</v>
      </c>
      <c r="F103" s="1462" t="s">
        <v>3580</v>
      </c>
      <c r="G103" s="1953" t="s">
        <v>4142</v>
      </c>
      <c r="H103" s="1975" t="s">
        <v>3926</v>
      </c>
      <c r="I103" s="1712">
        <f>$I$6</f>
        <v>0</v>
      </c>
      <c r="J103" s="2099">
        <v>1</v>
      </c>
      <c r="K103" s="1950" t="s">
        <v>4</v>
      </c>
      <c r="L103" s="1947" t="s">
        <v>10</v>
      </c>
      <c r="M103" s="1754">
        <f t="shared" si="35"/>
        <v>0</v>
      </c>
      <c r="N103" s="1712"/>
      <c r="O103" s="1712">
        <f t="shared" ref="O103:O119" si="39">ROUND(M103*ROUND(N103,2)/10000,6)</f>
        <v>0</v>
      </c>
      <c r="P103" s="1712">
        <f t="shared" si="36"/>
        <v>0</v>
      </c>
      <c r="Q103" s="1712">
        <f t="shared" si="37"/>
        <v>0</v>
      </c>
      <c r="R103" s="1757">
        <v>0.13</v>
      </c>
      <c r="S103" s="1712">
        <f t="shared" si="38"/>
        <v>0</v>
      </c>
      <c r="T103" s="1712" t="str">
        <f t="shared" si="27"/>
        <v/>
      </c>
      <c r="U103" s="1712" t="str">
        <f t="shared" si="28"/>
        <v/>
      </c>
      <c r="V103" s="1952"/>
    </row>
    <row r="104" spans="1:22" s="1942" customFormat="1" ht="13" outlineLevel="2">
      <c r="A104" s="1944"/>
      <c r="B104" s="1807" t="s">
        <v>679</v>
      </c>
      <c r="C104" s="1808"/>
      <c r="D104" s="1843" t="s">
        <v>3581</v>
      </c>
      <c r="E104" s="2009" t="s">
        <v>3582</v>
      </c>
      <c r="F104" s="1462" t="s">
        <v>3014</v>
      </c>
      <c r="G104" s="1953" t="s">
        <v>4143</v>
      </c>
      <c r="H104" s="1975" t="s">
        <v>3926</v>
      </c>
      <c r="I104" s="1712">
        <f>$I$6</f>
        <v>0</v>
      </c>
      <c r="J104" s="2099">
        <v>1</v>
      </c>
      <c r="K104" s="1950" t="s">
        <v>3947</v>
      </c>
      <c r="L104" s="1947" t="s">
        <v>10</v>
      </c>
      <c r="M104" s="1754">
        <f t="shared" si="35"/>
        <v>0</v>
      </c>
      <c r="N104" s="1712"/>
      <c r="O104" s="1712">
        <f t="shared" si="39"/>
        <v>0</v>
      </c>
      <c r="P104" s="1712">
        <f t="shared" si="36"/>
        <v>0</v>
      </c>
      <c r="Q104" s="1712">
        <f t="shared" si="37"/>
        <v>0</v>
      </c>
      <c r="R104" s="1757">
        <v>0.13</v>
      </c>
      <c r="S104" s="1712">
        <f t="shared" si="38"/>
        <v>0</v>
      </c>
      <c r="T104" s="1712" t="str">
        <f t="shared" si="27"/>
        <v/>
      </c>
      <c r="U104" s="1712" t="str">
        <f t="shared" si="28"/>
        <v/>
      </c>
      <c r="V104" s="1952"/>
    </row>
    <row r="105" spans="1:22" s="1942" customFormat="1" ht="13" outlineLevel="2">
      <c r="A105" s="1944"/>
      <c r="B105" s="1807" t="s">
        <v>680</v>
      </c>
      <c r="C105" s="1808"/>
      <c r="D105" s="1843" t="s">
        <v>3583</v>
      </c>
      <c r="E105" s="2009" t="s">
        <v>3584</v>
      </c>
      <c r="F105" s="1462" t="s">
        <v>1329</v>
      </c>
      <c r="G105" s="1953" t="s">
        <v>4132</v>
      </c>
      <c r="H105" s="1975" t="s">
        <v>3926</v>
      </c>
      <c r="I105" s="1712">
        <f>$I$6</f>
        <v>0</v>
      </c>
      <c r="J105" s="2099">
        <v>1</v>
      </c>
      <c r="K105" s="1950" t="s">
        <v>4</v>
      </c>
      <c r="L105" s="1947" t="s">
        <v>10</v>
      </c>
      <c r="M105" s="1754">
        <f t="shared" si="35"/>
        <v>0</v>
      </c>
      <c r="N105" s="1712"/>
      <c r="O105" s="1712">
        <f t="shared" si="39"/>
        <v>0</v>
      </c>
      <c r="P105" s="1712">
        <f t="shared" si="36"/>
        <v>0</v>
      </c>
      <c r="Q105" s="1712">
        <f t="shared" si="37"/>
        <v>0</v>
      </c>
      <c r="R105" s="1757">
        <v>0.13</v>
      </c>
      <c r="S105" s="1712">
        <f t="shared" si="38"/>
        <v>0</v>
      </c>
      <c r="T105" s="1712" t="str">
        <f t="shared" si="27"/>
        <v/>
      </c>
      <c r="U105" s="1712" t="str">
        <f t="shared" si="28"/>
        <v/>
      </c>
      <c r="V105" s="1952"/>
    </row>
    <row r="106" spans="1:22" s="1942" customFormat="1" ht="13" outlineLevel="2">
      <c r="A106" s="1944"/>
      <c r="B106" s="1807" t="s">
        <v>681</v>
      </c>
      <c r="C106" s="1808"/>
      <c r="D106" s="1843" t="s">
        <v>3585</v>
      </c>
      <c r="E106" s="2009" t="s">
        <v>3586</v>
      </c>
      <c r="F106" s="1462" t="s">
        <v>450</v>
      </c>
      <c r="G106" s="1953" t="s">
        <v>4144</v>
      </c>
      <c r="H106" s="1975" t="s">
        <v>10</v>
      </c>
      <c r="I106" s="1712">
        <f>$E$5</f>
        <v>0</v>
      </c>
      <c r="J106" s="2099">
        <v>1</v>
      </c>
      <c r="K106" s="1950" t="s">
        <v>101</v>
      </c>
      <c r="L106" s="1947" t="s">
        <v>10</v>
      </c>
      <c r="M106" s="1754">
        <f t="shared" si="35"/>
        <v>0</v>
      </c>
      <c r="N106" s="1712"/>
      <c r="O106" s="1712">
        <f t="shared" si="39"/>
        <v>0</v>
      </c>
      <c r="P106" s="1712">
        <f t="shared" si="36"/>
        <v>0</v>
      </c>
      <c r="Q106" s="1712">
        <f t="shared" si="37"/>
        <v>0</v>
      </c>
      <c r="R106" s="1757">
        <v>0.13</v>
      </c>
      <c r="S106" s="1712">
        <f t="shared" si="38"/>
        <v>0</v>
      </c>
      <c r="T106" s="1712" t="str">
        <f t="shared" si="27"/>
        <v/>
      </c>
      <c r="U106" s="1712" t="str">
        <f t="shared" si="28"/>
        <v/>
      </c>
      <c r="V106" s="1952"/>
    </row>
    <row r="107" spans="1:22" s="1942" customFormat="1" ht="13.75" customHeight="1" outlineLevel="2">
      <c r="A107" s="1944"/>
      <c r="B107" s="1807" t="s">
        <v>682</v>
      </c>
      <c r="C107" s="1808"/>
      <c r="D107" s="1843" t="s">
        <v>3587</v>
      </c>
      <c r="E107" s="2009" t="s">
        <v>3588</v>
      </c>
      <c r="F107" s="1462" t="s">
        <v>1329</v>
      </c>
      <c r="G107" s="1953" t="s">
        <v>4132</v>
      </c>
      <c r="H107" s="1975" t="s">
        <v>3926</v>
      </c>
      <c r="I107" s="1712">
        <f>$I$6</f>
        <v>0</v>
      </c>
      <c r="J107" s="2099">
        <v>1</v>
      </c>
      <c r="K107" s="1950" t="s">
        <v>4</v>
      </c>
      <c r="L107" s="1947" t="s">
        <v>10</v>
      </c>
      <c r="M107" s="1754">
        <f t="shared" si="35"/>
        <v>0</v>
      </c>
      <c r="N107" s="1712"/>
      <c r="O107" s="1712">
        <f t="shared" si="39"/>
        <v>0</v>
      </c>
      <c r="P107" s="1712">
        <f t="shared" si="36"/>
        <v>0</v>
      </c>
      <c r="Q107" s="1712">
        <f t="shared" si="37"/>
        <v>0</v>
      </c>
      <c r="R107" s="1757">
        <v>0.13</v>
      </c>
      <c r="S107" s="1712">
        <f t="shared" si="38"/>
        <v>0</v>
      </c>
      <c r="T107" s="1712" t="str">
        <f t="shared" si="27"/>
        <v/>
      </c>
      <c r="U107" s="1712" t="str">
        <f t="shared" si="28"/>
        <v/>
      </c>
      <c r="V107" s="1952"/>
    </row>
    <row r="108" spans="1:22" s="1942" customFormat="1" ht="13" outlineLevel="2">
      <c r="A108" s="1944"/>
      <c r="B108" s="1807" t="s">
        <v>683</v>
      </c>
      <c r="C108" s="1808"/>
      <c r="D108" s="1843" t="s">
        <v>3589</v>
      </c>
      <c r="E108" s="2009" t="s">
        <v>3590</v>
      </c>
      <c r="F108" s="1462" t="s">
        <v>1548</v>
      </c>
      <c r="G108" s="1953" t="s">
        <v>4145</v>
      </c>
      <c r="H108" s="1975" t="s">
        <v>3926</v>
      </c>
      <c r="I108" s="1712">
        <f>$I$6</f>
        <v>0</v>
      </c>
      <c r="J108" s="2099">
        <v>1</v>
      </c>
      <c r="K108" s="1950" t="s">
        <v>3947</v>
      </c>
      <c r="L108" s="1947" t="s">
        <v>10</v>
      </c>
      <c r="M108" s="1754">
        <f t="shared" si="35"/>
        <v>0</v>
      </c>
      <c r="N108" s="1712"/>
      <c r="O108" s="1712">
        <f t="shared" si="39"/>
        <v>0</v>
      </c>
      <c r="P108" s="1712">
        <f t="shared" si="36"/>
        <v>0</v>
      </c>
      <c r="Q108" s="1712">
        <f t="shared" si="37"/>
        <v>0</v>
      </c>
      <c r="R108" s="1757">
        <v>0.13</v>
      </c>
      <c r="S108" s="1712">
        <f t="shared" si="38"/>
        <v>0</v>
      </c>
      <c r="T108" s="1712" t="str">
        <f t="shared" si="27"/>
        <v/>
      </c>
      <c r="U108" s="1712" t="str">
        <f t="shared" si="28"/>
        <v/>
      </c>
      <c r="V108" s="1952"/>
    </row>
    <row r="109" spans="1:22" s="1942" customFormat="1" ht="13" outlineLevel="2">
      <c r="A109" s="1944"/>
      <c r="B109" s="1807" t="s">
        <v>1549</v>
      </c>
      <c r="C109" s="1808"/>
      <c r="D109" s="1843" t="s">
        <v>3591</v>
      </c>
      <c r="E109" s="2009" t="s">
        <v>3592</v>
      </c>
      <c r="F109" s="1462" t="s">
        <v>3593</v>
      </c>
      <c r="G109" s="1953" t="s">
        <v>4146</v>
      </c>
      <c r="H109" s="1975" t="s">
        <v>10</v>
      </c>
      <c r="I109" s="1712">
        <f>$E$5</f>
        <v>0</v>
      </c>
      <c r="J109" s="2099">
        <v>1</v>
      </c>
      <c r="K109" s="1950" t="s">
        <v>101</v>
      </c>
      <c r="L109" s="1947" t="s">
        <v>10</v>
      </c>
      <c r="M109" s="1754">
        <f t="shared" si="35"/>
        <v>0</v>
      </c>
      <c r="N109" s="1712"/>
      <c r="O109" s="1712">
        <f t="shared" si="39"/>
        <v>0</v>
      </c>
      <c r="P109" s="1712">
        <f t="shared" si="36"/>
        <v>0</v>
      </c>
      <c r="Q109" s="1712">
        <f t="shared" si="37"/>
        <v>0</v>
      </c>
      <c r="R109" s="1757">
        <v>0.13</v>
      </c>
      <c r="S109" s="1712">
        <f t="shared" si="38"/>
        <v>0</v>
      </c>
      <c r="T109" s="1712" t="str">
        <f t="shared" si="27"/>
        <v/>
      </c>
      <c r="U109" s="1712" t="str">
        <f t="shared" si="28"/>
        <v/>
      </c>
      <c r="V109" s="1952"/>
    </row>
    <row r="110" spans="1:22" s="1942" customFormat="1" ht="13" outlineLevel="2">
      <c r="A110" s="1944"/>
      <c r="B110" s="1807" t="s">
        <v>684</v>
      </c>
      <c r="C110" s="1808"/>
      <c r="D110" s="1843" t="s">
        <v>3594</v>
      </c>
      <c r="E110" s="2009" t="s">
        <v>3595</v>
      </c>
      <c r="F110" s="1462" t="s">
        <v>1329</v>
      </c>
      <c r="G110" s="1953" t="s">
        <v>4132</v>
      </c>
      <c r="H110" s="1975" t="s">
        <v>10</v>
      </c>
      <c r="I110" s="1712">
        <f t="shared" ref="I110:I125" si="40">$E$5</f>
        <v>0</v>
      </c>
      <c r="J110" s="2099">
        <v>1</v>
      </c>
      <c r="K110" s="1950" t="s">
        <v>101</v>
      </c>
      <c r="L110" s="1947" t="s">
        <v>10</v>
      </c>
      <c r="M110" s="1754">
        <f t="shared" si="35"/>
        <v>0</v>
      </c>
      <c r="N110" s="1712"/>
      <c r="O110" s="1712">
        <f t="shared" si="39"/>
        <v>0</v>
      </c>
      <c r="P110" s="1712">
        <f t="shared" si="36"/>
        <v>0</v>
      </c>
      <c r="Q110" s="1712">
        <f t="shared" si="37"/>
        <v>0</v>
      </c>
      <c r="R110" s="1757">
        <v>0.13</v>
      </c>
      <c r="S110" s="1712">
        <f t="shared" si="38"/>
        <v>0</v>
      </c>
      <c r="T110" s="1712" t="str">
        <f t="shared" si="27"/>
        <v/>
      </c>
      <c r="U110" s="1712" t="str">
        <f t="shared" si="28"/>
        <v/>
      </c>
      <c r="V110" s="1952"/>
    </row>
    <row r="111" spans="1:22" s="1942" customFormat="1" ht="13" outlineLevel="2">
      <c r="A111" s="1944"/>
      <c r="B111" s="1807" t="s">
        <v>685</v>
      </c>
      <c r="C111" s="1808"/>
      <c r="D111" s="1843" t="s">
        <v>3596</v>
      </c>
      <c r="E111" s="2009" t="s">
        <v>3597</v>
      </c>
      <c r="F111" s="1462" t="s">
        <v>1329</v>
      </c>
      <c r="G111" s="1953" t="s">
        <v>4132</v>
      </c>
      <c r="H111" s="1975" t="s">
        <v>10</v>
      </c>
      <c r="I111" s="1712">
        <f t="shared" si="40"/>
        <v>0</v>
      </c>
      <c r="J111" s="2099">
        <v>1</v>
      </c>
      <c r="K111" s="1950" t="s">
        <v>101</v>
      </c>
      <c r="L111" s="1947" t="s">
        <v>10</v>
      </c>
      <c r="M111" s="1754">
        <f t="shared" si="35"/>
        <v>0</v>
      </c>
      <c r="N111" s="1712"/>
      <c r="O111" s="1712">
        <f t="shared" si="39"/>
        <v>0</v>
      </c>
      <c r="P111" s="1712">
        <f t="shared" si="36"/>
        <v>0</v>
      </c>
      <c r="Q111" s="1712">
        <f t="shared" si="37"/>
        <v>0</v>
      </c>
      <c r="R111" s="1757">
        <v>0.13</v>
      </c>
      <c r="S111" s="1712">
        <f t="shared" si="38"/>
        <v>0</v>
      </c>
      <c r="T111" s="1712" t="str">
        <f t="shared" si="27"/>
        <v/>
      </c>
      <c r="U111" s="1712" t="str">
        <f t="shared" si="28"/>
        <v/>
      </c>
      <c r="V111" s="1952"/>
    </row>
    <row r="112" spans="1:22" s="1942" customFormat="1" ht="13" outlineLevel="2">
      <c r="A112" s="1944"/>
      <c r="B112" s="1807" t="s">
        <v>686</v>
      </c>
      <c r="C112" s="1808"/>
      <c r="D112" s="1843" t="s">
        <v>3598</v>
      </c>
      <c r="E112" s="2009" t="s">
        <v>3599</v>
      </c>
      <c r="F112" s="1462" t="s">
        <v>1329</v>
      </c>
      <c r="G112" s="1953" t="s">
        <v>4132</v>
      </c>
      <c r="H112" s="1975" t="s">
        <v>10</v>
      </c>
      <c r="I112" s="1712">
        <f t="shared" si="40"/>
        <v>0</v>
      </c>
      <c r="J112" s="2099">
        <v>1</v>
      </c>
      <c r="K112" s="1950" t="s">
        <v>101</v>
      </c>
      <c r="L112" s="1947" t="s">
        <v>10</v>
      </c>
      <c r="M112" s="1754">
        <f t="shared" si="35"/>
        <v>0</v>
      </c>
      <c r="N112" s="1712"/>
      <c r="O112" s="1712">
        <f t="shared" si="39"/>
        <v>0</v>
      </c>
      <c r="P112" s="1712">
        <f t="shared" si="36"/>
        <v>0</v>
      </c>
      <c r="Q112" s="1712">
        <f t="shared" si="37"/>
        <v>0</v>
      </c>
      <c r="R112" s="1757">
        <v>0.13</v>
      </c>
      <c r="S112" s="1712">
        <f t="shared" si="38"/>
        <v>0</v>
      </c>
      <c r="T112" s="1712" t="str">
        <f t="shared" si="27"/>
        <v/>
      </c>
      <c r="U112" s="1712" t="str">
        <f t="shared" si="28"/>
        <v/>
      </c>
      <c r="V112" s="1952"/>
    </row>
    <row r="113" spans="1:22" s="1942" customFormat="1" ht="13" outlineLevel="2">
      <c r="A113" s="1944"/>
      <c r="B113" s="1807" t="s">
        <v>3600</v>
      </c>
      <c r="C113" s="1808"/>
      <c r="D113" s="1843" t="s">
        <v>3601</v>
      </c>
      <c r="E113" s="2009" t="s">
        <v>3602</v>
      </c>
      <c r="F113" s="1462" t="s">
        <v>1329</v>
      </c>
      <c r="G113" s="1953" t="s">
        <v>4132</v>
      </c>
      <c r="H113" s="1975" t="s">
        <v>10</v>
      </c>
      <c r="I113" s="1712">
        <f t="shared" si="40"/>
        <v>0</v>
      </c>
      <c r="J113" s="2099">
        <v>1</v>
      </c>
      <c r="K113" s="1950" t="s">
        <v>101</v>
      </c>
      <c r="L113" s="1947" t="s">
        <v>10</v>
      </c>
      <c r="M113" s="1754">
        <f t="shared" si="35"/>
        <v>0</v>
      </c>
      <c r="N113" s="1712"/>
      <c r="O113" s="1712">
        <f t="shared" si="39"/>
        <v>0</v>
      </c>
      <c r="P113" s="1712">
        <f t="shared" si="36"/>
        <v>0</v>
      </c>
      <c r="Q113" s="1712">
        <f t="shared" si="37"/>
        <v>0</v>
      </c>
      <c r="R113" s="1757">
        <v>0.13</v>
      </c>
      <c r="S113" s="1712">
        <f t="shared" si="38"/>
        <v>0</v>
      </c>
      <c r="T113" s="1712" t="str">
        <f t="shared" si="27"/>
        <v/>
      </c>
      <c r="U113" s="1712" t="str">
        <f t="shared" si="28"/>
        <v/>
      </c>
      <c r="V113" s="1952"/>
    </row>
    <row r="114" spans="1:22" s="1942" customFormat="1" ht="13" outlineLevel="2">
      <c r="A114" s="1944"/>
      <c r="B114" s="1807" t="s">
        <v>3603</v>
      </c>
      <c r="C114" s="1808"/>
      <c r="D114" s="1843" t="s">
        <v>3604</v>
      </c>
      <c r="E114" s="2009" t="s">
        <v>3605</v>
      </c>
      <c r="F114" s="1462" t="s">
        <v>1329</v>
      </c>
      <c r="G114" s="1953" t="s">
        <v>4132</v>
      </c>
      <c r="H114" s="1975" t="s">
        <v>10</v>
      </c>
      <c r="I114" s="1712">
        <f t="shared" si="40"/>
        <v>0</v>
      </c>
      <c r="J114" s="2099">
        <v>1</v>
      </c>
      <c r="K114" s="1950" t="s">
        <v>101</v>
      </c>
      <c r="L114" s="1947" t="s">
        <v>10</v>
      </c>
      <c r="M114" s="1754">
        <f t="shared" si="35"/>
        <v>0</v>
      </c>
      <c r="N114" s="1712"/>
      <c r="O114" s="1712">
        <f t="shared" si="39"/>
        <v>0</v>
      </c>
      <c r="P114" s="1712">
        <f t="shared" si="36"/>
        <v>0</v>
      </c>
      <c r="Q114" s="1712">
        <f t="shared" si="37"/>
        <v>0</v>
      </c>
      <c r="R114" s="1757">
        <v>0.13</v>
      </c>
      <c r="S114" s="1712">
        <f t="shared" si="38"/>
        <v>0</v>
      </c>
      <c r="T114" s="1712" t="str">
        <f t="shared" si="27"/>
        <v/>
      </c>
      <c r="U114" s="1712" t="str">
        <f t="shared" si="28"/>
        <v/>
      </c>
      <c r="V114" s="1952"/>
    </row>
    <row r="115" spans="1:22" s="1942" customFormat="1" ht="13" outlineLevel="2">
      <c r="A115" s="1944"/>
      <c r="B115" s="1807" t="s">
        <v>3606</v>
      </c>
      <c r="C115" s="1808"/>
      <c r="D115" s="1843" t="s">
        <v>3607</v>
      </c>
      <c r="E115" s="2009" t="s">
        <v>3608</v>
      </c>
      <c r="F115" s="1462" t="s">
        <v>1607</v>
      </c>
      <c r="G115" s="1953" t="s">
        <v>4147</v>
      </c>
      <c r="H115" s="1975" t="s">
        <v>10</v>
      </c>
      <c r="I115" s="1712">
        <f t="shared" si="40"/>
        <v>0</v>
      </c>
      <c r="J115" s="2099">
        <v>1</v>
      </c>
      <c r="K115" s="1950" t="s">
        <v>101</v>
      </c>
      <c r="L115" s="1947" t="s">
        <v>10</v>
      </c>
      <c r="M115" s="1754">
        <f t="shared" si="35"/>
        <v>0</v>
      </c>
      <c r="N115" s="1712"/>
      <c r="O115" s="1712">
        <f t="shared" si="39"/>
        <v>0</v>
      </c>
      <c r="P115" s="1712">
        <f t="shared" si="36"/>
        <v>0</v>
      </c>
      <c r="Q115" s="1712">
        <f t="shared" si="37"/>
        <v>0</v>
      </c>
      <c r="R115" s="1757">
        <v>0.13</v>
      </c>
      <c r="S115" s="1712">
        <f t="shared" si="38"/>
        <v>0</v>
      </c>
      <c r="T115" s="1712" t="str">
        <f t="shared" si="27"/>
        <v/>
      </c>
      <c r="U115" s="1712" t="str">
        <f t="shared" si="28"/>
        <v/>
      </c>
      <c r="V115" s="1952"/>
    </row>
    <row r="116" spans="1:22" s="1942" customFormat="1" ht="13" outlineLevel="2">
      <c r="A116" s="1944"/>
      <c r="B116" s="1807" t="s">
        <v>3609</v>
      </c>
      <c r="C116" s="1808"/>
      <c r="D116" s="1843" t="s">
        <v>3610</v>
      </c>
      <c r="E116" s="2009" t="s">
        <v>3611</v>
      </c>
      <c r="F116" s="1462" t="s">
        <v>1607</v>
      </c>
      <c r="G116" s="1953" t="s">
        <v>4147</v>
      </c>
      <c r="H116" s="1975" t="s">
        <v>10</v>
      </c>
      <c r="I116" s="1712">
        <f t="shared" si="40"/>
        <v>0</v>
      </c>
      <c r="J116" s="2099">
        <v>1</v>
      </c>
      <c r="K116" s="1950" t="s">
        <v>101</v>
      </c>
      <c r="L116" s="1947" t="s">
        <v>10</v>
      </c>
      <c r="M116" s="1754">
        <f t="shared" si="35"/>
        <v>0</v>
      </c>
      <c r="N116" s="1712"/>
      <c r="O116" s="1712">
        <f t="shared" si="39"/>
        <v>0</v>
      </c>
      <c r="P116" s="1712">
        <f t="shared" si="36"/>
        <v>0</v>
      </c>
      <c r="Q116" s="1712">
        <f t="shared" si="37"/>
        <v>0</v>
      </c>
      <c r="R116" s="1757">
        <v>0.13</v>
      </c>
      <c r="S116" s="1712">
        <f t="shared" si="38"/>
        <v>0</v>
      </c>
      <c r="T116" s="1712" t="str">
        <f t="shared" si="27"/>
        <v/>
      </c>
      <c r="U116" s="1712" t="str">
        <f t="shared" si="28"/>
        <v/>
      </c>
      <c r="V116" s="1952"/>
    </row>
    <row r="117" spans="1:22" s="1942" customFormat="1" ht="13" outlineLevel="2">
      <c r="A117" s="1944"/>
      <c r="B117" s="1807" t="s">
        <v>3612</v>
      </c>
      <c r="C117" s="1808"/>
      <c r="D117" s="1843" t="s">
        <v>3613</v>
      </c>
      <c r="E117" s="2009" t="s">
        <v>3614</v>
      </c>
      <c r="F117" s="1462" t="s">
        <v>3615</v>
      </c>
      <c r="G117" s="1953" t="s">
        <v>4148</v>
      </c>
      <c r="H117" s="1975" t="s">
        <v>10</v>
      </c>
      <c r="I117" s="1712">
        <f t="shared" si="40"/>
        <v>0</v>
      </c>
      <c r="J117" s="2099">
        <v>1</v>
      </c>
      <c r="K117" s="1950" t="s">
        <v>101</v>
      </c>
      <c r="L117" s="1947" t="s">
        <v>10</v>
      </c>
      <c r="M117" s="1754">
        <f t="shared" si="35"/>
        <v>0</v>
      </c>
      <c r="N117" s="1712"/>
      <c r="O117" s="1712">
        <f t="shared" si="39"/>
        <v>0</v>
      </c>
      <c r="P117" s="1712">
        <f t="shared" si="36"/>
        <v>0</v>
      </c>
      <c r="Q117" s="1712">
        <f t="shared" si="37"/>
        <v>0</v>
      </c>
      <c r="R117" s="1757">
        <v>0.13</v>
      </c>
      <c r="S117" s="1712">
        <f t="shared" si="38"/>
        <v>0</v>
      </c>
      <c r="T117" s="1712" t="str">
        <f t="shared" si="27"/>
        <v/>
      </c>
      <c r="U117" s="1712" t="str">
        <f t="shared" si="28"/>
        <v/>
      </c>
      <c r="V117" s="1952"/>
    </row>
    <row r="118" spans="1:22" s="1942" customFormat="1" ht="13" outlineLevel="2">
      <c r="A118" s="1944"/>
      <c r="B118" s="1807" t="s">
        <v>3616</v>
      </c>
      <c r="C118" s="1808"/>
      <c r="D118" s="1843" t="s">
        <v>3617</v>
      </c>
      <c r="E118" s="2009" t="s">
        <v>3618</v>
      </c>
      <c r="F118" s="1462" t="s">
        <v>3521</v>
      </c>
      <c r="G118" s="1953" t="s">
        <v>4139</v>
      </c>
      <c r="H118" s="1975" t="s">
        <v>10</v>
      </c>
      <c r="I118" s="1712">
        <f t="shared" si="40"/>
        <v>0</v>
      </c>
      <c r="J118" s="2099">
        <v>1</v>
      </c>
      <c r="K118" s="1950" t="s">
        <v>101</v>
      </c>
      <c r="L118" s="1947" t="s">
        <v>10</v>
      </c>
      <c r="M118" s="1754">
        <f t="shared" si="35"/>
        <v>0</v>
      </c>
      <c r="N118" s="1712"/>
      <c r="O118" s="1712">
        <f t="shared" si="39"/>
        <v>0</v>
      </c>
      <c r="P118" s="1712">
        <f t="shared" si="36"/>
        <v>0</v>
      </c>
      <c r="Q118" s="1712">
        <f t="shared" si="37"/>
        <v>0</v>
      </c>
      <c r="R118" s="1757">
        <v>0.13</v>
      </c>
      <c r="S118" s="1712">
        <f t="shared" si="38"/>
        <v>0</v>
      </c>
      <c r="T118" s="1712" t="str">
        <f t="shared" si="27"/>
        <v/>
      </c>
      <c r="U118" s="1712" t="str">
        <f t="shared" si="28"/>
        <v/>
      </c>
      <c r="V118" s="1952"/>
    </row>
    <row r="119" spans="1:22" s="1942" customFormat="1" ht="13" outlineLevel="2">
      <c r="A119" s="1944"/>
      <c r="B119" s="1807" t="s">
        <v>3619</v>
      </c>
      <c r="C119" s="1808"/>
      <c r="D119" s="1843" t="s">
        <v>3620</v>
      </c>
      <c r="E119" s="2009" t="s">
        <v>3621</v>
      </c>
      <c r="F119" s="1462" t="s">
        <v>1329</v>
      </c>
      <c r="G119" s="1953" t="s">
        <v>4132</v>
      </c>
      <c r="H119" s="1975" t="s">
        <v>10</v>
      </c>
      <c r="I119" s="1712">
        <f t="shared" si="40"/>
        <v>0</v>
      </c>
      <c r="J119" s="2099">
        <v>1</v>
      </c>
      <c r="K119" s="1950" t="s">
        <v>101</v>
      </c>
      <c r="L119" s="1947" t="s">
        <v>10</v>
      </c>
      <c r="M119" s="1754">
        <f t="shared" si="35"/>
        <v>0</v>
      </c>
      <c r="N119" s="1712"/>
      <c r="O119" s="1712">
        <f t="shared" si="39"/>
        <v>0</v>
      </c>
      <c r="P119" s="1712">
        <f t="shared" si="36"/>
        <v>0</v>
      </c>
      <c r="Q119" s="1712">
        <f t="shared" si="37"/>
        <v>0</v>
      </c>
      <c r="R119" s="1757">
        <v>0.13</v>
      </c>
      <c r="S119" s="1712">
        <f t="shared" si="38"/>
        <v>0</v>
      </c>
      <c r="T119" s="1712" t="str">
        <f t="shared" si="27"/>
        <v/>
      </c>
      <c r="U119" s="1712" t="str">
        <f t="shared" si="28"/>
        <v/>
      </c>
      <c r="V119" s="1952"/>
    </row>
    <row r="120" spans="1:22" outlineLevel="1">
      <c r="A120" s="2019"/>
      <c r="B120" s="2023" t="s">
        <v>687</v>
      </c>
      <c r="C120" s="1852">
        <v>2</v>
      </c>
      <c r="D120" s="2024" t="s">
        <v>3146</v>
      </c>
      <c r="E120" s="2025"/>
      <c r="F120" s="1968"/>
      <c r="G120" s="2007" t="s">
        <v>4117</v>
      </c>
      <c r="H120" s="1967"/>
      <c r="I120" s="1969"/>
      <c r="J120" s="2116"/>
      <c r="K120" s="1971"/>
      <c r="L120" s="1967"/>
      <c r="M120" s="1971"/>
      <c r="N120" s="1973"/>
      <c r="O120" s="1973">
        <f>SUBTOTAL(9,O121:O123)</f>
        <v>0</v>
      </c>
      <c r="P120" s="1973"/>
      <c r="Q120" s="1973">
        <f>SUBTOTAL(9,Q121:Q123)</f>
        <v>0</v>
      </c>
      <c r="R120" s="1973"/>
      <c r="S120" s="1973">
        <f>SUBTOTAL(9,S121:S123)</f>
        <v>0</v>
      </c>
      <c r="T120" s="1973" t="str">
        <f t="shared" si="27"/>
        <v/>
      </c>
      <c r="U120" s="1973" t="str">
        <f t="shared" si="28"/>
        <v/>
      </c>
      <c r="V120" s="1974"/>
    </row>
    <row r="121" spans="1:22" s="1942" customFormat="1" ht="13" outlineLevel="2">
      <c r="A121" s="1944"/>
      <c r="B121" s="1807" t="s">
        <v>689</v>
      </c>
      <c r="C121" s="1808"/>
      <c r="D121" s="2008" t="s">
        <v>3622</v>
      </c>
      <c r="E121" s="2009" t="s">
        <v>3623</v>
      </c>
      <c r="F121" s="1462" t="s">
        <v>3624</v>
      </c>
      <c r="G121" s="1953" t="s">
        <v>4149</v>
      </c>
      <c r="H121" s="1975" t="s">
        <v>10</v>
      </c>
      <c r="I121" s="1712">
        <f t="shared" si="40"/>
        <v>0</v>
      </c>
      <c r="J121" s="2099">
        <v>1</v>
      </c>
      <c r="K121" s="1950" t="s">
        <v>101</v>
      </c>
      <c r="L121" s="1947" t="s">
        <v>10</v>
      </c>
      <c r="M121" s="1754">
        <f t="shared" si="35"/>
        <v>0</v>
      </c>
      <c r="N121" s="1712"/>
      <c r="O121" s="1712">
        <f>ROUND(M121*ROUND(N121,2)/10000,6)</f>
        <v>0</v>
      </c>
      <c r="P121" s="1712">
        <f>IFERROR(ROUND(Q121*10000/M121,2),0)</f>
        <v>0</v>
      </c>
      <c r="Q121" s="1712">
        <f>ROUND(O121/(1+R121),6)</f>
        <v>0</v>
      </c>
      <c r="R121" s="1757">
        <v>0.06</v>
      </c>
      <c r="S121" s="1712">
        <f>O121-Q121</f>
        <v>0</v>
      </c>
      <c r="T121" s="1712" t="str">
        <f t="shared" si="27"/>
        <v/>
      </c>
      <c r="U121" s="1712" t="str">
        <f t="shared" si="28"/>
        <v/>
      </c>
      <c r="V121" s="1952"/>
    </row>
    <row r="122" spans="1:22" s="1942" customFormat="1" ht="13" outlineLevel="2">
      <c r="A122" s="1944"/>
      <c r="B122" s="1807" t="s">
        <v>691</v>
      </c>
      <c r="C122" s="1808"/>
      <c r="D122" s="2008" t="s">
        <v>3625</v>
      </c>
      <c r="E122" s="2009" t="s">
        <v>3626</v>
      </c>
      <c r="F122" s="1462" t="s">
        <v>3624</v>
      </c>
      <c r="G122" s="1953" t="s">
        <v>4149</v>
      </c>
      <c r="H122" s="1975" t="s">
        <v>10</v>
      </c>
      <c r="I122" s="1712">
        <f t="shared" si="40"/>
        <v>0</v>
      </c>
      <c r="J122" s="2099">
        <v>1</v>
      </c>
      <c r="K122" s="1950" t="s">
        <v>101</v>
      </c>
      <c r="L122" s="1947" t="s">
        <v>10</v>
      </c>
      <c r="M122" s="1754">
        <f t="shared" si="35"/>
        <v>0</v>
      </c>
      <c r="N122" s="1712"/>
      <c r="O122" s="1712">
        <f>ROUND(M122*ROUND(N122,2)/10000,6)</f>
        <v>0</v>
      </c>
      <c r="P122" s="1712">
        <f>IFERROR(ROUND(Q122*10000/M122,2),0)</f>
        <v>0</v>
      </c>
      <c r="Q122" s="1712">
        <f>ROUND(O122/(1+R122),6)</f>
        <v>0</v>
      </c>
      <c r="R122" s="1757">
        <v>0.06</v>
      </c>
      <c r="S122" s="1712">
        <f>O122-Q122</f>
        <v>0</v>
      </c>
      <c r="T122" s="1712" t="str">
        <f t="shared" si="27"/>
        <v/>
      </c>
      <c r="U122" s="1712" t="str">
        <f t="shared" si="28"/>
        <v/>
      </c>
      <c r="V122" s="1952"/>
    </row>
    <row r="123" spans="1:22" s="1942" customFormat="1" ht="13" outlineLevel="2">
      <c r="A123" s="1944"/>
      <c r="B123" s="1807" t="s">
        <v>693</v>
      </c>
      <c r="C123" s="1808"/>
      <c r="D123" s="2008" t="s">
        <v>3627</v>
      </c>
      <c r="E123" s="2009" t="s">
        <v>3628</v>
      </c>
      <c r="F123" s="1462" t="s">
        <v>3624</v>
      </c>
      <c r="G123" s="1953" t="s">
        <v>4149</v>
      </c>
      <c r="H123" s="1975" t="s">
        <v>10</v>
      </c>
      <c r="I123" s="1712">
        <f t="shared" si="40"/>
        <v>0</v>
      </c>
      <c r="J123" s="2099">
        <v>1</v>
      </c>
      <c r="K123" s="1950" t="s">
        <v>101</v>
      </c>
      <c r="L123" s="1947" t="s">
        <v>10</v>
      </c>
      <c r="M123" s="1754">
        <f t="shared" si="35"/>
        <v>0</v>
      </c>
      <c r="N123" s="1712"/>
      <c r="O123" s="1712">
        <f>ROUND(M123*ROUND(N123,2)/10000,6)</f>
        <v>0</v>
      </c>
      <c r="P123" s="1712">
        <f>IFERROR(ROUND(Q123*10000/M123,2),0)</f>
        <v>0</v>
      </c>
      <c r="Q123" s="1712">
        <f>ROUND(O123/(1+R123),6)</f>
        <v>0</v>
      </c>
      <c r="R123" s="1757">
        <v>0.13</v>
      </c>
      <c r="S123" s="1712">
        <f>O123-Q123</f>
        <v>0</v>
      </c>
      <c r="T123" s="1712" t="str">
        <f t="shared" si="27"/>
        <v/>
      </c>
      <c r="U123" s="1712" t="str">
        <f t="shared" si="28"/>
        <v/>
      </c>
      <c r="V123" s="1952"/>
    </row>
    <row r="124" spans="1:22" outlineLevel="1">
      <c r="A124" s="2019"/>
      <c r="B124" s="2023" t="s">
        <v>695</v>
      </c>
      <c r="C124" s="1852">
        <v>3</v>
      </c>
      <c r="D124" s="2024" t="s">
        <v>3147</v>
      </c>
      <c r="E124" s="2025"/>
      <c r="F124" s="2026" t="s">
        <v>1424</v>
      </c>
      <c r="G124" s="2027" t="s">
        <v>4123</v>
      </c>
      <c r="H124" s="2028" t="s">
        <v>10</v>
      </c>
      <c r="I124" s="2029">
        <f t="shared" si="40"/>
        <v>0</v>
      </c>
      <c r="J124" s="2134"/>
      <c r="K124" s="2031" t="s">
        <v>101</v>
      </c>
      <c r="L124" s="2032" t="s">
        <v>10</v>
      </c>
      <c r="M124" s="1971"/>
      <c r="N124" s="1973"/>
      <c r="O124" s="1973">
        <f>ROUND(M124*ROUND(N124,2)/10000,6)</f>
        <v>0</v>
      </c>
      <c r="P124" s="1973">
        <f>IFERROR(ROUND(Q124*10000/M124,2),0)</f>
        <v>0</v>
      </c>
      <c r="Q124" s="1973">
        <f>ROUND(O124/(1+R124),6)</f>
        <v>0</v>
      </c>
      <c r="R124" s="2170">
        <v>0.06</v>
      </c>
      <c r="S124" s="2034">
        <f>O124-Q124</f>
        <v>0</v>
      </c>
      <c r="T124" s="1973" t="str">
        <f t="shared" si="27"/>
        <v/>
      </c>
      <c r="U124" s="1973" t="str">
        <f t="shared" si="28"/>
        <v/>
      </c>
      <c r="V124" s="1974"/>
    </row>
    <row r="125" spans="1:22" outlineLevel="1">
      <c r="A125" s="2019"/>
      <c r="B125" s="2023" t="s">
        <v>697</v>
      </c>
      <c r="C125" s="1852">
        <v>4</v>
      </c>
      <c r="D125" s="2024" t="s">
        <v>3148</v>
      </c>
      <c r="E125" s="2025" t="s">
        <v>3629</v>
      </c>
      <c r="F125" s="2026" t="s">
        <v>3577</v>
      </c>
      <c r="G125" s="2027" t="s">
        <v>4141</v>
      </c>
      <c r="H125" s="2032" t="s">
        <v>10</v>
      </c>
      <c r="I125" s="2029">
        <f t="shared" si="40"/>
        <v>0</v>
      </c>
      <c r="J125" s="2134"/>
      <c r="K125" s="2031" t="s">
        <v>101</v>
      </c>
      <c r="L125" s="2032" t="s">
        <v>4056</v>
      </c>
      <c r="M125" s="1971"/>
      <c r="N125" s="1973"/>
      <c r="O125" s="1973">
        <f>ROUND(M125*ROUND(N125,2)/10000,6)</f>
        <v>0</v>
      </c>
      <c r="P125" s="1973">
        <f>IFERROR(ROUND(Q125*10000/M125,2),0)</f>
        <v>0</v>
      </c>
      <c r="Q125" s="1973">
        <f>ROUND(O125/(1+R125),6)</f>
        <v>0</v>
      </c>
      <c r="R125" s="2170">
        <v>0.09</v>
      </c>
      <c r="S125" s="2034">
        <f>O125-Q125</f>
        <v>0</v>
      </c>
      <c r="T125" s="1973" t="str">
        <f t="shared" si="27"/>
        <v/>
      </c>
      <c r="U125" s="1973" t="str">
        <f t="shared" si="28"/>
        <v/>
      </c>
      <c r="V125" s="1974"/>
    </row>
    <row r="126" spans="1:22">
      <c r="A126" s="2019"/>
      <c r="B126" s="1684">
        <v>5001.05</v>
      </c>
      <c r="C126" s="1685" t="s">
        <v>379</v>
      </c>
      <c r="D126" s="1956" t="s">
        <v>498</v>
      </c>
      <c r="E126" s="1957"/>
      <c r="F126" s="2020"/>
      <c r="G126" s="2021" t="s">
        <v>4117</v>
      </c>
      <c r="H126" s="1959"/>
      <c r="I126" s="1960"/>
      <c r="J126" s="2113"/>
      <c r="K126" s="2022"/>
      <c r="L126" s="1959"/>
      <c r="M126" s="2022"/>
      <c r="N126" s="1963"/>
      <c r="O126" s="1963">
        <f>SUBTOTAL(9,O127:O202)</f>
        <v>0</v>
      </c>
      <c r="P126" s="1963"/>
      <c r="Q126" s="1963">
        <f>SUBTOTAL(9,Q127:Q202)</f>
        <v>0</v>
      </c>
      <c r="R126" s="1963"/>
      <c r="S126" s="1963">
        <f>SUBTOTAL(9,S127:S202)</f>
        <v>0</v>
      </c>
      <c r="T126" s="1963" t="str">
        <f t="shared" si="27"/>
        <v/>
      </c>
      <c r="U126" s="1963" t="str">
        <f t="shared" si="28"/>
        <v/>
      </c>
      <c r="V126" s="1964"/>
    </row>
    <row r="127" spans="1:22" outlineLevel="1">
      <c r="A127" s="2019"/>
      <c r="B127" s="2023" t="s">
        <v>499</v>
      </c>
      <c r="C127" s="1852">
        <v>1</v>
      </c>
      <c r="D127" s="2024" t="s">
        <v>35</v>
      </c>
      <c r="E127" s="2025"/>
      <c r="F127" s="1968"/>
      <c r="G127" s="2007" t="s">
        <v>4117</v>
      </c>
      <c r="H127" s="1967"/>
      <c r="I127" s="1969"/>
      <c r="J127" s="2116"/>
      <c r="K127" s="1971"/>
      <c r="L127" s="1967"/>
      <c r="M127" s="1971"/>
      <c r="N127" s="1973"/>
      <c r="O127" s="1973">
        <f>SUBTOTAL(9,O128:O169)</f>
        <v>0</v>
      </c>
      <c r="P127" s="1973"/>
      <c r="Q127" s="1973">
        <f>SUBTOTAL(9,Q128:Q169)</f>
        <v>0</v>
      </c>
      <c r="R127" s="1973"/>
      <c r="S127" s="1973">
        <f>SUBTOTAL(9,S128:S169)</f>
        <v>0</v>
      </c>
      <c r="T127" s="1973" t="str">
        <f t="shared" si="27"/>
        <v/>
      </c>
      <c r="U127" s="1973" t="str">
        <f t="shared" si="28"/>
        <v/>
      </c>
      <c r="V127" s="1974"/>
    </row>
    <row r="128" spans="1:22" s="1942" customFormat="1" ht="13" outlineLevel="2">
      <c r="A128" s="1944"/>
      <c r="B128" s="1807" t="s">
        <v>700</v>
      </c>
      <c r="C128" s="1808"/>
      <c r="D128" s="2008" t="s">
        <v>701</v>
      </c>
      <c r="E128" s="2009"/>
      <c r="F128" s="1462"/>
      <c r="G128" s="1953" t="s">
        <v>4117</v>
      </c>
      <c r="H128" s="1947"/>
      <c r="I128" s="1948"/>
      <c r="J128" s="2099"/>
      <c r="K128" s="1950"/>
      <c r="L128" s="1947"/>
      <c r="M128" s="1950"/>
      <c r="N128" s="1712"/>
      <c r="O128" s="1712">
        <f>SUBTOTAL(9,O129:O143)</f>
        <v>0</v>
      </c>
      <c r="P128" s="1712"/>
      <c r="Q128" s="1712">
        <f>SUBTOTAL(9,Q129:Q143)</f>
        <v>0</v>
      </c>
      <c r="R128" s="1712"/>
      <c r="S128" s="1712">
        <f>SUBTOTAL(9,S129:S143)</f>
        <v>0</v>
      </c>
      <c r="T128" s="1712" t="str">
        <f t="shared" si="27"/>
        <v/>
      </c>
      <c r="U128" s="1712" t="str">
        <f t="shared" si="28"/>
        <v/>
      </c>
      <c r="V128" s="1952"/>
    </row>
    <row r="129" spans="1:22" s="1942" customFormat="1" ht="12" customHeight="1" outlineLevel="3">
      <c r="A129" s="1944"/>
      <c r="B129" s="1978" t="s">
        <v>702</v>
      </c>
      <c r="C129" s="1810"/>
      <c r="D129" s="2008" t="s">
        <v>3630</v>
      </c>
      <c r="E129" s="2009" t="s">
        <v>3631</v>
      </c>
      <c r="F129" s="1462"/>
      <c r="G129" s="1953" t="s">
        <v>4117</v>
      </c>
      <c r="H129" s="1947"/>
      <c r="I129" s="1712"/>
      <c r="J129" s="2135"/>
      <c r="K129" s="1950"/>
      <c r="L129" s="1947"/>
      <c r="M129" s="1754"/>
      <c r="N129" s="1712"/>
      <c r="O129" s="1712">
        <f>SUBTOTAL(9,O130:O131)</f>
        <v>0</v>
      </c>
      <c r="P129" s="1983"/>
      <c r="Q129" s="1712">
        <f>SUBTOTAL(9,Q130:Q131)</f>
        <v>0</v>
      </c>
      <c r="R129" s="1757"/>
      <c r="S129" s="1712">
        <f>SUBTOTAL(9,S130:S131)</f>
        <v>0</v>
      </c>
      <c r="T129" s="1712" t="str">
        <f t="shared" si="27"/>
        <v/>
      </c>
      <c r="U129" s="1712" t="str">
        <f t="shared" si="28"/>
        <v/>
      </c>
      <c r="V129" s="1952"/>
    </row>
    <row r="130" spans="1:22" s="1942" customFormat="1" ht="12" customHeight="1" outlineLevel="4">
      <c r="A130" s="1944"/>
      <c r="B130" s="1985" t="s">
        <v>801</v>
      </c>
      <c r="C130" s="1828"/>
      <c r="D130" s="2013" t="s">
        <v>4057</v>
      </c>
      <c r="E130" s="2011"/>
      <c r="F130" s="1988" t="s">
        <v>459</v>
      </c>
      <c r="G130" s="1989" t="s">
        <v>4150</v>
      </c>
      <c r="H130" s="1990" t="s">
        <v>10</v>
      </c>
      <c r="I130" s="1991">
        <f>$E$5</f>
        <v>0</v>
      </c>
      <c r="J130" s="2148">
        <v>1.4</v>
      </c>
      <c r="K130" s="2000" t="s">
        <v>101</v>
      </c>
      <c r="L130" s="1990" t="s">
        <v>4058</v>
      </c>
      <c r="M130" s="1991">
        <f>ROUND(I130,2)*ROUND(J130,4)</f>
        <v>0</v>
      </c>
      <c r="N130" s="1756">
        <v>20</v>
      </c>
      <c r="O130" s="1991">
        <f>ROUND(M130*ROUND(N130,2)/10000,6)</f>
        <v>0</v>
      </c>
      <c r="P130" s="1991">
        <f>IFERROR(ROUND(Q130*10000/M130,2),0)</f>
        <v>0</v>
      </c>
      <c r="Q130" s="1991">
        <f>ROUND(O130/(1+R130),6)</f>
        <v>0</v>
      </c>
      <c r="R130" s="1993">
        <v>0.13</v>
      </c>
      <c r="S130" s="1991">
        <f>O130-Q130</f>
        <v>0</v>
      </c>
      <c r="T130" s="1991" t="str">
        <f t="shared" si="27"/>
        <v/>
      </c>
      <c r="U130" s="1991" t="str">
        <f t="shared" si="28"/>
        <v/>
      </c>
      <c r="V130" s="1994"/>
    </row>
    <row r="131" spans="1:22" s="1942" customFormat="1" ht="12" customHeight="1" outlineLevel="4">
      <c r="A131" s="1944"/>
      <c r="B131" s="1985" t="s">
        <v>703</v>
      </c>
      <c r="C131" s="1828"/>
      <c r="D131" s="2013" t="s">
        <v>4059</v>
      </c>
      <c r="E131" s="2011"/>
      <c r="F131" s="1988" t="s">
        <v>1493</v>
      </c>
      <c r="G131" s="1989" t="s">
        <v>4119</v>
      </c>
      <c r="H131" s="1990" t="s">
        <v>10</v>
      </c>
      <c r="I131" s="1991">
        <f>$E$5</f>
        <v>0</v>
      </c>
      <c r="J131" s="2148">
        <v>1.4</v>
      </c>
      <c r="K131" s="2000" t="s">
        <v>101</v>
      </c>
      <c r="L131" s="1990" t="s">
        <v>4058</v>
      </c>
      <c r="M131" s="1991">
        <f>ROUND(I131,2)*ROUND(J131,4)</f>
        <v>0</v>
      </c>
      <c r="N131" s="1756">
        <v>40</v>
      </c>
      <c r="O131" s="1991">
        <f>ROUND(M131*ROUND(N131,2)/10000,6)</f>
        <v>0</v>
      </c>
      <c r="P131" s="1991">
        <f>IFERROR(ROUND(Q131*10000/M131,2),0)</f>
        <v>0</v>
      </c>
      <c r="Q131" s="1991">
        <f>ROUND(O131/(1+R131),6)</f>
        <v>0</v>
      </c>
      <c r="R131" s="1993">
        <v>0.09</v>
      </c>
      <c r="S131" s="1991">
        <f>O131-Q131</f>
        <v>0</v>
      </c>
      <c r="T131" s="1991" t="str">
        <f t="shared" si="27"/>
        <v/>
      </c>
      <c r="U131" s="1991" t="str">
        <f t="shared" si="28"/>
        <v/>
      </c>
      <c r="V131" s="1994"/>
    </row>
    <row r="132" spans="1:22" s="1942" customFormat="1" ht="12" customHeight="1" outlineLevel="3">
      <c r="A132" s="1944"/>
      <c r="B132" s="1978" t="s">
        <v>1558</v>
      </c>
      <c r="C132" s="1810"/>
      <c r="D132" s="2008" t="s">
        <v>3632</v>
      </c>
      <c r="E132" s="2009" t="s">
        <v>3633</v>
      </c>
      <c r="F132" s="1462"/>
      <c r="G132" s="1953" t="s">
        <v>4117</v>
      </c>
      <c r="H132" s="1947"/>
      <c r="I132" s="1948"/>
      <c r="J132" s="2135"/>
      <c r="K132" s="1950"/>
      <c r="L132" s="1947"/>
      <c r="M132" s="1754"/>
      <c r="N132" s="1712"/>
      <c r="O132" s="1712">
        <f>SUBTOTAL(9,O133:O134)</f>
        <v>0</v>
      </c>
      <c r="P132" s="1983"/>
      <c r="Q132" s="1712">
        <f>SUBTOTAL(9,Q133:Q134)</f>
        <v>0</v>
      </c>
      <c r="R132" s="1757"/>
      <c r="S132" s="1712">
        <f>SUBTOTAL(9,S133:S134)</f>
        <v>0</v>
      </c>
      <c r="T132" s="1712" t="str">
        <f t="shared" si="27"/>
        <v/>
      </c>
      <c r="U132" s="1712" t="str">
        <f t="shared" si="28"/>
        <v/>
      </c>
      <c r="V132" s="1952"/>
    </row>
    <row r="133" spans="1:22" s="1942" customFormat="1" ht="12" customHeight="1" outlineLevel="4">
      <c r="A133" s="1944"/>
      <c r="B133" s="1985" t="s">
        <v>802</v>
      </c>
      <c r="C133" s="1828"/>
      <c r="D133" s="2013" t="s">
        <v>1569</v>
      </c>
      <c r="E133" s="2011"/>
      <c r="F133" s="1988" t="s">
        <v>469</v>
      </c>
      <c r="G133" s="1989" t="s">
        <v>4151</v>
      </c>
      <c r="H133" s="1990" t="s">
        <v>10</v>
      </c>
      <c r="I133" s="1991">
        <f>$E$5</f>
        <v>0</v>
      </c>
      <c r="J133" s="2136">
        <v>0.01</v>
      </c>
      <c r="K133" s="2000" t="s">
        <v>101</v>
      </c>
      <c r="L133" s="1990" t="s">
        <v>4060</v>
      </c>
      <c r="M133" s="1991">
        <f t="shared" ref="M133:M183" si="41">ROUND(I133,2)*ROUND(J133,4)</f>
        <v>0</v>
      </c>
      <c r="N133" s="1991"/>
      <c r="O133" s="1991">
        <f t="shared" ref="O133:O143" si="42">ROUND(M133*ROUND(N133,2)/10000,6)</f>
        <v>0</v>
      </c>
      <c r="P133" s="1991">
        <f t="shared" ref="P133:P143" si="43">IFERROR(ROUND(Q133*10000/M133,2),0)</f>
        <v>0</v>
      </c>
      <c r="Q133" s="1991">
        <f t="shared" ref="Q133:Q143" si="44">ROUND(O133/(1+R133),6)</f>
        <v>0</v>
      </c>
      <c r="R133" s="1993">
        <v>0.13</v>
      </c>
      <c r="S133" s="1991">
        <f t="shared" ref="S133:S143" si="45">O133-Q133</f>
        <v>0</v>
      </c>
      <c r="T133" s="1991" t="str">
        <f t="shared" si="27"/>
        <v/>
      </c>
      <c r="U133" s="1991" t="str">
        <f t="shared" si="28"/>
        <v/>
      </c>
      <c r="V133" s="1994"/>
    </row>
    <row r="134" spans="1:22" s="1942" customFormat="1" ht="12" customHeight="1" outlineLevel="4">
      <c r="A134" s="1944"/>
      <c r="B134" s="1985" t="s">
        <v>704</v>
      </c>
      <c r="C134" s="1828"/>
      <c r="D134" s="2013" t="s">
        <v>1571</v>
      </c>
      <c r="E134" s="2011"/>
      <c r="F134" s="1988" t="s">
        <v>3342</v>
      </c>
      <c r="G134" s="1989" t="s">
        <v>4116</v>
      </c>
      <c r="H134" s="1990" t="s">
        <v>10</v>
      </c>
      <c r="I134" s="1991">
        <f>$E$5</f>
        <v>0</v>
      </c>
      <c r="J134" s="2136">
        <v>0.01</v>
      </c>
      <c r="K134" s="2000" t="s">
        <v>101</v>
      </c>
      <c r="L134" s="1990" t="s">
        <v>4060</v>
      </c>
      <c r="M134" s="1991">
        <f t="shared" si="41"/>
        <v>0</v>
      </c>
      <c r="N134" s="1991"/>
      <c r="O134" s="1991">
        <f t="shared" si="42"/>
        <v>0</v>
      </c>
      <c r="P134" s="1991">
        <f t="shared" si="43"/>
        <v>0</v>
      </c>
      <c r="Q134" s="1991">
        <f t="shared" si="44"/>
        <v>0</v>
      </c>
      <c r="R134" s="1993">
        <v>0.09</v>
      </c>
      <c r="S134" s="1991">
        <f t="shared" si="45"/>
        <v>0</v>
      </c>
      <c r="T134" s="1991" t="str">
        <f t="shared" si="27"/>
        <v/>
      </c>
      <c r="U134" s="1991" t="str">
        <f t="shared" si="28"/>
        <v/>
      </c>
      <c r="V134" s="1994"/>
    </row>
    <row r="135" spans="1:22" s="1942" customFormat="1" ht="12" customHeight="1" outlineLevel="3">
      <c r="A135" s="1944"/>
      <c r="B135" s="1978" t="s">
        <v>1566</v>
      </c>
      <c r="C135" s="1810"/>
      <c r="D135" s="2008" t="s">
        <v>3634</v>
      </c>
      <c r="E135" s="2009" t="s">
        <v>3635</v>
      </c>
      <c r="F135" s="1462" t="s">
        <v>3832</v>
      </c>
      <c r="G135" s="1953" t="s">
        <v>4152</v>
      </c>
      <c r="H135" s="1947" t="s">
        <v>10</v>
      </c>
      <c r="I135" s="1712">
        <f>$E$5</f>
        <v>0</v>
      </c>
      <c r="J135" s="2135">
        <v>0.2</v>
      </c>
      <c r="K135" s="1950" t="s">
        <v>101</v>
      </c>
      <c r="L135" s="1947" t="s">
        <v>4061</v>
      </c>
      <c r="M135" s="1754">
        <f t="shared" si="41"/>
        <v>0</v>
      </c>
      <c r="N135" s="1712"/>
      <c r="O135" s="1712">
        <f t="shared" si="42"/>
        <v>0</v>
      </c>
      <c r="P135" s="1712">
        <f t="shared" si="43"/>
        <v>0</v>
      </c>
      <c r="Q135" s="1712">
        <f t="shared" si="44"/>
        <v>0</v>
      </c>
      <c r="R135" s="1757">
        <v>0.09</v>
      </c>
      <c r="S135" s="1712">
        <f t="shared" si="45"/>
        <v>0</v>
      </c>
      <c r="T135" s="1712" t="str">
        <f t="shared" si="27"/>
        <v/>
      </c>
      <c r="U135" s="1712" t="str">
        <f t="shared" si="28"/>
        <v/>
      </c>
      <c r="V135" s="1952"/>
    </row>
    <row r="136" spans="1:22" s="1942" customFormat="1" ht="12" customHeight="1" outlineLevel="3">
      <c r="A136" s="1944"/>
      <c r="B136" s="1978" t="s">
        <v>1572</v>
      </c>
      <c r="C136" s="1810"/>
      <c r="D136" s="2008" t="s">
        <v>3637</v>
      </c>
      <c r="E136" s="2009" t="s">
        <v>3638</v>
      </c>
      <c r="F136" s="1462" t="s">
        <v>3636</v>
      </c>
      <c r="G136" s="1953" t="s">
        <v>4153</v>
      </c>
      <c r="H136" s="1947" t="s">
        <v>10</v>
      </c>
      <c r="I136" s="1712">
        <f t="shared" ref="I136:I143" si="46">$E$5</f>
        <v>0</v>
      </c>
      <c r="J136" s="2135"/>
      <c r="K136" s="1950" t="s">
        <v>101</v>
      </c>
      <c r="L136" s="1947" t="s">
        <v>4062</v>
      </c>
      <c r="M136" s="1754">
        <f t="shared" si="41"/>
        <v>0</v>
      </c>
      <c r="N136" s="1712"/>
      <c r="O136" s="1712">
        <f t="shared" si="42"/>
        <v>0</v>
      </c>
      <c r="P136" s="1712">
        <f t="shared" si="43"/>
        <v>0</v>
      </c>
      <c r="Q136" s="1712">
        <f t="shared" si="44"/>
        <v>0</v>
      </c>
      <c r="R136" s="1757">
        <v>0.09</v>
      </c>
      <c r="S136" s="1712">
        <f t="shared" si="45"/>
        <v>0</v>
      </c>
      <c r="T136" s="1712" t="str">
        <f t="shared" si="27"/>
        <v/>
      </c>
      <c r="U136" s="1712" t="str">
        <f t="shared" si="28"/>
        <v/>
      </c>
      <c r="V136" s="1952"/>
    </row>
    <row r="137" spans="1:22" s="1942" customFormat="1" ht="12" customHeight="1" outlineLevel="3">
      <c r="A137" s="1944"/>
      <c r="B137" s="1978" t="s">
        <v>1578</v>
      </c>
      <c r="C137" s="1810"/>
      <c r="D137" s="2008" t="s">
        <v>3639</v>
      </c>
      <c r="E137" s="2009" t="s">
        <v>3640</v>
      </c>
      <c r="F137" s="1462" t="s">
        <v>3636</v>
      </c>
      <c r="G137" s="1953" t="s">
        <v>4153</v>
      </c>
      <c r="H137" s="1947" t="s">
        <v>10</v>
      </c>
      <c r="I137" s="1712">
        <f t="shared" si="46"/>
        <v>0</v>
      </c>
      <c r="J137" s="2135"/>
      <c r="K137" s="1950" t="s">
        <v>101</v>
      </c>
      <c r="L137" s="1947" t="s">
        <v>4063</v>
      </c>
      <c r="M137" s="1754">
        <f t="shared" si="41"/>
        <v>0</v>
      </c>
      <c r="N137" s="1712"/>
      <c r="O137" s="1712">
        <f t="shared" si="42"/>
        <v>0</v>
      </c>
      <c r="P137" s="1712">
        <f t="shared" si="43"/>
        <v>0</v>
      </c>
      <c r="Q137" s="1712">
        <f t="shared" si="44"/>
        <v>0</v>
      </c>
      <c r="R137" s="1757">
        <v>0.09</v>
      </c>
      <c r="S137" s="1712">
        <f t="shared" si="45"/>
        <v>0</v>
      </c>
      <c r="T137" s="1712" t="str">
        <f t="shared" si="27"/>
        <v/>
      </c>
      <c r="U137" s="1712" t="str">
        <f t="shared" si="28"/>
        <v/>
      </c>
      <c r="V137" s="1952"/>
    </row>
    <row r="138" spans="1:22" s="1942" customFormat="1" ht="12" customHeight="1" outlineLevel="3">
      <c r="A138" s="1944"/>
      <c r="B138" s="1978" t="s">
        <v>705</v>
      </c>
      <c r="C138" s="1810"/>
      <c r="D138" s="2008" t="s">
        <v>3641</v>
      </c>
      <c r="E138" s="2009" t="s">
        <v>3642</v>
      </c>
      <c r="F138" s="1462" t="s">
        <v>1493</v>
      </c>
      <c r="G138" s="1953" t="s">
        <v>4119</v>
      </c>
      <c r="H138" s="1947" t="s">
        <v>10</v>
      </c>
      <c r="I138" s="1712">
        <f t="shared" si="46"/>
        <v>0</v>
      </c>
      <c r="J138" s="2135"/>
      <c r="K138" s="1977" t="s">
        <v>4064</v>
      </c>
      <c r="L138" s="1947" t="s">
        <v>4065</v>
      </c>
      <c r="M138" s="1754">
        <f t="shared" si="41"/>
        <v>0</v>
      </c>
      <c r="N138" s="1712"/>
      <c r="O138" s="1712">
        <f t="shared" si="42"/>
        <v>0</v>
      </c>
      <c r="P138" s="1712">
        <f t="shared" si="43"/>
        <v>0</v>
      </c>
      <c r="Q138" s="1712">
        <f t="shared" si="44"/>
        <v>0</v>
      </c>
      <c r="R138" s="1757">
        <v>0.09</v>
      </c>
      <c r="S138" s="1712">
        <f t="shared" si="45"/>
        <v>0</v>
      </c>
      <c r="T138" s="1712" t="str">
        <f t="shared" si="27"/>
        <v/>
      </c>
      <c r="U138" s="1712" t="str">
        <f t="shared" si="28"/>
        <v/>
      </c>
      <c r="V138" s="1952"/>
    </row>
    <row r="139" spans="1:22" s="1942" customFormat="1" ht="12" customHeight="1" outlineLevel="3">
      <c r="A139" s="1944"/>
      <c r="B139" s="1978" t="s">
        <v>706</v>
      </c>
      <c r="C139" s="1810"/>
      <c r="D139" s="2008" t="s">
        <v>3643</v>
      </c>
      <c r="E139" s="2009" t="s">
        <v>3644</v>
      </c>
      <c r="F139" s="1462" t="s">
        <v>1606</v>
      </c>
      <c r="G139" s="1953" t="s">
        <v>4121</v>
      </c>
      <c r="H139" s="1947" t="s">
        <v>18</v>
      </c>
      <c r="I139" s="1712">
        <f>$G$5</f>
        <v>0</v>
      </c>
      <c r="J139" s="2176">
        <v>10</v>
      </c>
      <c r="K139" s="1977" t="s">
        <v>4085</v>
      </c>
      <c r="L139" s="1947" t="s">
        <v>4066</v>
      </c>
      <c r="M139" s="1754">
        <f t="shared" si="41"/>
        <v>0</v>
      </c>
      <c r="N139" s="1712">
        <v>1400</v>
      </c>
      <c r="O139" s="1712">
        <f t="shared" si="42"/>
        <v>0</v>
      </c>
      <c r="P139" s="1712">
        <f t="shared" si="43"/>
        <v>0</v>
      </c>
      <c r="Q139" s="1712">
        <f t="shared" si="44"/>
        <v>0</v>
      </c>
      <c r="R139" s="1757">
        <v>0.13</v>
      </c>
      <c r="S139" s="1712">
        <f t="shared" si="45"/>
        <v>0</v>
      </c>
      <c r="T139" s="1712" t="str">
        <f t="shared" ref="T139:T202" si="47">IFERROR(Q139*10000/$E$6,"")</f>
        <v/>
      </c>
      <c r="U139" s="1712" t="str">
        <f t="shared" ref="U139:U202" si="48">IFERROR(O139*10000/$E$6,"")</f>
        <v/>
      </c>
      <c r="V139" s="1952"/>
    </row>
    <row r="140" spans="1:22" s="1942" customFormat="1" ht="12" customHeight="1" outlineLevel="3">
      <c r="A140" s="1944"/>
      <c r="B140" s="1978" t="s">
        <v>707</v>
      </c>
      <c r="C140" s="1810"/>
      <c r="D140" s="2008" t="s">
        <v>97</v>
      </c>
      <c r="E140" s="2009" t="s">
        <v>3645</v>
      </c>
      <c r="F140" s="1462" t="s">
        <v>470</v>
      </c>
      <c r="G140" s="1953" t="s">
        <v>4154</v>
      </c>
      <c r="H140" s="1975" t="s">
        <v>10</v>
      </c>
      <c r="I140" s="1712">
        <f t="shared" si="46"/>
        <v>0</v>
      </c>
      <c r="J140" s="2177">
        <v>1</v>
      </c>
      <c r="K140" s="1950" t="s">
        <v>101</v>
      </c>
      <c r="L140" s="1947" t="s">
        <v>10</v>
      </c>
      <c r="M140" s="1754">
        <f t="shared" si="41"/>
        <v>0</v>
      </c>
      <c r="N140" s="2003">
        <v>2</v>
      </c>
      <c r="O140" s="1712">
        <f t="shared" si="42"/>
        <v>0</v>
      </c>
      <c r="P140" s="1712">
        <f t="shared" si="43"/>
        <v>0</v>
      </c>
      <c r="Q140" s="1712">
        <f t="shared" si="44"/>
        <v>0</v>
      </c>
      <c r="R140" s="1757">
        <v>0.09</v>
      </c>
      <c r="S140" s="1712">
        <f t="shared" si="45"/>
        <v>0</v>
      </c>
      <c r="T140" s="1712" t="str">
        <f t="shared" si="47"/>
        <v/>
      </c>
      <c r="U140" s="1712" t="str">
        <f t="shared" si="48"/>
        <v/>
      </c>
      <c r="V140" s="1952"/>
    </row>
    <row r="141" spans="1:22" s="1942" customFormat="1" ht="12" customHeight="1" outlineLevel="3">
      <c r="A141" s="1944"/>
      <c r="B141" s="1978" t="s">
        <v>709</v>
      </c>
      <c r="C141" s="1810"/>
      <c r="D141" s="2008" t="s">
        <v>3646</v>
      </c>
      <c r="E141" s="2009" t="s">
        <v>3647</v>
      </c>
      <c r="F141" s="1462" t="s">
        <v>1363</v>
      </c>
      <c r="G141" s="1953" t="s">
        <v>4155</v>
      </c>
      <c r="H141" s="1975" t="s">
        <v>10</v>
      </c>
      <c r="I141" s="1712">
        <f t="shared" si="46"/>
        <v>0</v>
      </c>
      <c r="J141" s="2139"/>
      <c r="K141" s="1950" t="s">
        <v>101</v>
      </c>
      <c r="L141" s="1947" t="s">
        <v>10</v>
      </c>
      <c r="M141" s="1754">
        <f t="shared" si="41"/>
        <v>0</v>
      </c>
      <c r="N141" s="1712"/>
      <c r="O141" s="1712">
        <f t="shared" si="42"/>
        <v>0</v>
      </c>
      <c r="P141" s="1712">
        <f t="shared" si="43"/>
        <v>0</v>
      </c>
      <c r="Q141" s="1712">
        <f t="shared" si="44"/>
        <v>0</v>
      </c>
      <c r="R141" s="1757">
        <v>0.09</v>
      </c>
      <c r="S141" s="1712">
        <f t="shared" si="45"/>
        <v>0</v>
      </c>
      <c r="T141" s="1712" t="str">
        <f t="shared" si="47"/>
        <v/>
      </c>
      <c r="U141" s="1712" t="str">
        <f t="shared" si="48"/>
        <v/>
      </c>
      <c r="V141" s="1952"/>
    </row>
    <row r="142" spans="1:22" s="1942" customFormat="1" ht="12" customHeight="1" outlineLevel="3">
      <c r="A142" s="1944"/>
      <c r="B142" s="1978" t="s">
        <v>710</v>
      </c>
      <c r="C142" s="1810"/>
      <c r="D142" s="2008" t="s">
        <v>3648</v>
      </c>
      <c r="E142" s="2009" t="s">
        <v>3649</v>
      </c>
      <c r="F142" s="1462" t="s">
        <v>3636</v>
      </c>
      <c r="G142" s="1953" t="s">
        <v>4153</v>
      </c>
      <c r="H142" s="1947" t="s">
        <v>18</v>
      </c>
      <c r="I142" s="1712">
        <f>$G$5</f>
        <v>0</v>
      </c>
      <c r="J142" s="2139">
        <v>67.319999999999993</v>
      </c>
      <c r="K142" s="1950" t="s">
        <v>101</v>
      </c>
      <c r="L142" s="1947" t="s">
        <v>4067</v>
      </c>
      <c r="M142" s="1754">
        <f t="shared" si="41"/>
        <v>0</v>
      </c>
      <c r="N142" s="1712">
        <v>1000</v>
      </c>
      <c r="O142" s="1712">
        <f t="shared" si="42"/>
        <v>0</v>
      </c>
      <c r="P142" s="1712">
        <f t="shared" si="43"/>
        <v>0</v>
      </c>
      <c r="Q142" s="1712">
        <f t="shared" si="44"/>
        <v>0</v>
      </c>
      <c r="R142" s="1757">
        <v>0.09</v>
      </c>
      <c r="S142" s="1712">
        <f t="shared" si="45"/>
        <v>0</v>
      </c>
      <c r="T142" s="1712" t="str">
        <f t="shared" si="47"/>
        <v/>
      </c>
      <c r="U142" s="1712" t="str">
        <f t="shared" si="48"/>
        <v/>
      </c>
      <c r="V142" s="1952"/>
    </row>
    <row r="143" spans="1:22" s="1942" customFormat="1" ht="12" customHeight="1" outlineLevel="3">
      <c r="A143" s="1944"/>
      <c r="B143" s="1978" t="s">
        <v>3650</v>
      </c>
      <c r="C143" s="1810"/>
      <c r="D143" s="2008" t="s">
        <v>3651</v>
      </c>
      <c r="E143" s="2009" t="s">
        <v>3652</v>
      </c>
      <c r="F143" s="1462" t="s">
        <v>1606</v>
      </c>
      <c r="G143" s="1953" t="s">
        <v>4121</v>
      </c>
      <c r="H143" s="1975" t="s">
        <v>10</v>
      </c>
      <c r="I143" s="1712">
        <f t="shared" si="46"/>
        <v>0</v>
      </c>
      <c r="J143" s="2139"/>
      <c r="K143" s="1950" t="s">
        <v>101</v>
      </c>
      <c r="L143" s="1947" t="s">
        <v>4068</v>
      </c>
      <c r="M143" s="1754">
        <f t="shared" si="41"/>
        <v>0</v>
      </c>
      <c r="N143" s="1712"/>
      <c r="O143" s="1712">
        <f t="shared" si="42"/>
        <v>0</v>
      </c>
      <c r="P143" s="1712">
        <f t="shared" si="43"/>
        <v>0</v>
      </c>
      <c r="Q143" s="1712">
        <f t="shared" si="44"/>
        <v>0</v>
      </c>
      <c r="R143" s="1757">
        <v>0.13</v>
      </c>
      <c r="S143" s="1712">
        <f t="shared" si="45"/>
        <v>0</v>
      </c>
      <c r="T143" s="1712" t="str">
        <f t="shared" si="47"/>
        <v/>
      </c>
      <c r="U143" s="1712" t="str">
        <f t="shared" si="48"/>
        <v/>
      </c>
      <c r="V143" s="1952"/>
    </row>
    <row r="144" spans="1:22" s="1942" customFormat="1" ht="13" outlineLevel="2">
      <c r="A144" s="1944"/>
      <c r="B144" s="1807" t="s">
        <v>712</v>
      </c>
      <c r="C144" s="1808"/>
      <c r="D144" s="2008" t="s">
        <v>713</v>
      </c>
      <c r="E144" s="2009"/>
      <c r="F144" s="1462"/>
      <c r="G144" s="1953" t="s">
        <v>4117</v>
      </c>
      <c r="H144" s="1947"/>
      <c r="I144" s="1948"/>
      <c r="J144" s="2099"/>
      <c r="K144" s="1950"/>
      <c r="L144" s="1947"/>
      <c r="M144" s="1950"/>
      <c r="N144" s="1712"/>
      <c r="O144" s="1712">
        <f>SUBTOTAL(9,O145:O152)</f>
        <v>0</v>
      </c>
      <c r="P144" s="1712"/>
      <c r="Q144" s="1712">
        <f>SUBTOTAL(9,Q145:Q152)</f>
        <v>0</v>
      </c>
      <c r="R144" s="1712"/>
      <c r="S144" s="1712">
        <f>SUBTOTAL(9,S145:S152)</f>
        <v>0</v>
      </c>
      <c r="T144" s="1712" t="str">
        <f t="shared" si="47"/>
        <v/>
      </c>
      <c r="U144" s="1712" t="str">
        <f t="shared" si="48"/>
        <v/>
      </c>
      <c r="V144" s="1952"/>
    </row>
    <row r="145" spans="1:22" s="1942" customFormat="1" ht="12" customHeight="1" outlineLevel="3">
      <c r="A145" s="1944"/>
      <c r="B145" s="1978" t="s">
        <v>714</v>
      </c>
      <c r="C145" s="1810"/>
      <c r="D145" s="2008" t="s">
        <v>715</v>
      </c>
      <c r="E145" s="2009" t="s">
        <v>3653</v>
      </c>
      <c r="F145" s="1462" t="s">
        <v>3654</v>
      </c>
      <c r="G145" s="1953" t="s">
        <v>4156</v>
      </c>
      <c r="H145" s="1947" t="s">
        <v>3923</v>
      </c>
      <c r="I145" s="1712">
        <f>$G$6</f>
        <v>0</v>
      </c>
      <c r="J145" s="2148">
        <v>6</v>
      </c>
      <c r="K145" s="1977" t="s">
        <v>1836</v>
      </c>
      <c r="L145" s="1947" t="s">
        <v>4069</v>
      </c>
      <c r="M145" s="1754">
        <f t="shared" si="41"/>
        <v>0</v>
      </c>
      <c r="N145" s="1756">
        <v>180</v>
      </c>
      <c r="O145" s="1712">
        <f t="shared" ref="O145:O152" si="49">ROUND(M145*ROUND(N145,2)/10000,6)</f>
        <v>0</v>
      </c>
      <c r="P145" s="1712">
        <f t="shared" ref="P145:P152" si="50">IFERROR(ROUND(Q145*10000/M145,2),0)</f>
        <v>0</v>
      </c>
      <c r="Q145" s="1712">
        <f t="shared" ref="Q145:Q152" si="51">ROUND(O145/(1+R145),6)</f>
        <v>0</v>
      </c>
      <c r="R145" s="1757">
        <v>0.09</v>
      </c>
      <c r="S145" s="1712">
        <f t="shared" ref="S145:S152" si="52">O145-Q145</f>
        <v>0</v>
      </c>
      <c r="T145" s="1712" t="str">
        <f t="shared" si="47"/>
        <v/>
      </c>
      <c r="U145" s="1712" t="str">
        <f t="shared" si="48"/>
        <v/>
      </c>
      <c r="V145" s="1952"/>
    </row>
    <row r="146" spans="1:22" s="1942" customFormat="1" ht="12" customHeight="1" outlineLevel="3">
      <c r="A146" s="1944"/>
      <c r="B146" s="1978" t="s">
        <v>717</v>
      </c>
      <c r="C146" s="1810"/>
      <c r="D146" s="2008" t="s">
        <v>3655</v>
      </c>
      <c r="E146" s="2009" t="s">
        <v>3656</v>
      </c>
      <c r="F146" s="1462" t="s">
        <v>3654</v>
      </c>
      <c r="G146" s="1953" t="s">
        <v>4156</v>
      </c>
      <c r="H146" s="1947" t="s">
        <v>18</v>
      </c>
      <c r="I146" s="1712">
        <f>$G$5</f>
        <v>0</v>
      </c>
      <c r="J146" s="2148">
        <v>13.5</v>
      </c>
      <c r="K146" s="1950" t="s">
        <v>4064</v>
      </c>
      <c r="L146" s="1947" t="s">
        <v>4070</v>
      </c>
      <c r="M146" s="1754">
        <f t="shared" si="41"/>
        <v>0</v>
      </c>
      <c r="N146" s="1756">
        <v>150</v>
      </c>
      <c r="O146" s="1712">
        <f t="shared" si="49"/>
        <v>0</v>
      </c>
      <c r="P146" s="1712">
        <f t="shared" si="50"/>
        <v>0</v>
      </c>
      <c r="Q146" s="1712">
        <f t="shared" si="51"/>
        <v>0</v>
      </c>
      <c r="R146" s="1757">
        <v>0.09</v>
      </c>
      <c r="S146" s="1712">
        <f t="shared" si="52"/>
        <v>0</v>
      </c>
      <c r="T146" s="1712" t="str">
        <f t="shared" si="47"/>
        <v/>
      </c>
      <c r="U146" s="1712" t="str">
        <f t="shared" si="48"/>
        <v/>
      </c>
      <c r="V146" s="1952"/>
    </row>
    <row r="147" spans="1:22" s="1942" customFormat="1" ht="12" customHeight="1" outlineLevel="3">
      <c r="A147" s="1944"/>
      <c r="B147" s="1978" t="s">
        <v>718</v>
      </c>
      <c r="C147" s="1810"/>
      <c r="D147" s="2008" t="s">
        <v>3657</v>
      </c>
      <c r="E147" s="2009" t="s">
        <v>3658</v>
      </c>
      <c r="F147" s="1462" t="s">
        <v>3654</v>
      </c>
      <c r="G147" s="1953" t="s">
        <v>4156</v>
      </c>
      <c r="H147" s="1947" t="s">
        <v>3926</v>
      </c>
      <c r="I147" s="1712">
        <f>$G$7</f>
        <v>0</v>
      </c>
      <c r="J147" s="2148">
        <v>20.5</v>
      </c>
      <c r="K147" s="1950" t="s">
        <v>660</v>
      </c>
      <c r="L147" s="1947" t="s">
        <v>4071</v>
      </c>
      <c r="M147" s="1754">
        <f t="shared" si="41"/>
        <v>0</v>
      </c>
      <c r="N147" s="1756">
        <v>150</v>
      </c>
      <c r="O147" s="1712">
        <f t="shared" si="49"/>
        <v>0</v>
      </c>
      <c r="P147" s="1712">
        <f t="shared" si="50"/>
        <v>0</v>
      </c>
      <c r="Q147" s="1712">
        <f t="shared" si="51"/>
        <v>0</v>
      </c>
      <c r="R147" s="1757">
        <v>0.09</v>
      </c>
      <c r="S147" s="1712">
        <f t="shared" si="52"/>
        <v>0</v>
      </c>
      <c r="T147" s="1712" t="str">
        <f t="shared" si="47"/>
        <v/>
      </c>
      <c r="U147" s="1712" t="str">
        <f t="shared" si="48"/>
        <v/>
      </c>
      <c r="V147" s="1952"/>
    </row>
    <row r="148" spans="1:22" s="1942" customFormat="1" ht="12" customHeight="1" outlineLevel="3">
      <c r="A148" s="1944"/>
      <c r="B148" s="1978" t="s">
        <v>1585</v>
      </c>
      <c r="C148" s="1810"/>
      <c r="D148" s="2008" t="s">
        <v>3659</v>
      </c>
      <c r="E148" s="2009" t="s">
        <v>3660</v>
      </c>
      <c r="F148" s="1462" t="s">
        <v>3654</v>
      </c>
      <c r="G148" s="1953" t="s">
        <v>4156</v>
      </c>
      <c r="H148" s="1947" t="s">
        <v>3926</v>
      </c>
      <c r="I148" s="1712">
        <f>$G$7</f>
        <v>0</v>
      </c>
      <c r="J148" s="2148">
        <v>6</v>
      </c>
      <c r="K148" s="1950" t="s">
        <v>660</v>
      </c>
      <c r="L148" s="1947" t="s">
        <v>4072</v>
      </c>
      <c r="M148" s="1754">
        <f t="shared" si="41"/>
        <v>0</v>
      </c>
      <c r="N148" s="1756">
        <v>180</v>
      </c>
      <c r="O148" s="1712">
        <f t="shared" si="49"/>
        <v>0</v>
      </c>
      <c r="P148" s="1712">
        <f t="shared" si="50"/>
        <v>0</v>
      </c>
      <c r="Q148" s="1712">
        <f t="shared" si="51"/>
        <v>0</v>
      </c>
      <c r="R148" s="1757">
        <v>0.09</v>
      </c>
      <c r="S148" s="1712">
        <f t="shared" si="52"/>
        <v>0</v>
      </c>
      <c r="T148" s="1712" t="str">
        <f t="shared" si="47"/>
        <v/>
      </c>
      <c r="U148" s="1712" t="str">
        <f t="shared" si="48"/>
        <v/>
      </c>
      <c r="V148" s="1952"/>
    </row>
    <row r="149" spans="1:22" s="1942" customFormat="1" ht="12" customHeight="1" outlineLevel="3">
      <c r="A149" s="1944"/>
      <c r="B149" s="1978" t="s">
        <v>1586</v>
      </c>
      <c r="C149" s="1810"/>
      <c r="D149" s="2008" t="s">
        <v>720</v>
      </c>
      <c r="E149" s="2009" t="s">
        <v>3661</v>
      </c>
      <c r="F149" s="1462" t="s">
        <v>3654</v>
      </c>
      <c r="G149" s="1953" t="s">
        <v>4156</v>
      </c>
      <c r="H149" s="1947" t="s">
        <v>3926</v>
      </c>
      <c r="I149" s="1712">
        <f>$G$7</f>
        <v>0</v>
      </c>
      <c r="J149" s="2148">
        <v>6</v>
      </c>
      <c r="K149" s="1950" t="s">
        <v>660</v>
      </c>
      <c r="L149" s="1947" t="s">
        <v>4073</v>
      </c>
      <c r="M149" s="1754">
        <f t="shared" si="41"/>
        <v>0</v>
      </c>
      <c r="N149" s="1756">
        <v>90</v>
      </c>
      <c r="O149" s="1712">
        <f t="shared" si="49"/>
        <v>0</v>
      </c>
      <c r="P149" s="1712">
        <f t="shared" si="50"/>
        <v>0</v>
      </c>
      <c r="Q149" s="1712">
        <f t="shared" si="51"/>
        <v>0</v>
      </c>
      <c r="R149" s="1757">
        <v>0.09</v>
      </c>
      <c r="S149" s="1712">
        <f t="shared" si="52"/>
        <v>0</v>
      </c>
      <c r="T149" s="1712" t="str">
        <f t="shared" si="47"/>
        <v/>
      </c>
      <c r="U149" s="1712" t="str">
        <f t="shared" si="48"/>
        <v/>
      </c>
      <c r="V149" s="1952"/>
    </row>
    <row r="150" spans="1:22" s="1942" customFormat="1" ht="12" customHeight="1" outlineLevel="3">
      <c r="A150" s="1944"/>
      <c r="B150" s="1978" t="s">
        <v>3662</v>
      </c>
      <c r="C150" s="1810"/>
      <c r="D150" s="2008" t="s">
        <v>3663</v>
      </c>
      <c r="E150" s="2009" t="s">
        <v>3664</v>
      </c>
      <c r="F150" s="1462" t="s">
        <v>3654</v>
      </c>
      <c r="G150" s="1953" t="s">
        <v>4156</v>
      </c>
      <c r="H150" s="1947" t="s">
        <v>3926</v>
      </c>
      <c r="I150" s="1712">
        <f>$G$7</f>
        <v>0</v>
      </c>
      <c r="J150" s="2148">
        <v>19</v>
      </c>
      <c r="K150" s="1950" t="s">
        <v>722</v>
      </c>
      <c r="L150" s="1947" t="s">
        <v>4074</v>
      </c>
      <c r="M150" s="1754">
        <f t="shared" si="41"/>
        <v>0</v>
      </c>
      <c r="N150" s="1756">
        <v>220</v>
      </c>
      <c r="O150" s="1712">
        <f t="shared" si="49"/>
        <v>0</v>
      </c>
      <c r="P150" s="1712">
        <f t="shared" si="50"/>
        <v>0</v>
      </c>
      <c r="Q150" s="1712">
        <f t="shared" si="51"/>
        <v>0</v>
      </c>
      <c r="R150" s="1757">
        <v>0.09</v>
      </c>
      <c r="S150" s="1712">
        <f t="shared" si="52"/>
        <v>0</v>
      </c>
      <c r="T150" s="1712" t="str">
        <f t="shared" si="47"/>
        <v/>
      </c>
      <c r="U150" s="1712" t="str">
        <f t="shared" si="48"/>
        <v/>
      </c>
      <c r="V150" s="1952"/>
    </row>
    <row r="151" spans="1:22" s="1942" customFormat="1" ht="12" customHeight="1" outlineLevel="3">
      <c r="A151" s="1944"/>
      <c r="B151" s="1978" t="s">
        <v>3665</v>
      </c>
      <c r="C151" s="1810"/>
      <c r="D151" s="2008" t="s">
        <v>3666</v>
      </c>
      <c r="E151" s="2009" t="s">
        <v>3667</v>
      </c>
      <c r="F151" s="1462" t="s">
        <v>3654</v>
      </c>
      <c r="G151" s="1953" t="s">
        <v>4156</v>
      </c>
      <c r="H151" s="1947" t="s">
        <v>9</v>
      </c>
      <c r="I151" s="1712">
        <f>$E$4</f>
        <v>0</v>
      </c>
      <c r="J151" s="2135"/>
      <c r="K151" s="1950" t="s">
        <v>4075</v>
      </c>
      <c r="L151" s="1947" t="s">
        <v>4076</v>
      </c>
      <c r="M151" s="1754">
        <f t="shared" si="41"/>
        <v>0</v>
      </c>
      <c r="N151" s="1712"/>
      <c r="O151" s="1712">
        <f t="shared" si="49"/>
        <v>0</v>
      </c>
      <c r="P151" s="1712">
        <f t="shared" si="50"/>
        <v>0</v>
      </c>
      <c r="Q151" s="1712">
        <f t="shared" si="51"/>
        <v>0</v>
      </c>
      <c r="R151" s="1757">
        <v>0.09</v>
      </c>
      <c r="S151" s="1712">
        <f t="shared" si="52"/>
        <v>0</v>
      </c>
      <c r="T151" s="1712" t="str">
        <f t="shared" si="47"/>
        <v/>
      </c>
      <c r="U151" s="1712" t="str">
        <f t="shared" si="48"/>
        <v/>
      </c>
      <c r="V151" s="1952"/>
    </row>
    <row r="152" spans="1:22" s="1942" customFormat="1" ht="12" customHeight="1" outlineLevel="3">
      <c r="A152" s="1944"/>
      <c r="B152" s="1978" t="s">
        <v>3668</v>
      </c>
      <c r="C152" s="1810"/>
      <c r="D152" s="2008" t="s">
        <v>3669</v>
      </c>
      <c r="E152" s="2009" t="s">
        <v>3670</v>
      </c>
      <c r="F152" s="1462" t="s">
        <v>3654</v>
      </c>
      <c r="G152" s="1953" t="s">
        <v>4156</v>
      </c>
      <c r="H152" s="1947" t="s">
        <v>3926</v>
      </c>
      <c r="I152" s="1712">
        <f>$G$7</f>
        <v>0</v>
      </c>
      <c r="J152" s="2135"/>
      <c r="K152" s="1950" t="s">
        <v>101</v>
      </c>
      <c r="L152" s="1947" t="s">
        <v>4077</v>
      </c>
      <c r="M152" s="1754">
        <f t="shared" si="41"/>
        <v>0</v>
      </c>
      <c r="N152" s="1712"/>
      <c r="O152" s="1712">
        <f t="shared" si="49"/>
        <v>0</v>
      </c>
      <c r="P152" s="1712">
        <f t="shared" si="50"/>
        <v>0</v>
      </c>
      <c r="Q152" s="1712">
        <f t="shared" si="51"/>
        <v>0</v>
      </c>
      <c r="R152" s="1757">
        <v>0.09</v>
      </c>
      <c r="S152" s="1712">
        <f t="shared" si="52"/>
        <v>0</v>
      </c>
      <c r="T152" s="1712" t="str">
        <f t="shared" si="47"/>
        <v/>
      </c>
      <c r="U152" s="1712" t="str">
        <f t="shared" si="48"/>
        <v/>
      </c>
      <c r="V152" s="1952"/>
    </row>
    <row r="153" spans="1:22" s="1942" customFormat="1" ht="13" outlineLevel="2">
      <c r="A153" s="1944"/>
      <c r="B153" s="1807" t="s">
        <v>723</v>
      </c>
      <c r="C153" s="1808"/>
      <c r="D153" s="2008" t="s">
        <v>21</v>
      </c>
      <c r="E153" s="2009"/>
      <c r="F153" s="1462"/>
      <c r="G153" s="1953" t="s">
        <v>4117</v>
      </c>
      <c r="H153" s="1947"/>
      <c r="I153" s="1948"/>
      <c r="J153" s="2099"/>
      <c r="K153" s="1950"/>
      <c r="L153" s="1947"/>
      <c r="M153" s="1950"/>
      <c r="N153" s="1712"/>
      <c r="O153" s="1712">
        <f>SUBTOTAL(9,O154:O158)</f>
        <v>0</v>
      </c>
      <c r="P153" s="1712"/>
      <c r="Q153" s="1712">
        <f>SUBTOTAL(9,Q154:Q158)</f>
        <v>0</v>
      </c>
      <c r="R153" s="1712"/>
      <c r="S153" s="1712">
        <f>SUBTOTAL(9,S154:S158)</f>
        <v>0</v>
      </c>
      <c r="T153" s="1712" t="str">
        <f t="shared" si="47"/>
        <v/>
      </c>
      <c r="U153" s="1712" t="str">
        <f t="shared" si="48"/>
        <v/>
      </c>
      <c r="V153" s="1952"/>
    </row>
    <row r="154" spans="1:22" s="1942" customFormat="1" ht="12" customHeight="1" outlineLevel="3">
      <c r="A154" s="1944"/>
      <c r="B154" s="1978" t="s">
        <v>724</v>
      </c>
      <c r="C154" s="1810"/>
      <c r="D154" s="2008" t="s">
        <v>3671</v>
      </c>
      <c r="E154" s="2009" t="s">
        <v>3672</v>
      </c>
      <c r="F154" s="1462" t="s">
        <v>1606</v>
      </c>
      <c r="G154" s="1953" t="s">
        <v>4121</v>
      </c>
      <c r="H154" s="1947" t="s">
        <v>18</v>
      </c>
      <c r="I154" s="1712">
        <f>$G$5</f>
        <v>0</v>
      </c>
      <c r="J154" s="2148">
        <v>1</v>
      </c>
      <c r="K154" s="1950" t="s">
        <v>2942</v>
      </c>
      <c r="L154" s="1947" t="s">
        <v>4078</v>
      </c>
      <c r="M154" s="1754">
        <f t="shared" si="41"/>
        <v>0</v>
      </c>
      <c r="N154" s="1756">
        <v>20000</v>
      </c>
      <c r="O154" s="1712">
        <f>ROUND(M154*ROUND(N154,2)/10000,6)</f>
        <v>0</v>
      </c>
      <c r="P154" s="1712">
        <f>IFERROR(ROUND(Q154*10000/M154,2),0)</f>
        <v>0</v>
      </c>
      <c r="Q154" s="1712">
        <f>ROUND(O154/(1+R154),6)</f>
        <v>0</v>
      </c>
      <c r="R154" s="1757">
        <v>0.09</v>
      </c>
      <c r="S154" s="1712">
        <f>O154-Q154</f>
        <v>0</v>
      </c>
      <c r="T154" s="1712" t="str">
        <f t="shared" si="47"/>
        <v/>
      </c>
      <c r="U154" s="1712" t="str">
        <f t="shared" si="48"/>
        <v/>
      </c>
      <c r="V154" s="1952"/>
    </row>
    <row r="155" spans="1:22" s="1942" customFormat="1" ht="12" customHeight="1" outlineLevel="3">
      <c r="A155" s="1944"/>
      <c r="B155" s="1978" t="s">
        <v>726</v>
      </c>
      <c r="C155" s="1810"/>
      <c r="D155" s="2008" t="s">
        <v>61</v>
      </c>
      <c r="E155" s="2009" t="s">
        <v>3673</v>
      </c>
      <c r="F155" s="1462" t="s">
        <v>3674</v>
      </c>
      <c r="G155" s="1953" t="s">
        <v>4157</v>
      </c>
      <c r="H155" s="1947" t="s">
        <v>3926</v>
      </c>
      <c r="I155" s="1712">
        <f>$G$7</f>
        <v>0</v>
      </c>
      <c r="J155" s="2148">
        <v>1</v>
      </c>
      <c r="K155" s="1950" t="s">
        <v>6</v>
      </c>
      <c r="L155" s="1947" t="s">
        <v>4079</v>
      </c>
      <c r="M155" s="1754">
        <f t="shared" si="41"/>
        <v>0</v>
      </c>
      <c r="N155" s="1756">
        <v>1800</v>
      </c>
      <c r="O155" s="1712">
        <f>ROUND(M155*ROUND(N155,2)/10000,6)</f>
        <v>0</v>
      </c>
      <c r="P155" s="1712">
        <f>IFERROR(ROUND(Q155*10000/M155,2),0)</f>
        <v>0</v>
      </c>
      <c r="Q155" s="1712">
        <f>ROUND(O155/(1+R155),6)</f>
        <v>0</v>
      </c>
      <c r="R155" s="1757">
        <v>0.13</v>
      </c>
      <c r="S155" s="1712">
        <f>O155-Q155</f>
        <v>0</v>
      </c>
      <c r="T155" s="1712" t="str">
        <f t="shared" si="47"/>
        <v/>
      </c>
      <c r="U155" s="1712" t="str">
        <f t="shared" si="48"/>
        <v/>
      </c>
      <c r="V155" s="1952"/>
    </row>
    <row r="156" spans="1:22" s="1942" customFormat="1" ht="12" customHeight="1" outlineLevel="3">
      <c r="A156" s="1944"/>
      <c r="B156" s="1978" t="s">
        <v>728</v>
      </c>
      <c r="C156" s="1810"/>
      <c r="D156" s="2008" t="s">
        <v>3675</v>
      </c>
      <c r="E156" s="2009" t="s">
        <v>3676</v>
      </c>
      <c r="F156" s="1462" t="s">
        <v>3677</v>
      </c>
      <c r="G156" s="1953" t="s">
        <v>4158</v>
      </c>
      <c r="H156" s="1947" t="s">
        <v>3923</v>
      </c>
      <c r="I156" s="1712">
        <f>G6</f>
        <v>0</v>
      </c>
      <c r="J156" s="2148">
        <f>9+1.2*2.1*6</f>
        <v>24.12</v>
      </c>
      <c r="K156" s="1950" t="s">
        <v>101</v>
      </c>
      <c r="L156" s="1947" t="s">
        <v>4080</v>
      </c>
      <c r="M156" s="1754">
        <f t="shared" si="41"/>
        <v>0</v>
      </c>
      <c r="N156" s="1756">
        <v>350</v>
      </c>
      <c r="O156" s="1712">
        <f>ROUND(M156*ROUND(N156,2)/10000,6)</f>
        <v>0</v>
      </c>
      <c r="P156" s="1712">
        <f>IFERROR(ROUND(Q156*10000/M156,2),0)</f>
        <v>0</v>
      </c>
      <c r="Q156" s="1712">
        <f>ROUND(O156/(1+R156),6)</f>
        <v>0</v>
      </c>
      <c r="R156" s="1757">
        <v>0.13</v>
      </c>
      <c r="S156" s="1712">
        <f>O156-Q156</f>
        <v>0</v>
      </c>
      <c r="T156" s="1712" t="str">
        <f t="shared" si="47"/>
        <v/>
      </c>
      <c r="U156" s="1712" t="str">
        <f t="shared" si="48"/>
        <v/>
      </c>
      <c r="V156" s="1952"/>
    </row>
    <row r="157" spans="1:22" s="1942" customFormat="1" ht="12" customHeight="1" outlineLevel="3">
      <c r="A157" s="1944"/>
      <c r="B157" s="1978" t="s">
        <v>730</v>
      </c>
      <c r="C157" s="1810"/>
      <c r="D157" s="2008" t="s">
        <v>62</v>
      </c>
      <c r="E157" s="2009" t="s">
        <v>3678</v>
      </c>
      <c r="F157" s="1462" t="s">
        <v>3679</v>
      </c>
      <c r="G157" s="1953" t="s">
        <v>4159</v>
      </c>
      <c r="H157" s="1947" t="s">
        <v>10</v>
      </c>
      <c r="I157" s="1712">
        <f>$E$5</f>
        <v>0</v>
      </c>
      <c r="J157" s="2148">
        <v>0.18</v>
      </c>
      <c r="K157" s="1950" t="s">
        <v>101</v>
      </c>
      <c r="L157" s="1947" t="s">
        <v>4081</v>
      </c>
      <c r="M157" s="1754">
        <f t="shared" si="41"/>
        <v>0</v>
      </c>
      <c r="N157" s="1712">
        <f>850+130</f>
        <v>980</v>
      </c>
      <c r="O157" s="1712">
        <f>ROUND(M157*ROUND(N157,2)/10000,6)</f>
        <v>0</v>
      </c>
      <c r="P157" s="1712">
        <f>IFERROR(ROUND(Q157*10000/M157,2),0)</f>
        <v>0</v>
      </c>
      <c r="Q157" s="1712">
        <f>ROUND(O157/(1+R157),6)</f>
        <v>0</v>
      </c>
      <c r="R157" s="1757">
        <v>0.13</v>
      </c>
      <c r="S157" s="1712">
        <f>O157-Q157</f>
        <v>0</v>
      </c>
      <c r="T157" s="1712" t="str">
        <f t="shared" si="47"/>
        <v/>
      </c>
      <c r="U157" s="1712" t="str">
        <f t="shared" si="48"/>
        <v/>
      </c>
      <c r="V157" s="1952"/>
    </row>
    <row r="158" spans="1:22" s="1942" customFormat="1" ht="12" customHeight="1" outlineLevel="3">
      <c r="A158" s="1944"/>
      <c r="B158" s="1978" t="s">
        <v>3680</v>
      </c>
      <c r="C158" s="1810"/>
      <c r="D158" s="2008" t="s">
        <v>3681</v>
      </c>
      <c r="E158" s="2009" t="s">
        <v>3682</v>
      </c>
      <c r="F158" s="1462" t="s">
        <v>3677</v>
      </c>
      <c r="G158" s="1953" t="s">
        <v>4158</v>
      </c>
      <c r="H158" s="1947" t="s">
        <v>10</v>
      </c>
      <c r="I158" s="1712">
        <f>$E$5</f>
        <v>0</v>
      </c>
      <c r="J158" s="2135"/>
      <c r="K158" s="1950" t="s">
        <v>101</v>
      </c>
      <c r="L158" s="1947" t="s">
        <v>4082</v>
      </c>
      <c r="M158" s="1754">
        <f t="shared" si="41"/>
        <v>0</v>
      </c>
      <c r="N158" s="1712"/>
      <c r="O158" s="1712">
        <f>ROUND(M158*ROUND(N158,2)/10000,6)</f>
        <v>0</v>
      </c>
      <c r="P158" s="1712">
        <f>IFERROR(ROUND(Q158*10000/M158,2),0)</f>
        <v>0</v>
      </c>
      <c r="Q158" s="1712">
        <f>ROUND(O158/(1+R158),6)</f>
        <v>0</v>
      </c>
      <c r="R158" s="1757">
        <v>0.13</v>
      </c>
      <c r="S158" s="1712">
        <f>O158-Q158</f>
        <v>0</v>
      </c>
      <c r="T158" s="1712" t="str">
        <f t="shared" si="47"/>
        <v/>
      </c>
      <c r="U158" s="1712" t="str">
        <f t="shared" si="48"/>
        <v/>
      </c>
      <c r="V158" s="1952"/>
    </row>
    <row r="159" spans="1:22" s="1942" customFormat="1" ht="13" outlineLevel="2">
      <c r="A159" s="1944"/>
      <c r="B159" s="1807" t="s">
        <v>731</v>
      </c>
      <c r="C159" s="1808"/>
      <c r="D159" s="2008" t="s">
        <v>734</v>
      </c>
      <c r="E159" s="2009"/>
      <c r="F159" s="1462"/>
      <c r="G159" s="1953" t="s">
        <v>4117</v>
      </c>
      <c r="H159" s="1947"/>
      <c r="I159" s="1948"/>
      <c r="J159" s="2099"/>
      <c r="K159" s="1950"/>
      <c r="L159" s="1947"/>
      <c r="M159" s="1950"/>
      <c r="N159" s="1712"/>
      <c r="O159" s="1712">
        <f>SUBTOTAL(9,O160:O162)</f>
        <v>0</v>
      </c>
      <c r="P159" s="1712"/>
      <c r="Q159" s="1712">
        <f>SUBTOTAL(9,Q160:Q162)</f>
        <v>0</v>
      </c>
      <c r="R159" s="1712"/>
      <c r="S159" s="1712">
        <f>SUBTOTAL(9,S160:S162)</f>
        <v>0</v>
      </c>
      <c r="T159" s="1712" t="str">
        <f t="shared" si="47"/>
        <v/>
      </c>
      <c r="U159" s="1712" t="str">
        <f t="shared" si="48"/>
        <v/>
      </c>
      <c r="V159" s="1952"/>
    </row>
    <row r="160" spans="1:22" s="1942" customFormat="1" ht="12" customHeight="1" outlineLevel="3">
      <c r="A160" s="1944"/>
      <c r="B160" s="1978" t="s">
        <v>733</v>
      </c>
      <c r="C160" s="1810"/>
      <c r="D160" s="2038" t="s">
        <v>3683</v>
      </c>
      <c r="E160" s="1947" t="s">
        <v>3684</v>
      </c>
      <c r="F160" s="1462" t="s">
        <v>3342</v>
      </c>
      <c r="G160" s="1953" t="s">
        <v>4116</v>
      </c>
      <c r="H160" s="1947" t="s">
        <v>9</v>
      </c>
      <c r="I160" s="1712">
        <f>$E$4</f>
        <v>0</v>
      </c>
      <c r="J160" s="2135"/>
      <c r="K160" s="1950" t="s">
        <v>101</v>
      </c>
      <c r="L160" s="1947" t="s">
        <v>4083</v>
      </c>
      <c r="M160" s="1754">
        <f t="shared" si="41"/>
        <v>0</v>
      </c>
      <c r="N160" s="1712"/>
      <c r="O160" s="1712">
        <f>ROUND(M160*ROUND(N160,2)/10000,6)</f>
        <v>0</v>
      </c>
      <c r="P160" s="1712">
        <f>IFERROR(ROUND(Q160*10000/M160,2),0)</f>
        <v>0</v>
      </c>
      <c r="Q160" s="1712">
        <f>ROUND(O160/(1+R160),6)</f>
        <v>0</v>
      </c>
      <c r="R160" s="1757">
        <v>0.09</v>
      </c>
      <c r="S160" s="1712">
        <f>O160-Q160</f>
        <v>0</v>
      </c>
      <c r="T160" s="1712" t="str">
        <f t="shared" si="47"/>
        <v/>
      </c>
      <c r="U160" s="1712" t="str">
        <f t="shared" si="48"/>
        <v/>
      </c>
      <c r="V160" s="1952"/>
    </row>
    <row r="161" spans="1:22" s="1942" customFormat="1" ht="12" customHeight="1" outlineLevel="3">
      <c r="A161" s="1944"/>
      <c r="B161" s="1978" t="s">
        <v>735</v>
      </c>
      <c r="C161" s="1810"/>
      <c r="D161" s="2038" t="s">
        <v>3685</v>
      </c>
      <c r="E161" s="1947" t="s">
        <v>3686</v>
      </c>
      <c r="F161" s="1462" t="s">
        <v>3342</v>
      </c>
      <c r="G161" s="1953" t="s">
        <v>4116</v>
      </c>
      <c r="H161" s="1947" t="s">
        <v>9</v>
      </c>
      <c r="I161" s="1712">
        <f>$E$4</f>
        <v>0</v>
      </c>
      <c r="J161" s="2139"/>
      <c r="K161" s="1950" t="s">
        <v>101</v>
      </c>
      <c r="L161" s="1947" t="s">
        <v>9</v>
      </c>
      <c r="M161" s="1754">
        <f t="shared" si="41"/>
        <v>0</v>
      </c>
      <c r="N161" s="1712"/>
      <c r="O161" s="1712">
        <f>ROUND(M161*ROUND(N161,2)/10000,6)</f>
        <v>0</v>
      </c>
      <c r="P161" s="1712">
        <f>IFERROR(ROUND(Q161*10000/M161,2),0)</f>
        <v>0</v>
      </c>
      <c r="Q161" s="1712">
        <f>ROUND(O161/(1+R161),6)</f>
        <v>0</v>
      </c>
      <c r="R161" s="1757">
        <v>0.09</v>
      </c>
      <c r="S161" s="1712">
        <f>O161-Q161</f>
        <v>0</v>
      </c>
      <c r="T161" s="1712" t="str">
        <f t="shared" si="47"/>
        <v/>
      </c>
      <c r="U161" s="1712" t="str">
        <f t="shared" si="48"/>
        <v/>
      </c>
      <c r="V161" s="1952"/>
    </row>
    <row r="162" spans="1:22" s="1942" customFormat="1" ht="12" customHeight="1" outlineLevel="3">
      <c r="A162" s="1944"/>
      <c r="B162" s="1978" t="s">
        <v>737</v>
      </c>
      <c r="C162" s="1810"/>
      <c r="D162" s="2038" t="s">
        <v>3687</v>
      </c>
      <c r="E162" s="1947" t="s">
        <v>3688</v>
      </c>
      <c r="F162" s="1462" t="s">
        <v>471</v>
      </c>
      <c r="G162" s="1953" t="s">
        <v>4160</v>
      </c>
      <c r="H162" s="1947" t="s">
        <v>9</v>
      </c>
      <c r="I162" s="1712">
        <f>$E$4</f>
        <v>0</v>
      </c>
      <c r="J162" s="2135"/>
      <c r="K162" s="1950" t="s">
        <v>101</v>
      </c>
      <c r="L162" s="1947" t="s">
        <v>4084</v>
      </c>
      <c r="M162" s="1754">
        <f t="shared" si="41"/>
        <v>0</v>
      </c>
      <c r="N162" s="1712"/>
      <c r="O162" s="1712">
        <f>ROUND(M162*ROUND(N162,2)/10000,6)</f>
        <v>0</v>
      </c>
      <c r="P162" s="1712">
        <f>IFERROR(ROUND(Q162*10000/M162,2),0)</f>
        <v>0</v>
      </c>
      <c r="Q162" s="1712">
        <f>ROUND(O162/(1+R162),6)</f>
        <v>0</v>
      </c>
      <c r="R162" s="1757">
        <v>0.13</v>
      </c>
      <c r="S162" s="1712">
        <f>O162-Q162</f>
        <v>0</v>
      </c>
      <c r="T162" s="1712" t="str">
        <f t="shared" si="47"/>
        <v/>
      </c>
      <c r="U162" s="1712" t="str">
        <f t="shared" si="48"/>
        <v/>
      </c>
      <c r="V162" s="1952"/>
    </row>
    <row r="163" spans="1:22" s="1942" customFormat="1" ht="13" outlineLevel="2">
      <c r="A163" s="1944"/>
      <c r="B163" s="1978" t="s">
        <v>3689</v>
      </c>
      <c r="C163" s="1810"/>
      <c r="D163" s="2038" t="s">
        <v>3690</v>
      </c>
      <c r="E163" s="1947"/>
      <c r="F163" s="1462"/>
      <c r="G163" s="1953" t="s">
        <v>4117</v>
      </c>
      <c r="H163" s="1947"/>
      <c r="I163" s="1948"/>
      <c r="J163" s="2135"/>
      <c r="K163" s="1950"/>
      <c r="L163" s="1947"/>
      <c r="M163" s="1950"/>
      <c r="N163" s="1712"/>
      <c r="O163" s="1712">
        <f>SUBTOTAL(9,O164:O166)</f>
        <v>0</v>
      </c>
      <c r="P163" s="1712"/>
      <c r="Q163" s="1712">
        <f>SUBTOTAL(9,Q164:Q166)</f>
        <v>0</v>
      </c>
      <c r="R163" s="1712"/>
      <c r="S163" s="1712">
        <f>SUBTOTAL(9,S164:S166)</f>
        <v>0</v>
      </c>
      <c r="T163" s="1712" t="str">
        <f t="shared" si="47"/>
        <v/>
      </c>
      <c r="U163" s="1712" t="str">
        <f t="shared" si="48"/>
        <v/>
      </c>
      <c r="V163" s="1952"/>
    </row>
    <row r="164" spans="1:22" s="1942" customFormat="1" ht="12" customHeight="1" outlineLevel="3">
      <c r="A164" s="1944"/>
      <c r="B164" s="1978" t="s">
        <v>3691</v>
      </c>
      <c r="C164" s="1810"/>
      <c r="D164" s="2038" t="s">
        <v>3692</v>
      </c>
      <c r="E164" s="1947" t="s">
        <v>3693</v>
      </c>
      <c r="F164" s="1462" t="s">
        <v>3694</v>
      </c>
      <c r="G164" s="1953" t="s">
        <v>4161</v>
      </c>
      <c r="H164" s="1975" t="s">
        <v>10</v>
      </c>
      <c r="I164" s="1712">
        <f>$E$5</f>
        <v>0</v>
      </c>
      <c r="J164" s="2135">
        <v>1</v>
      </c>
      <c r="K164" s="1950" t="s">
        <v>101</v>
      </c>
      <c r="L164" s="1947" t="s">
        <v>10</v>
      </c>
      <c r="M164" s="1754">
        <f t="shared" si="41"/>
        <v>0</v>
      </c>
      <c r="N164" s="1712">
        <v>1</v>
      </c>
      <c r="O164" s="1712">
        <f t="shared" ref="O164:O169" si="53">ROUND(M164*ROUND(N164,2)/10000,6)</f>
        <v>0</v>
      </c>
      <c r="P164" s="1712">
        <f t="shared" ref="P164:P169" si="54">IFERROR(ROUND(Q164*10000/M164,2),0)</f>
        <v>0</v>
      </c>
      <c r="Q164" s="1712">
        <f t="shared" ref="Q164:Q169" si="55">ROUND(O164/(1+R164),6)</f>
        <v>0</v>
      </c>
      <c r="R164" s="1757">
        <v>0.13</v>
      </c>
      <c r="S164" s="1712">
        <f t="shared" ref="S164:S169" si="56">O164-Q164</f>
        <v>0</v>
      </c>
      <c r="T164" s="1712" t="str">
        <f t="shared" si="47"/>
        <v/>
      </c>
      <c r="U164" s="1712" t="str">
        <f t="shared" si="48"/>
        <v/>
      </c>
      <c r="V164" s="1952"/>
    </row>
    <row r="165" spans="1:22" s="1942" customFormat="1" ht="12" customHeight="1" outlineLevel="3">
      <c r="A165" s="1944"/>
      <c r="B165" s="1978" t="s">
        <v>3695</v>
      </c>
      <c r="C165" s="1810"/>
      <c r="D165" s="2038" t="s">
        <v>3696</v>
      </c>
      <c r="E165" s="1947" t="s">
        <v>3697</v>
      </c>
      <c r="F165" s="1462" t="s">
        <v>3694</v>
      </c>
      <c r="G165" s="1953" t="s">
        <v>4161</v>
      </c>
      <c r="H165" s="1975" t="s">
        <v>10</v>
      </c>
      <c r="I165" s="1712">
        <f>$E$5</f>
        <v>0</v>
      </c>
      <c r="J165" s="2135">
        <v>1</v>
      </c>
      <c r="K165" s="1950" t="s">
        <v>101</v>
      </c>
      <c r="L165" s="1947" t="s">
        <v>10</v>
      </c>
      <c r="M165" s="1754">
        <f t="shared" si="41"/>
        <v>0</v>
      </c>
      <c r="N165" s="1712">
        <v>1</v>
      </c>
      <c r="O165" s="1712">
        <f t="shared" si="53"/>
        <v>0</v>
      </c>
      <c r="P165" s="1712">
        <f t="shared" si="54"/>
        <v>0</v>
      </c>
      <c r="Q165" s="1712">
        <f t="shared" si="55"/>
        <v>0</v>
      </c>
      <c r="R165" s="1757">
        <v>0.13</v>
      </c>
      <c r="S165" s="1712">
        <f t="shared" si="56"/>
        <v>0</v>
      </c>
      <c r="T165" s="1712" t="str">
        <f t="shared" si="47"/>
        <v/>
      </c>
      <c r="U165" s="1712" t="str">
        <f t="shared" si="48"/>
        <v/>
      </c>
      <c r="V165" s="1952"/>
    </row>
    <row r="166" spans="1:22" s="1942" customFormat="1" ht="12" customHeight="1" outlineLevel="3">
      <c r="A166" s="1944"/>
      <c r="B166" s="1978" t="s">
        <v>3698</v>
      </c>
      <c r="C166" s="1810"/>
      <c r="D166" s="2038" t="s">
        <v>3699</v>
      </c>
      <c r="E166" s="1947" t="s">
        <v>3700</v>
      </c>
      <c r="F166" s="1462" t="s">
        <v>3694</v>
      </c>
      <c r="G166" s="1953" t="s">
        <v>4161</v>
      </c>
      <c r="H166" s="1975" t="s">
        <v>10</v>
      </c>
      <c r="I166" s="1712">
        <f>$E$5</f>
        <v>0</v>
      </c>
      <c r="J166" s="2135">
        <v>1</v>
      </c>
      <c r="K166" s="1950" t="s">
        <v>101</v>
      </c>
      <c r="L166" s="1947" t="s">
        <v>10</v>
      </c>
      <c r="M166" s="1754">
        <f t="shared" si="41"/>
        <v>0</v>
      </c>
      <c r="N166" s="1712">
        <v>1</v>
      </c>
      <c r="O166" s="1712">
        <f t="shared" si="53"/>
        <v>0</v>
      </c>
      <c r="P166" s="1712">
        <f t="shared" si="54"/>
        <v>0</v>
      </c>
      <c r="Q166" s="1712">
        <f t="shared" si="55"/>
        <v>0</v>
      </c>
      <c r="R166" s="1757">
        <v>0.13</v>
      </c>
      <c r="S166" s="1712">
        <f t="shared" si="56"/>
        <v>0</v>
      </c>
      <c r="T166" s="1712" t="str">
        <f t="shared" si="47"/>
        <v/>
      </c>
      <c r="U166" s="1712" t="str">
        <f t="shared" si="48"/>
        <v/>
      </c>
      <c r="V166" s="1952"/>
    </row>
    <row r="167" spans="1:22" s="1942" customFormat="1" ht="13" outlineLevel="2">
      <c r="A167" s="1944"/>
      <c r="B167" s="1978" t="s">
        <v>3705</v>
      </c>
      <c r="C167" s="1810"/>
      <c r="D167" s="2038" t="s">
        <v>740</v>
      </c>
      <c r="E167" s="1947" t="s">
        <v>3702</v>
      </c>
      <c r="F167" s="1462" t="s">
        <v>463</v>
      </c>
      <c r="G167" s="1953" t="s">
        <v>4162</v>
      </c>
      <c r="H167" s="1975" t="s">
        <v>3926</v>
      </c>
      <c r="I167" s="1712">
        <f>$G$7</f>
        <v>0</v>
      </c>
      <c r="J167" s="2148">
        <v>1</v>
      </c>
      <c r="K167" s="1950" t="s">
        <v>3947</v>
      </c>
      <c r="L167" s="1947" t="s">
        <v>3926</v>
      </c>
      <c r="M167" s="1754">
        <f t="shared" si="41"/>
        <v>0</v>
      </c>
      <c r="N167" s="1756">
        <v>130</v>
      </c>
      <c r="O167" s="1712">
        <f t="shared" si="53"/>
        <v>0</v>
      </c>
      <c r="P167" s="1712">
        <f t="shared" si="54"/>
        <v>0</v>
      </c>
      <c r="Q167" s="1712">
        <f t="shared" si="55"/>
        <v>0</v>
      </c>
      <c r="R167" s="1757">
        <v>0.13</v>
      </c>
      <c r="S167" s="1712">
        <f t="shared" si="56"/>
        <v>0</v>
      </c>
      <c r="T167" s="1712" t="str">
        <f t="shared" si="47"/>
        <v/>
      </c>
      <c r="U167" s="1712" t="str">
        <f t="shared" si="48"/>
        <v/>
      </c>
      <c r="V167" s="1952"/>
    </row>
    <row r="168" spans="1:22" s="1942" customFormat="1" ht="13" outlineLevel="2">
      <c r="A168" s="1944"/>
      <c r="B168" s="1978" t="s">
        <v>3701</v>
      </c>
      <c r="C168" s="1810"/>
      <c r="D168" s="2038" t="s">
        <v>3704</v>
      </c>
      <c r="E168" s="1947"/>
      <c r="F168" s="1462" t="s">
        <v>1424</v>
      </c>
      <c r="G168" s="1953" t="s">
        <v>4123</v>
      </c>
      <c r="H168" s="1975" t="s">
        <v>10</v>
      </c>
      <c r="I168" s="1712">
        <f>$E$5</f>
        <v>0</v>
      </c>
      <c r="J168" s="2139"/>
      <c r="K168" s="1950" t="s">
        <v>101</v>
      </c>
      <c r="L168" s="1947" t="s">
        <v>10</v>
      </c>
      <c r="M168" s="1754">
        <f t="shared" si="41"/>
        <v>0</v>
      </c>
      <c r="N168" s="1712"/>
      <c r="O168" s="1712">
        <f t="shared" si="53"/>
        <v>0</v>
      </c>
      <c r="P168" s="1712">
        <f t="shared" si="54"/>
        <v>0</v>
      </c>
      <c r="Q168" s="1712">
        <f t="shared" si="55"/>
        <v>0</v>
      </c>
      <c r="R168" s="1757">
        <v>0.06</v>
      </c>
      <c r="S168" s="1712">
        <f t="shared" si="56"/>
        <v>0</v>
      </c>
      <c r="T168" s="1712" t="str">
        <f t="shared" si="47"/>
        <v/>
      </c>
      <c r="U168" s="1712" t="str">
        <f t="shared" si="48"/>
        <v/>
      </c>
      <c r="V168" s="1952"/>
    </row>
    <row r="169" spans="1:22" s="1942" customFormat="1" ht="13" outlineLevel="2">
      <c r="A169" s="1944"/>
      <c r="B169" s="1978" t="s">
        <v>3703</v>
      </c>
      <c r="C169" s="1810"/>
      <c r="D169" s="2039" t="s">
        <v>3706</v>
      </c>
      <c r="E169" s="1982" t="s">
        <v>3707</v>
      </c>
      <c r="F169" s="1462" t="s">
        <v>3694</v>
      </c>
      <c r="G169" s="1982" t="s">
        <v>4161</v>
      </c>
      <c r="H169" s="1975" t="s">
        <v>10</v>
      </c>
      <c r="I169" s="1712">
        <f>$E$5</f>
        <v>0</v>
      </c>
      <c r="J169" s="2139"/>
      <c r="K169" s="1950" t="s">
        <v>101</v>
      </c>
      <c r="L169" s="1947" t="s">
        <v>10</v>
      </c>
      <c r="M169" s="1754">
        <f t="shared" si="41"/>
        <v>0</v>
      </c>
      <c r="N169" s="1712"/>
      <c r="O169" s="1712">
        <f t="shared" si="53"/>
        <v>0</v>
      </c>
      <c r="P169" s="1712">
        <f t="shared" si="54"/>
        <v>0</v>
      </c>
      <c r="Q169" s="1712">
        <f t="shared" si="55"/>
        <v>0</v>
      </c>
      <c r="R169" s="1757">
        <v>0.13</v>
      </c>
      <c r="S169" s="1712">
        <f t="shared" si="56"/>
        <v>0</v>
      </c>
      <c r="T169" s="1712" t="str">
        <f t="shared" si="47"/>
        <v/>
      </c>
      <c r="U169" s="1712" t="str">
        <f t="shared" si="48"/>
        <v/>
      </c>
      <c r="V169" s="1952"/>
    </row>
    <row r="170" spans="1:22" outlineLevel="1">
      <c r="A170" s="2019"/>
      <c r="B170" s="2023" t="s">
        <v>501</v>
      </c>
      <c r="C170" s="1852">
        <v>2</v>
      </c>
      <c r="D170" s="1966" t="s">
        <v>83</v>
      </c>
      <c r="E170" s="1967"/>
      <c r="F170" s="1968"/>
      <c r="G170" s="2007" t="s">
        <v>4117</v>
      </c>
      <c r="H170" s="1967"/>
      <c r="I170" s="1969"/>
      <c r="J170" s="2116"/>
      <c r="K170" s="1971"/>
      <c r="L170" s="1967"/>
      <c r="M170" s="1971"/>
      <c r="N170" s="1973"/>
      <c r="O170" s="1973">
        <f>SUBTOTAL(9,O171:O183)</f>
        <v>0</v>
      </c>
      <c r="P170" s="1973"/>
      <c r="Q170" s="1973">
        <f>SUBTOTAL(9,Q171:Q183)</f>
        <v>0</v>
      </c>
      <c r="R170" s="1973"/>
      <c r="S170" s="1973">
        <f>SUBTOTAL(9,S171:S183)</f>
        <v>0</v>
      </c>
      <c r="T170" s="1973" t="str">
        <f t="shared" si="47"/>
        <v/>
      </c>
      <c r="U170" s="1973" t="str">
        <f t="shared" si="48"/>
        <v/>
      </c>
      <c r="V170" s="1974"/>
    </row>
    <row r="171" spans="1:22" s="1942" customFormat="1" ht="13" outlineLevel="2">
      <c r="A171" s="1944"/>
      <c r="B171" s="1807" t="s">
        <v>742</v>
      </c>
      <c r="C171" s="1808"/>
      <c r="D171" s="2008" t="s">
        <v>51</v>
      </c>
      <c r="E171" s="2009" t="s">
        <v>3709</v>
      </c>
      <c r="F171" s="1462" t="s">
        <v>3577</v>
      </c>
      <c r="G171" s="1953" t="s">
        <v>4141</v>
      </c>
      <c r="H171" s="1947" t="s">
        <v>18</v>
      </c>
      <c r="I171" s="1712">
        <f>$G$5</f>
        <v>0</v>
      </c>
      <c r="J171" s="2149">
        <v>35.5</v>
      </c>
      <c r="K171" s="1947" t="s">
        <v>4085</v>
      </c>
      <c r="L171" s="1947" t="s">
        <v>4086</v>
      </c>
      <c r="M171" s="1754">
        <f t="shared" si="41"/>
        <v>0</v>
      </c>
      <c r="N171" s="1712">
        <f>1646</f>
        <v>1646</v>
      </c>
      <c r="O171" s="1712">
        <f t="shared" ref="O171:O183" si="57">ROUND(M171*ROUND(N171,2)/10000,6)</f>
        <v>0</v>
      </c>
      <c r="P171" s="1712">
        <f t="shared" ref="P171:P183" si="58">IFERROR(ROUND(Q171*10000/M171,2),0)</f>
        <v>0</v>
      </c>
      <c r="Q171" s="1712">
        <f t="shared" ref="Q171:Q183" si="59">ROUND(O171/(1+R171),6)</f>
        <v>0</v>
      </c>
      <c r="R171" s="1757">
        <v>0.09</v>
      </c>
      <c r="S171" s="1712">
        <f t="shared" ref="S171:S183" si="60">O171-Q171</f>
        <v>0</v>
      </c>
      <c r="T171" s="1712" t="str">
        <f t="shared" si="47"/>
        <v/>
      </c>
      <c r="U171" s="1712" t="str">
        <f t="shared" si="48"/>
        <v/>
      </c>
      <c r="V171" s="1952"/>
    </row>
    <row r="172" spans="1:22" s="1942" customFormat="1" ht="13" outlineLevel="2">
      <c r="A172" s="1944"/>
      <c r="B172" s="1807" t="s">
        <v>746</v>
      </c>
      <c r="C172" s="1810"/>
      <c r="D172" s="2038" t="s">
        <v>89</v>
      </c>
      <c r="E172" s="1947" t="s">
        <v>3710</v>
      </c>
      <c r="F172" s="1462" t="s">
        <v>3577</v>
      </c>
      <c r="G172" s="1953" t="s">
        <v>4141</v>
      </c>
      <c r="H172" s="1947" t="s">
        <v>18</v>
      </c>
      <c r="I172" s="1712">
        <f>$G$5</f>
        <v>0</v>
      </c>
      <c r="J172" s="2149">
        <v>30</v>
      </c>
      <c r="K172" s="1947" t="s">
        <v>4085</v>
      </c>
      <c r="L172" s="1947" t="s">
        <v>4087</v>
      </c>
      <c r="M172" s="1754">
        <f t="shared" si="41"/>
        <v>0</v>
      </c>
      <c r="N172" s="1712">
        <f>1880</f>
        <v>1880</v>
      </c>
      <c r="O172" s="1712">
        <f t="shared" si="57"/>
        <v>0</v>
      </c>
      <c r="P172" s="1712">
        <f t="shared" si="58"/>
        <v>0</v>
      </c>
      <c r="Q172" s="1712">
        <f t="shared" si="59"/>
        <v>0</v>
      </c>
      <c r="R172" s="1757">
        <v>0.09</v>
      </c>
      <c r="S172" s="1712">
        <f t="shared" si="60"/>
        <v>0</v>
      </c>
      <c r="T172" s="1712" t="str">
        <f t="shared" si="47"/>
        <v/>
      </c>
      <c r="U172" s="1712" t="str">
        <f t="shared" si="48"/>
        <v/>
      </c>
      <c r="V172" s="1952"/>
    </row>
    <row r="173" spans="1:22" s="1942" customFormat="1" ht="13" outlineLevel="2">
      <c r="A173" s="1944"/>
      <c r="B173" s="1807" t="s">
        <v>753</v>
      </c>
      <c r="C173" s="1810"/>
      <c r="D173" s="2038" t="s">
        <v>3711</v>
      </c>
      <c r="E173" s="1947" t="s">
        <v>3712</v>
      </c>
      <c r="F173" s="1462" t="s">
        <v>3577</v>
      </c>
      <c r="G173" s="1953" t="s">
        <v>4141</v>
      </c>
      <c r="H173" s="1947" t="s">
        <v>10</v>
      </c>
      <c r="I173" s="1712">
        <f>$E$5</f>
        <v>0</v>
      </c>
      <c r="J173" s="2140"/>
      <c r="K173" s="1947" t="s">
        <v>101</v>
      </c>
      <c r="L173" s="1947" t="s">
        <v>4088</v>
      </c>
      <c r="M173" s="1754">
        <f t="shared" si="41"/>
        <v>0</v>
      </c>
      <c r="N173" s="1712"/>
      <c r="O173" s="1712">
        <f t="shared" si="57"/>
        <v>0</v>
      </c>
      <c r="P173" s="1712">
        <f t="shared" si="58"/>
        <v>0</v>
      </c>
      <c r="Q173" s="1712">
        <f t="shared" si="59"/>
        <v>0</v>
      </c>
      <c r="R173" s="1757">
        <v>0.09</v>
      </c>
      <c r="S173" s="1712">
        <f t="shared" si="60"/>
        <v>0</v>
      </c>
      <c r="T173" s="1712" t="str">
        <f t="shared" si="47"/>
        <v/>
      </c>
      <c r="U173" s="1712" t="str">
        <f t="shared" si="48"/>
        <v/>
      </c>
      <c r="V173" s="1952"/>
    </row>
    <row r="174" spans="1:22" s="1942" customFormat="1" ht="13" outlineLevel="2">
      <c r="A174" s="1944"/>
      <c r="B174" s="1807" t="s">
        <v>755</v>
      </c>
      <c r="C174" s="1810"/>
      <c r="D174" s="2038" t="s">
        <v>90</v>
      </c>
      <c r="E174" s="1947" t="s">
        <v>3713</v>
      </c>
      <c r="F174" s="1462" t="s">
        <v>3577</v>
      </c>
      <c r="G174" s="1953" t="s">
        <v>4141</v>
      </c>
      <c r="H174" s="1947" t="s">
        <v>18</v>
      </c>
      <c r="I174" s="1712">
        <f>$G$5</f>
        <v>0</v>
      </c>
      <c r="J174" s="2140"/>
      <c r="K174" s="1947" t="s">
        <v>4085</v>
      </c>
      <c r="L174" s="1947" t="s">
        <v>4089</v>
      </c>
      <c r="M174" s="1754">
        <f t="shared" si="41"/>
        <v>0</v>
      </c>
      <c r="N174" s="1712"/>
      <c r="O174" s="1712">
        <f t="shared" si="57"/>
        <v>0</v>
      </c>
      <c r="P174" s="1712">
        <f t="shared" si="58"/>
        <v>0</v>
      </c>
      <c r="Q174" s="1712">
        <f t="shared" si="59"/>
        <v>0</v>
      </c>
      <c r="R174" s="1757">
        <v>0.09</v>
      </c>
      <c r="S174" s="1712">
        <f t="shared" si="60"/>
        <v>0</v>
      </c>
      <c r="T174" s="1712" t="str">
        <f t="shared" si="47"/>
        <v/>
      </c>
      <c r="U174" s="1712" t="str">
        <f t="shared" si="48"/>
        <v/>
      </c>
      <c r="V174" s="1952"/>
    </row>
    <row r="175" spans="1:22" s="1942" customFormat="1" ht="13" outlineLevel="2">
      <c r="A175" s="1944"/>
      <c r="B175" s="1807" t="s">
        <v>756</v>
      </c>
      <c r="C175" s="1810"/>
      <c r="D175" s="2038" t="s">
        <v>757</v>
      </c>
      <c r="E175" s="1947" t="s">
        <v>3714</v>
      </c>
      <c r="F175" s="1462" t="s">
        <v>3577</v>
      </c>
      <c r="G175" s="1953" t="s">
        <v>4141</v>
      </c>
      <c r="H175" s="1947" t="s">
        <v>3923</v>
      </c>
      <c r="I175" s="1712">
        <f>$G$6</f>
        <v>0</v>
      </c>
      <c r="J175" s="2149">
        <v>12.5</v>
      </c>
      <c r="K175" s="1947" t="s">
        <v>2</v>
      </c>
      <c r="L175" s="1947" t="s">
        <v>4090</v>
      </c>
      <c r="M175" s="1754">
        <f t="shared" si="41"/>
        <v>0</v>
      </c>
      <c r="N175" s="1712">
        <v>180</v>
      </c>
      <c r="O175" s="1712">
        <f t="shared" si="57"/>
        <v>0</v>
      </c>
      <c r="P175" s="1712">
        <f t="shared" si="58"/>
        <v>0</v>
      </c>
      <c r="Q175" s="1712">
        <f t="shared" si="59"/>
        <v>0</v>
      </c>
      <c r="R175" s="1757">
        <v>0.09</v>
      </c>
      <c r="S175" s="1712">
        <f t="shared" si="60"/>
        <v>0</v>
      </c>
      <c r="T175" s="1712" t="str">
        <f t="shared" si="47"/>
        <v/>
      </c>
      <c r="U175" s="1712" t="str">
        <f t="shared" si="48"/>
        <v/>
      </c>
      <c r="V175" s="1952"/>
    </row>
    <row r="176" spans="1:22" s="1942" customFormat="1" ht="13" outlineLevel="2">
      <c r="A176" s="1944"/>
      <c r="B176" s="1807" t="s">
        <v>758</v>
      </c>
      <c r="C176" s="1810"/>
      <c r="D176" s="2038" t="s">
        <v>118</v>
      </c>
      <c r="E176" s="1947" t="s">
        <v>3715</v>
      </c>
      <c r="F176" s="1462" t="s">
        <v>3577</v>
      </c>
      <c r="G176" s="1953" t="s">
        <v>4141</v>
      </c>
      <c r="H176" s="1947" t="s">
        <v>3923</v>
      </c>
      <c r="I176" s="1712">
        <f>$G$6</f>
        <v>0</v>
      </c>
      <c r="J176" s="2149">
        <v>13.5</v>
      </c>
      <c r="K176" s="1947" t="s">
        <v>2</v>
      </c>
      <c r="L176" s="1947" t="s">
        <v>4091</v>
      </c>
      <c r="M176" s="1754">
        <f t="shared" si="41"/>
        <v>0</v>
      </c>
      <c r="N176" s="1712">
        <f>1300</f>
        <v>1300</v>
      </c>
      <c r="O176" s="1712">
        <f t="shared" si="57"/>
        <v>0</v>
      </c>
      <c r="P176" s="1712">
        <f t="shared" si="58"/>
        <v>0</v>
      </c>
      <c r="Q176" s="1712">
        <f t="shared" si="59"/>
        <v>0</v>
      </c>
      <c r="R176" s="1757">
        <v>0.09</v>
      </c>
      <c r="S176" s="1712">
        <f t="shared" si="60"/>
        <v>0</v>
      </c>
      <c r="T176" s="1712" t="str">
        <f t="shared" si="47"/>
        <v/>
      </c>
      <c r="U176" s="1712" t="str">
        <f t="shared" si="48"/>
        <v/>
      </c>
      <c r="V176" s="1952"/>
    </row>
    <row r="177" spans="1:22" s="1942" customFormat="1" ht="13" outlineLevel="2">
      <c r="A177" s="1944"/>
      <c r="B177" s="1807" t="s">
        <v>763</v>
      </c>
      <c r="C177" s="1810"/>
      <c r="D177" s="2038" t="s">
        <v>807</v>
      </c>
      <c r="E177" s="1947" t="s">
        <v>3716</v>
      </c>
      <c r="F177" s="1462" t="s">
        <v>3577</v>
      </c>
      <c r="G177" s="1953" t="s">
        <v>4141</v>
      </c>
      <c r="H177" s="1947" t="s">
        <v>4092</v>
      </c>
      <c r="I177" s="1712">
        <f>$G$5</f>
        <v>0</v>
      </c>
      <c r="J177" s="2140">
        <v>2</v>
      </c>
      <c r="K177" s="1947" t="s">
        <v>2942</v>
      </c>
      <c r="L177" s="1947" t="s">
        <v>4093</v>
      </c>
      <c r="M177" s="1754">
        <f t="shared" si="41"/>
        <v>0</v>
      </c>
      <c r="N177" s="1712"/>
      <c r="O177" s="1712">
        <f t="shared" si="57"/>
        <v>0</v>
      </c>
      <c r="P177" s="1712">
        <f t="shared" si="58"/>
        <v>0</v>
      </c>
      <c r="Q177" s="1712">
        <f t="shared" si="59"/>
        <v>0</v>
      </c>
      <c r="R177" s="1757">
        <v>0.09</v>
      </c>
      <c r="S177" s="1712">
        <f t="shared" si="60"/>
        <v>0</v>
      </c>
      <c r="T177" s="1712" t="str">
        <f t="shared" si="47"/>
        <v/>
      </c>
      <c r="U177" s="1712" t="str">
        <f t="shared" si="48"/>
        <v/>
      </c>
      <c r="V177" s="1952"/>
    </row>
    <row r="178" spans="1:22" s="1942" customFormat="1" ht="13" outlineLevel="2">
      <c r="A178" s="1944"/>
      <c r="B178" s="1807" t="s">
        <v>764</v>
      </c>
      <c r="C178" s="1810"/>
      <c r="D178" s="2038" t="s">
        <v>808</v>
      </c>
      <c r="E178" s="1947" t="s">
        <v>3717</v>
      </c>
      <c r="F178" s="1462" t="s">
        <v>3577</v>
      </c>
      <c r="G178" s="1953" t="s">
        <v>4141</v>
      </c>
      <c r="H178" s="1975" t="s">
        <v>3969</v>
      </c>
      <c r="I178" s="1948"/>
      <c r="J178" s="2140"/>
      <c r="K178" s="1947" t="s">
        <v>3974</v>
      </c>
      <c r="L178" s="1947" t="s">
        <v>4048</v>
      </c>
      <c r="M178" s="1754">
        <f t="shared" si="41"/>
        <v>0</v>
      </c>
      <c r="N178" s="1712"/>
      <c r="O178" s="1712">
        <f t="shared" si="57"/>
        <v>0</v>
      </c>
      <c r="P178" s="1712">
        <f t="shared" si="58"/>
        <v>0</v>
      </c>
      <c r="Q178" s="1712">
        <f t="shared" si="59"/>
        <v>0</v>
      </c>
      <c r="R178" s="1757">
        <v>0.09</v>
      </c>
      <c r="S178" s="1712">
        <f t="shared" si="60"/>
        <v>0</v>
      </c>
      <c r="T178" s="1712" t="str">
        <f t="shared" si="47"/>
        <v/>
      </c>
      <c r="U178" s="1712" t="str">
        <f t="shared" si="48"/>
        <v/>
      </c>
      <c r="V178" s="1952"/>
    </row>
    <row r="179" spans="1:22" s="1942" customFormat="1" ht="13" outlineLevel="2">
      <c r="A179" s="1944"/>
      <c r="B179" s="1807" t="s">
        <v>765</v>
      </c>
      <c r="C179" s="1808"/>
      <c r="D179" s="2008" t="s">
        <v>3718</v>
      </c>
      <c r="E179" s="2009" t="s">
        <v>3719</v>
      </c>
      <c r="F179" s="1462" t="s">
        <v>3577</v>
      </c>
      <c r="G179" s="1953" t="s">
        <v>4141</v>
      </c>
      <c r="H179" s="1947" t="s">
        <v>10</v>
      </c>
      <c r="I179" s="1712">
        <f>$E$5</f>
        <v>0</v>
      </c>
      <c r="J179" s="2140"/>
      <c r="K179" s="1947" t="s">
        <v>101</v>
      </c>
      <c r="L179" s="1947" t="s">
        <v>4094</v>
      </c>
      <c r="M179" s="1754">
        <f t="shared" si="41"/>
        <v>0</v>
      </c>
      <c r="N179" s="1712"/>
      <c r="O179" s="1712">
        <f t="shared" si="57"/>
        <v>0</v>
      </c>
      <c r="P179" s="1712">
        <f t="shared" si="58"/>
        <v>0</v>
      </c>
      <c r="Q179" s="1712">
        <f t="shared" si="59"/>
        <v>0</v>
      </c>
      <c r="R179" s="1757">
        <v>0.09</v>
      </c>
      <c r="S179" s="1712">
        <f t="shared" si="60"/>
        <v>0</v>
      </c>
      <c r="T179" s="1712" t="str">
        <f t="shared" si="47"/>
        <v/>
      </c>
      <c r="U179" s="1712" t="str">
        <f t="shared" si="48"/>
        <v/>
      </c>
      <c r="V179" s="1952"/>
    </row>
    <row r="180" spans="1:22" s="1942" customFormat="1" ht="13" outlineLevel="2">
      <c r="A180" s="1944"/>
      <c r="B180" s="1807" t="s">
        <v>810</v>
      </c>
      <c r="C180" s="1808"/>
      <c r="D180" s="2008" t="s">
        <v>3720</v>
      </c>
      <c r="E180" s="2009" t="s">
        <v>3721</v>
      </c>
      <c r="F180" s="1462" t="s">
        <v>3577</v>
      </c>
      <c r="G180" s="1953" t="s">
        <v>4141</v>
      </c>
      <c r="H180" s="1947" t="s">
        <v>10</v>
      </c>
      <c r="I180" s="1712">
        <f>$E$5</f>
        <v>0</v>
      </c>
      <c r="J180" s="2140"/>
      <c r="K180" s="1947" t="s">
        <v>101</v>
      </c>
      <c r="L180" s="1947" t="s">
        <v>4095</v>
      </c>
      <c r="M180" s="1754">
        <f t="shared" si="41"/>
        <v>0</v>
      </c>
      <c r="N180" s="1712"/>
      <c r="O180" s="1712">
        <f t="shared" si="57"/>
        <v>0</v>
      </c>
      <c r="P180" s="1712">
        <f t="shared" si="58"/>
        <v>0</v>
      </c>
      <c r="Q180" s="1712">
        <f t="shared" si="59"/>
        <v>0</v>
      </c>
      <c r="R180" s="1757">
        <v>0.09</v>
      </c>
      <c r="S180" s="1712">
        <f t="shared" si="60"/>
        <v>0</v>
      </c>
      <c r="T180" s="1712" t="str">
        <f t="shared" si="47"/>
        <v/>
      </c>
      <c r="U180" s="1712" t="str">
        <f t="shared" si="48"/>
        <v/>
      </c>
      <c r="V180" s="1952"/>
    </row>
    <row r="181" spans="1:22" s="1942" customFormat="1" ht="13" outlineLevel="2">
      <c r="A181" s="1944"/>
      <c r="B181" s="1807" t="s">
        <v>3722</v>
      </c>
      <c r="C181" s="1808"/>
      <c r="D181" s="2008" t="s">
        <v>3723</v>
      </c>
      <c r="E181" s="2009" t="s">
        <v>3724</v>
      </c>
      <c r="F181" s="1462" t="s">
        <v>3577</v>
      </c>
      <c r="G181" s="1953" t="s">
        <v>4141</v>
      </c>
      <c r="H181" s="1947" t="s">
        <v>10</v>
      </c>
      <c r="I181" s="1712">
        <f>$E$5</f>
        <v>0</v>
      </c>
      <c r="J181" s="2140"/>
      <c r="K181" s="1947" t="s">
        <v>101</v>
      </c>
      <c r="L181" s="1947" t="s">
        <v>4096</v>
      </c>
      <c r="M181" s="1754">
        <f t="shared" si="41"/>
        <v>0</v>
      </c>
      <c r="N181" s="1712"/>
      <c r="O181" s="1712">
        <f t="shared" si="57"/>
        <v>0</v>
      </c>
      <c r="P181" s="1712">
        <f t="shared" si="58"/>
        <v>0</v>
      </c>
      <c r="Q181" s="1712">
        <f t="shared" si="59"/>
        <v>0</v>
      </c>
      <c r="R181" s="1757">
        <v>0.09</v>
      </c>
      <c r="S181" s="1712">
        <f t="shared" si="60"/>
        <v>0</v>
      </c>
      <c r="T181" s="1712" t="str">
        <f t="shared" si="47"/>
        <v/>
      </c>
      <c r="U181" s="1712" t="str">
        <f t="shared" si="48"/>
        <v/>
      </c>
      <c r="V181" s="1952"/>
    </row>
    <row r="182" spans="1:22" s="1942" customFormat="1" ht="13" outlineLevel="2">
      <c r="A182" s="1944"/>
      <c r="B182" s="1807" t="s">
        <v>3725</v>
      </c>
      <c r="C182" s="1810"/>
      <c r="D182" s="2038" t="s">
        <v>811</v>
      </c>
      <c r="E182" s="1947" t="s">
        <v>3726</v>
      </c>
      <c r="F182" s="1462" t="s">
        <v>3624</v>
      </c>
      <c r="G182" s="1953" t="s">
        <v>4149</v>
      </c>
      <c r="H182" s="1975" t="s">
        <v>10</v>
      </c>
      <c r="I182" s="1712">
        <f>$E$5</f>
        <v>0</v>
      </c>
      <c r="J182" s="2140"/>
      <c r="K182" s="1947" t="s">
        <v>101</v>
      </c>
      <c r="L182" s="1947" t="s">
        <v>10</v>
      </c>
      <c r="M182" s="1754">
        <f t="shared" si="41"/>
        <v>0</v>
      </c>
      <c r="N182" s="1712"/>
      <c r="O182" s="1712">
        <f t="shared" si="57"/>
        <v>0</v>
      </c>
      <c r="P182" s="1712">
        <f t="shared" si="58"/>
        <v>0</v>
      </c>
      <c r="Q182" s="1712">
        <f t="shared" si="59"/>
        <v>0</v>
      </c>
      <c r="R182" s="1757">
        <v>0.06</v>
      </c>
      <c r="S182" s="1712">
        <f t="shared" si="60"/>
        <v>0</v>
      </c>
      <c r="T182" s="1712" t="str">
        <f t="shared" si="47"/>
        <v/>
      </c>
      <c r="U182" s="1712" t="str">
        <f t="shared" si="48"/>
        <v/>
      </c>
      <c r="V182" s="1952"/>
    </row>
    <row r="183" spans="1:22" s="1942" customFormat="1" ht="13" outlineLevel="2">
      <c r="A183" s="1944"/>
      <c r="B183" s="1807" t="s">
        <v>3727</v>
      </c>
      <c r="C183" s="1810"/>
      <c r="D183" s="2038" t="s">
        <v>3728</v>
      </c>
      <c r="E183" s="1947" t="s">
        <v>3729</v>
      </c>
      <c r="F183" s="1462" t="s">
        <v>3730</v>
      </c>
      <c r="G183" s="1953" t="s">
        <v>4163</v>
      </c>
      <c r="H183" s="1975" t="s">
        <v>3849</v>
      </c>
      <c r="I183" s="1948">
        <f>'全期规划指标 '!H50</f>
        <v>33975.300000000003</v>
      </c>
      <c r="J183" s="2140">
        <v>1</v>
      </c>
      <c r="K183" s="1947" t="s">
        <v>101</v>
      </c>
      <c r="L183" s="1947" t="s">
        <v>3849</v>
      </c>
      <c r="M183" s="1754">
        <f t="shared" si="41"/>
        <v>33975.300000000003</v>
      </c>
      <c r="N183" s="1712"/>
      <c r="O183" s="1712">
        <f t="shared" si="57"/>
        <v>0</v>
      </c>
      <c r="P183" s="1712">
        <f t="shared" si="58"/>
        <v>0</v>
      </c>
      <c r="Q183" s="1712">
        <f t="shared" si="59"/>
        <v>0</v>
      </c>
      <c r="R183" s="1757">
        <v>0.09</v>
      </c>
      <c r="S183" s="1712">
        <f t="shared" si="60"/>
        <v>0</v>
      </c>
      <c r="T183" s="1712" t="str">
        <f t="shared" si="47"/>
        <v/>
      </c>
      <c r="U183" s="1712" t="str">
        <f t="shared" si="48"/>
        <v/>
      </c>
      <c r="V183" s="1952"/>
    </row>
    <row r="184" spans="1:22" outlineLevel="1">
      <c r="A184" s="2019"/>
      <c r="B184" s="2023" t="s">
        <v>502</v>
      </c>
      <c r="C184" s="1852">
        <v>3</v>
      </c>
      <c r="D184" s="1966" t="s">
        <v>84</v>
      </c>
      <c r="E184" s="1967"/>
      <c r="F184" s="1968"/>
      <c r="G184" s="2007" t="s">
        <v>4117</v>
      </c>
      <c r="H184" s="1967"/>
      <c r="I184" s="1969"/>
      <c r="J184" s="2116"/>
      <c r="K184" s="1971"/>
      <c r="L184" s="1967"/>
      <c r="M184" s="1971"/>
      <c r="N184" s="1973"/>
      <c r="O184" s="1973">
        <f>SUBTOTAL(9,O185:O192)</f>
        <v>0</v>
      </c>
      <c r="P184" s="1973"/>
      <c r="Q184" s="1973">
        <f>SUBTOTAL(9,Q185:Q192)</f>
        <v>0</v>
      </c>
      <c r="R184" s="1973"/>
      <c r="S184" s="1973">
        <f>SUBTOTAL(9,S185:S192)</f>
        <v>0</v>
      </c>
      <c r="T184" s="1973" t="str">
        <f t="shared" si="47"/>
        <v/>
      </c>
      <c r="U184" s="1973" t="str">
        <f t="shared" si="48"/>
        <v/>
      </c>
      <c r="V184" s="1974"/>
    </row>
    <row r="185" spans="1:22" s="1942" customFormat="1" ht="13" outlineLevel="2">
      <c r="A185" s="1944"/>
      <c r="B185" s="1807" t="s">
        <v>766</v>
      </c>
      <c r="C185" s="1808"/>
      <c r="D185" s="2008" t="s">
        <v>3731</v>
      </c>
      <c r="E185" s="2009"/>
      <c r="F185" s="1462"/>
      <c r="G185" s="1953" t="s">
        <v>4117</v>
      </c>
      <c r="H185" s="1947"/>
      <c r="I185" s="1948"/>
      <c r="J185" s="2099"/>
      <c r="K185" s="1950"/>
      <c r="L185" s="1947"/>
      <c r="M185" s="1950"/>
      <c r="N185" s="1712"/>
      <c r="O185" s="1712">
        <f>SUBTOTAL(9,O186:O190)</f>
        <v>0</v>
      </c>
      <c r="P185" s="1712"/>
      <c r="Q185" s="1712">
        <f>SUBTOTAL(9,Q186:Q190)</f>
        <v>0</v>
      </c>
      <c r="R185" s="1712"/>
      <c r="S185" s="1712">
        <f>SUBTOTAL(9,S186:S190)</f>
        <v>0</v>
      </c>
      <c r="T185" s="1712" t="str">
        <f t="shared" si="47"/>
        <v/>
      </c>
      <c r="U185" s="1712" t="str">
        <f t="shared" si="48"/>
        <v/>
      </c>
      <c r="V185" s="1952"/>
    </row>
    <row r="186" spans="1:22" s="1942" customFormat="1" ht="12" customHeight="1" outlineLevel="3">
      <c r="A186" s="1944"/>
      <c r="B186" s="1978" t="s">
        <v>767</v>
      </c>
      <c r="C186" s="1810"/>
      <c r="D186" s="2038" t="s">
        <v>3732</v>
      </c>
      <c r="E186" s="1947" t="s">
        <v>3733</v>
      </c>
      <c r="F186" s="1462" t="s">
        <v>458</v>
      </c>
      <c r="G186" s="1953" t="s">
        <v>4164</v>
      </c>
      <c r="H186" s="1947" t="s">
        <v>10</v>
      </c>
      <c r="I186" s="1712">
        <f>$E$5</f>
        <v>0</v>
      </c>
      <c r="J186" s="2147">
        <v>1</v>
      </c>
      <c r="K186" s="1947" t="s">
        <v>101</v>
      </c>
      <c r="L186" s="1947" t="s">
        <v>10</v>
      </c>
      <c r="M186" s="1754">
        <f t="shared" ref="M186:M202" si="61">ROUND(I186,2)*ROUND(J186,4)</f>
        <v>0</v>
      </c>
      <c r="N186" s="1756">
        <v>12</v>
      </c>
      <c r="O186" s="1712">
        <f t="shared" ref="O186:O192" si="62">ROUND(M186*ROUND(N186,2)/10000,6)</f>
        <v>0</v>
      </c>
      <c r="P186" s="1712">
        <f t="shared" ref="P186:P192" si="63">IFERROR(ROUND(Q186*10000/M186,2),0)</f>
        <v>0</v>
      </c>
      <c r="Q186" s="1712">
        <f t="shared" ref="Q186:Q192" si="64">ROUND(O186/(1+R186),6)</f>
        <v>0</v>
      </c>
      <c r="R186" s="1757">
        <v>0.09</v>
      </c>
      <c r="S186" s="1712">
        <f t="shared" ref="S186:S192" si="65">O186-Q186</f>
        <v>0</v>
      </c>
      <c r="T186" s="1712" t="str">
        <f t="shared" si="47"/>
        <v/>
      </c>
      <c r="U186" s="1712" t="str">
        <f t="shared" si="48"/>
        <v/>
      </c>
      <c r="V186" s="1952"/>
    </row>
    <row r="187" spans="1:22" s="1942" customFormat="1" ht="12" customHeight="1" outlineLevel="3">
      <c r="A187" s="1944"/>
      <c r="B187" s="1978" t="s">
        <v>769</v>
      </c>
      <c r="C187" s="1810"/>
      <c r="D187" s="2038" t="s">
        <v>3734</v>
      </c>
      <c r="E187" s="1947" t="s">
        <v>3735</v>
      </c>
      <c r="F187" s="1462" t="s">
        <v>3736</v>
      </c>
      <c r="G187" s="1953" t="s">
        <v>4165</v>
      </c>
      <c r="H187" s="1975" t="s">
        <v>3926</v>
      </c>
      <c r="I187" s="1712">
        <f>$G$7</f>
        <v>0</v>
      </c>
      <c r="J187" s="2099">
        <v>1</v>
      </c>
      <c r="K187" s="1950" t="s">
        <v>3947</v>
      </c>
      <c r="L187" s="1947" t="s">
        <v>3926</v>
      </c>
      <c r="M187" s="1754">
        <f t="shared" si="61"/>
        <v>0</v>
      </c>
      <c r="N187" s="1712">
        <v>500</v>
      </c>
      <c r="O187" s="1712">
        <f t="shared" si="62"/>
        <v>0</v>
      </c>
      <c r="P187" s="1712">
        <f t="shared" si="63"/>
        <v>0</v>
      </c>
      <c r="Q187" s="1712">
        <f t="shared" si="64"/>
        <v>0</v>
      </c>
      <c r="R187" s="1757">
        <v>0.09</v>
      </c>
      <c r="S187" s="1712">
        <f t="shared" si="65"/>
        <v>0</v>
      </c>
      <c r="T187" s="1712" t="str">
        <f t="shared" si="47"/>
        <v/>
      </c>
      <c r="U187" s="1712" t="str">
        <f t="shared" si="48"/>
        <v/>
      </c>
      <c r="V187" s="1952"/>
    </row>
    <row r="188" spans="1:22" s="1942" customFormat="1" ht="12" customHeight="1" outlineLevel="3">
      <c r="A188" s="1944"/>
      <c r="B188" s="1978" t="s">
        <v>770</v>
      </c>
      <c r="C188" s="1810"/>
      <c r="D188" s="2038" t="s">
        <v>771</v>
      </c>
      <c r="E188" s="1947" t="s">
        <v>3737</v>
      </c>
      <c r="F188" s="1462" t="s">
        <v>3738</v>
      </c>
      <c r="G188" s="1953" t="s">
        <v>4166</v>
      </c>
      <c r="H188" s="1975" t="s">
        <v>3926</v>
      </c>
      <c r="I188" s="1712">
        <f>$G$7</f>
        <v>0</v>
      </c>
      <c r="J188" s="2099">
        <v>1</v>
      </c>
      <c r="K188" s="1950" t="s">
        <v>3947</v>
      </c>
      <c r="L188" s="1947" t="s">
        <v>3926</v>
      </c>
      <c r="M188" s="1754">
        <f t="shared" si="61"/>
        <v>0</v>
      </c>
      <c r="N188" s="2178">
        <v>2000</v>
      </c>
      <c r="O188" s="1712">
        <f t="shared" si="62"/>
        <v>0</v>
      </c>
      <c r="P188" s="1712">
        <f t="shared" si="63"/>
        <v>0</v>
      </c>
      <c r="Q188" s="1712">
        <f t="shared" si="64"/>
        <v>0</v>
      </c>
      <c r="R188" s="1757">
        <v>0.09</v>
      </c>
      <c r="S188" s="1712">
        <f t="shared" si="65"/>
        <v>0</v>
      </c>
      <c r="T188" s="1712" t="str">
        <f t="shared" si="47"/>
        <v/>
      </c>
      <c r="U188" s="1712" t="str">
        <f t="shared" si="48"/>
        <v/>
      </c>
      <c r="V188" s="1952"/>
    </row>
    <row r="189" spans="1:22" s="1942" customFormat="1" ht="12" customHeight="1" outlineLevel="3">
      <c r="A189" s="1944"/>
      <c r="B189" s="1978" t="s">
        <v>772</v>
      </c>
      <c r="C189" s="1810"/>
      <c r="D189" s="2038" t="s">
        <v>1598</v>
      </c>
      <c r="E189" s="1947" t="s">
        <v>3739</v>
      </c>
      <c r="F189" s="1462" t="s">
        <v>458</v>
      </c>
      <c r="G189" s="1953" t="s">
        <v>4164</v>
      </c>
      <c r="H189" s="1975" t="s">
        <v>3926</v>
      </c>
      <c r="I189" s="1712">
        <f>$G$7</f>
        <v>0</v>
      </c>
      <c r="J189" s="2099">
        <v>1</v>
      </c>
      <c r="K189" s="1950" t="s">
        <v>3947</v>
      </c>
      <c r="L189" s="1947" t="s">
        <v>3926</v>
      </c>
      <c r="M189" s="1754">
        <f t="shared" si="61"/>
        <v>0</v>
      </c>
      <c r="N189" s="1712"/>
      <c r="O189" s="1712">
        <f t="shared" si="62"/>
        <v>0</v>
      </c>
      <c r="P189" s="1712">
        <f t="shared" si="63"/>
        <v>0</v>
      </c>
      <c r="Q189" s="1712">
        <f t="shared" si="64"/>
        <v>0</v>
      </c>
      <c r="R189" s="1757">
        <v>0.09</v>
      </c>
      <c r="S189" s="1712">
        <f t="shared" si="65"/>
        <v>0</v>
      </c>
      <c r="T189" s="1712" t="str">
        <f t="shared" si="47"/>
        <v/>
      </c>
      <c r="U189" s="1712" t="str">
        <f t="shared" si="48"/>
        <v/>
      </c>
      <c r="V189" s="1952"/>
    </row>
    <row r="190" spans="1:22" s="1942" customFormat="1" ht="12" customHeight="1" outlineLevel="3">
      <c r="A190" s="1944"/>
      <c r="B190" s="1978" t="s">
        <v>773</v>
      </c>
      <c r="C190" s="1810"/>
      <c r="D190" s="2038" t="s">
        <v>3740</v>
      </c>
      <c r="E190" s="1947" t="s">
        <v>3741</v>
      </c>
      <c r="F190" s="1462" t="s">
        <v>3742</v>
      </c>
      <c r="G190" s="1953" t="s">
        <v>4167</v>
      </c>
      <c r="H190" s="1975" t="s">
        <v>3926</v>
      </c>
      <c r="I190" s="1712">
        <f>$G$7</f>
        <v>0</v>
      </c>
      <c r="J190" s="2099">
        <v>1</v>
      </c>
      <c r="K190" s="1950" t="s">
        <v>3947</v>
      </c>
      <c r="L190" s="1947" t="s">
        <v>3926</v>
      </c>
      <c r="M190" s="1754">
        <f t="shared" si="61"/>
        <v>0</v>
      </c>
      <c r="N190" s="1712">
        <v>500</v>
      </c>
      <c r="O190" s="1712">
        <f t="shared" si="62"/>
        <v>0</v>
      </c>
      <c r="P190" s="1712">
        <f t="shared" si="63"/>
        <v>0</v>
      </c>
      <c r="Q190" s="1712">
        <f t="shared" si="64"/>
        <v>0</v>
      </c>
      <c r="R190" s="1757">
        <v>0.13</v>
      </c>
      <c r="S190" s="1712">
        <f t="shared" si="65"/>
        <v>0</v>
      </c>
      <c r="T190" s="1712" t="str">
        <f t="shared" si="47"/>
        <v/>
      </c>
      <c r="U190" s="1712" t="str">
        <f t="shared" si="48"/>
        <v/>
      </c>
      <c r="V190" s="1952"/>
    </row>
    <row r="191" spans="1:22" s="1942" customFormat="1" ht="13" outlineLevel="2">
      <c r="A191" s="1944"/>
      <c r="B191" s="1978" t="s">
        <v>777</v>
      </c>
      <c r="C191" s="1810"/>
      <c r="D191" s="2038" t="s">
        <v>814</v>
      </c>
      <c r="E191" s="1947" t="s">
        <v>3743</v>
      </c>
      <c r="F191" s="1462" t="s">
        <v>458</v>
      </c>
      <c r="G191" s="1953" t="s">
        <v>4164</v>
      </c>
      <c r="H191" s="1975" t="s">
        <v>10</v>
      </c>
      <c r="I191" s="1712">
        <f>$E$5</f>
        <v>0</v>
      </c>
      <c r="J191" s="2135"/>
      <c r="K191" s="1950" t="s">
        <v>101</v>
      </c>
      <c r="L191" s="1947" t="s">
        <v>10</v>
      </c>
      <c r="M191" s="1754">
        <f t="shared" si="61"/>
        <v>0</v>
      </c>
      <c r="N191" s="1712"/>
      <c r="O191" s="1712">
        <f t="shared" si="62"/>
        <v>0</v>
      </c>
      <c r="P191" s="1712">
        <f t="shared" si="63"/>
        <v>0</v>
      </c>
      <c r="Q191" s="1712">
        <f t="shared" si="64"/>
        <v>0</v>
      </c>
      <c r="R191" s="1757">
        <v>0.09</v>
      </c>
      <c r="S191" s="1712">
        <f t="shared" si="65"/>
        <v>0</v>
      </c>
      <c r="T191" s="1712" t="str">
        <f t="shared" si="47"/>
        <v/>
      </c>
      <c r="U191" s="1712" t="str">
        <f t="shared" si="48"/>
        <v/>
      </c>
      <c r="V191" s="1952"/>
    </row>
    <row r="192" spans="1:22" s="1942" customFormat="1" ht="13" outlineLevel="2">
      <c r="A192" s="1944"/>
      <c r="B192" s="1978" t="s">
        <v>778</v>
      </c>
      <c r="C192" s="1810"/>
      <c r="D192" s="2038" t="s">
        <v>815</v>
      </c>
      <c r="E192" s="1947" t="s">
        <v>3744</v>
      </c>
      <c r="F192" s="1462" t="s">
        <v>458</v>
      </c>
      <c r="G192" s="1953" t="s">
        <v>4164</v>
      </c>
      <c r="H192" s="1975" t="s">
        <v>10</v>
      </c>
      <c r="I192" s="1712">
        <f>$E$5</f>
        <v>0</v>
      </c>
      <c r="J192" s="2135"/>
      <c r="K192" s="1950" t="s">
        <v>101</v>
      </c>
      <c r="L192" s="1947" t="s">
        <v>10</v>
      </c>
      <c r="M192" s="1754">
        <f t="shared" si="61"/>
        <v>0</v>
      </c>
      <c r="N192" s="1712"/>
      <c r="O192" s="1712">
        <f t="shared" si="62"/>
        <v>0</v>
      </c>
      <c r="P192" s="1712">
        <f t="shared" si="63"/>
        <v>0</v>
      </c>
      <c r="Q192" s="1712">
        <f t="shared" si="64"/>
        <v>0</v>
      </c>
      <c r="R192" s="1757">
        <v>0.09</v>
      </c>
      <c r="S192" s="1712">
        <f t="shared" si="65"/>
        <v>0</v>
      </c>
      <c r="T192" s="1712" t="str">
        <f t="shared" si="47"/>
        <v/>
      </c>
      <c r="U192" s="1712" t="str">
        <f t="shared" si="48"/>
        <v/>
      </c>
      <c r="V192" s="1952"/>
    </row>
    <row r="193" spans="1:22" outlineLevel="1">
      <c r="A193" s="2019"/>
      <c r="B193" s="2023" t="s">
        <v>503</v>
      </c>
      <c r="C193" s="1852">
        <v>4</v>
      </c>
      <c r="D193" s="1966" t="s">
        <v>92</v>
      </c>
      <c r="E193" s="1967"/>
      <c r="F193" s="1968"/>
      <c r="G193" s="2007" t="s">
        <v>4117</v>
      </c>
      <c r="H193" s="1967"/>
      <c r="I193" s="1969"/>
      <c r="J193" s="2116"/>
      <c r="K193" s="1971"/>
      <c r="L193" s="1967"/>
      <c r="M193" s="1971"/>
      <c r="N193" s="1973"/>
      <c r="O193" s="1973">
        <f>SUBTOTAL(9,O194:O202)</f>
        <v>0</v>
      </c>
      <c r="P193" s="1973"/>
      <c r="Q193" s="1973">
        <f>SUBTOTAL(9,Q194:Q202)</f>
        <v>0</v>
      </c>
      <c r="R193" s="1973"/>
      <c r="S193" s="1973">
        <f>SUBTOTAL(9,S194:S202)</f>
        <v>0</v>
      </c>
      <c r="T193" s="1973" t="str">
        <f t="shared" si="47"/>
        <v/>
      </c>
      <c r="U193" s="1973" t="str">
        <f t="shared" si="48"/>
        <v/>
      </c>
      <c r="V193" s="1974"/>
    </row>
    <row r="194" spans="1:22" s="1942" customFormat="1" ht="13" outlineLevel="2">
      <c r="A194" s="1944"/>
      <c r="B194" s="1807" t="s">
        <v>1600</v>
      </c>
      <c r="C194" s="1808"/>
      <c r="D194" s="2008" t="s">
        <v>3745</v>
      </c>
      <c r="E194" s="2009" t="s">
        <v>3746</v>
      </c>
      <c r="F194" s="1462" t="s">
        <v>461</v>
      </c>
      <c r="G194" s="1953" t="s">
        <v>4168</v>
      </c>
      <c r="H194" s="1975" t="s">
        <v>3926</v>
      </c>
      <c r="I194" s="1712">
        <f>$G$7</f>
        <v>0</v>
      </c>
      <c r="J194" s="2099">
        <v>1</v>
      </c>
      <c r="K194" s="1950" t="s">
        <v>3947</v>
      </c>
      <c r="L194" s="1947" t="s">
        <v>3926</v>
      </c>
      <c r="M194" s="1754">
        <f t="shared" si="61"/>
        <v>0</v>
      </c>
      <c r="N194" s="1712">
        <v>200</v>
      </c>
      <c r="O194" s="1712">
        <f t="shared" ref="O194:O202" si="66">ROUND(M194*ROUND(N194,2)/10000,6)</f>
        <v>0</v>
      </c>
      <c r="P194" s="1712">
        <f t="shared" ref="P194:P202" si="67">IFERROR(ROUND(Q194*10000/M194,2),0)</f>
        <v>0</v>
      </c>
      <c r="Q194" s="1712">
        <f t="shared" ref="Q194:Q202" si="68">ROUND(O194/(1+R194),6)</f>
        <v>0</v>
      </c>
      <c r="R194" s="1757">
        <v>0.13</v>
      </c>
      <c r="S194" s="1712">
        <f t="shared" ref="S194:S202" si="69">O194-Q194</f>
        <v>0</v>
      </c>
      <c r="T194" s="1712" t="str">
        <f t="shared" si="47"/>
        <v/>
      </c>
      <c r="U194" s="1712" t="str">
        <f t="shared" si="48"/>
        <v/>
      </c>
      <c r="V194" s="1952"/>
    </row>
    <row r="195" spans="1:22" s="1942" customFormat="1" ht="13" outlineLevel="2">
      <c r="A195" s="1944"/>
      <c r="B195" s="1807" t="s">
        <v>1601</v>
      </c>
      <c r="C195" s="1808"/>
      <c r="D195" s="2008" t="s">
        <v>94</v>
      </c>
      <c r="E195" s="2009" t="s">
        <v>3747</v>
      </c>
      <c r="F195" s="1462" t="s">
        <v>1602</v>
      </c>
      <c r="G195" s="1953" t="s">
        <v>4169</v>
      </c>
      <c r="H195" s="1975" t="s">
        <v>3926</v>
      </c>
      <c r="I195" s="1712">
        <f>$G$7</f>
        <v>0</v>
      </c>
      <c r="J195" s="2099">
        <v>1</v>
      </c>
      <c r="K195" s="1950" t="s">
        <v>3947</v>
      </c>
      <c r="L195" s="1947" t="s">
        <v>3926</v>
      </c>
      <c r="M195" s="1754">
        <f t="shared" si="61"/>
        <v>0</v>
      </c>
      <c r="N195" s="1712">
        <v>2800</v>
      </c>
      <c r="O195" s="1712">
        <f t="shared" si="66"/>
        <v>0</v>
      </c>
      <c r="P195" s="1712">
        <f t="shared" si="67"/>
        <v>0</v>
      </c>
      <c r="Q195" s="1712">
        <f t="shared" si="68"/>
        <v>0</v>
      </c>
      <c r="R195" s="1757">
        <v>0.13</v>
      </c>
      <c r="S195" s="1712">
        <f t="shared" si="69"/>
        <v>0</v>
      </c>
      <c r="T195" s="1712" t="str">
        <f t="shared" si="47"/>
        <v/>
      </c>
      <c r="U195" s="1712" t="str">
        <f t="shared" si="48"/>
        <v/>
      </c>
      <c r="V195" s="1952"/>
    </row>
    <row r="196" spans="1:22" s="1942" customFormat="1" ht="13" outlineLevel="2">
      <c r="A196" s="1944"/>
      <c r="B196" s="1807" t="s">
        <v>779</v>
      </c>
      <c r="C196" s="1808"/>
      <c r="D196" s="2008" t="s">
        <v>3748</v>
      </c>
      <c r="E196" s="2009" t="s">
        <v>3749</v>
      </c>
      <c r="F196" s="1462" t="s">
        <v>3531</v>
      </c>
      <c r="G196" s="1953" t="s">
        <v>4140</v>
      </c>
      <c r="H196" s="1975" t="s">
        <v>10</v>
      </c>
      <c r="I196" s="1712">
        <f>$E$5</f>
        <v>0</v>
      </c>
      <c r="J196" s="2139"/>
      <c r="K196" s="1950" t="s">
        <v>101</v>
      </c>
      <c r="L196" s="1947" t="s">
        <v>10</v>
      </c>
      <c r="M196" s="1754">
        <f t="shared" si="61"/>
        <v>0</v>
      </c>
      <c r="N196" s="1712"/>
      <c r="O196" s="1712">
        <f t="shared" si="66"/>
        <v>0</v>
      </c>
      <c r="P196" s="1712">
        <f t="shared" si="67"/>
        <v>0</v>
      </c>
      <c r="Q196" s="1712">
        <f t="shared" si="68"/>
        <v>0</v>
      </c>
      <c r="R196" s="2173">
        <v>0.13</v>
      </c>
      <c r="S196" s="1712">
        <f t="shared" si="69"/>
        <v>0</v>
      </c>
      <c r="T196" s="1712" t="str">
        <f t="shared" si="47"/>
        <v/>
      </c>
      <c r="U196" s="1712" t="str">
        <f t="shared" si="48"/>
        <v/>
      </c>
      <c r="V196" s="1952"/>
    </row>
    <row r="197" spans="1:22" s="1942" customFormat="1" ht="13" outlineLevel="2">
      <c r="A197" s="1944"/>
      <c r="B197" s="1807" t="s">
        <v>780</v>
      </c>
      <c r="C197" s="1808"/>
      <c r="D197" s="2008" t="s">
        <v>95</v>
      </c>
      <c r="E197" s="2009" t="s">
        <v>3750</v>
      </c>
      <c r="F197" s="1462" t="s">
        <v>3531</v>
      </c>
      <c r="G197" s="1953" t="s">
        <v>4140</v>
      </c>
      <c r="H197" s="1975" t="s">
        <v>3926</v>
      </c>
      <c r="I197" s="1712">
        <f>$G$7</f>
        <v>0</v>
      </c>
      <c r="J197" s="2135"/>
      <c r="K197" s="1950" t="s">
        <v>3947</v>
      </c>
      <c r="L197" s="1947" t="s">
        <v>3926</v>
      </c>
      <c r="M197" s="1754">
        <f t="shared" si="61"/>
        <v>0</v>
      </c>
      <c r="N197" s="1712"/>
      <c r="O197" s="1712">
        <f t="shared" si="66"/>
        <v>0</v>
      </c>
      <c r="P197" s="1712">
        <f t="shared" si="67"/>
        <v>0</v>
      </c>
      <c r="Q197" s="1712">
        <f t="shared" si="68"/>
        <v>0</v>
      </c>
      <c r="R197" s="2173">
        <v>0.13</v>
      </c>
      <c r="S197" s="1712">
        <f t="shared" si="69"/>
        <v>0</v>
      </c>
      <c r="T197" s="1712" t="str">
        <f t="shared" si="47"/>
        <v/>
      </c>
      <c r="U197" s="2043" t="str">
        <f t="shared" si="48"/>
        <v/>
      </c>
      <c r="V197" s="1952"/>
    </row>
    <row r="198" spans="1:22" s="1942" customFormat="1" ht="13" outlineLevel="2">
      <c r="A198" s="1944"/>
      <c r="B198" s="1807" t="s">
        <v>781</v>
      </c>
      <c r="C198" s="1808"/>
      <c r="D198" s="2008" t="s">
        <v>3751</v>
      </c>
      <c r="E198" s="2009" t="s">
        <v>3752</v>
      </c>
      <c r="F198" s="1462" t="s">
        <v>3531</v>
      </c>
      <c r="G198" s="1953" t="s">
        <v>4140</v>
      </c>
      <c r="H198" s="1975" t="s">
        <v>10</v>
      </c>
      <c r="I198" s="1712">
        <f>$E$5</f>
        <v>0</v>
      </c>
      <c r="J198" s="2139"/>
      <c r="K198" s="1950" t="s">
        <v>101</v>
      </c>
      <c r="L198" s="1947" t="s">
        <v>10</v>
      </c>
      <c r="M198" s="1754">
        <f t="shared" si="61"/>
        <v>0</v>
      </c>
      <c r="N198" s="1712"/>
      <c r="O198" s="1712">
        <f t="shared" si="66"/>
        <v>0</v>
      </c>
      <c r="P198" s="1712">
        <f t="shared" si="67"/>
        <v>0</v>
      </c>
      <c r="Q198" s="1712">
        <f t="shared" si="68"/>
        <v>0</v>
      </c>
      <c r="R198" s="2173">
        <v>0.13</v>
      </c>
      <c r="S198" s="1712">
        <f t="shared" si="69"/>
        <v>0</v>
      </c>
      <c r="T198" s="1712" t="str">
        <f t="shared" si="47"/>
        <v/>
      </c>
      <c r="U198" s="2043" t="str">
        <f t="shared" si="48"/>
        <v/>
      </c>
      <c r="V198" s="1952"/>
    </row>
    <row r="199" spans="1:22" s="1942" customFormat="1" ht="13" outlineLevel="2">
      <c r="A199" s="1944"/>
      <c r="B199" s="1807" t="s">
        <v>782</v>
      </c>
      <c r="C199" s="1808"/>
      <c r="D199" s="2008" t="s">
        <v>3753</v>
      </c>
      <c r="E199" s="2009" t="s">
        <v>3754</v>
      </c>
      <c r="F199" s="1462" t="s">
        <v>3531</v>
      </c>
      <c r="G199" s="1953" t="s">
        <v>4140</v>
      </c>
      <c r="H199" s="1975" t="s">
        <v>10</v>
      </c>
      <c r="I199" s="1948">
        <f>$E$5</f>
        <v>0</v>
      </c>
      <c r="J199" s="2139"/>
      <c r="K199" s="1950" t="s">
        <v>101</v>
      </c>
      <c r="L199" s="1947" t="s">
        <v>10</v>
      </c>
      <c r="M199" s="1754">
        <f t="shared" si="61"/>
        <v>0</v>
      </c>
      <c r="N199" s="1712"/>
      <c r="O199" s="1712">
        <f t="shared" si="66"/>
        <v>0</v>
      </c>
      <c r="P199" s="1712">
        <f t="shared" si="67"/>
        <v>0</v>
      </c>
      <c r="Q199" s="1712">
        <f t="shared" si="68"/>
        <v>0</v>
      </c>
      <c r="R199" s="2173">
        <v>0.13</v>
      </c>
      <c r="S199" s="1712">
        <f t="shared" si="69"/>
        <v>0</v>
      </c>
      <c r="T199" s="1712" t="str">
        <f t="shared" si="47"/>
        <v/>
      </c>
      <c r="U199" s="2043" t="str">
        <f t="shared" si="48"/>
        <v/>
      </c>
      <c r="V199" s="1952"/>
    </row>
    <row r="200" spans="1:22" s="1942" customFormat="1" ht="13" outlineLevel="2">
      <c r="A200" s="1944"/>
      <c r="B200" s="1807" t="s">
        <v>3755</v>
      </c>
      <c r="C200" s="1808"/>
      <c r="D200" s="2008" t="s">
        <v>3756</v>
      </c>
      <c r="E200" s="2009" t="s">
        <v>3757</v>
      </c>
      <c r="F200" s="1462" t="s">
        <v>3531</v>
      </c>
      <c r="G200" s="1953" t="s">
        <v>4140</v>
      </c>
      <c r="H200" s="1975" t="s">
        <v>10</v>
      </c>
      <c r="I200" s="1948">
        <f>$E$5</f>
        <v>0</v>
      </c>
      <c r="J200" s="2139"/>
      <c r="K200" s="1950" t="s">
        <v>101</v>
      </c>
      <c r="L200" s="1947" t="s">
        <v>10</v>
      </c>
      <c r="M200" s="1754">
        <f t="shared" si="61"/>
        <v>0</v>
      </c>
      <c r="N200" s="1712"/>
      <c r="O200" s="1712">
        <f t="shared" si="66"/>
        <v>0</v>
      </c>
      <c r="P200" s="1712">
        <f t="shared" si="67"/>
        <v>0</v>
      </c>
      <c r="Q200" s="1712">
        <f t="shared" si="68"/>
        <v>0</v>
      </c>
      <c r="R200" s="2173">
        <v>0.13</v>
      </c>
      <c r="S200" s="1712">
        <f t="shared" si="69"/>
        <v>0</v>
      </c>
      <c r="T200" s="1712" t="str">
        <f t="shared" si="47"/>
        <v/>
      </c>
      <c r="U200" s="2043" t="str">
        <f t="shared" si="48"/>
        <v/>
      </c>
      <c r="V200" s="1952"/>
    </row>
    <row r="201" spans="1:22" s="1942" customFormat="1" ht="13" outlineLevel="2">
      <c r="A201" s="1944"/>
      <c r="B201" s="1807" t="s">
        <v>3758</v>
      </c>
      <c r="C201" s="1808"/>
      <c r="D201" s="2008" t="s">
        <v>3759</v>
      </c>
      <c r="E201" s="2009" t="s">
        <v>3760</v>
      </c>
      <c r="F201" s="1462" t="s">
        <v>3531</v>
      </c>
      <c r="G201" s="1953" t="s">
        <v>4140</v>
      </c>
      <c r="H201" s="1975" t="s">
        <v>10</v>
      </c>
      <c r="I201" s="1948">
        <f>$E$5</f>
        <v>0</v>
      </c>
      <c r="J201" s="2139"/>
      <c r="K201" s="1950" t="s">
        <v>101</v>
      </c>
      <c r="L201" s="1947" t="s">
        <v>10</v>
      </c>
      <c r="M201" s="1754">
        <f t="shared" si="61"/>
        <v>0</v>
      </c>
      <c r="N201" s="1712"/>
      <c r="O201" s="1712">
        <f t="shared" si="66"/>
        <v>0</v>
      </c>
      <c r="P201" s="1712">
        <f t="shared" si="67"/>
        <v>0</v>
      </c>
      <c r="Q201" s="1712">
        <f t="shared" si="68"/>
        <v>0</v>
      </c>
      <c r="R201" s="2173">
        <v>0.13</v>
      </c>
      <c r="S201" s="1712">
        <f t="shared" si="69"/>
        <v>0</v>
      </c>
      <c r="T201" s="1712" t="str">
        <f t="shared" si="47"/>
        <v/>
      </c>
      <c r="U201" s="2043" t="str">
        <f t="shared" si="48"/>
        <v/>
      </c>
      <c r="V201" s="1952"/>
    </row>
    <row r="202" spans="1:22" s="1942" customFormat="1" ht="13.5" outlineLevel="2" thickBot="1">
      <c r="A202" s="1944"/>
      <c r="B202" s="2044" t="s">
        <v>3761</v>
      </c>
      <c r="C202" s="2045"/>
      <c r="D202" s="2046" t="s">
        <v>3762</v>
      </c>
      <c r="E202" s="2047" t="s">
        <v>3763</v>
      </c>
      <c r="F202" s="2048" t="s">
        <v>3531</v>
      </c>
      <c r="G202" s="2049" t="s">
        <v>4140</v>
      </c>
      <c r="H202" s="2050" t="s">
        <v>10</v>
      </c>
      <c r="I202" s="2051">
        <f>$E$5</f>
        <v>0</v>
      </c>
      <c r="J202" s="2144"/>
      <c r="K202" s="2053" t="s">
        <v>101</v>
      </c>
      <c r="L202" s="2054" t="s">
        <v>10</v>
      </c>
      <c r="M202" s="2055">
        <f t="shared" si="61"/>
        <v>0</v>
      </c>
      <c r="N202" s="2057"/>
      <c r="O202" s="2057">
        <f t="shared" si="66"/>
        <v>0</v>
      </c>
      <c r="P202" s="2057">
        <f t="shared" si="67"/>
        <v>0</v>
      </c>
      <c r="Q202" s="2057">
        <f t="shared" si="68"/>
        <v>0</v>
      </c>
      <c r="R202" s="2174">
        <v>0.13</v>
      </c>
      <c r="S202" s="2057">
        <f t="shared" si="69"/>
        <v>0</v>
      </c>
      <c r="T202" s="2057" t="str">
        <f t="shared" si="47"/>
        <v/>
      </c>
      <c r="U202" s="2059" t="str">
        <f t="shared" si="48"/>
        <v/>
      </c>
      <c r="V202" s="2060"/>
    </row>
    <row r="203" spans="1:22">
      <c r="A203" s="1942"/>
      <c r="B203" s="1899"/>
      <c r="C203" s="1664"/>
      <c r="D203" s="1784"/>
      <c r="E203" s="1656"/>
      <c r="F203" s="1900"/>
      <c r="G203" s="1900"/>
      <c r="H203" s="1656"/>
      <c r="I203" s="1895"/>
      <c r="J203" s="1902"/>
      <c r="K203" s="1900"/>
      <c r="L203" s="1656"/>
      <c r="M203" s="1900"/>
      <c r="N203" s="1900"/>
      <c r="O203" s="1902">
        <f>O11+O100+O126</f>
        <v>0</v>
      </c>
      <c r="P203" s="1902"/>
      <c r="Q203" s="1902"/>
      <c r="R203" s="1902"/>
      <c r="S203" s="1903"/>
      <c r="T203" s="1902"/>
      <c r="U203" s="1902"/>
      <c r="V203" s="1902"/>
    </row>
    <row r="204" spans="1:22">
      <c r="A204" s="1942"/>
      <c r="B204" s="1899"/>
      <c r="C204" s="1664"/>
      <c r="D204" s="1784"/>
      <c r="E204" s="1656"/>
      <c r="F204" s="1900"/>
      <c r="G204" s="1900"/>
      <c r="H204" s="1656"/>
      <c r="I204" s="1895"/>
      <c r="J204" s="1902"/>
      <c r="K204" s="1900"/>
      <c r="L204" s="1656"/>
      <c r="M204" s="1900"/>
      <c r="N204" s="1900"/>
      <c r="O204" s="1902"/>
      <c r="P204" s="1902"/>
      <c r="Q204" s="1902"/>
      <c r="R204" s="1902"/>
      <c r="S204" s="1903"/>
      <c r="T204" s="1902"/>
      <c r="U204" s="1902"/>
      <c r="V204" s="1902"/>
    </row>
  </sheetData>
  <autoFilter ref="A10:W203"/>
  <mergeCells count="22">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P9:P10"/>
    <mergeCell ref="Q9:Q10"/>
    <mergeCell ref="R9:R10"/>
    <mergeCell ref="S9:S10"/>
    <mergeCell ref="T9:T10"/>
    <mergeCell ref="U9:U10"/>
  </mergeCells>
  <phoneticPr fontId="19" type="noConversion"/>
  <conditionalFormatting sqref="B11:C11">
    <cfRule type="duplicateValues" dxfId="425" priority="10"/>
  </conditionalFormatting>
  <conditionalFormatting sqref="B12">
    <cfRule type="duplicateValues" dxfId="424" priority="11"/>
  </conditionalFormatting>
  <conditionalFormatting sqref="C12">
    <cfRule type="duplicateValues" dxfId="423" priority="9"/>
  </conditionalFormatting>
  <conditionalFormatting sqref="D14:F14">
    <cfRule type="duplicateValues" dxfId="422" priority="13"/>
  </conditionalFormatting>
  <conditionalFormatting sqref="B45">
    <cfRule type="duplicateValues" dxfId="421" priority="8"/>
  </conditionalFormatting>
  <conditionalFormatting sqref="C45">
    <cfRule type="duplicateValues" dxfId="420" priority="6"/>
  </conditionalFormatting>
  <conditionalFormatting sqref="D45:E45">
    <cfRule type="duplicateValues" dxfId="419" priority="7"/>
  </conditionalFormatting>
  <conditionalFormatting sqref="F45">
    <cfRule type="duplicateValues" dxfId="418" priority="14"/>
  </conditionalFormatting>
  <conditionalFormatting sqref="D46:E46">
    <cfRule type="duplicateValues" dxfId="417" priority="5"/>
  </conditionalFormatting>
  <conditionalFormatting sqref="D56:E56">
    <cfRule type="duplicateValues" dxfId="416" priority="4"/>
  </conditionalFormatting>
  <conditionalFormatting sqref="B100">
    <cfRule type="duplicateValues" dxfId="415" priority="3"/>
  </conditionalFormatting>
  <conditionalFormatting sqref="F101">
    <cfRule type="duplicateValues" dxfId="414" priority="15"/>
  </conditionalFormatting>
  <conditionalFormatting sqref="F120">
    <cfRule type="duplicateValues" dxfId="413" priority="21"/>
  </conditionalFormatting>
  <conditionalFormatting sqref="F124">
    <cfRule type="duplicateValues" dxfId="412" priority="16"/>
  </conditionalFormatting>
  <conditionalFormatting sqref="F125">
    <cfRule type="duplicateValues" dxfId="411" priority="17"/>
  </conditionalFormatting>
  <conditionalFormatting sqref="B126">
    <cfRule type="duplicateValues" dxfId="410" priority="1"/>
  </conditionalFormatting>
  <conditionalFormatting sqref="F127">
    <cfRule type="duplicateValues" dxfId="409" priority="18"/>
  </conditionalFormatting>
  <conditionalFormatting sqref="F170">
    <cfRule type="duplicateValues" dxfId="408" priority="19"/>
  </conditionalFormatting>
  <conditionalFormatting sqref="F184">
    <cfRule type="duplicateValues" dxfId="407" priority="20"/>
  </conditionalFormatting>
  <conditionalFormatting sqref="F193">
    <cfRule type="duplicateValues" dxfId="406" priority="22"/>
  </conditionalFormatting>
  <conditionalFormatting sqref="D11:G12">
    <cfRule type="duplicateValues" dxfId="405" priority="12"/>
  </conditionalFormatting>
  <conditionalFormatting sqref="G13:G14 D13:E13">
    <cfRule type="duplicateValues" dxfId="404"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outlinePr summaryBelow="0" summaryRight="0"/>
  </sheetPr>
  <dimension ref="A1:W231"/>
  <sheetViews>
    <sheetView zoomScale="70" zoomScaleNormal="70" workbookViewId="0">
      <pane xSplit="4" ySplit="10" topLeftCell="E11" activePane="bottomRight" state="frozen"/>
      <selection activeCell="D8" sqref="D8"/>
      <selection pane="topRight" activeCell="D8" sqref="D8"/>
      <selection pane="bottomLeft" activeCell="D8" sqref="D8"/>
      <selection pane="bottomRight" activeCell="B176" sqref="B176"/>
    </sheetView>
  </sheetViews>
  <sheetFormatPr defaultColWidth="10" defaultRowHeight="33.65" customHeight="1" outlineLevelRow="5"/>
  <cols>
    <col min="1" max="1" width="6.6640625" style="1898" customWidth="1"/>
    <col min="2" max="2" width="20.6640625" style="1899" customWidth="1"/>
    <col min="3" max="3" width="10.6640625" style="1664" customWidth="1"/>
    <col min="4" max="4" width="19.33203125" style="1784" customWidth="1"/>
    <col min="5" max="5" width="11" style="1656" customWidth="1"/>
    <col min="6" max="6" width="15.6640625" style="1900" customWidth="1"/>
    <col min="7" max="7" width="13.6640625" style="1900" customWidth="1"/>
    <col min="8" max="8" width="17.6640625" style="1656" customWidth="1"/>
    <col min="9" max="9" width="12.33203125" style="1895" customWidth="1"/>
    <col min="10" max="10" width="11.4140625" style="1901" customWidth="1"/>
    <col min="11" max="11" width="10" style="1900" customWidth="1"/>
    <col min="12" max="12" width="12.4140625" style="1656" customWidth="1"/>
    <col min="13" max="14" width="11.6640625" style="1900" customWidth="1"/>
    <col min="15" max="15" width="11.08203125" style="1902" customWidth="1"/>
    <col min="16" max="16" width="10.4140625" style="1902" customWidth="1"/>
    <col min="17" max="17" width="11.6640625" style="1902" customWidth="1"/>
    <col min="18" max="18" width="9.33203125" style="1902" customWidth="1"/>
    <col min="19" max="19" width="12" style="1903" customWidth="1"/>
    <col min="20" max="21" width="13.33203125" style="1902" customWidth="1"/>
    <col min="22" max="22" width="10" style="1902" customWidth="1"/>
    <col min="23" max="23" width="10" style="1942" customWidth="1"/>
    <col min="24" max="16384" width="10" style="1898"/>
  </cols>
  <sheetData>
    <row r="1" spans="1:23" ht="13.25" customHeight="1"/>
    <row r="2" spans="1:23" ht="13.25" customHeight="1" thickBot="1">
      <c r="D2" s="1904"/>
      <c r="E2" s="1693"/>
      <c r="F2" s="2450"/>
      <c r="G2" s="2450"/>
      <c r="H2" s="2450"/>
      <c r="I2" s="1905"/>
      <c r="K2" s="1898"/>
      <c r="L2" s="1906"/>
      <c r="O2" s="1907"/>
      <c r="R2" s="1898"/>
      <c r="T2" s="1907"/>
      <c r="U2" s="1898"/>
      <c r="V2" s="1907"/>
    </row>
    <row r="3" spans="1:23" ht="13.25" customHeight="1">
      <c r="C3" s="1908" t="s">
        <v>4001</v>
      </c>
      <c r="D3" s="1909" t="s">
        <v>106</v>
      </c>
      <c r="E3" s="1909" t="s">
        <v>4171</v>
      </c>
      <c r="F3" s="1910" t="s">
        <v>4002</v>
      </c>
      <c r="G3" s="1911"/>
      <c r="H3" s="1910" t="s">
        <v>4003</v>
      </c>
      <c r="I3" s="2175" t="s">
        <v>1932</v>
      </c>
      <c r="J3" s="2087"/>
      <c r="K3" s="1934"/>
      <c r="L3" s="1902"/>
      <c r="O3" s="1898"/>
      <c r="P3" s="1900"/>
      <c r="Q3" s="1907"/>
      <c r="R3" s="1898"/>
      <c r="S3" s="1898"/>
      <c r="T3" s="1898"/>
      <c r="U3" s="1898"/>
      <c r="V3" s="1898"/>
    </row>
    <row r="4" spans="1:23" ht="13.25" customHeight="1">
      <c r="C4" s="2412" t="s">
        <v>3916</v>
      </c>
      <c r="D4" s="1915" t="s">
        <v>9</v>
      </c>
      <c r="E4" s="1916">
        <f>'全期规划指标 '!G32</f>
        <v>211.16</v>
      </c>
      <c r="F4" s="1917" t="s">
        <v>107</v>
      </c>
      <c r="G4" s="1916">
        <v>1</v>
      </c>
      <c r="H4" s="1917" t="s">
        <v>4005</v>
      </c>
      <c r="I4" s="2015"/>
      <c r="J4" s="2087"/>
      <c r="K4" s="1934"/>
      <c r="L4" s="1902"/>
      <c r="O4" s="1898"/>
      <c r="P4" s="1900"/>
      <c r="Q4" s="1907"/>
      <c r="R4" s="1898"/>
      <c r="S4" s="1898"/>
      <c r="T4" s="1898"/>
      <c r="U4" s="1898"/>
      <c r="V4" s="1898"/>
    </row>
    <row r="5" spans="1:23" ht="13.25" customHeight="1">
      <c r="C5" s="2412"/>
      <c r="D5" s="1915" t="s">
        <v>10</v>
      </c>
      <c r="E5" s="1916">
        <f>'全期规划指标 '!H36</f>
        <v>1142.02</v>
      </c>
      <c r="F5" s="1917" t="s">
        <v>18</v>
      </c>
      <c r="G5" s="1916">
        <v>1</v>
      </c>
      <c r="H5" s="1917" t="s">
        <v>4006</v>
      </c>
      <c r="I5" s="2015">
        <v>0</v>
      </c>
      <c r="J5" s="2087"/>
      <c r="K5" s="1934"/>
      <c r="L5" s="1902"/>
      <c r="O5" s="1898"/>
      <c r="P5" s="1900"/>
      <c r="Q5" s="1907"/>
      <c r="R5" s="1898"/>
      <c r="S5" s="1898"/>
      <c r="T5" s="1898"/>
      <c r="U5" s="1898"/>
      <c r="V5" s="1898"/>
    </row>
    <row r="6" spans="1:23" ht="13.25" customHeight="1">
      <c r="C6" s="2412"/>
      <c r="D6" s="1923" t="s">
        <v>20</v>
      </c>
      <c r="E6" s="1916"/>
      <c r="F6" s="1917" t="s">
        <v>3923</v>
      </c>
      <c r="G6" s="1916">
        <v>1</v>
      </c>
      <c r="H6" s="1917" t="s">
        <v>4007</v>
      </c>
      <c r="I6" s="2015">
        <f>G7</f>
        <v>1</v>
      </c>
      <c r="J6" s="2087"/>
      <c r="K6" s="1934"/>
      <c r="L6" s="1902"/>
      <c r="O6" s="1898"/>
      <c r="P6" s="1900"/>
      <c r="Q6" s="1907"/>
      <c r="R6" s="1898"/>
      <c r="S6" s="1898"/>
      <c r="T6" s="1898"/>
      <c r="U6" s="1898"/>
      <c r="V6" s="1898"/>
    </row>
    <row r="7" spans="1:23" ht="13.25" customHeight="1" thickBot="1">
      <c r="C7" s="2413"/>
      <c r="D7" s="1926" t="s">
        <v>4008</v>
      </c>
      <c r="E7" s="1927">
        <v>0</v>
      </c>
      <c r="F7" s="1928" t="s">
        <v>3926</v>
      </c>
      <c r="G7" s="1927">
        <v>1</v>
      </c>
      <c r="H7" s="1928" t="s">
        <v>4009</v>
      </c>
      <c r="I7" s="2092">
        <v>2.9</v>
      </c>
      <c r="J7" s="2093"/>
      <c r="K7" s="2094"/>
      <c r="L7" s="1902"/>
      <c r="O7" s="1898"/>
      <c r="P7" s="1900"/>
      <c r="Q7" s="1907"/>
      <c r="R7" s="1898"/>
      <c r="S7" s="1898"/>
      <c r="T7" s="1898"/>
      <c r="U7" s="1898"/>
      <c r="V7" s="1898"/>
    </row>
    <row r="8" spans="1:23" ht="13.25" customHeight="1" thickBot="1">
      <c r="D8" s="1904"/>
      <c r="E8" s="1693"/>
      <c r="F8" s="1906"/>
      <c r="G8" s="1934"/>
      <c r="H8" s="1935"/>
      <c r="I8" s="1936"/>
      <c r="K8" s="1937"/>
      <c r="L8" s="1935"/>
      <c r="O8" s="1907"/>
      <c r="R8" s="1900"/>
      <c r="T8" s="1907"/>
      <c r="U8" s="1900"/>
      <c r="V8" s="1907"/>
    </row>
    <row r="9" spans="1:23" s="1938" customFormat="1" ht="23.4" customHeight="1">
      <c r="B9" s="2451" t="s">
        <v>3131</v>
      </c>
      <c r="C9" s="2453" t="s">
        <v>25</v>
      </c>
      <c r="D9" s="2453" t="s">
        <v>23</v>
      </c>
      <c r="E9" s="2453" t="s">
        <v>3927</v>
      </c>
      <c r="F9" s="2453" t="s">
        <v>444</v>
      </c>
      <c r="G9" s="2453" t="s">
        <v>3207</v>
      </c>
      <c r="H9" s="2453" t="s">
        <v>3929</v>
      </c>
      <c r="I9" s="2453"/>
      <c r="J9" s="2455" t="s">
        <v>108</v>
      </c>
      <c r="K9" s="2448" t="s">
        <v>109</v>
      </c>
      <c r="L9" s="2453" t="s">
        <v>3930</v>
      </c>
      <c r="M9" s="2448" t="s">
        <v>3931</v>
      </c>
      <c r="N9" s="2425" t="s">
        <v>1067</v>
      </c>
      <c r="O9" s="2448" t="s">
        <v>3932</v>
      </c>
      <c r="P9" s="2448" t="s">
        <v>3933</v>
      </c>
      <c r="Q9" s="2448" t="s">
        <v>3142</v>
      </c>
      <c r="R9" s="2448" t="s">
        <v>515</v>
      </c>
      <c r="S9" s="2448" t="s">
        <v>1019</v>
      </c>
      <c r="T9" s="2448" t="s">
        <v>4010</v>
      </c>
      <c r="U9" s="2448" t="s">
        <v>1072</v>
      </c>
      <c r="V9" s="2446" t="s">
        <v>16</v>
      </c>
    </row>
    <row r="10" spans="1:23" s="1938" customFormat="1" ht="23.4" customHeight="1">
      <c r="B10" s="2452"/>
      <c r="C10" s="2454"/>
      <c r="D10" s="2454"/>
      <c r="E10" s="2454"/>
      <c r="F10" s="2454"/>
      <c r="G10" s="2454"/>
      <c r="H10" s="1939" t="s">
        <v>13</v>
      </c>
      <c r="I10" s="1940" t="s">
        <v>3939</v>
      </c>
      <c r="J10" s="2456"/>
      <c r="K10" s="2449"/>
      <c r="L10" s="2454"/>
      <c r="M10" s="2449"/>
      <c r="N10" s="2426"/>
      <c r="O10" s="2449"/>
      <c r="P10" s="2449"/>
      <c r="Q10" s="2449"/>
      <c r="R10" s="2449"/>
      <c r="S10" s="2449"/>
      <c r="T10" s="2449"/>
      <c r="U10" s="2449"/>
      <c r="V10" s="2447"/>
    </row>
    <row r="11" spans="1:23" ht="23.4" customHeight="1">
      <c r="B11" s="1785" t="s">
        <v>537</v>
      </c>
      <c r="C11" s="1685" t="s">
        <v>28</v>
      </c>
      <c r="D11" s="1956" t="s">
        <v>486</v>
      </c>
      <c r="E11" s="1957"/>
      <c r="F11" s="1958"/>
      <c r="G11" s="1957"/>
      <c r="H11" s="1959"/>
      <c r="I11" s="1960"/>
      <c r="J11" s="1961"/>
      <c r="K11" s="1962"/>
      <c r="L11" s="1959"/>
      <c r="M11" s="1962"/>
      <c r="N11" s="1963"/>
      <c r="O11" s="1963">
        <f>SUBTOTAL(9,O12:O99)</f>
        <v>280.50102999999996</v>
      </c>
      <c r="P11" s="1963"/>
      <c r="Q11" s="1963">
        <f>SUBTOTAL(9,Q12:Q99)</f>
        <v>256.77479099999999</v>
      </c>
      <c r="R11" s="1963"/>
      <c r="S11" s="1963">
        <f>SUBTOTAL(9,S12:S99)</f>
        <v>23.726238999999996</v>
      </c>
      <c r="T11" s="1963" t="str">
        <f t="shared" ref="T11:T74" si="0">IFERROR(Q11*10000/$E$6,"")</f>
        <v/>
      </c>
      <c r="U11" s="1963" t="str">
        <f t="shared" ref="U11:U74" si="1">IFERROR(O11*10000/$E$6,"")</f>
        <v/>
      </c>
      <c r="V11" s="1964"/>
      <c r="W11" s="1898"/>
    </row>
    <row r="12" spans="1:23" ht="23.4" customHeight="1" outlineLevel="1">
      <c r="B12" s="1965" t="s">
        <v>487</v>
      </c>
      <c r="C12" s="1852">
        <v>1</v>
      </c>
      <c r="D12" s="1966" t="s">
        <v>650</v>
      </c>
      <c r="E12" s="1967"/>
      <c r="F12" s="1968"/>
      <c r="G12" s="1967"/>
      <c r="H12" s="1967"/>
      <c r="I12" s="1969"/>
      <c r="J12" s="1970"/>
      <c r="K12" s="1971"/>
      <c r="L12" s="1967"/>
      <c r="M12" s="1972"/>
      <c r="N12" s="1973"/>
      <c r="O12" s="1973">
        <f>SUBTOTAL(9,O13:O44)</f>
        <v>226.47622699999997</v>
      </c>
      <c r="P12" s="1973"/>
      <c r="Q12" s="1973">
        <f>SUBTOTAL(9,Q13:Q44)</f>
        <v>207.59464800000001</v>
      </c>
      <c r="R12" s="1973"/>
      <c r="S12" s="1973">
        <f>SUBTOTAL(9,S13:S44)</f>
        <v>18.881579000000002</v>
      </c>
      <c r="T12" s="1973" t="str">
        <f t="shared" si="0"/>
        <v/>
      </c>
      <c r="U12" s="1973" t="str">
        <f t="shared" si="1"/>
        <v/>
      </c>
      <c r="V12" s="1974"/>
      <c r="W12" s="1898"/>
    </row>
    <row r="13" spans="1:23" s="1942" customFormat="1" ht="23.4" customHeight="1" outlineLevel="2">
      <c r="A13" s="1944"/>
      <c r="B13" s="1820" t="s">
        <v>651</v>
      </c>
      <c r="C13" s="1808"/>
      <c r="D13" s="1945" t="s">
        <v>3360</v>
      </c>
      <c r="E13" s="1946" t="s">
        <v>3361</v>
      </c>
      <c r="F13" s="1462" t="s">
        <v>3342</v>
      </c>
      <c r="G13" s="1946" t="s">
        <v>4116</v>
      </c>
      <c r="H13" s="1975" t="s">
        <v>9</v>
      </c>
      <c r="I13" s="1953">
        <f>$E$4</f>
        <v>211.16</v>
      </c>
      <c r="J13" s="1949">
        <v>0.5</v>
      </c>
      <c r="K13" s="1977" t="s">
        <v>103</v>
      </c>
      <c r="L13" s="1947" t="s">
        <v>4013</v>
      </c>
      <c r="M13" s="1754">
        <f>ROUND(I13,2)*ROUND(J13,4)</f>
        <v>105.58</v>
      </c>
      <c r="N13" s="1712">
        <v>52</v>
      </c>
      <c r="O13" s="1712">
        <f>ROUND(M13*ROUND(N13,2)/10000,6)</f>
        <v>0.54901599999999995</v>
      </c>
      <c r="P13" s="1712">
        <f>IFERROR(ROUND(Q13*10000/M13,2),0)</f>
        <v>47.71</v>
      </c>
      <c r="Q13" s="1712">
        <f>ROUND(O13/(1+R13),6)</f>
        <v>0.50368400000000002</v>
      </c>
      <c r="R13" s="1757">
        <v>0.09</v>
      </c>
      <c r="S13" s="1712">
        <f>O13-Q13</f>
        <v>4.5331999999999928E-2</v>
      </c>
      <c r="T13" s="1712" t="str">
        <f t="shared" si="0"/>
        <v/>
      </c>
      <c r="U13" s="1712" t="str">
        <f t="shared" si="1"/>
        <v/>
      </c>
      <c r="V13" s="1952"/>
    </row>
    <row r="14" spans="1:23" s="1942" customFormat="1" ht="23.4" customHeight="1" outlineLevel="2">
      <c r="A14" s="1944"/>
      <c r="B14" s="1820" t="s">
        <v>655</v>
      </c>
      <c r="C14" s="1808"/>
      <c r="D14" s="1945" t="s">
        <v>488</v>
      </c>
      <c r="E14" s="1946"/>
      <c r="F14" s="1945"/>
      <c r="G14" s="1946" t="s">
        <v>4117</v>
      </c>
      <c r="H14" s="1947"/>
      <c r="I14" s="1948"/>
      <c r="J14" s="1949"/>
      <c r="K14" s="1950"/>
      <c r="L14" s="1947"/>
      <c r="M14" s="1754"/>
      <c r="N14" s="1712"/>
      <c r="O14" s="1712">
        <f>SUBTOTAL(9,O15:O43)</f>
        <v>225.92721099999997</v>
      </c>
      <c r="P14" s="1951"/>
      <c r="Q14" s="1712">
        <f>SUBTOTAL(9,Q15:Q43)</f>
        <v>207.09096400000001</v>
      </c>
      <c r="R14" s="1712"/>
      <c r="S14" s="1712">
        <f>SUBTOTAL(9,S15:S43)</f>
        <v>18.836247</v>
      </c>
      <c r="T14" s="1712" t="str">
        <f t="shared" si="0"/>
        <v/>
      </c>
      <c r="U14" s="1712" t="str">
        <f t="shared" si="1"/>
        <v/>
      </c>
      <c r="V14" s="1952"/>
    </row>
    <row r="15" spans="1:23" s="1942" customFormat="1" ht="23.4" customHeight="1" outlineLevel="3">
      <c r="A15" s="1944" t="s">
        <v>4011</v>
      </c>
      <c r="B15" s="1978" t="s">
        <v>1626</v>
      </c>
      <c r="C15" s="1810"/>
      <c r="D15" s="1979" t="s">
        <v>59</v>
      </c>
      <c r="E15" s="1980" t="s">
        <v>3362</v>
      </c>
      <c r="F15" s="1462" t="s">
        <v>3342</v>
      </c>
      <c r="G15" s="1953" t="s">
        <v>4116</v>
      </c>
      <c r="H15" s="1947" t="s">
        <v>10</v>
      </c>
      <c r="I15" s="1953">
        <f>E5</f>
        <v>1142.02</v>
      </c>
      <c r="J15" s="2179">
        <v>0.41</v>
      </c>
      <c r="K15" s="1950" t="s">
        <v>103</v>
      </c>
      <c r="L15" s="1947" t="s">
        <v>4014</v>
      </c>
      <c r="M15" s="1754">
        <f>ROUND(I15,2)*ROUND(J15,4)</f>
        <v>468.22819999999996</v>
      </c>
      <c r="N15" s="1712">
        <f>611*1.09*1.02*1.0435</f>
        <v>708.85977630000002</v>
      </c>
      <c r="O15" s="1712">
        <f>ROUND(M15*ROUND(N15,2)/10000,6)</f>
        <v>33.190823999999999</v>
      </c>
      <c r="P15" s="1712">
        <f>IFERROR(ROUND(Q15*10000/M15,2),0)</f>
        <v>650.33000000000004</v>
      </c>
      <c r="Q15" s="1712">
        <f>ROUND(O15/(1+R15),6)</f>
        <v>30.450296999999999</v>
      </c>
      <c r="R15" s="1757">
        <v>0.09</v>
      </c>
      <c r="S15" s="1712">
        <f>O15-Q15</f>
        <v>2.7405270000000002</v>
      </c>
      <c r="T15" s="1712" t="str">
        <f t="shared" si="0"/>
        <v/>
      </c>
      <c r="U15" s="1712" t="str">
        <f t="shared" si="1"/>
        <v/>
      </c>
      <c r="V15" s="1952"/>
    </row>
    <row r="16" spans="1:23" s="1942" customFormat="1" ht="23.4" customHeight="1" outlineLevel="3">
      <c r="A16" s="1944" t="s">
        <v>4011</v>
      </c>
      <c r="B16" s="1978" t="s">
        <v>1482</v>
      </c>
      <c r="C16" s="1810"/>
      <c r="D16" s="1979" t="s">
        <v>658</v>
      </c>
      <c r="E16" s="1980" t="s">
        <v>3363</v>
      </c>
      <c r="F16" s="1462" t="s">
        <v>3342</v>
      </c>
      <c r="G16" s="1953" t="s">
        <v>4116</v>
      </c>
      <c r="H16" s="1947" t="s">
        <v>10</v>
      </c>
      <c r="I16" s="1953">
        <f>$E$5</f>
        <v>1142.02</v>
      </c>
      <c r="J16" s="2179">
        <v>39.119999999999997</v>
      </c>
      <c r="K16" s="1950" t="s">
        <v>104</v>
      </c>
      <c r="L16" s="1947" t="s">
        <v>4015</v>
      </c>
      <c r="M16" s="1754">
        <f t="shared" ref="M16:M44" si="2">ROUND(I16,2)*ROUND(J16,4)</f>
        <v>44675.822399999997</v>
      </c>
      <c r="N16" s="1712">
        <f>8.58*1.09*1.02*1.0435</f>
        <v>9.9542011140000035</v>
      </c>
      <c r="O16" s="1712">
        <f t="shared" ref="O16:O22" si="3">ROUND(M16*ROUND(N16,2)/10000,6)</f>
        <v>44.452443000000002</v>
      </c>
      <c r="P16" s="1712">
        <f t="shared" ref="P16:P22" si="4">IFERROR(ROUND(Q16*10000/M16,2),0)</f>
        <v>9.1300000000000008</v>
      </c>
      <c r="Q16" s="1712">
        <f t="shared" ref="Q16:Q22" si="5">ROUND(O16/(1+R16),6)</f>
        <v>40.782057999999999</v>
      </c>
      <c r="R16" s="1757">
        <v>0.09</v>
      </c>
      <c r="S16" s="1712">
        <f>O16-Q16</f>
        <v>3.6703850000000031</v>
      </c>
      <c r="T16" s="1712" t="str">
        <f t="shared" si="0"/>
        <v/>
      </c>
      <c r="U16" s="1712" t="str">
        <f t="shared" si="1"/>
        <v/>
      </c>
      <c r="V16" s="1952"/>
    </row>
    <row r="17" spans="1:22" s="1942" customFormat="1" ht="23.4" customHeight="1" outlineLevel="3">
      <c r="A17" s="1944"/>
      <c r="B17" s="1978" t="s">
        <v>1635</v>
      </c>
      <c r="C17" s="1810"/>
      <c r="D17" s="1979" t="s">
        <v>659</v>
      </c>
      <c r="E17" s="1980" t="s">
        <v>3364</v>
      </c>
      <c r="F17" s="1462" t="s">
        <v>3342</v>
      </c>
      <c r="G17" s="1953" t="s">
        <v>4116</v>
      </c>
      <c r="H17" s="1947" t="s">
        <v>10</v>
      </c>
      <c r="I17" s="1953">
        <f>$E$5</f>
        <v>1142.02</v>
      </c>
      <c r="J17" s="1949">
        <v>2.2000000000000002</v>
      </c>
      <c r="K17" s="1950" t="s">
        <v>101</v>
      </c>
      <c r="L17" s="1947" t="s">
        <v>659</v>
      </c>
      <c r="M17" s="1754">
        <f t="shared" si="2"/>
        <v>2512.444</v>
      </c>
      <c r="N17" s="1712">
        <f>80*1.09*1.02*1.0435</f>
        <v>92.813064000000011</v>
      </c>
      <c r="O17" s="1712">
        <f t="shared" si="3"/>
        <v>23.317993000000001</v>
      </c>
      <c r="P17" s="1712">
        <f t="shared" si="4"/>
        <v>85.15</v>
      </c>
      <c r="Q17" s="1712">
        <f t="shared" si="5"/>
        <v>21.392654</v>
      </c>
      <c r="R17" s="1757">
        <v>0.09</v>
      </c>
      <c r="S17" s="1712">
        <f>O17-Q17</f>
        <v>1.925339000000001</v>
      </c>
      <c r="T17" s="1712" t="str">
        <f t="shared" si="0"/>
        <v/>
      </c>
      <c r="U17" s="1712" t="str">
        <f t="shared" si="1"/>
        <v/>
      </c>
      <c r="V17" s="1952"/>
    </row>
    <row r="18" spans="1:22" s="1942" customFormat="1" ht="23.4" customHeight="1" outlineLevel="3">
      <c r="A18" s="1944"/>
      <c r="B18" s="1978" t="s">
        <v>1484</v>
      </c>
      <c r="C18" s="1810"/>
      <c r="D18" s="1979" t="s">
        <v>1636</v>
      </c>
      <c r="E18" s="1980" t="s">
        <v>3365</v>
      </c>
      <c r="F18" s="1462" t="s">
        <v>3342</v>
      </c>
      <c r="G18" s="1953" t="s">
        <v>4116</v>
      </c>
      <c r="H18" s="1947" t="s">
        <v>10</v>
      </c>
      <c r="I18" s="1953">
        <f>$E$5</f>
        <v>1142.02</v>
      </c>
      <c r="J18" s="1949">
        <v>0.3</v>
      </c>
      <c r="K18" s="1950" t="s">
        <v>103</v>
      </c>
      <c r="L18" s="1947" t="s">
        <v>4016</v>
      </c>
      <c r="M18" s="1754">
        <f t="shared" si="2"/>
        <v>342.60599999999999</v>
      </c>
      <c r="N18" s="1712">
        <f>838*1.09*1.02*1.0435</f>
        <v>972.21684540000024</v>
      </c>
      <c r="O18" s="1712">
        <f t="shared" si="3"/>
        <v>33.308841000000001</v>
      </c>
      <c r="P18" s="1712">
        <f t="shared" si="4"/>
        <v>891.94</v>
      </c>
      <c r="Q18" s="1712">
        <f t="shared" si="5"/>
        <v>30.55857</v>
      </c>
      <c r="R18" s="1757">
        <v>0.09</v>
      </c>
      <c r="S18" s="1712">
        <f>O18-Q18</f>
        <v>2.7502710000000015</v>
      </c>
      <c r="T18" s="1712" t="str">
        <f t="shared" si="0"/>
        <v/>
      </c>
      <c r="U18" s="1712" t="str">
        <f t="shared" si="1"/>
        <v/>
      </c>
      <c r="V18" s="1952"/>
    </row>
    <row r="19" spans="1:22" s="1942" customFormat="1" ht="23.4" customHeight="1" outlineLevel="3">
      <c r="A19" s="1944"/>
      <c r="B19" s="1978" t="s">
        <v>1485</v>
      </c>
      <c r="C19" s="1810"/>
      <c r="D19" s="1979" t="s">
        <v>3366</v>
      </c>
      <c r="E19" s="1980" t="s">
        <v>3367</v>
      </c>
      <c r="F19" s="1981"/>
      <c r="G19" s="1953" t="s">
        <v>4117</v>
      </c>
      <c r="H19" s="1947"/>
      <c r="I19" s="1948"/>
      <c r="J19" s="1949"/>
      <c r="K19" s="1982" t="s">
        <v>101</v>
      </c>
      <c r="L19" s="1947" t="s">
        <v>4112</v>
      </c>
      <c r="M19" s="1754"/>
      <c r="N19" s="1712"/>
      <c r="O19" s="1712">
        <f>SUBTOTAL(9,O20:O21)</f>
        <v>3.7631839999999999</v>
      </c>
      <c r="P19" s="1983"/>
      <c r="Q19" s="1712">
        <f>SUBTOTAL(9,Q20:Q21)</f>
        <v>3.4042719999999997</v>
      </c>
      <c r="R19" s="1757"/>
      <c r="S19" s="1712">
        <f>SUBTOTAL(9,S20:S21)</f>
        <v>0.3589119999999999</v>
      </c>
      <c r="T19" s="1712" t="str">
        <f t="shared" si="0"/>
        <v/>
      </c>
      <c r="U19" s="1712" t="str">
        <f t="shared" si="1"/>
        <v/>
      </c>
      <c r="V19" s="1952"/>
    </row>
    <row r="20" spans="1:22" s="1942" customFormat="1" ht="23.4" customHeight="1" outlineLevel="5">
      <c r="A20" s="1984"/>
      <c r="B20" s="1985" t="s">
        <v>4017</v>
      </c>
      <c r="C20" s="1828"/>
      <c r="D20" s="1986" t="s">
        <v>1487</v>
      </c>
      <c r="E20" s="1987"/>
      <c r="F20" s="1988" t="s">
        <v>3828</v>
      </c>
      <c r="G20" s="1989" t="s">
        <v>4118</v>
      </c>
      <c r="H20" s="1990" t="s">
        <v>10</v>
      </c>
      <c r="I20" s="1991">
        <f>$E$5</f>
        <v>1142.02</v>
      </c>
      <c r="J20" s="2014">
        <v>0.48</v>
      </c>
      <c r="K20" s="1992" t="s">
        <v>101</v>
      </c>
      <c r="L20" s="1990" t="s">
        <v>4018</v>
      </c>
      <c r="M20" s="1991">
        <f t="shared" si="2"/>
        <v>548.16959999999995</v>
      </c>
      <c r="N20" s="1991">
        <v>27.0703125</v>
      </c>
      <c r="O20" s="1991">
        <f t="shared" si="3"/>
        <v>1.483895</v>
      </c>
      <c r="P20" s="1991">
        <f t="shared" si="4"/>
        <v>23.96</v>
      </c>
      <c r="Q20" s="1991">
        <f t="shared" si="5"/>
        <v>1.3131809999999999</v>
      </c>
      <c r="R20" s="1993">
        <v>0.13</v>
      </c>
      <c r="S20" s="1991">
        <f>O20-Q20</f>
        <v>0.17071400000000003</v>
      </c>
      <c r="T20" s="1991" t="str">
        <f t="shared" si="0"/>
        <v/>
      </c>
      <c r="U20" s="1991" t="str">
        <f t="shared" si="1"/>
        <v/>
      </c>
      <c r="V20" s="1994"/>
    </row>
    <row r="21" spans="1:22" s="1942" customFormat="1" ht="23.4" customHeight="1" outlineLevel="5">
      <c r="A21" s="1944"/>
      <c r="B21" s="1985" t="s">
        <v>4019</v>
      </c>
      <c r="C21" s="1828"/>
      <c r="D21" s="1986" t="s">
        <v>1639</v>
      </c>
      <c r="E21" s="1987"/>
      <c r="F21" s="1988" t="s">
        <v>3342</v>
      </c>
      <c r="G21" s="1989" t="s">
        <v>4116</v>
      </c>
      <c r="H21" s="1990" t="s">
        <v>10</v>
      </c>
      <c r="I21" s="1991">
        <f>$E$5</f>
        <v>1142.02</v>
      </c>
      <c r="J21" s="2014">
        <v>0.48</v>
      </c>
      <c r="K21" s="1992" t="s">
        <v>101</v>
      </c>
      <c r="L21" s="1990" t="s">
        <v>4020</v>
      </c>
      <c r="M21" s="1991">
        <f t="shared" si="2"/>
        <v>548.16959999999995</v>
      </c>
      <c r="N21" s="1991">
        <v>41.58</v>
      </c>
      <c r="O21" s="1991">
        <f t="shared" si="3"/>
        <v>2.2792889999999999</v>
      </c>
      <c r="P21" s="1991">
        <f t="shared" si="4"/>
        <v>38.15</v>
      </c>
      <c r="Q21" s="1991">
        <f t="shared" si="5"/>
        <v>2.091091</v>
      </c>
      <c r="R21" s="1993">
        <v>0.09</v>
      </c>
      <c r="S21" s="1991">
        <f>O21-Q21</f>
        <v>0.18819799999999987</v>
      </c>
      <c r="T21" s="1991" t="str">
        <f t="shared" si="0"/>
        <v/>
      </c>
      <c r="U21" s="1991" t="str">
        <f t="shared" si="1"/>
        <v/>
      </c>
      <c r="V21" s="1994"/>
    </row>
    <row r="22" spans="1:22" s="1942" customFormat="1" ht="23.4" customHeight="1" outlineLevel="3">
      <c r="A22" s="1944" t="s">
        <v>4011</v>
      </c>
      <c r="B22" s="1978" t="s">
        <v>1486</v>
      </c>
      <c r="C22" s="1810"/>
      <c r="D22" s="1979" t="s">
        <v>3369</v>
      </c>
      <c r="E22" s="1980" t="s">
        <v>3370</v>
      </c>
      <c r="F22" s="1462" t="s">
        <v>1493</v>
      </c>
      <c r="G22" s="1953" t="s">
        <v>4119</v>
      </c>
      <c r="H22" s="1947" t="s">
        <v>10</v>
      </c>
      <c r="I22" s="1948">
        <f>+I15</f>
        <v>1142.02</v>
      </c>
      <c r="J22" s="1949">
        <v>0.8</v>
      </c>
      <c r="K22" s="1950" t="s">
        <v>101</v>
      </c>
      <c r="L22" s="1947" t="s">
        <v>4021</v>
      </c>
      <c r="M22" s="1754">
        <f t="shared" si="2"/>
        <v>913.61599999999999</v>
      </c>
      <c r="N22" s="1712">
        <v>200</v>
      </c>
      <c r="O22" s="1712">
        <f t="shared" si="3"/>
        <v>18.272320000000001</v>
      </c>
      <c r="P22" s="1712">
        <f t="shared" si="4"/>
        <v>183.49</v>
      </c>
      <c r="Q22" s="1712">
        <f t="shared" si="5"/>
        <v>16.763596</v>
      </c>
      <c r="R22" s="1757">
        <v>0.09</v>
      </c>
      <c r="S22" s="1712">
        <f>O22-Q22</f>
        <v>1.5087240000000008</v>
      </c>
      <c r="T22" s="1712" t="str">
        <f t="shared" si="0"/>
        <v/>
      </c>
      <c r="U22" s="1712" t="str">
        <f t="shared" si="1"/>
        <v/>
      </c>
      <c r="V22" s="1952"/>
    </row>
    <row r="23" spans="1:22" s="1942" customFormat="1" ht="23.4" customHeight="1" outlineLevel="3">
      <c r="A23" s="1944"/>
      <c r="B23" s="1978" t="s">
        <v>1640</v>
      </c>
      <c r="C23" s="1810"/>
      <c r="D23" s="1979" t="s">
        <v>386</v>
      </c>
      <c r="E23" s="1980"/>
      <c r="F23" s="1462"/>
      <c r="G23" s="1953" t="s">
        <v>4117</v>
      </c>
      <c r="H23" s="1947"/>
      <c r="I23" s="1948"/>
      <c r="J23" s="1949"/>
      <c r="K23" s="1950"/>
      <c r="L23" s="1947"/>
      <c r="M23" s="1754"/>
      <c r="N23" s="1712"/>
      <c r="O23" s="1712">
        <f>SUBTOTAL(9,O24:O32)</f>
        <v>32.962764</v>
      </c>
      <c r="P23" s="1712"/>
      <c r="Q23" s="1712">
        <f>SUBTOTAL(9,Q24:Q32)</f>
        <v>30.107552000000002</v>
      </c>
      <c r="R23" s="1712"/>
      <c r="S23" s="1712">
        <f>SUBTOTAL(9,S24:S32)</f>
        <v>2.8552119999999999</v>
      </c>
      <c r="T23" s="1712" t="str">
        <f t="shared" si="0"/>
        <v/>
      </c>
      <c r="U23" s="1712" t="str">
        <f t="shared" si="1"/>
        <v/>
      </c>
      <c r="V23" s="1952"/>
    </row>
    <row r="24" spans="1:22" s="1942" customFormat="1" ht="23.4" customHeight="1" outlineLevel="4">
      <c r="A24" s="1944"/>
      <c r="B24" s="1978" t="s">
        <v>1642</v>
      </c>
      <c r="C24" s="1810"/>
      <c r="D24" s="1995" t="s">
        <v>3371</v>
      </c>
      <c r="E24" s="1996" t="s">
        <v>3372</v>
      </c>
      <c r="F24" s="1462" t="s">
        <v>3342</v>
      </c>
      <c r="G24" s="1953" t="s">
        <v>4116</v>
      </c>
      <c r="H24" s="1947" t="s">
        <v>10</v>
      </c>
      <c r="I24" s="1712">
        <f>$E$5</f>
        <v>1142.02</v>
      </c>
      <c r="J24" s="1949">
        <v>0.7</v>
      </c>
      <c r="K24" s="1950" t="s">
        <v>101</v>
      </c>
      <c r="L24" s="1947" t="s">
        <v>4022</v>
      </c>
      <c r="M24" s="1754">
        <f t="shared" si="2"/>
        <v>799.41399999999999</v>
      </c>
      <c r="N24" s="2126">
        <v>60</v>
      </c>
      <c r="O24" s="1712">
        <f>ROUND(M24*ROUND(N24,2)/10000,6)</f>
        <v>4.7964840000000004</v>
      </c>
      <c r="P24" s="1712">
        <f>IFERROR(ROUND(Q24*10000/M24,2),0)</f>
        <v>55.05</v>
      </c>
      <c r="Q24" s="1712">
        <f>ROUND(O24/(1+R24),6)</f>
        <v>4.4004440000000002</v>
      </c>
      <c r="R24" s="1757">
        <v>0.09</v>
      </c>
      <c r="S24" s="1712">
        <f>O24-Q24</f>
        <v>0.39604000000000017</v>
      </c>
      <c r="T24" s="1712" t="str">
        <f t="shared" si="0"/>
        <v/>
      </c>
      <c r="U24" s="1712" t="str">
        <f t="shared" si="1"/>
        <v/>
      </c>
      <c r="V24" s="1952"/>
    </row>
    <row r="25" spans="1:22" s="1942" customFormat="1" ht="23.4" customHeight="1" outlineLevel="4">
      <c r="A25" s="1944"/>
      <c r="B25" s="1978" t="s">
        <v>1490</v>
      </c>
      <c r="C25" s="1810"/>
      <c r="D25" s="1995" t="s">
        <v>3373</v>
      </c>
      <c r="E25" s="1996" t="s">
        <v>3374</v>
      </c>
      <c r="F25" s="1462"/>
      <c r="G25" s="1953" t="s">
        <v>4117</v>
      </c>
      <c r="H25" s="1947"/>
      <c r="I25" s="1948"/>
      <c r="J25" s="1949"/>
      <c r="K25" s="1950" t="s">
        <v>101</v>
      </c>
      <c r="L25" s="1947" t="s">
        <v>4023</v>
      </c>
      <c r="M25" s="1754"/>
      <c r="N25" s="1712"/>
      <c r="O25" s="1712">
        <f>SUBTOTAL(9,O26:O27)</f>
        <v>17.823734999999999</v>
      </c>
      <c r="P25" s="1983"/>
      <c r="Q25" s="1712">
        <f>SUBTOTAL(9,Q26:Q27)</f>
        <v>16.218534999999999</v>
      </c>
      <c r="R25" s="1757"/>
      <c r="S25" s="1712">
        <f>SUBTOTAL(9,S26:S27)</f>
        <v>1.6052</v>
      </c>
      <c r="T25" s="1712" t="str">
        <f t="shared" si="0"/>
        <v/>
      </c>
      <c r="U25" s="1712" t="str">
        <f t="shared" si="1"/>
        <v/>
      </c>
      <c r="V25" s="1952"/>
    </row>
    <row r="26" spans="1:22" s="1942" customFormat="1" ht="23.4" customHeight="1" outlineLevel="5">
      <c r="A26" s="1944" t="s">
        <v>4011</v>
      </c>
      <c r="B26" s="1985" t="s">
        <v>4024</v>
      </c>
      <c r="C26" s="1828"/>
      <c r="D26" s="1998" t="s">
        <v>4025</v>
      </c>
      <c r="E26" s="1999"/>
      <c r="F26" s="1988" t="s">
        <v>3342</v>
      </c>
      <c r="G26" s="1989" t="s">
        <v>4116</v>
      </c>
      <c r="H26" s="1990" t="s">
        <v>10</v>
      </c>
      <c r="I26" s="1991">
        <f>$E$5</f>
        <v>1142.02</v>
      </c>
      <c r="J26" s="2014">
        <v>2.4</v>
      </c>
      <c r="K26" s="2000"/>
      <c r="L26" s="1990" t="s">
        <v>4026</v>
      </c>
      <c r="M26" s="1991">
        <f t="shared" si="2"/>
        <v>2740.848</v>
      </c>
      <c r="N26" s="2127">
        <v>50.028514800000004</v>
      </c>
      <c r="O26" s="1991">
        <f t="shared" ref="O26:O32" si="6">ROUND(M26*ROUND(N26,2)/10000,6)</f>
        <v>13.712463</v>
      </c>
      <c r="P26" s="1991">
        <f t="shared" ref="P26:P32" si="7">IFERROR(ROUND(Q26*10000/M26,2),0)</f>
        <v>45.9</v>
      </c>
      <c r="Q26" s="1991">
        <f t="shared" ref="Q26:Q32" si="8">ROUND(O26/(1+R26),6)</f>
        <v>12.580240999999999</v>
      </c>
      <c r="R26" s="1993">
        <v>0.09</v>
      </c>
      <c r="S26" s="1991">
        <f t="shared" ref="S26:S32" si="9">O26-Q26</f>
        <v>1.1322220000000005</v>
      </c>
      <c r="T26" s="1991" t="str">
        <f t="shared" si="0"/>
        <v/>
      </c>
      <c r="U26" s="1991" t="str">
        <f t="shared" si="1"/>
        <v/>
      </c>
      <c r="V26" s="1994"/>
    </row>
    <row r="27" spans="1:22" s="1942" customFormat="1" ht="23.4" customHeight="1" outlineLevel="5">
      <c r="A27" s="1944"/>
      <c r="B27" s="1985" t="s">
        <v>4027</v>
      </c>
      <c r="C27" s="1828"/>
      <c r="D27" s="1998" t="s">
        <v>4028</v>
      </c>
      <c r="E27" s="1999"/>
      <c r="F27" s="1988" t="s">
        <v>3829</v>
      </c>
      <c r="G27" s="1989" t="s">
        <v>4120</v>
      </c>
      <c r="H27" s="1990" t="s">
        <v>10</v>
      </c>
      <c r="I27" s="1991">
        <f>$E$5</f>
        <v>1142.02</v>
      </c>
      <c r="J27" s="2014">
        <v>2.4</v>
      </c>
      <c r="K27" s="2000"/>
      <c r="L27" s="1990" t="s">
        <v>4029</v>
      </c>
      <c r="M27" s="1991">
        <f t="shared" si="2"/>
        <v>2740.848</v>
      </c>
      <c r="N27" s="1991">
        <v>15</v>
      </c>
      <c r="O27" s="1991">
        <f t="shared" si="6"/>
        <v>4.1112719999999996</v>
      </c>
      <c r="P27" s="1991">
        <f t="shared" si="7"/>
        <v>13.27</v>
      </c>
      <c r="Q27" s="1991">
        <f t="shared" si="8"/>
        <v>3.6382940000000001</v>
      </c>
      <c r="R27" s="1993">
        <v>0.13</v>
      </c>
      <c r="S27" s="1991">
        <f t="shared" si="9"/>
        <v>0.47297799999999945</v>
      </c>
      <c r="T27" s="1991" t="str">
        <f t="shared" si="0"/>
        <v/>
      </c>
      <c r="U27" s="1991" t="str">
        <f t="shared" si="1"/>
        <v/>
      </c>
      <c r="V27" s="1994"/>
    </row>
    <row r="28" spans="1:22" s="1942" customFormat="1" ht="23.4" customHeight="1" outlineLevel="4">
      <c r="A28" s="1944"/>
      <c r="B28" s="1978" t="s">
        <v>1491</v>
      </c>
      <c r="C28" s="1810"/>
      <c r="D28" s="1995" t="s">
        <v>3375</v>
      </c>
      <c r="E28" s="1996" t="s">
        <v>3376</v>
      </c>
      <c r="F28" s="1462" t="s">
        <v>3342</v>
      </c>
      <c r="G28" s="1953" t="s">
        <v>4116</v>
      </c>
      <c r="H28" s="1947" t="s">
        <v>10</v>
      </c>
      <c r="I28" s="1712">
        <f t="shared" ref="I28:I44" si="10">$E$5</f>
        <v>1142.02</v>
      </c>
      <c r="J28" s="1949">
        <v>0.8</v>
      </c>
      <c r="K28" s="1950" t="s">
        <v>101</v>
      </c>
      <c r="L28" s="1947" t="s">
        <v>4030</v>
      </c>
      <c r="M28" s="1754">
        <f t="shared" si="2"/>
        <v>913.61599999999999</v>
      </c>
      <c r="N28" s="1712">
        <v>30</v>
      </c>
      <c r="O28" s="1712">
        <f t="shared" si="6"/>
        <v>2.7408480000000002</v>
      </c>
      <c r="P28" s="1712">
        <f t="shared" si="7"/>
        <v>27.52</v>
      </c>
      <c r="Q28" s="1712">
        <f t="shared" si="8"/>
        <v>2.5145390000000001</v>
      </c>
      <c r="R28" s="1757">
        <v>0.09</v>
      </c>
      <c r="S28" s="1712">
        <f t="shared" si="9"/>
        <v>0.22630900000000009</v>
      </c>
      <c r="T28" s="1712" t="str">
        <f t="shared" si="0"/>
        <v/>
      </c>
      <c r="U28" s="1712" t="str">
        <f t="shared" si="1"/>
        <v/>
      </c>
      <c r="V28" s="1952"/>
    </row>
    <row r="29" spans="1:22" s="1942" customFormat="1" ht="23.4" customHeight="1" outlineLevel="4">
      <c r="A29" s="1944"/>
      <c r="B29" s="1978" t="s">
        <v>1492</v>
      </c>
      <c r="C29" s="1810"/>
      <c r="D29" s="1995" t="s">
        <v>3377</v>
      </c>
      <c r="E29" s="1996" t="s">
        <v>3378</v>
      </c>
      <c r="F29" s="1462" t="s">
        <v>3342</v>
      </c>
      <c r="G29" s="1953" t="s">
        <v>4116</v>
      </c>
      <c r="H29" s="1947" t="s">
        <v>10</v>
      </c>
      <c r="I29" s="1712">
        <f t="shared" si="10"/>
        <v>1142.02</v>
      </c>
      <c r="J29" s="1949">
        <v>0.7</v>
      </c>
      <c r="K29" s="1950" t="s">
        <v>101</v>
      </c>
      <c r="L29" s="1947" t="s">
        <v>4031</v>
      </c>
      <c r="M29" s="1754">
        <f t="shared" si="2"/>
        <v>799.41399999999999</v>
      </c>
      <c r="N29" s="1712">
        <v>30</v>
      </c>
      <c r="O29" s="1712">
        <f t="shared" si="6"/>
        <v>2.3982420000000002</v>
      </c>
      <c r="P29" s="1712">
        <f t="shared" si="7"/>
        <v>27.52</v>
      </c>
      <c r="Q29" s="1712">
        <f t="shared" si="8"/>
        <v>2.2002220000000001</v>
      </c>
      <c r="R29" s="1757">
        <v>0.09</v>
      </c>
      <c r="S29" s="1712">
        <f t="shared" si="9"/>
        <v>0.19802000000000008</v>
      </c>
      <c r="T29" s="1712" t="str">
        <f t="shared" si="0"/>
        <v/>
      </c>
      <c r="U29" s="1712" t="str">
        <f t="shared" si="1"/>
        <v/>
      </c>
      <c r="V29" s="1952"/>
    </row>
    <row r="30" spans="1:22" s="1942" customFormat="1" ht="23.4" customHeight="1" outlineLevel="4">
      <c r="A30" s="1944"/>
      <c r="B30" s="1978" t="s">
        <v>3379</v>
      </c>
      <c r="C30" s="1810"/>
      <c r="D30" s="1995" t="s">
        <v>3380</v>
      </c>
      <c r="E30" s="1996" t="s">
        <v>3381</v>
      </c>
      <c r="F30" s="1462" t="s">
        <v>3342</v>
      </c>
      <c r="G30" s="1953" t="s">
        <v>4116</v>
      </c>
      <c r="H30" s="1947" t="s">
        <v>9</v>
      </c>
      <c r="I30" s="1712">
        <f>$E$4</f>
        <v>211.16</v>
      </c>
      <c r="J30" s="1949">
        <v>1.1200000000000001</v>
      </c>
      <c r="K30" s="1950" t="s">
        <v>101</v>
      </c>
      <c r="L30" s="1947" t="s">
        <v>4032</v>
      </c>
      <c r="M30" s="1754">
        <f t="shared" si="2"/>
        <v>236.49920000000003</v>
      </c>
      <c r="N30" s="1712">
        <v>220.01889800000001</v>
      </c>
      <c r="O30" s="1712">
        <f t="shared" si="6"/>
        <v>5.2034549999999999</v>
      </c>
      <c r="P30" s="1712">
        <f t="shared" si="7"/>
        <v>201.85</v>
      </c>
      <c r="Q30" s="1712">
        <f t="shared" si="8"/>
        <v>4.7738120000000004</v>
      </c>
      <c r="R30" s="1757">
        <v>0.09</v>
      </c>
      <c r="S30" s="1712">
        <f t="shared" si="9"/>
        <v>0.42964299999999955</v>
      </c>
      <c r="T30" s="1712" t="str">
        <f t="shared" si="0"/>
        <v/>
      </c>
      <c r="U30" s="1712" t="str">
        <f t="shared" si="1"/>
        <v/>
      </c>
      <c r="V30" s="1952"/>
    </row>
    <row r="31" spans="1:22" s="1942" customFormat="1" ht="23.4" customHeight="1" outlineLevel="4">
      <c r="A31" s="1944"/>
      <c r="B31" s="1978" t="s">
        <v>3382</v>
      </c>
      <c r="C31" s="1810"/>
      <c r="D31" s="1995" t="s">
        <v>3383</v>
      </c>
      <c r="E31" s="1996" t="s">
        <v>3384</v>
      </c>
      <c r="F31" s="1462" t="s">
        <v>3342</v>
      </c>
      <c r="G31" s="1953" t="s">
        <v>4116</v>
      </c>
      <c r="H31" s="1975" t="s">
        <v>3849</v>
      </c>
      <c r="I31" s="1712"/>
      <c r="J31" s="1949"/>
      <c r="K31" s="1950" t="s">
        <v>101</v>
      </c>
      <c r="L31" s="1947" t="s">
        <v>4033</v>
      </c>
      <c r="M31" s="1754">
        <f t="shared" si="2"/>
        <v>0</v>
      </c>
      <c r="N31" s="1712"/>
      <c r="O31" s="1712">
        <f t="shared" si="6"/>
        <v>0</v>
      </c>
      <c r="P31" s="1712">
        <f t="shared" si="7"/>
        <v>0</v>
      </c>
      <c r="Q31" s="1712">
        <f t="shared" si="8"/>
        <v>0</v>
      </c>
      <c r="R31" s="1757">
        <v>0.09</v>
      </c>
      <c r="S31" s="1712">
        <f t="shared" si="9"/>
        <v>0</v>
      </c>
      <c r="T31" s="1712" t="str">
        <f t="shared" si="0"/>
        <v/>
      </c>
      <c r="U31" s="1712" t="str">
        <f t="shared" si="1"/>
        <v/>
      </c>
      <c r="V31" s="1952"/>
    </row>
    <row r="32" spans="1:22" s="1942" customFormat="1" ht="23.4" customHeight="1" outlineLevel="4">
      <c r="A32" s="1944"/>
      <c r="B32" s="1978" t="s">
        <v>3385</v>
      </c>
      <c r="C32" s="1810"/>
      <c r="D32" s="1995" t="s">
        <v>3386</v>
      </c>
      <c r="E32" s="1996" t="s">
        <v>3387</v>
      </c>
      <c r="F32" s="1462" t="s">
        <v>3342</v>
      </c>
      <c r="G32" s="1953" t="s">
        <v>4116</v>
      </c>
      <c r="H32" s="1975" t="s">
        <v>3849</v>
      </c>
      <c r="I32" s="1712"/>
      <c r="J32" s="1949"/>
      <c r="K32" s="1950" t="s">
        <v>101</v>
      </c>
      <c r="L32" s="1947" t="s">
        <v>4034</v>
      </c>
      <c r="M32" s="1754">
        <f t="shared" si="2"/>
        <v>0</v>
      </c>
      <c r="N32" s="1712"/>
      <c r="O32" s="1712">
        <f t="shared" si="6"/>
        <v>0</v>
      </c>
      <c r="P32" s="1712">
        <f t="shared" si="7"/>
        <v>0</v>
      </c>
      <c r="Q32" s="1712">
        <f t="shared" si="8"/>
        <v>0</v>
      </c>
      <c r="R32" s="1757">
        <v>0.09</v>
      </c>
      <c r="S32" s="1712">
        <f t="shared" si="9"/>
        <v>0</v>
      </c>
      <c r="T32" s="1712" t="str">
        <f t="shared" si="0"/>
        <v/>
      </c>
      <c r="U32" s="1712" t="str">
        <f t="shared" si="1"/>
        <v/>
      </c>
      <c r="V32" s="1952"/>
    </row>
    <row r="33" spans="1:23" s="1942" customFormat="1" ht="23.4" customHeight="1" outlineLevel="3">
      <c r="A33" s="1944"/>
      <c r="B33" s="1978" t="s">
        <v>1647</v>
      </c>
      <c r="C33" s="1810"/>
      <c r="D33" s="1995" t="s">
        <v>3388</v>
      </c>
      <c r="E33" s="1996"/>
      <c r="F33" s="1462"/>
      <c r="G33" s="1953" t="s">
        <v>4117</v>
      </c>
      <c r="H33" s="1947"/>
      <c r="I33" s="1948"/>
      <c r="J33" s="1949"/>
      <c r="K33" s="1950"/>
      <c r="L33" s="1947"/>
      <c r="M33" s="1754"/>
      <c r="N33" s="1712"/>
      <c r="O33" s="1712">
        <f>SUBTOTAL(9,O34:O38)</f>
        <v>29.235711999999999</v>
      </c>
      <c r="P33" s="2005"/>
      <c r="Q33" s="1712">
        <f>SUBTOTAL(9,Q34:Q38)</f>
        <v>26.821754000000006</v>
      </c>
      <c r="R33" s="2005"/>
      <c r="S33" s="1712">
        <f>SUBTOTAL(9,S34:S38)</f>
        <v>2.4139579999999996</v>
      </c>
      <c r="T33" s="1712" t="str">
        <f t="shared" si="0"/>
        <v/>
      </c>
      <c r="U33" s="1712" t="str">
        <f t="shared" si="1"/>
        <v/>
      </c>
      <c r="V33" s="1952"/>
    </row>
    <row r="34" spans="1:23" s="1942" customFormat="1" ht="23.4" customHeight="1" outlineLevel="4">
      <c r="A34" s="1944" t="s">
        <v>4011</v>
      </c>
      <c r="B34" s="1978" t="s">
        <v>1649</v>
      </c>
      <c r="C34" s="1810"/>
      <c r="D34" s="1995" t="s">
        <v>1643</v>
      </c>
      <c r="E34" s="1996" t="s">
        <v>3389</v>
      </c>
      <c r="F34" s="1462" t="s">
        <v>3342</v>
      </c>
      <c r="G34" s="1953" t="s">
        <v>4116</v>
      </c>
      <c r="H34" s="1975" t="s">
        <v>10</v>
      </c>
      <c r="I34" s="1712">
        <f t="shared" si="10"/>
        <v>1142.02</v>
      </c>
      <c r="J34" s="1949">
        <v>1</v>
      </c>
      <c r="K34" s="1950" t="s">
        <v>101</v>
      </c>
      <c r="L34" s="1947" t="s">
        <v>10</v>
      </c>
      <c r="M34" s="1754">
        <f t="shared" si="2"/>
        <v>1142.02</v>
      </c>
      <c r="N34" s="2001">
        <v>64</v>
      </c>
      <c r="O34" s="1712">
        <f t="shared" ref="O34:O44" si="11">ROUND(M34*ROUND(N34,2)/10000,6)</f>
        <v>7.3089279999999999</v>
      </c>
      <c r="P34" s="1712">
        <f t="shared" ref="P34:P44" si="12">IFERROR(ROUND(Q34*10000/M34,2),0)</f>
        <v>58.72</v>
      </c>
      <c r="Q34" s="1712">
        <f t="shared" ref="Q34:Q44" si="13">ROUND(O34/(1+R34),6)</f>
        <v>6.7054390000000001</v>
      </c>
      <c r="R34" s="1757">
        <v>0.09</v>
      </c>
      <c r="S34" s="1712">
        <f t="shared" ref="S34:S44" si="14">O34-Q34</f>
        <v>0.60348899999999972</v>
      </c>
      <c r="T34" s="1712" t="str">
        <f t="shared" si="0"/>
        <v/>
      </c>
      <c r="U34" s="1712" t="str">
        <f t="shared" si="1"/>
        <v/>
      </c>
      <c r="V34" s="1952"/>
    </row>
    <row r="35" spans="1:23" s="1942" customFormat="1" ht="23.4" customHeight="1" outlineLevel="4">
      <c r="A35" s="1944" t="s">
        <v>4011</v>
      </c>
      <c r="B35" s="1978" t="s">
        <v>1494</v>
      </c>
      <c r="C35" s="1810"/>
      <c r="D35" s="1995" t="s">
        <v>1644</v>
      </c>
      <c r="E35" s="1996" t="s">
        <v>3390</v>
      </c>
      <c r="F35" s="1462" t="s">
        <v>3342</v>
      </c>
      <c r="G35" s="1953" t="s">
        <v>4116</v>
      </c>
      <c r="H35" s="1975" t="s">
        <v>10</v>
      </c>
      <c r="I35" s="1712">
        <f t="shared" si="10"/>
        <v>1142.02</v>
      </c>
      <c r="J35" s="1949">
        <v>1</v>
      </c>
      <c r="K35" s="1950" t="s">
        <v>101</v>
      </c>
      <c r="L35" s="1947" t="s">
        <v>10</v>
      </c>
      <c r="M35" s="1754">
        <f t="shared" si="2"/>
        <v>1142.02</v>
      </c>
      <c r="N35" s="2001">
        <v>100</v>
      </c>
      <c r="O35" s="1712">
        <f t="shared" si="11"/>
        <v>11.420199999999999</v>
      </c>
      <c r="P35" s="1712">
        <f t="shared" si="12"/>
        <v>91.74</v>
      </c>
      <c r="Q35" s="1712">
        <f t="shared" si="13"/>
        <v>10.477247999999999</v>
      </c>
      <c r="R35" s="1757">
        <v>0.09</v>
      </c>
      <c r="S35" s="1712">
        <f t="shared" si="14"/>
        <v>0.94295200000000001</v>
      </c>
      <c r="T35" s="1712" t="str">
        <f t="shared" si="0"/>
        <v/>
      </c>
      <c r="U35" s="1712" t="str">
        <f t="shared" si="1"/>
        <v/>
      </c>
      <c r="V35" s="1952"/>
    </row>
    <row r="36" spans="1:23" s="1942" customFormat="1" ht="23.4" customHeight="1" outlineLevel="4">
      <c r="A36" s="1944"/>
      <c r="B36" s="1978" t="s">
        <v>1495</v>
      </c>
      <c r="C36" s="1810"/>
      <c r="D36" s="1995" t="s">
        <v>1645</v>
      </c>
      <c r="E36" s="1996" t="s">
        <v>3391</v>
      </c>
      <c r="F36" s="1462" t="s">
        <v>3342</v>
      </c>
      <c r="G36" s="1953" t="s">
        <v>4116</v>
      </c>
      <c r="H36" s="1975" t="s">
        <v>10</v>
      </c>
      <c r="I36" s="1712">
        <f t="shared" si="10"/>
        <v>1142.02</v>
      </c>
      <c r="J36" s="1949">
        <v>1</v>
      </c>
      <c r="K36" s="1950" t="s">
        <v>101</v>
      </c>
      <c r="L36" s="1947" t="s">
        <v>10</v>
      </c>
      <c r="M36" s="1754">
        <f t="shared" si="2"/>
        <v>1142.02</v>
      </c>
      <c r="N36" s="1756">
        <v>1</v>
      </c>
      <c r="O36" s="1712">
        <f t="shared" si="11"/>
        <v>0.114202</v>
      </c>
      <c r="P36" s="1712">
        <f t="shared" si="12"/>
        <v>0.92</v>
      </c>
      <c r="Q36" s="1712">
        <f t="shared" si="13"/>
        <v>0.104772</v>
      </c>
      <c r="R36" s="1757">
        <v>0.09</v>
      </c>
      <c r="S36" s="1712">
        <f t="shared" si="14"/>
        <v>9.4299999999999939E-3</v>
      </c>
      <c r="T36" s="1712" t="str">
        <f t="shared" si="0"/>
        <v/>
      </c>
      <c r="U36" s="1712" t="str">
        <f t="shared" si="1"/>
        <v/>
      </c>
      <c r="V36" s="1952"/>
    </row>
    <row r="37" spans="1:23" s="1942" customFormat="1" ht="23.4" customHeight="1" outlineLevel="4">
      <c r="A37" s="1944"/>
      <c r="B37" s="1978" t="s">
        <v>3392</v>
      </c>
      <c r="C37" s="1810"/>
      <c r="D37" s="1995" t="s">
        <v>1646</v>
      </c>
      <c r="E37" s="1996" t="s">
        <v>3393</v>
      </c>
      <c r="F37" s="1462" t="s">
        <v>3342</v>
      </c>
      <c r="G37" s="1953" t="s">
        <v>4116</v>
      </c>
      <c r="H37" s="1975" t="s">
        <v>10</v>
      </c>
      <c r="I37" s="1712">
        <f t="shared" si="10"/>
        <v>1142.02</v>
      </c>
      <c r="J37" s="1949">
        <v>1</v>
      </c>
      <c r="K37" s="1950" t="s">
        <v>101</v>
      </c>
      <c r="L37" s="1947" t="s">
        <v>10</v>
      </c>
      <c r="M37" s="1754">
        <f t="shared" si="2"/>
        <v>1142.02</v>
      </c>
      <c r="N37" s="1756">
        <v>61</v>
      </c>
      <c r="O37" s="1712">
        <f t="shared" si="11"/>
        <v>6.9663219999999999</v>
      </c>
      <c r="P37" s="1712">
        <f t="shared" si="12"/>
        <v>55.96</v>
      </c>
      <c r="Q37" s="1712">
        <f t="shared" si="13"/>
        <v>6.3911210000000001</v>
      </c>
      <c r="R37" s="1757">
        <v>0.09</v>
      </c>
      <c r="S37" s="1712">
        <f t="shared" si="14"/>
        <v>0.57520099999999985</v>
      </c>
      <c r="T37" s="1712" t="str">
        <f t="shared" si="0"/>
        <v/>
      </c>
      <c r="U37" s="1712" t="str">
        <f t="shared" si="1"/>
        <v/>
      </c>
      <c r="V37" s="1952"/>
    </row>
    <row r="38" spans="1:23" s="1942" customFormat="1" ht="23.4" customHeight="1" outlineLevel="4">
      <c r="A38" s="1944"/>
      <c r="B38" s="1978" t="s">
        <v>3394</v>
      </c>
      <c r="C38" s="1810"/>
      <c r="D38" s="1995" t="s">
        <v>3395</v>
      </c>
      <c r="E38" s="1996" t="s">
        <v>3396</v>
      </c>
      <c r="F38" s="1462" t="s">
        <v>3342</v>
      </c>
      <c r="G38" s="1953" t="s">
        <v>4116</v>
      </c>
      <c r="H38" s="1975" t="s">
        <v>10</v>
      </c>
      <c r="I38" s="1712">
        <f t="shared" si="10"/>
        <v>1142.02</v>
      </c>
      <c r="J38" s="1949">
        <v>1</v>
      </c>
      <c r="K38" s="1950" t="s">
        <v>101</v>
      </c>
      <c r="L38" s="1947" t="s">
        <v>10</v>
      </c>
      <c r="M38" s="1754">
        <f t="shared" si="2"/>
        <v>1142.02</v>
      </c>
      <c r="N38" s="1756">
        <v>30</v>
      </c>
      <c r="O38" s="1712">
        <f t="shared" si="11"/>
        <v>3.4260600000000001</v>
      </c>
      <c r="P38" s="1712">
        <f t="shared" si="12"/>
        <v>27.52</v>
      </c>
      <c r="Q38" s="1712">
        <f t="shared" si="13"/>
        <v>3.1431740000000001</v>
      </c>
      <c r="R38" s="1757">
        <v>0.09</v>
      </c>
      <c r="S38" s="1712">
        <f t="shared" si="14"/>
        <v>0.28288599999999997</v>
      </c>
      <c r="T38" s="1712" t="str">
        <f t="shared" si="0"/>
        <v/>
      </c>
      <c r="U38" s="1712" t="str">
        <f t="shared" si="1"/>
        <v/>
      </c>
      <c r="V38" s="1952"/>
    </row>
    <row r="39" spans="1:23" s="1942" customFormat="1" ht="23.4" customHeight="1" outlineLevel="3">
      <c r="A39" s="1944"/>
      <c r="B39" s="1978" t="s">
        <v>1653</v>
      </c>
      <c r="C39" s="1810"/>
      <c r="D39" s="1995" t="s">
        <v>3397</v>
      </c>
      <c r="E39" s="1996" t="s">
        <v>3398</v>
      </c>
      <c r="F39" s="1462" t="s">
        <v>3342</v>
      </c>
      <c r="G39" s="1953" t="s">
        <v>4116</v>
      </c>
      <c r="H39" s="1947" t="s">
        <v>10</v>
      </c>
      <c r="I39" s="1712">
        <f t="shared" si="10"/>
        <v>1142.02</v>
      </c>
      <c r="J39" s="1949"/>
      <c r="K39" s="1950" t="s">
        <v>101</v>
      </c>
      <c r="L39" s="1947" t="s">
        <v>4035</v>
      </c>
      <c r="M39" s="1754">
        <f t="shared" si="2"/>
        <v>0</v>
      </c>
      <c r="N39" s="1712"/>
      <c r="O39" s="1712">
        <f t="shared" si="11"/>
        <v>0</v>
      </c>
      <c r="P39" s="1712">
        <f t="shared" si="12"/>
        <v>0</v>
      </c>
      <c r="Q39" s="1712">
        <f t="shared" si="13"/>
        <v>0</v>
      </c>
      <c r="R39" s="1757">
        <v>0.09</v>
      </c>
      <c r="S39" s="1712">
        <f t="shared" si="14"/>
        <v>0</v>
      </c>
      <c r="T39" s="1712" t="str">
        <f t="shared" si="0"/>
        <v/>
      </c>
      <c r="U39" s="1712" t="str">
        <f t="shared" si="1"/>
        <v/>
      </c>
      <c r="V39" s="1952"/>
    </row>
    <row r="40" spans="1:23" s="1942" customFormat="1" ht="23.4" customHeight="1" outlineLevel="3">
      <c r="A40" s="1944"/>
      <c r="B40" s="1978" t="s">
        <v>1655</v>
      </c>
      <c r="C40" s="1810"/>
      <c r="D40" s="1995" t="s">
        <v>1656</v>
      </c>
      <c r="E40" s="1996" t="s">
        <v>3399</v>
      </c>
      <c r="F40" s="1462" t="s">
        <v>1606</v>
      </c>
      <c r="G40" s="1953" t="s">
        <v>4121</v>
      </c>
      <c r="H40" s="1947" t="s">
        <v>10</v>
      </c>
      <c r="I40" s="1712">
        <f t="shared" si="10"/>
        <v>1142.02</v>
      </c>
      <c r="J40" s="1949"/>
      <c r="K40" s="1950" t="s">
        <v>101</v>
      </c>
      <c r="L40" s="1947" t="s">
        <v>10</v>
      </c>
      <c r="M40" s="1754">
        <f t="shared" si="2"/>
        <v>0</v>
      </c>
      <c r="N40" s="1712"/>
      <c r="O40" s="1712">
        <f t="shared" si="11"/>
        <v>0</v>
      </c>
      <c r="P40" s="1712">
        <f t="shared" si="12"/>
        <v>0</v>
      </c>
      <c r="Q40" s="1712">
        <f t="shared" si="13"/>
        <v>0</v>
      </c>
      <c r="R40" s="1757">
        <v>0.09</v>
      </c>
      <c r="S40" s="1712">
        <f t="shared" si="14"/>
        <v>0</v>
      </c>
      <c r="T40" s="1712" t="str">
        <f t="shared" si="0"/>
        <v/>
      </c>
      <c r="U40" s="1712" t="str">
        <f t="shared" si="1"/>
        <v/>
      </c>
      <c r="V40" s="1952"/>
    </row>
    <row r="41" spans="1:23" s="1942" customFormat="1" ht="23.4" customHeight="1" outlineLevel="3">
      <c r="A41" s="1944" t="s">
        <v>4011</v>
      </c>
      <c r="B41" s="1978" t="s">
        <v>1657</v>
      </c>
      <c r="C41" s="1810"/>
      <c r="D41" s="1995" t="s">
        <v>3400</v>
      </c>
      <c r="E41" s="1996" t="s">
        <v>3401</v>
      </c>
      <c r="F41" s="1462" t="s">
        <v>3342</v>
      </c>
      <c r="G41" s="1953" t="s">
        <v>4116</v>
      </c>
      <c r="H41" s="1975" t="s">
        <v>10</v>
      </c>
      <c r="I41" s="1712">
        <f t="shared" si="10"/>
        <v>1142.02</v>
      </c>
      <c r="J41" s="1949"/>
      <c r="K41" s="1950" t="s">
        <v>101</v>
      </c>
      <c r="L41" s="1947" t="s">
        <v>10</v>
      </c>
      <c r="M41" s="1754">
        <f t="shared" si="2"/>
        <v>0</v>
      </c>
      <c r="N41" s="2003"/>
      <c r="O41" s="1712">
        <f t="shared" si="11"/>
        <v>0</v>
      </c>
      <c r="P41" s="1712">
        <f t="shared" si="12"/>
        <v>0</v>
      </c>
      <c r="Q41" s="1712">
        <f t="shared" si="13"/>
        <v>0</v>
      </c>
      <c r="R41" s="1757">
        <v>0.09</v>
      </c>
      <c r="S41" s="1712">
        <f t="shared" si="14"/>
        <v>0</v>
      </c>
      <c r="T41" s="1712" t="str">
        <f t="shared" si="0"/>
        <v/>
      </c>
      <c r="U41" s="1712" t="str">
        <f t="shared" si="1"/>
        <v/>
      </c>
      <c r="V41" s="1952"/>
    </row>
    <row r="42" spans="1:23" s="1942" customFormat="1" ht="23.4" customHeight="1" outlineLevel="3">
      <c r="A42" s="1944"/>
      <c r="B42" s="1978" t="s">
        <v>1659</v>
      </c>
      <c r="C42" s="1810"/>
      <c r="D42" s="1995" t="s">
        <v>3403</v>
      </c>
      <c r="E42" s="1996" t="s">
        <v>3404</v>
      </c>
      <c r="F42" s="1462" t="s">
        <v>3342</v>
      </c>
      <c r="G42" s="1953" t="s">
        <v>4116</v>
      </c>
      <c r="H42" s="1975" t="s">
        <v>10</v>
      </c>
      <c r="I42" s="1712">
        <f t="shared" si="10"/>
        <v>1142.02</v>
      </c>
      <c r="J42" s="1949">
        <v>1</v>
      </c>
      <c r="K42" s="1950" t="s">
        <v>101</v>
      </c>
      <c r="L42" s="1947" t="s">
        <v>10</v>
      </c>
      <c r="M42" s="1754">
        <f t="shared" si="2"/>
        <v>1142.02</v>
      </c>
      <c r="N42" s="1712">
        <v>65</v>
      </c>
      <c r="O42" s="1712">
        <f t="shared" si="11"/>
        <v>7.4231299999999996</v>
      </c>
      <c r="P42" s="1712">
        <f t="shared" si="12"/>
        <v>59.63</v>
      </c>
      <c r="Q42" s="1712">
        <f t="shared" si="13"/>
        <v>6.8102109999999998</v>
      </c>
      <c r="R42" s="1757">
        <v>0.09</v>
      </c>
      <c r="S42" s="1712">
        <f t="shared" si="14"/>
        <v>0.61291899999999977</v>
      </c>
      <c r="T42" s="1712" t="str">
        <f t="shared" si="0"/>
        <v/>
      </c>
      <c r="U42" s="1712" t="str">
        <f t="shared" si="1"/>
        <v/>
      </c>
      <c r="V42" s="1952"/>
    </row>
    <row r="43" spans="1:23" s="1942" customFormat="1" ht="23.4" customHeight="1" outlineLevel="3">
      <c r="A43" s="1944"/>
      <c r="B43" s="1978" t="s">
        <v>1497</v>
      </c>
      <c r="C43" s="1810"/>
      <c r="D43" s="1995" t="s">
        <v>3405</v>
      </c>
      <c r="E43" s="1996"/>
      <c r="F43" s="1462" t="s">
        <v>1424</v>
      </c>
      <c r="G43" s="1953" t="s">
        <v>4123</v>
      </c>
      <c r="H43" s="1975" t="s">
        <v>10</v>
      </c>
      <c r="I43" s="1712">
        <f t="shared" si="10"/>
        <v>1142.02</v>
      </c>
      <c r="J43" s="1949"/>
      <c r="K43" s="1950" t="s">
        <v>101</v>
      </c>
      <c r="L43" s="1947" t="s">
        <v>10</v>
      </c>
      <c r="M43" s="1754">
        <f t="shared" si="2"/>
        <v>0</v>
      </c>
      <c r="N43" s="1712"/>
      <c r="O43" s="1712">
        <f t="shared" si="11"/>
        <v>0</v>
      </c>
      <c r="P43" s="1712">
        <f t="shared" si="12"/>
        <v>0</v>
      </c>
      <c r="Q43" s="1712">
        <f t="shared" si="13"/>
        <v>0</v>
      </c>
      <c r="R43" s="1757">
        <v>0.06</v>
      </c>
      <c r="S43" s="1712">
        <f t="shared" si="14"/>
        <v>0</v>
      </c>
      <c r="T43" s="1712" t="str">
        <f t="shared" si="0"/>
        <v/>
      </c>
      <c r="U43" s="1712" t="str">
        <f t="shared" si="1"/>
        <v/>
      </c>
      <c r="V43" s="1952"/>
    </row>
    <row r="44" spans="1:23" s="1942" customFormat="1" ht="23.4" customHeight="1" outlineLevel="2">
      <c r="A44" s="1944"/>
      <c r="B44" s="1820" t="s">
        <v>3406</v>
      </c>
      <c r="C44" s="1810"/>
      <c r="D44" s="1995" t="s">
        <v>3407</v>
      </c>
      <c r="E44" s="1996" t="s">
        <v>3408</v>
      </c>
      <c r="F44" s="1462" t="s">
        <v>3342</v>
      </c>
      <c r="G44" s="1953" t="s">
        <v>4116</v>
      </c>
      <c r="H44" s="1975" t="s">
        <v>10</v>
      </c>
      <c r="I44" s="1712">
        <f t="shared" si="10"/>
        <v>1142.02</v>
      </c>
      <c r="J44" s="1949"/>
      <c r="K44" s="1950" t="s">
        <v>101</v>
      </c>
      <c r="L44" s="1947" t="s">
        <v>10</v>
      </c>
      <c r="M44" s="1754">
        <f t="shared" si="2"/>
        <v>0</v>
      </c>
      <c r="N44" s="1712"/>
      <c r="O44" s="1712">
        <f t="shared" si="11"/>
        <v>0</v>
      </c>
      <c r="P44" s="1712">
        <f t="shared" si="12"/>
        <v>0</v>
      </c>
      <c r="Q44" s="1712">
        <f t="shared" si="13"/>
        <v>0</v>
      </c>
      <c r="R44" s="1757">
        <v>0.09</v>
      </c>
      <c r="S44" s="1712">
        <f t="shared" si="14"/>
        <v>0</v>
      </c>
      <c r="T44" s="1712" t="str">
        <f t="shared" si="0"/>
        <v/>
      </c>
      <c r="U44" s="1712" t="str">
        <f t="shared" si="1"/>
        <v/>
      </c>
      <c r="V44" s="1952"/>
    </row>
    <row r="45" spans="1:23" ht="23.4" customHeight="1" outlineLevel="1">
      <c r="B45" s="1965" t="s">
        <v>490</v>
      </c>
      <c r="C45" s="1852">
        <v>2</v>
      </c>
      <c r="D45" s="1966" t="s">
        <v>491</v>
      </c>
      <c r="E45" s="1967"/>
      <c r="F45" s="1968"/>
      <c r="G45" s="2007" t="s">
        <v>4117</v>
      </c>
      <c r="H45" s="1967"/>
      <c r="I45" s="1969"/>
      <c r="J45" s="1970"/>
      <c r="K45" s="1971"/>
      <c r="L45" s="1967"/>
      <c r="M45" s="1972"/>
      <c r="N45" s="1973"/>
      <c r="O45" s="1973">
        <f>SUBTOTAL(9,O46:O99)</f>
        <v>54.02480300000002</v>
      </c>
      <c r="P45" s="1973"/>
      <c r="Q45" s="1973">
        <f>SUBTOTAL(9,Q46:Q99)</f>
        <v>49.180143000000008</v>
      </c>
      <c r="R45" s="1973"/>
      <c r="S45" s="1973">
        <f>SUBTOTAL(9,S46:S99)</f>
        <v>4.8446599999999984</v>
      </c>
      <c r="T45" s="1973" t="str">
        <f t="shared" si="0"/>
        <v/>
      </c>
      <c r="U45" s="1973" t="str">
        <f t="shared" si="1"/>
        <v/>
      </c>
      <c r="V45" s="1974"/>
      <c r="W45" s="1898"/>
    </row>
    <row r="46" spans="1:23" s="1942" customFormat="1" ht="23.4" customHeight="1" outlineLevel="2">
      <c r="A46" s="1944"/>
      <c r="B46" s="1820" t="s">
        <v>661</v>
      </c>
      <c r="C46" s="1808"/>
      <c r="D46" s="1945" t="s">
        <v>3409</v>
      </c>
      <c r="E46" s="1946"/>
      <c r="F46" s="1462"/>
      <c r="G46" s="1953" t="s">
        <v>4117</v>
      </c>
      <c r="H46" s="1947"/>
      <c r="I46" s="1948"/>
      <c r="J46" s="1949"/>
      <c r="K46" s="1950"/>
      <c r="L46" s="1947"/>
      <c r="M46" s="1754"/>
      <c r="N46" s="1712"/>
      <c r="O46" s="1712">
        <f>SUBTOTAL(9,O47:O55)</f>
        <v>9.935573999999999</v>
      </c>
      <c r="P46" s="1983"/>
      <c r="Q46" s="1712">
        <f>SUBTOTAL(9,Q47:Q55)</f>
        <v>9.0595740000000013</v>
      </c>
      <c r="R46" s="1757"/>
      <c r="S46" s="1712">
        <f>SUBTOTAL(9,S47:S55)</f>
        <v>0.87599999999999922</v>
      </c>
      <c r="T46" s="1712" t="str">
        <f t="shared" si="0"/>
        <v/>
      </c>
      <c r="U46" s="1712" t="str">
        <f t="shared" si="1"/>
        <v/>
      </c>
      <c r="V46" s="1952"/>
    </row>
    <row r="47" spans="1:23" s="1942" customFormat="1" ht="23.4" customHeight="1" outlineLevel="3">
      <c r="A47" s="1944"/>
      <c r="B47" s="1978" t="s">
        <v>662</v>
      </c>
      <c r="C47" s="1810"/>
      <c r="D47" s="1979" t="s">
        <v>3410</v>
      </c>
      <c r="E47" s="1980" t="s">
        <v>3411</v>
      </c>
      <c r="F47" s="1462" t="s">
        <v>3342</v>
      </c>
      <c r="G47" s="1953" t="s">
        <v>4116</v>
      </c>
      <c r="H47" s="1975" t="s">
        <v>10</v>
      </c>
      <c r="I47" s="1712">
        <f>$E$5</f>
        <v>1142.02</v>
      </c>
      <c r="J47" s="1949">
        <v>1</v>
      </c>
      <c r="K47" s="1950" t="s">
        <v>101</v>
      </c>
      <c r="L47" s="1947" t="s">
        <v>10</v>
      </c>
      <c r="M47" s="1754">
        <f>ROUND(I47,2)*ROUND(J47,4)</f>
        <v>1142.02</v>
      </c>
      <c r="N47" s="1712">
        <v>39</v>
      </c>
      <c r="O47" s="1712">
        <f>ROUND(M47*ROUND(N47,2)/10000,6)</f>
        <v>4.4538779999999996</v>
      </c>
      <c r="P47" s="1712">
        <f>IFERROR(ROUND(Q47*10000/M47,2),0)</f>
        <v>35.78</v>
      </c>
      <c r="Q47" s="1712">
        <f>ROUND(O47/(1+R47),6)</f>
        <v>4.0861270000000003</v>
      </c>
      <c r="R47" s="1757">
        <v>0.09</v>
      </c>
      <c r="S47" s="1712">
        <f>O47-Q47</f>
        <v>0.36775099999999927</v>
      </c>
      <c r="T47" s="1712" t="str">
        <f t="shared" si="0"/>
        <v/>
      </c>
      <c r="U47" s="1712" t="str">
        <f t="shared" si="1"/>
        <v/>
      </c>
      <c r="V47" s="1952"/>
    </row>
    <row r="48" spans="1:23" s="1942" customFormat="1" ht="23.4" customHeight="1" outlineLevel="3">
      <c r="A48" s="1944"/>
      <c r="B48" s="1978" t="s">
        <v>664</v>
      </c>
      <c r="C48" s="1810"/>
      <c r="D48" s="2008" t="s">
        <v>3412</v>
      </c>
      <c r="E48" s="2009" t="s">
        <v>3413</v>
      </c>
      <c r="F48" s="1462" t="s">
        <v>3342</v>
      </c>
      <c r="G48" s="1953" t="s">
        <v>4116</v>
      </c>
      <c r="H48" s="1975" t="s">
        <v>10</v>
      </c>
      <c r="I48" s="1712">
        <f>$E$5</f>
        <v>1142.02</v>
      </c>
      <c r="J48" s="1949">
        <v>1</v>
      </c>
      <c r="K48" s="1950" t="s">
        <v>101</v>
      </c>
      <c r="L48" s="1947" t="s">
        <v>10</v>
      </c>
      <c r="M48" s="1754">
        <f>ROUND(I48,2)*ROUND(J48,4)</f>
        <v>1142.02</v>
      </c>
      <c r="N48" s="1712">
        <v>15</v>
      </c>
      <c r="O48" s="1712">
        <f>ROUND(M48*ROUND(N48,2)/10000,6)</f>
        <v>1.7130300000000001</v>
      </c>
      <c r="P48" s="1712">
        <f>IFERROR(ROUND(Q48*10000/M48,2),0)</f>
        <v>13.76</v>
      </c>
      <c r="Q48" s="1712">
        <f>ROUND(O48/(1+R48),6)</f>
        <v>1.5715870000000001</v>
      </c>
      <c r="R48" s="1757">
        <v>0.09</v>
      </c>
      <c r="S48" s="1712">
        <f>O48-Q48</f>
        <v>0.14144299999999999</v>
      </c>
      <c r="T48" s="1712" t="str">
        <f t="shared" si="0"/>
        <v/>
      </c>
      <c r="U48" s="1712" t="str">
        <f t="shared" si="1"/>
        <v/>
      </c>
      <c r="V48" s="1952"/>
    </row>
    <row r="49" spans="1:22" s="1942" customFormat="1" ht="23.4" customHeight="1" outlineLevel="3">
      <c r="A49" s="1944"/>
      <c r="B49" s="1978" t="s">
        <v>665</v>
      </c>
      <c r="C49" s="1810"/>
      <c r="D49" s="2008" t="s">
        <v>3414</v>
      </c>
      <c r="E49" s="2009" t="s">
        <v>3415</v>
      </c>
      <c r="F49" s="1462"/>
      <c r="G49" s="1953" t="s">
        <v>4117</v>
      </c>
      <c r="H49" s="1975"/>
      <c r="I49" s="1948"/>
      <c r="J49" s="1949"/>
      <c r="K49" s="1950" t="s">
        <v>101</v>
      </c>
      <c r="L49" s="1947" t="s">
        <v>10</v>
      </c>
      <c r="M49" s="1754"/>
      <c r="N49" s="1712"/>
      <c r="O49" s="1712">
        <f>SUBTOTAL(9,O50:O51)</f>
        <v>1.7130300000000001</v>
      </c>
      <c r="P49" s="1983"/>
      <c r="Q49" s="1712">
        <f>SUBTOTAL(9,Q50:Q51)</f>
        <v>1.5715870000000001</v>
      </c>
      <c r="R49" s="1757"/>
      <c r="S49" s="1712">
        <f>SUBTOTAL(9,S50:S51)</f>
        <v>0.14144299999999999</v>
      </c>
      <c r="T49" s="1712" t="str">
        <f t="shared" si="0"/>
        <v/>
      </c>
      <c r="U49" s="1712" t="str">
        <f t="shared" si="1"/>
        <v/>
      </c>
      <c r="V49" s="1952"/>
    </row>
    <row r="50" spans="1:22" s="1942" customFormat="1" ht="23.4" customHeight="1" outlineLevel="4">
      <c r="A50" s="1944"/>
      <c r="B50" s="1985" t="s">
        <v>1666</v>
      </c>
      <c r="C50" s="1828"/>
      <c r="D50" s="2010" t="s">
        <v>4036</v>
      </c>
      <c r="E50" s="2011"/>
      <c r="F50" s="1988" t="s">
        <v>3342</v>
      </c>
      <c r="G50" s="1989" t="s">
        <v>4116</v>
      </c>
      <c r="H50" s="2012" t="s">
        <v>10</v>
      </c>
      <c r="I50" s="1991">
        <f>$E$5</f>
        <v>1142.02</v>
      </c>
      <c r="J50" s="2014">
        <v>1</v>
      </c>
      <c r="K50" s="2000" t="s">
        <v>101</v>
      </c>
      <c r="L50" s="1990" t="s">
        <v>10</v>
      </c>
      <c r="M50" s="1991">
        <f t="shared" ref="M50:M57" si="15">ROUND(I50,2)*ROUND(J50,4)</f>
        <v>1142.02</v>
      </c>
      <c r="N50" s="1991">
        <v>15</v>
      </c>
      <c r="O50" s="1991">
        <f t="shared" ref="O50:O55" si="16">ROUND(M50*ROUND(N50,2)/10000,6)</f>
        <v>1.7130300000000001</v>
      </c>
      <c r="P50" s="1991">
        <f t="shared" ref="P50:P55" si="17">IFERROR(ROUND(Q50*10000/M50,2),0)</f>
        <v>13.76</v>
      </c>
      <c r="Q50" s="1991">
        <f t="shared" ref="Q50:Q55" si="18">ROUND(O50/(1+R50),6)</f>
        <v>1.5715870000000001</v>
      </c>
      <c r="R50" s="1993">
        <v>0.09</v>
      </c>
      <c r="S50" s="1991">
        <f t="shared" ref="S50:S55" si="19">O50-Q50</f>
        <v>0.14144299999999999</v>
      </c>
      <c r="T50" s="1991" t="str">
        <f t="shared" si="0"/>
        <v/>
      </c>
      <c r="U50" s="1991" t="str">
        <f t="shared" si="1"/>
        <v/>
      </c>
      <c r="V50" s="1994"/>
    </row>
    <row r="51" spans="1:22" s="1942" customFormat="1" ht="23.4" customHeight="1" outlineLevel="4">
      <c r="A51" s="1944"/>
      <c r="B51" s="1985" t="s">
        <v>1507</v>
      </c>
      <c r="C51" s="1828"/>
      <c r="D51" s="2013" t="s">
        <v>4037</v>
      </c>
      <c r="E51" s="2011"/>
      <c r="F51" s="1988" t="s">
        <v>3833</v>
      </c>
      <c r="G51" s="1989" t="s">
        <v>4124</v>
      </c>
      <c r="H51" s="2012" t="s">
        <v>10</v>
      </c>
      <c r="I51" s="1991">
        <f>$E$5</f>
        <v>1142.02</v>
      </c>
      <c r="J51" s="2014">
        <v>1</v>
      </c>
      <c r="K51" s="2000" t="s">
        <v>101</v>
      </c>
      <c r="L51" s="1990" t="s">
        <v>10</v>
      </c>
      <c r="M51" s="1991">
        <f t="shared" si="15"/>
        <v>1142.02</v>
      </c>
      <c r="N51" s="1991"/>
      <c r="O51" s="1991">
        <f t="shared" si="16"/>
        <v>0</v>
      </c>
      <c r="P51" s="1991">
        <f t="shared" si="17"/>
        <v>0</v>
      </c>
      <c r="Q51" s="1991">
        <f t="shared" si="18"/>
        <v>0</v>
      </c>
      <c r="R51" s="1993">
        <v>0.13</v>
      </c>
      <c r="S51" s="1991">
        <f t="shared" si="19"/>
        <v>0</v>
      </c>
      <c r="T51" s="1991" t="str">
        <f t="shared" si="0"/>
        <v/>
      </c>
      <c r="U51" s="1991" t="str">
        <f t="shared" si="1"/>
        <v/>
      </c>
      <c r="V51" s="1994"/>
    </row>
    <row r="52" spans="1:22" s="1942" customFormat="1" ht="23.4" customHeight="1" outlineLevel="3">
      <c r="A52" s="1944"/>
      <c r="B52" s="1978" t="s">
        <v>666</v>
      </c>
      <c r="C52" s="1810"/>
      <c r="D52" s="2008" t="s">
        <v>3416</v>
      </c>
      <c r="E52" s="2009" t="s">
        <v>3417</v>
      </c>
      <c r="F52" s="1462" t="s">
        <v>3418</v>
      </c>
      <c r="G52" s="1953" t="s">
        <v>4125</v>
      </c>
      <c r="H52" s="1975" t="s">
        <v>3926</v>
      </c>
      <c r="I52" s="1712">
        <f>$G$7</f>
        <v>1</v>
      </c>
      <c r="J52" s="1949">
        <v>1</v>
      </c>
      <c r="K52" s="1950" t="s">
        <v>3947</v>
      </c>
      <c r="L52" s="1947" t="s">
        <v>3926</v>
      </c>
      <c r="M52" s="1754">
        <f t="shared" si="15"/>
        <v>1</v>
      </c>
      <c r="N52" s="1712"/>
      <c r="O52" s="1712">
        <f t="shared" si="16"/>
        <v>0</v>
      </c>
      <c r="P52" s="1712">
        <f t="shared" si="17"/>
        <v>0</v>
      </c>
      <c r="Q52" s="1712">
        <f t="shared" si="18"/>
        <v>0</v>
      </c>
      <c r="R52" s="1757">
        <v>0.13</v>
      </c>
      <c r="S52" s="1712">
        <f t="shared" si="19"/>
        <v>0</v>
      </c>
      <c r="T52" s="1712" t="str">
        <f t="shared" si="0"/>
        <v/>
      </c>
      <c r="U52" s="1712" t="str">
        <f t="shared" si="1"/>
        <v/>
      </c>
      <c r="V52" s="1952"/>
    </row>
    <row r="53" spans="1:22" s="1942" customFormat="1" ht="23.4" customHeight="1" outlineLevel="3">
      <c r="A53" s="1944"/>
      <c r="B53" s="1978" t="s">
        <v>3419</v>
      </c>
      <c r="C53" s="1810"/>
      <c r="D53" s="2008" t="s">
        <v>3420</v>
      </c>
      <c r="E53" s="2009" t="s">
        <v>3421</v>
      </c>
      <c r="F53" s="1462" t="s">
        <v>3422</v>
      </c>
      <c r="G53" s="1953" t="s">
        <v>4126</v>
      </c>
      <c r="H53" s="1975" t="s">
        <v>10</v>
      </c>
      <c r="I53" s="1712">
        <f>$E$5</f>
        <v>1142.02</v>
      </c>
      <c r="J53" s="1976">
        <v>1</v>
      </c>
      <c r="K53" s="1950" t="s">
        <v>101</v>
      </c>
      <c r="L53" s="1947" t="s">
        <v>10</v>
      </c>
      <c r="M53" s="1754">
        <f t="shared" si="15"/>
        <v>1142.02</v>
      </c>
      <c r="N53" s="1756">
        <v>15</v>
      </c>
      <c r="O53" s="1712">
        <f t="shared" si="16"/>
        <v>1.7130300000000001</v>
      </c>
      <c r="P53" s="1712">
        <f t="shared" si="17"/>
        <v>13.27</v>
      </c>
      <c r="Q53" s="1712">
        <f t="shared" si="18"/>
        <v>1.5159560000000001</v>
      </c>
      <c r="R53" s="1757">
        <v>0.13</v>
      </c>
      <c r="S53" s="1712">
        <f t="shared" si="19"/>
        <v>0.19707399999999997</v>
      </c>
      <c r="T53" s="1712" t="str">
        <f t="shared" si="0"/>
        <v/>
      </c>
      <c r="U53" s="1712" t="str">
        <f t="shared" si="1"/>
        <v/>
      </c>
      <c r="V53" s="1952"/>
    </row>
    <row r="54" spans="1:22" s="1942" customFormat="1" ht="23.4" customHeight="1" outlineLevel="3">
      <c r="A54" s="1944"/>
      <c r="B54" s="1978" t="s">
        <v>3423</v>
      </c>
      <c r="C54" s="1810"/>
      <c r="D54" s="2008" t="s">
        <v>3424</v>
      </c>
      <c r="E54" s="2009" t="s">
        <v>3425</v>
      </c>
      <c r="F54" s="1462" t="s">
        <v>3342</v>
      </c>
      <c r="G54" s="1953" t="s">
        <v>4116</v>
      </c>
      <c r="H54" s="1975" t="s">
        <v>10</v>
      </c>
      <c r="I54" s="1712">
        <f t="shared" ref="I54:I66" si="20">$E$5</f>
        <v>1142.02</v>
      </c>
      <c r="J54" s="1949">
        <v>1</v>
      </c>
      <c r="K54" s="1950" t="s">
        <v>101</v>
      </c>
      <c r="L54" s="1947" t="s">
        <v>10</v>
      </c>
      <c r="M54" s="1754">
        <f t="shared" si="15"/>
        <v>1142.02</v>
      </c>
      <c r="N54" s="1712">
        <v>3</v>
      </c>
      <c r="O54" s="1712">
        <f t="shared" si="16"/>
        <v>0.34260600000000002</v>
      </c>
      <c r="P54" s="1712">
        <f t="shared" si="17"/>
        <v>2.75</v>
      </c>
      <c r="Q54" s="1712">
        <f t="shared" si="18"/>
        <v>0.31431700000000001</v>
      </c>
      <c r="R54" s="1757">
        <v>0.09</v>
      </c>
      <c r="S54" s="1712">
        <f t="shared" si="19"/>
        <v>2.8289000000000009E-2</v>
      </c>
      <c r="T54" s="1712" t="str">
        <f t="shared" si="0"/>
        <v/>
      </c>
      <c r="U54" s="1712" t="str">
        <f t="shared" si="1"/>
        <v/>
      </c>
      <c r="V54" s="1952"/>
    </row>
    <row r="55" spans="1:22" s="1942" customFormat="1" ht="23.4" customHeight="1" outlineLevel="3">
      <c r="A55" s="1944"/>
      <c r="B55" s="1978" t="s">
        <v>3426</v>
      </c>
      <c r="C55" s="1810"/>
      <c r="D55" s="2008" t="s">
        <v>3427</v>
      </c>
      <c r="E55" s="2009" t="s">
        <v>3428</v>
      </c>
      <c r="F55" s="1462" t="s">
        <v>3342</v>
      </c>
      <c r="G55" s="1953" t="s">
        <v>4116</v>
      </c>
      <c r="H55" s="1975" t="s">
        <v>10</v>
      </c>
      <c r="I55" s="1712">
        <f t="shared" si="20"/>
        <v>1142.02</v>
      </c>
      <c r="J55" s="1949"/>
      <c r="K55" s="1950" t="s">
        <v>101</v>
      </c>
      <c r="L55" s="1947" t="s">
        <v>10</v>
      </c>
      <c r="M55" s="1754">
        <f t="shared" si="15"/>
        <v>0</v>
      </c>
      <c r="N55" s="1712"/>
      <c r="O55" s="1712">
        <f t="shared" si="16"/>
        <v>0</v>
      </c>
      <c r="P55" s="1712">
        <f t="shared" si="17"/>
        <v>0</v>
      </c>
      <c r="Q55" s="1712">
        <f t="shared" si="18"/>
        <v>0</v>
      </c>
      <c r="R55" s="1757">
        <v>0.13</v>
      </c>
      <c r="S55" s="1712">
        <f t="shared" si="19"/>
        <v>0</v>
      </c>
      <c r="T55" s="1712" t="str">
        <f t="shared" si="0"/>
        <v/>
      </c>
      <c r="U55" s="1712" t="str">
        <f t="shared" si="1"/>
        <v/>
      </c>
      <c r="V55" s="2015"/>
    </row>
    <row r="56" spans="1:22" s="1942" customFormat="1" ht="23.4" customHeight="1" outlineLevel="2">
      <c r="A56" s="1944"/>
      <c r="B56" s="1820" t="s">
        <v>670</v>
      </c>
      <c r="C56" s="1808"/>
      <c r="D56" s="1945" t="s">
        <v>3429</v>
      </c>
      <c r="E56" s="1946"/>
      <c r="F56" s="1462"/>
      <c r="G56" s="1953" t="s">
        <v>4117</v>
      </c>
      <c r="H56" s="1947"/>
      <c r="I56" s="1948"/>
      <c r="J56" s="1949"/>
      <c r="K56" s="1950"/>
      <c r="L56" s="1947"/>
      <c r="M56" s="1754"/>
      <c r="N56" s="1712"/>
      <c r="O56" s="1712">
        <f>SUBTOTAL(9,O57:O70)</f>
        <v>24.903293000000001</v>
      </c>
      <c r="P56" s="1983"/>
      <c r="Q56" s="1712">
        <f>SUBTOTAL(9,Q57:Q70)</f>
        <v>22.555880999999999</v>
      </c>
      <c r="R56" s="1757"/>
      <c r="S56" s="1712">
        <f>SUBTOTAL(9,S57:S70)</f>
        <v>2.3474119999999998</v>
      </c>
      <c r="T56" s="1712" t="str">
        <f t="shared" si="0"/>
        <v/>
      </c>
      <c r="U56" s="1712" t="str">
        <f t="shared" si="1"/>
        <v/>
      </c>
      <c r="V56" s="1952"/>
    </row>
    <row r="57" spans="1:22" s="1942" customFormat="1" ht="23.4" customHeight="1" outlineLevel="3">
      <c r="A57" s="1944"/>
      <c r="B57" s="1978" t="s">
        <v>671</v>
      </c>
      <c r="C57" s="1810"/>
      <c r="D57" s="2008" t="s">
        <v>3430</v>
      </c>
      <c r="E57" s="2009" t="s">
        <v>3431</v>
      </c>
      <c r="F57" s="1462" t="s">
        <v>3342</v>
      </c>
      <c r="G57" s="1953" t="s">
        <v>4116</v>
      </c>
      <c r="H57" s="1975" t="s">
        <v>10</v>
      </c>
      <c r="I57" s="1712">
        <f t="shared" si="20"/>
        <v>1142.02</v>
      </c>
      <c r="J57" s="1949">
        <v>1</v>
      </c>
      <c r="K57" s="1950" t="s">
        <v>101</v>
      </c>
      <c r="L57" s="1947" t="s">
        <v>10</v>
      </c>
      <c r="M57" s="1754">
        <f t="shared" si="15"/>
        <v>1142.02</v>
      </c>
      <c r="N57" s="1712">
        <v>60</v>
      </c>
      <c r="O57" s="1712">
        <f>ROUND(M57*ROUND(N57,2)/10000,6)</f>
        <v>6.8521200000000002</v>
      </c>
      <c r="P57" s="1712">
        <f>IFERROR(ROUND(Q57*10000/M57,2),0)</f>
        <v>55.05</v>
      </c>
      <c r="Q57" s="1712">
        <f>ROUND(O57/(1+R57),6)</f>
        <v>6.2863490000000004</v>
      </c>
      <c r="R57" s="1757">
        <v>0.09</v>
      </c>
      <c r="S57" s="1712">
        <f>O57-Q57</f>
        <v>0.5657709999999998</v>
      </c>
      <c r="T57" s="1712" t="str">
        <f t="shared" si="0"/>
        <v/>
      </c>
      <c r="U57" s="1712" t="str">
        <f t="shared" si="1"/>
        <v/>
      </c>
      <c r="V57" s="1952"/>
    </row>
    <row r="58" spans="1:22" s="1942" customFormat="1" ht="23.4" customHeight="1" outlineLevel="3">
      <c r="A58" s="1944"/>
      <c r="B58" s="1978" t="s">
        <v>672</v>
      </c>
      <c r="C58" s="1810"/>
      <c r="D58" s="2008" t="s">
        <v>3432</v>
      </c>
      <c r="E58" s="2009" t="s">
        <v>3433</v>
      </c>
      <c r="F58" s="1462"/>
      <c r="G58" s="1953" t="s">
        <v>4117</v>
      </c>
      <c r="H58" s="1975"/>
      <c r="I58" s="1712"/>
      <c r="J58" s="1949"/>
      <c r="K58" s="1950" t="s">
        <v>101</v>
      </c>
      <c r="L58" s="1947" t="s">
        <v>10</v>
      </c>
      <c r="M58" s="1754"/>
      <c r="N58" s="1712"/>
      <c r="O58" s="1712">
        <f>SUBTOTAL(9,O59:O60)</f>
        <v>6.0527059999999997</v>
      </c>
      <c r="P58" s="1983"/>
      <c r="Q58" s="1712">
        <f>SUBTOTAL(9,Q59:Q60)</f>
        <v>5.5529409999999997</v>
      </c>
      <c r="R58" s="1757"/>
      <c r="S58" s="1712">
        <f>SUBTOTAL(9,S59:S60)</f>
        <v>0.49976500000000001</v>
      </c>
      <c r="T58" s="1712" t="str">
        <f t="shared" si="0"/>
        <v/>
      </c>
      <c r="U58" s="1712" t="str">
        <f t="shared" si="1"/>
        <v/>
      </c>
      <c r="V58" s="1952"/>
    </row>
    <row r="59" spans="1:22" s="1942" customFormat="1" ht="23.4" customHeight="1" outlineLevel="4">
      <c r="A59" s="1944"/>
      <c r="B59" s="1985" t="s">
        <v>1680</v>
      </c>
      <c r="C59" s="1828"/>
      <c r="D59" s="2013" t="s">
        <v>4038</v>
      </c>
      <c r="E59" s="2011"/>
      <c r="F59" s="1988" t="s">
        <v>3342</v>
      </c>
      <c r="G59" s="1989" t="s">
        <v>4116</v>
      </c>
      <c r="H59" s="2012" t="s">
        <v>10</v>
      </c>
      <c r="I59" s="1991">
        <f>$E$5</f>
        <v>1142.02</v>
      </c>
      <c r="J59" s="2014">
        <v>1</v>
      </c>
      <c r="K59" s="2000" t="s">
        <v>101</v>
      </c>
      <c r="L59" s="1990" t="s">
        <v>10</v>
      </c>
      <c r="M59" s="1991">
        <f t="shared" ref="M59:M70" si="21">ROUND(I59,2)*ROUND(J59,4)</f>
        <v>1142.02</v>
      </c>
      <c r="N59" s="1991">
        <v>53</v>
      </c>
      <c r="O59" s="1991">
        <f t="shared" ref="O59:O70" si="22">ROUND(M59*ROUND(N59,2)/10000,6)</f>
        <v>6.0527059999999997</v>
      </c>
      <c r="P59" s="1991">
        <f t="shared" ref="P59:P70" si="23">IFERROR(ROUND(Q59*10000/M59,2),0)</f>
        <v>48.62</v>
      </c>
      <c r="Q59" s="1991">
        <f t="shared" ref="Q59:Q70" si="24">ROUND(O59/(1+R59),6)</f>
        <v>5.5529409999999997</v>
      </c>
      <c r="R59" s="1993">
        <v>0.09</v>
      </c>
      <c r="S59" s="1991">
        <f t="shared" ref="S59:S70" si="25">O59-Q59</f>
        <v>0.49976500000000001</v>
      </c>
      <c r="T59" s="1991" t="str">
        <f t="shared" si="0"/>
        <v/>
      </c>
      <c r="U59" s="1991" t="str">
        <f t="shared" si="1"/>
        <v/>
      </c>
      <c r="V59" s="1994"/>
    </row>
    <row r="60" spans="1:22" s="1942" customFormat="1" ht="23.4" customHeight="1" outlineLevel="4">
      <c r="A60" s="1944"/>
      <c r="B60" s="1985" t="s">
        <v>1529</v>
      </c>
      <c r="C60" s="1828"/>
      <c r="D60" s="2013" t="s">
        <v>4039</v>
      </c>
      <c r="E60" s="2011"/>
      <c r="F60" s="1988" t="s">
        <v>3556</v>
      </c>
      <c r="G60" s="1989" t="s">
        <v>4127</v>
      </c>
      <c r="H60" s="2012" t="s">
        <v>10</v>
      </c>
      <c r="I60" s="1991">
        <f>$E$5</f>
        <v>1142.02</v>
      </c>
      <c r="J60" s="2014">
        <v>1</v>
      </c>
      <c r="K60" s="2000" t="s">
        <v>101</v>
      </c>
      <c r="L60" s="1990" t="s">
        <v>10</v>
      </c>
      <c r="M60" s="1991">
        <f t="shared" si="21"/>
        <v>1142.02</v>
      </c>
      <c r="N60" s="1991"/>
      <c r="O60" s="1991">
        <f t="shared" si="22"/>
        <v>0</v>
      </c>
      <c r="P60" s="1991">
        <f t="shared" si="23"/>
        <v>0</v>
      </c>
      <c r="Q60" s="1991">
        <f t="shared" si="24"/>
        <v>0</v>
      </c>
      <c r="R60" s="1993">
        <v>0.13</v>
      </c>
      <c r="S60" s="1991">
        <f t="shared" si="25"/>
        <v>0</v>
      </c>
      <c r="T60" s="1991" t="str">
        <f t="shared" si="0"/>
        <v/>
      </c>
      <c r="U60" s="1991" t="str">
        <f t="shared" si="1"/>
        <v/>
      </c>
      <c r="V60" s="1994"/>
    </row>
    <row r="61" spans="1:22" s="1942" customFormat="1" ht="23.4" customHeight="1" outlineLevel="3">
      <c r="A61" s="1944"/>
      <c r="B61" s="1978" t="s">
        <v>673</v>
      </c>
      <c r="C61" s="1810"/>
      <c r="D61" s="2008" t="s">
        <v>3434</v>
      </c>
      <c r="E61" s="2009" t="s">
        <v>3435</v>
      </c>
      <c r="F61" s="1462" t="s">
        <v>3342</v>
      </c>
      <c r="G61" s="1953" t="s">
        <v>4116</v>
      </c>
      <c r="H61" s="1975" t="s">
        <v>10</v>
      </c>
      <c r="I61" s="1712">
        <f t="shared" si="20"/>
        <v>1142.02</v>
      </c>
      <c r="J61" s="1949">
        <v>1</v>
      </c>
      <c r="K61" s="1950" t="s">
        <v>101</v>
      </c>
      <c r="L61" s="1947" t="s">
        <v>10</v>
      </c>
      <c r="M61" s="1754">
        <f t="shared" si="21"/>
        <v>1142.02</v>
      </c>
      <c r="N61" s="1712">
        <v>3</v>
      </c>
      <c r="O61" s="1712">
        <f t="shared" si="22"/>
        <v>0.34260600000000002</v>
      </c>
      <c r="P61" s="1712">
        <f t="shared" si="23"/>
        <v>2.75</v>
      </c>
      <c r="Q61" s="1712">
        <f t="shared" si="24"/>
        <v>0.31431700000000001</v>
      </c>
      <c r="R61" s="1757">
        <v>0.09</v>
      </c>
      <c r="S61" s="1712">
        <f t="shared" si="25"/>
        <v>2.8289000000000009E-2</v>
      </c>
      <c r="T61" s="1712" t="str">
        <f t="shared" si="0"/>
        <v/>
      </c>
      <c r="U61" s="1712" t="str">
        <f t="shared" si="1"/>
        <v/>
      </c>
      <c r="V61" s="1952"/>
    </row>
    <row r="62" spans="1:22" s="1942" customFormat="1" ht="23.4" customHeight="1" outlineLevel="3">
      <c r="A62" s="1944"/>
      <c r="B62" s="1978" t="s">
        <v>1785</v>
      </c>
      <c r="C62" s="1810"/>
      <c r="D62" s="2008" t="s">
        <v>3436</v>
      </c>
      <c r="E62" s="2009" t="s">
        <v>3437</v>
      </c>
      <c r="F62" s="1462" t="s">
        <v>3342</v>
      </c>
      <c r="G62" s="1953" t="s">
        <v>4116</v>
      </c>
      <c r="H62" s="1975" t="s">
        <v>10</v>
      </c>
      <c r="I62" s="1712">
        <f t="shared" si="20"/>
        <v>1142.02</v>
      </c>
      <c r="J62" s="1949">
        <v>1</v>
      </c>
      <c r="K62" s="1950" t="s">
        <v>101</v>
      </c>
      <c r="L62" s="1947" t="s">
        <v>10</v>
      </c>
      <c r="M62" s="1754">
        <f t="shared" si="21"/>
        <v>1142.02</v>
      </c>
      <c r="N62" s="1712">
        <v>5</v>
      </c>
      <c r="O62" s="1712">
        <f t="shared" si="22"/>
        <v>0.57101000000000002</v>
      </c>
      <c r="P62" s="1712">
        <f t="shared" si="23"/>
        <v>4.59</v>
      </c>
      <c r="Q62" s="1712">
        <f t="shared" si="24"/>
        <v>0.52386200000000005</v>
      </c>
      <c r="R62" s="1757">
        <v>0.09</v>
      </c>
      <c r="S62" s="1712">
        <f t="shared" si="25"/>
        <v>4.7147999999999968E-2</v>
      </c>
      <c r="T62" s="1712" t="str">
        <f t="shared" si="0"/>
        <v/>
      </c>
      <c r="U62" s="1712" t="str">
        <f t="shared" si="1"/>
        <v/>
      </c>
      <c r="V62" s="1952"/>
    </row>
    <row r="63" spans="1:22" s="1942" customFormat="1" ht="23.4" customHeight="1" outlineLevel="3">
      <c r="A63" s="1944"/>
      <c r="B63" s="1978" t="s">
        <v>674</v>
      </c>
      <c r="C63" s="1810"/>
      <c r="D63" s="2008" t="s">
        <v>3438</v>
      </c>
      <c r="E63" s="2009" t="s">
        <v>3439</v>
      </c>
      <c r="F63" s="1462" t="s">
        <v>455</v>
      </c>
      <c r="G63" s="1953" t="s">
        <v>4128</v>
      </c>
      <c r="H63" s="1975" t="s">
        <v>10</v>
      </c>
      <c r="I63" s="1712">
        <f t="shared" si="20"/>
        <v>1142.02</v>
      </c>
      <c r="J63" s="1949">
        <v>1</v>
      </c>
      <c r="K63" s="1950" t="s">
        <v>101</v>
      </c>
      <c r="L63" s="1947" t="s">
        <v>10</v>
      </c>
      <c r="M63" s="1754">
        <f t="shared" si="21"/>
        <v>1142.02</v>
      </c>
      <c r="N63" s="1712">
        <v>3.89</v>
      </c>
      <c r="O63" s="1712">
        <f t="shared" si="22"/>
        <v>0.44424599999999997</v>
      </c>
      <c r="P63" s="1712">
        <f t="shared" si="23"/>
        <v>3.57</v>
      </c>
      <c r="Q63" s="1712">
        <f t="shared" si="24"/>
        <v>0.40756500000000001</v>
      </c>
      <c r="R63" s="1757">
        <v>0.09</v>
      </c>
      <c r="S63" s="1712">
        <f t="shared" si="25"/>
        <v>3.6680999999999964E-2</v>
      </c>
      <c r="T63" s="1712" t="str">
        <f t="shared" si="0"/>
        <v/>
      </c>
      <c r="U63" s="1712" t="str">
        <f t="shared" si="1"/>
        <v/>
      </c>
      <c r="V63" s="1952"/>
    </row>
    <row r="64" spans="1:22" s="1942" customFormat="1" ht="23.4" customHeight="1" outlineLevel="3">
      <c r="A64" s="1944"/>
      <c r="B64" s="1978" t="s">
        <v>3440</v>
      </c>
      <c r="C64" s="1810"/>
      <c r="D64" s="2008" t="s">
        <v>3441</v>
      </c>
      <c r="E64" s="2009" t="s">
        <v>3442</v>
      </c>
      <c r="F64" s="1462" t="s">
        <v>454</v>
      </c>
      <c r="G64" s="1953" t="s">
        <v>4129</v>
      </c>
      <c r="H64" s="1975" t="s">
        <v>10</v>
      </c>
      <c r="I64" s="1712">
        <f t="shared" si="20"/>
        <v>1142.02</v>
      </c>
      <c r="J64" s="1976">
        <v>1</v>
      </c>
      <c r="K64" s="1950" t="s">
        <v>101</v>
      </c>
      <c r="L64" s="1947" t="s">
        <v>10</v>
      </c>
      <c r="M64" s="1754">
        <f t="shared" si="21"/>
        <v>1142.02</v>
      </c>
      <c r="N64" s="1756">
        <v>45</v>
      </c>
      <c r="O64" s="1712">
        <f t="shared" si="22"/>
        <v>5.1390900000000004</v>
      </c>
      <c r="P64" s="1712">
        <f t="shared" si="23"/>
        <v>39.82</v>
      </c>
      <c r="Q64" s="1712">
        <f t="shared" si="24"/>
        <v>4.5478670000000001</v>
      </c>
      <c r="R64" s="1757">
        <v>0.13</v>
      </c>
      <c r="S64" s="1712">
        <f t="shared" si="25"/>
        <v>0.59122300000000028</v>
      </c>
      <c r="T64" s="1712" t="str">
        <f t="shared" si="0"/>
        <v/>
      </c>
      <c r="U64" s="1712" t="str">
        <f t="shared" si="1"/>
        <v/>
      </c>
      <c r="V64" s="2015"/>
    </row>
    <row r="65" spans="1:22" s="1942" customFormat="1" ht="23.4" customHeight="1" outlineLevel="3">
      <c r="A65" s="1944"/>
      <c r="B65" s="1978" t="s">
        <v>3443</v>
      </c>
      <c r="C65" s="1810"/>
      <c r="D65" s="2008" t="s">
        <v>3444</v>
      </c>
      <c r="E65" s="2009" t="s">
        <v>3445</v>
      </c>
      <c r="F65" s="1462" t="s">
        <v>1671</v>
      </c>
      <c r="G65" s="1953" t="s">
        <v>4130</v>
      </c>
      <c r="H65" s="1975" t="s">
        <v>10</v>
      </c>
      <c r="I65" s="1712">
        <f t="shared" si="20"/>
        <v>1142.02</v>
      </c>
      <c r="J65" s="1976">
        <v>1</v>
      </c>
      <c r="K65" s="1950" t="s">
        <v>101</v>
      </c>
      <c r="L65" s="1947" t="s">
        <v>10</v>
      </c>
      <c r="M65" s="1754">
        <f t="shared" si="21"/>
        <v>1142.02</v>
      </c>
      <c r="N65" s="1756">
        <v>20</v>
      </c>
      <c r="O65" s="1712">
        <f t="shared" si="22"/>
        <v>2.2840400000000001</v>
      </c>
      <c r="P65" s="1712">
        <f t="shared" si="23"/>
        <v>17.7</v>
      </c>
      <c r="Q65" s="1712">
        <f t="shared" si="24"/>
        <v>2.021274</v>
      </c>
      <c r="R65" s="1757">
        <v>0.13</v>
      </c>
      <c r="S65" s="1712">
        <f t="shared" si="25"/>
        <v>0.26276600000000006</v>
      </c>
      <c r="T65" s="1712" t="str">
        <f t="shared" si="0"/>
        <v/>
      </c>
      <c r="U65" s="1712" t="str">
        <f t="shared" si="1"/>
        <v/>
      </c>
      <c r="V65" s="2015"/>
    </row>
    <row r="66" spans="1:22" s="1942" customFormat="1" ht="23.4" customHeight="1" outlineLevel="3">
      <c r="A66" s="1944"/>
      <c r="B66" s="1978" t="s">
        <v>3446</v>
      </c>
      <c r="C66" s="1810"/>
      <c r="D66" s="2008" t="s">
        <v>3447</v>
      </c>
      <c r="E66" s="2009" t="s">
        <v>3448</v>
      </c>
      <c r="F66" s="1462" t="s">
        <v>3422</v>
      </c>
      <c r="G66" s="1953" t="s">
        <v>4126</v>
      </c>
      <c r="H66" s="1975" t="s">
        <v>10</v>
      </c>
      <c r="I66" s="1712">
        <f t="shared" si="20"/>
        <v>1142.02</v>
      </c>
      <c r="J66" s="1976">
        <v>1</v>
      </c>
      <c r="K66" s="1950" t="s">
        <v>101</v>
      </c>
      <c r="L66" s="1947" t="s">
        <v>10</v>
      </c>
      <c r="M66" s="1754">
        <f t="shared" si="21"/>
        <v>1142.02</v>
      </c>
      <c r="N66" s="1756">
        <v>10</v>
      </c>
      <c r="O66" s="1712">
        <f t="shared" si="22"/>
        <v>1.14202</v>
      </c>
      <c r="P66" s="1712">
        <f t="shared" si="23"/>
        <v>8.85</v>
      </c>
      <c r="Q66" s="1712">
        <f t="shared" si="24"/>
        <v>1.010637</v>
      </c>
      <c r="R66" s="1757">
        <v>0.13</v>
      </c>
      <c r="S66" s="1712">
        <f t="shared" si="25"/>
        <v>0.13138300000000003</v>
      </c>
      <c r="T66" s="1712" t="str">
        <f t="shared" si="0"/>
        <v/>
      </c>
      <c r="U66" s="1712" t="str">
        <f t="shared" si="1"/>
        <v/>
      </c>
      <c r="V66" s="2015"/>
    </row>
    <row r="67" spans="1:22" s="1942" customFormat="1" ht="23.4" customHeight="1" outlineLevel="3">
      <c r="A67" s="1944"/>
      <c r="B67" s="1978" t="s">
        <v>3449</v>
      </c>
      <c r="C67" s="1810"/>
      <c r="D67" s="2008" t="s">
        <v>3450</v>
      </c>
      <c r="E67" s="2009" t="s">
        <v>3451</v>
      </c>
      <c r="F67" s="1462" t="s">
        <v>1307</v>
      </c>
      <c r="G67" s="1953" t="s">
        <v>4131</v>
      </c>
      <c r="H67" s="1947" t="s">
        <v>3926</v>
      </c>
      <c r="I67" s="1712">
        <f>$G$7</f>
        <v>1</v>
      </c>
      <c r="J67" s="1949">
        <v>1</v>
      </c>
      <c r="K67" s="1950" t="s">
        <v>3947</v>
      </c>
      <c r="L67" s="1947" t="s">
        <v>3926</v>
      </c>
      <c r="M67" s="1754">
        <f t="shared" si="21"/>
        <v>1</v>
      </c>
      <c r="N67" s="1712">
        <v>0</v>
      </c>
      <c r="O67" s="1712">
        <f t="shared" si="22"/>
        <v>0</v>
      </c>
      <c r="P67" s="1712">
        <f t="shared" si="23"/>
        <v>0</v>
      </c>
      <c r="Q67" s="1712">
        <f t="shared" si="24"/>
        <v>0</v>
      </c>
      <c r="R67" s="1757">
        <v>0.13</v>
      </c>
      <c r="S67" s="1712">
        <f t="shared" si="25"/>
        <v>0</v>
      </c>
      <c r="T67" s="1712" t="str">
        <f t="shared" si="0"/>
        <v/>
      </c>
      <c r="U67" s="1712" t="str">
        <f t="shared" si="1"/>
        <v/>
      </c>
      <c r="V67" s="1952"/>
    </row>
    <row r="68" spans="1:22" s="1942" customFormat="1" ht="23.4" customHeight="1" outlineLevel="3">
      <c r="A68" s="1944"/>
      <c r="B68" s="1978" t="s">
        <v>3452</v>
      </c>
      <c r="C68" s="1810"/>
      <c r="D68" s="2008" t="s">
        <v>3453</v>
      </c>
      <c r="E68" s="2009" t="s">
        <v>3454</v>
      </c>
      <c r="F68" s="1462" t="s">
        <v>1329</v>
      </c>
      <c r="G68" s="1953" t="s">
        <v>4132</v>
      </c>
      <c r="H68" s="1947" t="s">
        <v>10</v>
      </c>
      <c r="I68" s="1712">
        <f>$E$5</f>
        <v>1142.02</v>
      </c>
      <c r="J68" s="1949">
        <v>1</v>
      </c>
      <c r="K68" s="1950" t="s">
        <v>101</v>
      </c>
      <c r="L68" s="1947" t="s">
        <v>10</v>
      </c>
      <c r="M68" s="1754">
        <f t="shared" si="21"/>
        <v>1142.02</v>
      </c>
      <c r="N68" s="1712">
        <v>3.51</v>
      </c>
      <c r="O68" s="1712">
        <f t="shared" si="22"/>
        <v>0.40084900000000001</v>
      </c>
      <c r="P68" s="1712">
        <f t="shared" si="23"/>
        <v>3.11</v>
      </c>
      <c r="Q68" s="1712">
        <f t="shared" si="24"/>
        <v>0.35473399999999999</v>
      </c>
      <c r="R68" s="1757">
        <v>0.13</v>
      </c>
      <c r="S68" s="1712">
        <f t="shared" si="25"/>
        <v>4.6115000000000017E-2</v>
      </c>
      <c r="T68" s="1712" t="str">
        <f t="shared" si="0"/>
        <v/>
      </c>
      <c r="U68" s="1712" t="str">
        <f t="shared" si="1"/>
        <v/>
      </c>
      <c r="V68" s="2015"/>
    </row>
    <row r="69" spans="1:22" s="1942" customFormat="1" ht="23.4" customHeight="1" outlineLevel="3">
      <c r="A69" s="1944"/>
      <c r="B69" s="1978" t="s">
        <v>3455</v>
      </c>
      <c r="C69" s="1810"/>
      <c r="D69" s="2008" t="s">
        <v>3456</v>
      </c>
      <c r="E69" s="2009" t="s">
        <v>3457</v>
      </c>
      <c r="F69" s="1462" t="s">
        <v>3342</v>
      </c>
      <c r="G69" s="1953" t="s">
        <v>4116</v>
      </c>
      <c r="H69" s="1947" t="s">
        <v>107</v>
      </c>
      <c r="I69" s="1948">
        <f>$G$4</f>
        <v>1</v>
      </c>
      <c r="J69" s="1949">
        <v>4</v>
      </c>
      <c r="K69" s="2016" t="s">
        <v>4040</v>
      </c>
      <c r="L69" s="1947" t="s">
        <v>4041</v>
      </c>
      <c r="M69" s="1754">
        <f t="shared" si="21"/>
        <v>4</v>
      </c>
      <c r="N69" s="1712">
        <v>3330</v>
      </c>
      <c r="O69" s="1712">
        <f t="shared" si="22"/>
        <v>1.3320000000000001</v>
      </c>
      <c r="P69" s="1712">
        <f t="shared" si="23"/>
        <v>3055.05</v>
      </c>
      <c r="Q69" s="1712">
        <f t="shared" si="24"/>
        <v>1.222018</v>
      </c>
      <c r="R69" s="1757">
        <v>0.09</v>
      </c>
      <c r="S69" s="1712">
        <f t="shared" si="25"/>
        <v>0.10998200000000002</v>
      </c>
      <c r="T69" s="1712" t="str">
        <f t="shared" si="0"/>
        <v/>
      </c>
      <c r="U69" s="1712" t="str">
        <f t="shared" si="1"/>
        <v/>
      </c>
      <c r="V69" s="2015"/>
    </row>
    <row r="70" spans="1:22" s="1942" customFormat="1" ht="23.4" customHeight="1" outlineLevel="3">
      <c r="A70" s="1944"/>
      <c r="B70" s="1978" t="s">
        <v>3458</v>
      </c>
      <c r="C70" s="1810"/>
      <c r="D70" s="2008" t="s">
        <v>3459</v>
      </c>
      <c r="E70" s="2009" t="s">
        <v>3460</v>
      </c>
      <c r="F70" s="1462" t="s">
        <v>3342</v>
      </c>
      <c r="G70" s="1953" t="s">
        <v>4116</v>
      </c>
      <c r="H70" s="1975" t="s">
        <v>10</v>
      </c>
      <c r="I70" s="1712">
        <f>$E$5</f>
        <v>1142.02</v>
      </c>
      <c r="J70" s="1949">
        <v>1</v>
      </c>
      <c r="K70" s="1950" t="s">
        <v>101</v>
      </c>
      <c r="L70" s="1947" t="s">
        <v>10</v>
      </c>
      <c r="M70" s="1754">
        <f t="shared" si="21"/>
        <v>1142.02</v>
      </c>
      <c r="N70" s="1712">
        <v>3</v>
      </c>
      <c r="O70" s="1712">
        <f t="shared" si="22"/>
        <v>0.34260600000000002</v>
      </c>
      <c r="P70" s="1712">
        <f t="shared" si="23"/>
        <v>2.75</v>
      </c>
      <c r="Q70" s="1712">
        <f t="shared" si="24"/>
        <v>0.31431700000000001</v>
      </c>
      <c r="R70" s="1757">
        <v>0.09</v>
      </c>
      <c r="S70" s="1712">
        <f t="shared" si="25"/>
        <v>2.8289000000000009E-2</v>
      </c>
      <c r="T70" s="1712" t="str">
        <f t="shared" si="0"/>
        <v/>
      </c>
      <c r="U70" s="1712" t="str">
        <f t="shared" si="1"/>
        <v/>
      </c>
      <c r="V70" s="1952"/>
    </row>
    <row r="71" spans="1:22" s="1942" customFormat="1" ht="23.4" customHeight="1" outlineLevel="2">
      <c r="A71" s="1944"/>
      <c r="B71" s="1978" t="s">
        <v>3461</v>
      </c>
      <c r="C71" s="1810"/>
      <c r="D71" s="2017" t="s">
        <v>667</v>
      </c>
      <c r="E71" s="2009"/>
      <c r="F71" s="1462"/>
      <c r="G71" s="1953" t="s">
        <v>4117</v>
      </c>
      <c r="H71" s="1947"/>
      <c r="I71" s="1948"/>
      <c r="J71" s="1949"/>
      <c r="K71" s="2016"/>
      <c r="L71" s="1947"/>
      <c r="M71" s="1950"/>
      <c r="N71" s="1712"/>
      <c r="O71" s="1712">
        <f>SUBTOTAL(9,O72:O75)</f>
        <v>7.7657360000000004</v>
      </c>
      <c r="P71" s="1712"/>
      <c r="Q71" s="1712">
        <f>SUBTOTAL(9,Q72:Q75)</f>
        <v>7.1245279999999998</v>
      </c>
      <c r="R71" s="1712"/>
      <c r="S71" s="1712">
        <f>SUBTOTAL(9,S72:S75)</f>
        <v>0.64120800000000067</v>
      </c>
      <c r="T71" s="1712" t="str">
        <f t="shared" si="0"/>
        <v/>
      </c>
      <c r="U71" s="1712" t="str">
        <f t="shared" si="1"/>
        <v/>
      </c>
      <c r="V71" s="2015"/>
    </row>
    <row r="72" spans="1:22" s="1942" customFormat="1" ht="23.4" customHeight="1" outlineLevel="3">
      <c r="A72" s="1944"/>
      <c r="B72" s="1978" t="s">
        <v>3462</v>
      </c>
      <c r="C72" s="1810"/>
      <c r="D72" s="2008" t="s">
        <v>3463</v>
      </c>
      <c r="E72" s="2009" t="s">
        <v>3464</v>
      </c>
      <c r="F72" s="1462"/>
      <c r="G72" s="1953" t="s">
        <v>4117</v>
      </c>
      <c r="H72" s="1975"/>
      <c r="I72" s="1712"/>
      <c r="J72" s="1949">
        <v>1</v>
      </c>
      <c r="K72" s="1950"/>
      <c r="L72" s="1947"/>
      <c r="M72" s="1754"/>
      <c r="N72" s="1712"/>
      <c r="O72" s="1712">
        <f>SUBTOTAL(9,O73:O74)</f>
        <v>7.7657360000000004</v>
      </c>
      <c r="P72" s="1983"/>
      <c r="Q72" s="1712">
        <f>SUBTOTAL(9,Q73:Q74)</f>
        <v>7.1245279999999998</v>
      </c>
      <c r="R72" s="1757"/>
      <c r="S72" s="1712">
        <f>SUBTOTAL(9,S73:S74)</f>
        <v>0.64120800000000067</v>
      </c>
      <c r="T72" s="1712" t="str">
        <f t="shared" si="0"/>
        <v/>
      </c>
      <c r="U72" s="1712" t="str">
        <f t="shared" si="1"/>
        <v/>
      </c>
      <c r="V72" s="1952"/>
    </row>
    <row r="73" spans="1:22" s="1942" customFormat="1" ht="23.4" customHeight="1" outlineLevel="4">
      <c r="A73" s="1944"/>
      <c r="B73" s="1985" t="s">
        <v>4042</v>
      </c>
      <c r="C73" s="1828"/>
      <c r="D73" s="2018" t="s">
        <v>4043</v>
      </c>
      <c r="E73" s="2011"/>
      <c r="F73" s="1988" t="s">
        <v>1502</v>
      </c>
      <c r="G73" s="1989" t="s">
        <v>4133</v>
      </c>
      <c r="H73" s="2012" t="s">
        <v>10</v>
      </c>
      <c r="I73" s="1991">
        <f>$E$5</f>
        <v>1142.02</v>
      </c>
      <c r="J73" s="2014">
        <v>1</v>
      </c>
      <c r="K73" s="2000" t="s">
        <v>101</v>
      </c>
      <c r="L73" s="1990" t="s">
        <v>10</v>
      </c>
      <c r="M73" s="1991">
        <f t="shared" ref="M73:M83" si="26">ROUND(I73,2)*ROUND(J73,4)</f>
        <v>1142.02</v>
      </c>
      <c r="N73" s="1991">
        <v>68</v>
      </c>
      <c r="O73" s="1991">
        <f>ROUND(M73*ROUND(N73,2)/10000,6)</f>
        <v>7.7657360000000004</v>
      </c>
      <c r="P73" s="1991">
        <f>IFERROR(ROUND(Q73*10000/M73,2),0)</f>
        <v>62.39</v>
      </c>
      <c r="Q73" s="1991">
        <f>ROUND(O73/(1+R73),6)</f>
        <v>7.1245279999999998</v>
      </c>
      <c r="R73" s="1993">
        <v>0.09</v>
      </c>
      <c r="S73" s="1991">
        <f>O73-Q73</f>
        <v>0.64120800000000067</v>
      </c>
      <c r="T73" s="1991" t="str">
        <f t="shared" si="0"/>
        <v/>
      </c>
      <c r="U73" s="1991" t="str">
        <f t="shared" si="1"/>
        <v/>
      </c>
      <c r="V73" s="1994"/>
    </row>
    <row r="74" spans="1:22" s="1942" customFormat="1" ht="23.4" customHeight="1" outlineLevel="4">
      <c r="A74" s="1944"/>
      <c r="B74" s="1985" t="s">
        <v>4044</v>
      </c>
      <c r="C74" s="1828"/>
      <c r="D74" s="2018" t="s">
        <v>4045</v>
      </c>
      <c r="E74" s="2011"/>
      <c r="F74" s="1988" t="s">
        <v>1505</v>
      </c>
      <c r="G74" s="1989" t="s">
        <v>4134</v>
      </c>
      <c r="H74" s="2012" t="s">
        <v>3926</v>
      </c>
      <c r="I74" s="1991">
        <f>$G$7</f>
        <v>1</v>
      </c>
      <c r="J74" s="2014">
        <v>1</v>
      </c>
      <c r="K74" s="2000" t="s">
        <v>3947</v>
      </c>
      <c r="L74" s="1990" t="s">
        <v>3926</v>
      </c>
      <c r="M74" s="1991">
        <f t="shared" si="26"/>
        <v>1</v>
      </c>
      <c r="N74" s="1991">
        <v>0</v>
      </c>
      <c r="O74" s="1991">
        <f>ROUND(M74*ROUND(N74,2)/10000,6)</f>
        <v>0</v>
      </c>
      <c r="P74" s="1991">
        <f>IFERROR(ROUND(Q74*10000/M74,2),0)</f>
        <v>0</v>
      </c>
      <c r="Q74" s="1991">
        <f>ROUND(O74/(1+R74),6)</f>
        <v>0</v>
      </c>
      <c r="R74" s="1993">
        <v>0</v>
      </c>
      <c r="S74" s="1991">
        <f>O74-Q74</f>
        <v>0</v>
      </c>
      <c r="T74" s="1991" t="str">
        <f t="shared" si="0"/>
        <v/>
      </c>
      <c r="U74" s="1991" t="str">
        <f t="shared" si="1"/>
        <v/>
      </c>
      <c r="V74" s="1994"/>
    </row>
    <row r="75" spans="1:22" s="1942" customFormat="1" ht="23.4" customHeight="1" outlineLevel="3">
      <c r="A75" s="1944"/>
      <c r="B75" s="1978" t="s">
        <v>3465</v>
      </c>
      <c r="C75" s="1810"/>
      <c r="D75" s="2008" t="s">
        <v>3466</v>
      </c>
      <c r="E75" s="2009" t="s">
        <v>3467</v>
      </c>
      <c r="F75" s="1462" t="s">
        <v>1502</v>
      </c>
      <c r="G75" s="1953" t="s">
        <v>4133</v>
      </c>
      <c r="H75" s="1975" t="s">
        <v>10</v>
      </c>
      <c r="I75" s="1712">
        <f>$E$5</f>
        <v>1142.02</v>
      </c>
      <c r="J75" s="1949">
        <v>1</v>
      </c>
      <c r="K75" s="1950" t="s">
        <v>101</v>
      </c>
      <c r="L75" s="1947" t="s">
        <v>10</v>
      </c>
      <c r="M75" s="1754">
        <f t="shared" si="26"/>
        <v>1142.02</v>
      </c>
      <c r="N75" s="1712"/>
      <c r="O75" s="1712">
        <f>ROUND(M75*ROUND(N75,2)/10000,6)</f>
        <v>0</v>
      </c>
      <c r="P75" s="1712">
        <f>IFERROR(ROUND(Q75*10000/M75,2),0)</f>
        <v>0</v>
      </c>
      <c r="Q75" s="1712">
        <f>ROUND(O75/(1+R75),6)</f>
        <v>0</v>
      </c>
      <c r="R75" s="1757">
        <v>0.09</v>
      </c>
      <c r="S75" s="1712">
        <f>O75-Q75</f>
        <v>0</v>
      </c>
      <c r="T75" s="1712" t="str">
        <f t="shared" ref="T75:T138" si="27">IFERROR(Q75*10000/$E$6,"")</f>
        <v/>
      </c>
      <c r="U75" s="1712" t="str">
        <f t="shared" ref="U75:U138" si="28">IFERROR(O75*10000/$E$6,"")</f>
        <v/>
      </c>
      <c r="V75" s="1952"/>
    </row>
    <row r="76" spans="1:22" s="1942" customFormat="1" ht="23.4" customHeight="1" outlineLevel="2">
      <c r="A76" s="1944"/>
      <c r="B76" s="1978" t="s">
        <v>3468</v>
      </c>
      <c r="C76" s="1810"/>
      <c r="D76" s="2008" t="s">
        <v>668</v>
      </c>
      <c r="E76" s="2009" t="s">
        <v>3469</v>
      </c>
      <c r="F76" s="1462" t="s">
        <v>3470</v>
      </c>
      <c r="G76" s="1953" t="s">
        <v>4135</v>
      </c>
      <c r="H76" s="1975" t="s">
        <v>3926</v>
      </c>
      <c r="I76" s="1712">
        <f>$G$7</f>
        <v>1</v>
      </c>
      <c r="J76" s="1949">
        <v>1</v>
      </c>
      <c r="K76" s="1950" t="s">
        <v>3947</v>
      </c>
      <c r="L76" s="1947" t="s">
        <v>3926</v>
      </c>
      <c r="M76" s="1754">
        <f t="shared" si="26"/>
        <v>1</v>
      </c>
      <c r="N76" s="1712"/>
      <c r="O76" s="1712">
        <f>ROUND(M76*ROUND(N76,2)/10000,6)</f>
        <v>0</v>
      </c>
      <c r="P76" s="1712">
        <f>IFERROR(ROUND(Q76*10000/M76,2),0)</f>
        <v>0</v>
      </c>
      <c r="Q76" s="1712">
        <f>ROUND(O76/(1+R76),6)</f>
        <v>0</v>
      </c>
      <c r="R76" s="1757">
        <v>0.13</v>
      </c>
      <c r="S76" s="1712">
        <f>O76-Q76</f>
        <v>0</v>
      </c>
      <c r="T76" s="1712" t="str">
        <f t="shared" si="27"/>
        <v/>
      </c>
      <c r="U76" s="1712" t="str">
        <f t="shared" si="28"/>
        <v/>
      </c>
      <c r="V76" s="1952"/>
    </row>
    <row r="77" spans="1:22" s="1942" customFormat="1" ht="23.4" customHeight="1" outlineLevel="2">
      <c r="A77" s="1944"/>
      <c r="B77" s="1978" t="s">
        <v>3471</v>
      </c>
      <c r="C77" s="1810"/>
      <c r="D77" s="2008" t="s">
        <v>3472</v>
      </c>
      <c r="E77" s="2009"/>
      <c r="F77" s="1462"/>
      <c r="G77" s="1953" t="s">
        <v>4117</v>
      </c>
      <c r="H77" s="1947"/>
      <c r="I77" s="1948"/>
      <c r="J77" s="1949"/>
      <c r="K77" s="2016"/>
      <c r="L77" s="1947"/>
      <c r="M77" s="1754"/>
      <c r="N77" s="1712"/>
      <c r="O77" s="1712">
        <f>SUBTOTAL(9,O78:O81)</f>
        <v>0</v>
      </c>
      <c r="P77" s="1712"/>
      <c r="Q77" s="1712">
        <f>SUBTOTAL(9,Q78:Q81)</f>
        <v>0</v>
      </c>
      <c r="R77" s="1712"/>
      <c r="S77" s="1712">
        <f>SUBTOTAL(9,S78:S81)</f>
        <v>0</v>
      </c>
      <c r="T77" s="1712" t="str">
        <f t="shared" si="27"/>
        <v/>
      </c>
      <c r="U77" s="1712" t="str">
        <f t="shared" si="28"/>
        <v/>
      </c>
      <c r="V77" s="2015"/>
    </row>
    <row r="78" spans="1:22" s="1942" customFormat="1" ht="23.4" customHeight="1" outlineLevel="3">
      <c r="A78" s="1944"/>
      <c r="B78" s="1978" t="s">
        <v>3473</v>
      </c>
      <c r="C78" s="1810"/>
      <c r="D78" s="2008" t="s">
        <v>3474</v>
      </c>
      <c r="E78" s="2009" t="s">
        <v>3475</v>
      </c>
      <c r="F78" s="1462" t="s">
        <v>456</v>
      </c>
      <c r="G78" s="1953" t="s">
        <v>4136</v>
      </c>
      <c r="H78" s="1947" t="s">
        <v>18</v>
      </c>
      <c r="I78" s="1948">
        <f>$G$5</f>
        <v>1</v>
      </c>
      <c r="J78" s="1949">
        <v>1</v>
      </c>
      <c r="K78" s="2016" t="s">
        <v>4046</v>
      </c>
      <c r="L78" s="1947" t="s">
        <v>4047</v>
      </c>
      <c r="M78" s="1754">
        <f t="shared" si="26"/>
        <v>1</v>
      </c>
      <c r="N78" s="1712"/>
      <c r="O78" s="1712">
        <f>ROUND(M78*ROUND(N78,2)/10000,6)</f>
        <v>0</v>
      </c>
      <c r="P78" s="1712">
        <f>IFERROR(ROUND(Q78*10000/M78,2),0)</f>
        <v>0</v>
      </c>
      <c r="Q78" s="1712">
        <f>ROUND(O78/(1+R78),6)</f>
        <v>0</v>
      </c>
      <c r="R78" s="1757">
        <v>0.13</v>
      </c>
      <c r="S78" s="1712">
        <f>O78-Q78</f>
        <v>0</v>
      </c>
      <c r="T78" s="1712" t="str">
        <f t="shared" si="27"/>
        <v/>
      </c>
      <c r="U78" s="1712" t="str">
        <f t="shared" si="28"/>
        <v/>
      </c>
      <c r="V78" s="1952"/>
    </row>
    <row r="79" spans="1:22" s="1942" customFormat="1" ht="23.4" customHeight="1" outlineLevel="3">
      <c r="A79" s="1944"/>
      <c r="B79" s="1978" t="s">
        <v>3476</v>
      </c>
      <c r="C79" s="1810"/>
      <c r="D79" s="2008" t="s">
        <v>3477</v>
      </c>
      <c r="E79" s="2009" t="s">
        <v>3478</v>
      </c>
      <c r="F79" s="1462" t="s">
        <v>460</v>
      </c>
      <c r="G79" s="1953" t="s">
        <v>4137</v>
      </c>
      <c r="H79" s="1947" t="s">
        <v>18</v>
      </c>
      <c r="I79" s="1948">
        <f>$G$5</f>
        <v>1</v>
      </c>
      <c r="J79" s="1949">
        <v>1</v>
      </c>
      <c r="K79" s="2016" t="s">
        <v>4046</v>
      </c>
      <c r="L79" s="1947" t="s">
        <v>4047</v>
      </c>
      <c r="M79" s="1754">
        <f t="shared" si="26"/>
        <v>1</v>
      </c>
      <c r="N79" s="1712"/>
      <c r="O79" s="1712">
        <f>ROUND(M79*ROUND(N79,2)/10000,6)</f>
        <v>0</v>
      </c>
      <c r="P79" s="1712">
        <f>IFERROR(ROUND(Q79*10000/M79,2),0)</f>
        <v>0</v>
      </c>
      <c r="Q79" s="1712">
        <f>ROUND(O79/(1+R79),6)</f>
        <v>0</v>
      </c>
      <c r="R79" s="1757">
        <v>0.09</v>
      </c>
      <c r="S79" s="1712">
        <f>O79-Q79</f>
        <v>0</v>
      </c>
      <c r="T79" s="1712" t="str">
        <f t="shared" si="27"/>
        <v/>
      </c>
      <c r="U79" s="1712" t="str">
        <f t="shared" si="28"/>
        <v/>
      </c>
      <c r="V79" s="1952"/>
    </row>
    <row r="80" spans="1:22" s="1942" customFormat="1" ht="23.4" customHeight="1" outlineLevel="3">
      <c r="A80" s="1944"/>
      <c r="B80" s="1978" t="s">
        <v>3479</v>
      </c>
      <c r="C80" s="1810"/>
      <c r="D80" s="2008" t="s">
        <v>3480</v>
      </c>
      <c r="E80" s="2009" t="s">
        <v>3481</v>
      </c>
      <c r="F80" s="1462" t="s">
        <v>456</v>
      </c>
      <c r="G80" s="1953" t="s">
        <v>4136</v>
      </c>
      <c r="H80" s="1975" t="s">
        <v>3969</v>
      </c>
      <c r="I80" s="1948"/>
      <c r="J80" s="1949">
        <v>1</v>
      </c>
      <c r="K80" s="2016" t="s">
        <v>3974</v>
      </c>
      <c r="L80" s="1947" t="s">
        <v>4048</v>
      </c>
      <c r="M80" s="1754">
        <f t="shared" si="26"/>
        <v>0</v>
      </c>
      <c r="N80" s="1712"/>
      <c r="O80" s="1712">
        <f>ROUND(M80*ROUND(N80,2)/10000,6)</f>
        <v>0</v>
      </c>
      <c r="P80" s="1712">
        <f>IFERROR(ROUND(Q80*10000/M80,2),0)</f>
        <v>0</v>
      </c>
      <c r="Q80" s="1712">
        <f>ROUND(O80/(1+R80),6)</f>
        <v>0</v>
      </c>
      <c r="R80" s="1757">
        <v>0.13</v>
      </c>
      <c r="S80" s="1712">
        <f>O80-Q80</f>
        <v>0</v>
      </c>
      <c r="T80" s="1712" t="str">
        <f t="shared" si="27"/>
        <v/>
      </c>
      <c r="U80" s="1712" t="str">
        <f t="shared" si="28"/>
        <v/>
      </c>
      <c r="V80" s="2015"/>
    </row>
    <row r="81" spans="1:22" s="1942" customFormat="1" ht="23.4" customHeight="1" outlineLevel="3">
      <c r="A81" s="1944"/>
      <c r="B81" s="1978" t="s">
        <v>3482</v>
      </c>
      <c r="C81" s="1810"/>
      <c r="D81" s="2008" t="s">
        <v>1682</v>
      </c>
      <c r="E81" s="2009" t="s">
        <v>3483</v>
      </c>
      <c r="F81" s="1462" t="s">
        <v>460</v>
      </c>
      <c r="G81" s="1953" t="s">
        <v>4137</v>
      </c>
      <c r="H81" s="1975" t="s">
        <v>3969</v>
      </c>
      <c r="I81" s="1948"/>
      <c r="J81" s="1949">
        <v>1</v>
      </c>
      <c r="K81" s="2016" t="s">
        <v>3974</v>
      </c>
      <c r="L81" s="1947" t="s">
        <v>4048</v>
      </c>
      <c r="M81" s="1754">
        <f t="shared" si="26"/>
        <v>0</v>
      </c>
      <c r="N81" s="1712"/>
      <c r="O81" s="1712">
        <f>ROUND(M81*ROUND(N81,2)/10000,6)</f>
        <v>0</v>
      </c>
      <c r="P81" s="1712">
        <f>IFERROR(ROUND(Q81*10000/M81,2),0)</f>
        <v>0</v>
      </c>
      <c r="Q81" s="1712">
        <f>ROUND(O81/(1+R81),6)</f>
        <v>0</v>
      </c>
      <c r="R81" s="1757">
        <v>0.09</v>
      </c>
      <c r="S81" s="1712">
        <f>O81-Q81</f>
        <v>0</v>
      </c>
      <c r="T81" s="1712" t="str">
        <f t="shared" si="27"/>
        <v/>
      </c>
      <c r="U81" s="1712" t="str">
        <f t="shared" si="28"/>
        <v/>
      </c>
      <c r="V81" s="2015"/>
    </row>
    <row r="82" spans="1:22" s="1942" customFormat="1" ht="23.4" customHeight="1" outlineLevel="2">
      <c r="A82" s="1944"/>
      <c r="B82" s="1978" t="s">
        <v>3484</v>
      </c>
      <c r="C82" s="1810"/>
      <c r="D82" s="2008" t="s">
        <v>3485</v>
      </c>
      <c r="E82" s="2009"/>
      <c r="F82" s="1462"/>
      <c r="G82" s="1953" t="s">
        <v>4117</v>
      </c>
      <c r="H82" s="1947"/>
      <c r="I82" s="1948"/>
      <c r="J82" s="1949"/>
      <c r="K82" s="2016"/>
      <c r="L82" s="1947"/>
      <c r="M82" s="1950"/>
      <c r="N82" s="1712"/>
      <c r="O82" s="1712">
        <f>SUBTOTAL(9,O83:O93)</f>
        <v>10.278180000000001</v>
      </c>
      <c r="P82" s="1712"/>
      <c r="Q82" s="1712">
        <f>SUBTOTAL(9,Q83:Q93)</f>
        <v>9.392434999999999</v>
      </c>
      <c r="R82" s="1712"/>
      <c r="S82" s="1712">
        <f>SUBTOTAL(9,S83:S93)</f>
        <v>0.885745</v>
      </c>
      <c r="T82" s="1712" t="str">
        <f t="shared" si="27"/>
        <v/>
      </c>
      <c r="U82" s="1712" t="str">
        <f t="shared" si="28"/>
        <v/>
      </c>
      <c r="V82" s="2015"/>
    </row>
    <row r="83" spans="1:22" s="1942" customFormat="1" ht="23.4" customHeight="1" outlineLevel="3">
      <c r="A83" s="1944"/>
      <c r="B83" s="1978" t="s">
        <v>3486</v>
      </c>
      <c r="C83" s="1810"/>
      <c r="D83" s="2017" t="s">
        <v>3487</v>
      </c>
      <c r="E83" s="2009" t="s">
        <v>3488</v>
      </c>
      <c r="F83" s="1462" t="s">
        <v>455</v>
      </c>
      <c r="G83" s="1953" t="s">
        <v>4128</v>
      </c>
      <c r="H83" s="1975" t="s">
        <v>10</v>
      </c>
      <c r="I83" s="1712">
        <f>$E$5</f>
        <v>1142.02</v>
      </c>
      <c r="J83" s="1949">
        <v>1</v>
      </c>
      <c r="K83" s="1950" t="s">
        <v>101</v>
      </c>
      <c r="L83" s="1947" t="s">
        <v>10</v>
      </c>
      <c r="M83" s="1754">
        <f t="shared" si="26"/>
        <v>1142.02</v>
      </c>
      <c r="N83" s="1712">
        <v>25</v>
      </c>
      <c r="O83" s="1712">
        <f>ROUND(M83*ROUND(N83,2)/10000,6)</f>
        <v>2.8550499999999999</v>
      </c>
      <c r="P83" s="1712">
        <f>IFERROR(ROUND(Q83*10000/M83,2),0)</f>
        <v>22.94</v>
      </c>
      <c r="Q83" s="1712">
        <f>ROUND(O83/(1+R83),6)</f>
        <v>2.6193119999999999</v>
      </c>
      <c r="R83" s="1757">
        <v>0.09</v>
      </c>
      <c r="S83" s="1712">
        <f>O83-Q83</f>
        <v>0.235738</v>
      </c>
      <c r="T83" s="1712" t="str">
        <f t="shared" si="27"/>
        <v/>
      </c>
      <c r="U83" s="1712" t="str">
        <f t="shared" si="28"/>
        <v/>
      </c>
      <c r="V83" s="1952"/>
    </row>
    <row r="84" spans="1:22" s="1942" customFormat="1" ht="23.4" customHeight="1" outlineLevel="3">
      <c r="A84" s="1944"/>
      <c r="B84" s="1978" t="s">
        <v>3489</v>
      </c>
      <c r="C84" s="1810"/>
      <c r="D84" s="2017" t="s">
        <v>3490</v>
      </c>
      <c r="E84" s="2009" t="s">
        <v>3491</v>
      </c>
      <c r="F84" s="1462"/>
      <c r="G84" s="1953" t="s">
        <v>4117</v>
      </c>
      <c r="H84" s="1975"/>
      <c r="I84" s="1712"/>
      <c r="J84" s="1949"/>
      <c r="K84" s="1950"/>
      <c r="L84" s="1947" t="s">
        <v>10</v>
      </c>
      <c r="M84" s="1754"/>
      <c r="N84" s="1712"/>
      <c r="O84" s="1712">
        <f>SUBTOTAL(9,O85:O86)</f>
        <v>4.5680800000000001</v>
      </c>
      <c r="P84" s="1983"/>
      <c r="Q84" s="1712">
        <f>SUBTOTAL(9,Q85:Q86)</f>
        <v>4.1538110000000001</v>
      </c>
      <c r="R84" s="1757"/>
      <c r="S84" s="1712">
        <f>SUBTOTAL(9,S85:S86)</f>
        <v>0.414269</v>
      </c>
      <c r="T84" s="1712" t="str">
        <f t="shared" si="27"/>
        <v/>
      </c>
      <c r="U84" s="1712" t="str">
        <f t="shared" si="28"/>
        <v/>
      </c>
      <c r="V84" s="1952"/>
    </row>
    <row r="85" spans="1:22" s="1942" customFormat="1" ht="23.4" customHeight="1" outlineLevel="4">
      <c r="A85" s="1944"/>
      <c r="B85" s="1985" t="s">
        <v>4049</v>
      </c>
      <c r="C85" s="1828"/>
      <c r="D85" s="2018" t="s">
        <v>4050</v>
      </c>
      <c r="E85" s="2011"/>
      <c r="F85" s="1988" t="s">
        <v>455</v>
      </c>
      <c r="G85" s="1989" t="s">
        <v>4128</v>
      </c>
      <c r="H85" s="2012" t="s">
        <v>10</v>
      </c>
      <c r="I85" s="1991">
        <f>$E$5</f>
        <v>1142.02</v>
      </c>
      <c r="J85" s="2014">
        <v>1</v>
      </c>
      <c r="K85" s="2000" t="s">
        <v>101</v>
      </c>
      <c r="L85" s="1990" t="s">
        <v>10</v>
      </c>
      <c r="M85" s="1991">
        <f t="shared" ref="M85:M94" si="29">ROUND(I85,2)*ROUND(J85,4)</f>
        <v>1142.02</v>
      </c>
      <c r="N85" s="1991">
        <v>30</v>
      </c>
      <c r="O85" s="1991">
        <f t="shared" ref="O85:O94" si="30">ROUND(M85*ROUND(N85,2)/10000,6)</f>
        <v>3.4260600000000001</v>
      </c>
      <c r="P85" s="1991">
        <f t="shared" ref="P85:P94" si="31">IFERROR(ROUND(Q85*10000/M85,2),0)</f>
        <v>27.52</v>
      </c>
      <c r="Q85" s="1991">
        <f t="shared" ref="Q85:Q94" si="32">ROUND(O85/(1+R85),6)</f>
        <v>3.1431740000000001</v>
      </c>
      <c r="R85" s="1993">
        <v>0.09</v>
      </c>
      <c r="S85" s="1991">
        <f t="shared" ref="S85:S94" si="33">O85-Q85</f>
        <v>0.28288599999999997</v>
      </c>
      <c r="T85" s="1991" t="str">
        <f t="shared" si="27"/>
        <v/>
      </c>
      <c r="U85" s="1991" t="str">
        <f t="shared" si="28"/>
        <v/>
      </c>
      <c r="V85" s="1994"/>
    </row>
    <row r="86" spans="1:22" s="1942" customFormat="1" ht="23.4" customHeight="1" outlineLevel="4">
      <c r="A86" s="1944"/>
      <c r="B86" s="1985" t="s">
        <v>4051</v>
      </c>
      <c r="C86" s="1828"/>
      <c r="D86" s="2018" t="s">
        <v>4052</v>
      </c>
      <c r="E86" s="2011"/>
      <c r="F86" s="1988" t="s">
        <v>3831</v>
      </c>
      <c r="G86" s="1989" t="s">
        <v>4138</v>
      </c>
      <c r="H86" s="2012" t="s">
        <v>10</v>
      </c>
      <c r="I86" s="1991">
        <f>$E$5</f>
        <v>1142.02</v>
      </c>
      <c r="J86" s="2014">
        <v>1</v>
      </c>
      <c r="K86" s="2000" t="s">
        <v>101</v>
      </c>
      <c r="L86" s="1990" t="s">
        <v>10</v>
      </c>
      <c r="M86" s="1991">
        <f t="shared" si="29"/>
        <v>1142.02</v>
      </c>
      <c r="N86" s="1991">
        <v>10</v>
      </c>
      <c r="O86" s="1991">
        <f t="shared" si="30"/>
        <v>1.14202</v>
      </c>
      <c r="P86" s="1991">
        <f t="shared" si="31"/>
        <v>8.85</v>
      </c>
      <c r="Q86" s="1991">
        <f t="shared" si="32"/>
        <v>1.010637</v>
      </c>
      <c r="R86" s="1993">
        <v>0.13</v>
      </c>
      <c r="S86" s="1991">
        <f t="shared" si="33"/>
        <v>0.13138300000000003</v>
      </c>
      <c r="T86" s="1991" t="str">
        <f t="shared" si="27"/>
        <v/>
      </c>
      <c r="U86" s="1991" t="str">
        <f t="shared" si="28"/>
        <v/>
      </c>
      <c r="V86" s="1994"/>
    </row>
    <row r="87" spans="1:22" s="1942" customFormat="1" ht="23.4" customHeight="1" outlineLevel="3">
      <c r="A87" s="1944"/>
      <c r="B87" s="1978" t="s">
        <v>3492</v>
      </c>
      <c r="C87" s="1810"/>
      <c r="D87" s="2017" t="s">
        <v>3493</v>
      </c>
      <c r="E87" s="2009" t="s">
        <v>3494</v>
      </c>
      <c r="F87" s="1462" t="s">
        <v>455</v>
      </c>
      <c r="G87" s="1953" t="s">
        <v>4128</v>
      </c>
      <c r="H87" s="1975" t="s">
        <v>10</v>
      </c>
      <c r="I87" s="1712">
        <f>$E$5</f>
        <v>1142.02</v>
      </c>
      <c r="J87" s="1949">
        <v>1</v>
      </c>
      <c r="K87" s="1950" t="s">
        <v>101</v>
      </c>
      <c r="L87" s="1947" t="s">
        <v>10</v>
      </c>
      <c r="M87" s="1754">
        <f t="shared" si="29"/>
        <v>1142.02</v>
      </c>
      <c r="N87" s="1712">
        <v>15</v>
      </c>
      <c r="O87" s="1712">
        <f t="shared" si="30"/>
        <v>1.7130300000000001</v>
      </c>
      <c r="P87" s="1712">
        <f t="shared" si="31"/>
        <v>13.76</v>
      </c>
      <c r="Q87" s="1712">
        <f t="shared" si="32"/>
        <v>1.5715870000000001</v>
      </c>
      <c r="R87" s="1757">
        <v>0.09</v>
      </c>
      <c r="S87" s="1712">
        <f t="shared" si="33"/>
        <v>0.14144299999999999</v>
      </c>
      <c r="T87" s="1712" t="str">
        <f t="shared" si="27"/>
        <v/>
      </c>
      <c r="U87" s="1712" t="str">
        <f t="shared" si="28"/>
        <v/>
      </c>
      <c r="V87" s="1952"/>
    </row>
    <row r="88" spans="1:22" s="1942" customFormat="1" ht="23.4" customHeight="1" outlineLevel="3">
      <c r="A88" s="1944"/>
      <c r="B88" s="1978" t="s">
        <v>3495</v>
      </c>
      <c r="C88" s="1810"/>
      <c r="D88" s="2017" t="s">
        <v>3496</v>
      </c>
      <c r="E88" s="2009" t="s">
        <v>3497</v>
      </c>
      <c r="F88" s="1462" t="s">
        <v>455</v>
      </c>
      <c r="G88" s="1953" t="s">
        <v>4128</v>
      </c>
      <c r="H88" s="1975" t="s">
        <v>10</v>
      </c>
      <c r="I88" s="1712">
        <f t="shared" ref="I88:I99" si="34">$E$5</f>
        <v>1142.02</v>
      </c>
      <c r="J88" s="1949">
        <v>1</v>
      </c>
      <c r="K88" s="1950" t="s">
        <v>101</v>
      </c>
      <c r="L88" s="1947" t="s">
        <v>10</v>
      </c>
      <c r="M88" s="1754">
        <f t="shared" si="29"/>
        <v>1142.02</v>
      </c>
      <c r="N88" s="1712"/>
      <c r="O88" s="1712">
        <f t="shared" si="30"/>
        <v>0</v>
      </c>
      <c r="P88" s="1712">
        <f t="shared" si="31"/>
        <v>0</v>
      </c>
      <c r="Q88" s="1712">
        <f t="shared" si="32"/>
        <v>0</v>
      </c>
      <c r="R88" s="1757">
        <v>0.09</v>
      </c>
      <c r="S88" s="1712">
        <f t="shared" si="33"/>
        <v>0</v>
      </c>
      <c r="T88" s="1712" t="str">
        <f t="shared" si="27"/>
        <v/>
      </c>
      <c r="U88" s="1712" t="str">
        <f t="shared" si="28"/>
        <v/>
      </c>
      <c r="V88" s="1952"/>
    </row>
    <row r="89" spans="1:22" s="1942" customFormat="1" ht="23.4" customHeight="1" outlineLevel="3">
      <c r="A89" s="1944"/>
      <c r="B89" s="1978" t="s">
        <v>3498</v>
      </c>
      <c r="C89" s="1810"/>
      <c r="D89" s="2017" t="s">
        <v>3499</v>
      </c>
      <c r="E89" s="2009" t="s">
        <v>3500</v>
      </c>
      <c r="F89" s="1462" t="s">
        <v>455</v>
      </c>
      <c r="G89" s="1953" t="s">
        <v>4128</v>
      </c>
      <c r="H89" s="1975" t="s">
        <v>10</v>
      </c>
      <c r="I89" s="1712">
        <f t="shared" si="34"/>
        <v>1142.02</v>
      </c>
      <c r="J89" s="1949">
        <v>1</v>
      </c>
      <c r="K89" s="1950" t="s">
        <v>101</v>
      </c>
      <c r="L89" s="1947" t="s">
        <v>10</v>
      </c>
      <c r="M89" s="1754">
        <f t="shared" si="29"/>
        <v>1142.02</v>
      </c>
      <c r="N89" s="1712">
        <v>10</v>
      </c>
      <c r="O89" s="1712">
        <f t="shared" si="30"/>
        <v>1.14202</v>
      </c>
      <c r="P89" s="1712">
        <f t="shared" si="31"/>
        <v>9.17</v>
      </c>
      <c r="Q89" s="1712">
        <f t="shared" si="32"/>
        <v>1.047725</v>
      </c>
      <c r="R89" s="1757">
        <v>0.09</v>
      </c>
      <c r="S89" s="1712">
        <f t="shared" si="33"/>
        <v>9.4295000000000018E-2</v>
      </c>
      <c r="T89" s="1712" t="str">
        <f t="shared" si="27"/>
        <v/>
      </c>
      <c r="U89" s="1712" t="str">
        <f t="shared" si="28"/>
        <v/>
      </c>
      <c r="V89" s="1952"/>
    </row>
    <row r="90" spans="1:22" s="1942" customFormat="1" ht="23.4" customHeight="1" outlineLevel="3">
      <c r="A90" s="1944"/>
      <c r="B90" s="1978" t="s">
        <v>3501</v>
      </c>
      <c r="C90" s="1810"/>
      <c r="D90" s="2017" t="s">
        <v>3502</v>
      </c>
      <c r="E90" s="2009" t="s">
        <v>3503</v>
      </c>
      <c r="F90" s="1462" t="s">
        <v>455</v>
      </c>
      <c r="G90" s="1953" t="s">
        <v>4128</v>
      </c>
      <c r="H90" s="1975" t="s">
        <v>10</v>
      </c>
      <c r="I90" s="1712">
        <f t="shared" si="34"/>
        <v>1142.02</v>
      </c>
      <c r="J90" s="1949">
        <v>1</v>
      </c>
      <c r="K90" s="1950" t="s">
        <v>101</v>
      </c>
      <c r="L90" s="1947" t="s">
        <v>10</v>
      </c>
      <c r="M90" s="1754">
        <f t="shared" si="29"/>
        <v>1142.02</v>
      </c>
      <c r="N90" s="1712"/>
      <c r="O90" s="1712">
        <f t="shared" si="30"/>
        <v>0</v>
      </c>
      <c r="P90" s="1712">
        <f t="shared" si="31"/>
        <v>0</v>
      </c>
      <c r="Q90" s="1712">
        <f t="shared" si="32"/>
        <v>0</v>
      </c>
      <c r="R90" s="1757">
        <v>0.09</v>
      </c>
      <c r="S90" s="1712">
        <f t="shared" si="33"/>
        <v>0</v>
      </c>
      <c r="T90" s="1712" t="str">
        <f t="shared" si="27"/>
        <v/>
      </c>
      <c r="U90" s="1712" t="str">
        <f t="shared" si="28"/>
        <v/>
      </c>
      <c r="V90" s="2015"/>
    </row>
    <row r="91" spans="1:22" s="1942" customFormat="1" ht="23.4" customHeight="1" outlineLevel="3">
      <c r="A91" s="1944"/>
      <c r="B91" s="1978" t="s">
        <v>3504</v>
      </c>
      <c r="C91" s="1810"/>
      <c r="D91" s="2017" t="s">
        <v>3505</v>
      </c>
      <c r="E91" s="2009" t="s">
        <v>3506</v>
      </c>
      <c r="F91" s="1462" t="s">
        <v>455</v>
      </c>
      <c r="G91" s="1953" t="s">
        <v>4128</v>
      </c>
      <c r="H91" s="1975" t="s">
        <v>10</v>
      </c>
      <c r="I91" s="1712">
        <f t="shared" si="34"/>
        <v>1142.02</v>
      </c>
      <c r="J91" s="1949">
        <v>1</v>
      </c>
      <c r="K91" s="1950" t="s">
        <v>101</v>
      </c>
      <c r="L91" s="1947" t="s">
        <v>10</v>
      </c>
      <c r="M91" s="1754">
        <f t="shared" si="29"/>
        <v>1142.02</v>
      </c>
      <c r="N91" s="1712"/>
      <c r="O91" s="1712">
        <f t="shared" si="30"/>
        <v>0</v>
      </c>
      <c r="P91" s="1712">
        <f t="shared" si="31"/>
        <v>0</v>
      </c>
      <c r="Q91" s="1712">
        <f t="shared" si="32"/>
        <v>0</v>
      </c>
      <c r="R91" s="1757">
        <v>0.09</v>
      </c>
      <c r="S91" s="1712">
        <f t="shared" si="33"/>
        <v>0</v>
      </c>
      <c r="T91" s="1712" t="str">
        <f t="shared" si="27"/>
        <v/>
      </c>
      <c r="U91" s="1712" t="str">
        <f t="shared" si="28"/>
        <v/>
      </c>
      <c r="V91" s="2015"/>
    </row>
    <row r="92" spans="1:22" s="1942" customFormat="1" ht="23.4" customHeight="1" outlineLevel="3">
      <c r="A92" s="1944"/>
      <c r="B92" s="1978" t="s">
        <v>3507</v>
      </c>
      <c r="C92" s="1810"/>
      <c r="D92" s="2017" t="s">
        <v>3508</v>
      </c>
      <c r="E92" s="2009" t="s">
        <v>3509</v>
      </c>
      <c r="F92" s="1462" t="s">
        <v>455</v>
      </c>
      <c r="G92" s="1953" t="s">
        <v>4128</v>
      </c>
      <c r="H92" s="1975" t="s">
        <v>10</v>
      </c>
      <c r="I92" s="1712">
        <f t="shared" si="34"/>
        <v>1142.02</v>
      </c>
      <c r="J92" s="1949">
        <v>1</v>
      </c>
      <c r="K92" s="1950" t="s">
        <v>101</v>
      </c>
      <c r="L92" s="1947" t="s">
        <v>10</v>
      </c>
      <c r="M92" s="1754">
        <f t="shared" si="29"/>
        <v>1142.02</v>
      </c>
      <c r="N92" s="1712"/>
      <c r="O92" s="1712">
        <f t="shared" si="30"/>
        <v>0</v>
      </c>
      <c r="P92" s="1712">
        <f t="shared" si="31"/>
        <v>0</v>
      </c>
      <c r="Q92" s="1712">
        <f t="shared" si="32"/>
        <v>0</v>
      </c>
      <c r="R92" s="1757">
        <v>0.09</v>
      </c>
      <c r="S92" s="1712">
        <f t="shared" si="33"/>
        <v>0</v>
      </c>
      <c r="T92" s="1712" t="str">
        <f t="shared" si="27"/>
        <v/>
      </c>
      <c r="U92" s="1712" t="str">
        <f t="shared" si="28"/>
        <v/>
      </c>
      <c r="V92" s="2015"/>
    </row>
    <row r="93" spans="1:22" s="1942" customFormat="1" ht="23.4" customHeight="1" outlineLevel="3">
      <c r="A93" s="1944"/>
      <c r="B93" s="1978" t="s">
        <v>3510</v>
      </c>
      <c r="C93" s="1810"/>
      <c r="D93" s="2017" t="s">
        <v>3511</v>
      </c>
      <c r="E93" s="2009" t="s">
        <v>3512</v>
      </c>
      <c r="F93" s="1462" t="s">
        <v>455</v>
      </c>
      <c r="G93" s="1953" t="s">
        <v>4128</v>
      </c>
      <c r="H93" s="1975" t="s">
        <v>10</v>
      </c>
      <c r="I93" s="1712">
        <f t="shared" si="34"/>
        <v>1142.02</v>
      </c>
      <c r="J93" s="1949">
        <v>1</v>
      </c>
      <c r="K93" s="1950" t="s">
        <v>101</v>
      </c>
      <c r="L93" s="1947" t="s">
        <v>10</v>
      </c>
      <c r="M93" s="1754">
        <f t="shared" si="29"/>
        <v>1142.02</v>
      </c>
      <c r="N93" s="1712"/>
      <c r="O93" s="1712">
        <f t="shared" si="30"/>
        <v>0</v>
      </c>
      <c r="P93" s="1712">
        <f t="shared" si="31"/>
        <v>0</v>
      </c>
      <c r="Q93" s="1712">
        <f t="shared" si="32"/>
        <v>0</v>
      </c>
      <c r="R93" s="1757">
        <v>0.09</v>
      </c>
      <c r="S93" s="1712">
        <f t="shared" si="33"/>
        <v>0</v>
      </c>
      <c r="T93" s="1712" t="str">
        <f t="shared" si="27"/>
        <v/>
      </c>
      <c r="U93" s="1712" t="str">
        <f t="shared" si="28"/>
        <v/>
      </c>
      <c r="V93" s="2015"/>
    </row>
    <row r="94" spans="1:22" s="1942" customFormat="1" ht="23.4" customHeight="1" outlineLevel="2">
      <c r="A94" s="1944"/>
      <c r="B94" s="1978" t="s">
        <v>3513</v>
      </c>
      <c r="C94" s="1810"/>
      <c r="D94" s="2008" t="s">
        <v>3514</v>
      </c>
      <c r="E94" s="2009" t="s">
        <v>3515</v>
      </c>
      <c r="F94" s="1462" t="s">
        <v>455</v>
      </c>
      <c r="G94" s="1953" t="s">
        <v>4128</v>
      </c>
      <c r="H94" s="1975" t="s">
        <v>10</v>
      </c>
      <c r="I94" s="1712">
        <f t="shared" si="34"/>
        <v>1142.02</v>
      </c>
      <c r="J94" s="1949">
        <v>1</v>
      </c>
      <c r="K94" s="1950" t="s">
        <v>101</v>
      </c>
      <c r="L94" s="1947" t="s">
        <v>10</v>
      </c>
      <c r="M94" s="1754">
        <f t="shared" si="29"/>
        <v>1142.02</v>
      </c>
      <c r="N94" s="1712">
        <v>10</v>
      </c>
      <c r="O94" s="1712">
        <f t="shared" si="30"/>
        <v>1.14202</v>
      </c>
      <c r="P94" s="1712">
        <f t="shared" si="31"/>
        <v>9.17</v>
      </c>
      <c r="Q94" s="1712">
        <f t="shared" si="32"/>
        <v>1.047725</v>
      </c>
      <c r="R94" s="1757">
        <v>0.09</v>
      </c>
      <c r="S94" s="1712">
        <f t="shared" si="33"/>
        <v>9.4295000000000018E-2</v>
      </c>
      <c r="T94" s="1712" t="str">
        <f t="shared" si="27"/>
        <v/>
      </c>
      <c r="U94" s="1712" t="str">
        <f t="shared" si="28"/>
        <v/>
      </c>
      <c r="V94" s="1952"/>
    </row>
    <row r="95" spans="1:22" s="1942" customFormat="1" ht="23.4" customHeight="1" outlineLevel="2">
      <c r="A95" s="1944"/>
      <c r="B95" s="1978" t="s">
        <v>3516</v>
      </c>
      <c r="C95" s="1810"/>
      <c r="D95" s="2008" t="s">
        <v>3517</v>
      </c>
      <c r="E95" s="2009"/>
      <c r="F95" s="1462"/>
      <c r="G95" s="1953" t="s">
        <v>4117</v>
      </c>
      <c r="H95" s="1947"/>
      <c r="I95" s="1948"/>
      <c r="J95" s="1949"/>
      <c r="K95" s="2016"/>
      <c r="L95" s="1947"/>
      <c r="M95" s="1754"/>
      <c r="N95" s="1712"/>
      <c r="O95" s="1712">
        <f>SUBTOTAL(9,O96:O98)</f>
        <v>0</v>
      </c>
      <c r="P95" s="1983"/>
      <c r="Q95" s="1712">
        <f>SUBTOTAL(9,Q96:Q98)</f>
        <v>0</v>
      </c>
      <c r="R95" s="1757"/>
      <c r="S95" s="1712">
        <f>SUBTOTAL(9,S96:S98)</f>
        <v>0</v>
      </c>
      <c r="T95" s="1712" t="str">
        <f t="shared" si="27"/>
        <v/>
      </c>
      <c r="U95" s="1712" t="str">
        <f t="shared" si="28"/>
        <v/>
      </c>
      <c r="V95" s="2015"/>
    </row>
    <row r="96" spans="1:22" s="1942" customFormat="1" ht="23.4" customHeight="1" outlineLevel="3">
      <c r="A96" s="1944"/>
      <c r="B96" s="1978" t="s">
        <v>3518</v>
      </c>
      <c r="C96" s="1810"/>
      <c r="D96" s="2008" t="s">
        <v>3519</v>
      </c>
      <c r="E96" s="2009" t="s">
        <v>3520</v>
      </c>
      <c r="F96" s="1462" t="s">
        <v>3521</v>
      </c>
      <c r="G96" s="1953" t="s">
        <v>4139</v>
      </c>
      <c r="H96" s="1947" t="s">
        <v>10</v>
      </c>
      <c r="I96" s="1712">
        <f t="shared" si="34"/>
        <v>1142.02</v>
      </c>
      <c r="J96" s="1949">
        <v>1</v>
      </c>
      <c r="K96" s="1950" t="s">
        <v>101</v>
      </c>
      <c r="L96" s="1947" t="s">
        <v>10</v>
      </c>
      <c r="M96" s="1754">
        <f>ROUND(I96,2)*ROUND(J96,4)</f>
        <v>1142.02</v>
      </c>
      <c r="N96" s="1712"/>
      <c r="O96" s="1712">
        <f>ROUND(M96*ROUND(N96,2)/10000,6)</f>
        <v>0</v>
      </c>
      <c r="P96" s="1712">
        <f>IFERROR(ROUND(Q96*10000/M96,2),0)</f>
        <v>0</v>
      </c>
      <c r="Q96" s="1712">
        <f>ROUND(O96/(1+R96),6)</f>
        <v>0</v>
      </c>
      <c r="R96" s="1757">
        <v>0.13</v>
      </c>
      <c r="S96" s="1712">
        <f>O96-Q96</f>
        <v>0</v>
      </c>
      <c r="T96" s="1712" t="str">
        <f t="shared" si="27"/>
        <v/>
      </c>
      <c r="U96" s="1712" t="str">
        <f t="shared" si="28"/>
        <v/>
      </c>
      <c r="V96" s="2015"/>
    </row>
    <row r="97" spans="1:23" s="1942" customFormat="1" ht="23.4" customHeight="1" outlineLevel="3">
      <c r="A97" s="1944"/>
      <c r="B97" s="1978" t="s">
        <v>3522</v>
      </c>
      <c r="C97" s="1810"/>
      <c r="D97" s="2008" t="s">
        <v>3523</v>
      </c>
      <c r="E97" s="2009" t="s">
        <v>3524</v>
      </c>
      <c r="F97" s="1462" t="s">
        <v>3521</v>
      </c>
      <c r="G97" s="1953" t="s">
        <v>4139</v>
      </c>
      <c r="H97" s="1975" t="s">
        <v>10</v>
      </c>
      <c r="I97" s="1712">
        <f t="shared" si="34"/>
        <v>1142.02</v>
      </c>
      <c r="J97" s="1949">
        <v>1</v>
      </c>
      <c r="K97" s="1950" t="s">
        <v>101</v>
      </c>
      <c r="L97" s="1947" t="s">
        <v>10</v>
      </c>
      <c r="M97" s="1754">
        <f>ROUND(I97,2)*ROUND(J97,4)</f>
        <v>1142.02</v>
      </c>
      <c r="N97" s="1712"/>
      <c r="O97" s="1712">
        <f>ROUND(M97*ROUND(N97,2)/10000,6)</f>
        <v>0</v>
      </c>
      <c r="P97" s="1712">
        <f>IFERROR(ROUND(Q97*10000/M97,2),0)</f>
        <v>0</v>
      </c>
      <c r="Q97" s="1712">
        <f>ROUND(O97/(1+R97),6)</f>
        <v>0</v>
      </c>
      <c r="R97" s="1757">
        <v>0.13</v>
      </c>
      <c r="S97" s="1712">
        <f>O97-Q97</f>
        <v>0</v>
      </c>
      <c r="T97" s="1712" t="str">
        <f t="shared" si="27"/>
        <v/>
      </c>
      <c r="U97" s="1712" t="str">
        <f t="shared" si="28"/>
        <v/>
      </c>
      <c r="V97" s="2015"/>
    </row>
    <row r="98" spans="1:23" s="1942" customFormat="1" ht="23.4" customHeight="1" outlineLevel="3">
      <c r="A98" s="1944"/>
      <c r="B98" s="1978" t="s">
        <v>3525</v>
      </c>
      <c r="C98" s="1810"/>
      <c r="D98" s="2008" t="s">
        <v>3526</v>
      </c>
      <c r="E98" s="2009" t="s">
        <v>3527</v>
      </c>
      <c r="F98" s="1462" t="s">
        <v>3521</v>
      </c>
      <c r="G98" s="1953" t="s">
        <v>4139</v>
      </c>
      <c r="H98" s="1975" t="s">
        <v>10</v>
      </c>
      <c r="I98" s="1712">
        <f t="shared" si="34"/>
        <v>1142.02</v>
      </c>
      <c r="J98" s="1949">
        <v>1</v>
      </c>
      <c r="K98" s="1950" t="s">
        <v>101</v>
      </c>
      <c r="L98" s="1947" t="s">
        <v>10</v>
      </c>
      <c r="M98" s="1754">
        <f>ROUND(I98,2)*ROUND(J98,4)</f>
        <v>1142.02</v>
      </c>
      <c r="N98" s="1712"/>
      <c r="O98" s="1712">
        <f>ROUND(M98*ROUND(N98,2)/10000,6)</f>
        <v>0</v>
      </c>
      <c r="P98" s="1712">
        <f>IFERROR(ROUND(Q98*10000/M98,2),0)</f>
        <v>0</v>
      </c>
      <c r="Q98" s="1712">
        <f>ROUND(O98/(1+R98),6)</f>
        <v>0</v>
      </c>
      <c r="R98" s="1757">
        <v>0.13</v>
      </c>
      <c r="S98" s="1712">
        <f>O98-Q98</f>
        <v>0</v>
      </c>
      <c r="T98" s="1712" t="str">
        <f t="shared" si="27"/>
        <v/>
      </c>
      <c r="U98" s="1712" t="str">
        <f t="shared" si="28"/>
        <v/>
      </c>
      <c r="V98" s="2015"/>
    </row>
    <row r="99" spans="1:23" s="1942" customFormat="1" ht="23.4" customHeight="1" outlineLevel="2">
      <c r="A99" s="1944"/>
      <c r="B99" s="1978" t="s">
        <v>3528</v>
      </c>
      <c r="C99" s="1810"/>
      <c r="D99" s="2017" t="s">
        <v>3529</v>
      </c>
      <c r="E99" s="2009" t="s">
        <v>3530</v>
      </c>
      <c r="F99" s="1462" t="s">
        <v>3531</v>
      </c>
      <c r="G99" s="1953" t="s">
        <v>4140</v>
      </c>
      <c r="H99" s="1975" t="s">
        <v>10</v>
      </c>
      <c r="I99" s="1712">
        <f t="shared" si="34"/>
        <v>1142.02</v>
      </c>
      <c r="J99" s="1949">
        <v>1</v>
      </c>
      <c r="K99" s="1950" t="s">
        <v>101</v>
      </c>
      <c r="L99" s="1947" t="s">
        <v>10</v>
      </c>
      <c r="M99" s="1754">
        <f>ROUND(I99,2)*ROUND(J99,4)</f>
        <v>1142.02</v>
      </c>
      <c r="N99" s="1712"/>
      <c r="O99" s="1712">
        <f>ROUND(M99*ROUND(N99,2)/10000,6)</f>
        <v>0</v>
      </c>
      <c r="P99" s="1712">
        <f>IFERROR(ROUND(Q99*10000/M99,2),0)</f>
        <v>0</v>
      </c>
      <c r="Q99" s="1712">
        <f>ROUND(O99/(1+R99),6)</f>
        <v>0</v>
      </c>
      <c r="R99" s="1757">
        <v>0.09</v>
      </c>
      <c r="S99" s="1712">
        <f>O99-Q99</f>
        <v>0</v>
      </c>
      <c r="T99" s="1712" t="str">
        <f t="shared" si="27"/>
        <v/>
      </c>
      <c r="U99" s="1712" t="str">
        <f t="shared" si="28"/>
        <v/>
      </c>
      <c r="V99" s="2015"/>
    </row>
    <row r="100" spans="1:23" ht="23.4" customHeight="1">
      <c r="A100" s="2019"/>
      <c r="B100" s="1684">
        <v>5001.04</v>
      </c>
      <c r="C100" s="1685" t="s">
        <v>34</v>
      </c>
      <c r="D100" s="1956" t="s">
        <v>497</v>
      </c>
      <c r="E100" s="1957"/>
      <c r="F100" s="2020"/>
      <c r="G100" s="2021" t="s">
        <v>4117</v>
      </c>
      <c r="H100" s="1959"/>
      <c r="I100" s="1960"/>
      <c r="J100" s="1961"/>
      <c r="K100" s="2022"/>
      <c r="L100" s="1959"/>
      <c r="M100" s="2022"/>
      <c r="N100" s="1963"/>
      <c r="O100" s="1963">
        <f>SUBTOTAL(9,O101:O125)</f>
        <v>162.73784999999998</v>
      </c>
      <c r="P100" s="1963"/>
      <c r="Q100" s="1963">
        <f>SUBTOTAL(9,Q101:Q125)</f>
        <v>151.67298700000001</v>
      </c>
      <c r="R100" s="1963"/>
      <c r="S100" s="1963">
        <f>SUBTOTAL(9,S101:S125)</f>
        <v>11.064862999999988</v>
      </c>
      <c r="T100" s="1963" t="str">
        <f t="shared" si="27"/>
        <v/>
      </c>
      <c r="U100" s="1963" t="str">
        <f t="shared" si="28"/>
        <v/>
      </c>
      <c r="V100" s="1964"/>
      <c r="W100" s="1898"/>
    </row>
    <row r="101" spans="1:23" ht="23.4" customHeight="1" outlineLevel="1">
      <c r="A101" s="2019"/>
      <c r="B101" s="2023" t="s">
        <v>676</v>
      </c>
      <c r="C101" s="1852">
        <v>1</v>
      </c>
      <c r="D101" s="2024" t="s">
        <v>22</v>
      </c>
      <c r="E101" s="2025"/>
      <c r="F101" s="1968"/>
      <c r="G101" s="2007" t="s">
        <v>4117</v>
      </c>
      <c r="H101" s="1967"/>
      <c r="I101" s="1969"/>
      <c r="J101" s="1970"/>
      <c r="K101" s="1971"/>
      <c r="L101" s="1967"/>
      <c r="M101" s="1971"/>
      <c r="N101" s="1973">
        <f>O101/$E$5*10000</f>
        <v>625</v>
      </c>
      <c r="O101" s="1973">
        <f>SUBTOTAL(9,O102:O119)</f>
        <v>71.376249999999999</v>
      </c>
      <c r="P101" s="1973"/>
      <c r="Q101" s="1973">
        <f>SUBTOTAL(9,Q102:Q119)</f>
        <v>65.482798000000003</v>
      </c>
      <c r="R101" s="1973"/>
      <c r="S101" s="1973">
        <f>SUBTOTAL(9,S102:S119)</f>
        <v>5.8934519999999964</v>
      </c>
      <c r="T101" s="1973" t="str">
        <f t="shared" si="27"/>
        <v/>
      </c>
      <c r="U101" s="1973" t="str">
        <f t="shared" si="28"/>
        <v/>
      </c>
      <c r="V101" s="1974"/>
      <c r="W101" s="1898"/>
    </row>
    <row r="102" spans="1:23" s="1942" customFormat="1" ht="23.4" customHeight="1" outlineLevel="2">
      <c r="A102" s="1944"/>
      <c r="B102" s="1807" t="s">
        <v>677</v>
      </c>
      <c r="C102" s="1808"/>
      <c r="D102" s="1843" t="s">
        <v>3575</v>
      </c>
      <c r="E102" s="2009" t="s">
        <v>3576</v>
      </c>
      <c r="F102" s="1462" t="s">
        <v>3577</v>
      </c>
      <c r="G102" s="1953" t="s">
        <v>4141</v>
      </c>
      <c r="H102" s="1975" t="s">
        <v>10</v>
      </c>
      <c r="I102" s="1712">
        <f>+I22</f>
        <v>1142.02</v>
      </c>
      <c r="J102" s="1949">
        <v>0.25</v>
      </c>
      <c r="K102" s="1950" t="s">
        <v>101</v>
      </c>
      <c r="L102" s="1947" t="s">
        <v>10</v>
      </c>
      <c r="M102" s="1754">
        <f t="shared" ref="M102:M123" si="35">ROUND(I102,2)*ROUND(J102,4)</f>
        <v>285.505</v>
      </c>
      <c r="N102" s="1712">
        <v>2500</v>
      </c>
      <c r="O102" s="1712">
        <f t="shared" ref="O102:O119" si="36">ROUND(M102*ROUND(N102,2)/10000,6)</f>
        <v>71.376249999999999</v>
      </c>
      <c r="P102" s="1712">
        <f t="shared" ref="P102:P119" si="37">IFERROR(ROUND(Q102*10000/M102,2),0)</f>
        <v>2293.58</v>
      </c>
      <c r="Q102" s="1712">
        <f t="shared" ref="Q102:Q119" si="38">ROUND(O102/(1+R102),6)</f>
        <v>65.482798000000003</v>
      </c>
      <c r="R102" s="1757">
        <v>0.09</v>
      </c>
      <c r="S102" s="1712">
        <f t="shared" ref="S102:S119" si="39">O102-Q102</f>
        <v>5.8934519999999964</v>
      </c>
      <c r="T102" s="1712" t="str">
        <f t="shared" si="27"/>
        <v/>
      </c>
      <c r="U102" s="1712" t="str">
        <f t="shared" si="28"/>
        <v/>
      </c>
      <c r="V102" s="1952"/>
    </row>
    <row r="103" spans="1:23" s="1942" customFormat="1" ht="23.4" customHeight="1" outlineLevel="2">
      <c r="A103" s="1944"/>
      <c r="B103" s="1807" t="s">
        <v>678</v>
      </c>
      <c r="C103" s="1808"/>
      <c r="D103" s="1843" t="s">
        <v>3578</v>
      </c>
      <c r="E103" s="2009" t="s">
        <v>3579</v>
      </c>
      <c r="F103" s="1462" t="s">
        <v>3580</v>
      </c>
      <c r="G103" s="1953" t="s">
        <v>4142</v>
      </c>
      <c r="H103" s="1947" t="s">
        <v>3926</v>
      </c>
      <c r="I103" s="1712">
        <f>$G$7</f>
        <v>1</v>
      </c>
      <c r="J103" s="1949">
        <v>5</v>
      </c>
      <c r="K103" s="1950" t="s">
        <v>4</v>
      </c>
      <c r="L103" s="1947" t="s">
        <v>4053</v>
      </c>
      <c r="M103" s="1754">
        <f t="shared" si="35"/>
        <v>5</v>
      </c>
      <c r="N103" s="1712"/>
      <c r="O103" s="1712">
        <f t="shared" si="36"/>
        <v>0</v>
      </c>
      <c r="P103" s="1712">
        <f t="shared" si="37"/>
        <v>0</v>
      </c>
      <c r="Q103" s="1712">
        <f t="shared" si="38"/>
        <v>0</v>
      </c>
      <c r="R103" s="1757">
        <v>0.13</v>
      </c>
      <c r="S103" s="1712">
        <f t="shared" si="39"/>
        <v>0</v>
      </c>
      <c r="T103" s="1712" t="str">
        <f t="shared" si="27"/>
        <v/>
      </c>
      <c r="U103" s="1712" t="str">
        <f t="shared" si="28"/>
        <v/>
      </c>
      <c r="V103" s="1952"/>
    </row>
    <row r="104" spans="1:23" s="1942" customFormat="1" ht="23.4" customHeight="1" outlineLevel="2">
      <c r="A104" s="1944"/>
      <c r="B104" s="1807" t="s">
        <v>679</v>
      </c>
      <c r="C104" s="1808"/>
      <c r="D104" s="1843" t="s">
        <v>3581</v>
      </c>
      <c r="E104" s="2009" t="s">
        <v>3582</v>
      </c>
      <c r="F104" s="1462" t="s">
        <v>3014</v>
      </c>
      <c r="G104" s="1953" t="s">
        <v>4143</v>
      </c>
      <c r="H104" s="1947" t="s">
        <v>3926</v>
      </c>
      <c r="I104" s="1712">
        <f>$G$7</f>
        <v>1</v>
      </c>
      <c r="J104" s="1949">
        <v>1</v>
      </c>
      <c r="K104" s="1950" t="s">
        <v>3947</v>
      </c>
      <c r="L104" s="1947" t="s">
        <v>3926</v>
      </c>
      <c r="M104" s="1754">
        <f t="shared" si="35"/>
        <v>1</v>
      </c>
      <c r="N104" s="1712"/>
      <c r="O104" s="1712">
        <f t="shared" si="36"/>
        <v>0</v>
      </c>
      <c r="P104" s="1712">
        <f t="shared" si="37"/>
        <v>0</v>
      </c>
      <c r="Q104" s="1712">
        <f t="shared" si="38"/>
        <v>0</v>
      </c>
      <c r="R104" s="1757">
        <v>0.13</v>
      </c>
      <c r="S104" s="1712">
        <f t="shared" si="39"/>
        <v>0</v>
      </c>
      <c r="T104" s="1712" t="str">
        <f t="shared" si="27"/>
        <v/>
      </c>
      <c r="U104" s="1712" t="str">
        <f t="shared" si="28"/>
        <v/>
      </c>
      <c r="V104" s="1952"/>
    </row>
    <row r="105" spans="1:23" s="1942" customFormat="1" ht="23.4" customHeight="1" outlineLevel="2">
      <c r="A105" s="1944"/>
      <c r="B105" s="1807" t="s">
        <v>680</v>
      </c>
      <c r="C105" s="1808"/>
      <c r="D105" s="1843" t="s">
        <v>3583</v>
      </c>
      <c r="E105" s="2009" t="s">
        <v>3584</v>
      </c>
      <c r="F105" s="1462" t="s">
        <v>1329</v>
      </c>
      <c r="G105" s="1953" t="s">
        <v>4132</v>
      </c>
      <c r="H105" s="1947" t="s">
        <v>3926</v>
      </c>
      <c r="I105" s="1712">
        <f>$G$7</f>
        <v>1</v>
      </c>
      <c r="J105" s="1949">
        <v>1</v>
      </c>
      <c r="K105" s="1950" t="s">
        <v>4</v>
      </c>
      <c r="L105" s="1947" t="s">
        <v>4054</v>
      </c>
      <c r="M105" s="1754">
        <f t="shared" si="35"/>
        <v>1</v>
      </c>
      <c r="N105" s="1712"/>
      <c r="O105" s="1712">
        <f t="shared" si="36"/>
        <v>0</v>
      </c>
      <c r="P105" s="1712">
        <f t="shared" si="37"/>
        <v>0</v>
      </c>
      <c r="Q105" s="1712">
        <f t="shared" si="38"/>
        <v>0</v>
      </c>
      <c r="R105" s="1757">
        <v>0.13</v>
      </c>
      <c r="S105" s="1712">
        <f t="shared" si="39"/>
        <v>0</v>
      </c>
      <c r="T105" s="1712" t="str">
        <f t="shared" si="27"/>
        <v/>
      </c>
      <c r="U105" s="1712" t="str">
        <f t="shared" si="28"/>
        <v/>
      </c>
      <c r="V105" s="1952"/>
    </row>
    <row r="106" spans="1:23" s="1942" customFormat="1" ht="23.4" customHeight="1" outlineLevel="2">
      <c r="A106" s="1944"/>
      <c r="B106" s="1807" t="s">
        <v>681</v>
      </c>
      <c r="C106" s="1808"/>
      <c r="D106" s="1843" t="s">
        <v>3585</v>
      </c>
      <c r="E106" s="2009" t="s">
        <v>3586</v>
      </c>
      <c r="F106" s="1462" t="s">
        <v>450</v>
      </c>
      <c r="G106" s="1953" t="s">
        <v>4144</v>
      </c>
      <c r="H106" s="1975" t="s">
        <v>10</v>
      </c>
      <c r="I106" s="1712">
        <f>$E$5</f>
        <v>1142.02</v>
      </c>
      <c r="J106" s="1949">
        <v>1</v>
      </c>
      <c r="K106" s="1950" t="s">
        <v>101</v>
      </c>
      <c r="L106" s="1947" t="s">
        <v>10</v>
      </c>
      <c r="M106" s="1754">
        <f t="shared" si="35"/>
        <v>1142.02</v>
      </c>
      <c r="N106" s="1712"/>
      <c r="O106" s="1712">
        <f t="shared" si="36"/>
        <v>0</v>
      </c>
      <c r="P106" s="1712">
        <f t="shared" si="37"/>
        <v>0</v>
      </c>
      <c r="Q106" s="1712">
        <f t="shared" si="38"/>
        <v>0</v>
      </c>
      <c r="R106" s="1757">
        <v>0.13</v>
      </c>
      <c r="S106" s="1712">
        <f t="shared" si="39"/>
        <v>0</v>
      </c>
      <c r="T106" s="1712" t="str">
        <f t="shared" si="27"/>
        <v/>
      </c>
      <c r="U106" s="1712" t="str">
        <f t="shared" si="28"/>
        <v/>
      </c>
      <c r="V106" s="1952"/>
    </row>
    <row r="107" spans="1:23" s="1942" customFormat="1" ht="23.4" customHeight="1" outlineLevel="2">
      <c r="A107" s="1944"/>
      <c r="B107" s="1807" t="s">
        <v>682</v>
      </c>
      <c r="C107" s="1808"/>
      <c r="D107" s="1843" t="s">
        <v>3587</v>
      </c>
      <c r="E107" s="2009" t="s">
        <v>3588</v>
      </c>
      <c r="F107" s="1462" t="s">
        <v>1329</v>
      </c>
      <c r="G107" s="1953" t="s">
        <v>4132</v>
      </c>
      <c r="H107" s="1947" t="s">
        <v>3926</v>
      </c>
      <c r="I107" s="1712">
        <f>$G$7</f>
        <v>1</v>
      </c>
      <c r="J107" s="1949">
        <v>1</v>
      </c>
      <c r="K107" s="1950" t="s">
        <v>4</v>
      </c>
      <c r="L107" s="1947" t="s">
        <v>4055</v>
      </c>
      <c r="M107" s="1754">
        <f t="shared" si="35"/>
        <v>1</v>
      </c>
      <c r="N107" s="1712"/>
      <c r="O107" s="1712">
        <f t="shared" si="36"/>
        <v>0</v>
      </c>
      <c r="P107" s="1712">
        <f t="shared" si="37"/>
        <v>0</v>
      </c>
      <c r="Q107" s="1712">
        <f t="shared" si="38"/>
        <v>0</v>
      </c>
      <c r="R107" s="1757">
        <v>0.13</v>
      </c>
      <c r="S107" s="1712">
        <f t="shared" si="39"/>
        <v>0</v>
      </c>
      <c r="T107" s="1712" t="str">
        <f t="shared" si="27"/>
        <v/>
      </c>
      <c r="U107" s="1712" t="str">
        <f t="shared" si="28"/>
        <v/>
      </c>
      <c r="V107" s="1952"/>
    </row>
    <row r="108" spans="1:23" s="1942" customFormat="1" ht="23.4" customHeight="1" outlineLevel="2">
      <c r="A108" s="1944"/>
      <c r="B108" s="1807" t="s">
        <v>683</v>
      </c>
      <c r="C108" s="1808"/>
      <c r="D108" s="1843" t="s">
        <v>3589</v>
      </c>
      <c r="E108" s="2009" t="s">
        <v>3590</v>
      </c>
      <c r="F108" s="1462" t="s">
        <v>1548</v>
      </c>
      <c r="G108" s="1953" t="s">
        <v>4145</v>
      </c>
      <c r="H108" s="1975" t="s">
        <v>3926</v>
      </c>
      <c r="I108" s="1712">
        <f>$G$7</f>
        <v>1</v>
      </c>
      <c r="J108" s="1949">
        <v>1</v>
      </c>
      <c r="K108" s="1950" t="s">
        <v>3947</v>
      </c>
      <c r="L108" s="1947" t="s">
        <v>3926</v>
      </c>
      <c r="M108" s="1754">
        <f t="shared" si="35"/>
        <v>1</v>
      </c>
      <c r="N108" s="1712"/>
      <c r="O108" s="1712">
        <f t="shared" si="36"/>
        <v>0</v>
      </c>
      <c r="P108" s="1712">
        <f t="shared" si="37"/>
        <v>0</v>
      </c>
      <c r="Q108" s="1712">
        <f t="shared" si="38"/>
        <v>0</v>
      </c>
      <c r="R108" s="1757">
        <v>0.13</v>
      </c>
      <c r="S108" s="1712">
        <f t="shared" si="39"/>
        <v>0</v>
      </c>
      <c r="T108" s="1712" t="str">
        <f t="shared" si="27"/>
        <v/>
      </c>
      <c r="U108" s="1712" t="str">
        <f t="shared" si="28"/>
        <v/>
      </c>
      <c r="V108" s="1952"/>
    </row>
    <row r="109" spans="1:23" s="1942" customFormat="1" ht="23.4" customHeight="1" outlineLevel="2">
      <c r="A109" s="1944"/>
      <c r="B109" s="1807" t="s">
        <v>1549</v>
      </c>
      <c r="C109" s="1808"/>
      <c r="D109" s="1843" t="s">
        <v>3591</v>
      </c>
      <c r="E109" s="2009" t="s">
        <v>3592</v>
      </c>
      <c r="F109" s="1462" t="s">
        <v>3593</v>
      </c>
      <c r="G109" s="1953" t="s">
        <v>4146</v>
      </c>
      <c r="H109" s="1975" t="s">
        <v>10</v>
      </c>
      <c r="I109" s="1712">
        <f>$E$5</f>
        <v>1142.02</v>
      </c>
      <c r="J109" s="1949">
        <v>1</v>
      </c>
      <c r="K109" s="1950" t="s">
        <v>101</v>
      </c>
      <c r="L109" s="1947" t="s">
        <v>10</v>
      </c>
      <c r="M109" s="1754">
        <f t="shared" si="35"/>
        <v>1142.02</v>
      </c>
      <c r="N109" s="1712"/>
      <c r="O109" s="1712">
        <f t="shared" si="36"/>
        <v>0</v>
      </c>
      <c r="P109" s="1712">
        <f t="shared" si="37"/>
        <v>0</v>
      </c>
      <c r="Q109" s="1712">
        <f t="shared" si="38"/>
        <v>0</v>
      </c>
      <c r="R109" s="1757">
        <v>0.13</v>
      </c>
      <c r="S109" s="1712">
        <f t="shared" si="39"/>
        <v>0</v>
      </c>
      <c r="T109" s="1712" t="str">
        <f t="shared" si="27"/>
        <v/>
      </c>
      <c r="U109" s="1712" t="str">
        <f t="shared" si="28"/>
        <v/>
      </c>
      <c r="V109" s="1952"/>
    </row>
    <row r="110" spans="1:23" s="1942" customFormat="1" ht="23.4" customHeight="1" outlineLevel="2">
      <c r="A110" s="1944"/>
      <c r="B110" s="1807" t="s">
        <v>684</v>
      </c>
      <c r="C110" s="1808"/>
      <c r="D110" s="1843" t="s">
        <v>3594</v>
      </c>
      <c r="E110" s="2009" t="s">
        <v>3595</v>
      </c>
      <c r="F110" s="1462" t="s">
        <v>1329</v>
      </c>
      <c r="G110" s="1953" t="s">
        <v>4132</v>
      </c>
      <c r="H110" s="1975" t="s">
        <v>10</v>
      </c>
      <c r="I110" s="1712">
        <f t="shared" ref="I110:I125" si="40">$E$5</f>
        <v>1142.02</v>
      </c>
      <c r="J110" s="1949">
        <v>1</v>
      </c>
      <c r="K110" s="1950" t="s">
        <v>101</v>
      </c>
      <c r="L110" s="1947" t="s">
        <v>10</v>
      </c>
      <c r="M110" s="1754">
        <f t="shared" si="35"/>
        <v>1142.02</v>
      </c>
      <c r="N110" s="1712"/>
      <c r="O110" s="1712">
        <f t="shared" si="36"/>
        <v>0</v>
      </c>
      <c r="P110" s="1712">
        <f t="shared" si="37"/>
        <v>0</v>
      </c>
      <c r="Q110" s="1712">
        <f t="shared" si="38"/>
        <v>0</v>
      </c>
      <c r="R110" s="1757">
        <v>0.13</v>
      </c>
      <c r="S110" s="1712">
        <f t="shared" si="39"/>
        <v>0</v>
      </c>
      <c r="T110" s="1712" t="str">
        <f t="shared" si="27"/>
        <v/>
      </c>
      <c r="U110" s="1712" t="str">
        <f t="shared" si="28"/>
        <v/>
      </c>
      <c r="V110" s="1952"/>
    </row>
    <row r="111" spans="1:23" s="1942" customFormat="1" ht="23.4" customHeight="1" outlineLevel="2">
      <c r="A111" s="1944"/>
      <c r="B111" s="1807" t="s">
        <v>685</v>
      </c>
      <c r="C111" s="1808"/>
      <c r="D111" s="1843" t="s">
        <v>3596</v>
      </c>
      <c r="E111" s="2009" t="s">
        <v>3597</v>
      </c>
      <c r="F111" s="1462" t="s">
        <v>1329</v>
      </c>
      <c r="G111" s="1953" t="s">
        <v>4132</v>
      </c>
      <c r="H111" s="1975" t="s">
        <v>10</v>
      </c>
      <c r="I111" s="1712">
        <f t="shared" si="40"/>
        <v>1142.02</v>
      </c>
      <c r="J111" s="1949">
        <v>1</v>
      </c>
      <c r="K111" s="1950" t="s">
        <v>101</v>
      </c>
      <c r="L111" s="1947" t="s">
        <v>10</v>
      </c>
      <c r="M111" s="1754">
        <f t="shared" si="35"/>
        <v>1142.02</v>
      </c>
      <c r="N111" s="1712"/>
      <c r="O111" s="1712">
        <f t="shared" si="36"/>
        <v>0</v>
      </c>
      <c r="P111" s="1712">
        <f t="shared" si="37"/>
        <v>0</v>
      </c>
      <c r="Q111" s="1712">
        <f t="shared" si="38"/>
        <v>0</v>
      </c>
      <c r="R111" s="1757">
        <v>0.13</v>
      </c>
      <c r="S111" s="1712">
        <f t="shared" si="39"/>
        <v>0</v>
      </c>
      <c r="T111" s="1712" t="str">
        <f t="shared" si="27"/>
        <v/>
      </c>
      <c r="U111" s="1712" t="str">
        <f t="shared" si="28"/>
        <v/>
      </c>
      <c r="V111" s="1952"/>
    </row>
    <row r="112" spans="1:23" s="1942" customFormat="1" ht="23.4" customHeight="1" outlineLevel="2">
      <c r="A112" s="1944"/>
      <c r="B112" s="1807" t="s">
        <v>686</v>
      </c>
      <c r="C112" s="1808"/>
      <c r="D112" s="1843" t="s">
        <v>3598</v>
      </c>
      <c r="E112" s="2009" t="s">
        <v>3599</v>
      </c>
      <c r="F112" s="1462" t="s">
        <v>1329</v>
      </c>
      <c r="G112" s="1953" t="s">
        <v>4132</v>
      </c>
      <c r="H112" s="1975" t="s">
        <v>10</v>
      </c>
      <c r="I112" s="1712">
        <f t="shared" si="40"/>
        <v>1142.02</v>
      </c>
      <c r="J112" s="1949">
        <v>1</v>
      </c>
      <c r="K112" s="1950" t="s">
        <v>101</v>
      </c>
      <c r="L112" s="1947" t="s">
        <v>10</v>
      </c>
      <c r="M112" s="1754">
        <f t="shared" si="35"/>
        <v>1142.02</v>
      </c>
      <c r="N112" s="1712"/>
      <c r="O112" s="1712">
        <f t="shared" si="36"/>
        <v>0</v>
      </c>
      <c r="P112" s="1712">
        <f t="shared" si="37"/>
        <v>0</v>
      </c>
      <c r="Q112" s="1712">
        <f t="shared" si="38"/>
        <v>0</v>
      </c>
      <c r="R112" s="1757">
        <v>0.13</v>
      </c>
      <c r="S112" s="1712">
        <f t="shared" si="39"/>
        <v>0</v>
      </c>
      <c r="T112" s="1712" t="str">
        <f t="shared" si="27"/>
        <v/>
      </c>
      <c r="U112" s="1712" t="str">
        <f t="shared" si="28"/>
        <v/>
      </c>
      <c r="V112" s="1952"/>
    </row>
    <row r="113" spans="1:23" s="1942" customFormat="1" ht="23.4" customHeight="1" outlineLevel="2">
      <c r="A113" s="1944"/>
      <c r="B113" s="1807" t="s">
        <v>3600</v>
      </c>
      <c r="C113" s="1808"/>
      <c r="D113" s="1843" t="s">
        <v>3601</v>
      </c>
      <c r="E113" s="2009" t="s">
        <v>3602</v>
      </c>
      <c r="F113" s="1462" t="s">
        <v>1329</v>
      </c>
      <c r="G113" s="1953" t="s">
        <v>4132</v>
      </c>
      <c r="H113" s="1975" t="s">
        <v>10</v>
      </c>
      <c r="I113" s="1712">
        <f t="shared" si="40"/>
        <v>1142.02</v>
      </c>
      <c r="J113" s="1949">
        <v>1</v>
      </c>
      <c r="K113" s="1950" t="s">
        <v>101</v>
      </c>
      <c r="L113" s="1947" t="s">
        <v>10</v>
      </c>
      <c r="M113" s="1754">
        <f t="shared" si="35"/>
        <v>1142.02</v>
      </c>
      <c r="N113" s="1712"/>
      <c r="O113" s="1712">
        <f t="shared" si="36"/>
        <v>0</v>
      </c>
      <c r="P113" s="1712">
        <f t="shared" si="37"/>
        <v>0</v>
      </c>
      <c r="Q113" s="1712">
        <f t="shared" si="38"/>
        <v>0</v>
      </c>
      <c r="R113" s="1757">
        <v>0.13</v>
      </c>
      <c r="S113" s="1712">
        <f t="shared" si="39"/>
        <v>0</v>
      </c>
      <c r="T113" s="1712" t="str">
        <f t="shared" si="27"/>
        <v/>
      </c>
      <c r="U113" s="1712" t="str">
        <f t="shared" si="28"/>
        <v/>
      </c>
      <c r="V113" s="1952"/>
    </row>
    <row r="114" spans="1:23" s="1942" customFormat="1" ht="23.4" customHeight="1" outlineLevel="2">
      <c r="A114" s="1944"/>
      <c r="B114" s="1807" t="s">
        <v>3603</v>
      </c>
      <c r="C114" s="1808"/>
      <c r="D114" s="1843" t="s">
        <v>3604</v>
      </c>
      <c r="E114" s="2009" t="s">
        <v>3605</v>
      </c>
      <c r="F114" s="1462" t="s">
        <v>1329</v>
      </c>
      <c r="G114" s="1953" t="s">
        <v>4132</v>
      </c>
      <c r="H114" s="1975" t="s">
        <v>10</v>
      </c>
      <c r="I114" s="1712">
        <f t="shared" si="40"/>
        <v>1142.02</v>
      </c>
      <c r="J114" s="1949">
        <v>1</v>
      </c>
      <c r="K114" s="1950" t="s">
        <v>101</v>
      </c>
      <c r="L114" s="1947" t="s">
        <v>10</v>
      </c>
      <c r="M114" s="1754">
        <f t="shared" si="35"/>
        <v>1142.02</v>
      </c>
      <c r="N114" s="1712"/>
      <c r="O114" s="1712">
        <f t="shared" si="36"/>
        <v>0</v>
      </c>
      <c r="P114" s="1712">
        <f t="shared" si="37"/>
        <v>0</v>
      </c>
      <c r="Q114" s="1712">
        <f t="shared" si="38"/>
        <v>0</v>
      </c>
      <c r="R114" s="1757">
        <v>0.13</v>
      </c>
      <c r="S114" s="1712">
        <f t="shared" si="39"/>
        <v>0</v>
      </c>
      <c r="T114" s="1712" t="str">
        <f t="shared" si="27"/>
        <v/>
      </c>
      <c r="U114" s="1712" t="str">
        <f t="shared" si="28"/>
        <v/>
      </c>
      <c r="V114" s="1952"/>
    </row>
    <row r="115" spans="1:23" s="1942" customFormat="1" ht="23.4" customHeight="1" outlineLevel="2">
      <c r="A115" s="1944"/>
      <c r="B115" s="1807" t="s">
        <v>3606</v>
      </c>
      <c r="C115" s="1808"/>
      <c r="D115" s="1843" t="s">
        <v>3607</v>
      </c>
      <c r="E115" s="2009" t="s">
        <v>3608</v>
      </c>
      <c r="F115" s="1462" t="s">
        <v>1607</v>
      </c>
      <c r="G115" s="1953" t="s">
        <v>4147</v>
      </c>
      <c r="H115" s="1975" t="s">
        <v>10</v>
      </c>
      <c r="I115" s="1712">
        <f t="shared" si="40"/>
        <v>1142.02</v>
      </c>
      <c r="J115" s="1949">
        <v>1</v>
      </c>
      <c r="K115" s="1950" t="s">
        <v>101</v>
      </c>
      <c r="L115" s="1947" t="s">
        <v>10</v>
      </c>
      <c r="M115" s="1754">
        <f t="shared" si="35"/>
        <v>1142.02</v>
      </c>
      <c r="N115" s="1712"/>
      <c r="O115" s="1712">
        <f t="shared" si="36"/>
        <v>0</v>
      </c>
      <c r="P115" s="1712">
        <f t="shared" si="37"/>
        <v>0</v>
      </c>
      <c r="Q115" s="1712">
        <f t="shared" si="38"/>
        <v>0</v>
      </c>
      <c r="R115" s="1757">
        <v>0.13</v>
      </c>
      <c r="S115" s="1712">
        <f t="shared" si="39"/>
        <v>0</v>
      </c>
      <c r="T115" s="1712" t="str">
        <f t="shared" si="27"/>
        <v/>
      </c>
      <c r="U115" s="1712" t="str">
        <f t="shared" si="28"/>
        <v/>
      </c>
      <c r="V115" s="1952"/>
    </row>
    <row r="116" spans="1:23" s="1942" customFormat="1" ht="23.4" customHeight="1" outlineLevel="2">
      <c r="A116" s="1944"/>
      <c r="B116" s="1807" t="s">
        <v>3609</v>
      </c>
      <c r="C116" s="1808"/>
      <c r="D116" s="1843" t="s">
        <v>3610</v>
      </c>
      <c r="E116" s="2009" t="s">
        <v>3611</v>
      </c>
      <c r="F116" s="1462" t="s">
        <v>1607</v>
      </c>
      <c r="G116" s="1953" t="s">
        <v>4147</v>
      </c>
      <c r="H116" s="1975" t="s">
        <v>10</v>
      </c>
      <c r="I116" s="1712">
        <f t="shared" si="40"/>
        <v>1142.02</v>
      </c>
      <c r="J116" s="1949">
        <v>1</v>
      </c>
      <c r="K116" s="1950" t="s">
        <v>101</v>
      </c>
      <c r="L116" s="1947" t="s">
        <v>10</v>
      </c>
      <c r="M116" s="1754">
        <f t="shared" si="35"/>
        <v>1142.02</v>
      </c>
      <c r="N116" s="1712"/>
      <c r="O116" s="1712">
        <f t="shared" si="36"/>
        <v>0</v>
      </c>
      <c r="P116" s="1712">
        <f t="shared" si="37"/>
        <v>0</v>
      </c>
      <c r="Q116" s="1712">
        <f t="shared" si="38"/>
        <v>0</v>
      </c>
      <c r="R116" s="1757">
        <v>0.13</v>
      </c>
      <c r="S116" s="1712">
        <f t="shared" si="39"/>
        <v>0</v>
      </c>
      <c r="T116" s="1712" t="str">
        <f t="shared" si="27"/>
        <v/>
      </c>
      <c r="U116" s="1712" t="str">
        <f t="shared" si="28"/>
        <v/>
      </c>
      <c r="V116" s="1952"/>
    </row>
    <row r="117" spans="1:23" s="1942" customFormat="1" ht="23.4" customHeight="1" outlineLevel="2">
      <c r="A117" s="1944"/>
      <c r="B117" s="1807" t="s">
        <v>3612</v>
      </c>
      <c r="C117" s="1808"/>
      <c r="D117" s="1843" t="s">
        <v>3613</v>
      </c>
      <c r="E117" s="2009" t="s">
        <v>3614</v>
      </c>
      <c r="F117" s="1462" t="s">
        <v>3615</v>
      </c>
      <c r="G117" s="1953" t="s">
        <v>4148</v>
      </c>
      <c r="H117" s="1975" t="s">
        <v>10</v>
      </c>
      <c r="I117" s="1712">
        <f t="shared" si="40"/>
        <v>1142.02</v>
      </c>
      <c r="J117" s="1949">
        <v>1</v>
      </c>
      <c r="K117" s="1950" t="s">
        <v>101</v>
      </c>
      <c r="L117" s="1947" t="s">
        <v>10</v>
      </c>
      <c r="M117" s="1754">
        <f t="shared" si="35"/>
        <v>1142.02</v>
      </c>
      <c r="N117" s="1712"/>
      <c r="O117" s="1712">
        <f t="shared" si="36"/>
        <v>0</v>
      </c>
      <c r="P117" s="1712">
        <f t="shared" si="37"/>
        <v>0</v>
      </c>
      <c r="Q117" s="1712">
        <f t="shared" si="38"/>
        <v>0</v>
      </c>
      <c r="R117" s="1757">
        <v>0.13</v>
      </c>
      <c r="S117" s="1712">
        <f t="shared" si="39"/>
        <v>0</v>
      </c>
      <c r="T117" s="1712" t="str">
        <f t="shared" si="27"/>
        <v/>
      </c>
      <c r="U117" s="1712" t="str">
        <f t="shared" si="28"/>
        <v/>
      </c>
      <c r="V117" s="1952"/>
    </row>
    <row r="118" spans="1:23" s="1942" customFormat="1" ht="23.4" customHeight="1" outlineLevel="2">
      <c r="A118" s="1944"/>
      <c r="B118" s="1807" t="s">
        <v>3616</v>
      </c>
      <c r="C118" s="1808"/>
      <c r="D118" s="1843" t="s">
        <v>3617</v>
      </c>
      <c r="E118" s="2009" t="s">
        <v>3618</v>
      </c>
      <c r="F118" s="1462" t="s">
        <v>3521</v>
      </c>
      <c r="G118" s="1953" t="s">
        <v>4139</v>
      </c>
      <c r="H118" s="1975" t="s">
        <v>10</v>
      </c>
      <c r="I118" s="1712">
        <f t="shared" si="40"/>
        <v>1142.02</v>
      </c>
      <c r="J118" s="1949">
        <v>1</v>
      </c>
      <c r="K118" s="1950" t="s">
        <v>101</v>
      </c>
      <c r="L118" s="1947" t="s">
        <v>10</v>
      </c>
      <c r="M118" s="1754">
        <f t="shared" si="35"/>
        <v>1142.02</v>
      </c>
      <c r="N118" s="1712"/>
      <c r="O118" s="1712">
        <f t="shared" si="36"/>
        <v>0</v>
      </c>
      <c r="P118" s="1712">
        <f t="shared" si="37"/>
        <v>0</v>
      </c>
      <c r="Q118" s="1712">
        <f t="shared" si="38"/>
        <v>0</v>
      </c>
      <c r="R118" s="1757">
        <v>0.13</v>
      </c>
      <c r="S118" s="1712">
        <f t="shared" si="39"/>
        <v>0</v>
      </c>
      <c r="T118" s="1712" t="str">
        <f t="shared" si="27"/>
        <v/>
      </c>
      <c r="U118" s="1712" t="str">
        <f t="shared" si="28"/>
        <v/>
      </c>
      <c r="V118" s="1952"/>
    </row>
    <row r="119" spans="1:23" s="1942" customFormat="1" ht="23.4" customHeight="1" outlineLevel="2">
      <c r="A119" s="1944"/>
      <c r="B119" s="1807" t="s">
        <v>3619</v>
      </c>
      <c r="C119" s="1808"/>
      <c r="D119" s="1843" t="s">
        <v>3620</v>
      </c>
      <c r="E119" s="2009" t="s">
        <v>3621</v>
      </c>
      <c r="F119" s="1462" t="s">
        <v>1329</v>
      </c>
      <c r="G119" s="1953" t="s">
        <v>4132</v>
      </c>
      <c r="H119" s="1975" t="s">
        <v>10</v>
      </c>
      <c r="I119" s="1712">
        <f t="shared" si="40"/>
        <v>1142.02</v>
      </c>
      <c r="J119" s="1949">
        <v>1</v>
      </c>
      <c r="K119" s="1950" t="s">
        <v>101</v>
      </c>
      <c r="L119" s="1947" t="s">
        <v>10</v>
      </c>
      <c r="M119" s="1754">
        <f t="shared" si="35"/>
        <v>1142.02</v>
      </c>
      <c r="N119" s="1712"/>
      <c r="O119" s="1712">
        <f t="shared" si="36"/>
        <v>0</v>
      </c>
      <c r="P119" s="1712">
        <f t="shared" si="37"/>
        <v>0</v>
      </c>
      <c r="Q119" s="1712">
        <f t="shared" si="38"/>
        <v>0</v>
      </c>
      <c r="R119" s="1757">
        <v>0.13</v>
      </c>
      <c r="S119" s="1712">
        <f t="shared" si="39"/>
        <v>0</v>
      </c>
      <c r="T119" s="1712" t="str">
        <f t="shared" si="27"/>
        <v/>
      </c>
      <c r="U119" s="1712" t="str">
        <f t="shared" si="28"/>
        <v/>
      </c>
      <c r="V119" s="1952"/>
    </row>
    <row r="120" spans="1:23" ht="23.4" customHeight="1" outlineLevel="1">
      <c r="A120" s="2019"/>
      <c r="B120" s="2023" t="s">
        <v>687</v>
      </c>
      <c r="C120" s="1852">
        <v>2</v>
      </c>
      <c r="D120" s="2024" t="s">
        <v>3146</v>
      </c>
      <c r="E120" s="2025"/>
      <c r="F120" s="1968"/>
      <c r="G120" s="2007" t="s">
        <v>4117</v>
      </c>
      <c r="H120" s="1967"/>
      <c r="I120" s="1969"/>
      <c r="J120" s="1970"/>
      <c r="K120" s="1971"/>
      <c r="L120" s="1967"/>
      <c r="M120" s="1971"/>
      <c r="N120" s="1973">
        <f>O120/$E$5*10000</f>
        <v>800</v>
      </c>
      <c r="O120" s="1973">
        <f>SUBTOTAL(9,O121:O123)</f>
        <v>91.361599999999996</v>
      </c>
      <c r="P120" s="1973"/>
      <c r="Q120" s="1973">
        <f>SUBTOTAL(9,Q121:Q123)</f>
        <v>86.190189000000004</v>
      </c>
      <c r="R120" s="1973"/>
      <c r="S120" s="1973">
        <f>SUBTOTAL(9,S121:S123)</f>
        <v>5.171410999999992</v>
      </c>
      <c r="T120" s="1973" t="str">
        <f t="shared" si="27"/>
        <v/>
      </c>
      <c r="U120" s="1973" t="str">
        <f t="shared" si="28"/>
        <v/>
      </c>
      <c r="V120" s="1974"/>
      <c r="W120" s="1898"/>
    </row>
    <row r="121" spans="1:23" s="1942" customFormat="1" ht="23.4" customHeight="1" outlineLevel="2">
      <c r="A121" s="1944"/>
      <c r="B121" s="1807" t="s">
        <v>689</v>
      </c>
      <c r="C121" s="1808"/>
      <c r="D121" s="2008" t="s">
        <v>3622</v>
      </c>
      <c r="E121" s="2009" t="s">
        <v>3623</v>
      </c>
      <c r="F121" s="1462" t="s">
        <v>3624</v>
      </c>
      <c r="G121" s="1953" t="s">
        <v>4149</v>
      </c>
      <c r="H121" s="1975" t="s">
        <v>10</v>
      </c>
      <c r="I121" s="1712">
        <f t="shared" si="40"/>
        <v>1142.02</v>
      </c>
      <c r="J121" s="1949">
        <v>0.25</v>
      </c>
      <c r="K121" s="1950" t="s">
        <v>101</v>
      </c>
      <c r="L121" s="1947" t="s">
        <v>10</v>
      </c>
      <c r="M121" s="1754">
        <f t="shared" si="35"/>
        <v>285.505</v>
      </c>
      <c r="N121" s="1712">
        <v>3200</v>
      </c>
      <c r="O121" s="1712">
        <f>ROUND(M121*ROUND(N121,2)/10000,6)</f>
        <v>91.361599999999996</v>
      </c>
      <c r="P121" s="1712">
        <f>IFERROR(ROUND(Q121*10000/M121,2),0)</f>
        <v>3018.87</v>
      </c>
      <c r="Q121" s="1712">
        <f>ROUND(O121/(1+R121),6)</f>
        <v>86.190189000000004</v>
      </c>
      <c r="R121" s="1757">
        <v>0.06</v>
      </c>
      <c r="S121" s="1712">
        <f>O121-Q121</f>
        <v>5.171410999999992</v>
      </c>
      <c r="T121" s="1712" t="str">
        <f t="shared" si="27"/>
        <v/>
      </c>
      <c r="U121" s="1712" t="str">
        <f t="shared" si="28"/>
        <v/>
      </c>
      <c r="V121" s="1952"/>
    </row>
    <row r="122" spans="1:23" s="1942" customFormat="1" ht="23.4" customHeight="1" outlineLevel="2">
      <c r="A122" s="1944"/>
      <c r="B122" s="1807" t="s">
        <v>691</v>
      </c>
      <c r="C122" s="1808"/>
      <c r="D122" s="2008" t="s">
        <v>3625</v>
      </c>
      <c r="E122" s="2009" t="s">
        <v>3626</v>
      </c>
      <c r="F122" s="1462" t="s">
        <v>3624</v>
      </c>
      <c r="G122" s="1953" t="s">
        <v>4149</v>
      </c>
      <c r="H122" s="1975" t="s">
        <v>10</v>
      </c>
      <c r="I122" s="1712">
        <f t="shared" si="40"/>
        <v>1142.02</v>
      </c>
      <c r="J122" s="1949">
        <v>1</v>
      </c>
      <c r="K122" s="1950" t="s">
        <v>101</v>
      </c>
      <c r="L122" s="1947" t="s">
        <v>10</v>
      </c>
      <c r="M122" s="1754">
        <f t="shared" si="35"/>
        <v>1142.02</v>
      </c>
      <c r="N122" s="1712"/>
      <c r="O122" s="1712">
        <f>ROUND(M122*ROUND(N122,2)/10000,6)</f>
        <v>0</v>
      </c>
      <c r="P122" s="1712">
        <f>IFERROR(ROUND(Q122*10000/M122,2),0)</f>
        <v>0</v>
      </c>
      <c r="Q122" s="1712">
        <f>ROUND(O122/(1+R122),6)</f>
        <v>0</v>
      </c>
      <c r="R122" s="1757">
        <v>0.06</v>
      </c>
      <c r="S122" s="1712">
        <f>O122-Q122</f>
        <v>0</v>
      </c>
      <c r="T122" s="1712" t="str">
        <f t="shared" si="27"/>
        <v/>
      </c>
      <c r="U122" s="1712" t="str">
        <f t="shared" si="28"/>
        <v/>
      </c>
      <c r="V122" s="1952"/>
    </row>
    <row r="123" spans="1:23" s="1942" customFormat="1" ht="23.4" customHeight="1" outlineLevel="2">
      <c r="A123" s="1944"/>
      <c r="B123" s="1807" t="s">
        <v>693</v>
      </c>
      <c r="C123" s="1808"/>
      <c r="D123" s="2008" t="s">
        <v>3627</v>
      </c>
      <c r="E123" s="2009" t="s">
        <v>3628</v>
      </c>
      <c r="F123" s="1462" t="s">
        <v>3624</v>
      </c>
      <c r="G123" s="1953" t="s">
        <v>4149</v>
      </c>
      <c r="H123" s="1975" t="s">
        <v>10</v>
      </c>
      <c r="I123" s="1712">
        <f t="shared" si="40"/>
        <v>1142.02</v>
      </c>
      <c r="J123" s="1949">
        <v>1</v>
      </c>
      <c r="K123" s="1950" t="s">
        <v>101</v>
      </c>
      <c r="L123" s="1947" t="s">
        <v>10</v>
      </c>
      <c r="M123" s="1754">
        <f t="shared" si="35"/>
        <v>1142.02</v>
      </c>
      <c r="N123" s="1712"/>
      <c r="O123" s="1712">
        <f>ROUND(M123*ROUND(N123,2)/10000,6)</f>
        <v>0</v>
      </c>
      <c r="P123" s="1712">
        <f>IFERROR(ROUND(Q123*10000/M123,2),0)</f>
        <v>0</v>
      </c>
      <c r="Q123" s="1712">
        <f>ROUND(O123/(1+R123),6)</f>
        <v>0</v>
      </c>
      <c r="R123" s="1757">
        <v>0.13</v>
      </c>
      <c r="S123" s="1712">
        <f>O123-Q123</f>
        <v>0</v>
      </c>
      <c r="T123" s="1712" t="str">
        <f t="shared" si="27"/>
        <v/>
      </c>
      <c r="U123" s="1712" t="str">
        <f t="shared" si="28"/>
        <v/>
      </c>
      <c r="V123" s="1952"/>
    </row>
    <row r="124" spans="1:23" ht="23.4" customHeight="1" outlineLevel="1">
      <c r="A124" s="2019"/>
      <c r="B124" s="2023" t="s">
        <v>695</v>
      </c>
      <c r="C124" s="1852">
        <v>3</v>
      </c>
      <c r="D124" s="2024" t="s">
        <v>3147</v>
      </c>
      <c r="E124" s="2025"/>
      <c r="F124" s="2026" t="s">
        <v>1424</v>
      </c>
      <c r="G124" s="2027" t="s">
        <v>4123</v>
      </c>
      <c r="H124" s="2028" t="s">
        <v>10</v>
      </c>
      <c r="I124" s="2029">
        <f t="shared" si="40"/>
        <v>1142.02</v>
      </c>
      <c r="J124" s="2030"/>
      <c r="K124" s="2031" t="s">
        <v>101</v>
      </c>
      <c r="L124" s="2032" t="s">
        <v>10</v>
      </c>
      <c r="M124" s="1971"/>
      <c r="N124" s="1973"/>
      <c r="O124" s="1973">
        <f>ROUND(M124*ROUND(N124,2)/10000,6)</f>
        <v>0</v>
      </c>
      <c r="P124" s="1973">
        <f>IFERROR(ROUND(Q124*10000/M124,2),0)</f>
        <v>0</v>
      </c>
      <c r="Q124" s="1973">
        <f>ROUND(O124/(1+R124),6)</f>
        <v>0</v>
      </c>
      <c r="R124" s="2170">
        <v>0.06</v>
      </c>
      <c r="S124" s="2034">
        <f>O124-Q124</f>
        <v>0</v>
      </c>
      <c r="T124" s="1973" t="str">
        <f t="shared" si="27"/>
        <v/>
      </c>
      <c r="U124" s="1973" t="str">
        <f t="shared" si="28"/>
        <v/>
      </c>
      <c r="V124" s="1974"/>
      <c r="W124" s="1898"/>
    </row>
    <row r="125" spans="1:23" ht="23.4" customHeight="1" outlineLevel="1">
      <c r="A125" s="2019"/>
      <c r="B125" s="2023" t="s">
        <v>697</v>
      </c>
      <c r="C125" s="1852">
        <v>4</v>
      </c>
      <c r="D125" s="2024" t="s">
        <v>3148</v>
      </c>
      <c r="E125" s="2025" t="s">
        <v>3629</v>
      </c>
      <c r="F125" s="2026" t="s">
        <v>3577</v>
      </c>
      <c r="G125" s="2027" t="s">
        <v>4141</v>
      </c>
      <c r="H125" s="2032" t="s">
        <v>10</v>
      </c>
      <c r="I125" s="2029">
        <f t="shared" si="40"/>
        <v>1142.02</v>
      </c>
      <c r="J125" s="2030"/>
      <c r="K125" s="2031" t="s">
        <v>101</v>
      </c>
      <c r="L125" s="2032" t="s">
        <v>4056</v>
      </c>
      <c r="M125" s="1971"/>
      <c r="N125" s="1973"/>
      <c r="O125" s="1973">
        <f>ROUND(M125*ROUND(N125,2)/10000,6)</f>
        <v>0</v>
      </c>
      <c r="P125" s="1973">
        <f>IFERROR(ROUND(Q125*10000/M125,2),0)</f>
        <v>0</v>
      </c>
      <c r="Q125" s="1973">
        <f>ROUND(O125/(1+R125),6)</f>
        <v>0</v>
      </c>
      <c r="R125" s="2170">
        <v>0.09</v>
      </c>
      <c r="S125" s="2034">
        <f>O125-Q125</f>
        <v>0</v>
      </c>
      <c r="T125" s="1973" t="str">
        <f t="shared" si="27"/>
        <v/>
      </c>
      <c r="U125" s="1973" t="str">
        <f t="shared" si="28"/>
        <v/>
      </c>
      <c r="V125" s="1974"/>
      <c r="W125" s="1898"/>
    </row>
    <row r="126" spans="1:23" ht="23.4" customHeight="1">
      <c r="A126" s="2019"/>
      <c r="B126" s="1684">
        <v>5001.05</v>
      </c>
      <c r="C126" s="1685" t="s">
        <v>379</v>
      </c>
      <c r="D126" s="1956" t="s">
        <v>498</v>
      </c>
      <c r="E126" s="1957"/>
      <c r="F126" s="2020"/>
      <c r="G126" s="2021" t="s">
        <v>4117</v>
      </c>
      <c r="H126" s="1959"/>
      <c r="I126" s="1960"/>
      <c r="J126" s="1961"/>
      <c r="K126" s="2022"/>
      <c r="L126" s="1959"/>
      <c r="M126" s="2022"/>
      <c r="N126" s="1963"/>
      <c r="O126" s="1963">
        <f>SUBTOTAL(9,O127:O202)</f>
        <v>81.776774000000017</v>
      </c>
      <c r="P126" s="1963"/>
      <c r="Q126" s="1963">
        <f>SUBTOTAL(9,Q127:Q202)</f>
        <v>74.972844999999978</v>
      </c>
      <c r="R126" s="1963"/>
      <c r="S126" s="1963">
        <f>SUBTOTAL(9,S127:S202)</f>
        <v>6.8039290000000046</v>
      </c>
      <c r="T126" s="1963" t="str">
        <f t="shared" si="27"/>
        <v/>
      </c>
      <c r="U126" s="1963" t="str">
        <f t="shared" si="28"/>
        <v/>
      </c>
      <c r="V126" s="1964"/>
      <c r="W126" s="1898"/>
    </row>
    <row r="127" spans="1:23" ht="23.4" customHeight="1" outlineLevel="1">
      <c r="A127" s="2019"/>
      <c r="B127" s="2023" t="s">
        <v>499</v>
      </c>
      <c r="C127" s="1852">
        <v>1</v>
      </c>
      <c r="D127" s="2024" t="s">
        <v>35</v>
      </c>
      <c r="E127" s="2025"/>
      <c r="F127" s="1968"/>
      <c r="G127" s="2007" t="s">
        <v>4117</v>
      </c>
      <c r="H127" s="1967"/>
      <c r="I127" s="1969"/>
      <c r="J127" s="1970"/>
      <c r="K127" s="1971"/>
      <c r="L127" s="1967"/>
      <c r="M127" s="1971"/>
      <c r="N127" s="1973">
        <f>O127/E5*10000</f>
        <v>704.07129472338499</v>
      </c>
      <c r="O127" s="1973">
        <f>SUBTOTAL(9,O128:O169)</f>
        <v>80.406350000000018</v>
      </c>
      <c r="P127" s="1973"/>
      <c r="Q127" s="1973">
        <f>SUBTOTAL(9,Q128:Q169)</f>
        <v>73.715574999999973</v>
      </c>
      <c r="R127" s="1973"/>
      <c r="S127" s="1973">
        <f>SUBTOTAL(9,S128:S169)</f>
        <v>6.6907750000000048</v>
      </c>
      <c r="T127" s="1973" t="str">
        <f t="shared" si="27"/>
        <v/>
      </c>
      <c r="U127" s="1973" t="str">
        <f t="shared" si="28"/>
        <v/>
      </c>
      <c r="V127" s="1974"/>
      <c r="W127" s="1898"/>
    </row>
    <row r="128" spans="1:23" s="1942" customFormat="1" ht="23.4" customHeight="1" outlineLevel="2">
      <c r="A128" s="1944"/>
      <c r="B128" s="1807" t="s">
        <v>700</v>
      </c>
      <c r="C128" s="1808"/>
      <c r="D128" s="2008" t="s">
        <v>701</v>
      </c>
      <c r="E128" s="2009"/>
      <c r="F128" s="1462"/>
      <c r="G128" s="1953" t="s">
        <v>4117</v>
      </c>
      <c r="H128" s="1947"/>
      <c r="I128" s="1948"/>
      <c r="J128" s="1949"/>
      <c r="K128" s="1950"/>
      <c r="L128" s="1947"/>
      <c r="M128" s="1950"/>
      <c r="N128" s="1712"/>
      <c r="O128" s="1712">
        <f>SUBTOTAL(9,O129:O143)</f>
        <v>76.743744000000007</v>
      </c>
      <c r="P128" s="1712"/>
      <c r="Q128" s="1712">
        <f>SUBTOTAL(9,Q129:Q143)</f>
        <v>70.407105000000001</v>
      </c>
      <c r="R128" s="1712"/>
      <c r="S128" s="1712">
        <f>SUBTOTAL(9,S129:S143)</f>
        <v>6.3366390000000052</v>
      </c>
      <c r="T128" s="1712" t="str">
        <f t="shared" si="27"/>
        <v/>
      </c>
      <c r="U128" s="1712" t="str">
        <f t="shared" si="28"/>
        <v/>
      </c>
      <c r="V128" s="1952"/>
    </row>
    <row r="129" spans="1:22" s="1942" customFormat="1" ht="23.4" customHeight="1" outlineLevel="3">
      <c r="A129" s="1944"/>
      <c r="B129" s="1978" t="s">
        <v>702</v>
      </c>
      <c r="C129" s="1810"/>
      <c r="D129" s="2008" t="s">
        <v>3630</v>
      </c>
      <c r="E129" s="2009" t="s">
        <v>3631</v>
      </c>
      <c r="F129" s="1462"/>
      <c r="G129" s="1953" t="s">
        <v>4117</v>
      </c>
      <c r="H129" s="1947"/>
      <c r="I129" s="1712"/>
      <c r="J129" s="2035"/>
      <c r="K129" s="1950"/>
      <c r="L129" s="1947"/>
      <c r="M129" s="1754"/>
      <c r="N129" s="1712"/>
      <c r="O129" s="1712">
        <f>SUBTOTAL(9,O130:O131)</f>
        <v>0</v>
      </c>
      <c r="P129" s="1983"/>
      <c r="Q129" s="1712">
        <f>SUBTOTAL(9,Q130:Q131)</f>
        <v>0</v>
      </c>
      <c r="R129" s="1757"/>
      <c r="S129" s="1712">
        <f>SUBTOTAL(9,S130:S131)</f>
        <v>0</v>
      </c>
      <c r="T129" s="1712" t="str">
        <f t="shared" si="27"/>
        <v/>
      </c>
      <c r="U129" s="1712" t="str">
        <f t="shared" si="28"/>
        <v/>
      </c>
      <c r="V129" s="1952"/>
    </row>
    <row r="130" spans="1:22" s="1942" customFormat="1" ht="23.4" customHeight="1" outlineLevel="4">
      <c r="A130" s="1944" t="s">
        <v>4011</v>
      </c>
      <c r="B130" s="1985" t="s">
        <v>801</v>
      </c>
      <c r="C130" s="1828"/>
      <c r="D130" s="2013" t="s">
        <v>4057</v>
      </c>
      <c r="E130" s="2011"/>
      <c r="F130" s="1988" t="s">
        <v>459</v>
      </c>
      <c r="G130" s="1989" t="s">
        <v>4150</v>
      </c>
      <c r="H130" s="1990" t="s">
        <v>10</v>
      </c>
      <c r="I130" s="1991">
        <f>+I102</f>
        <v>1142.02</v>
      </c>
      <c r="J130" s="2180">
        <v>1.6</v>
      </c>
      <c r="K130" s="2000" t="s">
        <v>101</v>
      </c>
      <c r="L130" s="1990" t="s">
        <v>4058</v>
      </c>
      <c r="M130" s="1991">
        <f>ROUND(I130,2)*ROUND(J130,4)</f>
        <v>1827.232</v>
      </c>
      <c r="N130" s="1991"/>
      <c r="O130" s="1991">
        <f>ROUND(M130*ROUND(N130,2)/10000,6)</f>
        <v>0</v>
      </c>
      <c r="P130" s="1991">
        <f>IFERROR(ROUND(Q130*10000/M130,2),0)</f>
        <v>0</v>
      </c>
      <c r="Q130" s="1991">
        <f>ROUND(O130/(1+R130),6)</f>
        <v>0</v>
      </c>
      <c r="R130" s="1993">
        <v>0.13</v>
      </c>
      <c r="S130" s="1991">
        <f>O130-Q130</f>
        <v>0</v>
      </c>
      <c r="T130" s="1991" t="str">
        <f t="shared" si="27"/>
        <v/>
      </c>
      <c r="U130" s="1991" t="str">
        <f t="shared" si="28"/>
        <v/>
      </c>
      <c r="V130" s="1994"/>
    </row>
    <row r="131" spans="1:22" s="1942" customFormat="1" ht="23.4" customHeight="1" outlineLevel="4">
      <c r="A131" s="1944" t="s">
        <v>4011</v>
      </c>
      <c r="B131" s="1985" t="s">
        <v>703</v>
      </c>
      <c r="C131" s="1828"/>
      <c r="D131" s="2013" t="s">
        <v>4059</v>
      </c>
      <c r="E131" s="2011"/>
      <c r="F131" s="1988" t="s">
        <v>1493</v>
      </c>
      <c r="G131" s="1989" t="s">
        <v>4119</v>
      </c>
      <c r="H131" s="1990" t="s">
        <v>10</v>
      </c>
      <c r="I131" s="1991">
        <f>$E$5</f>
        <v>1142.02</v>
      </c>
      <c r="J131" s="2180">
        <v>1.6</v>
      </c>
      <c r="K131" s="2000" t="s">
        <v>101</v>
      </c>
      <c r="L131" s="1990" t="s">
        <v>4058</v>
      </c>
      <c r="M131" s="1991">
        <f>ROUND(I131,2)*ROUND(J131,4)</f>
        <v>1827.232</v>
      </c>
      <c r="N131" s="2127"/>
      <c r="O131" s="1991">
        <f>ROUND(M131*ROUND(N131,2)/10000,6)</f>
        <v>0</v>
      </c>
      <c r="P131" s="1991">
        <f>IFERROR(ROUND(Q131*10000/M131,2),0)</f>
        <v>0</v>
      </c>
      <c r="Q131" s="1991">
        <f>ROUND(O131/(1+R131),6)</f>
        <v>0</v>
      </c>
      <c r="R131" s="1993">
        <v>0.09</v>
      </c>
      <c r="S131" s="1991">
        <f>O131-Q131</f>
        <v>0</v>
      </c>
      <c r="T131" s="1991" t="str">
        <f t="shared" si="27"/>
        <v/>
      </c>
      <c r="U131" s="1991" t="str">
        <f t="shared" si="28"/>
        <v/>
      </c>
      <c r="V131" s="1994"/>
    </row>
    <row r="132" spans="1:22" s="1942" customFormat="1" ht="23.4" customHeight="1" outlineLevel="3">
      <c r="A132" s="1944"/>
      <c r="B132" s="1978" t="s">
        <v>1558</v>
      </c>
      <c r="C132" s="1810"/>
      <c r="D132" s="2008" t="s">
        <v>3632</v>
      </c>
      <c r="E132" s="2009" t="s">
        <v>3633</v>
      </c>
      <c r="F132" s="1462"/>
      <c r="G132" s="1953" t="s">
        <v>4117</v>
      </c>
      <c r="H132" s="1947"/>
      <c r="I132" s="1948"/>
      <c r="J132" s="2035"/>
      <c r="K132" s="1950"/>
      <c r="L132" s="1947"/>
      <c r="M132" s="1754"/>
      <c r="N132" s="1712"/>
      <c r="O132" s="1712">
        <f>SUBTOTAL(9,O133:O134)</f>
        <v>0</v>
      </c>
      <c r="P132" s="1983"/>
      <c r="Q132" s="1712">
        <f>SUBTOTAL(9,Q133:Q134)</f>
        <v>0</v>
      </c>
      <c r="R132" s="1757"/>
      <c r="S132" s="1712">
        <f>SUBTOTAL(9,S133:S134)</f>
        <v>0</v>
      </c>
      <c r="T132" s="1712" t="str">
        <f t="shared" si="27"/>
        <v/>
      </c>
      <c r="U132" s="1712" t="str">
        <f t="shared" si="28"/>
        <v/>
      </c>
      <c r="V132" s="1952"/>
    </row>
    <row r="133" spans="1:22" s="1942" customFormat="1" ht="23.4" customHeight="1" outlineLevel="4">
      <c r="A133" s="1944"/>
      <c r="B133" s="1985" t="s">
        <v>802</v>
      </c>
      <c r="C133" s="1828"/>
      <c r="D133" s="2013" t="s">
        <v>1569</v>
      </c>
      <c r="E133" s="2011"/>
      <c r="F133" s="1988" t="s">
        <v>469</v>
      </c>
      <c r="G133" s="1989" t="s">
        <v>4151</v>
      </c>
      <c r="H133" s="1990" t="s">
        <v>10</v>
      </c>
      <c r="I133" s="1991">
        <f>$E$5</f>
        <v>1142.02</v>
      </c>
      <c r="J133" s="2098">
        <v>0.2</v>
      </c>
      <c r="K133" s="2000" t="s">
        <v>101</v>
      </c>
      <c r="L133" s="1990" t="s">
        <v>4060</v>
      </c>
      <c r="M133" s="1991">
        <f t="shared" ref="M133:M183" si="41">ROUND(I133,2)*ROUND(J133,4)</f>
        <v>228.404</v>
      </c>
      <c r="N133" s="1991"/>
      <c r="O133" s="1991">
        <f t="shared" ref="O133:O143" si="42">ROUND(M133*ROUND(N133,2)/10000,6)</f>
        <v>0</v>
      </c>
      <c r="P133" s="1991">
        <f t="shared" ref="P133:P143" si="43">IFERROR(ROUND(Q133*10000/M133,2),0)</f>
        <v>0</v>
      </c>
      <c r="Q133" s="1991">
        <f t="shared" ref="Q133:Q143" si="44">ROUND(O133/(1+R133),6)</f>
        <v>0</v>
      </c>
      <c r="R133" s="1993">
        <v>0.13</v>
      </c>
      <c r="S133" s="1991">
        <f t="shared" ref="S133:S143" si="45">O133-Q133</f>
        <v>0</v>
      </c>
      <c r="T133" s="1991" t="str">
        <f t="shared" si="27"/>
        <v/>
      </c>
      <c r="U133" s="1991" t="str">
        <f t="shared" si="28"/>
        <v/>
      </c>
      <c r="V133" s="1994"/>
    </row>
    <row r="134" spans="1:22" s="1942" customFormat="1" ht="23.4" customHeight="1" outlineLevel="4">
      <c r="A134" s="1944"/>
      <c r="B134" s="1985" t="s">
        <v>704</v>
      </c>
      <c r="C134" s="1828"/>
      <c r="D134" s="2013" t="s">
        <v>1571</v>
      </c>
      <c r="E134" s="2011"/>
      <c r="F134" s="1988" t="s">
        <v>3342</v>
      </c>
      <c r="G134" s="1989" t="s">
        <v>4116</v>
      </c>
      <c r="H134" s="1990" t="s">
        <v>10</v>
      </c>
      <c r="I134" s="1991">
        <f>$E$5</f>
        <v>1142.02</v>
      </c>
      <c r="J134" s="2098">
        <v>0.2</v>
      </c>
      <c r="K134" s="2000" t="s">
        <v>101</v>
      </c>
      <c r="L134" s="1990" t="s">
        <v>4060</v>
      </c>
      <c r="M134" s="1991">
        <f t="shared" si="41"/>
        <v>228.404</v>
      </c>
      <c r="N134" s="1991"/>
      <c r="O134" s="1991">
        <f t="shared" si="42"/>
        <v>0</v>
      </c>
      <c r="P134" s="1991">
        <f t="shared" si="43"/>
        <v>0</v>
      </c>
      <c r="Q134" s="1991">
        <f t="shared" si="44"/>
        <v>0</v>
      </c>
      <c r="R134" s="1993">
        <v>0.09</v>
      </c>
      <c r="S134" s="1991">
        <f t="shared" si="45"/>
        <v>0</v>
      </c>
      <c r="T134" s="1991" t="str">
        <f t="shared" si="27"/>
        <v/>
      </c>
      <c r="U134" s="1991" t="str">
        <f t="shared" si="28"/>
        <v/>
      </c>
      <c r="V134" s="1994"/>
    </row>
    <row r="135" spans="1:22" s="1942" customFormat="1" ht="23.4" customHeight="1" outlineLevel="3">
      <c r="A135" s="1944"/>
      <c r="B135" s="1978" t="s">
        <v>1566</v>
      </c>
      <c r="C135" s="1810"/>
      <c r="D135" s="2008" t="s">
        <v>3634</v>
      </c>
      <c r="E135" s="2009" t="s">
        <v>3635</v>
      </c>
      <c r="F135" s="1462" t="s">
        <v>3636</v>
      </c>
      <c r="G135" s="1953" t="s">
        <v>4153</v>
      </c>
      <c r="H135" s="1947" t="s">
        <v>10</v>
      </c>
      <c r="I135" s="1712">
        <f>$E$5</f>
        <v>1142.02</v>
      </c>
      <c r="J135" s="2035">
        <f>2.8*0.2</f>
        <v>0.55999999999999994</v>
      </c>
      <c r="K135" s="1950" t="s">
        <v>101</v>
      </c>
      <c r="L135" s="1947" t="s">
        <v>4061</v>
      </c>
      <c r="M135" s="1754">
        <f t="shared" si="41"/>
        <v>639.53120000000001</v>
      </c>
      <c r="N135" s="1712">
        <v>1200</v>
      </c>
      <c r="O135" s="1712">
        <f t="shared" si="42"/>
        <v>76.743744000000007</v>
      </c>
      <c r="P135" s="1712">
        <f t="shared" si="43"/>
        <v>1100.92</v>
      </c>
      <c r="Q135" s="1712">
        <f t="shared" si="44"/>
        <v>70.407105000000001</v>
      </c>
      <c r="R135" s="1757">
        <v>0.09</v>
      </c>
      <c r="S135" s="1712">
        <f t="shared" si="45"/>
        <v>6.3366390000000052</v>
      </c>
      <c r="T135" s="1712" t="str">
        <f t="shared" si="27"/>
        <v/>
      </c>
      <c r="U135" s="1712" t="str">
        <f t="shared" si="28"/>
        <v/>
      </c>
      <c r="V135" s="1952"/>
    </row>
    <row r="136" spans="1:22" s="1942" customFormat="1" ht="23.4" customHeight="1" outlineLevel="3">
      <c r="A136" s="1944"/>
      <c r="B136" s="1978" t="s">
        <v>1572</v>
      </c>
      <c r="C136" s="1810"/>
      <c r="D136" s="2008" t="s">
        <v>3637</v>
      </c>
      <c r="E136" s="2009" t="s">
        <v>3638</v>
      </c>
      <c r="F136" s="1462" t="s">
        <v>3636</v>
      </c>
      <c r="G136" s="1953" t="s">
        <v>4153</v>
      </c>
      <c r="H136" s="1947" t="s">
        <v>10</v>
      </c>
      <c r="I136" s="1712">
        <f t="shared" ref="I136:I143" si="46">$E$5</f>
        <v>1142.02</v>
      </c>
      <c r="J136" s="2035">
        <v>0</v>
      </c>
      <c r="K136" s="1950" t="s">
        <v>101</v>
      </c>
      <c r="L136" s="1947" t="s">
        <v>4062</v>
      </c>
      <c r="M136" s="1754">
        <f t="shared" si="41"/>
        <v>0</v>
      </c>
      <c r="N136" s="1712"/>
      <c r="O136" s="1712">
        <f t="shared" si="42"/>
        <v>0</v>
      </c>
      <c r="P136" s="1712">
        <f t="shared" si="43"/>
        <v>0</v>
      </c>
      <c r="Q136" s="1712">
        <f t="shared" si="44"/>
        <v>0</v>
      </c>
      <c r="R136" s="1757">
        <v>0.09</v>
      </c>
      <c r="S136" s="1712">
        <f t="shared" si="45"/>
        <v>0</v>
      </c>
      <c r="T136" s="1712" t="str">
        <f t="shared" si="27"/>
        <v/>
      </c>
      <c r="U136" s="1712" t="str">
        <f t="shared" si="28"/>
        <v/>
      </c>
      <c r="V136" s="1952"/>
    </row>
    <row r="137" spans="1:22" s="1942" customFormat="1" ht="23.4" customHeight="1" outlineLevel="3">
      <c r="A137" s="1944"/>
      <c r="B137" s="1978" t="s">
        <v>1578</v>
      </c>
      <c r="C137" s="1810"/>
      <c r="D137" s="2008" t="s">
        <v>3639</v>
      </c>
      <c r="E137" s="2009" t="s">
        <v>3640</v>
      </c>
      <c r="F137" s="1462" t="s">
        <v>3636</v>
      </c>
      <c r="G137" s="1953" t="s">
        <v>4153</v>
      </c>
      <c r="H137" s="1947" t="s">
        <v>10</v>
      </c>
      <c r="I137" s="1712">
        <f t="shared" si="46"/>
        <v>1142.02</v>
      </c>
      <c r="J137" s="2035">
        <v>0</v>
      </c>
      <c r="K137" s="1950" t="s">
        <v>101</v>
      </c>
      <c r="L137" s="1947" t="s">
        <v>4063</v>
      </c>
      <c r="M137" s="1754">
        <f t="shared" si="41"/>
        <v>0</v>
      </c>
      <c r="N137" s="1712"/>
      <c r="O137" s="1712">
        <f t="shared" si="42"/>
        <v>0</v>
      </c>
      <c r="P137" s="1712">
        <f t="shared" si="43"/>
        <v>0</v>
      </c>
      <c r="Q137" s="1712">
        <f t="shared" si="44"/>
        <v>0</v>
      </c>
      <c r="R137" s="1757">
        <v>0.09</v>
      </c>
      <c r="S137" s="1712">
        <f t="shared" si="45"/>
        <v>0</v>
      </c>
      <c r="T137" s="1712" t="str">
        <f t="shared" si="27"/>
        <v/>
      </c>
      <c r="U137" s="1712" t="str">
        <f t="shared" si="28"/>
        <v/>
      </c>
      <c r="V137" s="1952"/>
    </row>
    <row r="138" spans="1:22" s="1942" customFormat="1" ht="23.4" customHeight="1" outlineLevel="3">
      <c r="A138" s="1944"/>
      <c r="B138" s="1978" t="s">
        <v>705</v>
      </c>
      <c r="C138" s="1810"/>
      <c r="D138" s="2008" t="s">
        <v>3641</v>
      </c>
      <c r="E138" s="2009" t="s">
        <v>3642</v>
      </c>
      <c r="F138" s="1462" t="s">
        <v>1493</v>
      </c>
      <c r="G138" s="1953" t="s">
        <v>4119</v>
      </c>
      <c r="H138" s="1947" t="s">
        <v>10</v>
      </c>
      <c r="I138" s="1712">
        <f t="shared" si="46"/>
        <v>1142.02</v>
      </c>
      <c r="J138" s="2035"/>
      <c r="K138" s="1977" t="s">
        <v>4064</v>
      </c>
      <c r="L138" s="1947" t="s">
        <v>4065</v>
      </c>
      <c r="M138" s="1754">
        <f t="shared" si="41"/>
        <v>0</v>
      </c>
      <c r="N138" s="1712"/>
      <c r="O138" s="1712">
        <f t="shared" si="42"/>
        <v>0</v>
      </c>
      <c r="P138" s="1712">
        <f t="shared" si="43"/>
        <v>0</v>
      </c>
      <c r="Q138" s="1712">
        <f t="shared" si="44"/>
        <v>0</v>
      </c>
      <c r="R138" s="1757">
        <v>0.09</v>
      </c>
      <c r="S138" s="1712">
        <f t="shared" si="45"/>
        <v>0</v>
      </c>
      <c r="T138" s="1712" t="str">
        <f t="shared" si="27"/>
        <v/>
      </c>
      <c r="U138" s="1712" t="str">
        <f t="shared" si="28"/>
        <v/>
      </c>
      <c r="V138" s="1952"/>
    </row>
    <row r="139" spans="1:22" s="1942" customFormat="1" ht="23.4" customHeight="1" outlineLevel="3">
      <c r="A139" s="1944"/>
      <c r="B139" s="1978" t="s">
        <v>706</v>
      </c>
      <c r="C139" s="1810"/>
      <c r="D139" s="2008" t="s">
        <v>3643</v>
      </c>
      <c r="E139" s="2009" t="s">
        <v>3644</v>
      </c>
      <c r="F139" s="1462" t="s">
        <v>3636</v>
      </c>
      <c r="G139" s="1953" t="s">
        <v>4153</v>
      </c>
      <c r="H139" s="1947" t="s">
        <v>18</v>
      </c>
      <c r="I139" s="1712">
        <f>$G$5</f>
        <v>1</v>
      </c>
      <c r="J139" s="2035">
        <v>0.05</v>
      </c>
      <c r="K139" s="1977" t="s">
        <v>4085</v>
      </c>
      <c r="L139" s="1947" t="s">
        <v>4066</v>
      </c>
      <c r="M139" s="1754">
        <f t="shared" si="41"/>
        <v>0.05</v>
      </c>
      <c r="N139" s="1712"/>
      <c r="O139" s="1712">
        <f t="shared" si="42"/>
        <v>0</v>
      </c>
      <c r="P139" s="1712">
        <f t="shared" si="43"/>
        <v>0</v>
      </c>
      <c r="Q139" s="1712">
        <f t="shared" si="44"/>
        <v>0</v>
      </c>
      <c r="R139" s="1757">
        <v>0.13</v>
      </c>
      <c r="S139" s="1712">
        <f t="shared" si="45"/>
        <v>0</v>
      </c>
      <c r="T139" s="1712" t="str">
        <f t="shared" ref="T139:T202" si="47">IFERROR(Q139*10000/$E$6,"")</f>
        <v/>
      </c>
      <c r="U139" s="1712" t="str">
        <f t="shared" ref="U139:U202" si="48">IFERROR(O139*10000/$E$6,"")</f>
        <v/>
      </c>
      <c r="V139" s="1952"/>
    </row>
    <row r="140" spans="1:22" s="1942" customFormat="1" ht="23.4" customHeight="1" outlineLevel="3">
      <c r="A140" s="1944" t="s">
        <v>4011</v>
      </c>
      <c r="B140" s="1978" t="s">
        <v>707</v>
      </c>
      <c r="C140" s="1810"/>
      <c r="D140" s="2008" t="s">
        <v>97</v>
      </c>
      <c r="E140" s="2009" t="s">
        <v>3645</v>
      </c>
      <c r="F140" s="1462" t="s">
        <v>470</v>
      </c>
      <c r="G140" s="1953" t="s">
        <v>4154</v>
      </c>
      <c r="H140" s="1975" t="s">
        <v>10</v>
      </c>
      <c r="I140" s="1712">
        <f t="shared" si="46"/>
        <v>1142.02</v>
      </c>
      <c r="J140" s="1949">
        <v>1</v>
      </c>
      <c r="K140" s="1950" t="s">
        <v>101</v>
      </c>
      <c r="L140" s="1947" t="s">
        <v>10</v>
      </c>
      <c r="M140" s="1754">
        <f t="shared" si="41"/>
        <v>1142.02</v>
      </c>
      <c r="N140" s="2003"/>
      <c r="O140" s="1712">
        <f t="shared" si="42"/>
        <v>0</v>
      </c>
      <c r="P140" s="1712">
        <f t="shared" si="43"/>
        <v>0</v>
      </c>
      <c r="Q140" s="1712">
        <f t="shared" si="44"/>
        <v>0</v>
      </c>
      <c r="R140" s="1757">
        <v>0.09</v>
      </c>
      <c r="S140" s="1712">
        <f t="shared" si="45"/>
        <v>0</v>
      </c>
      <c r="T140" s="1712" t="str">
        <f t="shared" si="47"/>
        <v/>
      </c>
      <c r="U140" s="1712" t="str">
        <f t="shared" si="48"/>
        <v/>
      </c>
      <c r="V140" s="1952"/>
    </row>
    <row r="141" spans="1:22" s="1942" customFormat="1" ht="23.4" customHeight="1" outlineLevel="3">
      <c r="A141" s="1944"/>
      <c r="B141" s="1978" t="s">
        <v>709</v>
      </c>
      <c r="C141" s="1810"/>
      <c r="D141" s="2008" t="s">
        <v>3646</v>
      </c>
      <c r="E141" s="2009" t="s">
        <v>3647</v>
      </c>
      <c r="F141" s="1462" t="s">
        <v>1363</v>
      </c>
      <c r="G141" s="1953" t="s">
        <v>4155</v>
      </c>
      <c r="H141" s="1975" t="s">
        <v>10</v>
      </c>
      <c r="I141" s="1712">
        <f t="shared" si="46"/>
        <v>1142.02</v>
      </c>
      <c r="J141" s="1949"/>
      <c r="K141" s="1950" t="s">
        <v>101</v>
      </c>
      <c r="L141" s="1947" t="s">
        <v>10</v>
      </c>
      <c r="M141" s="1754">
        <f t="shared" si="41"/>
        <v>0</v>
      </c>
      <c r="N141" s="1712"/>
      <c r="O141" s="1712">
        <f t="shared" si="42"/>
        <v>0</v>
      </c>
      <c r="P141" s="1712">
        <f t="shared" si="43"/>
        <v>0</v>
      </c>
      <c r="Q141" s="1712">
        <f t="shared" si="44"/>
        <v>0</v>
      </c>
      <c r="R141" s="1757">
        <v>0.09</v>
      </c>
      <c r="S141" s="1712">
        <f t="shared" si="45"/>
        <v>0</v>
      </c>
      <c r="T141" s="1712" t="str">
        <f t="shared" si="47"/>
        <v/>
      </c>
      <c r="U141" s="1712" t="str">
        <f t="shared" si="48"/>
        <v/>
      </c>
      <c r="V141" s="1952"/>
    </row>
    <row r="142" spans="1:22" s="1942" customFormat="1" ht="23.4" customHeight="1" outlineLevel="3">
      <c r="A142" s="1944"/>
      <c r="B142" s="1978" t="s">
        <v>710</v>
      </c>
      <c r="C142" s="1810"/>
      <c r="D142" s="2008" t="s">
        <v>3648</v>
      </c>
      <c r="E142" s="2009" t="s">
        <v>3649</v>
      </c>
      <c r="F142" s="1462" t="s">
        <v>3636</v>
      </c>
      <c r="G142" s="1953" t="s">
        <v>4153</v>
      </c>
      <c r="H142" s="1975" t="s">
        <v>10</v>
      </c>
      <c r="I142" s="1712">
        <f t="shared" si="46"/>
        <v>1142.02</v>
      </c>
      <c r="J142" s="1949"/>
      <c r="K142" s="1950" t="s">
        <v>101</v>
      </c>
      <c r="L142" s="1947" t="s">
        <v>4067</v>
      </c>
      <c r="M142" s="1754">
        <f t="shared" si="41"/>
        <v>0</v>
      </c>
      <c r="N142" s="1712"/>
      <c r="O142" s="1712">
        <f t="shared" si="42"/>
        <v>0</v>
      </c>
      <c r="P142" s="1712">
        <f t="shared" si="43"/>
        <v>0</v>
      </c>
      <c r="Q142" s="1712">
        <f t="shared" si="44"/>
        <v>0</v>
      </c>
      <c r="R142" s="1757">
        <v>0.09</v>
      </c>
      <c r="S142" s="1712">
        <f t="shared" si="45"/>
        <v>0</v>
      </c>
      <c r="T142" s="1712" t="str">
        <f t="shared" si="47"/>
        <v/>
      </c>
      <c r="U142" s="1712" t="str">
        <f t="shared" si="48"/>
        <v/>
      </c>
      <c r="V142" s="1952"/>
    </row>
    <row r="143" spans="1:22" s="1942" customFormat="1" ht="23.4" customHeight="1" outlineLevel="3">
      <c r="A143" s="1944"/>
      <c r="B143" s="1978" t="s">
        <v>3650</v>
      </c>
      <c r="C143" s="1810"/>
      <c r="D143" s="2008" t="s">
        <v>3651</v>
      </c>
      <c r="E143" s="2009" t="s">
        <v>3652</v>
      </c>
      <c r="F143" s="1462" t="s">
        <v>1606</v>
      </c>
      <c r="G143" s="1953" t="s">
        <v>4121</v>
      </c>
      <c r="H143" s="1975" t="s">
        <v>10</v>
      </c>
      <c r="I143" s="1712">
        <f t="shared" si="46"/>
        <v>1142.02</v>
      </c>
      <c r="J143" s="1949"/>
      <c r="K143" s="1950" t="s">
        <v>101</v>
      </c>
      <c r="L143" s="1947" t="s">
        <v>4068</v>
      </c>
      <c r="M143" s="1754">
        <f t="shared" si="41"/>
        <v>0</v>
      </c>
      <c r="N143" s="1712"/>
      <c r="O143" s="1712">
        <f t="shared" si="42"/>
        <v>0</v>
      </c>
      <c r="P143" s="1712">
        <f t="shared" si="43"/>
        <v>0</v>
      </c>
      <c r="Q143" s="1712">
        <f t="shared" si="44"/>
        <v>0</v>
      </c>
      <c r="R143" s="1757">
        <v>0.13</v>
      </c>
      <c r="S143" s="1712">
        <f t="shared" si="45"/>
        <v>0</v>
      </c>
      <c r="T143" s="1712" t="str">
        <f t="shared" si="47"/>
        <v/>
      </c>
      <c r="U143" s="1712" t="str">
        <f t="shared" si="48"/>
        <v/>
      </c>
      <c r="V143" s="1952"/>
    </row>
    <row r="144" spans="1:22" s="1942" customFormat="1" ht="23.4" customHeight="1" outlineLevel="2">
      <c r="A144" s="1944"/>
      <c r="B144" s="1807" t="s">
        <v>712</v>
      </c>
      <c r="C144" s="1808"/>
      <c r="D144" s="2008" t="s">
        <v>713</v>
      </c>
      <c r="E144" s="2009"/>
      <c r="F144" s="1462"/>
      <c r="G144" s="1953" t="s">
        <v>4117</v>
      </c>
      <c r="H144" s="1947"/>
      <c r="I144" s="1948"/>
      <c r="J144" s="1949"/>
      <c r="K144" s="1950"/>
      <c r="L144" s="1947"/>
      <c r="M144" s="1950"/>
      <c r="N144" s="1712"/>
      <c r="O144" s="1712">
        <f>SUBTOTAL(9,O145:O152)</f>
        <v>1.0699999999999998</v>
      </c>
      <c r="P144" s="1712"/>
      <c r="Q144" s="1712">
        <f>SUBTOTAL(9,Q145:Q152)</f>
        <v>0.98165199999999997</v>
      </c>
      <c r="R144" s="1712"/>
      <c r="S144" s="1712">
        <f>SUBTOTAL(9,S145:S152)</f>
        <v>8.8347999999999899E-2</v>
      </c>
      <c r="T144" s="1712" t="str">
        <f t="shared" si="47"/>
        <v/>
      </c>
      <c r="U144" s="1712" t="str">
        <f t="shared" si="48"/>
        <v/>
      </c>
      <c r="V144" s="1952"/>
    </row>
    <row r="145" spans="1:22" s="1942" customFormat="1" ht="23.4" customHeight="1" outlineLevel="3">
      <c r="A145" s="1944"/>
      <c r="B145" s="1978" t="s">
        <v>714</v>
      </c>
      <c r="C145" s="1810"/>
      <c r="D145" s="2008" t="s">
        <v>715</v>
      </c>
      <c r="E145" s="2009" t="s">
        <v>3653</v>
      </c>
      <c r="F145" s="1462" t="s">
        <v>3654</v>
      </c>
      <c r="G145" s="1953" t="s">
        <v>4156</v>
      </c>
      <c r="H145" s="1947" t="s">
        <v>3923</v>
      </c>
      <c r="I145" s="1712">
        <f>$G$6</f>
        <v>1</v>
      </c>
      <c r="J145" s="2035">
        <v>40</v>
      </c>
      <c r="K145" s="1977" t="s">
        <v>1836</v>
      </c>
      <c r="L145" s="1947" t="s">
        <v>4069</v>
      </c>
      <c r="M145" s="1754">
        <f t="shared" si="41"/>
        <v>40</v>
      </c>
      <c r="N145" s="1712">
        <v>150</v>
      </c>
      <c r="O145" s="1712">
        <f t="shared" ref="O145:O152" si="49">ROUND(M145*ROUND(N145,2)/10000,6)</f>
        <v>0.6</v>
      </c>
      <c r="P145" s="1712">
        <f t="shared" ref="P145:P152" si="50">IFERROR(ROUND(Q145*10000/M145,2),0)</f>
        <v>137.61000000000001</v>
      </c>
      <c r="Q145" s="1712">
        <f t="shared" ref="Q145:Q152" si="51">ROUND(O145/(1+R145),6)</f>
        <v>0.55045900000000003</v>
      </c>
      <c r="R145" s="1757">
        <v>0.09</v>
      </c>
      <c r="S145" s="1712">
        <f t="shared" ref="S145:S152" si="52">O145-Q145</f>
        <v>4.9540999999999946E-2</v>
      </c>
      <c r="T145" s="1712" t="str">
        <f t="shared" si="47"/>
        <v/>
      </c>
      <c r="U145" s="1712" t="str">
        <f t="shared" si="48"/>
        <v/>
      </c>
      <c r="V145" s="1952"/>
    </row>
    <row r="146" spans="1:22" s="1942" customFormat="1" ht="23.4" customHeight="1" outlineLevel="3">
      <c r="A146" s="1944"/>
      <c r="B146" s="1978" t="s">
        <v>717</v>
      </c>
      <c r="C146" s="1810"/>
      <c r="D146" s="2008" t="s">
        <v>3655</v>
      </c>
      <c r="E146" s="2009" t="s">
        <v>3656</v>
      </c>
      <c r="F146" s="1462" t="s">
        <v>3654</v>
      </c>
      <c r="G146" s="1953" t="s">
        <v>4156</v>
      </c>
      <c r="H146" s="1947" t="s">
        <v>18</v>
      </c>
      <c r="I146" s="1712">
        <f>$G$5</f>
        <v>1</v>
      </c>
      <c r="J146" s="2035"/>
      <c r="K146" s="1950" t="s">
        <v>4064</v>
      </c>
      <c r="L146" s="1947" t="s">
        <v>4070</v>
      </c>
      <c r="M146" s="1754">
        <f t="shared" si="41"/>
        <v>0</v>
      </c>
      <c r="N146" s="1712"/>
      <c r="O146" s="1712">
        <f t="shared" si="49"/>
        <v>0</v>
      </c>
      <c r="P146" s="1712">
        <f t="shared" si="50"/>
        <v>0</v>
      </c>
      <c r="Q146" s="1712">
        <f t="shared" si="51"/>
        <v>0</v>
      </c>
      <c r="R146" s="1757">
        <v>0.09</v>
      </c>
      <c r="S146" s="1712">
        <f t="shared" si="52"/>
        <v>0</v>
      </c>
      <c r="T146" s="1712" t="str">
        <f t="shared" si="47"/>
        <v/>
      </c>
      <c r="U146" s="1712" t="str">
        <f t="shared" si="48"/>
        <v/>
      </c>
      <c r="V146" s="1952"/>
    </row>
    <row r="147" spans="1:22" s="1942" customFormat="1" ht="23.4" customHeight="1" outlineLevel="3">
      <c r="A147" s="1944"/>
      <c r="B147" s="1978" t="s">
        <v>718</v>
      </c>
      <c r="C147" s="1810"/>
      <c r="D147" s="2008" t="s">
        <v>3657</v>
      </c>
      <c r="E147" s="2009" t="s">
        <v>3658</v>
      </c>
      <c r="F147" s="1462" t="s">
        <v>3654</v>
      </c>
      <c r="G147" s="1953" t="s">
        <v>4156</v>
      </c>
      <c r="H147" s="1947" t="s">
        <v>3926</v>
      </c>
      <c r="I147" s="1712">
        <f>$G$7</f>
        <v>1</v>
      </c>
      <c r="J147" s="2035"/>
      <c r="K147" s="1950" t="s">
        <v>660</v>
      </c>
      <c r="L147" s="1947" t="s">
        <v>4071</v>
      </c>
      <c r="M147" s="1754">
        <f t="shared" si="41"/>
        <v>0</v>
      </c>
      <c r="N147" s="1712">
        <v>250</v>
      </c>
      <c r="O147" s="1712">
        <f t="shared" si="49"/>
        <v>0</v>
      </c>
      <c r="P147" s="1712">
        <f t="shared" si="50"/>
        <v>0</v>
      </c>
      <c r="Q147" s="1712">
        <f t="shared" si="51"/>
        <v>0</v>
      </c>
      <c r="R147" s="1757">
        <v>0.09</v>
      </c>
      <c r="S147" s="1712">
        <f t="shared" si="52"/>
        <v>0</v>
      </c>
      <c r="T147" s="1712" t="str">
        <f t="shared" si="47"/>
        <v/>
      </c>
      <c r="U147" s="1712" t="str">
        <f t="shared" si="48"/>
        <v/>
      </c>
      <c r="V147" s="1952"/>
    </row>
    <row r="148" spans="1:22" s="1942" customFormat="1" ht="23.4" customHeight="1" outlineLevel="3">
      <c r="A148" s="1944"/>
      <c r="B148" s="1978" t="s">
        <v>1585</v>
      </c>
      <c r="C148" s="1810"/>
      <c r="D148" s="2008" t="s">
        <v>3659</v>
      </c>
      <c r="E148" s="2009" t="s">
        <v>3660</v>
      </c>
      <c r="F148" s="1462" t="s">
        <v>3654</v>
      </c>
      <c r="G148" s="1953" t="s">
        <v>4156</v>
      </c>
      <c r="H148" s="1947" t="s">
        <v>3926</v>
      </c>
      <c r="I148" s="1712">
        <f>$G$7</f>
        <v>1</v>
      </c>
      <c r="J148" s="2035"/>
      <c r="K148" s="1950" t="s">
        <v>660</v>
      </c>
      <c r="L148" s="1947" t="s">
        <v>4072</v>
      </c>
      <c r="M148" s="1754">
        <f t="shared" si="41"/>
        <v>0</v>
      </c>
      <c r="N148" s="1712">
        <v>180</v>
      </c>
      <c r="O148" s="1712">
        <f t="shared" si="49"/>
        <v>0</v>
      </c>
      <c r="P148" s="1712">
        <f t="shared" si="50"/>
        <v>0</v>
      </c>
      <c r="Q148" s="1712">
        <f t="shared" si="51"/>
        <v>0</v>
      </c>
      <c r="R148" s="1757">
        <v>0.09</v>
      </c>
      <c r="S148" s="1712">
        <f t="shared" si="52"/>
        <v>0</v>
      </c>
      <c r="T148" s="1712" t="str">
        <f t="shared" si="47"/>
        <v/>
      </c>
      <c r="U148" s="1712" t="str">
        <f t="shared" si="48"/>
        <v/>
      </c>
      <c r="V148" s="1952"/>
    </row>
    <row r="149" spans="1:22" s="1942" customFormat="1" ht="23.4" customHeight="1" outlineLevel="3">
      <c r="A149" s="1944"/>
      <c r="B149" s="1978" t="s">
        <v>1586</v>
      </c>
      <c r="C149" s="1810"/>
      <c r="D149" s="2008" t="s">
        <v>720</v>
      </c>
      <c r="E149" s="2009" t="s">
        <v>3661</v>
      </c>
      <c r="F149" s="1462" t="s">
        <v>3654</v>
      </c>
      <c r="G149" s="1953" t="s">
        <v>4156</v>
      </c>
      <c r="H149" s="1947" t="s">
        <v>3926</v>
      </c>
      <c r="I149" s="1712">
        <f>$G$7</f>
        <v>1</v>
      </c>
      <c r="J149" s="2035">
        <v>15</v>
      </c>
      <c r="K149" s="1950" t="s">
        <v>660</v>
      </c>
      <c r="L149" s="1947" t="s">
        <v>4073</v>
      </c>
      <c r="M149" s="1754">
        <f t="shared" si="41"/>
        <v>15</v>
      </c>
      <c r="N149" s="1712">
        <v>80</v>
      </c>
      <c r="O149" s="1712">
        <f t="shared" si="49"/>
        <v>0.12</v>
      </c>
      <c r="P149" s="1712">
        <f t="shared" si="50"/>
        <v>73.39</v>
      </c>
      <c r="Q149" s="1712">
        <f t="shared" si="51"/>
        <v>0.110092</v>
      </c>
      <c r="R149" s="1757">
        <v>0.09</v>
      </c>
      <c r="S149" s="1712">
        <f t="shared" si="52"/>
        <v>9.9080000000000001E-3</v>
      </c>
      <c r="T149" s="1712" t="str">
        <f t="shared" si="47"/>
        <v/>
      </c>
      <c r="U149" s="1712" t="str">
        <f t="shared" si="48"/>
        <v/>
      </c>
      <c r="V149" s="1952"/>
    </row>
    <row r="150" spans="1:22" s="1942" customFormat="1" ht="23.4" customHeight="1" outlineLevel="3">
      <c r="A150" s="1944"/>
      <c r="B150" s="1978" t="s">
        <v>3662</v>
      </c>
      <c r="C150" s="1810"/>
      <c r="D150" s="2008" t="s">
        <v>3663</v>
      </c>
      <c r="E150" s="2009" t="s">
        <v>3664</v>
      </c>
      <c r="F150" s="1462" t="s">
        <v>3654</v>
      </c>
      <c r="G150" s="1953" t="s">
        <v>4156</v>
      </c>
      <c r="H150" s="1947" t="s">
        <v>3926</v>
      </c>
      <c r="I150" s="1712">
        <f>$G$7</f>
        <v>1</v>
      </c>
      <c r="J150" s="2035">
        <v>10</v>
      </c>
      <c r="K150" s="1950" t="s">
        <v>722</v>
      </c>
      <c r="L150" s="1947" t="s">
        <v>4074</v>
      </c>
      <c r="M150" s="1754">
        <f t="shared" si="41"/>
        <v>10</v>
      </c>
      <c r="N150" s="1712">
        <v>350</v>
      </c>
      <c r="O150" s="1712">
        <f t="shared" si="49"/>
        <v>0.35</v>
      </c>
      <c r="P150" s="1712">
        <f t="shared" si="50"/>
        <v>321.10000000000002</v>
      </c>
      <c r="Q150" s="1712">
        <f t="shared" si="51"/>
        <v>0.32110100000000003</v>
      </c>
      <c r="R150" s="1757">
        <v>0.09</v>
      </c>
      <c r="S150" s="1712">
        <f t="shared" si="52"/>
        <v>2.8898999999999953E-2</v>
      </c>
      <c r="T150" s="1712" t="str">
        <f t="shared" si="47"/>
        <v/>
      </c>
      <c r="U150" s="1712" t="str">
        <f t="shared" si="48"/>
        <v/>
      </c>
      <c r="V150" s="1952"/>
    </row>
    <row r="151" spans="1:22" s="1942" customFormat="1" ht="23.4" customHeight="1" outlineLevel="3">
      <c r="A151" s="1944"/>
      <c r="B151" s="1978" t="s">
        <v>3665</v>
      </c>
      <c r="C151" s="1810"/>
      <c r="D151" s="2008" t="s">
        <v>3666</v>
      </c>
      <c r="E151" s="2009" t="s">
        <v>3667</v>
      </c>
      <c r="F151" s="1462" t="s">
        <v>3654</v>
      </c>
      <c r="G151" s="1953" t="s">
        <v>4156</v>
      </c>
      <c r="H151" s="1947" t="s">
        <v>9</v>
      </c>
      <c r="I151" s="1712">
        <f>$E$4</f>
        <v>211.16</v>
      </c>
      <c r="J151" s="2035"/>
      <c r="K151" s="1950" t="s">
        <v>4075</v>
      </c>
      <c r="L151" s="1947" t="s">
        <v>4076</v>
      </c>
      <c r="M151" s="1754">
        <f t="shared" si="41"/>
        <v>0</v>
      </c>
      <c r="N151" s="1712"/>
      <c r="O151" s="1712">
        <f t="shared" si="49"/>
        <v>0</v>
      </c>
      <c r="P151" s="1712">
        <f t="shared" si="50"/>
        <v>0</v>
      </c>
      <c r="Q151" s="1712">
        <f t="shared" si="51"/>
        <v>0</v>
      </c>
      <c r="R151" s="1757">
        <v>0.09</v>
      </c>
      <c r="S151" s="1712">
        <f t="shared" si="52"/>
        <v>0</v>
      </c>
      <c r="T151" s="1712" t="str">
        <f t="shared" si="47"/>
        <v/>
      </c>
      <c r="U151" s="1712" t="str">
        <f t="shared" si="48"/>
        <v/>
      </c>
      <c r="V151" s="1952"/>
    </row>
    <row r="152" spans="1:22" s="1942" customFormat="1" ht="23.4" customHeight="1" outlineLevel="3">
      <c r="A152" s="1944"/>
      <c r="B152" s="1978" t="s">
        <v>3668</v>
      </c>
      <c r="C152" s="1810"/>
      <c r="D152" s="2008" t="s">
        <v>3669</v>
      </c>
      <c r="E152" s="2009" t="s">
        <v>3670</v>
      </c>
      <c r="F152" s="1462" t="s">
        <v>3654</v>
      </c>
      <c r="G152" s="1953" t="s">
        <v>4156</v>
      </c>
      <c r="H152" s="1947" t="s">
        <v>3926</v>
      </c>
      <c r="I152" s="1712">
        <f>$G$7</f>
        <v>1</v>
      </c>
      <c r="J152" s="2035"/>
      <c r="K152" s="1950" t="s">
        <v>101</v>
      </c>
      <c r="L152" s="1947" t="s">
        <v>4077</v>
      </c>
      <c r="M152" s="1754">
        <f t="shared" si="41"/>
        <v>0</v>
      </c>
      <c r="N152" s="1712"/>
      <c r="O152" s="1712">
        <f t="shared" si="49"/>
        <v>0</v>
      </c>
      <c r="P152" s="1712">
        <f t="shared" si="50"/>
        <v>0</v>
      </c>
      <c r="Q152" s="1712">
        <f t="shared" si="51"/>
        <v>0</v>
      </c>
      <c r="R152" s="1757">
        <v>0.09</v>
      </c>
      <c r="S152" s="1712">
        <f t="shared" si="52"/>
        <v>0</v>
      </c>
      <c r="T152" s="1712" t="str">
        <f t="shared" si="47"/>
        <v/>
      </c>
      <c r="U152" s="1712" t="str">
        <f t="shared" si="48"/>
        <v/>
      </c>
      <c r="V152" s="1952"/>
    </row>
    <row r="153" spans="1:22" s="1942" customFormat="1" ht="23.4" customHeight="1" outlineLevel="2">
      <c r="A153" s="1944"/>
      <c r="B153" s="1807" t="s">
        <v>723</v>
      </c>
      <c r="C153" s="1808"/>
      <c r="D153" s="2008" t="s">
        <v>21</v>
      </c>
      <c r="E153" s="2009"/>
      <c r="F153" s="1462"/>
      <c r="G153" s="1953" t="s">
        <v>4117</v>
      </c>
      <c r="H153" s="1947"/>
      <c r="I153" s="1948"/>
      <c r="J153" s="1949"/>
      <c r="K153" s="1950"/>
      <c r="L153" s="1947"/>
      <c r="M153" s="1950"/>
      <c r="N153" s="1712"/>
      <c r="O153" s="1712">
        <f>SUBTOTAL(9,O154:O158)</f>
        <v>2.0499999999999998</v>
      </c>
      <c r="P153" s="1712"/>
      <c r="Q153" s="1712">
        <f>SUBTOTAL(9,Q154:Q158)</f>
        <v>1.846635</v>
      </c>
      <c r="R153" s="1712"/>
      <c r="S153" s="1712">
        <f>SUBTOTAL(9,S154:S158)</f>
        <v>0.20336500000000002</v>
      </c>
      <c r="T153" s="1712" t="str">
        <f t="shared" si="47"/>
        <v/>
      </c>
      <c r="U153" s="1712" t="str">
        <f t="shared" si="48"/>
        <v/>
      </c>
      <c r="V153" s="1952"/>
    </row>
    <row r="154" spans="1:22" s="1942" customFormat="1" ht="23.4" customHeight="1" outlineLevel="3">
      <c r="A154" s="1944"/>
      <c r="B154" s="1978" t="s">
        <v>724</v>
      </c>
      <c r="C154" s="1810"/>
      <c r="D154" s="2008" t="s">
        <v>3671</v>
      </c>
      <c r="E154" s="2009" t="s">
        <v>3672</v>
      </c>
      <c r="F154" s="1462" t="s">
        <v>3636</v>
      </c>
      <c r="G154" s="1953" t="s">
        <v>4153</v>
      </c>
      <c r="H154" s="1947" t="s">
        <v>18</v>
      </c>
      <c r="I154" s="1712">
        <f>$G$5</f>
        <v>1</v>
      </c>
      <c r="J154" s="2035">
        <v>1</v>
      </c>
      <c r="K154" s="1950" t="s">
        <v>2942</v>
      </c>
      <c r="L154" s="1947" t="s">
        <v>4078</v>
      </c>
      <c r="M154" s="1754">
        <f t="shared" si="41"/>
        <v>1</v>
      </c>
      <c r="N154" s="1712">
        <v>10000</v>
      </c>
      <c r="O154" s="1712">
        <f>ROUND(M154*ROUND(N154,2)/10000,6)</f>
        <v>1</v>
      </c>
      <c r="P154" s="1712">
        <f>IFERROR(ROUND(Q154*10000/M154,2),0)</f>
        <v>9174.31</v>
      </c>
      <c r="Q154" s="1712">
        <f>ROUND(O154/(1+R154),6)</f>
        <v>0.917431</v>
      </c>
      <c r="R154" s="1757">
        <v>0.09</v>
      </c>
      <c r="S154" s="1712">
        <f>O154-Q154</f>
        <v>8.2569000000000004E-2</v>
      </c>
      <c r="T154" s="1712" t="str">
        <f t="shared" si="47"/>
        <v/>
      </c>
      <c r="U154" s="1712" t="str">
        <f t="shared" si="48"/>
        <v/>
      </c>
      <c r="V154" s="1952"/>
    </row>
    <row r="155" spans="1:22" s="1942" customFormat="1" ht="23.4" customHeight="1" outlineLevel="3">
      <c r="A155" s="1944"/>
      <c r="B155" s="1978" t="s">
        <v>726</v>
      </c>
      <c r="C155" s="1810"/>
      <c r="D155" s="2008" t="s">
        <v>61</v>
      </c>
      <c r="E155" s="2009" t="s">
        <v>3673</v>
      </c>
      <c r="F155" s="1462" t="s">
        <v>3674</v>
      </c>
      <c r="G155" s="1953" t="s">
        <v>4157</v>
      </c>
      <c r="H155" s="1947" t="s">
        <v>3926</v>
      </c>
      <c r="I155" s="1712">
        <f>$G$7</f>
        <v>1</v>
      </c>
      <c r="J155" s="2035">
        <v>0</v>
      </c>
      <c r="K155" s="1950" t="s">
        <v>6</v>
      </c>
      <c r="L155" s="1947" t="s">
        <v>4079</v>
      </c>
      <c r="M155" s="1754">
        <f t="shared" si="41"/>
        <v>0</v>
      </c>
      <c r="N155" s="1712"/>
      <c r="O155" s="1712">
        <f>ROUND(M155*ROUND(N155,2)/10000,6)</f>
        <v>0</v>
      </c>
      <c r="P155" s="1712">
        <f>IFERROR(ROUND(Q155*10000/M155,2),0)</f>
        <v>0</v>
      </c>
      <c r="Q155" s="1712">
        <f>ROUND(O155/(1+R155),6)</f>
        <v>0</v>
      </c>
      <c r="R155" s="1757">
        <v>0.13</v>
      </c>
      <c r="S155" s="1712">
        <f>O155-Q155</f>
        <v>0</v>
      </c>
      <c r="T155" s="1712" t="str">
        <f t="shared" si="47"/>
        <v/>
      </c>
      <c r="U155" s="1712" t="str">
        <f t="shared" si="48"/>
        <v/>
      </c>
      <c r="V155" s="1952"/>
    </row>
    <row r="156" spans="1:22" s="1942" customFormat="1" ht="23.4" customHeight="1" outlineLevel="3">
      <c r="A156" s="1944"/>
      <c r="B156" s="1978" t="s">
        <v>728</v>
      </c>
      <c r="C156" s="1810"/>
      <c r="D156" s="2008" t="s">
        <v>3675</v>
      </c>
      <c r="E156" s="2009" t="s">
        <v>3676</v>
      </c>
      <c r="F156" s="1462" t="s">
        <v>3677</v>
      </c>
      <c r="G156" s="1953" t="s">
        <v>4158</v>
      </c>
      <c r="H156" s="1947" t="s">
        <v>3923</v>
      </c>
      <c r="I156" s="1712">
        <f>G6</f>
        <v>1</v>
      </c>
      <c r="J156" s="2037">
        <v>30</v>
      </c>
      <c r="K156" s="1950" t="s">
        <v>101</v>
      </c>
      <c r="L156" s="1947" t="s">
        <v>4080</v>
      </c>
      <c r="M156" s="1754">
        <f t="shared" si="41"/>
        <v>30</v>
      </c>
      <c r="N156" s="1756">
        <v>350</v>
      </c>
      <c r="O156" s="1712">
        <f>ROUND(M156*ROUND(N156,2)/10000,6)</f>
        <v>1.05</v>
      </c>
      <c r="P156" s="1712">
        <f>IFERROR(ROUND(Q156*10000/M156,2),0)</f>
        <v>309.73</v>
      </c>
      <c r="Q156" s="1712">
        <f>ROUND(O156/(1+R156),6)</f>
        <v>0.92920400000000003</v>
      </c>
      <c r="R156" s="1757">
        <v>0.13</v>
      </c>
      <c r="S156" s="1712">
        <f>O156-Q156</f>
        <v>0.12079600000000001</v>
      </c>
      <c r="T156" s="1712" t="str">
        <f t="shared" si="47"/>
        <v/>
      </c>
      <c r="U156" s="1712" t="str">
        <f t="shared" si="48"/>
        <v/>
      </c>
      <c r="V156" s="1952"/>
    </row>
    <row r="157" spans="1:22" s="1942" customFormat="1" ht="23.4" customHeight="1" outlineLevel="3">
      <c r="A157" s="1944"/>
      <c r="B157" s="1978" t="s">
        <v>730</v>
      </c>
      <c r="C157" s="1810"/>
      <c r="D157" s="2008" t="s">
        <v>62</v>
      </c>
      <c r="E157" s="2009" t="s">
        <v>3678</v>
      </c>
      <c r="F157" s="1462" t="s">
        <v>3679</v>
      </c>
      <c r="G157" s="1953" t="s">
        <v>4159</v>
      </c>
      <c r="H157" s="1947" t="s">
        <v>10</v>
      </c>
      <c r="I157" s="1712">
        <f>$E$5</f>
        <v>1142.02</v>
      </c>
      <c r="J157" s="2181">
        <v>0.2</v>
      </c>
      <c r="K157" s="1950" t="s">
        <v>101</v>
      </c>
      <c r="L157" s="1947" t="s">
        <v>4081</v>
      </c>
      <c r="M157" s="1754">
        <f t="shared" si="41"/>
        <v>228.404</v>
      </c>
      <c r="N157" s="1712"/>
      <c r="O157" s="1712">
        <f>ROUND(M157*ROUND(N157,2)/10000,6)</f>
        <v>0</v>
      </c>
      <c r="P157" s="1712">
        <f>IFERROR(ROUND(Q157*10000/M157,2),0)</f>
        <v>0</v>
      </c>
      <c r="Q157" s="1712">
        <f>ROUND(O157/(1+R157),6)</f>
        <v>0</v>
      </c>
      <c r="R157" s="1757">
        <v>0.13</v>
      </c>
      <c r="S157" s="1712">
        <f>O157-Q157</f>
        <v>0</v>
      </c>
      <c r="T157" s="1712" t="str">
        <f t="shared" si="47"/>
        <v/>
      </c>
      <c r="U157" s="1712" t="str">
        <f t="shared" si="48"/>
        <v/>
      </c>
      <c r="V157" s="1952"/>
    </row>
    <row r="158" spans="1:22" s="1942" customFormat="1" ht="23.4" customHeight="1" outlineLevel="3">
      <c r="A158" s="1944"/>
      <c r="B158" s="1978" t="s">
        <v>3680</v>
      </c>
      <c r="C158" s="1810"/>
      <c r="D158" s="2008" t="s">
        <v>3681</v>
      </c>
      <c r="E158" s="2009" t="s">
        <v>3682</v>
      </c>
      <c r="F158" s="1462" t="s">
        <v>3677</v>
      </c>
      <c r="G158" s="1953" t="s">
        <v>4158</v>
      </c>
      <c r="H158" s="1947" t="s">
        <v>10</v>
      </c>
      <c r="I158" s="1712">
        <f>$E$5</f>
        <v>1142.02</v>
      </c>
      <c r="J158" s="2035"/>
      <c r="K158" s="1950" t="s">
        <v>101</v>
      </c>
      <c r="L158" s="1947" t="s">
        <v>4082</v>
      </c>
      <c r="M158" s="1754">
        <f t="shared" si="41"/>
        <v>0</v>
      </c>
      <c r="N158" s="1712"/>
      <c r="O158" s="1712">
        <f>ROUND(M158*ROUND(N158,2)/10000,6)</f>
        <v>0</v>
      </c>
      <c r="P158" s="1712">
        <f>IFERROR(ROUND(Q158*10000/M158,2),0)</f>
        <v>0</v>
      </c>
      <c r="Q158" s="1712">
        <f>ROUND(O158/(1+R158),6)</f>
        <v>0</v>
      </c>
      <c r="R158" s="1757">
        <v>0.13</v>
      </c>
      <c r="S158" s="1712">
        <f>O158-Q158</f>
        <v>0</v>
      </c>
      <c r="T158" s="1712" t="str">
        <f t="shared" si="47"/>
        <v/>
      </c>
      <c r="U158" s="1712" t="str">
        <f t="shared" si="48"/>
        <v/>
      </c>
      <c r="V158" s="1952"/>
    </row>
    <row r="159" spans="1:22" s="1942" customFormat="1" ht="23.4" customHeight="1" outlineLevel="2">
      <c r="A159" s="1944"/>
      <c r="B159" s="1807" t="s">
        <v>731</v>
      </c>
      <c r="C159" s="1808"/>
      <c r="D159" s="2008" t="s">
        <v>734</v>
      </c>
      <c r="E159" s="2009"/>
      <c r="F159" s="1462"/>
      <c r="G159" s="1953" t="s">
        <v>4117</v>
      </c>
      <c r="H159" s="1947"/>
      <c r="I159" s="1948"/>
      <c r="J159" s="1949"/>
      <c r="K159" s="1950"/>
      <c r="L159" s="1947"/>
      <c r="M159" s="1950"/>
      <c r="N159" s="1712"/>
      <c r="O159" s="1712">
        <f>SUBTOTAL(9,O160:O162)</f>
        <v>0</v>
      </c>
      <c r="P159" s="1712"/>
      <c r="Q159" s="1712">
        <f>SUBTOTAL(9,Q160:Q162)</f>
        <v>0</v>
      </c>
      <c r="R159" s="1712"/>
      <c r="S159" s="1712">
        <f>SUBTOTAL(9,S160:S162)</f>
        <v>0</v>
      </c>
      <c r="T159" s="1712" t="str">
        <f t="shared" si="47"/>
        <v/>
      </c>
      <c r="U159" s="1712" t="str">
        <f t="shared" si="48"/>
        <v/>
      </c>
      <c r="V159" s="1952"/>
    </row>
    <row r="160" spans="1:22" s="1942" customFormat="1" ht="23.4" customHeight="1" outlineLevel="3">
      <c r="A160" s="1944"/>
      <c r="B160" s="1978" t="s">
        <v>733</v>
      </c>
      <c r="C160" s="1810"/>
      <c r="D160" s="2038" t="s">
        <v>3683</v>
      </c>
      <c r="E160" s="1947" t="s">
        <v>3684</v>
      </c>
      <c r="F160" s="1462" t="s">
        <v>3342</v>
      </c>
      <c r="G160" s="1953" t="s">
        <v>4116</v>
      </c>
      <c r="H160" s="1947" t="s">
        <v>9</v>
      </c>
      <c r="I160" s="1712">
        <f>$E$4</f>
        <v>211.16</v>
      </c>
      <c r="J160" s="2035"/>
      <c r="K160" s="1950" t="s">
        <v>101</v>
      </c>
      <c r="L160" s="1947" t="s">
        <v>4083</v>
      </c>
      <c r="M160" s="1754">
        <f t="shared" si="41"/>
        <v>0</v>
      </c>
      <c r="N160" s="1712"/>
      <c r="O160" s="1712">
        <f>ROUND(M160*ROUND(N160,2)/10000,6)</f>
        <v>0</v>
      </c>
      <c r="P160" s="1712">
        <f>IFERROR(ROUND(Q160*10000/M160,2),0)</f>
        <v>0</v>
      </c>
      <c r="Q160" s="1712">
        <f>ROUND(O160/(1+R160),6)</f>
        <v>0</v>
      </c>
      <c r="R160" s="1757">
        <v>0.09</v>
      </c>
      <c r="S160" s="1712">
        <f>O160-Q160</f>
        <v>0</v>
      </c>
      <c r="T160" s="1712" t="str">
        <f t="shared" si="47"/>
        <v/>
      </c>
      <c r="U160" s="1712" t="str">
        <f t="shared" si="48"/>
        <v/>
      </c>
      <c r="V160" s="1952"/>
    </row>
    <row r="161" spans="1:23" s="1942" customFormat="1" ht="23.4" customHeight="1" outlineLevel="3">
      <c r="A161" s="1944"/>
      <c r="B161" s="1978" t="s">
        <v>735</v>
      </c>
      <c r="C161" s="1810"/>
      <c r="D161" s="2038" t="s">
        <v>3685</v>
      </c>
      <c r="E161" s="1947" t="s">
        <v>3686</v>
      </c>
      <c r="F161" s="1462" t="s">
        <v>3342</v>
      </c>
      <c r="G161" s="1953" t="s">
        <v>4116</v>
      </c>
      <c r="H161" s="1947" t="s">
        <v>9</v>
      </c>
      <c r="I161" s="1712">
        <f>$E$4</f>
        <v>211.16</v>
      </c>
      <c r="J161" s="1949"/>
      <c r="K161" s="1950" t="s">
        <v>101</v>
      </c>
      <c r="L161" s="1947" t="s">
        <v>9</v>
      </c>
      <c r="M161" s="1754">
        <f t="shared" si="41"/>
        <v>0</v>
      </c>
      <c r="N161" s="1712"/>
      <c r="O161" s="1712">
        <f>ROUND(M161*ROUND(N161,2)/10000,6)</f>
        <v>0</v>
      </c>
      <c r="P161" s="1712">
        <f>IFERROR(ROUND(Q161*10000/M161,2),0)</f>
        <v>0</v>
      </c>
      <c r="Q161" s="1712">
        <f>ROUND(O161/(1+R161),6)</f>
        <v>0</v>
      </c>
      <c r="R161" s="1757">
        <v>0.09</v>
      </c>
      <c r="S161" s="1712">
        <f>O161-Q161</f>
        <v>0</v>
      </c>
      <c r="T161" s="1712" t="str">
        <f t="shared" si="47"/>
        <v/>
      </c>
      <c r="U161" s="1712" t="str">
        <f t="shared" si="48"/>
        <v/>
      </c>
      <c r="V161" s="1952"/>
    </row>
    <row r="162" spans="1:23" s="1942" customFormat="1" ht="23.4" customHeight="1" outlineLevel="3">
      <c r="A162" s="1944"/>
      <c r="B162" s="1978" t="s">
        <v>737</v>
      </c>
      <c r="C162" s="1810"/>
      <c r="D162" s="2038" t="s">
        <v>3687</v>
      </c>
      <c r="E162" s="1947" t="s">
        <v>3688</v>
      </c>
      <c r="F162" s="1462" t="s">
        <v>471</v>
      </c>
      <c r="G162" s="1953" t="s">
        <v>4160</v>
      </c>
      <c r="H162" s="1947" t="s">
        <v>9</v>
      </c>
      <c r="I162" s="1712">
        <f>$E$4</f>
        <v>211.16</v>
      </c>
      <c r="J162" s="2035"/>
      <c r="K162" s="1950" t="s">
        <v>101</v>
      </c>
      <c r="L162" s="1947" t="s">
        <v>4084</v>
      </c>
      <c r="M162" s="1754">
        <f t="shared" si="41"/>
        <v>0</v>
      </c>
      <c r="N162" s="1712"/>
      <c r="O162" s="1712">
        <f>ROUND(M162*ROUND(N162,2)/10000,6)</f>
        <v>0</v>
      </c>
      <c r="P162" s="1712">
        <f>IFERROR(ROUND(Q162*10000/M162,2),0)</f>
        <v>0</v>
      </c>
      <c r="Q162" s="1712">
        <f>ROUND(O162/(1+R162),6)</f>
        <v>0</v>
      </c>
      <c r="R162" s="1757">
        <v>0.13</v>
      </c>
      <c r="S162" s="1712">
        <f>O162-Q162</f>
        <v>0</v>
      </c>
      <c r="T162" s="1712" t="str">
        <f t="shared" si="47"/>
        <v/>
      </c>
      <c r="U162" s="1712" t="str">
        <f t="shared" si="48"/>
        <v/>
      </c>
      <c r="V162" s="1952"/>
    </row>
    <row r="163" spans="1:23" s="1942" customFormat="1" ht="23.4" customHeight="1" outlineLevel="2">
      <c r="A163" s="1944"/>
      <c r="B163" s="1978" t="s">
        <v>3689</v>
      </c>
      <c r="C163" s="1810"/>
      <c r="D163" s="2038" t="s">
        <v>3690</v>
      </c>
      <c r="E163" s="1947"/>
      <c r="F163" s="1462"/>
      <c r="G163" s="1953" t="s">
        <v>4117</v>
      </c>
      <c r="H163" s="1947"/>
      <c r="I163" s="1948"/>
      <c r="J163" s="2035"/>
      <c r="K163" s="1950"/>
      <c r="L163" s="1947"/>
      <c r="M163" s="1950"/>
      <c r="N163" s="1712"/>
      <c r="O163" s="1712">
        <f>SUBTOTAL(9,O164:O166)</f>
        <v>0.34260599999999997</v>
      </c>
      <c r="P163" s="1712"/>
      <c r="Q163" s="1712">
        <f>SUBTOTAL(9,Q164:Q166)</f>
        <v>0.30319200000000002</v>
      </c>
      <c r="R163" s="1712"/>
      <c r="S163" s="1712">
        <f>SUBTOTAL(9,S164:S166)</f>
        <v>3.9413999999999991E-2</v>
      </c>
      <c r="T163" s="1712" t="str">
        <f t="shared" si="47"/>
        <v/>
      </c>
      <c r="U163" s="1712" t="str">
        <f t="shared" si="48"/>
        <v/>
      </c>
      <c r="V163" s="1952"/>
    </row>
    <row r="164" spans="1:23" s="1942" customFormat="1" ht="23.4" customHeight="1" outlineLevel="3">
      <c r="A164" s="1944"/>
      <c r="B164" s="1978" t="s">
        <v>3691</v>
      </c>
      <c r="C164" s="1810"/>
      <c r="D164" s="2038" t="s">
        <v>3692</v>
      </c>
      <c r="E164" s="1947" t="s">
        <v>3693</v>
      </c>
      <c r="F164" s="1462" t="s">
        <v>3694</v>
      </c>
      <c r="G164" s="1953" t="s">
        <v>4161</v>
      </c>
      <c r="H164" s="1975" t="s">
        <v>10</v>
      </c>
      <c r="I164" s="1712">
        <f>$E$5</f>
        <v>1142.02</v>
      </c>
      <c r="J164" s="2035">
        <v>1</v>
      </c>
      <c r="K164" s="1950" t="s">
        <v>101</v>
      </c>
      <c r="L164" s="1947" t="s">
        <v>10</v>
      </c>
      <c r="M164" s="1754">
        <f t="shared" si="41"/>
        <v>1142.02</v>
      </c>
      <c r="N164" s="1712">
        <v>1</v>
      </c>
      <c r="O164" s="1712">
        <f t="shared" ref="O164:O169" si="53">ROUND(M164*ROUND(N164,2)/10000,6)</f>
        <v>0.114202</v>
      </c>
      <c r="P164" s="1712">
        <f t="shared" ref="P164:P169" si="54">IFERROR(ROUND(Q164*10000/M164,2),0)</f>
        <v>0.88</v>
      </c>
      <c r="Q164" s="1712">
        <f t="shared" ref="Q164:Q169" si="55">ROUND(O164/(1+R164),6)</f>
        <v>0.101064</v>
      </c>
      <c r="R164" s="1757">
        <v>0.13</v>
      </c>
      <c r="S164" s="1712">
        <f t="shared" ref="S164:S169" si="56">O164-Q164</f>
        <v>1.3137999999999997E-2</v>
      </c>
      <c r="T164" s="1712" t="str">
        <f t="shared" si="47"/>
        <v/>
      </c>
      <c r="U164" s="1712" t="str">
        <f t="shared" si="48"/>
        <v/>
      </c>
      <c r="V164" s="1952"/>
    </row>
    <row r="165" spans="1:23" s="1942" customFormat="1" ht="23.4" customHeight="1" outlineLevel="3">
      <c r="A165" s="1944"/>
      <c r="B165" s="1978" t="s">
        <v>3695</v>
      </c>
      <c r="C165" s="1810"/>
      <c r="D165" s="2038" t="s">
        <v>3696</v>
      </c>
      <c r="E165" s="1947" t="s">
        <v>3697</v>
      </c>
      <c r="F165" s="1462" t="s">
        <v>3694</v>
      </c>
      <c r="G165" s="1953" t="s">
        <v>4161</v>
      </c>
      <c r="H165" s="1975" t="s">
        <v>10</v>
      </c>
      <c r="I165" s="1712">
        <f>$E$5</f>
        <v>1142.02</v>
      </c>
      <c r="J165" s="2035">
        <v>1</v>
      </c>
      <c r="K165" s="1950" t="s">
        <v>101</v>
      </c>
      <c r="L165" s="1947" t="s">
        <v>10</v>
      </c>
      <c r="M165" s="1754">
        <f t="shared" si="41"/>
        <v>1142.02</v>
      </c>
      <c r="N165" s="1712">
        <v>1</v>
      </c>
      <c r="O165" s="1712">
        <f t="shared" si="53"/>
        <v>0.114202</v>
      </c>
      <c r="P165" s="1712">
        <f t="shared" si="54"/>
        <v>0.88</v>
      </c>
      <c r="Q165" s="1712">
        <f t="shared" si="55"/>
        <v>0.101064</v>
      </c>
      <c r="R165" s="1757">
        <v>0.13</v>
      </c>
      <c r="S165" s="1712">
        <f t="shared" si="56"/>
        <v>1.3137999999999997E-2</v>
      </c>
      <c r="T165" s="1712" t="str">
        <f t="shared" si="47"/>
        <v/>
      </c>
      <c r="U165" s="1712" t="str">
        <f t="shared" si="48"/>
        <v/>
      </c>
      <c r="V165" s="1952"/>
    </row>
    <row r="166" spans="1:23" s="1942" customFormat="1" ht="23.4" customHeight="1" outlineLevel="3">
      <c r="A166" s="1944"/>
      <c r="B166" s="1978" t="s">
        <v>3698</v>
      </c>
      <c r="C166" s="1810"/>
      <c r="D166" s="2038" t="s">
        <v>3699</v>
      </c>
      <c r="E166" s="1947" t="s">
        <v>3700</v>
      </c>
      <c r="F166" s="1462" t="s">
        <v>3694</v>
      </c>
      <c r="G166" s="1953" t="s">
        <v>4161</v>
      </c>
      <c r="H166" s="1975" t="s">
        <v>10</v>
      </c>
      <c r="I166" s="1712">
        <f>$E$5</f>
        <v>1142.02</v>
      </c>
      <c r="J166" s="2035">
        <v>1</v>
      </c>
      <c r="K166" s="1950" t="s">
        <v>101</v>
      </c>
      <c r="L166" s="1947" t="s">
        <v>10</v>
      </c>
      <c r="M166" s="1754">
        <f t="shared" si="41"/>
        <v>1142.02</v>
      </c>
      <c r="N166" s="1712">
        <v>1</v>
      </c>
      <c r="O166" s="1712">
        <f t="shared" si="53"/>
        <v>0.114202</v>
      </c>
      <c r="P166" s="1712">
        <f t="shared" si="54"/>
        <v>0.88</v>
      </c>
      <c r="Q166" s="1712">
        <f t="shared" si="55"/>
        <v>0.101064</v>
      </c>
      <c r="R166" s="1757">
        <v>0.13</v>
      </c>
      <c r="S166" s="1712">
        <f t="shared" si="56"/>
        <v>1.3137999999999997E-2</v>
      </c>
      <c r="T166" s="1712" t="str">
        <f t="shared" si="47"/>
        <v/>
      </c>
      <c r="U166" s="1712" t="str">
        <f t="shared" si="48"/>
        <v/>
      </c>
      <c r="V166" s="1952"/>
    </row>
    <row r="167" spans="1:23" s="1942" customFormat="1" ht="23.4" customHeight="1" outlineLevel="2">
      <c r="A167" s="1944"/>
      <c r="B167" s="1978" t="s">
        <v>3705</v>
      </c>
      <c r="C167" s="1810"/>
      <c r="D167" s="2038" t="s">
        <v>740</v>
      </c>
      <c r="E167" s="1947" t="s">
        <v>3702</v>
      </c>
      <c r="F167" s="1462" t="s">
        <v>463</v>
      </c>
      <c r="G167" s="1953" t="s">
        <v>4162</v>
      </c>
      <c r="H167" s="1975" t="s">
        <v>3926</v>
      </c>
      <c r="I167" s="1712">
        <f>$G$7</f>
        <v>1</v>
      </c>
      <c r="J167" s="2037">
        <v>1</v>
      </c>
      <c r="K167" s="1950" t="s">
        <v>3947</v>
      </c>
      <c r="L167" s="1947" t="s">
        <v>3926</v>
      </c>
      <c r="M167" s="1754">
        <f t="shared" si="41"/>
        <v>1</v>
      </c>
      <c r="N167" s="1756">
        <v>2000</v>
      </c>
      <c r="O167" s="1712">
        <f t="shared" si="53"/>
        <v>0.2</v>
      </c>
      <c r="P167" s="1712">
        <f t="shared" si="54"/>
        <v>1769.91</v>
      </c>
      <c r="Q167" s="1712">
        <f t="shared" si="55"/>
        <v>0.17699100000000001</v>
      </c>
      <c r="R167" s="1757">
        <v>0.13</v>
      </c>
      <c r="S167" s="1712">
        <f t="shared" si="56"/>
        <v>2.3009000000000002E-2</v>
      </c>
      <c r="T167" s="1712" t="str">
        <f t="shared" si="47"/>
        <v/>
      </c>
      <c r="U167" s="1712" t="str">
        <f t="shared" si="48"/>
        <v/>
      </c>
      <c r="V167" s="1952"/>
    </row>
    <row r="168" spans="1:23" s="1942" customFormat="1" ht="23.4" customHeight="1" outlineLevel="2">
      <c r="A168" s="1944"/>
      <c r="B168" s="1978" t="s">
        <v>3701</v>
      </c>
      <c r="C168" s="1810"/>
      <c r="D168" s="2038" t="s">
        <v>3704</v>
      </c>
      <c r="E168" s="1947"/>
      <c r="F168" s="1462" t="s">
        <v>1424</v>
      </c>
      <c r="G168" s="1953" t="s">
        <v>4123</v>
      </c>
      <c r="H168" s="1975" t="s">
        <v>10</v>
      </c>
      <c r="I168" s="1712">
        <f>$E$5</f>
        <v>1142.02</v>
      </c>
      <c r="J168" s="1949"/>
      <c r="K168" s="1950" t="s">
        <v>101</v>
      </c>
      <c r="L168" s="1947" t="s">
        <v>10</v>
      </c>
      <c r="M168" s="1754">
        <f t="shared" si="41"/>
        <v>0</v>
      </c>
      <c r="N168" s="1712"/>
      <c r="O168" s="1712">
        <f t="shared" si="53"/>
        <v>0</v>
      </c>
      <c r="P168" s="1712">
        <f t="shared" si="54"/>
        <v>0</v>
      </c>
      <c r="Q168" s="1712">
        <f t="shared" si="55"/>
        <v>0</v>
      </c>
      <c r="R168" s="1757">
        <v>0.06</v>
      </c>
      <c r="S168" s="1712">
        <f t="shared" si="56"/>
        <v>0</v>
      </c>
      <c r="T168" s="1712" t="str">
        <f t="shared" si="47"/>
        <v/>
      </c>
      <c r="U168" s="1712" t="str">
        <f t="shared" si="48"/>
        <v/>
      </c>
      <c r="V168" s="1952"/>
    </row>
    <row r="169" spans="1:23" s="1942" customFormat="1" ht="23.4" customHeight="1" outlineLevel="2">
      <c r="A169" s="1944"/>
      <c r="B169" s="1978" t="s">
        <v>3703</v>
      </c>
      <c r="C169" s="1810"/>
      <c r="D169" s="2039" t="s">
        <v>3706</v>
      </c>
      <c r="E169" s="1982" t="s">
        <v>3707</v>
      </c>
      <c r="F169" s="1462" t="s">
        <v>3694</v>
      </c>
      <c r="G169" s="1982" t="s">
        <v>4161</v>
      </c>
      <c r="H169" s="1975" t="s">
        <v>10</v>
      </c>
      <c r="I169" s="1712">
        <f>$E$5</f>
        <v>1142.02</v>
      </c>
      <c r="J169" s="1949"/>
      <c r="K169" s="1950" t="s">
        <v>101</v>
      </c>
      <c r="L169" s="1947" t="s">
        <v>10</v>
      </c>
      <c r="M169" s="1754">
        <f t="shared" si="41"/>
        <v>0</v>
      </c>
      <c r="N169" s="1712"/>
      <c r="O169" s="1712">
        <f t="shared" si="53"/>
        <v>0</v>
      </c>
      <c r="P169" s="1712">
        <f t="shared" si="54"/>
        <v>0</v>
      </c>
      <c r="Q169" s="1712">
        <f t="shared" si="55"/>
        <v>0</v>
      </c>
      <c r="R169" s="1757">
        <v>0.13</v>
      </c>
      <c r="S169" s="1712">
        <f t="shared" si="56"/>
        <v>0</v>
      </c>
      <c r="T169" s="1712" t="str">
        <f t="shared" si="47"/>
        <v/>
      </c>
      <c r="U169" s="1712" t="str">
        <f t="shared" si="48"/>
        <v/>
      </c>
      <c r="V169" s="1952"/>
    </row>
    <row r="170" spans="1:23" ht="23.4" customHeight="1" outlineLevel="1">
      <c r="A170" s="2019"/>
      <c r="B170" s="2023" t="s">
        <v>501</v>
      </c>
      <c r="C170" s="1852">
        <v>2</v>
      </c>
      <c r="D170" s="1966" t="s">
        <v>83</v>
      </c>
      <c r="E170" s="1967"/>
      <c r="F170" s="1968"/>
      <c r="G170" s="2007" t="s">
        <v>4117</v>
      </c>
      <c r="H170" s="1967"/>
      <c r="I170" s="1969"/>
      <c r="J170" s="1970"/>
      <c r="K170" s="1971"/>
      <c r="L170" s="1967"/>
      <c r="M170" s="1971"/>
      <c r="N170" s="1973"/>
      <c r="O170" s="1973">
        <f>SUBTOTAL(9,O171:O183)</f>
        <v>0</v>
      </c>
      <c r="P170" s="1973"/>
      <c r="Q170" s="1973">
        <f>SUBTOTAL(9,Q171:Q183)</f>
        <v>0</v>
      </c>
      <c r="R170" s="1973"/>
      <c r="S170" s="1973">
        <f>SUBTOTAL(9,S171:S183)</f>
        <v>0</v>
      </c>
      <c r="T170" s="1973" t="str">
        <f t="shared" si="47"/>
        <v/>
      </c>
      <c r="U170" s="1973" t="str">
        <f t="shared" si="48"/>
        <v/>
      </c>
      <c r="V170" s="1974"/>
      <c r="W170" s="1898"/>
    </row>
    <row r="171" spans="1:23" s="1942" customFormat="1" ht="23.4" customHeight="1" outlineLevel="2">
      <c r="A171" s="1944"/>
      <c r="B171" s="1807" t="s">
        <v>742</v>
      </c>
      <c r="C171" s="1808"/>
      <c r="D171" s="2008" t="s">
        <v>51</v>
      </c>
      <c r="E171" s="2009" t="s">
        <v>3709</v>
      </c>
      <c r="F171" s="1462" t="s">
        <v>3577</v>
      </c>
      <c r="G171" s="1953" t="s">
        <v>4141</v>
      </c>
      <c r="H171" s="1947" t="s">
        <v>18</v>
      </c>
      <c r="I171" s="1712">
        <f>$G$5</f>
        <v>1</v>
      </c>
      <c r="J171" s="2041">
        <v>50</v>
      </c>
      <c r="K171" s="1947" t="s">
        <v>4085</v>
      </c>
      <c r="L171" s="1947" t="s">
        <v>4086</v>
      </c>
      <c r="M171" s="1754">
        <f t="shared" si="41"/>
        <v>50</v>
      </c>
      <c r="N171" s="1712"/>
      <c r="O171" s="1712">
        <f t="shared" ref="O171:O183" si="57">ROUND(M171*ROUND(N171,2)/10000,6)</f>
        <v>0</v>
      </c>
      <c r="P171" s="1712">
        <f t="shared" ref="P171:P183" si="58">IFERROR(ROUND(Q171*10000/M171,2),0)</f>
        <v>0</v>
      </c>
      <c r="Q171" s="1712">
        <f t="shared" ref="Q171:Q183" si="59">ROUND(O171/(1+R171),6)</f>
        <v>0</v>
      </c>
      <c r="R171" s="1757">
        <v>0.09</v>
      </c>
      <c r="S171" s="1712">
        <f t="shared" ref="S171:S183" si="60">O171-Q171</f>
        <v>0</v>
      </c>
      <c r="T171" s="1712" t="str">
        <f t="shared" si="47"/>
        <v/>
      </c>
      <c r="U171" s="1712" t="str">
        <f t="shared" si="48"/>
        <v/>
      </c>
      <c r="V171" s="1952"/>
    </row>
    <row r="172" spans="1:23" s="1942" customFormat="1" ht="23.4" customHeight="1" outlineLevel="2">
      <c r="A172" s="1944"/>
      <c r="B172" s="1807" t="s">
        <v>746</v>
      </c>
      <c r="C172" s="1810"/>
      <c r="D172" s="2038" t="s">
        <v>89</v>
      </c>
      <c r="E172" s="1947" t="s">
        <v>3710</v>
      </c>
      <c r="F172" s="1462" t="s">
        <v>3577</v>
      </c>
      <c r="G172" s="1953" t="s">
        <v>4141</v>
      </c>
      <c r="H172" s="1947" t="s">
        <v>18</v>
      </c>
      <c r="I172" s="1712">
        <f>$G$5</f>
        <v>1</v>
      </c>
      <c r="J172" s="2041">
        <v>35</v>
      </c>
      <c r="K172" s="1947" t="s">
        <v>4085</v>
      </c>
      <c r="L172" s="1947" t="s">
        <v>4087</v>
      </c>
      <c r="M172" s="1754">
        <f t="shared" si="41"/>
        <v>35</v>
      </c>
      <c r="N172" s="1712"/>
      <c r="O172" s="1712">
        <f t="shared" si="57"/>
        <v>0</v>
      </c>
      <c r="P172" s="1712">
        <f t="shared" si="58"/>
        <v>0</v>
      </c>
      <c r="Q172" s="1712">
        <f t="shared" si="59"/>
        <v>0</v>
      </c>
      <c r="R172" s="1757">
        <v>0.09</v>
      </c>
      <c r="S172" s="1712">
        <f t="shared" si="60"/>
        <v>0</v>
      </c>
      <c r="T172" s="1712" t="str">
        <f t="shared" si="47"/>
        <v/>
      </c>
      <c r="U172" s="1712" t="str">
        <f t="shared" si="48"/>
        <v/>
      </c>
      <c r="V172" s="1952"/>
    </row>
    <row r="173" spans="1:23" s="1942" customFormat="1" ht="23.4" customHeight="1" outlineLevel="2">
      <c r="A173" s="1944"/>
      <c r="B173" s="1807" t="s">
        <v>753</v>
      </c>
      <c r="C173" s="1810"/>
      <c r="D173" s="2038" t="s">
        <v>3711</v>
      </c>
      <c r="E173" s="1947" t="s">
        <v>3712</v>
      </c>
      <c r="F173" s="1462" t="s">
        <v>3577</v>
      </c>
      <c r="G173" s="1953" t="s">
        <v>4141</v>
      </c>
      <c r="H173" s="1947" t="s">
        <v>10</v>
      </c>
      <c r="I173" s="1712">
        <f>$E$5</f>
        <v>1142.02</v>
      </c>
      <c r="J173" s="2041"/>
      <c r="K173" s="1947" t="s">
        <v>101</v>
      </c>
      <c r="L173" s="1947" t="s">
        <v>4088</v>
      </c>
      <c r="M173" s="1754">
        <f t="shared" si="41"/>
        <v>0</v>
      </c>
      <c r="N173" s="1712"/>
      <c r="O173" s="1712">
        <f t="shared" si="57"/>
        <v>0</v>
      </c>
      <c r="P173" s="1712">
        <f t="shared" si="58"/>
        <v>0</v>
      </c>
      <c r="Q173" s="1712">
        <f t="shared" si="59"/>
        <v>0</v>
      </c>
      <c r="R173" s="1757">
        <v>0.09</v>
      </c>
      <c r="S173" s="1712">
        <f t="shared" si="60"/>
        <v>0</v>
      </c>
      <c r="T173" s="1712" t="str">
        <f t="shared" si="47"/>
        <v/>
      </c>
      <c r="U173" s="1712" t="str">
        <f t="shared" si="48"/>
        <v/>
      </c>
      <c r="V173" s="1952"/>
    </row>
    <row r="174" spans="1:23" s="1942" customFormat="1" ht="23.4" customHeight="1" outlineLevel="2">
      <c r="A174" s="1944"/>
      <c r="B174" s="1807" t="s">
        <v>755</v>
      </c>
      <c r="C174" s="1810"/>
      <c r="D174" s="2038" t="s">
        <v>90</v>
      </c>
      <c r="E174" s="1947" t="s">
        <v>3713</v>
      </c>
      <c r="F174" s="1462" t="s">
        <v>3577</v>
      </c>
      <c r="G174" s="1953" t="s">
        <v>4141</v>
      </c>
      <c r="H174" s="1947" t="s">
        <v>18</v>
      </c>
      <c r="I174" s="1712">
        <f>$G$5</f>
        <v>1</v>
      </c>
      <c r="J174" s="2041"/>
      <c r="K174" s="1947" t="s">
        <v>4085</v>
      </c>
      <c r="L174" s="1947" t="s">
        <v>4089</v>
      </c>
      <c r="M174" s="1754">
        <f t="shared" si="41"/>
        <v>0</v>
      </c>
      <c r="N174" s="1712"/>
      <c r="O174" s="1712">
        <f t="shared" si="57"/>
        <v>0</v>
      </c>
      <c r="P174" s="1712">
        <f t="shared" si="58"/>
        <v>0</v>
      </c>
      <c r="Q174" s="1712">
        <f t="shared" si="59"/>
        <v>0</v>
      </c>
      <c r="R174" s="1757">
        <v>0.09</v>
      </c>
      <c r="S174" s="1712">
        <f t="shared" si="60"/>
        <v>0</v>
      </c>
      <c r="T174" s="1712" t="str">
        <f t="shared" si="47"/>
        <v/>
      </c>
      <c r="U174" s="1712" t="str">
        <f t="shared" si="48"/>
        <v/>
      </c>
      <c r="V174" s="1952"/>
    </row>
    <row r="175" spans="1:23" s="1942" customFormat="1" ht="23.4" customHeight="1" outlineLevel="2">
      <c r="A175" s="1944"/>
      <c r="B175" s="1807" t="s">
        <v>756</v>
      </c>
      <c r="C175" s="1810"/>
      <c r="D175" s="2038" t="s">
        <v>757</v>
      </c>
      <c r="E175" s="1947" t="s">
        <v>3714</v>
      </c>
      <c r="F175" s="1462" t="s">
        <v>3577</v>
      </c>
      <c r="G175" s="1953" t="s">
        <v>4141</v>
      </c>
      <c r="H175" s="1947" t="s">
        <v>3923</v>
      </c>
      <c r="I175" s="1712">
        <f>$G$6</f>
        <v>1</v>
      </c>
      <c r="J175" s="2041">
        <v>15</v>
      </c>
      <c r="K175" s="1947" t="s">
        <v>2</v>
      </c>
      <c r="L175" s="1947" t="s">
        <v>4090</v>
      </c>
      <c r="M175" s="1754">
        <f t="shared" si="41"/>
        <v>15</v>
      </c>
      <c r="N175" s="1712"/>
      <c r="O175" s="1712">
        <f t="shared" si="57"/>
        <v>0</v>
      </c>
      <c r="P175" s="1712">
        <f t="shared" si="58"/>
        <v>0</v>
      </c>
      <c r="Q175" s="1712">
        <f t="shared" si="59"/>
        <v>0</v>
      </c>
      <c r="R175" s="1757">
        <v>0.09</v>
      </c>
      <c r="S175" s="1712">
        <f t="shared" si="60"/>
        <v>0</v>
      </c>
      <c r="T175" s="1712" t="str">
        <f t="shared" si="47"/>
        <v/>
      </c>
      <c r="U175" s="1712" t="str">
        <f t="shared" si="48"/>
        <v/>
      </c>
      <c r="V175" s="1952"/>
    </row>
    <row r="176" spans="1:23" s="1942" customFormat="1" ht="23.4" customHeight="1" outlineLevel="2">
      <c r="A176" s="1944"/>
      <c r="B176" s="1807" t="s">
        <v>758</v>
      </c>
      <c r="C176" s="1810"/>
      <c r="D176" s="2038" t="s">
        <v>118</v>
      </c>
      <c r="E176" s="1947" t="s">
        <v>3715</v>
      </c>
      <c r="F176" s="1462" t="s">
        <v>3577</v>
      </c>
      <c r="G176" s="1953" t="s">
        <v>4141</v>
      </c>
      <c r="H176" s="1947" t="s">
        <v>3923</v>
      </c>
      <c r="I176" s="1712">
        <f>$G$6</f>
        <v>1</v>
      </c>
      <c r="J176" s="2041">
        <v>0</v>
      </c>
      <c r="K176" s="1947" t="s">
        <v>2</v>
      </c>
      <c r="L176" s="1947" t="s">
        <v>4091</v>
      </c>
      <c r="M176" s="1754">
        <f t="shared" si="41"/>
        <v>0</v>
      </c>
      <c r="N176" s="1712"/>
      <c r="O176" s="1712">
        <f t="shared" si="57"/>
        <v>0</v>
      </c>
      <c r="P176" s="1712">
        <f t="shared" si="58"/>
        <v>0</v>
      </c>
      <c r="Q176" s="1712">
        <f t="shared" si="59"/>
        <v>0</v>
      </c>
      <c r="R176" s="1757">
        <v>0.09</v>
      </c>
      <c r="S176" s="1712">
        <f t="shared" si="60"/>
        <v>0</v>
      </c>
      <c r="T176" s="1712" t="str">
        <f t="shared" si="47"/>
        <v/>
      </c>
      <c r="U176" s="1712" t="str">
        <f t="shared" si="48"/>
        <v/>
      </c>
      <c r="V176" s="1952"/>
    </row>
    <row r="177" spans="1:23" s="1942" customFormat="1" ht="23.4" customHeight="1" outlineLevel="2">
      <c r="A177" s="1944"/>
      <c r="B177" s="1807" t="s">
        <v>763</v>
      </c>
      <c r="C177" s="1810"/>
      <c r="D177" s="2038" t="s">
        <v>807</v>
      </c>
      <c r="E177" s="1947" t="s">
        <v>3716</v>
      </c>
      <c r="F177" s="1462" t="s">
        <v>3577</v>
      </c>
      <c r="G177" s="1953" t="s">
        <v>4141</v>
      </c>
      <c r="H177" s="1947" t="s">
        <v>4092</v>
      </c>
      <c r="I177" s="1712">
        <f>$G$5</f>
        <v>1</v>
      </c>
      <c r="J177" s="2041">
        <v>2</v>
      </c>
      <c r="K177" s="1947" t="s">
        <v>2942</v>
      </c>
      <c r="L177" s="1947" t="s">
        <v>4093</v>
      </c>
      <c r="M177" s="1754">
        <f t="shared" si="41"/>
        <v>2</v>
      </c>
      <c r="N177" s="1712"/>
      <c r="O177" s="1712">
        <f t="shared" si="57"/>
        <v>0</v>
      </c>
      <c r="P177" s="1712">
        <f t="shared" si="58"/>
        <v>0</v>
      </c>
      <c r="Q177" s="1712">
        <f t="shared" si="59"/>
        <v>0</v>
      </c>
      <c r="R177" s="1757">
        <v>0.09</v>
      </c>
      <c r="S177" s="1712">
        <f t="shared" si="60"/>
        <v>0</v>
      </c>
      <c r="T177" s="1712" t="str">
        <f t="shared" si="47"/>
        <v/>
      </c>
      <c r="U177" s="1712" t="str">
        <f t="shared" si="48"/>
        <v/>
      </c>
      <c r="V177" s="1952"/>
    </row>
    <row r="178" spans="1:23" s="1942" customFormat="1" ht="23.4" customHeight="1" outlineLevel="2">
      <c r="A178" s="1944"/>
      <c r="B178" s="1807" t="s">
        <v>764</v>
      </c>
      <c r="C178" s="1810"/>
      <c r="D178" s="2038" t="s">
        <v>808</v>
      </c>
      <c r="E178" s="1947" t="s">
        <v>3717</v>
      </c>
      <c r="F178" s="1462" t="s">
        <v>3577</v>
      </c>
      <c r="G178" s="1953" t="s">
        <v>4141</v>
      </c>
      <c r="H178" s="1975" t="s">
        <v>3969</v>
      </c>
      <c r="I178" s="1948"/>
      <c r="J178" s="2041"/>
      <c r="K178" s="1947" t="s">
        <v>3974</v>
      </c>
      <c r="L178" s="1947" t="s">
        <v>4048</v>
      </c>
      <c r="M178" s="1754">
        <f t="shared" si="41"/>
        <v>0</v>
      </c>
      <c r="N178" s="1712"/>
      <c r="O178" s="1712">
        <f t="shared" si="57"/>
        <v>0</v>
      </c>
      <c r="P178" s="1712">
        <f t="shared" si="58"/>
        <v>0</v>
      </c>
      <c r="Q178" s="1712">
        <f t="shared" si="59"/>
        <v>0</v>
      </c>
      <c r="R178" s="1757">
        <v>0.09</v>
      </c>
      <c r="S178" s="1712">
        <f t="shared" si="60"/>
        <v>0</v>
      </c>
      <c r="T178" s="1712" t="str">
        <f t="shared" si="47"/>
        <v/>
      </c>
      <c r="U178" s="1712" t="str">
        <f t="shared" si="48"/>
        <v/>
      </c>
      <c r="V178" s="1952"/>
    </row>
    <row r="179" spans="1:23" s="1942" customFormat="1" ht="23.4" customHeight="1" outlineLevel="2">
      <c r="A179" s="1944"/>
      <c r="B179" s="1807" t="s">
        <v>765</v>
      </c>
      <c r="C179" s="1808"/>
      <c r="D179" s="2008" t="s">
        <v>3718</v>
      </c>
      <c r="E179" s="2009" t="s">
        <v>3719</v>
      </c>
      <c r="F179" s="1462" t="s">
        <v>3577</v>
      </c>
      <c r="G179" s="1953" t="s">
        <v>4141</v>
      </c>
      <c r="H179" s="1947" t="s">
        <v>10</v>
      </c>
      <c r="I179" s="1712">
        <f>$E$5</f>
        <v>1142.02</v>
      </c>
      <c r="J179" s="2041"/>
      <c r="K179" s="1947" t="s">
        <v>101</v>
      </c>
      <c r="L179" s="1947" t="s">
        <v>4094</v>
      </c>
      <c r="M179" s="1754">
        <f t="shared" si="41"/>
        <v>0</v>
      </c>
      <c r="N179" s="1712"/>
      <c r="O179" s="1712">
        <f t="shared" si="57"/>
        <v>0</v>
      </c>
      <c r="P179" s="1712">
        <f t="shared" si="58"/>
        <v>0</v>
      </c>
      <c r="Q179" s="1712">
        <f t="shared" si="59"/>
        <v>0</v>
      </c>
      <c r="R179" s="1757">
        <v>0.09</v>
      </c>
      <c r="S179" s="1712">
        <f t="shared" si="60"/>
        <v>0</v>
      </c>
      <c r="T179" s="1712" t="str">
        <f t="shared" si="47"/>
        <v/>
      </c>
      <c r="U179" s="1712" t="str">
        <f t="shared" si="48"/>
        <v/>
      </c>
      <c r="V179" s="1952"/>
    </row>
    <row r="180" spans="1:23" s="1942" customFormat="1" ht="23.4" customHeight="1" outlineLevel="2">
      <c r="A180" s="1944"/>
      <c r="B180" s="1807" t="s">
        <v>810</v>
      </c>
      <c r="C180" s="1808"/>
      <c r="D180" s="2008" t="s">
        <v>3720</v>
      </c>
      <c r="E180" s="2009" t="s">
        <v>3721</v>
      </c>
      <c r="F180" s="1462" t="s">
        <v>3577</v>
      </c>
      <c r="G180" s="1953" t="s">
        <v>4141</v>
      </c>
      <c r="H180" s="1947" t="s">
        <v>10</v>
      </c>
      <c r="I180" s="1712">
        <f>$E$5</f>
        <v>1142.02</v>
      </c>
      <c r="J180" s="2041"/>
      <c r="K180" s="1947" t="s">
        <v>101</v>
      </c>
      <c r="L180" s="1947" t="s">
        <v>4095</v>
      </c>
      <c r="M180" s="1754">
        <f t="shared" si="41"/>
        <v>0</v>
      </c>
      <c r="N180" s="1712"/>
      <c r="O180" s="1712">
        <f t="shared" si="57"/>
        <v>0</v>
      </c>
      <c r="P180" s="1712">
        <f t="shared" si="58"/>
        <v>0</v>
      </c>
      <c r="Q180" s="1712">
        <f t="shared" si="59"/>
        <v>0</v>
      </c>
      <c r="R180" s="1757">
        <v>0.09</v>
      </c>
      <c r="S180" s="1712">
        <f t="shared" si="60"/>
        <v>0</v>
      </c>
      <c r="T180" s="1712" t="str">
        <f t="shared" si="47"/>
        <v/>
      </c>
      <c r="U180" s="1712" t="str">
        <f t="shared" si="48"/>
        <v/>
      </c>
      <c r="V180" s="1952"/>
    </row>
    <row r="181" spans="1:23" s="1942" customFormat="1" ht="23.4" customHeight="1" outlineLevel="2">
      <c r="A181" s="1944"/>
      <c r="B181" s="1807" t="s">
        <v>3722</v>
      </c>
      <c r="C181" s="1808"/>
      <c r="D181" s="2008" t="s">
        <v>3723</v>
      </c>
      <c r="E181" s="2009" t="s">
        <v>3724</v>
      </c>
      <c r="F181" s="1462" t="s">
        <v>3577</v>
      </c>
      <c r="G181" s="1953" t="s">
        <v>4141</v>
      </c>
      <c r="H181" s="1947" t="s">
        <v>10</v>
      </c>
      <c r="I181" s="1712">
        <f>$E$5</f>
        <v>1142.02</v>
      </c>
      <c r="J181" s="2041"/>
      <c r="K181" s="1947" t="s">
        <v>101</v>
      </c>
      <c r="L181" s="1947" t="s">
        <v>4096</v>
      </c>
      <c r="M181" s="1754">
        <f t="shared" si="41"/>
        <v>0</v>
      </c>
      <c r="N181" s="1712"/>
      <c r="O181" s="1712">
        <f t="shared" si="57"/>
        <v>0</v>
      </c>
      <c r="P181" s="1712">
        <f t="shared" si="58"/>
        <v>0</v>
      </c>
      <c r="Q181" s="1712">
        <f t="shared" si="59"/>
        <v>0</v>
      </c>
      <c r="R181" s="1757">
        <v>0.09</v>
      </c>
      <c r="S181" s="1712">
        <f t="shared" si="60"/>
        <v>0</v>
      </c>
      <c r="T181" s="1712" t="str">
        <f t="shared" si="47"/>
        <v/>
      </c>
      <c r="U181" s="1712" t="str">
        <f t="shared" si="48"/>
        <v/>
      </c>
      <c r="V181" s="1952"/>
    </row>
    <row r="182" spans="1:23" s="1942" customFormat="1" ht="23.4" customHeight="1" outlineLevel="2">
      <c r="A182" s="1944"/>
      <c r="B182" s="1807" t="s">
        <v>3725</v>
      </c>
      <c r="C182" s="1810"/>
      <c r="D182" s="2038" t="s">
        <v>811</v>
      </c>
      <c r="E182" s="1947" t="s">
        <v>3726</v>
      </c>
      <c r="F182" s="1462" t="s">
        <v>3624</v>
      </c>
      <c r="G182" s="1953" t="s">
        <v>4149</v>
      </c>
      <c r="H182" s="1975" t="s">
        <v>10</v>
      </c>
      <c r="I182" s="1712">
        <f>$E$5</f>
        <v>1142.02</v>
      </c>
      <c r="J182" s="2041"/>
      <c r="K182" s="1947" t="s">
        <v>101</v>
      </c>
      <c r="L182" s="1947" t="s">
        <v>10</v>
      </c>
      <c r="M182" s="1754">
        <f t="shared" si="41"/>
        <v>0</v>
      </c>
      <c r="N182" s="1712"/>
      <c r="O182" s="1712">
        <f t="shared" si="57"/>
        <v>0</v>
      </c>
      <c r="P182" s="1712">
        <f t="shared" si="58"/>
        <v>0</v>
      </c>
      <c r="Q182" s="1712">
        <f t="shared" si="59"/>
        <v>0</v>
      </c>
      <c r="R182" s="1757">
        <v>0.06</v>
      </c>
      <c r="S182" s="1712">
        <f t="shared" si="60"/>
        <v>0</v>
      </c>
      <c r="T182" s="1712" t="str">
        <f t="shared" si="47"/>
        <v/>
      </c>
      <c r="U182" s="1712" t="str">
        <f t="shared" si="48"/>
        <v/>
      </c>
      <c r="V182" s="1952"/>
    </row>
    <row r="183" spans="1:23" s="1942" customFormat="1" ht="23.4" customHeight="1" outlineLevel="2">
      <c r="A183" s="1944"/>
      <c r="B183" s="1807" t="s">
        <v>3727</v>
      </c>
      <c r="C183" s="1810"/>
      <c r="D183" s="2038" t="s">
        <v>3728</v>
      </c>
      <c r="E183" s="1947" t="s">
        <v>3729</v>
      </c>
      <c r="F183" s="1462" t="s">
        <v>3730</v>
      </c>
      <c r="G183" s="1953" t="s">
        <v>4163</v>
      </c>
      <c r="H183" s="1975" t="s">
        <v>3849</v>
      </c>
      <c r="I183" s="1948"/>
      <c r="J183" s="2041"/>
      <c r="K183" s="1947" t="s">
        <v>101</v>
      </c>
      <c r="L183" s="1947" t="s">
        <v>3849</v>
      </c>
      <c r="M183" s="1754">
        <f t="shared" si="41"/>
        <v>0</v>
      </c>
      <c r="N183" s="1712"/>
      <c r="O183" s="1712">
        <f t="shared" si="57"/>
        <v>0</v>
      </c>
      <c r="P183" s="1712">
        <f t="shared" si="58"/>
        <v>0</v>
      </c>
      <c r="Q183" s="1712">
        <f t="shared" si="59"/>
        <v>0</v>
      </c>
      <c r="R183" s="1757">
        <v>0.09</v>
      </c>
      <c r="S183" s="1712">
        <f t="shared" si="60"/>
        <v>0</v>
      </c>
      <c r="T183" s="1712" t="str">
        <f t="shared" si="47"/>
        <v/>
      </c>
      <c r="U183" s="1712" t="str">
        <f t="shared" si="48"/>
        <v/>
      </c>
      <c r="V183" s="1952"/>
    </row>
    <row r="184" spans="1:23" ht="23.4" customHeight="1" outlineLevel="1">
      <c r="A184" s="2019"/>
      <c r="B184" s="2023" t="s">
        <v>502</v>
      </c>
      <c r="C184" s="1852">
        <v>3</v>
      </c>
      <c r="D184" s="1966" t="s">
        <v>84</v>
      </c>
      <c r="E184" s="1967"/>
      <c r="F184" s="1968"/>
      <c r="G184" s="2007" t="s">
        <v>4117</v>
      </c>
      <c r="H184" s="1967"/>
      <c r="I184" s="1969"/>
      <c r="J184" s="1970"/>
      <c r="K184" s="1971"/>
      <c r="L184" s="1967"/>
      <c r="M184" s="1971"/>
      <c r="N184" s="1973"/>
      <c r="O184" s="1973">
        <f>SUBTOTAL(9,O185:O192)</f>
        <v>1.3704240000000001</v>
      </c>
      <c r="P184" s="1973"/>
      <c r="Q184" s="1973">
        <f>SUBTOTAL(9,Q185:Q192)</f>
        <v>1.2572700000000001</v>
      </c>
      <c r="R184" s="1973"/>
      <c r="S184" s="1973">
        <f>SUBTOTAL(9,S185:S192)</f>
        <v>0.11315399999999998</v>
      </c>
      <c r="T184" s="1973" t="str">
        <f t="shared" si="47"/>
        <v/>
      </c>
      <c r="U184" s="1973" t="str">
        <f t="shared" si="48"/>
        <v/>
      </c>
      <c r="V184" s="1974"/>
      <c r="W184" s="1898"/>
    </row>
    <row r="185" spans="1:23" s="1942" customFormat="1" ht="23.4" customHeight="1" outlineLevel="2">
      <c r="A185" s="1944"/>
      <c r="B185" s="1807" t="s">
        <v>766</v>
      </c>
      <c r="C185" s="1808"/>
      <c r="D185" s="2008" t="s">
        <v>3731</v>
      </c>
      <c r="E185" s="2009"/>
      <c r="F185" s="1462"/>
      <c r="G185" s="1953" t="s">
        <v>4117</v>
      </c>
      <c r="H185" s="1947"/>
      <c r="I185" s="1948"/>
      <c r="J185" s="1949"/>
      <c r="K185" s="1950"/>
      <c r="L185" s="1947"/>
      <c r="M185" s="1950"/>
      <c r="N185" s="1712"/>
      <c r="O185" s="1712">
        <f>SUBTOTAL(9,O186:O190)</f>
        <v>1.3704240000000001</v>
      </c>
      <c r="P185" s="1712"/>
      <c r="Q185" s="1712">
        <f>SUBTOTAL(9,Q186:Q190)</f>
        <v>1.2572700000000001</v>
      </c>
      <c r="R185" s="1712"/>
      <c r="S185" s="1712">
        <f>SUBTOTAL(9,S186:S190)</f>
        <v>0.11315399999999998</v>
      </c>
      <c r="T185" s="1712" t="str">
        <f t="shared" si="47"/>
        <v/>
      </c>
      <c r="U185" s="1712" t="str">
        <f t="shared" si="48"/>
        <v/>
      </c>
      <c r="V185" s="1952"/>
    </row>
    <row r="186" spans="1:23" s="1942" customFormat="1" ht="23.4" customHeight="1" outlineLevel="3">
      <c r="A186" s="1944"/>
      <c r="B186" s="1978" t="s">
        <v>767</v>
      </c>
      <c r="C186" s="1810"/>
      <c r="D186" s="2038" t="s">
        <v>3732</v>
      </c>
      <c r="E186" s="1947" t="s">
        <v>3733</v>
      </c>
      <c r="F186" s="1462" t="s">
        <v>458</v>
      </c>
      <c r="G186" s="1953" t="s">
        <v>4164</v>
      </c>
      <c r="H186" s="1947" t="s">
        <v>10</v>
      </c>
      <c r="I186" s="1712">
        <f>$E$5</f>
        <v>1142.02</v>
      </c>
      <c r="J186" s="1976">
        <v>1</v>
      </c>
      <c r="K186" s="1947" t="s">
        <v>101</v>
      </c>
      <c r="L186" s="1947" t="s">
        <v>10</v>
      </c>
      <c r="M186" s="1754">
        <f t="shared" ref="M186:M202" si="61">ROUND(I186,2)*ROUND(J186,4)</f>
        <v>1142.02</v>
      </c>
      <c r="N186" s="1756">
        <v>12</v>
      </c>
      <c r="O186" s="1712">
        <f t="shared" ref="O186:O192" si="62">ROUND(M186*ROUND(N186,2)/10000,6)</f>
        <v>1.3704240000000001</v>
      </c>
      <c r="P186" s="1712">
        <f t="shared" ref="P186:P192" si="63">IFERROR(ROUND(Q186*10000/M186,2),0)</f>
        <v>11.01</v>
      </c>
      <c r="Q186" s="1712">
        <f t="shared" ref="Q186:Q192" si="64">ROUND(O186/(1+R186),6)</f>
        <v>1.2572700000000001</v>
      </c>
      <c r="R186" s="1757">
        <v>0.09</v>
      </c>
      <c r="S186" s="1712">
        <f t="shared" ref="S186:S192" si="65">O186-Q186</f>
        <v>0.11315399999999998</v>
      </c>
      <c r="T186" s="1712" t="str">
        <f t="shared" si="47"/>
        <v/>
      </c>
      <c r="U186" s="1712" t="str">
        <f t="shared" si="48"/>
        <v/>
      </c>
      <c r="V186" s="1952"/>
    </row>
    <row r="187" spans="1:23" s="1942" customFormat="1" ht="23.4" customHeight="1" outlineLevel="3">
      <c r="A187" s="1944"/>
      <c r="B187" s="1978" t="s">
        <v>769</v>
      </c>
      <c r="C187" s="1810"/>
      <c r="D187" s="2038" t="s">
        <v>3734</v>
      </c>
      <c r="E187" s="1947" t="s">
        <v>3735</v>
      </c>
      <c r="F187" s="1462" t="s">
        <v>3736</v>
      </c>
      <c r="G187" s="1953" t="s">
        <v>4165</v>
      </c>
      <c r="H187" s="1975" t="s">
        <v>3926</v>
      </c>
      <c r="I187" s="1712">
        <f>$G$7</f>
        <v>1</v>
      </c>
      <c r="J187" s="1949">
        <v>1</v>
      </c>
      <c r="K187" s="1950" t="s">
        <v>3947</v>
      </c>
      <c r="L187" s="1947" t="s">
        <v>3926</v>
      </c>
      <c r="M187" s="1754">
        <f t="shared" si="61"/>
        <v>1</v>
      </c>
      <c r="N187" s="1712">
        <v>0</v>
      </c>
      <c r="O187" s="1712">
        <f t="shared" si="62"/>
        <v>0</v>
      </c>
      <c r="P187" s="1712">
        <f t="shared" si="63"/>
        <v>0</v>
      </c>
      <c r="Q187" s="1712">
        <f t="shared" si="64"/>
        <v>0</v>
      </c>
      <c r="R187" s="1757">
        <v>0.09</v>
      </c>
      <c r="S187" s="1712">
        <f t="shared" si="65"/>
        <v>0</v>
      </c>
      <c r="T187" s="1712" t="str">
        <f t="shared" si="47"/>
        <v/>
      </c>
      <c r="U187" s="1712" t="str">
        <f t="shared" si="48"/>
        <v/>
      </c>
      <c r="V187" s="1952"/>
    </row>
    <row r="188" spans="1:23" s="1942" customFormat="1" ht="23.4" customHeight="1" outlineLevel="3">
      <c r="A188" s="1944"/>
      <c r="B188" s="1978" t="s">
        <v>770</v>
      </c>
      <c r="C188" s="1810"/>
      <c r="D188" s="2038" t="s">
        <v>771</v>
      </c>
      <c r="E188" s="1947" t="s">
        <v>3737</v>
      </c>
      <c r="F188" s="1462" t="s">
        <v>3738</v>
      </c>
      <c r="G188" s="1953" t="s">
        <v>4166</v>
      </c>
      <c r="H188" s="1975" t="s">
        <v>3926</v>
      </c>
      <c r="I188" s="1712">
        <f>$G$7</f>
        <v>1</v>
      </c>
      <c r="J188" s="1949">
        <v>1</v>
      </c>
      <c r="K188" s="1950" t="s">
        <v>3947</v>
      </c>
      <c r="L188" s="1947" t="s">
        <v>3926</v>
      </c>
      <c r="M188" s="1754">
        <f t="shared" si="61"/>
        <v>1</v>
      </c>
      <c r="N188" s="1712">
        <v>0</v>
      </c>
      <c r="O188" s="1712">
        <f t="shared" si="62"/>
        <v>0</v>
      </c>
      <c r="P188" s="1712">
        <f t="shared" si="63"/>
        <v>0</v>
      </c>
      <c r="Q188" s="1712">
        <f t="shared" si="64"/>
        <v>0</v>
      </c>
      <c r="R188" s="1757">
        <v>0.09</v>
      </c>
      <c r="S188" s="1712">
        <f t="shared" si="65"/>
        <v>0</v>
      </c>
      <c r="T188" s="1712" t="str">
        <f t="shared" si="47"/>
        <v/>
      </c>
      <c r="U188" s="1712" t="str">
        <f t="shared" si="48"/>
        <v/>
      </c>
      <c r="V188" s="1952"/>
    </row>
    <row r="189" spans="1:23" s="1942" customFormat="1" ht="23.4" customHeight="1" outlineLevel="3">
      <c r="A189" s="1944"/>
      <c r="B189" s="1978" t="s">
        <v>772</v>
      </c>
      <c r="C189" s="1810"/>
      <c r="D189" s="2038" t="s">
        <v>1598</v>
      </c>
      <c r="E189" s="1947" t="s">
        <v>3739</v>
      </c>
      <c r="F189" s="1462" t="s">
        <v>458</v>
      </c>
      <c r="G189" s="1953" t="s">
        <v>4164</v>
      </c>
      <c r="H189" s="1975" t="s">
        <v>3926</v>
      </c>
      <c r="I189" s="1712">
        <f>$G$7</f>
        <v>1</v>
      </c>
      <c r="J189" s="1949">
        <v>1</v>
      </c>
      <c r="K189" s="1950" t="s">
        <v>3947</v>
      </c>
      <c r="L189" s="1947" t="s">
        <v>3926</v>
      </c>
      <c r="M189" s="1754">
        <f t="shared" si="61"/>
        <v>1</v>
      </c>
      <c r="N189" s="1712"/>
      <c r="O189" s="1712">
        <f t="shared" si="62"/>
        <v>0</v>
      </c>
      <c r="P189" s="1712">
        <f t="shared" si="63"/>
        <v>0</v>
      </c>
      <c r="Q189" s="1712">
        <f t="shared" si="64"/>
        <v>0</v>
      </c>
      <c r="R189" s="1757">
        <v>0.09</v>
      </c>
      <c r="S189" s="1712">
        <f t="shared" si="65"/>
        <v>0</v>
      </c>
      <c r="T189" s="1712" t="str">
        <f t="shared" si="47"/>
        <v/>
      </c>
      <c r="U189" s="1712" t="str">
        <f t="shared" si="48"/>
        <v/>
      </c>
      <c r="V189" s="1952"/>
    </row>
    <row r="190" spans="1:23" s="1942" customFormat="1" ht="23.4" customHeight="1" outlineLevel="3">
      <c r="A190" s="1944"/>
      <c r="B190" s="1978" t="s">
        <v>773</v>
      </c>
      <c r="C190" s="1810"/>
      <c r="D190" s="2038" t="s">
        <v>3740</v>
      </c>
      <c r="E190" s="1947" t="s">
        <v>3741</v>
      </c>
      <c r="F190" s="1462" t="s">
        <v>3742</v>
      </c>
      <c r="G190" s="1953" t="s">
        <v>4167</v>
      </c>
      <c r="H190" s="1975" t="s">
        <v>3926</v>
      </c>
      <c r="I190" s="1712">
        <f>$G$7</f>
        <v>1</v>
      </c>
      <c r="J190" s="1949">
        <v>1</v>
      </c>
      <c r="K190" s="1950" t="s">
        <v>3947</v>
      </c>
      <c r="L190" s="1947" t="s">
        <v>3926</v>
      </c>
      <c r="M190" s="1754">
        <f t="shared" si="61"/>
        <v>1</v>
      </c>
      <c r="N190" s="1712">
        <v>0</v>
      </c>
      <c r="O190" s="1712">
        <f t="shared" si="62"/>
        <v>0</v>
      </c>
      <c r="P190" s="1712">
        <f t="shared" si="63"/>
        <v>0</v>
      </c>
      <c r="Q190" s="1712">
        <f t="shared" si="64"/>
        <v>0</v>
      </c>
      <c r="R190" s="1757">
        <v>0.13</v>
      </c>
      <c r="S190" s="1712">
        <f t="shared" si="65"/>
        <v>0</v>
      </c>
      <c r="T190" s="1712" t="str">
        <f t="shared" si="47"/>
        <v/>
      </c>
      <c r="U190" s="1712" t="str">
        <f t="shared" si="48"/>
        <v/>
      </c>
      <c r="V190" s="1952"/>
    </row>
    <row r="191" spans="1:23" s="1942" customFormat="1" ht="23.4" customHeight="1" outlineLevel="2">
      <c r="A191" s="1944"/>
      <c r="B191" s="1978" t="s">
        <v>777</v>
      </c>
      <c r="C191" s="1810"/>
      <c r="D191" s="2038" t="s">
        <v>814</v>
      </c>
      <c r="E191" s="1947" t="s">
        <v>3743</v>
      </c>
      <c r="F191" s="1462" t="s">
        <v>458</v>
      </c>
      <c r="G191" s="1953" t="s">
        <v>4164</v>
      </c>
      <c r="H191" s="1975" t="s">
        <v>10</v>
      </c>
      <c r="I191" s="1712">
        <f>$E$5</f>
        <v>1142.02</v>
      </c>
      <c r="J191" s="2035"/>
      <c r="K191" s="1950" t="s">
        <v>101</v>
      </c>
      <c r="L191" s="1947" t="s">
        <v>10</v>
      </c>
      <c r="M191" s="1754">
        <f t="shared" si="61"/>
        <v>0</v>
      </c>
      <c r="N191" s="1712"/>
      <c r="O191" s="1712">
        <f t="shared" si="62"/>
        <v>0</v>
      </c>
      <c r="P191" s="1712">
        <f t="shared" si="63"/>
        <v>0</v>
      </c>
      <c r="Q191" s="1712">
        <f t="shared" si="64"/>
        <v>0</v>
      </c>
      <c r="R191" s="1757">
        <v>0.09</v>
      </c>
      <c r="S191" s="1712">
        <f t="shared" si="65"/>
        <v>0</v>
      </c>
      <c r="T191" s="1712" t="str">
        <f t="shared" si="47"/>
        <v/>
      </c>
      <c r="U191" s="1712" t="str">
        <f t="shared" si="48"/>
        <v/>
      </c>
      <c r="V191" s="1952"/>
    </row>
    <row r="192" spans="1:23" s="1942" customFormat="1" ht="23.4" customHeight="1" outlineLevel="2">
      <c r="A192" s="1944"/>
      <c r="B192" s="1978" t="s">
        <v>778</v>
      </c>
      <c r="C192" s="1810"/>
      <c r="D192" s="2038" t="s">
        <v>815</v>
      </c>
      <c r="E192" s="1947" t="s">
        <v>3744</v>
      </c>
      <c r="F192" s="1462" t="s">
        <v>458</v>
      </c>
      <c r="G192" s="1953" t="s">
        <v>4164</v>
      </c>
      <c r="H192" s="1975" t="s">
        <v>10</v>
      </c>
      <c r="I192" s="1712">
        <f>$E$5</f>
        <v>1142.02</v>
      </c>
      <c r="J192" s="2035"/>
      <c r="K192" s="1950" t="s">
        <v>101</v>
      </c>
      <c r="L192" s="1947" t="s">
        <v>10</v>
      </c>
      <c r="M192" s="1754">
        <f t="shared" si="61"/>
        <v>0</v>
      </c>
      <c r="N192" s="1712"/>
      <c r="O192" s="1712">
        <f t="shared" si="62"/>
        <v>0</v>
      </c>
      <c r="P192" s="1712">
        <f t="shared" si="63"/>
        <v>0</v>
      </c>
      <c r="Q192" s="1712">
        <f t="shared" si="64"/>
        <v>0</v>
      </c>
      <c r="R192" s="1757">
        <v>0.09</v>
      </c>
      <c r="S192" s="1712">
        <f t="shared" si="65"/>
        <v>0</v>
      </c>
      <c r="T192" s="1712" t="str">
        <f t="shared" si="47"/>
        <v/>
      </c>
      <c r="U192" s="1712" t="str">
        <f t="shared" si="48"/>
        <v/>
      </c>
      <c r="V192" s="1952"/>
    </row>
    <row r="193" spans="1:23" ht="23.4" customHeight="1" outlineLevel="1">
      <c r="A193" s="2019"/>
      <c r="B193" s="2023" t="s">
        <v>503</v>
      </c>
      <c r="C193" s="1852">
        <v>4</v>
      </c>
      <c r="D193" s="1966" t="s">
        <v>92</v>
      </c>
      <c r="E193" s="1967"/>
      <c r="F193" s="1968"/>
      <c r="G193" s="2007" t="s">
        <v>4117</v>
      </c>
      <c r="H193" s="1967"/>
      <c r="I193" s="1969"/>
      <c r="J193" s="1970"/>
      <c r="K193" s="1971"/>
      <c r="L193" s="1967"/>
      <c r="M193" s="1971"/>
      <c r="N193" s="1973"/>
      <c r="O193" s="1973">
        <f>SUBTOTAL(9,O194:O202)</f>
        <v>0</v>
      </c>
      <c r="P193" s="1973"/>
      <c r="Q193" s="1973">
        <f>SUBTOTAL(9,Q194:Q202)</f>
        <v>0</v>
      </c>
      <c r="R193" s="1973"/>
      <c r="S193" s="1973">
        <f>SUBTOTAL(9,S194:S202)</f>
        <v>0</v>
      </c>
      <c r="T193" s="1973" t="str">
        <f t="shared" si="47"/>
        <v/>
      </c>
      <c r="U193" s="1973" t="str">
        <f t="shared" si="48"/>
        <v/>
      </c>
      <c r="V193" s="1974"/>
      <c r="W193" s="1898"/>
    </row>
    <row r="194" spans="1:23" s="1942" customFormat="1" ht="23.4" customHeight="1" outlineLevel="2">
      <c r="A194" s="1944"/>
      <c r="B194" s="1807" t="s">
        <v>1600</v>
      </c>
      <c r="C194" s="1808"/>
      <c r="D194" s="2008" t="s">
        <v>3745</v>
      </c>
      <c r="E194" s="2009" t="s">
        <v>3746</v>
      </c>
      <c r="F194" s="1462" t="s">
        <v>461</v>
      </c>
      <c r="G194" s="1953" t="s">
        <v>4168</v>
      </c>
      <c r="H194" s="1975" t="s">
        <v>3926</v>
      </c>
      <c r="I194" s="1712">
        <f>$G$7</f>
        <v>1</v>
      </c>
      <c r="J194" s="1949">
        <v>1</v>
      </c>
      <c r="K194" s="1950" t="s">
        <v>3947</v>
      </c>
      <c r="L194" s="1947" t="s">
        <v>3926</v>
      </c>
      <c r="M194" s="1754">
        <f t="shared" si="61"/>
        <v>1</v>
      </c>
      <c r="N194" s="1712">
        <v>0</v>
      </c>
      <c r="O194" s="1712">
        <f t="shared" ref="O194:O202" si="66">ROUND(M194*ROUND(N194,2)/10000,6)</f>
        <v>0</v>
      </c>
      <c r="P194" s="1712">
        <f t="shared" ref="P194:P202" si="67">IFERROR(ROUND(Q194*10000/M194,2),0)</f>
        <v>0</v>
      </c>
      <c r="Q194" s="1712">
        <f t="shared" ref="Q194:Q202" si="68">ROUND(O194/(1+R194),6)</f>
        <v>0</v>
      </c>
      <c r="R194" s="1757">
        <v>0.13</v>
      </c>
      <c r="S194" s="1712">
        <f t="shared" ref="S194:S202" si="69">O194-Q194</f>
        <v>0</v>
      </c>
      <c r="T194" s="1712" t="str">
        <f t="shared" si="47"/>
        <v/>
      </c>
      <c r="U194" s="1712" t="str">
        <f t="shared" si="48"/>
        <v/>
      </c>
      <c r="V194" s="1952"/>
    </row>
    <row r="195" spans="1:23" s="1942" customFormat="1" ht="23.4" customHeight="1" outlineLevel="2">
      <c r="A195" s="1944"/>
      <c r="B195" s="1807" t="s">
        <v>1601</v>
      </c>
      <c r="C195" s="1808"/>
      <c r="D195" s="2008" t="s">
        <v>94</v>
      </c>
      <c r="E195" s="2009" t="s">
        <v>3747</v>
      </c>
      <c r="F195" s="1462" t="s">
        <v>1602</v>
      </c>
      <c r="G195" s="1953" t="s">
        <v>4169</v>
      </c>
      <c r="H195" s="1975" t="s">
        <v>3926</v>
      </c>
      <c r="I195" s="1712">
        <f>$G$7</f>
        <v>1</v>
      </c>
      <c r="J195" s="1949">
        <v>1</v>
      </c>
      <c r="K195" s="1950" t="s">
        <v>3947</v>
      </c>
      <c r="L195" s="1947" t="s">
        <v>3926</v>
      </c>
      <c r="M195" s="1754">
        <f t="shared" si="61"/>
        <v>1</v>
      </c>
      <c r="N195" s="1712"/>
      <c r="O195" s="1712">
        <f t="shared" si="66"/>
        <v>0</v>
      </c>
      <c r="P195" s="1712">
        <f t="shared" si="67"/>
        <v>0</v>
      </c>
      <c r="Q195" s="1712">
        <f t="shared" si="68"/>
        <v>0</v>
      </c>
      <c r="R195" s="1757">
        <v>0.13</v>
      </c>
      <c r="S195" s="1712">
        <f t="shared" si="69"/>
        <v>0</v>
      </c>
      <c r="T195" s="1712" t="str">
        <f t="shared" si="47"/>
        <v/>
      </c>
      <c r="U195" s="1712" t="str">
        <f t="shared" si="48"/>
        <v/>
      </c>
      <c r="V195" s="1952"/>
    </row>
    <row r="196" spans="1:23" s="1942" customFormat="1" ht="23.4" customHeight="1" outlineLevel="2">
      <c r="A196" s="1944"/>
      <c r="B196" s="1807" t="s">
        <v>779</v>
      </c>
      <c r="C196" s="1808"/>
      <c r="D196" s="2008" t="s">
        <v>3748</v>
      </c>
      <c r="E196" s="2009" t="s">
        <v>3749</v>
      </c>
      <c r="F196" s="1462" t="s">
        <v>3531</v>
      </c>
      <c r="G196" s="1953" t="s">
        <v>4140</v>
      </c>
      <c r="H196" s="1975" t="s">
        <v>10</v>
      </c>
      <c r="I196" s="1712">
        <f>$E$5</f>
        <v>1142.02</v>
      </c>
      <c r="J196" s="1949"/>
      <c r="K196" s="1950" t="s">
        <v>101</v>
      </c>
      <c r="L196" s="1947" t="s">
        <v>10</v>
      </c>
      <c r="M196" s="1754">
        <f t="shared" si="61"/>
        <v>0</v>
      </c>
      <c r="N196" s="1712"/>
      <c r="O196" s="1712">
        <f t="shared" si="66"/>
        <v>0</v>
      </c>
      <c r="P196" s="1712">
        <f t="shared" si="67"/>
        <v>0</v>
      </c>
      <c r="Q196" s="1712">
        <f t="shared" si="68"/>
        <v>0</v>
      </c>
      <c r="R196" s="2173">
        <v>0.13</v>
      </c>
      <c r="S196" s="1712">
        <f t="shared" si="69"/>
        <v>0</v>
      </c>
      <c r="T196" s="1712" t="str">
        <f t="shared" si="47"/>
        <v/>
      </c>
      <c r="U196" s="1712" t="str">
        <f t="shared" si="48"/>
        <v/>
      </c>
      <c r="V196" s="1952"/>
    </row>
    <row r="197" spans="1:23" s="1942" customFormat="1" ht="23.4" customHeight="1" outlineLevel="2">
      <c r="A197" s="1944"/>
      <c r="B197" s="1807" t="s">
        <v>780</v>
      </c>
      <c r="C197" s="1808"/>
      <c r="D197" s="2008" t="s">
        <v>95</v>
      </c>
      <c r="E197" s="2009" t="s">
        <v>3750</v>
      </c>
      <c r="F197" s="1462" t="s">
        <v>3531</v>
      </c>
      <c r="G197" s="1953" t="s">
        <v>4140</v>
      </c>
      <c r="H197" s="1975" t="s">
        <v>3926</v>
      </c>
      <c r="I197" s="1712">
        <f>$G$7</f>
        <v>1</v>
      </c>
      <c r="J197" s="2035"/>
      <c r="K197" s="1950" t="s">
        <v>3947</v>
      </c>
      <c r="L197" s="1947" t="s">
        <v>3926</v>
      </c>
      <c r="M197" s="1754">
        <f t="shared" si="61"/>
        <v>0</v>
      </c>
      <c r="N197" s="1712"/>
      <c r="O197" s="1712">
        <f t="shared" si="66"/>
        <v>0</v>
      </c>
      <c r="P197" s="1712">
        <f t="shared" si="67"/>
        <v>0</v>
      </c>
      <c r="Q197" s="1712">
        <f t="shared" si="68"/>
        <v>0</v>
      </c>
      <c r="R197" s="2173">
        <v>0.13</v>
      </c>
      <c r="S197" s="1712">
        <f t="shared" si="69"/>
        <v>0</v>
      </c>
      <c r="T197" s="1712" t="str">
        <f t="shared" si="47"/>
        <v/>
      </c>
      <c r="U197" s="2043" t="str">
        <f t="shared" si="48"/>
        <v/>
      </c>
      <c r="V197" s="1952"/>
    </row>
    <row r="198" spans="1:23" s="1942" customFormat="1" ht="23.4" customHeight="1" outlineLevel="2">
      <c r="A198" s="1944"/>
      <c r="B198" s="1807" t="s">
        <v>781</v>
      </c>
      <c r="C198" s="1808"/>
      <c r="D198" s="2008" t="s">
        <v>3751</v>
      </c>
      <c r="E198" s="2009" t="s">
        <v>3752</v>
      </c>
      <c r="F198" s="1462" t="s">
        <v>3531</v>
      </c>
      <c r="G198" s="1953" t="s">
        <v>4140</v>
      </c>
      <c r="H198" s="1975" t="s">
        <v>10</v>
      </c>
      <c r="I198" s="1712">
        <f>$E$5</f>
        <v>1142.02</v>
      </c>
      <c r="J198" s="1949"/>
      <c r="K198" s="1950" t="s">
        <v>101</v>
      </c>
      <c r="L198" s="1947" t="s">
        <v>10</v>
      </c>
      <c r="M198" s="1754">
        <f t="shared" si="61"/>
        <v>0</v>
      </c>
      <c r="N198" s="1712"/>
      <c r="O198" s="1712">
        <f t="shared" si="66"/>
        <v>0</v>
      </c>
      <c r="P198" s="1712">
        <f t="shared" si="67"/>
        <v>0</v>
      </c>
      <c r="Q198" s="1712">
        <f t="shared" si="68"/>
        <v>0</v>
      </c>
      <c r="R198" s="2173">
        <v>0.13</v>
      </c>
      <c r="S198" s="1712">
        <f t="shared" si="69"/>
        <v>0</v>
      </c>
      <c r="T198" s="1712" t="str">
        <f t="shared" si="47"/>
        <v/>
      </c>
      <c r="U198" s="2043" t="str">
        <f t="shared" si="48"/>
        <v/>
      </c>
      <c r="V198" s="1952"/>
    </row>
    <row r="199" spans="1:23" s="1942" customFormat="1" ht="23.4" customHeight="1" outlineLevel="2">
      <c r="A199" s="1944"/>
      <c r="B199" s="1807" t="s">
        <v>782</v>
      </c>
      <c r="C199" s="1808"/>
      <c r="D199" s="2008" t="s">
        <v>3753</v>
      </c>
      <c r="E199" s="2009" t="s">
        <v>3754</v>
      </c>
      <c r="F199" s="1462" t="s">
        <v>3531</v>
      </c>
      <c r="G199" s="1953" t="s">
        <v>4140</v>
      </c>
      <c r="H199" s="1975" t="s">
        <v>10</v>
      </c>
      <c r="I199" s="1948">
        <f>$E$5</f>
        <v>1142.02</v>
      </c>
      <c r="J199" s="1949"/>
      <c r="K199" s="1950" t="s">
        <v>101</v>
      </c>
      <c r="L199" s="1947" t="s">
        <v>10</v>
      </c>
      <c r="M199" s="1754">
        <f t="shared" si="61"/>
        <v>0</v>
      </c>
      <c r="N199" s="1712"/>
      <c r="O199" s="1712">
        <f t="shared" si="66"/>
        <v>0</v>
      </c>
      <c r="P199" s="1712">
        <f t="shared" si="67"/>
        <v>0</v>
      </c>
      <c r="Q199" s="1712">
        <f t="shared" si="68"/>
        <v>0</v>
      </c>
      <c r="R199" s="2173">
        <v>0.13</v>
      </c>
      <c r="S199" s="1712">
        <f t="shared" si="69"/>
        <v>0</v>
      </c>
      <c r="T199" s="1712" t="str">
        <f t="shared" si="47"/>
        <v/>
      </c>
      <c r="U199" s="2043" t="str">
        <f t="shared" si="48"/>
        <v/>
      </c>
      <c r="V199" s="1952"/>
    </row>
    <row r="200" spans="1:23" s="1942" customFormat="1" ht="23.4" customHeight="1" outlineLevel="2">
      <c r="A200" s="1944"/>
      <c r="B200" s="1807" t="s">
        <v>3755</v>
      </c>
      <c r="C200" s="1808"/>
      <c r="D200" s="2008" t="s">
        <v>3756</v>
      </c>
      <c r="E200" s="2009" t="s">
        <v>3757</v>
      </c>
      <c r="F200" s="1462" t="s">
        <v>3531</v>
      </c>
      <c r="G200" s="1953" t="s">
        <v>4140</v>
      </c>
      <c r="H200" s="1975" t="s">
        <v>10</v>
      </c>
      <c r="I200" s="1948">
        <f>$E$5</f>
        <v>1142.02</v>
      </c>
      <c r="J200" s="1949"/>
      <c r="K200" s="1950" t="s">
        <v>101</v>
      </c>
      <c r="L200" s="1947" t="s">
        <v>10</v>
      </c>
      <c r="M200" s="1754">
        <f t="shared" si="61"/>
        <v>0</v>
      </c>
      <c r="N200" s="1712"/>
      <c r="O200" s="1712">
        <f t="shared" si="66"/>
        <v>0</v>
      </c>
      <c r="P200" s="1712">
        <f t="shared" si="67"/>
        <v>0</v>
      </c>
      <c r="Q200" s="1712">
        <f t="shared" si="68"/>
        <v>0</v>
      </c>
      <c r="R200" s="2173">
        <v>0.13</v>
      </c>
      <c r="S200" s="1712">
        <f t="shared" si="69"/>
        <v>0</v>
      </c>
      <c r="T200" s="1712" t="str">
        <f t="shared" si="47"/>
        <v/>
      </c>
      <c r="U200" s="2043" t="str">
        <f t="shared" si="48"/>
        <v/>
      </c>
      <c r="V200" s="1952"/>
    </row>
    <row r="201" spans="1:23" s="1942" customFormat="1" ht="23.4" customHeight="1" outlineLevel="2">
      <c r="A201" s="1944"/>
      <c r="B201" s="1807" t="s">
        <v>3758</v>
      </c>
      <c r="C201" s="1808"/>
      <c r="D201" s="2008" t="s">
        <v>3759</v>
      </c>
      <c r="E201" s="2009" t="s">
        <v>3760</v>
      </c>
      <c r="F201" s="1462" t="s">
        <v>3531</v>
      </c>
      <c r="G201" s="1953" t="s">
        <v>4140</v>
      </c>
      <c r="H201" s="1975" t="s">
        <v>10</v>
      </c>
      <c r="I201" s="1948">
        <f>$E$5</f>
        <v>1142.02</v>
      </c>
      <c r="J201" s="1949"/>
      <c r="K201" s="1950" t="s">
        <v>101</v>
      </c>
      <c r="L201" s="1947" t="s">
        <v>10</v>
      </c>
      <c r="M201" s="1754">
        <f t="shared" si="61"/>
        <v>0</v>
      </c>
      <c r="N201" s="1712"/>
      <c r="O201" s="1712">
        <f t="shared" si="66"/>
        <v>0</v>
      </c>
      <c r="P201" s="1712">
        <f t="shared" si="67"/>
        <v>0</v>
      </c>
      <c r="Q201" s="1712">
        <f t="shared" si="68"/>
        <v>0</v>
      </c>
      <c r="R201" s="2173">
        <v>0.13</v>
      </c>
      <c r="S201" s="1712">
        <f t="shared" si="69"/>
        <v>0</v>
      </c>
      <c r="T201" s="1712" t="str">
        <f t="shared" si="47"/>
        <v/>
      </c>
      <c r="U201" s="2043" t="str">
        <f t="shared" si="48"/>
        <v/>
      </c>
      <c r="V201" s="1952"/>
    </row>
    <row r="202" spans="1:23" s="1942" customFormat="1" ht="23.4" customHeight="1" outlineLevel="2" thickBot="1">
      <c r="A202" s="1944"/>
      <c r="B202" s="2044" t="s">
        <v>3761</v>
      </c>
      <c r="C202" s="2045"/>
      <c r="D202" s="2046" t="s">
        <v>3762</v>
      </c>
      <c r="E202" s="2047" t="s">
        <v>3763</v>
      </c>
      <c r="F202" s="2048" t="s">
        <v>3531</v>
      </c>
      <c r="G202" s="2049" t="s">
        <v>4140</v>
      </c>
      <c r="H202" s="2050" t="s">
        <v>10</v>
      </c>
      <c r="I202" s="2051">
        <f>$E$5</f>
        <v>1142.02</v>
      </c>
      <c r="J202" s="2100"/>
      <c r="K202" s="2053" t="s">
        <v>101</v>
      </c>
      <c r="L202" s="2054" t="s">
        <v>10</v>
      </c>
      <c r="M202" s="2055">
        <f t="shared" si="61"/>
        <v>0</v>
      </c>
      <c r="N202" s="2057"/>
      <c r="O202" s="2057">
        <f t="shared" si="66"/>
        <v>0</v>
      </c>
      <c r="P202" s="2057">
        <f t="shared" si="67"/>
        <v>0</v>
      </c>
      <c r="Q202" s="2057">
        <f t="shared" si="68"/>
        <v>0</v>
      </c>
      <c r="R202" s="2174">
        <v>0.13</v>
      </c>
      <c r="S202" s="2057">
        <f t="shared" si="69"/>
        <v>0</v>
      </c>
      <c r="T202" s="2057" t="str">
        <f t="shared" si="47"/>
        <v/>
      </c>
      <c r="U202" s="2059" t="str">
        <f t="shared" si="48"/>
        <v/>
      </c>
      <c r="V202" s="2060"/>
    </row>
    <row r="203" spans="1:23" ht="23.4" customHeight="1">
      <c r="O203" s="1902">
        <f>O11+O100+O126</f>
        <v>525.01565399999993</v>
      </c>
      <c r="Q203" s="1902">
        <f>Q11+Q100+Q126</f>
        <v>483.42062299999998</v>
      </c>
      <c r="S203" s="1902">
        <f>S11+S100+S126</f>
        <v>41.595030999999985</v>
      </c>
    </row>
    <row r="204" spans="1:23" ht="23.4" customHeight="1">
      <c r="O204" s="1902">
        <f>O203/E5*10000</f>
        <v>4597.2544613929704</v>
      </c>
    </row>
    <row r="205" spans="1:23" ht="23.4" customHeight="1"/>
    <row r="206" spans="1:23" ht="23.4" customHeight="1"/>
    <row r="207" spans="1:23" ht="23.4" customHeight="1"/>
    <row r="208" spans="1:23" ht="23.4" customHeight="1"/>
    <row r="209" ht="23.4" customHeight="1"/>
    <row r="210" ht="23.4" customHeight="1"/>
    <row r="211" ht="23.4" customHeight="1"/>
    <row r="212" ht="23.4" customHeight="1"/>
    <row r="213" ht="23.4" customHeight="1"/>
    <row r="214" ht="23.4" customHeight="1"/>
    <row r="215" ht="23.4" customHeight="1"/>
    <row r="216" ht="23.4" customHeight="1"/>
    <row r="217" ht="23.4" customHeight="1"/>
    <row r="218" ht="23.4" customHeight="1"/>
    <row r="219" ht="23.4" customHeight="1"/>
    <row r="220" ht="23.4" customHeight="1"/>
    <row r="221" ht="23.4" customHeight="1"/>
    <row r="222" ht="23.4" customHeight="1"/>
    <row r="223" ht="23.4" customHeight="1"/>
    <row r="224" ht="23.4" customHeight="1"/>
    <row r="225" ht="23.4" customHeight="1"/>
    <row r="226" ht="23.4" customHeight="1"/>
    <row r="227" ht="23.4" customHeight="1"/>
    <row r="228" ht="23.4" customHeight="1"/>
    <row r="229" ht="23.4" customHeight="1"/>
    <row r="230" ht="23.4" customHeight="1"/>
    <row r="231" ht="23.4" customHeight="1"/>
  </sheetData>
  <autoFilter ref="A10:W204"/>
  <mergeCells count="22">
    <mergeCell ref="O9:O10"/>
    <mergeCell ref="F2:H2"/>
    <mergeCell ref="C4:C7"/>
    <mergeCell ref="B9:B10"/>
    <mergeCell ref="C9:C10"/>
    <mergeCell ref="D9:D10"/>
    <mergeCell ref="E9:E10"/>
    <mergeCell ref="F9:F10"/>
    <mergeCell ref="G9:G10"/>
    <mergeCell ref="H9:I9"/>
    <mergeCell ref="J9:J10"/>
    <mergeCell ref="K9:K10"/>
    <mergeCell ref="L9:L10"/>
    <mergeCell ref="M9:M10"/>
    <mergeCell ref="N9:N10"/>
    <mergeCell ref="V9:V10"/>
    <mergeCell ref="P9:P10"/>
    <mergeCell ref="Q9:Q10"/>
    <mergeCell ref="R9:R10"/>
    <mergeCell ref="S9:S10"/>
    <mergeCell ref="T9:T10"/>
    <mergeCell ref="U9:U10"/>
  </mergeCells>
  <phoneticPr fontId="19" type="noConversion"/>
  <conditionalFormatting sqref="B11:C11">
    <cfRule type="duplicateValues" dxfId="403" priority="10"/>
  </conditionalFormatting>
  <conditionalFormatting sqref="B12">
    <cfRule type="duplicateValues" dxfId="402" priority="11"/>
  </conditionalFormatting>
  <conditionalFormatting sqref="C12">
    <cfRule type="duplicateValues" dxfId="401" priority="9"/>
  </conditionalFormatting>
  <conditionalFormatting sqref="D14:F14">
    <cfRule type="duplicateValues" dxfId="400" priority="13"/>
  </conditionalFormatting>
  <conditionalFormatting sqref="B45">
    <cfRule type="duplicateValues" dxfId="399" priority="8"/>
  </conditionalFormatting>
  <conditionalFormatting sqref="C45">
    <cfRule type="duplicateValues" dxfId="398" priority="6"/>
  </conditionalFormatting>
  <conditionalFormatting sqref="D45:E45">
    <cfRule type="duplicateValues" dxfId="397" priority="7"/>
  </conditionalFormatting>
  <conditionalFormatting sqref="F45">
    <cfRule type="duplicateValues" dxfId="396" priority="14"/>
  </conditionalFormatting>
  <conditionalFormatting sqref="D46:E46">
    <cfRule type="duplicateValues" dxfId="395" priority="5"/>
  </conditionalFormatting>
  <conditionalFormatting sqref="D56:E56">
    <cfRule type="duplicateValues" dxfId="394" priority="4"/>
  </conditionalFormatting>
  <conditionalFormatting sqref="B100">
    <cfRule type="duplicateValues" dxfId="393" priority="3"/>
  </conditionalFormatting>
  <conditionalFormatting sqref="F101">
    <cfRule type="duplicateValues" dxfId="392" priority="15"/>
  </conditionalFormatting>
  <conditionalFormatting sqref="F120">
    <cfRule type="duplicateValues" dxfId="391" priority="21"/>
  </conditionalFormatting>
  <conditionalFormatting sqref="F124">
    <cfRule type="duplicateValues" dxfId="390" priority="16"/>
  </conditionalFormatting>
  <conditionalFormatting sqref="F125">
    <cfRule type="duplicateValues" dxfId="389" priority="17"/>
  </conditionalFormatting>
  <conditionalFormatting sqref="B126">
    <cfRule type="duplicateValues" dxfId="388" priority="1"/>
  </conditionalFormatting>
  <conditionalFormatting sqref="F127">
    <cfRule type="duplicateValues" dxfId="387" priority="18"/>
  </conditionalFormatting>
  <conditionalFormatting sqref="F170">
    <cfRule type="duplicateValues" dxfId="386" priority="19"/>
  </conditionalFormatting>
  <conditionalFormatting sqref="F184">
    <cfRule type="duplicateValues" dxfId="385" priority="20"/>
  </conditionalFormatting>
  <conditionalFormatting sqref="F193">
    <cfRule type="duplicateValues" dxfId="384" priority="22"/>
  </conditionalFormatting>
  <conditionalFormatting sqref="D11:G12">
    <cfRule type="duplicateValues" dxfId="383" priority="12"/>
  </conditionalFormatting>
  <conditionalFormatting sqref="G13:G14 D13:E13">
    <cfRule type="duplicateValues" dxfId="382"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70" zoomScaleNormal="70" workbookViewId="0">
      <pane xSplit="4" ySplit="3" topLeftCell="E4" activePane="bottomRight" state="frozen"/>
      <selection pane="topRight"/>
      <selection pane="bottomLeft"/>
      <selection pane="bottomRight" activeCell="J34" sqref="J34"/>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1" width="9.1640625" style="748" customWidth="1"/>
    <col min="12"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e">
        <f>+#REF!</f>
        <v>#REF!</v>
      </c>
      <c r="E1" s="833" t="s">
        <v>10</v>
      </c>
      <c r="F1" s="833" t="s">
        <v>581</v>
      </c>
      <c r="G1" s="833" t="s">
        <v>9</v>
      </c>
      <c r="H1" s="833" t="s">
        <v>41</v>
      </c>
      <c r="I1" s="833" t="s">
        <v>18</v>
      </c>
      <c r="J1" s="833"/>
      <c r="K1" s="833" t="s">
        <v>114</v>
      </c>
      <c r="L1" s="833"/>
      <c r="M1" s="833"/>
      <c r="N1" s="754"/>
      <c r="O1" s="754"/>
      <c r="P1" s="754"/>
      <c r="Q1" s="755"/>
      <c r="U1" s="633">
        <v>418</v>
      </c>
      <c r="AA1" s="756"/>
    </row>
    <row r="2" spans="2:27" s="633" customFormat="1" ht="17.25" customHeight="1">
      <c r="C2" s="752"/>
      <c r="D2" s="753" t="s">
        <v>17</v>
      </c>
      <c r="E2" s="757"/>
      <c r="F2" s="758">
        <v>0</v>
      </c>
      <c r="G2" s="759"/>
      <c r="H2" s="759"/>
      <c r="I2" s="759"/>
      <c r="J2" s="759"/>
      <c r="K2" s="759"/>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396" t="s">
        <v>1072</v>
      </c>
      <c r="Q3" s="476" t="s">
        <v>16</v>
      </c>
    </row>
    <row r="4" spans="2:27" ht="16.5" customHeight="1">
      <c r="B4" s="480" t="s">
        <v>537</v>
      </c>
      <c r="C4" s="481" t="s">
        <v>77</v>
      </c>
      <c r="D4" s="480" t="s">
        <v>486</v>
      </c>
      <c r="E4" s="765"/>
      <c r="F4" s="765"/>
      <c r="G4" s="765"/>
      <c r="H4" s="765"/>
      <c r="I4" s="766"/>
      <c r="J4" s="766"/>
      <c r="K4" s="765"/>
      <c r="L4" s="767"/>
      <c r="M4" s="768" t="e">
        <f>SUBTOTAL(9,M5:M68)</f>
        <v>#REF!</v>
      </c>
      <c r="N4" s="768" t="e">
        <f>SUBTOTAL(9,N5:N68)</f>
        <v>#REF!</v>
      </c>
      <c r="O4" s="768" t="e">
        <f>SUBTOTAL(9,O5:O68)</f>
        <v>#REF!</v>
      </c>
      <c r="P4" s="769" t="e">
        <f t="shared" ref="P4:P67" si="0">IF(O4="","",O4*10000/E$2)</f>
        <v>#REF!</v>
      </c>
      <c r="Q4" s="770"/>
      <c r="AA4" s="632"/>
    </row>
    <row r="5" spans="2:27" ht="16.5" hidden="1" customHeight="1" outlineLevel="1">
      <c r="B5" s="771" t="s">
        <v>487</v>
      </c>
      <c r="C5" s="712">
        <v>1</v>
      </c>
      <c r="D5" s="771" t="s">
        <v>650</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hidden="1"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652</v>
      </c>
      <c r="C7" s="782" t="s">
        <v>39</v>
      </c>
      <c r="D7" s="783" t="s">
        <v>1480</v>
      </c>
      <c r="E7" s="648" t="s">
        <v>1228</v>
      </c>
      <c r="F7" s="307" t="s">
        <v>9</v>
      </c>
      <c r="G7" s="784">
        <v>0.5</v>
      </c>
      <c r="H7" s="785" t="s">
        <v>384</v>
      </c>
      <c r="I7" s="614">
        <f>$G$2</f>
        <v>0</v>
      </c>
      <c r="J7" s="614">
        <v>52</v>
      </c>
      <c r="K7" s="778">
        <f>J7/(1+L7)</f>
        <v>46.846846846846844</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9</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hidden="1" customHeight="1" outlineLevel="2">
      <c r="B9" s="776" t="s">
        <v>655</v>
      </c>
      <c r="C9" s="777" t="s">
        <v>33</v>
      </c>
      <c r="D9" s="776" t="s">
        <v>656</v>
      </c>
      <c r="E9" s="307"/>
      <c r="F9" s="307"/>
      <c r="G9" s="511"/>
      <c r="H9" s="511"/>
      <c r="I9" s="614"/>
      <c r="J9" s="614"/>
      <c r="K9" s="786"/>
      <c r="L9" s="569"/>
      <c r="M9" s="779" t="e">
        <f>SUBTOTAL(9,M10:M35)</f>
        <v>#REF!</v>
      </c>
      <c r="N9" s="779" t="e">
        <f>SUBTOTAL(9,N10:N35)</f>
        <v>#REF!</v>
      </c>
      <c r="O9" s="779" t="e">
        <f>SUBTOTAL(9,O10:O35)</f>
        <v>#REF!</v>
      </c>
      <c r="P9" s="780" t="e">
        <f t="shared" si="0"/>
        <v>#REF!</v>
      </c>
      <c r="Q9" s="781"/>
      <c r="AA9" s="632"/>
    </row>
    <row r="10" spans="2:27" ht="16.5" hidden="1" customHeight="1" outlineLevel="3">
      <c r="B10" s="776" t="s">
        <v>1718</v>
      </c>
      <c r="C10" s="782" t="s">
        <v>39</v>
      </c>
      <c r="D10" s="776" t="s">
        <v>59</v>
      </c>
      <c r="E10" s="648"/>
      <c r="F10" s="648"/>
      <c r="G10" s="672"/>
      <c r="H10" s="787"/>
      <c r="I10" s="672"/>
      <c r="J10" s="672"/>
      <c r="K10" s="786"/>
      <c r="L10" s="569"/>
      <c r="M10" s="779" t="e">
        <f>SUBTOTAL(9,M11:M12)</f>
        <v>#REF!</v>
      </c>
      <c r="N10" s="779" t="e">
        <f>SUBTOTAL(9,N11:N12)</f>
        <v>#REF!</v>
      </c>
      <c r="O10" s="779" t="e">
        <f>SUBTOTAL(9,O11:O12)</f>
        <v>#REF!</v>
      </c>
      <c r="P10" s="780" t="e">
        <f t="shared" si="0"/>
        <v>#REF!</v>
      </c>
      <c r="Q10" s="781"/>
      <c r="AA10" s="632"/>
    </row>
    <row r="11" spans="2:27" ht="16.5" hidden="1" customHeight="1" outlineLevel="3">
      <c r="B11" s="776" t="s">
        <v>1720</v>
      </c>
      <c r="C11" s="782"/>
      <c r="D11" s="783" t="s">
        <v>1721</v>
      </c>
      <c r="E11" s="648" t="s">
        <v>1228</v>
      </c>
      <c r="F11" s="648" t="s">
        <v>657</v>
      </c>
      <c r="G11" s="672" t="e">
        <f>#REF!</f>
        <v>#REF!</v>
      </c>
      <c r="H11" s="787" t="s">
        <v>384</v>
      </c>
      <c r="I11" s="672">
        <f>$E$2*(1+$F$2)</f>
        <v>0</v>
      </c>
      <c r="J11" s="1037" t="e">
        <f>#REF!</f>
        <v>#REF!</v>
      </c>
      <c r="K11" s="778" t="e">
        <f>J11/(1+L11)</f>
        <v>#REF!</v>
      </c>
      <c r="L11" s="569">
        <v>0.11</v>
      </c>
      <c r="M11" s="779" t="e">
        <f>G11*I11*K11/10000</f>
        <v>#REF!</v>
      </c>
      <c r="N11" s="779" t="e">
        <f>L11*M11</f>
        <v>#REF!</v>
      </c>
      <c r="O11" s="779" t="e">
        <f>M11+N11</f>
        <v>#REF!</v>
      </c>
      <c r="P11" s="780" t="e">
        <f t="shared" si="0"/>
        <v>#REF!</v>
      </c>
      <c r="Q11" s="781" t="e">
        <f>G11*I11*J11/10000-O11</f>
        <v>#REF!</v>
      </c>
      <c r="AA11" s="632"/>
    </row>
    <row r="12" spans="2:27" ht="16.5" hidden="1" customHeight="1" outlineLevel="3">
      <c r="B12" s="776" t="s">
        <v>1722</v>
      </c>
      <c r="C12" s="782"/>
      <c r="D12" s="783" t="s">
        <v>1723</v>
      </c>
      <c r="E12" s="648" t="s">
        <v>1228</v>
      </c>
      <c r="F12" s="648" t="s">
        <v>657</v>
      </c>
      <c r="G12" s="672" t="e">
        <f>#REF!</f>
        <v>#REF!</v>
      </c>
      <c r="H12" s="787" t="s">
        <v>384</v>
      </c>
      <c r="I12" s="672">
        <f>$E$2*(1+$F$2)</f>
        <v>0</v>
      </c>
      <c r="J12" s="1037" t="e">
        <f>#REF!</f>
        <v>#REF!</v>
      </c>
      <c r="K12" s="778" t="e">
        <f>J12/(1+L12)</f>
        <v>#REF!</v>
      </c>
      <c r="L12" s="569">
        <v>0.11</v>
      </c>
      <c r="M12" s="779" t="e">
        <f>G12*I12*K12/10000</f>
        <v>#REF!</v>
      </c>
      <c r="N12" s="779" t="e">
        <f>L12*M12</f>
        <v>#REF!</v>
      </c>
      <c r="O12" s="779" t="e">
        <f>M12+N12</f>
        <v>#REF!</v>
      </c>
      <c r="P12" s="780" t="e">
        <f t="shared" si="0"/>
        <v>#REF!</v>
      </c>
      <c r="Q12" s="781" t="e">
        <f>G12*I12*J12/10000-O12</f>
        <v>#REF!</v>
      </c>
      <c r="AA12" s="632"/>
    </row>
    <row r="13" spans="2:27" ht="16.5" hidden="1" customHeight="1" outlineLevel="3">
      <c r="B13" s="776" t="s">
        <v>1482</v>
      </c>
      <c r="C13" s="782" t="s">
        <v>39</v>
      </c>
      <c r="D13" s="776" t="s">
        <v>658</v>
      </c>
      <c r="E13" s="648"/>
      <c r="F13" s="648"/>
      <c r="G13" s="672"/>
      <c r="H13" s="787"/>
      <c r="I13" s="672"/>
      <c r="J13" s="672"/>
      <c r="K13" s="786"/>
      <c r="L13" s="569"/>
      <c r="M13" s="779" t="e">
        <f>SUBTOTAL(9,M14:M15)</f>
        <v>#REF!</v>
      </c>
      <c r="N13" s="779" t="e">
        <f>SUBTOTAL(9,N14:N15)</f>
        <v>#REF!</v>
      </c>
      <c r="O13" s="779" t="e">
        <f>SUBTOTAL(9,O14:O15)</f>
        <v>#REF!</v>
      </c>
      <c r="P13" s="780" t="e">
        <f t="shared" si="0"/>
        <v>#REF!</v>
      </c>
      <c r="Q13" s="781"/>
      <c r="AA13" s="632"/>
    </row>
    <row r="14" spans="2:27" ht="16.5" hidden="1" customHeight="1" outlineLevel="3">
      <c r="B14" s="776" t="s">
        <v>1725</v>
      </c>
      <c r="C14" s="782"/>
      <c r="D14" s="776" t="s">
        <v>1726</v>
      </c>
      <c r="E14" s="648" t="s">
        <v>1228</v>
      </c>
      <c r="F14" s="648" t="s">
        <v>657</v>
      </c>
      <c r="G14" s="672" t="e">
        <f>#REF!</f>
        <v>#REF!</v>
      </c>
      <c r="H14" s="787" t="s">
        <v>1927</v>
      </c>
      <c r="I14" s="672">
        <f>$E$2*(1+$F$2)</f>
        <v>0</v>
      </c>
      <c r="J14" s="672" t="e">
        <f>#REF!</f>
        <v>#REF!</v>
      </c>
      <c r="K14" s="778" t="e">
        <f>J14/(1+L14)</f>
        <v>#REF!</v>
      </c>
      <c r="L14" s="569">
        <v>0.11</v>
      </c>
      <c r="M14" s="779" t="e">
        <f>G14*I14*K14/10000</f>
        <v>#REF!</v>
      </c>
      <c r="N14" s="779" t="e">
        <f>L14*M14</f>
        <v>#REF!</v>
      </c>
      <c r="O14" s="779" t="e">
        <f>M14+N14</f>
        <v>#REF!</v>
      </c>
      <c r="P14" s="780" t="e">
        <f t="shared" si="0"/>
        <v>#REF!</v>
      </c>
      <c r="Q14" s="781" t="e">
        <f>G14*I14*J14/10000-O14</f>
        <v>#REF!</v>
      </c>
      <c r="AA14" s="632"/>
    </row>
    <row r="15" spans="2:27" ht="16.5" hidden="1" customHeight="1" outlineLevel="3">
      <c r="B15" s="776" t="s">
        <v>1483</v>
      </c>
      <c r="C15" s="782"/>
      <c r="D15" s="776" t="s">
        <v>1727</v>
      </c>
      <c r="E15" s="648" t="s">
        <v>1228</v>
      </c>
      <c r="F15" s="648" t="s">
        <v>657</v>
      </c>
      <c r="G15" s="672" t="e">
        <f>#REF!</f>
        <v>#REF!</v>
      </c>
      <c r="H15" s="787" t="s">
        <v>1927</v>
      </c>
      <c r="I15" s="672">
        <f>$E$2*(1+$F$2)</f>
        <v>0</v>
      </c>
      <c r="J15" s="672" t="e">
        <f>#REF!</f>
        <v>#REF!</v>
      </c>
      <c r="K15" s="778" t="e">
        <f>J15/(1+L15)</f>
        <v>#REF!</v>
      </c>
      <c r="L15" s="569">
        <v>0.11</v>
      </c>
      <c r="M15" s="779" t="e">
        <f>G15*I15*K15/10000</f>
        <v>#REF!</v>
      </c>
      <c r="N15" s="779" t="e">
        <f>L15*M15</f>
        <v>#REF!</v>
      </c>
      <c r="O15" s="779" t="e">
        <f>M15+N15</f>
        <v>#REF!</v>
      </c>
      <c r="P15" s="780" t="e">
        <f t="shared" si="0"/>
        <v>#REF!</v>
      </c>
      <c r="Q15" s="781" t="e">
        <f>G15*I15*J15/10000-O15</f>
        <v>#REF!</v>
      </c>
      <c r="AA15" s="632"/>
    </row>
    <row r="16" spans="2:27" ht="16.5" hidden="1" customHeight="1" outlineLevel="3">
      <c r="B16" s="776" t="s">
        <v>1728</v>
      </c>
      <c r="C16" s="782" t="s">
        <v>39</v>
      </c>
      <c r="D16" s="776" t="s">
        <v>659</v>
      </c>
      <c r="E16" s="648" t="s">
        <v>1228</v>
      </c>
      <c r="F16" s="648" t="s">
        <v>657</v>
      </c>
      <c r="G16" s="672">
        <v>4</v>
      </c>
      <c r="H16" s="787" t="s">
        <v>145</v>
      </c>
      <c r="I16" s="672">
        <f>$E$2*(1+$F$2)</f>
        <v>0</v>
      </c>
      <c r="J16" s="672">
        <v>95</v>
      </c>
      <c r="K16" s="778">
        <f>J16/(1+L16)</f>
        <v>85.585585585585576</v>
      </c>
      <c r="L16" s="569">
        <v>0.11</v>
      </c>
      <c r="M16" s="779">
        <f>G16*I16*K16/10000</f>
        <v>0</v>
      </c>
      <c r="N16" s="779">
        <f>L16*M16</f>
        <v>0</v>
      </c>
      <c r="O16" s="779">
        <f>M16+N16</f>
        <v>0</v>
      </c>
      <c r="P16" s="780" t="e">
        <f t="shared" si="0"/>
        <v>#DIV/0!</v>
      </c>
      <c r="Q16" s="781">
        <f>G16*I16*J16/10000-O16</f>
        <v>0</v>
      </c>
      <c r="AA16" s="632"/>
    </row>
    <row r="17" spans="2:27" ht="16.5" hidden="1" customHeight="1" outlineLevel="3">
      <c r="B17" s="776" t="s">
        <v>1484</v>
      </c>
      <c r="C17" s="782" t="s">
        <v>39</v>
      </c>
      <c r="D17" s="776" t="s">
        <v>1729</v>
      </c>
      <c r="E17" s="648" t="s">
        <v>1228</v>
      </c>
      <c r="F17" s="648" t="s">
        <v>657</v>
      </c>
      <c r="G17" s="672">
        <v>0.2</v>
      </c>
      <c r="H17" s="787" t="s">
        <v>384</v>
      </c>
      <c r="I17" s="672">
        <f>$E$2*(1+$F$2)</f>
        <v>0</v>
      </c>
      <c r="J17" s="672" t="e">
        <f>#REF!</f>
        <v>#REF!</v>
      </c>
      <c r="K17" s="778" t="e">
        <f>J17/(1+L17)</f>
        <v>#REF!</v>
      </c>
      <c r="L17" s="788">
        <v>0.11</v>
      </c>
      <c r="M17" s="779" t="e">
        <f>G17*I17*K17/10000</f>
        <v>#REF!</v>
      </c>
      <c r="N17" s="779" t="e">
        <f>L17*M17</f>
        <v>#REF!</v>
      </c>
      <c r="O17" s="779" t="e">
        <f>M17+N17</f>
        <v>#REF!</v>
      </c>
      <c r="P17" s="780" t="e">
        <f t="shared" si="0"/>
        <v>#REF!</v>
      </c>
      <c r="Q17" s="781" t="e">
        <f>G17*I17*J17/10000-O17</f>
        <v>#REF!</v>
      </c>
      <c r="AA17" s="632"/>
    </row>
    <row r="18" spans="2:27" ht="16.5" hidden="1" customHeight="1" outlineLevel="3">
      <c r="B18" s="776" t="s">
        <v>1485</v>
      </c>
      <c r="C18" s="782" t="s">
        <v>39</v>
      </c>
      <c r="D18" s="776" t="s">
        <v>386</v>
      </c>
      <c r="E18" s="648" t="s">
        <v>1228</v>
      </c>
      <c r="F18" s="648" t="s">
        <v>657</v>
      </c>
      <c r="G18" s="789">
        <v>3.5</v>
      </c>
      <c r="H18" s="790" t="s">
        <v>145</v>
      </c>
      <c r="I18" s="672">
        <f>$E$2*(1+$F$2)</f>
        <v>0</v>
      </c>
      <c r="J18" s="672">
        <v>80</v>
      </c>
      <c r="K18" s="778">
        <f>J18/(1+L18)</f>
        <v>72.072072072072061</v>
      </c>
      <c r="L18" s="569">
        <v>0.11</v>
      </c>
      <c r="M18" s="779">
        <f>G18*I18*K18/10000</f>
        <v>0</v>
      </c>
      <c r="N18" s="779">
        <f>L18*M18</f>
        <v>0</v>
      </c>
      <c r="O18" s="779">
        <f>M18+N18</f>
        <v>0</v>
      </c>
      <c r="P18" s="780" t="e">
        <f t="shared" si="0"/>
        <v>#DIV/0!</v>
      </c>
      <c r="Q18" s="781">
        <f>G18*I18*J18/10000-O18</f>
        <v>0</v>
      </c>
      <c r="AA18" s="632"/>
    </row>
    <row r="19" spans="2:27" ht="16.5" hidden="1"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2187</v>
      </c>
      <c r="C20" s="782"/>
      <c r="D20" s="783" t="s">
        <v>2186</v>
      </c>
      <c r="E20" s="648" t="s">
        <v>1488</v>
      </c>
      <c r="F20" s="648" t="s">
        <v>657</v>
      </c>
      <c r="G20" s="672">
        <v>0.3</v>
      </c>
      <c r="H20" s="787" t="s">
        <v>145</v>
      </c>
      <c r="I20" s="672">
        <f>$E$2*(1+$F$2)</f>
        <v>0</v>
      </c>
      <c r="J20" s="672">
        <v>40</v>
      </c>
      <c r="K20" s="778">
        <f>J20/(1+L20)</f>
        <v>34.188034188034187</v>
      </c>
      <c r="L20" s="569">
        <v>0.17</v>
      </c>
      <c r="M20" s="779">
        <f>G20*I20*K20/10000</f>
        <v>0</v>
      </c>
      <c r="N20" s="779">
        <f>L20*M20</f>
        <v>0</v>
      </c>
      <c r="O20" s="779">
        <f>M20+N20</f>
        <v>0</v>
      </c>
      <c r="P20" s="780" t="e">
        <f t="shared" si="0"/>
        <v>#DIV/0!</v>
      </c>
      <c r="Q20" s="781">
        <f>G20*I20*J20/10000-O20</f>
        <v>0</v>
      </c>
      <c r="AA20" s="632"/>
    </row>
    <row r="21" spans="2:27" ht="16.5" hidden="1" customHeight="1" outlineLevel="3">
      <c r="B21" s="776" t="s">
        <v>1489</v>
      </c>
      <c r="C21" s="782"/>
      <c r="D21" s="783" t="s">
        <v>2185</v>
      </c>
      <c r="E21" s="648" t="s">
        <v>1228</v>
      </c>
      <c r="F21" s="648" t="s">
        <v>657</v>
      </c>
      <c r="G21" s="672">
        <f>G20</f>
        <v>0.3</v>
      </c>
      <c r="H21" s="787" t="s">
        <v>145</v>
      </c>
      <c r="I21" s="672">
        <f>$E$2*(1+$F$2)</f>
        <v>0</v>
      </c>
      <c r="J21" s="672">
        <v>40</v>
      </c>
      <c r="K21" s="778">
        <f>J21/(1+L21)</f>
        <v>36.03603603603603</v>
      </c>
      <c r="L21" s="569">
        <v>0.11</v>
      </c>
      <c r="M21" s="779">
        <f>G21*I21*K21/10000</f>
        <v>0</v>
      </c>
      <c r="N21" s="779">
        <f>L21*M21</f>
        <v>0</v>
      </c>
      <c r="O21" s="779">
        <f>M21+N21</f>
        <v>0</v>
      </c>
      <c r="P21" s="780" t="e">
        <f t="shared" si="0"/>
        <v>#DIV/0!</v>
      </c>
      <c r="Q21" s="781">
        <f>G21*I21*J21/10000-O21</f>
        <v>0</v>
      </c>
      <c r="AA21" s="632"/>
    </row>
    <row r="22" spans="2:27" ht="16.5" hidden="1" customHeight="1" outlineLevel="3">
      <c r="B22" s="776" t="s">
        <v>2184</v>
      </c>
      <c r="C22" s="782" t="s">
        <v>39</v>
      </c>
      <c r="D22" s="776" t="s">
        <v>2183</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2182</v>
      </c>
      <c r="C23" s="782"/>
      <c r="D23" s="783" t="s">
        <v>2181</v>
      </c>
      <c r="E23" s="648" t="s">
        <v>1228</v>
      </c>
      <c r="F23" s="648" t="s">
        <v>657</v>
      </c>
      <c r="G23" s="789">
        <v>1</v>
      </c>
      <c r="H23" s="790" t="s">
        <v>145</v>
      </c>
      <c r="I23" s="672">
        <f>$E$2*(1+$F$2)</f>
        <v>0</v>
      </c>
      <c r="J23" s="672">
        <v>200</v>
      </c>
      <c r="K23" s="778">
        <f>J23/(1+L23)</f>
        <v>180.18018018018017</v>
      </c>
      <c r="L23" s="569">
        <v>0.11</v>
      </c>
      <c r="M23" s="779">
        <f>G23*I23*K23/10000</f>
        <v>0</v>
      </c>
      <c r="N23" s="779">
        <f>L23*M23</f>
        <v>0</v>
      </c>
      <c r="O23" s="779">
        <f>M23+N23</f>
        <v>0</v>
      </c>
      <c r="P23" s="780" t="e">
        <f t="shared" si="0"/>
        <v>#DIV/0!</v>
      </c>
      <c r="Q23" s="781">
        <f>G23*I23*J23/10000-O23</f>
        <v>0</v>
      </c>
      <c r="AA23" s="632"/>
    </row>
    <row r="24" spans="2:27" ht="16.5" hidden="1" customHeight="1" outlineLevel="3">
      <c r="B24" s="776" t="s">
        <v>1490</v>
      </c>
      <c r="C24" s="782"/>
      <c r="D24" s="783" t="s">
        <v>1739</v>
      </c>
      <c r="E24" s="648" t="s">
        <v>1228</v>
      </c>
      <c r="F24" s="648" t="s">
        <v>657</v>
      </c>
      <c r="G24" s="789">
        <v>1</v>
      </c>
      <c r="H24" s="790" t="s">
        <v>145</v>
      </c>
      <c r="I24" s="672">
        <f>$E$2*(1+$F$2)</f>
        <v>0</v>
      </c>
      <c r="J24" s="672"/>
      <c r="K24" s="778">
        <f>J24/(1+L24)</f>
        <v>0</v>
      </c>
      <c r="L24" s="569">
        <v>0.11</v>
      </c>
      <c r="M24" s="779">
        <f>G24*I24*K24/10000</f>
        <v>0</v>
      </c>
      <c r="N24" s="779">
        <f>L24*M24</f>
        <v>0</v>
      </c>
      <c r="O24" s="779">
        <f>M24+N24</f>
        <v>0</v>
      </c>
      <c r="P24" s="780" t="e">
        <f t="shared" si="0"/>
        <v>#DIV/0!</v>
      </c>
      <c r="Q24" s="781">
        <f>G24*I24*J24/10000-O24</f>
        <v>0</v>
      </c>
      <c r="AA24" s="632"/>
    </row>
    <row r="25" spans="2:27" ht="16.5" hidden="1" customHeight="1" outlineLevel="3">
      <c r="B25" s="776" t="s">
        <v>1491</v>
      </c>
      <c r="C25" s="782"/>
      <c r="D25" s="783" t="s">
        <v>2180</v>
      </c>
      <c r="E25" s="648" t="s">
        <v>1228</v>
      </c>
      <c r="F25" s="648" t="s">
        <v>657</v>
      </c>
      <c r="G25" s="789">
        <v>1</v>
      </c>
      <c r="H25" s="790" t="s">
        <v>145</v>
      </c>
      <c r="I25" s="672">
        <f>$E$2*(1+$F$2)</f>
        <v>0</v>
      </c>
      <c r="J25" s="672"/>
      <c r="K25" s="778">
        <f>J25/(1+L25)</f>
        <v>0</v>
      </c>
      <c r="L25" s="569">
        <v>0.11</v>
      </c>
      <c r="M25" s="779">
        <f>G25*I25*K25/10000</f>
        <v>0</v>
      </c>
      <c r="N25" s="779">
        <f>L25*M25</f>
        <v>0</v>
      </c>
      <c r="O25" s="779">
        <f>M25+N25</f>
        <v>0</v>
      </c>
      <c r="P25" s="780" t="e">
        <f t="shared" si="0"/>
        <v>#DIV/0!</v>
      </c>
      <c r="Q25" s="781">
        <f>G25*I25*J25/10000-O25</f>
        <v>0</v>
      </c>
      <c r="AA25" s="632"/>
    </row>
    <row r="26" spans="2:27" ht="16.5" hidden="1" customHeight="1" outlineLevel="3">
      <c r="B26" s="776" t="s">
        <v>1492</v>
      </c>
      <c r="C26" s="782"/>
      <c r="D26" s="783" t="s">
        <v>1741</v>
      </c>
      <c r="E26" s="648" t="s">
        <v>1228</v>
      </c>
      <c r="F26" s="648" t="s">
        <v>657</v>
      </c>
      <c r="G26" s="789">
        <v>1</v>
      </c>
      <c r="H26" s="790" t="s">
        <v>145</v>
      </c>
      <c r="I26" s="672">
        <f>$E$2*(1+$F$2)</f>
        <v>0</v>
      </c>
      <c r="J26" s="672"/>
      <c r="K26" s="778">
        <f>J26/(1+L26)</f>
        <v>0</v>
      </c>
      <c r="L26" s="569">
        <v>0.11</v>
      </c>
      <c r="M26" s="779">
        <f>G26*I26*K26/10000</f>
        <v>0</v>
      </c>
      <c r="N26" s="779">
        <f>L26*M26</f>
        <v>0</v>
      </c>
      <c r="O26" s="779">
        <f>M26+N26</f>
        <v>0</v>
      </c>
      <c r="P26" s="780" t="e">
        <f t="shared" si="0"/>
        <v>#DIV/0!</v>
      </c>
      <c r="Q26" s="781">
        <f>G26*I26*J26/10000-O26</f>
        <v>0</v>
      </c>
      <c r="AA26" s="632"/>
    </row>
    <row r="27" spans="2:27" ht="16.5" hidden="1" customHeight="1" outlineLevel="3">
      <c r="B27" s="776" t="s">
        <v>2179</v>
      </c>
      <c r="C27" s="782" t="s">
        <v>39</v>
      </c>
      <c r="D27" s="776" t="s">
        <v>2178</v>
      </c>
      <c r="E27" s="665"/>
      <c r="F27" s="665"/>
      <c r="G27" s="789"/>
      <c r="H27" s="790"/>
      <c r="I27" s="672"/>
      <c r="J27" s="672"/>
      <c r="K27" s="791"/>
      <c r="L27" s="788"/>
      <c r="M27" s="779" t="e">
        <f>SUBTOTAL(9,M28:M30)</f>
        <v>#REF!</v>
      </c>
      <c r="N27" s="779" t="e">
        <f>SUBTOTAL(9,N28:N30)</f>
        <v>#REF!</v>
      </c>
      <c r="O27" s="779" t="e">
        <f>SUBTOTAL(9,O28:O30)</f>
        <v>#REF!</v>
      </c>
      <c r="P27" s="780" t="e">
        <f t="shared" si="0"/>
        <v>#REF!</v>
      </c>
      <c r="Q27" s="781"/>
      <c r="AA27" s="632"/>
    </row>
    <row r="28" spans="2:27" s="633" customFormat="1" ht="16.5" hidden="1" customHeight="1" outlineLevel="3">
      <c r="B28" s="776" t="s">
        <v>2177</v>
      </c>
      <c r="C28" s="792"/>
      <c r="D28" s="783" t="s">
        <v>1745</v>
      </c>
      <c r="E28" s="648" t="s">
        <v>1493</v>
      </c>
      <c r="F28" s="648" t="s">
        <v>657</v>
      </c>
      <c r="G28" s="672">
        <v>1.2</v>
      </c>
      <c r="H28" s="787" t="s">
        <v>145</v>
      </c>
      <c r="I28" s="672">
        <f>$E$2*(1+$F$2)</f>
        <v>0</v>
      </c>
      <c r="J28" s="672"/>
      <c r="K28" s="778">
        <f t="shared" ref="K28:K34" si="1">J28/(1+L28)</f>
        <v>0</v>
      </c>
      <c r="L28" s="569">
        <v>0.11</v>
      </c>
      <c r="M28" s="779">
        <f t="shared" ref="M28:M35" si="2">G28*I28*K28/10000</f>
        <v>0</v>
      </c>
      <c r="N28" s="779">
        <f t="shared" ref="N28:N35" si="3">L28*M28</f>
        <v>0</v>
      </c>
      <c r="O28" s="779">
        <f t="shared" ref="O28:O35" si="4">M28+N28</f>
        <v>0</v>
      </c>
      <c r="P28" s="780" t="e">
        <f t="shared" si="0"/>
        <v>#DIV/0!</v>
      </c>
      <c r="Q28" s="781">
        <f>G28*I28*J28/10000-O28</f>
        <v>0</v>
      </c>
    </row>
    <row r="29" spans="2:27" s="633" customFormat="1" ht="16.5" hidden="1" customHeight="1" outlineLevel="3">
      <c r="B29" s="776" t="s">
        <v>1494</v>
      </c>
      <c r="C29" s="792"/>
      <c r="D29" s="783" t="s">
        <v>2176</v>
      </c>
      <c r="E29" s="648" t="s">
        <v>1493</v>
      </c>
      <c r="F29" s="648" t="s">
        <v>657</v>
      </c>
      <c r="G29" s="672">
        <v>1.5</v>
      </c>
      <c r="H29" s="787" t="s">
        <v>145</v>
      </c>
      <c r="I29" s="672">
        <f>$E$2*(1+$F$2)</f>
        <v>0</v>
      </c>
      <c r="J29" s="672" t="e">
        <f>#REF!</f>
        <v>#REF!</v>
      </c>
      <c r="K29" s="778" t="e">
        <f t="shared" si="1"/>
        <v>#REF!</v>
      </c>
      <c r="L29" s="569">
        <v>0.11</v>
      </c>
      <c r="M29" s="779" t="e">
        <f t="shared" si="2"/>
        <v>#REF!</v>
      </c>
      <c r="N29" s="779" t="e">
        <f t="shared" si="3"/>
        <v>#REF!</v>
      </c>
      <c r="O29" s="779" t="e">
        <f t="shared" si="4"/>
        <v>#REF!</v>
      </c>
      <c r="P29" s="780" t="e">
        <f t="shared" si="0"/>
        <v>#REF!</v>
      </c>
      <c r="Q29" s="781" t="e">
        <f>G29*I29*J29/10000-O29</f>
        <v>#REF!</v>
      </c>
    </row>
    <row r="30" spans="2:27" s="633" customFormat="1" ht="16.5" hidden="1" customHeight="1" outlineLevel="3">
      <c r="B30" s="776" t="s">
        <v>1495</v>
      </c>
      <c r="C30" s="792"/>
      <c r="D30" s="783" t="s">
        <v>2175</v>
      </c>
      <c r="E30" s="648" t="s">
        <v>1228</v>
      </c>
      <c r="F30" s="648" t="s">
        <v>2174</v>
      </c>
      <c r="G30" s="672">
        <v>1.5</v>
      </c>
      <c r="H30" s="787" t="s">
        <v>143</v>
      </c>
      <c r="I30" s="672">
        <f>$G$2</f>
        <v>0</v>
      </c>
      <c r="J30" s="672">
        <v>110</v>
      </c>
      <c r="K30" s="778">
        <f t="shared" si="1"/>
        <v>99.099099099099092</v>
      </c>
      <c r="L30" s="569">
        <v>0.11</v>
      </c>
      <c r="M30" s="779">
        <f t="shared" si="2"/>
        <v>0</v>
      </c>
      <c r="N30" s="779">
        <f t="shared" si="3"/>
        <v>0</v>
      </c>
      <c r="O30" s="779">
        <f t="shared" si="4"/>
        <v>0</v>
      </c>
      <c r="P30" s="780" t="e">
        <f t="shared" si="0"/>
        <v>#DIV/0!</v>
      </c>
      <c r="Q30" s="781">
        <f>G30*I30*J30/10000-O30</f>
        <v>0</v>
      </c>
    </row>
    <row r="31" spans="2:27" s="633" customFormat="1" ht="16.5" hidden="1" customHeight="1" outlineLevel="3">
      <c r="B31" s="776" t="s">
        <v>2173</v>
      </c>
      <c r="C31" s="792" t="s">
        <v>39</v>
      </c>
      <c r="D31" s="776" t="s">
        <v>2172</v>
      </c>
      <c r="E31" s="648" t="s">
        <v>1496</v>
      </c>
      <c r="F31" s="648" t="s">
        <v>657</v>
      </c>
      <c r="G31" s="672">
        <v>1</v>
      </c>
      <c r="H31" s="787" t="s">
        <v>143</v>
      </c>
      <c r="I31" s="672">
        <f>$E$2*(1+$F$2)</f>
        <v>0</v>
      </c>
      <c r="J31" s="1035">
        <v>100</v>
      </c>
      <c r="K31" s="778">
        <f t="shared" si="1"/>
        <v>85.470085470085479</v>
      </c>
      <c r="L31" s="569">
        <v>0.17</v>
      </c>
      <c r="M31" s="779">
        <f t="shared" si="2"/>
        <v>0</v>
      </c>
      <c r="N31" s="779">
        <f t="shared" si="3"/>
        <v>0</v>
      </c>
      <c r="O31" s="779">
        <f t="shared" si="4"/>
        <v>0</v>
      </c>
      <c r="P31" s="780" t="e">
        <f t="shared" si="0"/>
        <v>#DIV/0!</v>
      </c>
      <c r="Q31" s="781">
        <f>G31*I31*J31/10000-O31</f>
        <v>0</v>
      </c>
    </row>
    <row r="32" spans="2:27" s="633" customFormat="1" ht="24.75" hidden="1" customHeight="1" outlineLevel="3">
      <c r="B32" s="776" t="s">
        <v>1751</v>
      </c>
      <c r="C32" s="792" t="s">
        <v>39</v>
      </c>
      <c r="D32" s="776" t="s">
        <v>2171</v>
      </c>
      <c r="E32" s="648" t="s">
        <v>1753</v>
      </c>
      <c r="F32" s="648" t="s">
        <v>657</v>
      </c>
      <c r="G32" s="672">
        <v>1</v>
      </c>
      <c r="H32" s="787" t="s">
        <v>143</v>
      </c>
      <c r="I32" s="672">
        <f>$E$2*(1+$F$2)</f>
        <v>0</v>
      </c>
      <c r="J32" s="672">
        <v>5</v>
      </c>
      <c r="K32" s="778">
        <f t="shared" si="1"/>
        <v>4.5045045045045038</v>
      </c>
      <c r="L32" s="569">
        <v>0.11</v>
      </c>
      <c r="M32" s="779">
        <f t="shared" si="2"/>
        <v>0</v>
      </c>
      <c r="N32" s="779">
        <f t="shared" si="3"/>
        <v>0</v>
      </c>
      <c r="O32" s="779">
        <f t="shared" si="4"/>
        <v>0</v>
      </c>
      <c r="P32" s="780" t="e">
        <f t="shared" si="0"/>
        <v>#DIV/0!</v>
      </c>
      <c r="Q32" s="781" t="s">
        <v>2170</v>
      </c>
    </row>
    <row r="33" spans="2:27" ht="16.5" hidden="1" customHeight="1" outlineLevel="3">
      <c r="B33" s="776" t="s">
        <v>2169</v>
      </c>
      <c r="C33" s="782" t="s">
        <v>39</v>
      </c>
      <c r="D33" s="776" t="s">
        <v>2168</v>
      </c>
      <c r="E33" s="648" t="s">
        <v>1228</v>
      </c>
      <c r="F33" s="648" t="s">
        <v>657</v>
      </c>
      <c r="G33" s="672">
        <v>1</v>
      </c>
      <c r="H33" s="790" t="s">
        <v>143</v>
      </c>
      <c r="I33" s="672">
        <f>$E$2*(1+$F$2)</f>
        <v>0</v>
      </c>
      <c r="J33" s="672">
        <v>5</v>
      </c>
      <c r="K33" s="778">
        <f t="shared" si="1"/>
        <v>4.5045045045045038</v>
      </c>
      <c r="L33" s="569">
        <v>0.11</v>
      </c>
      <c r="M33" s="779">
        <f t="shared" si="2"/>
        <v>0</v>
      </c>
      <c r="N33" s="779">
        <f t="shared" si="3"/>
        <v>0</v>
      </c>
      <c r="O33" s="779">
        <f t="shared" si="4"/>
        <v>0</v>
      </c>
      <c r="P33" s="780" t="e">
        <f t="shared" si="0"/>
        <v>#DIV/0!</v>
      </c>
      <c r="Q33" s="781">
        <f>G33*I33*J33/10000-O33</f>
        <v>0</v>
      </c>
      <c r="AA33" s="632"/>
    </row>
    <row r="34" spans="2:27" ht="16.5" hidden="1" customHeight="1" outlineLevel="3">
      <c r="B34" s="776" t="s">
        <v>1757</v>
      </c>
      <c r="C34" s="782" t="s">
        <v>39</v>
      </c>
      <c r="D34" s="776" t="s">
        <v>2167</v>
      </c>
      <c r="E34" s="648" t="s">
        <v>1228</v>
      </c>
      <c r="F34" s="648" t="s">
        <v>657</v>
      </c>
      <c r="G34" s="672">
        <v>1</v>
      </c>
      <c r="H34" s="790" t="s">
        <v>143</v>
      </c>
      <c r="I34" s="672">
        <f>$E$2*(1+$F$2)</f>
        <v>0</v>
      </c>
      <c r="J34" s="672">
        <v>50</v>
      </c>
      <c r="K34" s="778">
        <f t="shared" si="1"/>
        <v>45.045045045045043</v>
      </c>
      <c r="L34" s="569">
        <v>0.11</v>
      </c>
      <c r="M34" s="779">
        <f t="shared" si="2"/>
        <v>0</v>
      </c>
      <c r="N34" s="779">
        <f t="shared" si="3"/>
        <v>0</v>
      </c>
      <c r="O34" s="779">
        <f t="shared" si="4"/>
        <v>0</v>
      </c>
      <c r="P34" s="780" t="e">
        <f t="shared" si="0"/>
        <v>#DIV/0!</v>
      </c>
      <c r="Q34" s="781">
        <f>G34*I34*J34/10000-O34</f>
        <v>0</v>
      </c>
      <c r="AA34" s="632"/>
    </row>
    <row r="35" spans="2:27" ht="16.5" hidden="1" customHeight="1" outlineLevel="3">
      <c r="B35" s="776" t="s">
        <v>1497</v>
      </c>
      <c r="C35" s="782" t="s">
        <v>39</v>
      </c>
      <c r="D35" s="776" t="s">
        <v>2166</v>
      </c>
      <c r="E35" s="648" t="s">
        <v>1228</v>
      </c>
      <c r="F35" s="648" t="s">
        <v>657</v>
      </c>
      <c r="G35" s="672">
        <v>1</v>
      </c>
      <c r="H35" s="790" t="s">
        <v>143</v>
      </c>
      <c r="I35" s="672">
        <f>$E$2*(1+$F$2)</f>
        <v>0</v>
      </c>
      <c r="J35" s="672"/>
      <c r="K35" s="672"/>
      <c r="L35" s="569">
        <v>0.11</v>
      </c>
      <c r="M35" s="779">
        <f t="shared" si="2"/>
        <v>0</v>
      </c>
      <c r="N35" s="779">
        <f t="shared" si="3"/>
        <v>0</v>
      </c>
      <c r="O35" s="779">
        <f t="shared" si="4"/>
        <v>0</v>
      </c>
      <c r="P35" s="780" t="e">
        <f t="shared" si="0"/>
        <v>#DIV/0!</v>
      </c>
      <c r="Q35" s="781">
        <f>G35*I35*J35/10000-O35</f>
        <v>0</v>
      </c>
      <c r="AA35" s="632"/>
    </row>
    <row r="36" spans="2:27" ht="16.5" hidden="1" customHeight="1" outlineLevel="1">
      <c r="B36" s="771" t="s">
        <v>2165</v>
      </c>
      <c r="C36" s="712">
        <v>2</v>
      </c>
      <c r="D36" s="771" t="s">
        <v>2164</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2119</v>
      </c>
      <c r="D37" s="776" t="s">
        <v>2163</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hidden="1" customHeight="1" outlineLevel="3">
      <c r="B38" s="776" t="s">
        <v>662</v>
      </c>
      <c r="C38" s="782" t="s">
        <v>39</v>
      </c>
      <c r="D38" s="776" t="s">
        <v>2162</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2161</v>
      </c>
      <c r="C39" s="782"/>
      <c r="D39" s="796" t="s">
        <v>1498</v>
      </c>
      <c r="E39" s="648" t="s">
        <v>1228</v>
      </c>
      <c r="F39" s="648" t="s">
        <v>2159</v>
      </c>
      <c r="G39" s="791">
        <v>1</v>
      </c>
      <c r="H39" s="790" t="s">
        <v>143</v>
      </c>
      <c r="I39" s="672">
        <f>$E$2*(1+$F$2)</f>
        <v>0</v>
      </c>
      <c r="J39" s="672">
        <v>50</v>
      </c>
      <c r="K39" s="778">
        <f>J39/(1+L39)</f>
        <v>45.045045045045043</v>
      </c>
      <c r="L39" s="569">
        <v>0.11</v>
      </c>
      <c r="M39" s="779">
        <f>G39*I39*K39/10000</f>
        <v>0</v>
      </c>
      <c r="N39" s="779">
        <f>L39*M39</f>
        <v>0</v>
      </c>
      <c r="O39" s="779">
        <f>M39+N39</f>
        <v>0</v>
      </c>
      <c r="P39" s="780" t="e">
        <f t="shared" si="0"/>
        <v>#DIV/0!</v>
      </c>
      <c r="Q39" s="781">
        <f>G39*I39*J39/10000-O39</f>
        <v>0</v>
      </c>
      <c r="AA39" s="632"/>
    </row>
    <row r="40" spans="2:27" ht="16.5" hidden="1" customHeight="1" outlineLevel="3">
      <c r="B40" s="776" t="s">
        <v>1499</v>
      </c>
      <c r="C40" s="782"/>
      <c r="D40" s="796" t="s">
        <v>1500</v>
      </c>
      <c r="E40" s="648" t="s">
        <v>1295</v>
      </c>
      <c r="F40" s="648" t="s">
        <v>2159</v>
      </c>
      <c r="G40" s="791">
        <v>1</v>
      </c>
      <c r="H40" s="790" t="s">
        <v>143</v>
      </c>
      <c r="I40" s="672">
        <f>$E$2*(1+$F$2)</f>
        <v>0</v>
      </c>
      <c r="J40" s="672">
        <v>20</v>
      </c>
      <c r="K40" s="778">
        <f>J40/(1+L40)</f>
        <v>17.094017094017094</v>
      </c>
      <c r="L40" s="569">
        <v>0.17</v>
      </c>
      <c r="M40" s="779">
        <f>G40*I40*K40/10000</f>
        <v>0</v>
      </c>
      <c r="N40" s="779">
        <f>L40*M40</f>
        <v>0</v>
      </c>
      <c r="O40" s="779">
        <f>M40+N40</f>
        <v>0</v>
      </c>
      <c r="P40" s="780" t="e">
        <f t="shared" si="0"/>
        <v>#DIV/0!</v>
      </c>
      <c r="Q40" s="781">
        <f>G40*I40*J40/10000-O40</f>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s="633" customFormat="1" ht="16.5" hidden="1" customHeight="1" outlineLevel="3">
      <c r="B42" s="776" t="s">
        <v>1766</v>
      </c>
      <c r="C42" s="792"/>
      <c r="D42" s="796" t="s">
        <v>1501</v>
      </c>
      <c r="E42" s="648" t="s">
        <v>1502</v>
      </c>
      <c r="F42" s="648" t="s">
        <v>2159</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G42*I42*J42/10000-O42</f>
        <v>0</v>
      </c>
    </row>
    <row r="43" spans="2:27" s="633" customFormat="1" ht="16.5" hidden="1" customHeight="1" outlineLevel="3">
      <c r="B43" s="776" t="s">
        <v>1503</v>
      </c>
      <c r="C43" s="792"/>
      <c r="D43" s="796" t="s">
        <v>1504</v>
      </c>
      <c r="E43" s="648" t="s">
        <v>1505</v>
      </c>
      <c r="F43" s="648"/>
      <c r="G43" s="672">
        <v>1</v>
      </c>
      <c r="H43" s="787" t="s">
        <v>741</v>
      </c>
      <c r="I43" s="672">
        <f>$H$2</f>
        <v>0</v>
      </c>
      <c r="J43" s="672">
        <v>1800</v>
      </c>
      <c r="K43" s="778">
        <f>J43/(1+L43)</f>
        <v>1800</v>
      </c>
      <c r="L43" s="569">
        <v>0</v>
      </c>
      <c r="M43" s="779">
        <f>G43*I43*K43/10000</f>
        <v>0</v>
      </c>
      <c r="N43" s="779">
        <f>L43*M43</f>
        <v>0</v>
      </c>
      <c r="O43" s="779">
        <f>M43+N43</f>
        <v>0</v>
      </c>
      <c r="P43" s="780" t="e">
        <f t="shared" si="0"/>
        <v>#DIV/0!</v>
      </c>
      <c r="Q43" s="781">
        <f>G43*I43*J43/10000-O43</f>
        <v>0</v>
      </c>
    </row>
    <row r="44" spans="2:27" s="633" customFormat="1" ht="16.5" hidden="1" customHeight="1" outlineLevel="3">
      <c r="B44" s="776" t="s">
        <v>665</v>
      </c>
      <c r="C44" s="792" t="s">
        <v>39</v>
      </c>
      <c r="D44" s="776" t="s">
        <v>668</v>
      </c>
      <c r="E44" s="648"/>
      <c r="F44" s="648"/>
      <c r="G44" s="672"/>
      <c r="H44" s="787"/>
      <c r="I44" s="672"/>
      <c r="J44" s="672"/>
      <c r="K44" s="672"/>
      <c r="L44" s="569"/>
      <c r="M44" s="779">
        <f>SUBTOTAL(9,M45:M46)</f>
        <v>0</v>
      </c>
      <c r="N44" s="779">
        <f>SUBTOTAL(9,N45:N46)</f>
        <v>0</v>
      </c>
      <c r="O44" s="779">
        <f>SUBTOTAL(9,O45:O46)</f>
        <v>0</v>
      </c>
      <c r="P44" s="780" t="e">
        <f t="shared" si="0"/>
        <v>#DIV/0!</v>
      </c>
      <c r="Q44" s="781"/>
    </row>
    <row r="45" spans="2:27" s="633" customFormat="1" ht="16.5" hidden="1" customHeight="1" outlineLevel="3">
      <c r="B45" s="776" t="s">
        <v>2160</v>
      </c>
      <c r="C45" s="792"/>
      <c r="D45" s="796" t="s">
        <v>1506</v>
      </c>
      <c r="E45" s="648" t="s">
        <v>1300</v>
      </c>
      <c r="F45" s="648" t="s">
        <v>2159</v>
      </c>
      <c r="G45" s="672">
        <v>1</v>
      </c>
      <c r="H45" s="787" t="s">
        <v>143</v>
      </c>
      <c r="I45" s="672">
        <f>$E$2*(1+$F$2)</f>
        <v>0</v>
      </c>
      <c r="J45" s="672"/>
      <c r="K45" s="672">
        <v>0</v>
      </c>
      <c r="L45" s="569">
        <v>0.11</v>
      </c>
      <c r="M45" s="779">
        <f>G45*I45*K45/10000</f>
        <v>0</v>
      </c>
      <c r="N45" s="779">
        <f>L45*M45</f>
        <v>0</v>
      </c>
      <c r="O45" s="779">
        <f>M45+N45</f>
        <v>0</v>
      </c>
      <c r="P45" s="780" t="e">
        <f t="shared" si="0"/>
        <v>#DIV/0!</v>
      </c>
      <c r="Q45" s="781">
        <f>G45*I45*J45/10000-O45</f>
        <v>0</v>
      </c>
    </row>
    <row r="46" spans="2:27" s="633" customFormat="1" ht="16.5" hidden="1" customHeight="1" outlineLevel="3">
      <c r="B46" s="776" t="s">
        <v>1507</v>
      </c>
      <c r="C46" s="792"/>
      <c r="D46" s="796" t="s">
        <v>2158</v>
      </c>
      <c r="E46" s="648" t="s">
        <v>1300</v>
      </c>
      <c r="F46" s="648" t="s">
        <v>41</v>
      </c>
      <c r="G46" s="672">
        <v>1</v>
      </c>
      <c r="H46" s="787" t="s">
        <v>741</v>
      </c>
      <c r="I46" s="672">
        <f>$H$2</f>
        <v>0</v>
      </c>
      <c r="J46" s="672">
        <v>2800</v>
      </c>
      <c r="K46" s="778">
        <f>J46/(1+L46)</f>
        <v>2800</v>
      </c>
      <c r="L46" s="569">
        <v>0</v>
      </c>
      <c r="M46" s="779">
        <f>G46*I46*K46/10000</f>
        <v>0</v>
      </c>
      <c r="N46" s="779">
        <f>L46*M46</f>
        <v>0</v>
      </c>
      <c r="O46" s="779">
        <f>M46+N46</f>
        <v>0</v>
      </c>
      <c r="P46" s="780" t="e">
        <f t="shared" si="0"/>
        <v>#DIV/0!</v>
      </c>
      <c r="Q46" s="781">
        <f>G46*I46*J46/10000-O46</f>
        <v>0</v>
      </c>
    </row>
    <row r="47" spans="2:27" s="633" customFormat="1" ht="16.5" hidden="1" customHeight="1" outlineLevel="3">
      <c r="B47" s="776" t="s">
        <v>666</v>
      </c>
      <c r="C47" s="792" t="s">
        <v>39</v>
      </c>
      <c r="D47" s="776" t="s">
        <v>1508</v>
      </c>
      <c r="E47" s="648"/>
      <c r="F47" s="648"/>
      <c r="G47" s="672"/>
      <c r="H47" s="787"/>
      <c r="I47" s="672"/>
      <c r="J47" s="672"/>
      <c r="K47" s="672"/>
      <c r="L47" s="569"/>
      <c r="M47" s="779">
        <f>SUBTOTAL(9,M48:M55)</f>
        <v>0</v>
      </c>
      <c r="N47" s="779">
        <f>SUBTOTAL(9,N48:N55)</f>
        <v>0</v>
      </c>
      <c r="O47" s="779">
        <f>SUBTOTAL(9,O48:O55)</f>
        <v>0</v>
      </c>
      <c r="P47" s="780" t="e">
        <f t="shared" si="0"/>
        <v>#DIV/0!</v>
      </c>
      <c r="Q47" s="781"/>
    </row>
    <row r="48" spans="2:27" s="633" customFormat="1" ht="16.5" hidden="1" customHeight="1" outlineLevel="3">
      <c r="B48" s="776" t="s">
        <v>1769</v>
      </c>
      <c r="C48" s="792"/>
      <c r="D48" s="796" t="s">
        <v>1509</v>
      </c>
      <c r="E48" s="648" t="s">
        <v>1228</v>
      </c>
      <c r="F48" s="648" t="s">
        <v>2155</v>
      </c>
      <c r="G48" s="672">
        <v>1</v>
      </c>
      <c r="H48" s="787" t="s">
        <v>143</v>
      </c>
      <c r="I48" s="672">
        <f t="shared" ref="I48:I53" si="5">$E$2*(1+$F$2)</f>
        <v>0</v>
      </c>
      <c r="J48" s="672">
        <v>120</v>
      </c>
      <c r="K48" s="778">
        <f t="shared" ref="K48:K54" si="6">J48/(1+L48)</f>
        <v>108.1081081081081</v>
      </c>
      <c r="L48" s="569">
        <v>0.11</v>
      </c>
      <c r="M48" s="779">
        <f t="shared" ref="M48:M55" si="7">G48*I48*K48/10000</f>
        <v>0</v>
      </c>
      <c r="N48" s="779">
        <f t="shared" ref="N48:N55" si="8">L48*M48</f>
        <v>0</v>
      </c>
      <c r="O48" s="779">
        <f t="shared" ref="O48:O55" si="9">M48+N48</f>
        <v>0</v>
      </c>
      <c r="P48" s="780" t="e">
        <f t="shared" si="0"/>
        <v>#DIV/0!</v>
      </c>
      <c r="Q48" s="781">
        <f t="shared" ref="Q48:Q55" si="10">G48*I48*J48/10000-O48</f>
        <v>0</v>
      </c>
    </row>
    <row r="49" spans="2:27" s="633" customFormat="1" ht="16.5" hidden="1" customHeight="1" outlineLevel="3">
      <c r="B49" s="776" t="s">
        <v>1510</v>
      </c>
      <c r="C49" s="792"/>
      <c r="D49" s="796" t="s">
        <v>1511</v>
      </c>
      <c r="E49" s="648" t="s">
        <v>1295</v>
      </c>
      <c r="F49" s="648" t="s">
        <v>1770</v>
      </c>
      <c r="G49" s="672">
        <v>1</v>
      </c>
      <c r="H49" s="787" t="s">
        <v>143</v>
      </c>
      <c r="I49" s="672">
        <f t="shared" si="5"/>
        <v>0</v>
      </c>
      <c r="J49" s="672">
        <v>5</v>
      </c>
      <c r="K49" s="778">
        <f t="shared" si="6"/>
        <v>4.2735042735042734</v>
      </c>
      <c r="L49" s="569">
        <v>0.17</v>
      </c>
      <c r="M49" s="779">
        <f t="shared" si="7"/>
        <v>0</v>
      </c>
      <c r="N49" s="779">
        <f t="shared" si="8"/>
        <v>0</v>
      </c>
      <c r="O49" s="779">
        <f t="shared" si="9"/>
        <v>0</v>
      </c>
      <c r="P49" s="780" t="e">
        <f t="shared" si="0"/>
        <v>#DIV/0!</v>
      </c>
      <c r="Q49" s="781">
        <f t="shared" si="10"/>
        <v>0</v>
      </c>
    </row>
    <row r="50" spans="2:27" s="633" customFormat="1" ht="16.5" hidden="1" customHeight="1" outlineLevel="3">
      <c r="B50" s="776" t="s">
        <v>1512</v>
      </c>
      <c r="C50" s="792"/>
      <c r="D50" s="796" t="s">
        <v>1513</v>
      </c>
      <c r="E50" s="797" t="s">
        <v>2154</v>
      </c>
      <c r="F50" s="648" t="s">
        <v>1770</v>
      </c>
      <c r="G50" s="672">
        <v>1</v>
      </c>
      <c r="H50" s="787" t="s">
        <v>143</v>
      </c>
      <c r="I50" s="672">
        <f t="shared" si="5"/>
        <v>0</v>
      </c>
      <c r="J50" s="672">
        <v>20</v>
      </c>
      <c r="K50" s="778">
        <f t="shared" si="6"/>
        <v>17.094017094017094</v>
      </c>
      <c r="L50" s="569">
        <v>0.17</v>
      </c>
      <c r="M50" s="779">
        <f t="shared" si="7"/>
        <v>0</v>
      </c>
      <c r="N50" s="779">
        <f t="shared" si="8"/>
        <v>0</v>
      </c>
      <c r="O50" s="779">
        <f t="shared" si="9"/>
        <v>0</v>
      </c>
      <c r="P50" s="780" t="e">
        <f t="shared" si="0"/>
        <v>#DIV/0!</v>
      </c>
      <c r="Q50" s="781">
        <f t="shared" si="10"/>
        <v>0</v>
      </c>
    </row>
    <row r="51" spans="2:27" s="633" customFormat="1" ht="16.5" hidden="1" customHeight="1" outlineLevel="3">
      <c r="B51" s="776" t="s">
        <v>1514</v>
      </c>
      <c r="C51" s="792"/>
      <c r="D51" s="796" t="s">
        <v>1515</v>
      </c>
      <c r="E51" s="648" t="s">
        <v>2153</v>
      </c>
      <c r="F51" s="648" t="s">
        <v>1770</v>
      </c>
      <c r="G51" s="672">
        <v>1</v>
      </c>
      <c r="H51" s="787" t="s">
        <v>143</v>
      </c>
      <c r="I51" s="672">
        <f t="shared" si="5"/>
        <v>0</v>
      </c>
      <c r="J51" s="672"/>
      <c r="K51" s="778">
        <f t="shared" si="6"/>
        <v>0</v>
      </c>
      <c r="L51" s="569">
        <v>0.17</v>
      </c>
      <c r="M51" s="779">
        <f t="shared" si="7"/>
        <v>0</v>
      </c>
      <c r="N51" s="779">
        <f t="shared" si="8"/>
        <v>0</v>
      </c>
      <c r="O51" s="779">
        <f t="shared" si="9"/>
        <v>0</v>
      </c>
      <c r="P51" s="780" t="e">
        <f t="shared" si="0"/>
        <v>#DIV/0!</v>
      </c>
      <c r="Q51" s="781">
        <f t="shared" si="10"/>
        <v>0</v>
      </c>
    </row>
    <row r="52" spans="2:27" s="633" customFormat="1" ht="16.5" hidden="1" customHeight="1" outlineLevel="3">
      <c r="B52" s="776" t="s">
        <v>1517</v>
      </c>
      <c r="C52" s="792"/>
      <c r="D52" s="796" t="s">
        <v>1518</v>
      </c>
      <c r="E52" s="648" t="s">
        <v>1773</v>
      </c>
      <c r="F52" s="648" t="s">
        <v>1770</v>
      </c>
      <c r="G52" s="672">
        <v>1</v>
      </c>
      <c r="H52" s="787" t="s">
        <v>143</v>
      </c>
      <c r="I52" s="672">
        <f t="shared" si="5"/>
        <v>0</v>
      </c>
      <c r="J52" s="672">
        <v>15</v>
      </c>
      <c r="K52" s="778">
        <f t="shared" si="6"/>
        <v>12.820512820512821</v>
      </c>
      <c r="L52" s="569">
        <v>0.17</v>
      </c>
      <c r="M52" s="779">
        <f t="shared" si="7"/>
        <v>0</v>
      </c>
      <c r="N52" s="779">
        <f t="shared" si="8"/>
        <v>0</v>
      </c>
      <c r="O52" s="779">
        <f t="shared" si="9"/>
        <v>0</v>
      </c>
      <c r="P52" s="780" t="e">
        <f t="shared" si="0"/>
        <v>#DIV/0!</v>
      </c>
      <c r="Q52" s="781">
        <f t="shared" si="10"/>
        <v>0</v>
      </c>
    </row>
    <row r="53" spans="2:27" s="633" customFormat="1" ht="16.5" hidden="1" customHeight="1" outlineLevel="3">
      <c r="B53" s="776" t="s">
        <v>1519</v>
      </c>
      <c r="C53" s="792"/>
      <c r="D53" s="796" t="s">
        <v>1520</v>
      </c>
      <c r="E53" s="648" t="s">
        <v>1228</v>
      </c>
      <c r="F53" s="648" t="s">
        <v>1770</v>
      </c>
      <c r="G53" s="672"/>
      <c r="H53" s="787" t="s">
        <v>143</v>
      </c>
      <c r="I53" s="672">
        <f t="shared" si="5"/>
        <v>0</v>
      </c>
      <c r="J53" s="672"/>
      <c r="K53" s="672">
        <f t="shared" si="6"/>
        <v>0</v>
      </c>
      <c r="L53" s="569">
        <v>0</v>
      </c>
      <c r="M53" s="779">
        <f t="shared" si="7"/>
        <v>0</v>
      </c>
      <c r="N53" s="779">
        <f t="shared" si="8"/>
        <v>0</v>
      </c>
      <c r="O53" s="779">
        <f t="shared" si="9"/>
        <v>0</v>
      </c>
      <c r="P53" s="780" t="e">
        <f t="shared" si="0"/>
        <v>#DIV/0!</v>
      </c>
      <c r="Q53" s="781">
        <f t="shared" si="10"/>
        <v>0</v>
      </c>
    </row>
    <row r="54" spans="2:27" ht="16.5" hidden="1" customHeight="1" outlineLevel="3">
      <c r="B54" s="776" t="s">
        <v>1521</v>
      </c>
      <c r="C54" s="782"/>
      <c r="D54" s="796" t="s">
        <v>1522</v>
      </c>
      <c r="E54" s="665" t="s">
        <v>1773</v>
      </c>
      <c r="F54" s="648" t="s">
        <v>1770</v>
      </c>
      <c r="G54" s="791">
        <v>1</v>
      </c>
      <c r="H54" s="790" t="s">
        <v>741</v>
      </c>
      <c r="I54" s="672">
        <f>+H2</f>
        <v>0</v>
      </c>
      <c r="J54" s="672">
        <v>700</v>
      </c>
      <c r="K54" s="778">
        <f t="shared" si="6"/>
        <v>598.29059829059838</v>
      </c>
      <c r="L54" s="569">
        <v>0.17</v>
      </c>
      <c r="M54" s="779">
        <f t="shared" si="7"/>
        <v>0</v>
      </c>
      <c r="N54" s="779">
        <f t="shared" si="8"/>
        <v>0</v>
      </c>
      <c r="O54" s="779">
        <f t="shared" si="9"/>
        <v>0</v>
      </c>
      <c r="P54" s="780" t="e">
        <f t="shared" si="0"/>
        <v>#DIV/0!</v>
      </c>
      <c r="Q54" s="781">
        <f t="shared" si="10"/>
        <v>0</v>
      </c>
      <c r="AA54" s="632"/>
    </row>
    <row r="55" spans="2:27" ht="16.5" hidden="1" customHeight="1" outlineLevel="3">
      <c r="B55" s="776" t="s">
        <v>1523</v>
      </c>
      <c r="C55" s="782"/>
      <c r="D55" s="796" t="s">
        <v>1524</v>
      </c>
      <c r="E55" s="648" t="s">
        <v>1228</v>
      </c>
      <c r="F55" s="648" t="s">
        <v>1770</v>
      </c>
      <c r="G55" s="791">
        <v>1</v>
      </c>
      <c r="H55" s="790" t="s">
        <v>143</v>
      </c>
      <c r="I55" s="672">
        <f>$E$2*(1+$F$2)</f>
        <v>0</v>
      </c>
      <c r="J55" s="672"/>
      <c r="K55" s="672"/>
      <c r="L55" s="569">
        <v>0.17</v>
      </c>
      <c r="M55" s="779">
        <f t="shared" si="7"/>
        <v>0</v>
      </c>
      <c r="N55" s="779">
        <f t="shared" si="8"/>
        <v>0</v>
      </c>
      <c r="O55" s="779">
        <f t="shared" si="9"/>
        <v>0</v>
      </c>
      <c r="P55" s="780" t="e">
        <f t="shared" si="0"/>
        <v>#DIV/0!</v>
      </c>
      <c r="Q55" s="781">
        <f t="shared" si="10"/>
        <v>0</v>
      </c>
      <c r="AA55" s="632"/>
    </row>
    <row r="56" spans="2:27" ht="16.5" hidden="1" customHeight="1" outlineLevel="2">
      <c r="B56" s="776" t="s">
        <v>670</v>
      </c>
      <c r="C56" s="777" t="s">
        <v>2151</v>
      </c>
      <c r="D56" s="776" t="s">
        <v>2150</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hidden="1" customHeight="1" outlineLevel="3">
      <c r="B57" s="776" t="s">
        <v>671</v>
      </c>
      <c r="C57" s="782" t="s">
        <v>39</v>
      </c>
      <c r="D57" s="776" t="s">
        <v>2149</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hidden="1" customHeight="1" outlineLevel="3">
      <c r="B58" s="776" t="s">
        <v>1776</v>
      </c>
      <c r="C58" s="782"/>
      <c r="D58" s="796" t="s">
        <v>1525</v>
      </c>
      <c r="E58" s="665" t="s">
        <v>456</v>
      </c>
      <c r="F58" s="665" t="s">
        <v>2107</v>
      </c>
      <c r="G58" s="791">
        <v>2</v>
      </c>
      <c r="H58" s="795" t="s">
        <v>1920</v>
      </c>
      <c r="I58" s="791">
        <f>$I$2</f>
        <v>0</v>
      </c>
      <c r="J58" s="791">
        <v>150000</v>
      </c>
      <c r="K58" s="778">
        <f>J58/(1+L58)</f>
        <v>128205.12820512822</v>
      </c>
      <c r="L58" s="569">
        <v>0.17</v>
      </c>
      <c r="M58" s="779">
        <f>G58*I58*K58/10000</f>
        <v>0</v>
      </c>
      <c r="N58" s="779">
        <f>L58*M58</f>
        <v>0</v>
      </c>
      <c r="O58" s="779">
        <f>M58+N58</f>
        <v>0</v>
      </c>
      <c r="P58" s="780" t="e">
        <f t="shared" si="0"/>
        <v>#DIV/0!</v>
      </c>
      <c r="Q58" s="511">
        <f>G58*I58*J58/10000-O58</f>
        <v>0</v>
      </c>
      <c r="AA58" s="632"/>
    </row>
    <row r="59" spans="2:27" ht="16.5" hidden="1" customHeight="1" outlineLevel="3">
      <c r="B59" s="776" t="s">
        <v>1526</v>
      </c>
      <c r="C59" s="782"/>
      <c r="D59" s="796" t="s">
        <v>1527</v>
      </c>
      <c r="E59" s="799" t="s">
        <v>2148</v>
      </c>
      <c r="F59" s="665" t="s">
        <v>2107</v>
      </c>
      <c r="G59" s="791">
        <v>2</v>
      </c>
      <c r="H59" s="795" t="s">
        <v>1920</v>
      </c>
      <c r="I59" s="791">
        <f>$I$2</f>
        <v>0</v>
      </c>
      <c r="J59" s="791">
        <v>60000</v>
      </c>
      <c r="K59" s="778">
        <f>J59/(1+L59)</f>
        <v>54054.054054054046</v>
      </c>
      <c r="L59" s="569">
        <v>0.11</v>
      </c>
      <c r="M59" s="779">
        <f>G59*I59*K59/10000</f>
        <v>0</v>
      </c>
      <c r="N59" s="779">
        <f>L59*M59</f>
        <v>0</v>
      </c>
      <c r="O59" s="779">
        <f>M59+N59</f>
        <v>0</v>
      </c>
      <c r="P59" s="780" t="e">
        <f t="shared" si="0"/>
        <v>#DIV/0!</v>
      </c>
      <c r="Q59" s="511">
        <f>G59*I59*J59/10000-O59</f>
        <v>0</v>
      </c>
      <c r="AA59" s="632"/>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G60*I60*J60/10000-O60</f>
        <v>0</v>
      </c>
      <c r="AA60" s="632"/>
    </row>
    <row r="61" spans="2:27" ht="16.5" hidden="1" customHeight="1" outlineLevel="3">
      <c r="B61" s="776" t="s">
        <v>2147</v>
      </c>
      <c r="C61" s="782"/>
      <c r="D61" s="796" t="s">
        <v>2146</v>
      </c>
      <c r="E61" s="665" t="s">
        <v>1528</v>
      </c>
      <c r="F61" s="665"/>
      <c r="G61" s="791"/>
      <c r="H61" s="795"/>
      <c r="I61" s="791"/>
      <c r="J61" s="791"/>
      <c r="K61" s="798"/>
      <c r="L61" s="788"/>
      <c r="M61" s="779">
        <f>G61*I61*K61/10000</f>
        <v>0</v>
      </c>
      <c r="N61" s="779">
        <f>L61*M61</f>
        <v>0</v>
      </c>
      <c r="O61" s="779">
        <f>M61+N61</f>
        <v>0</v>
      </c>
      <c r="P61" s="780" t="e">
        <f t="shared" si="0"/>
        <v>#DIV/0!</v>
      </c>
      <c r="Q61" s="511">
        <f>G61*I61*J61/10000-O61</f>
        <v>0</v>
      </c>
      <c r="AA61" s="632"/>
    </row>
    <row r="62" spans="2:27" ht="16.5" hidden="1" customHeight="1" outlineLevel="3">
      <c r="B62" s="776" t="s">
        <v>1529</v>
      </c>
      <c r="C62" s="782"/>
      <c r="D62" s="796" t="s">
        <v>2145</v>
      </c>
      <c r="E62" s="665" t="s">
        <v>1530</v>
      </c>
      <c r="F62" s="665"/>
      <c r="G62" s="791"/>
      <c r="H62" s="795"/>
      <c r="I62" s="791"/>
      <c r="J62" s="791"/>
      <c r="K62" s="798"/>
      <c r="L62" s="788"/>
      <c r="M62" s="779">
        <f>G62*I62*K62/10000</f>
        <v>0</v>
      </c>
      <c r="N62" s="779">
        <f>L62*M62</f>
        <v>0</v>
      </c>
      <c r="O62" s="779">
        <f>M62+N62</f>
        <v>0</v>
      </c>
      <c r="P62" s="780" t="e">
        <f t="shared" si="0"/>
        <v>#DIV/0!</v>
      </c>
      <c r="Q62" s="511">
        <f>G62*I62*J62/10000-O62</f>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2144</v>
      </c>
      <c r="C64" s="782"/>
      <c r="D64" s="796" t="s">
        <v>1531</v>
      </c>
      <c r="E64" s="648" t="s">
        <v>455</v>
      </c>
      <c r="F64" s="648" t="s">
        <v>657</v>
      </c>
      <c r="G64" s="791">
        <v>1</v>
      </c>
      <c r="H64" s="795" t="s">
        <v>143</v>
      </c>
      <c r="I64" s="672">
        <f>$E$2*(1+$F$2)</f>
        <v>0</v>
      </c>
      <c r="J64" s="672">
        <v>80</v>
      </c>
      <c r="K64" s="778">
        <f>J64/(1+L64)</f>
        <v>72.072072072072061</v>
      </c>
      <c r="L64" s="569">
        <v>0.11</v>
      </c>
      <c r="M64" s="779">
        <f>G64*I64*K64/10000</f>
        <v>0</v>
      </c>
      <c r="N64" s="779">
        <f>L64*M64</f>
        <v>0</v>
      </c>
      <c r="O64" s="779">
        <f>M64+N64</f>
        <v>0</v>
      </c>
      <c r="P64" s="780" t="e">
        <f t="shared" si="0"/>
        <v>#DIV/0!</v>
      </c>
      <c r="Q64" s="511">
        <f>G64*I64*J64/10000-O64</f>
        <v>0</v>
      </c>
      <c r="AA64" s="632"/>
    </row>
    <row r="65" spans="2:27" ht="16.5" hidden="1"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G65*I65*J65/10000-O65</f>
        <v>0</v>
      </c>
      <c r="AA65" s="632"/>
    </row>
    <row r="66" spans="2:27" ht="16.5" hidden="1" customHeight="1" outlineLevel="3">
      <c r="B66" s="776" t="s">
        <v>2143</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G66*I66*J66/10000-O66</f>
        <v>0</v>
      </c>
      <c r="AA66" s="632"/>
    </row>
    <row r="67" spans="2:27" ht="16.5" hidden="1" customHeight="1" outlineLevel="3">
      <c r="B67" s="776" t="s">
        <v>2141</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G67*I67*J67/10000-O67</f>
        <v>0</v>
      </c>
      <c r="AA67" s="632"/>
    </row>
    <row r="68" spans="2:27" ht="16.5" hidden="1" customHeight="1" outlineLevel="3">
      <c r="B68" s="776" t="s">
        <v>2140</v>
      </c>
      <c r="C68" s="782"/>
      <c r="D68" s="796" t="s">
        <v>2139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1">IF(O68="","",O68*10000/E$2)</f>
        <v>#DIV/0!</v>
      </c>
      <c r="Q68" s="511">
        <f>G68*I68*J68/10000-O68</f>
        <v>0</v>
      </c>
      <c r="AA68" s="632"/>
    </row>
    <row r="69" spans="2:27" ht="16.5" customHeight="1" collapsed="1">
      <c r="B69" s="480" t="s">
        <v>2138</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1"/>
        <v>#DIV/0!</v>
      </c>
      <c r="Q69" s="801"/>
      <c r="AA69" s="632"/>
    </row>
    <row r="70" spans="2:27" ht="16.5" hidden="1" customHeight="1" outlineLevel="1">
      <c r="B70" s="802" t="s">
        <v>2137</v>
      </c>
      <c r="C70" s="803">
        <v>1</v>
      </c>
      <c r="D70" s="802" t="s">
        <v>45</v>
      </c>
      <c r="E70" s="712"/>
      <c r="F70" s="712"/>
      <c r="G70" s="712"/>
      <c r="H70" s="772"/>
      <c r="I70" s="713"/>
      <c r="J70" s="713"/>
      <c r="K70" s="772"/>
      <c r="L70" s="588"/>
      <c r="M70" s="773">
        <f>SUBTOTAL(9,M71:M81)</f>
        <v>0</v>
      </c>
      <c r="N70" s="773">
        <f>SUBTOTAL(9,N71:N81)</f>
        <v>0</v>
      </c>
      <c r="O70" s="773">
        <f>SUBTOTAL(9,O71:O81)</f>
        <v>0</v>
      </c>
      <c r="P70" s="774" t="e">
        <f t="shared" si="11"/>
        <v>#DIV/0!</v>
      </c>
      <c r="Q70" s="775"/>
      <c r="R70" s="632">
        <v>700</v>
      </c>
      <c r="AA70" s="632"/>
    </row>
    <row r="71" spans="2:27" ht="16.5" hidden="1" customHeight="1" outlineLevel="2">
      <c r="B71" s="776" t="s">
        <v>2136</v>
      </c>
      <c r="C71" s="777" t="s">
        <v>2119</v>
      </c>
      <c r="D71" s="776" t="s">
        <v>1537</v>
      </c>
      <c r="E71" s="648" t="s">
        <v>1538</v>
      </c>
      <c r="F71" s="648" t="s">
        <v>657</v>
      </c>
      <c r="G71" s="791">
        <v>1</v>
      </c>
      <c r="H71" s="795" t="s">
        <v>143</v>
      </c>
      <c r="I71" s="672">
        <f t="shared" ref="I71:I81" si="12">$E$2*(1+$F$2)</f>
        <v>0</v>
      </c>
      <c r="J71" s="672"/>
      <c r="K71" s="791">
        <f t="shared" ref="K71:K81" si="13">J71/(1+L71)</f>
        <v>0</v>
      </c>
      <c r="L71" s="569">
        <v>0.17</v>
      </c>
      <c r="M71" s="779">
        <f t="shared" ref="M71:M81" si="14">G71*I71*K71/10000</f>
        <v>0</v>
      </c>
      <c r="N71" s="779">
        <f t="shared" ref="N71:N81" si="15">L71*M71</f>
        <v>0</v>
      </c>
      <c r="O71" s="779">
        <f t="shared" ref="O71:O81" si="16">M71+N71</f>
        <v>0</v>
      </c>
      <c r="P71" s="780" t="e">
        <f t="shared" si="11"/>
        <v>#DIV/0!</v>
      </c>
      <c r="Q71" s="781">
        <f t="shared" ref="Q71:Q87" si="17">G71*I71*J71/10000-O71</f>
        <v>0</v>
      </c>
      <c r="AA71" s="632"/>
    </row>
    <row r="72" spans="2:27" ht="16.5" hidden="1" customHeight="1" outlineLevel="2">
      <c r="B72" s="776" t="s">
        <v>678</v>
      </c>
      <c r="C72" s="777" t="s">
        <v>68</v>
      </c>
      <c r="D72" s="776" t="s">
        <v>1539</v>
      </c>
      <c r="E72" s="648" t="s">
        <v>1540</v>
      </c>
      <c r="F72" s="648" t="s">
        <v>657</v>
      </c>
      <c r="G72" s="791">
        <v>1</v>
      </c>
      <c r="H72" s="795" t="s">
        <v>143</v>
      </c>
      <c r="I72" s="672">
        <f t="shared" si="12"/>
        <v>0</v>
      </c>
      <c r="J72" s="672"/>
      <c r="K72" s="791">
        <f t="shared" si="13"/>
        <v>0</v>
      </c>
      <c r="L72" s="569">
        <v>0.17</v>
      </c>
      <c r="M72" s="779">
        <f t="shared" si="14"/>
        <v>0</v>
      </c>
      <c r="N72" s="779">
        <f t="shared" si="15"/>
        <v>0</v>
      </c>
      <c r="O72" s="779">
        <f t="shared" si="16"/>
        <v>0</v>
      </c>
      <c r="P72" s="780" t="e">
        <f t="shared" si="11"/>
        <v>#DIV/0!</v>
      </c>
      <c r="Q72" s="781">
        <f t="shared" si="17"/>
        <v>0</v>
      </c>
      <c r="AA72" s="632"/>
    </row>
    <row r="73" spans="2:27" ht="16.5" hidden="1" customHeight="1" outlineLevel="2">
      <c r="B73" s="776" t="s">
        <v>679</v>
      </c>
      <c r="C73" s="777" t="s">
        <v>69</v>
      </c>
      <c r="D73" s="776" t="s">
        <v>1541</v>
      </c>
      <c r="E73" s="648" t="s">
        <v>1542</v>
      </c>
      <c r="F73" s="648" t="s">
        <v>657</v>
      </c>
      <c r="G73" s="791">
        <v>1</v>
      </c>
      <c r="H73" s="795" t="s">
        <v>143</v>
      </c>
      <c r="I73" s="672">
        <f t="shared" si="12"/>
        <v>0</v>
      </c>
      <c r="J73" s="672"/>
      <c r="K73" s="791">
        <f t="shared" si="13"/>
        <v>0</v>
      </c>
      <c r="L73" s="569">
        <v>0.17</v>
      </c>
      <c r="M73" s="779">
        <f t="shared" si="14"/>
        <v>0</v>
      </c>
      <c r="N73" s="779">
        <f t="shared" si="15"/>
        <v>0</v>
      </c>
      <c r="O73" s="779">
        <f t="shared" si="16"/>
        <v>0</v>
      </c>
      <c r="P73" s="780" t="e">
        <f t="shared" si="11"/>
        <v>#DIV/0!</v>
      </c>
      <c r="Q73" s="781">
        <f t="shared" si="17"/>
        <v>0</v>
      </c>
      <c r="AA73" s="632"/>
    </row>
    <row r="74" spans="2:27" ht="16.5" hidden="1" customHeight="1" outlineLevel="2">
      <c r="B74" s="776" t="s">
        <v>680</v>
      </c>
      <c r="C74" s="777" t="s">
        <v>70</v>
      </c>
      <c r="D74" s="776" t="s">
        <v>1543</v>
      </c>
      <c r="E74" s="648" t="s">
        <v>1544</v>
      </c>
      <c r="F74" s="648" t="s">
        <v>657</v>
      </c>
      <c r="G74" s="791">
        <v>1</v>
      </c>
      <c r="H74" s="795" t="s">
        <v>143</v>
      </c>
      <c r="I74" s="672">
        <f t="shared" si="12"/>
        <v>0</v>
      </c>
      <c r="J74" s="672"/>
      <c r="K74" s="791">
        <f t="shared" si="13"/>
        <v>0</v>
      </c>
      <c r="L74" s="569">
        <v>0.17</v>
      </c>
      <c r="M74" s="779">
        <f t="shared" si="14"/>
        <v>0</v>
      </c>
      <c r="N74" s="779">
        <f t="shared" si="15"/>
        <v>0</v>
      </c>
      <c r="O74" s="779">
        <f t="shared" si="16"/>
        <v>0</v>
      </c>
      <c r="P74" s="780" t="e">
        <f t="shared" si="11"/>
        <v>#DIV/0!</v>
      </c>
      <c r="Q74" s="781">
        <f t="shared" si="17"/>
        <v>0</v>
      </c>
      <c r="AA74" s="632"/>
    </row>
    <row r="75" spans="2:27" ht="16.5" hidden="1" customHeight="1" outlineLevel="2">
      <c r="B75" s="776" t="s">
        <v>681</v>
      </c>
      <c r="C75" s="777" t="s">
        <v>71</v>
      </c>
      <c r="D75" s="776" t="s">
        <v>1545</v>
      </c>
      <c r="E75" s="648" t="s">
        <v>450</v>
      </c>
      <c r="F75" s="648" t="s">
        <v>657</v>
      </c>
      <c r="G75" s="791">
        <v>1</v>
      </c>
      <c r="H75" s="795" t="s">
        <v>143</v>
      </c>
      <c r="I75" s="672">
        <f t="shared" si="12"/>
        <v>0</v>
      </c>
      <c r="J75" s="672"/>
      <c r="K75" s="791">
        <f t="shared" si="13"/>
        <v>0</v>
      </c>
      <c r="L75" s="569">
        <v>0.17</v>
      </c>
      <c r="M75" s="779">
        <f t="shared" si="14"/>
        <v>0</v>
      </c>
      <c r="N75" s="779">
        <f t="shared" si="15"/>
        <v>0</v>
      </c>
      <c r="O75" s="779">
        <f t="shared" si="16"/>
        <v>0</v>
      </c>
      <c r="P75" s="780" t="e">
        <f t="shared" si="11"/>
        <v>#DIV/0!</v>
      </c>
      <c r="Q75" s="781">
        <f t="shared" si="17"/>
        <v>0</v>
      </c>
      <c r="AA75" s="632"/>
    </row>
    <row r="76" spans="2:27" ht="16.5" hidden="1" customHeight="1" outlineLevel="2">
      <c r="B76" s="776" t="s">
        <v>682</v>
      </c>
      <c r="C76" s="777" t="s">
        <v>144</v>
      </c>
      <c r="D76" s="776" t="s">
        <v>1546</v>
      </c>
      <c r="E76" s="648" t="s">
        <v>452</v>
      </c>
      <c r="F76" s="648" t="s">
        <v>657</v>
      </c>
      <c r="G76" s="791">
        <v>1</v>
      </c>
      <c r="H76" s="795" t="s">
        <v>143</v>
      </c>
      <c r="I76" s="672">
        <f t="shared" si="12"/>
        <v>0</v>
      </c>
      <c r="J76" s="672"/>
      <c r="K76" s="791">
        <f t="shared" si="13"/>
        <v>0</v>
      </c>
      <c r="L76" s="569">
        <v>0.11</v>
      </c>
      <c r="M76" s="779">
        <f t="shared" si="14"/>
        <v>0</v>
      </c>
      <c r="N76" s="779">
        <f t="shared" si="15"/>
        <v>0</v>
      </c>
      <c r="O76" s="779">
        <f t="shared" si="16"/>
        <v>0</v>
      </c>
      <c r="P76" s="780" t="e">
        <f t="shared" si="11"/>
        <v>#DIV/0!</v>
      </c>
      <c r="Q76" s="781">
        <f t="shared" si="17"/>
        <v>0</v>
      </c>
      <c r="AA76" s="632"/>
    </row>
    <row r="77" spans="2:27" ht="16.5" hidden="1" customHeight="1" outlineLevel="2">
      <c r="B77" s="776" t="s">
        <v>683</v>
      </c>
      <c r="C77" s="777" t="s">
        <v>72</v>
      </c>
      <c r="D77" s="776" t="s">
        <v>1547</v>
      </c>
      <c r="E77" s="648" t="s">
        <v>1548</v>
      </c>
      <c r="F77" s="648" t="s">
        <v>657</v>
      </c>
      <c r="G77" s="791">
        <v>1</v>
      </c>
      <c r="H77" s="795" t="s">
        <v>143</v>
      </c>
      <c r="I77" s="672">
        <f t="shared" si="12"/>
        <v>0</v>
      </c>
      <c r="J77" s="672"/>
      <c r="K77" s="791">
        <f t="shared" si="13"/>
        <v>0</v>
      </c>
      <c r="L77" s="569">
        <v>0.17</v>
      </c>
      <c r="M77" s="779">
        <f t="shared" si="14"/>
        <v>0</v>
      </c>
      <c r="N77" s="779">
        <f t="shared" si="15"/>
        <v>0</v>
      </c>
      <c r="O77" s="779">
        <f t="shared" si="16"/>
        <v>0</v>
      </c>
      <c r="P77" s="780" t="e">
        <f t="shared" si="11"/>
        <v>#DIV/0!</v>
      </c>
      <c r="Q77" s="781">
        <f t="shared" si="17"/>
        <v>0</v>
      </c>
      <c r="AA77" s="632"/>
    </row>
    <row r="78" spans="2:27" ht="16.5" hidden="1" customHeight="1" outlineLevel="2">
      <c r="B78" s="776" t="s">
        <v>1549</v>
      </c>
      <c r="C78" s="777" t="s">
        <v>73</v>
      </c>
      <c r="D78" s="776" t="s">
        <v>1550</v>
      </c>
      <c r="E78" s="648" t="s">
        <v>2135</v>
      </c>
      <c r="F78" s="648" t="s">
        <v>657</v>
      </c>
      <c r="G78" s="791">
        <v>1</v>
      </c>
      <c r="H78" s="795" t="s">
        <v>143</v>
      </c>
      <c r="I78" s="672">
        <f t="shared" si="12"/>
        <v>0</v>
      </c>
      <c r="J78" s="672"/>
      <c r="K78" s="791">
        <f t="shared" si="13"/>
        <v>0</v>
      </c>
      <c r="L78" s="569">
        <v>0.17</v>
      </c>
      <c r="M78" s="779">
        <f t="shared" si="14"/>
        <v>0</v>
      </c>
      <c r="N78" s="779">
        <f t="shared" si="15"/>
        <v>0</v>
      </c>
      <c r="O78" s="779">
        <f t="shared" si="16"/>
        <v>0</v>
      </c>
      <c r="P78" s="780" t="e">
        <f t="shared" si="11"/>
        <v>#DIV/0!</v>
      </c>
      <c r="Q78" s="781">
        <f t="shared" si="17"/>
        <v>0</v>
      </c>
      <c r="AA78" s="632"/>
    </row>
    <row r="79" spans="2:27" ht="16.5" hidden="1" customHeight="1" outlineLevel="2">
      <c r="B79" s="776" t="s">
        <v>684</v>
      </c>
      <c r="C79" s="777" t="s">
        <v>74</v>
      </c>
      <c r="D79" s="776" t="s">
        <v>1551</v>
      </c>
      <c r="E79" s="648" t="s">
        <v>457</v>
      </c>
      <c r="F79" s="648" t="s">
        <v>657</v>
      </c>
      <c r="G79" s="791">
        <v>1</v>
      </c>
      <c r="H79" s="795" t="s">
        <v>143</v>
      </c>
      <c r="I79" s="672">
        <f t="shared" si="12"/>
        <v>0</v>
      </c>
      <c r="J79" s="672"/>
      <c r="K79" s="791">
        <f t="shared" si="13"/>
        <v>0</v>
      </c>
      <c r="L79" s="569">
        <v>0.17</v>
      </c>
      <c r="M79" s="779">
        <f t="shared" si="14"/>
        <v>0</v>
      </c>
      <c r="N79" s="779">
        <f t="shared" si="15"/>
        <v>0</v>
      </c>
      <c r="O79" s="779">
        <f t="shared" si="16"/>
        <v>0</v>
      </c>
      <c r="P79" s="780" t="e">
        <f t="shared" si="11"/>
        <v>#DIV/0!</v>
      </c>
      <c r="Q79" s="781">
        <f t="shared" si="17"/>
        <v>0</v>
      </c>
      <c r="AA79" s="632"/>
    </row>
    <row r="80" spans="2:27" ht="16.5" hidden="1" customHeight="1" outlineLevel="2">
      <c r="B80" s="776" t="s">
        <v>685</v>
      </c>
      <c r="C80" s="777" t="s">
        <v>75</v>
      </c>
      <c r="D80" s="776" t="s">
        <v>1552</v>
      </c>
      <c r="E80" s="648" t="s">
        <v>1553</v>
      </c>
      <c r="F80" s="648" t="s">
        <v>657</v>
      </c>
      <c r="G80" s="791">
        <v>1</v>
      </c>
      <c r="H80" s="795" t="s">
        <v>143</v>
      </c>
      <c r="I80" s="672">
        <f t="shared" si="12"/>
        <v>0</v>
      </c>
      <c r="J80" s="672"/>
      <c r="K80" s="791">
        <f t="shared" si="13"/>
        <v>0</v>
      </c>
      <c r="L80" s="569">
        <v>0.17</v>
      </c>
      <c r="M80" s="779">
        <f t="shared" si="14"/>
        <v>0</v>
      </c>
      <c r="N80" s="779">
        <f t="shared" si="15"/>
        <v>0</v>
      </c>
      <c r="O80" s="779">
        <f t="shared" si="16"/>
        <v>0</v>
      </c>
      <c r="P80" s="780" t="e">
        <f t="shared" si="11"/>
        <v>#DIV/0!</v>
      </c>
      <c r="Q80" s="781">
        <f t="shared" si="17"/>
        <v>0</v>
      </c>
      <c r="AA80" s="632"/>
    </row>
    <row r="81" spans="2:27" ht="16.5" hidden="1" customHeight="1" outlineLevel="2">
      <c r="B81" s="776" t="s">
        <v>686</v>
      </c>
      <c r="C81" s="777" t="s">
        <v>146</v>
      </c>
      <c r="D81" s="776" t="s">
        <v>2134</v>
      </c>
      <c r="E81" s="648" t="s">
        <v>2128</v>
      </c>
      <c r="F81" s="648" t="s">
        <v>657</v>
      </c>
      <c r="G81" s="791">
        <v>1</v>
      </c>
      <c r="H81" s="795" t="s">
        <v>143</v>
      </c>
      <c r="I81" s="672">
        <f t="shared" si="12"/>
        <v>0</v>
      </c>
      <c r="J81" s="672"/>
      <c r="K81" s="791">
        <f t="shared" si="13"/>
        <v>0</v>
      </c>
      <c r="L81" s="569">
        <v>0.17</v>
      </c>
      <c r="M81" s="779">
        <f t="shared" si="14"/>
        <v>0</v>
      </c>
      <c r="N81" s="779">
        <f t="shared" si="15"/>
        <v>0</v>
      </c>
      <c r="O81" s="779">
        <f t="shared" si="16"/>
        <v>0</v>
      </c>
      <c r="P81" s="780" t="e">
        <f t="shared" si="11"/>
        <v>#DIV/0!</v>
      </c>
      <c r="Q81" s="781">
        <f t="shared" si="17"/>
        <v>0</v>
      </c>
      <c r="AA81" s="632"/>
    </row>
    <row r="82" spans="2:27" ht="25.5" hidden="1" customHeight="1" outlineLevel="1">
      <c r="B82" s="802" t="s">
        <v>1799</v>
      </c>
      <c r="C82" s="803">
        <v>2</v>
      </c>
      <c r="D82" s="802" t="s">
        <v>2133</v>
      </c>
      <c r="E82" s="712"/>
      <c r="F82" s="712"/>
      <c r="G82" s="712"/>
      <c r="H82" s="772"/>
      <c r="I82" s="713"/>
      <c r="J82" s="713"/>
      <c r="K82" s="772"/>
      <c r="L82" s="588"/>
      <c r="M82" s="773">
        <f>SUBTOTAL(9,M83:M85)</f>
        <v>0</v>
      </c>
      <c r="N82" s="773"/>
      <c r="O82" s="773"/>
      <c r="P82" s="774" t="str">
        <f t="shared" si="11"/>
        <v/>
      </c>
      <c r="Q82" s="775">
        <f t="shared" si="17"/>
        <v>0</v>
      </c>
      <c r="AA82" s="632"/>
    </row>
    <row r="83" spans="2:27" ht="16.5" hidden="1" customHeight="1" outlineLevel="2">
      <c r="B83" s="776" t="s">
        <v>689</v>
      </c>
      <c r="C83" s="777" t="s">
        <v>2132</v>
      </c>
      <c r="D83" s="804" t="s">
        <v>2131</v>
      </c>
      <c r="E83" s="648" t="s">
        <v>2128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1"/>
        <v/>
      </c>
      <c r="Q83" s="781">
        <f t="shared" si="17"/>
        <v>0</v>
      </c>
      <c r="AA83" s="632"/>
    </row>
    <row r="84" spans="2:27" ht="16.5" hidden="1" customHeight="1" outlineLevel="2">
      <c r="B84" s="776" t="s">
        <v>691</v>
      </c>
      <c r="C84" s="777" t="s">
        <v>68</v>
      </c>
      <c r="D84" s="804" t="s">
        <v>2130</v>
      </c>
      <c r="E84" s="648" t="s">
        <v>2128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1"/>
        <v/>
      </c>
      <c r="Q84" s="781">
        <f t="shared" si="17"/>
        <v>0</v>
      </c>
      <c r="AA84" s="632"/>
    </row>
    <row r="85" spans="2:27" ht="16.5" hidden="1" customHeight="1" outlineLevel="2">
      <c r="B85" s="776" t="s">
        <v>693</v>
      </c>
      <c r="C85" s="777" t="s">
        <v>69</v>
      </c>
      <c r="D85" s="804" t="s">
        <v>2129</v>
      </c>
      <c r="E85" s="648" t="s">
        <v>2128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1"/>
        <v/>
      </c>
      <c r="Q85" s="781">
        <f t="shared" si="17"/>
        <v>0</v>
      </c>
      <c r="AA85" s="632"/>
    </row>
    <row r="86" spans="2:27" ht="16.5" hidden="1" customHeight="1" outlineLevel="1">
      <c r="B86" s="802" t="s">
        <v>2127</v>
      </c>
      <c r="C86" s="803">
        <v>3</v>
      </c>
      <c r="D86" s="802" t="s">
        <v>2126</v>
      </c>
      <c r="E86" s="712"/>
      <c r="F86" s="712"/>
      <c r="G86" s="712"/>
      <c r="H86" s="772"/>
      <c r="I86" s="713"/>
      <c r="J86" s="713"/>
      <c r="K86" s="772"/>
      <c r="L86" s="588"/>
      <c r="M86" s="773">
        <f>G86*I86*K86/10000</f>
        <v>0</v>
      </c>
      <c r="N86" s="773"/>
      <c r="O86" s="773"/>
      <c r="P86" s="774" t="str">
        <f t="shared" si="11"/>
        <v/>
      </c>
      <c r="Q86" s="775">
        <f t="shared" si="17"/>
        <v>0</v>
      </c>
      <c r="AA86" s="632"/>
    </row>
    <row r="87" spans="2:27" ht="16.5" hidden="1" customHeight="1" outlineLevel="1">
      <c r="B87" s="802" t="s">
        <v>2125</v>
      </c>
      <c r="C87" s="803">
        <v>4</v>
      </c>
      <c r="D87" s="802" t="s">
        <v>698</v>
      </c>
      <c r="E87" s="712"/>
      <c r="F87" s="712"/>
      <c r="G87" s="712"/>
      <c r="H87" s="772"/>
      <c r="I87" s="713"/>
      <c r="J87" s="713"/>
      <c r="K87" s="772"/>
      <c r="L87" s="588"/>
      <c r="M87" s="773">
        <f>G87*I87*K87/10000</f>
        <v>0</v>
      </c>
      <c r="N87" s="773"/>
      <c r="O87" s="773"/>
      <c r="P87" s="774" t="str">
        <f t="shared" si="11"/>
        <v/>
      </c>
      <c r="Q87" s="775">
        <f t="shared" si="17"/>
        <v>0</v>
      </c>
      <c r="AA87" s="632"/>
    </row>
    <row r="88" spans="2:27" ht="16.5" customHeight="1" collapsed="1">
      <c r="B88" s="480" t="s">
        <v>2124</v>
      </c>
      <c r="C88" s="481" t="s">
        <v>2123</v>
      </c>
      <c r="D88" s="480" t="s">
        <v>2122</v>
      </c>
      <c r="E88" s="765"/>
      <c r="F88" s="765"/>
      <c r="G88" s="765"/>
      <c r="H88" s="765"/>
      <c r="I88" s="766"/>
      <c r="J88" s="766"/>
      <c r="K88" s="765"/>
      <c r="L88" s="767"/>
      <c r="M88" s="768" t="e">
        <f>SUBTOTAL(9,M89:M167)</f>
        <v>#REF!</v>
      </c>
      <c r="N88" s="768" t="e">
        <f>SUBTOTAL(9,N89:N167)</f>
        <v>#REF!</v>
      </c>
      <c r="O88" s="768" t="e">
        <f>SUBTOTAL(9,O89:O167)</f>
        <v>#REF!</v>
      </c>
      <c r="P88" s="769" t="e">
        <f t="shared" si="11"/>
        <v>#REF!</v>
      </c>
      <c r="Q88" s="770"/>
      <c r="AA88" s="632"/>
    </row>
    <row r="89" spans="2:27" ht="16.5" hidden="1" customHeight="1" outlineLevel="1">
      <c r="B89" s="802" t="s">
        <v>2121</v>
      </c>
      <c r="C89" s="803">
        <v>1</v>
      </c>
      <c r="D89" s="802" t="s">
        <v>2120</v>
      </c>
      <c r="E89" s="712"/>
      <c r="F89" s="712"/>
      <c r="G89" s="712"/>
      <c r="H89" s="772"/>
      <c r="I89" s="713"/>
      <c r="J89" s="713"/>
      <c r="K89" s="772"/>
      <c r="L89" s="588"/>
      <c r="M89" s="773" t="e">
        <f>SUBTOTAL(9,M90:M128)</f>
        <v>#REF!</v>
      </c>
      <c r="N89" s="773" t="e">
        <f>SUBTOTAL(9,N90:N128)</f>
        <v>#REF!</v>
      </c>
      <c r="O89" s="773" t="e">
        <f>SUBTOTAL(9,O90:O128)</f>
        <v>#REF!</v>
      </c>
      <c r="P89" s="774" t="e">
        <f t="shared" si="11"/>
        <v>#REF!</v>
      </c>
      <c r="Q89" s="775"/>
      <c r="AA89" s="632"/>
    </row>
    <row r="90" spans="2:27" ht="16.5" hidden="1" customHeight="1" outlineLevel="2">
      <c r="B90" s="776" t="s">
        <v>700</v>
      </c>
      <c r="C90" s="777" t="s">
        <v>2119</v>
      </c>
      <c r="D90" s="804" t="s">
        <v>2118</v>
      </c>
      <c r="E90" s="648"/>
      <c r="F90" s="648"/>
      <c r="G90" s="787"/>
      <c r="H90" s="787"/>
      <c r="I90" s="672"/>
      <c r="J90" s="672"/>
      <c r="K90" s="681"/>
      <c r="L90" s="569"/>
      <c r="M90" s="779">
        <f>SUBTOTAL(9,M91:M110)</f>
        <v>0</v>
      </c>
      <c r="N90" s="779">
        <f>SUBTOTAL(9,N91:N110)</f>
        <v>0</v>
      </c>
      <c r="O90" s="779">
        <f>SUBTOTAL(9,O91:O110)</f>
        <v>0</v>
      </c>
      <c r="P90" s="780" t="e">
        <f t="shared" si="11"/>
        <v>#DIV/0!</v>
      </c>
      <c r="Q90" s="781"/>
      <c r="AA90" s="632"/>
    </row>
    <row r="91" spans="2:27" ht="16.5" hidden="1" customHeight="1" outlineLevel="3">
      <c r="B91" s="776" t="s">
        <v>702</v>
      </c>
      <c r="C91" s="782" t="s">
        <v>39</v>
      </c>
      <c r="D91" s="804" t="s">
        <v>2117</v>
      </c>
      <c r="E91" s="648"/>
      <c r="F91" s="648"/>
      <c r="G91" s="791"/>
      <c r="H91" s="805"/>
      <c r="I91" s="789"/>
      <c r="J91" s="789"/>
      <c r="K91" s="790"/>
      <c r="L91" s="658"/>
      <c r="M91" s="779">
        <f>SUBTOTAL(9,M92:M93)</f>
        <v>0</v>
      </c>
      <c r="N91" s="779">
        <f>SUBTOTAL(9,N92:N93)</f>
        <v>0</v>
      </c>
      <c r="O91" s="779">
        <f>SUBTOTAL(9,O92:O93)</f>
        <v>0</v>
      </c>
      <c r="P91" s="780" t="e">
        <f t="shared" si="11"/>
        <v>#DIV/0!</v>
      </c>
      <c r="Q91" s="806"/>
      <c r="AA91" s="632"/>
    </row>
    <row r="92" spans="2:27" ht="16.5" hidden="1" customHeight="1" outlineLevel="4">
      <c r="B92" s="776" t="s">
        <v>801</v>
      </c>
      <c r="C92" s="782"/>
      <c r="D92" s="807" t="s">
        <v>1556</v>
      </c>
      <c r="E92" s="648" t="s">
        <v>459</v>
      </c>
      <c r="F92" s="648" t="s">
        <v>657</v>
      </c>
      <c r="G92" s="808">
        <v>1.5</v>
      </c>
      <c r="H92" s="805" t="s">
        <v>145</v>
      </c>
      <c r="I92" s="672">
        <f>$E$2*(1+$F$2)</f>
        <v>0</v>
      </c>
      <c r="J92" s="672">
        <v>35</v>
      </c>
      <c r="K92" s="791">
        <f>J92/(1+L92)</f>
        <v>29.914529914529915</v>
      </c>
      <c r="L92" s="569">
        <v>0.17</v>
      </c>
      <c r="M92" s="779">
        <f>G92*I92*K92/10000</f>
        <v>0</v>
      </c>
      <c r="N92" s="779">
        <f>L92*M92</f>
        <v>0</v>
      </c>
      <c r="O92" s="779">
        <f>M92+N92</f>
        <v>0</v>
      </c>
      <c r="P92" s="780" t="e">
        <f t="shared" si="11"/>
        <v>#DIV/0!</v>
      </c>
      <c r="Q92" s="806">
        <f t="shared" ref="Q92:Q110" si="18">G92*I92*J92/10000-O92</f>
        <v>0</v>
      </c>
      <c r="AA92" s="632"/>
    </row>
    <row r="93" spans="2:27" ht="16.5" hidden="1" customHeight="1" outlineLevel="4">
      <c r="B93" s="776" t="s">
        <v>703</v>
      </c>
      <c r="C93" s="782"/>
      <c r="D93" s="807" t="s">
        <v>1557</v>
      </c>
      <c r="E93" s="648" t="s">
        <v>1493</v>
      </c>
      <c r="F93" s="648" t="s">
        <v>657</v>
      </c>
      <c r="G93" s="808">
        <v>1.5</v>
      </c>
      <c r="H93" s="805" t="s">
        <v>145</v>
      </c>
      <c r="I93" s="672">
        <f>$E$2*(1+$F$2)</f>
        <v>0</v>
      </c>
      <c r="J93" s="672">
        <v>30</v>
      </c>
      <c r="K93" s="791">
        <f>J93/(1+L93)</f>
        <v>27.027027027027025</v>
      </c>
      <c r="L93" s="569">
        <v>0.11</v>
      </c>
      <c r="M93" s="779">
        <f>G93*I93*K93/10000</f>
        <v>0</v>
      </c>
      <c r="N93" s="779">
        <f>L93*M93</f>
        <v>0</v>
      </c>
      <c r="O93" s="779">
        <f>M93+N93</f>
        <v>0</v>
      </c>
      <c r="P93" s="780" t="e">
        <f t="shared" si="11"/>
        <v>#DIV/0!</v>
      </c>
      <c r="Q93" s="806">
        <f t="shared" si="18"/>
        <v>0</v>
      </c>
      <c r="AA93" s="632"/>
    </row>
    <row r="94" spans="2:27" ht="16.5" hidden="1" customHeight="1" outlineLevel="3">
      <c r="B94" s="776" t="s">
        <v>2116</v>
      </c>
      <c r="C94" s="782" t="s">
        <v>39</v>
      </c>
      <c r="D94" s="804" t="s">
        <v>2115</v>
      </c>
      <c r="E94" s="665"/>
      <c r="F94" s="665"/>
      <c r="G94" s="809"/>
      <c r="H94" s="790"/>
      <c r="I94" s="789"/>
      <c r="J94" s="789"/>
      <c r="K94" s="790"/>
      <c r="L94" s="569"/>
      <c r="M94" s="779">
        <f>SUBTOTAL(9,M95:M98)</f>
        <v>0</v>
      </c>
      <c r="N94" s="779">
        <f>SUBTOTAL(9,N95:N98)</f>
        <v>0</v>
      </c>
      <c r="O94" s="779">
        <f>SUBTOTAL(9,O95:O98)</f>
        <v>0</v>
      </c>
      <c r="P94" s="780" t="e">
        <f t="shared" si="11"/>
        <v>#DIV/0!</v>
      </c>
      <c r="Q94" s="806">
        <f t="shared" si="18"/>
        <v>0</v>
      </c>
      <c r="AA94" s="632"/>
    </row>
    <row r="95" spans="2:27" ht="16.5" hidden="1" customHeight="1" outlineLevel="4">
      <c r="B95" s="776" t="s">
        <v>1818</v>
      </c>
      <c r="C95" s="782"/>
      <c r="D95" s="807" t="s">
        <v>1560</v>
      </c>
      <c r="E95" s="719" t="s">
        <v>2114</v>
      </c>
      <c r="F95" s="648" t="s">
        <v>657</v>
      </c>
      <c r="G95" s="809">
        <v>0</v>
      </c>
      <c r="H95" s="805" t="s">
        <v>145</v>
      </c>
      <c r="I95" s="672">
        <f>$E$2*(1+$F$2)</f>
        <v>0</v>
      </c>
      <c r="J95" s="672"/>
      <c r="K95" s="791">
        <f>J95/(1+L95)</f>
        <v>0</v>
      </c>
      <c r="L95" s="569">
        <v>0.11</v>
      </c>
      <c r="M95" s="779">
        <f>G95*I95*K95/10000</f>
        <v>0</v>
      </c>
      <c r="N95" s="779">
        <f>L95*M95</f>
        <v>0</v>
      </c>
      <c r="O95" s="779">
        <f>M95+N95</f>
        <v>0</v>
      </c>
      <c r="P95" s="780" t="e">
        <f t="shared" si="11"/>
        <v>#DIV/0!</v>
      </c>
      <c r="Q95" s="806">
        <f t="shared" si="18"/>
        <v>0</v>
      </c>
      <c r="AA95" s="632"/>
    </row>
    <row r="96" spans="2:27" ht="16.5" hidden="1" customHeight="1" outlineLevel="4">
      <c r="B96" s="776" t="s">
        <v>704</v>
      </c>
      <c r="C96" s="782"/>
      <c r="D96" s="807" t="s">
        <v>1561</v>
      </c>
      <c r="E96" s="719" t="s">
        <v>2114</v>
      </c>
      <c r="F96" s="648" t="s">
        <v>657</v>
      </c>
      <c r="G96" s="809">
        <v>0</v>
      </c>
      <c r="H96" s="805" t="s">
        <v>145</v>
      </c>
      <c r="I96" s="672">
        <f>$E$2*(1+$F$2)</f>
        <v>0</v>
      </c>
      <c r="J96" s="672"/>
      <c r="K96" s="791">
        <f>J96/(1+L96)</f>
        <v>0</v>
      </c>
      <c r="L96" s="569">
        <v>0.11</v>
      </c>
      <c r="M96" s="779">
        <f>G96*I96*K96/10000</f>
        <v>0</v>
      </c>
      <c r="N96" s="779">
        <f>L96*M96</f>
        <v>0</v>
      </c>
      <c r="O96" s="779">
        <f>M96+N96</f>
        <v>0</v>
      </c>
      <c r="P96" s="780" t="e">
        <f t="shared" si="11"/>
        <v>#DIV/0!</v>
      </c>
      <c r="Q96" s="806">
        <f t="shared" si="18"/>
        <v>0</v>
      </c>
      <c r="AA96" s="632"/>
    </row>
    <row r="97" spans="2:27" ht="16.5" hidden="1" customHeight="1" outlineLevel="4">
      <c r="B97" s="776" t="s">
        <v>1562</v>
      </c>
      <c r="C97" s="782"/>
      <c r="D97" s="807" t="s">
        <v>1563</v>
      </c>
      <c r="E97" s="719" t="s">
        <v>2114</v>
      </c>
      <c r="F97" s="648" t="s">
        <v>657</v>
      </c>
      <c r="G97" s="809">
        <v>0</v>
      </c>
      <c r="H97" s="805" t="s">
        <v>145</v>
      </c>
      <c r="I97" s="672">
        <f>$E$2*(1+$F$2)</f>
        <v>0</v>
      </c>
      <c r="J97" s="672"/>
      <c r="K97" s="791">
        <f>J97/(1+L97)</f>
        <v>0</v>
      </c>
      <c r="L97" s="569">
        <v>0.11</v>
      </c>
      <c r="M97" s="779">
        <f>G97*I97*K97/10000</f>
        <v>0</v>
      </c>
      <c r="N97" s="779">
        <f>L97*M97</f>
        <v>0</v>
      </c>
      <c r="O97" s="779">
        <f>M97+N97</f>
        <v>0</v>
      </c>
      <c r="P97" s="780" t="e">
        <f t="shared" si="11"/>
        <v>#DIV/0!</v>
      </c>
      <c r="Q97" s="806">
        <f t="shared" si="18"/>
        <v>0</v>
      </c>
      <c r="AA97" s="632"/>
    </row>
    <row r="98" spans="2:27" ht="16.5" hidden="1" customHeight="1" outlineLevel="4">
      <c r="B98" s="776" t="s">
        <v>1564</v>
      </c>
      <c r="C98" s="782"/>
      <c r="D98" s="807" t="s">
        <v>1565</v>
      </c>
      <c r="E98" s="719" t="s">
        <v>2114</v>
      </c>
      <c r="F98" s="648" t="s">
        <v>657</v>
      </c>
      <c r="G98" s="809">
        <v>0</v>
      </c>
      <c r="H98" s="805" t="s">
        <v>145</v>
      </c>
      <c r="I98" s="672">
        <f>$E$2*(1+$F$2)</f>
        <v>0</v>
      </c>
      <c r="J98" s="672"/>
      <c r="K98" s="791">
        <f>J98/(1+L98)</f>
        <v>0</v>
      </c>
      <c r="L98" s="569">
        <v>0.11</v>
      </c>
      <c r="M98" s="779">
        <f>G98*I98*K98/10000</f>
        <v>0</v>
      </c>
      <c r="N98" s="779">
        <f>L98*M98</f>
        <v>0</v>
      </c>
      <c r="O98" s="779">
        <f>M98+N98</f>
        <v>0</v>
      </c>
      <c r="P98" s="780" t="e">
        <f t="shared" si="11"/>
        <v>#DIV/0!</v>
      </c>
      <c r="Q98" s="806">
        <f t="shared" si="18"/>
        <v>0</v>
      </c>
      <c r="AA98" s="632"/>
    </row>
    <row r="99" spans="2:27" ht="16.5" hidden="1" customHeight="1" outlineLevel="3">
      <c r="B99" s="776" t="s">
        <v>2113</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1"/>
        <v>#DIV/0!</v>
      </c>
      <c r="Q99" s="806">
        <f t="shared" si="18"/>
        <v>0</v>
      </c>
      <c r="AA99" s="632"/>
    </row>
    <row r="100" spans="2:27" ht="16.5" hidden="1" customHeight="1" outlineLevel="4">
      <c r="B100" s="776" t="s">
        <v>1568</v>
      </c>
      <c r="C100" s="782"/>
      <c r="D100" s="807" t="s">
        <v>1569</v>
      </c>
      <c r="E100" s="665" t="s">
        <v>469</v>
      </c>
      <c r="F100" s="648" t="s">
        <v>657</v>
      </c>
      <c r="G100" s="809">
        <v>0</v>
      </c>
      <c r="H100" s="805" t="s">
        <v>145</v>
      </c>
      <c r="I100" s="672">
        <f>$E$2*(1+$F$2)</f>
        <v>0</v>
      </c>
      <c r="J100" s="672"/>
      <c r="K100" s="791">
        <f>J100/(1+L100)</f>
        <v>0</v>
      </c>
      <c r="L100" s="569">
        <v>0.17</v>
      </c>
      <c r="M100" s="779">
        <f>G100*I100*K100/10000</f>
        <v>0</v>
      </c>
      <c r="N100" s="779">
        <f>L100*M100</f>
        <v>0</v>
      </c>
      <c r="O100" s="779">
        <f>M100+N100</f>
        <v>0</v>
      </c>
      <c r="P100" s="780" t="e">
        <f t="shared" si="11"/>
        <v>#DIV/0!</v>
      </c>
      <c r="Q100" s="806">
        <f t="shared" si="18"/>
        <v>0</v>
      </c>
      <c r="AA100" s="632"/>
    </row>
    <row r="101" spans="2:27" ht="16.5" hidden="1" customHeight="1" outlineLevel="4">
      <c r="B101" s="776" t="s">
        <v>1570</v>
      </c>
      <c r="C101" s="782"/>
      <c r="D101" s="807" t="s">
        <v>1571</v>
      </c>
      <c r="E101" s="665" t="s">
        <v>1228</v>
      </c>
      <c r="F101" s="648" t="s">
        <v>657</v>
      </c>
      <c r="G101" s="809">
        <v>0</v>
      </c>
      <c r="H101" s="805" t="s">
        <v>145</v>
      </c>
      <c r="I101" s="672">
        <f>$E$2*(1+$F$2)</f>
        <v>0</v>
      </c>
      <c r="J101" s="672"/>
      <c r="K101" s="791">
        <f>J101/(1+L101)</f>
        <v>0</v>
      </c>
      <c r="L101" s="569">
        <v>0.11</v>
      </c>
      <c r="M101" s="779">
        <f>G101*I101*K101/10000</f>
        <v>0</v>
      </c>
      <c r="N101" s="779">
        <f>L101*M101</f>
        <v>0</v>
      </c>
      <c r="O101" s="779">
        <f>M101+N101</f>
        <v>0</v>
      </c>
      <c r="P101" s="780" t="e">
        <f t="shared" si="11"/>
        <v>#DIV/0!</v>
      </c>
      <c r="Q101" s="806">
        <f t="shared" si="18"/>
        <v>0</v>
      </c>
      <c r="AA101" s="632"/>
    </row>
    <row r="102" spans="2:27" ht="16.5" hidden="1" customHeight="1" outlineLevel="3">
      <c r="B102" s="776" t="s">
        <v>1823</v>
      </c>
      <c r="C102" s="782" t="s">
        <v>39</v>
      </c>
      <c r="D102" s="804" t="s">
        <v>2112</v>
      </c>
      <c r="E102" s="665"/>
      <c r="F102" s="665"/>
      <c r="G102" s="809"/>
      <c r="H102" s="790"/>
      <c r="I102" s="672"/>
      <c r="J102" s="672"/>
      <c r="K102" s="790"/>
      <c r="L102" s="569"/>
      <c r="M102" s="779">
        <f>SUBTOTAL(9,M103:M104)</f>
        <v>0</v>
      </c>
      <c r="N102" s="779">
        <f>SUBTOTAL(9,N103:N104)</f>
        <v>0</v>
      </c>
      <c r="O102" s="779">
        <f>SUBTOTAL(9,O103:O104)</f>
        <v>0</v>
      </c>
      <c r="P102" s="780" t="e">
        <f t="shared" si="11"/>
        <v>#DIV/0!</v>
      </c>
      <c r="Q102" s="806">
        <f t="shared" si="18"/>
        <v>0</v>
      </c>
      <c r="AA102" s="632"/>
    </row>
    <row r="103" spans="2:27" ht="16.5" hidden="1" customHeight="1" outlineLevel="4">
      <c r="B103" s="776" t="s">
        <v>2111</v>
      </c>
      <c r="C103" s="782"/>
      <c r="D103" s="804" t="s">
        <v>1575</v>
      </c>
      <c r="E103" s="665" t="s">
        <v>468</v>
      </c>
      <c r="F103" s="648" t="s">
        <v>657</v>
      </c>
      <c r="G103" s="809">
        <v>1</v>
      </c>
      <c r="H103" s="805" t="s">
        <v>143</v>
      </c>
      <c r="I103" s="672">
        <f>$E$2*(1+$F$2)</f>
        <v>0</v>
      </c>
      <c r="J103" s="672"/>
      <c r="K103" s="791">
        <f t="shared" ref="K103:K109" si="19">J103/(1+L103)</f>
        <v>0</v>
      </c>
      <c r="L103" s="569">
        <v>0.11</v>
      </c>
      <c r="M103" s="779">
        <f t="shared" ref="M103:M110" si="20">G103*I103*K103/10000</f>
        <v>0</v>
      </c>
      <c r="N103" s="779">
        <f t="shared" ref="N103:N110" si="21">L103*M103</f>
        <v>0</v>
      </c>
      <c r="O103" s="779">
        <f t="shared" ref="O103:O110" si="22">M103+N103</f>
        <v>0</v>
      </c>
      <c r="P103" s="780" t="e">
        <f t="shared" si="11"/>
        <v>#DIV/0!</v>
      </c>
      <c r="Q103" s="806">
        <f t="shared" si="18"/>
        <v>0</v>
      </c>
      <c r="AA103" s="632"/>
    </row>
    <row r="104" spans="2:27" ht="16.5" hidden="1" customHeight="1" outlineLevel="4">
      <c r="B104" s="776" t="s">
        <v>1576</v>
      </c>
      <c r="C104" s="782"/>
      <c r="D104" s="804" t="s">
        <v>1577</v>
      </c>
      <c r="E104" s="665" t="s">
        <v>468</v>
      </c>
      <c r="F104" s="648" t="s">
        <v>657</v>
      </c>
      <c r="G104" s="809"/>
      <c r="H104" s="805" t="s">
        <v>143</v>
      </c>
      <c r="I104" s="672">
        <f>$E$2*(1+$F$2)</f>
        <v>0</v>
      </c>
      <c r="J104" s="672"/>
      <c r="K104" s="791">
        <f t="shared" si="19"/>
        <v>0</v>
      </c>
      <c r="L104" s="569">
        <v>0.11</v>
      </c>
      <c r="M104" s="779">
        <f t="shared" si="20"/>
        <v>0</v>
      </c>
      <c r="N104" s="779">
        <f t="shared" si="21"/>
        <v>0</v>
      </c>
      <c r="O104" s="779">
        <f t="shared" si="22"/>
        <v>0</v>
      </c>
      <c r="P104" s="780" t="e">
        <f t="shared" si="11"/>
        <v>#DIV/0!</v>
      </c>
      <c r="Q104" s="806">
        <f t="shared" si="18"/>
        <v>0</v>
      </c>
      <c r="AA104" s="632"/>
    </row>
    <row r="105" spans="2:27" ht="16.5" hidden="1" customHeight="1" outlineLevel="3">
      <c r="B105" s="776" t="s">
        <v>2110</v>
      </c>
      <c r="C105" s="782" t="s">
        <v>39</v>
      </c>
      <c r="D105" s="804" t="s">
        <v>1827</v>
      </c>
      <c r="E105" s="648" t="s">
        <v>2109</v>
      </c>
      <c r="F105" s="648" t="s">
        <v>657</v>
      </c>
      <c r="G105" s="809"/>
      <c r="H105" s="790"/>
      <c r="I105" s="672"/>
      <c r="J105" s="672"/>
      <c r="K105" s="791">
        <f t="shared" si="19"/>
        <v>0</v>
      </c>
      <c r="L105" s="569">
        <v>0.17</v>
      </c>
      <c r="M105" s="779">
        <f t="shared" si="20"/>
        <v>0</v>
      </c>
      <c r="N105" s="779">
        <f t="shared" si="21"/>
        <v>0</v>
      </c>
      <c r="O105" s="779">
        <f t="shared" si="22"/>
        <v>0</v>
      </c>
      <c r="P105" s="780" t="e">
        <f t="shared" si="11"/>
        <v>#DIV/0!</v>
      </c>
      <c r="Q105" s="806">
        <f t="shared" si="18"/>
        <v>0</v>
      </c>
      <c r="AA105" s="632"/>
    </row>
    <row r="106" spans="2:27" ht="16.5" hidden="1" customHeight="1" outlineLevel="3">
      <c r="B106" s="776" t="s">
        <v>705</v>
      </c>
      <c r="C106" s="782" t="s">
        <v>39</v>
      </c>
      <c r="D106" s="804" t="s">
        <v>2108</v>
      </c>
      <c r="E106" s="648" t="s">
        <v>1580</v>
      </c>
      <c r="F106" s="665" t="s">
        <v>2107</v>
      </c>
      <c r="G106" s="810">
        <v>10</v>
      </c>
      <c r="H106" s="795"/>
      <c r="I106" s="789">
        <f>I2</f>
        <v>0</v>
      </c>
      <c r="J106" s="789">
        <v>1300</v>
      </c>
      <c r="K106" s="791">
        <f t="shared" si="19"/>
        <v>1171.1711711711712</v>
      </c>
      <c r="L106" s="569">
        <v>0.11</v>
      </c>
      <c r="M106" s="779">
        <f t="shared" si="20"/>
        <v>0</v>
      </c>
      <c r="N106" s="779">
        <f t="shared" si="21"/>
        <v>0</v>
      </c>
      <c r="O106" s="779">
        <f t="shared" si="22"/>
        <v>0</v>
      </c>
      <c r="P106" s="780" t="e">
        <f t="shared" si="11"/>
        <v>#DIV/0!</v>
      </c>
      <c r="Q106" s="806">
        <f t="shared" si="18"/>
        <v>0</v>
      </c>
      <c r="AA106" s="632"/>
    </row>
    <row r="107" spans="2:27" ht="16.5" hidden="1" customHeight="1" outlineLevel="3">
      <c r="B107" s="776" t="s">
        <v>706</v>
      </c>
      <c r="C107" s="782" t="s">
        <v>39</v>
      </c>
      <c r="D107" s="804" t="s">
        <v>1581</v>
      </c>
      <c r="E107" s="648" t="s">
        <v>1753</v>
      </c>
      <c r="F107" s="648" t="s">
        <v>657</v>
      </c>
      <c r="G107" s="809">
        <v>1</v>
      </c>
      <c r="H107" s="805" t="s">
        <v>145</v>
      </c>
      <c r="I107" s="672">
        <f>$E$2*(1+$F$2)</f>
        <v>0</v>
      </c>
      <c r="J107" s="672"/>
      <c r="K107" s="791">
        <f t="shared" si="19"/>
        <v>0</v>
      </c>
      <c r="L107" s="569">
        <v>0.11</v>
      </c>
      <c r="M107" s="779">
        <f t="shared" si="20"/>
        <v>0</v>
      </c>
      <c r="N107" s="779">
        <f t="shared" si="21"/>
        <v>0</v>
      </c>
      <c r="O107" s="779">
        <f t="shared" si="22"/>
        <v>0</v>
      </c>
      <c r="P107" s="780" t="e">
        <f t="shared" si="11"/>
        <v>#DIV/0!</v>
      </c>
      <c r="Q107" s="806">
        <f t="shared" si="18"/>
        <v>0</v>
      </c>
      <c r="AA107" s="632"/>
    </row>
    <row r="108" spans="2:27" ht="16.5" hidden="1" customHeight="1" outlineLevel="3">
      <c r="B108" s="776" t="s">
        <v>707</v>
      </c>
      <c r="C108" s="782" t="s">
        <v>39</v>
      </c>
      <c r="D108" s="804" t="s">
        <v>1582</v>
      </c>
      <c r="E108" s="648" t="s">
        <v>1753</v>
      </c>
      <c r="F108" s="665" t="s">
        <v>2107</v>
      </c>
      <c r="G108" s="811">
        <v>0</v>
      </c>
      <c r="H108" s="805" t="s">
        <v>1921</v>
      </c>
      <c r="I108" s="672">
        <f>$I$2</f>
        <v>0</v>
      </c>
      <c r="J108" s="672"/>
      <c r="K108" s="791">
        <f t="shared" si="19"/>
        <v>0</v>
      </c>
      <c r="L108" s="569">
        <v>0.11</v>
      </c>
      <c r="M108" s="779">
        <f t="shared" si="20"/>
        <v>0</v>
      </c>
      <c r="N108" s="779">
        <f t="shared" si="21"/>
        <v>0</v>
      </c>
      <c r="O108" s="779">
        <f t="shared" si="22"/>
        <v>0</v>
      </c>
      <c r="P108" s="780" t="e">
        <f t="shared" si="11"/>
        <v>#DIV/0!</v>
      </c>
      <c r="Q108" s="781">
        <f t="shared" si="18"/>
        <v>0</v>
      </c>
      <c r="AA108" s="632"/>
    </row>
    <row r="109" spans="2:27" ht="16.5" hidden="1" customHeight="1" outlineLevel="3">
      <c r="B109" s="776" t="s">
        <v>709</v>
      </c>
      <c r="C109" s="782" t="s">
        <v>39</v>
      </c>
      <c r="D109" s="804" t="s">
        <v>2106</v>
      </c>
      <c r="E109" s="648" t="s">
        <v>470</v>
      </c>
      <c r="F109" s="648" t="s">
        <v>657</v>
      </c>
      <c r="G109" s="808">
        <v>1</v>
      </c>
      <c r="H109" s="805" t="s">
        <v>143</v>
      </c>
      <c r="I109" s="672">
        <f>$E$2*(1+$F$2)</f>
        <v>0</v>
      </c>
      <c r="J109" s="672">
        <v>10</v>
      </c>
      <c r="K109" s="791">
        <f t="shared" si="19"/>
        <v>9.0090090090090076</v>
      </c>
      <c r="L109" s="620">
        <v>0.11</v>
      </c>
      <c r="M109" s="779">
        <f t="shared" si="20"/>
        <v>0</v>
      </c>
      <c r="N109" s="779">
        <f t="shared" si="21"/>
        <v>0</v>
      </c>
      <c r="O109" s="779">
        <f t="shared" si="22"/>
        <v>0</v>
      </c>
      <c r="P109" s="780" t="e">
        <f t="shared" si="11"/>
        <v>#DIV/0!</v>
      </c>
      <c r="Q109" s="781">
        <f t="shared" si="18"/>
        <v>0</v>
      </c>
      <c r="AA109" s="632"/>
    </row>
    <row r="110" spans="2:27" ht="16.5" hidden="1" customHeight="1" outlineLevel="3">
      <c r="B110" s="776" t="s">
        <v>2105</v>
      </c>
      <c r="C110" s="782" t="s">
        <v>39</v>
      </c>
      <c r="D110" s="804" t="s">
        <v>711</v>
      </c>
      <c r="E110" s="648" t="s">
        <v>2104</v>
      </c>
      <c r="F110" s="648" t="s">
        <v>657</v>
      </c>
      <c r="G110" s="808"/>
      <c r="H110" s="812"/>
      <c r="I110" s="672"/>
      <c r="J110" s="672"/>
      <c r="K110" s="812"/>
      <c r="L110" s="620">
        <v>0.11</v>
      </c>
      <c r="M110" s="779">
        <f t="shared" si="20"/>
        <v>0</v>
      </c>
      <c r="N110" s="779">
        <f t="shared" si="21"/>
        <v>0</v>
      </c>
      <c r="O110" s="779">
        <f t="shared" si="22"/>
        <v>0</v>
      </c>
      <c r="P110" s="780" t="e">
        <f t="shared" si="11"/>
        <v>#DIV/0!</v>
      </c>
      <c r="Q110" s="781">
        <f t="shared" si="18"/>
        <v>0</v>
      </c>
      <c r="AA110" s="632"/>
    </row>
    <row r="111" spans="2:27" ht="16.5" hidden="1" customHeight="1" outlineLevel="2">
      <c r="B111" s="776" t="s">
        <v>712</v>
      </c>
      <c r="C111" s="777" t="s">
        <v>2103</v>
      </c>
      <c r="D111" s="804" t="s">
        <v>2102</v>
      </c>
      <c r="E111" s="648"/>
      <c r="F111" s="648"/>
      <c r="G111" s="787"/>
      <c r="H111" s="787"/>
      <c r="I111" s="672"/>
      <c r="J111" s="672"/>
      <c r="K111" s="681"/>
      <c r="L111" s="569"/>
      <c r="M111" s="779">
        <f>SUBTOTAL(9,M112:M116)</f>
        <v>0</v>
      </c>
      <c r="N111" s="779">
        <f>SUBTOTAL(9,N112:N116)</f>
        <v>0</v>
      </c>
      <c r="O111" s="779">
        <f>SUBTOTAL(9,O112:O116)</f>
        <v>0</v>
      </c>
      <c r="P111" s="780" t="e">
        <f t="shared" si="11"/>
        <v>#DIV/0!</v>
      </c>
      <c r="Q111" s="781"/>
      <c r="AA111" s="632"/>
    </row>
    <row r="112" spans="2:27" ht="16.5" hidden="1" customHeight="1" outlineLevel="3">
      <c r="B112" s="776" t="s">
        <v>714</v>
      </c>
      <c r="C112" s="782" t="s">
        <v>39</v>
      </c>
      <c r="D112" s="804" t="s">
        <v>715</v>
      </c>
      <c r="E112" s="665" t="s">
        <v>1583</v>
      </c>
      <c r="F112" s="665" t="s">
        <v>2093</v>
      </c>
      <c r="G112" s="813">
        <v>7</v>
      </c>
      <c r="H112" s="805" t="s">
        <v>1922</v>
      </c>
      <c r="I112" s="672">
        <f>K2</f>
        <v>0</v>
      </c>
      <c r="J112" s="672">
        <v>180</v>
      </c>
      <c r="K112" s="791">
        <f>J112/(1+L112)</f>
        <v>162.16216216216216</v>
      </c>
      <c r="L112" s="620">
        <v>0.11</v>
      </c>
      <c r="M112" s="779">
        <f>G112*I112*K112/10000</f>
        <v>0</v>
      </c>
      <c r="N112" s="779">
        <f>L112*M112</f>
        <v>0</v>
      </c>
      <c r="O112" s="779">
        <f>M112+N112</f>
        <v>0</v>
      </c>
      <c r="P112" s="780" t="e">
        <f t="shared" si="11"/>
        <v>#DIV/0!</v>
      </c>
      <c r="Q112" s="781">
        <f>G112*I112*J112/10000-O112</f>
        <v>0</v>
      </c>
      <c r="AA112" s="632"/>
    </row>
    <row r="113" spans="2:27" ht="16.5" hidden="1" customHeight="1" outlineLevel="3">
      <c r="B113" s="776" t="s">
        <v>717</v>
      </c>
      <c r="C113" s="782" t="s">
        <v>39</v>
      </c>
      <c r="D113" s="804" t="s">
        <v>1584</v>
      </c>
      <c r="E113" s="665" t="s">
        <v>1583</v>
      </c>
      <c r="F113" s="665" t="s">
        <v>114</v>
      </c>
      <c r="G113" s="813">
        <v>5</v>
      </c>
      <c r="H113" s="805" t="s">
        <v>1922</v>
      </c>
      <c r="I113" s="672">
        <f>I112</f>
        <v>0</v>
      </c>
      <c r="J113" s="672"/>
      <c r="K113" s="791">
        <f>J113/(1+L113)</f>
        <v>0</v>
      </c>
      <c r="L113" s="569">
        <v>0.11</v>
      </c>
      <c r="M113" s="779">
        <f>G113*I113*K113/10000</f>
        <v>0</v>
      </c>
      <c r="N113" s="779">
        <f>L113*M113</f>
        <v>0</v>
      </c>
      <c r="O113" s="779">
        <f>M113+N113</f>
        <v>0</v>
      </c>
      <c r="P113" s="780" t="e">
        <f t="shared" si="11"/>
        <v>#DIV/0!</v>
      </c>
      <c r="Q113" s="781">
        <f>G113*I113*J113/10000-O113</f>
        <v>0</v>
      </c>
      <c r="AA113" s="632"/>
    </row>
    <row r="114" spans="2:27" ht="16.5" hidden="1" customHeight="1" outlineLevel="3">
      <c r="B114" s="776" t="s">
        <v>718</v>
      </c>
      <c r="C114" s="782" t="s">
        <v>39</v>
      </c>
      <c r="D114" s="804" t="s">
        <v>719</v>
      </c>
      <c r="E114" s="665" t="s">
        <v>1583</v>
      </c>
      <c r="F114" s="665" t="s">
        <v>41</v>
      </c>
      <c r="G114" s="813">
        <v>10</v>
      </c>
      <c r="H114" s="787" t="s">
        <v>660</v>
      </c>
      <c r="I114" s="672">
        <f>$H$2</f>
        <v>0</v>
      </c>
      <c r="J114" s="672">
        <v>210</v>
      </c>
      <c r="K114" s="791">
        <f>J114/(1+L114)</f>
        <v>189.18918918918916</v>
      </c>
      <c r="L114" s="569">
        <v>0.11</v>
      </c>
      <c r="M114" s="779">
        <f>G114*I114*K114/10000</f>
        <v>0</v>
      </c>
      <c r="N114" s="779">
        <f>L114*M114</f>
        <v>0</v>
      </c>
      <c r="O114" s="779">
        <f>M114+N114</f>
        <v>0</v>
      </c>
      <c r="P114" s="780" t="e">
        <f t="shared" si="11"/>
        <v>#DIV/0!</v>
      </c>
      <c r="Q114" s="781">
        <f>G114*I114*J114/10000-O114</f>
        <v>0</v>
      </c>
      <c r="AA114" s="632"/>
    </row>
    <row r="115" spans="2:27" ht="16.5" hidden="1" customHeight="1" outlineLevel="3">
      <c r="B115" s="776" t="s">
        <v>2101</v>
      </c>
      <c r="C115" s="782" t="s">
        <v>39</v>
      </c>
      <c r="D115" s="804" t="s">
        <v>720</v>
      </c>
      <c r="E115" s="665" t="s">
        <v>1583</v>
      </c>
      <c r="F115" s="665" t="s">
        <v>41</v>
      </c>
      <c r="G115" s="808">
        <v>6</v>
      </c>
      <c r="H115" s="812" t="s">
        <v>660</v>
      </c>
      <c r="I115" s="672">
        <f>$H$2</f>
        <v>0</v>
      </c>
      <c r="J115" s="672">
        <v>90</v>
      </c>
      <c r="K115" s="791">
        <f>J115/(1+L115)</f>
        <v>81.081081081081081</v>
      </c>
      <c r="L115" s="620">
        <v>0.11</v>
      </c>
      <c r="M115" s="779">
        <f>G115*I115*K115/10000</f>
        <v>0</v>
      </c>
      <c r="N115" s="779">
        <f>L115*M115</f>
        <v>0</v>
      </c>
      <c r="O115" s="779">
        <f>M115+N115</f>
        <v>0</v>
      </c>
      <c r="P115" s="780" t="e">
        <f t="shared" si="11"/>
        <v>#DIV/0!</v>
      </c>
      <c r="Q115" s="781">
        <f>G115*I115*J115/10000-O115</f>
        <v>0</v>
      </c>
      <c r="AA115" s="632"/>
    </row>
    <row r="116" spans="2:27" ht="16.5" hidden="1" customHeight="1" outlineLevel="3">
      <c r="B116" s="776" t="s">
        <v>1840</v>
      </c>
      <c r="C116" s="782" t="s">
        <v>39</v>
      </c>
      <c r="D116" s="804" t="s">
        <v>2100</v>
      </c>
      <c r="E116" s="665" t="s">
        <v>1583</v>
      </c>
      <c r="F116" s="665" t="s">
        <v>41</v>
      </c>
      <c r="G116" s="809">
        <v>6</v>
      </c>
      <c r="H116" s="787" t="s">
        <v>722</v>
      </c>
      <c r="I116" s="672">
        <f>$H$2</f>
        <v>0</v>
      </c>
      <c r="J116" s="672">
        <v>250</v>
      </c>
      <c r="K116" s="791">
        <f>J116/(1+L116)</f>
        <v>225.22522522522522</v>
      </c>
      <c r="L116" s="569">
        <v>0.11</v>
      </c>
      <c r="M116" s="779">
        <f>G116*I116*K116/10000</f>
        <v>0</v>
      </c>
      <c r="N116" s="779">
        <f>L116*M116</f>
        <v>0</v>
      </c>
      <c r="O116" s="779">
        <f>M116+N116</f>
        <v>0</v>
      </c>
      <c r="P116" s="780" t="e">
        <f t="shared" si="11"/>
        <v>#DIV/0!</v>
      </c>
      <c r="Q116" s="781">
        <f>G116*I116*J116/10000-O116</f>
        <v>0</v>
      </c>
      <c r="AA116" s="632"/>
    </row>
    <row r="117" spans="2:27" ht="16.5" hidden="1" customHeight="1" outlineLevel="2">
      <c r="B117" s="776" t="s">
        <v>723</v>
      </c>
      <c r="C117" s="777" t="s">
        <v>2068</v>
      </c>
      <c r="D117" s="804" t="s">
        <v>2099</v>
      </c>
      <c r="E117" s="648"/>
      <c r="F117" s="648"/>
      <c r="G117" s="787"/>
      <c r="H117" s="787"/>
      <c r="I117" s="672"/>
      <c r="J117" s="672"/>
      <c r="K117" s="681"/>
      <c r="L117" s="569"/>
      <c r="M117" s="779" t="e">
        <f>SUBTOTAL(9,M118:M123)</f>
        <v>#REF!</v>
      </c>
      <c r="N117" s="779" t="e">
        <f>SUBTOTAL(9,N118:N123)</f>
        <v>#REF!</v>
      </c>
      <c r="O117" s="779" t="e">
        <f>SUBTOTAL(9,O118:O123)</f>
        <v>#REF!</v>
      </c>
      <c r="P117" s="780" t="e">
        <f t="shared" si="11"/>
        <v>#REF!</v>
      </c>
      <c r="Q117" s="781"/>
      <c r="AA117" s="632"/>
    </row>
    <row r="118" spans="2:27" ht="16.5" hidden="1" customHeight="1" outlineLevel="3">
      <c r="B118" s="776" t="s">
        <v>724</v>
      </c>
      <c r="C118" s="782" t="s">
        <v>39</v>
      </c>
      <c r="D118" s="804" t="s">
        <v>2098</v>
      </c>
      <c r="E118" s="665" t="s">
        <v>1580</v>
      </c>
      <c r="F118" s="665" t="s">
        <v>2065</v>
      </c>
      <c r="G118" s="814">
        <v>1</v>
      </c>
      <c r="H118" s="805" t="s">
        <v>7</v>
      </c>
      <c r="I118" s="672">
        <f>$I$2</f>
        <v>0</v>
      </c>
      <c r="J118" s="672">
        <v>5000</v>
      </c>
      <c r="K118" s="791">
        <f>J118/(1+L118)</f>
        <v>4504.5045045045044</v>
      </c>
      <c r="L118" s="620">
        <v>0.11</v>
      </c>
      <c r="M118" s="779">
        <f>G118*I118*K118/10000</f>
        <v>0</v>
      </c>
      <c r="N118" s="779">
        <f>L118*M118</f>
        <v>0</v>
      </c>
      <c r="O118" s="779">
        <f>M118+N118</f>
        <v>0</v>
      </c>
      <c r="P118" s="780" t="e">
        <f t="shared" si="11"/>
        <v>#DIV/0!</v>
      </c>
      <c r="Q118" s="781">
        <f>G118*I118*J118/10000-O118</f>
        <v>0</v>
      </c>
      <c r="AA118" s="632"/>
    </row>
    <row r="119" spans="2:27" ht="16.5" hidden="1" customHeight="1" outlineLevel="3">
      <c r="B119" s="776" t="s">
        <v>726</v>
      </c>
      <c r="C119" s="782" t="s">
        <v>39</v>
      </c>
      <c r="D119" s="804" t="s">
        <v>2097</v>
      </c>
      <c r="E119" s="665"/>
      <c r="F119" s="665"/>
      <c r="G119" s="813"/>
      <c r="H119" s="787"/>
      <c r="I119" s="672"/>
      <c r="J119" s="672"/>
      <c r="K119" s="787"/>
      <c r="L119" s="569"/>
      <c r="M119" s="779">
        <f>SUBTOTAL(9,M120:M121)</f>
        <v>0</v>
      </c>
      <c r="N119" s="779">
        <f>SUBTOTAL(9,N120:N121)</f>
        <v>0</v>
      </c>
      <c r="O119" s="779">
        <f>SUBTOTAL(9,O120:O121)</f>
        <v>0</v>
      </c>
      <c r="P119" s="780" t="e">
        <f t="shared" si="11"/>
        <v>#DIV/0!</v>
      </c>
      <c r="Q119" s="781"/>
      <c r="AA119" s="632"/>
    </row>
    <row r="120" spans="2:27" ht="16.5" hidden="1" customHeight="1" outlineLevel="4">
      <c r="B120" s="776" t="s">
        <v>2096</v>
      </c>
      <c r="C120" s="782"/>
      <c r="D120" s="807" t="s">
        <v>2095</v>
      </c>
      <c r="E120" s="665" t="s">
        <v>1587</v>
      </c>
      <c r="F120" s="665" t="s">
        <v>1614</v>
      </c>
      <c r="G120" s="813">
        <v>1</v>
      </c>
      <c r="H120" s="787" t="s">
        <v>727</v>
      </c>
      <c r="I120" s="672">
        <f>$H$2</f>
        <v>0</v>
      </c>
      <c r="J120" s="672"/>
      <c r="K120" s="791">
        <f>J120/(1+L120)</f>
        <v>0</v>
      </c>
      <c r="L120" s="569">
        <v>0.17</v>
      </c>
      <c r="M120" s="779">
        <f>G120*I120*K120/10000</f>
        <v>0</v>
      </c>
      <c r="N120" s="779">
        <f>L120*M120</f>
        <v>0</v>
      </c>
      <c r="O120" s="779">
        <f>M120+N120</f>
        <v>0</v>
      </c>
      <c r="P120" s="780" t="e">
        <f t="shared" si="11"/>
        <v>#DIV/0!</v>
      </c>
      <c r="Q120" s="781">
        <f>G120*I120*J120/10000-O120</f>
        <v>0</v>
      </c>
      <c r="AA120" s="632"/>
    </row>
    <row r="121" spans="2:27" ht="16.5" hidden="1" customHeight="1" outlineLevel="4">
      <c r="B121" s="776" t="s">
        <v>1588</v>
      </c>
      <c r="C121" s="782"/>
      <c r="D121" s="807" t="s">
        <v>1849</v>
      </c>
      <c r="E121" s="665" t="s">
        <v>1589</v>
      </c>
      <c r="F121" s="665" t="s">
        <v>1614</v>
      </c>
      <c r="G121" s="813">
        <v>1</v>
      </c>
      <c r="H121" s="787" t="s">
        <v>727</v>
      </c>
      <c r="I121" s="672">
        <f>$H$2</f>
        <v>0</v>
      </c>
      <c r="J121" s="672">
        <v>2000</v>
      </c>
      <c r="K121" s="791">
        <f>J121/(1+L121)</f>
        <v>1709.4017094017095</v>
      </c>
      <c r="L121" s="569">
        <v>0.17</v>
      </c>
      <c r="M121" s="779">
        <f>G121*I121*K121/10000</f>
        <v>0</v>
      </c>
      <c r="N121" s="779">
        <f>L121*M121</f>
        <v>0</v>
      </c>
      <c r="O121" s="779">
        <f>M121+N121</f>
        <v>0</v>
      </c>
      <c r="P121" s="780" t="e">
        <f t="shared" si="11"/>
        <v>#DIV/0!</v>
      </c>
      <c r="Q121" s="781">
        <f>G121*I121*J121/10000-O121</f>
        <v>0</v>
      </c>
      <c r="AA121" s="632"/>
    </row>
    <row r="122" spans="2:27" ht="16.5" hidden="1" customHeight="1" outlineLevel="3">
      <c r="B122" s="776" t="s">
        <v>728</v>
      </c>
      <c r="C122" s="782" t="s">
        <v>39</v>
      </c>
      <c r="D122" s="804" t="s">
        <v>2094</v>
      </c>
      <c r="E122" s="648" t="s">
        <v>1590</v>
      </c>
      <c r="F122" s="665" t="s">
        <v>2093</v>
      </c>
      <c r="G122" s="813">
        <v>10</v>
      </c>
      <c r="H122" s="805" t="s">
        <v>1923</v>
      </c>
      <c r="I122" s="672">
        <f>K2</f>
        <v>0</v>
      </c>
      <c r="J122" s="672">
        <v>450</v>
      </c>
      <c r="K122" s="791">
        <f>J122/(1+L122)</f>
        <v>384.61538461538464</v>
      </c>
      <c r="L122" s="620">
        <v>0.17</v>
      </c>
      <c r="M122" s="779">
        <f>G122*I122*K122/10000</f>
        <v>0</v>
      </c>
      <c r="N122" s="779">
        <f>L122*M122</f>
        <v>0</v>
      </c>
      <c r="O122" s="779">
        <f>M122+N122</f>
        <v>0</v>
      </c>
      <c r="P122" s="780" t="e">
        <f t="shared" si="11"/>
        <v>#DIV/0!</v>
      </c>
      <c r="Q122" s="781">
        <f>G122*I122*J122/10000-O122</f>
        <v>0</v>
      </c>
      <c r="AA122" s="632"/>
    </row>
    <row r="123" spans="2:27" ht="16.5" hidden="1" customHeight="1" outlineLevel="3">
      <c r="B123" s="776" t="s">
        <v>2092</v>
      </c>
      <c r="C123" s="782" t="s">
        <v>39</v>
      </c>
      <c r="D123" s="804" t="s">
        <v>2091</v>
      </c>
      <c r="E123" s="665" t="s">
        <v>1580</v>
      </c>
      <c r="F123" s="648" t="s">
        <v>657</v>
      </c>
      <c r="G123" s="808">
        <v>0.19</v>
      </c>
      <c r="H123" s="805" t="s">
        <v>145</v>
      </c>
      <c r="I123" s="672">
        <f>$E$2*(1+$F$2)</f>
        <v>0</v>
      </c>
      <c r="J123" s="672" t="e">
        <f>#REF!</f>
        <v>#REF!</v>
      </c>
      <c r="K123" s="791" t="e">
        <f>J123/(1+L123)</f>
        <v>#REF!</v>
      </c>
      <c r="L123" s="620">
        <v>0.17</v>
      </c>
      <c r="M123" s="779" t="e">
        <f>G123*I123*K123/10000</f>
        <v>#REF!</v>
      </c>
      <c r="N123" s="779" t="e">
        <f>L123*M123</f>
        <v>#REF!</v>
      </c>
      <c r="O123" s="779" t="e">
        <f>M123+N123</f>
        <v>#REF!</v>
      </c>
      <c r="P123" s="780" t="e">
        <f t="shared" si="11"/>
        <v>#REF!</v>
      </c>
      <c r="Q123" s="781" t="e">
        <f>G123*I123*J123/10000-O123</f>
        <v>#REF!</v>
      </c>
      <c r="AA123" s="632"/>
    </row>
    <row r="124" spans="2:27" ht="16.5" hidden="1" customHeight="1" outlineLevel="2">
      <c r="B124" s="776" t="s">
        <v>731</v>
      </c>
      <c r="C124" s="777" t="s">
        <v>2089</v>
      </c>
      <c r="D124" s="804" t="s">
        <v>2088</v>
      </c>
      <c r="E124" s="648"/>
      <c r="F124" s="648"/>
      <c r="G124" s="787"/>
      <c r="H124" s="787"/>
      <c r="I124" s="672"/>
      <c r="J124" s="672"/>
      <c r="K124" s="681"/>
      <c r="L124" s="569"/>
      <c r="M124" s="779">
        <f>SUBTOTAL(9,M125:M128)</f>
        <v>0</v>
      </c>
      <c r="N124" s="779">
        <f>SUBTOTAL(9,N125:N128)</f>
        <v>0</v>
      </c>
      <c r="O124" s="779">
        <f>SUBTOTAL(9,O125:O128)</f>
        <v>0</v>
      </c>
      <c r="P124" s="780" t="e">
        <f t="shared" si="11"/>
        <v>#DIV/0!</v>
      </c>
      <c r="Q124" s="781"/>
      <c r="AA124" s="632"/>
    </row>
    <row r="125" spans="2:27" ht="16.5" hidden="1" customHeight="1" outlineLevel="3">
      <c r="B125" s="776" t="s">
        <v>733</v>
      </c>
      <c r="C125" s="782" t="s">
        <v>39</v>
      </c>
      <c r="D125" s="815" t="s">
        <v>2087</v>
      </c>
      <c r="E125" s="814" t="s">
        <v>1228</v>
      </c>
      <c r="F125" s="814" t="s">
        <v>2086</v>
      </c>
      <c r="G125" s="814">
        <v>1</v>
      </c>
      <c r="H125" s="787" t="s">
        <v>145</v>
      </c>
      <c r="I125" s="672">
        <f>$G$2</f>
        <v>0</v>
      </c>
      <c r="J125" s="672"/>
      <c r="K125" s="816"/>
      <c r="L125" s="620">
        <v>0.11</v>
      </c>
      <c r="M125" s="779">
        <f>G125*I125*K125/10000</f>
        <v>0</v>
      </c>
      <c r="N125" s="779">
        <f>L125*M125</f>
        <v>0</v>
      </c>
      <c r="O125" s="779">
        <f>M125+N125</f>
        <v>0</v>
      </c>
      <c r="P125" s="780" t="e">
        <f t="shared" si="11"/>
        <v>#DIV/0!</v>
      </c>
      <c r="Q125" s="781">
        <f>G125*I125*J125/10000-O125</f>
        <v>0</v>
      </c>
      <c r="AA125" s="632"/>
    </row>
    <row r="126" spans="2:27" ht="16.5" hidden="1" customHeight="1" outlineLevel="3">
      <c r="B126" s="776" t="s">
        <v>735</v>
      </c>
      <c r="C126" s="782" t="s">
        <v>39</v>
      </c>
      <c r="D126" s="815" t="s">
        <v>2085</v>
      </c>
      <c r="E126" s="814" t="s">
        <v>471</v>
      </c>
      <c r="F126" s="814"/>
      <c r="G126" s="814"/>
      <c r="H126" s="812"/>
      <c r="I126" s="672"/>
      <c r="J126" s="672"/>
      <c r="K126" s="816"/>
      <c r="L126" s="620">
        <v>0.17</v>
      </c>
      <c r="M126" s="779">
        <f>G126*I126*K126/10000</f>
        <v>0</v>
      </c>
      <c r="N126" s="779">
        <f>L126*M126</f>
        <v>0</v>
      </c>
      <c r="O126" s="779">
        <f>M126+N126</f>
        <v>0</v>
      </c>
      <c r="P126" s="780" t="e">
        <f t="shared" si="11"/>
        <v>#DIV/0!</v>
      </c>
      <c r="Q126" s="781">
        <f>G126*I126*J126/10000-O126</f>
        <v>0</v>
      </c>
      <c r="AA126" s="632"/>
    </row>
    <row r="127" spans="2:27" ht="16.5" hidden="1" customHeight="1" outlineLevel="3">
      <c r="B127" s="776" t="s">
        <v>2084</v>
      </c>
      <c r="C127" s="782" t="s">
        <v>39</v>
      </c>
      <c r="D127" s="815" t="s">
        <v>2083</v>
      </c>
      <c r="E127" s="648" t="s">
        <v>1616</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1"/>
        <v>#DIV/0!</v>
      </c>
      <c r="Q127" s="781">
        <f>G127*I127*J127/10000-O127</f>
        <v>0</v>
      </c>
      <c r="AA127" s="632"/>
    </row>
    <row r="128" spans="2:27" ht="16.5" hidden="1" customHeight="1" outlineLevel="3">
      <c r="B128" s="776" t="s">
        <v>739</v>
      </c>
      <c r="C128" s="782" t="s">
        <v>39</v>
      </c>
      <c r="D128" s="815" t="s">
        <v>2082</v>
      </c>
      <c r="E128" s="665" t="s">
        <v>463</v>
      </c>
      <c r="F128" s="665" t="s">
        <v>2052</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1"/>
        <v>#DIV/0!</v>
      </c>
      <c r="Q128" s="781">
        <f>G128*I128*J128/10000-O128</f>
        <v>0</v>
      </c>
      <c r="AA128" s="632"/>
    </row>
    <row r="129" spans="2:27" ht="16.5" hidden="1" customHeight="1" outlineLevel="1">
      <c r="B129" s="771" t="s">
        <v>2081</v>
      </c>
      <c r="C129" s="712">
        <v>2</v>
      </c>
      <c r="D129" s="771" t="s">
        <v>2080</v>
      </c>
      <c r="E129" s="712"/>
      <c r="F129" s="712"/>
      <c r="G129" s="712"/>
      <c r="H129" s="772"/>
      <c r="I129" s="713"/>
      <c r="J129" s="713"/>
      <c r="K129" s="772"/>
      <c r="L129" s="588"/>
      <c r="M129" s="773">
        <f>SUBTOTAL(9,M130:M148)</f>
        <v>0</v>
      </c>
      <c r="N129" s="773">
        <f>SUBTOTAL(9,N130:N148)</f>
        <v>0</v>
      </c>
      <c r="O129" s="773">
        <f>SUBTOTAL(9,O130:O148)</f>
        <v>0</v>
      </c>
      <c r="P129" s="774" t="e">
        <f t="shared" si="11"/>
        <v>#DIV/0!</v>
      </c>
      <c r="Q129" s="775"/>
      <c r="AA129" s="632"/>
    </row>
    <row r="130" spans="2:27" ht="16.5" hidden="1" customHeight="1" outlineLevel="2">
      <c r="B130" s="776" t="s">
        <v>742</v>
      </c>
      <c r="C130" s="777" t="s">
        <v>2054</v>
      </c>
      <c r="D130" s="817" t="s">
        <v>1864</v>
      </c>
      <c r="E130" s="648"/>
      <c r="F130" s="648"/>
      <c r="G130" s="787"/>
      <c r="H130" s="787"/>
      <c r="I130" s="672"/>
      <c r="J130" s="672"/>
      <c r="K130" s="681"/>
      <c r="L130" s="569"/>
      <c r="M130" s="779">
        <f>SUBTOTAL(9,M131:M133)</f>
        <v>0</v>
      </c>
      <c r="N130" s="779">
        <f>SUBTOTAL(9,N131:N133)</f>
        <v>0</v>
      </c>
      <c r="O130" s="779">
        <f>SUBTOTAL(9,O131:O133)</f>
        <v>0</v>
      </c>
      <c r="P130" s="780" t="e">
        <f t="shared" si="11"/>
        <v>#DIV/0!</v>
      </c>
      <c r="Q130" s="781"/>
      <c r="AA130" s="632"/>
    </row>
    <row r="131" spans="2:27" ht="16.5" hidden="1" customHeight="1" outlineLevel="3">
      <c r="B131" s="776" t="s">
        <v>2079</v>
      </c>
      <c r="C131" s="782" t="s">
        <v>39</v>
      </c>
      <c r="D131" s="815" t="s">
        <v>2078</v>
      </c>
      <c r="E131" s="648" t="s">
        <v>2077</v>
      </c>
      <c r="F131" s="648" t="s">
        <v>2074</v>
      </c>
      <c r="G131" s="787">
        <v>50</v>
      </c>
      <c r="H131" s="805" t="s">
        <v>1921</v>
      </c>
      <c r="I131" s="672">
        <f>$I$2</f>
        <v>0</v>
      </c>
      <c r="J131" s="672">
        <v>1600</v>
      </c>
      <c r="K131" s="791">
        <f>J131/(1+L131)</f>
        <v>1441.4414414414414</v>
      </c>
      <c r="L131" s="569">
        <v>0.11</v>
      </c>
      <c r="M131" s="779">
        <f>G131*I131*K131/10000</f>
        <v>0</v>
      </c>
      <c r="N131" s="779">
        <f>L131*M131</f>
        <v>0</v>
      </c>
      <c r="O131" s="779">
        <f>M131+N131</f>
        <v>0</v>
      </c>
      <c r="P131" s="780" t="e">
        <f t="shared" si="11"/>
        <v>#DIV/0!</v>
      </c>
      <c r="Q131" s="781">
        <f>G131*I131*J131/10000-O131</f>
        <v>0</v>
      </c>
      <c r="AA131" s="632"/>
    </row>
    <row r="132" spans="2:27" ht="16.5" hidden="1" customHeight="1" outlineLevel="3">
      <c r="B132" s="776" t="s">
        <v>744</v>
      </c>
      <c r="C132" s="782" t="s">
        <v>39</v>
      </c>
      <c r="D132" s="815" t="s">
        <v>2076</v>
      </c>
      <c r="E132" s="648" t="s">
        <v>457</v>
      </c>
      <c r="F132" s="648" t="s">
        <v>2074</v>
      </c>
      <c r="G132" s="787">
        <v>50</v>
      </c>
      <c r="H132" s="805" t="s">
        <v>1921</v>
      </c>
      <c r="I132" s="672">
        <f>$I$2</f>
        <v>0</v>
      </c>
      <c r="J132" s="672">
        <v>800</v>
      </c>
      <c r="K132" s="791">
        <f>J132/(1+L132)</f>
        <v>683.76068376068383</v>
      </c>
      <c r="L132" s="569">
        <v>0.17</v>
      </c>
      <c r="M132" s="779">
        <f>G132*I132*K132/10000</f>
        <v>0</v>
      </c>
      <c r="N132" s="779">
        <f>L132*M132</f>
        <v>0</v>
      </c>
      <c r="O132" s="779">
        <f>M132+N132</f>
        <v>0</v>
      </c>
      <c r="P132" s="780" t="e">
        <f t="shared" ref="P132:P167" si="23">IF(O132="","",O132*10000/E$2)</f>
        <v>#DIV/0!</v>
      </c>
      <c r="Q132" s="781">
        <f>G132*I132*J132/10000-O132</f>
        <v>0</v>
      </c>
      <c r="AA132" s="632"/>
    </row>
    <row r="133" spans="2:27" ht="16.5" hidden="1" customHeight="1" outlineLevel="3">
      <c r="B133" s="776" t="s">
        <v>745</v>
      </c>
      <c r="C133" s="782" t="s">
        <v>39</v>
      </c>
      <c r="D133" s="815" t="s">
        <v>2075</v>
      </c>
      <c r="E133" s="648" t="s">
        <v>1329</v>
      </c>
      <c r="F133" s="648" t="s">
        <v>2074</v>
      </c>
      <c r="G133" s="787">
        <v>50</v>
      </c>
      <c r="H133" s="805" t="s">
        <v>1921</v>
      </c>
      <c r="I133" s="672">
        <f>$I$2</f>
        <v>0</v>
      </c>
      <c r="J133" s="672">
        <v>100</v>
      </c>
      <c r="K133" s="791">
        <f>J133/(1+L133)</f>
        <v>85.470085470085479</v>
      </c>
      <c r="L133" s="569">
        <v>0.17</v>
      </c>
      <c r="M133" s="779">
        <f>G133*I133*K133/10000</f>
        <v>0</v>
      </c>
      <c r="N133" s="779">
        <f>L133*M133</f>
        <v>0</v>
      </c>
      <c r="O133" s="779">
        <f>M133+N133</f>
        <v>0</v>
      </c>
      <c r="P133" s="780" t="e">
        <f t="shared" si="23"/>
        <v>#DIV/0!</v>
      </c>
      <c r="Q133" s="781">
        <f>G133*I133*J133/10000-O133</f>
        <v>0</v>
      </c>
      <c r="AA133" s="632"/>
    </row>
    <row r="134" spans="2:27" ht="16.5" hidden="1" customHeight="1" outlineLevel="2">
      <c r="B134" s="776" t="s">
        <v>2073</v>
      </c>
      <c r="C134" s="777" t="s">
        <v>1352</v>
      </c>
      <c r="D134" s="817" t="s">
        <v>2072</v>
      </c>
      <c r="E134" s="648"/>
      <c r="F134" s="648"/>
      <c r="G134" s="787"/>
      <c r="H134" s="787"/>
      <c r="I134" s="672"/>
      <c r="J134" s="672"/>
      <c r="K134" s="681"/>
      <c r="L134" s="569"/>
      <c r="M134" s="779">
        <f>SUBTOTAL(9,M135:M137)</f>
        <v>0</v>
      </c>
      <c r="N134" s="779">
        <f>SUBTOTAL(9,N135:N137)</f>
        <v>0</v>
      </c>
      <c r="O134" s="779">
        <f>SUBTOTAL(9,O135:O137)</f>
        <v>0</v>
      </c>
      <c r="P134" s="780" t="e">
        <f t="shared" si="23"/>
        <v>#DIV/0!</v>
      </c>
      <c r="Q134" s="781"/>
      <c r="AA134" s="632"/>
    </row>
    <row r="135" spans="2:27" ht="16.5" hidden="1" customHeight="1" outlineLevel="3">
      <c r="B135" s="776" t="s">
        <v>2071</v>
      </c>
      <c r="C135" s="782" t="s">
        <v>39</v>
      </c>
      <c r="D135" s="815" t="s">
        <v>748</v>
      </c>
      <c r="E135" s="648" t="s">
        <v>2066</v>
      </c>
      <c r="F135" s="648" t="s">
        <v>2065</v>
      </c>
      <c r="G135" s="787">
        <v>30</v>
      </c>
      <c r="H135" s="805" t="s">
        <v>1921</v>
      </c>
      <c r="I135" s="672">
        <f>$I$2</f>
        <v>0</v>
      </c>
      <c r="J135" s="672">
        <v>1000</v>
      </c>
      <c r="K135" s="791">
        <f>J135/(1+L135)</f>
        <v>900.90090090090087</v>
      </c>
      <c r="L135" s="569">
        <v>0.11</v>
      </c>
      <c r="M135" s="779">
        <f t="shared" ref="M135:M140" si="24">G135*I135*K135/10000</f>
        <v>0</v>
      </c>
      <c r="N135" s="779">
        <f t="shared" ref="N135:N140" si="25">L135*M135</f>
        <v>0</v>
      </c>
      <c r="O135" s="779">
        <f t="shared" ref="O135:O140" si="26">M135+N135</f>
        <v>0</v>
      </c>
      <c r="P135" s="780" t="e">
        <f t="shared" si="23"/>
        <v>#DIV/0!</v>
      </c>
      <c r="Q135" s="781">
        <f t="shared" ref="Q135:Q140" si="27">G135*I135*J135/10000-O135</f>
        <v>0</v>
      </c>
      <c r="AA135" s="632"/>
    </row>
    <row r="136" spans="2:27" ht="16.5" hidden="1" customHeight="1" outlineLevel="3">
      <c r="B136" s="776" t="s">
        <v>749</v>
      </c>
      <c r="C136" s="782" t="s">
        <v>39</v>
      </c>
      <c r="D136" s="815" t="s">
        <v>2070</v>
      </c>
      <c r="E136" s="648" t="s">
        <v>457</v>
      </c>
      <c r="F136" s="648" t="s">
        <v>2065</v>
      </c>
      <c r="G136" s="787">
        <v>30</v>
      </c>
      <c r="H136" s="805" t="s">
        <v>1921</v>
      </c>
      <c r="I136" s="672">
        <f>$I$2</f>
        <v>0</v>
      </c>
      <c r="J136" s="672">
        <v>400</v>
      </c>
      <c r="K136" s="791">
        <f>J136/(1+L136)</f>
        <v>341.88034188034192</v>
      </c>
      <c r="L136" s="569">
        <v>0.17</v>
      </c>
      <c r="M136" s="779">
        <f t="shared" si="24"/>
        <v>0</v>
      </c>
      <c r="N136" s="779">
        <f t="shared" si="25"/>
        <v>0</v>
      </c>
      <c r="O136" s="779">
        <f t="shared" si="26"/>
        <v>0</v>
      </c>
      <c r="P136" s="780" t="e">
        <f t="shared" si="23"/>
        <v>#DIV/0!</v>
      </c>
      <c r="Q136" s="781">
        <f t="shared" si="27"/>
        <v>0</v>
      </c>
      <c r="AA136" s="632"/>
    </row>
    <row r="137" spans="2:27" ht="16.5" hidden="1" customHeight="1" outlineLevel="3">
      <c r="B137" s="776" t="s">
        <v>751</v>
      </c>
      <c r="C137" s="782" t="s">
        <v>39</v>
      </c>
      <c r="D137" s="815" t="s">
        <v>2069</v>
      </c>
      <c r="E137" s="648" t="s">
        <v>1329</v>
      </c>
      <c r="F137" s="648" t="s">
        <v>2065</v>
      </c>
      <c r="G137" s="787">
        <v>30</v>
      </c>
      <c r="H137" s="805" t="s">
        <v>1921</v>
      </c>
      <c r="I137" s="672">
        <f>$I$2</f>
        <v>0</v>
      </c>
      <c r="J137" s="672">
        <v>100</v>
      </c>
      <c r="K137" s="791">
        <f>J137/(1+L137)</f>
        <v>85.470085470085479</v>
      </c>
      <c r="L137" s="569">
        <v>0.17</v>
      </c>
      <c r="M137" s="779">
        <f t="shared" si="24"/>
        <v>0</v>
      </c>
      <c r="N137" s="779">
        <f t="shared" si="25"/>
        <v>0</v>
      </c>
      <c r="O137" s="779">
        <f t="shared" si="26"/>
        <v>0</v>
      </c>
      <c r="P137" s="780" t="e">
        <f t="shared" si="23"/>
        <v>#DIV/0!</v>
      </c>
      <c r="Q137" s="781">
        <f t="shared" si="27"/>
        <v>0</v>
      </c>
      <c r="AA137" s="632"/>
    </row>
    <row r="138" spans="2:27" ht="16.5" hidden="1" customHeight="1" outlineLevel="2">
      <c r="B138" s="776" t="s">
        <v>1876</v>
      </c>
      <c r="C138" s="777" t="s">
        <v>2068</v>
      </c>
      <c r="D138" s="817" t="s">
        <v>2067</v>
      </c>
      <c r="E138" s="648" t="s">
        <v>2066</v>
      </c>
      <c r="F138" s="648" t="s">
        <v>2065</v>
      </c>
      <c r="G138" s="787"/>
      <c r="H138" s="805" t="s">
        <v>1921</v>
      </c>
      <c r="I138" s="672">
        <f>$I$2</f>
        <v>0</v>
      </c>
      <c r="J138" s="672"/>
      <c r="K138" s="681"/>
      <c r="L138" s="569">
        <v>0.11</v>
      </c>
      <c r="M138" s="779">
        <f t="shared" si="24"/>
        <v>0</v>
      </c>
      <c r="N138" s="779">
        <f t="shared" si="25"/>
        <v>0</v>
      </c>
      <c r="O138" s="779">
        <f t="shared" si="26"/>
        <v>0</v>
      </c>
      <c r="P138" s="780" t="e">
        <f t="shared" si="23"/>
        <v>#DIV/0!</v>
      </c>
      <c r="Q138" s="781">
        <f t="shared" si="27"/>
        <v>0</v>
      </c>
      <c r="AA138" s="632"/>
    </row>
    <row r="139" spans="2:27" ht="16.5" hidden="1" customHeight="1" outlineLevel="2">
      <c r="B139" s="776" t="s">
        <v>755</v>
      </c>
      <c r="C139" s="777" t="s">
        <v>70</v>
      </c>
      <c r="D139" s="817" t="s">
        <v>2064</v>
      </c>
      <c r="E139" s="648" t="s">
        <v>1617</v>
      </c>
      <c r="F139" s="648" t="s">
        <v>18</v>
      </c>
      <c r="G139" s="787"/>
      <c r="H139" s="805" t="s">
        <v>1921</v>
      </c>
      <c r="I139" s="672">
        <f>$I$2</f>
        <v>0</v>
      </c>
      <c r="J139" s="672"/>
      <c r="K139" s="681"/>
      <c r="L139" s="569">
        <v>0.11</v>
      </c>
      <c r="M139" s="779">
        <f t="shared" si="24"/>
        <v>0</v>
      </c>
      <c r="N139" s="779">
        <f t="shared" si="25"/>
        <v>0</v>
      </c>
      <c r="O139" s="779">
        <f t="shared" si="26"/>
        <v>0</v>
      </c>
      <c r="P139" s="780" t="e">
        <f t="shared" si="23"/>
        <v>#DIV/0!</v>
      </c>
      <c r="Q139" s="781">
        <f t="shared" si="27"/>
        <v>0</v>
      </c>
      <c r="AA139" s="632"/>
    </row>
    <row r="140" spans="2:27" ht="16.5" hidden="1" customHeight="1" outlineLevel="2">
      <c r="B140" s="776" t="s">
        <v>756</v>
      </c>
      <c r="C140" s="777" t="s">
        <v>71</v>
      </c>
      <c r="D140" s="817" t="s">
        <v>757</v>
      </c>
      <c r="E140" s="648" t="s">
        <v>1617</v>
      </c>
      <c r="F140" s="665" t="s">
        <v>803</v>
      </c>
      <c r="G140" s="813">
        <v>25</v>
      </c>
      <c r="H140" s="805" t="s">
        <v>1924</v>
      </c>
      <c r="I140" s="672">
        <f>K2</f>
        <v>0</v>
      </c>
      <c r="J140" s="672">
        <v>200</v>
      </c>
      <c r="K140" s="791">
        <f>J140/(1+L140)</f>
        <v>180.18018018018017</v>
      </c>
      <c r="L140" s="569">
        <v>0.11</v>
      </c>
      <c r="M140" s="779">
        <f t="shared" si="24"/>
        <v>0</v>
      </c>
      <c r="N140" s="779">
        <f t="shared" si="25"/>
        <v>0</v>
      </c>
      <c r="O140" s="779">
        <f t="shared" si="26"/>
        <v>0</v>
      </c>
      <c r="P140" s="780" t="e">
        <f t="shared" si="23"/>
        <v>#DIV/0!</v>
      </c>
      <c r="Q140" s="781">
        <f t="shared" si="27"/>
        <v>0</v>
      </c>
      <c r="AA140" s="632"/>
    </row>
    <row r="141" spans="2:27" ht="16.5" hidden="1" customHeight="1" outlineLevel="2">
      <c r="B141" s="776" t="s">
        <v>758</v>
      </c>
      <c r="C141" s="777" t="s">
        <v>144</v>
      </c>
      <c r="D141" s="817" t="s">
        <v>118</v>
      </c>
      <c r="E141" s="648"/>
      <c r="F141" s="648"/>
      <c r="G141" s="787"/>
      <c r="H141" s="787"/>
      <c r="I141" s="672"/>
      <c r="J141" s="672"/>
      <c r="K141" s="681"/>
      <c r="L141" s="569"/>
      <c r="M141" s="779">
        <f>SUBTOTAL(9,M142:M144)</f>
        <v>0</v>
      </c>
      <c r="N141" s="779">
        <f>SUBTOTAL(9,N142:N144)</f>
        <v>0</v>
      </c>
      <c r="O141" s="779">
        <f>SUBTOTAL(9,O142:O144)</f>
        <v>0</v>
      </c>
      <c r="P141" s="780" t="e">
        <f t="shared" si="23"/>
        <v>#DIV/0!</v>
      </c>
      <c r="Q141" s="781"/>
      <c r="AA141" s="632"/>
    </row>
    <row r="142" spans="2:27" ht="16.5" hidden="1" customHeight="1" outlineLevel="3">
      <c r="B142" s="776" t="s">
        <v>759</v>
      </c>
      <c r="C142" s="782" t="s">
        <v>39</v>
      </c>
      <c r="D142" s="815" t="s">
        <v>760</v>
      </c>
      <c r="E142" s="648" t="s">
        <v>1617</v>
      </c>
      <c r="F142" s="665" t="s">
        <v>804</v>
      </c>
      <c r="G142" s="813">
        <v>20</v>
      </c>
      <c r="H142" s="805" t="s">
        <v>1924</v>
      </c>
      <c r="I142" s="672">
        <f>K2</f>
        <v>0</v>
      </c>
      <c r="J142" s="672">
        <v>700</v>
      </c>
      <c r="K142" s="791">
        <f>J142/(1+L142)</f>
        <v>630.63063063063055</v>
      </c>
      <c r="L142" s="569">
        <v>0.11</v>
      </c>
      <c r="M142" s="779">
        <f>G142*I142*K142/10000</f>
        <v>0</v>
      </c>
      <c r="N142" s="779">
        <f>L142*M142</f>
        <v>0</v>
      </c>
      <c r="O142" s="779">
        <f>M142+N142</f>
        <v>0</v>
      </c>
      <c r="P142" s="780" t="e">
        <f t="shared" si="23"/>
        <v>#DIV/0!</v>
      </c>
      <c r="Q142" s="806">
        <f t="shared" ref="Q142:Q148" si="28">G142*I142*J142/10000-O142</f>
        <v>0</v>
      </c>
      <c r="AA142" s="632"/>
    </row>
    <row r="143" spans="2:27" ht="16.5" hidden="1" customHeight="1" outlineLevel="3">
      <c r="B143" s="776" t="s">
        <v>761</v>
      </c>
      <c r="C143" s="782" t="s">
        <v>39</v>
      </c>
      <c r="D143" s="815" t="s">
        <v>805</v>
      </c>
      <c r="E143" s="648" t="s">
        <v>457</v>
      </c>
      <c r="F143" s="665" t="s">
        <v>804</v>
      </c>
      <c r="G143" s="813">
        <v>20</v>
      </c>
      <c r="H143" s="805" t="s">
        <v>1924</v>
      </c>
      <c r="I143" s="672">
        <f>K2</f>
        <v>0</v>
      </c>
      <c r="J143" s="672">
        <v>400</v>
      </c>
      <c r="K143" s="791">
        <f>J143/(1+L143)</f>
        <v>341.88034188034192</v>
      </c>
      <c r="L143" s="569">
        <v>0.17</v>
      </c>
      <c r="M143" s="779">
        <f>G143*I143*K143/10000</f>
        <v>0</v>
      </c>
      <c r="N143" s="779">
        <f>L143*M143</f>
        <v>0</v>
      </c>
      <c r="O143" s="779">
        <f>M143+N143</f>
        <v>0</v>
      </c>
      <c r="P143" s="780" t="e">
        <f t="shared" si="23"/>
        <v>#DIV/0!</v>
      </c>
      <c r="Q143" s="806">
        <f t="shared" si="28"/>
        <v>0</v>
      </c>
      <c r="AA143" s="632"/>
    </row>
    <row r="144" spans="2:27" ht="16.5" hidden="1" customHeight="1" outlineLevel="3">
      <c r="B144" s="776" t="s">
        <v>762</v>
      </c>
      <c r="C144" s="782" t="s">
        <v>39</v>
      </c>
      <c r="D144" s="815" t="s">
        <v>806</v>
      </c>
      <c r="E144" s="648" t="s">
        <v>1329</v>
      </c>
      <c r="F144" s="665" t="s">
        <v>804</v>
      </c>
      <c r="G144" s="813">
        <v>20</v>
      </c>
      <c r="H144" s="805" t="s">
        <v>1924</v>
      </c>
      <c r="I144" s="672">
        <f>K2</f>
        <v>0</v>
      </c>
      <c r="J144" s="672">
        <v>100</v>
      </c>
      <c r="K144" s="791">
        <f>J144/(1+L144)</f>
        <v>85.470085470085479</v>
      </c>
      <c r="L144" s="569">
        <v>0.17</v>
      </c>
      <c r="M144" s="779">
        <f>G144*I144*K144/10000</f>
        <v>0</v>
      </c>
      <c r="N144" s="779">
        <f>L144*M144</f>
        <v>0</v>
      </c>
      <c r="O144" s="779">
        <f>M144+N144</f>
        <v>0</v>
      </c>
      <c r="P144" s="780" t="e">
        <f t="shared" si="23"/>
        <v>#DIV/0!</v>
      </c>
      <c r="Q144" s="806">
        <f t="shared" si="28"/>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3"/>
        <v/>
      </c>
      <c r="Q145" s="781">
        <f t="shared" si="28"/>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3"/>
        <v/>
      </c>
      <c r="Q146" s="781">
        <f t="shared" si="28"/>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3"/>
        <v/>
      </c>
      <c r="Q147" s="781">
        <f t="shared" si="28"/>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3"/>
        <v/>
      </c>
      <c r="Q148" s="781">
        <f t="shared" si="28"/>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3"/>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3"/>
        <v>#DIV/0!</v>
      </c>
      <c r="Q150" s="781"/>
      <c r="AA150" s="632"/>
    </row>
    <row r="151" spans="1:27" ht="16.5" hidden="1" customHeight="1" outlineLevel="3">
      <c r="B151" s="776" t="s">
        <v>767</v>
      </c>
      <c r="C151" s="782" t="s">
        <v>39</v>
      </c>
      <c r="D151" s="804" t="s">
        <v>768</v>
      </c>
      <c r="E151" s="665" t="s">
        <v>458</v>
      </c>
      <c r="F151" s="665" t="s">
        <v>41</v>
      </c>
      <c r="G151" s="813">
        <v>1</v>
      </c>
      <c r="H151" s="787" t="s">
        <v>1925</v>
      </c>
      <c r="I151" s="672">
        <f t="shared" ref="I151:I156" si="29">$H$2</f>
        <v>0</v>
      </c>
      <c r="J151" s="672">
        <v>500</v>
      </c>
      <c r="K151" s="791">
        <f t="shared" ref="K151:K156" si="30">J151/(1+L151)</f>
        <v>450.45045045045043</v>
      </c>
      <c r="L151" s="569">
        <v>0.11</v>
      </c>
      <c r="M151" s="779">
        <f t="shared" ref="M151:M160" si="31">G151*I151*K151/10000</f>
        <v>0</v>
      </c>
      <c r="N151" s="779">
        <f t="shared" ref="N151:N156" si="32">L151*M151</f>
        <v>0</v>
      </c>
      <c r="O151" s="779">
        <f t="shared" ref="O151:O156" si="33">M151+N151</f>
        <v>0</v>
      </c>
      <c r="P151" s="780" t="e">
        <f t="shared" si="23"/>
        <v>#DIV/0!</v>
      </c>
      <c r="Q151" s="806">
        <f t="shared" ref="Q151:Q160" si="34">G151*I151*J151/10000-O151</f>
        <v>0</v>
      </c>
      <c r="AA151" s="632"/>
    </row>
    <row r="152" spans="1:27" ht="16.5" hidden="1" customHeight="1" outlineLevel="3">
      <c r="B152" s="776" t="s">
        <v>769</v>
      </c>
      <c r="C152" s="782" t="s">
        <v>39</v>
      </c>
      <c r="D152" s="804" t="s">
        <v>2986</v>
      </c>
      <c r="E152" s="665" t="s">
        <v>1596</v>
      </c>
      <c r="F152" s="665" t="s">
        <v>41</v>
      </c>
      <c r="G152" s="813">
        <v>1</v>
      </c>
      <c r="H152" s="787" t="s">
        <v>1925</v>
      </c>
      <c r="I152" s="672">
        <f t="shared" si="29"/>
        <v>0</v>
      </c>
      <c r="J152" s="672">
        <v>1500</v>
      </c>
      <c r="K152" s="791">
        <f t="shared" si="30"/>
        <v>1351.3513513513512</v>
      </c>
      <c r="L152" s="569">
        <v>0.11</v>
      </c>
      <c r="M152" s="779">
        <f t="shared" si="31"/>
        <v>0</v>
      </c>
      <c r="N152" s="779">
        <f t="shared" si="32"/>
        <v>0</v>
      </c>
      <c r="O152" s="779">
        <f t="shared" si="33"/>
        <v>0</v>
      </c>
      <c r="P152" s="780" t="e">
        <f t="shared" si="23"/>
        <v>#DIV/0!</v>
      </c>
      <c r="Q152" s="806">
        <f t="shared" si="34"/>
        <v>0</v>
      </c>
      <c r="AA152" s="632"/>
    </row>
    <row r="153" spans="1:27" ht="16.5" hidden="1" customHeight="1" outlineLevel="3">
      <c r="B153" s="776" t="s">
        <v>770</v>
      </c>
      <c r="C153" s="782" t="s">
        <v>39</v>
      </c>
      <c r="D153" s="804" t="s">
        <v>771</v>
      </c>
      <c r="E153" s="665" t="s">
        <v>1618</v>
      </c>
      <c r="F153" s="665" t="s">
        <v>41</v>
      </c>
      <c r="G153" s="813">
        <v>1</v>
      </c>
      <c r="H153" s="787" t="s">
        <v>1925</v>
      </c>
      <c r="I153" s="672">
        <f t="shared" si="29"/>
        <v>0</v>
      </c>
      <c r="J153" s="672">
        <v>1500</v>
      </c>
      <c r="K153" s="791">
        <f t="shared" si="30"/>
        <v>1351.3513513513512</v>
      </c>
      <c r="L153" s="569">
        <v>0.11</v>
      </c>
      <c r="M153" s="779">
        <f t="shared" si="31"/>
        <v>0</v>
      </c>
      <c r="N153" s="779">
        <f t="shared" si="32"/>
        <v>0</v>
      </c>
      <c r="O153" s="779">
        <f t="shared" si="33"/>
        <v>0</v>
      </c>
      <c r="P153" s="780" t="e">
        <f t="shared" si="23"/>
        <v>#DIV/0!</v>
      </c>
      <c r="Q153" s="781">
        <f t="shared" si="34"/>
        <v>0</v>
      </c>
      <c r="AA153" s="632"/>
    </row>
    <row r="154" spans="1:27" ht="16.5" hidden="1" customHeight="1" outlineLevel="3">
      <c r="B154" s="776" t="s">
        <v>772</v>
      </c>
      <c r="C154" s="782" t="s">
        <v>39</v>
      </c>
      <c r="D154" s="804" t="s">
        <v>1619</v>
      </c>
      <c r="E154" s="665" t="s">
        <v>458</v>
      </c>
      <c r="F154" s="665" t="s">
        <v>41</v>
      </c>
      <c r="G154" s="813">
        <v>1</v>
      </c>
      <c r="H154" s="787" t="s">
        <v>1925</v>
      </c>
      <c r="I154" s="672">
        <f t="shared" si="29"/>
        <v>0</v>
      </c>
      <c r="J154" s="672">
        <v>200</v>
      </c>
      <c r="K154" s="791">
        <f t="shared" si="30"/>
        <v>180.18018018018017</v>
      </c>
      <c r="L154" s="569">
        <v>0.11</v>
      </c>
      <c r="M154" s="779">
        <f t="shared" si="31"/>
        <v>0</v>
      </c>
      <c r="N154" s="779">
        <f t="shared" si="32"/>
        <v>0</v>
      </c>
      <c r="O154" s="779">
        <f t="shared" si="33"/>
        <v>0</v>
      </c>
      <c r="P154" s="780" t="e">
        <f t="shared" si="23"/>
        <v>#DIV/0!</v>
      </c>
      <c r="Q154" s="781">
        <f t="shared" si="34"/>
        <v>0</v>
      </c>
      <c r="AA154" s="632"/>
    </row>
    <row r="155" spans="1:27" ht="16.5" hidden="1" customHeight="1" outlineLevel="3">
      <c r="B155" s="776" t="s">
        <v>773</v>
      </c>
      <c r="C155" s="782" t="s">
        <v>39</v>
      </c>
      <c r="D155" s="804" t="s">
        <v>2063</v>
      </c>
      <c r="E155" s="665" t="s">
        <v>2062</v>
      </c>
      <c r="F155" s="665" t="s">
        <v>41</v>
      </c>
      <c r="G155" s="813">
        <v>1</v>
      </c>
      <c r="H155" s="787" t="s">
        <v>1925</v>
      </c>
      <c r="I155" s="672">
        <f t="shared" si="29"/>
        <v>0</v>
      </c>
      <c r="J155" s="672">
        <v>500</v>
      </c>
      <c r="K155" s="791">
        <f t="shared" si="30"/>
        <v>427.35042735042737</v>
      </c>
      <c r="L155" s="569">
        <v>0.17</v>
      </c>
      <c r="M155" s="779">
        <f t="shared" si="31"/>
        <v>0</v>
      </c>
      <c r="N155" s="779">
        <f t="shared" si="32"/>
        <v>0</v>
      </c>
      <c r="O155" s="779">
        <f t="shared" si="33"/>
        <v>0</v>
      </c>
      <c r="P155" s="780" t="e">
        <f t="shared" si="23"/>
        <v>#DIV/0!</v>
      </c>
      <c r="Q155" s="781">
        <f t="shared" si="34"/>
        <v>0</v>
      </c>
      <c r="AA155" s="632"/>
    </row>
    <row r="156" spans="1:27" ht="16.5" hidden="1" customHeight="1" outlineLevel="3">
      <c r="B156" s="776" t="s">
        <v>774</v>
      </c>
      <c r="C156" s="782" t="s">
        <v>39</v>
      </c>
      <c r="D156" s="804" t="s">
        <v>2061</v>
      </c>
      <c r="E156" s="665" t="s">
        <v>458</v>
      </c>
      <c r="F156" s="665" t="s">
        <v>2052</v>
      </c>
      <c r="G156" s="813">
        <v>1</v>
      </c>
      <c r="H156" s="787" t="s">
        <v>1925</v>
      </c>
      <c r="I156" s="672">
        <f t="shared" si="29"/>
        <v>0</v>
      </c>
      <c r="J156" s="672">
        <v>200</v>
      </c>
      <c r="K156" s="791">
        <f t="shared" si="30"/>
        <v>180.18018018018017</v>
      </c>
      <c r="L156" s="569">
        <v>0.11</v>
      </c>
      <c r="M156" s="779">
        <f t="shared" si="31"/>
        <v>0</v>
      </c>
      <c r="N156" s="779">
        <f t="shared" si="32"/>
        <v>0</v>
      </c>
      <c r="O156" s="779">
        <f t="shared" si="33"/>
        <v>0</v>
      </c>
      <c r="P156" s="780" t="e">
        <f t="shared" si="23"/>
        <v>#DIV/0!</v>
      </c>
      <c r="Q156" s="781">
        <f t="shared" si="34"/>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1"/>
        <v>0</v>
      </c>
      <c r="N157" s="779"/>
      <c r="O157" s="779"/>
      <c r="P157" s="780" t="str">
        <f t="shared" si="23"/>
        <v/>
      </c>
      <c r="Q157" s="781">
        <f t="shared" si="34"/>
        <v>0</v>
      </c>
      <c r="AA157" s="632"/>
    </row>
    <row r="158" spans="1:27" ht="16.5" hidden="1" customHeight="1" outlineLevel="3">
      <c r="A158" s="633"/>
      <c r="B158" s="776" t="s">
        <v>2060</v>
      </c>
      <c r="C158" s="782" t="s">
        <v>39</v>
      </c>
      <c r="D158" s="804" t="s">
        <v>776</v>
      </c>
      <c r="E158" s="665" t="s">
        <v>458</v>
      </c>
      <c r="F158" s="648"/>
      <c r="G158" s="825"/>
      <c r="H158" s="787"/>
      <c r="I158" s="672"/>
      <c r="J158" s="672"/>
      <c r="K158" s="787"/>
      <c r="L158" s="569"/>
      <c r="M158" s="779">
        <f t="shared" si="31"/>
        <v>0</v>
      </c>
      <c r="N158" s="779"/>
      <c r="O158" s="779"/>
      <c r="P158" s="780" t="str">
        <f t="shared" si="23"/>
        <v/>
      </c>
      <c r="Q158" s="781">
        <f t="shared" si="34"/>
        <v>0</v>
      </c>
      <c r="AA158" s="632"/>
    </row>
    <row r="159" spans="1:27" s="695" customFormat="1" ht="16.5" hidden="1" customHeight="1" outlineLevel="2">
      <c r="A159" s="633"/>
      <c r="B159" s="776" t="s">
        <v>777</v>
      </c>
      <c r="C159" s="777" t="s">
        <v>1352</v>
      </c>
      <c r="D159" s="804" t="s">
        <v>2058</v>
      </c>
      <c r="E159" s="665" t="s">
        <v>458</v>
      </c>
      <c r="F159" s="826"/>
      <c r="G159" s="826"/>
      <c r="H159" s="827"/>
      <c r="I159" s="828"/>
      <c r="J159" s="828"/>
      <c r="K159" s="827"/>
      <c r="L159" s="612"/>
      <c r="M159" s="779">
        <f t="shared" si="31"/>
        <v>0</v>
      </c>
      <c r="N159" s="779"/>
      <c r="O159" s="779"/>
      <c r="P159" s="780" t="str">
        <f t="shared" si="23"/>
        <v/>
      </c>
      <c r="Q159" s="781">
        <f t="shared" si="34"/>
        <v>0</v>
      </c>
    </row>
    <row r="160" spans="1:27" s="695" customFormat="1" ht="16.5" hidden="1" customHeight="1" outlineLevel="2">
      <c r="A160" s="633"/>
      <c r="B160" s="776" t="s">
        <v>778</v>
      </c>
      <c r="C160" s="777" t="s">
        <v>69</v>
      </c>
      <c r="D160" s="804" t="s">
        <v>2057</v>
      </c>
      <c r="E160" s="665" t="s">
        <v>458</v>
      </c>
      <c r="F160" s="826"/>
      <c r="G160" s="826"/>
      <c r="H160" s="827"/>
      <c r="I160" s="828"/>
      <c r="J160" s="828"/>
      <c r="K160" s="827"/>
      <c r="L160" s="612"/>
      <c r="M160" s="779">
        <f t="shared" si="31"/>
        <v>0</v>
      </c>
      <c r="N160" s="779"/>
      <c r="O160" s="779"/>
      <c r="P160" s="780" t="str">
        <f t="shared" si="23"/>
        <v/>
      </c>
      <c r="Q160" s="781">
        <f t="shared" si="34"/>
        <v>0</v>
      </c>
    </row>
    <row r="161" spans="2:27" ht="16.5" hidden="1" customHeight="1" outlineLevel="1">
      <c r="B161" s="771" t="s">
        <v>2056</v>
      </c>
      <c r="C161" s="712">
        <v>4</v>
      </c>
      <c r="D161" s="771" t="s">
        <v>2055</v>
      </c>
      <c r="E161" s="712"/>
      <c r="F161" s="712"/>
      <c r="G161" s="712"/>
      <c r="H161" s="772"/>
      <c r="I161" s="713"/>
      <c r="J161" s="713"/>
      <c r="K161" s="772"/>
      <c r="L161" s="588"/>
      <c r="M161" s="773">
        <f>SUBTOTAL(9,M162:M167)</f>
        <v>0</v>
      </c>
      <c r="N161" s="773">
        <f>SUBTOTAL(9,N162:N167)</f>
        <v>0</v>
      </c>
      <c r="O161" s="773">
        <f>SUBTOTAL(9,O162:O167)</f>
        <v>0</v>
      </c>
      <c r="P161" s="774" t="e">
        <f t="shared" si="23"/>
        <v>#DIV/0!</v>
      </c>
      <c r="Q161" s="775"/>
      <c r="AA161" s="632"/>
    </row>
    <row r="162" spans="2:27" ht="16.5" hidden="1" customHeight="1" outlineLevel="2">
      <c r="B162" s="776" t="s">
        <v>1600</v>
      </c>
      <c r="C162" s="777" t="s">
        <v>2054</v>
      </c>
      <c r="D162" s="804" t="s">
        <v>2053</v>
      </c>
      <c r="E162" s="665" t="s">
        <v>461</v>
      </c>
      <c r="F162" s="665" t="e">
        <f>#REF!</f>
        <v>#REF!</v>
      </c>
      <c r="G162" s="813">
        <v>1</v>
      </c>
      <c r="H162" s="787" t="s">
        <v>143</v>
      </c>
      <c r="I162" s="672">
        <f>E2</f>
        <v>0</v>
      </c>
      <c r="J162" s="672">
        <v>20</v>
      </c>
      <c r="K162" s="791">
        <f>J162/(1+L162)</f>
        <v>17.094017094017094</v>
      </c>
      <c r="L162" s="569">
        <v>0.17</v>
      </c>
      <c r="M162" s="779">
        <f t="shared" ref="M162:M167" si="35">G162*I162*K162/10000</f>
        <v>0</v>
      </c>
      <c r="N162" s="779">
        <f>L162*M162</f>
        <v>0</v>
      </c>
      <c r="O162" s="779">
        <f>M162+N162</f>
        <v>0</v>
      </c>
      <c r="P162" s="780" t="e">
        <f t="shared" si="23"/>
        <v>#DIV/0!</v>
      </c>
      <c r="Q162" s="781">
        <f t="shared" ref="Q162:Q167" si="36">G162*I162*J162/10000-O162</f>
        <v>0</v>
      </c>
      <c r="AA162" s="632"/>
    </row>
    <row r="163" spans="2:27" ht="16.5" hidden="1" customHeight="1" outlineLevel="2">
      <c r="B163" s="776" t="s">
        <v>1601</v>
      </c>
      <c r="C163" s="777" t="s">
        <v>68</v>
      </c>
      <c r="D163" s="804" t="s">
        <v>94</v>
      </c>
      <c r="E163" s="648" t="s">
        <v>1602</v>
      </c>
      <c r="F163" s="665" t="s">
        <v>41</v>
      </c>
      <c r="G163" s="813">
        <v>1</v>
      </c>
      <c r="H163" s="787" t="s">
        <v>1926</v>
      </c>
      <c r="I163" s="672">
        <f>$H$2</f>
        <v>0</v>
      </c>
      <c r="J163" s="672">
        <v>3000</v>
      </c>
      <c r="K163" s="791">
        <f>J163/(1+L163)</f>
        <v>2564.1025641025644</v>
      </c>
      <c r="L163" s="569">
        <v>0.17</v>
      </c>
      <c r="M163" s="779">
        <f t="shared" si="35"/>
        <v>0</v>
      </c>
      <c r="N163" s="779">
        <f>L163*M163</f>
        <v>0</v>
      </c>
      <c r="O163" s="779">
        <f>M163+N163</f>
        <v>0</v>
      </c>
      <c r="P163" s="780" t="e">
        <f t="shared" si="23"/>
        <v>#DIV/0!</v>
      </c>
      <c r="Q163" s="781">
        <f t="shared" si="36"/>
        <v>0</v>
      </c>
      <c r="AA163" s="632"/>
    </row>
    <row r="164" spans="2:27" ht="16.5" hidden="1" customHeight="1" outlineLevel="2">
      <c r="B164" s="776" t="s">
        <v>779</v>
      </c>
      <c r="C164" s="777" t="s">
        <v>69</v>
      </c>
      <c r="D164" s="804" t="s">
        <v>1910</v>
      </c>
      <c r="E164" s="648" t="s">
        <v>2051</v>
      </c>
      <c r="F164" s="648"/>
      <c r="G164" s="787">
        <v>0.3</v>
      </c>
      <c r="H164" s="787" t="s">
        <v>1926</v>
      </c>
      <c r="I164" s="672"/>
      <c r="J164" s="672"/>
      <c r="K164" s="681"/>
      <c r="L164" s="569">
        <v>0.11</v>
      </c>
      <c r="M164" s="779">
        <f t="shared" si="35"/>
        <v>0</v>
      </c>
      <c r="N164" s="779"/>
      <c r="O164" s="779"/>
      <c r="P164" s="780" t="str">
        <f t="shared" si="23"/>
        <v/>
      </c>
      <c r="Q164" s="781">
        <f t="shared" si="36"/>
        <v>0</v>
      </c>
      <c r="AA164" s="632"/>
    </row>
    <row r="165" spans="2:27" ht="16.5" hidden="1" customHeight="1" outlineLevel="2">
      <c r="B165" s="776" t="s">
        <v>780</v>
      </c>
      <c r="C165" s="777" t="s">
        <v>70</v>
      </c>
      <c r="D165" s="804" t="s">
        <v>2050</v>
      </c>
      <c r="E165" s="648" t="s">
        <v>1621</v>
      </c>
      <c r="F165" s="648"/>
      <c r="G165" s="787"/>
      <c r="H165" s="787"/>
      <c r="I165" s="672"/>
      <c r="J165" s="672"/>
      <c r="K165" s="681"/>
      <c r="L165" s="569"/>
      <c r="M165" s="779">
        <f t="shared" si="35"/>
        <v>0</v>
      </c>
      <c r="N165" s="779"/>
      <c r="O165" s="779"/>
      <c r="P165" s="780" t="str">
        <f t="shared" si="23"/>
        <v/>
      </c>
      <c r="Q165" s="781">
        <f t="shared" si="36"/>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5"/>
        <v>0</v>
      </c>
      <c r="N166" s="779"/>
      <c r="O166" s="779"/>
      <c r="P166" s="780" t="str">
        <f t="shared" si="23"/>
        <v/>
      </c>
      <c r="Q166" s="781">
        <f t="shared" si="36"/>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5"/>
        <v>0</v>
      </c>
      <c r="N167" s="779"/>
      <c r="O167" s="779"/>
      <c r="P167" s="780" t="str">
        <f t="shared" si="23"/>
        <v/>
      </c>
      <c r="Q167" s="781">
        <f t="shared" si="36"/>
        <v>0</v>
      </c>
      <c r="AA167" s="632"/>
    </row>
    <row r="168" spans="2:27" ht="16.5" customHeight="1" collapsed="1">
      <c r="C168" s="632"/>
      <c r="G168" s="632"/>
      <c r="H168" s="632"/>
      <c r="I168" s="632"/>
      <c r="J168" s="632"/>
      <c r="L168" s="748" t="s">
        <v>24</v>
      </c>
      <c r="M168" s="829" t="s">
        <v>1931</v>
      </c>
      <c r="N168" s="829" t="s">
        <v>2048</v>
      </c>
      <c r="AA168" s="632"/>
    </row>
    <row r="169" spans="2:27" ht="15.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1934</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I71:I78">
    <cfRule type="cellIs" priority="87" operator="equal">
      <formula>0</formula>
    </cfRule>
    <cfRule type="cellIs" dxfId="381" priority="88" operator="equal">
      <formula>0</formula>
    </cfRule>
  </conditionalFormatting>
  <conditionalFormatting sqref="B70:C70">
    <cfRule type="duplicateValues" dxfId="380" priority="158"/>
  </conditionalFormatting>
  <conditionalFormatting sqref="B4:C4">
    <cfRule type="duplicateValues" dxfId="379" priority="16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78" priority="164" operator="equal">
      <formula>0</formula>
    </cfRule>
  </conditionalFormatting>
  <conditionalFormatting sqref="B5:C5">
    <cfRule type="duplicateValues" dxfId="377" priority="161"/>
  </conditionalFormatting>
  <conditionalFormatting sqref="B69:C69">
    <cfRule type="duplicateValues" dxfId="376" priority="159"/>
  </conditionalFormatting>
  <conditionalFormatting sqref="B89:C89">
    <cfRule type="duplicateValues" dxfId="375" priority="154"/>
  </conditionalFormatting>
  <conditionalFormatting sqref="B36:C36">
    <cfRule type="duplicateValues" dxfId="374" priority="160"/>
  </conditionalFormatting>
  <conditionalFormatting sqref="B86:C87">
    <cfRule type="duplicateValues" dxfId="373" priority="156"/>
  </conditionalFormatting>
  <conditionalFormatting sqref="B161:C161">
    <cfRule type="duplicateValues" dxfId="372" priority="151"/>
  </conditionalFormatting>
  <conditionalFormatting sqref="B129:C129">
    <cfRule type="duplicateValues" dxfId="371" priority="153"/>
  </conditionalFormatting>
  <conditionalFormatting sqref="B82:C82">
    <cfRule type="duplicateValues" dxfId="370" priority="157"/>
  </conditionalFormatting>
  <conditionalFormatting sqref="B88:C88">
    <cfRule type="duplicateValues" dxfId="369" priority="155"/>
  </conditionalFormatting>
  <conditionalFormatting sqref="D1:D5 D9:D65536">
    <cfRule type="duplicateValues" dxfId="368" priority="165"/>
  </conditionalFormatting>
  <conditionalFormatting sqref="B149:C149">
    <cfRule type="duplicateValues" dxfId="367" priority="152"/>
  </conditionalFormatting>
  <conditionalFormatting sqref="D6:D8">
    <cfRule type="duplicateValues" dxfId="366" priority="166"/>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80" zoomScaleNormal="80" workbookViewId="0">
      <pane xSplit="4" ySplit="3" topLeftCell="E4" activePane="bottomRight" state="frozen"/>
      <selection pane="topRight"/>
      <selection pane="bottomLeft"/>
      <selection pane="bottomRight" activeCell="E73" sqref="E73"/>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e">
        <f>+#REF!</f>
        <v>#REF!</v>
      </c>
      <c r="E1" s="624" t="s">
        <v>10</v>
      </c>
      <c r="F1" s="624" t="s">
        <v>581</v>
      </c>
      <c r="G1" s="624" t="s">
        <v>9</v>
      </c>
      <c r="H1" s="624" t="s">
        <v>41</v>
      </c>
      <c r="I1" s="624" t="s">
        <v>18</v>
      </c>
      <c r="J1" s="624"/>
      <c r="K1" s="624" t="s">
        <v>114</v>
      </c>
      <c r="L1" s="624"/>
      <c r="M1" s="624"/>
      <c r="N1" s="754"/>
      <c r="O1" s="754"/>
      <c r="P1" s="754"/>
      <c r="Q1" s="755"/>
      <c r="U1" s="633">
        <v>418</v>
      </c>
      <c r="AA1" s="756"/>
    </row>
    <row r="2" spans="2:27" s="633" customFormat="1" ht="17.25" customHeight="1">
      <c r="C2" s="752"/>
      <c r="D2" s="753" t="s">
        <v>17</v>
      </c>
      <c r="E2" s="757" t="e">
        <f>#REF!</f>
        <v>#REF!</v>
      </c>
      <c r="F2" s="758">
        <v>0</v>
      </c>
      <c r="G2" s="759" t="e">
        <f>#REF!</f>
        <v>#REF!</v>
      </c>
      <c r="H2" s="759" t="e">
        <f>#REF!</f>
        <v>#REF!</v>
      </c>
      <c r="I2" s="759" t="e">
        <f>#REF!</f>
        <v>#REF!</v>
      </c>
      <c r="J2" s="759"/>
      <c r="K2" s="759" t="e">
        <f>#REF!</f>
        <v>#REF!</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395" t="s">
        <v>1072</v>
      </c>
      <c r="Q3" s="476" t="s">
        <v>16</v>
      </c>
    </row>
    <row r="4" spans="2:27" ht="16.5" customHeight="1">
      <c r="B4" s="480" t="s">
        <v>537</v>
      </c>
      <c r="C4" s="481" t="s">
        <v>77</v>
      </c>
      <c r="D4" s="480" t="s">
        <v>486</v>
      </c>
      <c r="E4" s="765"/>
      <c r="F4" s="765"/>
      <c r="G4" s="765"/>
      <c r="H4" s="765"/>
      <c r="I4" s="766"/>
      <c r="J4" s="766"/>
      <c r="K4" s="765"/>
      <c r="L4" s="767"/>
      <c r="M4" s="768" t="e">
        <f>SUBTOTAL(9,M5:M68)</f>
        <v>#REF!</v>
      </c>
      <c r="N4" s="768" t="e">
        <f>SUBTOTAL(9,N5:N68)</f>
        <v>#REF!</v>
      </c>
      <c r="O4" s="768" t="e">
        <f>SUBTOTAL(9,O5:O68)</f>
        <v>#REF!</v>
      </c>
      <c r="P4" s="769" t="e">
        <f t="shared" ref="P4:P35" si="0">IF(O4="","",O4*10000/E$2)</f>
        <v>#REF!</v>
      </c>
      <c r="Q4" s="770"/>
      <c r="AA4" s="632"/>
    </row>
    <row r="5" spans="2:27" ht="16.5" hidden="1" customHeight="1" outlineLevel="1">
      <c r="B5" s="771" t="s">
        <v>487</v>
      </c>
      <c r="C5" s="712">
        <v>1</v>
      </c>
      <c r="D5" s="771" t="s">
        <v>650</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hidden="1" customHeight="1" outlineLevel="2">
      <c r="B6" s="776" t="s">
        <v>651</v>
      </c>
      <c r="C6" s="777" t="s">
        <v>36</v>
      </c>
      <c r="D6" s="776" t="s">
        <v>1479</v>
      </c>
      <c r="E6" s="648"/>
      <c r="F6" s="307"/>
      <c r="G6" s="511"/>
      <c r="H6" s="511"/>
      <c r="I6" s="614"/>
      <c r="J6" s="614"/>
      <c r="K6" s="778"/>
      <c r="L6" s="569"/>
      <c r="M6" s="779" t="e">
        <f>SUBTOTAL(9,M7:M8)</f>
        <v>#REF!</v>
      </c>
      <c r="N6" s="779" t="e">
        <f>SUBTOTAL(9,N7:N8)</f>
        <v>#REF!</v>
      </c>
      <c r="O6" s="779" t="e">
        <f>SUBTOTAL(9,O7:O8)</f>
        <v>#REF!</v>
      </c>
      <c r="P6" s="780" t="e">
        <f t="shared" si="0"/>
        <v>#REF!</v>
      </c>
      <c r="Q6" s="781"/>
      <c r="AA6" s="632"/>
    </row>
    <row r="7" spans="2:27" ht="16.5" hidden="1" customHeight="1" outlineLevel="3">
      <c r="B7" s="776" t="s">
        <v>652</v>
      </c>
      <c r="C7" s="782" t="s">
        <v>39</v>
      </c>
      <c r="D7" s="783" t="s">
        <v>1480</v>
      </c>
      <c r="E7" s="307" t="s">
        <v>1278</v>
      </c>
      <c r="F7" s="307" t="s">
        <v>9</v>
      </c>
      <c r="G7" s="784">
        <v>0.5</v>
      </c>
      <c r="H7" s="785" t="s">
        <v>384</v>
      </c>
      <c r="I7" s="614" t="e">
        <f>$G$2</f>
        <v>#REF!</v>
      </c>
      <c r="J7" s="614">
        <v>35</v>
      </c>
      <c r="K7" s="778">
        <f>J7/(1+L7)</f>
        <v>31.531531531531527</v>
      </c>
      <c r="L7" s="569">
        <v>0.11</v>
      </c>
      <c r="M7" s="779" t="e">
        <f>G7*I7*K7/10000</f>
        <v>#REF!</v>
      </c>
      <c r="N7" s="779" t="e">
        <f>L7*M7</f>
        <v>#REF!</v>
      </c>
      <c r="O7" s="779" t="e">
        <f>M7+N7</f>
        <v>#REF!</v>
      </c>
      <c r="P7" s="780" t="e">
        <f t="shared" si="0"/>
        <v>#REF!</v>
      </c>
      <c r="Q7" s="781"/>
      <c r="AA7" s="632"/>
    </row>
    <row r="8" spans="2:27" ht="16.5" hidden="1" customHeight="1" outlineLevel="3">
      <c r="B8" s="776" t="s">
        <v>653</v>
      </c>
      <c r="C8" s="782" t="s">
        <v>39</v>
      </c>
      <c r="D8" s="783" t="s">
        <v>1481</v>
      </c>
      <c r="E8" s="648" t="s">
        <v>1228</v>
      </c>
      <c r="F8" s="307" t="s">
        <v>9</v>
      </c>
      <c r="G8" s="784">
        <v>0.5</v>
      </c>
      <c r="H8" s="785" t="s">
        <v>384</v>
      </c>
      <c r="I8" s="614" t="e">
        <f>$G$2</f>
        <v>#REF!</v>
      </c>
      <c r="J8" s="614">
        <v>52</v>
      </c>
      <c r="K8" s="778">
        <f>J8/(1+L8)</f>
        <v>46.846846846846844</v>
      </c>
      <c r="L8" s="569">
        <v>0.11</v>
      </c>
      <c r="M8" s="779" t="e">
        <f>G8*I8*K8/10000</f>
        <v>#REF!</v>
      </c>
      <c r="N8" s="779" t="e">
        <f>L8*M8</f>
        <v>#REF!</v>
      </c>
      <c r="O8" s="779" t="e">
        <f>M8+N8</f>
        <v>#REF!</v>
      </c>
      <c r="P8" s="780" t="e">
        <f t="shared" si="0"/>
        <v>#REF!</v>
      </c>
      <c r="Q8" s="781" t="e">
        <f>G8*I8*J8/10000-O8</f>
        <v>#REF!</v>
      </c>
      <c r="AA8" s="632"/>
    </row>
    <row r="9" spans="2:27" ht="16.5" hidden="1" customHeight="1" outlineLevel="2" collapsed="1">
      <c r="B9" s="776" t="s">
        <v>655</v>
      </c>
      <c r="C9" s="777" t="s">
        <v>33</v>
      </c>
      <c r="D9" s="776" t="s">
        <v>656</v>
      </c>
      <c r="E9" s="307"/>
      <c r="F9" s="307"/>
      <c r="G9" s="511"/>
      <c r="H9" s="511"/>
      <c r="I9" s="614"/>
      <c r="J9" s="614"/>
      <c r="K9" s="786"/>
      <c r="L9" s="569"/>
      <c r="M9" s="779" t="e">
        <f>SUBTOTAL(9,M10:M35)</f>
        <v>#REF!</v>
      </c>
      <c r="N9" s="779" t="e">
        <f>SUBTOTAL(9,N10:N35)</f>
        <v>#REF!</v>
      </c>
      <c r="O9" s="779" t="e">
        <f>SUBTOTAL(9,O10:O35)</f>
        <v>#REF!</v>
      </c>
      <c r="P9" s="780" t="e">
        <f t="shared" si="0"/>
        <v>#REF!</v>
      </c>
      <c r="Q9" s="781"/>
      <c r="AA9" s="632"/>
    </row>
    <row r="10" spans="2:27" ht="16.5" hidden="1" customHeight="1" outlineLevel="3">
      <c r="B10" s="776" t="s">
        <v>1718</v>
      </c>
      <c r="C10" s="782" t="s">
        <v>39</v>
      </c>
      <c r="D10" s="776" t="s">
        <v>59</v>
      </c>
      <c r="E10" s="648"/>
      <c r="F10" s="648"/>
      <c r="G10" s="672"/>
      <c r="H10" s="787"/>
      <c r="I10" s="672"/>
      <c r="J10" s="672"/>
      <c r="K10" s="786"/>
      <c r="L10" s="569"/>
      <c r="M10" s="779" t="e">
        <f>SUBTOTAL(9,M11:M12)</f>
        <v>#REF!</v>
      </c>
      <c r="N10" s="779" t="e">
        <f>SUBTOTAL(9,N11:N12)</f>
        <v>#REF!</v>
      </c>
      <c r="O10" s="779" t="e">
        <f>SUBTOTAL(9,O11:O12)</f>
        <v>#REF!</v>
      </c>
      <c r="P10" s="780" t="e">
        <f t="shared" si="0"/>
        <v>#REF!</v>
      </c>
      <c r="Q10" s="781"/>
      <c r="AA10" s="632"/>
    </row>
    <row r="11" spans="2:27" ht="16.5" hidden="1" customHeight="1" outlineLevel="3">
      <c r="B11" s="776" t="s">
        <v>1720</v>
      </c>
      <c r="C11" s="782"/>
      <c r="D11" s="783" t="s">
        <v>1721</v>
      </c>
      <c r="E11" s="648" t="s">
        <v>1228</v>
      </c>
      <c r="F11" s="648" t="s">
        <v>657</v>
      </c>
      <c r="G11" s="672"/>
      <c r="H11" s="787" t="s">
        <v>384</v>
      </c>
      <c r="I11" s="672" t="e">
        <f>$E$2*(1+$F$2)</f>
        <v>#REF!</v>
      </c>
      <c r="J11" s="672"/>
      <c r="K11" s="778">
        <f>J11/(1+L11)</f>
        <v>0</v>
      </c>
      <c r="L11" s="569">
        <v>0.11</v>
      </c>
      <c r="M11" s="779" t="e">
        <f>G11*I11*K11/10000</f>
        <v>#REF!</v>
      </c>
      <c r="N11" s="779" t="e">
        <f>L11*M11</f>
        <v>#REF!</v>
      </c>
      <c r="O11" s="779" t="e">
        <f>M11+N11</f>
        <v>#REF!</v>
      </c>
      <c r="P11" s="780" t="e">
        <f t="shared" si="0"/>
        <v>#REF!</v>
      </c>
      <c r="Q11" s="781" t="e">
        <f>G11*I11*J11/10000-O11</f>
        <v>#REF!</v>
      </c>
      <c r="AA11" s="632"/>
    </row>
    <row r="12" spans="2:27" ht="16.5" hidden="1" customHeight="1" outlineLevel="3">
      <c r="B12" s="776" t="s">
        <v>1722</v>
      </c>
      <c r="C12" s="782"/>
      <c r="D12" s="783" t="s">
        <v>1723</v>
      </c>
      <c r="E12" s="648" t="s">
        <v>1228</v>
      </c>
      <c r="F12" s="648" t="s">
        <v>657</v>
      </c>
      <c r="G12" s="672">
        <v>0.35</v>
      </c>
      <c r="H12" s="787" t="s">
        <v>143</v>
      </c>
      <c r="I12" s="672" t="e">
        <f>$E$2*(1+$F$2)</f>
        <v>#REF!</v>
      </c>
      <c r="J12" s="672">
        <v>700</v>
      </c>
      <c r="K12" s="778">
        <f>J12/(1+L12)</f>
        <v>630.63063063063055</v>
      </c>
      <c r="L12" s="569">
        <v>0.11</v>
      </c>
      <c r="M12" s="779" t="e">
        <f>G12*I12*K12/10000</f>
        <v>#REF!</v>
      </c>
      <c r="N12" s="779" t="e">
        <f>L12*M12</f>
        <v>#REF!</v>
      </c>
      <c r="O12" s="779" t="e">
        <f>M12+N12</f>
        <v>#REF!</v>
      </c>
      <c r="P12" s="780" t="e">
        <f t="shared" si="0"/>
        <v>#REF!</v>
      </c>
      <c r="Q12" s="781" t="e">
        <f>G12*I12*J12/10000-O12</f>
        <v>#REF!</v>
      </c>
      <c r="AA12" s="632"/>
    </row>
    <row r="13" spans="2:27" ht="16.5" hidden="1" customHeight="1" outlineLevel="3">
      <c r="B13" s="776" t="s">
        <v>1482</v>
      </c>
      <c r="C13" s="782" t="s">
        <v>39</v>
      </c>
      <c r="D13" s="776" t="s">
        <v>658</v>
      </c>
      <c r="E13" s="648"/>
      <c r="F13" s="648"/>
      <c r="G13" s="672"/>
      <c r="H13" s="787"/>
      <c r="I13" s="672"/>
      <c r="J13" s="672"/>
      <c r="K13" s="786"/>
      <c r="L13" s="569"/>
      <c r="M13" s="779" t="e">
        <f>SUBTOTAL(9,M14:M15)</f>
        <v>#REF!</v>
      </c>
      <c r="N13" s="779" t="e">
        <f>SUBTOTAL(9,N14:N15)</f>
        <v>#REF!</v>
      </c>
      <c r="O13" s="779" t="e">
        <f>SUBTOTAL(9,O14:O15)</f>
        <v>#REF!</v>
      </c>
      <c r="P13" s="780" t="e">
        <f t="shared" si="0"/>
        <v>#REF!</v>
      </c>
      <c r="Q13" s="781"/>
      <c r="AA13" s="632"/>
    </row>
    <row r="14" spans="2:27" ht="16.5" hidden="1" customHeight="1" outlineLevel="3">
      <c r="B14" s="776" t="s">
        <v>1725</v>
      </c>
      <c r="C14" s="782"/>
      <c r="D14" s="776" t="s">
        <v>1726</v>
      </c>
      <c r="E14" s="648" t="s">
        <v>1228</v>
      </c>
      <c r="F14" s="648" t="s">
        <v>657</v>
      </c>
      <c r="G14" s="672"/>
      <c r="H14" s="787" t="s">
        <v>1927</v>
      </c>
      <c r="I14" s="672" t="e">
        <f>$E$2*(1+$F$2)</f>
        <v>#REF!</v>
      </c>
      <c r="J14" s="672"/>
      <c r="K14" s="778">
        <f>J14/(1+L14)</f>
        <v>0</v>
      </c>
      <c r="L14" s="569">
        <v>0.11</v>
      </c>
      <c r="M14" s="779" t="e">
        <f>G14*I14*K14/10000</f>
        <v>#REF!</v>
      </c>
      <c r="N14" s="779" t="e">
        <f>L14*M14</f>
        <v>#REF!</v>
      </c>
      <c r="O14" s="779" t="e">
        <f>M14+N14</f>
        <v>#REF!</v>
      </c>
      <c r="P14" s="780" t="e">
        <f t="shared" si="0"/>
        <v>#REF!</v>
      </c>
      <c r="Q14" s="781" t="e">
        <f>G14*I14*J14/10000-O14</f>
        <v>#REF!</v>
      </c>
      <c r="AA14" s="632"/>
    </row>
    <row r="15" spans="2:27" ht="16.5" hidden="1" customHeight="1" outlineLevel="3">
      <c r="B15" s="776" t="s">
        <v>1483</v>
      </c>
      <c r="C15" s="782"/>
      <c r="D15" s="776" t="s">
        <v>1727</v>
      </c>
      <c r="E15" s="648" t="s">
        <v>1228</v>
      </c>
      <c r="F15" s="648" t="s">
        <v>657</v>
      </c>
      <c r="G15" s="672">
        <v>38</v>
      </c>
      <c r="H15" s="787" t="s">
        <v>1927</v>
      </c>
      <c r="I15" s="672" t="e">
        <f>$E$2*(1+$F$2)</f>
        <v>#REF!</v>
      </c>
      <c r="J15" s="672">
        <v>6.5</v>
      </c>
      <c r="K15" s="778">
        <f>J15/(1+L15)</f>
        <v>5.8558558558558556</v>
      </c>
      <c r="L15" s="569">
        <v>0.11</v>
      </c>
      <c r="M15" s="779" t="e">
        <f>G15*I15*K15/10000</f>
        <v>#REF!</v>
      </c>
      <c r="N15" s="779" t="e">
        <f>L15*M15</f>
        <v>#REF!</v>
      </c>
      <c r="O15" s="779" t="e">
        <f>M15+N15</f>
        <v>#REF!</v>
      </c>
      <c r="P15" s="780" t="e">
        <f t="shared" si="0"/>
        <v>#REF!</v>
      </c>
      <c r="Q15" s="781" t="e">
        <f>G15*I15*J15/10000-O15</f>
        <v>#REF!</v>
      </c>
      <c r="AA15" s="632"/>
    </row>
    <row r="16" spans="2:27" ht="16.5" hidden="1" customHeight="1" outlineLevel="3">
      <c r="B16" s="776" t="s">
        <v>1728</v>
      </c>
      <c r="C16" s="782" t="s">
        <v>39</v>
      </c>
      <c r="D16" s="776" t="s">
        <v>659</v>
      </c>
      <c r="E16" s="648" t="s">
        <v>1228</v>
      </c>
      <c r="F16" s="648" t="s">
        <v>657</v>
      </c>
      <c r="G16" s="672">
        <v>3.2</v>
      </c>
      <c r="H16" s="787" t="s">
        <v>145</v>
      </c>
      <c r="I16" s="672" t="e">
        <f>$E$2*(1+$F$2)</f>
        <v>#REF!</v>
      </c>
      <c r="J16" s="672">
        <v>80</v>
      </c>
      <c r="K16" s="778">
        <f>J16/(1+L16)</f>
        <v>72.072072072072061</v>
      </c>
      <c r="L16" s="569">
        <v>0.11</v>
      </c>
      <c r="M16" s="779" t="e">
        <f>G16*I16*K16/10000</f>
        <v>#REF!</v>
      </c>
      <c r="N16" s="779" t="e">
        <f>L16*M16</f>
        <v>#REF!</v>
      </c>
      <c r="O16" s="779" t="e">
        <f>M16+N16</f>
        <v>#REF!</v>
      </c>
      <c r="P16" s="780" t="e">
        <f t="shared" si="0"/>
        <v>#REF!</v>
      </c>
      <c r="Q16" s="781" t="e">
        <f>G16*I16*J16/10000-O16</f>
        <v>#REF!</v>
      </c>
      <c r="AA16" s="632"/>
    </row>
    <row r="17" spans="2:27" ht="16.5" hidden="1" customHeight="1" outlineLevel="3">
      <c r="B17" s="776" t="s">
        <v>1484</v>
      </c>
      <c r="C17" s="782" t="s">
        <v>39</v>
      </c>
      <c r="D17" s="776" t="s">
        <v>1729</v>
      </c>
      <c r="E17" s="648" t="s">
        <v>1228</v>
      </c>
      <c r="F17" s="648" t="s">
        <v>657</v>
      </c>
      <c r="G17" s="672">
        <v>0.15</v>
      </c>
      <c r="H17" s="787" t="s">
        <v>384</v>
      </c>
      <c r="I17" s="672" t="e">
        <f>$E$2*(1+$F$2)</f>
        <v>#REF!</v>
      </c>
      <c r="J17" s="672">
        <v>650</v>
      </c>
      <c r="K17" s="778">
        <f>J17/(1+L17)</f>
        <v>585.58558558558559</v>
      </c>
      <c r="L17" s="788">
        <v>0.11</v>
      </c>
      <c r="M17" s="779" t="e">
        <f>G17*I17*K17/10000</f>
        <v>#REF!</v>
      </c>
      <c r="N17" s="779" t="e">
        <f>L17*M17</f>
        <v>#REF!</v>
      </c>
      <c r="O17" s="779" t="e">
        <f>M17+N17</f>
        <v>#REF!</v>
      </c>
      <c r="P17" s="780" t="e">
        <f t="shared" si="0"/>
        <v>#REF!</v>
      </c>
      <c r="Q17" s="781" t="e">
        <f>G17*I17*J17/10000-O17</f>
        <v>#REF!</v>
      </c>
      <c r="AA17" s="632"/>
    </row>
    <row r="18" spans="2:27" ht="16.5" hidden="1" customHeight="1" outlineLevel="3">
      <c r="B18" s="776" t="s">
        <v>1485</v>
      </c>
      <c r="C18" s="782" t="s">
        <v>39</v>
      </c>
      <c r="D18" s="776" t="s">
        <v>386</v>
      </c>
      <c r="E18" s="648" t="s">
        <v>1228</v>
      </c>
      <c r="F18" s="648" t="s">
        <v>657</v>
      </c>
      <c r="G18" s="789">
        <v>4</v>
      </c>
      <c r="H18" s="790" t="s">
        <v>384</v>
      </c>
      <c r="I18" s="672" t="e">
        <f>$E$2*(1+$F$2)</f>
        <v>#REF!</v>
      </c>
      <c r="J18" s="672">
        <v>35</v>
      </c>
      <c r="K18" s="778">
        <f>J18/(1+L18)</f>
        <v>31.531531531531527</v>
      </c>
      <c r="L18" s="569">
        <v>0.11</v>
      </c>
      <c r="M18" s="779" t="e">
        <f>G18*I18*K18/10000</f>
        <v>#REF!</v>
      </c>
      <c r="N18" s="779" t="e">
        <f>L18*M18</f>
        <v>#REF!</v>
      </c>
      <c r="O18" s="779" t="e">
        <f>M18+N18</f>
        <v>#REF!</v>
      </c>
      <c r="P18" s="780" t="e">
        <f t="shared" si="0"/>
        <v>#REF!</v>
      </c>
      <c r="Q18" s="781" t="e">
        <f>G18*I18*J18/10000-O18</f>
        <v>#REF!</v>
      </c>
      <c r="AA18" s="632"/>
    </row>
    <row r="19" spans="2:27" ht="16.5" hidden="1" customHeight="1" outlineLevel="3">
      <c r="B19" s="776" t="s">
        <v>1486</v>
      </c>
      <c r="C19" s="782" t="s">
        <v>39</v>
      </c>
      <c r="D19" s="776" t="s">
        <v>19</v>
      </c>
      <c r="E19" s="665"/>
      <c r="F19" s="665"/>
      <c r="G19" s="789"/>
      <c r="H19" s="790"/>
      <c r="I19" s="791"/>
      <c r="J19" s="791"/>
      <c r="K19" s="791"/>
      <c r="L19" s="788"/>
      <c r="M19" s="779" t="e">
        <f>SUBTOTAL(9,M20:M21)</f>
        <v>#REF!</v>
      </c>
      <c r="N19" s="779" t="e">
        <f>SUBTOTAL(9,N20:N21)</f>
        <v>#REF!</v>
      </c>
      <c r="O19" s="779" t="e">
        <f>SUBTOTAL(9,O20:O21)</f>
        <v>#REF!</v>
      </c>
      <c r="P19" s="780" t="e">
        <f t="shared" si="0"/>
        <v>#REF!</v>
      </c>
      <c r="Q19" s="781"/>
      <c r="AA19" s="632"/>
    </row>
    <row r="20" spans="2:27" ht="16.5" hidden="1" customHeight="1" outlineLevel="3">
      <c r="B20" s="776" t="s">
        <v>1732</v>
      </c>
      <c r="C20" s="782"/>
      <c r="D20" s="783" t="s">
        <v>1487</v>
      </c>
      <c r="E20" s="648" t="s">
        <v>1488</v>
      </c>
      <c r="F20" s="648" t="s">
        <v>657</v>
      </c>
      <c r="G20" s="672">
        <v>0.35</v>
      </c>
      <c r="H20" s="787" t="s">
        <v>145</v>
      </c>
      <c r="I20" s="672" t="e">
        <f>$E$2*(1+$F$2)</f>
        <v>#REF!</v>
      </c>
      <c r="J20" s="672">
        <v>40</v>
      </c>
      <c r="K20" s="778">
        <f>J20/(1+L20)</f>
        <v>34.188034188034187</v>
      </c>
      <c r="L20" s="569">
        <v>0.17</v>
      </c>
      <c r="M20" s="779" t="e">
        <f>G20*I20*K20/10000</f>
        <v>#REF!</v>
      </c>
      <c r="N20" s="779" t="e">
        <f>L20*M20</f>
        <v>#REF!</v>
      </c>
      <c r="O20" s="779" t="e">
        <f>M20+N20</f>
        <v>#REF!</v>
      </c>
      <c r="P20" s="780" t="e">
        <f t="shared" si="0"/>
        <v>#REF!</v>
      </c>
      <c r="Q20" s="781" t="e">
        <f>G20*I20*J20/10000-O20</f>
        <v>#REF!</v>
      </c>
      <c r="AA20" s="632"/>
    </row>
    <row r="21" spans="2:27" ht="16.5" hidden="1" customHeight="1" outlineLevel="3">
      <c r="B21" s="776" t="s">
        <v>1489</v>
      </c>
      <c r="C21" s="782"/>
      <c r="D21" s="783" t="s">
        <v>1734</v>
      </c>
      <c r="E21" s="648" t="s">
        <v>1228</v>
      </c>
      <c r="F21" s="648" t="s">
        <v>657</v>
      </c>
      <c r="G21" s="672">
        <v>0.35</v>
      </c>
      <c r="H21" s="787" t="s">
        <v>145</v>
      </c>
      <c r="I21" s="672" t="e">
        <f>$E$2*(1+$F$2)</f>
        <v>#REF!</v>
      </c>
      <c r="J21" s="672">
        <v>20</v>
      </c>
      <c r="K21" s="778">
        <f>J21/(1+L21)</f>
        <v>18.018018018018015</v>
      </c>
      <c r="L21" s="569">
        <v>0.11</v>
      </c>
      <c r="M21" s="779" t="e">
        <f>G21*I21*K21/10000</f>
        <v>#REF!</v>
      </c>
      <c r="N21" s="779" t="e">
        <f>L21*M21</f>
        <v>#REF!</v>
      </c>
      <c r="O21" s="779" t="e">
        <f>M21+N21</f>
        <v>#REF!</v>
      </c>
      <c r="P21" s="780" t="e">
        <f t="shared" si="0"/>
        <v>#REF!</v>
      </c>
      <c r="Q21" s="781" t="e">
        <f>G21*I21*J21/10000-O21</f>
        <v>#REF!</v>
      </c>
      <c r="AA21" s="632"/>
    </row>
    <row r="22" spans="2:27" ht="16.5" hidden="1" customHeight="1" outlineLevel="3">
      <c r="B22" s="776" t="s">
        <v>1735</v>
      </c>
      <c r="C22" s="782" t="s">
        <v>39</v>
      </c>
      <c r="D22" s="776" t="s">
        <v>1736</v>
      </c>
      <c r="E22" s="648"/>
      <c r="F22" s="648"/>
      <c r="G22" s="789"/>
      <c r="H22" s="790"/>
      <c r="I22" s="672"/>
      <c r="J22" s="672"/>
      <c r="K22" s="791"/>
      <c r="L22" s="788"/>
      <c r="M22" s="779" t="e">
        <f>SUBTOTAL(9,M23:M26)</f>
        <v>#REF!</v>
      </c>
      <c r="N22" s="779" t="e">
        <f>SUBTOTAL(9,N23:N26)</f>
        <v>#REF!</v>
      </c>
      <c r="O22" s="779" t="e">
        <f>SUBTOTAL(9,O23:O26)</f>
        <v>#REF!</v>
      </c>
      <c r="P22" s="780" t="e">
        <f t="shared" si="0"/>
        <v>#REF!</v>
      </c>
      <c r="Q22" s="781"/>
      <c r="AA22" s="632"/>
    </row>
    <row r="23" spans="2:27" ht="16.5" hidden="1" customHeight="1" outlineLevel="3">
      <c r="B23" s="776" t="s">
        <v>1737</v>
      </c>
      <c r="C23" s="782"/>
      <c r="D23" s="783" t="s">
        <v>1738</v>
      </c>
      <c r="E23" s="648" t="s">
        <v>1228</v>
      </c>
      <c r="F23" s="648" t="s">
        <v>657</v>
      </c>
      <c r="G23" s="789">
        <v>1</v>
      </c>
      <c r="H23" s="790" t="s">
        <v>145</v>
      </c>
      <c r="I23" s="672" t="e">
        <f>$E$2*(1+$F$2)</f>
        <v>#REF!</v>
      </c>
      <c r="J23" s="672">
        <v>200</v>
      </c>
      <c r="K23" s="778">
        <f>J23/(1+L23)</f>
        <v>180.18018018018017</v>
      </c>
      <c r="L23" s="569">
        <v>0.11</v>
      </c>
      <c r="M23" s="779" t="e">
        <f>G23*I23*K23/10000</f>
        <v>#REF!</v>
      </c>
      <c r="N23" s="779" t="e">
        <f>L23*M23</f>
        <v>#REF!</v>
      </c>
      <c r="O23" s="779" t="e">
        <f>M23+N23</f>
        <v>#REF!</v>
      </c>
      <c r="P23" s="780" t="e">
        <f t="shared" si="0"/>
        <v>#REF!</v>
      </c>
      <c r="Q23" s="781" t="e">
        <f>G23*I23*J23/10000-O23</f>
        <v>#REF!</v>
      </c>
      <c r="AA23" s="632"/>
    </row>
    <row r="24" spans="2:27" ht="16.5" hidden="1" customHeight="1" outlineLevel="3">
      <c r="B24" s="776" t="s">
        <v>1490</v>
      </c>
      <c r="C24" s="782"/>
      <c r="D24" s="783" t="s">
        <v>1739</v>
      </c>
      <c r="E24" s="648" t="s">
        <v>1228</v>
      </c>
      <c r="F24" s="648" t="s">
        <v>657</v>
      </c>
      <c r="G24" s="789">
        <v>1</v>
      </c>
      <c r="H24" s="790" t="s">
        <v>145</v>
      </c>
      <c r="I24" s="672" t="e">
        <f>$E$2*(1+$F$2)</f>
        <v>#REF!</v>
      </c>
      <c r="J24" s="672"/>
      <c r="K24" s="778">
        <f>J24/(1+L24)</f>
        <v>0</v>
      </c>
      <c r="L24" s="569">
        <v>0.11</v>
      </c>
      <c r="M24" s="779" t="e">
        <f>G24*I24*K24/10000</f>
        <v>#REF!</v>
      </c>
      <c r="N24" s="779" t="e">
        <f>L24*M24</f>
        <v>#REF!</v>
      </c>
      <c r="O24" s="779" t="e">
        <f>M24+N24</f>
        <v>#REF!</v>
      </c>
      <c r="P24" s="780" t="e">
        <f t="shared" si="0"/>
        <v>#REF!</v>
      </c>
      <c r="Q24" s="781" t="e">
        <f>G24*I24*J24/10000-O24</f>
        <v>#REF!</v>
      </c>
      <c r="AA24" s="632"/>
    </row>
    <row r="25" spans="2:27" ht="16.5" hidden="1" customHeight="1" outlineLevel="3">
      <c r="B25" s="776" t="s">
        <v>1491</v>
      </c>
      <c r="C25" s="782"/>
      <c r="D25" s="783" t="s">
        <v>1740</v>
      </c>
      <c r="E25" s="648" t="s">
        <v>1228</v>
      </c>
      <c r="F25" s="648" t="s">
        <v>657</v>
      </c>
      <c r="G25" s="789">
        <v>1</v>
      </c>
      <c r="H25" s="790" t="s">
        <v>145</v>
      </c>
      <c r="I25" s="672" t="e">
        <f>$E$2*(1+$F$2)</f>
        <v>#REF!</v>
      </c>
      <c r="J25" s="672"/>
      <c r="K25" s="778">
        <f>J25/(1+L25)</f>
        <v>0</v>
      </c>
      <c r="L25" s="569">
        <v>0.11</v>
      </c>
      <c r="M25" s="779" t="e">
        <f>G25*I25*K25/10000</f>
        <v>#REF!</v>
      </c>
      <c r="N25" s="779" t="e">
        <f>L25*M25</f>
        <v>#REF!</v>
      </c>
      <c r="O25" s="779" t="e">
        <f>M25+N25</f>
        <v>#REF!</v>
      </c>
      <c r="P25" s="780" t="e">
        <f t="shared" si="0"/>
        <v>#REF!</v>
      </c>
      <c r="Q25" s="781" t="e">
        <f>G25*I25*J25/10000-O25</f>
        <v>#REF!</v>
      </c>
      <c r="AA25" s="632"/>
    </row>
    <row r="26" spans="2:27" ht="16.5" hidden="1" customHeight="1" outlineLevel="3">
      <c r="B26" s="776" t="s">
        <v>1492</v>
      </c>
      <c r="C26" s="782"/>
      <c r="D26" s="783" t="s">
        <v>1741</v>
      </c>
      <c r="E26" s="648" t="s">
        <v>1228</v>
      </c>
      <c r="F26" s="648" t="s">
        <v>657</v>
      </c>
      <c r="G26" s="789">
        <v>1</v>
      </c>
      <c r="H26" s="790" t="s">
        <v>145</v>
      </c>
      <c r="I26" s="672" t="e">
        <f>$E$2*(1+$F$2)</f>
        <v>#REF!</v>
      </c>
      <c r="J26" s="672"/>
      <c r="K26" s="778">
        <f>J26/(1+L26)</f>
        <v>0</v>
      </c>
      <c r="L26" s="569">
        <v>0.11</v>
      </c>
      <c r="M26" s="779" t="e">
        <f>G26*I26*K26/10000</f>
        <v>#REF!</v>
      </c>
      <c r="N26" s="779" t="e">
        <f>L26*M26</f>
        <v>#REF!</v>
      </c>
      <c r="O26" s="779" t="e">
        <f>M26+N26</f>
        <v>#REF!</v>
      </c>
      <c r="P26" s="780" t="e">
        <f t="shared" si="0"/>
        <v>#REF!</v>
      </c>
      <c r="Q26" s="781" t="e">
        <f>G26*I26*J26/10000-O26</f>
        <v>#REF!</v>
      </c>
      <c r="AA26" s="632"/>
    </row>
    <row r="27" spans="2:27" ht="16.5" hidden="1" customHeight="1" outlineLevel="3">
      <c r="B27" s="776" t="s">
        <v>1742</v>
      </c>
      <c r="C27" s="782" t="s">
        <v>39</v>
      </c>
      <c r="D27" s="776" t="s">
        <v>1743</v>
      </c>
      <c r="E27" s="665"/>
      <c r="F27" s="665"/>
      <c r="G27" s="789"/>
      <c r="H27" s="790"/>
      <c r="I27" s="672"/>
      <c r="J27" s="672"/>
      <c r="K27" s="791"/>
      <c r="L27" s="788"/>
      <c r="M27" s="779" t="e">
        <f>SUBTOTAL(9,M28:M30)</f>
        <v>#REF!</v>
      </c>
      <c r="N27" s="779" t="e">
        <f>SUBTOTAL(9,N28:N30)</f>
        <v>#REF!</v>
      </c>
      <c r="O27" s="779" t="e">
        <f>SUBTOTAL(9,O28:O30)</f>
        <v>#REF!</v>
      </c>
      <c r="P27" s="780" t="e">
        <f t="shared" si="0"/>
        <v>#REF!</v>
      </c>
      <c r="Q27" s="781"/>
      <c r="AA27" s="632"/>
    </row>
    <row r="28" spans="2:27" ht="16.5" hidden="1" customHeight="1" outlineLevel="3">
      <c r="B28" s="776" t="s">
        <v>1744</v>
      </c>
      <c r="C28" s="782"/>
      <c r="D28" s="783" t="s">
        <v>1745</v>
      </c>
      <c r="E28" s="648" t="s">
        <v>1493</v>
      </c>
      <c r="F28" s="648" t="s">
        <v>657</v>
      </c>
      <c r="G28" s="672">
        <v>1.2</v>
      </c>
      <c r="H28" s="790" t="s">
        <v>145</v>
      </c>
      <c r="I28" s="672" t="e">
        <f>$E$2*(1+$F$2)</f>
        <v>#REF!</v>
      </c>
      <c r="J28" s="672"/>
      <c r="K28" s="778">
        <f t="shared" ref="K28:K34" si="1">J28/(1+L28)</f>
        <v>0</v>
      </c>
      <c r="L28" s="569">
        <v>0.11</v>
      </c>
      <c r="M28" s="779" t="e">
        <f t="shared" ref="M28:M35" si="2">G28*I28*K28/10000</f>
        <v>#REF!</v>
      </c>
      <c r="N28" s="779" t="e">
        <f t="shared" ref="N28:N35" si="3">L28*M28</f>
        <v>#REF!</v>
      </c>
      <c r="O28" s="779" t="e">
        <f t="shared" ref="O28:O35" si="4">M28+N28</f>
        <v>#REF!</v>
      </c>
      <c r="P28" s="780" t="e">
        <f t="shared" si="0"/>
        <v>#REF!</v>
      </c>
      <c r="Q28" s="781" t="e">
        <f>G28*I28*J28/10000-O28</f>
        <v>#REF!</v>
      </c>
      <c r="AA28" s="632"/>
    </row>
    <row r="29" spans="2:27" ht="16.5" hidden="1" customHeight="1" outlineLevel="3">
      <c r="B29" s="776" t="s">
        <v>1494</v>
      </c>
      <c r="C29" s="782"/>
      <c r="D29" s="783" t="s">
        <v>1746</v>
      </c>
      <c r="E29" s="648" t="s">
        <v>1493</v>
      </c>
      <c r="F29" s="648" t="s">
        <v>657</v>
      </c>
      <c r="G29" s="672">
        <v>1.2</v>
      </c>
      <c r="H29" s="790" t="s">
        <v>145</v>
      </c>
      <c r="I29" s="672" t="e">
        <f>$E$2*(1+$F$2)</f>
        <v>#REF!</v>
      </c>
      <c r="J29" s="672">
        <v>110</v>
      </c>
      <c r="K29" s="778">
        <f t="shared" si="1"/>
        <v>99.099099099099092</v>
      </c>
      <c r="L29" s="569">
        <v>0.11</v>
      </c>
      <c r="M29" s="779" t="e">
        <f t="shared" si="2"/>
        <v>#REF!</v>
      </c>
      <c r="N29" s="779" t="e">
        <f t="shared" si="3"/>
        <v>#REF!</v>
      </c>
      <c r="O29" s="779" t="e">
        <f t="shared" si="4"/>
        <v>#REF!</v>
      </c>
      <c r="P29" s="780" t="e">
        <f t="shared" si="0"/>
        <v>#REF!</v>
      </c>
      <c r="Q29" s="781" t="e">
        <f>G29*I29*J29/10000-O29</f>
        <v>#REF!</v>
      </c>
      <c r="AA29" s="632"/>
    </row>
    <row r="30" spans="2:27" ht="16.5" hidden="1" customHeight="1" outlineLevel="3">
      <c r="B30" s="776" t="s">
        <v>1495</v>
      </c>
      <c r="C30" s="782"/>
      <c r="D30" s="783" t="s">
        <v>1747</v>
      </c>
      <c r="E30" s="648" t="s">
        <v>1228</v>
      </c>
      <c r="F30" s="648" t="s">
        <v>1605</v>
      </c>
      <c r="G30" s="672">
        <v>1.5</v>
      </c>
      <c r="H30" s="790" t="s">
        <v>143</v>
      </c>
      <c r="I30" s="672" t="e">
        <f>$G$2</f>
        <v>#REF!</v>
      </c>
      <c r="J30" s="672">
        <v>90</v>
      </c>
      <c r="K30" s="778">
        <f t="shared" si="1"/>
        <v>81.081081081081081</v>
      </c>
      <c r="L30" s="569">
        <v>0.11</v>
      </c>
      <c r="M30" s="779" t="e">
        <f t="shared" si="2"/>
        <v>#REF!</v>
      </c>
      <c r="N30" s="779" t="e">
        <f t="shared" si="3"/>
        <v>#REF!</v>
      </c>
      <c r="O30" s="779" t="e">
        <f t="shared" si="4"/>
        <v>#REF!</v>
      </c>
      <c r="P30" s="780" t="e">
        <f t="shared" si="0"/>
        <v>#REF!</v>
      </c>
      <c r="Q30" s="781" t="e">
        <f>G30*I30*J30/10000-O30</f>
        <v>#REF!</v>
      </c>
      <c r="AA30" s="632"/>
    </row>
    <row r="31" spans="2:27" ht="16.5" hidden="1" customHeight="1" outlineLevel="3">
      <c r="B31" s="776" t="s">
        <v>1749</v>
      </c>
      <c r="C31" s="782" t="s">
        <v>39</v>
      </c>
      <c r="D31" s="776" t="s">
        <v>1750</v>
      </c>
      <c r="E31" s="648" t="s">
        <v>1496</v>
      </c>
      <c r="F31" s="648" t="s">
        <v>657</v>
      </c>
      <c r="G31" s="672">
        <v>1</v>
      </c>
      <c r="H31" s="787" t="s">
        <v>143</v>
      </c>
      <c r="I31" s="672" t="e">
        <f>$E$2*(1+$F$2)</f>
        <v>#REF!</v>
      </c>
      <c r="J31" s="672">
        <v>100</v>
      </c>
      <c r="K31" s="778">
        <f t="shared" si="1"/>
        <v>85.470085470085479</v>
      </c>
      <c r="L31" s="569">
        <v>0.17</v>
      </c>
      <c r="M31" s="779" t="e">
        <f t="shared" si="2"/>
        <v>#REF!</v>
      </c>
      <c r="N31" s="779" t="e">
        <f t="shared" si="3"/>
        <v>#REF!</v>
      </c>
      <c r="O31" s="779" t="e">
        <f t="shared" si="4"/>
        <v>#REF!</v>
      </c>
      <c r="P31" s="780" t="e">
        <f t="shared" si="0"/>
        <v>#REF!</v>
      </c>
      <c r="Q31" s="781" t="e">
        <f>G31*I31*J31/10000-O31</f>
        <v>#REF!</v>
      </c>
      <c r="AA31" s="632"/>
    </row>
    <row r="32" spans="2:27" ht="24.75" hidden="1" customHeight="1" outlineLevel="3">
      <c r="B32" s="776" t="s">
        <v>1751</v>
      </c>
      <c r="C32" s="782" t="s">
        <v>39</v>
      </c>
      <c r="D32" s="776" t="s">
        <v>1752</v>
      </c>
      <c r="E32" s="648" t="s">
        <v>1606</v>
      </c>
      <c r="F32" s="648" t="s">
        <v>657</v>
      </c>
      <c r="G32" s="672">
        <v>1</v>
      </c>
      <c r="H32" s="790" t="s">
        <v>143</v>
      </c>
      <c r="I32" s="672" t="e">
        <f>$E$2*(1+$F$2)</f>
        <v>#REF!</v>
      </c>
      <c r="J32" s="672"/>
      <c r="K32" s="778">
        <f t="shared" si="1"/>
        <v>0</v>
      </c>
      <c r="L32" s="569">
        <v>0.11</v>
      </c>
      <c r="M32" s="779" t="e">
        <f t="shared" si="2"/>
        <v>#REF!</v>
      </c>
      <c r="N32" s="779" t="e">
        <f t="shared" si="3"/>
        <v>#REF!</v>
      </c>
      <c r="O32" s="779" t="e">
        <f t="shared" si="4"/>
        <v>#REF!</v>
      </c>
      <c r="P32" s="780" t="e">
        <f t="shared" si="0"/>
        <v>#REF!</v>
      </c>
      <c r="Q32" s="781" t="s">
        <v>2214</v>
      </c>
      <c r="AA32" s="632"/>
    </row>
    <row r="33" spans="2:27" ht="16.5" hidden="1" customHeight="1" outlineLevel="3">
      <c r="B33" s="776" t="s">
        <v>2213</v>
      </c>
      <c r="C33" s="782" t="s">
        <v>39</v>
      </c>
      <c r="D33" s="776" t="s">
        <v>2212</v>
      </c>
      <c r="E33" s="648" t="s">
        <v>1228</v>
      </c>
      <c r="F33" s="648" t="s">
        <v>657</v>
      </c>
      <c r="G33" s="672">
        <v>1</v>
      </c>
      <c r="H33" s="790" t="s">
        <v>143</v>
      </c>
      <c r="I33" s="672" t="e">
        <f>$E$2*(1+$F$2)</f>
        <v>#REF!</v>
      </c>
      <c r="J33" s="672">
        <v>5</v>
      </c>
      <c r="K33" s="778">
        <f t="shared" si="1"/>
        <v>4.5045045045045038</v>
      </c>
      <c r="L33" s="569">
        <v>0.11</v>
      </c>
      <c r="M33" s="779" t="e">
        <f t="shared" si="2"/>
        <v>#REF!</v>
      </c>
      <c r="N33" s="779" t="e">
        <f t="shared" si="3"/>
        <v>#REF!</v>
      </c>
      <c r="O33" s="779" t="e">
        <f t="shared" si="4"/>
        <v>#REF!</v>
      </c>
      <c r="P33" s="780" t="e">
        <f t="shared" si="0"/>
        <v>#REF!</v>
      </c>
      <c r="Q33" s="781" t="e">
        <f>G33*I33*J33/10000-O33</f>
        <v>#REF!</v>
      </c>
      <c r="AA33" s="632"/>
    </row>
    <row r="34" spans="2:27" ht="16.5" hidden="1" customHeight="1" outlineLevel="3">
      <c r="B34" s="776" t="s">
        <v>2211</v>
      </c>
      <c r="C34" s="782" t="s">
        <v>39</v>
      </c>
      <c r="D34" s="776" t="s">
        <v>2167</v>
      </c>
      <c r="E34" s="648" t="s">
        <v>1228</v>
      </c>
      <c r="F34" s="648" t="s">
        <v>657</v>
      </c>
      <c r="G34" s="672">
        <v>1</v>
      </c>
      <c r="H34" s="790" t="s">
        <v>143</v>
      </c>
      <c r="I34" s="672" t="e">
        <f>$E$2*(1+$F$2)</f>
        <v>#REF!</v>
      </c>
      <c r="J34" s="672">
        <v>20</v>
      </c>
      <c r="K34" s="778">
        <f t="shared" si="1"/>
        <v>18.018018018018015</v>
      </c>
      <c r="L34" s="569">
        <v>0.11</v>
      </c>
      <c r="M34" s="779" t="e">
        <f t="shared" si="2"/>
        <v>#REF!</v>
      </c>
      <c r="N34" s="779" t="e">
        <f t="shared" si="3"/>
        <v>#REF!</v>
      </c>
      <c r="O34" s="779" t="e">
        <f t="shared" si="4"/>
        <v>#REF!</v>
      </c>
      <c r="P34" s="780" t="e">
        <f t="shared" si="0"/>
        <v>#REF!</v>
      </c>
      <c r="Q34" s="781" t="e">
        <f>G34*I34*J34/10000-O34</f>
        <v>#REF!</v>
      </c>
      <c r="AA34" s="632"/>
    </row>
    <row r="35" spans="2:27" ht="16.5" hidden="1" customHeight="1" outlineLevel="3">
      <c r="B35" s="776" t="s">
        <v>1497</v>
      </c>
      <c r="C35" s="782" t="s">
        <v>39</v>
      </c>
      <c r="D35" s="776" t="s">
        <v>2210</v>
      </c>
      <c r="E35" s="648" t="s">
        <v>1228</v>
      </c>
      <c r="F35" s="648" t="s">
        <v>657</v>
      </c>
      <c r="G35" s="672">
        <v>1</v>
      </c>
      <c r="H35" s="790" t="s">
        <v>143</v>
      </c>
      <c r="I35" s="672" t="e">
        <f>$E$2*(1+$F$2)</f>
        <v>#REF!</v>
      </c>
      <c r="J35" s="672"/>
      <c r="K35" s="672"/>
      <c r="L35" s="569">
        <v>0.11</v>
      </c>
      <c r="M35" s="779" t="e">
        <f t="shared" si="2"/>
        <v>#REF!</v>
      </c>
      <c r="N35" s="779" t="e">
        <f t="shared" si="3"/>
        <v>#REF!</v>
      </c>
      <c r="O35" s="779" t="e">
        <f t="shared" si="4"/>
        <v>#REF!</v>
      </c>
      <c r="P35" s="780" t="e">
        <f t="shared" si="0"/>
        <v>#REF!</v>
      </c>
      <c r="Q35" s="781" t="e">
        <f>G35*I35*J35/10000-O35</f>
        <v>#REF!</v>
      </c>
      <c r="AA35" s="632"/>
    </row>
    <row r="36" spans="2:27" ht="16.5" hidden="1" customHeight="1" outlineLevel="1" collapsed="1">
      <c r="B36" s="771" t="s">
        <v>490</v>
      </c>
      <c r="C36" s="712">
        <v>2</v>
      </c>
      <c r="D36" s="771" t="s">
        <v>491</v>
      </c>
      <c r="E36" s="712"/>
      <c r="F36" s="712"/>
      <c r="G36" s="712"/>
      <c r="H36" s="772"/>
      <c r="I36" s="713"/>
      <c r="J36" s="713"/>
      <c r="K36" s="772"/>
      <c r="L36" s="588"/>
      <c r="M36" s="773" t="e">
        <f>SUBTOTAL(9,M37:M68)</f>
        <v>#REF!</v>
      </c>
      <c r="N36" s="773" t="e">
        <f>SUBTOTAL(9,N37:N68)</f>
        <v>#REF!</v>
      </c>
      <c r="O36" s="773" t="e">
        <f>SUBTOTAL(9,O37:O68)</f>
        <v>#REF!</v>
      </c>
      <c r="P36" s="774" t="e">
        <f t="shared" ref="P36:P67" si="5">IF(O36="","",O36*10000/E$2)</f>
        <v>#REF!</v>
      </c>
      <c r="Q36" s="793"/>
      <c r="AA36" s="632"/>
    </row>
    <row r="37" spans="2:27" ht="16.5" hidden="1" customHeight="1" outlineLevel="2">
      <c r="B37" s="776" t="s">
        <v>661</v>
      </c>
      <c r="C37" s="777" t="s">
        <v>36</v>
      </c>
      <c r="D37" s="776" t="s">
        <v>2209</v>
      </c>
      <c r="E37" s="665"/>
      <c r="F37" s="665"/>
      <c r="G37" s="794"/>
      <c r="H37" s="795"/>
      <c r="I37" s="791"/>
      <c r="J37" s="791"/>
      <c r="K37" s="791"/>
      <c r="L37" s="788"/>
      <c r="M37" s="779" t="e">
        <f>SUBTOTAL(9,M38:M55)</f>
        <v>#REF!</v>
      </c>
      <c r="N37" s="779" t="e">
        <f>SUBTOTAL(9,N38:N55)</f>
        <v>#REF!</v>
      </c>
      <c r="O37" s="779" t="e">
        <f>SUBTOTAL(9,O38:O55)</f>
        <v>#REF!</v>
      </c>
      <c r="P37" s="780" t="e">
        <f t="shared" si="5"/>
        <v>#REF!</v>
      </c>
      <c r="Q37" s="511"/>
      <c r="AA37" s="632"/>
    </row>
    <row r="38" spans="2:27" ht="16.5" hidden="1" customHeight="1" outlineLevel="3">
      <c r="B38" s="776" t="s">
        <v>662</v>
      </c>
      <c r="C38" s="782" t="s">
        <v>39</v>
      </c>
      <c r="D38" s="776" t="s">
        <v>2208</v>
      </c>
      <c r="E38" s="648"/>
      <c r="F38" s="648"/>
      <c r="G38" s="791"/>
      <c r="H38" s="795"/>
      <c r="I38" s="672"/>
      <c r="J38" s="672"/>
      <c r="K38" s="791"/>
      <c r="L38" s="788"/>
      <c r="M38" s="779" t="e">
        <f>SUBTOTAL(9,M39:M40)</f>
        <v>#REF!</v>
      </c>
      <c r="N38" s="779" t="e">
        <f>SUBTOTAL(9,N39:N40)</f>
        <v>#REF!</v>
      </c>
      <c r="O38" s="779" t="e">
        <f>SUBTOTAL(9,O39:O40)</f>
        <v>#REF!</v>
      </c>
      <c r="P38" s="780" t="e">
        <f t="shared" si="5"/>
        <v>#REF!</v>
      </c>
      <c r="Q38" s="511"/>
      <c r="AA38" s="632"/>
    </row>
    <row r="39" spans="2:27" ht="16.5" hidden="1" customHeight="1" outlineLevel="3">
      <c r="B39" s="776" t="s">
        <v>2207</v>
      </c>
      <c r="C39" s="782"/>
      <c r="D39" s="796" t="s">
        <v>1498</v>
      </c>
      <c r="E39" s="648" t="s">
        <v>1228</v>
      </c>
      <c r="F39" s="648" t="s">
        <v>663</v>
      </c>
      <c r="G39" s="791">
        <v>1</v>
      </c>
      <c r="H39" s="790" t="s">
        <v>143</v>
      </c>
      <c r="I39" s="672" t="e">
        <f>$E$2*(1+$F$2)</f>
        <v>#REF!</v>
      </c>
      <c r="J39" s="672">
        <v>30</v>
      </c>
      <c r="K39" s="778">
        <f>J39/(1+L39)</f>
        <v>27.027027027027025</v>
      </c>
      <c r="L39" s="569">
        <v>0.11</v>
      </c>
      <c r="M39" s="779" t="e">
        <f>G39*I39*K39/10000</f>
        <v>#REF!</v>
      </c>
      <c r="N39" s="779" t="e">
        <f>L39*M39</f>
        <v>#REF!</v>
      </c>
      <c r="O39" s="779" t="e">
        <f>M39+N39</f>
        <v>#REF!</v>
      </c>
      <c r="P39" s="780" t="e">
        <f t="shared" si="5"/>
        <v>#REF!</v>
      </c>
      <c r="Q39" s="781" t="e">
        <f>G39*I39*J39/10000-O39</f>
        <v>#REF!</v>
      </c>
      <c r="AA39" s="632"/>
    </row>
    <row r="40" spans="2:27" ht="16.5" hidden="1" customHeight="1" outlineLevel="3">
      <c r="B40" s="776" t="s">
        <v>1499</v>
      </c>
      <c r="C40" s="782"/>
      <c r="D40" s="796" t="s">
        <v>1500</v>
      </c>
      <c r="E40" s="648" t="s">
        <v>1295</v>
      </c>
      <c r="F40" s="648" t="s">
        <v>663</v>
      </c>
      <c r="G40" s="672">
        <v>1</v>
      </c>
      <c r="H40" s="787" t="s">
        <v>143</v>
      </c>
      <c r="I40" s="672" t="e">
        <f>$E$2*(1+$F$2)</f>
        <v>#REF!</v>
      </c>
      <c r="J40" s="672">
        <v>25</v>
      </c>
      <c r="K40" s="778">
        <f>J40/(1+L40)</f>
        <v>21.36752136752137</v>
      </c>
      <c r="L40" s="569">
        <v>0.17</v>
      </c>
      <c r="M40" s="779" t="e">
        <f>G40*I40*K40/10000</f>
        <v>#REF!</v>
      </c>
      <c r="N40" s="779" t="e">
        <f>L40*M40</f>
        <v>#REF!</v>
      </c>
      <c r="O40" s="779" t="e">
        <f>M40+N40</f>
        <v>#REF!</v>
      </c>
      <c r="P40" s="780" t="e">
        <f t="shared" si="5"/>
        <v>#REF!</v>
      </c>
      <c r="Q40" s="781" t="e">
        <f>G40*I40*J40/10000-O40</f>
        <v>#REF!</v>
      </c>
      <c r="AA40" s="632"/>
    </row>
    <row r="41" spans="2:27" ht="16.5" hidden="1" customHeight="1" outlineLevel="3">
      <c r="B41" s="776" t="s">
        <v>664</v>
      </c>
      <c r="C41" s="782" t="s">
        <v>39</v>
      </c>
      <c r="D41" s="776" t="s">
        <v>667</v>
      </c>
      <c r="E41" s="665"/>
      <c r="F41" s="648"/>
      <c r="G41" s="672"/>
      <c r="H41" s="787"/>
      <c r="I41" s="672"/>
      <c r="J41" s="672"/>
      <c r="K41" s="672"/>
      <c r="L41" s="569"/>
      <c r="M41" s="779" t="e">
        <f>SUBTOTAL(9,M42:M43)</f>
        <v>#REF!</v>
      </c>
      <c r="N41" s="779" t="e">
        <f>SUBTOTAL(9,N42:N43)</f>
        <v>#REF!</v>
      </c>
      <c r="O41" s="779" t="e">
        <f>SUBTOTAL(9,O42:O43)</f>
        <v>#REF!</v>
      </c>
      <c r="P41" s="780" t="e">
        <f t="shared" si="5"/>
        <v>#REF!</v>
      </c>
      <c r="Q41" s="511"/>
      <c r="AA41" s="632"/>
    </row>
    <row r="42" spans="2:27" ht="16.5" hidden="1" customHeight="1" outlineLevel="3">
      <c r="B42" s="776" t="s">
        <v>2206</v>
      </c>
      <c r="C42" s="782"/>
      <c r="D42" s="796" t="s">
        <v>1501</v>
      </c>
      <c r="E42" s="665" t="s">
        <v>1502</v>
      </c>
      <c r="F42" s="648" t="s">
        <v>663</v>
      </c>
      <c r="G42" s="672">
        <v>1</v>
      </c>
      <c r="H42" s="787" t="s">
        <v>143</v>
      </c>
      <c r="I42" s="672" t="e">
        <f>$E$2*(1+$F$2)</f>
        <v>#REF!</v>
      </c>
      <c r="J42" s="672">
        <v>80</v>
      </c>
      <c r="K42" s="778">
        <f>J42/(1+L42)</f>
        <v>72.072072072072061</v>
      </c>
      <c r="L42" s="569">
        <v>0.11</v>
      </c>
      <c r="M42" s="779" t="e">
        <f>G42*I42*K42/10000</f>
        <v>#REF!</v>
      </c>
      <c r="N42" s="779" t="e">
        <f>L42*M42</f>
        <v>#REF!</v>
      </c>
      <c r="O42" s="779" t="e">
        <f>M42+N42</f>
        <v>#REF!</v>
      </c>
      <c r="P42" s="780" t="e">
        <f t="shared" si="5"/>
        <v>#REF!</v>
      </c>
      <c r="Q42" s="781" t="e">
        <f>G42*I42*J42/10000-O42</f>
        <v>#REF!</v>
      </c>
      <c r="AA42" s="632"/>
    </row>
    <row r="43" spans="2:27" ht="16.5" hidden="1" customHeight="1" outlineLevel="3">
      <c r="B43" s="776" t="s">
        <v>1503</v>
      </c>
      <c r="C43" s="782"/>
      <c r="D43" s="796" t="s">
        <v>1504</v>
      </c>
      <c r="E43" s="665" t="s">
        <v>1505</v>
      </c>
      <c r="F43" s="648"/>
      <c r="G43" s="672">
        <v>1</v>
      </c>
      <c r="H43" s="787" t="s">
        <v>741</v>
      </c>
      <c r="I43" s="672" t="e">
        <f>$H$2</f>
        <v>#REF!</v>
      </c>
      <c r="J43" s="672">
        <v>1800</v>
      </c>
      <c r="K43" s="778">
        <f>J43/(1+L43)</f>
        <v>1800</v>
      </c>
      <c r="L43" s="569">
        <v>0</v>
      </c>
      <c r="M43" s="779" t="e">
        <f>G43*I43*K43/10000</f>
        <v>#REF!</v>
      </c>
      <c r="N43" s="779" t="e">
        <f>L43*M43</f>
        <v>#REF!</v>
      </c>
      <c r="O43" s="779" t="e">
        <f>M43+N43</f>
        <v>#REF!</v>
      </c>
      <c r="P43" s="780" t="e">
        <f t="shared" si="5"/>
        <v>#REF!</v>
      </c>
      <c r="Q43" s="781" t="e">
        <f>G43*I43*J43/10000-O43</f>
        <v>#REF!</v>
      </c>
      <c r="AA43" s="632"/>
    </row>
    <row r="44" spans="2:27" ht="16.5" hidden="1" customHeight="1" outlineLevel="3">
      <c r="B44" s="776" t="s">
        <v>665</v>
      </c>
      <c r="C44" s="782" t="s">
        <v>39</v>
      </c>
      <c r="D44" s="776" t="s">
        <v>668</v>
      </c>
      <c r="E44" s="665"/>
      <c r="F44" s="648"/>
      <c r="G44" s="672"/>
      <c r="H44" s="787"/>
      <c r="I44" s="672"/>
      <c r="J44" s="672"/>
      <c r="K44" s="672"/>
      <c r="L44" s="569"/>
      <c r="M44" s="779" t="e">
        <f>SUBTOTAL(9,M45:M46)</f>
        <v>#REF!</v>
      </c>
      <c r="N44" s="779" t="e">
        <f>SUBTOTAL(9,N45:N46)</f>
        <v>#REF!</v>
      </c>
      <c r="O44" s="779" t="e">
        <f>SUBTOTAL(9,O45:O46)</f>
        <v>#REF!</v>
      </c>
      <c r="P44" s="780" t="e">
        <f t="shared" si="5"/>
        <v>#REF!</v>
      </c>
      <c r="Q44" s="511"/>
      <c r="AA44" s="632"/>
    </row>
    <row r="45" spans="2:27" ht="16.5" hidden="1" customHeight="1" outlineLevel="3">
      <c r="B45" s="776" t="s">
        <v>2205</v>
      </c>
      <c r="C45" s="782"/>
      <c r="D45" s="796" t="s">
        <v>1506</v>
      </c>
      <c r="E45" s="665" t="s">
        <v>1300</v>
      </c>
      <c r="F45" s="648" t="s">
        <v>663</v>
      </c>
      <c r="G45" s="672">
        <v>1</v>
      </c>
      <c r="H45" s="787" t="s">
        <v>143</v>
      </c>
      <c r="I45" s="672" t="e">
        <f>$E$2*(1+$F$2)</f>
        <v>#REF!</v>
      </c>
      <c r="J45" s="672"/>
      <c r="K45" s="672">
        <v>0</v>
      </c>
      <c r="L45" s="569">
        <v>0.11</v>
      </c>
      <c r="M45" s="779" t="e">
        <f>G45*I45*K45/10000</f>
        <v>#REF!</v>
      </c>
      <c r="N45" s="779" t="e">
        <f>L45*M45</f>
        <v>#REF!</v>
      </c>
      <c r="O45" s="779" t="e">
        <f>M45+N45</f>
        <v>#REF!</v>
      </c>
      <c r="P45" s="780" t="e">
        <f t="shared" si="5"/>
        <v>#REF!</v>
      </c>
      <c r="Q45" s="781" t="e">
        <f>G45*I45*J45/10000-O45</f>
        <v>#REF!</v>
      </c>
      <c r="AA45" s="632"/>
    </row>
    <row r="46" spans="2:27" ht="16.5" hidden="1" customHeight="1" outlineLevel="3">
      <c r="B46" s="776" t="s">
        <v>1507</v>
      </c>
      <c r="C46" s="782"/>
      <c r="D46" s="796" t="s">
        <v>2157</v>
      </c>
      <c r="E46" s="665" t="s">
        <v>1300</v>
      </c>
      <c r="F46" s="648" t="s">
        <v>41</v>
      </c>
      <c r="G46" s="672">
        <v>1</v>
      </c>
      <c r="H46" s="787" t="s">
        <v>741</v>
      </c>
      <c r="I46" s="672" t="e">
        <f>$H$2</f>
        <v>#REF!</v>
      </c>
      <c r="J46" s="672">
        <v>1753</v>
      </c>
      <c r="K46" s="778">
        <f>J46/(1+L46)</f>
        <v>1753</v>
      </c>
      <c r="L46" s="569">
        <v>0</v>
      </c>
      <c r="M46" s="779" t="e">
        <f>G46*I46*K46/10000</f>
        <v>#REF!</v>
      </c>
      <c r="N46" s="779" t="e">
        <f>L46*M46</f>
        <v>#REF!</v>
      </c>
      <c r="O46" s="779" t="e">
        <f>M46+N46</f>
        <v>#REF!</v>
      </c>
      <c r="P46" s="780" t="e">
        <f t="shared" si="5"/>
        <v>#REF!</v>
      </c>
      <c r="Q46" s="781" t="e">
        <f>G46*I46*J46/10000-O46</f>
        <v>#REF!</v>
      </c>
      <c r="AA46" s="632"/>
    </row>
    <row r="47" spans="2:27" ht="16.5" hidden="1" customHeight="1" outlineLevel="3">
      <c r="B47" s="776" t="s">
        <v>666</v>
      </c>
      <c r="C47" s="782" t="s">
        <v>39</v>
      </c>
      <c r="D47" s="776" t="s">
        <v>1508</v>
      </c>
      <c r="E47" s="665"/>
      <c r="F47" s="648"/>
      <c r="G47" s="672"/>
      <c r="H47" s="787"/>
      <c r="I47" s="672"/>
      <c r="J47" s="672"/>
      <c r="K47" s="672"/>
      <c r="L47" s="569"/>
      <c r="M47" s="779" t="e">
        <f>SUBTOTAL(9,M48:M55)</f>
        <v>#REF!</v>
      </c>
      <c r="N47" s="779" t="e">
        <f>SUBTOTAL(9,N48:N55)</f>
        <v>#REF!</v>
      </c>
      <c r="O47" s="779" t="e">
        <f>SUBTOTAL(9,O48:O55)</f>
        <v>#REF!</v>
      </c>
      <c r="P47" s="780" t="e">
        <f t="shared" si="5"/>
        <v>#REF!</v>
      </c>
      <c r="Q47" s="511"/>
      <c r="AA47" s="632"/>
    </row>
    <row r="48" spans="2:27" ht="16.5" hidden="1" customHeight="1" outlineLevel="3">
      <c r="B48" s="776" t="s">
        <v>2156</v>
      </c>
      <c r="C48" s="782"/>
      <c r="D48" s="796" t="s">
        <v>1509</v>
      </c>
      <c r="E48" s="648" t="s">
        <v>1228</v>
      </c>
      <c r="F48" s="648" t="s">
        <v>663</v>
      </c>
      <c r="G48" s="791">
        <v>1</v>
      </c>
      <c r="H48" s="790" t="s">
        <v>143</v>
      </c>
      <c r="I48" s="672" t="e">
        <f t="shared" ref="I48:I55" si="6">$E$2*(1+$F$2)</f>
        <v>#REF!</v>
      </c>
      <c r="J48" s="672">
        <v>80</v>
      </c>
      <c r="K48" s="778">
        <f t="shared" ref="K48:K54" si="7">J48/(1+L48)</f>
        <v>72.072072072072061</v>
      </c>
      <c r="L48" s="569">
        <v>0.11</v>
      </c>
      <c r="M48" s="779" t="e">
        <f t="shared" ref="M48:M55" si="8">G48*I48*K48/10000</f>
        <v>#REF!</v>
      </c>
      <c r="N48" s="779" t="e">
        <f t="shared" ref="N48:N55" si="9">L48*M48</f>
        <v>#REF!</v>
      </c>
      <c r="O48" s="779" t="e">
        <f t="shared" ref="O48:O55" si="10">M48+N48</f>
        <v>#REF!</v>
      </c>
      <c r="P48" s="780" t="e">
        <f t="shared" si="5"/>
        <v>#REF!</v>
      </c>
      <c r="Q48" s="781" t="e">
        <f t="shared" ref="Q48:Q55" si="11">G48*I48*J48/10000-O48</f>
        <v>#REF!</v>
      </c>
      <c r="AA48" s="632"/>
    </row>
    <row r="49" spans="2:27" ht="16.5" hidden="1" customHeight="1" outlineLevel="3">
      <c r="B49" s="776" t="s">
        <v>1510</v>
      </c>
      <c r="C49" s="782"/>
      <c r="D49" s="796" t="s">
        <v>1511</v>
      </c>
      <c r="E49" s="648" t="s">
        <v>1295</v>
      </c>
      <c r="F49" s="648" t="s">
        <v>2203</v>
      </c>
      <c r="G49" s="791">
        <v>1</v>
      </c>
      <c r="H49" s="790" t="s">
        <v>143</v>
      </c>
      <c r="I49" s="672" t="e">
        <f t="shared" si="6"/>
        <v>#REF!</v>
      </c>
      <c r="J49" s="672">
        <v>5</v>
      </c>
      <c r="K49" s="778">
        <f t="shared" si="7"/>
        <v>4.2735042735042734</v>
      </c>
      <c r="L49" s="569">
        <v>0.17</v>
      </c>
      <c r="M49" s="779" t="e">
        <f t="shared" si="8"/>
        <v>#REF!</v>
      </c>
      <c r="N49" s="779" t="e">
        <f t="shared" si="9"/>
        <v>#REF!</v>
      </c>
      <c r="O49" s="779" t="e">
        <f t="shared" si="10"/>
        <v>#REF!</v>
      </c>
      <c r="P49" s="780" t="e">
        <f t="shared" si="5"/>
        <v>#REF!</v>
      </c>
      <c r="Q49" s="781" t="e">
        <f t="shared" si="11"/>
        <v>#REF!</v>
      </c>
      <c r="AA49" s="632"/>
    </row>
    <row r="50" spans="2:27" ht="16.5" hidden="1" customHeight="1" outlineLevel="3">
      <c r="B50" s="776" t="s">
        <v>1512</v>
      </c>
      <c r="C50" s="782"/>
      <c r="D50" s="796" t="s">
        <v>1513</v>
      </c>
      <c r="E50" s="797" t="s">
        <v>2204</v>
      </c>
      <c r="F50" s="648" t="s">
        <v>2203</v>
      </c>
      <c r="G50" s="791">
        <v>1</v>
      </c>
      <c r="H50" s="790" t="s">
        <v>143</v>
      </c>
      <c r="I50" s="672" t="e">
        <f t="shared" si="6"/>
        <v>#REF!</v>
      </c>
      <c r="J50" s="672">
        <v>20</v>
      </c>
      <c r="K50" s="778">
        <f t="shared" si="7"/>
        <v>17.094017094017094</v>
      </c>
      <c r="L50" s="569">
        <v>0.17</v>
      </c>
      <c r="M50" s="779" t="e">
        <f t="shared" si="8"/>
        <v>#REF!</v>
      </c>
      <c r="N50" s="779" t="e">
        <f t="shared" si="9"/>
        <v>#REF!</v>
      </c>
      <c r="O50" s="779" t="e">
        <f t="shared" si="10"/>
        <v>#REF!</v>
      </c>
      <c r="P50" s="780" t="e">
        <f t="shared" si="5"/>
        <v>#REF!</v>
      </c>
      <c r="Q50" s="781" t="e">
        <f t="shared" si="11"/>
        <v>#REF!</v>
      </c>
      <c r="AA50" s="632"/>
    </row>
    <row r="51" spans="2:27" ht="16.5" hidden="1" customHeight="1" outlineLevel="3">
      <c r="B51" s="776" t="s">
        <v>1514</v>
      </c>
      <c r="C51" s="782"/>
      <c r="D51" s="796" t="s">
        <v>1515</v>
      </c>
      <c r="E51" s="665" t="s">
        <v>1516</v>
      </c>
      <c r="F51" s="648" t="s">
        <v>2203</v>
      </c>
      <c r="G51" s="791">
        <v>1</v>
      </c>
      <c r="H51" s="790" t="s">
        <v>143</v>
      </c>
      <c r="I51" s="672" t="e">
        <f t="shared" si="6"/>
        <v>#REF!</v>
      </c>
      <c r="J51" s="672"/>
      <c r="K51" s="778">
        <f t="shared" si="7"/>
        <v>0</v>
      </c>
      <c r="L51" s="569">
        <v>0.17</v>
      </c>
      <c r="M51" s="779" t="e">
        <f t="shared" si="8"/>
        <v>#REF!</v>
      </c>
      <c r="N51" s="779" t="e">
        <f t="shared" si="9"/>
        <v>#REF!</v>
      </c>
      <c r="O51" s="779" t="e">
        <f t="shared" si="10"/>
        <v>#REF!</v>
      </c>
      <c r="P51" s="780" t="e">
        <f t="shared" si="5"/>
        <v>#REF!</v>
      </c>
      <c r="Q51" s="781" t="e">
        <f t="shared" si="11"/>
        <v>#REF!</v>
      </c>
      <c r="AA51" s="632"/>
    </row>
    <row r="52" spans="2:27" ht="16.5" hidden="1" customHeight="1" outlineLevel="3">
      <c r="B52" s="776" t="s">
        <v>1517</v>
      </c>
      <c r="C52" s="782"/>
      <c r="D52" s="796" t="s">
        <v>1518</v>
      </c>
      <c r="E52" s="665" t="s">
        <v>2152</v>
      </c>
      <c r="F52" s="648" t="s">
        <v>2203</v>
      </c>
      <c r="G52" s="791">
        <v>1</v>
      </c>
      <c r="H52" s="790" t="s">
        <v>143</v>
      </c>
      <c r="I52" s="672" t="e">
        <f t="shared" si="6"/>
        <v>#REF!</v>
      </c>
      <c r="J52" s="672">
        <v>15</v>
      </c>
      <c r="K52" s="778">
        <f t="shared" si="7"/>
        <v>12.820512820512821</v>
      </c>
      <c r="L52" s="569">
        <v>0.17</v>
      </c>
      <c r="M52" s="779" t="e">
        <f t="shared" si="8"/>
        <v>#REF!</v>
      </c>
      <c r="N52" s="779" t="e">
        <f t="shared" si="9"/>
        <v>#REF!</v>
      </c>
      <c r="O52" s="779" t="e">
        <f t="shared" si="10"/>
        <v>#REF!</v>
      </c>
      <c r="P52" s="780" t="e">
        <f t="shared" si="5"/>
        <v>#REF!</v>
      </c>
      <c r="Q52" s="781" t="e">
        <f t="shared" si="11"/>
        <v>#REF!</v>
      </c>
      <c r="AA52" s="632"/>
    </row>
    <row r="53" spans="2:27" s="633" customFormat="1" ht="16.5" hidden="1" customHeight="1" outlineLevel="3">
      <c r="B53" s="776" t="s">
        <v>1519</v>
      </c>
      <c r="C53" s="792"/>
      <c r="D53" s="796" t="s">
        <v>1520</v>
      </c>
      <c r="E53" s="648" t="s">
        <v>1228</v>
      </c>
      <c r="F53" s="648" t="s">
        <v>2203</v>
      </c>
      <c r="G53" s="672"/>
      <c r="H53" s="787" t="s">
        <v>143</v>
      </c>
      <c r="I53" s="672" t="e">
        <f t="shared" si="6"/>
        <v>#REF!</v>
      </c>
      <c r="J53" s="672"/>
      <c r="K53" s="672">
        <f t="shared" si="7"/>
        <v>0</v>
      </c>
      <c r="L53" s="569">
        <v>0</v>
      </c>
      <c r="M53" s="779" t="e">
        <f t="shared" si="8"/>
        <v>#REF!</v>
      </c>
      <c r="N53" s="779" t="e">
        <f t="shared" si="9"/>
        <v>#REF!</v>
      </c>
      <c r="O53" s="779" t="e">
        <f t="shared" si="10"/>
        <v>#REF!</v>
      </c>
      <c r="P53" s="780" t="e">
        <f t="shared" si="5"/>
        <v>#REF!</v>
      </c>
      <c r="Q53" s="781" t="e">
        <f t="shared" si="11"/>
        <v>#REF!</v>
      </c>
    </row>
    <row r="54" spans="2:27" ht="16.5" hidden="1" customHeight="1" outlineLevel="3">
      <c r="B54" s="776" t="s">
        <v>1521</v>
      </c>
      <c r="C54" s="782"/>
      <c r="D54" s="796" t="s">
        <v>1522</v>
      </c>
      <c r="E54" s="665" t="s">
        <v>2152</v>
      </c>
      <c r="F54" s="648" t="s">
        <v>2203</v>
      </c>
      <c r="G54" s="791">
        <v>1</v>
      </c>
      <c r="H54" s="790" t="s">
        <v>143</v>
      </c>
      <c r="I54" s="672" t="e">
        <f>H2</f>
        <v>#REF!</v>
      </c>
      <c r="J54" s="672">
        <v>700</v>
      </c>
      <c r="K54" s="778">
        <f t="shared" si="7"/>
        <v>598.29059829059838</v>
      </c>
      <c r="L54" s="569">
        <v>0.17</v>
      </c>
      <c r="M54" s="779" t="e">
        <f t="shared" si="8"/>
        <v>#REF!</v>
      </c>
      <c r="N54" s="779" t="e">
        <f t="shared" si="9"/>
        <v>#REF!</v>
      </c>
      <c r="O54" s="779" t="e">
        <f t="shared" si="10"/>
        <v>#REF!</v>
      </c>
      <c r="P54" s="780" t="e">
        <f t="shared" si="5"/>
        <v>#REF!</v>
      </c>
      <c r="Q54" s="781" t="e">
        <f t="shared" si="11"/>
        <v>#REF!</v>
      </c>
      <c r="AA54" s="632"/>
    </row>
    <row r="55" spans="2:27" ht="16.5" hidden="1" customHeight="1" outlineLevel="3">
      <c r="B55" s="776" t="s">
        <v>1523</v>
      </c>
      <c r="C55" s="782"/>
      <c r="D55" s="796" t="s">
        <v>1524</v>
      </c>
      <c r="E55" s="648" t="s">
        <v>1228</v>
      </c>
      <c r="F55" s="648" t="s">
        <v>2203</v>
      </c>
      <c r="G55" s="791">
        <v>1</v>
      </c>
      <c r="H55" s="790" t="s">
        <v>143</v>
      </c>
      <c r="I55" s="672" t="e">
        <f t="shared" si="6"/>
        <v>#REF!</v>
      </c>
      <c r="J55" s="672"/>
      <c r="K55" s="672"/>
      <c r="L55" s="569">
        <v>0.17</v>
      </c>
      <c r="M55" s="779" t="e">
        <f t="shared" si="8"/>
        <v>#REF!</v>
      </c>
      <c r="N55" s="779" t="e">
        <f t="shared" si="9"/>
        <v>#REF!</v>
      </c>
      <c r="O55" s="779" t="e">
        <f t="shared" si="10"/>
        <v>#REF!</v>
      </c>
      <c r="P55" s="780" t="e">
        <f t="shared" si="5"/>
        <v>#REF!</v>
      </c>
      <c r="Q55" s="781" t="e">
        <f t="shared" si="11"/>
        <v>#REF!</v>
      </c>
      <c r="AA55" s="632"/>
    </row>
    <row r="56" spans="2:27" ht="16.5" hidden="1" customHeight="1" outlineLevel="2" collapsed="1">
      <c r="B56" s="776" t="s">
        <v>670</v>
      </c>
      <c r="C56" s="777" t="s">
        <v>33</v>
      </c>
      <c r="D56" s="776" t="s">
        <v>2202</v>
      </c>
      <c r="E56" s="665"/>
      <c r="F56" s="665"/>
      <c r="G56" s="794"/>
      <c r="H56" s="795"/>
      <c r="I56" s="791"/>
      <c r="J56" s="791"/>
      <c r="K56" s="791"/>
      <c r="L56" s="788"/>
      <c r="M56" s="779" t="e">
        <f>SUBTOTAL(9,M57:M68)</f>
        <v>#REF!</v>
      </c>
      <c r="N56" s="779" t="e">
        <f>SUBTOTAL(9,N57:N68)</f>
        <v>#REF!</v>
      </c>
      <c r="O56" s="779" t="e">
        <f>SUBTOTAL(9,O57:O68)</f>
        <v>#REF!</v>
      </c>
      <c r="P56" s="780" t="e">
        <f t="shared" si="5"/>
        <v>#REF!</v>
      </c>
      <c r="Q56" s="511"/>
      <c r="AA56" s="632"/>
    </row>
    <row r="57" spans="2:27" ht="16.5" hidden="1" customHeight="1" outlineLevel="3">
      <c r="B57" s="776" t="s">
        <v>671</v>
      </c>
      <c r="C57" s="782" t="s">
        <v>39</v>
      </c>
      <c r="D57" s="776" t="s">
        <v>2201</v>
      </c>
      <c r="E57" s="665"/>
      <c r="F57" s="665"/>
      <c r="G57" s="791"/>
      <c r="H57" s="795"/>
      <c r="I57" s="791"/>
      <c r="J57" s="791"/>
      <c r="K57" s="798"/>
      <c r="L57" s="788"/>
      <c r="M57" s="779" t="e">
        <f>SUBTOTAL(9,M58:M59)</f>
        <v>#REF!</v>
      </c>
      <c r="N57" s="779" t="e">
        <f>SUBTOTAL(9,N58:N59)</f>
        <v>#REF!</v>
      </c>
      <c r="O57" s="779" t="e">
        <f>SUBTOTAL(9,O58:O59)</f>
        <v>#REF!</v>
      </c>
      <c r="P57" s="780" t="e">
        <f t="shared" si="5"/>
        <v>#REF!</v>
      </c>
      <c r="Q57" s="511"/>
      <c r="AA57" s="632"/>
    </row>
    <row r="58" spans="2:27" ht="16.5" hidden="1" customHeight="1" outlineLevel="3">
      <c r="B58" s="776" t="s">
        <v>2200</v>
      </c>
      <c r="C58" s="782"/>
      <c r="D58" s="796" t="s">
        <v>1525</v>
      </c>
      <c r="E58" s="665" t="s">
        <v>456</v>
      </c>
      <c r="F58" s="665" t="s">
        <v>18</v>
      </c>
      <c r="G58" s="791">
        <v>2</v>
      </c>
      <c r="H58" s="795" t="s">
        <v>1920</v>
      </c>
      <c r="I58" s="791" t="e">
        <f>$I$2</f>
        <v>#REF!</v>
      </c>
      <c r="J58" s="791">
        <v>200000</v>
      </c>
      <c r="K58" s="778">
        <f>J58/(1+L58)</f>
        <v>170940.17094017094</v>
      </c>
      <c r="L58" s="569">
        <v>0.17</v>
      </c>
      <c r="M58" s="779" t="e">
        <f>G58*I58*K58/10000</f>
        <v>#REF!</v>
      </c>
      <c r="N58" s="779" t="e">
        <f>L58*M58</f>
        <v>#REF!</v>
      </c>
      <c r="O58" s="779" t="e">
        <f>M58+N58</f>
        <v>#REF!</v>
      </c>
      <c r="P58" s="780" t="e">
        <f t="shared" si="5"/>
        <v>#REF!</v>
      </c>
      <c r="Q58" s="511" t="e">
        <f>G58*I58*J58/10000-O58</f>
        <v>#REF!</v>
      </c>
      <c r="AA58" s="632"/>
    </row>
    <row r="59" spans="2:27" ht="16.5" hidden="1" customHeight="1" outlineLevel="3">
      <c r="B59" s="776" t="s">
        <v>1526</v>
      </c>
      <c r="C59" s="782"/>
      <c r="D59" s="796" t="s">
        <v>1527</v>
      </c>
      <c r="E59" s="799" t="s">
        <v>2199</v>
      </c>
      <c r="F59" s="665" t="s">
        <v>18</v>
      </c>
      <c r="G59" s="791">
        <v>2</v>
      </c>
      <c r="H59" s="795" t="s">
        <v>1920</v>
      </c>
      <c r="I59" s="791" t="e">
        <f>$I$2</f>
        <v>#REF!</v>
      </c>
      <c r="J59" s="791">
        <v>50000</v>
      </c>
      <c r="K59" s="778">
        <f>J59/(1+L59)</f>
        <v>45045.045045045044</v>
      </c>
      <c r="L59" s="569">
        <v>0.11</v>
      </c>
      <c r="M59" s="779" t="e">
        <f>G59*I59*K59/10000</f>
        <v>#REF!</v>
      </c>
      <c r="N59" s="779" t="e">
        <f>L59*M59</f>
        <v>#REF!</v>
      </c>
      <c r="O59" s="779" t="e">
        <f>M59+N59</f>
        <v>#REF!</v>
      </c>
      <c r="P59" s="780" t="e">
        <f t="shared" si="5"/>
        <v>#REF!</v>
      </c>
      <c r="Q59" s="511" t="e">
        <f>G59*I59*J59/10000-O59</f>
        <v>#REF!</v>
      </c>
      <c r="AA59" s="632"/>
    </row>
    <row r="60" spans="2:27" ht="16.5" hidden="1" customHeight="1" outlineLevel="3">
      <c r="B60" s="776" t="s">
        <v>672</v>
      </c>
      <c r="C60" s="782" t="s">
        <v>39</v>
      </c>
      <c r="D60" s="776" t="s">
        <v>2198</v>
      </c>
      <c r="E60" s="665"/>
      <c r="F60" s="665"/>
      <c r="G60" s="791"/>
      <c r="H60" s="795"/>
      <c r="I60" s="791"/>
      <c r="J60" s="791"/>
      <c r="K60" s="798"/>
      <c r="L60" s="788"/>
      <c r="M60" s="779">
        <f>SUBTOTAL(9,M61:M62)</f>
        <v>0</v>
      </c>
      <c r="N60" s="779">
        <f>SUBTOTAL(9,N61:N62)</f>
        <v>0</v>
      </c>
      <c r="O60" s="779">
        <f>SUBTOTAL(9,O61:O62)</f>
        <v>0</v>
      </c>
      <c r="P60" s="780" t="e">
        <f t="shared" si="5"/>
        <v>#REF!</v>
      </c>
      <c r="Q60" s="511">
        <f>G60*I60*J60/10000-O60</f>
        <v>0</v>
      </c>
      <c r="AA60" s="632"/>
    </row>
    <row r="61" spans="2:27" ht="16.5" hidden="1" customHeight="1" outlineLevel="3">
      <c r="B61" s="776" t="s">
        <v>2197</v>
      </c>
      <c r="C61" s="782"/>
      <c r="D61" s="796" t="s">
        <v>2146</v>
      </c>
      <c r="E61" s="665" t="s">
        <v>1528</v>
      </c>
      <c r="F61" s="665"/>
      <c r="G61" s="791"/>
      <c r="H61" s="795"/>
      <c r="I61" s="791"/>
      <c r="J61" s="791"/>
      <c r="K61" s="798"/>
      <c r="L61" s="788"/>
      <c r="M61" s="779">
        <f>G61*I61*K61/10000</f>
        <v>0</v>
      </c>
      <c r="N61" s="779">
        <f>L61*M61</f>
        <v>0</v>
      </c>
      <c r="O61" s="779">
        <f>M61+N61</f>
        <v>0</v>
      </c>
      <c r="P61" s="780" t="e">
        <f t="shared" si="5"/>
        <v>#REF!</v>
      </c>
      <c r="Q61" s="511">
        <f>G61*I61*J61/10000-O61</f>
        <v>0</v>
      </c>
      <c r="AA61" s="632"/>
    </row>
    <row r="62" spans="2:27" ht="16.5" hidden="1" customHeight="1" outlineLevel="3">
      <c r="B62" s="776" t="s">
        <v>1529</v>
      </c>
      <c r="C62" s="782"/>
      <c r="D62" s="796" t="s">
        <v>2196</v>
      </c>
      <c r="E62" s="665" t="s">
        <v>1530</v>
      </c>
      <c r="F62" s="665"/>
      <c r="G62" s="791"/>
      <c r="H62" s="795"/>
      <c r="I62" s="791"/>
      <c r="J62" s="791"/>
      <c r="K62" s="798"/>
      <c r="L62" s="788"/>
      <c r="M62" s="779">
        <f>G62*I62*K62/10000</f>
        <v>0</v>
      </c>
      <c r="N62" s="779">
        <f>L62*M62</f>
        <v>0</v>
      </c>
      <c r="O62" s="779">
        <f>M62+N62</f>
        <v>0</v>
      </c>
      <c r="P62" s="780" t="e">
        <f t="shared" si="5"/>
        <v>#REF!</v>
      </c>
      <c r="Q62" s="511">
        <f>G62*I62*J62/10000-O62</f>
        <v>0</v>
      </c>
      <c r="AA62" s="632"/>
    </row>
    <row r="63" spans="2:27" ht="16.5" hidden="1" customHeight="1" outlineLevel="3">
      <c r="B63" s="776" t="s">
        <v>673</v>
      </c>
      <c r="C63" s="782" t="s">
        <v>39</v>
      </c>
      <c r="D63" s="776" t="s">
        <v>2195</v>
      </c>
      <c r="E63" s="648"/>
      <c r="F63" s="648"/>
      <c r="G63" s="791"/>
      <c r="H63" s="795"/>
      <c r="I63" s="672"/>
      <c r="J63" s="672"/>
      <c r="K63" s="791"/>
      <c r="L63" s="788"/>
      <c r="M63" s="779" t="e">
        <f>SUBTOTAL(9,M64:M65)</f>
        <v>#REF!</v>
      </c>
      <c r="N63" s="779" t="e">
        <f>SUBTOTAL(9,N64:N65)</f>
        <v>#REF!</v>
      </c>
      <c r="O63" s="779" t="e">
        <f>SUBTOTAL(9,O64:O65)</f>
        <v>#REF!</v>
      </c>
      <c r="P63" s="780" t="e">
        <f t="shared" si="5"/>
        <v>#REF!</v>
      </c>
      <c r="Q63" s="511"/>
      <c r="AA63" s="632"/>
    </row>
    <row r="64" spans="2:27" ht="16.5" hidden="1" customHeight="1" outlineLevel="3">
      <c r="B64" s="776" t="s">
        <v>2144</v>
      </c>
      <c r="C64" s="782"/>
      <c r="D64" s="796" t="s">
        <v>1531</v>
      </c>
      <c r="E64" s="648" t="s">
        <v>455</v>
      </c>
      <c r="F64" s="648" t="s">
        <v>657</v>
      </c>
      <c r="G64" s="791">
        <v>1</v>
      </c>
      <c r="H64" s="795" t="s">
        <v>143</v>
      </c>
      <c r="I64" s="672" t="e">
        <f>$E$2*(1+$F$2)</f>
        <v>#REF!</v>
      </c>
      <c r="J64" s="672">
        <v>50</v>
      </c>
      <c r="K64" s="778">
        <f>J64/(1+L64)</f>
        <v>45.045045045045043</v>
      </c>
      <c r="L64" s="569">
        <v>0.11</v>
      </c>
      <c r="M64" s="779" t="e">
        <f>G64*I64*K64/10000</f>
        <v>#REF!</v>
      </c>
      <c r="N64" s="779" t="e">
        <f>L64*M64</f>
        <v>#REF!</v>
      </c>
      <c r="O64" s="779" t="e">
        <f>M64+N64</f>
        <v>#REF!</v>
      </c>
      <c r="P64" s="780" t="e">
        <f t="shared" si="5"/>
        <v>#REF!</v>
      </c>
      <c r="Q64" s="511" t="e">
        <f>G64*I64*J64/10000-O64</f>
        <v>#REF!</v>
      </c>
      <c r="AA64" s="632"/>
    </row>
    <row r="65" spans="2:27" ht="16.5" hidden="1" customHeight="1" outlineLevel="3">
      <c r="B65" s="776" t="s">
        <v>1532</v>
      </c>
      <c r="C65" s="782"/>
      <c r="D65" s="796" t="s">
        <v>1533</v>
      </c>
      <c r="E65" s="648" t="s">
        <v>455</v>
      </c>
      <c r="F65" s="648" t="s">
        <v>657</v>
      </c>
      <c r="G65" s="791">
        <v>1</v>
      </c>
      <c r="H65" s="795" t="s">
        <v>143</v>
      </c>
      <c r="I65" s="672" t="e">
        <f>$E$2*(1+$F$2)</f>
        <v>#REF!</v>
      </c>
      <c r="J65" s="672"/>
      <c r="K65" s="778">
        <f>J65/(1+L65)</f>
        <v>0</v>
      </c>
      <c r="L65" s="569">
        <v>0.17</v>
      </c>
      <c r="M65" s="779" t="e">
        <f>G65*I65*K65/10000</f>
        <v>#REF!</v>
      </c>
      <c r="N65" s="779" t="e">
        <f>L65*M65</f>
        <v>#REF!</v>
      </c>
      <c r="O65" s="779" t="e">
        <f>M65+N65</f>
        <v>#REF!</v>
      </c>
      <c r="P65" s="780" t="e">
        <f t="shared" si="5"/>
        <v>#REF!</v>
      </c>
      <c r="Q65" s="511" t="e">
        <f>G65*I65*J65/10000-O65</f>
        <v>#REF!</v>
      </c>
      <c r="AA65" s="632"/>
    </row>
    <row r="66" spans="2:27" ht="16.5" hidden="1" customHeight="1" outlineLevel="3">
      <c r="B66" s="776" t="s">
        <v>2194</v>
      </c>
      <c r="C66" s="782" t="s">
        <v>39</v>
      </c>
      <c r="D66" s="776" t="s">
        <v>2142</v>
      </c>
      <c r="E66" s="665"/>
      <c r="F66" s="665"/>
      <c r="G66" s="791">
        <v>1</v>
      </c>
      <c r="H66" s="795" t="s">
        <v>143</v>
      </c>
      <c r="I66" s="791"/>
      <c r="J66" s="791"/>
      <c r="K66" s="791"/>
      <c r="L66" s="788"/>
      <c r="M66" s="779" t="e">
        <f>SUBTOTAL(9,M67:M68)</f>
        <v>#REF!</v>
      </c>
      <c r="N66" s="779" t="e">
        <f>SUBTOTAL(9,N67:N68)</f>
        <v>#REF!</v>
      </c>
      <c r="O66" s="779" t="e">
        <f>SUBTOTAL(9,O67:O68)</f>
        <v>#REF!</v>
      </c>
      <c r="P66" s="780" t="e">
        <f t="shared" si="5"/>
        <v>#REF!</v>
      </c>
      <c r="Q66" s="511" t="e">
        <f>G66*I66*J66/10000-O66</f>
        <v>#REF!</v>
      </c>
      <c r="AA66" s="632"/>
    </row>
    <row r="67" spans="2:27" ht="16.5" hidden="1" customHeight="1" outlineLevel="3">
      <c r="B67" s="776" t="s">
        <v>2193</v>
      </c>
      <c r="C67" s="782"/>
      <c r="D67" s="796" t="s">
        <v>1534</v>
      </c>
      <c r="E67" s="665" t="s">
        <v>1535</v>
      </c>
      <c r="F67" s="648" t="s">
        <v>657</v>
      </c>
      <c r="G67" s="791">
        <v>1</v>
      </c>
      <c r="H67" s="795" t="s">
        <v>143</v>
      </c>
      <c r="I67" s="672" t="e">
        <f>$E$2*(1+$F$2)</f>
        <v>#REF!</v>
      </c>
      <c r="J67" s="672"/>
      <c r="K67" s="791">
        <f>J67/(1+L67)</f>
        <v>0</v>
      </c>
      <c r="L67" s="569">
        <v>0.17</v>
      </c>
      <c r="M67" s="779" t="e">
        <f>G67*I67*K67/10000</f>
        <v>#REF!</v>
      </c>
      <c r="N67" s="779" t="e">
        <f>L67*M67</f>
        <v>#REF!</v>
      </c>
      <c r="O67" s="779" t="e">
        <f>M67+N67</f>
        <v>#REF!</v>
      </c>
      <c r="P67" s="780" t="e">
        <f t="shared" si="5"/>
        <v>#REF!</v>
      </c>
      <c r="Q67" s="511" t="e">
        <f>G67*I67*J67/10000-O67</f>
        <v>#REF!</v>
      </c>
      <c r="AA67" s="632"/>
    </row>
    <row r="68" spans="2:27" ht="16.5" hidden="1" customHeight="1" outlineLevel="3">
      <c r="B68" s="776" t="s">
        <v>2192</v>
      </c>
      <c r="C68" s="782"/>
      <c r="D68" s="796" t="s">
        <v>1536</v>
      </c>
      <c r="E68" s="648" t="s">
        <v>455</v>
      </c>
      <c r="F68" s="648" t="s">
        <v>657</v>
      </c>
      <c r="G68" s="791">
        <v>1</v>
      </c>
      <c r="H68" s="795" t="s">
        <v>143</v>
      </c>
      <c r="I68" s="672" t="e">
        <f>$E$2*(1+$F$2)</f>
        <v>#REF!</v>
      </c>
      <c r="J68" s="672"/>
      <c r="K68" s="791">
        <f>J68/(1+L68)</f>
        <v>0</v>
      </c>
      <c r="L68" s="569">
        <v>0.11</v>
      </c>
      <c r="M68" s="779" t="e">
        <f>G68*I68*K68/10000</f>
        <v>#REF!</v>
      </c>
      <c r="N68" s="779" t="e">
        <f>L68*M68</f>
        <v>#REF!</v>
      </c>
      <c r="O68" s="779" t="e">
        <f>M68+N68</f>
        <v>#REF!</v>
      </c>
      <c r="P68" s="780" t="e">
        <f t="shared" ref="P68:P99" si="12">IF(O68="","",O68*10000/E$2)</f>
        <v>#REF!</v>
      </c>
      <c r="Q68" s="511" t="e">
        <f>G68*I68*J68/10000-O68</f>
        <v>#REF!</v>
      </c>
      <c r="AA68" s="632"/>
    </row>
    <row r="69" spans="2:27" ht="16.5" customHeight="1" collapsed="1">
      <c r="B69" s="480" t="s">
        <v>675</v>
      </c>
      <c r="C69" s="481" t="s">
        <v>34</v>
      </c>
      <c r="D69" s="480" t="s">
        <v>497</v>
      </c>
      <c r="E69" s="765"/>
      <c r="F69" s="765"/>
      <c r="G69" s="765"/>
      <c r="H69" s="800"/>
      <c r="I69" s="766"/>
      <c r="J69" s="766"/>
      <c r="K69" s="800"/>
      <c r="L69" s="767"/>
      <c r="M69" s="768" t="e">
        <f>SUBTOTAL(9,M70:M87)</f>
        <v>#REF!</v>
      </c>
      <c r="N69" s="768" t="e">
        <f>SUBTOTAL(9,N70:N87)</f>
        <v>#REF!</v>
      </c>
      <c r="O69" s="768" t="e">
        <f>SUBTOTAL(9,O70:O87)</f>
        <v>#REF!</v>
      </c>
      <c r="P69" s="769" t="e">
        <f t="shared" si="12"/>
        <v>#REF!</v>
      </c>
      <c r="Q69" s="801"/>
      <c r="AA69" s="632"/>
    </row>
    <row r="70" spans="2:27" ht="16.5" hidden="1" customHeight="1" outlineLevel="1">
      <c r="B70" s="802" t="s">
        <v>676</v>
      </c>
      <c r="C70" s="803">
        <v>1</v>
      </c>
      <c r="D70" s="802" t="s">
        <v>22</v>
      </c>
      <c r="E70" s="712"/>
      <c r="F70" s="712"/>
      <c r="G70" s="712"/>
      <c r="H70" s="772"/>
      <c r="I70" s="713"/>
      <c r="J70" s="713"/>
      <c r="K70" s="772"/>
      <c r="L70" s="588"/>
      <c r="M70" s="773" t="e">
        <f>SUBTOTAL(9,M71:M81)</f>
        <v>#REF!</v>
      </c>
      <c r="N70" s="773" t="e">
        <f>SUBTOTAL(9,N71:N81)</f>
        <v>#REF!</v>
      </c>
      <c r="O70" s="773" t="e">
        <f>SUBTOTAL(9,O71:O81)</f>
        <v>#REF!</v>
      </c>
      <c r="P70" s="774" t="e">
        <f t="shared" si="12"/>
        <v>#REF!</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t="e">
        <f t="shared" ref="I71:I81" si="13">$E$2*(1+$F$2)</f>
        <v>#REF!</v>
      </c>
      <c r="J71" s="672"/>
      <c r="K71" s="791">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t="e">
        <f t="shared" ref="Q71:Q87" si="18">G71*I71*J71/10000-O71</f>
        <v>#REF!</v>
      </c>
      <c r="AA71" s="632"/>
    </row>
    <row r="72" spans="2:27" ht="16.5" hidden="1" customHeight="1" outlineLevel="2">
      <c r="B72" s="776" t="s">
        <v>678</v>
      </c>
      <c r="C72" s="777" t="s">
        <v>68</v>
      </c>
      <c r="D72" s="776" t="s">
        <v>1539</v>
      </c>
      <c r="E72" s="648" t="s">
        <v>1540</v>
      </c>
      <c r="F72" s="648" t="s">
        <v>657</v>
      </c>
      <c r="G72" s="791">
        <v>1</v>
      </c>
      <c r="H72" s="795" t="s">
        <v>143</v>
      </c>
      <c r="I72" s="672" t="e">
        <f t="shared" si="13"/>
        <v>#REF!</v>
      </c>
      <c r="J72" s="672"/>
      <c r="K72" s="791">
        <f t="shared" si="14"/>
        <v>0</v>
      </c>
      <c r="L72" s="569">
        <v>0.17</v>
      </c>
      <c r="M72" s="779" t="e">
        <f t="shared" si="15"/>
        <v>#REF!</v>
      </c>
      <c r="N72" s="779" t="e">
        <f t="shared" si="16"/>
        <v>#REF!</v>
      </c>
      <c r="O72" s="779" t="e">
        <f t="shared" si="17"/>
        <v>#REF!</v>
      </c>
      <c r="P72" s="780" t="e">
        <f t="shared" si="12"/>
        <v>#REF!</v>
      </c>
      <c r="Q72" s="781" t="e">
        <f t="shared" si="18"/>
        <v>#REF!</v>
      </c>
      <c r="AA72" s="632"/>
    </row>
    <row r="73" spans="2:27" ht="16.5" hidden="1" customHeight="1" outlineLevel="2">
      <c r="B73" s="776" t="s">
        <v>679</v>
      </c>
      <c r="C73" s="777" t="s">
        <v>69</v>
      </c>
      <c r="D73" s="776" t="s">
        <v>1541</v>
      </c>
      <c r="E73" s="648" t="s">
        <v>1542</v>
      </c>
      <c r="F73" s="648" t="s">
        <v>657</v>
      </c>
      <c r="G73" s="791">
        <v>1</v>
      </c>
      <c r="H73" s="795" t="s">
        <v>143</v>
      </c>
      <c r="I73" s="672" t="e">
        <f t="shared" si="13"/>
        <v>#REF!</v>
      </c>
      <c r="J73" s="672"/>
      <c r="K73" s="791">
        <f t="shared" si="14"/>
        <v>0</v>
      </c>
      <c r="L73" s="569">
        <v>0.17</v>
      </c>
      <c r="M73" s="779" t="e">
        <f t="shared" si="15"/>
        <v>#REF!</v>
      </c>
      <c r="N73" s="779" t="e">
        <f t="shared" si="16"/>
        <v>#REF!</v>
      </c>
      <c r="O73" s="779" t="e">
        <f t="shared" si="17"/>
        <v>#REF!</v>
      </c>
      <c r="P73" s="780" t="e">
        <f t="shared" si="12"/>
        <v>#REF!</v>
      </c>
      <c r="Q73" s="781" t="e">
        <f t="shared" si="18"/>
        <v>#REF!</v>
      </c>
      <c r="AA73" s="632"/>
    </row>
    <row r="74" spans="2:27" ht="16.5" hidden="1" customHeight="1" outlineLevel="2">
      <c r="B74" s="776" t="s">
        <v>680</v>
      </c>
      <c r="C74" s="777" t="s">
        <v>70</v>
      </c>
      <c r="D74" s="776" t="s">
        <v>1543</v>
      </c>
      <c r="E74" s="648" t="s">
        <v>1544</v>
      </c>
      <c r="F74" s="648" t="s">
        <v>657</v>
      </c>
      <c r="G74" s="791">
        <v>1</v>
      </c>
      <c r="H74" s="795" t="s">
        <v>143</v>
      </c>
      <c r="I74" s="672" t="e">
        <f t="shared" si="13"/>
        <v>#REF!</v>
      </c>
      <c r="J74" s="672"/>
      <c r="K74" s="791">
        <f t="shared" si="14"/>
        <v>0</v>
      </c>
      <c r="L74" s="569">
        <v>0.17</v>
      </c>
      <c r="M74" s="779" t="e">
        <f t="shared" si="15"/>
        <v>#REF!</v>
      </c>
      <c r="N74" s="779" t="e">
        <f t="shared" si="16"/>
        <v>#REF!</v>
      </c>
      <c r="O74" s="779" t="e">
        <f t="shared" si="17"/>
        <v>#REF!</v>
      </c>
      <c r="P74" s="780" t="e">
        <f t="shared" si="12"/>
        <v>#REF!</v>
      </c>
      <c r="Q74" s="781" t="e">
        <f t="shared" si="18"/>
        <v>#REF!</v>
      </c>
      <c r="AA74" s="632"/>
    </row>
    <row r="75" spans="2:27" ht="16.5" hidden="1" customHeight="1" outlineLevel="2">
      <c r="B75" s="776" t="s">
        <v>681</v>
      </c>
      <c r="C75" s="777" t="s">
        <v>71</v>
      </c>
      <c r="D75" s="776" t="s">
        <v>1545</v>
      </c>
      <c r="E75" s="648" t="s">
        <v>450</v>
      </c>
      <c r="F75" s="648" t="s">
        <v>657</v>
      </c>
      <c r="G75" s="791">
        <v>1</v>
      </c>
      <c r="H75" s="795" t="s">
        <v>143</v>
      </c>
      <c r="I75" s="672" t="e">
        <f t="shared" si="13"/>
        <v>#REF!</v>
      </c>
      <c r="J75" s="672"/>
      <c r="K75" s="791">
        <f t="shared" si="14"/>
        <v>0</v>
      </c>
      <c r="L75" s="569">
        <v>0.17</v>
      </c>
      <c r="M75" s="779" t="e">
        <f t="shared" si="15"/>
        <v>#REF!</v>
      </c>
      <c r="N75" s="779" t="e">
        <f t="shared" si="16"/>
        <v>#REF!</v>
      </c>
      <c r="O75" s="779" t="e">
        <f t="shared" si="17"/>
        <v>#REF!</v>
      </c>
      <c r="P75" s="780" t="e">
        <f t="shared" si="12"/>
        <v>#REF!</v>
      </c>
      <c r="Q75" s="781" t="e">
        <f t="shared" si="18"/>
        <v>#REF!</v>
      </c>
      <c r="AA75" s="632"/>
    </row>
    <row r="76" spans="2:27" ht="16.5" hidden="1" customHeight="1" outlineLevel="2">
      <c r="B76" s="776" t="s">
        <v>682</v>
      </c>
      <c r="C76" s="777" t="s">
        <v>144</v>
      </c>
      <c r="D76" s="776" t="s">
        <v>1546</v>
      </c>
      <c r="E76" s="648" t="s">
        <v>452</v>
      </c>
      <c r="F76" s="648" t="s">
        <v>657</v>
      </c>
      <c r="G76" s="791">
        <v>1</v>
      </c>
      <c r="H76" s="795" t="s">
        <v>1928</v>
      </c>
      <c r="I76" s="672" t="e">
        <f t="shared" si="13"/>
        <v>#REF!</v>
      </c>
      <c r="J76" s="672">
        <v>0</v>
      </c>
      <c r="K76" s="791">
        <f t="shared" si="14"/>
        <v>0</v>
      </c>
      <c r="L76" s="569">
        <v>0.11</v>
      </c>
      <c r="M76" s="779" t="e">
        <f t="shared" si="15"/>
        <v>#REF!</v>
      </c>
      <c r="N76" s="779" t="e">
        <f t="shared" si="16"/>
        <v>#REF!</v>
      </c>
      <c r="O76" s="779" t="e">
        <f t="shared" si="17"/>
        <v>#REF!</v>
      </c>
      <c r="P76" s="780" t="e">
        <f t="shared" si="12"/>
        <v>#REF!</v>
      </c>
      <c r="Q76" s="781" t="e">
        <f t="shared" si="18"/>
        <v>#REF!</v>
      </c>
      <c r="AA76" s="632"/>
    </row>
    <row r="77" spans="2:27" ht="16.5" hidden="1" customHeight="1" outlineLevel="2">
      <c r="B77" s="776" t="s">
        <v>683</v>
      </c>
      <c r="C77" s="777" t="s">
        <v>72</v>
      </c>
      <c r="D77" s="776" t="s">
        <v>1547</v>
      </c>
      <c r="E77" s="648" t="s">
        <v>1548</v>
      </c>
      <c r="F77" s="648" t="s">
        <v>657</v>
      </c>
      <c r="G77" s="791">
        <v>1</v>
      </c>
      <c r="H77" s="795" t="s">
        <v>1929</v>
      </c>
      <c r="I77" s="672" t="e">
        <f t="shared" si="13"/>
        <v>#REF!</v>
      </c>
      <c r="J77" s="672"/>
      <c r="K77" s="791">
        <f t="shared" si="14"/>
        <v>0</v>
      </c>
      <c r="L77" s="569">
        <v>0.17</v>
      </c>
      <c r="M77" s="779" t="e">
        <f t="shared" si="15"/>
        <v>#REF!</v>
      </c>
      <c r="N77" s="779" t="e">
        <f t="shared" si="16"/>
        <v>#REF!</v>
      </c>
      <c r="O77" s="779" t="e">
        <f t="shared" si="17"/>
        <v>#REF!</v>
      </c>
      <c r="P77" s="780" t="e">
        <f t="shared" si="12"/>
        <v>#REF!</v>
      </c>
      <c r="Q77" s="781" t="e">
        <f t="shared" si="18"/>
        <v>#REF!</v>
      </c>
      <c r="AA77" s="632"/>
    </row>
    <row r="78" spans="2:27" ht="16.5" hidden="1" customHeight="1" outlineLevel="2">
      <c r="B78" s="776" t="s">
        <v>1549</v>
      </c>
      <c r="C78" s="777" t="s">
        <v>73</v>
      </c>
      <c r="D78" s="776" t="s">
        <v>1550</v>
      </c>
      <c r="E78" s="648" t="s">
        <v>1607</v>
      </c>
      <c r="F78" s="648" t="s">
        <v>657</v>
      </c>
      <c r="G78" s="791">
        <v>1</v>
      </c>
      <c r="H78" s="795" t="s">
        <v>1930</v>
      </c>
      <c r="I78" s="672" t="e">
        <f t="shared" si="13"/>
        <v>#REF!</v>
      </c>
      <c r="J78" s="672"/>
      <c r="K78" s="791">
        <f t="shared" si="14"/>
        <v>0</v>
      </c>
      <c r="L78" s="569">
        <v>0.17</v>
      </c>
      <c r="M78" s="779" t="e">
        <f t="shared" si="15"/>
        <v>#REF!</v>
      </c>
      <c r="N78" s="779" t="e">
        <f t="shared" si="16"/>
        <v>#REF!</v>
      </c>
      <c r="O78" s="779" t="e">
        <f t="shared" si="17"/>
        <v>#REF!</v>
      </c>
      <c r="P78" s="780" t="e">
        <f t="shared" si="12"/>
        <v>#REF!</v>
      </c>
      <c r="Q78" s="781" t="e">
        <f t="shared" si="18"/>
        <v>#REF!</v>
      </c>
      <c r="AA78" s="632"/>
    </row>
    <row r="79" spans="2:27" ht="16.5" hidden="1" customHeight="1" outlineLevel="2">
      <c r="B79" s="776" t="s">
        <v>684</v>
      </c>
      <c r="C79" s="777" t="s">
        <v>74</v>
      </c>
      <c r="D79" s="776" t="s">
        <v>1551</v>
      </c>
      <c r="E79" s="648" t="s">
        <v>457</v>
      </c>
      <c r="F79" s="648" t="s">
        <v>657</v>
      </c>
      <c r="G79" s="791">
        <v>1</v>
      </c>
      <c r="H79" s="795" t="s">
        <v>143</v>
      </c>
      <c r="I79" s="672" t="e">
        <f t="shared" si="13"/>
        <v>#REF!</v>
      </c>
      <c r="J79" s="672"/>
      <c r="K79" s="791">
        <f t="shared" si="14"/>
        <v>0</v>
      </c>
      <c r="L79" s="569">
        <v>0.17</v>
      </c>
      <c r="M79" s="779" t="e">
        <f t="shared" si="15"/>
        <v>#REF!</v>
      </c>
      <c r="N79" s="779" t="e">
        <f t="shared" si="16"/>
        <v>#REF!</v>
      </c>
      <c r="O79" s="779" t="e">
        <f t="shared" si="17"/>
        <v>#REF!</v>
      </c>
      <c r="P79" s="780" t="e">
        <f t="shared" si="12"/>
        <v>#REF!</v>
      </c>
      <c r="Q79" s="781" t="e">
        <f t="shared" si="18"/>
        <v>#REF!</v>
      </c>
      <c r="AA79" s="632"/>
    </row>
    <row r="80" spans="2:27" ht="16.5" hidden="1" customHeight="1" outlineLevel="2">
      <c r="B80" s="776" t="s">
        <v>685</v>
      </c>
      <c r="C80" s="777" t="s">
        <v>75</v>
      </c>
      <c r="D80" s="776" t="s">
        <v>1552</v>
      </c>
      <c r="E80" s="648" t="s">
        <v>1553</v>
      </c>
      <c r="F80" s="648" t="s">
        <v>657</v>
      </c>
      <c r="G80" s="791">
        <v>1</v>
      </c>
      <c r="H80" s="795" t="s">
        <v>143</v>
      </c>
      <c r="I80" s="672" t="e">
        <f t="shared" si="13"/>
        <v>#REF!</v>
      </c>
      <c r="J80" s="672"/>
      <c r="K80" s="791">
        <f t="shared" si="14"/>
        <v>0</v>
      </c>
      <c r="L80" s="569">
        <v>0.17</v>
      </c>
      <c r="M80" s="779" t="e">
        <f t="shared" si="15"/>
        <v>#REF!</v>
      </c>
      <c r="N80" s="779" t="e">
        <f t="shared" si="16"/>
        <v>#REF!</v>
      </c>
      <c r="O80" s="779" t="e">
        <f t="shared" si="17"/>
        <v>#REF!</v>
      </c>
      <c r="P80" s="780" t="e">
        <f t="shared" si="12"/>
        <v>#REF!</v>
      </c>
      <c r="Q80" s="781" t="e">
        <f t="shared" si="18"/>
        <v>#REF!</v>
      </c>
      <c r="AA80" s="632"/>
    </row>
    <row r="81" spans="2:27" ht="16.5" hidden="1" customHeight="1" outlineLevel="2">
      <c r="B81" s="776" t="s">
        <v>686</v>
      </c>
      <c r="C81" s="777" t="s">
        <v>146</v>
      </c>
      <c r="D81" s="776" t="s">
        <v>1554</v>
      </c>
      <c r="E81" s="648" t="s">
        <v>1608</v>
      </c>
      <c r="F81" s="648" t="s">
        <v>657</v>
      </c>
      <c r="G81" s="791">
        <v>1</v>
      </c>
      <c r="H81" s="795" t="s">
        <v>143</v>
      </c>
      <c r="I81" s="672" t="e">
        <f t="shared" si="13"/>
        <v>#REF!</v>
      </c>
      <c r="J81" s="672"/>
      <c r="K81" s="791">
        <f t="shared" si="14"/>
        <v>0</v>
      </c>
      <c r="L81" s="569">
        <v>0.17</v>
      </c>
      <c r="M81" s="779" t="e">
        <f t="shared" si="15"/>
        <v>#REF!</v>
      </c>
      <c r="N81" s="779" t="e">
        <f t="shared" si="16"/>
        <v>#REF!</v>
      </c>
      <c r="O81" s="779" t="e">
        <f t="shared" si="17"/>
        <v>#REF!</v>
      </c>
      <c r="P81" s="780" t="e">
        <f t="shared" si="12"/>
        <v>#REF!</v>
      </c>
      <c r="Q81" s="781" t="e">
        <f t="shared" si="18"/>
        <v>#REF!</v>
      </c>
      <c r="AA81" s="632"/>
    </row>
    <row r="82" spans="2:27" ht="25.5" hidden="1" customHeight="1" outlineLevel="1">
      <c r="B82" s="802" t="s">
        <v>687</v>
      </c>
      <c r="C82" s="803">
        <v>2</v>
      </c>
      <c r="D82" s="802" t="s">
        <v>688</v>
      </c>
      <c r="E82" s="712"/>
      <c r="F82" s="712"/>
      <c r="G82" s="712"/>
      <c r="H82" s="772"/>
      <c r="I82" s="713"/>
      <c r="J82" s="713"/>
      <c r="K82" s="772"/>
      <c r="L82" s="588"/>
      <c r="M82" s="773">
        <f>SUBTOTAL(9,M83:M85)</f>
        <v>0</v>
      </c>
      <c r="N82" s="773"/>
      <c r="O82" s="773"/>
      <c r="P82" s="774" t="str">
        <f t="shared" si="12"/>
        <v/>
      </c>
      <c r="Q82" s="775">
        <f t="shared" si="1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2"/>
        <v/>
      </c>
      <c r="Q83" s="781">
        <f t="shared" si="1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2"/>
        <v/>
      </c>
      <c r="Q84" s="781">
        <f t="shared" si="1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2"/>
        <v/>
      </c>
      <c r="Q85" s="781">
        <f t="shared" si="18"/>
        <v>0</v>
      </c>
      <c r="AA85" s="632"/>
    </row>
    <row r="86" spans="2:27" ht="16.5" hidden="1" customHeight="1" outlineLevel="1">
      <c r="B86" s="802" t="s">
        <v>695</v>
      </c>
      <c r="C86" s="803">
        <v>3</v>
      </c>
      <c r="D86" s="802" t="s">
        <v>696</v>
      </c>
      <c r="E86" s="712"/>
      <c r="F86" s="712"/>
      <c r="G86" s="712"/>
      <c r="H86" s="772"/>
      <c r="I86" s="713"/>
      <c r="J86" s="713"/>
      <c r="K86" s="772"/>
      <c r="L86" s="588"/>
      <c r="M86" s="773">
        <f>G86*I86*K86/10000</f>
        <v>0</v>
      </c>
      <c r="N86" s="773"/>
      <c r="O86" s="773"/>
      <c r="P86" s="774" t="str">
        <f t="shared" si="12"/>
        <v/>
      </c>
      <c r="Q86" s="775">
        <f t="shared" si="18"/>
        <v>0</v>
      </c>
      <c r="AA86" s="632"/>
    </row>
    <row r="87" spans="2:27" ht="16.5" hidden="1" customHeight="1" outlineLevel="1">
      <c r="B87" s="802" t="s">
        <v>697</v>
      </c>
      <c r="C87" s="803">
        <v>4</v>
      </c>
      <c r="D87" s="802" t="s">
        <v>698</v>
      </c>
      <c r="E87" s="712"/>
      <c r="F87" s="712"/>
      <c r="G87" s="712"/>
      <c r="H87" s="772"/>
      <c r="I87" s="713"/>
      <c r="J87" s="713"/>
      <c r="K87" s="772"/>
      <c r="L87" s="588"/>
      <c r="M87" s="773">
        <f>G87*I87*K87/10000</f>
        <v>0</v>
      </c>
      <c r="N87" s="773"/>
      <c r="O87" s="773"/>
      <c r="P87" s="774" t="str">
        <f t="shared" si="12"/>
        <v/>
      </c>
      <c r="Q87" s="775">
        <f t="shared" si="18"/>
        <v>0</v>
      </c>
      <c r="AA87" s="632"/>
    </row>
    <row r="88" spans="2:27" ht="16.5" customHeight="1" collapsed="1">
      <c r="B88" s="480" t="s">
        <v>699</v>
      </c>
      <c r="C88" s="481" t="s">
        <v>379</v>
      </c>
      <c r="D88" s="480" t="s">
        <v>498</v>
      </c>
      <c r="E88" s="765"/>
      <c r="F88" s="765"/>
      <c r="G88" s="765"/>
      <c r="H88" s="765"/>
      <c r="I88" s="766"/>
      <c r="J88" s="766"/>
      <c r="K88" s="765"/>
      <c r="L88" s="767"/>
      <c r="M88" s="768" t="e">
        <f>SUBTOTAL(9,M89:M167)</f>
        <v>#REF!</v>
      </c>
      <c r="N88" s="768" t="e">
        <f>SUBTOTAL(9,N89:N167)</f>
        <v>#REF!</v>
      </c>
      <c r="O88" s="768" t="e">
        <f>SUBTOTAL(9,O89:O167)</f>
        <v>#REF!</v>
      </c>
      <c r="P88" s="769" t="e">
        <f t="shared" si="12"/>
        <v>#REF!</v>
      </c>
      <c r="Q88" s="770"/>
      <c r="AA88" s="632"/>
    </row>
    <row r="89" spans="2:27" ht="16.5" hidden="1" customHeight="1" outlineLevel="1">
      <c r="B89" s="802" t="s">
        <v>499</v>
      </c>
      <c r="C89" s="803">
        <v>1</v>
      </c>
      <c r="D89" s="802" t="s">
        <v>35</v>
      </c>
      <c r="E89" s="712"/>
      <c r="F89" s="712"/>
      <c r="G89" s="712"/>
      <c r="H89" s="772"/>
      <c r="I89" s="713"/>
      <c r="J89" s="713"/>
      <c r="K89" s="772"/>
      <c r="L89" s="588"/>
      <c r="M89" s="773" t="e">
        <f>SUBTOTAL(9,M90:M128)</f>
        <v>#REF!</v>
      </c>
      <c r="N89" s="773" t="e">
        <f>SUBTOTAL(9,N90:N128)</f>
        <v>#REF!</v>
      </c>
      <c r="O89" s="773" t="e">
        <f>SUBTOTAL(9,O90:O128)</f>
        <v>#REF!</v>
      </c>
      <c r="P89" s="774" t="e">
        <f t="shared" si="12"/>
        <v>#REF!</v>
      </c>
      <c r="Q89" s="775"/>
      <c r="AA89" s="632"/>
    </row>
    <row r="90" spans="2:27" ht="16.5" hidden="1" customHeight="1" outlineLevel="2">
      <c r="B90" s="776" t="s">
        <v>700</v>
      </c>
      <c r="C90" s="777" t="s">
        <v>36</v>
      </c>
      <c r="D90" s="804" t="s">
        <v>701</v>
      </c>
      <c r="E90" s="648"/>
      <c r="F90" s="648"/>
      <c r="G90" s="787"/>
      <c r="H90" s="787"/>
      <c r="I90" s="672"/>
      <c r="J90" s="672"/>
      <c r="K90" s="681"/>
      <c r="L90" s="569"/>
      <c r="M90" s="779" t="e">
        <f>SUBTOTAL(9,M91:M110)</f>
        <v>#REF!</v>
      </c>
      <c r="N90" s="779" t="e">
        <f>SUBTOTAL(9,N91:N110)</f>
        <v>#REF!</v>
      </c>
      <c r="O90" s="779" t="e">
        <f>SUBTOTAL(9,O91:O110)</f>
        <v>#REF!</v>
      </c>
      <c r="P90" s="780" t="e">
        <f t="shared" si="12"/>
        <v>#REF!</v>
      </c>
      <c r="Q90" s="781"/>
      <c r="AA90" s="632"/>
    </row>
    <row r="91" spans="2:27" ht="16.5" hidden="1" customHeight="1" outlineLevel="3">
      <c r="B91" s="776" t="s">
        <v>702</v>
      </c>
      <c r="C91" s="782" t="s">
        <v>39</v>
      </c>
      <c r="D91" s="804" t="s">
        <v>1555</v>
      </c>
      <c r="E91" s="648"/>
      <c r="F91" s="648"/>
      <c r="G91" s="791"/>
      <c r="H91" s="805"/>
      <c r="I91" s="789"/>
      <c r="J91" s="789"/>
      <c r="K91" s="790"/>
      <c r="L91" s="658"/>
      <c r="M91" s="779" t="e">
        <f>SUBTOTAL(9,M92:M93)</f>
        <v>#REF!</v>
      </c>
      <c r="N91" s="779" t="e">
        <f>SUBTOTAL(9,N92:N93)</f>
        <v>#REF!</v>
      </c>
      <c r="O91" s="779" t="e">
        <f>SUBTOTAL(9,O92:O93)</f>
        <v>#REF!</v>
      </c>
      <c r="P91" s="780" t="e">
        <f t="shared" si="12"/>
        <v>#REF!</v>
      </c>
      <c r="Q91" s="806"/>
      <c r="AA91" s="632"/>
    </row>
    <row r="92" spans="2:27" ht="16.5" hidden="1" customHeight="1" outlineLevel="4">
      <c r="B92" s="776" t="s">
        <v>801</v>
      </c>
      <c r="C92" s="782"/>
      <c r="D92" s="807" t="s">
        <v>1556</v>
      </c>
      <c r="E92" s="648" t="s">
        <v>459</v>
      </c>
      <c r="F92" s="648" t="s">
        <v>657</v>
      </c>
      <c r="G92" s="808">
        <v>1.35</v>
      </c>
      <c r="H92" s="805" t="s">
        <v>145</v>
      </c>
      <c r="I92" s="672" t="e">
        <f>$E$2*(1+$F$2)</f>
        <v>#REF!</v>
      </c>
      <c r="J92" s="672">
        <v>50</v>
      </c>
      <c r="K92" s="791">
        <f>J92/(1+L92)</f>
        <v>42.73504273504274</v>
      </c>
      <c r="L92" s="569">
        <v>0.17</v>
      </c>
      <c r="M92" s="779" t="e">
        <f>G92*I92*K92/10000</f>
        <v>#REF!</v>
      </c>
      <c r="N92" s="779" t="e">
        <f>L92*M92</f>
        <v>#REF!</v>
      </c>
      <c r="O92" s="779" t="e">
        <f>M92+N92</f>
        <v>#REF!</v>
      </c>
      <c r="P92" s="780" t="e">
        <f t="shared" si="12"/>
        <v>#REF!</v>
      </c>
      <c r="Q92" s="806" t="e">
        <f t="shared" ref="Q92:Q110" si="19">G92*I92*J92/10000-O92</f>
        <v>#REF!</v>
      </c>
      <c r="AA92" s="632"/>
    </row>
    <row r="93" spans="2:27" ht="16.5" hidden="1" customHeight="1" outlineLevel="4">
      <c r="B93" s="776" t="s">
        <v>703</v>
      </c>
      <c r="C93" s="782"/>
      <c r="D93" s="807" t="s">
        <v>1557</v>
      </c>
      <c r="E93" s="648" t="s">
        <v>1493</v>
      </c>
      <c r="F93" s="648" t="s">
        <v>657</v>
      </c>
      <c r="G93" s="808">
        <v>1.35</v>
      </c>
      <c r="H93" s="805" t="s">
        <v>145</v>
      </c>
      <c r="I93" s="672" t="e">
        <f>$E$2*(1+$F$2)</f>
        <v>#REF!</v>
      </c>
      <c r="J93" s="672">
        <v>25</v>
      </c>
      <c r="K93" s="791">
        <f>J93/(1+L93)</f>
        <v>22.522522522522522</v>
      </c>
      <c r="L93" s="569">
        <v>0.11</v>
      </c>
      <c r="M93" s="779" t="e">
        <f>G93*I93*K93/10000</f>
        <v>#REF!</v>
      </c>
      <c r="N93" s="779" t="e">
        <f>L93*M93</f>
        <v>#REF!</v>
      </c>
      <c r="O93" s="779" t="e">
        <f>M93+N93</f>
        <v>#REF!</v>
      </c>
      <c r="P93" s="780" t="e">
        <f t="shared" si="12"/>
        <v>#REF!</v>
      </c>
      <c r="Q93" s="806" t="e">
        <f t="shared" si="19"/>
        <v>#REF!</v>
      </c>
      <c r="AA93" s="632"/>
    </row>
    <row r="94" spans="2:27" ht="16.5" hidden="1" customHeight="1" outlineLevel="3">
      <c r="B94" s="776" t="s">
        <v>1558</v>
      </c>
      <c r="C94" s="782" t="s">
        <v>39</v>
      </c>
      <c r="D94" s="804" t="s">
        <v>1559</v>
      </c>
      <c r="E94" s="665"/>
      <c r="F94" s="665"/>
      <c r="G94" s="809"/>
      <c r="H94" s="790"/>
      <c r="I94" s="789"/>
      <c r="J94" s="789"/>
      <c r="K94" s="790"/>
      <c r="L94" s="658"/>
      <c r="M94" s="779" t="e">
        <f>SUBTOTAL(9,M95:M98)</f>
        <v>#REF!</v>
      </c>
      <c r="N94" s="779" t="e">
        <f>SUBTOTAL(9,N95:N98)</f>
        <v>#REF!</v>
      </c>
      <c r="O94" s="779" t="e">
        <f>SUBTOTAL(9,O95:O98)</f>
        <v>#REF!</v>
      </c>
      <c r="P94" s="780" t="e">
        <f t="shared" si="12"/>
        <v>#REF!</v>
      </c>
      <c r="Q94" s="806" t="e">
        <f t="shared" si="19"/>
        <v>#REF!</v>
      </c>
      <c r="AA94" s="632"/>
    </row>
    <row r="95" spans="2:27" ht="16.5" hidden="1" customHeight="1" outlineLevel="4">
      <c r="B95" s="776" t="s">
        <v>802</v>
      </c>
      <c r="C95" s="782"/>
      <c r="D95" s="807" t="s">
        <v>1560</v>
      </c>
      <c r="E95" s="719" t="s">
        <v>1609</v>
      </c>
      <c r="F95" s="648" t="s">
        <v>657</v>
      </c>
      <c r="G95" s="809">
        <v>0</v>
      </c>
      <c r="H95" s="805" t="s">
        <v>145</v>
      </c>
      <c r="I95" s="672" t="e">
        <f>$E$2*(1+$F$2)</f>
        <v>#REF!</v>
      </c>
      <c r="J95" s="672"/>
      <c r="K95" s="791">
        <f>J95/(1+L95)</f>
        <v>0</v>
      </c>
      <c r="L95" s="569">
        <v>0.11</v>
      </c>
      <c r="M95" s="779" t="e">
        <f>G95*I95*K95/10000</f>
        <v>#REF!</v>
      </c>
      <c r="N95" s="779" t="e">
        <f>L95*M95</f>
        <v>#REF!</v>
      </c>
      <c r="O95" s="779" t="e">
        <f>M95+N95</f>
        <v>#REF!</v>
      </c>
      <c r="P95" s="780" t="e">
        <f t="shared" si="12"/>
        <v>#REF!</v>
      </c>
      <c r="Q95" s="806" t="e">
        <f t="shared" si="19"/>
        <v>#REF!</v>
      </c>
      <c r="AA95" s="632"/>
    </row>
    <row r="96" spans="2:27" ht="16.5" hidden="1" customHeight="1" outlineLevel="4">
      <c r="B96" s="776" t="s">
        <v>704</v>
      </c>
      <c r="C96" s="782"/>
      <c r="D96" s="807" t="s">
        <v>1561</v>
      </c>
      <c r="E96" s="719" t="s">
        <v>1609</v>
      </c>
      <c r="F96" s="648" t="s">
        <v>657</v>
      </c>
      <c r="G96" s="809">
        <v>0</v>
      </c>
      <c r="H96" s="805" t="s">
        <v>145</v>
      </c>
      <c r="I96" s="672" t="e">
        <f>$E$2*(1+$F$2)</f>
        <v>#REF!</v>
      </c>
      <c r="J96" s="672"/>
      <c r="K96" s="791">
        <f>J96/(1+L96)</f>
        <v>0</v>
      </c>
      <c r="L96" s="569">
        <v>0.11</v>
      </c>
      <c r="M96" s="779" t="e">
        <f>G96*I96*K96/10000</f>
        <v>#REF!</v>
      </c>
      <c r="N96" s="779" t="e">
        <f>L96*M96</f>
        <v>#REF!</v>
      </c>
      <c r="O96" s="779" t="e">
        <f>M96+N96</f>
        <v>#REF!</v>
      </c>
      <c r="P96" s="780" t="e">
        <f t="shared" si="12"/>
        <v>#REF!</v>
      </c>
      <c r="Q96" s="806" t="e">
        <f t="shared" si="19"/>
        <v>#REF!</v>
      </c>
      <c r="AA96" s="632"/>
    </row>
    <row r="97" spans="2:27" ht="16.5" hidden="1" customHeight="1" outlineLevel="4">
      <c r="B97" s="776" t="s">
        <v>1562</v>
      </c>
      <c r="C97" s="782"/>
      <c r="D97" s="807" t="s">
        <v>1563</v>
      </c>
      <c r="E97" s="719" t="s">
        <v>1609</v>
      </c>
      <c r="F97" s="648" t="s">
        <v>657</v>
      </c>
      <c r="G97" s="809">
        <v>0</v>
      </c>
      <c r="H97" s="805" t="s">
        <v>145</v>
      </c>
      <c r="I97" s="672" t="e">
        <f>$E$2*(1+$F$2)</f>
        <v>#REF!</v>
      </c>
      <c r="J97" s="672"/>
      <c r="K97" s="791">
        <f>J97/(1+L97)</f>
        <v>0</v>
      </c>
      <c r="L97" s="569">
        <v>0.11</v>
      </c>
      <c r="M97" s="779" t="e">
        <f>G97*I97*K97/10000</f>
        <v>#REF!</v>
      </c>
      <c r="N97" s="779" t="e">
        <f>L97*M97</f>
        <v>#REF!</v>
      </c>
      <c r="O97" s="779" t="e">
        <f>M97+N97</f>
        <v>#REF!</v>
      </c>
      <c r="P97" s="780" t="e">
        <f t="shared" si="12"/>
        <v>#REF!</v>
      </c>
      <c r="Q97" s="806" t="e">
        <f t="shared" si="19"/>
        <v>#REF!</v>
      </c>
      <c r="AA97" s="632"/>
    </row>
    <row r="98" spans="2:27" ht="16.5" hidden="1" customHeight="1" outlineLevel="4">
      <c r="B98" s="776" t="s">
        <v>1564</v>
      </c>
      <c r="C98" s="782"/>
      <c r="D98" s="807" t="s">
        <v>1565</v>
      </c>
      <c r="E98" s="719" t="s">
        <v>1609</v>
      </c>
      <c r="F98" s="648" t="s">
        <v>657</v>
      </c>
      <c r="G98" s="809">
        <v>0</v>
      </c>
      <c r="H98" s="805" t="s">
        <v>145</v>
      </c>
      <c r="I98" s="672" t="e">
        <f>$E$2*(1+$F$2)</f>
        <v>#REF!</v>
      </c>
      <c r="J98" s="672"/>
      <c r="K98" s="791">
        <f>J98/(1+L98)</f>
        <v>0</v>
      </c>
      <c r="L98" s="569">
        <v>0.11</v>
      </c>
      <c r="M98" s="779" t="e">
        <f>G98*I98*K98/10000</f>
        <v>#REF!</v>
      </c>
      <c r="N98" s="779" t="e">
        <f>L98*M98</f>
        <v>#REF!</v>
      </c>
      <c r="O98" s="779" t="e">
        <f>M98+N98</f>
        <v>#REF!</v>
      </c>
      <c r="P98" s="780" t="e">
        <f t="shared" si="12"/>
        <v>#REF!</v>
      </c>
      <c r="Q98" s="806" t="e">
        <f t="shared" si="19"/>
        <v>#REF!</v>
      </c>
      <c r="AA98" s="632"/>
    </row>
    <row r="99" spans="2:27" ht="16.5" hidden="1" customHeight="1" outlineLevel="3">
      <c r="B99" s="776" t="s">
        <v>1566</v>
      </c>
      <c r="C99" s="782" t="s">
        <v>39</v>
      </c>
      <c r="D99" s="804" t="s">
        <v>1567</v>
      </c>
      <c r="E99" s="665"/>
      <c r="F99" s="665"/>
      <c r="G99" s="809"/>
      <c r="H99" s="790"/>
      <c r="I99" s="789"/>
      <c r="J99" s="789"/>
      <c r="K99" s="790"/>
      <c r="L99" s="658"/>
      <c r="M99" s="779" t="e">
        <f>SUBTOTAL(9,M100:M101)</f>
        <v>#REF!</v>
      </c>
      <c r="N99" s="779" t="e">
        <f>SUBTOTAL(9,N100:N101)</f>
        <v>#REF!</v>
      </c>
      <c r="O99" s="779" t="e">
        <f>SUBTOTAL(9,O100:O101)</f>
        <v>#REF!</v>
      </c>
      <c r="P99" s="780" t="e">
        <f t="shared" si="12"/>
        <v>#REF!</v>
      </c>
      <c r="Q99" s="806" t="e">
        <f t="shared" si="19"/>
        <v>#REF!</v>
      </c>
      <c r="AA99" s="632"/>
    </row>
    <row r="100" spans="2:27" ht="16.5" hidden="1" customHeight="1" outlineLevel="4">
      <c r="B100" s="776" t="s">
        <v>1568</v>
      </c>
      <c r="C100" s="782"/>
      <c r="D100" s="807" t="s">
        <v>1569</v>
      </c>
      <c r="E100" s="665" t="s">
        <v>469</v>
      </c>
      <c r="F100" s="648" t="s">
        <v>657</v>
      </c>
      <c r="G100" s="809">
        <v>0</v>
      </c>
      <c r="H100" s="805" t="s">
        <v>145</v>
      </c>
      <c r="I100" s="672" t="e">
        <f>$E$2*(1+$F$2)</f>
        <v>#REF!</v>
      </c>
      <c r="J100" s="672"/>
      <c r="K100" s="791">
        <f>J100/(1+L100)</f>
        <v>0</v>
      </c>
      <c r="L100" s="569">
        <v>0.17</v>
      </c>
      <c r="M100" s="779" t="e">
        <f>G100*I100*K100/10000</f>
        <v>#REF!</v>
      </c>
      <c r="N100" s="779" t="e">
        <f>L100*M100</f>
        <v>#REF!</v>
      </c>
      <c r="O100" s="779" t="e">
        <f>M100+N100</f>
        <v>#REF!</v>
      </c>
      <c r="P100" s="780" t="e">
        <f t="shared" ref="P100:P131" si="20">IF(O100="","",O100*10000/E$2)</f>
        <v>#REF!</v>
      </c>
      <c r="Q100" s="806" t="e">
        <f t="shared" si="19"/>
        <v>#REF!</v>
      </c>
      <c r="AA100" s="632"/>
    </row>
    <row r="101" spans="2:27" ht="16.5" hidden="1" customHeight="1" outlineLevel="4">
      <c r="B101" s="776" t="s">
        <v>1570</v>
      </c>
      <c r="C101" s="782"/>
      <c r="D101" s="807" t="s">
        <v>1571</v>
      </c>
      <c r="E101" s="665" t="s">
        <v>1228</v>
      </c>
      <c r="F101" s="648" t="s">
        <v>657</v>
      </c>
      <c r="G101" s="809">
        <v>0</v>
      </c>
      <c r="H101" s="805" t="s">
        <v>145</v>
      </c>
      <c r="I101" s="672" t="e">
        <f>$E$2*(1+$F$2)</f>
        <v>#REF!</v>
      </c>
      <c r="J101" s="672"/>
      <c r="K101" s="791">
        <f>J101/(1+L101)</f>
        <v>0</v>
      </c>
      <c r="L101" s="569">
        <v>0.11</v>
      </c>
      <c r="M101" s="779" t="e">
        <f>G101*I101*K101/10000</f>
        <v>#REF!</v>
      </c>
      <c r="N101" s="779" t="e">
        <f>L101*M101</f>
        <v>#REF!</v>
      </c>
      <c r="O101" s="779" t="e">
        <f>M101+N101</f>
        <v>#REF!</v>
      </c>
      <c r="P101" s="780" t="e">
        <f t="shared" si="20"/>
        <v>#REF!</v>
      </c>
      <c r="Q101" s="806" t="e">
        <f t="shared" si="19"/>
        <v>#REF!</v>
      </c>
      <c r="AA101" s="632"/>
    </row>
    <row r="102" spans="2:27" ht="16.5" hidden="1" customHeight="1" outlineLevel="3">
      <c r="B102" s="776" t="s">
        <v>1572</v>
      </c>
      <c r="C102" s="782" t="s">
        <v>39</v>
      </c>
      <c r="D102" s="804" t="s">
        <v>1573</v>
      </c>
      <c r="E102" s="665"/>
      <c r="F102" s="665"/>
      <c r="G102" s="809"/>
      <c r="H102" s="790"/>
      <c r="I102" s="672"/>
      <c r="J102" s="672"/>
      <c r="K102" s="790"/>
      <c r="L102" s="569"/>
      <c r="M102" s="779" t="e">
        <f>SUBTOTAL(9,M103:M104)</f>
        <v>#REF!</v>
      </c>
      <c r="N102" s="779" t="e">
        <f>SUBTOTAL(9,N103:N104)</f>
        <v>#REF!</v>
      </c>
      <c r="O102" s="779" t="e">
        <f>SUBTOTAL(9,O103:O104)</f>
        <v>#REF!</v>
      </c>
      <c r="P102" s="780" t="e">
        <f t="shared" si="20"/>
        <v>#REF!</v>
      </c>
      <c r="Q102" s="806" t="e">
        <f t="shared" si="19"/>
        <v>#REF!</v>
      </c>
      <c r="AA102" s="632"/>
    </row>
    <row r="103" spans="2:27" ht="16.5" hidden="1" customHeight="1" outlineLevel="4">
      <c r="B103" s="776" t="s">
        <v>1574</v>
      </c>
      <c r="C103" s="782"/>
      <c r="D103" s="804" t="s">
        <v>1575</v>
      </c>
      <c r="E103" s="665" t="s">
        <v>468</v>
      </c>
      <c r="F103" s="648" t="s">
        <v>657</v>
      </c>
      <c r="G103" s="809">
        <v>1</v>
      </c>
      <c r="H103" s="805" t="s">
        <v>143</v>
      </c>
      <c r="I103" s="672" t="e">
        <f>$E$2*(1+$F$2)</f>
        <v>#REF!</v>
      </c>
      <c r="J103" s="672"/>
      <c r="K103" s="791">
        <f t="shared" ref="K103:K109" si="21">J103/(1+L103)</f>
        <v>0</v>
      </c>
      <c r="L103" s="569">
        <v>0.11</v>
      </c>
      <c r="M103" s="779" t="e">
        <f t="shared" ref="M103:M110" si="22">G103*I103*K103/10000</f>
        <v>#REF!</v>
      </c>
      <c r="N103" s="779" t="e">
        <f t="shared" ref="N103:N110" si="23">L103*M103</f>
        <v>#REF!</v>
      </c>
      <c r="O103" s="779" t="e">
        <f t="shared" ref="O103:O110" si="24">M103+N103</f>
        <v>#REF!</v>
      </c>
      <c r="P103" s="780" t="e">
        <f t="shared" si="20"/>
        <v>#REF!</v>
      </c>
      <c r="Q103" s="806" t="e">
        <f t="shared" si="19"/>
        <v>#REF!</v>
      </c>
      <c r="AA103" s="632"/>
    </row>
    <row r="104" spans="2:27" ht="16.5" hidden="1" customHeight="1" outlineLevel="4">
      <c r="B104" s="776" t="s">
        <v>1576</v>
      </c>
      <c r="C104" s="782"/>
      <c r="D104" s="804" t="s">
        <v>1577</v>
      </c>
      <c r="E104" s="665" t="s">
        <v>468</v>
      </c>
      <c r="F104" s="648" t="s">
        <v>657</v>
      </c>
      <c r="G104" s="809"/>
      <c r="H104" s="805" t="s">
        <v>143</v>
      </c>
      <c r="I104" s="672" t="e">
        <f>$E$2*(1+$F$2)</f>
        <v>#REF!</v>
      </c>
      <c r="J104" s="672"/>
      <c r="K104" s="791">
        <f t="shared" si="21"/>
        <v>0</v>
      </c>
      <c r="L104" s="569">
        <v>0.11</v>
      </c>
      <c r="M104" s="779" t="e">
        <f t="shared" si="22"/>
        <v>#REF!</v>
      </c>
      <c r="N104" s="779" t="e">
        <f t="shared" si="23"/>
        <v>#REF!</v>
      </c>
      <c r="O104" s="779" t="e">
        <f t="shared" si="24"/>
        <v>#REF!</v>
      </c>
      <c r="P104" s="780" t="e">
        <f t="shared" si="20"/>
        <v>#REF!</v>
      </c>
      <c r="Q104" s="806" t="e">
        <f t="shared" si="19"/>
        <v>#REF!</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20"/>
        <v>#REF!</v>
      </c>
      <c r="Q105" s="806">
        <f t="shared" si="19"/>
        <v>0</v>
      </c>
      <c r="AA105" s="632"/>
    </row>
    <row r="106" spans="2:27" ht="16.5" hidden="1" customHeight="1" outlineLevel="3">
      <c r="B106" s="776" t="s">
        <v>705</v>
      </c>
      <c r="C106" s="782" t="s">
        <v>39</v>
      </c>
      <c r="D106" s="804" t="s">
        <v>708</v>
      </c>
      <c r="E106" s="648" t="s">
        <v>1580</v>
      </c>
      <c r="F106" s="665" t="s">
        <v>18</v>
      </c>
      <c r="G106" s="810">
        <v>10</v>
      </c>
      <c r="H106" s="795"/>
      <c r="I106" s="789" t="e">
        <f>I2</f>
        <v>#REF!</v>
      </c>
      <c r="J106" s="789"/>
      <c r="K106" s="791">
        <f t="shared" si="21"/>
        <v>0</v>
      </c>
      <c r="L106" s="569">
        <v>0.11</v>
      </c>
      <c r="M106" s="779" t="e">
        <f t="shared" si="22"/>
        <v>#REF!</v>
      </c>
      <c r="N106" s="779" t="e">
        <f t="shared" si="23"/>
        <v>#REF!</v>
      </c>
      <c r="O106" s="779" t="e">
        <f t="shared" si="24"/>
        <v>#REF!</v>
      </c>
      <c r="P106" s="780" t="e">
        <f t="shared" si="20"/>
        <v>#REF!</v>
      </c>
      <c r="Q106" s="806" t="e">
        <f t="shared" si="19"/>
        <v>#REF!</v>
      </c>
      <c r="AA106" s="632"/>
    </row>
    <row r="107" spans="2:27" ht="16.5" hidden="1" customHeight="1" outlineLevel="3">
      <c r="B107" s="776" t="s">
        <v>706</v>
      </c>
      <c r="C107" s="782" t="s">
        <v>39</v>
      </c>
      <c r="D107" s="804" t="s">
        <v>1581</v>
      </c>
      <c r="E107" s="648" t="s">
        <v>1606</v>
      </c>
      <c r="F107" s="648" t="s">
        <v>657</v>
      </c>
      <c r="G107" s="809">
        <v>1</v>
      </c>
      <c r="H107" s="805"/>
      <c r="I107" s="672" t="e">
        <f>$E$2*(1+$F$2)</f>
        <v>#REF!</v>
      </c>
      <c r="J107" s="672"/>
      <c r="K107" s="791">
        <f t="shared" si="21"/>
        <v>0</v>
      </c>
      <c r="L107" s="569">
        <v>0.11</v>
      </c>
      <c r="M107" s="779" t="e">
        <f t="shared" si="22"/>
        <v>#REF!</v>
      </c>
      <c r="N107" s="779" t="e">
        <f t="shared" si="23"/>
        <v>#REF!</v>
      </c>
      <c r="O107" s="779" t="e">
        <f t="shared" si="24"/>
        <v>#REF!</v>
      </c>
      <c r="P107" s="780" t="e">
        <f t="shared" si="20"/>
        <v>#REF!</v>
      </c>
      <c r="Q107" s="806" t="e">
        <f t="shared" si="19"/>
        <v>#REF!</v>
      </c>
      <c r="AA107" s="632"/>
    </row>
    <row r="108" spans="2:27" ht="16.5" hidden="1" customHeight="1" outlineLevel="3">
      <c r="B108" s="776" t="s">
        <v>707</v>
      </c>
      <c r="C108" s="782" t="s">
        <v>39</v>
      </c>
      <c r="D108" s="804" t="s">
        <v>1582</v>
      </c>
      <c r="E108" s="648" t="s">
        <v>1606</v>
      </c>
      <c r="F108" s="665" t="s">
        <v>18</v>
      </c>
      <c r="G108" s="811">
        <v>0</v>
      </c>
      <c r="H108" s="805" t="s">
        <v>1921</v>
      </c>
      <c r="I108" s="672" t="e">
        <f>$I$2</f>
        <v>#REF!</v>
      </c>
      <c r="J108" s="672"/>
      <c r="K108" s="791">
        <f t="shared" si="21"/>
        <v>0</v>
      </c>
      <c r="L108" s="569">
        <v>0.11</v>
      </c>
      <c r="M108" s="779" t="e">
        <f t="shared" si="22"/>
        <v>#REF!</v>
      </c>
      <c r="N108" s="779" t="e">
        <f t="shared" si="23"/>
        <v>#REF!</v>
      </c>
      <c r="O108" s="779" t="e">
        <f t="shared" si="24"/>
        <v>#REF!</v>
      </c>
      <c r="P108" s="780" t="e">
        <f t="shared" si="20"/>
        <v>#REF!</v>
      </c>
      <c r="Q108" s="781" t="e">
        <f t="shared" si="19"/>
        <v>#REF!</v>
      </c>
      <c r="AA108" s="632"/>
    </row>
    <row r="109" spans="2:27" ht="16.5" hidden="1" customHeight="1" outlineLevel="3">
      <c r="B109" s="776" t="s">
        <v>709</v>
      </c>
      <c r="C109" s="782" t="s">
        <v>39</v>
      </c>
      <c r="D109" s="804" t="s">
        <v>97</v>
      </c>
      <c r="E109" s="648" t="s">
        <v>470</v>
      </c>
      <c r="F109" s="648" t="s">
        <v>657</v>
      </c>
      <c r="G109" s="808">
        <v>1</v>
      </c>
      <c r="H109" s="805" t="s">
        <v>143</v>
      </c>
      <c r="I109" s="672" t="e">
        <f>$E$2*(1+$F$2)</f>
        <v>#REF!</v>
      </c>
      <c r="J109" s="672">
        <v>10</v>
      </c>
      <c r="K109" s="791">
        <f t="shared" si="21"/>
        <v>9.0090090090090076</v>
      </c>
      <c r="L109" s="620">
        <v>0.11</v>
      </c>
      <c r="M109" s="779" t="e">
        <f t="shared" si="22"/>
        <v>#REF!</v>
      </c>
      <c r="N109" s="779" t="e">
        <f t="shared" si="23"/>
        <v>#REF!</v>
      </c>
      <c r="O109" s="779" t="e">
        <f t="shared" si="24"/>
        <v>#REF!</v>
      </c>
      <c r="P109" s="780" t="e">
        <f t="shared" si="20"/>
        <v>#REF!</v>
      </c>
      <c r="Q109" s="781" t="e">
        <f t="shared" si="19"/>
        <v>#REF!</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20"/>
        <v>#REF!</v>
      </c>
      <c r="Q110" s="781">
        <f t="shared" si="19"/>
        <v>0</v>
      </c>
      <c r="AA110" s="632"/>
    </row>
    <row r="111" spans="2:27" ht="16.5" hidden="1" customHeight="1" outlineLevel="2" collapsed="1">
      <c r="B111" s="776" t="s">
        <v>712</v>
      </c>
      <c r="C111" s="777" t="s">
        <v>33</v>
      </c>
      <c r="D111" s="804" t="s">
        <v>713</v>
      </c>
      <c r="E111" s="648"/>
      <c r="F111" s="648"/>
      <c r="G111" s="787"/>
      <c r="H111" s="787"/>
      <c r="I111" s="672"/>
      <c r="J111" s="672"/>
      <c r="K111" s="681"/>
      <c r="L111" s="569"/>
      <c r="M111" s="779" t="e">
        <f>SUBTOTAL(9,M112:M116)</f>
        <v>#REF!</v>
      </c>
      <c r="N111" s="779" t="e">
        <f>SUBTOTAL(9,N112:N116)</f>
        <v>#REF!</v>
      </c>
      <c r="O111" s="779" t="e">
        <f>SUBTOTAL(9,O112:O116)</f>
        <v>#REF!</v>
      </c>
      <c r="P111" s="780" t="e">
        <f t="shared" si="20"/>
        <v>#REF!</v>
      </c>
      <c r="Q111" s="781"/>
      <c r="AA111" s="632"/>
    </row>
    <row r="112" spans="2:27" ht="16.5" hidden="1" customHeight="1" outlineLevel="3">
      <c r="B112" s="776" t="s">
        <v>714</v>
      </c>
      <c r="C112" s="782" t="s">
        <v>39</v>
      </c>
      <c r="D112" s="804" t="s">
        <v>715</v>
      </c>
      <c r="E112" s="665" t="s">
        <v>1583</v>
      </c>
      <c r="F112" s="665" t="s">
        <v>803</v>
      </c>
      <c r="G112" s="813">
        <v>7</v>
      </c>
      <c r="H112" s="805" t="s">
        <v>716</v>
      </c>
      <c r="I112" s="672" t="e">
        <f>($K$2+1)*$I$2</f>
        <v>#REF!</v>
      </c>
      <c r="J112" s="672">
        <v>60</v>
      </c>
      <c r="K112" s="791">
        <f>J112/(1+L112)</f>
        <v>54.054054054054049</v>
      </c>
      <c r="L112" s="620">
        <v>0.11</v>
      </c>
      <c r="M112" s="779" t="e">
        <f>G112*I112*K112/10000</f>
        <v>#REF!</v>
      </c>
      <c r="N112" s="779" t="e">
        <f>L112*M112</f>
        <v>#REF!</v>
      </c>
      <c r="O112" s="779" t="e">
        <f>M112+N112</f>
        <v>#REF!</v>
      </c>
      <c r="P112" s="780" t="e">
        <f t="shared" si="20"/>
        <v>#REF!</v>
      </c>
      <c r="Q112" s="781" t="e">
        <f>G112*I112*J112/10000-O112</f>
        <v>#REF!</v>
      </c>
      <c r="AA112" s="632"/>
    </row>
    <row r="113" spans="2:27" ht="16.5" hidden="1" customHeight="1" outlineLevel="3">
      <c r="B113" s="776" t="s">
        <v>717</v>
      </c>
      <c r="C113" s="782" t="s">
        <v>39</v>
      </c>
      <c r="D113" s="804" t="s">
        <v>1584</v>
      </c>
      <c r="E113" s="665" t="s">
        <v>1583</v>
      </c>
      <c r="F113" s="665" t="s">
        <v>114</v>
      </c>
      <c r="G113" s="813">
        <v>5</v>
      </c>
      <c r="H113" s="805"/>
      <c r="I113" s="672" t="e">
        <f>I112</f>
        <v>#REF!</v>
      </c>
      <c r="J113" s="672"/>
      <c r="K113" s="791">
        <f>J113/(1+L113)</f>
        <v>0</v>
      </c>
      <c r="L113" s="569">
        <v>0.11</v>
      </c>
      <c r="M113" s="779" t="e">
        <f>G113*I113*K113/10000</f>
        <v>#REF!</v>
      </c>
      <c r="N113" s="779" t="e">
        <f>L113*M113</f>
        <v>#REF!</v>
      </c>
      <c r="O113" s="779" t="e">
        <f>M113+N113</f>
        <v>#REF!</v>
      </c>
      <c r="P113" s="780" t="e">
        <f t="shared" si="20"/>
        <v>#REF!</v>
      </c>
      <c r="Q113" s="781" t="e">
        <f>G113*I113*J113/10000-O113</f>
        <v>#REF!</v>
      </c>
      <c r="AA113" s="632"/>
    </row>
    <row r="114" spans="2:27" ht="16.5" hidden="1" customHeight="1" outlineLevel="3">
      <c r="B114" s="776" t="s">
        <v>718</v>
      </c>
      <c r="C114" s="782" t="s">
        <v>39</v>
      </c>
      <c r="D114" s="804" t="s">
        <v>719</v>
      </c>
      <c r="E114" s="665" t="s">
        <v>1583</v>
      </c>
      <c r="F114" s="665" t="s">
        <v>41</v>
      </c>
      <c r="G114" s="813">
        <v>10</v>
      </c>
      <c r="H114" s="787" t="s">
        <v>660</v>
      </c>
      <c r="I114" s="672" t="e">
        <f>$H$2</f>
        <v>#REF!</v>
      </c>
      <c r="J114" s="672">
        <v>145</v>
      </c>
      <c r="K114" s="791">
        <f>J114/(1+L114)</f>
        <v>130.63063063063061</v>
      </c>
      <c r="L114" s="569">
        <v>0.11</v>
      </c>
      <c r="M114" s="779" t="e">
        <f>G114*I114*K114/10000</f>
        <v>#REF!</v>
      </c>
      <c r="N114" s="779" t="e">
        <f>L114*M114</f>
        <v>#REF!</v>
      </c>
      <c r="O114" s="779" t="e">
        <f>M114+N114</f>
        <v>#REF!</v>
      </c>
      <c r="P114" s="780" t="e">
        <f t="shared" si="20"/>
        <v>#REF!</v>
      </c>
      <c r="Q114" s="781" t="e">
        <f>G114*I114*J114/10000-O114</f>
        <v>#REF!</v>
      </c>
      <c r="AA114" s="632"/>
    </row>
    <row r="115" spans="2:27" ht="16.5" hidden="1" customHeight="1" outlineLevel="3">
      <c r="B115" s="776" t="s">
        <v>1585</v>
      </c>
      <c r="C115" s="782" t="s">
        <v>39</v>
      </c>
      <c r="D115" s="804" t="s">
        <v>720</v>
      </c>
      <c r="E115" s="665" t="s">
        <v>1583</v>
      </c>
      <c r="F115" s="665" t="s">
        <v>41</v>
      </c>
      <c r="G115" s="808">
        <v>6</v>
      </c>
      <c r="H115" s="812" t="s">
        <v>660</v>
      </c>
      <c r="I115" s="672" t="e">
        <f>$H$2</f>
        <v>#REF!</v>
      </c>
      <c r="J115" s="672">
        <v>90</v>
      </c>
      <c r="K115" s="791">
        <f>J115/(1+L115)</f>
        <v>81.081081081081081</v>
      </c>
      <c r="L115" s="620">
        <v>0.11</v>
      </c>
      <c r="M115" s="779" t="e">
        <f>G115*I115*K115/10000</f>
        <v>#REF!</v>
      </c>
      <c r="N115" s="779" t="e">
        <f>L115*M115</f>
        <v>#REF!</v>
      </c>
      <c r="O115" s="779" t="e">
        <f>M115+N115</f>
        <v>#REF!</v>
      </c>
      <c r="P115" s="780" t="e">
        <f t="shared" si="20"/>
        <v>#REF!</v>
      </c>
      <c r="Q115" s="781" t="e">
        <f>G115*I115*J115/10000-O115</f>
        <v>#REF!</v>
      </c>
      <c r="AA115" s="632"/>
    </row>
    <row r="116" spans="2:27" ht="16.5" hidden="1" customHeight="1" outlineLevel="3">
      <c r="B116" s="776" t="s">
        <v>1586</v>
      </c>
      <c r="C116" s="782" t="s">
        <v>39</v>
      </c>
      <c r="D116" s="804" t="s">
        <v>721</v>
      </c>
      <c r="E116" s="665" t="s">
        <v>1583</v>
      </c>
      <c r="F116" s="665" t="s">
        <v>41</v>
      </c>
      <c r="G116" s="809">
        <v>6</v>
      </c>
      <c r="H116" s="787" t="s">
        <v>722</v>
      </c>
      <c r="I116" s="672" t="e">
        <f>$H$2</f>
        <v>#REF!</v>
      </c>
      <c r="J116" s="672">
        <v>220</v>
      </c>
      <c r="K116" s="791">
        <f>J116/(1+L116)</f>
        <v>198.19819819819818</v>
      </c>
      <c r="L116" s="569">
        <v>0.11</v>
      </c>
      <c r="M116" s="779" t="e">
        <f>G116*I116*K116/10000</f>
        <v>#REF!</v>
      </c>
      <c r="N116" s="779" t="e">
        <f>L116*M116</f>
        <v>#REF!</v>
      </c>
      <c r="O116" s="779" t="e">
        <f>M116+N116</f>
        <v>#REF!</v>
      </c>
      <c r="P116" s="780" t="e">
        <f t="shared" si="20"/>
        <v>#REF!</v>
      </c>
      <c r="Q116" s="781" t="e">
        <f>G116*I116*J116/10000-O116</f>
        <v>#REF!</v>
      </c>
      <c r="AA116" s="632"/>
    </row>
    <row r="117" spans="2:27" ht="16.5" hidden="1" customHeight="1" outlineLevel="2" collapsed="1">
      <c r="B117" s="776" t="s">
        <v>723</v>
      </c>
      <c r="C117" s="777" t="s">
        <v>88</v>
      </c>
      <c r="D117" s="804" t="s">
        <v>21</v>
      </c>
      <c r="E117" s="648"/>
      <c r="F117" s="648"/>
      <c r="G117" s="787"/>
      <c r="H117" s="787"/>
      <c r="I117" s="672"/>
      <c r="J117" s="672"/>
      <c r="K117" s="681"/>
      <c r="L117" s="569"/>
      <c r="M117" s="779" t="e">
        <f>SUBTOTAL(9,M118:M123)</f>
        <v>#REF!</v>
      </c>
      <c r="N117" s="779" t="e">
        <f>SUBTOTAL(9,N118:N123)</f>
        <v>#REF!</v>
      </c>
      <c r="O117" s="779" t="e">
        <f>SUBTOTAL(9,O118:O123)</f>
        <v>#REF!</v>
      </c>
      <c r="P117" s="780" t="e">
        <f t="shared" si="20"/>
        <v>#REF!</v>
      </c>
      <c r="Q117" s="781"/>
      <c r="AA117" s="632"/>
    </row>
    <row r="118" spans="2:27" ht="16.5" hidden="1" customHeight="1" outlineLevel="3">
      <c r="B118" s="776" t="s">
        <v>724</v>
      </c>
      <c r="C118" s="782" t="s">
        <v>39</v>
      </c>
      <c r="D118" s="804" t="s">
        <v>725</v>
      </c>
      <c r="E118" s="665" t="s">
        <v>1580</v>
      </c>
      <c r="F118" s="665" t="s">
        <v>18</v>
      </c>
      <c r="G118" s="814">
        <v>1</v>
      </c>
      <c r="H118" s="805" t="s">
        <v>7</v>
      </c>
      <c r="I118" s="672" t="e">
        <f>$I$2</f>
        <v>#REF!</v>
      </c>
      <c r="J118" s="672">
        <v>20000</v>
      </c>
      <c r="K118" s="791">
        <f>J118/(1+L118)</f>
        <v>18018.018018018018</v>
      </c>
      <c r="L118" s="620">
        <v>0.11</v>
      </c>
      <c r="M118" s="779" t="e">
        <f>G118*I118*K118/10000</f>
        <v>#REF!</v>
      </c>
      <c r="N118" s="779" t="e">
        <f>L118*M118</f>
        <v>#REF!</v>
      </c>
      <c r="O118" s="779" t="e">
        <f>M118+N118</f>
        <v>#REF!</v>
      </c>
      <c r="P118" s="780" t="e">
        <f t="shared" si="20"/>
        <v>#REF!</v>
      </c>
      <c r="Q118" s="781" t="e">
        <f>G118*I118*J118/10000-O118</f>
        <v>#REF!</v>
      </c>
      <c r="AA118" s="632"/>
    </row>
    <row r="119" spans="2:27" ht="16.5" hidden="1" customHeight="1" outlineLevel="3">
      <c r="B119" s="776" t="s">
        <v>726</v>
      </c>
      <c r="C119" s="782" t="s">
        <v>39</v>
      </c>
      <c r="D119" s="804" t="s">
        <v>61</v>
      </c>
      <c r="E119" s="665"/>
      <c r="F119" s="665"/>
      <c r="G119" s="813"/>
      <c r="H119" s="787"/>
      <c r="I119" s="672"/>
      <c r="J119" s="672"/>
      <c r="K119" s="787"/>
      <c r="L119" s="569"/>
      <c r="M119" s="779" t="e">
        <f>SUBTOTAL(9,M120:M121)</f>
        <v>#REF!</v>
      </c>
      <c r="N119" s="779" t="e">
        <f>SUBTOTAL(9,N120:N121)</f>
        <v>#REF!</v>
      </c>
      <c r="O119" s="779" t="e">
        <f>SUBTOTAL(9,O120:O121)</f>
        <v>#REF!</v>
      </c>
      <c r="P119" s="780" t="e">
        <f t="shared" si="20"/>
        <v>#REF!</v>
      </c>
      <c r="Q119" s="781"/>
      <c r="AA119" s="632"/>
    </row>
    <row r="120" spans="2:27" ht="16.5" hidden="1" customHeight="1" outlineLevel="4">
      <c r="B120" s="776" t="s">
        <v>1612</v>
      </c>
      <c r="C120" s="782"/>
      <c r="D120" s="807" t="s">
        <v>1613</v>
      </c>
      <c r="E120" s="665" t="s">
        <v>1587</v>
      </c>
      <c r="F120" s="665" t="s">
        <v>1614</v>
      </c>
      <c r="G120" s="813">
        <v>1</v>
      </c>
      <c r="H120" s="787" t="s">
        <v>727</v>
      </c>
      <c r="I120" s="672" t="e">
        <f>$H$2</f>
        <v>#REF!</v>
      </c>
      <c r="J120" s="672"/>
      <c r="K120" s="791">
        <f>J120/(1+L120)</f>
        <v>0</v>
      </c>
      <c r="L120" s="569">
        <v>0.17</v>
      </c>
      <c r="M120" s="779" t="e">
        <f>G120*I120*K120/10000</f>
        <v>#REF!</v>
      </c>
      <c r="N120" s="779" t="e">
        <f>L120*M120</f>
        <v>#REF!</v>
      </c>
      <c r="O120" s="779" t="e">
        <f>M120+N120</f>
        <v>#REF!</v>
      </c>
      <c r="P120" s="780" t="e">
        <f t="shared" si="20"/>
        <v>#REF!</v>
      </c>
      <c r="Q120" s="781" t="e">
        <f>G120*I120*J120/10000-O120</f>
        <v>#REF!</v>
      </c>
      <c r="AA120" s="632"/>
    </row>
    <row r="121" spans="2:27" ht="16.5" hidden="1" customHeight="1" outlineLevel="4">
      <c r="B121" s="776" t="s">
        <v>1588</v>
      </c>
      <c r="C121" s="782"/>
      <c r="D121" s="807" t="s">
        <v>1615</v>
      </c>
      <c r="E121" s="665" t="s">
        <v>1589</v>
      </c>
      <c r="F121" s="665" t="s">
        <v>1614</v>
      </c>
      <c r="G121" s="813">
        <v>1</v>
      </c>
      <c r="H121" s="787" t="s">
        <v>727</v>
      </c>
      <c r="I121" s="672" t="e">
        <f>$H$2</f>
        <v>#REF!</v>
      </c>
      <c r="J121" s="672">
        <v>5000</v>
      </c>
      <c r="K121" s="791">
        <f>J121/(1+L121)</f>
        <v>4273.5042735042734</v>
      </c>
      <c r="L121" s="569">
        <v>0.17</v>
      </c>
      <c r="M121" s="779" t="e">
        <f>G121*I121*K121/10000</f>
        <v>#REF!</v>
      </c>
      <c r="N121" s="779" t="e">
        <f>L121*M121</f>
        <v>#REF!</v>
      </c>
      <c r="O121" s="779" t="e">
        <f>M121+N121</f>
        <v>#REF!</v>
      </c>
      <c r="P121" s="780" t="e">
        <f t="shared" si="20"/>
        <v>#REF!</v>
      </c>
      <c r="Q121" s="781" t="e">
        <f>G121*I121*J121/10000-O121</f>
        <v>#REF!</v>
      </c>
      <c r="AA121" s="632"/>
    </row>
    <row r="122" spans="2:27" ht="16.5" hidden="1" customHeight="1" outlineLevel="3">
      <c r="B122" s="776" t="s">
        <v>728</v>
      </c>
      <c r="C122" s="782" t="s">
        <v>39</v>
      </c>
      <c r="D122" s="804" t="s">
        <v>729</v>
      </c>
      <c r="E122" s="648" t="s">
        <v>1590</v>
      </c>
      <c r="F122" s="665" t="s">
        <v>803</v>
      </c>
      <c r="G122" s="813">
        <v>7</v>
      </c>
      <c r="H122" s="805" t="s">
        <v>1923</v>
      </c>
      <c r="I122" s="672" t="e">
        <f>$I$2*($K$2+1)</f>
        <v>#REF!</v>
      </c>
      <c r="J122" s="672">
        <v>450</v>
      </c>
      <c r="K122" s="791">
        <f>J122/(1+L122)</f>
        <v>384.61538461538464</v>
      </c>
      <c r="L122" s="620">
        <v>0.17</v>
      </c>
      <c r="M122" s="779" t="e">
        <f>G122*I122*K122/10000</f>
        <v>#REF!</v>
      </c>
      <c r="N122" s="779" t="e">
        <f>L122*M122</f>
        <v>#REF!</v>
      </c>
      <c r="O122" s="779" t="e">
        <f>M122+N122</f>
        <v>#REF!</v>
      </c>
      <c r="P122" s="780" t="e">
        <f t="shared" si="20"/>
        <v>#REF!</v>
      </c>
      <c r="Q122" s="781" t="e">
        <f>G122*I122*J122/10000-O122</f>
        <v>#REF!</v>
      </c>
      <c r="AA122" s="632"/>
    </row>
    <row r="123" spans="2:27" ht="16.5" hidden="1" customHeight="1" outlineLevel="3">
      <c r="B123" s="776" t="s">
        <v>730</v>
      </c>
      <c r="C123" s="782" t="s">
        <v>39</v>
      </c>
      <c r="D123" s="804" t="s">
        <v>62</v>
      </c>
      <c r="E123" s="665" t="s">
        <v>1580</v>
      </c>
      <c r="F123" s="648" t="s">
        <v>657</v>
      </c>
      <c r="G123" s="808">
        <v>0.19</v>
      </c>
      <c r="H123" s="805" t="s">
        <v>145</v>
      </c>
      <c r="I123" s="672" t="e">
        <f>$E$2*(1+$F$2)</f>
        <v>#REF!</v>
      </c>
      <c r="J123" s="672">
        <v>700</v>
      </c>
      <c r="K123" s="791">
        <f>J123/(1+L123)</f>
        <v>598.29059829059838</v>
      </c>
      <c r="L123" s="620">
        <v>0.17</v>
      </c>
      <c r="M123" s="779" t="e">
        <f>G123*I123*K123/10000</f>
        <v>#REF!</v>
      </c>
      <c r="N123" s="779" t="e">
        <f>L123*M123</f>
        <v>#REF!</v>
      </c>
      <c r="O123" s="779" t="e">
        <f>M123+N123</f>
        <v>#REF!</v>
      </c>
      <c r="P123" s="780" t="e">
        <f t="shared" si="20"/>
        <v>#REF!</v>
      </c>
      <c r="Q123" s="781" t="e">
        <f>G123*I123*J123/10000-O123</f>
        <v>#REF!</v>
      </c>
      <c r="R123" s="632" t="s">
        <v>2090</v>
      </c>
      <c r="AA123" s="632"/>
    </row>
    <row r="124" spans="2:27" ht="16.5" hidden="1" customHeight="1" outlineLevel="2" collapsed="1">
      <c r="B124" s="776" t="s">
        <v>731</v>
      </c>
      <c r="C124" s="777" t="s">
        <v>78</v>
      </c>
      <c r="D124" s="804" t="s">
        <v>732</v>
      </c>
      <c r="E124" s="648"/>
      <c r="F124" s="648"/>
      <c r="G124" s="787"/>
      <c r="H124" s="787"/>
      <c r="I124" s="672"/>
      <c r="J124" s="672"/>
      <c r="K124" s="681"/>
      <c r="L124" s="569"/>
      <c r="M124" s="779" t="e">
        <f>SUBTOTAL(9,M125:M128)</f>
        <v>#REF!</v>
      </c>
      <c r="N124" s="779" t="e">
        <f>SUBTOTAL(9,N125:N128)</f>
        <v>#REF!</v>
      </c>
      <c r="O124" s="779" t="e">
        <f>SUBTOTAL(9,O125:O128)</f>
        <v>#REF!</v>
      </c>
      <c r="P124" s="780" t="e">
        <f t="shared" si="20"/>
        <v>#REF!</v>
      </c>
      <c r="Q124" s="781"/>
      <c r="AA124" s="632"/>
    </row>
    <row r="125" spans="2:27" ht="16.5" hidden="1" customHeight="1" outlineLevel="3">
      <c r="B125" s="776" t="s">
        <v>733</v>
      </c>
      <c r="C125" s="782" t="s">
        <v>39</v>
      </c>
      <c r="D125" s="815" t="s">
        <v>734</v>
      </c>
      <c r="E125" s="814" t="s">
        <v>1228</v>
      </c>
      <c r="F125" s="814" t="s">
        <v>9</v>
      </c>
      <c r="G125" s="814">
        <v>1</v>
      </c>
      <c r="H125" s="787" t="s">
        <v>145</v>
      </c>
      <c r="I125" s="672" t="e">
        <f>$G$2</f>
        <v>#REF!</v>
      </c>
      <c r="J125" s="672"/>
      <c r="K125" s="816"/>
      <c r="L125" s="620">
        <v>0.11</v>
      </c>
      <c r="M125" s="779" t="e">
        <f>G125*I125*K125/10000</f>
        <v>#REF!</v>
      </c>
      <c r="N125" s="779" t="e">
        <f>L125*M125</f>
        <v>#REF!</v>
      </c>
      <c r="O125" s="779" t="e">
        <f>M125+N125</f>
        <v>#REF!</v>
      </c>
      <c r="P125" s="780" t="e">
        <f t="shared" si="20"/>
        <v>#REF!</v>
      </c>
      <c r="Q125" s="781" t="e">
        <f>G125*I125*J125/10000-O125</f>
        <v>#REF!</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20"/>
        <v>#REF!</v>
      </c>
      <c r="Q126" s="781">
        <f>G126*I126*J126/10000-O126</f>
        <v>0</v>
      </c>
      <c r="AA126" s="632"/>
    </row>
    <row r="127" spans="2:27" ht="16.5" hidden="1" customHeight="1" outlineLevel="3">
      <c r="B127" s="776" t="s">
        <v>737</v>
      </c>
      <c r="C127" s="782" t="s">
        <v>39</v>
      </c>
      <c r="D127" s="815" t="s">
        <v>738</v>
      </c>
      <c r="E127" s="648" t="s">
        <v>1616</v>
      </c>
      <c r="F127" s="648" t="s">
        <v>657</v>
      </c>
      <c r="G127" s="808">
        <v>1</v>
      </c>
      <c r="H127" s="805" t="s">
        <v>143</v>
      </c>
      <c r="I127" s="672" t="e">
        <f>$E$2*(1+$F$2)</f>
        <v>#REF!</v>
      </c>
      <c r="J127" s="672">
        <v>5</v>
      </c>
      <c r="K127" s="791">
        <f>J127/(1+L127)</f>
        <v>4.2735042735042734</v>
      </c>
      <c r="L127" s="620">
        <v>0.17</v>
      </c>
      <c r="M127" s="779" t="e">
        <f>G127*I127*K127/10000</f>
        <v>#REF!</v>
      </c>
      <c r="N127" s="779" t="e">
        <f>L127*M127</f>
        <v>#REF!</v>
      </c>
      <c r="O127" s="779" t="e">
        <f>M127+N127</f>
        <v>#REF!</v>
      </c>
      <c r="P127" s="780" t="e">
        <f t="shared" si="20"/>
        <v>#REF!</v>
      </c>
      <c r="Q127" s="781" t="e">
        <f>G127*I127*J127/10000-O127</f>
        <v>#REF!</v>
      </c>
      <c r="AA127" s="632"/>
    </row>
    <row r="128" spans="2:27" ht="16.5" hidden="1" customHeight="1" outlineLevel="3">
      <c r="B128" s="776" t="s">
        <v>739</v>
      </c>
      <c r="C128" s="782" t="s">
        <v>39</v>
      </c>
      <c r="D128" s="815" t="s">
        <v>740</v>
      </c>
      <c r="E128" s="665" t="s">
        <v>463</v>
      </c>
      <c r="F128" s="665" t="s">
        <v>41</v>
      </c>
      <c r="G128" s="814">
        <v>1</v>
      </c>
      <c r="H128" s="812" t="s">
        <v>741</v>
      </c>
      <c r="I128" s="672" t="e">
        <f>$H$2</f>
        <v>#REF!</v>
      </c>
      <c r="J128" s="672">
        <v>80</v>
      </c>
      <c r="K128" s="791">
        <f>J128/(1+L128)</f>
        <v>68.376068376068375</v>
      </c>
      <c r="L128" s="620">
        <v>0.17</v>
      </c>
      <c r="M128" s="779" t="e">
        <f>G128*I128*K128/10000</f>
        <v>#REF!</v>
      </c>
      <c r="N128" s="779" t="e">
        <f>L128*M128</f>
        <v>#REF!</v>
      </c>
      <c r="O128" s="779" t="e">
        <f>M128+N128</f>
        <v>#REF!</v>
      </c>
      <c r="P128" s="780" t="e">
        <f t="shared" si="20"/>
        <v>#REF!</v>
      </c>
      <c r="Q128" s="781" t="e">
        <f>G128*I128*J128/10000-O128</f>
        <v>#REF!</v>
      </c>
      <c r="AA128" s="632"/>
    </row>
    <row r="129" spans="2:27" ht="16.5" hidden="1" customHeight="1" outlineLevel="1" collapsed="1">
      <c r="B129" s="771" t="s">
        <v>501</v>
      </c>
      <c r="C129" s="712">
        <v>2</v>
      </c>
      <c r="D129" s="771" t="s">
        <v>83</v>
      </c>
      <c r="E129" s="712"/>
      <c r="F129" s="712"/>
      <c r="G129" s="712"/>
      <c r="H129" s="772"/>
      <c r="I129" s="713"/>
      <c r="J129" s="713"/>
      <c r="K129" s="772"/>
      <c r="L129" s="588"/>
      <c r="M129" s="773" t="e">
        <f>SUBTOTAL(9,M130:M148)</f>
        <v>#REF!</v>
      </c>
      <c r="N129" s="773" t="e">
        <f>SUBTOTAL(9,N130:N148)</f>
        <v>#REF!</v>
      </c>
      <c r="O129" s="773" t="e">
        <f>SUBTOTAL(9,O130:O148)</f>
        <v>#REF!</v>
      </c>
      <c r="P129" s="774" t="e">
        <f t="shared" si="20"/>
        <v>#REF!</v>
      </c>
      <c r="Q129" s="775"/>
      <c r="AA129" s="632"/>
    </row>
    <row r="130" spans="2:27" ht="16.5" hidden="1" customHeight="1" outlineLevel="2">
      <c r="B130" s="776" t="s">
        <v>742</v>
      </c>
      <c r="C130" s="777" t="s">
        <v>36</v>
      </c>
      <c r="D130" s="817" t="s">
        <v>51</v>
      </c>
      <c r="E130" s="648"/>
      <c r="F130" s="648"/>
      <c r="G130" s="787"/>
      <c r="H130" s="787"/>
      <c r="I130" s="672"/>
      <c r="J130" s="672"/>
      <c r="K130" s="681"/>
      <c r="L130" s="569"/>
      <c r="M130" s="779" t="e">
        <f>SUBTOTAL(9,M131:M133)</f>
        <v>#REF!</v>
      </c>
      <c r="N130" s="779" t="e">
        <f>SUBTOTAL(9,N131:N133)</f>
        <v>#REF!</v>
      </c>
      <c r="O130" s="779" t="e">
        <f>SUBTOTAL(9,O131:O133)</f>
        <v>#REF!</v>
      </c>
      <c r="P130" s="780" t="e">
        <f t="shared" si="20"/>
        <v>#REF!</v>
      </c>
      <c r="Q130" s="781"/>
      <c r="AA130" s="632"/>
    </row>
    <row r="131" spans="2:27" ht="16.5" hidden="1" customHeight="1" outlineLevel="3">
      <c r="B131" s="776" t="s">
        <v>743</v>
      </c>
      <c r="C131" s="782" t="s">
        <v>39</v>
      </c>
      <c r="D131" s="815" t="s">
        <v>1592</v>
      </c>
      <c r="E131" s="648" t="s">
        <v>1617</v>
      </c>
      <c r="F131" s="648" t="s">
        <v>18</v>
      </c>
      <c r="G131" s="787">
        <v>50</v>
      </c>
      <c r="H131" s="805" t="s">
        <v>1921</v>
      </c>
      <c r="I131" s="672" t="e">
        <f>$I$2</f>
        <v>#REF!</v>
      </c>
      <c r="J131" s="672">
        <v>1500</v>
      </c>
      <c r="K131" s="791">
        <f>J131/(1+L131)</f>
        <v>1351.3513513513512</v>
      </c>
      <c r="L131" s="569">
        <v>0.11</v>
      </c>
      <c r="M131" s="779" t="e">
        <f>G131*I131*K131/10000</f>
        <v>#REF!</v>
      </c>
      <c r="N131" s="779" t="e">
        <f>L131*M131</f>
        <v>#REF!</v>
      </c>
      <c r="O131" s="779" t="e">
        <f>M131+N131</f>
        <v>#REF!</v>
      </c>
      <c r="P131" s="780" t="e">
        <f t="shared" si="20"/>
        <v>#REF!</v>
      </c>
      <c r="Q131" s="781" t="e">
        <f>G131*I131*J131/10000-O131</f>
        <v>#REF!</v>
      </c>
      <c r="AA131" s="632"/>
    </row>
    <row r="132" spans="2:27" ht="16.5" hidden="1" customHeight="1" outlineLevel="3">
      <c r="B132" s="776" t="s">
        <v>744</v>
      </c>
      <c r="C132" s="782" t="s">
        <v>39</v>
      </c>
      <c r="D132" s="815" t="s">
        <v>1593</v>
      </c>
      <c r="E132" s="648" t="s">
        <v>457</v>
      </c>
      <c r="F132" s="648" t="s">
        <v>18</v>
      </c>
      <c r="G132" s="787">
        <v>50</v>
      </c>
      <c r="H132" s="805" t="s">
        <v>1921</v>
      </c>
      <c r="I132" s="672" t="e">
        <f>$I$2</f>
        <v>#REF!</v>
      </c>
      <c r="J132" s="672">
        <v>1000</v>
      </c>
      <c r="K132" s="791">
        <f>J132/(1+L132)</f>
        <v>854.70085470085473</v>
      </c>
      <c r="L132" s="569">
        <v>0.17</v>
      </c>
      <c r="M132" s="779" t="e">
        <f>G132*I132*K132/10000</f>
        <v>#REF!</v>
      </c>
      <c r="N132" s="779" t="e">
        <f>L132*M132</f>
        <v>#REF!</v>
      </c>
      <c r="O132" s="779" t="e">
        <f>M132+N132</f>
        <v>#REF!</v>
      </c>
      <c r="P132" s="780" t="e">
        <f t="shared" ref="P132:P163" si="25">IF(O132="","",O132*10000/E$2)</f>
        <v>#REF!</v>
      </c>
      <c r="Q132" s="781" t="e">
        <f>G132*I132*J132/10000-O132</f>
        <v>#REF!</v>
      </c>
      <c r="AA132" s="632"/>
    </row>
    <row r="133" spans="2:27" ht="16.5" hidden="1" customHeight="1" outlineLevel="3">
      <c r="B133" s="776" t="s">
        <v>745</v>
      </c>
      <c r="C133" s="782" t="s">
        <v>39</v>
      </c>
      <c r="D133" s="815" t="s">
        <v>1594</v>
      </c>
      <c r="E133" s="648" t="s">
        <v>1329</v>
      </c>
      <c r="F133" s="648" t="s">
        <v>18</v>
      </c>
      <c r="G133" s="787">
        <v>50</v>
      </c>
      <c r="H133" s="805" t="s">
        <v>1921</v>
      </c>
      <c r="I133" s="672" t="e">
        <f>$I$2</f>
        <v>#REF!</v>
      </c>
      <c r="J133" s="672">
        <v>100</v>
      </c>
      <c r="K133" s="791">
        <f>J133/(1+L133)</f>
        <v>85.470085470085479</v>
      </c>
      <c r="L133" s="569">
        <v>0.17</v>
      </c>
      <c r="M133" s="779" t="e">
        <f>G133*I133*K133/10000</f>
        <v>#REF!</v>
      </c>
      <c r="N133" s="779" t="e">
        <f>L133*M133</f>
        <v>#REF!</v>
      </c>
      <c r="O133" s="779" t="e">
        <f>M133+N133</f>
        <v>#REF!</v>
      </c>
      <c r="P133" s="780" t="e">
        <f t="shared" si="25"/>
        <v>#REF!</v>
      </c>
      <c r="Q133" s="781" t="e">
        <f>G133*I133*J133/10000-O133</f>
        <v>#REF!</v>
      </c>
      <c r="AA133" s="632"/>
    </row>
    <row r="134" spans="2:27" ht="16.5" hidden="1" customHeight="1" outlineLevel="2" collapsed="1">
      <c r="B134" s="776" t="s">
        <v>746</v>
      </c>
      <c r="C134" s="777" t="s">
        <v>33</v>
      </c>
      <c r="D134" s="817" t="s">
        <v>89</v>
      </c>
      <c r="E134" s="648"/>
      <c r="F134" s="648"/>
      <c r="G134" s="787"/>
      <c r="H134" s="787"/>
      <c r="I134" s="672"/>
      <c r="J134" s="672"/>
      <c r="K134" s="681"/>
      <c r="L134" s="569"/>
      <c r="M134" s="779" t="e">
        <f>SUBTOTAL(9,M135:M137)</f>
        <v>#REF!</v>
      </c>
      <c r="N134" s="779" t="e">
        <f>SUBTOTAL(9,N135:N137)</f>
        <v>#REF!</v>
      </c>
      <c r="O134" s="779" t="e">
        <f>SUBTOTAL(9,O135:O137)</f>
        <v>#REF!</v>
      </c>
      <c r="P134" s="780" t="e">
        <f t="shared" si="25"/>
        <v>#REF!</v>
      </c>
      <c r="Q134" s="781"/>
      <c r="AA134" s="632"/>
    </row>
    <row r="135" spans="2:27" ht="16.5" hidden="1" customHeight="1" outlineLevel="3">
      <c r="B135" s="776" t="s">
        <v>747</v>
      </c>
      <c r="C135" s="782" t="s">
        <v>39</v>
      </c>
      <c r="D135" s="815" t="s">
        <v>748</v>
      </c>
      <c r="E135" s="648" t="s">
        <v>1617</v>
      </c>
      <c r="F135" s="648" t="s">
        <v>18</v>
      </c>
      <c r="G135" s="787">
        <v>30</v>
      </c>
      <c r="H135" s="805" t="s">
        <v>1921</v>
      </c>
      <c r="I135" s="672" t="e">
        <f>$I$2</f>
        <v>#REF!</v>
      </c>
      <c r="J135" s="672">
        <v>500</v>
      </c>
      <c r="K135" s="791">
        <f>J135/(1+L135)</f>
        <v>450.45045045045043</v>
      </c>
      <c r="L135" s="569">
        <v>0.11</v>
      </c>
      <c r="M135" s="779" t="e">
        <f t="shared" ref="M135:M140" si="26">G135*I135*K135/10000</f>
        <v>#REF!</v>
      </c>
      <c r="N135" s="779" t="e">
        <f t="shared" ref="N135:N140" si="27">L135*M135</f>
        <v>#REF!</v>
      </c>
      <c r="O135" s="779" t="e">
        <f t="shared" ref="O135:O140" si="28">M135+N135</f>
        <v>#REF!</v>
      </c>
      <c r="P135" s="780" t="e">
        <f t="shared" si="25"/>
        <v>#REF!</v>
      </c>
      <c r="Q135" s="781" t="e">
        <f t="shared" ref="Q135:Q140" si="29">G135*I135*J135/10000-O135</f>
        <v>#REF!</v>
      </c>
      <c r="AA135" s="632"/>
    </row>
    <row r="136" spans="2:27" ht="16.5" hidden="1" customHeight="1" outlineLevel="3">
      <c r="B136" s="776" t="s">
        <v>749</v>
      </c>
      <c r="C136" s="782" t="s">
        <v>39</v>
      </c>
      <c r="D136" s="815" t="s">
        <v>750</v>
      </c>
      <c r="E136" s="648" t="s">
        <v>457</v>
      </c>
      <c r="F136" s="648" t="s">
        <v>18</v>
      </c>
      <c r="G136" s="787">
        <v>30</v>
      </c>
      <c r="H136" s="805" t="s">
        <v>1921</v>
      </c>
      <c r="I136" s="672" t="e">
        <f>$I$2</f>
        <v>#REF!</v>
      </c>
      <c r="J136" s="672">
        <v>200</v>
      </c>
      <c r="K136" s="791">
        <f>J136/(1+L136)</f>
        <v>170.94017094017096</v>
      </c>
      <c r="L136" s="569">
        <v>0.17</v>
      </c>
      <c r="M136" s="779" t="e">
        <f t="shared" si="26"/>
        <v>#REF!</v>
      </c>
      <c r="N136" s="779" t="e">
        <f t="shared" si="27"/>
        <v>#REF!</v>
      </c>
      <c r="O136" s="779" t="e">
        <f t="shared" si="28"/>
        <v>#REF!</v>
      </c>
      <c r="P136" s="780" t="e">
        <f t="shared" si="25"/>
        <v>#REF!</v>
      </c>
      <c r="Q136" s="781" t="e">
        <f t="shared" si="29"/>
        <v>#REF!</v>
      </c>
      <c r="AA136" s="632"/>
    </row>
    <row r="137" spans="2:27" ht="16.5" hidden="1" customHeight="1" outlineLevel="3">
      <c r="B137" s="776" t="s">
        <v>751</v>
      </c>
      <c r="C137" s="782" t="s">
        <v>39</v>
      </c>
      <c r="D137" s="815" t="s">
        <v>752</v>
      </c>
      <c r="E137" s="648" t="s">
        <v>1329</v>
      </c>
      <c r="F137" s="648" t="s">
        <v>18</v>
      </c>
      <c r="G137" s="787">
        <v>30</v>
      </c>
      <c r="H137" s="805" t="s">
        <v>1921</v>
      </c>
      <c r="I137" s="672" t="e">
        <f>$I$2</f>
        <v>#REF!</v>
      </c>
      <c r="J137" s="672">
        <v>100</v>
      </c>
      <c r="K137" s="791">
        <f>J137/(1+L137)</f>
        <v>85.470085470085479</v>
      </c>
      <c r="L137" s="569">
        <v>0.17</v>
      </c>
      <c r="M137" s="779" t="e">
        <f t="shared" si="26"/>
        <v>#REF!</v>
      </c>
      <c r="N137" s="779" t="e">
        <f t="shared" si="27"/>
        <v>#REF!</v>
      </c>
      <c r="O137" s="779" t="e">
        <f t="shared" si="28"/>
        <v>#REF!</v>
      </c>
      <c r="P137" s="780" t="e">
        <f t="shared" si="25"/>
        <v>#REF!</v>
      </c>
      <c r="Q137" s="781" t="e">
        <f t="shared" si="29"/>
        <v>#REF!</v>
      </c>
      <c r="AA137" s="632"/>
    </row>
    <row r="138" spans="2:27" ht="16.5" hidden="1" customHeight="1" outlineLevel="2" collapsed="1">
      <c r="B138" s="776" t="s">
        <v>753</v>
      </c>
      <c r="C138" s="777" t="s">
        <v>88</v>
      </c>
      <c r="D138" s="817" t="s">
        <v>754</v>
      </c>
      <c r="E138" s="648" t="s">
        <v>1617</v>
      </c>
      <c r="F138" s="648" t="s">
        <v>18</v>
      </c>
      <c r="G138" s="787"/>
      <c r="H138" s="805" t="s">
        <v>1921</v>
      </c>
      <c r="I138" s="672" t="e">
        <f>$I$2</f>
        <v>#REF!</v>
      </c>
      <c r="J138" s="672"/>
      <c r="K138" s="681"/>
      <c r="L138" s="569">
        <v>0.11</v>
      </c>
      <c r="M138" s="779" t="e">
        <f t="shared" si="26"/>
        <v>#REF!</v>
      </c>
      <c r="N138" s="779" t="e">
        <f t="shared" si="27"/>
        <v>#REF!</v>
      </c>
      <c r="O138" s="779" t="e">
        <f t="shared" si="28"/>
        <v>#REF!</v>
      </c>
      <c r="P138" s="780" t="e">
        <f t="shared" si="25"/>
        <v>#REF!</v>
      </c>
      <c r="Q138" s="781" t="e">
        <f t="shared" si="29"/>
        <v>#REF!</v>
      </c>
      <c r="AA138" s="632"/>
    </row>
    <row r="139" spans="2:27" ht="16.5" hidden="1" customHeight="1" outlineLevel="2">
      <c r="B139" s="776" t="s">
        <v>755</v>
      </c>
      <c r="C139" s="777" t="s">
        <v>70</v>
      </c>
      <c r="D139" s="817" t="s">
        <v>90</v>
      </c>
      <c r="E139" s="648" t="s">
        <v>1617</v>
      </c>
      <c r="F139" s="648" t="s">
        <v>18</v>
      </c>
      <c r="G139" s="787"/>
      <c r="H139" s="805" t="s">
        <v>1921</v>
      </c>
      <c r="I139" s="672" t="e">
        <f>$I$2</f>
        <v>#REF!</v>
      </c>
      <c r="J139" s="672"/>
      <c r="K139" s="681"/>
      <c r="L139" s="569">
        <v>0.11</v>
      </c>
      <c r="M139" s="779" t="e">
        <f t="shared" si="26"/>
        <v>#REF!</v>
      </c>
      <c r="N139" s="779" t="e">
        <f t="shared" si="27"/>
        <v>#REF!</v>
      </c>
      <c r="O139" s="779" t="e">
        <f t="shared" si="28"/>
        <v>#REF!</v>
      </c>
      <c r="P139" s="780" t="e">
        <f t="shared" si="25"/>
        <v>#REF!</v>
      </c>
      <c r="Q139" s="781" t="e">
        <f t="shared" si="29"/>
        <v>#REF!</v>
      </c>
      <c r="AA139" s="632"/>
    </row>
    <row r="140" spans="2:27" ht="16.5" hidden="1" customHeight="1" outlineLevel="2">
      <c r="B140" s="776" t="s">
        <v>756</v>
      </c>
      <c r="C140" s="777" t="s">
        <v>71</v>
      </c>
      <c r="D140" s="817" t="s">
        <v>757</v>
      </c>
      <c r="E140" s="648" t="s">
        <v>1617</v>
      </c>
      <c r="F140" s="665" t="s">
        <v>803</v>
      </c>
      <c r="G140" s="813">
        <v>15</v>
      </c>
      <c r="H140" s="805" t="s">
        <v>1924</v>
      </c>
      <c r="I140" s="672"/>
      <c r="J140" s="672">
        <v>150</v>
      </c>
      <c r="K140" s="791">
        <f>J140/(1+L140)</f>
        <v>135.13513513513513</v>
      </c>
      <c r="L140" s="569">
        <v>0.11</v>
      </c>
      <c r="M140" s="779">
        <f t="shared" si="26"/>
        <v>0</v>
      </c>
      <c r="N140" s="779">
        <f t="shared" si="27"/>
        <v>0</v>
      </c>
      <c r="O140" s="779">
        <f t="shared" si="28"/>
        <v>0</v>
      </c>
      <c r="P140" s="780" t="e">
        <f t="shared" si="25"/>
        <v>#REF!</v>
      </c>
      <c r="Q140" s="781">
        <f t="shared" si="29"/>
        <v>0</v>
      </c>
      <c r="AA140" s="632"/>
    </row>
    <row r="141" spans="2:27" ht="16.5" hidden="1" customHeight="1" outlineLevel="2">
      <c r="B141" s="776" t="s">
        <v>758</v>
      </c>
      <c r="C141" s="777" t="s">
        <v>144</v>
      </c>
      <c r="D141" s="817" t="s">
        <v>118</v>
      </c>
      <c r="E141" s="648"/>
      <c r="F141" s="648"/>
      <c r="G141" s="787"/>
      <c r="H141" s="787"/>
      <c r="I141" s="672"/>
      <c r="J141" s="672"/>
      <c r="K141" s="681"/>
      <c r="L141" s="569"/>
      <c r="M141" s="779" t="e">
        <f>SUBTOTAL(9,M142:M144)</f>
        <v>#REF!</v>
      </c>
      <c r="N141" s="779" t="e">
        <f>SUBTOTAL(9,N142:N144)</f>
        <v>#REF!</v>
      </c>
      <c r="O141" s="779" t="e">
        <f>SUBTOTAL(9,O142:O144)</f>
        <v>#REF!</v>
      </c>
      <c r="P141" s="780" t="e">
        <f t="shared" si="25"/>
        <v>#REF!</v>
      </c>
      <c r="Q141" s="781"/>
      <c r="AA141" s="632"/>
    </row>
    <row r="142" spans="2:27" ht="16.5" hidden="1" customHeight="1" outlineLevel="3">
      <c r="B142" s="776" t="s">
        <v>759</v>
      </c>
      <c r="C142" s="782" t="s">
        <v>39</v>
      </c>
      <c r="D142" s="815" t="s">
        <v>760</v>
      </c>
      <c r="E142" s="648" t="s">
        <v>1617</v>
      </c>
      <c r="F142" s="665" t="s">
        <v>804</v>
      </c>
      <c r="G142" s="813">
        <v>15</v>
      </c>
      <c r="H142" s="805" t="s">
        <v>1924</v>
      </c>
      <c r="I142" s="672" t="e">
        <f>($K$2-1)*$I$2</f>
        <v>#REF!</v>
      </c>
      <c r="J142" s="672">
        <v>500</v>
      </c>
      <c r="K142" s="791">
        <f>J142/(1+L142)</f>
        <v>450.45045045045043</v>
      </c>
      <c r="L142" s="569">
        <v>0.11</v>
      </c>
      <c r="M142" s="779" t="e">
        <f>G142*I142*K142/10000</f>
        <v>#REF!</v>
      </c>
      <c r="N142" s="779" t="e">
        <f>L142*M142</f>
        <v>#REF!</v>
      </c>
      <c r="O142" s="779" t="e">
        <f>M142+N142</f>
        <v>#REF!</v>
      </c>
      <c r="P142" s="780" t="e">
        <f t="shared" si="25"/>
        <v>#REF!</v>
      </c>
      <c r="Q142" s="806" t="e">
        <f t="shared" ref="Q142:Q148" si="30">G142*I142*J142/10000-O142</f>
        <v>#REF!</v>
      </c>
      <c r="AA142" s="632"/>
    </row>
    <row r="143" spans="2:27" ht="16.5" hidden="1" customHeight="1" outlineLevel="3">
      <c r="B143" s="776" t="s">
        <v>761</v>
      </c>
      <c r="C143" s="782" t="s">
        <v>39</v>
      </c>
      <c r="D143" s="815" t="s">
        <v>805</v>
      </c>
      <c r="E143" s="648" t="s">
        <v>457</v>
      </c>
      <c r="F143" s="665" t="s">
        <v>804</v>
      </c>
      <c r="G143" s="813">
        <v>15</v>
      </c>
      <c r="H143" s="805" t="s">
        <v>1924</v>
      </c>
      <c r="I143" s="672" t="e">
        <f>($K$2-1)*$I$2</f>
        <v>#REF!</v>
      </c>
      <c r="J143" s="672">
        <v>200</v>
      </c>
      <c r="K143" s="791">
        <f>J143/(1+L143)</f>
        <v>170.94017094017096</v>
      </c>
      <c r="L143" s="569">
        <v>0.17</v>
      </c>
      <c r="M143" s="779" t="e">
        <f>G143*I143*K143/10000</f>
        <v>#REF!</v>
      </c>
      <c r="N143" s="779" t="e">
        <f>L143*M143</f>
        <v>#REF!</v>
      </c>
      <c r="O143" s="779" t="e">
        <f>M143+N143</f>
        <v>#REF!</v>
      </c>
      <c r="P143" s="780" t="e">
        <f t="shared" si="25"/>
        <v>#REF!</v>
      </c>
      <c r="Q143" s="806" t="e">
        <f t="shared" si="30"/>
        <v>#REF!</v>
      </c>
      <c r="AA143" s="632"/>
    </row>
    <row r="144" spans="2:27" ht="16.5" hidden="1" customHeight="1" outlineLevel="3">
      <c r="B144" s="776" t="s">
        <v>762</v>
      </c>
      <c r="C144" s="782" t="s">
        <v>39</v>
      </c>
      <c r="D144" s="815" t="s">
        <v>806</v>
      </c>
      <c r="E144" s="648" t="s">
        <v>1329</v>
      </c>
      <c r="F144" s="665" t="s">
        <v>804</v>
      </c>
      <c r="G144" s="813">
        <v>15</v>
      </c>
      <c r="H144" s="805" t="s">
        <v>1924</v>
      </c>
      <c r="I144" s="672" t="e">
        <f>($K$2-1)*$I$2</f>
        <v>#REF!</v>
      </c>
      <c r="J144" s="672">
        <v>100</v>
      </c>
      <c r="K144" s="791">
        <f>J144/(1+L144)</f>
        <v>85.470085470085479</v>
      </c>
      <c r="L144" s="569">
        <v>0.17</v>
      </c>
      <c r="M144" s="779" t="e">
        <f>G144*I144*K144/10000</f>
        <v>#REF!</v>
      </c>
      <c r="N144" s="779" t="e">
        <f>L144*M144</f>
        <v>#REF!</v>
      </c>
      <c r="O144" s="779" t="e">
        <f>M144+N144</f>
        <v>#REF!</v>
      </c>
      <c r="P144" s="780" t="e">
        <f t="shared" si="25"/>
        <v>#REF!</v>
      </c>
      <c r="Q144" s="806" t="e">
        <f t="shared" si="30"/>
        <v>#REF!</v>
      </c>
      <c r="AA144" s="632"/>
    </row>
    <row r="145" spans="1:27" ht="16.5" hidden="1" customHeight="1" outlineLevel="2" collapsed="1">
      <c r="B145" s="776" t="s">
        <v>763</v>
      </c>
      <c r="C145" s="777" t="s">
        <v>91</v>
      </c>
      <c r="D145" s="804" t="s">
        <v>807</v>
      </c>
      <c r="E145" s="648" t="s">
        <v>1617</v>
      </c>
      <c r="F145" s="648"/>
      <c r="G145" s="787"/>
      <c r="H145" s="787"/>
      <c r="I145" s="672"/>
      <c r="J145" s="672"/>
      <c r="K145" s="681"/>
      <c r="L145" s="569">
        <v>0.11</v>
      </c>
      <c r="M145" s="779"/>
      <c r="N145" s="779"/>
      <c r="O145" s="779"/>
      <c r="P145" s="780" t="str">
        <f t="shared" si="25"/>
        <v/>
      </c>
      <c r="Q145" s="781">
        <f t="shared" si="30"/>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5"/>
        <v/>
      </c>
      <c r="Q146" s="781">
        <f t="shared" si="30"/>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5"/>
        <v/>
      </c>
      <c r="Q147" s="781">
        <f t="shared" si="30"/>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5"/>
        <v/>
      </c>
      <c r="Q148" s="781">
        <f t="shared" si="30"/>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t="e">
        <f>SUBTOTAL(9,M150:M160)</f>
        <v>#REF!</v>
      </c>
      <c r="N149" s="773" t="e">
        <f>SUBTOTAL(9,N150:N160)</f>
        <v>#REF!</v>
      </c>
      <c r="O149" s="773" t="e">
        <f>SUBTOTAL(9,O150:O160)</f>
        <v>#REF!</v>
      </c>
      <c r="P149" s="823" t="e">
        <f t="shared" si="25"/>
        <v>#REF!</v>
      </c>
      <c r="Q149" s="824"/>
    </row>
    <row r="150" spans="1:27" ht="16.5" hidden="1" customHeight="1" outlineLevel="2">
      <c r="B150" s="776" t="s">
        <v>766</v>
      </c>
      <c r="C150" s="777" t="s">
        <v>36</v>
      </c>
      <c r="D150" s="804" t="s">
        <v>812</v>
      </c>
      <c r="E150" s="665"/>
      <c r="F150" s="665"/>
      <c r="G150" s="787"/>
      <c r="H150" s="787"/>
      <c r="I150" s="672"/>
      <c r="J150" s="672"/>
      <c r="K150" s="681"/>
      <c r="L150" s="569"/>
      <c r="M150" s="779" t="e">
        <f>SUBTOTAL(9,M151:M160)</f>
        <v>#REF!</v>
      </c>
      <c r="N150" s="779" t="e">
        <f>SUBTOTAL(9,N151:N160)</f>
        <v>#REF!</v>
      </c>
      <c r="O150" s="779" t="e">
        <f>SUBTOTAL(9,O151:O160)</f>
        <v>#REF!</v>
      </c>
      <c r="P150" s="780" t="e">
        <f t="shared" si="25"/>
        <v>#REF!</v>
      </c>
      <c r="Q150" s="781"/>
      <c r="AA150" s="632"/>
    </row>
    <row r="151" spans="1:27" ht="16.5" hidden="1" customHeight="1" outlineLevel="3">
      <c r="B151" s="776" t="s">
        <v>767</v>
      </c>
      <c r="C151" s="782" t="s">
        <v>39</v>
      </c>
      <c r="D151" s="804" t="s">
        <v>768</v>
      </c>
      <c r="E151" s="665" t="s">
        <v>458</v>
      </c>
      <c r="F151" s="665" t="s">
        <v>41</v>
      </c>
      <c r="G151" s="813">
        <v>1</v>
      </c>
      <c r="H151" s="787" t="s">
        <v>1925</v>
      </c>
      <c r="I151" s="672" t="e">
        <f t="shared" ref="I151:I156" si="31">$H$2</f>
        <v>#REF!</v>
      </c>
      <c r="J151" s="672">
        <v>200</v>
      </c>
      <c r="K151" s="791">
        <f t="shared" ref="K151:K156" si="32">J151/(1+L151)</f>
        <v>180.18018018018017</v>
      </c>
      <c r="L151" s="569">
        <v>0.11</v>
      </c>
      <c r="M151" s="779" t="e">
        <f t="shared" ref="M151:M160" si="33">G151*I151*K151/10000</f>
        <v>#REF!</v>
      </c>
      <c r="N151" s="779" t="e">
        <f t="shared" ref="N151:N156" si="34">L151*M151</f>
        <v>#REF!</v>
      </c>
      <c r="O151" s="779" t="e">
        <f t="shared" ref="O151:O156" si="35">M151+N151</f>
        <v>#REF!</v>
      </c>
      <c r="P151" s="780" t="e">
        <f t="shared" si="25"/>
        <v>#REF!</v>
      </c>
      <c r="Q151" s="806" t="e">
        <f t="shared" ref="Q151:Q160" si="36">G151*I151*J151/10000-O151</f>
        <v>#REF!</v>
      </c>
      <c r="AA151" s="632"/>
    </row>
    <row r="152" spans="1:27" ht="16.5" hidden="1" customHeight="1" outlineLevel="3">
      <c r="B152" s="776" t="s">
        <v>769</v>
      </c>
      <c r="C152" s="782" t="s">
        <v>39</v>
      </c>
      <c r="D152" s="804" t="s">
        <v>1595</v>
      </c>
      <c r="E152" s="665" t="s">
        <v>1596</v>
      </c>
      <c r="F152" s="665" t="s">
        <v>41</v>
      </c>
      <c r="G152" s="813">
        <v>1</v>
      </c>
      <c r="H152" s="787" t="s">
        <v>1925</v>
      </c>
      <c r="I152" s="672" t="e">
        <f t="shared" si="31"/>
        <v>#REF!</v>
      </c>
      <c r="J152" s="672">
        <v>500</v>
      </c>
      <c r="K152" s="791">
        <f t="shared" si="32"/>
        <v>450.45045045045043</v>
      </c>
      <c r="L152" s="569">
        <v>0.11</v>
      </c>
      <c r="M152" s="779" t="e">
        <f t="shared" si="33"/>
        <v>#REF!</v>
      </c>
      <c r="N152" s="779" t="e">
        <f t="shared" si="34"/>
        <v>#REF!</v>
      </c>
      <c r="O152" s="779" t="e">
        <f t="shared" si="35"/>
        <v>#REF!</v>
      </c>
      <c r="P152" s="780" t="e">
        <f t="shared" si="25"/>
        <v>#REF!</v>
      </c>
      <c r="Q152" s="806" t="e">
        <f t="shared" si="36"/>
        <v>#REF!</v>
      </c>
      <c r="AA152" s="632"/>
    </row>
    <row r="153" spans="1:27" ht="16.5" hidden="1" customHeight="1" outlineLevel="3">
      <c r="B153" s="776" t="s">
        <v>770</v>
      </c>
      <c r="C153" s="782" t="s">
        <v>39</v>
      </c>
      <c r="D153" s="804" t="s">
        <v>771</v>
      </c>
      <c r="E153" s="665" t="s">
        <v>1618</v>
      </c>
      <c r="F153" s="665" t="s">
        <v>41</v>
      </c>
      <c r="G153" s="813">
        <v>1</v>
      </c>
      <c r="H153" s="787" t="s">
        <v>1925</v>
      </c>
      <c r="I153" s="672" t="e">
        <f t="shared" si="31"/>
        <v>#REF!</v>
      </c>
      <c r="J153" s="672">
        <v>1000</v>
      </c>
      <c r="K153" s="791">
        <f t="shared" si="32"/>
        <v>900.90090090090087</v>
      </c>
      <c r="L153" s="569">
        <v>0.11</v>
      </c>
      <c r="M153" s="779" t="e">
        <f t="shared" si="33"/>
        <v>#REF!</v>
      </c>
      <c r="N153" s="779" t="e">
        <f t="shared" si="34"/>
        <v>#REF!</v>
      </c>
      <c r="O153" s="779" t="e">
        <f t="shared" si="35"/>
        <v>#REF!</v>
      </c>
      <c r="P153" s="780" t="e">
        <f t="shared" si="25"/>
        <v>#REF!</v>
      </c>
      <c r="Q153" s="781" t="e">
        <f t="shared" si="36"/>
        <v>#REF!</v>
      </c>
      <c r="AA153" s="632"/>
    </row>
    <row r="154" spans="1:27" ht="16.5" hidden="1" customHeight="1" outlineLevel="3">
      <c r="B154" s="776" t="s">
        <v>772</v>
      </c>
      <c r="C154" s="782" t="s">
        <v>39</v>
      </c>
      <c r="D154" s="804" t="s">
        <v>1619</v>
      </c>
      <c r="E154" s="665" t="s">
        <v>458</v>
      </c>
      <c r="F154" s="665" t="s">
        <v>41</v>
      </c>
      <c r="G154" s="813">
        <v>1</v>
      </c>
      <c r="H154" s="787" t="s">
        <v>1925</v>
      </c>
      <c r="I154" s="672" t="e">
        <f t="shared" si="31"/>
        <v>#REF!</v>
      </c>
      <c r="J154" s="672">
        <v>200</v>
      </c>
      <c r="K154" s="791">
        <f t="shared" si="32"/>
        <v>180.18018018018017</v>
      </c>
      <c r="L154" s="569">
        <v>0.11</v>
      </c>
      <c r="M154" s="779" t="e">
        <f t="shared" si="33"/>
        <v>#REF!</v>
      </c>
      <c r="N154" s="779" t="e">
        <f t="shared" si="34"/>
        <v>#REF!</v>
      </c>
      <c r="O154" s="779" t="e">
        <f t="shared" si="35"/>
        <v>#REF!</v>
      </c>
      <c r="P154" s="780" t="e">
        <f t="shared" si="25"/>
        <v>#REF!</v>
      </c>
      <c r="Q154" s="781" t="e">
        <f t="shared" si="36"/>
        <v>#REF!</v>
      </c>
      <c r="AA154" s="632"/>
    </row>
    <row r="155" spans="1:27" ht="16.5" hidden="1" customHeight="1" outlineLevel="3">
      <c r="B155" s="776" t="s">
        <v>773</v>
      </c>
      <c r="C155" s="782" t="s">
        <v>39</v>
      </c>
      <c r="D155" s="804" t="s">
        <v>1597</v>
      </c>
      <c r="E155" s="665" t="s">
        <v>1620</v>
      </c>
      <c r="F155" s="665" t="s">
        <v>41</v>
      </c>
      <c r="G155" s="813">
        <v>1</v>
      </c>
      <c r="H155" s="787" t="s">
        <v>1925</v>
      </c>
      <c r="I155" s="672" t="e">
        <f t="shared" si="31"/>
        <v>#REF!</v>
      </c>
      <c r="J155" s="672">
        <v>500</v>
      </c>
      <c r="K155" s="791">
        <f t="shared" si="32"/>
        <v>427.35042735042737</v>
      </c>
      <c r="L155" s="569">
        <v>0.17</v>
      </c>
      <c r="M155" s="779" t="e">
        <f t="shared" si="33"/>
        <v>#REF!</v>
      </c>
      <c r="N155" s="779" t="e">
        <f t="shared" si="34"/>
        <v>#REF!</v>
      </c>
      <c r="O155" s="779" t="e">
        <f t="shared" si="35"/>
        <v>#REF!</v>
      </c>
      <c r="P155" s="780" t="e">
        <f t="shared" si="25"/>
        <v>#REF!</v>
      </c>
      <c r="Q155" s="781" t="e">
        <f t="shared" si="36"/>
        <v>#REF!</v>
      </c>
      <c r="AA155" s="632"/>
    </row>
    <row r="156" spans="1:27" ht="16.5" hidden="1" customHeight="1" outlineLevel="3">
      <c r="B156" s="776" t="s">
        <v>774</v>
      </c>
      <c r="C156" s="782" t="s">
        <v>39</v>
      </c>
      <c r="D156" s="804" t="s">
        <v>1598</v>
      </c>
      <c r="E156" s="665" t="s">
        <v>458</v>
      </c>
      <c r="F156" s="665" t="s">
        <v>41</v>
      </c>
      <c r="G156" s="813">
        <v>1</v>
      </c>
      <c r="H156" s="787" t="s">
        <v>1925</v>
      </c>
      <c r="I156" s="672" t="e">
        <f t="shared" si="31"/>
        <v>#REF!</v>
      </c>
      <c r="J156" s="672">
        <v>200</v>
      </c>
      <c r="K156" s="791">
        <f t="shared" si="32"/>
        <v>180.18018018018017</v>
      </c>
      <c r="L156" s="569">
        <v>0.11</v>
      </c>
      <c r="M156" s="779" t="e">
        <f t="shared" si="33"/>
        <v>#REF!</v>
      </c>
      <c r="N156" s="779" t="e">
        <f t="shared" si="34"/>
        <v>#REF!</v>
      </c>
      <c r="O156" s="779" t="e">
        <f t="shared" si="35"/>
        <v>#REF!</v>
      </c>
      <c r="P156" s="780" t="e">
        <f t="shared" si="25"/>
        <v>#REF!</v>
      </c>
      <c r="Q156" s="781" t="e">
        <f t="shared" si="36"/>
        <v>#REF!</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3"/>
        <v>0</v>
      </c>
      <c r="N157" s="779"/>
      <c r="O157" s="779"/>
      <c r="P157" s="780" t="str">
        <f t="shared" si="25"/>
        <v/>
      </c>
      <c r="Q157" s="781">
        <f t="shared" si="36"/>
        <v>0</v>
      </c>
      <c r="AA157" s="632"/>
    </row>
    <row r="158" spans="1:27" ht="16.5" hidden="1" customHeight="1" outlineLevel="3">
      <c r="A158" s="633"/>
      <c r="B158" s="776" t="s">
        <v>813</v>
      </c>
      <c r="C158" s="782" t="s">
        <v>39</v>
      </c>
      <c r="D158" s="804" t="s">
        <v>776</v>
      </c>
      <c r="E158" s="665" t="s">
        <v>458</v>
      </c>
      <c r="F158" s="648"/>
      <c r="G158" s="825"/>
      <c r="H158" s="787" t="s">
        <v>145</v>
      </c>
      <c r="I158" s="672"/>
      <c r="J158" s="672"/>
      <c r="K158" s="787"/>
      <c r="L158" s="569">
        <v>0.11</v>
      </c>
      <c r="M158" s="779">
        <f t="shared" si="33"/>
        <v>0</v>
      </c>
      <c r="N158" s="779"/>
      <c r="O158" s="779"/>
      <c r="P158" s="780" t="str">
        <f t="shared" si="25"/>
        <v/>
      </c>
      <c r="Q158" s="781">
        <f t="shared" si="36"/>
        <v>0</v>
      </c>
      <c r="AA158" s="632"/>
    </row>
    <row r="159" spans="1:27" s="695" customFormat="1" ht="16.5" hidden="1" customHeight="1" outlineLevel="2" collapsed="1">
      <c r="A159" s="633"/>
      <c r="B159" s="776" t="s">
        <v>777</v>
      </c>
      <c r="C159" s="777" t="s">
        <v>33</v>
      </c>
      <c r="D159" s="804" t="s">
        <v>814</v>
      </c>
      <c r="E159" s="665" t="s">
        <v>458</v>
      </c>
      <c r="F159" s="826"/>
      <c r="G159" s="826"/>
      <c r="H159" s="827"/>
      <c r="I159" s="828"/>
      <c r="J159" s="828"/>
      <c r="K159" s="827"/>
      <c r="L159" s="612"/>
      <c r="M159" s="779">
        <f t="shared" si="33"/>
        <v>0</v>
      </c>
      <c r="N159" s="779"/>
      <c r="O159" s="779"/>
      <c r="P159" s="780" t="str">
        <f t="shared" si="25"/>
        <v/>
      </c>
      <c r="Q159" s="781">
        <f t="shared" si="36"/>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3"/>
        <v>0</v>
      </c>
      <c r="N160" s="779"/>
      <c r="O160" s="779"/>
      <c r="P160" s="780" t="str">
        <f t="shared" si="25"/>
        <v/>
      </c>
      <c r="Q160" s="781">
        <f t="shared" si="36"/>
        <v>0</v>
      </c>
    </row>
    <row r="161" spans="2:27" ht="16.5" hidden="1" customHeight="1" outlineLevel="1">
      <c r="B161" s="771" t="s">
        <v>503</v>
      </c>
      <c r="C161" s="712">
        <v>4</v>
      </c>
      <c r="D161" s="771" t="s">
        <v>92</v>
      </c>
      <c r="E161" s="712"/>
      <c r="F161" s="712"/>
      <c r="G161" s="712"/>
      <c r="H161" s="772"/>
      <c r="I161" s="713"/>
      <c r="J161" s="713"/>
      <c r="K161" s="772"/>
      <c r="L161" s="588"/>
      <c r="M161" s="773" t="e">
        <f>SUBTOTAL(9,M162:M167)</f>
        <v>#REF!</v>
      </c>
      <c r="N161" s="773" t="e">
        <f>SUBTOTAL(9,N162:N167)</f>
        <v>#REF!</v>
      </c>
      <c r="O161" s="773" t="e">
        <f>SUBTOTAL(9,O162:O167)</f>
        <v>#REF!</v>
      </c>
      <c r="P161" s="774" t="e">
        <f t="shared" si="25"/>
        <v>#REF!</v>
      </c>
      <c r="Q161" s="775"/>
      <c r="AA161" s="632"/>
    </row>
    <row r="162" spans="2:27" ht="16.5" hidden="1" customHeight="1" outlineLevel="2">
      <c r="B162" s="776" t="s">
        <v>1600</v>
      </c>
      <c r="C162" s="777" t="s">
        <v>36</v>
      </c>
      <c r="D162" s="804" t="s">
        <v>93</v>
      </c>
      <c r="E162" s="665" t="s">
        <v>461</v>
      </c>
      <c r="F162" s="665" t="s">
        <v>41</v>
      </c>
      <c r="G162" s="813">
        <v>1</v>
      </c>
      <c r="H162" s="787" t="s">
        <v>1926</v>
      </c>
      <c r="I162" s="672" t="e">
        <f>$H$2</f>
        <v>#REF!</v>
      </c>
      <c r="J162" s="672">
        <v>20</v>
      </c>
      <c r="K162" s="791">
        <f>J162/(1+L162)</f>
        <v>17.094017094017094</v>
      </c>
      <c r="L162" s="569">
        <v>0.17</v>
      </c>
      <c r="M162" s="779" t="e">
        <f t="shared" ref="M162:M167" si="37">G162*I162*K162/10000</f>
        <v>#REF!</v>
      </c>
      <c r="N162" s="779" t="e">
        <f>L162*M162</f>
        <v>#REF!</v>
      </c>
      <c r="O162" s="779" t="e">
        <f>M162+N162</f>
        <v>#REF!</v>
      </c>
      <c r="P162" s="780" t="e">
        <f t="shared" si="25"/>
        <v>#REF!</v>
      </c>
      <c r="Q162" s="781" t="e">
        <f t="shared" ref="Q162:Q167" si="38">G162*I162*J162/10000-O162</f>
        <v>#REF!</v>
      </c>
      <c r="AA162" s="632"/>
    </row>
    <row r="163" spans="2:27" ht="16.5" hidden="1" customHeight="1" outlineLevel="2">
      <c r="B163" s="776" t="s">
        <v>1601</v>
      </c>
      <c r="C163" s="777" t="s">
        <v>68</v>
      </c>
      <c r="D163" s="804" t="s">
        <v>94</v>
      </c>
      <c r="E163" s="648" t="s">
        <v>1602</v>
      </c>
      <c r="F163" s="665" t="s">
        <v>41</v>
      </c>
      <c r="G163" s="813">
        <v>0.7</v>
      </c>
      <c r="H163" s="787" t="s">
        <v>1926</v>
      </c>
      <c r="I163" s="672" t="e">
        <f>$H$2</f>
        <v>#REF!</v>
      </c>
      <c r="J163" s="672"/>
      <c r="K163" s="791">
        <f>J163/(1+L163)</f>
        <v>0</v>
      </c>
      <c r="L163" s="569">
        <v>0.17</v>
      </c>
      <c r="M163" s="779" t="e">
        <f t="shared" si="37"/>
        <v>#REF!</v>
      </c>
      <c r="N163" s="779" t="e">
        <f>L163*M163</f>
        <v>#REF!</v>
      </c>
      <c r="O163" s="779" t="e">
        <f>M163+N163</f>
        <v>#REF!</v>
      </c>
      <c r="P163" s="780" t="e">
        <f t="shared" si="25"/>
        <v>#REF!</v>
      </c>
      <c r="Q163" s="781" t="e">
        <f t="shared" si="38"/>
        <v>#REF!</v>
      </c>
      <c r="AA163" s="632"/>
    </row>
    <row r="164" spans="2:27" ht="16.5" hidden="1" customHeight="1" outlineLevel="2">
      <c r="B164" s="776" t="s">
        <v>779</v>
      </c>
      <c r="C164" s="777" t="s">
        <v>69</v>
      </c>
      <c r="D164" s="804" t="s">
        <v>95</v>
      </c>
      <c r="E164" s="648" t="s">
        <v>1621</v>
      </c>
      <c r="F164" s="648"/>
      <c r="G164" s="787">
        <v>0.3</v>
      </c>
      <c r="H164" s="787" t="s">
        <v>1926</v>
      </c>
      <c r="I164" s="672"/>
      <c r="J164" s="672"/>
      <c r="K164" s="681"/>
      <c r="L164" s="569">
        <v>0.11</v>
      </c>
      <c r="M164" s="779">
        <f t="shared" si="37"/>
        <v>0</v>
      </c>
      <c r="N164" s="779"/>
      <c r="O164" s="779"/>
      <c r="P164" s="780" t="str">
        <f>IF(O164="","",O164*10000/E$2)</f>
        <v/>
      </c>
      <c r="Q164" s="781">
        <f t="shared" si="38"/>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7"/>
        <v>0</v>
      </c>
      <c r="N165" s="779"/>
      <c r="O165" s="779"/>
      <c r="P165" s="780" t="str">
        <f>IF(O165="","",O165*10000/E$2)</f>
        <v/>
      </c>
      <c r="Q165" s="781">
        <f t="shared" si="38"/>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7"/>
        <v>0</v>
      </c>
      <c r="N166" s="779"/>
      <c r="O166" s="779"/>
      <c r="P166" s="780" t="str">
        <f>IF(O166="","",O166*10000/E$2)</f>
        <v/>
      </c>
      <c r="Q166" s="781">
        <f t="shared" si="38"/>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7"/>
        <v>0</v>
      </c>
      <c r="N167" s="779"/>
      <c r="O167" s="779"/>
      <c r="P167" s="780" t="str">
        <f>IF(O167="","",O167*10000/E$2)</f>
        <v/>
      </c>
      <c r="Q167" s="781">
        <f t="shared" si="38"/>
        <v>0</v>
      </c>
      <c r="AA167" s="632"/>
    </row>
    <row r="168" spans="2:27" ht="16.5" customHeight="1" collapsed="1">
      <c r="C168" s="632"/>
      <c r="G168" s="632"/>
      <c r="H168" s="632"/>
      <c r="I168" s="632"/>
      <c r="J168" s="632"/>
      <c r="L168" s="748" t="s">
        <v>24</v>
      </c>
      <c r="M168" s="829" t="s">
        <v>2049</v>
      </c>
      <c r="N168" s="829" t="s">
        <v>2048</v>
      </c>
      <c r="AA168" s="632"/>
    </row>
    <row r="169" spans="2:27" ht="15.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2046</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I29">
    <cfRule type="cellIs" priority="35" operator="equal">
      <formula>0</formula>
    </cfRule>
    <cfRule type="cellIs" dxfId="365" priority="36" operator="equal">
      <formula>0</formula>
    </cfRule>
  </conditionalFormatting>
  <conditionalFormatting sqref="B4:C4">
    <cfRule type="duplicateValues" dxfId="364" priority="146"/>
  </conditionalFormatting>
  <conditionalFormatting sqref="B5:C5">
    <cfRule type="duplicateValues" dxfId="363" priority="145"/>
  </conditionalFormatting>
  <conditionalFormatting sqref="B86:C87">
    <cfRule type="duplicateValues" dxfId="362" priority="140"/>
  </conditionalFormatting>
  <conditionalFormatting sqref="B36:C36">
    <cfRule type="duplicateValues" dxfId="361" priority="144"/>
  </conditionalFormatting>
  <conditionalFormatting sqref="B70:C70">
    <cfRule type="duplicateValues" dxfId="360" priority="142"/>
  </conditionalFormatting>
  <conditionalFormatting sqref="B161:C161">
    <cfRule type="duplicateValues" dxfId="359" priority="135"/>
  </conditionalFormatting>
  <conditionalFormatting sqref="D1:D5 D9:D65536">
    <cfRule type="duplicateValues" dxfId="358" priority="149"/>
  </conditionalFormatting>
  <conditionalFormatting sqref="D6:D8">
    <cfRule type="duplicateValues" dxfId="357" priority="150"/>
  </conditionalFormatting>
  <conditionalFormatting sqref="B89:C89">
    <cfRule type="duplicateValues" dxfId="356" priority="138"/>
  </conditionalFormatting>
  <conditionalFormatting sqref="B88:C88">
    <cfRule type="duplicateValues" dxfId="355" priority="139"/>
  </conditionalFormatting>
  <conditionalFormatting sqref="B82:C82">
    <cfRule type="duplicateValues" dxfId="354" priority="141"/>
  </conditionalFormatting>
  <conditionalFormatting sqref="B129:C129">
    <cfRule type="duplicateValues" dxfId="353" priority="137"/>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52" priority="148" operator="equal">
      <formula>0</formula>
    </cfRule>
  </conditionalFormatting>
  <conditionalFormatting sqref="B69:C69">
    <cfRule type="duplicateValues" dxfId="351" priority="143"/>
  </conditionalFormatting>
  <conditionalFormatting sqref="B149:C149">
    <cfRule type="duplicateValues" dxfId="350" priority="136"/>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90" activePane="bottomRight" state="frozen"/>
      <selection pane="topRight"/>
      <selection pane="bottomLeft"/>
      <selection pane="bottomRight" activeCell="I129" sqref="I129"/>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e">
        <f>+#REF!</f>
        <v>#REF!</v>
      </c>
      <c r="E1" s="624" t="s">
        <v>2043</v>
      </c>
      <c r="F1" s="624" t="s">
        <v>2191</v>
      </c>
      <c r="G1" s="624" t="s">
        <v>2189</v>
      </c>
      <c r="H1" s="624" t="s">
        <v>2188</v>
      </c>
      <c r="I1" s="624" t="s">
        <v>2107</v>
      </c>
      <c r="J1" s="624"/>
      <c r="K1" s="624" t="s">
        <v>2190</v>
      </c>
      <c r="L1" s="624"/>
      <c r="M1" s="624"/>
      <c r="N1" s="754"/>
      <c r="O1" s="754"/>
      <c r="P1" s="754"/>
      <c r="Q1" s="755"/>
      <c r="U1" s="633">
        <v>418</v>
      </c>
      <c r="AA1" s="756"/>
    </row>
    <row r="2" spans="2:27" s="633" customFormat="1" ht="17.25" customHeight="1">
      <c r="C2" s="752"/>
      <c r="D2" s="753" t="s">
        <v>2293</v>
      </c>
      <c r="E2" s="757" t="e">
        <f>#REF!</f>
        <v>#REF!</v>
      </c>
      <c r="F2" s="758">
        <v>0</v>
      </c>
      <c r="G2" s="759" t="e">
        <f>#REF!</f>
        <v>#REF!</v>
      </c>
      <c r="H2" s="1038" t="e">
        <f>#REF!</f>
        <v>#REF!</v>
      </c>
      <c r="I2" s="759" t="e">
        <f>#REF!</f>
        <v>#REF!</v>
      </c>
      <c r="J2" s="759"/>
      <c r="K2" s="759">
        <v>12</v>
      </c>
      <c r="L2" s="759"/>
      <c r="M2" s="760"/>
      <c r="N2" s="761"/>
      <c r="O2" s="761"/>
      <c r="P2" s="761"/>
      <c r="Q2" s="755"/>
      <c r="AA2" s="756"/>
    </row>
    <row r="3" spans="2:27" s="748" customFormat="1" ht="24" customHeight="1">
      <c r="B3" s="476" t="s">
        <v>25</v>
      </c>
      <c r="C3" s="476"/>
      <c r="D3" s="476" t="s">
        <v>23</v>
      </c>
      <c r="E3" s="762" t="s">
        <v>2292</v>
      </c>
      <c r="F3" s="762" t="s">
        <v>2291</v>
      </c>
      <c r="G3" s="762" t="s">
        <v>2290</v>
      </c>
      <c r="H3" s="762" t="s">
        <v>2289</v>
      </c>
      <c r="I3" s="762" t="s">
        <v>2288</v>
      </c>
      <c r="J3" s="763" t="s">
        <v>2287</v>
      </c>
      <c r="K3" s="476" t="s">
        <v>2286</v>
      </c>
      <c r="L3" s="476" t="s">
        <v>515</v>
      </c>
      <c r="M3" s="764" t="s">
        <v>2285</v>
      </c>
      <c r="N3" s="764" t="s">
        <v>1019</v>
      </c>
      <c r="O3" s="764" t="s">
        <v>1071</v>
      </c>
      <c r="P3" s="395" t="s">
        <v>1072</v>
      </c>
      <c r="Q3" s="476" t="s">
        <v>2284</v>
      </c>
    </row>
    <row r="4" spans="2:27" ht="16.5" customHeight="1">
      <c r="B4" s="480" t="s">
        <v>2283</v>
      </c>
      <c r="C4" s="481" t="s">
        <v>2282</v>
      </c>
      <c r="D4" s="480" t="s">
        <v>2281</v>
      </c>
      <c r="E4" s="765"/>
      <c r="F4" s="765"/>
      <c r="G4" s="765"/>
      <c r="H4" s="765"/>
      <c r="I4" s="766"/>
      <c r="J4" s="766"/>
      <c r="K4" s="765"/>
      <c r="L4" s="767"/>
      <c r="M4" s="768" t="e">
        <f>SUBTOTAL(9,M5:M68)</f>
        <v>#REF!</v>
      </c>
      <c r="N4" s="768" t="e">
        <f>SUBTOTAL(9,N5:N68)</f>
        <v>#REF!</v>
      </c>
      <c r="O4" s="768" t="e">
        <f>SUBTOTAL(9,O5:O68)</f>
        <v>#REF!</v>
      </c>
      <c r="P4" s="769" t="e">
        <f t="shared" ref="P4:P35" si="0">IF(O4="","",O4*10000/E$2)</f>
        <v>#REF!</v>
      </c>
      <c r="Q4" s="770"/>
      <c r="AA4" s="632"/>
    </row>
    <row r="5" spans="2:27" ht="16.5" customHeight="1" outlineLevel="1">
      <c r="B5" s="771" t="s">
        <v>2280</v>
      </c>
      <c r="C5" s="712">
        <v>1</v>
      </c>
      <c r="D5" s="771" t="s">
        <v>2279</v>
      </c>
      <c r="E5" s="712"/>
      <c r="F5" s="712"/>
      <c r="G5" s="712"/>
      <c r="H5" s="772"/>
      <c r="I5" s="713"/>
      <c r="J5" s="713"/>
      <c r="K5" s="772"/>
      <c r="L5" s="588"/>
      <c r="M5" s="773" t="e">
        <f>SUBTOTAL(9,M6:M35)</f>
        <v>#REF!</v>
      </c>
      <c r="N5" s="773" t="e">
        <f>SUBTOTAL(9,N6:N35)</f>
        <v>#REF!</v>
      </c>
      <c r="O5" s="773" t="e">
        <f>SUBTOTAL(9,O6:O35)</f>
        <v>#REF!</v>
      </c>
      <c r="P5" s="774" t="e">
        <f t="shared" si="0"/>
        <v>#REF!</v>
      </c>
      <c r="Q5" s="775"/>
      <c r="AA5" s="632"/>
    </row>
    <row r="6" spans="2:27" ht="16.5" customHeight="1" outlineLevel="2">
      <c r="B6" s="776" t="s">
        <v>2278</v>
      </c>
      <c r="C6" s="777" t="s">
        <v>2132</v>
      </c>
      <c r="D6" s="776" t="s">
        <v>2277</v>
      </c>
      <c r="E6" s="648"/>
      <c r="F6" s="307"/>
      <c r="G6" s="511"/>
      <c r="H6" s="511"/>
      <c r="I6" s="614"/>
      <c r="J6" s="614"/>
      <c r="K6" s="778"/>
      <c r="L6" s="569"/>
      <c r="M6" s="779" t="e">
        <f>SUBTOTAL(9,M7:M8)</f>
        <v>#REF!</v>
      </c>
      <c r="N6" s="779" t="e">
        <f>SUBTOTAL(9,N7:N8)</f>
        <v>#REF!</v>
      </c>
      <c r="O6" s="779" t="e">
        <f>SUBTOTAL(9,O7:O8)</f>
        <v>#REF!</v>
      </c>
      <c r="P6" s="780" t="e">
        <f t="shared" si="0"/>
        <v>#REF!</v>
      </c>
      <c r="Q6" s="781"/>
      <c r="AA6" s="632"/>
    </row>
    <row r="7" spans="2:27" ht="16.5" hidden="1" customHeight="1" outlineLevel="3">
      <c r="B7" s="776" t="s">
        <v>2276</v>
      </c>
      <c r="C7" s="782" t="s">
        <v>39</v>
      </c>
      <c r="D7" s="783" t="s">
        <v>1480</v>
      </c>
      <c r="E7" s="648" t="s">
        <v>1228</v>
      </c>
      <c r="F7" s="307" t="s">
        <v>2189</v>
      </c>
      <c r="G7" s="784">
        <v>0.5</v>
      </c>
      <c r="H7" s="785" t="s">
        <v>384</v>
      </c>
      <c r="I7" s="614" t="e">
        <f>$G$2</f>
        <v>#REF!</v>
      </c>
      <c r="J7" s="614">
        <f>'1-人才公寓=='!J7</f>
        <v>52</v>
      </c>
      <c r="K7" s="778">
        <f>J7/(1+L7)</f>
        <v>46.846846846846844</v>
      </c>
      <c r="L7" s="569">
        <v>0.11</v>
      </c>
      <c r="M7" s="779" t="e">
        <f>G7*I7*K7/10000</f>
        <v>#REF!</v>
      </c>
      <c r="N7" s="779" t="e">
        <f>L7*M7</f>
        <v>#REF!</v>
      </c>
      <c r="O7" s="779" t="e">
        <f>M7+N7</f>
        <v>#REF!</v>
      </c>
      <c r="P7" s="780" t="e">
        <f t="shared" si="0"/>
        <v>#REF!</v>
      </c>
      <c r="Q7" s="781"/>
      <c r="AA7" s="632"/>
    </row>
    <row r="8" spans="2:27" ht="16.5" hidden="1" customHeight="1" outlineLevel="3">
      <c r="B8" s="776" t="s">
        <v>653</v>
      </c>
      <c r="C8" s="782" t="s">
        <v>39</v>
      </c>
      <c r="D8" s="783" t="s">
        <v>1481</v>
      </c>
      <c r="E8" s="648" t="s">
        <v>1228</v>
      </c>
      <c r="F8" s="307" t="s">
        <v>2189</v>
      </c>
      <c r="G8" s="784">
        <v>0.5</v>
      </c>
      <c r="H8" s="785" t="s">
        <v>384</v>
      </c>
      <c r="I8" s="614" t="e">
        <f>$G$2</f>
        <v>#REF!</v>
      </c>
      <c r="J8" s="614">
        <f>'1-人才公寓=='!J8</f>
        <v>52</v>
      </c>
      <c r="K8" s="778">
        <f>J8/(1+L8)</f>
        <v>46.846846846846844</v>
      </c>
      <c r="L8" s="569">
        <v>0.11</v>
      </c>
      <c r="M8" s="779" t="e">
        <f>G8*I8*K8/10000</f>
        <v>#REF!</v>
      </c>
      <c r="N8" s="779" t="e">
        <f>L8*M8</f>
        <v>#REF!</v>
      </c>
      <c r="O8" s="779" t="e">
        <f>M8+N8</f>
        <v>#REF!</v>
      </c>
      <c r="P8" s="780" t="e">
        <f t="shared" si="0"/>
        <v>#REF!</v>
      </c>
      <c r="Q8" s="781" t="e">
        <f>G8*I8*J8/10000-O8</f>
        <v>#REF!</v>
      </c>
      <c r="AA8" s="632"/>
    </row>
    <row r="9" spans="2:27" ht="16.5" customHeight="1" outlineLevel="2" collapsed="1">
      <c r="B9" s="776" t="s">
        <v>2275</v>
      </c>
      <c r="C9" s="777" t="s">
        <v>2151</v>
      </c>
      <c r="D9" s="776" t="s">
        <v>2274</v>
      </c>
      <c r="E9" s="307"/>
      <c r="F9" s="307"/>
      <c r="G9" s="511"/>
      <c r="H9" s="511"/>
      <c r="I9" s="614"/>
      <c r="J9" s="614">
        <f>'1-人才公寓=='!J9</f>
        <v>0</v>
      </c>
      <c r="K9" s="786"/>
      <c r="L9" s="569"/>
      <c r="M9" s="779" t="e">
        <f>SUBTOTAL(9,M10:M35)</f>
        <v>#REF!</v>
      </c>
      <c r="N9" s="779" t="e">
        <f>SUBTOTAL(9,N10:N35)</f>
        <v>#REF!</v>
      </c>
      <c r="O9" s="779" t="e">
        <f>SUBTOTAL(9,O10:O35)</f>
        <v>#REF!</v>
      </c>
      <c r="P9" s="780" t="e">
        <f t="shared" si="0"/>
        <v>#REF!</v>
      </c>
      <c r="Q9" s="781"/>
      <c r="AA9" s="632"/>
    </row>
    <row r="10" spans="2:27" ht="16.5" customHeight="1" outlineLevel="3">
      <c r="B10" s="776" t="s">
        <v>2273</v>
      </c>
      <c r="C10" s="782" t="s">
        <v>39</v>
      </c>
      <c r="D10" s="776" t="s">
        <v>2272</v>
      </c>
      <c r="E10" s="648"/>
      <c r="F10" s="648"/>
      <c r="G10" s="672"/>
      <c r="H10" s="787"/>
      <c r="I10" s="672"/>
      <c r="J10" s="614">
        <f>'1-人才公寓=='!J10</f>
        <v>0</v>
      </c>
      <c r="K10" s="786"/>
      <c r="L10" s="569"/>
      <c r="M10" s="779" t="e">
        <f>SUBTOTAL(9,M11:M12)</f>
        <v>#REF!</v>
      </c>
      <c r="N10" s="779" t="e">
        <f>SUBTOTAL(9,N11:N12)</f>
        <v>#REF!</v>
      </c>
      <c r="O10" s="779" t="e">
        <f>SUBTOTAL(9,O11:O12)</f>
        <v>#REF!</v>
      </c>
      <c r="P10" s="780" t="e">
        <f t="shared" si="0"/>
        <v>#REF!</v>
      </c>
      <c r="Q10" s="781"/>
      <c r="AA10" s="632"/>
    </row>
    <row r="11" spans="2:27" ht="16.5" customHeight="1" outlineLevel="3">
      <c r="B11" s="776" t="s">
        <v>2271</v>
      </c>
      <c r="C11" s="782"/>
      <c r="D11" s="783" t="s">
        <v>2270</v>
      </c>
      <c r="E11" s="648" t="s">
        <v>1228</v>
      </c>
      <c r="F11" s="648" t="s">
        <v>657</v>
      </c>
      <c r="G11" s="672" t="e">
        <f>#REF!</f>
        <v>#REF!</v>
      </c>
      <c r="H11" s="787" t="s">
        <v>384</v>
      </c>
      <c r="I11" s="672" t="e">
        <f>$E$2*(1+$F$2)</f>
        <v>#REF!</v>
      </c>
      <c r="J11" s="614" t="e">
        <f>'1-人才公寓=='!J11</f>
        <v>#REF!</v>
      </c>
      <c r="K11" s="778" t="e">
        <f>J11/(1+L11)</f>
        <v>#REF!</v>
      </c>
      <c r="L11" s="569">
        <v>0.11</v>
      </c>
      <c r="M11" s="779" t="e">
        <f>G11*I11*K11/10000</f>
        <v>#REF!</v>
      </c>
      <c r="N11" s="779" t="e">
        <f>L11*M11</f>
        <v>#REF!</v>
      </c>
      <c r="O11" s="779" t="e">
        <f>M11+N11</f>
        <v>#REF!</v>
      </c>
      <c r="P11" s="780" t="e">
        <f t="shared" si="0"/>
        <v>#REF!</v>
      </c>
      <c r="Q11" s="781" t="e">
        <f>G11*I11*J11/10000-O11</f>
        <v>#REF!</v>
      </c>
      <c r="AA11" s="632"/>
    </row>
    <row r="12" spans="2:27" ht="16.5" customHeight="1" outlineLevel="3">
      <c r="B12" s="776" t="s">
        <v>2269</v>
      </c>
      <c r="C12" s="782"/>
      <c r="D12" s="783" t="s">
        <v>2268</v>
      </c>
      <c r="E12" s="648" t="s">
        <v>1228</v>
      </c>
      <c r="F12" s="648" t="s">
        <v>657</v>
      </c>
      <c r="G12" s="672" t="e">
        <f>#REF!</f>
        <v>#REF!</v>
      </c>
      <c r="H12" s="787" t="s">
        <v>143</v>
      </c>
      <c r="I12" s="672" t="e">
        <f>$E$2*(1+$F$2)</f>
        <v>#REF!</v>
      </c>
      <c r="J12" s="614" t="e">
        <f>'1-人才公寓=='!J12</f>
        <v>#REF!</v>
      </c>
      <c r="K12" s="778" t="e">
        <f>J12/(1+L12)</f>
        <v>#REF!</v>
      </c>
      <c r="L12" s="569">
        <v>0.11</v>
      </c>
      <c r="M12" s="779" t="e">
        <f>G12*I12*K12/10000</f>
        <v>#REF!</v>
      </c>
      <c r="N12" s="779" t="e">
        <f>L12*M12</f>
        <v>#REF!</v>
      </c>
      <c r="O12" s="779" t="e">
        <f>M12+N12</f>
        <v>#REF!</v>
      </c>
      <c r="P12" s="780" t="e">
        <f t="shared" si="0"/>
        <v>#REF!</v>
      </c>
      <c r="Q12" s="781" t="e">
        <f>G12*I12*J12/10000-O12</f>
        <v>#REF!</v>
      </c>
      <c r="AA12" s="632"/>
    </row>
    <row r="13" spans="2:27" ht="16.5" customHeight="1" outlineLevel="3">
      <c r="B13" s="776" t="s">
        <v>2267</v>
      </c>
      <c r="C13" s="782" t="s">
        <v>39</v>
      </c>
      <c r="D13" s="776" t="s">
        <v>658</v>
      </c>
      <c r="E13" s="648"/>
      <c r="F13" s="648"/>
      <c r="G13" s="672"/>
      <c r="H13" s="787"/>
      <c r="I13" s="672"/>
      <c r="J13" s="614">
        <f>'1-人才公寓=='!J13</f>
        <v>0</v>
      </c>
      <c r="K13" s="786"/>
      <c r="L13" s="569"/>
      <c r="M13" s="779" t="e">
        <f>SUBTOTAL(9,M14:M15)</f>
        <v>#REF!</v>
      </c>
      <c r="N13" s="779" t="e">
        <f>SUBTOTAL(9,N14:N15)</f>
        <v>#REF!</v>
      </c>
      <c r="O13" s="779" t="e">
        <f>SUBTOTAL(9,O14:O15)</f>
        <v>#REF!</v>
      </c>
      <c r="P13" s="780" t="e">
        <f t="shared" si="0"/>
        <v>#REF!</v>
      </c>
      <c r="Q13" s="781"/>
      <c r="AA13" s="632"/>
    </row>
    <row r="14" spans="2:27" ht="16.5" customHeight="1" outlineLevel="3">
      <c r="B14" s="776" t="s">
        <v>2266</v>
      </c>
      <c r="C14" s="782"/>
      <c r="D14" s="776" t="s">
        <v>2265</v>
      </c>
      <c r="E14" s="648" t="s">
        <v>1228</v>
      </c>
      <c r="F14" s="648" t="s">
        <v>657</v>
      </c>
      <c r="G14" s="672" t="e">
        <f>#REF!</f>
        <v>#REF!</v>
      </c>
      <c r="H14" s="787" t="s">
        <v>1927</v>
      </c>
      <c r="I14" s="672" t="e">
        <f>$E$2*(1+$F$2)</f>
        <v>#REF!</v>
      </c>
      <c r="J14" s="614" t="e">
        <f>'1-人才公寓=='!J14</f>
        <v>#REF!</v>
      </c>
      <c r="K14" s="778" t="e">
        <f>J14/(1+L14)</f>
        <v>#REF!</v>
      </c>
      <c r="L14" s="569">
        <v>0.11</v>
      </c>
      <c r="M14" s="779" t="e">
        <f>G14*I14*K14/10000</f>
        <v>#REF!</v>
      </c>
      <c r="N14" s="779" t="e">
        <f>L14*M14</f>
        <v>#REF!</v>
      </c>
      <c r="O14" s="779" t="e">
        <f>M14+N14</f>
        <v>#REF!</v>
      </c>
      <c r="P14" s="780" t="e">
        <f t="shared" si="0"/>
        <v>#REF!</v>
      </c>
      <c r="Q14" s="781" t="e">
        <f>G14*I14*J14/10000-O14</f>
        <v>#REF!</v>
      </c>
      <c r="AA14" s="632"/>
    </row>
    <row r="15" spans="2:27" ht="16.5" customHeight="1" outlineLevel="3">
      <c r="B15" s="776" t="s">
        <v>1483</v>
      </c>
      <c r="C15" s="782"/>
      <c r="D15" s="776" t="s">
        <v>2264</v>
      </c>
      <c r="E15" s="648" t="s">
        <v>1228</v>
      </c>
      <c r="F15" s="648" t="s">
        <v>657</v>
      </c>
      <c r="G15" s="672" t="e">
        <f>#REF!</f>
        <v>#REF!</v>
      </c>
      <c r="H15" s="787" t="s">
        <v>1927</v>
      </c>
      <c r="I15" s="672" t="e">
        <f>$E$2*(1+$F$2)</f>
        <v>#REF!</v>
      </c>
      <c r="J15" s="614" t="e">
        <f>'1-人才公寓=='!J15</f>
        <v>#REF!</v>
      </c>
      <c r="K15" s="778" t="e">
        <f>J15/(1+L15)</f>
        <v>#REF!</v>
      </c>
      <c r="L15" s="569">
        <v>0.11</v>
      </c>
      <c r="M15" s="779" t="e">
        <f>G15*I15*K15/10000</f>
        <v>#REF!</v>
      </c>
      <c r="N15" s="779" t="e">
        <f>L15*M15</f>
        <v>#REF!</v>
      </c>
      <c r="O15" s="779" t="e">
        <f>M15+N15</f>
        <v>#REF!</v>
      </c>
      <c r="P15" s="780" t="e">
        <f t="shared" si="0"/>
        <v>#REF!</v>
      </c>
      <c r="Q15" s="781" t="e">
        <f>G15*I15*J15/10000-O15</f>
        <v>#REF!</v>
      </c>
      <c r="AA15" s="632"/>
    </row>
    <row r="16" spans="2:27" ht="16.5" customHeight="1" outlineLevel="3">
      <c r="B16" s="776" t="s">
        <v>2263</v>
      </c>
      <c r="C16" s="782" t="s">
        <v>39</v>
      </c>
      <c r="D16" s="776" t="s">
        <v>659</v>
      </c>
      <c r="E16" s="648" t="s">
        <v>1228</v>
      </c>
      <c r="F16" s="648" t="s">
        <v>657</v>
      </c>
      <c r="G16" s="672">
        <v>2.2000000000000002</v>
      </c>
      <c r="H16" s="787" t="s">
        <v>145</v>
      </c>
      <c r="I16" s="672" t="e">
        <f>$E$2*(1+$F$2)</f>
        <v>#REF!</v>
      </c>
      <c r="J16" s="614">
        <f>'1-人才公寓=='!J16</f>
        <v>95</v>
      </c>
      <c r="K16" s="778">
        <f>J16/(1+L16)</f>
        <v>85.585585585585576</v>
      </c>
      <c r="L16" s="569">
        <v>0.11</v>
      </c>
      <c r="M16" s="779" t="e">
        <f>G16*I16*K16/10000</f>
        <v>#REF!</v>
      </c>
      <c r="N16" s="779" t="e">
        <f>L16*M16</f>
        <v>#REF!</v>
      </c>
      <c r="O16" s="779" t="e">
        <f>M16+N16</f>
        <v>#REF!</v>
      </c>
      <c r="P16" s="780" t="e">
        <f t="shared" si="0"/>
        <v>#REF!</v>
      </c>
      <c r="Q16" s="781" t="e">
        <f>G16*I16*J16/10000-O16</f>
        <v>#REF!</v>
      </c>
      <c r="AA16" s="632"/>
    </row>
    <row r="17" spans="2:27" ht="16.5" customHeight="1" outlineLevel="3">
      <c r="B17" s="776" t="s">
        <v>1484</v>
      </c>
      <c r="C17" s="782" t="s">
        <v>39</v>
      </c>
      <c r="D17" s="776" t="s">
        <v>2262</v>
      </c>
      <c r="E17" s="648" t="s">
        <v>1228</v>
      </c>
      <c r="F17" s="648" t="s">
        <v>657</v>
      </c>
      <c r="G17" s="672">
        <v>0.25</v>
      </c>
      <c r="H17" s="787" t="s">
        <v>384</v>
      </c>
      <c r="I17" s="672" t="e">
        <f>$E$2*(1+$F$2)</f>
        <v>#REF!</v>
      </c>
      <c r="J17" s="614" t="e">
        <f>'1-人才公寓=='!J17</f>
        <v>#REF!</v>
      </c>
      <c r="K17" s="778" t="e">
        <f>J17/(1+L17)</f>
        <v>#REF!</v>
      </c>
      <c r="L17" s="788">
        <v>0.11</v>
      </c>
      <c r="M17" s="779" t="e">
        <f>G17*I17*K17/10000</f>
        <v>#REF!</v>
      </c>
      <c r="N17" s="779" t="e">
        <f>L17*M17</f>
        <v>#REF!</v>
      </c>
      <c r="O17" s="779" t="e">
        <f>M17+N17</f>
        <v>#REF!</v>
      </c>
      <c r="P17" s="780" t="e">
        <f t="shared" si="0"/>
        <v>#REF!</v>
      </c>
      <c r="Q17" s="781" t="e">
        <f>G17*I17*J17/10000-O17</f>
        <v>#REF!</v>
      </c>
      <c r="AA17" s="632"/>
    </row>
    <row r="18" spans="2:27" ht="16.5" customHeight="1" outlineLevel="3">
      <c r="B18" s="776" t="s">
        <v>1485</v>
      </c>
      <c r="C18" s="782" t="s">
        <v>39</v>
      </c>
      <c r="D18" s="776" t="s">
        <v>386</v>
      </c>
      <c r="E18" s="648" t="s">
        <v>1228</v>
      </c>
      <c r="F18" s="648" t="s">
        <v>657</v>
      </c>
      <c r="G18" s="789">
        <v>5</v>
      </c>
      <c r="H18" s="790" t="s">
        <v>384</v>
      </c>
      <c r="I18" s="672" t="e">
        <f>$E$2*(1+$F$2)</f>
        <v>#REF!</v>
      </c>
      <c r="J18" s="614">
        <f>'1-人才公寓=='!J18</f>
        <v>80</v>
      </c>
      <c r="K18" s="778">
        <f>J18/(1+L18)</f>
        <v>72.072072072072061</v>
      </c>
      <c r="L18" s="569">
        <v>0.11</v>
      </c>
      <c r="M18" s="779" t="e">
        <f>G18*I18*K18/10000</f>
        <v>#REF!</v>
      </c>
      <c r="N18" s="779" t="e">
        <f>L18*M18</f>
        <v>#REF!</v>
      </c>
      <c r="O18" s="779" t="e">
        <f>M18+N18</f>
        <v>#REF!</v>
      </c>
      <c r="P18" s="780" t="e">
        <f t="shared" si="0"/>
        <v>#REF!</v>
      </c>
      <c r="Q18" s="781" t="e">
        <f>G18*I18*J18/10000-O18</f>
        <v>#REF!</v>
      </c>
      <c r="AA18" s="632"/>
    </row>
    <row r="19" spans="2:27" ht="16.5" customHeight="1" outlineLevel="3">
      <c r="B19" s="776" t="s">
        <v>1486</v>
      </c>
      <c r="C19" s="782" t="s">
        <v>39</v>
      </c>
      <c r="D19" s="776" t="s">
        <v>2261</v>
      </c>
      <c r="E19" s="665"/>
      <c r="F19" s="665"/>
      <c r="G19" s="789"/>
      <c r="H19" s="790"/>
      <c r="I19" s="791"/>
      <c r="J19" s="614">
        <f>'1-人才公寓=='!J19</f>
        <v>0</v>
      </c>
      <c r="K19" s="791"/>
      <c r="L19" s="788"/>
      <c r="M19" s="779" t="e">
        <f>SUBTOTAL(9,M20:M21)</f>
        <v>#REF!</v>
      </c>
      <c r="N19" s="779" t="e">
        <f>SUBTOTAL(9,N20:N21)</f>
        <v>#REF!</v>
      </c>
      <c r="O19" s="779" t="e">
        <f>SUBTOTAL(9,O20:O21)</f>
        <v>#REF!</v>
      </c>
      <c r="P19" s="780" t="e">
        <f t="shared" si="0"/>
        <v>#REF!</v>
      </c>
      <c r="Q19" s="781"/>
      <c r="AA19" s="632"/>
    </row>
    <row r="20" spans="2:27" ht="16.5" customHeight="1" outlineLevel="3">
      <c r="B20" s="776" t="s">
        <v>2260</v>
      </c>
      <c r="C20" s="782"/>
      <c r="D20" s="783" t="s">
        <v>2259</v>
      </c>
      <c r="E20" s="648" t="s">
        <v>1488</v>
      </c>
      <c r="F20" s="648" t="s">
        <v>657</v>
      </c>
      <c r="G20" s="672">
        <v>0.35</v>
      </c>
      <c r="H20" s="787" t="s">
        <v>145</v>
      </c>
      <c r="I20" s="672" t="e">
        <f>$E$2*(1+$F$2)</f>
        <v>#REF!</v>
      </c>
      <c r="J20" s="614">
        <f>'1-人才公寓=='!J20</f>
        <v>40</v>
      </c>
      <c r="K20" s="778">
        <f>J20/(1+L20)</f>
        <v>34.188034188034187</v>
      </c>
      <c r="L20" s="569">
        <v>0.17</v>
      </c>
      <c r="M20" s="779" t="e">
        <f>G20*I20*K20/10000</f>
        <v>#REF!</v>
      </c>
      <c r="N20" s="779" t="e">
        <f>L20*M20</f>
        <v>#REF!</v>
      </c>
      <c r="O20" s="779" t="e">
        <f>M20+N20</f>
        <v>#REF!</v>
      </c>
      <c r="P20" s="780" t="e">
        <f t="shared" si="0"/>
        <v>#REF!</v>
      </c>
      <c r="Q20" s="781" t="e">
        <f>G20*I20*J20/10000-O20</f>
        <v>#REF!</v>
      </c>
      <c r="AA20" s="632"/>
    </row>
    <row r="21" spans="2:27" ht="16.5" customHeight="1" outlineLevel="3">
      <c r="B21" s="776" t="s">
        <v>1489</v>
      </c>
      <c r="C21" s="782"/>
      <c r="D21" s="783" t="s">
        <v>2258</v>
      </c>
      <c r="E21" s="648" t="s">
        <v>1228</v>
      </c>
      <c r="F21" s="648" t="s">
        <v>657</v>
      </c>
      <c r="G21" s="672">
        <v>0.35</v>
      </c>
      <c r="H21" s="787" t="s">
        <v>145</v>
      </c>
      <c r="I21" s="672" t="e">
        <f>$E$2*(1+$F$2)</f>
        <v>#REF!</v>
      </c>
      <c r="J21" s="614">
        <f>'1-人才公寓=='!J21</f>
        <v>40</v>
      </c>
      <c r="K21" s="778">
        <f>J21/(1+L21)</f>
        <v>36.03603603603603</v>
      </c>
      <c r="L21" s="569">
        <v>0.11</v>
      </c>
      <c r="M21" s="779" t="e">
        <f>G21*I21*K21/10000</f>
        <v>#REF!</v>
      </c>
      <c r="N21" s="779" t="e">
        <f>L21*M21</f>
        <v>#REF!</v>
      </c>
      <c r="O21" s="779" t="e">
        <f>M21+N21</f>
        <v>#REF!</v>
      </c>
      <c r="P21" s="780" t="e">
        <f t="shared" si="0"/>
        <v>#REF!</v>
      </c>
      <c r="Q21" s="781" t="e">
        <f>G21*I21*J21/10000-O21</f>
        <v>#REF!</v>
      </c>
      <c r="AA21" s="632"/>
    </row>
    <row r="22" spans="2:27" ht="16.5" customHeight="1" outlineLevel="3">
      <c r="B22" s="776" t="s">
        <v>2257</v>
      </c>
      <c r="C22" s="782" t="s">
        <v>39</v>
      </c>
      <c r="D22" s="776" t="s">
        <v>2256</v>
      </c>
      <c r="E22" s="648"/>
      <c r="F22" s="648"/>
      <c r="G22" s="789"/>
      <c r="H22" s="790"/>
      <c r="I22" s="672"/>
      <c r="J22" s="614">
        <f>'1-人才公寓=='!J22</f>
        <v>0</v>
      </c>
      <c r="K22" s="791"/>
      <c r="L22" s="788"/>
      <c r="M22" s="779" t="e">
        <f>SUBTOTAL(9,M23:M26)</f>
        <v>#REF!</v>
      </c>
      <c r="N22" s="779" t="e">
        <f>SUBTOTAL(9,N23:N26)</f>
        <v>#REF!</v>
      </c>
      <c r="O22" s="779" t="e">
        <f>SUBTOTAL(9,O23:O26)</f>
        <v>#REF!</v>
      </c>
      <c r="P22" s="780" t="e">
        <f t="shared" si="0"/>
        <v>#REF!</v>
      </c>
      <c r="Q22" s="781"/>
      <c r="AA22" s="632"/>
    </row>
    <row r="23" spans="2:27" ht="16.5" customHeight="1" outlineLevel="3">
      <c r="B23" s="776" t="s">
        <v>2255</v>
      </c>
      <c r="C23" s="782"/>
      <c r="D23" s="783" t="s">
        <v>2254</v>
      </c>
      <c r="E23" s="648" t="s">
        <v>1228</v>
      </c>
      <c r="F23" s="648" t="s">
        <v>657</v>
      </c>
      <c r="G23" s="789">
        <v>1</v>
      </c>
      <c r="H23" s="790" t="s">
        <v>145</v>
      </c>
      <c r="I23" s="672" t="e">
        <f>$E$2*(1+$F$2)</f>
        <v>#REF!</v>
      </c>
      <c r="J23" s="614">
        <f>'1-人才公寓=='!J23</f>
        <v>200</v>
      </c>
      <c r="K23" s="778">
        <f>J23/(1+L23)</f>
        <v>180.18018018018017</v>
      </c>
      <c r="L23" s="569">
        <v>0.11</v>
      </c>
      <c r="M23" s="779" t="e">
        <f>G23*I23*K23/10000</f>
        <v>#REF!</v>
      </c>
      <c r="N23" s="779" t="e">
        <f>L23*M23</f>
        <v>#REF!</v>
      </c>
      <c r="O23" s="779" t="e">
        <f>M23+N23</f>
        <v>#REF!</v>
      </c>
      <c r="P23" s="780" t="e">
        <f t="shared" si="0"/>
        <v>#REF!</v>
      </c>
      <c r="Q23" s="781" t="e">
        <f>G23*I23*J23/10000-O23</f>
        <v>#REF!</v>
      </c>
      <c r="AA23" s="632"/>
    </row>
    <row r="24" spans="2:27" ht="16.5" customHeight="1" outlineLevel="3">
      <c r="B24" s="776" t="s">
        <v>1490</v>
      </c>
      <c r="C24" s="782"/>
      <c r="D24" s="783" t="s">
        <v>2253</v>
      </c>
      <c r="E24" s="648" t="s">
        <v>1228</v>
      </c>
      <c r="F24" s="648" t="s">
        <v>657</v>
      </c>
      <c r="G24" s="789">
        <v>1</v>
      </c>
      <c r="H24" s="790" t="s">
        <v>145</v>
      </c>
      <c r="I24" s="672" t="e">
        <f>$E$2*(1+$F$2)</f>
        <v>#REF!</v>
      </c>
      <c r="J24" s="614">
        <f>'1-人才公寓=='!J24</f>
        <v>0</v>
      </c>
      <c r="K24" s="778">
        <f>J24/(1+L24)</f>
        <v>0</v>
      </c>
      <c r="L24" s="569">
        <v>0.11</v>
      </c>
      <c r="M24" s="779" t="e">
        <f>G24*I24*K24/10000</f>
        <v>#REF!</v>
      </c>
      <c r="N24" s="779" t="e">
        <f>L24*M24</f>
        <v>#REF!</v>
      </c>
      <c r="O24" s="779" t="e">
        <f>M24+N24</f>
        <v>#REF!</v>
      </c>
      <c r="P24" s="780" t="e">
        <f t="shared" si="0"/>
        <v>#REF!</v>
      </c>
      <c r="Q24" s="781" t="e">
        <f>G24*I24*J24/10000-O24</f>
        <v>#REF!</v>
      </c>
      <c r="AA24" s="632"/>
    </row>
    <row r="25" spans="2:27" ht="16.5" customHeight="1" outlineLevel="3">
      <c r="B25" s="776" t="s">
        <v>1491</v>
      </c>
      <c r="C25" s="782"/>
      <c r="D25" s="783" t="s">
        <v>2252</v>
      </c>
      <c r="E25" s="648" t="s">
        <v>1228</v>
      </c>
      <c r="F25" s="648" t="s">
        <v>657</v>
      </c>
      <c r="G25" s="789">
        <v>1</v>
      </c>
      <c r="H25" s="790" t="s">
        <v>145</v>
      </c>
      <c r="I25" s="672" t="e">
        <f>$E$2*(1+$F$2)</f>
        <v>#REF!</v>
      </c>
      <c r="J25" s="614">
        <f>'1-人才公寓=='!J25</f>
        <v>0</v>
      </c>
      <c r="K25" s="778">
        <f>J25/(1+L25)</f>
        <v>0</v>
      </c>
      <c r="L25" s="569">
        <v>0.11</v>
      </c>
      <c r="M25" s="779" t="e">
        <f>G25*I25*K25/10000</f>
        <v>#REF!</v>
      </c>
      <c r="N25" s="779" t="e">
        <f>L25*M25</f>
        <v>#REF!</v>
      </c>
      <c r="O25" s="779" t="e">
        <f>M25+N25</f>
        <v>#REF!</v>
      </c>
      <c r="P25" s="780" t="e">
        <f t="shared" si="0"/>
        <v>#REF!</v>
      </c>
      <c r="Q25" s="781" t="e">
        <f>G25*I25*J25/10000-O25</f>
        <v>#REF!</v>
      </c>
      <c r="AA25" s="632"/>
    </row>
    <row r="26" spans="2:27" ht="16.5" customHeight="1" outlineLevel="3">
      <c r="B26" s="776" t="s">
        <v>1492</v>
      </c>
      <c r="C26" s="782"/>
      <c r="D26" s="783" t="s">
        <v>2251</v>
      </c>
      <c r="E26" s="648" t="s">
        <v>1228</v>
      </c>
      <c r="F26" s="648" t="s">
        <v>657</v>
      </c>
      <c r="G26" s="789">
        <v>1</v>
      </c>
      <c r="H26" s="790" t="s">
        <v>145</v>
      </c>
      <c r="I26" s="672" t="e">
        <f>$E$2*(1+$F$2)</f>
        <v>#REF!</v>
      </c>
      <c r="J26" s="614">
        <f>'1-人才公寓=='!J26</f>
        <v>0</v>
      </c>
      <c r="K26" s="778">
        <f>J26/(1+L26)</f>
        <v>0</v>
      </c>
      <c r="L26" s="569">
        <v>0.11</v>
      </c>
      <c r="M26" s="779" t="e">
        <f>G26*I26*K26/10000</f>
        <v>#REF!</v>
      </c>
      <c r="N26" s="779" t="e">
        <f>L26*M26</f>
        <v>#REF!</v>
      </c>
      <c r="O26" s="779" t="e">
        <f>M26+N26</f>
        <v>#REF!</v>
      </c>
      <c r="P26" s="780" t="e">
        <f t="shared" si="0"/>
        <v>#REF!</v>
      </c>
      <c r="Q26" s="781" t="e">
        <f>G26*I26*J26/10000-O26</f>
        <v>#REF!</v>
      </c>
      <c r="AA26" s="632"/>
    </row>
    <row r="27" spans="2:27" ht="16.5" customHeight="1" outlineLevel="3">
      <c r="B27" s="776" t="s">
        <v>2250</v>
      </c>
      <c r="C27" s="782" t="s">
        <v>39</v>
      </c>
      <c r="D27" s="776" t="s">
        <v>2249</v>
      </c>
      <c r="E27" s="665"/>
      <c r="F27" s="665"/>
      <c r="G27" s="789"/>
      <c r="H27" s="790"/>
      <c r="I27" s="672"/>
      <c r="J27" s="614">
        <f>'1-人才公寓=='!J27</f>
        <v>0</v>
      </c>
      <c r="K27" s="791"/>
      <c r="L27" s="788"/>
      <c r="M27" s="779" t="e">
        <f>SUBTOTAL(9,M28:M30)</f>
        <v>#REF!</v>
      </c>
      <c r="N27" s="779" t="e">
        <f>SUBTOTAL(9,N28:N30)</f>
        <v>#REF!</v>
      </c>
      <c r="O27" s="779" t="e">
        <f>SUBTOTAL(9,O28:O30)</f>
        <v>#REF!</v>
      </c>
      <c r="P27" s="780" t="e">
        <f t="shared" si="0"/>
        <v>#REF!</v>
      </c>
      <c r="Q27" s="781"/>
      <c r="AA27" s="632"/>
    </row>
    <row r="28" spans="2:27" ht="16.5" customHeight="1" outlineLevel="3">
      <c r="B28" s="776" t="s">
        <v>2248</v>
      </c>
      <c r="C28" s="782"/>
      <c r="D28" s="783" t="s">
        <v>2247</v>
      </c>
      <c r="E28" s="648" t="s">
        <v>1493</v>
      </c>
      <c r="F28" s="648" t="s">
        <v>657</v>
      </c>
      <c r="G28" s="672">
        <v>0</v>
      </c>
      <c r="H28" s="790" t="s">
        <v>145</v>
      </c>
      <c r="I28" s="672" t="e">
        <f>$E$2*(1+$F$2)</f>
        <v>#REF!</v>
      </c>
      <c r="J28" s="614">
        <f>'1-人才公寓=='!J28</f>
        <v>0</v>
      </c>
      <c r="K28" s="778">
        <f t="shared" ref="K28:K34" si="1">J28/(1+L28)</f>
        <v>0</v>
      </c>
      <c r="L28" s="569">
        <v>0.11</v>
      </c>
      <c r="M28" s="779" t="e">
        <f t="shared" ref="M28:M35" si="2">G28*I28*K28/10000</f>
        <v>#REF!</v>
      </c>
      <c r="N28" s="779" t="e">
        <f t="shared" ref="N28:N35" si="3">L28*M28</f>
        <v>#REF!</v>
      </c>
      <c r="O28" s="779" t="e">
        <f t="shared" ref="O28:O35" si="4">M28+N28</f>
        <v>#REF!</v>
      </c>
      <c r="P28" s="780" t="e">
        <f t="shared" si="0"/>
        <v>#REF!</v>
      </c>
      <c r="Q28" s="781" t="e">
        <f>G28*I28*J28/10000-O28</f>
        <v>#REF!</v>
      </c>
      <c r="AA28" s="632"/>
    </row>
    <row r="29" spans="2:27" ht="16.5" customHeight="1" outlineLevel="3">
      <c r="B29" s="776" t="s">
        <v>1494</v>
      </c>
      <c r="C29" s="782"/>
      <c r="D29" s="783" t="s">
        <v>2246</v>
      </c>
      <c r="E29" s="648" t="s">
        <v>1493</v>
      </c>
      <c r="F29" s="648" t="s">
        <v>657</v>
      </c>
      <c r="G29" s="672">
        <v>1.2</v>
      </c>
      <c r="H29" s="790" t="s">
        <v>145</v>
      </c>
      <c r="I29" s="672" t="e">
        <f>$E$2*(1+$F$2)</f>
        <v>#REF!</v>
      </c>
      <c r="J29" s="614" t="e">
        <f>'1-人才公寓=='!J29</f>
        <v>#REF!</v>
      </c>
      <c r="K29" s="778" t="e">
        <f t="shared" si="1"/>
        <v>#REF!</v>
      </c>
      <c r="L29" s="569">
        <v>0.11</v>
      </c>
      <c r="M29" s="779" t="e">
        <f t="shared" si="2"/>
        <v>#REF!</v>
      </c>
      <c r="N29" s="779" t="e">
        <f t="shared" si="3"/>
        <v>#REF!</v>
      </c>
      <c r="O29" s="779" t="e">
        <f t="shared" si="4"/>
        <v>#REF!</v>
      </c>
      <c r="P29" s="780" t="e">
        <f t="shared" si="0"/>
        <v>#REF!</v>
      </c>
      <c r="Q29" s="781" t="e">
        <f>G29*I29*J29/10000-O29</f>
        <v>#REF!</v>
      </c>
      <c r="AA29" s="632"/>
    </row>
    <row r="30" spans="2:27" ht="16.5" customHeight="1" outlineLevel="3">
      <c r="B30" s="776" t="s">
        <v>1495</v>
      </c>
      <c r="C30" s="782"/>
      <c r="D30" s="783" t="s">
        <v>2245</v>
      </c>
      <c r="E30" s="648" t="s">
        <v>1228</v>
      </c>
      <c r="F30" s="648" t="s">
        <v>2244</v>
      </c>
      <c r="G30" s="672">
        <v>1.5</v>
      </c>
      <c r="H30" s="790" t="s">
        <v>143</v>
      </c>
      <c r="I30" s="672" t="e">
        <f>$G$2</f>
        <v>#REF!</v>
      </c>
      <c r="J30" s="614">
        <f>'1-人才公寓=='!J30</f>
        <v>110</v>
      </c>
      <c r="K30" s="778">
        <f t="shared" si="1"/>
        <v>99.099099099099092</v>
      </c>
      <c r="L30" s="569">
        <v>0.11</v>
      </c>
      <c r="M30" s="779" t="e">
        <f t="shared" si="2"/>
        <v>#REF!</v>
      </c>
      <c r="N30" s="779" t="e">
        <f t="shared" si="3"/>
        <v>#REF!</v>
      </c>
      <c r="O30" s="779" t="e">
        <f t="shared" si="4"/>
        <v>#REF!</v>
      </c>
      <c r="P30" s="780" t="e">
        <f t="shared" si="0"/>
        <v>#REF!</v>
      </c>
      <c r="Q30" s="781" t="e">
        <f>G30*I30*J30/10000-O30</f>
        <v>#REF!</v>
      </c>
      <c r="AA30" s="632"/>
    </row>
    <row r="31" spans="2:27" ht="16.5" customHeight="1" outlineLevel="3">
      <c r="B31" s="776" t="s">
        <v>2243</v>
      </c>
      <c r="C31" s="782" t="s">
        <v>39</v>
      </c>
      <c r="D31" s="776" t="s">
        <v>2242</v>
      </c>
      <c r="E31" s="648" t="s">
        <v>1496</v>
      </c>
      <c r="F31" s="648" t="s">
        <v>657</v>
      </c>
      <c r="G31" s="672">
        <v>1</v>
      </c>
      <c r="H31" s="787" t="s">
        <v>143</v>
      </c>
      <c r="I31" s="672" t="e">
        <f>$E$2*(1+$F$2)</f>
        <v>#REF!</v>
      </c>
      <c r="J31" s="614"/>
      <c r="K31" s="778">
        <f t="shared" si="1"/>
        <v>0</v>
      </c>
      <c r="L31" s="569">
        <v>0.17</v>
      </c>
      <c r="M31" s="779" t="e">
        <f t="shared" si="2"/>
        <v>#REF!</v>
      </c>
      <c r="N31" s="779" t="e">
        <f t="shared" si="3"/>
        <v>#REF!</v>
      </c>
      <c r="O31" s="779" t="e">
        <f t="shared" si="4"/>
        <v>#REF!</v>
      </c>
      <c r="P31" s="780" t="e">
        <f t="shared" si="0"/>
        <v>#REF!</v>
      </c>
      <c r="Q31" s="781" t="e">
        <f>G31*I31*J31/10000-O31</f>
        <v>#REF!</v>
      </c>
      <c r="AA31" s="632"/>
    </row>
    <row r="32" spans="2:27" ht="24.75" customHeight="1" outlineLevel="3">
      <c r="B32" s="776" t="s">
        <v>2241</v>
      </c>
      <c r="C32" s="782" t="s">
        <v>39</v>
      </c>
      <c r="D32" s="776" t="s">
        <v>2240</v>
      </c>
      <c r="E32" s="648" t="s">
        <v>2239</v>
      </c>
      <c r="F32" s="648" t="s">
        <v>657</v>
      </c>
      <c r="G32" s="672">
        <v>1</v>
      </c>
      <c r="H32" s="790" t="s">
        <v>143</v>
      </c>
      <c r="I32" s="672" t="e">
        <f>$E$2*(1+$F$2)</f>
        <v>#REF!</v>
      </c>
      <c r="J32" s="614">
        <f>'1-人才公寓=='!J32</f>
        <v>5</v>
      </c>
      <c r="K32" s="778">
        <f t="shared" si="1"/>
        <v>4.2735042735042734</v>
      </c>
      <c r="L32" s="569">
        <v>0.17</v>
      </c>
      <c r="M32" s="779" t="e">
        <f t="shared" si="2"/>
        <v>#REF!</v>
      </c>
      <c r="N32" s="779" t="e">
        <f t="shared" si="3"/>
        <v>#REF!</v>
      </c>
      <c r="O32" s="779" t="e">
        <f t="shared" si="4"/>
        <v>#REF!</v>
      </c>
      <c r="P32" s="780" t="e">
        <f t="shared" si="0"/>
        <v>#REF!</v>
      </c>
      <c r="Q32" s="781" t="s">
        <v>2238</v>
      </c>
      <c r="AA32" s="632"/>
    </row>
    <row r="33" spans="2:27" ht="16.5" customHeight="1" outlineLevel="3">
      <c r="B33" s="776" t="s">
        <v>2237</v>
      </c>
      <c r="C33" s="782" t="s">
        <v>39</v>
      </c>
      <c r="D33" s="776" t="s">
        <v>2236</v>
      </c>
      <c r="E33" s="648" t="s">
        <v>1228</v>
      </c>
      <c r="F33" s="648" t="s">
        <v>657</v>
      </c>
      <c r="G33" s="672">
        <v>1</v>
      </c>
      <c r="H33" s="790" t="s">
        <v>143</v>
      </c>
      <c r="I33" s="672" t="e">
        <f>$E$2*(1+$F$2)</f>
        <v>#REF!</v>
      </c>
      <c r="J33" s="614">
        <f>'1-人才公寓=='!J33</f>
        <v>5</v>
      </c>
      <c r="K33" s="778">
        <f t="shared" si="1"/>
        <v>4.5045045045045038</v>
      </c>
      <c r="L33" s="569">
        <v>0.11</v>
      </c>
      <c r="M33" s="779" t="e">
        <f t="shared" si="2"/>
        <v>#REF!</v>
      </c>
      <c r="N33" s="779" t="e">
        <f t="shared" si="3"/>
        <v>#REF!</v>
      </c>
      <c r="O33" s="779" t="e">
        <f t="shared" si="4"/>
        <v>#REF!</v>
      </c>
      <c r="P33" s="780" t="e">
        <f t="shared" si="0"/>
        <v>#REF!</v>
      </c>
      <c r="Q33" s="781" t="e">
        <f>G33*I33*J33/10000-O33</f>
        <v>#REF!</v>
      </c>
      <c r="AA33" s="632"/>
    </row>
    <row r="34" spans="2:27" ht="16.5" customHeight="1" outlineLevel="3">
      <c r="B34" s="776" t="s">
        <v>2235</v>
      </c>
      <c r="C34" s="782" t="s">
        <v>39</v>
      </c>
      <c r="D34" s="776" t="s">
        <v>2234</v>
      </c>
      <c r="E34" s="648" t="s">
        <v>1228</v>
      </c>
      <c r="F34" s="648" t="s">
        <v>657</v>
      </c>
      <c r="G34" s="672">
        <v>1</v>
      </c>
      <c r="H34" s="790" t="s">
        <v>143</v>
      </c>
      <c r="I34" s="672" t="e">
        <f>$E$2*(1+$F$2)</f>
        <v>#REF!</v>
      </c>
      <c r="J34" s="614">
        <f>'1-人才公寓=='!J34</f>
        <v>50</v>
      </c>
      <c r="K34" s="778">
        <f t="shared" si="1"/>
        <v>45.045045045045043</v>
      </c>
      <c r="L34" s="569">
        <v>0.11</v>
      </c>
      <c r="M34" s="779" t="e">
        <f t="shared" si="2"/>
        <v>#REF!</v>
      </c>
      <c r="N34" s="779" t="e">
        <f t="shared" si="3"/>
        <v>#REF!</v>
      </c>
      <c r="O34" s="779" t="e">
        <f t="shared" si="4"/>
        <v>#REF!</v>
      </c>
      <c r="P34" s="780" t="e">
        <f t="shared" si="0"/>
        <v>#REF!</v>
      </c>
      <c r="Q34" s="781" t="e">
        <f>G34*I34*J34/10000-O34</f>
        <v>#REF!</v>
      </c>
      <c r="AA34" s="632"/>
    </row>
    <row r="35" spans="2:27" ht="16.5" customHeight="1" outlineLevel="3">
      <c r="B35" s="776" t="s">
        <v>1497</v>
      </c>
      <c r="C35" s="782" t="s">
        <v>39</v>
      </c>
      <c r="D35" s="776" t="s">
        <v>2233</v>
      </c>
      <c r="E35" s="648" t="s">
        <v>1228</v>
      </c>
      <c r="F35" s="648" t="s">
        <v>657</v>
      </c>
      <c r="G35" s="672">
        <v>1</v>
      </c>
      <c r="H35" s="790" t="s">
        <v>143</v>
      </c>
      <c r="I35" s="672" t="e">
        <f>$E$2*(1+$F$2)</f>
        <v>#REF!</v>
      </c>
      <c r="J35" s="614">
        <f>'1-人才公寓=='!J35</f>
        <v>0</v>
      </c>
      <c r="K35" s="672"/>
      <c r="L35" s="569">
        <v>0.11</v>
      </c>
      <c r="M35" s="779" t="e">
        <f t="shared" si="2"/>
        <v>#REF!</v>
      </c>
      <c r="N35" s="779" t="e">
        <f t="shared" si="3"/>
        <v>#REF!</v>
      </c>
      <c r="O35" s="779" t="e">
        <f t="shared" si="4"/>
        <v>#REF!</v>
      </c>
      <c r="P35" s="780" t="e">
        <f t="shared" si="0"/>
        <v>#REF!</v>
      </c>
      <c r="Q35" s="781" t="e">
        <f>G35*I35*J35/10000-O35</f>
        <v>#REF!</v>
      </c>
      <c r="AA35" s="632"/>
    </row>
    <row r="36" spans="2:27" ht="16.5" customHeight="1" outlineLevel="1">
      <c r="B36" s="771" t="s">
        <v>2232</v>
      </c>
      <c r="C36" s="712">
        <v>2</v>
      </c>
      <c r="D36" s="771" t="s">
        <v>2231</v>
      </c>
      <c r="E36" s="712"/>
      <c r="F36" s="712"/>
      <c r="G36" s="712"/>
      <c r="H36" s="772"/>
      <c r="I36" s="713"/>
      <c r="J36" s="713"/>
      <c r="K36" s="772"/>
      <c r="L36" s="588"/>
      <c r="M36" s="773" t="e">
        <f>SUBTOTAL(9,M37:M68)</f>
        <v>#REF!</v>
      </c>
      <c r="N36" s="773" t="e">
        <f>SUBTOTAL(9,N37:N68)</f>
        <v>#REF!</v>
      </c>
      <c r="O36" s="773" t="e">
        <f>SUBTOTAL(9,O37:O68)</f>
        <v>#REF!</v>
      </c>
      <c r="P36" s="774" t="e">
        <f t="shared" ref="P36:P67" si="5">IF(O36="","",O36*10000/E$2)</f>
        <v>#REF!</v>
      </c>
      <c r="Q36" s="793"/>
      <c r="AA36" s="632"/>
    </row>
    <row r="37" spans="2:27" ht="16.5" customHeight="1" outlineLevel="2">
      <c r="B37" s="776" t="s">
        <v>661</v>
      </c>
      <c r="C37" s="777" t="s">
        <v>2054</v>
      </c>
      <c r="D37" s="776" t="s">
        <v>2230</v>
      </c>
      <c r="E37" s="665"/>
      <c r="F37" s="665"/>
      <c r="G37" s="794"/>
      <c r="H37" s="795"/>
      <c r="I37" s="791"/>
      <c r="J37" s="791"/>
      <c r="K37" s="791"/>
      <c r="L37" s="788"/>
      <c r="M37" s="779" t="e">
        <f>SUBTOTAL(9,M38:M55)</f>
        <v>#REF!</v>
      </c>
      <c r="N37" s="779" t="e">
        <f>SUBTOTAL(9,N38:N55)</f>
        <v>#REF!</v>
      </c>
      <c r="O37" s="779" t="e">
        <f>SUBTOTAL(9,O38:O55)</f>
        <v>#REF!</v>
      </c>
      <c r="P37" s="780" t="e">
        <f t="shared" si="5"/>
        <v>#REF!</v>
      </c>
      <c r="Q37" s="511"/>
      <c r="AA37" s="632"/>
    </row>
    <row r="38" spans="2:27" ht="16.5" customHeight="1" outlineLevel="3">
      <c r="B38" s="776" t="s">
        <v>662</v>
      </c>
      <c r="C38" s="782" t="s">
        <v>39</v>
      </c>
      <c r="D38" s="776" t="s">
        <v>2229</v>
      </c>
      <c r="E38" s="648"/>
      <c r="F38" s="648"/>
      <c r="G38" s="791"/>
      <c r="H38" s="795"/>
      <c r="I38" s="672"/>
      <c r="J38" s="672"/>
      <c r="K38" s="791"/>
      <c r="L38" s="788"/>
      <c r="M38" s="779" t="e">
        <f>SUBTOTAL(9,M39:M40)</f>
        <v>#REF!</v>
      </c>
      <c r="N38" s="779" t="e">
        <f>SUBTOTAL(9,N39:N40)</f>
        <v>#REF!</v>
      </c>
      <c r="O38" s="779" t="e">
        <f>SUBTOTAL(9,O39:O40)</f>
        <v>#REF!</v>
      </c>
      <c r="P38" s="780" t="e">
        <f t="shared" si="5"/>
        <v>#REF!</v>
      </c>
      <c r="Q38" s="511"/>
      <c r="AA38" s="632"/>
    </row>
    <row r="39" spans="2:27" ht="16.5" customHeight="1" outlineLevel="3">
      <c r="B39" s="776" t="s">
        <v>2228</v>
      </c>
      <c r="C39" s="782"/>
      <c r="D39" s="796" t="s">
        <v>1498</v>
      </c>
      <c r="E39" s="648" t="s">
        <v>1228</v>
      </c>
      <c r="F39" s="648" t="s">
        <v>2223</v>
      </c>
      <c r="G39" s="791">
        <v>1</v>
      </c>
      <c r="H39" s="790" t="s">
        <v>143</v>
      </c>
      <c r="I39" s="672" t="e">
        <f>$E$2*(1+$F$2)</f>
        <v>#REF!</v>
      </c>
      <c r="J39" s="672">
        <v>55</v>
      </c>
      <c r="K39" s="778">
        <f>J39/(1+L39)</f>
        <v>49.549549549549546</v>
      </c>
      <c r="L39" s="569">
        <v>0.11</v>
      </c>
      <c r="M39" s="779" t="e">
        <f>G39*I39*K39/10000</f>
        <v>#REF!</v>
      </c>
      <c r="N39" s="779" t="e">
        <f>L39*M39</f>
        <v>#REF!</v>
      </c>
      <c r="O39" s="779" t="e">
        <f>M39+N39</f>
        <v>#REF!</v>
      </c>
      <c r="P39" s="780" t="e">
        <f t="shared" si="5"/>
        <v>#REF!</v>
      </c>
      <c r="Q39" s="781" t="e">
        <f>G39*I39*J39/10000-O39</f>
        <v>#REF!</v>
      </c>
      <c r="AA39" s="632"/>
    </row>
    <row r="40" spans="2:27" ht="16.5" customHeight="1" outlineLevel="3">
      <c r="B40" s="776" t="s">
        <v>1499</v>
      </c>
      <c r="C40" s="782"/>
      <c r="D40" s="796" t="s">
        <v>1500</v>
      </c>
      <c r="E40" s="648" t="s">
        <v>1295</v>
      </c>
      <c r="F40" s="648" t="s">
        <v>2223</v>
      </c>
      <c r="G40" s="672">
        <v>1</v>
      </c>
      <c r="H40" s="787" t="s">
        <v>143</v>
      </c>
      <c r="I40" s="672" t="e">
        <f>$E$2*(1+$F$2)</f>
        <v>#REF!</v>
      </c>
      <c r="J40" s="672">
        <v>10</v>
      </c>
      <c r="K40" s="778">
        <f>J40/(1+L40)</f>
        <v>8.5470085470085468</v>
      </c>
      <c r="L40" s="569">
        <v>0.17</v>
      </c>
      <c r="M40" s="779" t="e">
        <f>G40*I40*K40/10000</f>
        <v>#REF!</v>
      </c>
      <c r="N40" s="779" t="e">
        <f>L40*M40</f>
        <v>#REF!</v>
      </c>
      <c r="O40" s="779" t="e">
        <f>M40+N40</f>
        <v>#REF!</v>
      </c>
      <c r="P40" s="780" t="e">
        <f t="shared" si="5"/>
        <v>#REF!</v>
      </c>
      <c r="Q40" s="781" t="e">
        <f>G40*I40*J40/10000-O40</f>
        <v>#REF!</v>
      </c>
      <c r="AA40" s="632"/>
    </row>
    <row r="41" spans="2:27" ht="16.5" customHeight="1" outlineLevel="3">
      <c r="B41" s="776" t="s">
        <v>664</v>
      </c>
      <c r="C41" s="782" t="s">
        <v>39</v>
      </c>
      <c r="D41" s="776" t="s">
        <v>667</v>
      </c>
      <c r="E41" s="665"/>
      <c r="F41" s="648"/>
      <c r="G41" s="672"/>
      <c r="H41" s="787"/>
      <c r="I41" s="672"/>
      <c r="J41" s="672"/>
      <c r="K41" s="672"/>
      <c r="L41" s="569"/>
      <c r="M41" s="779" t="e">
        <f>SUBTOTAL(9,M42:M43)</f>
        <v>#REF!</v>
      </c>
      <c r="N41" s="779" t="e">
        <f>SUBTOTAL(9,N42:N43)</f>
        <v>#REF!</v>
      </c>
      <c r="O41" s="779" t="e">
        <f>SUBTOTAL(9,O42:O43)</f>
        <v>#REF!</v>
      </c>
      <c r="P41" s="780" t="e">
        <f t="shared" si="5"/>
        <v>#REF!</v>
      </c>
      <c r="Q41" s="511"/>
      <c r="AA41" s="632"/>
    </row>
    <row r="42" spans="2:27" ht="16.5" customHeight="1" outlineLevel="3">
      <c r="B42" s="776" t="s">
        <v>2227</v>
      </c>
      <c r="C42" s="782"/>
      <c r="D42" s="796" t="s">
        <v>1501</v>
      </c>
      <c r="E42" s="665" t="s">
        <v>1502</v>
      </c>
      <c r="F42" s="648" t="s">
        <v>2223</v>
      </c>
      <c r="G42" s="672">
        <v>1</v>
      </c>
      <c r="H42" s="787" t="s">
        <v>143</v>
      </c>
      <c r="I42" s="672" t="e">
        <f>$E$2*(1+$F$2)</f>
        <v>#REF!</v>
      </c>
      <c r="J42" s="672"/>
      <c r="K42" s="778">
        <f>J42/(1+L42)</f>
        <v>0</v>
      </c>
      <c r="L42" s="569">
        <v>0.11</v>
      </c>
      <c r="M42" s="779" t="e">
        <f>G42*I42*K42/10000</f>
        <v>#REF!</v>
      </c>
      <c r="N42" s="779" t="e">
        <f>L42*M42</f>
        <v>#REF!</v>
      </c>
      <c r="O42" s="779" t="e">
        <f>M42+N42</f>
        <v>#REF!</v>
      </c>
      <c r="P42" s="780" t="e">
        <f t="shared" si="5"/>
        <v>#REF!</v>
      </c>
      <c r="Q42" s="781" t="e">
        <f>G42*I42*J42/10000-O42</f>
        <v>#REF!</v>
      </c>
      <c r="AA42" s="632"/>
    </row>
    <row r="43" spans="2:27" ht="16.5" customHeight="1" outlineLevel="3">
      <c r="B43" s="776" t="s">
        <v>1503</v>
      </c>
      <c r="C43" s="782"/>
      <c r="D43" s="796" t="s">
        <v>1504</v>
      </c>
      <c r="E43" s="665" t="s">
        <v>1505</v>
      </c>
      <c r="F43" s="648"/>
      <c r="G43" s="672">
        <v>1</v>
      </c>
      <c r="H43" s="787" t="s">
        <v>741</v>
      </c>
      <c r="I43" s="672" t="e">
        <f>$H$2</f>
        <v>#REF!</v>
      </c>
      <c r="J43" s="672"/>
      <c r="K43" s="778">
        <f>J43/(1+L43)</f>
        <v>0</v>
      </c>
      <c r="L43" s="569">
        <v>0</v>
      </c>
      <c r="M43" s="779" t="e">
        <f>G43*I43*K43/10000</f>
        <v>#REF!</v>
      </c>
      <c r="N43" s="779" t="e">
        <f>L43*M43</f>
        <v>#REF!</v>
      </c>
      <c r="O43" s="779" t="e">
        <f>M43+N43</f>
        <v>#REF!</v>
      </c>
      <c r="P43" s="780" t="e">
        <f t="shared" si="5"/>
        <v>#REF!</v>
      </c>
      <c r="Q43" s="781" t="e">
        <f>G43*I43*J43/10000-O43</f>
        <v>#REF!</v>
      </c>
      <c r="AA43" s="632"/>
    </row>
    <row r="44" spans="2:27" ht="16.5" customHeight="1" outlineLevel="3">
      <c r="B44" s="776" t="s">
        <v>665</v>
      </c>
      <c r="C44" s="782" t="s">
        <v>39</v>
      </c>
      <c r="D44" s="776" t="s">
        <v>668</v>
      </c>
      <c r="E44" s="665"/>
      <c r="F44" s="648"/>
      <c r="G44" s="672"/>
      <c r="H44" s="787"/>
      <c r="I44" s="672"/>
      <c r="J44" s="672"/>
      <c r="K44" s="672"/>
      <c r="L44" s="569"/>
      <c r="M44" s="779" t="e">
        <f>SUBTOTAL(9,M45:M46)</f>
        <v>#REF!</v>
      </c>
      <c r="N44" s="779" t="e">
        <f>SUBTOTAL(9,N45:N46)</f>
        <v>#REF!</v>
      </c>
      <c r="O44" s="779" t="e">
        <f>SUBTOTAL(9,O45:O46)</f>
        <v>#REF!</v>
      </c>
      <c r="P44" s="780" t="e">
        <f t="shared" si="5"/>
        <v>#REF!</v>
      </c>
      <c r="Q44" s="511"/>
      <c r="AA44" s="632"/>
    </row>
    <row r="45" spans="2:27" ht="16.5" customHeight="1" outlineLevel="3">
      <c r="B45" s="776" t="s">
        <v>2226</v>
      </c>
      <c r="C45" s="782"/>
      <c r="D45" s="796" t="s">
        <v>1506</v>
      </c>
      <c r="E45" s="665" t="s">
        <v>1300</v>
      </c>
      <c r="F45" s="648" t="s">
        <v>2223</v>
      </c>
      <c r="G45" s="672">
        <v>1</v>
      </c>
      <c r="H45" s="787" t="s">
        <v>143</v>
      </c>
      <c r="I45" s="672" t="e">
        <f>$E$2*(1+$F$2)</f>
        <v>#REF!</v>
      </c>
      <c r="J45" s="672"/>
      <c r="K45" s="672">
        <v>0</v>
      </c>
      <c r="L45" s="569">
        <v>0.11</v>
      </c>
      <c r="M45" s="779" t="e">
        <f>G45*I45*K45/10000</f>
        <v>#REF!</v>
      </c>
      <c r="N45" s="779" t="e">
        <f>L45*M45</f>
        <v>#REF!</v>
      </c>
      <c r="O45" s="779" t="e">
        <f>M45+N45</f>
        <v>#REF!</v>
      </c>
      <c r="P45" s="780" t="e">
        <f t="shared" si="5"/>
        <v>#REF!</v>
      </c>
      <c r="Q45" s="781" t="e">
        <f>G45*I45*J45/10000-O45</f>
        <v>#REF!</v>
      </c>
      <c r="AA45" s="632"/>
    </row>
    <row r="46" spans="2:27" ht="16.5" customHeight="1" outlineLevel="3">
      <c r="B46" s="776" t="s">
        <v>1507</v>
      </c>
      <c r="C46" s="782"/>
      <c r="D46" s="796" t="s">
        <v>2225</v>
      </c>
      <c r="E46" s="665" t="s">
        <v>1300</v>
      </c>
      <c r="F46" s="648" t="s">
        <v>2052</v>
      </c>
      <c r="G46" s="672">
        <v>1</v>
      </c>
      <c r="H46" s="787" t="s">
        <v>741</v>
      </c>
      <c r="I46" s="672" t="e">
        <f>$H$2</f>
        <v>#REF!</v>
      </c>
      <c r="J46" s="672"/>
      <c r="K46" s="778">
        <f>J46/(1+L46)</f>
        <v>0</v>
      </c>
      <c r="L46" s="569">
        <v>0</v>
      </c>
      <c r="M46" s="779" t="e">
        <f>G46*I46*K46/10000</f>
        <v>#REF!</v>
      </c>
      <c r="N46" s="779" t="e">
        <f>L46*M46</f>
        <v>#REF!</v>
      </c>
      <c r="O46" s="779" t="e">
        <f>M46+N46</f>
        <v>#REF!</v>
      </c>
      <c r="P46" s="780" t="e">
        <f t="shared" si="5"/>
        <v>#REF!</v>
      </c>
      <c r="Q46" s="781" t="e">
        <f>G46*I46*J46/10000-O46</f>
        <v>#REF!</v>
      </c>
      <c r="AA46" s="632"/>
    </row>
    <row r="47" spans="2:27" ht="16.5" customHeight="1" outlineLevel="3">
      <c r="B47" s="776" t="s">
        <v>666</v>
      </c>
      <c r="C47" s="782" t="s">
        <v>39</v>
      </c>
      <c r="D47" s="776" t="s">
        <v>1508</v>
      </c>
      <c r="E47" s="665"/>
      <c r="F47" s="648"/>
      <c r="G47" s="672"/>
      <c r="H47" s="787"/>
      <c r="I47" s="672"/>
      <c r="J47" s="672"/>
      <c r="K47" s="672"/>
      <c r="L47" s="569"/>
      <c r="M47" s="779" t="e">
        <f>SUBTOTAL(9,M48:M55)</f>
        <v>#REF!</v>
      </c>
      <c r="N47" s="779" t="e">
        <f>SUBTOTAL(9,N48:N55)</f>
        <v>#REF!</v>
      </c>
      <c r="O47" s="779" t="e">
        <f>SUBTOTAL(9,O48:O55)</f>
        <v>#REF!</v>
      </c>
      <c r="P47" s="780" t="e">
        <f t="shared" si="5"/>
        <v>#REF!</v>
      </c>
      <c r="Q47" s="511"/>
      <c r="AA47" s="632"/>
    </row>
    <row r="48" spans="2:27" ht="16.5" customHeight="1" outlineLevel="3">
      <c r="B48" s="776" t="s">
        <v>2224</v>
      </c>
      <c r="C48" s="782"/>
      <c r="D48" s="796" t="s">
        <v>1509</v>
      </c>
      <c r="E48" s="648" t="s">
        <v>1228</v>
      </c>
      <c r="F48" s="648" t="s">
        <v>2223</v>
      </c>
      <c r="G48" s="791">
        <v>1</v>
      </c>
      <c r="H48" s="790" t="s">
        <v>143</v>
      </c>
      <c r="I48" s="672" t="e">
        <f t="shared" ref="I48:I53" si="6">$E$2*(1+$F$2)</f>
        <v>#REF!</v>
      </c>
      <c r="J48" s="672">
        <v>140</v>
      </c>
      <c r="K48" s="778">
        <f t="shared" ref="K48:K54" si="7">J48/(1+L48)</f>
        <v>126.12612612612611</v>
      </c>
      <c r="L48" s="569">
        <v>0.11</v>
      </c>
      <c r="M48" s="779" t="e">
        <f t="shared" ref="M48:M55" si="8">G48*I48*K48/10000</f>
        <v>#REF!</v>
      </c>
      <c r="N48" s="779" t="e">
        <f t="shared" ref="N48:N55" si="9">L48*M48</f>
        <v>#REF!</v>
      </c>
      <c r="O48" s="779" t="e">
        <f t="shared" ref="O48:O55" si="10">M48+N48</f>
        <v>#REF!</v>
      </c>
      <c r="P48" s="780" t="e">
        <f t="shared" si="5"/>
        <v>#REF!</v>
      </c>
      <c r="Q48" s="781" t="e">
        <f t="shared" ref="Q48:Q55" si="11">G48*I48*J48/10000-O48</f>
        <v>#REF!</v>
      </c>
      <c r="AA48" s="632"/>
    </row>
    <row r="49" spans="2:27" ht="16.5" customHeight="1" outlineLevel="3">
      <c r="B49" s="776" t="s">
        <v>1510</v>
      </c>
      <c r="C49" s="782"/>
      <c r="D49" s="796" t="s">
        <v>1511</v>
      </c>
      <c r="E49" s="648" t="s">
        <v>1295</v>
      </c>
      <c r="F49" s="648" t="s">
        <v>2219</v>
      </c>
      <c r="G49" s="791">
        <v>1</v>
      </c>
      <c r="H49" s="790" t="s">
        <v>143</v>
      </c>
      <c r="I49" s="672" t="e">
        <f t="shared" si="6"/>
        <v>#REF!</v>
      </c>
      <c r="J49" s="672">
        <v>5</v>
      </c>
      <c r="K49" s="778">
        <f t="shared" si="7"/>
        <v>4.2735042735042734</v>
      </c>
      <c r="L49" s="569">
        <v>0.17</v>
      </c>
      <c r="M49" s="779" t="e">
        <f t="shared" si="8"/>
        <v>#REF!</v>
      </c>
      <c r="N49" s="779" t="e">
        <f t="shared" si="9"/>
        <v>#REF!</v>
      </c>
      <c r="O49" s="779" t="e">
        <f t="shared" si="10"/>
        <v>#REF!</v>
      </c>
      <c r="P49" s="780" t="e">
        <f t="shared" si="5"/>
        <v>#REF!</v>
      </c>
      <c r="Q49" s="781" t="e">
        <f t="shared" si="11"/>
        <v>#REF!</v>
      </c>
      <c r="AA49" s="632"/>
    </row>
    <row r="50" spans="2:27" ht="16.5" customHeight="1" outlineLevel="3">
      <c r="B50" s="776" t="s">
        <v>1512</v>
      </c>
      <c r="C50" s="782"/>
      <c r="D50" s="796" t="s">
        <v>1513</v>
      </c>
      <c r="E50" s="797" t="s">
        <v>2222</v>
      </c>
      <c r="F50" s="648" t="s">
        <v>2219</v>
      </c>
      <c r="G50" s="791">
        <v>1</v>
      </c>
      <c r="H50" s="790" t="s">
        <v>143</v>
      </c>
      <c r="I50" s="672" t="e">
        <f t="shared" si="6"/>
        <v>#REF!</v>
      </c>
      <c r="J50" s="672">
        <v>30</v>
      </c>
      <c r="K50" s="778">
        <f t="shared" si="7"/>
        <v>25.641025641025642</v>
      </c>
      <c r="L50" s="569">
        <v>0.17</v>
      </c>
      <c r="M50" s="779" t="e">
        <f t="shared" si="8"/>
        <v>#REF!</v>
      </c>
      <c r="N50" s="779" t="e">
        <f t="shared" si="9"/>
        <v>#REF!</v>
      </c>
      <c r="O50" s="779" t="e">
        <f t="shared" si="10"/>
        <v>#REF!</v>
      </c>
      <c r="P50" s="780" t="e">
        <f t="shared" si="5"/>
        <v>#REF!</v>
      </c>
      <c r="Q50" s="781" t="e">
        <f t="shared" si="11"/>
        <v>#REF!</v>
      </c>
      <c r="AA50" s="632"/>
    </row>
    <row r="51" spans="2:27" ht="16.5" customHeight="1" outlineLevel="3">
      <c r="B51" s="776" t="s">
        <v>1514</v>
      </c>
      <c r="C51" s="782"/>
      <c r="D51" s="796" t="s">
        <v>1515</v>
      </c>
      <c r="E51" s="665" t="s">
        <v>2221</v>
      </c>
      <c r="F51" s="648" t="s">
        <v>2219</v>
      </c>
      <c r="G51" s="791">
        <v>1</v>
      </c>
      <c r="H51" s="790" t="s">
        <v>143</v>
      </c>
      <c r="I51" s="672" t="e">
        <f t="shared" si="6"/>
        <v>#REF!</v>
      </c>
      <c r="J51" s="672">
        <v>0</v>
      </c>
      <c r="K51" s="778">
        <f t="shared" si="7"/>
        <v>0</v>
      </c>
      <c r="L51" s="569">
        <v>0.17</v>
      </c>
      <c r="M51" s="779" t="e">
        <f t="shared" si="8"/>
        <v>#REF!</v>
      </c>
      <c r="N51" s="779" t="e">
        <f t="shared" si="9"/>
        <v>#REF!</v>
      </c>
      <c r="O51" s="779" t="e">
        <f t="shared" si="10"/>
        <v>#REF!</v>
      </c>
      <c r="P51" s="780" t="e">
        <f t="shared" si="5"/>
        <v>#REF!</v>
      </c>
      <c r="Q51" s="781" t="e">
        <f t="shared" si="11"/>
        <v>#REF!</v>
      </c>
      <c r="AA51" s="632"/>
    </row>
    <row r="52" spans="2:27" ht="16.5" customHeight="1" outlineLevel="3">
      <c r="B52" s="776" t="s">
        <v>1517</v>
      </c>
      <c r="C52" s="782"/>
      <c r="D52" s="796" t="s">
        <v>1518</v>
      </c>
      <c r="E52" s="665" t="s">
        <v>2220</v>
      </c>
      <c r="F52" s="648" t="s">
        <v>2219</v>
      </c>
      <c r="G52" s="791">
        <v>1</v>
      </c>
      <c r="H52" s="790" t="s">
        <v>143</v>
      </c>
      <c r="I52" s="672" t="e">
        <f t="shared" si="6"/>
        <v>#REF!</v>
      </c>
      <c r="J52" s="672">
        <v>10</v>
      </c>
      <c r="K52" s="778">
        <f t="shared" si="7"/>
        <v>8.5470085470085468</v>
      </c>
      <c r="L52" s="569">
        <v>0.17</v>
      </c>
      <c r="M52" s="779" t="e">
        <f t="shared" si="8"/>
        <v>#REF!</v>
      </c>
      <c r="N52" s="779" t="e">
        <f t="shared" si="9"/>
        <v>#REF!</v>
      </c>
      <c r="O52" s="779" t="e">
        <f t="shared" si="10"/>
        <v>#REF!</v>
      </c>
      <c r="P52" s="780" t="e">
        <f t="shared" si="5"/>
        <v>#REF!</v>
      </c>
      <c r="Q52" s="781" t="e">
        <f t="shared" si="11"/>
        <v>#REF!</v>
      </c>
      <c r="AA52" s="632"/>
    </row>
    <row r="53" spans="2:27" s="633" customFormat="1" ht="16.5" customHeight="1" outlineLevel="3">
      <c r="B53" s="776" t="s">
        <v>1519</v>
      </c>
      <c r="C53" s="792"/>
      <c r="D53" s="796" t="s">
        <v>1520</v>
      </c>
      <c r="E53" s="648" t="s">
        <v>1228</v>
      </c>
      <c r="F53" s="648" t="s">
        <v>2219</v>
      </c>
      <c r="G53" s="672">
        <v>1</v>
      </c>
      <c r="H53" s="787" t="s">
        <v>741</v>
      </c>
      <c r="I53" s="672" t="e">
        <f t="shared" si="6"/>
        <v>#REF!</v>
      </c>
      <c r="J53" s="672">
        <v>50</v>
      </c>
      <c r="K53" s="672">
        <f t="shared" si="7"/>
        <v>50</v>
      </c>
      <c r="L53" s="569">
        <v>0</v>
      </c>
      <c r="M53" s="779" t="e">
        <f t="shared" si="8"/>
        <v>#REF!</v>
      </c>
      <c r="N53" s="779" t="e">
        <f t="shared" si="9"/>
        <v>#REF!</v>
      </c>
      <c r="O53" s="779" t="e">
        <f t="shared" si="10"/>
        <v>#REF!</v>
      </c>
      <c r="P53" s="780" t="e">
        <f t="shared" si="5"/>
        <v>#REF!</v>
      </c>
      <c r="Q53" s="781" t="e">
        <f t="shared" si="11"/>
        <v>#REF!</v>
      </c>
    </row>
    <row r="54" spans="2:27" ht="16.5" customHeight="1" outlineLevel="3">
      <c r="B54" s="776" t="s">
        <v>1521</v>
      </c>
      <c r="C54" s="782"/>
      <c r="D54" s="796" t="s">
        <v>1522</v>
      </c>
      <c r="E54" s="665" t="s">
        <v>2220</v>
      </c>
      <c r="F54" s="648" t="s">
        <v>2219</v>
      </c>
      <c r="G54" s="791">
        <v>1</v>
      </c>
      <c r="H54" s="790" t="s">
        <v>741</v>
      </c>
      <c r="I54" s="672" t="e">
        <f>+H2</f>
        <v>#REF!</v>
      </c>
      <c r="J54" s="672">
        <v>400</v>
      </c>
      <c r="K54" s="778">
        <f t="shared" si="7"/>
        <v>341.88034188034192</v>
      </c>
      <c r="L54" s="569">
        <v>0.17</v>
      </c>
      <c r="M54" s="779" t="e">
        <f t="shared" si="8"/>
        <v>#REF!</v>
      </c>
      <c r="N54" s="779" t="e">
        <f t="shared" si="9"/>
        <v>#REF!</v>
      </c>
      <c r="O54" s="779" t="e">
        <f t="shared" si="10"/>
        <v>#REF!</v>
      </c>
      <c r="P54" s="780" t="e">
        <f t="shared" si="5"/>
        <v>#REF!</v>
      </c>
      <c r="Q54" s="781" t="e">
        <f t="shared" si="11"/>
        <v>#REF!</v>
      </c>
      <c r="AA54" s="632"/>
    </row>
    <row r="55" spans="2:27" ht="16.5" customHeight="1" outlineLevel="3">
      <c r="B55" s="776" t="s">
        <v>1523</v>
      </c>
      <c r="C55" s="782"/>
      <c r="D55" s="796" t="s">
        <v>1524</v>
      </c>
      <c r="E55" s="648" t="s">
        <v>1228</v>
      </c>
      <c r="F55" s="648" t="s">
        <v>2219</v>
      </c>
      <c r="G55" s="791">
        <v>1</v>
      </c>
      <c r="H55" s="790" t="s">
        <v>143</v>
      </c>
      <c r="I55" s="672" t="e">
        <f>$E$2*(1+$F$2)</f>
        <v>#REF!</v>
      </c>
      <c r="J55" s="672">
        <v>0</v>
      </c>
      <c r="K55" s="672"/>
      <c r="L55" s="569">
        <v>0.17</v>
      </c>
      <c r="M55" s="779" t="e">
        <f t="shared" si="8"/>
        <v>#REF!</v>
      </c>
      <c r="N55" s="779" t="e">
        <f t="shared" si="9"/>
        <v>#REF!</v>
      </c>
      <c r="O55" s="779" t="e">
        <f t="shared" si="10"/>
        <v>#REF!</v>
      </c>
      <c r="P55" s="780" t="e">
        <f t="shared" si="5"/>
        <v>#REF!</v>
      </c>
      <c r="Q55" s="781" t="e">
        <f t="shared" si="11"/>
        <v>#REF!</v>
      </c>
      <c r="AA55" s="632"/>
    </row>
    <row r="56" spans="2:27" ht="16.5" customHeight="1" outlineLevel="2">
      <c r="B56" s="776" t="s">
        <v>670</v>
      </c>
      <c r="C56" s="777" t="s">
        <v>2059</v>
      </c>
      <c r="D56" s="776" t="s">
        <v>2218</v>
      </c>
      <c r="E56" s="665"/>
      <c r="F56" s="665"/>
      <c r="G56" s="794"/>
      <c r="H56" s="795"/>
      <c r="I56" s="791"/>
      <c r="J56" s="791"/>
      <c r="K56" s="791"/>
      <c r="L56" s="788"/>
      <c r="M56" s="779" t="e">
        <f>SUBTOTAL(9,M57:M68)</f>
        <v>#REF!</v>
      </c>
      <c r="N56" s="779" t="e">
        <f>SUBTOTAL(9,N57:N68)</f>
        <v>#REF!</v>
      </c>
      <c r="O56" s="779" t="e">
        <f>SUBTOTAL(9,O57:O68)</f>
        <v>#REF!</v>
      </c>
      <c r="P56" s="780" t="e">
        <f t="shared" si="5"/>
        <v>#REF!</v>
      </c>
      <c r="Q56" s="511"/>
      <c r="AA56" s="632"/>
    </row>
    <row r="57" spans="2:27" ht="16.5" customHeight="1" outlineLevel="3">
      <c r="B57" s="776" t="s">
        <v>671</v>
      </c>
      <c r="C57" s="782" t="s">
        <v>39</v>
      </c>
      <c r="D57" s="776" t="s">
        <v>2217</v>
      </c>
      <c r="E57" s="665"/>
      <c r="F57" s="665"/>
      <c r="G57" s="791"/>
      <c r="H57" s="795"/>
      <c r="I57" s="791"/>
      <c r="J57" s="791"/>
      <c r="K57" s="798"/>
      <c r="L57" s="788"/>
      <c r="M57" s="779" t="e">
        <f>SUBTOTAL(9,M58:M59)</f>
        <v>#REF!</v>
      </c>
      <c r="N57" s="779" t="e">
        <f>SUBTOTAL(9,N58:N59)</f>
        <v>#REF!</v>
      </c>
      <c r="O57" s="779" t="e">
        <f>SUBTOTAL(9,O58:O59)</f>
        <v>#REF!</v>
      </c>
      <c r="P57" s="780" t="e">
        <f t="shared" si="5"/>
        <v>#REF!</v>
      </c>
      <c r="Q57" s="511"/>
      <c r="AA57" s="632"/>
    </row>
    <row r="58" spans="2:27" ht="16.5" customHeight="1" outlineLevel="3">
      <c r="B58" s="776" t="s">
        <v>2216</v>
      </c>
      <c r="C58" s="782"/>
      <c r="D58" s="796" t="s">
        <v>1525</v>
      </c>
      <c r="E58" s="665" t="s">
        <v>456</v>
      </c>
      <c r="F58" s="665" t="s">
        <v>2074</v>
      </c>
      <c r="G58" s="791">
        <v>4</v>
      </c>
      <c r="H58" s="795" t="s">
        <v>1920</v>
      </c>
      <c r="I58" s="791" t="e">
        <f>$I$2</f>
        <v>#REF!</v>
      </c>
      <c r="J58" s="791">
        <v>150000</v>
      </c>
      <c r="K58" s="778">
        <f>J58/(1+L58)</f>
        <v>128205.12820512822</v>
      </c>
      <c r="L58" s="569">
        <v>0.17</v>
      </c>
      <c r="M58" s="779" t="e">
        <f>G58*I58*K58/10000</f>
        <v>#REF!</v>
      </c>
      <c r="N58" s="779" t="e">
        <f>L58*M58</f>
        <v>#REF!</v>
      </c>
      <c r="O58" s="779" t="e">
        <f>M58+N58</f>
        <v>#REF!</v>
      </c>
      <c r="P58" s="780" t="e">
        <f t="shared" si="5"/>
        <v>#REF!</v>
      </c>
      <c r="Q58" s="511" t="e">
        <f>G58*I58*J58/10000-O58</f>
        <v>#REF!</v>
      </c>
      <c r="AA58" s="632"/>
    </row>
    <row r="59" spans="2:27" ht="16.5" customHeight="1" outlineLevel="3">
      <c r="B59" s="776" t="s">
        <v>1526</v>
      </c>
      <c r="C59" s="782"/>
      <c r="D59" s="796" t="s">
        <v>1527</v>
      </c>
      <c r="E59" s="799" t="s">
        <v>2215</v>
      </c>
      <c r="F59" s="665" t="s">
        <v>2074</v>
      </c>
      <c r="G59" s="791">
        <v>4</v>
      </c>
      <c r="H59" s="795" t="s">
        <v>1920</v>
      </c>
      <c r="I59" s="791" t="e">
        <f>$I$2</f>
        <v>#REF!</v>
      </c>
      <c r="J59" s="791">
        <v>600000</v>
      </c>
      <c r="K59" s="778">
        <f>J59/(1+L59)</f>
        <v>540540.54054054047</v>
      </c>
      <c r="L59" s="569">
        <v>0.11</v>
      </c>
      <c r="M59" s="779" t="e">
        <f>G59*I59*K59/10000</f>
        <v>#REF!</v>
      </c>
      <c r="N59" s="779" t="e">
        <f>L59*M59</f>
        <v>#REF!</v>
      </c>
      <c r="O59" s="779" t="e">
        <f>M59+N59</f>
        <v>#REF!</v>
      </c>
      <c r="P59" s="780" t="e">
        <f t="shared" si="5"/>
        <v>#REF!</v>
      </c>
      <c r="Q59" s="511" t="e">
        <f>G59*I59*J59/10000-O59</f>
        <v>#REF!</v>
      </c>
      <c r="AA59" s="632"/>
    </row>
    <row r="60" spans="2:27" ht="16.5" customHeight="1" outlineLevel="3">
      <c r="B60" s="776" t="s">
        <v>672</v>
      </c>
      <c r="C60" s="782" t="s">
        <v>39</v>
      </c>
      <c r="D60" s="776" t="s">
        <v>2198</v>
      </c>
      <c r="E60" s="665"/>
      <c r="F60" s="665"/>
      <c r="G60" s="791"/>
      <c r="H60" s="795"/>
      <c r="I60" s="791"/>
      <c r="J60" s="791"/>
      <c r="K60" s="798"/>
      <c r="L60" s="788"/>
      <c r="M60" s="779">
        <f>SUBTOTAL(9,M61:M62)</f>
        <v>0</v>
      </c>
      <c r="N60" s="779">
        <f>SUBTOTAL(9,N61:N62)</f>
        <v>0</v>
      </c>
      <c r="O60" s="779">
        <f>SUBTOTAL(9,O61:O62)</f>
        <v>0</v>
      </c>
      <c r="P60" s="780" t="e">
        <f t="shared" si="5"/>
        <v>#REF!</v>
      </c>
      <c r="Q60" s="511">
        <f>G60*I60*J60/10000-O60</f>
        <v>0</v>
      </c>
      <c r="AA60" s="632"/>
    </row>
    <row r="61" spans="2:27" ht="16.5" customHeight="1" outlineLevel="3">
      <c r="B61" s="776" t="s">
        <v>2197</v>
      </c>
      <c r="C61" s="782"/>
      <c r="D61" s="796" t="s">
        <v>2146</v>
      </c>
      <c r="E61" s="665" t="s">
        <v>1528</v>
      </c>
      <c r="F61" s="665"/>
      <c r="G61" s="791"/>
      <c r="H61" s="795"/>
      <c r="I61" s="791"/>
      <c r="J61" s="791"/>
      <c r="K61" s="798"/>
      <c r="L61" s="788"/>
      <c r="M61" s="779">
        <f>G61*I61*K61/10000</f>
        <v>0</v>
      </c>
      <c r="N61" s="779">
        <f>L61*M61</f>
        <v>0</v>
      </c>
      <c r="O61" s="779">
        <f>M61+N61</f>
        <v>0</v>
      </c>
      <c r="P61" s="780" t="e">
        <f t="shared" si="5"/>
        <v>#REF!</v>
      </c>
      <c r="Q61" s="511">
        <f>G61*I61*J61/10000-O61</f>
        <v>0</v>
      </c>
      <c r="AA61" s="632"/>
    </row>
    <row r="62" spans="2:27" ht="16.5" customHeight="1" outlineLevel="3">
      <c r="B62" s="776" t="s">
        <v>1529</v>
      </c>
      <c r="C62" s="782"/>
      <c r="D62" s="796" t="s">
        <v>2196</v>
      </c>
      <c r="E62" s="665" t="s">
        <v>1530</v>
      </c>
      <c r="F62" s="665"/>
      <c r="G62" s="791"/>
      <c r="H62" s="795"/>
      <c r="I62" s="791"/>
      <c r="J62" s="791"/>
      <c r="K62" s="798"/>
      <c r="L62" s="788"/>
      <c r="M62" s="779">
        <f>G62*I62*K62/10000</f>
        <v>0</v>
      </c>
      <c r="N62" s="779">
        <f>L62*M62</f>
        <v>0</v>
      </c>
      <c r="O62" s="779">
        <f>M62+N62</f>
        <v>0</v>
      </c>
      <c r="P62" s="780" t="e">
        <f t="shared" si="5"/>
        <v>#REF!</v>
      </c>
      <c r="Q62" s="511">
        <f>G62*I62*J62/10000-O62</f>
        <v>0</v>
      </c>
      <c r="AA62" s="632"/>
    </row>
    <row r="63" spans="2:27" ht="16.5" customHeight="1" outlineLevel="3">
      <c r="B63" s="776" t="s">
        <v>673</v>
      </c>
      <c r="C63" s="782" t="s">
        <v>39</v>
      </c>
      <c r="D63" s="776" t="s">
        <v>2195</v>
      </c>
      <c r="E63" s="648"/>
      <c r="F63" s="648"/>
      <c r="G63" s="791"/>
      <c r="H63" s="795"/>
      <c r="I63" s="672"/>
      <c r="J63" s="672"/>
      <c r="K63" s="791"/>
      <c r="L63" s="788"/>
      <c r="M63" s="779" t="e">
        <f>SUBTOTAL(9,M64:M65)</f>
        <v>#REF!</v>
      </c>
      <c r="N63" s="779" t="e">
        <f>SUBTOTAL(9,N64:N65)</f>
        <v>#REF!</v>
      </c>
      <c r="O63" s="779" t="e">
        <f>SUBTOTAL(9,O64:O65)</f>
        <v>#REF!</v>
      </c>
      <c r="P63" s="780" t="e">
        <f t="shared" si="5"/>
        <v>#REF!</v>
      </c>
      <c r="Q63" s="511"/>
      <c r="AA63" s="632"/>
    </row>
    <row r="64" spans="2:27" ht="16.5" customHeight="1" outlineLevel="3">
      <c r="B64" s="776" t="s">
        <v>2144</v>
      </c>
      <c r="C64" s="782"/>
      <c r="D64" s="796" t="s">
        <v>1531</v>
      </c>
      <c r="E64" s="648" t="s">
        <v>455</v>
      </c>
      <c r="F64" s="648" t="s">
        <v>657</v>
      </c>
      <c r="G64" s="791">
        <v>1</v>
      </c>
      <c r="H64" s="795" t="s">
        <v>143</v>
      </c>
      <c r="I64" s="672" t="e">
        <f>$E$2*(1+$F$2)</f>
        <v>#REF!</v>
      </c>
      <c r="J64" s="1035">
        <v>80</v>
      </c>
      <c r="K64" s="778">
        <f>J64/(1+L64)</f>
        <v>72.072072072072061</v>
      </c>
      <c r="L64" s="569">
        <v>0.11</v>
      </c>
      <c r="M64" s="779" t="e">
        <f>G64*I64*K64/10000</f>
        <v>#REF!</v>
      </c>
      <c r="N64" s="779" t="e">
        <f>L64*M64</f>
        <v>#REF!</v>
      </c>
      <c r="O64" s="779" t="e">
        <f>M64+N64</f>
        <v>#REF!</v>
      </c>
      <c r="P64" s="780" t="e">
        <f t="shared" si="5"/>
        <v>#REF!</v>
      </c>
      <c r="Q64" s="511" t="e">
        <f>G64*I64*J64/10000-O64</f>
        <v>#REF!</v>
      </c>
      <c r="AA64" s="632"/>
    </row>
    <row r="65" spans="2:27" ht="16.5" customHeight="1" outlineLevel="3">
      <c r="B65" s="776" t="s">
        <v>1532</v>
      </c>
      <c r="C65" s="782"/>
      <c r="D65" s="796" t="s">
        <v>1533</v>
      </c>
      <c r="E65" s="648" t="s">
        <v>455</v>
      </c>
      <c r="F65" s="648" t="s">
        <v>657</v>
      </c>
      <c r="G65" s="791">
        <v>1</v>
      </c>
      <c r="H65" s="795" t="s">
        <v>143</v>
      </c>
      <c r="I65" s="672" t="e">
        <f>$E$2*(1+$F$2)</f>
        <v>#REF!</v>
      </c>
      <c r="J65" s="672"/>
      <c r="K65" s="778">
        <f>J65/(1+L65)</f>
        <v>0</v>
      </c>
      <c r="L65" s="569">
        <v>0.17</v>
      </c>
      <c r="M65" s="779" t="e">
        <f>G65*I65*K65/10000</f>
        <v>#REF!</v>
      </c>
      <c r="N65" s="779" t="e">
        <f>L65*M65</f>
        <v>#REF!</v>
      </c>
      <c r="O65" s="779" t="e">
        <f>M65+N65</f>
        <v>#REF!</v>
      </c>
      <c r="P65" s="780" t="e">
        <f t="shared" si="5"/>
        <v>#REF!</v>
      </c>
      <c r="Q65" s="511" t="e">
        <f>G65*I65*J65/10000-O65</f>
        <v>#REF!</v>
      </c>
      <c r="AA65" s="632"/>
    </row>
    <row r="66" spans="2:27" ht="16.5" customHeight="1" outlineLevel="3">
      <c r="B66" s="776" t="s">
        <v>2194</v>
      </c>
      <c r="C66" s="782" t="s">
        <v>39</v>
      </c>
      <c r="D66" s="776" t="s">
        <v>2142</v>
      </c>
      <c r="E66" s="665"/>
      <c r="F66" s="665"/>
      <c r="G66" s="791">
        <v>1</v>
      </c>
      <c r="H66" s="795" t="s">
        <v>143</v>
      </c>
      <c r="I66" s="791"/>
      <c r="J66" s="791"/>
      <c r="K66" s="791"/>
      <c r="L66" s="788"/>
      <c r="M66" s="779" t="e">
        <f>SUBTOTAL(9,M67:M68)</f>
        <v>#REF!</v>
      </c>
      <c r="N66" s="779" t="e">
        <f>SUBTOTAL(9,N67:N68)</f>
        <v>#REF!</v>
      </c>
      <c r="O66" s="779" t="e">
        <f>SUBTOTAL(9,O67:O68)</f>
        <v>#REF!</v>
      </c>
      <c r="P66" s="780" t="e">
        <f t="shared" si="5"/>
        <v>#REF!</v>
      </c>
      <c r="Q66" s="511" t="e">
        <f>G66*I66*J66/10000-O66</f>
        <v>#REF!</v>
      </c>
      <c r="AA66" s="632"/>
    </row>
    <row r="67" spans="2:27" ht="16.5" customHeight="1" outlineLevel="3">
      <c r="B67" s="776" t="s">
        <v>2193</v>
      </c>
      <c r="C67" s="782"/>
      <c r="D67" s="796" t="s">
        <v>1534</v>
      </c>
      <c r="E67" s="665" t="s">
        <v>1535</v>
      </c>
      <c r="F67" s="648" t="s">
        <v>657</v>
      </c>
      <c r="G67" s="791">
        <v>1</v>
      </c>
      <c r="H67" s="795" t="s">
        <v>143</v>
      </c>
      <c r="I67" s="672" t="e">
        <f>$E$2*(1+$F$2)</f>
        <v>#REF!</v>
      </c>
      <c r="J67" s="1035"/>
      <c r="K67" s="791">
        <f>J67/(1+L67)</f>
        <v>0</v>
      </c>
      <c r="L67" s="569">
        <v>0.17</v>
      </c>
      <c r="M67" s="779" t="e">
        <f>G67*I67*K67/10000</f>
        <v>#REF!</v>
      </c>
      <c r="N67" s="779" t="e">
        <f>L67*M67</f>
        <v>#REF!</v>
      </c>
      <c r="O67" s="779" t="e">
        <f>M67+N67</f>
        <v>#REF!</v>
      </c>
      <c r="P67" s="780" t="e">
        <f t="shared" si="5"/>
        <v>#REF!</v>
      </c>
      <c r="Q67" s="511" t="e">
        <f>G67*I67*J67/10000-O67</f>
        <v>#REF!</v>
      </c>
      <c r="AA67" s="632"/>
    </row>
    <row r="68" spans="2:27" ht="16.5" customHeight="1" outlineLevel="3">
      <c r="B68" s="776" t="s">
        <v>2192</v>
      </c>
      <c r="C68" s="782"/>
      <c r="D68" s="796" t="s">
        <v>1536</v>
      </c>
      <c r="E68" s="648" t="s">
        <v>455</v>
      </c>
      <c r="F68" s="648" t="s">
        <v>657</v>
      </c>
      <c r="G68" s="791">
        <v>1</v>
      </c>
      <c r="H68" s="795" t="s">
        <v>143</v>
      </c>
      <c r="I68" s="672" t="e">
        <f>$E$2*(1+$F$2)</f>
        <v>#REF!</v>
      </c>
      <c r="J68" s="672">
        <v>50</v>
      </c>
      <c r="K68" s="791">
        <f>J68/(1+L68)</f>
        <v>45.045045045045043</v>
      </c>
      <c r="L68" s="569">
        <v>0.11</v>
      </c>
      <c r="M68" s="779" t="e">
        <f>G68*I68*K68/10000</f>
        <v>#REF!</v>
      </c>
      <c r="N68" s="779" t="e">
        <f>L68*M68</f>
        <v>#REF!</v>
      </c>
      <c r="O68" s="779" t="e">
        <f>M68+N68</f>
        <v>#REF!</v>
      </c>
      <c r="P68" s="780" t="e">
        <f t="shared" ref="P68:P99" si="12">IF(O68="","",O68*10000/E$2)</f>
        <v>#REF!</v>
      </c>
      <c r="Q68" s="511" t="e">
        <f>G68*I68*J68/10000-O68</f>
        <v>#REF!</v>
      </c>
      <c r="AA68" s="632"/>
    </row>
    <row r="69" spans="2:27" ht="16.5" customHeight="1">
      <c r="B69" s="480" t="s">
        <v>675</v>
      </c>
      <c r="C69" s="481" t="s">
        <v>34</v>
      </c>
      <c r="D69" s="480" t="s">
        <v>497</v>
      </c>
      <c r="E69" s="765"/>
      <c r="F69" s="765"/>
      <c r="G69" s="765"/>
      <c r="H69" s="800"/>
      <c r="I69" s="766"/>
      <c r="J69" s="766"/>
      <c r="K69" s="800"/>
      <c r="L69" s="767"/>
      <c r="M69" s="768" t="e">
        <f>SUBTOTAL(9,M70:M87)</f>
        <v>#REF!</v>
      </c>
      <c r="N69" s="768" t="e">
        <f>SUBTOTAL(9,N70:N87)</f>
        <v>#REF!</v>
      </c>
      <c r="O69" s="768" t="e">
        <f>SUBTOTAL(9,O70:O87)</f>
        <v>#REF!</v>
      </c>
      <c r="P69" s="769" t="e">
        <f t="shared" si="12"/>
        <v>#REF!</v>
      </c>
      <c r="Q69" s="801"/>
      <c r="AA69" s="632"/>
    </row>
    <row r="70" spans="2:27" ht="16.5" customHeight="1" outlineLevel="1">
      <c r="B70" s="802" t="s">
        <v>676</v>
      </c>
      <c r="C70" s="803">
        <v>1</v>
      </c>
      <c r="D70" s="802" t="s">
        <v>22</v>
      </c>
      <c r="E70" s="712"/>
      <c r="F70" s="712"/>
      <c r="G70" s="712"/>
      <c r="H70" s="772"/>
      <c r="I70" s="713"/>
      <c r="J70" s="713"/>
      <c r="K70" s="772"/>
      <c r="L70" s="588"/>
      <c r="M70" s="773" t="e">
        <f>SUBTOTAL(9,M71:M81)</f>
        <v>#REF!</v>
      </c>
      <c r="N70" s="773" t="e">
        <f>SUBTOTAL(9,N71:N81)</f>
        <v>#REF!</v>
      </c>
      <c r="O70" s="773" t="e">
        <f>SUBTOTAL(9,O71:O81)</f>
        <v>#REF!</v>
      </c>
      <c r="P70" s="774" t="e">
        <f t="shared" si="12"/>
        <v>#REF!</v>
      </c>
      <c r="Q70" s="775"/>
      <c r="R70" s="632">
        <v>700</v>
      </c>
      <c r="AA70" s="632"/>
    </row>
    <row r="71" spans="2:27" ht="16.5" customHeight="1" outlineLevel="2">
      <c r="B71" s="776" t="s">
        <v>677</v>
      </c>
      <c r="C71" s="777" t="s">
        <v>36</v>
      </c>
      <c r="D71" s="776" t="s">
        <v>1537</v>
      </c>
      <c r="E71" s="648" t="s">
        <v>1538</v>
      </c>
      <c r="F71" s="648" t="s">
        <v>657</v>
      </c>
      <c r="G71" s="791">
        <v>1</v>
      </c>
      <c r="H71" s="795" t="s">
        <v>143</v>
      </c>
      <c r="I71" s="672" t="e">
        <f t="shared" ref="I71:I81" si="13">$E$2*(1+$F$2)</f>
        <v>#REF!</v>
      </c>
      <c r="J71" s="672"/>
      <c r="K71" s="791">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t="e">
        <f t="shared" ref="Q71:Q87" si="18">G71*I71*J71/10000-O71</f>
        <v>#REF!</v>
      </c>
      <c r="AA71" s="632"/>
    </row>
    <row r="72" spans="2:27" ht="16.5" customHeight="1" outlineLevel="2">
      <c r="B72" s="776" t="s">
        <v>678</v>
      </c>
      <c r="C72" s="777" t="s">
        <v>68</v>
      </c>
      <c r="D72" s="776" t="s">
        <v>1539</v>
      </c>
      <c r="E72" s="648" t="s">
        <v>1540</v>
      </c>
      <c r="F72" s="648" t="s">
        <v>657</v>
      </c>
      <c r="G72" s="791">
        <v>1</v>
      </c>
      <c r="H72" s="795" t="s">
        <v>143</v>
      </c>
      <c r="I72" s="672" t="e">
        <f t="shared" si="13"/>
        <v>#REF!</v>
      </c>
      <c r="J72" s="672"/>
      <c r="K72" s="791">
        <f t="shared" si="14"/>
        <v>0</v>
      </c>
      <c r="L72" s="569">
        <v>0.17</v>
      </c>
      <c r="M72" s="779" t="e">
        <f t="shared" si="15"/>
        <v>#REF!</v>
      </c>
      <c r="N72" s="779" t="e">
        <f t="shared" si="16"/>
        <v>#REF!</v>
      </c>
      <c r="O72" s="779" t="e">
        <f t="shared" si="17"/>
        <v>#REF!</v>
      </c>
      <c r="P72" s="780" t="e">
        <f t="shared" si="12"/>
        <v>#REF!</v>
      </c>
      <c r="Q72" s="781" t="e">
        <f t="shared" si="18"/>
        <v>#REF!</v>
      </c>
      <c r="AA72" s="632"/>
    </row>
    <row r="73" spans="2:27" ht="16.5" customHeight="1" outlineLevel="2">
      <c r="B73" s="776" t="s">
        <v>679</v>
      </c>
      <c r="C73" s="777" t="s">
        <v>69</v>
      </c>
      <c r="D73" s="776" t="s">
        <v>1541</v>
      </c>
      <c r="E73" s="648" t="s">
        <v>1542</v>
      </c>
      <c r="F73" s="648" t="s">
        <v>657</v>
      </c>
      <c r="G73" s="791">
        <v>1</v>
      </c>
      <c r="H73" s="795" t="s">
        <v>143</v>
      </c>
      <c r="I73" s="672" t="e">
        <f t="shared" si="13"/>
        <v>#REF!</v>
      </c>
      <c r="J73" s="672"/>
      <c r="K73" s="791">
        <f t="shared" si="14"/>
        <v>0</v>
      </c>
      <c r="L73" s="569">
        <v>0.17</v>
      </c>
      <c r="M73" s="779" t="e">
        <f t="shared" si="15"/>
        <v>#REF!</v>
      </c>
      <c r="N73" s="779" t="e">
        <f t="shared" si="16"/>
        <v>#REF!</v>
      </c>
      <c r="O73" s="779" t="e">
        <f t="shared" si="17"/>
        <v>#REF!</v>
      </c>
      <c r="P73" s="780" t="e">
        <f t="shared" si="12"/>
        <v>#REF!</v>
      </c>
      <c r="Q73" s="781" t="e">
        <f t="shared" si="18"/>
        <v>#REF!</v>
      </c>
      <c r="AA73" s="632"/>
    </row>
    <row r="74" spans="2:27" ht="16.5" customHeight="1" outlineLevel="2">
      <c r="B74" s="776" t="s">
        <v>680</v>
      </c>
      <c r="C74" s="777" t="s">
        <v>70</v>
      </c>
      <c r="D74" s="776" t="s">
        <v>1543</v>
      </c>
      <c r="E74" s="648" t="s">
        <v>1544</v>
      </c>
      <c r="F74" s="648" t="s">
        <v>657</v>
      </c>
      <c r="G74" s="791">
        <v>1</v>
      </c>
      <c r="H74" s="795" t="s">
        <v>143</v>
      </c>
      <c r="I74" s="672" t="e">
        <f t="shared" si="13"/>
        <v>#REF!</v>
      </c>
      <c r="J74" s="672"/>
      <c r="K74" s="791">
        <f t="shared" si="14"/>
        <v>0</v>
      </c>
      <c r="L74" s="569">
        <v>0.17</v>
      </c>
      <c r="M74" s="779" t="e">
        <f t="shared" si="15"/>
        <v>#REF!</v>
      </c>
      <c r="N74" s="779" t="e">
        <f t="shared" si="16"/>
        <v>#REF!</v>
      </c>
      <c r="O74" s="779" t="e">
        <f t="shared" si="17"/>
        <v>#REF!</v>
      </c>
      <c r="P74" s="780" t="e">
        <f t="shared" si="12"/>
        <v>#REF!</v>
      </c>
      <c r="Q74" s="781" t="e">
        <f t="shared" si="18"/>
        <v>#REF!</v>
      </c>
      <c r="AA74" s="632"/>
    </row>
    <row r="75" spans="2:27" ht="16.5" customHeight="1" outlineLevel="2">
      <c r="B75" s="776" t="s">
        <v>681</v>
      </c>
      <c r="C75" s="777" t="s">
        <v>71</v>
      </c>
      <c r="D75" s="776" t="s">
        <v>1545</v>
      </c>
      <c r="E75" s="648" t="s">
        <v>450</v>
      </c>
      <c r="F75" s="648" t="s">
        <v>657</v>
      </c>
      <c r="G75" s="791">
        <v>1</v>
      </c>
      <c r="H75" s="795" t="s">
        <v>143</v>
      </c>
      <c r="I75" s="672" t="e">
        <f t="shared" si="13"/>
        <v>#REF!</v>
      </c>
      <c r="J75" s="672"/>
      <c r="K75" s="791">
        <f t="shared" si="14"/>
        <v>0</v>
      </c>
      <c r="L75" s="569">
        <v>0.17</v>
      </c>
      <c r="M75" s="779" t="e">
        <f t="shared" si="15"/>
        <v>#REF!</v>
      </c>
      <c r="N75" s="779" t="e">
        <f t="shared" si="16"/>
        <v>#REF!</v>
      </c>
      <c r="O75" s="779" t="e">
        <f t="shared" si="17"/>
        <v>#REF!</v>
      </c>
      <c r="P75" s="780" t="e">
        <f t="shared" si="12"/>
        <v>#REF!</v>
      </c>
      <c r="Q75" s="781" t="e">
        <f t="shared" si="18"/>
        <v>#REF!</v>
      </c>
      <c r="AA75" s="632"/>
    </row>
    <row r="76" spans="2:27" ht="16.5" customHeight="1" outlineLevel="2">
      <c r="B76" s="776" t="s">
        <v>682</v>
      </c>
      <c r="C76" s="777" t="s">
        <v>144</v>
      </c>
      <c r="D76" s="776" t="s">
        <v>1546</v>
      </c>
      <c r="E76" s="648" t="s">
        <v>452</v>
      </c>
      <c r="F76" s="648" t="s">
        <v>657</v>
      </c>
      <c r="G76" s="791">
        <v>1</v>
      </c>
      <c r="H76" s="795" t="s">
        <v>1928</v>
      </c>
      <c r="I76" s="672" t="e">
        <f t="shared" si="13"/>
        <v>#REF!</v>
      </c>
      <c r="J76" s="672">
        <v>0</v>
      </c>
      <c r="K76" s="791">
        <f t="shared" si="14"/>
        <v>0</v>
      </c>
      <c r="L76" s="569">
        <v>0.11</v>
      </c>
      <c r="M76" s="779" t="e">
        <f t="shared" si="15"/>
        <v>#REF!</v>
      </c>
      <c r="N76" s="779" t="e">
        <f t="shared" si="16"/>
        <v>#REF!</v>
      </c>
      <c r="O76" s="779" t="e">
        <f t="shared" si="17"/>
        <v>#REF!</v>
      </c>
      <c r="P76" s="780" t="e">
        <f t="shared" si="12"/>
        <v>#REF!</v>
      </c>
      <c r="Q76" s="781" t="e">
        <f t="shared" si="18"/>
        <v>#REF!</v>
      </c>
      <c r="AA76" s="632"/>
    </row>
    <row r="77" spans="2:27" ht="16.5" customHeight="1" outlineLevel="2">
      <c r="B77" s="776" t="s">
        <v>683</v>
      </c>
      <c r="C77" s="777" t="s">
        <v>72</v>
      </c>
      <c r="D77" s="776" t="s">
        <v>1547</v>
      </c>
      <c r="E77" s="648" t="s">
        <v>1548</v>
      </c>
      <c r="F77" s="648" t="s">
        <v>657</v>
      </c>
      <c r="G77" s="791">
        <v>1</v>
      </c>
      <c r="H77" s="795" t="s">
        <v>1929</v>
      </c>
      <c r="I77" s="672" t="e">
        <f t="shared" si="13"/>
        <v>#REF!</v>
      </c>
      <c r="J77" s="672"/>
      <c r="K77" s="791">
        <f t="shared" si="14"/>
        <v>0</v>
      </c>
      <c r="L77" s="569">
        <v>0.17</v>
      </c>
      <c r="M77" s="779" t="e">
        <f t="shared" si="15"/>
        <v>#REF!</v>
      </c>
      <c r="N77" s="779" t="e">
        <f t="shared" si="16"/>
        <v>#REF!</v>
      </c>
      <c r="O77" s="779" t="e">
        <f t="shared" si="17"/>
        <v>#REF!</v>
      </c>
      <c r="P77" s="780" t="e">
        <f t="shared" si="12"/>
        <v>#REF!</v>
      </c>
      <c r="Q77" s="781" t="e">
        <f t="shared" si="18"/>
        <v>#REF!</v>
      </c>
      <c r="AA77" s="632"/>
    </row>
    <row r="78" spans="2:27" ht="16.5" customHeight="1" outlineLevel="2">
      <c r="B78" s="776" t="s">
        <v>1549</v>
      </c>
      <c r="C78" s="777" t="s">
        <v>73</v>
      </c>
      <c r="D78" s="776" t="s">
        <v>1550</v>
      </c>
      <c r="E78" s="648" t="s">
        <v>1607</v>
      </c>
      <c r="F78" s="648" t="s">
        <v>657</v>
      </c>
      <c r="G78" s="791">
        <v>1</v>
      </c>
      <c r="H78" s="795" t="s">
        <v>1930</v>
      </c>
      <c r="I78" s="672" t="e">
        <f t="shared" si="13"/>
        <v>#REF!</v>
      </c>
      <c r="J78" s="672"/>
      <c r="K78" s="791">
        <f t="shared" si="14"/>
        <v>0</v>
      </c>
      <c r="L78" s="569">
        <v>0.17</v>
      </c>
      <c r="M78" s="779" t="e">
        <f t="shared" si="15"/>
        <v>#REF!</v>
      </c>
      <c r="N78" s="779" t="e">
        <f t="shared" si="16"/>
        <v>#REF!</v>
      </c>
      <c r="O78" s="779" t="e">
        <f t="shared" si="17"/>
        <v>#REF!</v>
      </c>
      <c r="P78" s="780" t="e">
        <f t="shared" si="12"/>
        <v>#REF!</v>
      </c>
      <c r="Q78" s="781" t="e">
        <f t="shared" si="18"/>
        <v>#REF!</v>
      </c>
      <c r="AA78" s="632"/>
    </row>
    <row r="79" spans="2:27" ht="16.5" customHeight="1" outlineLevel="2">
      <c r="B79" s="776" t="s">
        <v>684</v>
      </c>
      <c r="C79" s="777" t="s">
        <v>74</v>
      </c>
      <c r="D79" s="776" t="s">
        <v>1551</v>
      </c>
      <c r="E79" s="648" t="s">
        <v>457</v>
      </c>
      <c r="F79" s="648" t="s">
        <v>657</v>
      </c>
      <c r="G79" s="791">
        <v>1</v>
      </c>
      <c r="H79" s="795" t="s">
        <v>143</v>
      </c>
      <c r="I79" s="672" t="e">
        <f t="shared" si="13"/>
        <v>#REF!</v>
      </c>
      <c r="J79" s="672"/>
      <c r="K79" s="791">
        <f t="shared" si="14"/>
        <v>0</v>
      </c>
      <c r="L79" s="569">
        <v>0.17</v>
      </c>
      <c r="M79" s="779" t="e">
        <f t="shared" si="15"/>
        <v>#REF!</v>
      </c>
      <c r="N79" s="779" t="e">
        <f t="shared" si="16"/>
        <v>#REF!</v>
      </c>
      <c r="O79" s="779" t="e">
        <f t="shared" si="17"/>
        <v>#REF!</v>
      </c>
      <c r="P79" s="780" t="e">
        <f t="shared" si="12"/>
        <v>#REF!</v>
      </c>
      <c r="Q79" s="781" t="e">
        <f t="shared" si="18"/>
        <v>#REF!</v>
      </c>
      <c r="AA79" s="632"/>
    </row>
    <row r="80" spans="2:27" ht="16.5" customHeight="1" outlineLevel="2">
      <c r="B80" s="776" t="s">
        <v>685</v>
      </c>
      <c r="C80" s="777" t="s">
        <v>75</v>
      </c>
      <c r="D80" s="776" t="s">
        <v>1552</v>
      </c>
      <c r="E80" s="648" t="s">
        <v>1553</v>
      </c>
      <c r="F80" s="648" t="s">
        <v>657</v>
      </c>
      <c r="G80" s="791">
        <v>1</v>
      </c>
      <c r="H80" s="795" t="s">
        <v>143</v>
      </c>
      <c r="I80" s="672" t="e">
        <f t="shared" si="13"/>
        <v>#REF!</v>
      </c>
      <c r="J80" s="672"/>
      <c r="K80" s="791">
        <f t="shared" si="14"/>
        <v>0</v>
      </c>
      <c r="L80" s="569">
        <v>0.17</v>
      </c>
      <c r="M80" s="779" t="e">
        <f t="shared" si="15"/>
        <v>#REF!</v>
      </c>
      <c r="N80" s="779" t="e">
        <f t="shared" si="16"/>
        <v>#REF!</v>
      </c>
      <c r="O80" s="779" t="e">
        <f t="shared" si="17"/>
        <v>#REF!</v>
      </c>
      <c r="P80" s="780" t="e">
        <f t="shared" si="12"/>
        <v>#REF!</v>
      </c>
      <c r="Q80" s="781" t="e">
        <f t="shared" si="18"/>
        <v>#REF!</v>
      </c>
      <c r="AA80" s="632"/>
    </row>
    <row r="81" spans="2:27" ht="16.5" customHeight="1" outlineLevel="2">
      <c r="B81" s="776" t="s">
        <v>686</v>
      </c>
      <c r="C81" s="777" t="s">
        <v>146</v>
      </c>
      <c r="D81" s="776" t="s">
        <v>1554</v>
      </c>
      <c r="E81" s="648" t="s">
        <v>1608</v>
      </c>
      <c r="F81" s="648" t="s">
        <v>657</v>
      </c>
      <c r="G81" s="791">
        <v>1</v>
      </c>
      <c r="H81" s="795" t="s">
        <v>143</v>
      </c>
      <c r="I81" s="672" t="e">
        <f t="shared" si="13"/>
        <v>#REF!</v>
      </c>
      <c r="J81" s="672"/>
      <c r="K81" s="791">
        <f t="shared" si="14"/>
        <v>0</v>
      </c>
      <c r="L81" s="569">
        <v>0.17</v>
      </c>
      <c r="M81" s="779" t="e">
        <f t="shared" si="15"/>
        <v>#REF!</v>
      </c>
      <c r="N81" s="779" t="e">
        <f t="shared" si="16"/>
        <v>#REF!</v>
      </c>
      <c r="O81" s="779" t="e">
        <f t="shared" si="17"/>
        <v>#REF!</v>
      </c>
      <c r="P81" s="780" t="e">
        <f t="shared" si="12"/>
        <v>#REF!</v>
      </c>
      <c r="Q81" s="781" t="e">
        <f t="shared" si="18"/>
        <v>#REF!</v>
      </c>
      <c r="AA81" s="632"/>
    </row>
    <row r="82" spans="2:27" ht="25.5" customHeight="1" outlineLevel="1">
      <c r="B82" s="802" t="s">
        <v>687</v>
      </c>
      <c r="C82" s="803">
        <v>2</v>
      </c>
      <c r="D82" s="802" t="s">
        <v>688</v>
      </c>
      <c r="E82" s="712"/>
      <c r="F82" s="712"/>
      <c r="G82" s="712"/>
      <c r="H82" s="772"/>
      <c r="I82" s="713"/>
      <c r="J82" s="713"/>
      <c r="K82" s="772"/>
      <c r="L82" s="588"/>
      <c r="M82" s="773">
        <f>SUBTOTAL(9,M83:M85)</f>
        <v>0</v>
      </c>
      <c r="N82" s="773"/>
      <c r="O82" s="773"/>
      <c r="P82" s="774" t="str">
        <f t="shared" si="12"/>
        <v/>
      </c>
      <c r="Q82" s="775">
        <f t="shared" si="18"/>
        <v>0</v>
      </c>
      <c r="AA82" s="632"/>
    </row>
    <row r="83" spans="2:27"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2"/>
        <v/>
      </c>
      <c r="Q83" s="781">
        <f t="shared" si="18"/>
        <v>0</v>
      </c>
      <c r="AA83" s="632"/>
    </row>
    <row r="84" spans="2:27"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2"/>
        <v/>
      </c>
      <c r="Q84" s="781">
        <f t="shared" si="18"/>
        <v>0</v>
      </c>
      <c r="AA84" s="632"/>
    </row>
    <row r="85" spans="2:27"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2"/>
        <v/>
      </c>
      <c r="Q85" s="781">
        <f t="shared" si="1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2"/>
        <v/>
      </c>
      <c r="Q86" s="775">
        <f t="shared" si="1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2"/>
        <v/>
      </c>
      <c r="Q87" s="775">
        <f t="shared" si="18"/>
        <v>0</v>
      </c>
      <c r="AA87" s="632"/>
    </row>
    <row r="88" spans="2:27" ht="16.5" customHeight="1">
      <c r="B88" s="480" t="s">
        <v>699</v>
      </c>
      <c r="C88" s="481" t="s">
        <v>379</v>
      </c>
      <c r="D88" s="480" t="s">
        <v>498</v>
      </c>
      <c r="E88" s="765"/>
      <c r="F88" s="765"/>
      <c r="G88" s="765"/>
      <c r="H88" s="765"/>
      <c r="I88" s="766"/>
      <c r="J88" s="766"/>
      <c r="K88" s="765"/>
      <c r="L88" s="767"/>
      <c r="M88" s="768" t="e">
        <f>SUBTOTAL(9,M89:M167)</f>
        <v>#REF!</v>
      </c>
      <c r="N88" s="768" t="e">
        <f>SUBTOTAL(9,N89:N167)</f>
        <v>#REF!</v>
      </c>
      <c r="O88" s="768" t="e">
        <f>SUBTOTAL(9,O89:O167)</f>
        <v>#REF!</v>
      </c>
      <c r="P88" s="769" t="e">
        <f t="shared" si="12"/>
        <v>#REF!</v>
      </c>
      <c r="Q88" s="770"/>
      <c r="AA88" s="632"/>
    </row>
    <row r="89" spans="2:27" ht="16.5" customHeight="1" outlineLevel="1">
      <c r="B89" s="802" t="s">
        <v>499</v>
      </c>
      <c r="C89" s="803">
        <v>1</v>
      </c>
      <c r="D89" s="802" t="s">
        <v>35</v>
      </c>
      <c r="E89" s="712"/>
      <c r="F89" s="712"/>
      <c r="G89" s="712"/>
      <c r="H89" s="772"/>
      <c r="I89" s="713"/>
      <c r="J89" s="713"/>
      <c r="K89" s="772"/>
      <c r="L89" s="588"/>
      <c r="M89" s="773" t="e">
        <f>SUBTOTAL(9,M90:M128)</f>
        <v>#REF!</v>
      </c>
      <c r="N89" s="773" t="e">
        <f>SUBTOTAL(9,N90:N128)</f>
        <v>#REF!</v>
      </c>
      <c r="O89" s="773" t="e">
        <f>SUBTOTAL(9,O90:O128)</f>
        <v>#REF!</v>
      </c>
      <c r="P89" s="774" t="e">
        <f t="shared" si="12"/>
        <v>#REF!</v>
      </c>
      <c r="Q89" s="775"/>
      <c r="AA89" s="632"/>
    </row>
    <row r="90" spans="2:27" ht="16.5" customHeight="1" outlineLevel="2">
      <c r="B90" s="776" t="s">
        <v>700</v>
      </c>
      <c r="C90" s="777" t="s">
        <v>36</v>
      </c>
      <c r="D90" s="804" t="s">
        <v>701</v>
      </c>
      <c r="E90" s="648"/>
      <c r="F90" s="648"/>
      <c r="G90" s="787"/>
      <c r="H90" s="787"/>
      <c r="I90" s="672"/>
      <c r="J90" s="672"/>
      <c r="K90" s="681"/>
      <c r="L90" s="569"/>
      <c r="M90" s="779" t="e">
        <f>SUBTOTAL(9,M91:M110)</f>
        <v>#REF!</v>
      </c>
      <c r="N90" s="779" t="e">
        <f>SUBTOTAL(9,N91:N110)</f>
        <v>#REF!</v>
      </c>
      <c r="O90" s="779" t="e">
        <f>SUBTOTAL(9,O91:O110)</f>
        <v>#REF!</v>
      </c>
      <c r="P90" s="780" t="e">
        <f t="shared" si="12"/>
        <v>#REF!</v>
      </c>
      <c r="Q90" s="781"/>
      <c r="AA90" s="632"/>
    </row>
    <row r="91" spans="2:27" ht="16.5" customHeight="1" outlineLevel="3">
      <c r="B91" s="776" t="s">
        <v>702</v>
      </c>
      <c r="C91" s="782" t="s">
        <v>39</v>
      </c>
      <c r="D91" s="804" t="s">
        <v>1555</v>
      </c>
      <c r="E91" s="648"/>
      <c r="F91" s="648"/>
      <c r="G91" s="791"/>
      <c r="H91" s="805"/>
      <c r="I91" s="789"/>
      <c r="J91" s="789"/>
      <c r="K91" s="790"/>
      <c r="L91" s="658"/>
      <c r="M91" s="779" t="e">
        <f>SUBTOTAL(9,M92:M93)</f>
        <v>#REF!</v>
      </c>
      <c r="N91" s="779" t="e">
        <f>SUBTOTAL(9,N92:N93)</f>
        <v>#REF!</v>
      </c>
      <c r="O91" s="779" t="e">
        <f>SUBTOTAL(9,O92:O93)</f>
        <v>#REF!</v>
      </c>
      <c r="P91" s="780" t="e">
        <f t="shared" si="12"/>
        <v>#REF!</v>
      </c>
      <c r="Q91" s="806"/>
      <c r="AA91" s="632"/>
    </row>
    <row r="92" spans="2:27" ht="16.5" customHeight="1" outlineLevel="4">
      <c r="B92" s="776" t="s">
        <v>801</v>
      </c>
      <c r="C92" s="782"/>
      <c r="D92" s="807" t="s">
        <v>1556</v>
      </c>
      <c r="E92" s="648" t="s">
        <v>459</v>
      </c>
      <c r="F92" s="648" t="s">
        <v>657</v>
      </c>
      <c r="G92" s="1040">
        <v>1</v>
      </c>
      <c r="H92" s="805" t="s">
        <v>145</v>
      </c>
      <c r="I92" s="672" t="e">
        <f>$E$2*(1+$F$2)</f>
        <v>#REF!</v>
      </c>
      <c r="J92" s="672">
        <v>35</v>
      </c>
      <c r="K92" s="791">
        <f>J92/(1+L92)</f>
        <v>29.914529914529915</v>
      </c>
      <c r="L92" s="569">
        <v>0.17</v>
      </c>
      <c r="M92" s="779" t="e">
        <f>G92*I92*K92/10000</f>
        <v>#REF!</v>
      </c>
      <c r="N92" s="779" t="e">
        <f>L92*M92</f>
        <v>#REF!</v>
      </c>
      <c r="O92" s="779" t="e">
        <f>M92+N92</f>
        <v>#REF!</v>
      </c>
      <c r="P92" s="780" t="e">
        <f t="shared" si="12"/>
        <v>#REF!</v>
      </c>
      <c r="Q92" s="806" t="e">
        <f t="shared" ref="Q92:Q110" si="19">G92*I92*J92/10000-O92</f>
        <v>#REF!</v>
      </c>
      <c r="AA92" s="632"/>
    </row>
    <row r="93" spans="2:27" ht="16.5" customHeight="1" outlineLevel="4">
      <c r="B93" s="776" t="s">
        <v>703</v>
      </c>
      <c r="C93" s="782"/>
      <c r="D93" s="807" t="s">
        <v>1557</v>
      </c>
      <c r="E93" s="648" t="s">
        <v>1493</v>
      </c>
      <c r="F93" s="648" t="s">
        <v>657</v>
      </c>
      <c r="G93" s="1040">
        <v>1</v>
      </c>
      <c r="H93" s="805" t="s">
        <v>145</v>
      </c>
      <c r="I93" s="672" t="e">
        <f>$E$2*(1+$F$2)</f>
        <v>#REF!</v>
      </c>
      <c r="J93" s="672">
        <v>30</v>
      </c>
      <c r="K93" s="791">
        <f>J93/(1+L93)</f>
        <v>27.027027027027025</v>
      </c>
      <c r="L93" s="569">
        <v>0.11</v>
      </c>
      <c r="M93" s="779" t="e">
        <f>G93*I93*K93/10000</f>
        <v>#REF!</v>
      </c>
      <c r="N93" s="779" t="e">
        <f>L93*M93</f>
        <v>#REF!</v>
      </c>
      <c r="O93" s="779" t="e">
        <f>M93+N93</f>
        <v>#REF!</v>
      </c>
      <c r="P93" s="780" t="e">
        <f t="shared" si="12"/>
        <v>#REF!</v>
      </c>
      <c r="Q93" s="806" t="e">
        <f t="shared" si="19"/>
        <v>#REF!</v>
      </c>
      <c r="AA93" s="632"/>
    </row>
    <row r="94" spans="2:27" ht="16.5" customHeight="1" outlineLevel="3">
      <c r="B94" s="776" t="s">
        <v>1558</v>
      </c>
      <c r="C94" s="782" t="s">
        <v>39</v>
      </c>
      <c r="D94" s="804" t="s">
        <v>1559</v>
      </c>
      <c r="E94" s="665"/>
      <c r="F94" s="665"/>
      <c r="G94" s="809"/>
      <c r="H94" s="790"/>
      <c r="I94" s="789"/>
      <c r="J94" s="789"/>
      <c r="K94" s="790"/>
      <c r="L94" s="658"/>
      <c r="M94" s="779" t="e">
        <f>SUBTOTAL(9,M95:M98)</f>
        <v>#REF!</v>
      </c>
      <c r="N94" s="779" t="e">
        <f>SUBTOTAL(9,N95:N98)</f>
        <v>#REF!</v>
      </c>
      <c r="O94" s="779" t="e">
        <f>SUBTOTAL(9,O95:O98)</f>
        <v>#REF!</v>
      </c>
      <c r="P94" s="780" t="e">
        <f t="shared" si="12"/>
        <v>#REF!</v>
      </c>
      <c r="Q94" s="806" t="e">
        <f t="shared" si="19"/>
        <v>#REF!</v>
      </c>
      <c r="AA94" s="632"/>
    </row>
    <row r="95" spans="2:27" ht="16.5" customHeight="1" outlineLevel="4">
      <c r="B95" s="776" t="s">
        <v>802</v>
      </c>
      <c r="C95" s="782"/>
      <c r="D95" s="807" t="s">
        <v>1560</v>
      </c>
      <c r="E95" s="719" t="s">
        <v>1609</v>
      </c>
      <c r="F95" s="648" t="s">
        <v>657</v>
      </c>
      <c r="G95" s="809">
        <v>0.2</v>
      </c>
      <c r="H95" s="805" t="s">
        <v>145</v>
      </c>
      <c r="I95" s="672" t="e">
        <f>$E$2*(1+$F$2)</f>
        <v>#REF!</v>
      </c>
      <c r="J95" s="1035"/>
      <c r="K95" s="791">
        <f>J95/(1+L95)</f>
        <v>0</v>
      </c>
      <c r="L95" s="569">
        <v>0.11</v>
      </c>
      <c r="M95" s="779" t="e">
        <f>G95*I95*K95/10000</f>
        <v>#REF!</v>
      </c>
      <c r="N95" s="779" t="e">
        <f>L95*M95</f>
        <v>#REF!</v>
      </c>
      <c r="O95" s="779" t="e">
        <f>M95+N95</f>
        <v>#REF!</v>
      </c>
      <c r="P95" s="780" t="e">
        <f t="shared" si="12"/>
        <v>#REF!</v>
      </c>
      <c r="Q95" s="806" t="e">
        <f t="shared" si="19"/>
        <v>#REF!</v>
      </c>
      <c r="AA95" s="632"/>
    </row>
    <row r="96" spans="2:27" ht="16.5" customHeight="1" outlineLevel="4">
      <c r="B96" s="776" t="s">
        <v>704</v>
      </c>
      <c r="C96" s="782"/>
      <c r="D96" s="807" t="s">
        <v>1561</v>
      </c>
      <c r="E96" s="719" t="s">
        <v>1609</v>
      </c>
      <c r="F96" s="648" t="s">
        <v>657</v>
      </c>
      <c r="G96" s="809">
        <v>0</v>
      </c>
      <c r="H96" s="805" t="s">
        <v>145</v>
      </c>
      <c r="I96" s="672" t="e">
        <f>$E$2*(1+$F$2)</f>
        <v>#REF!</v>
      </c>
      <c r="J96" s="672"/>
      <c r="K96" s="791">
        <f>J96/(1+L96)</f>
        <v>0</v>
      </c>
      <c r="L96" s="569">
        <v>0.11</v>
      </c>
      <c r="M96" s="779" t="e">
        <f>G96*I96*K96/10000</f>
        <v>#REF!</v>
      </c>
      <c r="N96" s="779" t="e">
        <f>L96*M96</f>
        <v>#REF!</v>
      </c>
      <c r="O96" s="779" t="e">
        <f>M96+N96</f>
        <v>#REF!</v>
      </c>
      <c r="P96" s="780" t="e">
        <f t="shared" si="12"/>
        <v>#REF!</v>
      </c>
      <c r="Q96" s="806" t="e">
        <f t="shared" si="19"/>
        <v>#REF!</v>
      </c>
      <c r="AA96" s="632"/>
    </row>
    <row r="97" spans="2:27" ht="16.5" customHeight="1" outlineLevel="4">
      <c r="B97" s="776" t="s">
        <v>1562</v>
      </c>
      <c r="C97" s="782"/>
      <c r="D97" s="807" t="s">
        <v>1563</v>
      </c>
      <c r="E97" s="719" t="s">
        <v>1609</v>
      </c>
      <c r="F97" s="648" t="s">
        <v>657</v>
      </c>
      <c r="G97" s="809">
        <v>0</v>
      </c>
      <c r="H97" s="805" t="s">
        <v>145</v>
      </c>
      <c r="I97" s="672" t="e">
        <f>$E$2*(1+$F$2)</f>
        <v>#REF!</v>
      </c>
      <c r="J97" s="672"/>
      <c r="K97" s="791">
        <f>J97/(1+L97)</f>
        <v>0</v>
      </c>
      <c r="L97" s="569">
        <v>0.11</v>
      </c>
      <c r="M97" s="779" t="e">
        <f>G97*I97*K97/10000</f>
        <v>#REF!</v>
      </c>
      <c r="N97" s="779" t="e">
        <f>L97*M97</f>
        <v>#REF!</v>
      </c>
      <c r="O97" s="779" t="e">
        <f>M97+N97</f>
        <v>#REF!</v>
      </c>
      <c r="P97" s="780" t="e">
        <f t="shared" si="12"/>
        <v>#REF!</v>
      </c>
      <c r="Q97" s="806" t="e">
        <f t="shared" si="19"/>
        <v>#REF!</v>
      </c>
      <c r="AA97" s="632"/>
    </row>
    <row r="98" spans="2:27" ht="16.5" customHeight="1" outlineLevel="4">
      <c r="B98" s="776" t="s">
        <v>1564</v>
      </c>
      <c r="C98" s="782"/>
      <c r="D98" s="807" t="s">
        <v>1565</v>
      </c>
      <c r="E98" s="719" t="s">
        <v>1609</v>
      </c>
      <c r="F98" s="648" t="s">
        <v>657</v>
      </c>
      <c r="G98" s="809">
        <v>0.1</v>
      </c>
      <c r="H98" s="805" t="s">
        <v>145</v>
      </c>
      <c r="I98" s="672" t="e">
        <f>$E$2*(1+$F$2)</f>
        <v>#REF!</v>
      </c>
      <c r="J98" s="1035"/>
      <c r="K98" s="791">
        <f>J98/(1+L98)</f>
        <v>0</v>
      </c>
      <c r="L98" s="569">
        <v>0.11</v>
      </c>
      <c r="M98" s="779" t="e">
        <f>G98*I98*K98/10000</f>
        <v>#REF!</v>
      </c>
      <c r="N98" s="779" t="e">
        <f>L98*M98</f>
        <v>#REF!</v>
      </c>
      <c r="O98" s="779" t="e">
        <f>M98+N98</f>
        <v>#REF!</v>
      </c>
      <c r="P98" s="780" t="e">
        <f t="shared" si="12"/>
        <v>#REF!</v>
      </c>
      <c r="Q98" s="806" t="e">
        <f t="shared" si="19"/>
        <v>#REF!</v>
      </c>
      <c r="AA98" s="632"/>
    </row>
    <row r="99" spans="2:27" ht="16.5" customHeight="1" outlineLevel="3">
      <c r="B99" s="776" t="s">
        <v>1566</v>
      </c>
      <c r="C99" s="782" t="s">
        <v>39</v>
      </c>
      <c r="D99" s="804" t="s">
        <v>1567</v>
      </c>
      <c r="E99" s="665"/>
      <c r="F99" s="665"/>
      <c r="G99" s="809"/>
      <c r="H99" s="790"/>
      <c r="I99" s="789"/>
      <c r="J99" s="789"/>
      <c r="K99" s="790"/>
      <c r="L99" s="658"/>
      <c r="M99" s="779" t="e">
        <f>SUBTOTAL(9,M100:M101)</f>
        <v>#REF!</v>
      </c>
      <c r="N99" s="779" t="e">
        <f>SUBTOTAL(9,N100:N101)</f>
        <v>#REF!</v>
      </c>
      <c r="O99" s="779" t="e">
        <f>SUBTOTAL(9,O100:O101)</f>
        <v>#REF!</v>
      </c>
      <c r="P99" s="780" t="e">
        <f t="shared" si="12"/>
        <v>#REF!</v>
      </c>
      <c r="Q99" s="806" t="e">
        <f t="shared" si="19"/>
        <v>#REF!</v>
      </c>
      <c r="AA99" s="632"/>
    </row>
    <row r="100" spans="2:27" ht="16.5" customHeight="1" outlineLevel="4">
      <c r="B100" s="776" t="s">
        <v>1568</v>
      </c>
      <c r="C100" s="782"/>
      <c r="D100" s="807" t="s">
        <v>1569</v>
      </c>
      <c r="E100" s="665" t="s">
        <v>469</v>
      </c>
      <c r="F100" s="648" t="s">
        <v>657</v>
      </c>
      <c r="G100" s="809"/>
      <c r="H100" s="805" t="s">
        <v>145</v>
      </c>
      <c r="I100" s="672" t="e">
        <f>$E$2*(1+$F$2)</f>
        <v>#REF!</v>
      </c>
      <c r="J100" s="672"/>
      <c r="K100" s="791">
        <f>J100/(1+L100)</f>
        <v>0</v>
      </c>
      <c r="L100" s="569">
        <v>0.17</v>
      </c>
      <c r="M100" s="779" t="e">
        <f>G100*I100*K100/10000</f>
        <v>#REF!</v>
      </c>
      <c r="N100" s="779" t="e">
        <f>L100*M100</f>
        <v>#REF!</v>
      </c>
      <c r="O100" s="779" t="e">
        <f>M100+N100</f>
        <v>#REF!</v>
      </c>
      <c r="P100" s="780" t="e">
        <f t="shared" ref="P100:P131" si="20">IF(O100="","",O100*10000/E$2)</f>
        <v>#REF!</v>
      </c>
      <c r="Q100" s="806" t="e">
        <f t="shared" si="19"/>
        <v>#REF!</v>
      </c>
      <c r="AA100" s="632"/>
    </row>
    <row r="101" spans="2:27" ht="16.5" customHeight="1" outlineLevel="4">
      <c r="B101" s="776" t="s">
        <v>1570</v>
      </c>
      <c r="C101" s="782"/>
      <c r="D101" s="807" t="s">
        <v>1571</v>
      </c>
      <c r="E101" s="665" t="s">
        <v>1228</v>
      </c>
      <c r="F101" s="648" t="s">
        <v>657</v>
      </c>
      <c r="G101" s="809"/>
      <c r="H101" s="805" t="s">
        <v>145</v>
      </c>
      <c r="I101" s="672" t="e">
        <f>$E$2*(1+$F$2)</f>
        <v>#REF!</v>
      </c>
      <c r="J101" s="672"/>
      <c r="K101" s="791">
        <f>J101/(1+L101)</f>
        <v>0</v>
      </c>
      <c r="L101" s="569">
        <v>0.11</v>
      </c>
      <c r="M101" s="779" t="e">
        <f>G101*I101*K101/10000</f>
        <v>#REF!</v>
      </c>
      <c r="N101" s="779" t="e">
        <f>L101*M101</f>
        <v>#REF!</v>
      </c>
      <c r="O101" s="779" t="e">
        <f>M101+N101</f>
        <v>#REF!</v>
      </c>
      <c r="P101" s="780" t="e">
        <f t="shared" si="20"/>
        <v>#REF!</v>
      </c>
      <c r="Q101" s="806" t="e">
        <f t="shared" si="19"/>
        <v>#REF!</v>
      </c>
      <c r="AA101" s="632"/>
    </row>
    <row r="102" spans="2:27" ht="16.5" customHeight="1" outlineLevel="3">
      <c r="B102" s="776" t="s">
        <v>1572</v>
      </c>
      <c r="C102" s="782" t="s">
        <v>39</v>
      </c>
      <c r="D102" s="804" t="s">
        <v>1573</v>
      </c>
      <c r="E102" s="665"/>
      <c r="F102" s="665"/>
      <c r="G102" s="809"/>
      <c r="H102" s="790"/>
      <c r="I102" s="672"/>
      <c r="J102" s="672"/>
      <c r="K102" s="790"/>
      <c r="L102" s="569"/>
      <c r="M102" s="779" t="e">
        <f>SUBTOTAL(9,M103:M104)</f>
        <v>#REF!</v>
      </c>
      <c r="N102" s="779" t="e">
        <f>SUBTOTAL(9,N103:N104)</f>
        <v>#REF!</v>
      </c>
      <c r="O102" s="779" t="e">
        <f>SUBTOTAL(9,O103:O104)</f>
        <v>#REF!</v>
      </c>
      <c r="P102" s="780" t="e">
        <f t="shared" si="20"/>
        <v>#REF!</v>
      </c>
      <c r="Q102" s="806" t="e">
        <f t="shared" si="19"/>
        <v>#REF!</v>
      </c>
      <c r="AA102" s="632"/>
    </row>
    <row r="103" spans="2:27" ht="16.5" customHeight="1" outlineLevel="4">
      <c r="B103" s="776" t="s">
        <v>1574</v>
      </c>
      <c r="C103" s="782"/>
      <c r="D103" s="804" t="s">
        <v>1575</v>
      </c>
      <c r="E103" s="665" t="s">
        <v>468</v>
      </c>
      <c r="F103" s="648" t="s">
        <v>657</v>
      </c>
      <c r="G103" s="809"/>
      <c r="H103" s="805" t="s">
        <v>143</v>
      </c>
      <c r="I103" s="672" t="e">
        <f>$E$2*(1+$F$2)</f>
        <v>#REF!</v>
      </c>
      <c r="J103" s="672"/>
      <c r="K103" s="791">
        <f t="shared" ref="K103:K109" si="21">J103/(1+L103)</f>
        <v>0</v>
      </c>
      <c r="L103" s="569">
        <v>0.11</v>
      </c>
      <c r="M103" s="779" t="e">
        <f t="shared" ref="M103:M110" si="22">G103*I103*K103/10000</f>
        <v>#REF!</v>
      </c>
      <c r="N103" s="779" t="e">
        <f t="shared" ref="N103:N110" si="23">L103*M103</f>
        <v>#REF!</v>
      </c>
      <c r="O103" s="779" t="e">
        <f t="shared" ref="O103:O110" si="24">M103+N103</f>
        <v>#REF!</v>
      </c>
      <c r="P103" s="780" t="e">
        <f t="shared" si="20"/>
        <v>#REF!</v>
      </c>
      <c r="Q103" s="806" t="e">
        <f t="shared" si="19"/>
        <v>#REF!</v>
      </c>
      <c r="AA103" s="632"/>
    </row>
    <row r="104" spans="2:27" ht="16.5" customHeight="1" outlineLevel="4">
      <c r="B104" s="776" t="s">
        <v>1576</v>
      </c>
      <c r="C104" s="782"/>
      <c r="D104" s="804" t="s">
        <v>1577</v>
      </c>
      <c r="E104" s="665" t="s">
        <v>468</v>
      </c>
      <c r="F104" s="648" t="s">
        <v>657</v>
      </c>
      <c r="G104" s="809"/>
      <c r="H104" s="805" t="s">
        <v>143</v>
      </c>
      <c r="I104" s="672" t="e">
        <f>$E$2*(1+$F$2)</f>
        <v>#REF!</v>
      </c>
      <c r="J104" s="672"/>
      <c r="K104" s="791">
        <f t="shared" si="21"/>
        <v>0</v>
      </c>
      <c r="L104" s="569">
        <v>0.11</v>
      </c>
      <c r="M104" s="779" t="e">
        <f t="shared" si="22"/>
        <v>#REF!</v>
      </c>
      <c r="N104" s="779" t="e">
        <f t="shared" si="23"/>
        <v>#REF!</v>
      </c>
      <c r="O104" s="779" t="e">
        <f t="shared" si="24"/>
        <v>#REF!</v>
      </c>
      <c r="P104" s="780" t="e">
        <f t="shared" si="20"/>
        <v>#REF!</v>
      </c>
      <c r="Q104" s="806" t="e">
        <f t="shared" si="19"/>
        <v>#REF!</v>
      </c>
      <c r="AA104" s="632"/>
    </row>
    <row r="105" spans="2:27" ht="16.5"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20"/>
        <v>#REF!</v>
      </c>
      <c r="Q105" s="806">
        <f t="shared" si="19"/>
        <v>0</v>
      </c>
      <c r="AA105" s="632"/>
    </row>
    <row r="106" spans="2:27" ht="16.5" customHeight="1" outlineLevel="3">
      <c r="B106" s="776" t="s">
        <v>705</v>
      </c>
      <c r="C106" s="782" t="s">
        <v>39</v>
      </c>
      <c r="D106" s="804" t="s">
        <v>708</v>
      </c>
      <c r="E106" s="648" t="s">
        <v>1580</v>
      </c>
      <c r="F106" s="665" t="s">
        <v>18</v>
      </c>
      <c r="G106" s="810">
        <v>1</v>
      </c>
      <c r="H106" s="795" t="s">
        <v>2942</v>
      </c>
      <c r="I106" s="789" t="e">
        <f>I2</f>
        <v>#REF!</v>
      </c>
      <c r="J106" s="789">
        <v>5000</v>
      </c>
      <c r="K106" s="791">
        <f t="shared" si="21"/>
        <v>4504.5045045045044</v>
      </c>
      <c r="L106" s="569">
        <v>0.11</v>
      </c>
      <c r="M106" s="779" t="e">
        <f t="shared" si="22"/>
        <v>#REF!</v>
      </c>
      <c r="N106" s="779" t="e">
        <f t="shared" si="23"/>
        <v>#REF!</v>
      </c>
      <c r="O106" s="779" t="e">
        <f t="shared" si="24"/>
        <v>#REF!</v>
      </c>
      <c r="P106" s="780" t="e">
        <f t="shared" si="20"/>
        <v>#REF!</v>
      </c>
      <c r="Q106" s="806" t="e">
        <f t="shared" si="19"/>
        <v>#REF!</v>
      </c>
      <c r="AA106" s="632"/>
    </row>
    <row r="107" spans="2:27" ht="16.5" customHeight="1" outlineLevel="3">
      <c r="B107" s="776" t="s">
        <v>706</v>
      </c>
      <c r="C107" s="782" t="s">
        <v>39</v>
      </c>
      <c r="D107" s="804" t="s">
        <v>1581</v>
      </c>
      <c r="E107" s="648" t="s">
        <v>1606</v>
      </c>
      <c r="F107" s="648" t="s">
        <v>657</v>
      </c>
      <c r="G107" s="809">
        <v>1</v>
      </c>
      <c r="H107" s="805" t="s">
        <v>145</v>
      </c>
      <c r="I107" s="672" t="e">
        <f>$E$2*(1+$F$2)</f>
        <v>#REF!</v>
      </c>
      <c r="J107" s="672"/>
      <c r="K107" s="791">
        <f t="shared" si="21"/>
        <v>0</v>
      </c>
      <c r="L107" s="569">
        <v>0.11</v>
      </c>
      <c r="M107" s="779" t="e">
        <f t="shared" si="22"/>
        <v>#REF!</v>
      </c>
      <c r="N107" s="779" t="e">
        <f t="shared" si="23"/>
        <v>#REF!</v>
      </c>
      <c r="O107" s="779" t="e">
        <f t="shared" si="24"/>
        <v>#REF!</v>
      </c>
      <c r="P107" s="780" t="e">
        <f t="shared" si="20"/>
        <v>#REF!</v>
      </c>
      <c r="Q107" s="806" t="e">
        <f t="shared" si="19"/>
        <v>#REF!</v>
      </c>
      <c r="AA107" s="632"/>
    </row>
    <row r="108" spans="2:27" ht="16.5" customHeight="1" outlineLevel="3">
      <c r="B108" s="776" t="s">
        <v>707</v>
      </c>
      <c r="C108" s="782" t="s">
        <v>39</v>
      </c>
      <c r="D108" s="804" t="s">
        <v>1582</v>
      </c>
      <c r="E108" s="648" t="s">
        <v>1606</v>
      </c>
      <c r="F108" s="665" t="s">
        <v>18</v>
      </c>
      <c r="G108" s="811">
        <v>0</v>
      </c>
      <c r="H108" s="805" t="s">
        <v>1921</v>
      </c>
      <c r="I108" s="672" t="e">
        <f>$I$2</f>
        <v>#REF!</v>
      </c>
      <c r="J108" s="672"/>
      <c r="K108" s="791">
        <f t="shared" si="21"/>
        <v>0</v>
      </c>
      <c r="L108" s="569">
        <v>0.11</v>
      </c>
      <c r="M108" s="779" t="e">
        <f t="shared" si="22"/>
        <v>#REF!</v>
      </c>
      <c r="N108" s="779" t="e">
        <f t="shared" si="23"/>
        <v>#REF!</v>
      </c>
      <c r="O108" s="779" t="e">
        <f t="shared" si="24"/>
        <v>#REF!</v>
      </c>
      <c r="P108" s="780" t="e">
        <f t="shared" si="20"/>
        <v>#REF!</v>
      </c>
      <c r="Q108" s="781" t="e">
        <f t="shared" si="19"/>
        <v>#REF!</v>
      </c>
      <c r="AA108" s="632"/>
    </row>
    <row r="109" spans="2:27" ht="16.5" customHeight="1" outlineLevel="3">
      <c r="B109" s="776" t="s">
        <v>709</v>
      </c>
      <c r="C109" s="782" t="s">
        <v>39</v>
      </c>
      <c r="D109" s="804" t="s">
        <v>97</v>
      </c>
      <c r="E109" s="648" t="s">
        <v>470</v>
      </c>
      <c r="F109" s="648" t="s">
        <v>657</v>
      </c>
      <c r="G109" s="808">
        <v>1</v>
      </c>
      <c r="H109" s="805" t="s">
        <v>143</v>
      </c>
      <c r="I109" s="672" t="e">
        <f>$E$2*(1+$F$2)</f>
        <v>#REF!</v>
      </c>
      <c r="J109" s="672">
        <v>10</v>
      </c>
      <c r="K109" s="791">
        <f t="shared" si="21"/>
        <v>9.0090090090090076</v>
      </c>
      <c r="L109" s="620">
        <v>0.11</v>
      </c>
      <c r="M109" s="779" t="e">
        <f t="shared" si="22"/>
        <v>#REF!</v>
      </c>
      <c r="N109" s="779" t="e">
        <f t="shared" si="23"/>
        <v>#REF!</v>
      </c>
      <c r="O109" s="779" t="e">
        <f t="shared" si="24"/>
        <v>#REF!</v>
      </c>
      <c r="P109" s="780" t="e">
        <f t="shared" si="20"/>
        <v>#REF!</v>
      </c>
      <c r="Q109" s="781" t="e">
        <f t="shared" si="19"/>
        <v>#REF!</v>
      </c>
      <c r="AA109" s="632"/>
    </row>
    <row r="110" spans="2:27" ht="16.5"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20"/>
        <v>#REF!</v>
      </c>
      <c r="Q110" s="781">
        <f t="shared" si="19"/>
        <v>0</v>
      </c>
      <c r="AA110" s="632"/>
    </row>
    <row r="111" spans="2:27" ht="16.5" customHeight="1" outlineLevel="2">
      <c r="B111" s="776" t="s">
        <v>712</v>
      </c>
      <c r="C111" s="777" t="s">
        <v>33</v>
      </c>
      <c r="D111" s="804" t="s">
        <v>713</v>
      </c>
      <c r="E111" s="648"/>
      <c r="F111" s="648"/>
      <c r="G111" s="787"/>
      <c r="H111" s="787"/>
      <c r="I111" s="672"/>
      <c r="J111" s="672"/>
      <c r="K111" s="681"/>
      <c r="L111" s="569"/>
      <c r="M111" s="779" t="e">
        <f>SUBTOTAL(9,M112:M116)</f>
        <v>#REF!</v>
      </c>
      <c r="N111" s="779" t="e">
        <f>SUBTOTAL(9,N112:N116)</f>
        <v>#REF!</v>
      </c>
      <c r="O111" s="779" t="e">
        <f>SUBTOTAL(9,O112:O116)</f>
        <v>#REF!</v>
      </c>
      <c r="P111" s="780" t="e">
        <f t="shared" si="20"/>
        <v>#REF!</v>
      </c>
      <c r="Q111" s="781"/>
      <c r="AA111" s="632"/>
    </row>
    <row r="112" spans="2:27" ht="16.5" customHeight="1" outlineLevel="3">
      <c r="B112" s="776" t="s">
        <v>714</v>
      </c>
      <c r="C112" s="782" t="s">
        <v>39</v>
      </c>
      <c r="D112" s="804" t="s">
        <v>715</v>
      </c>
      <c r="E112" s="665" t="s">
        <v>1583</v>
      </c>
      <c r="F112" s="665" t="s">
        <v>803</v>
      </c>
      <c r="G112" s="813">
        <v>14</v>
      </c>
      <c r="H112" s="805" t="s">
        <v>1922</v>
      </c>
      <c r="I112" s="672" t="e">
        <f>($K$2+1)*$I$2</f>
        <v>#REF!</v>
      </c>
      <c r="J112" s="672">
        <v>150</v>
      </c>
      <c r="K112" s="791">
        <f>J112/(1+L112)</f>
        <v>135.13513513513513</v>
      </c>
      <c r="L112" s="620">
        <v>0.11</v>
      </c>
      <c r="M112" s="779" t="e">
        <f>G112*I112*K112/10000</f>
        <v>#REF!</v>
      </c>
      <c r="N112" s="779" t="e">
        <f>L112*M112</f>
        <v>#REF!</v>
      </c>
      <c r="O112" s="779" t="e">
        <f>M112+N112</f>
        <v>#REF!</v>
      </c>
      <c r="P112" s="780" t="e">
        <f t="shared" si="20"/>
        <v>#REF!</v>
      </c>
      <c r="Q112" s="781" t="e">
        <f>G112*I112*J112/10000-O112</f>
        <v>#REF!</v>
      </c>
      <c r="AA112" s="632"/>
    </row>
    <row r="113" spans="2:27" ht="16.5" customHeight="1" outlineLevel="3">
      <c r="B113" s="776" t="s">
        <v>717</v>
      </c>
      <c r="C113" s="782" t="s">
        <v>39</v>
      </c>
      <c r="D113" s="804" t="s">
        <v>1584</v>
      </c>
      <c r="E113" s="665" t="s">
        <v>1583</v>
      </c>
      <c r="F113" s="665" t="s">
        <v>114</v>
      </c>
      <c r="G113" s="813">
        <v>5</v>
      </c>
      <c r="H113" s="805"/>
      <c r="I113" s="672" t="e">
        <f>I112</f>
        <v>#REF!</v>
      </c>
      <c r="J113" s="672"/>
      <c r="K113" s="791">
        <f>J113/(1+L113)</f>
        <v>0</v>
      </c>
      <c r="L113" s="569">
        <v>0.11</v>
      </c>
      <c r="M113" s="779" t="e">
        <f>G113*I113*K113/10000</f>
        <v>#REF!</v>
      </c>
      <c r="N113" s="779" t="e">
        <f>L113*M113</f>
        <v>#REF!</v>
      </c>
      <c r="O113" s="779" t="e">
        <f>M113+N113</f>
        <v>#REF!</v>
      </c>
      <c r="P113" s="780" t="e">
        <f t="shared" si="20"/>
        <v>#REF!</v>
      </c>
      <c r="Q113" s="781" t="e">
        <f>G113*I113*J113/10000-O113</f>
        <v>#REF!</v>
      </c>
      <c r="AA113" s="632"/>
    </row>
    <row r="114" spans="2:27" ht="16.5" customHeight="1" outlineLevel="3">
      <c r="B114" s="776" t="s">
        <v>718</v>
      </c>
      <c r="C114" s="782" t="s">
        <v>39</v>
      </c>
      <c r="D114" s="804" t="s">
        <v>719</v>
      </c>
      <c r="E114" s="665" t="s">
        <v>1583</v>
      </c>
      <c r="F114" s="665" t="s">
        <v>41</v>
      </c>
      <c r="G114" s="813"/>
      <c r="H114" s="787" t="s">
        <v>660</v>
      </c>
      <c r="I114" s="672" t="e">
        <f>$H$2</f>
        <v>#REF!</v>
      </c>
      <c r="J114" s="672">
        <v>210</v>
      </c>
      <c r="K114" s="791">
        <f>J114/(1+L114)</f>
        <v>189.18918918918916</v>
      </c>
      <c r="L114" s="569">
        <v>0.11</v>
      </c>
      <c r="M114" s="779" t="e">
        <f>G114*I114*K114/10000</f>
        <v>#REF!</v>
      </c>
      <c r="N114" s="779" t="e">
        <f>L114*M114</f>
        <v>#REF!</v>
      </c>
      <c r="O114" s="779" t="e">
        <f>M114+N114</f>
        <v>#REF!</v>
      </c>
      <c r="P114" s="780" t="e">
        <f t="shared" si="20"/>
        <v>#REF!</v>
      </c>
      <c r="Q114" s="781" t="e">
        <f>G114*I114*J114/10000-O114</f>
        <v>#REF!</v>
      </c>
      <c r="AA114" s="632"/>
    </row>
    <row r="115" spans="2:27" ht="16.5" customHeight="1" outlineLevel="3">
      <c r="B115" s="776" t="s">
        <v>1585</v>
      </c>
      <c r="C115" s="782" t="s">
        <v>39</v>
      </c>
      <c r="D115" s="804" t="s">
        <v>720</v>
      </c>
      <c r="E115" s="665" t="s">
        <v>1583</v>
      </c>
      <c r="F115" s="665" t="s">
        <v>41</v>
      </c>
      <c r="G115" s="808">
        <v>1.8</v>
      </c>
      <c r="H115" s="812" t="s">
        <v>660</v>
      </c>
      <c r="I115" s="672" t="e">
        <f>$H$2</f>
        <v>#REF!</v>
      </c>
      <c r="J115" s="672">
        <v>90</v>
      </c>
      <c r="K115" s="791">
        <f>J115/(1+L115)</f>
        <v>81.081081081081081</v>
      </c>
      <c r="L115" s="620">
        <v>0.11</v>
      </c>
      <c r="M115" s="779" t="e">
        <f>G115*I115*K115/10000</f>
        <v>#REF!</v>
      </c>
      <c r="N115" s="779" t="e">
        <f>L115*M115</f>
        <v>#REF!</v>
      </c>
      <c r="O115" s="779" t="e">
        <f>M115+N115</f>
        <v>#REF!</v>
      </c>
      <c r="P115" s="780" t="e">
        <f t="shared" si="20"/>
        <v>#REF!</v>
      </c>
      <c r="Q115" s="781" t="e">
        <f>G115*I115*J115/10000-O115</f>
        <v>#REF!</v>
      </c>
      <c r="AA115" s="632"/>
    </row>
    <row r="116" spans="2:27" ht="16.5" customHeight="1" outlineLevel="3">
      <c r="B116" s="776" t="s">
        <v>1586</v>
      </c>
      <c r="C116" s="782" t="s">
        <v>39</v>
      </c>
      <c r="D116" s="804" t="s">
        <v>721</v>
      </c>
      <c r="E116" s="665" t="s">
        <v>1583</v>
      </c>
      <c r="F116" s="665" t="s">
        <v>41</v>
      </c>
      <c r="G116" s="809">
        <v>3</v>
      </c>
      <c r="H116" s="787" t="s">
        <v>722</v>
      </c>
      <c r="I116" s="672" t="e">
        <f>$H$2</f>
        <v>#REF!</v>
      </c>
      <c r="J116" s="672">
        <v>210</v>
      </c>
      <c r="K116" s="791">
        <f>J116/(1+L116)</f>
        <v>189.18918918918916</v>
      </c>
      <c r="L116" s="569">
        <v>0.11</v>
      </c>
      <c r="M116" s="779" t="e">
        <f>G116*I116*K116/10000</f>
        <v>#REF!</v>
      </c>
      <c r="N116" s="779" t="e">
        <f>L116*M116</f>
        <v>#REF!</v>
      </c>
      <c r="O116" s="779" t="e">
        <f>M116+N116</f>
        <v>#REF!</v>
      </c>
      <c r="P116" s="780" t="e">
        <f t="shared" si="20"/>
        <v>#REF!</v>
      </c>
      <c r="Q116" s="781" t="e">
        <f>G116*I116*J116/10000-O116</f>
        <v>#REF!</v>
      </c>
      <c r="AA116" s="632"/>
    </row>
    <row r="117" spans="2:27" ht="16.5" customHeight="1" outlineLevel="2">
      <c r="B117" s="776" t="s">
        <v>723</v>
      </c>
      <c r="C117" s="777" t="s">
        <v>88</v>
      </c>
      <c r="D117" s="804" t="s">
        <v>21</v>
      </c>
      <c r="E117" s="648"/>
      <c r="F117" s="648"/>
      <c r="G117" s="787"/>
      <c r="H117" s="787"/>
      <c r="I117" s="672"/>
      <c r="J117" s="672"/>
      <c r="K117" s="681"/>
      <c r="L117" s="569"/>
      <c r="M117" s="779" t="e">
        <f>SUBTOTAL(9,M118:M123)</f>
        <v>#REF!</v>
      </c>
      <c r="N117" s="779" t="e">
        <f>SUBTOTAL(9,N118:N123)</f>
        <v>#REF!</v>
      </c>
      <c r="O117" s="779" t="e">
        <f>SUBTOTAL(9,O118:O123)</f>
        <v>#REF!</v>
      </c>
      <c r="P117" s="780" t="e">
        <f t="shared" si="20"/>
        <v>#REF!</v>
      </c>
      <c r="Q117" s="781"/>
      <c r="AA117" s="632"/>
    </row>
    <row r="118" spans="2:27" ht="16.5" customHeight="1" outlineLevel="3">
      <c r="B118" s="776" t="s">
        <v>724</v>
      </c>
      <c r="C118" s="782" t="s">
        <v>39</v>
      </c>
      <c r="D118" s="804" t="s">
        <v>725</v>
      </c>
      <c r="E118" s="665" t="s">
        <v>1580</v>
      </c>
      <c r="F118" s="665" t="s">
        <v>18</v>
      </c>
      <c r="G118" s="814">
        <v>15.23</v>
      </c>
      <c r="H118" s="805" t="s">
        <v>7</v>
      </c>
      <c r="I118" s="672" t="e">
        <f>$I$2</f>
        <v>#REF!</v>
      </c>
      <c r="J118" s="672">
        <v>5000</v>
      </c>
      <c r="K118" s="791">
        <f>J118/(1+L118)</f>
        <v>4504.5045045045044</v>
      </c>
      <c r="L118" s="620">
        <v>0.11</v>
      </c>
      <c r="M118" s="779" t="e">
        <f>G118*I118*K118/10000</f>
        <v>#REF!</v>
      </c>
      <c r="N118" s="779" t="e">
        <f>L118*M118</f>
        <v>#REF!</v>
      </c>
      <c r="O118" s="779" t="e">
        <f>M118+N118</f>
        <v>#REF!</v>
      </c>
      <c r="P118" s="780" t="e">
        <f t="shared" si="20"/>
        <v>#REF!</v>
      </c>
      <c r="Q118" s="781" t="e">
        <f>G118*I118*J118/10000-O118</f>
        <v>#REF!</v>
      </c>
      <c r="AA118" s="632"/>
    </row>
    <row r="119" spans="2:27" ht="16.5" customHeight="1" outlineLevel="3">
      <c r="B119" s="776" t="s">
        <v>726</v>
      </c>
      <c r="C119" s="782" t="s">
        <v>39</v>
      </c>
      <c r="D119" s="804" t="s">
        <v>61</v>
      </c>
      <c r="E119" s="665"/>
      <c r="F119" s="665"/>
      <c r="G119" s="813"/>
      <c r="H119" s="787"/>
      <c r="I119" s="672"/>
      <c r="J119" s="672"/>
      <c r="K119" s="787"/>
      <c r="L119" s="569"/>
      <c r="M119" s="779" t="e">
        <f>SUBTOTAL(9,M120:M121)</f>
        <v>#REF!</v>
      </c>
      <c r="N119" s="779" t="e">
        <f>SUBTOTAL(9,N120:N121)</f>
        <v>#REF!</v>
      </c>
      <c r="O119" s="779" t="e">
        <f>SUBTOTAL(9,O120:O121)</f>
        <v>#REF!</v>
      </c>
      <c r="P119" s="780" t="e">
        <f t="shared" si="20"/>
        <v>#REF!</v>
      </c>
      <c r="Q119" s="781"/>
      <c r="AA119" s="632"/>
    </row>
    <row r="120" spans="2:27" ht="16.5" customHeight="1" outlineLevel="4">
      <c r="B120" s="776" t="s">
        <v>1612</v>
      </c>
      <c r="C120" s="782"/>
      <c r="D120" s="807" t="s">
        <v>1613</v>
      </c>
      <c r="E120" s="665" t="s">
        <v>1587</v>
      </c>
      <c r="F120" s="665" t="s">
        <v>1614</v>
      </c>
      <c r="G120" s="813">
        <v>1</v>
      </c>
      <c r="H120" s="787" t="s">
        <v>727</v>
      </c>
      <c r="I120" s="672" t="e">
        <f>$H$2</f>
        <v>#REF!</v>
      </c>
      <c r="J120" s="672">
        <v>1700</v>
      </c>
      <c r="K120" s="791">
        <f>J120/(1+L120)</f>
        <v>1452.9914529914531</v>
      </c>
      <c r="L120" s="569">
        <v>0.17</v>
      </c>
      <c r="M120" s="779" t="e">
        <f>G120*I120*K120/10000</f>
        <v>#REF!</v>
      </c>
      <c r="N120" s="779" t="e">
        <f>L120*M120</f>
        <v>#REF!</v>
      </c>
      <c r="O120" s="779" t="e">
        <f>M120+N120</f>
        <v>#REF!</v>
      </c>
      <c r="P120" s="780" t="e">
        <f t="shared" si="20"/>
        <v>#REF!</v>
      </c>
      <c r="Q120" s="781" t="e">
        <f>G120*I120*J120/10000-O120</f>
        <v>#REF!</v>
      </c>
      <c r="AA120" s="632"/>
    </row>
    <row r="121" spans="2:27" ht="16.5" customHeight="1" outlineLevel="4">
      <c r="B121" s="776" t="s">
        <v>1588</v>
      </c>
      <c r="C121" s="782"/>
      <c r="D121" s="807" t="s">
        <v>1615</v>
      </c>
      <c r="E121" s="665" t="s">
        <v>1589</v>
      </c>
      <c r="F121" s="665" t="s">
        <v>1614</v>
      </c>
      <c r="G121" s="813">
        <v>1</v>
      </c>
      <c r="H121" s="787" t="s">
        <v>727</v>
      </c>
      <c r="I121" s="672" t="e">
        <f>$H$2</f>
        <v>#REF!</v>
      </c>
      <c r="J121" s="672"/>
      <c r="K121" s="791">
        <f>J121/(1+L121)</f>
        <v>0</v>
      </c>
      <c r="L121" s="569">
        <v>0.17</v>
      </c>
      <c r="M121" s="779" t="e">
        <f>G121*I121*K121/10000</f>
        <v>#REF!</v>
      </c>
      <c r="N121" s="779" t="e">
        <f>L121*M121</f>
        <v>#REF!</v>
      </c>
      <c r="O121" s="779" t="e">
        <f>M121+N121</f>
        <v>#REF!</v>
      </c>
      <c r="P121" s="780" t="e">
        <f t="shared" si="20"/>
        <v>#REF!</v>
      </c>
      <c r="Q121" s="781" t="e">
        <f>G121*I121*J121/10000-O121</f>
        <v>#REF!</v>
      </c>
      <c r="AA121" s="632"/>
    </row>
    <row r="122" spans="2:27" ht="16.5" customHeight="1" outlineLevel="3">
      <c r="B122" s="776" t="s">
        <v>728</v>
      </c>
      <c r="C122" s="782" t="s">
        <v>39</v>
      </c>
      <c r="D122" s="804" t="s">
        <v>729</v>
      </c>
      <c r="E122" s="648" t="s">
        <v>1590</v>
      </c>
      <c r="F122" s="665" t="s">
        <v>803</v>
      </c>
      <c r="G122" s="813">
        <v>21</v>
      </c>
      <c r="H122" s="805" t="s">
        <v>1923</v>
      </c>
      <c r="I122" s="672" t="e">
        <f>$I$2*($K$2+1)</f>
        <v>#REF!</v>
      </c>
      <c r="J122" s="672">
        <v>450</v>
      </c>
      <c r="K122" s="791">
        <f>J122/(1+L122)</f>
        <v>405.40540540540536</v>
      </c>
      <c r="L122" s="620">
        <v>0.11</v>
      </c>
      <c r="M122" s="779" t="e">
        <f>G122*I122*K122/10000</f>
        <v>#REF!</v>
      </c>
      <c r="N122" s="779" t="e">
        <f>L122*M122</f>
        <v>#REF!</v>
      </c>
      <c r="O122" s="779" t="e">
        <f>M122+N122</f>
        <v>#REF!</v>
      </c>
      <c r="P122" s="780" t="e">
        <f t="shared" si="20"/>
        <v>#REF!</v>
      </c>
      <c r="Q122" s="781" t="e">
        <f>G122*I122*J122/10000-O122</f>
        <v>#REF!</v>
      </c>
      <c r="AA122" s="632"/>
    </row>
    <row r="123" spans="2:27" ht="16.5" customHeight="1" outlineLevel="3">
      <c r="B123" s="776" t="s">
        <v>730</v>
      </c>
      <c r="C123" s="782" t="s">
        <v>39</v>
      </c>
      <c r="D123" s="804" t="s">
        <v>62</v>
      </c>
      <c r="E123" s="665" t="s">
        <v>1580</v>
      </c>
      <c r="F123" s="648" t="s">
        <v>657</v>
      </c>
      <c r="G123" s="808">
        <v>0.4</v>
      </c>
      <c r="H123" s="805" t="s">
        <v>145</v>
      </c>
      <c r="I123" s="672" t="e">
        <f>$E$2*(1+$F$2)</f>
        <v>#REF!</v>
      </c>
      <c r="J123" s="672">
        <v>950</v>
      </c>
      <c r="K123" s="791">
        <f>J123/(1+L123)</f>
        <v>811.96581196581201</v>
      </c>
      <c r="L123" s="620">
        <v>0.17</v>
      </c>
      <c r="M123" s="779" t="e">
        <f>G123*I123*K123/10000</f>
        <v>#REF!</v>
      </c>
      <c r="N123" s="779" t="e">
        <f>L123*M123</f>
        <v>#REF!</v>
      </c>
      <c r="O123" s="779" t="e">
        <f>M123+N123</f>
        <v>#REF!</v>
      </c>
      <c r="P123" s="780" t="e">
        <f t="shared" si="20"/>
        <v>#REF!</v>
      </c>
      <c r="Q123" s="781" t="e">
        <f>G123*I123*J123/10000-O123</f>
        <v>#REF!</v>
      </c>
      <c r="R123" s="632" t="s">
        <v>2090</v>
      </c>
      <c r="AA123" s="632"/>
    </row>
    <row r="124" spans="2:27" ht="16.5" customHeight="1" outlineLevel="2">
      <c r="B124" s="776" t="s">
        <v>731</v>
      </c>
      <c r="C124" s="777" t="s">
        <v>78</v>
      </c>
      <c r="D124" s="804" t="s">
        <v>732</v>
      </c>
      <c r="E124" s="648"/>
      <c r="F124" s="648"/>
      <c r="G124" s="787"/>
      <c r="H124" s="787"/>
      <c r="I124" s="672"/>
      <c r="J124" s="672"/>
      <c r="K124" s="681"/>
      <c r="L124" s="569"/>
      <c r="M124" s="779" t="e">
        <f>SUBTOTAL(9,M125:M128)</f>
        <v>#REF!</v>
      </c>
      <c r="N124" s="779" t="e">
        <f>SUBTOTAL(9,N125:N128)</f>
        <v>#REF!</v>
      </c>
      <c r="O124" s="779" t="e">
        <f>SUBTOTAL(9,O125:O128)</f>
        <v>#REF!</v>
      </c>
      <c r="P124" s="780" t="e">
        <f t="shared" si="20"/>
        <v>#REF!</v>
      </c>
      <c r="Q124" s="781"/>
      <c r="AA124" s="632"/>
    </row>
    <row r="125" spans="2:27" ht="16.5" customHeight="1" outlineLevel="3">
      <c r="B125" s="776" t="s">
        <v>733</v>
      </c>
      <c r="C125" s="782" t="s">
        <v>39</v>
      </c>
      <c r="D125" s="815" t="s">
        <v>734</v>
      </c>
      <c r="E125" s="814" t="s">
        <v>1228</v>
      </c>
      <c r="F125" s="814" t="s">
        <v>9</v>
      </c>
      <c r="G125" s="814"/>
      <c r="H125" s="787" t="s">
        <v>145</v>
      </c>
      <c r="I125" s="672" t="e">
        <f>$G$2</f>
        <v>#REF!</v>
      </c>
      <c r="J125" s="672">
        <v>130</v>
      </c>
      <c r="K125" s="816"/>
      <c r="L125" s="620">
        <v>0.11</v>
      </c>
      <c r="M125" s="779" t="e">
        <f>G125*I125*K125/10000</f>
        <v>#REF!</v>
      </c>
      <c r="N125" s="779" t="e">
        <f>L125*M125</f>
        <v>#REF!</v>
      </c>
      <c r="O125" s="779" t="e">
        <f>M125+N125</f>
        <v>#REF!</v>
      </c>
      <c r="P125" s="780" t="e">
        <f t="shared" si="20"/>
        <v>#REF!</v>
      </c>
      <c r="Q125" s="781" t="e">
        <f>G125*I125*J125/10000-O125</f>
        <v>#REF!</v>
      </c>
      <c r="AA125" s="632"/>
    </row>
    <row r="126" spans="2:27" ht="16.5"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20"/>
        <v>#REF!</v>
      </c>
      <c r="Q126" s="781">
        <f>G126*I126*J126/10000-O126</f>
        <v>0</v>
      </c>
      <c r="AA126" s="632"/>
    </row>
    <row r="127" spans="2:27" ht="16.5" customHeight="1" outlineLevel="3">
      <c r="B127" s="776" t="s">
        <v>737</v>
      </c>
      <c r="C127" s="782" t="s">
        <v>39</v>
      </c>
      <c r="D127" s="815" t="s">
        <v>738</v>
      </c>
      <c r="E127" s="648" t="s">
        <v>1616</v>
      </c>
      <c r="F127" s="648" t="s">
        <v>657</v>
      </c>
      <c r="G127" s="808">
        <v>1</v>
      </c>
      <c r="H127" s="805" t="s">
        <v>143</v>
      </c>
      <c r="I127" s="672" t="e">
        <f>$E$2*(1+$F$2)</f>
        <v>#REF!</v>
      </c>
      <c r="J127" s="672">
        <v>5</v>
      </c>
      <c r="K127" s="791">
        <f>J127/(1+L127)</f>
        <v>4.2735042735042734</v>
      </c>
      <c r="L127" s="620">
        <v>0.17</v>
      </c>
      <c r="M127" s="779" t="e">
        <f>G127*I127*K127/10000</f>
        <v>#REF!</v>
      </c>
      <c r="N127" s="779" t="e">
        <f>L127*M127</f>
        <v>#REF!</v>
      </c>
      <c r="O127" s="779" t="e">
        <f>M127+N127</f>
        <v>#REF!</v>
      </c>
      <c r="P127" s="780" t="e">
        <f t="shared" si="20"/>
        <v>#REF!</v>
      </c>
      <c r="Q127" s="781" t="e">
        <f>G127*I127*J127/10000-O127</f>
        <v>#REF!</v>
      </c>
      <c r="AA127" s="632"/>
    </row>
    <row r="128" spans="2:27" ht="16.5" customHeight="1" outlineLevel="3">
      <c r="B128" s="776" t="s">
        <v>739</v>
      </c>
      <c r="C128" s="782" t="s">
        <v>39</v>
      </c>
      <c r="D128" s="815" t="s">
        <v>740</v>
      </c>
      <c r="E128" s="665" t="s">
        <v>463</v>
      </c>
      <c r="F128" s="665" t="s">
        <v>41</v>
      </c>
      <c r="G128" s="814">
        <v>1</v>
      </c>
      <c r="H128" s="812" t="s">
        <v>741</v>
      </c>
      <c r="I128" s="672"/>
      <c r="J128" s="672">
        <v>80</v>
      </c>
      <c r="K128" s="791">
        <f>J128/(1+L128)</f>
        <v>68.376068376068375</v>
      </c>
      <c r="L128" s="620">
        <v>0.17</v>
      </c>
      <c r="M128" s="779">
        <f>G128*I128*K128/10000</f>
        <v>0</v>
      </c>
      <c r="N128" s="779">
        <f>L128*M128</f>
        <v>0</v>
      </c>
      <c r="O128" s="779">
        <f>M128+N128</f>
        <v>0</v>
      </c>
      <c r="P128" s="780" t="e">
        <f t="shared" si="20"/>
        <v>#REF!</v>
      </c>
      <c r="Q128" s="781">
        <f>G128*I128*J128/10000-O128</f>
        <v>0</v>
      </c>
      <c r="AA128" s="632"/>
    </row>
    <row r="129" spans="2:27" ht="16.5" customHeight="1" outlineLevel="1">
      <c r="B129" s="771" t="s">
        <v>501</v>
      </c>
      <c r="C129" s="712">
        <v>2</v>
      </c>
      <c r="D129" s="771" t="s">
        <v>83</v>
      </c>
      <c r="E129" s="712"/>
      <c r="F129" s="712"/>
      <c r="G129" s="712"/>
      <c r="H129" s="772"/>
      <c r="I129" s="713"/>
      <c r="J129" s="713"/>
      <c r="K129" s="772"/>
      <c r="L129" s="588"/>
      <c r="M129" s="773" t="e">
        <f>SUBTOTAL(9,M130:M148)</f>
        <v>#REF!</v>
      </c>
      <c r="N129" s="773" t="e">
        <f>SUBTOTAL(9,N130:N148)</f>
        <v>#REF!</v>
      </c>
      <c r="O129" s="773" t="e">
        <f>SUBTOTAL(9,O130:O148)</f>
        <v>#REF!</v>
      </c>
      <c r="P129" s="774" t="e">
        <f t="shared" si="20"/>
        <v>#REF!</v>
      </c>
      <c r="Q129" s="775"/>
      <c r="AA129" s="632"/>
    </row>
    <row r="130" spans="2:27" ht="16.5" customHeight="1" outlineLevel="2">
      <c r="B130" s="776" t="s">
        <v>742</v>
      </c>
      <c r="C130" s="777" t="s">
        <v>36</v>
      </c>
      <c r="D130" s="817" t="s">
        <v>51</v>
      </c>
      <c r="E130" s="648"/>
      <c r="F130" s="648"/>
      <c r="G130" s="787"/>
      <c r="H130" s="787"/>
      <c r="I130" s="672"/>
      <c r="J130" s="672"/>
      <c r="K130" s="681"/>
      <c r="L130" s="569"/>
      <c r="M130" s="779" t="e">
        <f>SUBTOTAL(9,M131:M133)</f>
        <v>#REF!</v>
      </c>
      <c r="N130" s="779" t="e">
        <f>SUBTOTAL(9,N131:N133)</f>
        <v>#REF!</v>
      </c>
      <c r="O130" s="779" t="e">
        <f>SUBTOTAL(9,O131:O133)</f>
        <v>#REF!</v>
      </c>
      <c r="P130" s="780" t="e">
        <f t="shared" si="20"/>
        <v>#REF!</v>
      </c>
      <c r="Q130" s="781"/>
      <c r="AA130" s="632"/>
    </row>
    <row r="131" spans="2:27" ht="16.5" customHeight="1" outlineLevel="3">
      <c r="B131" s="776" t="s">
        <v>743</v>
      </c>
      <c r="C131" s="782" t="s">
        <v>39</v>
      </c>
      <c r="D131" s="815" t="s">
        <v>1592</v>
      </c>
      <c r="E131" s="648" t="s">
        <v>1617</v>
      </c>
      <c r="F131" s="648" t="s">
        <v>18</v>
      </c>
      <c r="G131" s="787">
        <v>100</v>
      </c>
      <c r="H131" s="805" t="s">
        <v>1921</v>
      </c>
      <c r="I131" s="672" t="e">
        <f>$I$2</f>
        <v>#REF!</v>
      </c>
      <c r="J131" s="1035">
        <v>1000</v>
      </c>
      <c r="K131" s="791">
        <f>J131/(1+L131)</f>
        <v>900.90090090090087</v>
      </c>
      <c r="L131" s="569">
        <v>0.11</v>
      </c>
      <c r="M131" s="779" t="e">
        <f>G131*I131*K131/10000</f>
        <v>#REF!</v>
      </c>
      <c r="N131" s="779" t="e">
        <f>L131*M131</f>
        <v>#REF!</v>
      </c>
      <c r="O131" s="779" t="e">
        <f>M131+N131</f>
        <v>#REF!</v>
      </c>
      <c r="P131" s="780" t="e">
        <f t="shared" si="20"/>
        <v>#REF!</v>
      </c>
      <c r="Q131" s="781" t="e">
        <f>G131*I131*J131/10000-O131</f>
        <v>#REF!</v>
      </c>
      <c r="AA131" s="632"/>
    </row>
    <row r="132" spans="2:27" ht="16.5" customHeight="1" outlineLevel="3">
      <c r="B132" s="776" t="s">
        <v>744</v>
      </c>
      <c r="C132" s="782" t="s">
        <v>39</v>
      </c>
      <c r="D132" s="815" t="s">
        <v>1593</v>
      </c>
      <c r="E132" s="648" t="s">
        <v>457</v>
      </c>
      <c r="F132" s="648" t="s">
        <v>18</v>
      </c>
      <c r="G132" s="787">
        <v>100</v>
      </c>
      <c r="H132" s="805" t="s">
        <v>1921</v>
      </c>
      <c r="I132" s="672" t="e">
        <f>$I$2</f>
        <v>#REF!</v>
      </c>
      <c r="J132" s="1035">
        <v>700</v>
      </c>
      <c r="K132" s="791">
        <f>J132/(1+L132)</f>
        <v>598.29059829059838</v>
      </c>
      <c r="L132" s="569">
        <v>0.17</v>
      </c>
      <c r="M132" s="779" t="e">
        <f>G132*I132*K132/10000</f>
        <v>#REF!</v>
      </c>
      <c r="N132" s="779" t="e">
        <f>L132*M132</f>
        <v>#REF!</v>
      </c>
      <c r="O132" s="779" t="e">
        <f>M132+N132</f>
        <v>#REF!</v>
      </c>
      <c r="P132" s="780" t="e">
        <f t="shared" ref="P132:P163" si="25">IF(O132="","",O132*10000/E$2)</f>
        <v>#REF!</v>
      </c>
      <c r="Q132" s="781" t="e">
        <f>G132*I132*J132/10000-O132</f>
        <v>#REF!</v>
      </c>
      <c r="AA132" s="632"/>
    </row>
    <row r="133" spans="2:27" ht="16.5" customHeight="1" outlineLevel="3">
      <c r="B133" s="776" t="s">
        <v>745</v>
      </c>
      <c r="C133" s="782" t="s">
        <v>39</v>
      </c>
      <c r="D133" s="815" t="s">
        <v>1594</v>
      </c>
      <c r="E133" s="648" t="s">
        <v>1329</v>
      </c>
      <c r="F133" s="648" t="s">
        <v>18</v>
      </c>
      <c r="G133" s="787">
        <v>100</v>
      </c>
      <c r="H133" s="805" t="s">
        <v>1921</v>
      </c>
      <c r="I133" s="672" t="e">
        <f>$I$2</f>
        <v>#REF!</v>
      </c>
      <c r="J133" s="1035">
        <v>300</v>
      </c>
      <c r="K133" s="791">
        <f>J133/(1+L133)</f>
        <v>256.41025641025641</v>
      </c>
      <c r="L133" s="569">
        <v>0.17</v>
      </c>
      <c r="M133" s="779" t="e">
        <f>G133*I133*K133/10000</f>
        <v>#REF!</v>
      </c>
      <c r="N133" s="779" t="e">
        <f>L133*M133</f>
        <v>#REF!</v>
      </c>
      <c r="O133" s="779" t="e">
        <f>M133+N133</f>
        <v>#REF!</v>
      </c>
      <c r="P133" s="780" t="e">
        <f t="shared" si="25"/>
        <v>#REF!</v>
      </c>
      <c r="Q133" s="781" t="e">
        <f>G133*I133*J133/10000-O133</f>
        <v>#REF!</v>
      </c>
      <c r="AA133" s="632"/>
    </row>
    <row r="134" spans="2:27" ht="16.5" customHeight="1" outlineLevel="2">
      <c r="B134" s="776" t="s">
        <v>746</v>
      </c>
      <c r="C134" s="777" t="s">
        <v>33</v>
      </c>
      <c r="D134" s="817" t="s">
        <v>89</v>
      </c>
      <c r="E134" s="648"/>
      <c r="F134" s="648"/>
      <c r="G134" s="787"/>
      <c r="H134" s="787"/>
      <c r="I134" s="672"/>
      <c r="J134" s="672"/>
      <c r="K134" s="681"/>
      <c r="L134" s="569"/>
      <c r="M134" s="779" t="e">
        <f>SUBTOTAL(9,M135:M137)</f>
        <v>#REF!</v>
      </c>
      <c r="N134" s="779" t="e">
        <f>SUBTOTAL(9,N135:N137)</f>
        <v>#REF!</v>
      </c>
      <c r="O134" s="779" t="e">
        <f>SUBTOTAL(9,O135:O137)</f>
        <v>#REF!</v>
      </c>
      <c r="P134" s="780" t="e">
        <f t="shared" si="25"/>
        <v>#REF!</v>
      </c>
      <c r="Q134" s="781"/>
      <c r="AA134" s="632"/>
    </row>
    <row r="135" spans="2:27" ht="16.5" customHeight="1" outlineLevel="3">
      <c r="B135" s="776" t="s">
        <v>747</v>
      </c>
      <c r="C135" s="782" t="s">
        <v>39</v>
      </c>
      <c r="D135" s="815" t="s">
        <v>748</v>
      </c>
      <c r="E135" s="648" t="s">
        <v>1617</v>
      </c>
      <c r="F135" s="648" t="s">
        <v>18</v>
      </c>
      <c r="G135" s="787">
        <v>30</v>
      </c>
      <c r="H135" s="805" t="s">
        <v>1921</v>
      </c>
      <c r="I135" s="672" t="e">
        <f>$I$2</f>
        <v>#REF!</v>
      </c>
      <c r="J135" s="1035">
        <v>800</v>
      </c>
      <c r="K135" s="791">
        <f>J135/(1+L135)</f>
        <v>720.72072072072069</v>
      </c>
      <c r="L135" s="569">
        <v>0.11</v>
      </c>
      <c r="M135" s="779" t="e">
        <f t="shared" ref="M135:M140" si="26">G135*I135*K135/10000</f>
        <v>#REF!</v>
      </c>
      <c r="N135" s="779" t="e">
        <f t="shared" ref="N135:N140" si="27">L135*M135</f>
        <v>#REF!</v>
      </c>
      <c r="O135" s="779" t="e">
        <f t="shared" ref="O135:O140" si="28">M135+N135</f>
        <v>#REF!</v>
      </c>
      <c r="P135" s="780" t="e">
        <f t="shared" si="25"/>
        <v>#REF!</v>
      </c>
      <c r="Q135" s="781" t="e">
        <f t="shared" ref="Q135:Q140" si="29">G135*I135*J135/10000-O135</f>
        <v>#REF!</v>
      </c>
      <c r="AA135" s="632"/>
    </row>
    <row r="136" spans="2:27" ht="16.5" customHeight="1" outlineLevel="3">
      <c r="B136" s="776" t="s">
        <v>749</v>
      </c>
      <c r="C136" s="782" t="s">
        <v>39</v>
      </c>
      <c r="D136" s="815" t="s">
        <v>750</v>
      </c>
      <c r="E136" s="648" t="s">
        <v>457</v>
      </c>
      <c r="F136" s="648" t="s">
        <v>18</v>
      </c>
      <c r="G136" s="787">
        <v>30</v>
      </c>
      <c r="H136" s="805" t="s">
        <v>1921</v>
      </c>
      <c r="I136" s="672" t="e">
        <f>$I$2</f>
        <v>#REF!</v>
      </c>
      <c r="J136" s="1035">
        <v>400</v>
      </c>
      <c r="K136" s="791">
        <f>J136/(1+L136)</f>
        <v>341.88034188034192</v>
      </c>
      <c r="L136" s="569">
        <v>0.17</v>
      </c>
      <c r="M136" s="779" t="e">
        <f t="shared" si="26"/>
        <v>#REF!</v>
      </c>
      <c r="N136" s="779" t="e">
        <f t="shared" si="27"/>
        <v>#REF!</v>
      </c>
      <c r="O136" s="779" t="e">
        <f t="shared" si="28"/>
        <v>#REF!</v>
      </c>
      <c r="P136" s="780" t="e">
        <f t="shared" si="25"/>
        <v>#REF!</v>
      </c>
      <c r="Q136" s="781" t="e">
        <f t="shared" si="29"/>
        <v>#REF!</v>
      </c>
      <c r="AA136" s="632"/>
    </row>
    <row r="137" spans="2:27" ht="16.5" customHeight="1" outlineLevel="3">
      <c r="B137" s="776" t="s">
        <v>751</v>
      </c>
      <c r="C137" s="782" t="s">
        <v>39</v>
      </c>
      <c r="D137" s="815" t="s">
        <v>752</v>
      </c>
      <c r="E137" s="648" t="s">
        <v>1329</v>
      </c>
      <c r="F137" s="648" t="s">
        <v>18</v>
      </c>
      <c r="G137" s="787">
        <v>30</v>
      </c>
      <c r="H137" s="805" t="s">
        <v>1921</v>
      </c>
      <c r="I137" s="672" t="e">
        <f>$I$2</f>
        <v>#REF!</v>
      </c>
      <c r="J137" s="672">
        <v>300</v>
      </c>
      <c r="K137" s="791">
        <f>J137/(1+L137)</f>
        <v>256.41025641025641</v>
      </c>
      <c r="L137" s="569">
        <v>0.17</v>
      </c>
      <c r="M137" s="779" t="e">
        <f t="shared" si="26"/>
        <v>#REF!</v>
      </c>
      <c r="N137" s="779" t="e">
        <f t="shared" si="27"/>
        <v>#REF!</v>
      </c>
      <c r="O137" s="779" t="e">
        <f t="shared" si="28"/>
        <v>#REF!</v>
      </c>
      <c r="P137" s="780" t="e">
        <f t="shared" si="25"/>
        <v>#REF!</v>
      </c>
      <c r="Q137" s="781" t="e">
        <f t="shared" si="29"/>
        <v>#REF!</v>
      </c>
      <c r="AA137" s="632"/>
    </row>
    <row r="138" spans="2:27" ht="16.5" customHeight="1" outlineLevel="2">
      <c r="B138" s="776" t="s">
        <v>753</v>
      </c>
      <c r="C138" s="777" t="s">
        <v>88</v>
      </c>
      <c r="D138" s="817" t="s">
        <v>754</v>
      </c>
      <c r="E138" s="648" t="s">
        <v>1617</v>
      </c>
      <c r="F138" s="648" t="s">
        <v>18</v>
      </c>
      <c r="G138" s="787"/>
      <c r="H138" s="805" t="s">
        <v>1921</v>
      </c>
      <c r="I138" s="672" t="e">
        <f>$I$2</f>
        <v>#REF!</v>
      </c>
      <c r="J138" s="672"/>
      <c r="K138" s="681"/>
      <c r="L138" s="569">
        <v>0.11</v>
      </c>
      <c r="M138" s="779" t="e">
        <f t="shared" si="26"/>
        <v>#REF!</v>
      </c>
      <c r="N138" s="779" t="e">
        <f t="shared" si="27"/>
        <v>#REF!</v>
      </c>
      <c r="O138" s="779" t="e">
        <f t="shared" si="28"/>
        <v>#REF!</v>
      </c>
      <c r="P138" s="780" t="e">
        <f t="shared" si="25"/>
        <v>#REF!</v>
      </c>
      <c r="Q138" s="781" t="e">
        <f t="shared" si="29"/>
        <v>#REF!</v>
      </c>
      <c r="AA138" s="632"/>
    </row>
    <row r="139" spans="2:27" ht="16.5" customHeight="1" outlineLevel="2">
      <c r="B139" s="776" t="s">
        <v>755</v>
      </c>
      <c r="C139" s="777" t="s">
        <v>70</v>
      </c>
      <c r="D139" s="817" t="s">
        <v>90</v>
      </c>
      <c r="E139" s="648" t="s">
        <v>1617</v>
      </c>
      <c r="F139" s="648" t="s">
        <v>18</v>
      </c>
      <c r="G139" s="787"/>
      <c r="H139" s="805" t="s">
        <v>1921</v>
      </c>
      <c r="I139" s="672" t="e">
        <f>$I$2</f>
        <v>#REF!</v>
      </c>
      <c r="J139" s="672"/>
      <c r="K139" s="681"/>
      <c r="L139" s="569">
        <v>0.11</v>
      </c>
      <c r="M139" s="779" t="e">
        <f t="shared" si="26"/>
        <v>#REF!</v>
      </c>
      <c r="N139" s="779" t="e">
        <f t="shared" si="27"/>
        <v>#REF!</v>
      </c>
      <c r="O139" s="779" t="e">
        <f t="shared" si="28"/>
        <v>#REF!</v>
      </c>
      <c r="P139" s="780" t="e">
        <f t="shared" si="25"/>
        <v>#REF!</v>
      </c>
      <c r="Q139" s="781" t="e">
        <f t="shared" si="29"/>
        <v>#REF!</v>
      </c>
      <c r="AA139" s="632"/>
    </row>
    <row r="140" spans="2:27" ht="16.5" customHeight="1" outlineLevel="2">
      <c r="B140" s="776" t="s">
        <v>756</v>
      </c>
      <c r="C140" s="777" t="s">
        <v>71</v>
      </c>
      <c r="D140" s="817" t="s">
        <v>757</v>
      </c>
      <c r="E140" s="648" t="s">
        <v>1617</v>
      </c>
      <c r="F140" s="665" t="s">
        <v>803</v>
      </c>
      <c r="G140" s="813">
        <v>25</v>
      </c>
      <c r="H140" s="805" t="s">
        <v>1924</v>
      </c>
      <c r="I140" s="672" t="e">
        <f>($K$2+1)*$I$2</f>
        <v>#REF!</v>
      </c>
      <c r="J140" s="672">
        <v>180</v>
      </c>
      <c r="K140" s="791">
        <f>J140/(1+L140)</f>
        <v>162.16216216216216</v>
      </c>
      <c r="L140" s="569">
        <v>0.11</v>
      </c>
      <c r="M140" s="779" t="e">
        <f t="shared" si="26"/>
        <v>#REF!</v>
      </c>
      <c r="N140" s="779" t="e">
        <f t="shared" si="27"/>
        <v>#REF!</v>
      </c>
      <c r="O140" s="779" t="e">
        <f t="shared" si="28"/>
        <v>#REF!</v>
      </c>
      <c r="P140" s="780" t="e">
        <f t="shared" si="25"/>
        <v>#REF!</v>
      </c>
      <c r="Q140" s="781" t="e">
        <f t="shared" si="29"/>
        <v>#REF!</v>
      </c>
      <c r="AA140" s="632"/>
    </row>
    <row r="141" spans="2:27" ht="16.5" customHeight="1" outlineLevel="2">
      <c r="B141" s="776" t="s">
        <v>758</v>
      </c>
      <c r="C141" s="777" t="s">
        <v>144</v>
      </c>
      <c r="D141" s="817" t="s">
        <v>118</v>
      </c>
      <c r="E141" s="648"/>
      <c r="F141" s="648"/>
      <c r="G141" s="787"/>
      <c r="H141" s="787"/>
      <c r="I141" s="672"/>
      <c r="J141" s="672"/>
      <c r="K141" s="681"/>
      <c r="L141" s="569"/>
      <c r="M141" s="779" t="e">
        <f>SUBTOTAL(9,M142:M144)</f>
        <v>#REF!</v>
      </c>
      <c r="N141" s="779" t="e">
        <f>SUBTOTAL(9,N142:N144)</f>
        <v>#REF!</v>
      </c>
      <c r="O141" s="779" t="e">
        <f>SUBTOTAL(9,O142:O144)</f>
        <v>#REF!</v>
      </c>
      <c r="P141" s="780" t="e">
        <f t="shared" si="25"/>
        <v>#REF!</v>
      </c>
      <c r="Q141" s="781"/>
      <c r="AA141" s="632"/>
    </row>
    <row r="142" spans="2:27" ht="16.5" customHeight="1" outlineLevel="3">
      <c r="B142" s="776" t="s">
        <v>759</v>
      </c>
      <c r="C142" s="782" t="s">
        <v>39</v>
      </c>
      <c r="D142" s="815" t="s">
        <v>760</v>
      </c>
      <c r="E142" s="648" t="s">
        <v>1617</v>
      </c>
      <c r="F142" s="665" t="s">
        <v>804</v>
      </c>
      <c r="G142" s="813">
        <v>25</v>
      </c>
      <c r="H142" s="805" t="s">
        <v>1924</v>
      </c>
      <c r="I142" s="672" t="e">
        <f>($K$2-1)*$I$2</f>
        <v>#REF!</v>
      </c>
      <c r="J142" s="672">
        <v>1000</v>
      </c>
      <c r="K142" s="791">
        <f>J142/(1+L142)</f>
        <v>900.90090090090087</v>
      </c>
      <c r="L142" s="569">
        <v>0.11</v>
      </c>
      <c r="M142" s="779" t="e">
        <f>G142*I142*K142/10000</f>
        <v>#REF!</v>
      </c>
      <c r="N142" s="779" t="e">
        <f>L142*M142</f>
        <v>#REF!</v>
      </c>
      <c r="O142" s="779" t="e">
        <f>M142+N142</f>
        <v>#REF!</v>
      </c>
      <c r="P142" s="780" t="e">
        <f t="shared" si="25"/>
        <v>#REF!</v>
      </c>
      <c r="Q142" s="806" t="e">
        <f t="shared" ref="Q142:Q148" si="30">G142*I142*J142/10000-O142</f>
        <v>#REF!</v>
      </c>
      <c r="AA142" s="632"/>
    </row>
    <row r="143" spans="2:27" ht="16.5" customHeight="1" outlineLevel="3">
      <c r="B143" s="776" t="s">
        <v>761</v>
      </c>
      <c r="C143" s="782" t="s">
        <v>39</v>
      </c>
      <c r="D143" s="815" t="s">
        <v>805</v>
      </c>
      <c r="E143" s="648" t="s">
        <v>457</v>
      </c>
      <c r="F143" s="665" t="s">
        <v>804</v>
      </c>
      <c r="G143" s="813">
        <v>25</v>
      </c>
      <c r="H143" s="805" t="s">
        <v>1924</v>
      </c>
      <c r="I143" s="672" t="e">
        <f>($K$2-1)*$I$2</f>
        <v>#REF!</v>
      </c>
      <c r="J143" s="672">
        <v>700</v>
      </c>
      <c r="K143" s="791">
        <f>J143/(1+L143)</f>
        <v>598.29059829059838</v>
      </c>
      <c r="L143" s="569">
        <v>0.17</v>
      </c>
      <c r="M143" s="779" t="e">
        <f>G143*I143*K143/10000</f>
        <v>#REF!</v>
      </c>
      <c r="N143" s="779" t="e">
        <f>L143*M143</f>
        <v>#REF!</v>
      </c>
      <c r="O143" s="779" t="e">
        <f>M143+N143</f>
        <v>#REF!</v>
      </c>
      <c r="P143" s="780" t="e">
        <f t="shared" si="25"/>
        <v>#REF!</v>
      </c>
      <c r="Q143" s="806" t="e">
        <f t="shared" si="30"/>
        <v>#REF!</v>
      </c>
      <c r="AA143" s="632"/>
    </row>
    <row r="144" spans="2:27" ht="16.5" customHeight="1" outlineLevel="3">
      <c r="B144" s="776" t="s">
        <v>762</v>
      </c>
      <c r="C144" s="782" t="s">
        <v>39</v>
      </c>
      <c r="D144" s="815" t="s">
        <v>806</v>
      </c>
      <c r="E144" s="648" t="s">
        <v>1329</v>
      </c>
      <c r="F144" s="665" t="s">
        <v>804</v>
      </c>
      <c r="G144" s="813">
        <v>25</v>
      </c>
      <c r="H144" s="805" t="s">
        <v>1924</v>
      </c>
      <c r="I144" s="672" t="e">
        <f>($K$2-1)*$I$2</f>
        <v>#REF!</v>
      </c>
      <c r="J144" s="672">
        <v>300</v>
      </c>
      <c r="K144" s="791">
        <f>J144/(1+L144)</f>
        <v>256.41025641025641</v>
      </c>
      <c r="L144" s="569">
        <v>0.17</v>
      </c>
      <c r="M144" s="779" t="e">
        <f>G144*I144*K144/10000</f>
        <v>#REF!</v>
      </c>
      <c r="N144" s="779" t="e">
        <f>L144*M144</f>
        <v>#REF!</v>
      </c>
      <c r="O144" s="779" t="e">
        <f>M144+N144</f>
        <v>#REF!</v>
      </c>
      <c r="P144" s="780" t="e">
        <f t="shared" si="25"/>
        <v>#REF!</v>
      </c>
      <c r="Q144" s="806" t="e">
        <f t="shared" si="30"/>
        <v>#REF!</v>
      </c>
      <c r="AA144" s="632"/>
    </row>
    <row r="145" spans="1:27" ht="16.5"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5"/>
        <v/>
      </c>
      <c r="Q145" s="781">
        <f t="shared" si="30"/>
        <v>0</v>
      </c>
      <c r="AA145" s="632"/>
    </row>
    <row r="146" spans="1:27" ht="16.5"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5"/>
        <v/>
      </c>
      <c r="Q146" s="781">
        <f t="shared" si="30"/>
        <v>0</v>
      </c>
      <c r="AA146" s="632"/>
    </row>
    <row r="147" spans="1:27" ht="16.5"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5"/>
        <v/>
      </c>
      <c r="Q147" s="781">
        <f t="shared" si="30"/>
        <v>0</v>
      </c>
      <c r="AA147" s="632"/>
    </row>
    <row r="148" spans="1:27" ht="16.5"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5"/>
        <v/>
      </c>
      <c r="Q148" s="781">
        <f t="shared" si="30"/>
        <v>0</v>
      </c>
      <c r="AA148" s="632"/>
    </row>
    <row r="149" spans="1:27" s="633" customFormat="1" ht="16.5" customHeight="1" outlineLevel="1">
      <c r="B149" s="818" t="s">
        <v>502</v>
      </c>
      <c r="C149" s="819">
        <v>3</v>
      </c>
      <c r="D149" s="818" t="s">
        <v>84</v>
      </c>
      <c r="E149" s="819"/>
      <c r="F149" s="819"/>
      <c r="G149" s="819"/>
      <c r="H149" s="820"/>
      <c r="I149" s="821"/>
      <c r="J149" s="821"/>
      <c r="K149" s="820"/>
      <c r="L149" s="822"/>
      <c r="M149" s="773" t="e">
        <f>SUBTOTAL(9,M150:M160)</f>
        <v>#REF!</v>
      </c>
      <c r="N149" s="773" t="e">
        <f>SUBTOTAL(9,N150:N160)</f>
        <v>#REF!</v>
      </c>
      <c r="O149" s="773" t="e">
        <f>SUBTOTAL(9,O150:O160)</f>
        <v>#REF!</v>
      </c>
      <c r="P149" s="823" t="e">
        <f t="shared" si="25"/>
        <v>#REF!</v>
      </c>
      <c r="Q149" s="824"/>
    </row>
    <row r="150" spans="1:27" ht="16.5" customHeight="1" outlineLevel="2">
      <c r="B150" s="776" t="s">
        <v>766</v>
      </c>
      <c r="C150" s="777" t="s">
        <v>36</v>
      </c>
      <c r="D150" s="804" t="s">
        <v>812</v>
      </c>
      <c r="E150" s="665"/>
      <c r="F150" s="665"/>
      <c r="G150" s="787"/>
      <c r="H150" s="787"/>
      <c r="I150" s="672"/>
      <c r="J150" s="672"/>
      <c r="K150" s="681"/>
      <c r="L150" s="569"/>
      <c r="M150" s="779" t="e">
        <f>SUBTOTAL(9,M151:M160)</f>
        <v>#REF!</v>
      </c>
      <c r="N150" s="779" t="e">
        <f>SUBTOTAL(9,N151:N160)</f>
        <v>#REF!</v>
      </c>
      <c r="O150" s="779" t="e">
        <f>SUBTOTAL(9,O151:O160)</f>
        <v>#REF!</v>
      </c>
      <c r="P150" s="780" t="e">
        <f t="shared" si="25"/>
        <v>#REF!</v>
      </c>
      <c r="Q150" s="781"/>
      <c r="AA150" s="632"/>
    </row>
    <row r="151" spans="1:27" ht="16.5" customHeight="1" outlineLevel="3">
      <c r="B151" s="776" t="s">
        <v>767</v>
      </c>
      <c r="C151" s="782" t="s">
        <v>39</v>
      </c>
      <c r="D151" s="804" t="s">
        <v>768</v>
      </c>
      <c r="E151" s="665" t="s">
        <v>458</v>
      </c>
      <c r="F151" s="665" t="s">
        <v>41</v>
      </c>
      <c r="G151" s="813">
        <v>1</v>
      </c>
      <c r="H151" s="787" t="s">
        <v>1925</v>
      </c>
      <c r="I151" s="672" t="e">
        <f t="shared" ref="I151:I156" si="31">$H$2</f>
        <v>#REF!</v>
      </c>
      <c r="J151" s="672"/>
      <c r="K151" s="791">
        <f t="shared" ref="K151:K156" si="32">J151/(1+L151)</f>
        <v>0</v>
      </c>
      <c r="L151" s="569">
        <v>0.11</v>
      </c>
      <c r="M151" s="779" t="e">
        <f t="shared" ref="M151:M160" si="33">G151*I151*K151/10000</f>
        <v>#REF!</v>
      </c>
      <c r="N151" s="779" t="e">
        <f t="shared" ref="N151:N156" si="34">L151*M151</f>
        <v>#REF!</v>
      </c>
      <c r="O151" s="779" t="e">
        <f t="shared" ref="O151:O156" si="35">M151+N151</f>
        <v>#REF!</v>
      </c>
      <c r="P151" s="780" t="e">
        <f t="shared" si="25"/>
        <v>#REF!</v>
      </c>
      <c r="Q151" s="806" t="e">
        <f t="shared" ref="Q151:Q160" si="36">G151*I151*J151/10000-O151</f>
        <v>#REF!</v>
      </c>
      <c r="AA151" s="632"/>
    </row>
    <row r="152" spans="1:27" ht="16.5" customHeight="1" outlineLevel="3">
      <c r="B152" s="776" t="s">
        <v>769</v>
      </c>
      <c r="C152" s="782" t="s">
        <v>39</v>
      </c>
      <c r="D152" s="804" t="s">
        <v>1595</v>
      </c>
      <c r="E152" s="665" t="s">
        <v>1596</v>
      </c>
      <c r="F152" s="665" t="s">
        <v>41</v>
      </c>
      <c r="G152" s="813">
        <v>1</v>
      </c>
      <c r="H152" s="787" t="s">
        <v>1925</v>
      </c>
      <c r="I152" s="672" t="e">
        <f t="shared" si="31"/>
        <v>#REF!</v>
      </c>
      <c r="J152" s="672">
        <v>400</v>
      </c>
      <c r="K152" s="791">
        <f t="shared" si="32"/>
        <v>360.36036036036035</v>
      </c>
      <c r="L152" s="569">
        <v>0.11</v>
      </c>
      <c r="M152" s="779" t="e">
        <f t="shared" si="33"/>
        <v>#REF!</v>
      </c>
      <c r="N152" s="779" t="e">
        <f t="shared" si="34"/>
        <v>#REF!</v>
      </c>
      <c r="O152" s="779" t="e">
        <f t="shared" si="35"/>
        <v>#REF!</v>
      </c>
      <c r="P152" s="780" t="e">
        <f t="shared" si="25"/>
        <v>#REF!</v>
      </c>
      <c r="Q152" s="806" t="e">
        <f t="shared" si="36"/>
        <v>#REF!</v>
      </c>
      <c r="AA152" s="632"/>
    </row>
    <row r="153" spans="1:27" ht="16.5" customHeight="1" outlineLevel="3">
      <c r="B153" s="776" t="s">
        <v>770</v>
      </c>
      <c r="C153" s="782" t="s">
        <v>39</v>
      </c>
      <c r="D153" s="804" t="s">
        <v>771</v>
      </c>
      <c r="E153" s="665" t="s">
        <v>1618</v>
      </c>
      <c r="F153" s="665" t="s">
        <v>41</v>
      </c>
      <c r="G153" s="813">
        <v>1</v>
      </c>
      <c r="H153" s="787" t="s">
        <v>1925</v>
      </c>
      <c r="I153" s="672" t="e">
        <f t="shared" si="31"/>
        <v>#REF!</v>
      </c>
      <c r="J153" s="672">
        <v>1500</v>
      </c>
      <c r="K153" s="791">
        <f t="shared" si="32"/>
        <v>1351.3513513513512</v>
      </c>
      <c r="L153" s="569">
        <v>0.11</v>
      </c>
      <c r="M153" s="779" t="e">
        <f t="shared" si="33"/>
        <v>#REF!</v>
      </c>
      <c r="N153" s="779" t="e">
        <f t="shared" si="34"/>
        <v>#REF!</v>
      </c>
      <c r="O153" s="779" t="e">
        <f t="shared" si="35"/>
        <v>#REF!</v>
      </c>
      <c r="P153" s="780" t="e">
        <f t="shared" si="25"/>
        <v>#REF!</v>
      </c>
      <c r="Q153" s="781" t="e">
        <f t="shared" si="36"/>
        <v>#REF!</v>
      </c>
      <c r="AA153" s="632"/>
    </row>
    <row r="154" spans="1:27" ht="16.5" customHeight="1" outlineLevel="3">
      <c r="B154" s="776" t="s">
        <v>772</v>
      </c>
      <c r="C154" s="782" t="s">
        <v>39</v>
      </c>
      <c r="D154" s="804" t="s">
        <v>1619</v>
      </c>
      <c r="E154" s="665" t="s">
        <v>458</v>
      </c>
      <c r="F154" s="665" t="s">
        <v>41</v>
      </c>
      <c r="G154" s="813">
        <v>1</v>
      </c>
      <c r="H154" s="787" t="s">
        <v>1925</v>
      </c>
      <c r="I154" s="672" t="e">
        <f t="shared" si="31"/>
        <v>#REF!</v>
      </c>
      <c r="J154" s="672"/>
      <c r="K154" s="791">
        <f t="shared" si="32"/>
        <v>0</v>
      </c>
      <c r="L154" s="569">
        <v>0.11</v>
      </c>
      <c r="M154" s="779" t="e">
        <f t="shared" si="33"/>
        <v>#REF!</v>
      </c>
      <c r="N154" s="779" t="e">
        <f t="shared" si="34"/>
        <v>#REF!</v>
      </c>
      <c r="O154" s="779" t="e">
        <f t="shared" si="35"/>
        <v>#REF!</v>
      </c>
      <c r="P154" s="780" t="e">
        <f t="shared" si="25"/>
        <v>#REF!</v>
      </c>
      <c r="Q154" s="781" t="e">
        <f t="shared" si="36"/>
        <v>#REF!</v>
      </c>
      <c r="AA154" s="632"/>
    </row>
    <row r="155" spans="1:27" ht="16.5" customHeight="1" outlineLevel="3">
      <c r="B155" s="776" t="s">
        <v>773</v>
      </c>
      <c r="C155" s="782" t="s">
        <v>39</v>
      </c>
      <c r="D155" s="804" t="s">
        <v>1597</v>
      </c>
      <c r="E155" s="665" t="s">
        <v>1620</v>
      </c>
      <c r="F155" s="665" t="s">
        <v>41</v>
      </c>
      <c r="G155" s="813">
        <v>1</v>
      </c>
      <c r="H155" s="787" t="s">
        <v>1925</v>
      </c>
      <c r="I155" s="672" t="e">
        <f t="shared" si="31"/>
        <v>#REF!</v>
      </c>
      <c r="J155" s="672"/>
      <c r="K155" s="791">
        <f t="shared" si="32"/>
        <v>0</v>
      </c>
      <c r="L155" s="569">
        <v>0.17</v>
      </c>
      <c r="M155" s="779" t="e">
        <f t="shared" si="33"/>
        <v>#REF!</v>
      </c>
      <c r="N155" s="779" t="e">
        <f t="shared" si="34"/>
        <v>#REF!</v>
      </c>
      <c r="O155" s="779" t="e">
        <f t="shared" si="35"/>
        <v>#REF!</v>
      </c>
      <c r="P155" s="780" t="e">
        <f t="shared" si="25"/>
        <v>#REF!</v>
      </c>
      <c r="Q155" s="781" t="e">
        <f t="shared" si="36"/>
        <v>#REF!</v>
      </c>
      <c r="AA155" s="632"/>
    </row>
    <row r="156" spans="1:27" ht="16.5" customHeight="1" outlineLevel="3">
      <c r="B156" s="776" t="s">
        <v>774</v>
      </c>
      <c r="C156" s="782" t="s">
        <v>39</v>
      </c>
      <c r="D156" s="804" t="s">
        <v>1598</v>
      </c>
      <c r="E156" s="665" t="s">
        <v>458</v>
      </c>
      <c r="F156" s="665" t="s">
        <v>41</v>
      </c>
      <c r="G156" s="813">
        <v>1</v>
      </c>
      <c r="H156" s="787" t="s">
        <v>1925</v>
      </c>
      <c r="I156" s="672" t="e">
        <f t="shared" si="31"/>
        <v>#REF!</v>
      </c>
      <c r="J156" s="672">
        <v>300</v>
      </c>
      <c r="K156" s="791">
        <f t="shared" si="32"/>
        <v>270.27027027027026</v>
      </c>
      <c r="L156" s="569">
        <v>0.11</v>
      </c>
      <c r="M156" s="779" t="e">
        <f t="shared" si="33"/>
        <v>#REF!</v>
      </c>
      <c r="N156" s="779" t="e">
        <f t="shared" si="34"/>
        <v>#REF!</v>
      </c>
      <c r="O156" s="779" t="e">
        <f t="shared" si="35"/>
        <v>#REF!</v>
      </c>
      <c r="P156" s="780" t="e">
        <f t="shared" si="25"/>
        <v>#REF!</v>
      </c>
      <c r="Q156" s="781" t="e">
        <f t="shared" si="36"/>
        <v>#REF!</v>
      </c>
      <c r="AA156" s="632"/>
    </row>
    <row r="157" spans="1:27" ht="16.5" customHeight="1" outlineLevel="3">
      <c r="B157" s="776" t="s">
        <v>775</v>
      </c>
      <c r="C157" s="782" t="s">
        <v>39</v>
      </c>
      <c r="D157" s="804" t="s">
        <v>1599</v>
      </c>
      <c r="E157" s="665" t="s">
        <v>458</v>
      </c>
      <c r="F157" s="648"/>
      <c r="G157" s="825">
        <v>1</v>
      </c>
      <c r="H157" s="787" t="s">
        <v>1925</v>
      </c>
      <c r="I157" s="672"/>
      <c r="J157" s="672">
        <v>850</v>
      </c>
      <c r="K157" s="787"/>
      <c r="L157" s="569"/>
      <c r="M157" s="779">
        <f t="shared" si="33"/>
        <v>0</v>
      </c>
      <c r="N157" s="779"/>
      <c r="O157" s="779"/>
      <c r="P157" s="780" t="str">
        <f t="shared" si="25"/>
        <v/>
      </c>
      <c r="Q157" s="781">
        <f t="shared" si="36"/>
        <v>0</v>
      </c>
      <c r="AA157" s="632"/>
    </row>
    <row r="158" spans="1:27" ht="16.5" customHeight="1" outlineLevel="3">
      <c r="A158" s="633"/>
      <c r="B158" s="776" t="s">
        <v>813</v>
      </c>
      <c r="C158" s="782" t="s">
        <v>39</v>
      </c>
      <c r="D158" s="804" t="s">
        <v>776</v>
      </c>
      <c r="E158" s="665" t="s">
        <v>458</v>
      </c>
      <c r="F158" s="648"/>
      <c r="G158" s="825"/>
      <c r="H158" s="787"/>
      <c r="I158" s="672"/>
      <c r="J158" s="672"/>
      <c r="K158" s="787"/>
      <c r="L158" s="569"/>
      <c r="M158" s="779">
        <f t="shared" si="33"/>
        <v>0</v>
      </c>
      <c r="N158" s="779"/>
      <c r="O158" s="779"/>
      <c r="P158" s="780" t="str">
        <f t="shared" si="25"/>
        <v/>
      </c>
      <c r="Q158" s="781">
        <f t="shared" si="36"/>
        <v>0</v>
      </c>
      <c r="AA158" s="632"/>
    </row>
    <row r="159" spans="1:27" s="695" customFormat="1" ht="16.5" customHeight="1" outlineLevel="2">
      <c r="A159" s="633"/>
      <c r="B159" s="776" t="s">
        <v>777</v>
      </c>
      <c r="C159" s="777" t="s">
        <v>33</v>
      </c>
      <c r="D159" s="804" t="s">
        <v>814</v>
      </c>
      <c r="E159" s="665" t="s">
        <v>458</v>
      </c>
      <c r="F159" s="826"/>
      <c r="G159" s="826"/>
      <c r="H159" s="827"/>
      <c r="I159" s="828"/>
      <c r="J159" s="828"/>
      <c r="K159" s="827"/>
      <c r="L159" s="612"/>
      <c r="M159" s="779">
        <f t="shared" si="33"/>
        <v>0</v>
      </c>
      <c r="N159" s="779"/>
      <c r="O159" s="779"/>
      <c r="P159" s="780" t="str">
        <f t="shared" si="25"/>
        <v/>
      </c>
      <c r="Q159" s="781">
        <f t="shared" si="36"/>
        <v>0</v>
      </c>
    </row>
    <row r="160" spans="1:27" s="695" customFormat="1" ht="16.5" customHeight="1" outlineLevel="2">
      <c r="A160" s="633"/>
      <c r="B160" s="776" t="s">
        <v>778</v>
      </c>
      <c r="C160" s="777" t="s">
        <v>69</v>
      </c>
      <c r="D160" s="804" t="s">
        <v>815</v>
      </c>
      <c r="E160" s="665" t="s">
        <v>458</v>
      </c>
      <c r="F160" s="826"/>
      <c r="G160" s="826"/>
      <c r="H160" s="827"/>
      <c r="I160" s="828"/>
      <c r="J160" s="828"/>
      <c r="K160" s="827"/>
      <c r="L160" s="612"/>
      <c r="M160" s="779">
        <f t="shared" si="33"/>
        <v>0</v>
      </c>
      <c r="N160" s="779"/>
      <c r="O160" s="779"/>
      <c r="P160" s="780" t="str">
        <f t="shared" si="25"/>
        <v/>
      </c>
      <c r="Q160" s="781">
        <f t="shared" si="36"/>
        <v>0</v>
      </c>
    </row>
    <row r="161" spans="2:27" ht="16.5" customHeight="1" outlineLevel="1">
      <c r="B161" s="771" t="s">
        <v>503</v>
      </c>
      <c r="C161" s="712">
        <v>4</v>
      </c>
      <c r="D161" s="771" t="s">
        <v>92</v>
      </c>
      <c r="E161" s="712"/>
      <c r="F161" s="712"/>
      <c r="G161" s="712"/>
      <c r="H161" s="772"/>
      <c r="I161" s="713"/>
      <c r="J161" s="713"/>
      <c r="K161" s="772"/>
      <c r="L161" s="588"/>
      <c r="M161" s="773" t="e">
        <f>SUBTOTAL(9,M162:M167)</f>
        <v>#REF!</v>
      </c>
      <c r="N161" s="773" t="e">
        <f>SUBTOTAL(9,N162:N167)</f>
        <v>#REF!</v>
      </c>
      <c r="O161" s="773" t="e">
        <f>SUBTOTAL(9,O162:O167)</f>
        <v>#REF!</v>
      </c>
      <c r="P161" s="774" t="e">
        <f t="shared" si="25"/>
        <v>#REF!</v>
      </c>
      <c r="Q161" s="775"/>
      <c r="AA161" s="632"/>
    </row>
    <row r="162" spans="2:27" ht="16.5" customHeight="1" outlineLevel="2">
      <c r="B162" s="776" t="s">
        <v>1600</v>
      </c>
      <c r="C162" s="777" t="s">
        <v>36</v>
      </c>
      <c r="D162" s="804" t="s">
        <v>93</v>
      </c>
      <c r="E162" s="665" t="s">
        <v>461</v>
      </c>
      <c r="F162" s="665" t="e">
        <f>#REF!</f>
        <v>#REF!</v>
      </c>
      <c r="G162" s="813">
        <v>1</v>
      </c>
      <c r="H162" s="787" t="s">
        <v>145</v>
      </c>
      <c r="I162" s="672" t="e">
        <f>$H$2</f>
        <v>#REF!</v>
      </c>
      <c r="J162" s="672">
        <v>20</v>
      </c>
      <c r="K162" s="791">
        <f>J162/(1+L162)</f>
        <v>17.094017094017094</v>
      </c>
      <c r="L162" s="569">
        <v>0.17</v>
      </c>
      <c r="M162" s="779" t="e">
        <f t="shared" ref="M162:M167" si="37">G162*I162*K162/10000</f>
        <v>#REF!</v>
      </c>
      <c r="N162" s="779" t="e">
        <f>L162*M162</f>
        <v>#REF!</v>
      </c>
      <c r="O162" s="779" t="e">
        <f>M162+N162</f>
        <v>#REF!</v>
      </c>
      <c r="P162" s="780" t="e">
        <f t="shared" si="25"/>
        <v>#REF!</v>
      </c>
      <c r="Q162" s="781" t="e">
        <f t="shared" ref="Q162:Q167" si="38">G162*I162*J162/10000-O162</f>
        <v>#REF!</v>
      </c>
      <c r="AA162" s="632"/>
    </row>
    <row r="163" spans="2:27" ht="16.5" customHeight="1" outlineLevel="2">
      <c r="B163" s="776" t="s">
        <v>1601</v>
      </c>
      <c r="C163" s="777" t="s">
        <v>68</v>
      </c>
      <c r="D163" s="804" t="s">
        <v>94</v>
      </c>
      <c r="E163" s="648" t="s">
        <v>1602</v>
      </c>
      <c r="F163" s="665" t="s">
        <v>41</v>
      </c>
      <c r="G163" s="813">
        <v>0.7</v>
      </c>
      <c r="H163" s="787" t="s">
        <v>1926</v>
      </c>
      <c r="I163" s="672" t="e">
        <f>$H$2</f>
        <v>#REF!</v>
      </c>
      <c r="J163" s="672"/>
      <c r="K163" s="791">
        <f>J163/(1+L163)</f>
        <v>0</v>
      </c>
      <c r="L163" s="569">
        <f>17%*0.7+11%*0.3</f>
        <v>0.152</v>
      </c>
      <c r="M163" s="779" t="e">
        <f t="shared" si="37"/>
        <v>#REF!</v>
      </c>
      <c r="N163" s="779" t="e">
        <f>L163*M163</f>
        <v>#REF!</v>
      </c>
      <c r="O163" s="779" t="e">
        <f>M163+N163</f>
        <v>#REF!</v>
      </c>
      <c r="P163" s="780" t="e">
        <f t="shared" si="25"/>
        <v>#REF!</v>
      </c>
      <c r="Q163" s="781" t="e">
        <f t="shared" si="38"/>
        <v>#REF!</v>
      </c>
      <c r="AA163" s="632"/>
    </row>
    <row r="164" spans="2:27" ht="16.5" customHeight="1" outlineLevel="2">
      <c r="B164" s="776" t="s">
        <v>779</v>
      </c>
      <c r="C164" s="777" t="s">
        <v>69</v>
      </c>
      <c r="D164" s="804" t="s">
        <v>95</v>
      </c>
      <c r="E164" s="648" t="s">
        <v>1621</v>
      </c>
      <c r="F164" s="648"/>
      <c r="G164" s="787">
        <v>0.3</v>
      </c>
      <c r="H164" s="787" t="s">
        <v>1926</v>
      </c>
      <c r="I164" s="672"/>
      <c r="J164" s="672"/>
      <c r="K164" s="681"/>
      <c r="L164" s="569"/>
      <c r="M164" s="779">
        <f t="shared" si="37"/>
        <v>0</v>
      </c>
      <c r="N164" s="779"/>
      <c r="O164" s="779"/>
      <c r="P164" s="780" t="str">
        <f>IF(O164="","",O164*10000/E$2)</f>
        <v/>
      </c>
      <c r="Q164" s="781">
        <f t="shared" si="38"/>
        <v>0</v>
      </c>
      <c r="AA164" s="632"/>
    </row>
    <row r="165" spans="2:27" ht="16.5" customHeight="1" outlineLevel="2">
      <c r="B165" s="776" t="s">
        <v>780</v>
      </c>
      <c r="C165" s="777" t="s">
        <v>70</v>
      </c>
      <c r="D165" s="804" t="s">
        <v>96</v>
      </c>
      <c r="E165" s="648" t="s">
        <v>1621</v>
      </c>
      <c r="F165" s="648"/>
      <c r="G165" s="787"/>
      <c r="H165" s="787"/>
      <c r="I165" s="672"/>
      <c r="J165" s="672"/>
      <c r="K165" s="681"/>
      <c r="L165" s="569"/>
      <c r="M165" s="779">
        <f t="shared" si="37"/>
        <v>0</v>
      </c>
      <c r="N165" s="779"/>
      <c r="O165" s="779"/>
      <c r="P165" s="780" t="str">
        <f>IF(O165="","",O165*10000/E$2)</f>
        <v/>
      </c>
      <c r="Q165" s="781">
        <f t="shared" si="38"/>
        <v>0</v>
      </c>
      <c r="AA165" s="632"/>
    </row>
    <row r="166" spans="2:27" ht="16.5" customHeight="1" outlineLevel="2">
      <c r="B166" s="776" t="s">
        <v>781</v>
      </c>
      <c r="C166" s="777" t="s">
        <v>71</v>
      </c>
      <c r="D166" s="804" t="s">
        <v>98</v>
      </c>
      <c r="E166" s="648" t="s">
        <v>1621</v>
      </c>
      <c r="F166" s="648"/>
      <c r="G166" s="787"/>
      <c r="H166" s="787"/>
      <c r="I166" s="672"/>
      <c r="J166" s="672"/>
      <c r="K166" s="681"/>
      <c r="L166" s="569"/>
      <c r="M166" s="779">
        <f t="shared" si="37"/>
        <v>0</v>
      </c>
      <c r="N166" s="779"/>
      <c r="O166" s="779"/>
      <c r="P166" s="780" t="str">
        <f>IF(O166="","",O166*10000/E$2)</f>
        <v/>
      </c>
      <c r="Q166" s="781">
        <f t="shared" si="38"/>
        <v>0</v>
      </c>
      <c r="AA166" s="632"/>
    </row>
    <row r="167" spans="2:27" ht="16.5" customHeight="1" outlineLevel="2">
      <c r="B167" s="776" t="s">
        <v>782</v>
      </c>
      <c r="C167" s="777" t="s">
        <v>144</v>
      </c>
      <c r="D167" s="804" t="s">
        <v>816</v>
      </c>
      <c r="E167" s="648" t="s">
        <v>1621</v>
      </c>
      <c r="F167" s="648"/>
      <c r="G167" s="787"/>
      <c r="H167" s="787"/>
      <c r="I167" s="672"/>
      <c r="J167" s="672"/>
      <c r="K167" s="681"/>
      <c r="L167" s="569"/>
      <c r="M167" s="779">
        <f t="shared" si="37"/>
        <v>0</v>
      </c>
      <c r="N167" s="779"/>
      <c r="O167" s="779"/>
      <c r="P167" s="780" t="str">
        <f>IF(O167="","",O167*10000/E$2)</f>
        <v/>
      </c>
      <c r="Q167" s="781">
        <f t="shared" si="38"/>
        <v>0</v>
      </c>
      <c r="AA167" s="632"/>
    </row>
    <row r="168" spans="2:27" ht="16.5" customHeight="1">
      <c r="C168" s="632"/>
      <c r="G168" s="632"/>
      <c r="H168" s="632"/>
      <c r="I168" s="632"/>
      <c r="J168" s="632"/>
      <c r="L168" s="748" t="s">
        <v>24</v>
      </c>
      <c r="M168" s="829" t="s">
        <v>2049</v>
      </c>
      <c r="N168" s="829" t="s">
        <v>2048</v>
      </c>
      <c r="AA168" s="632"/>
    </row>
    <row r="169" spans="2:27" ht="15.5">
      <c r="C169" s="632"/>
      <c r="G169" s="632"/>
      <c r="H169" s="632"/>
      <c r="I169" s="632"/>
      <c r="J169" s="632"/>
      <c r="K169" s="748" t="s">
        <v>2047</v>
      </c>
      <c r="L169" s="830" t="s">
        <v>2045</v>
      </c>
      <c r="M169" s="750" t="e">
        <f>O4+O69+O88</f>
        <v>#REF!</v>
      </c>
      <c r="N169" s="750" t="e">
        <f>+O4+O88</f>
        <v>#REF!</v>
      </c>
      <c r="O169" s="829"/>
      <c r="Z169" s="831">
        <f>SUM(Z4:Z168)</f>
        <v>0</v>
      </c>
      <c r="AA169" s="632"/>
    </row>
    <row r="170" spans="2:27" ht="24" customHeight="1">
      <c r="L170" s="748" t="s">
        <v>2044</v>
      </c>
      <c r="M170" s="750" t="e">
        <f>M169/$E$2*10000</f>
        <v>#REF!</v>
      </c>
      <c r="N170" s="832" t="e">
        <f>N169/$E$2*10000</f>
        <v>#REF!</v>
      </c>
    </row>
    <row r="171" spans="2:27" ht="24" customHeight="1">
      <c r="K171" s="748" t="s">
        <v>2046</v>
      </c>
      <c r="L171" s="830" t="s">
        <v>2045</v>
      </c>
      <c r="M171" s="750" t="e">
        <f>+M4+M69+M88</f>
        <v>#REF!</v>
      </c>
      <c r="N171" s="750" t="e">
        <f>+M4+M88</f>
        <v>#REF!</v>
      </c>
    </row>
    <row r="172" spans="2:27" ht="24" customHeight="1">
      <c r="L172" s="748" t="s">
        <v>2044</v>
      </c>
      <c r="M172" s="750" t="e">
        <f>M171/$E$2*10000</f>
        <v>#REF!</v>
      </c>
      <c r="N172" s="750" t="e">
        <f>N171/$E$2*10000</f>
        <v>#REF!</v>
      </c>
    </row>
  </sheetData>
  <autoFilter ref="A3:AA168"/>
  <phoneticPr fontId="19" type="noConversion"/>
  <conditionalFormatting sqref="J81">
    <cfRule type="cellIs" priority="11" operator="equal">
      <formula>0</formula>
    </cfRule>
    <cfRule type="cellIs" dxfId="349" priority="12" operator="equal">
      <formula>0</formula>
    </cfRule>
  </conditionalFormatting>
  <conditionalFormatting sqref="B129:C129">
    <cfRule type="duplicateValues" dxfId="348" priority="161"/>
  </conditionalFormatting>
  <conditionalFormatting sqref="B69:C69">
    <cfRule type="duplicateValues" dxfId="347" priority="167"/>
  </conditionalFormatting>
  <conditionalFormatting sqref="B86:C87">
    <cfRule type="duplicateValues" dxfId="346" priority="164"/>
  </conditionalFormatting>
  <conditionalFormatting sqref="B36:C36">
    <cfRule type="duplicateValues" dxfId="345" priority="168"/>
  </conditionalFormatting>
  <conditionalFormatting sqref="B161:C161">
    <cfRule type="duplicateValues" dxfId="344" priority="159"/>
  </conditionalFormatting>
  <conditionalFormatting sqref="B70:C70">
    <cfRule type="duplicateValues" dxfId="343" priority="166"/>
  </conditionalFormatting>
  <conditionalFormatting sqref="B88:C88">
    <cfRule type="duplicateValues" dxfId="342" priority="163"/>
  </conditionalFormatting>
  <conditionalFormatting sqref="B4:C4">
    <cfRule type="duplicateValues" dxfId="341" priority="170"/>
  </conditionalFormatting>
  <conditionalFormatting sqref="B149:C149">
    <cfRule type="duplicateValues" dxfId="340" priority="160"/>
  </conditionalFormatting>
  <conditionalFormatting sqref="D1:D5 D9:D65536">
    <cfRule type="duplicateValues" dxfId="339" priority="173"/>
  </conditionalFormatting>
  <conditionalFormatting sqref="B82:C82">
    <cfRule type="duplicateValues" dxfId="338" priority="165"/>
  </conditionalFormatting>
  <conditionalFormatting sqref="I36:J37 I66:J66 I113:J113 I117:J119 I124:J126 I128:J131 I145:J150 I141:J141 I164:J65536 I157:J161 I31 I18:I19 I23:I26 I41:J41 I82:J91 I94:J94 I134:J134 I4:J7 I44:J44 I46:J47 I56:J57 I69:J70 I99:J99 I102:J102 I105:J106 I110:J111 I108:J108 I8:I10 J8:J35">
    <cfRule type="cellIs" dxfId="337" priority="172" operator="equal">
      <formula>0</formula>
    </cfRule>
  </conditionalFormatting>
  <conditionalFormatting sqref="B89:C89">
    <cfRule type="duplicateValues" dxfId="336" priority="162"/>
  </conditionalFormatting>
  <conditionalFormatting sqref="B5:C5">
    <cfRule type="duplicateValues" dxfId="335" priority="169"/>
  </conditionalFormatting>
  <conditionalFormatting sqref="D6:D8">
    <cfRule type="duplicateValues" dxfId="334" priority="174"/>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E2" sqref="E2"/>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1918</v>
      </c>
      <c r="E1" s="624" t="s">
        <v>11</v>
      </c>
      <c r="F1" s="624" t="s">
        <v>581</v>
      </c>
      <c r="G1" s="624" t="s">
        <v>9</v>
      </c>
      <c r="H1" s="624" t="s">
        <v>41</v>
      </c>
      <c r="I1" s="624" t="s">
        <v>130</v>
      </c>
      <c r="J1" s="624"/>
      <c r="K1" s="624" t="s">
        <v>114</v>
      </c>
      <c r="L1" s="624"/>
      <c r="M1" s="624"/>
      <c r="N1" s="754"/>
      <c r="O1" s="754"/>
      <c r="P1" s="754"/>
      <c r="Q1" s="755"/>
      <c r="U1" s="633">
        <v>418</v>
      </c>
      <c r="AA1" s="756"/>
    </row>
    <row r="2" spans="2:27" s="633" customFormat="1" ht="17.25" customHeight="1">
      <c r="C2" s="752"/>
      <c r="D2" s="753" t="s">
        <v>1919</v>
      </c>
      <c r="E2" s="757">
        <f>'2-规划指标'!H25</f>
        <v>0</v>
      </c>
      <c r="F2" s="758">
        <v>0</v>
      </c>
      <c r="G2" s="759">
        <f>'2-规划指标'!G25</f>
        <v>0</v>
      </c>
      <c r="H2" s="759">
        <f>'2-规划指标'!N25</f>
        <v>0</v>
      </c>
      <c r="I2" s="759">
        <f>'2-规划指标'!M25</f>
        <v>0</v>
      </c>
      <c r="J2" s="759"/>
      <c r="K2" s="759">
        <f>'2-规划指标'!O25</f>
        <v>0</v>
      </c>
      <c r="L2" s="759"/>
      <c r="M2" s="760"/>
      <c r="N2" s="761"/>
      <c r="O2" s="761"/>
      <c r="P2" s="761"/>
      <c r="Q2" s="755"/>
      <c r="AA2" s="756"/>
    </row>
    <row r="3" spans="2:27" s="748" customFormat="1" ht="24" customHeight="1">
      <c r="B3" s="997" t="s">
        <v>25</v>
      </c>
      <c r="C3" s="997"/>
      <c r="D3" s="997" t="s">
        <v>23</v>
      </c>
      <c r="E3" s="762" t="s">
        <v>444</v>
      </c>
      <c r="F3" s="762" t="s">
        <v>126</v>
      </c>
      <c r="G3" s="762" t="s">
        <v>108</v>
      </c>
      <c r="H3" s="762" t="s">
        <v>109</v>
      </c>
      <c r="I3" s="762" t="s">
        <v>125</v>
      </c>
      <c r="J3" s="763" t="s">
        <v>1067</v>
      </c>
      <c r="K3" s="997" t="s">
        <v>15</v>
      </c>
      <c r="L3" s="997" t="s">
        <v>515</v>
      </c>
      <c r="M3" s="764" t="s">
        <v>1069</v>
      </c>
      <c r="N3" s="764" t="s">
        <v>1019</v>
      </c>
      <c r="O3" s="764" t="s">
        <v>1071</v>
      </c>
      <c r="P3" s="888" t="s">
        <v>1072</v>
      </c>
      <c r="Q3" s="997" t="s">
        <v>127</v>
      </c>
    </row>
    <row r="4" spans="2:27" ht="16.5" customHeight="1" collapsed="1">
      <c r="B4" s="480" t="s">
        <v>537</v>
      </c>
      <c r="C4" s="481" t="s">
        <v>85</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652</v>
      </c>
      <c r="C7" s="782" t="s">
        <v>39</v>
      </c>
      <c r="D7" s="783" t="s">
        <v>1480</v>
      </c>
      <c r="E7" s="307" t="s">
        <v>1278</v>
      </c>
      <c r="F7" s="307" t="s">
        <v>9</v>
      </c>
      <c r="G7" s="784">
        <v>3.5</v>
      </c>
      <c r="H7" s="785" t="s">
        <v>103</v>
      </c>
      <c r="I7" s="614">
        <f>$G$2</f>
        <v>0</v>
      </c>
      <c r="J7" s="614">
        <v>50</v>
      </c>
      <c r="K7" s="778">
        <f>J7/(1+L7)</f>
        <v>45.045045045045043</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9</v>
      </c>
      <c r="G8" s="784">
        <v>1.5</v>
      </c>
      <c r="H8" s="785" t="s">
        <v>103</v>
      </c>
      <c r="I8" s="614">
        <f>$G$2</f>
        <v>0</v>
      </c>
      <c r="J8" s="614">
        <v>50</v>
      </c>
      <c r="K8" s="778">
        <f>J8/(1+L8)</f>
        <v>45.045045045045043</v>
      </c>
      <c r="L8" s="569">
        <v>0.11</v>
      </c>
      <c r="M8" s="779">
        <f>G8*I8*K8/10000</f>
        <v>0</v>
      </c>
      <c r="N8" s="779">
        <f>L8*M8</f>
        <v>0</v>
      </c>
      <c r="O8" s="779">
        <f>M8+N8</f>
        <v>0</v>
      </c>
      <c r="P8" s="780" t="e">
        <f t="shared" si="0"/>
        <v>#DIV/0!</v>
      </c>
      <c r="Q8" s="781">
        <f>G8*I8*J8/10000-O8</f>
        <v>0</v>
      </c>
      <c r="AA8" s="632"/>
    </row>
    <row r="9" spans="2:27" ht="16.5"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128</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v>
      </c>
      <c r="H11" s="787" t="s">
        <v>103</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0.47</v>
      </c>
      <c r="H12" s="787" t="s">
        <v>103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0</v>
      </c>
      <c r="H14" s="787" t="s">
        <v>112</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49</v>
      </c>
      <c r="H15" s="787" t="s">
        <v>112</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3.3</v>
      </c>
      <c r="H16" s="787" t="s">
        <v>102</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0.28999999999999998</v>
      </c>
      <c r="H17" s="787" t="s">
        <v>103</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3</v>
      </c>
      <c r="H18" s="790" t="s">
        <v>1730</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1487</v>
      </c>
      <c r="E20" s="648" t="s">
        <v>1488</v>
      </c>
      <c r="F20" s="648" t="s">
        <v>657</v>
      </c>
      <c r="G20" s="672">
        <v>0.89</v>
      </c>
      <c r="H20" s="787" t="s">
        <v>102</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0.89</v>
      </c>
      <c r="H21" s="787" t="s">
        <v>102</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102</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102</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102</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102</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c r="H28" s="790" t="s">
        <v>102</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1.35</v>
      </c>
      <c r="H29" s="790" t="s">
        <v>102</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1605</v>
      </c>
      <c r="G30" s="672">
        <v>1</v>
      </c>
      <c r="H30" s="790" t="s">
        <v>111</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111</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1606</v>
      </c>
      <c r="F32" s="648" t="s">
        <v>657</v>
      </c>
      <c r="G32" s="672">
        <v>1</v>
      </c>
      <c r="H32" s="790" t="s">
        <v>111</v>
      </c>
      <c r="I32" s="672">
        <f>$E$2*(1+$F$2)</f>
        <v>0</v>
      </c>
      <c r="J32" s="672"/>
      <c r="K32" s="778">
        <f t="shared" si="6"/>
        <v>0</v>
      </c>
      <c r="L32" s="569">
        <v>0.17</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111</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111</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111</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111</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111</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111</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119</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c r="H45" s="787" t="s">
        <v>111</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41</v>
      </c>
      <c r="G46" s="672">
        <v>1</v>
      </c>
      <c r="H46" s="787" t="s">
        <v>119</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111</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111</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111</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111</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111</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v>1</v>
      </c>
      <c r="H53" s="787" t="s">
        <v>111</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111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111</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130</v>
      </c>
      <c r="G58" s="791">
        <v>2</v>
      </c>
      <c r="H58" s="795" t="s">
        <v>1777</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130</v>
      </c>
      <c r="G59" s="791">
        <v>2</v>
      </c>
      <c r="H59" s="795" t="s">
        <v>1777</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1607</v>
      </c>
      <c r="F78" s="648" t="s">
        <v>657</v>
      </c>
      <c r="G78" s="791">
        <v>1</v>
      </c>
      <c r="H78" s="795" t="s">
        <v>143</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hidden="1" customHeight="1" outlineLevel="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801</v>
      </c>
      <c r="C92" s="782"/>
      <c r="D92" s="807" t="s">
        <v>1556</v>
      </c>
      <c r="E92" s="648" t="s">
        <v>459</v>
      </c>
      <c r="F92" s="648" t="s">
        <v>657</v>
      </c>
      <c r="G92" s="808">
        <v>1.05</v>
      </c>
      <c r="H92" s="805" t="s">
        <v>102</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102</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hidden="1" customHeight="1" outlineLevel="4">
      <c r="B95" s="776" t="s">
        <v>802</v>
      </c>
      <c r="C95" s="782"/>
      <c r="D95" s="807" t="s">
        <v>1560</v>
      </c>
      <c r="E95" s="719" t="s">
        <v>1609</v>
      </c>
      <c r="F95" s="648" t="s">
        <v>657</v>
      </c>
      <c r="G95" s="809">
        <v>0</v>
      </c>
      <c r="H95" s="805" t="s">
        <v>102</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1609</v>
      </c>
      <c r="F96" s="648" t="s">
        <v>657</v>
      </c>
      <c r="G96" s="809">
        <v>0</v>
      </c>
      <c r="H96" s="805" t="s">
        <v>102</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1609</v>
      </c>
      <c r="F97" s="648" t="s">
        <v>657</v>
      </c>
      <c r="G97" s="809">
        <v>0</v>
      </c>
      <c r="H97" s="805" t="s">
        <v>102</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1609</v>
      </c>
      <c r="F98" s="648" t="s">
        <v>657</v>
      </c>
      <c r="G98" s="809">
        <v>0</v>
      </c>
      <c r="H98" s="805" t="s">
        <v>102</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1568</v>
      </c>
      <c r="C100" s="782"/>
      <c r="D100" s="807" t="s">
        <v>1569</v>
      </c>
      <c r="E100" s="665" t="s">
        <v>469</v>
      </c>
      <c r="F100" s="648" t="s">
        <v>657</v>
      </c>
      <c r="G100" s="809">
        <v>0.25</v>
      </c>
      <c r="H100" s="805" t="s">
        <v>102</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102</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1574</v>
      </c>
      <c r="C103" s="782"/>
      <c r="D103" s="804" t="s">
        <v>1575</v>
      </c>
      <c r="E103" s="665" t="s">
        <v>468</v>
      </c>
      <c r="F103" s="648" t="s">
        <v>657</v>
      </c>
      <c r="G103" s="809">
        <v>0</v>
      </c>
      <c r="H103" s="805" t="s">
        <v>111</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111</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708</v>
      </c>
      <c r="E106" s="648" t="s">
        <v>1580</v>
      </c>
      <c r="F106" s="665" t="s">
        <v>130</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1606</v>
      </c>
      <c r="F107" s="648" t="s">
        <v>657</v>
      </c>
      <c r="G107" s="809"/>
      <c r="H107" s="805" t="s">
        <v>102</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1606</v>
      </c>
      <c r="F108" s="665" t="s">
        <v>130</v>
      </c>
      <c r="G108" s="811">
        <v>0</v>
      </c>
      <c r="H108" s="805" t="s">
        <v>123</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97</v>
      </c>
      <c r="E109" s="648" t="s">
        <v>470</v>
      </c>
      <c r="F109" s="648" t="s">
        <v>657</v>
      </c>
      <c r="G109" s="808">
        <v>0</v>
      </c>
      <c r="H109" s="805" t="s">
        <v>111</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715</v>
      </c>
      <c r="E112" s="665" t="s">
        <v>1583</v>
      </c>
      <c r="F112" s="665" t="s">
        <v>803</v>
      </c>
      <c r="G112" s="813">
        <v>6</v>
      </c>
      <c r="H112" s="805" t="s">
        <v>1836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114</v>
      </c>
      <c r="G113" s="813"/>
      <c r="H113" s="805" t="s">
        <v>1836</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719</v>
      </c>
      <c r="E114" s="665" t="s">
        <v>1583</v>
      </c>
      <c r="F114" s="665" t="s">
        <v>41</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1585</v>
      </c>
      <c r="C115" s="782" t="s">
        <v>39</v>
      </c>
      <c r="D115" s="804" t="s">
        <v>720</v>
      </c>
      <c r="E115" s="665" t="s">
        <v>1583</v>
      </c>
      <c r="F115" s="665" t="s">
        <v>41</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1586</v>
      </c>
      <c r="C116" s="782" t="s">
        <v>39</v>
      </c>
      <c r="D116" s="804" t="s">
        <v>721</v>
      </c>
      <c r="E116" s="665" t="s">
        <v>1583</v>
      </c>
      <c r="F116" s="665" t="s">
        <v>41</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88</v>
      </c>
      <c r="D117" s="804" t="s">
        <v>129</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725</v>
      </c>
      <c r="E118" s="665" t="s">
        <v>1580</v>
      </c>
      <c r="F118" s="665" t="s">
        <v>130</v>
      </c>
      <c r="G118" s="814"/>
      <c r="H118" s="805" t="s">
        <v>1611</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61</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1612</v>
      </c>
      <c r="C120" s="782"/>
      <c r="D120" s="807" t="s">
        <v>1613</v>
      </c>
      <c r="E120" s="665" t="s">
        <v>1587</v>
      </c>
      <c r="F120" s="665" t="s">
        <v>1614</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1615</v>
      </c>
      <c r="E121" s="665" t="s">
        <v>1589</v>
      </c>
      <c r="F121" s="665" t="s">
        <v>1614</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729</v>
      </c>
      <c r="E122" s="648" t="s">
        <v>1590</v>
      </c>
      <c r="F122" s="665" t="s">
        <v>803</v>
      </c>
      <c r="G122" s="813">
        <v>4.4999999999999998E-2</v>
      </c>
      <c r="H122" s="805" t="s">
        <v>1591</v>
      </c>
      <c r="I122" s="672">
        <f>$I$2*($K$2+1)</f>
        <v>0</v>
      </c>
      <c r="J122" s="672">
        <v>450</v>
      </c>
      <c r="K122" s="791">
        <f>J122/(1+L122)</f>
        <v>405.40540540540536</v>
      </c>
      <c r="L122" s="620">
        <v>0.11</v>
      </c>
      <c r="M122" s="779">
        <f>G122*I122*K122/10000</f>
        <v>0</v>
      </c>
      <c r="N122" s="779">
        <f>L122*M122</f>
        <v>0</v>
      </c>
      <c r="O122" s="779">
        <f>M122+N122</f>
        <v>0</v>
      </c>
      <c r="P122" s="780" t="e">
        <f t="shared" si="14"/>
        <v>#DIV/0!</v>
      </c>
      <c r="Q122" s="781">
        <f t="shared" si="25"/>
        <v>0</v>
      </c>
      <c r="AA122" s="632"/>
    </row>
    <row r="123" spans="2:27" ht="16.5" hidden="1" customHeight="1" outlineLevel="3">
      <c r="B123" s="776" t="s">
        <v>730</v>
      </c>
      <c r="C123" s="782" t="s">
        <v>39</v>
      </c>
      <c r="D123" s="804" t="s">
        <v>62</v>
      </c>
      <c r="E123" s="665" t="s">
        <v>1580</v>
      </c>
      <c r="F123" s="648" t="s">
        <v>657</v>
      </c>
      <c r="G123" s="808">
        <v>0.39</v>
      </c>
      <c r="H123" s="805" t="s">
        <v>102</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78</v>
      </c>
      <c r="D124" s="804" t="s">
        <v>732</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734</v>
      </c>
      <c r="E125" s="814" t="s">
        <v>1228</v>
      </c>
      <c r="F125" s="814" t="s">
        <v>9</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737</v>
      </c>
      <c r="C127" s="782" t="s">
        <v>39</v>
      </c>
      <c r="D127" s="815" t="s">
        <v>738</v>
      </c>
      <c r="E127" s="648" t="s">
        <v>1616</v>
      </c>
      <c r="F127" s="648" t="s">
        <v>657</v>
      </c>
      <c r="G127" s="808">
        <v>1</v>
      </c>
      <c r="H127" s="805" t="s">
        <v>111</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740</v>
      </c>
      <c r="E128" s="665" t="s">
        <v>463</v>
      </c>
      <c r="F128" s="665" t="s">
        <v>41</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501</v>
      </c>
      <c r="C129" s="712">
        <v>2</v>
      </c>
      <c r="D129" s="771" t="s">
        <v>115</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36</v>
      </c>
      <c r="D130" s="817" t="s">
        <v>133</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743</v>
      </c>
      <c r="C131" s="782" t="s">
        <v>39</v>
      </c>
      <c r="D131" s="815" t="s">
        <v>1592</v>
      </c>
      <c r="E131" s="648" t="s">
        <v>1617</v>
      </c>
      <c r="F131" s="648" t="s">
        <v>130</v>
      </c>
      <c r="G131" s="787"/>
      <c r="H131" s="805" t="s">
        <v>123</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1593</v>
      </c>
      <c r="E132" s="648" t="s">
        <v>457</v>
      </c>
      <c r="F132" s="648" t="s">
        <v>130</v>
      </c>
      <c r="G132" s="787"/>
      <c r="H132" s="805" t="s">
        <v>123</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1594</v>
      </c>
      <c r="E133" s="648" t="s">
        <v>1329</v>
      </c>
      <c r="F133" s="648" t="s">
        <v>130</v>
      </c>
      <c r="G133" s="787"/>
      <c r="H133" s="805" t="s">
        <v>123</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746</v>
      </c>
      <c r="C134" s="777" t="s">
        <v>33</v>
      </c>
      <c r="D134" s="817" t="s">
        <v>131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747</v>
      </c>
      <c r="C135" s="782" t="s">
        <v>39</v>
      </c>
      <c r="D135" s="815" t="s">
        <v>748</v>
      </c>
      <c r="E135" s="648" t="s">
        <v>1617</v>
      </c>
      <c r="F135" s="648" t="s">
        <v>130</v>
      </c>
      <c r="G135" s="787"/>
      <c r="H135" s="805" t="s">
        <v>123</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750</v>
      </c>
      <c r="E136" s="648" t="s">
        <v>457</v>
      </c>
      <c r="F136" s="648" t="s">
        <v>130</v>
      </c>
      <c r="G136" s="787"/>
      <c r="H136" s="805" t="s">
        <v>123</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752</v>
      </c>
      <c r="E137" s="648" t="s">
        <v>1329</v>
      </c>
      <c r="F137" s="648" t="s">
        <v>130</v>
      </c>
      <c r="G137" s="787"/>
      <c r="H137" s="805" t="s">
        <v>123</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753</v>
      </c>
      <c r="C138" s="777" t="s">
        <v>88</v>
      </c>
      <c r="D138" s="817" t="s">
        <v>754</v>
      </c>
      <c r="E138" s="648" t="s">
        <v>1617</v>
      </c>
      <c r="F138" s="648" t="s">
        <v>130</v>
      </c>
      <c r="G138" s="787"/>
      <c r="H138" s="805" t="s">
        <v>123</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116</v>
      </c>
      <c r="E139" s="648" t="s">
        <v>1617</v>
      </c>
      <c r="F139" s="648" t="s">
        <v>130</v>
      </c>
      <c r="G139" s="787"/>
      <c r="H139" s="805" t="s">
        <v>123</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757</v>
      </c>
      <c r="E140" s="648" t="s">
        <v>1617</v>
      </c>
      <c r="F140" s="665" t="s">
        <v>803</v>
      </c>
      <c r="G140" s="813"/>
      <c r="H140" s="805" t="s">
        <v>117</v>
      </c>
      <c r="I140" s="672"/>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758</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759</v>
      </c>
      <c r="C142" s="782" t="s">
        <v>39</v>
      </c>
      <c r="D142" s="815" t="s">
        <v>760</v>
      </c>
      <c r="E142" s="648" t="s">
        <v>1617</v>
      </c>
      <c r="F142" s="665" t="s">
        <v>804</v>
      </c>
      <c r="G142" s="813"/>
      <c r="H142" s="805" t="s">
        <v>117</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805</v>
      </c>
      <c r="E143" s="648" t="s">
        <v>457</v>
      </c>
      <c r="F143" s="665" t="s">
        <v>804</v>
      </c>
      <c r="G143" s="813"/>
      <c r="H143" s="805" t="s">
        <v>117</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806</v>
      </c>
      <c r="E144" s="648" t="s">
        <v>1329</v>
      </c>
      <c r="F144" s="665" t="s">
        <v>804</v>
      </c>
      <c r="G144" s="813"/>
      <c r="H144" s="805" t="s">
        <v>117</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41</v>
      </c>
      <c r="G151" s="813">
        <v>1</v>
      </c>
      <c r="H151" s="787" t="s">
        <v>669</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1595</v>
      </c>
      <c r="E152" s="665" t="s">
        <v>1596</v>
      </c>
      <c r="F152" s="665" t="s">
        <v>41</v>
      </c>
      <c r="G152" s="813">
        <v>1</v>
      </c>
      <c r="H152" s="787" t="s">
        <v>669</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1618</v>
      </c>
      <c r="F153" s="665" t="s">
        <v>41</v>
      </c>
      <c r="G153" s="813">
        <v>1</v>
      </c>
      <c r="H153" s="787" t="s">
        <v>669</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1619</v>
      </c>
      <c r="E154" s="665" t="s">
        <v>458</v>
      </c>
      <c r="F154" s="665" t="s">
        <v>41</v>
      </c>
      <c r="G154" s="813">
        <v>1</v>
      </c>
      <c r="H154" s="787" t="s">
        <v>669</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1597</v>
      </c>
      <c r="E155" s="665" t="s">
        <v>1620</v>
      </c>
      <c r="F155" s="665" t="s">
        <v>41</v>
      </c>
      <c r="G155" s="813">
        <v>1</v>
      </c>
      <c r="H155" s="787" t="s">
        <v>669</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1598</v>
      </c>
      <c r="E156" s="665" t="s">
        <v>458</v>
      </c>
      <c r="F156" s="665" t="s">
        <v>41</v>
      </c>
      <c r="G156" s="813">
        <v>1</v>
      </c>
      <c r="H156" s="787" t="s">
        <v>669</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813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33</v>
      </c>
      <c r="D159" s="804" t="s">
        <v>814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503</v>
      </c>
      <c r="C161" s="712">
        <v>4</v>
      </c>
      <c r="D161" s="771" t="s">
        <v>92</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36</v>
      </c>
      <c r="D162" s="804" t="s">
        <v>93</v>
      </c>
      <c r="E162" s="665" t="s">
        <v>461</v>
      </c>
      <c r="F162" s="665" t="s">
        <v>41</v>
      </c>
      <c r="G162" s="813"/>
      <c r="H162" s="787" t="s">
        <v>113</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132</v>
      </c>
      <c r="E163" s="648" t="s">
        <v>1602</v>
      </c>
      <c r="F163" s="665" t="s">
        <v>41</v>
      </c>
      <c r="G163" s="813">
        <v>1</v>
      </c>
      <c r="H163" s="787" t="s">
        <v>113</v>
      </c>
      <c r="I163" s="672">
        <f>$H$2</f>
        <v>0</v>
      </c>
      <c r="J163" s="672">
        <v>5900</v>
      </c>
      <c r="K163" s="791">
        <f>J163/(1+L163)</f>
        <v>5121.5277777777783</v>
      </c>
      <c r="L163" s="569">
        <f>17%*0.7+11%*0.3</f>
        <v>0.152</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120</v>
      </c>
      <c r="E164" s="648" t="s">
        <v>1621</v>
      </c>
      <c r="F164" s="648"/>
      <c r="G164" s="787">
        <v>1</v>
      </c>
      <c r="H164" s="787"/>
      <c r="I164" s="672"/>
      <c r="J164" s="672">
        <v>6800</v>
      </c>
      <c r="K164" s="681"/>
      <c r="L164" s="569"/>
      <c r="M164" s="779">
        <f t="shared" si="32"/>
        <v>0</v>
      </c>
      <c r="N164" s="779"/>
      <c r="O164" s="779"/>
      <c r="P164" s="780" t="str">
        <f t="shared" si="26"/>
        <v/>
      </c>
      <c r="Q164" s="781">
        <f t="shared" si="25"/>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121</v>
      </c>
      <c r="E166" s="648" t="s">
        <v>1621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60:J62">
    <cfRule type="cellIs" priority="125" operator="equal">
      <formula>0</formula>
    </cfRule>
    <cfRule type="cellIs" dxfId="333" priority="126" operator="equal">
      <formula>0</formula>
    </cfRule>
  </conditionalFormatting>
  <conditionalFormatting sqref="B4:C4">
    <cfRule type="duplicateValues" dxfId="332" priority="146"/>
  </conditionalFormatting>
  <conditionalFormatting sqref="B149:C149">
    <cfRule type="duplicateValues" dxfId="331" priority="136"/>
  </conditionalFormatting>
  <conditionalFormatting sqref="B36:C36">
    <cfRule type="duplicateValues" dxfId="330" priority="144"/>
  </conditionalFormatting>
  <conditionalFormatting sqref="B88:C88">
    <cfRule type="duplicateValues" dxfId="329" priority="139"/>
  </conditionalFormatting>
  <conditionalFormatting sqref="D6:D8">
    <cfRule type="duplicateValues" dxfId="328" priority="150"/>
  </conditionalFormatting>
  <conditionalFormatting sqref="B86:C87">
    <cfRule type="duplicateValues" dxfId="327" priority="140"/>
  </conditionalFormatting>
  <conditionalFormatting sqref="B129:C129">
    <cfRule type="duplicateValues" dxfId="326" priority="137"/>
  </conditionalFormatting>
  <conditionalFormatting sqref="B5:C5">
    <cfRule type="duplicateValues" dxfId="325" priority="145"/>
  </conditionalFormatting>
  <conditionalFormatting sqref="B82:C82">
    <cfRule type="duplicateValues" dxfId="324" priority="141"/>
  </conditionalFormatting>
  <conditionalFormatting sqref="B89:C89">
    <cfRule type="duplicateValues" dxfId="323" priority="138"/>
  </conditionalFormatting>
  <conditionalFormatting sqref="B161:C161">
    <cfRule type="duplicateValues" dxfId="322" priority="135"/>
  </conditionalFormatting>
  <conditionalFormatting sqref="D1:D5 D9:D65536">
    <cfRule type="duplicateValues" dxfId="321" priority="149"/>
  </conditionalFormatting>
  <conditionalFormatting sqref="B69:C69">
    <cfRule type="duplicateValues" dxfId="320" priority="143"/>
  </conditionalFormatting>
  <conditionalFormatting sqref="B70:C70">
    <cfRule type="duplicateValues" dxfId="319"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318" priority="148" operator="equal">
      <formula>0</formula>
    </cfRule>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70" zoomScaleNormal="70" workbookViewId="0">
      <pane xSplit="4" ySplit="3" topLeftCell="E4" activePane="bottomRight" state="frozen"/>
      <selection pane="topRight"/>
      <selection pane="bottomLeft"/>
      <selection pane="bottomRight" activeCell="E2" sqref="E2"/>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0" width="7.83203125" style="748" customWidth="1"/>
    <col min="11" max="11" width="9.1640625" style="748" customWidth="1"/>
    <col min="12"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e">
        <f>#REF!</f>
        <v>#REF!</v>
      </c>
      <c r="E1" s="624" t="s">
        <v>10</v>
      </c>
      <c r="F1" s="624" t="s">
        <v>581</v>
      </c>
      <c r="G1" s="624" t="s">
        <v>9</v>
      </c>
      <c r="H1" s="624" t="s">
        <v>41</v>
      </c>
      <c r="I1" s="624" t="s">
        <v>18</v>
      </c>
      <c r="J1" s="624" t="s">
        <v>114</v>
      </c>
      <c r="K1" s="624"/>
      <c r="L1" s="624"/>
      <c r="M1" s="624"/>
      <c r="N1" s="754"/>
      <c r="O1" s="754"/>
      <c r="P1" s="754"/>
      <c r="Q1" s="755"/>
      <c r="R1" s="834"/>
      <c r="V1" s="633">
        <v>418</v>
      </c>
      <c r="AB1" s="756"/>
    </row>
    <row r="2" spans="2:28" s="633" customFormat="1" ht="23.5" customHeight="1">
      <c r="C2" s="752"/>
      <c r="D2" s="753" t="s">
        <v>1622</v>
      </c>
      <c r="E2" s="757" t="e">
        <f>#REF!</f>
        <v>#REF!</v>
      </c>
      <c r="F2" s="758">
        <v>0</v>
      </c>
      <c r="G2" s="759" t="e">
        <f>#REF!</f>
        <v>#REF!</v>
      </c>
      <c r="H2" s="759" t="e">
        <f>#REF!</f>
        <v>#REF!</v>
      </c>
      <c r="I2" s="759" t="e">
        <f>#REF!</f>
        <v>#REF!</v>
      </c>
      <c r="J2" s="759" t="e">
        <f>#REF!</f>
        <v>#REF!</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395" t="s">
        <v>1072</v>
      </c>
      <c r="Q3" s="476" t="s">
        <v>16</v>
      </c>
    </row>
    <row r="4" spans="2:28" ht="15.75" customHeight="1">
      <c r="B4" s="480" t="s">
        <v>537</v>
      </c>
      <c r="C4" s="481" t="s">
        <v>77</v>
      </c>
      <c r="D4" s="480" t="s">
        <v>486</v>
      </c>
      <c r="E4" s="765"/>
      <c r="F4" s="765"/>
      <c r="G4" s="765"/>
      <c r="H4" s="765"/>
      <c r="I4" s="766"/>
      <c r="J4" s="765"/>
      <c r="K4" s="765"/>
      <c r="L4" s="767"/>
      <c r="M4" s="768" t="e">
        <f>SUBTOTAL(9,M5:M68)</f>
        <v>#REF!</v>
      </c>
      <c r="N4" s="768" t="e">
        <f>SUBTOTAL(9,N5:N68)</f>
        <v>#REF!</v>
      </c>
      <c r="O4" s="768" t="e">
        <f>SUBTOTAL(9,O5:O68)</f>
        <v>#REF!</v>
      </c>
      <c r="P4" s="769" t="e">
        <f t="shared" ref="P4:P35" si="0">IF(O4="","",O4*10000/E$2)</f>
        <v>#REF!</v>
      </c>
      <c r="Q4" s="770"/>
      <c r="R4" s="632"/>
      <c r="AB4" s="632"/>
    </row>
    <row r="5" spans="2:28" ht="15.75" customHeight="1" outlineLevel="1">
      <c r="B5" s="771" t="s">
        <v>487</v>
      </c>
      <c r="C5" s="712">
        <v>1</v>
      </c>
      <c r="D5" s="771" t="s">
        <v>650</v>
      </c>
      <c r="E5" s="712"/>
      <c r="F5" s="712"/>
      <c r="G5" s="712"/>
      <c r="H5" s="772"/>
      <c r="I5" s="713"/>
      <c r="J5" s="772"/>
      <c r="K5" s="772"/>
      <c r="L5" s="588"/>
      <c r="M5" s="773" t="e">
        <f>SUBTOTAL(9,M6:M35)</f>
        <v>#REF!</v>
      </c>
      <c r="N5" s="773" t="e">
        <f>SUBTOTAL(9,N6:N35)</f>
        <v>#REF!</v>
      </c>
      <c r="O5" s="773" t="e">
        <f>SUBTOTAL(9,O6:O35)</f>
        <v>#REF!</v>
      </c>
      <c r="P5" s="589" t="e">
        <f t="shared" si="0"/>
        <v>#REF!</v>
      </c>
      <c r="Q5" s="775"/>
      <c r="R5" s="632"/>
      <c r="AB5" s="632"/>
    </row>
    <row r="6" spans="2:28" ht="15.75" customHeight="1" outlineLevel="3">
      <c r="B6" s="776" t="s">
        <v>651</v>
      </c>
      <c r="C6" s="777" t="s">
        <v>36</v>
      </c>
      <c r="D6" s="776" t="s">
        <v>1479</v>
      </c>
      <c r="E6" s="307"/>
      <c r="F6" s="307"/>
      <c r="G6" s="511"/>
      <c r="H6" s="511"/>
      <c r="I6" s="614"/>
      <c r="J6" s="778"/>
      <c r="K6" s="778"/>
      <c r="L6" s="569"/>
      <c r="M6" s="779" t="e">
        <f>SUBTOTAL(9,M7:M8)</f>
        <v>#REF!</v>
      </c>
      <c r="N6" s="779" t="e">
        <f>SUBTOTAL(9,N7:N8)</f>
        <v>#REF!</v>
      </c>
      <c r="O6" s="779" t="e">
        <f>SUBTOTAL(9,O7:O8)</f>
        <v>#REF!</v>
      </c>
      <c r="P6" s="614" t="e">
        <f t="shared" si="0"/>
        <v>#REF!</v>
      </c>
      <c r="Q6" s="781"/>
      <c r="R6" s="632"/>
      <c r="AB6" s="632"/>
    </row>
    <row r="7" spans="2:28" ht="15.75" customHeight="1" outlineLevel="3">
      <c r="B7" s="776" t="s">
        <v>652</v>
      </c>
      <c r="C7" s="782" t="s">
        <v>39</v>
      </c>
      <c r="D7" s="783" t="s">
        <v>654</v>
      </c>
      <c r="E7" s="648" t="s">
        <v>1228</v>
      </c>
      <c r="F7" s="307" t="s">
        <v>9</v>
      </c>
      <c r="G7" s="784">
        <v>0.5</v>
      </c>
      <c r="H7" s="785" t="s">
        <v>103</v>
      </c>
      <c r="I7" s="614" t="e">
        <f>$G$2</f>
        <v>#REF!</v>
      </c>
      <c r="J7" s="778">
        <v>50</v>
      </c>
      <c r="K7" s="778">
        <f>J7/(1+L7)</f>
        <v>45.871559633027516</v>
      </c>
      <c r="L7" s="569">
        <v>0.09</v>
      </c>
      <c r="M7" s="779" t="e">
        <f>G7*I7*K7/10000</f>
        <v>#REF!</v>
      </c>
      <c r="N7" s="779" t="e">
        <f>L7*M7</f>
        <v>#REF!</v>
      </c>
      <c r="O7" s="779" t="e">
        <f>M7+N7</f>
        <v>#REF!</v>
      </c>
      <c r="P7" s="614" t="e">
        <f t="shared" si="0"/>
        <v>#REF!</v>
      </c>
      <c r="Q7" s="781"/>
      <c r="R7" s="632"/>
      <c r="AB7" s="632"/>
    </row>
    <row r="8" spans="2:28" ht="15.75" customHeight="1" outlineLevel="3">
      <c r="B8" s="776" t="s">
        <v>653</v>
      </c>
      <c r="C8" s="782" t="s">
        <v>39</v>
      </c>
      <c r="D8" s="783" t="s">
        <v>1625</v>
      </c>
      <c r="E8" s="307" t="s">
        <v>1228</v>
      </c>
      <c r="F8" s="307" t="s">
        <v>9</v>
      </c>
      <c r="G8" s="784"/>
      <c r="H8" s="785" t="s">
        <v>103</v>
      </c>
      <c r="I8" s="614" t="e">
        <f>$G$2</f>
        <v>#REF!</v>
      </c>
      <c r="J8" s="778"/>
      <c r="K8" s="778">
        <f>J8/(1+L8)</f>
        <v>0</v>
      </c>
      <c r="L8" s="569">
        <v>0.09</v>
      </c>
      <c r="M8" s="779" t="e">
        <f>G8*I8*K8/10000</f>
        <v>#REF!</v>
      </c>
      <c r="N8" s="779" t="e">
        <f>L8*M8</f>
        <v>#REF!</v>
      </c>
      <c r="O8" s="779" t="e">
        <f>M8+N8</f>
        <v>#REF!</v>
      </c>
      <c r="P8" s="614" t="e">
        <f t="shared" si="0"/>
        <v>#REF!</v>
      </c>
      <c r="Q8" s="781"/>
      <c r="R8" s="632"/>
      <c r="AB8" s="632"/>
    </row>
    <row r="9" spans="2:28" ht="15.75" customHeight="1" outlineLevel="3" collapsed="1">
      <c r="B9" s="776" t="s">
        <v>655</v>
      </c>
      <c r="C9" s="777" t="s">
        <v>33</v>
      </c>
      <c r="D9" s="776" t="s">
        <v>656</v>
      </c>
      <c r="E9" s="511"/>
      <c r="F9" s="307"/>
      <c r="G9" s="511"/>
      <c r="H9" s="511"/>
      <c r="I9" s="614"/>
      <c r="J9" s="778"/>
      <c r="K9" s="786"/>
      <c r="L9" s="569"/>
      <c r="M9" s="779" t="e">
        <f>SUBTOTAL(9,M10:M35)</f>
        <v>#REF!</v>
      </c>
      <c r="N9" s="779" t="e">
        <f>SUBTOTAL(9,N10:N35)</f>
        <v>#REF!</v>
      </c>
      <c r="O9" s="779" t="e">
        <f>SUBTOTAL(9,O10:O35)</f>
        <v>#REF!</v>
      </c>
      <c r="P9" s="614" t="e">
        <f t="shared" si="0"/>
        <v>#REF!</v>
      </c>
      <c r="Q9" s="781"/>
      <c r="R9" s="632"/>
      <c r="AB9" s="632"/>
    </row>
    <row r="10" spans="2:28" ht="15.75" customHeight="1" outlineLevel="3">
      <c r="B10" s="776" t="s">
        <v>1626</v>
      </c>
      <c r="C10" s="782" t="s">
        <v>39</v>
      </c>
      <c r="D10" s="783" t="s">
        <v>1627</v>
      </c>
      <c r="E10" s="648"/>
      <c r="F10" s="648"/>
      <c r="G10" s="672"/>
      <c r="H10" s="787"/>
      <c r="I10" s="672"/>
      <c r="J10" s="778"/>
      <c r="K10" s="786"/>
      <c r="L10" s="569"/>
      <c r="M10" s="779" t="e">
        <f>SUBTOTAL(9,M11:M12)</f>
        <v>#REF!</v>
      </c>
      <c r="N10" s="779" t="e">
        <f>SUBTOTAL(9,N11:N12)</f>
        <v>#REF!</v>
      </c>
      <c r="O10" s="779" t="e">
        <f>SUBTOTAL(9,O11:O12)</f>
        <v>#REF!</v>
      </c>
      <c r="P10" s="614" t="e">
        <f t="shared" si="0"/>
        <v>#REF!</v>
      </c>
      <c r="Q10" s="781"/>
      <c r="R10" s="632"/>
      <c r="AB10" s="632"/>
    </row>
    <row r="11" spans="2:28" ht="15.75" customHeight="1" outlineLevel="3">
      <c r="B11" s="776" t="s">
        <v>1628</v>
      </c>
      <c r="C11" s="782"/>
      <c r="D11" s="796" t="s">
        <v>1629</v>
      </c>
      <c r="E11" s="648" t="s">
        <v>1603</v>
      </c>
      <c r="F11" s="648" t="s">
        <v>657</v>
      </c>
      <c r="G11" s="672"/>
      <c r="H11" s="787" t="s">
        <v>103</v>
      </c>
      <c r="I11" s="672" t="e">
        <f>$E$2</f>
        <v>#REF!</v>
      </c>
      <c r="J11" s="786"/>
      <c r="K11" s="778">
        <f>J11/(1+L11)</f>
        <v>0</v>
      </c>
      <c r="L11" s="569">
        <v>0.09</v>
      </c>
      <c r="M11" s="779" t="e">
        <f>G11*I11*K11/10000</f>
        <v>#REF!</v>
      </c>
      <c r="N11" s="779" t="e">
        <f>L11*M11</f>
        <v>#REF!</v>
      </c>
      <c r="O11" s="779" t="e">
        <f>M11+N11</f>
        <v>#REF!</v>
      </c>
      <c r="P11" s="614" t="e">
        <f t="shared" si="0"/>
        <v>#REF!</v>
      </c>
      <c r="Q11" s="781"/>
      <c r="R11" s="632"/>
      <c r="AB11" s="632"/>
    </row>
    <row r="12" spans="2:28" ht="15.75" customHeight="1" outlineLevel="3">
      <c r="B12" s="776" t="s">
        <v>1630</v>
      </c>
      <c r="C12" s="792"/>
      <c r="D12" s="796" t="s">
        <v>1631</v>
      </c>
      <c r="E12" s="648" t="s">
        <v>1228</v>
      </c>
      <c r="F12" s="648" t="s">
        <v>657</v>
      </c>
      <c r="G12" s="672">
        <v>0.42</v>
      </c>
      <c r="H12" s="790" t="s">
        <v>111</v>
      </c>
      <c r="I12" s="672" t="e">
        <f>$E$2</f>
        <v>#REF!</v>
      </c>
      <c r="J12" s="786">
        <v>680</v>
      </c>
      <c r="K12" s="778">
        <f>J12/(1+L12)</f>
        <v>623.85321100917429</v>
      </c>
      <c r="L12" s="569">
        <v>0.09</v>
      </c>
      <c r="M12" s="779" t="e">
        <f>G12*I12*K12/10000</f>
        <v>#REF!</v>
      </c>
      <c r="N12" s="779" t="e">
        <f>L12*M12</f>
        <v>#REF!</v>
      </c>
      <c r="O12" s="779" t="e">
        <f>M12+N12</f>
        <v>#REF!</v>
      </c>
      <c r="P12" s="614" t="e">
        <f t="shared" si="0"/>
        <v>#REF!</v>
      </c>
      <c r="Q12" s="511"/>
      <c r="R12" s="632"/>
      <c r="AB12" s="632"/>
    </row>
    <row r="13" spans="2:28" ht="15.75" customHeight="1" outlineLevel="3">
      <c r="B13" s="776" t="s">
        <v>1482</v>
      </c>
      <c r="C13" s="782" t="s">
        <v>39</v>
      </c>
      <c r="D13" s="783" t="s">
        <v>658</v>
      </c>
      <c r="E13" s="648"/>
      <c r="F13" s="648"/>
      <c r="G13" s="672"/>
      <c r="H13" s="787"/>
      <c r="I13" s="672"/>
      <c r="J13" s="786"/>
      <c r="K13" s="786"/>
      <c r="L13" s="569"/>
      <c r="M13" s="779" t="e">
        <f>SUBTOTAL(9,M14:M15)</f>
        <v>#REF!</v>
      </c>
      <c r="N13" s="779" t="e">
        <f>SUBTOTAL(9,N14:N15)</f>
        <v>#REF!</v>
      </c>
      <c r="O13" s="779" t="e">
        <f>SUBTOTAL(9,O14:O15)</f>
        <v>#REF!</v>
      </c>
      <c r="P13" s="614" t="e">
        <f t="shared" si="0"/>
        <v>#REF!</v>
      </c>
      <c r="Q13" s="511"/>
      <c r="R13" s="632"/>
      <c r="AB13" s="632"/>
    </row>
    <row r="14" spans="2:28" ht="15.75" customHeight="1" outlineLevel="3">
      <c r="B14" s="776" t="s">
        <v>1632</v>
      </c>
      <c r="C14" s="782"/>
      <c r="D14" s="796" t="s">
        <v>1633</v>
      </c>
      <c r="E14" s="648" t="s">
        <v>1604</v>
      </c>
      <c r="F14" s="648" t="s">
        <v>657</v>
      </c>
      <c r="G14" s="672"/>
      <c r="H14" s="787" t="s">
        <v>104</v>
      </c>
      <c r="I14" s="672" t="e">
        <f>$E$2</f>
        <v>#REF!</v>
      </c>
      <c r="J14" s="786"/>
      <c r="K14" s="778">
        <f>J14/(1+L14)</f>
        <v>0</v>
      </c>
      <c r="L14" s="569">
        <v>0.09</v>
      </c>
      <c r="M14" s="779" t="e">
        <f>G14*I14*K14/10000</f>
        <v>#REF!</v>
      </c>
      <c r="N14" s="779" t="e">
        <f>L14*M14</f>
        <v>#REF!</v>
      </c>
      <c r="O14" s="779" t="e">
        <f>M14+N14</f>
        <v>#REF!</v>
      </c>
      <c r="P14" s="614" t="e">
        <f t="shared" si="0"/>
        <v>#REF!</v>
      </c>
      <c r="Q14" s="511"/>
      <c r="R14" s="632"/>
      <c r="AB14" s="632"/>
    </row>
    <row r="15" spans="2:28" ht="15.75" customHeight="1" outlineLevel="3">
      <c r="B15" s="776" t="s">
        <v>1483</v>
      </c>
      <c r="C15" s="782"/>
      <c r="D15" s="796" t="s">
        <v>1634</v>
      </c>
      <c r="E15" s="648" t="s">
        <v>1228</v>
      </c>
      <c r="F15" s="648" t="s">
        <v>657</v>
      </c>
      <c r="G15" s="672">
        <v>50</v>
      </c>
      <c r="H15" s="787" t="s">
        <v>104</v>
      </c>
      <c r="I15" s="672" t="e">
        <f>$E$2</f>
        <v>#REF!</v>
      </c>
      <c r="J15" s="786">
        <v>6.9</v>
      </c>
      <c r="K15" s="778">
        <f>J15/(1+L15)</f>
        <v>6.330275229357798</v>
      </c>
      <c r="L15" s="569">
        <v>0.09</v>
      </c>
      <c r="M15" s="779" t="e">
        <f>G15*I15*K15/10000</f>
        <v>#REF!</v>
      </c>
      <c r="N15" s="779" t="e">
        <f>L15*M15</f>
        <v>#REF!</v>
      </c>
      <c r="O15" s="779" t="e">
        <f>M15+N15</f>
        <v>#REF!</v>
      </c>
      <c r="P15" s="614" t="e">
        <f t="shared" si="0"/>
        <v>#REF!</v>
      </c>
      <c r="Q15" s="781"/>
      <c r="R15" s="632"/>
      <c r="AB15" s="632"/>
    </row>
    <row r="16" spans="2:28" ht="15.75" customHeight="1" outlineLevel="3">
      <c r="B16" s="776" t="s">
        <v>1635</v>
      </c>
      <c r="C16" s="782" t="s">
        <v>39</v>
      </c>
      <c r="D16" s="783" t="s">
        <v>659</v>
      </c>
      <c r="E16" s="648" t="s">
        <v>1228</v>
      </c>
      <c r="F16" s="648" t="s">
        <v>657</v>
      </c>
      <c r="G16" s="672">
        <v>3.5</v>
      </c>
      <c r="H16" s="787" t="s">
        <v>101</v>
      </c>
      <c r="I16" s="672" t="e">
        <f>$E$2</f>
        <v>#REF!</v>
      </c>
      <c r="J16" s="672">
        <v>85</v>
      </c>
      <c r="K16" s="778">
        <f>J16/(1+L16)</f>
        <v>77.981651376146786</v>
      </c>
      <c r="L16" s="569">
        <v>0.09</v>
      </c>
      <c r="M16" s="779" t="e">
        <f>G16*I16*K16/10000</f>
        <v>#REF!</v>
      </c>
      <c r="N16" s="779" t="e">
        <f>L16*M16</f>
        <v>#REF!</v>
      </c>
      <c r="O16" s="779" t="e">
        <f>M16+N16</f>
        <v>#REF!</v>
      </c>
      <c r="P16" s="614" t="e">
        <f t="shared" si="0"/>
        <v>#REF!</v>
      </c>
      <c r="Q16" s="781"/>
      <c r="R16" s="632"/>
      <c r="AB16" s="632"/>
    </row>
    <row r="17" spans="2:28" ht="15.75" customHeight="1" outlineLevel="3">
      <c r="B17" s="776" t="s">
        <v>1484</v>
      </c>
      <c r="C17" s="792" t="s">
        <v>39</v>
      </c>
      <c r="D17" s="783" t="s">
        <v>1636</v>
      </c>
      <c r="E17" s="648" t="s">
        <v>1228</v>
      </c>
      <c r="F17" s="648" t="s">
        <v>657</v>
      </c>
      <c r="G17" s="672">
        <v>0.25</v>
      </c>
      <c r="H17" s="787" t="s">
        <v>103</v>
      </c>
      <c r="I17" s="672" t="e">
        <f>$E$2</f>
        <v>#REF!</v>
      </c>
      <c r="J17" s="791">
        <v>850</v>
      </c>
      <c r="K17" s="778">
        <f>J17/(1+L17)</f>
        <v>779.81651376146783</v>
      </c>
      <c r="L17" s="569">
        <v>0.09</v>
      </c>
      <c r="M17" s="779" t="e">
        <f>G17*I17*K17/10000</f>
        <v>#REF!</v>
      </c>
      <c r="N17" s="779" t="e">
        <f>L17*M17</f>
        <v>#REF!</v>
      </c>
      <c r="O17" s="779" t="e">
        <f>M17+N17</f>
        <v>#REF!</v>
      </c>
      <c r="P17" s="614" t="e">
        <f t="shared" si="0"/>
        <v>#REF!</v>
      </c>
      <c r="Q17" s="781"/>
      <c r="R17" s="632"/>
      <c r="AB17" s="632"/>
    </row>
    <row r="18" spans="2:28" ht="15.75" customHeight="1" outlineLevel="3">
      <c r="B18" s="776" t="s">
        <v>1485</v>
      </c>
      <c r="C18" s="782" t="s">
        <v>39</v>
      </c>
      <c r="D18" s="783" t="s">
        <v>386</v>
      </c>
      <c r="E18" s="648" t="s">
        <v>1228</v>
      </c>
      <c r="F18" s="648" t="s">
        <v>657</v>
      </c>
      <c r="G18" s="789">
        <v>4</v>
      </c>
      <c r="H18" s="790" t="s">
        <v>384</v>
      </c>
      <c r="I18" s="672" t="e">
        <f>$E$2</f>
        <v>#REF!</v>
      </c>
      <c r="J18" s="786">
        <v>45</v>
      </c>
      <c r="K18" s="778">
        <f>J18/(1+L18)</f>
        <v>41.284403669724767</v>
      </c>
      <c r="L18" s="569">
        <v>0.09</v>
      </c>
      <c r="M18" s="779" t="e">
        <f>G18*I18*K18/10000</f>
        <v>#REF!</v>
      </c>
      <c r="N18" s="779" t="e">
        <f>L18*M18</f>
        <v>#REF!</v>
      </c>
      <c r="O18" s="779" t="e">
        <f>M18+N18</f>
        <v>#REF!</v>
      </c>
      <c r="P18" s="614" t="e">
        <f t="shared" si="0"/>
        <v>#REF!</v>
      </c>
      <c r="Q18" s="781"/>
      <c r="R18" s="632"/>
      <c r="AB18" s="632"/>
    </row>
    <row r="19" spans="2:28" ht="15.75" customHeight="1" outlineLevel="3">
      <c r="B19" s="776" t="s">
        <v>1486</v>
      </c>
      <c r="C19" s="782" t="s">
        <v>39</v>
      </c>
      <c r="D19" s="783" t="s">
        <v>1637</v>
      </c>
      <c r="E19" s="665"/>
      <c r="F19" s="665"/>
      <c r="G19" s="789"/>
      <c r="H19" s="790"/>
      <c r="I19" s="791"/>
      <c r="J19" s="791"/>
      <c r="K19" s="791"/>
      <c r="L19" s="788"/>
      <c r="M19" s="779" t="e">
        <f>SUBTOTAL(9,M20:M21)</f>
        <v>#REF!</v>
      </c>
      <c r="N19" s="779" t="e">
        <f>SUBTOTAL(9,N20:N21)</f>
        <v>#REF!</v>
      </c>
      <c r="O19" s="779" t="e">
        <f>SUBTOTAL(9,O20:O21)</f>
        <v>#REF!</v>
      </c>
      <c r="P19" s="614" t="e">
        <f t="shared" si="0"/>
        <v>#REF!</v>
      </c>
      <c r="Q19" s="511"/>
      <c r="R19" s="632"/>
      <c r="AB19" s="632"/>
    </row>
    <row r="20" spans="2:28" ht="15.75" customHeight="1" outlineLevel="3">
      <c r="B20" s="776" t="s">
        <v>1638</v>
      </c>
      <c r="C20" s="782"/>
      <c r="D20" s="796" t="s">
        <v>1487</v>
      </c>
      <c r="E20" s="648" t="s">
        <v>1488</v>
      </c>
      <c r="F20" s="648" t="s">
        <v>657</v>
      </c>
      <c r="G20" s="672">
        <v>0.5</v>
      </c>
      <c r="H20" s="787" t="s">
        <v>101</v>
      </c>
      <c r="I20" s="672" t="e">
        <f>$E$2</f>
        <v>#REF!</v>
      </c>
      <c r="J20" s="672">
        <v>25</v>
      </c>
      <c r="K20" s="778">
        <f>J20/(1+L20)</f>
        <v>22.123893805309738</v>
      </c>
      <c r="L20" s="569">
        <v>0.13</v>
      </c>
      <c r="M20" s="779" t="e">
        <f>G20*I20*K20/10000</f>
        <v>#REF!</v>
      </c>
      <c r="N20" s="779" t="e">
        <f>L20*M20</f>
        <v>#REF!</v>
      </c>
      <c r="O20" s="779" t="e">
        <f>M20+N20</f>
        <v>#REF!</v>
      </c>
      <c r="P20" s="614" t="e">
        <f t="shared" si="0"/>
        <v>#REF!</v>
      </c>
      <c r="Q20" s="511"/>
      <c r="R20" s="632"/>
      <c r="AB20" s="632"/>
    </row>
    <row r="21" spans="2:28" ht="15.75" customHeight="1" outlineLevel="3">
      <c r="B21" s="776" t="s">
        <v>1489</v>
      </c>
      <c r="C21" s="782"/>
      <c r="D21" s="796" t="s">
        <v>1639</v>
      </c>
      <c r="E21" s="648" t="s">
        <v>1228</v>
      </c>
      <c r="F21" s="648" t="s">
        <v>657</v>
      </c>
      <c r="G21" s="672">
        <v>0.5</v>
      </c>
      <c r="H21" s="787" t="s">
        <v>101</v>
      </c>
      <c r="I21" s="672" t="e">
        <f>$E$2</f>
        <v>#REF!</v>
      </c>
      <c r="J21" s="672">
        <v>35</v>
      </c>
      <c r="K21" s="778">
        <f>J21/(1+L21)</f>
        <v>32.110091743119263</v>
      </c>
      <c r="L21" s="569">
        <v>0.09</v>
      </c>
      <c r="M21" s="779" t="e">
        <f>G21*I21*K21/10000</f>
        <v>#REF!</v>
      </c>
      <c r="N21" s="779" t="e">
        <f>L21*M21</f>
        <v>#REF!</v>
      </c>
      <c r="O21" s="779" t="e">
        <f>M21+N21</f>
        <v>#REF!</v>
      </c>
      <c r="P21" s="614" t="e">
        <f t="shared" si="0"/>
        <v>#REF!</v>
      </c>
      <c r="Q21" s="511"/>
      <c r="R21" s="632"/>
      <c r="AB21" s="632"/>
    </row>
    <row r="22" spans="2:28" ht="15.75" customHeight="1" outlineLevel="3">
      <c r="B22" s="776" t="s">
        <v>1640</v>
      </c>
      <c r="C22" s="782" t="s">
        <v>39</v>
      </c>
      <c r="D22" s="783" t="s">
        <v>1641</v>
      </c>
      <c r="E22" s="648"/>
      <c r="F22" s="648"/>
      <c r="G22" s="789"/>
      <c r="H22" s="790"/>
      <c r="I22" s="672"/>
      <c r="J22" s="791"/>
      <c r="K22" s="791"/>
      <c r="L22" s="788"/>
      <c r="M22" s="779" t="e">
        <f>SUBTOTAL(9,M23:M26)</f>
        <v>#REF!</v>
      </c>
      <c r="N22" s="779" t="e">
        <f>SUBTOTAL(9,N23:N26)</f>
        <v>#REF!</v>
      </c>
      <c r="O22" s="779" t="e">
        <f>SUBTOTAL(9,O23:O26)</f>
        <v>#REF!</v>
      </c>
      <c r="P22" s="614" t="e">
        <f t="shared" si="0"/>
        <v>#REF!</v>
      </c>
      <c r="Q22" s="511"/>
      <c r="R22" s="632"/>
      <c r="AB22" s="632"/>
    </row>
    <row r="23" spans="2:28" ht="15.75" customHeight="1" outlineLevel="3">
      <c r="B23" s="776" t="s">
        <v>1642</v>
      </c>
      <c r="C23" s="782"/>
      <c r="D23" s="796" t="s">
        <v>1643</v>
      </c>
      <c r="E23" s="648" t="s">
        <v>1228</v>
      </c>
      <c r="F23" s="648" t="s">
        <v>657</v>
      </c>
      <c r="G23" s="789">
        <v>1</v>
      </c>
      <c r="H23" s="790" t="s">
        <v>101</v>
      </c>
      <c r="I23" s="672" t="e">
        <f>$E$2</f>
        <v>#REF!</v>
      </c>
      <c r="J23" s="672">
        <v>220</v>
      </c>
      <c r="K23" s="778">
        <f>J23/(1+L23)</f>
        <v>201.83486238532109</v>
      </c>
      <c r="L23" s="569">
        <v>0.09</v>
      </c>
      <c r="M23" s="779" t="e">
        <f>G23*I23*K23/10000</f>
        <v>#REF!</v>
      </c>
      <c r="N23" s="779" t="e">
        <f>L23*M23</f>
        <v>#REF!</v>
      </c>
      <c r="O23" s="779" t="e">
        <f>M23+N23</f>
        <v>#REF!</v>
      </c>
      <c r="P23" s="614" t="e">
        <f t="shared" si="0"/>
        <v>#REF!</v>
      </c>
      <c r="Q23" s="511"/>
      <c r="R23" s="632"/>
      <c r="AB23" s="632"/>
    </row>
    <row r="24" spans="2:28" ht="15.75" customHeight="1" outlineLevel="3">
      <c r="B24" s="776" t="s">
        <v>1490</v>
      </c>
      <c r="C24" s="782"/>
      <c r="D24" s="796" t="s">
        <v>1644</v>
      </c>
      <c r="E24" s="648" t="s">
        <v>1228</v>
      </c>
      <c r="F24" s="648" t="s">
        <v>657</v>
      </c>
      <c r="G24" s="789">
        <v>1</v>
      </c>
      <c r="H24" s="790" t="s">
        <v>101</v>
      </c>
      <c r="I24" s="672" t="e">
        <f>$E$2</f>
        <v>#REF!</v>
      </c>
      <c r="J24" s="778"/>
      <c r="K24" s="778">
        <f>J24/(1+L24)</f>
        <v>0</v>
      </c>
      <c r="L24" s="569">
        <v>0.09</v>
      </c>
      <c r="M24" s="779" t="e">
        <f>G24*I24*K24/10000</f>
        <v>#REF!</v>
      </c>
      <c r="N24" s="779" t="e">
        <f>L24*M24</f>
        <v>#REF!</v>
      </c>
      <c r="O24" s="779" t="e">
        <f>M24+N24</f>
        <v>#REF!</v>
      </c>
      <c r="P24" s="614" t="e">
        <f t="shared" si="0"/>
        <v>#REF!</v>
      </c>
      <c r="Q24" s="511"/>
      <c r="R24" s="632"/>
      <c r="AB24" s="632"/>
    </row>
    <row r="25" spans="2:28" ht="15.75" customHeight="1" outlineLevel="3">
      <c r="B25" s="776" t="s">
        <v>1491</v>
      </c>
      <c r="C25" s="792"/>
      <c r="D25" s="796" t="s">
        <v>1645</v>
      </c>
      <c r="E25" s="648" t="s">
        <v>1228</v>
      </c>
      <c r="F25" s="648" t="s">
        <v>657</v>
      </c>
      <c r="G25" s="789">
        <v>1</v>
      </c>
      <c r="H25" s="790" t="s">
        <v>101</v>
      </c>
      <c r="I25" s="672" t="e">
        <f>$E$2</f>
        <v>#REF!</v>
      </c>
      <c r="J25" s="778"/>
      <c r="K25" s="778">
        <f>J25/(1+L25)</f>
        <v>0</v>
      </c>
      <c r="L25" s="569">
        <v>0.09</v>
      </c>
      <c r="M25" s="779" t="e">
        <f>G25*I25*K25/10000</f>
        <v>#REF!</v>
      </c>
      <c r="N25" s="779" t="e">
        <f>L25*M25</f>
        <v>#REF!</v>
      </c>
      <c r="O25" s="779" t="e">
        <f>M25+N25</f>
        <v>#REF!</v>
      </c>
      <c r="P25" s="614" t="e">
        <f t="shared" si="0"/>
        <v>#REF!</v>
      </c>
      <c r="Q25" s="511"/>
      <c r="R25" s="632"/>
      <c r="AB25" s="632"/>
    </row>
    <row r="26" spans="2:28" ht="15.75" customHeight="1" outlineLevel="3">
      <c r="B26" s="776" t="s">
        <v>1492</v>
      </c>
      <c r="C26" s="782"/>
      <c r="D26" s="796" t="s">
        <v>1646</v>
      </c>
      <c r="E26" s="665" t="s">
        <v>1228</v>
      </c>
      <c r="F26" s="648" t="s">
        <v>657</v>
      </c>
      <c r="G26" s="789">
        <v>1</v>
      </c>
      <c r="H26" s="790" t="s">
        <v>101</v>
      </c>
      <c r="I26" s="672" t="e">
        <f>$E$2</f>
        <v>#REF!</v>
      </c>
      <c r="J26" s="778"/>
      <c r="K26" s="778">
        <f>J26/(1+L26)</f>
        <v>0</v>
      </c>
      <c r="L26" s="569">
        <v>0.09</v>
      </c>
      <c r="M26" s="779" t="e">
        <f>G26*I26*K26/10000</f>
        <v>#REF!</v>
      </c>
      <c r="N26" s="779" t="e">
        <f>L26*M26</f>
        <v>#REF!</v>
      </c>
      <c r="O26" s="779" t="e">
        <f>M26+N26</f>
        <v>#REF!</v>
      </c>
      <c r="P26" s="614" t="e">
        <f t="shared" si="0"/>
        <v>#REF!</v>
      </c>
      <c r="Q26" s="511"/>
      <c r="R26" s="632"/>
      <c r="AB26" s="632"/>
    </row>
    <row r="27" spans="2:28" ht="15.75" customHeight="1" outlineLevel="3">
      <c r="B27" s="776" t="s">
        <v>1647</v>
      </c>
      <c r="C27" s="782" t="s">
        <v>39</v>
      </c>
      <c r="D27" s="783" t="s">
        <v>1648</v>
      </c>
      <c r="E27" s="648"/>
      <c r="F27" s="665"/>
      <c r="G27" s="789"/>
      <c r="H27" s="790"/>
      <c r="I27" s="672"/>
      <c r="J27" s="778"/>
      <c r="K27" s="791"/>
      <c r="L27" s="788"/>
      <c r="M27" s="779" t="e">
        <f>SUBTOTAL(9,M28:M30)</f>
        <v>#REF!</v>
      </c>
      <c r="N27" s="779" t="e">
        <f>SUBTOTAL(9,N28:N30)</f>
        <v>#REF!</v>
      </c>
      <c r="O27" s="779" t="e">
        <f>SUBTOTAL(9,O28:O30)</f>
        <v>#REF!</v>
      </c>
      <c r="P27" s="614" t="e">
        <f t="shared" si="0"/>
        <v>#REF!</v>
      </c>
      <c r="Q27" s="511"/>
      <c r="R27" s="632"/>
      <c r="AB27" s="632"/>
    </row>
    <row r="28" spans="2:28" ht="15.75" customHeight="1" outlineLevel="3">
      <c r="B28" s="776" t="s">
        <v>1649</v>
      </c>
      <c r="C28" s="782"/>
      <c r="D28" s="796" t="s">
        <v>1650</v>
      </c>
      <c r="E28" s="648" t="s">
        <v>1493</v>
      </c>
      <c r="F28" s="648" t="s">
        <v>657</v>
      </c>
      <c r="G28" s="672">
        <v>0</v>
      </c>
      <c r="H28" s="790" t="s">
        <v>101</v>
      </c>
      <c r="I28" s="672" t="e">
        <f t="shared" ref="I28:I35" si="1">$E$2</f>
        <v>#REF!</v>
      </c>
      <c r="J28" s="778"/>
      <c r="K28" s="778">
        <f t="shared" ref="K28:K35" si="2">J28/(1+L28)</f>
        <v>0</v>
      </c>
      <c r="L28" s="569">
        <v>0.09</v>
      </c>
      <c r="M28" s="779" t="e">
        <f t="shared" ref="M28:M35" si="3">G28*I28*K28/10000</f>
        <v>#REF!</v>
      </c>
      <c r="N28" s="779" t="e">
        <f t="shared" ref="N28:N35" si="4">L28*M28</f>
        <v>#REF!</v>
      </c>
      <c r="O28" s="779" t="e">
        <f t="shared" ref="O28:O35" si="5">M28+N28</f>
        <v>#REF!</v>
      </c>
      <c r="P28" s="614" t="e">
        <f t="shared" si="0"/>
        <v>#REF!</v>
      </c>
      <c r="Q28" s="511"/>
      <c r="R28" s="632"/>
      <c r="AB28" s="632"/>
    </row>
    <row r="29" spans="2:28" ht="15.75" customHeight="1" outlineLevel="3">
      <c r="B29" s="776" t="s">
        <v>1494</v>
      </c>
      <c r="C29" s="782"/>
      <c r="D29" s="796" t="s">
        <v>1651</v>
      </c>
      <c r="E29" s="665" t="s">
        <v>1493</v>
      </c>
      <c r="F29" s="648" t="s">
        <v>657</v>
      </c>
      <c r="G29" s="672">
        <v>1.2</v>
      </c>
      <c r="H29" s="790" t="s">
        <v>101</v>
      </c>
      <c r="I29" s="672" t="e">
        <f t="shared" si="1"/>
        <v>#REF!</v>
      </c>
      <c r="J29" s="778">
        <v>180</v>
      </c>
      <c r="K29" s="778">
        <f t="shared" si="2"/>
        <v>165.13761467889907</v>
      </c>
      <c r="L29" s="569">
        <v>0.09</v>
      </c>
      <c r="M29" s="779" t="e">
        <f t="shared" si="3"/>
        <v>#REF!</v>
      </c>
      <c r="N29" s="779" t="e">
        <f t="shared" si="4"/>
        <v>#REF!</v>
      </c>
      <c r="O29" s="779" t="e">
        <f t="shared" si="5"/>
        <v>#REF!</v>
      </c>
      <c r="P29" s="614" t="e">
        <f t="shared" si="0"/>
        <v>#REF!</v>
      </c>
      <c r="Q29" s="511"/>
      <c r="R29" s="632"/>
      <c r="AB29" s="632"/>
    </row>
    <row r="30" spans="2:28" ht="15.75" customHeight="1" outlineLevel="3">
      <c r="B30" s="776" t="s">
        <v>1495</v>
      </c>
      <c r="C30" s="782"/>
      <c r="D30" s="796" t="s">
        <v>1652</v>
      </c>
      <c r="E30" s="648" t="s">
        <v>1228</v>
      </c>
      <c r="F30" s="648" t="s">
        <v>1605</v>
      </c>
      <c r="G30" s="672">
        <v>1.5</v>
      </c>
      <c r="H30" s="790" t="s">
        <v>111</v>
      </c>
      <c r="I30" s="672" t="e">
        <f t="shared" si="1"/>
        <v>#REF!</v>
      </c>
      <c r="J30" s="778"/>
      <c r="K30" s="778">
        <f t="shared" si="2"/>
        <v>0</v>
      </c>
      <c r="L30" s="569">
        <v>0.09</v>
      </c>
      <c r="M30" s="779" t="e">
        <f t="shared" si="3"/>
        <v>#REF!</v>
      </c>
      <c r="N30" s="779" t="e">
        <f t="shared" si="4"/>
        <v>#REF!</v>
      </c>
      <c r="O30" s="779" t="e">
        <f t="shared" si="5"/>
        <v>#REF!</v>
      </c>
      <c r="P30" s="614" t="e">
        <f t="shared" si="0"/>
        <v>#REF!</v>
      </c>
      <c r="Q30" s="511"/>
      <c r="R30" s="632"/>
      <c r="AB30" s="632"/>
    </row>
    <row r="31" spans="2:28" ht="15.75" customHeight="1" outlineLevel="3">
      <c r="B31" s="776" t="s">
        <v>1653</v>
      </c>
      <c r="C31" s="782" t="s">
        <v>39</v>
      </c>
      <c r="D31" s="783" t="s">
        <v>1654</v>
      </c>
      <c r="E31" s="648" t="s">
        <v>1496</v>
      </c>
      <c r="F31" s="648" t="s">
        <v>657</v>
      </c>
      <c r="G31" s="672">
        <v>1</v>
      </c>
      <c r="H31" s="787" t="s">
        <v>111</v>
      </c>
      <c r="I31" s="672" t="e">
        <f t="shared" si="1"/>
        <v>#REF!</v>
      </c>
      <c r="J31" s="778"/>
      <c r="K31" s="778">
        <f t="shared" si="2"/>
        <v>0</v>
      </c>
      <c r="L31" s="569">
        <v>0.13</v>
      </c>
      <c r="M31" s="779" t="e">
        <f t="shared" si="3"/>
        <v>#REF!</v>
      </c>
      <c r="N31" s="779" t="e">
        <f t="shared" si="4"/>
        <v>#REF!</v>
      </c>
      <c r="O31" s="779" t="e">
        <f t="shared" si="5"/>
        <v>#REF!</v>
      </c>
      <c r="P31" s="614" t="e">
        <f t="shared" si="0"/>
        <v>#REF!</v>
      </c>
      <c r="Q31" s="511"/>
      <c r="R31" s="632"/>
      <c r="AB31" s="632"/>
    </row>
    <row r="32" spans="2:28" ht="15.75" customHeight="1" outlineLevel="3">
      <c r="B32" s="776" t="s">
        <v>1655</v>
      </c>
      <c r="C32" s="782" t="s">
        <v>39</v>
      </c>
      <c r="D32" s="783" t="s">
        <v>1656</v>
      </c>
      <c r="E32" s="835" t="s">
        <v>1606</v>
      </c>
      <c r="F32" s="648" t="s">
        <v>657</v>
      </c>
      <c r="G32" s="672">
        <v>1</v>
      </c>
      <c r="H32" s="790" t="s">
        <v>111</v>
      </c>
      <c r="I32" s="672" t="e">
        <f t="shared" si="1"/>
        <v>#REF!</v>
      </c>
      <c r="J32" s="778"/>
      <c r="K32" s="778">
        <f t="shared" si="2"/>
        <v>0</v>
      </c>
      <c r="L32" s="569">
        <v>0.13</v>
      </c>
      <c r="M32" s="779" t="e">
        <f t="shared" si="3"/>
        <v>#REF!</v>
      </c>
      <c r="N32" s="779" t="e">
        <f t="shared" si="4"/>
        <v>#REF!</v>
      </c>
      <c r="O32" s="779" t="e">
        <f t="shared" si="5"/>
        <v>#REF!</v>
      </c>
      <c r="P32" s="614" t="e">
        <f t="shared" si="0"/>
        <v>#REF!</v>
      </c>
      <c r="Q32" s="511"/>
      <c r="R32" s="632"/>
      <c r="AB32" s="632"/>
    </row>
    <row r="33" spans="2:28" ht="15.75" customHeight="1" outlineLevel="3">
      <c r="B33" s="776" t="s">
        <v>1657</v>
      </c>
      <c r="C33" s="782" t="s">
        <v>39</v>
      </c>
      <c r="D33" s="783" t="s">
        <v>1658</v>
      </c>
      <c r="E33" s="648" t="s">
        <v>1228</v>
      </c>
      <c r="F33" s="648" t="s">
        <v>657</v>
      </c>
      <c r="G33" s="672">
        <v>1</v>
      </c>
      <c r="H33" s="790" t="s">
        <v>111</v>
      </c>
      <c r="I33" s="672" t="e">
        <f t="shared" si="1"/>
        <v>#REF!</v>
      </c>
      <c r="J33" s="778"/>
      <c r="K33" s="778">
        <f t="shared" si="2"/>
        <v>0</v>
      </c>
      <c r="L33" s="569">
        <v>0.09</v>
      </c>
      <c r="M33" s="779" t="e">
        <f t="shared" si="3"/>
        <v>#REF!</v>
      </c>
      <c r="N33" s="779" t="e">
        <f t="shared" si="4"/>
        <v>#REF!</v>
      </c>
      <c r="O33" s="779" t="e">
        <f t="shared" si="5"/>
        <v>#REF!</v>
      </c>
      <c r="P33" s="614" t="e">
        <f t="shared" si="0"/>
        <v>#REF!</v>
      </c>
      <c r="Q33" s="511"/>
      <c r="R33" s="632"/>
      <c r="AB33" s="632"/>
    </row>
    <row r="34" spans="2:28" ht="15.75" customHeight="1" outlineLevel="3">
      <c r="B34" s="776" t="s">
        <v>1659</v>
      </c>
      <c r="C34" s="782" t="s">
        <v>39</v>
      </c>
      <c r="D34" s="783" t="s">
        <v>1660</v>
      </c>
      <c r="E34" s="648" t="s">
        <v>1228</v>
      </c>
      <c r="F34" s="648" t="s">
        <v>657</v>
      </c>
      <c r="G34" s="672">
        <v>1</v>
      </c>
      <c r="H34" s="790" t="s">
        <v>111</v>
      </c>
      <c r="I34" s="672" t="e">
        <f t="shared" si="1"/>
        <v>#REF!</v>
      </c>
      <c r="J34" s="778">
        <v>50</v>
      </c>
      <c r="K34" s="778">
        <f t="shared" si="2"/>
        <v>45.871559633027516</v>
      </c>
      <c r="L34" s="569">
        <v>0.09</v>
      </c>
      <c r="M34" s="779" t="e">
        <f t="shared" si="3"/>
        <v>#REF!</v>
      </c>
      <c r="N34" s="779" t="e">
        <f t="shared" si="4"/>
        <v>#REF!</v>
      </c>
      <c r="O34" s="779" t="e">
        <f t="shared" si="5"/>
        <v>#REF!</v>
      </c>
      <c r="P34" s="614" t="e">
        <f t="shared" si="0"/>
        <v>#REF!</v>
      </c>
      <c r="Q34" s="511"/>
      <c r="R34" s="632"/>
      <c r="AB34" s="632"/>
    </row>
    <row r="35" spans="2:28" ht="15.75" customHeight="1" outlineLevel="3">
      <c r="B35" s="776" t="s">
        <v>1497</v>
      </c>
      <c r="C35" s="782" t="s">
        <v>39</v>
      </c>
      <c r="D35" s="783" t="s">
        <v>1661</v>
      </c>
      <c r="E35" s="665" t="s">
        <v>1228</v>
      </c>
      <c r="F35" s="648" t="s">
        <v>657</v>
      </c>
      <c r="G35" s="672">
        <v>1</v>
      </c>
      <c r="H35" s="790" t="s">
        <v>111</v>
      </c>
      <c r="I35" s="672" t="e">
        <f t="shared" si="1"/>
        <v>#REF!</v>
      </c>
      <c r="J35" s="778"/>
      <c r="K35" s="778">
        <f t="shared" si="2"/>
        <v>0</v>
      </c>
      <c r="L35" s="569">
        <v>0.09</v>
      </c>
      <c r="M35" s="779" t="e">
        <f t="shared" si="3"/>
        <v>#REF!</v>
      </c>
      <c r="N35" s="779" t="e">
        <f t="shared" si="4"/>
        <v>#REF!</v>
      </c>
      <c r="O35" s="779" t="e">
        <f t="shared" si="5"/>
        <v>#REF!</v>
      </c>
      <c r="P35" s="614" t="e">
        <f t="shared" si="0"/>
        <v>#REF!</v>
      </c>
      <c r="Q35" s="511"/>
      <c r="R35" s="632"/>
      <c r="AB35" s="632"/>
    </row>
    <row r="36" spans="2:28" ht="15.75" customHeight="1" outlineLevel="1">
      <c r="B36" s="771" t="s">
        <v>490</v>
      </c>
      <c r="C36" s="712">
        <v>2</v>
      </c>
      <c r="D36" s="771" t="s">
        <v>491</v>
      </c>
      <c r="E36" s="712"/>
      <c r="F36" s="712"/>
      <c r="G36" s="712"/>
      <c r="H36" s="772"/>
      <c r="I36" s="713"/>
      <c r="J36" s="772"/>
      <c r="K36" s="772"/>
      <c r="L36" s="588"/>
      <c r="M36" s="773" t="e">
        <f>SUBTOTAL(9,M37:M68)</f>
        <v>#REF!</v>
      </c>
      <c r="N36" s="773" t="e">
        <f>SUBTOTAL(9,N37:N68)</f>
        <v>#REF!</v>
      </c>
      <c r="O36" s="773" t="e">
        <f>SUBTOTAL(9,O37:O68)</f>
        <v>#REF!</v>
      </c>
      <c r="P36" s="589" t="e">
        <f t="shared" ref="P36:P67" si="6">IF(O36="","",O36*10000/E$2)</f>
        <v>#REF!</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t="e">
        <f>SUBTOTAL(9,M38:M55)</f>
        <v>#REF!</v>
      </c>
      <c r="N37" s="779" t="e">
        <f>SUBTOTAL(9,N38:N55)</f>
        <v>#REF!</v>
      </c>
      <c r="O37" s="779" t="e">
        <f>SUBTOTAL(9,O38:O55)</f>
        <v>#REF!</v>
      </c>
      <c r="P37" s="614" t="e">
        <f t="shared" si="6"/>
        <v>#REF!</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t="e">
        <f>SUBTOTAL(9,M39:M40)</f>
        <v>#REF!</v>
      </c>
      <c r="N38" s="779" t="e">
        <f>SUBTOTAL(9,N39:N40)</f>
        <v>#REF!</v>
      </c>
      <c r="O38" s="779" t="e">
        <f>SUBTOTAL(9,O39:O40)</f>
        <v>#REF!</v>
      </c>
      <c r="P38" s="614" t="e">
        <f t="shared" si="6"/>
        <v>#REF!</v>
      </c>
      <c r="Q38" s="511"/>
      <c r="R38" s="632"/>
      <c r="AB38" s="632"/>
    </row>
    <row r="39" spans="2:28" ht="15.75" hidden="1" customHeight="1" outlineLevel="3">
      <c r="B39" s="776" t="s">
        <v>1664</v>
      </c>
      <c r="C39" s="782"/>
      <c r="D39" s="796" t="s">
        <v>1498</v>
      </c>
      <c r="E39" s="665" t="s">
        <v>1228</v>
      </c>
      <c r="F39" s="648" t="s">
        <v>663</v>
      </c>
      <c r="G39" s="791">
        <v>1</v>
      </c>
      <c r="H39" s="790" t="s">
        <v>111</v>
      </c>
      <c r="I39" s="672" t="e">
        <f>$E$2*(1+$F$2)</f>
        <v>#REF!</v>
      </c>
      <c r="J39" s="672">
        <v>50</v>
      </c>
      <c r="K39" s="778">
        <f>J39/(1+L39)</f>
        <v>45.871559633027516</v>
      </c>
      <c r="L39" s="569">
        <v>0.09</v>
      </c>
      <c r="M39" s="779" t="e">
        <f>G39*I39*K39/10000</f>
        <v>#REF!</v>
      </c>
      <c r="N39" s="779" t="e">
        <f>L39*M39</f>
        <v>#REF!</v>
      </c>
      <c r="O39" s="779" t="e">
        <f>M39+N39</f>
        <v>#REF!</v>
      </c>
      <c r="P39" s="614" t="e">
        <f t="shared" si="6"/>
        <v>#REF!</v>
      </c>
      <c r="Q39" s="511"/>
      <c r="R39" s="632"/>
      <c r="AB39" s="632"/>
    </row>
    <row r="40" spans="2:28" ht="15.75" hidden="1" customHeight="1" outlineLevel="3">
      <c r="B40" s="776" t="s">
        <v>1499</v>
      </c>
      <c r="C40" s="782"/>
      <c r="D40" s="796" t="s">
        <v>1500</v>
      </c>
      <c r="E40" s="665" t="s">
        <v>1295</v>
      </c>
      <c r="F40" s="648" t="s">
        <v>663</v>
      </c>
      <c r="G40" s="791">
        <v>1</v>
      </c>
      <c r="H40" s="790" t="s">
        <v>111</v>
      </c>
      <c r="I40" s="672" t="e">
        <f>$E$2*(1+$F$2)</f>
        <v>#REF!</v>
      </c>
      <c r="J40" s="672">
        <v>18</v>
      </c>
      <c r="K40" s="778">
        <f>J40/(1+L40)</f>
        <v>15.929203539823011</v>
      </c>
      <c r="L40" s="569">
        <v>0.13</v>
      </c>
      <c r="M40" s="779" t="e">
        <f>G40*I40*K40/10000</f>
        <v>#REF!</v>
      </c>
      <c r="N40" s="779" t="e">
        <f>L40*M40</f>
        <v>#REF!</v>
      </c>
      <c r="O40" s="779" t="e">
        <f>M40+N40</f>
        <v>#REF!</v>
      </c>
      <c r="P40" s="614" t="e">
        <f t="shared" si="6"/>
        <v>#REF!</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t="e">
        <f>SUBTOTAL(9,M42:M43)</f>
        <v>#REF!</v>
      </c>
      <c r="N41" s="779" t="e">
        <f>SUBTOTAL(9,N42:N43)</f>
        <v>#REF!</v>
      </c>
      <c r="O41" s="779" t="e">
        <f>SUBTOTAL(9,O42:O43)</f>
        <v>#REF!</v>
      </c>
      <c r="P41" s="614" t="e">
        <f t="shared" si="6"/>
        <v>#REF!</v>
      </c>
      <c r="Q41" s="511"/>
      <c r="R41" s="632"/>
      <c r="AB41" s="632"/>
    </row>
    <row r="42" spans="2:28" ht="15.75" hidden="1" customHeight="1" outlineLevel="3">
      <c r="B42" s="776" t="s">
        <v>1665</v>
      </c>
      <c r="C42" s="792"/>
      <c r="D42" s="796" t="s">
        <v>1501</v>
      </c>
      <c r="E42" s="648" t="s">
        <v>1502</v>
      </c>
      <c r="F42" s="648" t="s">
        <v>663</v>
      </c>
      <c r="G42" s="791">
        <v>1</v>
      </c>
      <c r="H42" s="790" t="s">
        <v>111</v>
      </c>
      <c r="I42" s="672" t="e">
        <f>$E$2*(1+$F$2)</f>
        <v>#REF!</v>
      </c>
      <c r="J42" s="791"/>
      <c r="K42" s="778">
        <f>J42/(1+L42)</f>
        <v>0</v>
      </c>
      <c r="L42" s="569">
        <v>0.09</v>
      </c>
      <c r="M42" s="779" t="e">
        <f>G42*I42*K42/10000</f>
        <v>#REF!</v>
      </c>
      <c r="N42" s="779" t="e">
        <f>L42*M42</f>
        <v>#REF!</v>
      </c>
      <c r="O42" s="779" t="e">
        <f>M42+N42</f>
        <v>#REF!</v>
      </c>
      <c r="P42" s="614" t="e">
        <f t="shared" si="6"/>
        <v>#REF!</v>
      </c>
      <c r="Q42" s="511"/>
      <c r="R42" s="632"/>
      <c r="AB42" s="632"/>
    </row>
    <row r="43" spans="2:28" ht="15.75" hidden="1" customHeight="1" outlineLevel="3">
      <c r="B43" s="776" t="s">
        <v>1503</v>
      </c>
      <c r="C43" s="782"/>
      <c r="D43" s="796" t="s">
        <v>1504</v>
      </c>
      <c r="E43" s="648" t="s">
        <v>1505</v>
      </c>
      <c r="F43" s="665"/>
      <c r="G43" s="791">
        <v>1</v>
      </c>
      <c r="H43" s="795" t="s">
        <v>6</v>
      </c>
      <c r="I43" s="791" t="e">
        <f>$H$2</f>
        <v>#REF!</v>
      </c>
      <c r="J43" s="791"/>
      <c r="K43" s="778">
        <f>J43/(1+L43)</f>
        <v>0</v>
      </c>
      <c r="L43" s="569">
        <v>0</v>
      </c>
      <c r="M43" s="779" t="e">
        <f>G43*I43*K43/10000</f>
        <v>#REF!</v>
      </c>
      <c r="N43" s="779" t="e">
        <f>L43*M43</f>
        <v>#REF!</v>
      </c>
      <c r="O43" s="779" t="e">
        <f>M43+N43</f>
        <v>#REF!</v>
      </c>
      <c r="P43" s="614" t="e">
        <f t="shared" si="6"/>
        <v>#REF!</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t="e">
        <f>SUBTOTAL(9,M45:M46)</f>
        <v>#REF!</v>
      </c>
      <c r="N44" s="779" t="e">
        <f>SUBTOTAL(9,N45:N46)</f>
        <v>#REF!</v>
      </c>
      <c r="O44" s="779" t="e">
        <f>SUBTOTAL(9,O45:O46)</f>
        <v>#REF!</v>
      </c>
      <c r="P44" s="614" t="e">
        <f t="shared" si="6"/>
        <v>#REF!</v>
      </c>
      <c r="Q44" s="511"/>
      <c r="R44" s="632"/>
      <c r="AB44" s="632"/>
    </row>
    <row r="45" spans="2:28" ht="15.75" hidden="1" customHeight="1" outlineLevel="3">
      <c r="B45" s="776" t="s">
        <v>1666</v>
      </c>
      <c r="C45" s="782"/>
      <c r="D45" s="796" t="s">
        <v>1506</v>
      </c>
      <c r="E45" s="665" t="s">
        <v>1300</v>
      </c>
      <c r="F45" s="648" t="s">
        <v>663</v>
      </c>
      <c r="G45" s="791">
        <v>1</v>
      </c>
      <c r="H45" s="790" t="s">
        <v>111</v>
      </c>
      <c r="I45" s="672" t="e">
        <f>$E$2*(1+$F$2)</f>
        <v>#REF!</v>
      </c>
      <c r="J45" s="791"/>
      <c r="K45" s="778">
        <f>J45/(1+L45)</f>
        <v>0</v>
      </c>
      <c r="L45" s="569">
        <v>0.09</v>
      </c>
      <c r="M45" s="779" t="e">
        <f>G45*I45*K45/10000</f>
        <v>#REF!</v>
      </c>
      <c r="N45" s="779" t="e">
        <f>L45*M45</f>
        <v>#REF!</v>
      </c>
      <c r="O45" s="779" t="e">
        <f>M45+N45</f>
        <v>#REF!</v>
      </c>
      <c r="P45" s="614" t="e">
        <f t="shared" si="6"/>
        <v>#REF!</v>
      </c>
      <c r="Q45" s="511"/>
      <c r="R45" s="632"/>
      <c r="AB45" s="632"/>
    </row>
    <row r="46" spans="2:28" ht="15.75" hidden="1" customHeight="1" outlineLevel="3">
      <c r="B46" s="776" t="s">
        <v>1507</v>
      </c>
      <c r="C46" s="782"/>
      <c r="D46" s="796" t="s">
        <v>1301</v>
      </c>
      <c r="E46" s="648" t="s">
        <v>1300</v>
      </c>
      <c r="F46" s="665" t="s">
        <v>41</v>
      </c>
      <c r="G46" s="791">
        <v>1</v>
      </c>
      <c r="H46" s="795" t="s">
        <v>6</v>
      </c>
      <c r="I46" s="791" t="e">
        <f>$H$2</f>
        <v>#REF!</v>
      </c>
      <c r="J46" s="791"/>
      <c r="K46" s="778">
        <f>J46/(1+L46)</f>
        <v>0</v>
      </c>
      <c r="L46" s="569">
        <v>0</v>
      </c>
      <c r="M46" s="779" t="e">
        <f>G46*I46*K46/10000</f>
        <v>#REF!</v>
      </c>
      <c r="N46" s="779" t="e">
        <f>L46*M46</f>
        <v>#REF!</v>
      </c>
      <c r="O46" s="779" t="e">
        <f>M46+N46</f>
        <v>#REF!</v>
      </c>
      <c r="P46" s="614" t="e">
        <f t="shared" si="6"/>
        <v>#REF!</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t="e">
        <f>SUBTOTAL(9,M48:M55)</f>
        <v>#REF!</v>
      </c>
      <c r="N47" s="779" t="e">
        <f>SUBTOTAL(9,N48:N55)</f>
        <v>#REF!</v>
      </c>
      <c r="O47" s="779" t="e">
        <f>SUBTOTAL(9,O48:O55)</f>
        <v>#REF!</v>
      </c>
      <c r="P47" s="614" t="e">
        <f t="shared" si="6"/>
        <v>#REF!</v>
      </c>
      <c r="Q47" s="511"/>
      <c r="R47" s="632"/>
      <c r="AB47" s="632"/>
    </row>
    <row r="48" spans="2:28" ht="15.75" hidden="1" customHeight="1" outlineLevel="3">
      <c r="B48" s="776" t="s">
        <v>1667</v>
      </c>
      <c r="C48" s="782"/>
      <c r="D48" s="796" t="s">
        <v>1509</v>
      </c>
      <c r="E48" s="665" t="s">
        <v>1228</v>
      </c>
      <c r="F48" s="648" t="s">
        <v>663</v>
      </c>
      <c r="G48" s="791">
        <v>1</v>
      </c>
      <c r="H48" s="790" t="s">
        <v>111</v>
      </c>
      <c r="I48" s="672" t="e">
        <f t="shared" ref="I48:I53" si="7">$E$2*(1+$F$2)</f>
        <v>#REF!</v>
      </c>
      <c r="J48" s="672">
        <v>110</v>
      </c>
      <c r="K48" s="778">
        <f t="shared" ref="K48:K54" si="8">J48/(1+L48)</f>
        <v>100.91743119266054</v>
      </c>
      <c r="L48" s="569">
        <v>0.09</v>
      </c>
      <c r="M48" s="779" t="e">
        <f t="shared" ref="M48:M55" si="9">G48*I48*K48/10000</f>
        <v>#REF!</v>
      </c>
      <c r="N48" s="779" t="e">
        <f t="shared" ref="N48:N55" si="10">L48*M48</f>
        <v>#REF!</v>
      </c>
      <c r="O48" s="779" t="e">
        <f t="shared" ref="O48:O55" si="11">M48+N48</f>
        <v>#REF!</v>
      </c>
      <c r="P48" s="614" t="e">
        <f t="shared" si="6"/>
        <v>#REF!</v>
      </c>
      <c r="Q48" s="511"/>
      <c r="R48" s="632"/>
      <c r="AB48" s="632"/>
    </row>
    <row r="49" spans="2:28" ht="15.75" hidden="1" customHeight="1" outlineLevel="3">
      <c r="B49" s="776" t="s">
        <v>1510</v>
      </c>
      <c r="C49" s="782"/>
      <c r="D49" s="796" t="s">
        <v>1511</v>
      </c>
      <c r="E49" s="665" t="s">
        <v>1295</v>
      </c>
      <c r="F49" s="648" t="s">
        <v>1668</v>
      </c>
      <c r="G49" s="791">
        <v>1</v>
      </c>
      <c r="H49" s="790" t="s">
        <v>111</v>
      </c>
      <c r="I49" s="672" t="e">
        <f t="shared" si="7"/>
        <v>#REF!</v>
      </c>
      <c r="J49" s="672">
        <v>5</v>
      </c>
      <c r="K49" s="778">
        <f t="shared" si="8"/>
        <v>4.4247787610619476</v>
      </c>
      <c r="L49" s="569">
        <v>0.13</v>
      </c>
      <c r="M49" s="779" t="e">
        <f t="shared" si="9"/>
        <v>#REF!</v>
      </c>
      <c r="N49" s="779" t="e">
        <f t="shared" si="10"/>
        <v>#REF!</v>
      </c>
      <c r="O49" s="779" t="e">
        <f t="shared" si="11"/>
        <v>#REF!</v>
      </c>
      <c r="P49" s="614" t="e">
        <f t="shared" si="6"/>
        <v>#REF!</v>
      </c>
      <c r="Q49" s="511"/>
      <c r="R49" s="632"/>
      <c r="AB49" s="632"/>
    </row>
    <row r="50" spans="2:28" ht="15.75" hidden="1" customHeight="1" outlineLevel="3">
      <c r="B50" s="776" t="s">
        <v>1512</v>
      </c>
      <c r="C50" s="782"/>
      <c r="D50" s="796" t="s">
        <v>1513</v>
      </c>
      <c r="E50" s="665" t="s">
        <v>454</v>
      </c>
      <c r="F50" s="648" t="s">
        <v>1669</v>
      </c>
      <c r="G50" s="791">
        <v>1</v>
      </c>
      <c r="H50" s="790" t="s">
        <v>111</v>
      </c>
      <c r="I50" s="672" t="e">
        <f t="shared" si="7"/>
        <v>#REF!</v>
      </c>
      <c r="J50" s="672">
        <v>50</v>
      </c>
      <c r="K50" s="778">
        <f t="shared" si="8"/>
        <v>44.247787610619476</v>
      </c>
      <c r="L50" s="569">
        <v>0.13</v>
      </c>
      <c r="M50" s="779" t="e">
        <f t="shared" si="9"/>
        <v>#REF!</v>
      </c>
      <c r="N50" s="779" t="e">
        <f t="shared" si="10"/>
        <v>#REF!</v>
      </c>
      <c r="O50" s="779" t="e">
        <f t="shared" si="11"/>
        <v>#REF!</v>
      </c>
      <c r="P50" s="614" t="e">
        <f t="shared" si="6"/>
        <v>#REF!</v>
      </c>
      <c r="Q50" s="511"/>
      <c r="R50" s="632"/>
      <c r="AB50" s="632"/>
    </row>
    <row r="51" spans="2:28" ht="15.75" hidden="1" customHeight="1" outlineLevel="3">
      <c r="B51" s="776" t="s">
        <v>1514</v>
      </c>
      <c r="C51" s="782"/>
      <c r="D51" s="796" t="s">
        <v>1515</v>
      </c>
      <c r="E51" s="665" t="s">
        <v>1329</v>
      </c>
      <c r="F51" s="648" t="s">
        <v>1670</v>
      </c>
      <c r="G51" s="791">
        <v>1</v>
      </c>
      <c r="H51" s="790" t="s">
        <v>111</v>
      </c>
      <c r="I51" s="672" t="e">
        <f t="shared" si="7"/>
        <v>#REF!</v>
      </c>
      <c r="J51" s="672">
        <v>0</v>
      </c>
      <c r="K51" s="778">
        <f t="shared" si="8"/>
        <v>0</v>
      </c>
      <c r="L51" s="569">
        <v>0.13</v>
      </c>
      <c r="M51" s="779" t="e">
        <f t="shared" si="9"/>
        <v>#REF!</v>
      </c>
      <c r="N51" s="779" t="e">
        <f t="shared" si="10"/>
        <v>#REF!</v>
      </c>
      <c r="O51" s="779" t="e">
        <f t="shared" si="11"/>
        <v>#REF!</v>
      </c>
      <c r="P51" s="614" t="e">
        <f t="shared" si="6"/>
        <v>#REF!</v>
      </c>
      <c r="Q51" s="511"/>
      <c r="R51" s="632"/>
      <c r="AB51" s="632"/>
    </row>
    <row r="52" spans="2:28" ht="15.75" hidden="1" customHeight="1" outlineLevel="3">
      <c r="B52" s="776" t="s">
        <v>1517</v>
      </c>
      <c r="C52" s="782"/>
      <c r="D52" s="796" t="s">
        <v>1518</v>
      </c>
      <c r="E52" s="665" t="s">
        <v>1671</v>
      </c>
      <c r="F52" s="648" t="s">
        <v>1672</v>
      </c>
      <c r="G52" s="791">
        <v>1</v>
      </c>
      <c r="H52" s="790" t="s">
        <v>111</v>
      </c>
      <c r="I52" s="672" t="e">
        <f t="shared" si="7"/>
        <v>#REF!</v>
      </c>
      <c r="J52" s="672">
        <v>10</v>
      </c>
      <c r="K52" s="778">
        <f t="shared" si="8"/>
        <v>8.8495575221238951</v>
      </c>
      <c r="L52" s="569">
        <v>0.13</v>
      </c>
      <c r="M52" s="779" t="e">
        <f t="shared" si="9"/>
        <v>#REF!</v>
      </c>
      <c r="N52" s="779" t="e">
        <f t="shared" si="10"/>
        <v>#REF!</v>
      </c>
      <c r="O52" s="779" t="e">
        <f t="shared" si="11"/>
        <v>#REF!</v>
      </c>
      <c r="P52" s="614" t="e">
        <f t="shared" si="6"/>
        <v>#REF!</v>
      </c>
      <c r="Q52" s="511"/>
      <c r="R52" s="632"/>
      <c r="AB52" s="632"/>
    </row>
    <row r="53" spans="2:28" ht="15.75" hidden="1" customHeight="1" outlineLevel="3">
      <c r="B53" s="776" t="s">
        <v>1519</v>
      </c>
      <c r="C53" s="782"/>
      <c r="D53" s="796" t="s">
        <v>1520</v>
      </c>
      <c r="E53" s="665" t="s">
        <v>1228</v>
      </c>
      <c r="F53" s="648" t="s">
        <v>1673</v>
      </c>
      <c r="G53" s="791">
        <v>1</v>
      </c>
      <c r="H53" s="790" t="s">
        <v>111</v>
      </c>
      <c r="I53" s="672" t="e">
        <f t="shared" si="7"/>
        <v>#REF!</v>
      </c>
      <c r="J53" s="672"/>
      <c r="K53" s="778">
        <f t="shared" si="8"/>
        <v>0</v>
      </c>
      <c r="L53" s="569">
        <v>0</v>
      </c>
      <c r="M53" s="779" t="e">
        <f t="shared" si="9"/>
        <v>#REF!</v>
      </c>
      <c r="N53" s="779" t="e">
        <f t="shared" si="10"/>
        <v>#REF!</v>
      </c>
      <c r="O53" s="779" t="e">
        <f t="shared" si="11"/>
        <v>#REF!</v>
      </c>
      <c r="P53" s="614" t="e">
        <f t="shared" si="6"/>
        <v>#REF!</v>
      </c>
      <c r="Q53" s="511"/>
      <c r="R53" s="632"/>
      <c r="AB53" s="632"/>
    </row>
    <row r="54" spans="2:28" ht="15.75" hidden="1" customHeight="1" outlineLevel="3">
      <c r="B54" s="776" t="s">
        <v>1521</v>
      </c>
      <c r="C54" s="782"/>
      <c r="D54" s="796" t="s">
        <v>1522</v>
      </c>
      <c r="E54" s="665" t="s">
        <v>1671</v>
      </c>
      <c r="F54" s="648" t="s">
        <v>1674</v>
      </c>
      <c r="G54" s="791">
        <v>1</v>
      </c>
      <c r="H54" s="790" t="s">
        <v>111</v>
      </c>
      <c r="I54" s="672" t="e">
        <f>+H2</f>
        <v>#REF!</v>
      </c>
      <c r="J54" s="672">
        <v>700</v>
      </c>
      <c r="K54" s="778">
        <f t="shared" si="8"/>
        <v>619.46902654867267</v>
      </c>
      <c r="L54" s="569">
        <v>0.13</v>
      </c>
      <c r="M54" s="779" t="e">
        <f t="shared" si="9"/>
        <v>#REF!</v>
      </c>
      <c r="N54" s="779" t="e">
        <f t="shared" si="10"/>
        <v>#REF!</v>
      </c>
      <c r="O54" s="779" t="e">
        <f t="shared" si="11"/>
        <v>#REF!</v>
      </c>
      <c r="P54" s="614" t="e">
        <f t="shared" si="6"/>
        <v>#REF!</v>
      </c>
      <c r="Q54" s="511"/>
      <c r="R54" s="632"/>
      <c r="AB54" s="632"/>
    </row>
    <row r="55" spans="2:28" ht="15.75" hidden="1" customHeight="1" outlineLevel="3">
      <c r="B55" s="776" t="s">
        <v>1523</v>
      </c>
      <c r="C55" s="782"/>
      <c r="D55" s="796" t="s">
        <v>1524</v>
      </c>
      <c r="E55" s="665" t="s">
        <v>1228</v>
      </c>
      <c r="F55" s="648" t="s">
        <v>1675</v>
      </c>
      <c r="G55" s="791">
        <v>1</v>
      </c>
      <c r="H55" s="790" t="s">
        <v>111</v>
      </c>
      <c r="I55" s="672" t="e">
        <f>$E$2*(1+$F$2)</f>
        <v>#REF!</v>
      </c>
      <c r="J55" s="672">
        <v>0</v>
      </c>
      <c r="K55" s="672"/>
      <c r="L55" s="569">
        <v>0.13</v>
      </c>
      <c r="M55" s="779" t="e">
        <f t="shared" si="9"/>
        <v>#REF!</v>
      </c>
      <c r="N55" s="779" t="e">
        <f t="shared" si="10"/>
        <v>#REF!</v>
      </c>
      <c r="O55" s="779" t="e">
        <f t="shared" si="11"/>
        <v>#REF!</v>
      </c>
      <c r="P55" s="614" t="e">
        <f t="shared" si="6"/>
        <v>#REF!</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t="e">
        <f>SUBTOTAL(9,M57:M68)</f>
        <v>#REF!</v>
      </c>
      <c r="N56" s="779" t="e">
        <f>SUBTOTAL(9,N57:N68)</f>
        <v>#REF!</v>
      </c>
      <c r="O56" s="779" t="e">
        <f>SUBTOTAL(9,O57:O68)</f>
        <v>#REF!</v>
      </c>
      <c r="P56" s="614" t="e">
        <f t="shared" si="6"/>
        <v>#REF!</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t="e">
        <f>SUBTOTAL(9,M58:M59)</f>
        <v>#REF!</v>
      </c>
      <c r="N57" s="779" t="e">
        <f>SUBTOTAL(9,N58:N59)</f>
        <v>#REF!</v>
      </c>
      <c r="O57" s="779" t="e">
        <f>SUBTOTAL(9,O58:O59)</f>
        <v>#REF!</v>
      </c>
      <c r="P57" s="614" t="e">
        <f t="shared" si="6"/>
        <v>#REF!</v>
      </c>
      <c r="Q57" s="511"/>
      <c r="R57" s="632"/>
      <c r="AB57" s="632"/>
    </row>
    <row r="58" spans="2:28" ht="15.75" hidden="1" customHeight="1" outlineLevel="3">
      <c r="B58" s="776" t="s">
        <v>1678</v>
      </c>
      <c r="C58" s="782"/>
      <c r="D58" s="796" t="s">
        <v>1525</v>
      </c>
      <c r="E58" s="665" t="s">
        <v>456</v>
      </c>
      <c r="F58" s="665" t="s">
        <v>18</v>
      </c>
      <c r="G58" s="791">
        <v>2</v>
      </c>
      <c r="H58" s="795" t="s">
        <v>100</v>
      </c>
      <c r="I58" s="791" t="e">
        <f>$I$2</f>
        <v>#REF!</v>
      </c>
      <c r="J58" s="798"/>
      <c r="K58" s="778">
        <f>J58/(1+L58)</f>
        <v>0</v>
      </c>
      <c r="L58" s="569">
        <v>0.13</v>
      </c>
      <c r="M58" s="779" t="e">
        <f>G58*I58*K58/10000</f>
        <v>#REF!</v>
      </c>
      <c r="N58" s="779" t="e">
        <f>L58*M58</f>
        <v>#REF!</v>
      </c>
      <c r="O58" s="779" t="e">
        <f>M58+N58</f>
        <v>#REF!</v>
      </c>
      <c r="P58" s="614" t="e">
        <f t="shared" si="6"/>
        <v>#REF!</v>
      </c>
      <c r="Q58" s="511"/>
      <c r="R58" s="632"/>
      <c r="AB58" s="632"/>
    </row>
    <row r="59" spans="2:28" ht="15.75" hidden="1" customHeight="1" outlineLevel="3">
      <c r="B59" s="776" t="s">
        <v>1526</v>
      </c>
      <c r="C59" s="782"/>
      <c r="D59" s="796" t="s">
        <v>1527</v>
      </c>
      <c r="E59" s="665" t="s">
        <v>460</v>
      </c>
      <c r="F59" s="665" t="s">
        <v>18</v>
      </c>
      <c r="G59" s="791">
        <v>2</v>
      </c>
      <c r="H59" s="795" t="s">
        <v>100</v>
      </c>
      <c r="I59" s="791" t="e">
        <f>$I$2</f>
        <v>#REF!</v>
      </c>
      <c r="J59" s="798"/>
      <c r="K59" s="778">
        <f>J59/(1+L59)</f>
        <v>0</v>
      </c>
      <c r="L59" s="569">
        <v>0.09</v>
      </c>
      <c r="M59" s="779" t="e">
        <f>G59*I59*K59/10000</f>
        <v>#REF!</v>
      </c>
      <c r="N59" s="779" t="e">
        <f>L59*M59</f>
        <v>#REF!</v>
      </c>
      <c r="O59" s="779" t="e">
        <f>M59+N59</f>
        <v>#REF!</v>
      </c>
      <c r="P59" s="614" t="e">
        <f t="shared" si="6"/>
        <v>#REF!</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6"/>
        <v>#REF!</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6"/>
        <v>#REF!</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6"/>
        <v>#REF!</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t="e">
        <f>SUBTOTAL(9,M64:M65)</f>
        <v>#REF!</v>
      </c>
      <c r="N63" s="779" t="e">
        <f>SUBTOTAL(9,N64:N65)</f>
        <v>#REF!</v>
      </c>
      <c r="O63" s="779" t="e">
        <f>SUBTOTAL(9,O64:O65)</f>
        <v>#REF!</v>
      </c>
      <c r="P63" s="614" t="e">
        <f t="shared" si="6"/>
        <v>#REF!</v>
      </c>
      <c r="Q63" s="511"/>
      <c r="R63" s="632"/>
      <c r="AB63" s="632"/>
    </row>
    <row r="64" spans="2:28" ht="15.75" hidden="1" customHeight="1" outlineLevel="3">
      <c r="B64" s="776" t="s">
        <v>1684</v>
      </c>
      <c r="C64" s="782"/>
      <c r="D64" s="796" t="s">
        <v>1531</v>
      </c>
      <c r="E64" s="665" t="s">
        <v>455</v>
      </c>
      <c r="F64" s="648" t="s">
        <v>657</v>
      </c>
      <c r="G64" s="791">
        <v>1</v>
      </c>
      <c r="H64" s="795" t="s">
        <v>143</v>
      </c>
      <c r="I64" s="672" t="e">
        <f>$E$2*(1+$F$2)</f>
        <v>#REF!</v>
      </c>
      <c r="J64" s="672">
        <v>80</v>
      </c>
      <c r="K64" s="672">
        <f>J64/(1+L64)</f>
        <v>73.394495412844037</v>
      </c>
      <c r="L64" s="569">
        <v>0.09</v>
      </c>
      <c r="M64" s="779" t="e">
        <f>G64*I64*K64/10000</f>
        <v>#REF!</v>
      </c>
      <c r="N64" s="779" t="e">
        <f>L64*M64</f>
        <v>#REF!</v>
      </c>
      <c r="O64" s="779" t="e">
        <f>M64+N64</f>
        <v>#REF!</v>
      </c>
      <c r="P64" s="614" t="e">
        <f t="shared" si="6"/>
        <v>#REF!</v>
      </c>
      <c r="Q64" s="511"/>
      <c r="R64" s="632"/>
      <c r="AB64" s="632"/>
    </row>
    <row r="65" spans="2:28" ht="15.75" hidden="1" customHeight="1" outlineLevel="3">
      <c r="B65" s="776" t="s">
        <v>1532</v>
      </c>
      <c r="C65" s="777"/>
      <c r="D65" s="796" t="s">
        <v>1533</v>
      </c>
      <c r="E65" s="665" t="s">
        <v>455</v>
      </c>
      <c r="F65" s="648" t="s">
        <v>657</v>
      </c>
      <c r="G65" s="791">
        <v>1</v>
      </c>
      <c r="H65" s="795" t="s">
        <v>143</v>
      </c>
      <c r="I65" s="672" t="e">
        <f>$E$2*(1+$F$2)</f>
        <v>#REF!</v>
      </c>
      <c r="J65" s="672"/>
      <c r="K65" s="672">
        <f>J65/(1+L65)</f>
        <v>0</v>
      </c>
      <c r="L65" s="569">
        <v>0.13</v>
      </c>
      <c r="M65" s="779" t="e">
        <f>G65*I65*K65/10000</f>
        <v>#REF!</v>
      </c>
      <c r="N65" s="779" t="e">
        <f>L65*M65</f>
        <v>#REF!</v>
      </c>
      <c r="O65" s="779" t="e">
        <f>M65+N65</f>
        <v>#REF!</v>
      </c>
      <c r="P65" s="614" t="e">
        <f t="shared" si="6"/>
        <v>#REF!</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t="e">
        <f>SUBTOTAL(9,M67:M68)</f>
        <v>#REF!</v>
      </c>
      <c r="N66" s="779" t="e">
        <f>SUBTOTAL(9,N67:N68)</f>
        <v>#REF!</v>
      </c>
      <c r="O66" s="779" t="e">
        <f>SUBTOTAL(9,O67:O68)</f>
        <v>#REF!</v>
      </c>
      <c r="P66" s="614" t="e">
        <f t="shared" si="6"/>
        <v>#REF!</v>
      </c>
      <c r="Q66" s="511"/>
      <c r="R66" s="632"/>
      <c r="AB66" s="632"/>
    </row>
    <row r="67" spans="2:28" ht="15.75" hidden="1" customHeight="1" outlineLevel="3">
      <c r="B67" s="776" t="s">
        <v>1686</v>
      </c>
      <c r="C67" s="782"/>
      <c r="D67" s="796" t="s">
        <v>1534</v>
      </c>
      <c r="E67" s="665" t="s">
        <v>1535</v>
      </c>
      <c r="F67" s="648" t="s">
        <v>657</v>
      </c>
      <c r="G67" s="791">
        <v>1</v>
      </c>
      <c r="H67" s="795" t="s">
        <v>143</v>
      </c>
      <c r="I67" s="672" t="e">
        <f>$E$2*(1+$F$2)</f>
        <v>#REF!</v>
      </c>
      <c r="J67" s="791"/>
      <c r="K67" s="778">
        <f>J67/(1+L67)</f>
        <v>0</v>
      </c>
      <c r="L67" s="569">
        <v>0.13</v>
      </c>
      <c r="M67" s="779" t="e">
        <f>G67*I67*K67/10000</f>
        <v>#REF!</v>
      </c>
      <c r="N67" s="779" t="e">
        <f>L67*M67</f>
        <v>#REF!</v>
      </c>
      <c r="O67" s="779" t="e">
        <f>M67+N67</f>
        <v>#REF!</v>
      </c>
      <c r="P67" s="614" t="e">
        <f t="shared" si="6"/>
        <v>#REF!</v>
      </c>
      <c r="Q67" s="511"/>
      <c r="R67" s="632"/>
      <c r="AB67" s="632"/>
    </row>
    <row r="68" spans="2:28" ht="15.75" hidden="1" customHeight="1" outlineLevel="3">
      <c r="B68" s="776" t="s">
        <v>1687</v>
      </c>
      <c r="C68" s="782"/>
      <c r="D68" s="796" t="s">
        <v>1536</v>
      </c>
      <c r="E68" s="665" t="s">
        <v>455</v>
      </c>
      <c r="F68" s="648" t="s">
        <v>657</v>
      </c>
      <c r="G68" s="791">
        <v>1</v>
      </c>
      <c r="H68" s="795" t="s">
        <v>143</v>
      </c>
      <c r="I68" s="672" t="e">
        <f>$E$2*(1+$F$2)</f>
        <v>#REF!</v>
      </c>
      <c r="J68" s="791">
        <v>50</v>
      </c>
      <c r="K68" s="778">
        <f>J68/(1+L68)</f>
        <v>45.871559633027516</v>
      </c>
      <c r="L68" s="569">
        <v>0.09</v>
      </c>
      <c r="M68" s="779" t="e">
        <f>G68*I68*K68/10000</f>
        <v>#REF!</v>
      </c>
      <c r="N68" s="779" t="e">
        <f>L68*M68</f>
        <v>#REF!</v>
      </c>
      <c r="O68" s="779" t="e">
        <f>M68+N68</f>
        <v>#REF!</v>
      </c>
      <c r="P68" s="614" t="e">
        <f t="shared" ref="P68:P99" si="12">IF(O68="","",O68*10000/E$2)</f>
        <v>#REF!</v>
      </c>
      <c r="Q68" s="511"/>
      <c r="R68" s="632"/>
      <c r="AB68" s="632"/>
    </row>
    <row r="69" spans="2:28" ht="16.5" customHeight="1" collapsed="1">
      <c r="B69" s="480" t="s">
        <v>675</v>
      </c>
      <c r="C69" s="481" t="s">
        <v>34</v>
      </c>
      <c r="D69" s="480" t="s">
        <v>497</v>
      </c>
      <c r="E69" s="765"/>
      <c r="F69" s="765"/>
      <c r="G69" s="765"/>
      <c r="H69" s="800"/>
      <c r="I69" s="766"/>
      <c r="J69" s="800"/>
      <c r="K69" s="800"/>
      <c r="L69" s="767"/>
      <c r="M69" s="768" t="e">
        <f>SUBTOTAL(9,M70:M87)</f>
        <v>#REF!</v>
      </c>
      <c r="N69" s="768" t="e">
        <f>SUBTOTAL(9,N70:N87)</f>
        <v>#REF!</v>
      </c>
      <c r="O69" s="768" t="e">
        <f>SUBTOTAL(9,O70:O87)</f>
        <v>#REF!</v>
      </c>
      <c r="P69" s="769" t="e">
        <f t="shared" si="12"/>
        <v>#REF!</v>
      </c>
      <c r="Q69" s="801"/>
      <c r="R69" s="632"/>
      <c r="AB69" s="632"/>
    </row>
    <row r="70" spans="2:28" ht="16.5" customHeight="1" outlineLevel="1">
      <c r="B70" s="802" t="s">
        <v>676</v>
      </c>
      <c r="C70" s="803">
        <v>1</v>
      </c>
      <c r="D70" s="802" t="s">
        <v>22</v>
      </c>
      <c r="E70" s="712"/>
      <c r="F70" s="712"/>
      <c r="G70" s="712"/>
      <c r="H70" s="772"/>
      <c r="I70" s="713"/>
      <c r="J70" s="772"/>
      <c r="K70" s="772"/>
      <c r="L70" s="588"/>
      <c r="M70" s="773" t="e">
        <f>SUBTOTAL(9,M71:M81)</f>
        <v>#REF!</v>
      </c>
      <c r="N70" s="773" t="e">
        <f>SUBTOTAL(9,N71:N81)</f>
        <v>#REF!</v>
      </c>
      <c r="O70" s="773" t="e">
        <f>SUBTOTAL(9,O71:O81)</f>
        <v>#REF!</v>
      </c>
      <c r="P70" s="774" t="e">
        <f t="shared" si="12"/>
        <v>#REF!</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t="e">
        <f t="shared" ref="I71:I81" si="13">$E$2*(1+$F$2)</f>
        <v>#REF!</v>
      </c>
      <c r="J71" s="672"/>
      <c r="K71" s="778">
        <f t="shared" ref="K71:K81" si="14">J71/(1+L71)</f>
        <v>0</v>
      </c>
      <c r="L71" s="569">
        <v>0.13</v>
      </c>
      <c r="M71" s="779" t="e">
        <f t="shared" ref="M71:M81" si="15">G71*I71*K71/10000</f>
        <v>#REF!</v>
      </c>
      <c r="N71" s="779" t="e">
        <f t="shared" ref="N71:N81" si="16">L71*M71</f>
        <v>#REF!</v>
      </c>
      <c r="O71" s="779" t="e">
        <f t="shared" ref="O71:O81" si="17">M71+N71</f>
        <v>#REF!</v>
      </c>
      <c r="P71" s="780" t="e">
        <f t="shared" si="12"/>
        <v>#REF!</v>
      </c>
      <c r="Q71" s="781"/>
      <c r="R71" s="632"/>
      <c r="AB71" s="632"/>
    </row>
    <row r="72" spans="2:28" ht="16.5" hidden="1" customHeight="1" outlineLevel="2">
      <c r="B72" s="776" t="s">
        <v>678</v>
      </c>
      <c r="C72" s="777" t="s">
        <v>68</v>
      </c>
      <c r="D72" s="776" t="s">
        <v>1539</v>
      </c>
      <c r="E72" s="648" t="s">
        <v>1540</v>
      </c>
      <c r="F72" s="648" t="s">
        <v>657</v>
      </c>
      <c r="G72" s="791">
        <v>1</v>
      </c>
      <c r="H72" s="795" t="s">
        <v>143</v>
      </c>
      <c r="I72" s="672" t="e">
        <f t="shared" si="13"/>
        <v>#REF!</v>
      </c>
      <c r="J72" s="672"/>
      <c r="K72" s="778">
        <f t="shared" si="14"/>
        <v>0</v>
      </c>
      <c r="L72" s="569">
        <v>0.13</v>
      </c>
      <c r="M72" s="779" t="e">
        <f t="shared" si="15"/>
        <v>#REF!</v>
      </c>
      <c r="N72" s="779" t="e">
        <f t="shared" si="16"/>
        <v>#REF!</v>
      </c>
      <c r="O72" s="779" t="e">
        <f t="shared" si="17"/>
        <v>#REF!</v>
      </c>
      <c r="P72" s="780" t="e">
        <f t="shared" si="12"/>
        <v>#REF!</v>
      </c>
      <c r="Q72" s="781"/>
      <c r="R72" s="632"/>
      <c r="AB72" s="632"/>
    </row>
    <row r="73" spans="2:28" ht="16.5" hidden="1" customHeight="1" outlineLevel="2">
      <c r="B73" s="776" t="s">
        <v>679</v>
      </c>
      <c r="C73" s="777" t="s">
        <v>69</v>
      </c>
      <c r="D73" s="776" t="s">
        <v>1541</v>
      </c>
      <c r="E73" s="648" t="s">
        <v>1542</v>
      </c>
      <c r="F73" s="648" t="s">
        <v>657</v>
      </c>
      <c r="G73" s="791">
        <v>1</v>
      </c>
      <c r="H73" s="795" t="s">
        <v>143</v>
      </c>
      <c r="I73" s="672" t="e">
        <f t="shared" si="13"/>
        <v>#REF!</v>
      </c>
      <c r="J73" s="672"/>
      <c r="K73" s="778">
        <f t="shared" si="14"/>
        <v>0</v>
      </c>
      <c r="L73" s="569">
        <v>0.13</v>
      </c>
      <c r="M73" s="779" t="e">
        <f t="shared" si="15"/>
        <v>#REF!</v>
      </c>
      <c r="N73" s="779" t="e">
        <f t="shared" si="16"/>
        <v>#REF!</v>
      </c>
      <c r="O73" s="779" t="e">
        <f t="shared" si="17"/>
        <v>#REF!</v>
      </c>
      <c r="P73" s="780" t="e">
        <f t="shared" si="12"/>
        <v>#REF!</v>
      </c>
      <c r="Q73" s="781"/>
      <c r="R73" s="632"/>
      <c r="AB73" s="632"/>
    </row>
    <row r="74" spans="2:28" ht="16.5" hidden="1" customHeight="1" outlineLevel="2">
      <c r="B74" s="776" t="s">
        <v>680</v>
      </c>
      <c r="C74" s="777" t="s">
        <v>70</v>
      </c>
      <c r="D74" s="776" t="s">
        <v>1543</v>
      </c>
      <c r="E74" s="648" t="s">
        <v>1544</v>
      </c>
      <c r="F74" s="648" t="s">
        <v>657</v>
      </c>
      <c r="G74" s="791">
        <v>1</v>
      </c>
      <c r="H74" s="795" t="s">
        <v>143</v>
      </c>
      <c r="I74" s="672" t="e">
        <f t="shared" si="13"/>
        <v>#REF!</v>
      </c>
      <c r="J74" s="672"/>
      <c r="K74" s="778">
        <f t="shared" si="14"/>
        <v>0</v>
      </c>
      <c r="L74" s="569">
        <v>0.09</v>
      </c>
      <c r="M74" s="779" t="e">
        <f t="shared" si="15"/>
        <v>#REF!</v>
      </c>
      <c r="N74" s="779" t="e">
        <f t="shared" si="16"/>
        <v>#REF!</v>
      </c>
      <c r="O74" s="779" t="e">
        <f t="shared" si="17"/>
        <v>#REF!</v>
      </c>
      <c r="P74" s="780" t="e">
        <f t="shared" si="12"/>
        <v>#REF!</v>
      </c>
      <c r="Q74" s="781"/>
      <c r="R74" s="632"/>
      <c r="AB74" s="632"/>
    </row>
    <row r="75" spans="2:28" ht="16.5" hidden="1" customHeight="1" outlineLevel="2">
      <c r="B75" s="776" t="s">
        <v>681</v>
      </c>
      <c r="C75" s="777" t="s">
        <v>71</v>
      </c>
      <c r="D75" s="776" t="s">
        <v>1545</v>
      </c>
      <c r="E75" s="648" t="s">
        <v>450</v>
      </c>
      <c r="F75" s="648" t="s">
        <v>657</v>
      </c>
      <c r="G75" s="791">
        <v>1</v>
      </c>
      <c r="H75" s="795" t="s">
        <v>143</v>
      </c>
      <c r="I75" s="672" t="e">
        <f t="shared" si="13"/>
        <v>#REF!</v>
      </c>
      <c r="J75" s="672"/>
      <c r="K75" s="778">
        <f t="shared" si="14"/>
        <v>0</v>
      </c>
      <c r="L75" s="569">
        <v>0.13</v>
      </c>
      <c r="M75" s="779" t="e">
        <f t="shared" si="15"/>
        <v>#REF!</v>
      </c>
      <c r="N75" s="779" t="e">
        <f t="shared" si="16"/>
        <v>#REF!</v>
      </c>
      <c r="O75" s="779" t="e">
        <f t="shared" si="17"/>
        <v>#REF!</v>
      </c>
      <c r="P75" s="780" t="e">
        <f t="shared" si="12"/>
        <v>#REF!</v>
      </c>
      <c r="Q75" s="781"/>
      <c r="R75" s="632"/>
      <c r="AB75" s="632"/>
    </row>
    <row r="76" spans="2:28" ht="16.5" hidden="1" customHeight="1" outlineLevel="2">
      <c r="B76" s="776" t="s">
        <v>682</v>
      </c>
      <c r="C76" s="777" t="s">
        <v>144</v>
      </c>
      <c r="D76" s="776" t="s">
        <v>1546</v>
      </c>
      <c r="E76" s="648" t="s">
        <v>452</v>
      </c>
      <c r="F76" s="648" t="s">
        <v>657</v>
      </c>
      <c r="G76" s="791">
        <v>1</v>
      </c>
      <c r="H76" s="795" t="s">
        <v>143</v>
      </c>
      <c r="I76" s="672" t="e">
        <f t="shared" si="13"/>
        <v>#REF!</v>
      </c>
      <c r="J76" s="672"/>
      <c r="K76" s="778">
        <f t="shared" si="14"/>
        <v>0</v>
      </c>
      <c r="L76" s="569">
        <v>0.09</v>
      </c>
      <c r="M76" s="779" t="e">
        <f t="shared" si="15"/>
        <v>#REF!</v>
      </c>
      <c r="N76" s="779" t="e">
        <f t="shared" si="16"/>
        <v>#REF!</v>
      </c>
      <c r="O76" s="779" t="e">
        <f t="shared" si="17"/>
        <v>#REF!</v>
      </c>
      <c r="P76" s="780" t="e">
        <f t="shared" si="12"/>
        <v>#REF!</v>
      </c>
      <c r="Q76" s="781"/>
      <c r="R76" s="632"/>
      <c r="AB76" s="632"/>
    </row>
    <row r="77" spans="2:28" ht="16.5" hidden="1" customHeight="1" outlineLevel="2">
      <c r="B77" s="776" t="s">
        <v>683</v>
      </c>
      <c r="C77" s="777" t="s">
        <v>72</v>
      </c>
      <c r="D77" s="776" t="s">
        <v>1547</v>
      </c>
      <c r="E77" s="648" t="s">
        <v>1548</v>
      </c>
      <c r="F77" s="648" t="s">
        <v>657</v>
      </c>
      <c r="G77" s="791">
        <v>1</v>
      </c>
      <c r="H77" s="795" t="s">
        <v>143</v>
      </c>
      <c r="I77" s="672" t="e">
        <f t="shared" si="13"/>
        <v>#REF!</v>
      </c>
      <c r="J77" s="672"/>
      <c r="K77" s="778">
        <f t="shared" si="14"/>
        <v>0</v>
      </c>
      <c r="L77" s="569">
        <v>0.13</v>
      </c>
      <c r="M77" s="779" t="e">
        <f t="shared" si="15"/>
        <v>#REF!</v>
      </c>
      <c r="N77" s="779" t="e">
        <f t="shared" si="16"/>
        <v>#REF!</v>
      </c>
      <c r="O77" s="779" t="e">
        <f t="shared" si="17"/>
        <v>#REF!</v>
      </c>
      <c r="P77" s="780" t="e">
        <f t="shared" si="12"/>
        <v>#REF!</v>
      </c>
      <c r="Q77" s="781"/>
      <c r="R77" s="632"/>
      <c r="AB77" s="632"/>
    </row>
    <row r="78" spans="2:28" ht="16.5" hidden="1" customHeight="1" outlineLevel="2">
      <c r="B78" s="776" t="s">
        <v>1549</v>
      </c>
      <c r="C78" s="777" t="s">
        <v>73</v>
      </c>
      <c r="D78" s="776" t="s">
        <v>1550</v>
      </c>
      <c r="E78" s="648" t="s">
        <v>1607</v>
      </c>
      <c r="F78" s="648" t="s">
        <v>657</v>
      </c>
      <c r="G78" s="791">
        <v>1</v>
      </c>
      <c r="H78" s="795" t="s">
        <v>143</v>
      </c>
      <c r="I78" s="672" t="e">
        <f t="shared" si="13"/>
        <v>#REF!</v>
      </c>
      <c r="J78" s="672"/>
      <c r="K78" s="778">
        <f t="shared" si="14"/>
        <v>0</v>
      </c>
      <c r="L78" s="569">
        <v>0.13</v>
      </c>
      <c r="M78" s="779" t="e">
        <f t="shared" si="15"/>
        <v>#REF!</v>
      </c>
      <c r="N78" s="779" t="e">
        <f t="shared" si="16"/>
        <v>#REF!</v>
      </c>
      <c r="O78" s="779" t="e">
        <f t="shared" si="17"/>
        <v>#REF!</v>
      </c>
      <c r="P78" s="780" t="e">
        <f t="shared" si="12"/>
        <v>#REF!</v>
      </c>
      <c r="Q78" s="781"/>
      <c r="R78" s="632"/>
      <c r="AB78" s="632"/>
    </row>
    <row r="79" spans="2:28" ht="16.5" hidden="1" customHeight="1" outlineLevel="2">
      <c r="B79" s="776" t="s">
        <v>684</v>
      </c>
      <c r="C79" s="777" t="s">
        <v>74</v>
      </c>
      <c r="D79" s="776" t="s">
        <v>1551</v>
      </c>
      <c r="E79" s="648" t="s">
        <v>457</v>
      </c>
      <c r="F79" s="648" t="s">
        <v>657</v>
      </c>
      <c r="G79" s="791">
        <v>1</v>
      </c>
      <c r="H79" s="795" t="s">
        <v>143</v>
      </c>
      <c r="I79" s="672" t="e">
        <f t="shared" si="13"/>
        <v>#REF!</v>
      </c>
      <c r="J79" s="672"/>
      <c r="K79" s="778">
        <f t="shared" si="14"/>
        <v>0</v>
      </c>
      <c r="L79" s="569">
        <v>0.13</v>
      </c>
      <c r="M79" s="779" t="e">
        <f t="shared" si="15"/>
        <v>#REF!</v>
      </c>
      <c r="N79" s="779" t="e">
        <f t="shared" si="16"/>
        <v>#REF!</v>
      </c>
      <c r="O79" s="779" t="e">
        <f t="shared" si="17"/>
        <v>#REF!</v>
      </c>
      <c r="P79" s="780" t="e">
        <f t="shared" si="12"/>
        <v>#REF!</v>
      </c>
      <c r="Q79" s="781"/>
      <c r="R79" s="632"/>
      <c r="AB79" s="632"/>
    </row>
    <row r="80" spans="2:28" ht="16.5" hidden="1" customHeight="1" outlineLevel="2">
      <c r="B80" s="776" t="s">
        <v>685</v>
      </c>
      <c r="C80" s="777" t="s">
        <v>75</v>
      </c>
      <c r="D80" s="776" t="s">
        <v>1552</v>
      </c>
      <c r="E80" s="648" t="s">
        <v>1553</v>
      </c>
      <c r="F80" s="648" t="s">
        <v>657</v>
      </c>
      <c r="G80" s="791">
        <v>1</v>
      </c>
      <c r="H80" s="795" t="s">
        <v>143</v>
      </c>
      <c r="I80" s="672" t="e">
        <f t="shared" si="13"/>
        <v>#REF!</v>
      </c>
      <c r="J80" s="672"/>
      <c r="K80" s="778">
        <f t="shared" si="14"/>
        <v>0</v>
      </c>
      <c r="L80" s="569">
        <v>0.13</v>
      </c>
      <c r="M80" s="779" t="e">
        <f t="shared" si="15"/>
        <v>#REF!</v>
      </c>
      <c r="N80" s="779" t="e">
        <f t="shared" si="16"/>
        <v>#REF!</v>
      </c>
      <c r="O80" s="779" t="e">
        <f t="shared" si="17"/>
        <v>#REF!</v>
      </c>
      <c r="P80" s="780" t="e">
        <f t="shared" si="12"/>
        <v>#REF!</v>
      </c>
      <c r="Q80" s="781"/>
      <c r="R80" s="632"/>
      <c r="AB80" s="632"/>
    </row>
    <row r="81" spans="2:28" ht="16.5" hidden="1" customHeight="1" outlineLevel="2">
      <c r="B81" s="776" t="s">
        <v>686</v>
      </c>
      <c r="C81" s="777" t="s">
        <v>146</v>
      </c>
      <c r="D81" s="776" t="s">
        <v>1554</v>
      </c>
      <c r="E81" s="648" t="s">
        <v>1608</v>
      </c>
      <c r="F81" s="648" t="s">
        <v>657</v>
      </c>
      <c r="G81" s="791">
        <v>1</v>
      </c>
      <c r="H81" s="795" t="s">
        <v>143</v>
      </c>
      <c r="I81" s="672" t="e">
        <f t="shared" si="13"/>
        <v>#REF!</v>
      </c>
      <c r="J81" s="672"/>
      <c r="K81" s="778">
        <f t="shared" si="14"/>
        <v>0</v>
      </c>
      <c r="L81" s="569">
        <v>0.13</v>
      </c>
      <c r="M81" s="779" t="e">
        <f t="shared" si="15"/>
        <v>#REF!</v>
      </c>
      <c r="N81" s="779" t="e">
        <f t="shared" si="16"/>
        <v>#REF!</v>
      </c>
      <c r="O81" s="779" t="e">
        <f t="shared" si="17"/>
        <v>#REF!</v>
      </c>
      <c r="P81" s="780" t="e">
        <f t="shared" si="12"/>
        <v>#REF!</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customHeight="1" outlineLevel="1" collapsed="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 r="B88" s="480" t="s">
        <v>699</v>
      </c>
      <c r="C88" s="481" t="s">
        <v>379</v>
      </c>
      <c r="D88" s="480" t="s">
        <v>498</v>
      </c>
      <c r="E88" s="765"/>
      <c r="F88" s="765"/>
      <c r="G88" s="765"/>
      <c r="H88" s="765"/>
      <c r="I88" s="766"/>
      <c r="J88" s="765"/>
      <c r="K88" s="765"/>
      <c r="L88" s="767"/>
      <c r="M88" s="768" t="e">
        <f>SUBTOTAL(9,M89:M167)</f>
        <v>#REF!</v>
      </c>
      <c r="N88" s="768" t="e">
        <f>SUBTOTAL(9,N89:N167)</f>
        <v>#REF!</v>
      </c>
      <c r="O88" s="768" t="e">
        <f>SUBTOTAL(9,O89:O167)</f>
        <v>#REF!</v>
      </c>
      <c r="P88" s="769" t="e">
        <f t="shared" si="12"/>
        <v>#REF!</v>
      </c>
      <c r="Q88" s="770"/>
      <c r="R88" s="632"/>
      <c r="AB88" s="632"/>
    </row>
    <row r="89" spans="2:28" ht="16.5" customHeight="1" outlineLevel="1">
      <c r="B89" s="802" t="s">
        <v>499</v>
      </c>
      <c r="C89" s="803">
        <v>1</v>
      </c>
      <c r="D89" s="802" t="s">
        <v>35</v>
      </c>
      <c r="E89" s="712"/>
      <c r="F89" s="712"/>
      <c r="G89" s="712"/>
      <c r="H89" s="772"/>
      <c r="I89" s="713"/>
      <c r="J89" s="772"/>
      <c r="K89" s="772"/>
      <c r="L89" s="588"/>
      <c r="M89" s="773" t="e">
        <f>SUBTOTAL(9,M90:M128)</f>
        <v>#REF!</v>
      </c>
      <c r="N89" s="773" t="e">
        <f>SUBTOTAL(9,N90:N128)</f>
        <v>#REF!</v>
      </c>
      <c r="O89" s="773" t="e">
        <f>SUBTOTAL(9,O90:O128)</f>
        <v>#REF!</v>
      </c>
      <c r="P89" s="774" t="e">
        <f t="shared" si="12"/>
        <v>#REF!</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t="e">
        <f>SUBTOTAL(9,M91:M110)</f>
        <v>#REF!</v>
      </c>
      <c r="N90" s="779" t="e">
        <f>SUBTOTAL(9,N91:N110)</f>
        <v>#REF!</v>
      </c>
      <c r="O90" s="779" t="e">
        <f>SUBTOTAL(9,O91:O110)</f>
        <v>#REF!</v>
      </c>
      <c r="P90" s="780" t="e">
        <f t="shared" si="12"/>
        <v>#REF!</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t="e">
        <f>SUBTOTAL(9,M92:M93)</f>
        <v>#REF!</v>
      </c>
      <c r="N91" s="779" t="e">
        <f>SUBTOTAL(9,N92:N93)</f>
        <v>#REF!</v>
      </c>
      <c r="O91" s="779" t="e">
        <f>SUBTOTAL(9,O92:O93)</f>
        <v>#REF!</v>
      </c>
      <c r="P91" s="780" t="e">
        <f t="shared" si="12"/>
        <v>#REF!</v>
      </c>
      <c r="Q91" s="806"/>
      <c r="R91" s="632"/>
      <c r="AB91" s="632"/>
    </row>
    <row r="92" spans="2:28" ht="16.5" hidden="1" customHeight="1" outlineLevel="4">
      <c r="B92" s="776" t="s">
        <v>801</v>
      </c>
      <c r="C92" s="782"/>
      <c r="D92" s="807" t="s">
        <v>1556</v>
      </c>
      <c r="E92" s="648" t="s">
        <v>459</v>
      </c>
      <c r="F92" s="648" t="s">
        <v>657</v>
      </c>
      <c r="G92" s="808">
        <v>0.7</v>
      </c>
      <c r="H92" s="805" t="s">
        <v>101</v>
      </c>
      <c r="I92" s="672" t="e">
        <f>$E$2*(1+$F$2)</f>
        <v>#REF!</v>
      </c>
      <c r="J92" s="790">
        <v>35</v>
      </c>
      <c r="K92" s="778">
        <f>J92/(1+L92)</f>
        <v>30.973451327433633</v>
      </c>
      <c r="L92" s="569">
        <v>0.13</v>
      </c>
      <c r="M92" s="779" t="e">
        <f>G92*I92*K92/10000</f>
        <v>#REF!</v>
      </c>
      <c r="N92" s="779" t="e">
        <f>L92*M92</f>
        <v>#REF!</v>
      </c>
      <c r="O92" s="779" t="e">
        <f>M92+N92</f>
        <v>#REF!</v>
      </c>
      <c r="P92" s="780" t="e">
        <f t="shared" si="12"/>
        <v>#REF!</v>
      </c>
      <c r="Q92" s="806"/>
      <c r="R92" s="632"/>
      <c r="AB92" s="632"/>
    </row>
    <row r="93" spans="2:28" ht="16.5" hidden="1" customHeight="1" outlineLevel="4">
      <c r="B93" s="776" t="s">
        <v>703</v>
      </c>
      <c r="C93" s="782"/>
      <c r="D93" s="807" t="s">
        <v>1557</v>
      </c>
      <c r="E93" s="648" t="s">
        <v>1493</v>
      </c>
      <c r="F93" s="648" t="s">
        <v>657</v>
      </c>
      <c r="G93" s="808">
        <v>0.7</v>
      </c>
      <c r="H93" s="805" t="s">
        <v>101</v>
      </c>
      <c r="I93" s="672" t="e">
        <f>$E$2*(1+$F$2)</f>
        <v>#REF!</v>
      </c>
      <c r="J93" s="790">
        <v>40</v>
      </c>
      <c r="K93" s="778">
        <f>J93/(1+L93)</f>
        <v>36.697247706422019</v>
      </c>
      <c r="L93" s="569">
        <v>0.09</v>
      </c>
      <c r="M93" s="779" t="e">
        <f>G93*I93*K93/10000</f>
        <v>#REF!</v>
      </c>
      <c r="N93" s="779" t="e">
        <f>L93*M93</f>
        <v>#REF!</v>
      </c>
      <c r="O93" s="779" t="e">
        <f>M93+N93</f>
        <v>#REF!</v>
      </c>
      <c r="P93" s="780" t="e">
        <f t="shared" si="12"/>
        <v>#REF!</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t="e">
        <f>SUBTOTAL(9,M95:M98)</f>
        <v>#REF!</v>
      </c>
      <c r="N94" s="779" t="e">
        <f>SUBTOTAL(9,N95:N98)</f>
        <v>#REF!</v>
      </c>
      <c r="O94" s="779" t="e">
        <f>SUBTOTAL(9,O95:O98)</f>
        <v>#REF!</v>
      </c>
      <c r="P94" s="780" t="e">
        <f t="shared" si="12"/>
        <v>#REF!</v>
      </c>
      <c r="Q94" s="806"/>
      <c r="R94" s="632"/>
      <c r="AB94" s="632"/>
    </row>
    <row r="95" spans="2:28" ht="16.5" hidden="1" customHeight="1" outlineLevel="4">
      <c r="B95" s="776" t="s">
        <v>802</v>
      </c>
      <c r="C95" s="782"/>
      <c r="D95" s="807" t="s">
        <v>1560</v>
      </c>
      <c r="E95" s="719" t="s">
        <v>1609</v>
      </c>
      <c r="F95" s="648" t="s">
        <v>657</v>
      </c>
      <c r="G95" s="809"/>
      <c r="H95" s="805" t="s">
        <v>101</v>
      </c>
      <c r="I95" s="672" t="e">
        <f>$E$2*(1+$F$2)</f>
        <v>#REF!</v>
      </c>
      <c r="J95" s="790"/>
      <c r="K95" s="778">
        <f>J95/(1+L95)</f>
        <v>0</v>
      </c>
      <c r="L95" s="569">
        <v>0.09</v>
      </c>
      <c r="M95" s="779" t="e">
        <f>G95*I95*K95/10000</f>
        <v>#REF!</v>
      </c>
      <c r="N95" s="779" t="e">
        <f>L95*M95</f>
        <v>#REF!</v>
      </c>
      <c r="O95" s="779" t="e">
        <f>M95+N95</f>
        <v>#REF!</v>
      </c>
      <c r="P95" s="780" t="e">
        <f t="shared" si="12"/>
        <v>#REF!</v>
      </c>
      <c r="Q95" s="806"/>
      <c r="R95" s="632"/>
      <c r="AB95" s="632"/>
    </row>
    <row r="96" spans="2:28" ht="16.5" hidden="1" customHeight="1" outlineLevel="4">
      <c r="B96" s="776" t="s">
        <v>704</v>
      </c>
      <c r="C96" s="782"/>
      <c r="D96" s="807" t="s">
        <v>1561</v>
      </c>
      <c r="E96" s="719" t="s">
        <v>1609</v>
      </c>
      <c r="F96" s="648" t="s">
        <v>657</v>
      </c>
      <c r="G96" s="809">
        <v>0</v>
      </c>
      <c r="H96" s="805" t="s">
        <v>101</v>
      </c>
      <c r="I96" s="672" t="e">
        <f>$E$2*(1+$F$2)</f>
        <v>#REF!</v>
      </c>
      <c r="J96" s="790"/>
      <c r="K96" s="778">
        <f>J96/(1+L96)</f>
        <v>0</v>
      </c>
      <c r="L96" s="569">
        <v>0.09</v>
      </c>
      <c r="M96" s="779" t="e">
        <f>G96*I96*K96/10000</f>
        <v>#REF!</v>
      </c>
      <c r="N96" s="779" t="e">
        <f>L96*M96</f>
        <v>#REF!</v>
      </c>
      <c r="O96" s="779" t="e">
        <f>M96+N96</f>
        <v>#REF!</v>
      </c>
      <c r="P96" s="780" t="e">
        <f t="shared" si="12"/>
        <v>#REF!</v>
      </c>
      <c r="Q96" s="806"/>
      <c r="R96" s="632"/>
      <c r="AB96" s="632"/>
    </row>
    <row r="97" spans="2:28" ht="16.5" hidden="1" customHeight="1" outlineLevel="4">
      <c r="B97" s="776" t="s">
        <v>1562</v>
      </c>
      <c r="C97" s="782"/>
      <c r="D97" s="807" t="s">
        <v>1563</v>
      </c>
      <c r="E97" s="719" t="s">
        <v>1609</v>
      </c>
      <c r="F97" s="648" t="s">
        <v>657</v>
      </c>
      <c r="G97" s="809">
        <v>0</v>
      </c>
      <c r="H97" s="805" t="s">
        <v>101</v>
      </c>
      <c r="I97" s="672" t="e">
        <f>$E$2*(1+$F$2)</f>
        <v>#REF!</v>
      </c>
      <c r="J97" s="790"/>
      <c r="K97" s="778">
        <f>J97/(1+L97)</f>
        <v>0</v>
      </c>
      <c r="L97" s="569">
        <v>0.09</v>
      </c>
      <c r="M97" s="779" t="e">
        <f>G97*I97*K97/10000</f>
        <v>#REF!</v>
      </c>
      <c r="N97" s="779" t="e">
        <f>L97*M97</f>
        <v>#REF!</v>
      </c>
      <c r="O97" s="779" t="e">
        <f>M97+N97</f>
        <v>#REF!</v>
      </c>
      <c r="P97" s="780" t="e">
        <f t="shared" si="12"/>
        <v>#REF!</v>
      </c>
      <c r="Q97" s="806"/>
      <c r="R97" s="632"/>
      <c r="AB97" s="632"/>
    </row>
    <row r="98" spans="2:28" ht="16.5" hidden="1" customHeight="1" outlineLevel="4">
      <c r="B98" s="776" t="s">
        <v>1564</v>
      </c>
      <c r="C98" s="782"/>
      <c r="D98" s="807" t="s">
        <v>1565</v>
      </c>
      <c r="E98" s="719" t="s">
        <v>1609</v>
      </c>
      <c r="F98" s="648" t="s">
        <v>657</v>
      </c>
      <c r="G98" s="809">
        <v>0.5</v>
      </c>
      <c r="H98" s="805" t="s">
        <v>101</v>
      </c>
      <c r="I98" s="672" t="e">
        <f>$E$2*(1+$F$2)</f>
        <v>#REF!</v>
      </c>
      <c r="J98" s="790">
        <v>700</v>
      </c>
      <c r="K98" s="778">
        <f>J98/(1+L98)</f>
        <v>642.20183486238523</v>
      </c>
      <c r="L98" s="569">
        <v>0.09</v>
      </c>
      <c r="M98" s="779" t="e">
        <f>G98*I98*K98/10000</f>
        <v>#REF!</v>
      </c>
      <c r="N98" s="779" t="e">
        <f>L98*M98</f>
        <v>#REF!</v>
      </c>
      <c r="O98" s="779" t="e">
        <f>M98+N98</f>
        <v>#REF!</v>
      </c>
      <c r="P98" s="780" t="e">
        <f t="shared" si="12"/>
        <v>#REF!</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t="e">
        <f>SUBTOTAL(9,M100:M101)</f>
        <v>#REF!</v>
      </c>
      <c r="N99" s="779" t="e">
        <f>SUBTOTAL(9,N100:N101)</f>
        <v>#REF!</v>
      </c>
      <c r="O99" s="779" t="e">
        <f>SUBTOTAL(9,O100:O101)</f>
        <v>#REF!</v>
      </c>
      <c r="P99" s="780" t="e">
        <f t="shared" si="12"/>
        <v>#REF!</v>
      </c>
      <c r="Q99" s="806"/>
      <c r="R99" s="632"/>
      <c r="AB99" s="632"/>
    </row>
    <row r="100" spans="2:28" ht="16.5" hidden="1" customHeight="1" outlineLevel="4">
      <c r="B100" s="776" t="s">
        <v>1568</v>
      </c>
      <c r="C100" s="782"/>
      <c r="D100" s="807" t="s">
        <v>1569</v>
      </c>
      <c r="E100" s="665" t="s">
        <v>469</v>
      </c>
      <c r="F100" s="648" t="s">
        <v>657</v>
      </c>
      <c r="G100" s="809">
        <v>0</v>
      </c>
      <c r="H100" s="805" t="s">
        <v>101</v>
      </c>
      <c r="I100" s="672" t="e">
        <f>$E$2*(1+$F$2)</f>
        <v>#REF!</v>
      </c>
      <c r="J100" s="790"/>
      <c r="K100" s="778">
        <f>J100/(1+L100)</f>
        <v>0</v>
      </c>
      <c r="L100" s="569">
        <v>0.13</v>
      </c>
      <c r="M100" s="779" t="e">
        <f>G100*I100*K100/10000</f>
        <v>#REF!</v>
      </c>
      <c r="N100" s="779" t="e">
        <f>L100*M100</f>
        <v>#REF!</v>
      </c>
      <c r="O100" s="779" t="e">
        <f>M100+N100</f>
        <v>#REF!</v>
      </c>
      <c r="P100" s="780" t="e">
        <f t="shared" ref="P100:P131" si="18">IF(O100="","",O100*10000/E$2)</f>
        <v>#REF!</v>
      </c>
      <c r="Q100" s="806"/>
      <c r="R100" s="632"/>
      <c r="AB100" s="632"/>
    </row>
    <row r="101" spans="2:28" ht="16.5" hidden="1" customHeight="1" outlineLevel="4">
      <c r="B101" s="776" t="s">
        <v>1570</v>
      </c>
      <c r="C101" s="782"/>
      <c r="D101" s="807" t="s">
        <v>1571</v>
      </c>
      <c r="E101" s="665" t="s">
        <v>1228</v>
      </c>
      <c r="F101" s="648" t="s">
        <v>657</v>
      </c>
      <c r="G101" s="809">
        <v>0</v>
      </c>
      <c r="H101" s="805" t="s">
        <v>101</v>
      </c>
      <c r="I101" s="672" t="e">
        <f>$E$2*(1+$F$2)</f>
        <v>#REF!</v>
      </c>
      <c r="J101" s="790"/>
      <c r="K101" s="778">
        <f>J101/(1+L101)</f>
        <v>0</v>
      </c>
      <c r="L101" s="569">
        <v>0.09</v>
      </c>
      <c r="M101" s="779" t="e">
        <f>G101*I101*K101/10000</f>
        <v>#REF!</v>
      </c>
      <c r="N101" s="779" t="e">
        <f>L101*M101</f>
        <v>#REF!</v>
      </c>
      <c r="O101" s="779" t="e">
        <f>M101+N101</f>
        <v>#REF!</v>
      </c>
      <c r="P101" s="780" t="e">
        <f t="shared" si="18"/>
        <v>#REF!</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t="e">
        <f>SUBTOTAL(9,M103:M104)</f>
        <v>#REF!</v>
      </c>
      <c r="N102" s="779" t="e">
        <f>SUBTOTAL(9,N103:N104)</f>
        <v>#REF!</v>
      </c>
      <c r="O102" s="779" t="e">
        <f>SUBTOTAL(9,O103:O104)</f>
        <v>#REF!</v>
      </c>
      <c r="P102" s="780" t="e">
        <f t="shared" si="18"/>
        <v>#REF!</v>
      </c>
      <c r="Q102" s="806"/>
      <c r="R102" s="632"/>
      <c r="AB102" s="632"/>
    </row>
    <row r="103" spans="2:28" ht="16.5" hidden="1" customHeight="1" outlineLevel="4">
      <c r="B103" s="776" t="s">
        <v>1574</v>
      </c>
      <c r="C103" s="782"/>
      <c r="D103" s="804" t="s">
        <v>1575</v>
      </c>
      <c r="E103" s="665" t="s">
        <v>468</v>
      </c>
      <c r="F103" s="648" t="s">
        <v>657</v>
      </c>
      <c r="G103" s="809">
        <v>0</v>
      </c>
      <c r="H103" s="805" t="s">
        <v>111</v>
      </c>
      <c r="I103" s="672" t="e">
        <f>$E$2*(1+$F$2)</f>
        <v>#REF!</v>
      </c>
      <c r="J103" s="790"/>
      <c r="K103" s="778">
        <f t="shared" ref="K103:K110" si="19">J103/(1+L103)</f>
        <v>0</v>
      </c>
      <c r="L103" s="569">
        <v>0.09</v>
      </c>
      <c r="M103" s="779" t="e">
        <f t="shared" ref="M103:M110" si="20">G103*I103*K103/10000</f>
        <v>#REF!</v>
      </c>
      <c r="N103" s="779" t="e">
        <f t="shared" ref="N103:N110" si="21">L103*M103</f>
        <v>#REF!</v>
      </c>
      <c r="O103" s="779" t="e">
        <f t="shared" ref="O103:O110" si="22">M103+N103</f>
        <v>#REF!</v>
      </c>
      <c r="P103" s="780" t="e">
        <f t="shared" si="18"/>
        <v>#REF!</v>
      </c>
      <c r="Q103" s="806"/>
      <c r="R103" s="632"/>
      <c r="AB103" s="632"/>
    </row>
    <row r="104" spans="2:28" ht="16.5" hidden="1" customHeight="1" outlineLevel="4">
      <c r="B104" s="776" t="s">
        <v>1576</v>
      </c>
      <c r="C104" s="782"/>
      <c r="D104" s="804" t="s">
        <v>1577</v>
      </c>
      <c r="E104" s="665" t="s">
        <v>468</v>
      </c>
      <c r="F104" s="648" t="s">
        <v>657</v>
      </c>
      <c r="G104" s="809"/>
      <c r="H104" s="805" t="s">
        <v>111</v>
      </c>
      <c r="I104" s="672" t="e">
        <f>$E$2*(1+$F$2)</f>
        <v>#REF!</v>
      </c>
      <c r="J104" s="790"/>
      <c r="K104" s="778">
        <f t="shared" si="19"/>
        <v>0</v>
      </c>
      <c r="L104" s="569">
        <v>0.09</v>
      </c>
      <c r="M104" s="779" t="e">
        <f t="shared" si="20"/>
        <v>#REF!</v>
      </c>
      <c r="N104" s="779" t="e">
        <f t="shared" si="21"/>
        <v>#REF!</v>
      </c>
      <c r="O104" s="779" t="e">
        <f t="shared" si="22"/>
        <v>#REF!</v>
      </c>
      <c r="P104" s="780" t="e">
        <f t="shared" si="18"/>
        <v>#REF!</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9"/>
        <v>0</v>
      </c>
      <c r="L105" s="569">
        <v>0.09</v>
      </c>
      <c r="M105" s="779">
        <f t="shared" si="20"/>
        <v>0</v>
      </c>
      <c r="N105" s="779">
        <f t="shared" si="21"/>
        <v>0</v>
      </c>
      <c r="O105" s="779">
        <f t="shared" si="22"/>
        <v>0</v>
      </c>
      <c r="P105" s="780" t="e">
        <f t="shared" si="18"/>
        <v>#REF!</v>
      </c>
      <c r="Q105" s="806"/>
      <c r="R105" s="632"/>
      <c r="AB105" s="632"/>
    </row>
    <row r="106" spans="2:28" ht="16.5" hidden="1" customHeight="1" outlineLevel="3">
      <c r="B106" s="776" t="s">
        <v>705</v>
      </c>
      <c r="C106" s="782" t="s">
        <v>39</v>
      </c>
      <c r="D106" s="804" t="s">
        <v>708</v>
      </c>
      <c r="E106" s="648" t="s">
        <v>1580</v>
      </c>
      <c r="F106" s="648" t="s">
        <v>657</v>
      </c>
      <c r="G106" s="808">
        <v>0.08</v>
      </c>
      <c r="H106" s="805" t="s">
        <v>111</v>
      </c>
      <c r="I106" s="672" t="e">
        <f>$E$2*(1+$F$2)</f>
        <v>#REF!</v>
      </c>
      <c r="J106" s="790">
        <v>1100</v>
      </c>
      <c r="K106" s="778">
        <f t="shared" si="19"/>
        <v>1009.1743119266055</v>
      </c>
      <c r="L106" s="569">
        <v>0.09</v>
      </c>
      <c r="M106" s="779" t="e">
        <f t="shared" si="20"/>
        <v>#REF!</v>
      </c>
      <c r="N106" s="779" t="e">
        <f t="shared" si="21"/>
        <v>#REF!</v>
      </c>
      <c r="O106" s="779" t="e">
        <f t="shared" si="22"/>
        <v>#REF!</v>
      </c>
      <c r="P106" s="780" t="e">
        <f t="shared" si="18"/>
        <v>#REF!</v>
      </c>
      <c r="Q106" s="806"/>
      <c r="R106" s="632"/>
      <c r="AB106" s="632"/>
    </row>
    <row r="107" spans="2:28" ht="16.5" hidden="1" customHeight="1" outlineLevel="3">
      <c r="B107" s="776" t="s">
        <v>706</v>
      </c>
      <c r="C107" s="782" t="s">
        <v>39</v>
      </c>
      <c r="D107" s="804" t="s">
        <v>1581</v>
      </c>
      <c r="E107" s="648" t="s">
        <v>1606</v>
      </c>
      <c r="F107" s="648" t="s">
        <v>657</v>
      </c>
      <c r="G107" s="809"/>
      <c r="H107" s="805" t="s">
        <v>101</v>
      </c>
      <c r="I107" s="672" t="e">
        <f>$E$2*(1+$F$2)</f>
        <v>#REF!</v>
      </c>
      <c r="J107" s="790"/>
      <c r="K107" s="778">
        <f t="shared" si="19"/>
        <v>0</v>
      </c>
      <c r="L107" s="569">
        <v>0.09</v>
      </c>
      <c r="M107" s="779" t="e">
        <f t="shared" si="20"/>
        <v>#REF!</v>
      </c>
      <c r="N107" s="779" t="e">
        <f t="shared" si="21"/>
        <v>#REF!</v>
      </c>
      <c r="O107" s="779" t="e">
        <f t="shared" si="22"/>
        <v>#REF!</v>
      </c>
      <c r="P107" s="780" t="e">
        <f t="shared" si="18"/>
        <v>#REF!</v>
      </c>
      <c r="Q107" s="806"/>
      <c r="R107" s="632"/>
      <c r="AB107" s="632"/>
    </row>
    <row r="108" spans="2:28" ht="16.5" hidden="1" customHeight="1" outlineLevel="3">
      <c r="B108" s="776" t="s">
        <v>707</v>
      </c>
      <c r="C108" s="782" t="s">
        <v>39</v>
      </c>
      <c r="D108" s="804" t="s">
        <v>1582</v>
      </c>
      <c r="E108" s="648" t="s">
        <v>1606</v>
      </c>
      <c r="F108" s="665" t="s">
        <v>18</v>
      </c>
      <c r="G108" s="811"/>
      <c r="H108" s="805" t="s">
        <v>122</v>
      </c>
      <c r="I108" s="672" t="e">
        <f>$I$2</f>
        <v>#REF!</v>
      </c>
      <c r="J108" s="787"/>
      <c r="K108" s="778">
        <f t="shared" si="19"/>
        <v>0</v>
      </c>
      <c r="L108" s="569">
        <v>0.09</v>
      </c>
      <c r="M108" s="779" t="e">
        <f t="shared" si="20"/>
        <v>#REF!</v>
      </c>
      <c r="N108" s="779" t="e">
        <f t="shared" si="21"/>
        <v>#REF!</v>
      </c>
      <c r="O108" s="779" t="e">
        <f t="shared" si="22"/>
        <v>#REF!</v>
      </c>
      <c r="P108" s="780" t="e">
        <f t="shared" si="18"/>
        <v>#REF!</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t="e">
        <f>$E$2*(1+$F$2)</f>
        <v>#REF!</v>
      </c>
      <c r="J109" s="812">
        <v>30</v>
      </c>
      <c r="K109" s="778">
        <f t="shared" si="19"/>
        <v>26.548672566371685</v>
      </c>
      <c r="L109" s="620">
        <v>0.13</v>
      </c>
      <c r="M109" s="779" t="e">
        <f t="shared" si="20"/>
        <v>#REF!</v>
      </c>
      <c r="N109" s="779" t="e">
        <f t="shared" si="21"/>
        <v>#REF!</v>
      </c>
      <c r="O109" s="779" t="e">
        <f t="shared" si="22"/>
        <v>#REF!</v>
      </c>
      <c r="P109" s="780" t="e">
        <f t="shared" si="18"/>
        <v>#REF!</v>
      </c>
      <c r="Q109" s="781"/>
      <c r="R109" s="632"/>
      <c r="AB109" s="632"/>
    </row>
    <row r="110" spans="2:28" ht="16.5" hidden="1" customHeight="1" outlineLevel="3">
      <c r="B110" s="776" t="s">
        <v>710</v>
      </c>
      <c r="C110" s="782" t="s">
        <v>39</v>
      </c>
      <c r="D110" s="804" t="s">
        <v>711</v>
      </c>
      <c r="E110" s="648" t="s">
        <v>1606</v>
      </c>
      <c r="F110" s="648" t="s">
        <v>657</v>
      </c>
      <c r="G110" s="808">
        <v>1</v>
      </c>
      <c r="H110" s="805" t="s">
        <v>111</v>
      </c>
      <c r="I110" s="672" t="e">
        <f>$E$2*(1+$F$2)</f>
        <v>#REF!</v>
      </c>
      <c r="J110" s="812">
        <v>20</v>
      </c>
      <c r="K110" s="778">
        <f t="shared" si="19"/>
        <v>18.348623853211009</v>
      </c>
      <c r="L110" s="569">
        <v>0.09</v>
      </c>
      <c r="M110" s="779" t="e">
        <f t="shared" si="20"/>
        <v>#REF!</v>
      </c>
      <c r="N110" s="779" t="e">
        <f t="shared" si="21"/>
        <v>#REF!</v>
      </c>
      <c r="O110" s="779" t="e">
        <f t="shared" si="22"/>
        <v>#REF!</v>
      </c>
      <c r="P110" s="780" t="e">
        <f t="shared" si="18"/>
        <v>#REF!</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t="e">
        <f>SUBTOTAL(9,M112:M116)</f>
        <v>#REF!</v>
      </c>
      <c r="N111" s="779" t="e">
        <f>SUBTOTAL(9,N112:N116)</f>
        <v>#REF!</v>
      </c>
      <c r="O111" s="779" t="e">
        <f>SUBTOTAL(9,O112:O116)</f>
        <v>#REF!</v>
      </c>
      <c r="P111" s="780" t="e">
        <f t="shared" si="18"/>
        <v>#REF!</v>
      </c>
      <c r="Q111" s="781"/>
      <c r="R111" s="632"/>
      <c r="AB111" s="632"/>
    </row>
    <row r="112" spans="2:28" ht="16.5" hidden="1" customHeight="1" outlineLevel="3">
      <c r="B112" s="776" t="s">
        <v>714</v>
      </c>
      <c r="C112" s="782" t="s">
        <v>39</v>
      </c>
      <c r="D112" s="804" t="s">
        <v>715</v>
      </c>
      <c r="E112" s="665" t="s">
        <v>1583</v>
      </c>
      <c r="F112" s="665" t="s">
        <v>803</v>
      </c>
      <c r="G112" s="813">
        <v>6</v>
      </c>
      <c r="H112" s="805" t="s">
        <v>716</v>
      </c>
      <c r="I112" s="672" t="e">
        <f>($J$2+1)*$I$2</f>
        <v>#REF!</v>
      </c>
      <c r="J112" s="812">
        <v>60</v>
      </c>
      <c r="K112" s="778">
        <f>J112/(1+L112)</f>
        <v>55.045871559633021</v>
      </c>
      <c r="L112" s="569">
        <v>0.09</v>
      </c>
      <c r="M112" s="779" t="e">
        <f>G112*I112*K112/10000</f>
        <v>#REF!</v>
      </c>
      <c r="N112" s="779" t="e">
        <f>L112*M112</f>
        <v>#REF!</v>
      </c>
      <c r="O112" s="779" t="e">
        <f>M112+N112</f>
        <v>#REF!</v>
      </c>
      <c r="P112" s="780" t="e">
        <f t="shared" si="18"/>
        <v>#REF!</v>
      </c>
      <c r="Q112" s="781"/>
      <c r="R112" s="632"/>
      <c r="AB112" s="632"/>
    </row>
    <row r="113" spans="2:28" ht="16.5" hidden="1" customHeight="1" outlineLevel="3">
      <c r="B113" s="776" t="s">
        <v>717</v>
      </c>
      <c r="C113" s="782" t="s">
        <v>39</v>
      </c>
      <c r="D113" s="804" t="s">
        <v>1584</v>
      </c>
      <c r="E113" s="665" t="s">
        <v>1583</v>
      </c>
      <c r="F113" s="665" t="s">
        <v>114</v>
      </c>
      <c r="G113" s="813"/>
      <c r="H113" s="787"/>
      <c r="I113" s="672"/>
      <c r="J113" s="787"/>
      <c r="K113" s="778">
        <f>J113/(1+L113)</f>
        <v>0</v>
      </c>
      <c r="L113" s="569">
        <v>0.09</v>
      </c>
      <c r="M113" s="779">
        <f>G113*I113*K113/10000</f>
        <v>0</v>
      </c>
      <c r="N113" s="779">
        <f>L113*M113</f>
        <v>0</v>
      </c>
      <c r="O113" s="779">
        <f>M113+N113</f>
        <v>0</v>
      </c>
      <c r="P113" s="780" t="e">
        <f t="shared" si="18"/>
        <v>#REF!</v>
      </c>
      <c r="Q113" s="781"/>
      <c r="R113" s="632"/>
      <c r="AB113" s="632"/>
    </row>
    <row r="114" spans="2:28" ht="16.5" hidden="1" customHeight="1" outlineLevel="3">
      <c r="B114" s="776" t="s">
        <v>718</v>
      </c>
      <c r="C114" s="782" t="s">
        <v>39</v>
      </c>
      <c r="D114" s="804" t="s">
        <v>719</v>
      </c>
      <c r="E114" s="665" t="s">
        <v>1583</v>
      </c>
      <c r="F114" s="665" t="s">
        <v>41</v>
      </c>
      <c r="G114" s="813">
        <v>0</v>
      </c>
      <c r="H114" s="787" t="s">
        <v>660</v>
      </c>
      <c r="I114" s="672" t="e">
        <f>$H$2</f>
        <v>#REF!</v>
      </c>
      <c r="J114" s="787">
        <v>145</v>
      </c>
      <c r="K114" s="778">
        <f>J114/(1+L114)</f>
        <v>133.02752293577981</v>
      </c>
      <c r="L114" s="569">
        <v>0.09</v>
      </c>
      <c r="M114" s="779" t="e">
        <f>G114*I114*K114/10000</f>
        <v>#REF!</v>
      </c>
      <c r="N114" s="779" t="e">
        <f>L114*M114</f>
        <v>#REF!</v>
      </c>
      <c r="O114" s="779" t="e">
        <f>M114+N114</f>
        <v>#REF!</v>
      </c>
      <c r="P114" s="780" t="e">
        <f t="shared" si="18"/>
        <v>#REF!</v>
      </c>
      <c r="Q114" s="781"/>
      <c r="R114" s="632"/>
      <c r="AB114" s="632"/>
    </row>
    <row r="115" spans="2:28" ht="16.5" hidden="1" customHeight="1" outlineLevel="3">
      <c r="B115" s="776" t="s">
        <v>1585</v>
      </c>
      <c r="C115" s="782" t="s">
        <v>39</v>
      </c>
      <c r="D115" s="804" t="s">
        <v>720</v>
      </c>
      <c r="E115" s="665" t="s">
        <v>1583</v>
      </c>
      <c r="F115" s="665" t="s">
        <v>41</v>
      </c>
      <c r="G115" s="808">
        <v>5</v>
      </c>
      <c r="H115" s="812" t="s">
        <v>660</v>
      </c>
      <c r="I115" s="672" t="e">
        <f>$H$2</f>
        <v>#REF!</v>
      </c>
      <c r="J115" s="812">
        <v>90</v>
      </c>
      <c r="K115" s="778">
        <f>J115/(1+L115)</f>
        <v>82.568807339449535</v>
      </c>
      <c r="L115" s="569">
        <v>0.09</v>
      </c>
      <c r="M115" s="779" t="e">
        <f>G115*I115*K115/10000</f>
        <v>#REF!</v>
      </c>
      <c r="N115" s="779" t="e">
        <f>L115*M115</f>
        <v>#REF!</v>
      </c>
      <c r="O115" s="779" t="e">
        <f>M115+N115</f>
        <v>#REF!</v>
      </c>
      <c r="P115" s="780" t="e">
        <f t="shared" si="18"/>
        <v>#REF!</v>
      </c>
      <c r="Q115" s="781"/>
      <c r="R115" s="632"/>
      <c r="AB115" s="632"/>
    </row>
    <row r="116" spans="2:28" ht="16.5" hidden="1" customHeight="1" outlineLevel="3">
      <c r="B116" s="776" t="s">
        <v>1586</v>
      </c>
      <c r="C116" s="782" t="s">
        <v>39</v>
      </c>
      <c r="D116" s="804" t="s">
        <v>721</v>
      </c>
      <c r="E116" s="665" t="s">
        <v>1583</v>
      </c>
      <c r="F116" s="665" t="s">
        <v>41</v>
      </c>
      <c r="G116" s="809">
        <v>5</v>
      </c>
      <c r="H116" s="787" t="s">
        <v>722</v>
      </c>
      <c r="I116" s="672" t="e">
        <f>$H$2</f>
        <v>#REF!</v>
      </c>
      <c r="J116" s="787">
        <v>220</v>
      </c>
      <c r="K116" s="778">
        <f>J116/(1+L116)</f>
        <v>201.83486238532109</v>
      </c>
      <c r="L116" s="569">
        <v>0.09</v>
      </c>
      <c r="M116" s="779" t="e">
        <f>G116*I116*K116/10000</f>
        <v>#REF!</v>
      </c>
      <c r="N116" s="779" t="e">
        <f>L116*M116</f>
        <v>#REF!</v>
      </c>
      <c r="O116" s="779" t="e">
        <f>M116+N116</f>
        <v>#REF!</v>
      </c>
      <c r="P116" s="780" t="e">
        <f t="shared" si="18"/>
        <v>#REF!</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t="e">
        <f>SUBTOTAL(9,M118:M123)</f>
        <v>#REF!</v>
      </c>
      <c r="N117" s="779" t="e">
        <f>SUBTOTAL(9,N118:N123)</f>
        <v>#REF!</v>
      </c>
      <c r="O117" s="779" t="e">
        <f>SUBTOTAL(9,O118:O123)</f>
        <v>#REF!</v>
      </c>
      <c r="P117" s="780" t="e">
        <f t="shared" si="18"/>
        <v>#REF!</v>
      </c>
      <c r="Q117" s="781"/>
      <c r="R117" s="632"/>
      <c r="AB117" s="632"/>
    </row>
    <row r="118" spans="2:28" ht="16.5" hidden="1" customHeight="1" outlineLevel="3">
      <c r="B118" s="776" t="s">
        <v>724</v>
      </c>
      <c r="C118" s="782" t="s">
        <v>39</v>
      </c>
      <c r="D118" s="804" t="s">
        <v>725</v>
      </c>
      <c r="E118" s="665" t="s">
        <v>1580</v>
      </c>
      <c r="F118" s="665" t="s">
        <v>18</v>
      </c>
      <c r="G118" s="814">
        <v>20</v>
      </c>
      <c r="H118" s="805" t="s">
        <v>1611</v>
      </c>
      <c r="I118" s="672" t="e">
        <f>$I$2</f>
        <v>#REF!</v>
      </c>
      <c r="J118" s="812">
        <v>5000</v>
      </c>
      <c r="K118" s="778">
        <f>J118/(1+L118)</f>
        <v>4587.1559633027518</v>
      </c>
      <c r="L118" s="569">
        <v>0.09</v>
      </c>
      <c r="M118" s="779" t="e">
        <f>G118*I118*K118/10000</f>
        <v>#REF!</v>
      </c>
      <c r="N118" s="779" t="e">
        <f>L118*M118</f>
        <v>#REF!</v>
      </c>
      <c r="O118" s="779" t="e">
        <f>M118+N118</f>
        <v>#REF!</v>
      </c>
      <c r="P118" s="780" t="e">
        <f t="shared" si="18"/>
        <v>#REF!</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t="e">
        <f>SUBTOTAL(9,M120:M121)</f>
        <v>#REF!</v>
      </c>
      <c r="N119" s="779" t="e">
        <f>SUBTOTAL(9,N120:N121)</f>
        <v>#REF!</v>
      </c>
      <c r="O119" s="779" t="e">
        <f>SUBTOTAL(9,O120:O121)</f>
        <v>#REF!</v>
      </c>
      <c r="P119" s="780" t="e">
        <f t="shared" si="18"/>
        <v>#REF!</v>
      </c>
      <c r="Q119" s="781"/>
      <c r="R119" s="632"/>
      <c r="AB119" s="632"/>
    </row>
    <row r="120" spans="2:28" ht="16.5" hidden="1" customHeight="1" outlineLevel="4">
      <c r="B120" s="776" t="s">
        <v>1612</v>
      </c>
      <c r="C120" s="782"/>
      <c r="D120" s="807" t="s">
        <v>1613</v>
      </c>
      <c r="E120" s="665" t="s">
        <v>1587</v>
      </c>
      <c r="F120" s="665" t="s">
        <v>1614</v>
      </c>
      <c r="G120" s="813">
        <v>1</v>
      </c>
      <c r="H120" s="787" t="s">
        <v>727</v>
      </c>
      <c r="I120" s="672" t="e">
        <f>$H$2</f>
        <v>#REF!</v>
      </c>
      <c r="J120" s="787"/>
      <c r="K120" s="778">
        <f>J120/(1+L120)</f>
        <v>0</v>
      </c>
      <c r="L120" s="569">
        <v>0.13</v>
      </c>
      <c r="M120" s="779" t="e">
        <f>G120*I120*K120/10000</f>
        <v>#REF!</v>
      </c>
      <c r="N120" s="779" t="e">
        <f>L120*M120</f>
        <v>#REF!</v>
      </c>
      <c r="O120" s="779" t="e">
        <f>M120+N120</f>
        <v>#REF!</v>
      </c>
      <c r="P120" s="780" t="e">
        <f t="shared" si="18"/>
        <v>#REF!</v>
      </c>
      <c r="Q120" s="781"/>
      <c r="R120" s="632"/>
      <c r="AB120" s="632"/>
    </row>
    <row r="121" spans="2:28" ht="16.5" hidden="1" customHeight="1" outlineLevel="4">
      <c r="B121" s="776" t="s">
        <v>1588</v>
      </c>
      <c r="C121" s="782"/>
      <c r="D121" s="807" t="s">
        <v>1615</v>
      </c>
      <c r="E121" s="665" t="s">
        <v>1589</v>
      </c>
      <c r="F121" s="665" t="s">
        <v>1614</v>
      </c>
      <c r="G121" s="813">
        <v>1</v>
      </c>
      <c r="H121" s="787" t="s">
        <v>727</v>
      </c>
      <c r="I121" s="672" t="e">
        <f>$H$2</f>
        <v>#REF!</v>
      </c>
      <c r="J121" s="787"/>
      <c r="K121" s="778">
        <f>J121/(1+L121)</f>
        <v>0</v>
      </c>
      <c r="L121" s="569">
        <v>0.13</v>
      </c>
      <c r="M121" s="779" t="e">
        <f>G121*I121*K121/10000</f>
        <v>#REF!</v>
      </c>
      <c r="N121" s="779" t="e">
        <f>L121*M121</f>
        <v>#REF!</v>
      </c>
      <c r="O121" s="779" t="e">
        <f>M121+N121</f>
        <v>#REF!</v>
      </c>
      <c r="P121" s="780" t="e">
        <f t="shared" si="18"/>
        <v>#REF!</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t="e">
        <f>$I$2*($J$2+1)</f>
        <v>#REF!</v>
      </c>
      <c r="J122" s="812"/>
      <c r="K122" s="778">
        <f>J122/(1+L122)</f>
        <v>0</v>
      </c>
      <c r="L122" s="569">
        <v>0.09</v>
      </c>
      <c r="M122" s="779" t="e">
        <f>G122*I122*K122/10000</f>
        <v>#REF!</v>
      </c>
      <c r="N122" s="779" t="e">
        <f>L122*M122</f>
        <v>#REF!</v>
      </c>
      <c r="O122" s="779" t="e">
        <f>M122+N122</f>
        <v>#REF!</v>
      </c>
      <c r="P122" s="780" t="e">
        <f t="shared" si="18"/>
        <v>#REF!</v>
      </c>
      <c r="Q122" s="781"/>
      <c r="R122" s="632"/>
      <c r="AB122" s="632"/>
    </row>
    <row r="123" spans="2:28" ht="16.5" hidden="1" customHeight="1" outlineLevel="3">
      <c r="B123" s="776" t="s">
        <v>730</v>
      </c>
      <c r="C123" s="782" t="s">
        <v>39</v>
      </c>
      <c r="D123" s="804" t="s">
        <v>62</v>
      </c>
      <c r="E123" s="665" t="s">
        <v>1580</v>
      </c>
      <c r="F123" s="648" t="s">
        <v>657</v>
      </c>
      <c r="G123" s="808">
        <v>0.2</v>
      </c>
      <c r="H123" s="805" t="s">
        <v>101</v>
      </c>
      <c r="I123" s="672" t="e">
        <f>$E$2*(1+$F$2)</f>
        <v>#REF!</v>
      </c>
      <c r="J123" s="812">
        <v>1300</v>
      </c>
      <c r="K123" s="778">
        <f>J123/(1+L123)</f>
        <v>1150.4424778761063</v>
      </c>
      <c r="L123" s="569">
        <v>0.13</v>
      </c>
      <c r="M123" s="779" t="e">
        <f>G123*I123*K123/10000</f>
        <v>#REF!</v>
      </c>
      <c r="N123" s="779" t="e">
        <f>L123*M123</f>
        <v>#REF!</v>
      </c>
      <c r="O123" s="779" t="e">
        <f>M123+N123</f>
        <v>#REF!</v>
      </c>
      <c r="P123" s="780" t="e">
        <f t="shared" si="18"/>
        <v>#REF!</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t="e">
        <f>SUBTOTAL(9,M125:M128)</f>
        <v>#REF!</v>
      </c>
      <c r="N124" s="779" t="e">
        <f>SUBTOTAL(9,N125:N128)</f>
        <v>#REF!</v>
      </c>
      <c r="O124" s="779" t="e">
        <f>SUBTOTAL(9,O125:O128)</f>
        <v>#REF!</v>
      </c>
      <c r="P124" s="780" t="e">
        <f t="shared" si="18"/>
        <v>#REF!</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t="e">
        <f>$G$2</f>
        <v>#REF!</v>
      </c>
      <c r="J125" s="816"/>
      <c r="K125" s="778">
        <f>J125/(1+L125)</f>
        <v>0</v>
      </c>
      <c r="L125" s="569">
        <v>0.09</v>
      </c>
      <c r="M125" s="779" t="e">
        <f>G125*I125*K125/10000</f>
        <v>#REF!</v>
      </c>
      <c r="N125" s="779" t="e">
        <f>L125*M125</f>
        <v>#REF!</v>
      </c>
      <c r="O125" s="779" t="e">
        <f>M125+N125</f>
        <v>#REF!</v>
      </c>
      <c r="P125" s="780" t="e">
        <f t="shared" si="18"/>
        <v>#REF!</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J126/(1+L126)</f>
        <v>0</v>
      </c>
      <c r="L126" s="569">
        <v>0.13</v>
      </c>
      <c r="M126" s="779">
        <f>G126*I126*K126/10000</f>
        <v>0</v>
      </c>
      <c r="N126" s="779">
        <f>L126*M126</f>
        <v>0</v>
      </c>
      <c r="O126" s="779">
        <f>M126+N126</f>
        <v>0</v>
      </c>
      <c r="P126" s="780" t="e">
        <f t="shared" si="18"/>
        <v>#REF!</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t="e">
        <f>$E$2*(1+$F$2)</f>
        <v>#REF!</v>
      </c>
      <c r="J127" s="672">
        <v>10</v>
      </c>
      <c r="K127" s="778">
        <f>J127/(1+L127)</f>
        <v>9.1743119266055047</v>
      </c>
      <c r="L127" s="569">
        <v>0.09</v>
      </c>
      <c r="M127" s="779" t="e">
        <f>G127*I127*K127/10000</f>
        <v>#REF!</v>
      </c>
      <c r="N127" s="779" t="e">
        <f>L127*M127</f>
        <v>#REF!</v>
      </c>
      <c r="O127" s="779" t="e">
        <f>M127+N127</f>
        <v>#REF!</v>
      </c>
      <c r="P127" s="780" t="e">
        <f t="shared" si="18"/>
        <v>#REF!</v>
      </c>
      <c r="Q127" s="781"/>
      <c r="R127" s="632"/>
      <c r="AB127" s="632"/>
    </row>
    <row r="128" spans="2:28" ht="16.5" hidden="1" customHeight="1" outlineLevel="3">
      <c r="B128" s="776" t="s">
        <v>739</v>
      </c>
      <c r="C128" s="782" t="s">
        <v>39</v>
      </c>
      <c r="D128" s="815" t="s">
        <v>740</v>
      </c>
      <c r="E128" s="665" t="s">
        <v>463</v>
      </c>
      <c r="F128" s="665" t="s">
        <v>41</v>
      </c>
      <c r="G128" s="814">
        <v>1</v>
      </c>
      <c r="H128" s="812" t="s">
        <v>741</v>
      </c>
      <c r="I128" s="672" t="e">
        <f>$H$2</f>
        <v>#REF!</v>
      </c>
      <c r="J128" s="816"/>
      <c r="K128" s="778">
        <f>J128/(1+L128)</f>
        <v>0</v>
      </c>
      <c r="L128" s="569">
        <v>0.13</v>
      </c>
      <c r="M128" s="779" t="e">
        <f>G128*I128*K128/10000</f>
        <v>#REF!</v>
      </c>
      <c r="N128" s="779" t="e">
        <f>L128*M128</f>
        <v>#REF!</v>
      </c>
      <c r="O128" s="779" t="e">
        <f>M128+N128</f>
        <v>#REF!</v>
      </c>
      <c r="P128" s="780" t="e">
        <f t="shared" si="18"/>
        <v>#REF!</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t="e">
        <f>SUBTOTAL(9,M130:M148)</f>
        <v>#REF!</v>
      </c>
      <c r="N129" s="773" t="e">
        <f>SUBTOTAL(9,N130:N148)</f>
        <v>#REF!</v>
      </c>
      <c r="O129" s="773" t="e">
        <f>SUBTOTAL(9,O130:O148)</f>
        <v>#REF!</v>
      </c>
      <c r="P129" s="774" t="e">
        <f t="shared" si="18"/>
        <v>#REF!</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t="e">
        <f>SUBTOTAL(9,M131:M133)</f>
        <v>#REF!</v>
      </c>
      <c r="N130" s="779" t="e">
        <f>SUBTOTAL(9,N131:N133)</f>
        <v>#REF!</v>
      </c>
      <c r="O130" s="779" t="e">
        <f>SUBTOTAL(9,O131:O133)</f>
        <v>#REF!</v>
      </c>
      <c r="P130" s="780" t="e">
        <f t="shared" si="18"/>
        <v>#REF!</v>
      </c>
      <c r="Q130" s="781"/>
      <c r="R130" s="632"/>
      <c r="AB130" s="632"/>
    </row>
    <row r="131" spans="2:28" ht="16.5" hidden="1" customHeight="1" outlineLevel="3">
      <c r="B131" s="776" t="s">
        <v>743</v>
      </c>
      <c r="C131" s="782" t="s">
        <v>39</v>
      </c>
      <c r="D131" s="815" t="s">
        <v>1592</v>
      </c>
      <c r="E131" s="648" t="s">
        <v>1617</v>
      </c>
      <c r="F131" s="648" t="s">
        <v>18</v>
      </c>
      <c r="G131" s="787">
        <v>55</v>
      </c>
      <c r="H131" s="805" t="s">
        <v>122</v>
      </c>
      <c r="I131" s="672" t="e">
        <f>$I$2</f>
        <v>#REF!</v>
      </c>
      <c r="J131" s="681"/>
      <c r="K131" s="778">
        <f>J131/(1+L131)</f>
        <v>0</v>
      </c>
      <c r="L131" s="569">
        <v>0.09</v>
      </c>
      <c r="M131" s="779" t="e">
        <f>G131*I131*K131/10000</f>
        <v>#REF!</v>
      </c>
      <c r="N131" s="779" t="e">
        <f>L131*M131</f>
        <v>#REF!</v>
      </c>
      <c r="O131" s="779" t="e">
        <f>M131+N131</f>
        <v>#REF!</v>
      </c>
      <c r="P131" s="780" t="e">
        <f t="shared" si="18"/>
        <v>#REF!</v>
      </c>
      <c r="Q131" s="781"/>
      <c r="R131" s="632"/>
      <c r="AB131" s="632"/>
    </row>
    <row r="132" spans="2:28" ht="16.5" hidden="1" customHeight="1" outlineLevel="3">
      <c r="B132" s="776" t="s">
        <v>744</v>
      </c>
      <c r="C132" s="782" t="s">
        <v>39</v>
      </c>
      <c r="D132" s="815" t="s">
        <v>1593</v>
      </c>
      <c r="E132" s="648" t="s">
        <v>457</v>
      </c>
      <c r="F132" s="648" t="s">
        <v>18</v>
      </c>
      <c r="G132" s="787">
        <v>55</v>
      </c>
      <c r="H132" s="805" t="s">
        <v>122</v>
      </c>
      <c r="I132" s="672" t="e">
        <f>$I$2</f>
        <v>#REF!</v>
      </c>
      <c r="J132" s="681"/>
      <c r="K132" s="778">
        <f>J132/(1+L132)</f>
        <v>0</v>
      </c>
      <c r="L132" s="569">
        <v>0.13</v>
      </c>
      <c r="M132" s="779" t="e">
        <f>G132*I132*K132/10000</f>
        <v>#REF!</v>
      </c>
      <c r="N132" s="779" t="e">
        <f>L132*M132</f>
        <v>#REF!</v>
      </c>
      <c r="O132" s="779" t="e">
        <f>M132+N132</f>
        <v>#REF!</v>
      </c>
      <c r="P132" s="780" t="e">
        <f t="shared" ref="P132:P163" si="23">IF(O132="","",O132*10000/E$2)</f>
        <v>#REF!</v>
      </c>
      <c r="Q132" s="781"/>
      <c r="R132" s="632"/>
      <c r="AB132" s="632"/>
    </row>
    <row r="133" spans="2:28" ht="16.5" hidden="1" customHeight="1" outlineLevel="3">
      <c r="B133" s="776" t="s">
        <v>745</v>
      </c>
      <c r="C133" s="782" t="s">
        <v>39</v>
      </c>
      <c r="D133" s="815" t="s">
        <v>1594</v>
      </c>
      <c r="E133" s="648" t="s">
        <v>1329</v>
      </c>
      <c r="F133" s="648" t="s">
        <v>18</v>
      </c>
      <c r="G133" s="787">
        <v>55</v>
      </c>
      <c r="H133" s="805" t="s">
        <v>122</v>
      </c>
      <c r="I133" s="672" t="e">
        <f>$I$2</f>
        <v>#REF!</v>
      </c>
      <c r="J133" s="681"/>
      <c r="K133" s="778">
        <f>J133/(1+L133)</f>
        <v>0</v>
      </c>
      <c r="L133" s="569">
        <v>0.13</v>
      </c>
      <c r="M133" s="779" t="e">
        <f>G133*I133*K133/10000</f>
        <v>#REF!</v>
      </c>
      <c r="N133" s="779" t="e">
        <f>L133*M133</f>
        <v>#REF!</v>
      </c>
      <c r="O133" s="779" t="e">
        <f>M133+N133</f>
        <v>#REF!</v>
      </c>
      <c r="P133" s="780" t="e">
        <f t="shared" si="23"/>
        <v>#REF!</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t="e">
        <f>SUBTOTAL(9,M135:M137)</f>
        <v>#REF!</v>
      </c>
      <c r="N134" s="779" t="e">
        <f>SUBTOTAL(9,N135:N137)</f>
        <v>#REF!</v>
      </c>
      <c r="O134" s="779" t="e">
        <f>SUBTOTAL(9,O135:O137)</f>
        <v>#REF!</v>
      </c>
      <c r="P134" s="780" t="e">
        <f t="shared" si="23"/>
        <v>#REF!</v>
      </c>
      <c r="Q134" s="781"/>
      <c r="R134" s="632"/>
      <c r="AB134" s="632"/>
    </row>
    <row r="135" spans="2:28" ht="16.5" hidden="1" customHeight="1" outlineLevel="3">
      <c r="B135" s="776" t="s">
        <v>747</v>
      </c>
      <c r="C135" s="782" t="s">
        <v>39</v>
      </c>
      <c r="D135" s="815" t="s">
        <v>748</v>
      </c>
      <c r="E135" s="648" t="s">
        <v>1617</v>
      </c>
      <c r="F135" s="648" t="s">
        <v>18</v>
      </c>
      <c r="G135" s="787">
        <v>50</v>
      </c>
      <c r="H135" s="805" t="s">
        <v>122</v>
      </c>
      <c r="I135" s="672" t="e">
        <f>$I$2</f>
        <v>#REF!</v>
      </c>
      <c r="J135" s="681"/>
      <c r="K135" s="778">
        <f>J135/(1+L135)</f>
        <v>0</v>
      </c>
      <c r="L135" s="569">
        <v>0.09</v>
      </c>
      <c r="M135" s="779" t="e">
        <f t="shared" ref="M135:M140" si="24">G135*I135*K135/10000</f>
        <v>#REF!</v>
      </c>
      <c r="N135" s="779" t="e">
        <f t="shared" ref="N135:N140" si="25">L135*M135</f>
        <v>#REF!</v>
      </c>
      <c r="O135" s="779" t="e">
        <f t="shared" ref="O135:O140" si="26">M135+N135</f>
        <v>#REF!</v>
      </c>
      <c r="P135" s="780" t="e">
        <f t="shared" si="23"/>
        <v>#REF!</v>
      </c>
      <c r="Q135" s="781"/>
      <c r="R135" s="632"/>
      <c r="AB135" s="632"/>
    </row>
    <row r="136" spans="2:28" ht="16.5" hidden="1" customHeight="1" outlineLevel="3">
      <c r="B136" s="776" t="s">
        <v>749</v>
      </c>
      <c r="C136" s="782" t="s">
        <v>39</v>
      </c>
      <c r="D136" s="815" t="s">
        <v>750</v>
      </c>
      <c r="E136" s="648" t="s">
        <v>457</v>
      </c>
      <c r="F136" s="648" t="s">
        <v>18</v>
      </c>
      <c r="G136" s="787">
        <v>50</v>
      </c>
      <c r="H136" s="805" t="s">
        <v>122</v>
      </c>
      <c r="I136" s="672" t="e">
        <f>$I$2</f>
        <v>#REF!</v>
      </c>
      <c r="J136" s="681"/>
      <c r="K136" s="778">
        <f>J136/(1+L136)</f>
        <v>0</v>
      </c>
      <c r="L136" s="569">
        <v>0.13</v>
      </c>
      <c r="M136" s="779" t="e">
        <f t="shared" si="24"/>
        <v>#REF!</v>
      </c>
      <c r="N136" s="779" t="e">
        <f t="shared" si="25"/>
        <v>#REF!</v>
      </c>
      <c r="O136" s="779" t="e">
        <f t="shared" si="26"/>
        <v>#REF!</v>
      </c>
      <c r="P136" s="780" t="e">
        <f t="shared" si="23"/>
        <v>#REF!</v>
      </c>
      <c r="Q136" s="781"/>
      <c r="R136" s="632"/>
      <c r="AB136" s="632"/>
    </row>
    <row r="137" spans="2:28" ht="16.5" hidden="1" customHeight="1" outlineLevel="3">
      <c r="B137" s="776" t="s">
        <v>751</v>
      </c>
      <c r="C137" s="782" t="s">
        <v>39</v>
      </c>
      <c r="D137" s="815" t="s">
        <v>752</v>
      </c>
      <c r="E137" s="648" t="s">
        <v>1329</v>
      </c>
      <c r="F137" s="648" t="s">
        <v>18</v>
      </c>
      <c r="G137" s="787">
        <v>50</v>
      </c>
      <c r="H137" s="805" t="s">
        <v>122</v>
      </c>
      <c r="I137" s="672" t="e">
        <f>$I$2</f>
        <v>#REF!</v>
      </c>
      <c r="J137" s="681"/>
      <c r="K137" s="778">
        <f>J137/(1+L137)</f>
        <v>0</v>
      </c>
      <c r="L137" s="569">
        <v>0.13</v>
      </c>
      <c r="M137" s="779" t="e">
        <f t="shared" si="24"/>
        <v>#REF!</v>
      </c>
      <c r="N137" s="779" t="e">
        <f t="shared" si="25"/>
        <v>#REF!</v>
      </c>
      <c r="O137" s="779" t="e">
        <f t="shared" si="26"/>
        <v>#REF!</v>
      </c>
      <c r="P137" s="780" t="e">
        <f t="shared" si="23"/>
        <v>#REF!</v>
      </c>
      <c r="Q137" s="781"/>
      <c r="R137" s="632"/>
      <c r="AB137" s="632"/>
    </row>
    <row r="138" spans="2:28" ht="16.5" hidden="1" customHeight="1" outlineLevel="2">
      <c r="B138" s="776" t="s">
        <v>753</v>
      </c>
      <c r="C138" s="777" t="s">
        <v>88</v>
      </c>
      <c r="D138" s="817" t="s">
        <v>754</v>
      </c>
      <c r="E138" s="648" t="s">
        <v>1617</v>
      </c>
      <c r="F138" s="648" t="s">
        <v>18</v>
      </c>
      <c r="G138" s="787"/>
      <c r="H138" s="805" t="s">
        <v>122</v>
      </c>
      <c r="I138" s="672" t="e">
        <f>$I$2</f>
        <v>#REF!</v>
      </c>
      <c r="J138" s="681"/>
      <c r="K138" s="681"/>
      <c r="L138" s="569">
        <v>0.09</v>
      </c>
      <c r="M138" s="779" t="e">
        <f t="shared" si="24"/>
        <v>#REF!</v>
      </c>
      <c r="N138" s="779" t="e">
        <f t="shared" si="25"/>
        <v>#REF!</v>
      </c>
      <c r="O138" s="779" t="e">
        <f t="shared" si="26"/>
        <v>#REF!</v>
      </c>
      <c r="P138" s="780" t="e">
        <f t="shared" si="23"/>
        <v>#REF!</v>
      </c>
      <c r="Q138" s="781"/>
      <c r="R138" s="632"/>
      <c r="AB138" s="632"/>
    </row>
    <row r="139" spans="2:28" ht="16.5" hidden="1" customHeight="1" outlineLevel="2">
      <c r="B139" s="776" t="s">
        <v>755</v>
      </c>
      <c r="C139" s="777" t="s">
        <v>70</v>
      </c>
      <c r="D139" s="817" t="s">
        <v>90</v>
      </c>
      <c r="E139" s="648" t="s">
        <v>1617</v>
      </c>
      <c r="F139" s="648" t="s">
        <v>18</v>
      </c>
      <c r="G139" s="787"/>
      <c r="H139" s="805" t="s">
        <v>122</v>
      </c>
      <c r="I139" s="672" t="e">
        <f>$I$2</f>
        <v>#REF!</v>
      </c>
      <c r="J139" s="681"/>
      <c r="K139" s="681"/>
      <c r="L139" s="569">
        <v>0.09</v>
      </c>
      <c r="M139" s="779" t="e">
        <f t="shared" si="24"/>
        <v>#REF!</v>
      </c>
      <c r="N139" s="779" t="e">
        <f t="shared" si="25"/>
        <v>#REF!</v>
      </c>
      <c r="O139" s="779" t="e">
        <f t="shared" si="26"/>
        <v>#REF!</v>
      </c>
      <c r="P139" s="780" t="e">
        <f t="shared" si="23"/>
        <v>#REF!</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117</v>
      </c>
      <c r="I140" s="672" t="e">
        <f>$J$2+1</f>
        <v>#REF!</v>
      </c>
      <c r="J140" s="681"/>
      <c r="K140" s="681"/>
      <c r="L140" s="569">
        <v>0.09</v>
      </c>
      <c r="M140" s="779" t="e">
        <f t="shared" si="24"/>
        <v>#REF!</v>
      </c>
      <c r="N140" s="779" t="e">
        <f t="shared" si="25"/>
        <v>#REF!</v>
      </c>
      <c r="O140" s="779" t="e">
        <f t="shared" si="26"/>
        <v>#REF!</v>
      </c>
      <c r="P140" s="780" t="e">
        <f t="shared" si="23"/>
        <v>#REF!</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t="e">
        <f>SUBTOTAL(9,M142:M144)</f>
        <v>#REF!</v>
      </c>
      <c r="N141" s="779" t="e">
        <f>SUBTOTAL(9,N142:N144)</f>
        <v>#REF!</v>
      </c>
      <c r="O141" s="779" t="e">
        <f>SUBTOTAL(9,O142:O144)</f>
        <v>#REF!</v>
      </c>
      <c r="P141" s="780" t="e">
        <f t="shared" si="23"/>
        <v>#REF!</v>
      </c>
      <c r="Q141" s="781"/>
      <c r="R141" s="632"/>
      <c r="AB141" s="632"/>
    </row>
    <row r="142" spans="2:28" ht="16.5" hidden="1" customHeight="1" outlineLevel="3">
      <c r="B142" s="776" t="s">
        <v>759</v>
      </c>
      <c r="C142" s="782" t="s">
        <v>39</v>
      </c>
      <c r="D142" s="815" t="s">
        <v>760</v>
      </c>
      <c r="E142" s="648" t="s">
        <v>1617</v>
      </c>
      <c r="F142" s="665" t="s">
        <v>804</v>
      </c>
      <c r="G142" s="813">
        <v>26.6</v>
      </c>
      <c r="H142" s="805" t="s">
        <v>117</v>
      </c>
      <c r="I142" s="672" t="e">
        <f>($J$2-1)*$I$2</f>
        <v>#REF!</v>
      </c>
      <c r="J142" s="681"/>
      <c r="K142" s="778">
        <f>J142/(1+L142)</f>
        <v>0</v>
      </c>
      <c r="L142" s="569">
        <v>0.09</v>
      </c>
      <c r="M142" s="779" t="e">
        <f t="shared" ref="M142:M148" si="27">G142*I142*K142/10000</f>
        <v>#REF!</v>
      </c>
      <c r="N142" s="779" t="e">
        <f t="shared" ref="N142:N148" si="28">L142*M142</f>
        <v>#REF!</v>
      </c>
      <c r="O142" s="779" t="e">
        <f t="shared" ref="O142:O148" si="29">M142+N142</f>
        <v>#REF!</v>
      </c>
      <c r="P142" s="780" t="e">
        <f t="shared" si="23"/>
        <v>#REF!</v>
      </c>
      <c r="Q142" s="806"/>
      <c r="R142" s="632"/>
      <c r="AB142" s="632"/>
    </row>
    <row r="143" spans="2:28" ht="16.5" hidden="1" customHeight="1" outlineLevel="3">
      <c r="B143" s="776" t="s">
        <v>761</v>
      </c>
      <c r="C143" s="782" t="s">
        <v>39</v>
      </c>
      <c r="D143" s="815" t="s">
        <v>805</v>
      </c>
      <c r="E143" s="648" t="s">
        <v>457</v>
      </c>
      <c r="F143" s="665" t="s">
        <v>804</v>
      </c>
      <c r="G143" s="813">
        <v>26.6</v>
      </c>
      <c r="H143" s="805" t="s">
        <v>117</v>
      </c>
      <c r="I143" s="672" t="e">
        <f>($J$2-1)*$I$2</f>
        <v>#REF!</v>
      </c>
      <c r="J143" s="681"/>
      <c r="K143" s="778">
        <f>J143/(1+L143)</f>
        <v>0</v>
      </c>
      <c r="L143" s="569">
        <v>0.13</v>
      </c>
      <c r="M143" s="779" t="e">
        <f t="shared" si="27"/>
        <v>#REF!</v>
      </c>
      <c r="N143" s="779" t="e">
        <f t="shared" si="28"/>
        <v>#REF!</v>
      </c>
      <c r="O143" s="779" t="e">
        <f t="shared" si="29"/>
        <v>#REF!</v>
      </c>
      <c r="P143" s="780" t="e">
        <f t="shared" si="23"/>
        <v>#REF!</v>
      </c>
      <c r="Q143" s="806"/>
      <c r="R143" s="632"/>
      <c r="AB143" s="632"/>
    </row>
    <row r="144" spans="2:28" ht="16.5" hidden="1" customHeight="1" outlineLevel="3">
      <c r="B144" s="776" t="s">
        <v>762</v>
      </c>
      <c r="C144" s="782" t="s">
        <v>39</v>
      </c>
      <c r="D144" s="815" t="s">
        <v>806</v>
      </c>
      <c r="E144" s="648" t="s">
        <v>1329</v>
      </c>
      <c r="F144" s="665" t="s">
        <v>804</v>
      </c>
      <c r="G144" s="813">
        <v>26.6</v>
      </c>
      <c r="H144" s="805" t="s">
        <v>117</v>
      </c>
      <c r="I144" s="672" t="e">
        <f>($J$2-1)*$I$2</f>
        <v>#REF!</v>
      </c>
      <c r="J144" s="681"/>
      <c r="K144" s="778">
        <f>J144/(1+L144)</f>
        <v>0</v>
      </c>
      <c r="L144" s="569">
        <v>0.13</v>
      </c>
      <c r="M144" s="779" t="e">
        <f t="shared" si="27"/>
        <v>#REF!</v>
      </c>
      <c r="N144" s="779" t="e">
        <f t="shared" si="28"/>
        <v>#REF!</v>
      </c>
      <c r="O144" s="779" t="e">
        <f t="shared" si="29"/>
        <v>#REF!</v>
      </c>
      <c r="P144" s="780" t="e">
        <f t="shared" si="23"/>
        <v>#REF!</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0.09</v>
      </c>
      <c r="M145" s="779">
        <f t="shared" si="27"/>
        <v>0</v>
      </c>
      <c r="N145" s="779">
        <f t="shared" si="28"/>
        <v>0</v>
      </c>
      <c r="O145" s="779">
        <f t="shared" si="29"/>
        <v>0</v>
      </c>
      <c r="P145" s="780" t="e">
        <f t="shared" si="23"/>
        <v>#REF!</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0.09</v>
      </c>
      <c r="M146" s="779">
        <f t="shared" si="27"/>
        <v>0</v>
      </c>
      <c r="N146" s="779">
        <f t="shared" si="28"/>
        <v>0</v>
      </c>
      <c r="O146" s="779">
        <f t="shared" si="29"/>
        <v>0</v>
      </c>
      <c r="P146" s="780" t="e">
        <f t="shared" si="23"/>
        <v>#REF!</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0.09</v>
      </c>
      <c r="M147" s="779">
        <f t="shared" si="27"/>
        <v>0</v>
      </c>
      <c r="N147" s="779">
        <f t="shared" si="28"/>
        <v>0</v>
      </c>
      <c r="O147" s="779">
        <f t="shared" si="29"/>
        <v>0</v>
      </c>
      <c r="P147" s="780" t="e">
        <f t="shared" si="23"/>
        <v>#REF!</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0.09</v>
      </c>
      <c r="M148" s="779">
        <f t="shared" si="27"/>
        <v>0</v>
      </c>
      <c r="N148" s="779">
        <f t="shared" si="28"/>
        <v>0</v>
      </c>
      <c r="O148" s="779">
        <f t="shared" si="29"/>
        <v>0</v>
      </c>
      <c r="P148" s="780" t="e">
        <f t="shared" si="23"/>
        <v>#REF!</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t="e">
        <f>SUBTOTAL(9,M150:M160)</f>
        <v>#REF!</v>
      </c>
      <c r="N149" s="773" t="e">
        <f>SUBTOTAL(9,N150:N160)</f>
        <v>#REF!</v>
      </c>
      <c r="O149" s="773" t="e">
        <f>SUBTOTAL(9,O150:O160)</f>
        <v>#REF!</v>
      </c>
      <c r="P149" s="823" t="e">
        <f t="shared" si="23"/>
        <v>#REF!</v>
      </c>
      <c r="Q149" s="824"/>
    </row>
    <row r="150" spans="1:28" ht="16.5" hidden="1" customHeight="1" outlineLevel="2">
      <c r="B150" s="776" t="s">
        <v>766</v>
      </c>
      <c r="C150" s="777" t="s">
        <v>36</v>
      </c>
      <c r="D150" s="804" t="s">
        <v>812</v>
      </c>
      <c r="E150" s="665"/>
      <c r="F150" s="665"/>
      <c r="G150" s="787"/>
      <c r="H150" s="787"/>
      <c r="I150" s="672"/>
      <c r="J150" s="681"/>
      <c r="K150" s="681"/>
      <c r="L150" s="569"/>
      <c r="M150" s="779" t="e">
        <f>SUBTOTAL(9,M151:M160)</f>
        <v>#REF!</v>
      </c>
      <c r="N150" s="779" t="e">
        <f>SUBTOTAL(9,N151:N160)</f>
        <v>#REF!</v>
      </c>
      <c r="O150" s="779" t="e">
        <f>SUBTOTAL(9,O151:O160)</f>
        <v>#REF!</v>
      </c>
      <c r="P150" s="780" t="e">
        <f t="shared" si="23"/>
        <v>#REF!</v>
      </c>
      <c r="Q150" s="781"/>
      <c r="R150" s="632"/>
      <c r="AB150" s="632"/>
    </row>
    <row r="151" spans="1:28" ht="16.5" hidden="1" customHeight="1" outlineLevel="3">
      <c r="B151" s="776" t="s">
        <v>767</v>
      </c>
      <c r="C151" s="782" t="s">
        <v>39</v>
      </c>
      <c r="D151" s="804" t="s">
        <v>768</v>
      </c>
      <c r="E151" s="665" t="s">
        <v>458</v>
      </c>
      <c r="F151" s="665" t="s">
        <v>41</v>
      </c>
      <c r="G151" s="813">
        <v>1</v>
      </c>
      <c r="H151" s="787" t="s">
        <v>669</v>
      </c>
      <c r="I151" s="672" t="e">
        <f t="shared" ref="I151:I156" si="30">$H$2</f>
        <v>#REF!</v>
      </c>
      <c r="J151" s="681">
        <v>800</v>
      </c>
      <c r="K151" s="778">
        <f t="shared" ref="K151:K158" si="31">J151/(1+L151)</f>
        <v>733.94495412844026</v>
      </c>
      <c r="L151" s="569">
        <v>0.09</v>
      </c>
      <c r="M151" s="779" t="e">
        <f t="shared" ref="M151:M160" si="32">G151*I151*K151/10000</f>
        <v>#REF!</v>
      </c>
      <c r="N151" s="779" t="e">
        <f t="shared" ref="N151:N160" si="33">L151*M151</f>
        <v>#REF!</v>
      </c>
      <c r="O151" s="779" t="e">
        <f t="shared" ref="O151:O160" si="34">M151+N151</f>
        <v>#REF!</v>
      </c>
      <c r="P151" s="780" t="e">
        <f t="shared" si="23"/>
        <v>#REF!</v>
      </c>
      <c r="Q151" s="806"/>
      <c r="R151" s="632"/>
      <c r="AB151" s="632"/>
    </row>
    <row r="152" spans="1:28" ht="16.5" hidden="1" customHeight="1" outlineLevel="3">
      <c r="B152" s="776" t="s">
        <v>769</v>
      </c>
      <c r="C152" s="782" t="s">
        <v>39</v>
      </c>
      <c r="D152" s="804" t="s">
        <v>1595</v>
      </c>
      <c r="E152" s="665" t="s">
        <v>1596</v>
      </c>
      <c r="F152" s="665" t="s">
        <v>41</v>
      </c>
      <c r="G152" s="813">
        <v>1</v>
      </c>
      <c r="H152" s="787" t="s">
        <v>669</v>
      </c>
      <c r="I152" s="672" t="e">
        <f t="shared" si="30"/>
        <v>#REF!</v>
      </c>
      <c r="J152" s="787"/>
      <c r="K152" s="778">
        <f t="shared" si="31"/>
        <v>0</v>
      </c>
      <c r="L152" s="569">
        <v>0.09</v>
      </c>
      <c r="M152" s="779" t="e">
        <f t="shared" si="32"/>
        <v>#REF!</v>
      </c>
      <c r="N152" s="779" t="e">
        <f t="shared" si="33"/>
        <v>#REF!</v>
      </c>
      <c r="O152" s="779" t="e">
        <f t="shared" si="34"/>
        <v>#REF!</v>
      </c>
      <c r="P152" s="780" t="e">
        <f t="shared" si="23"/>
        <v>#REF!</v>
      </c>
      <c r="Q152" s="806"/>
      <c r="R152" s="632"/>
      <c r="AB152" s="632"/>
    </row>
    <row r="153" spans="1:28" ht="16.5" hidden="1" customHeight="1" outlineLevel="3">
      <c r="B153" s="776" t="s">
        <v>770</v>
      </c>
      <c r="C153" s="782" t="s">
        <v>39</v>
      </c>
      <c r="D153" s="804" t="s">
        <v>771</v>
      </c>
      <c r="E153" s="665" t="s">
        <v>1618</v>
      </c>
      <c r="F153" s="665" t="s">
        <v>41</v>
      </c>
      <c r="G153" s="813">
        <v>1</v>
      </c>
      <c r="H153" s="787" t="s">
        <v>669</v>
      </c>
      <c r="I153" s="672" t="e">
        <f t="shared" si="30"/>
        <v>#REF!</v>
      </c>
      <c r="J153" s="787"/>
      <c r="K153" s="778">
        <f t="shared" si="31"/>
        <v>0</v>
      </c>
      <c r="L153" s="569">
        <v>0.09</v>
      </c>
      <c r="M153" s="779" t="e">
        <f t="shared" si="32"/>
        <v>#REF!</v>
      </c>
      <c r="N153" s="779" t="e">
        <f t="shared" si="33"/>
        <v>#REF!</v>
      </c>
      <c r="O153" s="779" t="e">
        <f t="shared" si="34"/>
        <v>#REF!</v>
      </c>
      <c r="P153" s="780" t="e">
        <f t="shared" si="23"/>
        <v>#REF!</v>
      </c>
      <c r="Q153" s="781"/>
      <c r="R153" s="632"/>
      <c r="AB153" s="632"/>
    </row>
    <row r="154" spans="1:28" ht="16.5" hidden="1" customHeight="1" outlineLevel="3">
      <c r="B154" s="776" t="s">
        <v>772</v>
      </c>
      <c r="C154" s="782" t="s">
        <v>39</v>
      </c>
      <c r="D154" s="804" t="s">
        <v>1619</v>
      </c>
      <c r="E154" s="665" t="s">
        <v>458</v>
      </c>
      <c r="F154" s="665" t="s">
        <v>41</v>
      </c>
      <c r="G154" s="813">
        <v>1</v>
      </c>
      <c r="H154" s="787" t="s">
        <v>669</v>
      </c>
      <c r="I154" s="672" t="e">
        <f t="shared" si="30"/>
        <v>#REF!</v>
      </c>
      <c r="J154" s="787"/>
      <c r="K154" s="778">
        <f t="shared" si="31"/>
        <v>0</v>
      </c>
      <c r="L154" s="569">
        <v>0.09</v>
      </c>
      <c r="M154" s="779" t="e">
        <f t="shared" si="32"/>
        <v>#REF!</v>
      </c>
      <c r="N154" s="779" t="e">
        <f t="shared" si="33"/>
        <v>#REF!</v>
      </c>
      <c r="O154" s="779" t="e">
        <f t="shared" si="34"/>
        <v>#REF!</v>
      </c>
      <c r="P154" s="780" t="e">
        <f t="shared" si="23"/>
        <v>#REF!</v>
      </c>
      <c r="Q154" s="781"/>
      <c r="R154" s="632"/>
      <c r="AB154" s="632"/>
    </row>
    <row r="155" spans="1:28" ht="16.5" hidden="1" customHeight="1" outlineLevel="3">
      <c r="B155" s="776" t="s">
        <v>773</v>
      </c>
      <c r="C155" s="782" t="s">
        <v>39</v>
      </c>
      <c r="D155" s="804" t="s">
        <v>1597</v>
      </c>
      <c r="E155" s="665" t="s">
        <v>1620</v>
      </c>
      <c r="F155" s="665" t="s">
        <v>41</v>
      </c>
      <c r="G155" s="813">
        <v>1</v>
      </c>
      <c r="H155" s="787" t="s">
        <v>669</v>
      </c>
      <c r="I155" s="672" t="e">
        <f t="shared" si="30"/>
        <v>#REF!</v>
      </c>
      <c r="J155" s="787"/>
      <c r="K155" s="778">
        <f t="shared" si="31"/>
        <v>0</v>
      </c>
      <c r="L155" s="569">
        <v>0.13</v>
      </c>
      <c r="M155" s="779" t="e">
        <f t="shared" si="32"/>
        <v>#REF!</v>
      </c>
      <c r="N155" s="779" t="e">
        <f t="shared" si="33"/>
        <v>#REF!</v>
      </c>
      <c r="O155" s="779" t="e">
        <f t="shared" si="34"/>
        <v>#REF!</v>
      </c>
      <c r="P155" s="780" t="e">
        <f t="shared" si="23"/>
        <v>#REF!</v>
      </c>
      <c r="Q155" s="781"/>
      <c r="R155" s="632"/>
      <c r="AB155" s="632"/>
    </row>
    <row r="156" spans="1:28" ht="16.5" hidden="1" customHeight="1" outlineLevel="3">
      <c r="B156" s="776" t="s">
        <v>774</v>
      </c>
      <c r="C156" s="782" t="s">
        <v>39</v>
      </c>
      <c r="D156" s="804" t="s">
        <v>1598</v>
      </c>
      <c r="E156" s="665" t="s">
        <v>458</v>
      </c>
      <c r="F156" s="665" t="s">
        <v>41</v>
      </c>
      <c r="G156" s="813">
        <v>1</v>
      </c>
      <c r="H156" s="787" t="s">
        <v>669</v>
      </c>
      <c r="I156" s="672" t="e">
        <f t="shared" si="30"/>
        <v>#REF!</v>
      </c>
      <c r="J156" s="787"/>
      <c r="K156" s="778">
        <f t="shared" si="31"/>
        <v>0</v>
      </c>
      <c r="L156" s="569">
        <v>0.09</v>
      </c>
      <c r="M156" s="779" t="e">
        <f t="shared" si="32"/>
        <v>#REF!</v>
      </c>
      <c r="N156" s="779" t="e">
        <f t="shared" si="33"/>
        <v>#REF!</v>
      </c>
      <c r="O156" s="779" t="e">
        <f t="shared" si="34"/>
        <v>#REF!</v>
      </c>
      <c r="P156" s="780" t="e">
        <f t="shared" si="23"/>
        <v>#REF!</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#REF!</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1"/>
        <v>0</v>
      </c>
      <c r="L158" s="569"/>
      <c r="M158" s="779">
        <f t="shared" si="32"/>
        <v>0</v>
      </c>
      <c r="N158" s="779">
        <f t="shared" si="33"/>
        <v>0</v>
      </c>
      <c r="O158" s="779">
        <f t="shared" si="34"/>
        <v>0</v>
      </c>
      <c r="P158" s="780" t="e">
        <f t="shared" si="23"/>
        <v>#REF!</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#REF!</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#REF!</v>
      </c>
      <c r="Q160" s="781"/>
    </row>
    <row r="161" spans="2:28" ht="16.5" customHeight="1" outlineLevel="1" collapsed="1">
      <c r="B161" s="771" t="s">
        <v>503</v>
      </c>
      <c r="C161" s="712">
        <v>4</v>
      </c>
      <c r="D161" s="771" t="s">
        <v>92</v>
      </c>
      <c r="E161" s="712"/>
      <c r="F161" s="712"/>
      <c r="G161" s="712"/>
      <c r="H161" s="772"/>
      <c r="I161" s="713"/>
      <c r="J161" s="772"/>
      <c r="K161" s="772"/>
      <c r="L161" s="588"/>
      <c r="M161" s="773" t="e">
        <f>SUBTOTAL(9,M162:M167)</f>
        <v>#REF!</v>
      </c>
      <c r="N161" s="773" t="e">
        <f>SUBTOTAL(9,N162:N167)</f>
        <v>#REF!</v>
      </c>
      <c r="O161" s="773" t="e">
        <f>SUBTOTAL(9,O162:O167)</f>
        <v>#REF!</v>
      </c>
      <c r="P161" s="774" t="e">
        <f t="shared" si="23"/>
        <v>#REF!</v>
      </c>
      <c r="Q161" s="775"/>
      <c r="R161" s="632"/>
      <c r="AB161" s="632"/>
    </row>
    <row r="162" spans="2:28" ht="16.5" hidden="1" customHeight="1" outlineLevel="2">
      <c r="B162" s="776" t="s">
        <v>1600</v>
      </c>
      <c r="C162" s="777" t="s">
        <v>36</v>
      </c>
      <c r="D162" s="804" t="s">
        <v>93</v>
      </c>
      <c r="E162" s="665" t="s">
        <v>461</v>
      </c>
      <c r="F162" s="665" t="s">
        <v>41</v>
      </c>
      <c r="G162" s="813">
        <v>1</v>
      </c>
      <c r="H162" s="787" t="s">
        <v>113</v>
      </c>
      <c r="I162" s="672" t="e">
        <f>$H$2</f>
        <v>#REF!</v>
      </c>
      <c r="J162" s="787"/>
      <c r="K162" s="778">
        <f>J162/(1+L162)</f>
        <v>0</v>
      </c>
      <c r="L162" s="569">
        <v>0.13</v>
      </c>
      <c r="M162" s="779" t="e">
        <f t="shared" ref="M162:M167" si="35">G162*I162*K162/10000</f>
        <v>#REF!</v>
      </c>
      <c r="N162" s="779" t="e">
        <f>L162*M162</f>
        <v>#REF!</v>
      </c>
      <c r="O162" s="779" t="e">
        <f>M162+N162</f>
        <v>#REF!</v>
      </c>
      <c r="P162" s="780" t="e">
        <f t="shared" si="23"/>
        <v>#REF!</v>
      </c>
      <c r="Q162" s="781"/>
      <c r="R162" s="632"/>
      <c r="AB162" s="632"/>
    </row>
    <row r="163" spans="2:28" ht="16.5" hidden="1" customHeight="1" outlineLevel="2">
      <c r="B163" s="776" t="s">
        <v>1601</v>
      </c>
      <c r="C163" s="777" t="s">
        <v>68</v>
      </c>
      <c r="D163" s="804" t="s">
        <v>94</v>
      </c>
      <c r="E163" s="648" t="s">
        <v>1602</v>
      </c>
      <c r="F163" s="665" t="s">
        <v>41</v>
      </c>
      <c r="G163" s="813">
        <v>0.7</v>
      </c>
      <c r="H163" s="787" t="s">
        <v>113</v>
      </c>
      <c r="I163" s="672" t="e">
        <f>$H$2</f>
        <v>#REF!</v>
      </c>
      <c r="J163" s="681"/>
      <c r="K163" s="778">
        <f>J163/(1+L163)</f>
        <v>0</v>
      </c>
      <c r="L163" s="569">
        <f>13%*0.7+9%*0.3</f>
        <v>0.11799999999999999</v>
      </c>
      <c r="M163" s="779" t="e">
        <f t="shared" si="35"/>
        <v>#REF!</v>
      </c>
      <c r="N163" s="779" t="e">
        <f>L163*M163</f>
        <v>#REF!</v>
      </c>
      <c r="O163" s="779" t="e">
        <f>M163+N163</f>
        <v>#REF!</v>
      </c>
      <c r="P163" s="780" t="e">
        <f t="shared" si="23"/>
        <v>#REF!</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5"/>
        <v>0</v>
      </c>
      <c r="N164" s="779"/>
      <c r="O164" s="779"/>
      <c r="P164" s="780" t="str">
        <f>IF(O164="","",O164*10000/E$2)</f>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5"/>
        <v>0</v>
      </c>
      <c r="N165" s="779"/>
      <c r="O165" s="779"/>
      <c r="P165" s="780" t="str">
        <f>IF(O165="","",O165*10000/E$2)</f>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5"/>
        <v>0</v>
      </c>
      <c r="N166" s="779"/>
      <c r="O166" s="779"/>
      <c r="P166" s="780" t="str">
        <f>IF(O166="","",O166*10000/E$2)</f>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5"/>
        <v>0</v>
      </c>
      <c r="N167" s="779"/>
      <c r="O167" s="779"/>
      <c r="P167" s="780" t="str">
        <f>IF(O167="","",O167*10000/E$2)</f>
        <v/>
      </c>
      <c r="Q167" s="781"/>
      <c r="R167" s="632"/>
      <c r="AB167" s="632"/>
    </row>
    <row r="168" spans="2:28" ht="24" customHeight="1" collapsed="1">
      <c r="C168" s="632"/>
      <c r="E168" s="632"/>
      <c r="F168" s="632"/>
      <c r="G168" s="632"/>
      <c r="H168" s="632"/>
      <c r="I168" s="632"/>
      <c r="J168" s="829"/>
      <c r="L168" s="748" t="s">
        <v>24</v>
      </c>
      <c r="M168" s="829" t="s">
        <v>2049</v>
      </c>
      <c r="N168" s="829" t="s">
        <v>2048</v>
      </c>
      <c r="O168" s="750" t="e">
        <f>O4+O69+O88</f>
        <v>#REF!</v>
      </c>
      <c r="AA168" s="831">
        <f>SUM(AA4:AA68)</f>
        <v>0</v>
      </c>
      <c r="AB168" s="632"/>
    </row>
    <row r="169" spans="2:28" ht="24" customHeight="1">
      <c r="J169" s="750"/>
      <c r="K169" s="748" t="s">
        <v>2047</v>
      </c>
      <c r="L169" s="830" t="s">
        <v>2045</v>
      </c>
      <c r="M169" s="750" t="e">
        <f>O4+O69+O88</f>
        <v>#REF!</v>
      </c>
      <c r="N169" s="750" t="e">
        <f>+O4+O88</f>
        <v>#REF!</v>
      </c>
    </row>
    <row r="170" spans="2:28" ht="24" customHeight="1">
      <c r="L170" s="748" t="s">
        <v>2044</v>
      </c>
      <c r="M170" s="750" t="e">
        <f>M169/$E$2*10000</f>
        <v>#REF!</v>
      </c>
      <c r="N170" s="832" t="e">
        <f>N169/$E$2*10000</f>
        <v>#REF!</v>
      </c>
    </row>
    <row r="171" spans="2:28" ht="24" customHeight="1">
      <c r="K171" s="748" t="s">
        <v>2046</v>
      </c>
      <c r="L171" s="830" t="s">
        <v>2045</v>
      </c>
      <c r="M171" s="750" t="e">
        <f>+M4+M69+M88</f>
        <v>#REF!</v>
      </c>
      <c r="N171" s="750" t="e">
        <f>+M4+M88</f>
        <v>#REF!</v>
      </c>
    </row>
    <row r="172" spans="2:28" ht="24" customHeight="1">
      <c r="L172" s="748" t="s">
        <v>2044</v>
      </c>
      <c r="M172" s="750" t="e">
        <f>M171/$E$2*10000</f>
        <v>#REF!</v>
      </c>
      <c r="N172" s="750" t="e">
        <f>N171/$E$2*10000</f>
        <v>#REF!</v>
      </c>
    </row>
  </sheetData>
  <autoFilter ref="A3:AC172"/>
  <phoneticPr fontId="19" type="noConversion"/>
  <conditionalFormatting sqref="I154">
    <cfRule type="cellIs" priority="85" operator="equal">
      <formula>0</formula>
    </cfRule>
    <cfRule type="cellIs" dxfId="317" priority="86" operator="equal">
      <formula>0</formula>
    </cfRule>
  </conditionalFormatting>
  <conditionalFormatting sqref="B70:C70">
    <cfRule type="duplicateValues" dxfId="316" priority="152"/>
  </conditionalFormatting>
  <conditionalFormatting sqref="B129:C129">
    <cfRule type="duplicateValues" dxfId="315" priority="147"/>
  </conditionalFormatting>
  <conditionalFormatting sqref="B36:C36">
    <cfRule type="duplicateValues" dxfId="314" priority="226"/>
  </conditionalFormatting>
  <conditionalFormatting sqref="B89:C89">
    <cfRule type="duplicateValues" dxfId="313" priority="148"/>
  </conditionalFormatting>
  <conditionalFormatting sqref="D10:D35">
    <cfRule type="duplicateValues" dxfId="312" priority="225"/>
  </conditionalFormatting>
  <conditionalFormatting sqref="D69:D167">
    <cfRule type="duplicateValues" dxfId="311" priority="156"/>
  </conditionalFormatting>
  <conditionalFormatting sqref="B86:C87">
    <cfRule type="duplicateValues" dxfId="310" priority="150"/>
  </conditionalFormatting>
  <conditionalFormatting sqref="B161:C161">
    <cfRule type="duplicateValues" dxfId="309" priority="145"/>
  </conditionalFormatting>
  <conditionalFormatting sqref="B5:C5">
    <cfRule type="duplicateValues" dxfId="308" priority="227"/>
  </conditionalFormatting>
  <conditionalFormatting sqref="B88:C88">
    <cfRule type="duplicateValues" dxfId="307" priority="149"/>
  </conditionalFormatting>
  <conditionalFormatting sqref="B82:C82">
    <cfRule type="duplicateValues" dxfId="306" priority="151"/>
  </conditionalFormatting>
  <conditionalFormatting sqref="B4:C4">
    <cfRule type="duplicateValues" dxfId="305" priority="228"/>
  </conditionalFormatting>
  <conditionalFormatting sqref="I19 I4:I10">
    <cfRule type="cellIs" dxfId="304" priority="224" operator="equal">
      <formula>0</formula>
    </cfRule>
  </conditionalFormatting>
  <conditionalFormatting sqref="B69:C69">
    <cfRule type="duplicateValues" dxfId="303" priority="153"/>
  </conditionalFormatting>
  <conditionalFormatting sqref="D6:D8">
    <cfRule type="duplicateValues" dxfId="302" priority="231"/>
  </conditionalFormatting>
  <conditionalFormatting sqref="D168:D65536 D9 D1:D5 D36">
    <cfRule type="duplicateValues" dxfId="301" priority="230"/>
  </conditionalFormatting>
  <conditionalFormatting sqref="B149:C149">
    <cfRule type="duplicateValues" dxfId="300" priority="146"/>
  </conditionalFormatting>
  <conditionalFormatting sqref="D37:D68">
    <cfRule type="duplicateValues" dxfId="299" priority="232"/>
  </conditionalFormatting>
  <conditionalFormatting sqref="I168:I65536">
    <cfRule type="cellIs" dxfId="298" priority="229"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P125"/>
  <sheetViews>
    <sheetView showGridLines="0" zoomScaleNormal="100" workbookViewId="0">
      <pane ySplit="2" topLeftCell="A3" activePane="bottomLeft" state="frozen"/>
      <selection activeCell="C21" sqref="C21"/>
      <selection pane="bottomLeft" activeCell="N59" sqref="N59"/>
    </sheetView>
  </sheetViews>
  <sheetFormatPr defaultColWidth="9" defaultRowHeight="12.5"/>
  <cols>
    <col min="1" max="1" width="6.5" style="1061" customWidth="1"/>
    <col min="2" max="3" width="10.58203125" style="1062" customWidth="1"/>
    <col min="4" max="4" width="26.83203125" style="1062" customWidth="1"/>
    <col min="5" max="5" width="16.1640625" style="1062" customWidth="1"/>
    <col min="6" max="6" width="11.33203125" style="1062" hidden="1" customWidth="1"/>
    <col min="7" max="8" width="11.33203125" style="1062" customWidth="1"/>
    <col min="9" max="9" width="11.33203125" style="1062" hidden="1" customWidth="1"/>
    <col min="10" max="12" width="11.33203125" style="1062" customWidth="1"/>
    <col min="13" max="13" width="9.58203125" style="1062" customWidth="1"/>
    <col min="14" max="14" width="11.33203125" style="1080" customWidth="1"/>
    <col min="15" max="15" width="9.83203125" style="1042" hidden="1" customWidth="1"/>
    <col min="16" max="16" width="9.5" style="1042" hidden="1" customWidth="1"/>
    <col min="17" max="16147" width="9" style="1042"/>
    <col min="16148" max="16384" width="0" style="1042" hidden="1" customWidth="1"/>
  </cols>
  <sheetData>
    <row r="1" spans="1:16" ht="40.5" customHeight="1">
      <c r="A1" s="2465" t="s">
        <v>2987</v>
      </c>
      <c r="B1" s="2465"/>
      <c r="C1" s="2465"/>
      <c r="D1" s="2465"/>
      <c r="E1" s="2465"/>
      <c r="F1" s="2465"/>
      <c r="G1" s="2465"/>
      <c r="H1" s="2465"/>
      <c r="I1" s="2465"/>
      <c r="J1" s="2465"/>
      <c r="K1" s="2465"/>
      <c r="L1" s="2465"/>
      <c r="M1" s="2465"/>
      <c r="N1" s="1074"/>
    </row>
    <row r="2" spans="1:16" ht="39" customHeight="1">
      <c r="A2" s="1043" t="s">
        <v>2988</v>
      </c>
      <c r="B2" s="1043" t="s">
        <v>2989</v>
      </c>
      <c r="C2" s="1044" t="s">
        <v>2990</v>
      </c>
      <c r="D2" s="1044" t="s">
        <v>2991</v>
      </c>
      <c r="E2" s="1044" t="s">
        <v>2992</v>
      </c>
      <c r="F2" s="1044" t="e">
        <f>+#REF!</f>
        <v>#REF!</v>
      </c>
      <c r="G2" s="1044" t="e">
        <f>+#REF!</f>
        <v>#REF!</v>
      </c>
      <c r="H2" s="1044" t="e">
        <f>+#REF!</f>
        <v>#REF!</v>
      </c>
      <c r="I2" s="1044" t="e">
        <f>+#REF!</f>
        <v>#REF!</v>
      </c>
      <c r="J2" s="1044" t="e">
        <f>+#REF!</f>
        <v>#REF!</v>
      </c>
      <c r="K2" s="1044" t="s">
        <v>3053</v>
      </c>
      <c r="L2" s="1043" t="s">
        <v>2993</v>
      </c>
      <c r="M2" s="1043" t="s">
        <v>2994</v>
      </c>
      <c r="N2" s="1075"/>
    </row>
    <row r="3" spans="1:16" s="1049" customFormat="1" ht="14.25" customHeight="1">
      <c r="A3" s="1045">
        <v>1</v>
      </c>
      <c r="B3" s="1046" t="s">
        <v>309</v>
      </c>
      <c r="C3" s="1046" t="s">
        <v>2995</v>
      </c>
      <c r="D3" s="1046" t="s">
        <v>784</v>
      </c>
      <c r="E3" s="1047" t="e">
        <f>SUMIF(#REF!,本期合约金额规划表!D3,#REF!)</f>
        <v>#REF!</v>
      </c>
      <c r="F3" s="1047"/>
      <c r="G3" s="1047" t="e">
        <f>SUMIF(#REF!,本期合约金额规划表!D3,#REF!)</f>
        <v>#REF!</v>
      </c>
      <c r="H3" s="1047" t="e">
        <f>SUMIF(#REF!,本期合约金额规划表!D3,#REF!)</f>
        <v>#REF!</v>
      </c>
      <c r="I3" s="1047"/>
      <c r="J3" s="1047">
        <f>SUMIF('1-商业网点'!$E$4:$E$161,本期合约金额规划表!D3,'1-商业网点'!$O$4:$O$161)</f>
        <v>0</v>
      </c>
      <c r="K3" s="1047" t="e">
        <f>SUMIF(#REF!,本期合约金额规划表!D3,#REF!)</f>
        <v>#REF!</v>
      </c>
      <c r="L3" s="1047" t="e">
        <f t="shared" ref="L3:L66" si="0">SUM(E3:K3)</f>
        <v>#REF!</v>
      </c>
      <c r="M3" s="1048" t="s">
        <v>2996</v>
      </c>
      <c r="N3" s="1076" t="e">
        <f>L3*10000/#REF!</f>
        <v>#REF!</v>
      </c>
      <c r="O3" s="1050" t="e">
        <v>#VALUE!</v>
      </c>
      <c r="P3" s="1050" t="e">
        <f>+L3-O3</f>
        <v>#REF!</v>
      </c>
    </row>
    <row r="4" spans="1:16" s="1049" customFormat="1" ht="14.25" customHeight="1">
      <c r="A4" s="1045">
        <v>2</v>
      </c>
      <c r="B4" s="1046" t="s">
        <v>309</v>
      </c>
      <c r="C4" s="1046" t="s">
        <v>2995</v>
      </c>
      <c r="D4" s="1046" t="s">
        <v>465</v>
      </c>
      <c r="E4" s="1047" t="e">
        <f>SUMIF(#REF!,本期合约金额规划表!D4,#REF!)</f>
        <v>#REF!</v>
      </c>
      <c r="F4" s="1047"/>
      <c r="G4" s="1047" t="e">
        <f>SUMIF(#REF!,本期合约金额规划表!D4,#REF!)</f>
        <v>#REF!</v>
      </c>
      <c r="H4" s="1047" t="e">
        <f>SUMIF(#REF!,本期合约金额规划表!D4,#REF!)</f>
        <v>#REF!</v>
      </c>
      <c r="I4" s="1047"/>
      <c r="J4" s="1047">
        <f>SUMIF('1-商业网点'!$E$4:$E$161,本期合约金额规划表!D4,'1-商业网点'!$O$4:$O$161)</f>
        <v>0</v>
      </c>
      <c r="K4" s="1047" t="e">
        <f>SUMIF(#REF!,本期合约金额规划表!D4,#REF!)</f>
        <v>#REF!</v>
      </c>
      <c r="L4" s="1047" t="e">
        <f t="shared" si="0"/>
        <v>#REF!</v>
      </c>
      <c r="M4" s="1048" t="s">
        <v>2997</v>
      </c>
      <c r="N4" s="1076" t="e">
        <f>L4*10000/#REF!</f>
        <v>#REF!</v>
      </c>
      <c r="O4" s="1050" t="e">
        <v>#VALUE!</v>
      </c>
      <c r="P4" s="1050" t="e">
        <f t="shared" ref="P4:P67" si="1">+L4-O4</f>
        <v>#REF!</v>
      </c>
    </row>
    <row r="5" spans="1:16" s="1049" customFormat="1" ht="14.25" hidden="1" customHeight="1">
      <c r="A5" s="1045">
        <v>3</v>
      </c>
      <c r="B5" s="1046" t="s">
        <v>309</v>
      </c>
      <c r="C5" s="1046" t="s">
        <v>2995</v>
      </c>
      <c r="D5" s="1046" t="s">
        <v>786</v>
      </c>
      <c r="E5" s="1047" t="e">
        <f>SUMIF(#REF!,本期合约金额规划表!D5,#REF!)</f>
        <v>#REF!</v>
      </c>
      <c r="F5" s="1047"/>
      <c r="G5" s="1047" t="e">
        <f>SUMIF(#REF!,本期合约金额规划表!D5,#REF!)</f>
        <v>#REF!</v>
      </c>
      <c r="H5" s="1047" t="e">
        <f>SUMIF(#REF!,本期合约金额规划表!D5,#REF!)</f>
        <v>#REF!</v>
      </c>
      <c r="I5" s="1047"/>
      <c r="J5" s="1047">
        <f>SUMIF('1-商业网点'!$E$4:$E$161,本期合约金额规划表!D5,'1-商业网点'!$O$4:$O$161)</f>
        <v>0</v>
      </c>
      <c r="K5" s="1047" t="e">
        <f>SUMIF(#REF!,本期合约金额规划表!D5,#REF!)</f>
        <v>#REF!</v>
      </c>
      <c r="L5" s="1047" t="e">
        <f t="shared" si="0"/>
        <v>#REF!</v>
      </c>
      <c r="M5" s="1048" t="s">
        <v>2996</v>
      </c>
      <c r="N5" s="1076" t="e">
        <f>L5*10000/#REF!</f>
        <v>#REF!</v>
      </c>
      <c r="O5" s="1050" t="e">
        <v>#VALUE!</v>
      </c>
      <c r="P5" s="1050" t="e">
        <f t="shared" si="1"/>
        <v>#REF!</v>
      </c>
    </row>
    <row r="6" spans="1:16" s="1049" customFormat="1" ht="14.25" hidden="1" customHeight="1">
      <c r="A6" s="1045">
        <v>4</v>
      </c>
      <c r="B6" s="1046" t="s">
        <v>2998</v>
      </c>
      <c r="C6" s="1046" t="s">
        <v>2995</v>
      </c>
      <c r="D6" s="1046" t="s">
        <v>1121</v>
      </c>
      <c r="E6" s="1047" t="e">
        <f>SUMIF(#REF!,本期合约金额规划表!D6,#REF!)</f>
        <v>#REF!</v>
      </c>
      <c r="F6" s="1047"/>
      <c r="G6" s="1047" t="e">
        <f>SUMIF(#REF!,本期合约金额规划表!D6,#REF!)</f>
        <v>#REF!</v>
      </c>
      <c r="H6" s="1047" t="e">
        <f>SUMIF(#REF!,本期合约金额规划表!D6,#REF!)</f>
        <v>#REF!</v>
      </c>
      <c r="I6" s="1047"/>
      <c r="J6" s="1047">
        <f>SUMIF('1-商业网点'!$E$4:$E$161,本期合约金额规划表!D6,'1-商业网点'!$O$4:$O$161)</f>
        <v>0</v>
      </c>
      <c r="K6" s="1047" t="e">
        <f>SUMIF(#REF!,本期合约金额规划表!D6,#REF!)</f>
        <v>#REF!</v>
      </c>
      <c r="L6" s="1047" t="e">
        <f t="shared" si="0"/>
        <v>#REF!</v>
      </c>
      <c r="M6" s="1048" t="s">
        <v>2999</v>
      </c>
      <c r="N6" s="1076" t="e">
        <f>L6*10000/#REF!</f>
        <v>#REF!</v>
      </c>
      <c r="O6" s="1050" t="e">
        <v>#VALUE!</v>
      </c>
      <c r="P6" s="1050" t="e">
        <f t="shared" si="1"/>
        <v>#REF!</v>
      </c>
    </row>
    <row r="7" spans="1:16" s="1049" customFormat="1" ht="14.25" customHeight="1">
      <c r="A7" s="1045">
        <v>5</v>
      </c>
      <c r="B7" s="1046" t="s">
        <v>2998</v>
      </c>
      <c r="C7" s="1046" t="s">
        <v>2995</v>
      </c>
      <c r="D7" s="1051" t="s">
        <v>1307</v>
      </c>
      <c r="E7" s="1047" t="e">
        <f>SUMIF(#REF!,本期合约金额规划表!D7,#REF!)</f>
        <v>#REF!</v>
      </c>
      <c r="F7" s="1047"/>
      <c r="G7" s="1047" t="e">
        <f>SUMIF(#REF!,本期合约金额规划表!D7,#REF!)</f>
        <v>#REF!</v>
      </c>
      <c r="H7" s="1047" t="e">
        <f>SUMIF(#REF!,本期合约金额规划表!D7,#REF!)</f>
        <v>#REF!</v>
      </c>
      <c r="I7" s="1047"/>
      <c r="J7" s="1047">
        <f>SUMIF('1-商业网点'!$E$4:$E$161,本期合约金额规划表!D7,'1-商业网点'!$O$4:$O$161)</f>
        <v>0</v>
      </c>
      <c r="K7" s="1047" t="e">
        <f>SUMIF(#REF!,本期合约金额规划表!D7,#REF!)</f>
        <v>#REF!</v>
      </c>
      <c r="L7" s="1047" t="e">
        <f t="shared" si="0"/>
        <v>#REF!</v>
      </c>
      <c r="M7" s="1048" t="s">
        <v>2999</v>
      </c>
      <c r="N7" s="1076" t="e">
        <f>L7*10000/#REF!</f>
        <v>#REF!</v>
      </c>
      <c r="O7" s="1050" t="e">
        <v>#VALUE!</v>
      </c>
      <c r="P7" s="1050" t="e">
        <f t="shared" si="1"/>
        <v>#REF!</v>
      </c>
    </row>
    <row r="8" spans="1:16" s="1049" customFormat="1" ht="14.25" hidden="1" customHeight="1">
      <c r="A8" s="1045">
        <v>6</v>
      </c>
      <c r="B8" s="1046" t="s">
        <v>2998</v>
      </c>
      <c r="C8" s="1046" t="s">
        <v>2995</v>
      </c>
      <c r="D8" s="1051" t="s">
        <v>3000</v>
      </c>
      <c r="E8" s="1047" t="e">
        <f>SUMIF(#REF!,本期合约金额规划表!D8,#REF!)</f>
        <v>#REF!</v>
      </c>
      <c r="F8" s="1047"/>
      <c r="G8" s="1047" t="e">
        <f>SUMIF(#REF!,本期合约金额规划表!D8,#REF!)</f>
        <v>#REF!</v>
      </c>
      <c r="H8" s="1047" t="e">
        <f>SUMIF(#REF!,本期合约金额规划表!D8,#REF!)</f>
        <v>#REF!</v>
      </c>
      <c r="I8" s="1047"/>
      <c r="J8" s="1047">
        <f>SUMIF('1-商业网点'!$E$4:$E$161,本期合约金额规划表!D8,'1-商业网点'!$O$4:$O$161)</f>
        <v>0</v>
      </c>
      <c r="K8" s="1047" t="e">
        <f>SUMIF(#REF!,本期合约金额规划表!D8,#REF!)</f>
        <v>#REF!</v>
      </c>
      <c r="L8" s="1047" t="e">
        <f t="shared" si="0"/>
        <v>#REF!</v>
      </c>
      <c r="M8" s="1048" t="s">
        <v>2999</v>
      </c>
      <c r="N8" s="1076" t="e">
        <f>L8*10000/#REF!</f>
        <v>#REF!</v>
      </c>
      <c r="O8" s="1050" t="e">
        <v>#VALUE!</v>
      </c>
      <c r="P8" s="1050" t="e">
        <f t="shared" si="1"/>
        <v>#REF!</v>
      </c>
    </row>
    <row r="9" spans="1:16" s="1049" customFormat="1" ht="14.25" customHeight="1">
      <c r="A9" s="1045">
        <v>7</v>
      </c>
      <c r="B9" s="1046" t="s">
        <v>2998</v>
      </c>
      <c r="C9" s="1046" t="s">
        <v>2995</v>
      </c>
      <c r="D9" s="1051" t="s">
        <v>1300</v>
      </c>
      <c r="E9" s="1047" t="e">
        <f>SUMIF(#REF!,本期合约金额规划表!D9,#REF!)</f>
        <v>#REF!</v>
      </c>
      <c r="F9" s="1047"/>
      <c r="G9" s="1047" t="e">
        <f>SUMIF(#REF!,本期合约金额规划表!D9,#REF!)</f>
        <v>#REF!</v>
      </c>
      <c r="H9" s="1047" t="e">
        <f>SUMIF(#REF!,本期合约金额规划表!D9,#REF!)</f>
        <v>#REF!</v>
      </c>
      <c r="I9" s="1047"/>
      <c r="J9" s="1047" t="e">
        <f>SUMIF('1-商业网点'!$E$4:$E$161,本期合约金额规划表!D9,'1-商业网点'!$O$4:$O$161)</f>
        <v>#REF!</v>
      </c>
      <c r="K9" s="1047" t="e">
        <f>SUMIF(#REF!,本期合约金额规划表!D9,#REF!)</f>
        <v>#REF!</v>
      </c>
      <c r="L9" s="1047" t="e">
        <f t="shared" si="0"/>
        <v>#REF!</v>
      </c>
      <c r="M9" s="1048" t="s">
        <v>2999</v>
      </c>
      <c r="N9" s="1076" t="e">
        <f>L9*10000/#REF!</f>
        <v>#REF!</v>
      </c>
      <c r="O9" s="1050" t="e">
        <v>#VALUE!</v>
      </c>
      <c r="P9" s="1050" t="e">
        <f t="shared" si="1"/>
        <v>#REF!</v>
      </c>
    </row>
    <row r="10" spans="1:16" s="1049" customFormat="1" ht="14.25" hidden="1" customHeight="1">
      <c r="A10" s="1045">
        <v>8</v>
      </c>
      <c r="B10" s="1046" t="s">
        <v>2998</v>
      </c>
      <c r="C10" s="1052" t="s">
        <v>2995</v>
      </c>
      <c r="D10" s="1051" t="s">
        <v>3001</v>
      </c>
      <c r="E10" s="1047" t="e">
        <f>SUMIF(#REF!,本期合约金额规划表!D10,#REF!)</f>
        <v>#REF!</v>
      </c>
      <c r="F10" s="1047"/>
      <c r="G10" s="1047" t="e">
        <f>SUMIF(#REF!,本期合约金额规划表!D10,#REF!)</f>
        <v>#REF!</v>
      </c>
      <c r="H10" s="1047" t="e">
        <f>SUMIF(#REF!,本期合约金额规划表!D10,#REF!)</f>
        <v>#REF!</v>
      </c>
      <c r="I10" s="1047"/>
      <c r="J10" s="1047">
        <f>SUMIF('1-商业网点'!$E$4:$E$161,本期合约金额规划表!D10,'1-商业网点'!$O$4:$O$161)</f>
        <v>0</v>
      </c>
      <c r="K10" s="1047" t="e">
        <f>SUMIF(#REF!,本期合约金额规划表!D10,#REF!)</f>
        <v>#REF!</v>
      </c>
      <c r="L10" s="1047" t="e">
        <f t="shared" si="0"/>
        <v>#REF!</v>
      </c>
      <c r="M10" s="1048" t="s">
        <v>2999</v>
      </c>
      <c r="N10" s="1076" t="e">
        <f>L10*10000/#REF!</f>
        <v>#REF!</v>
      </c>
      <c r="O10" s="1050" t="e">
        <v>#VALUE!</v>
      </c>
      <c r="P10" s="1050" t="e">
        <f t="shared" si="1"/>
        <v>#REF!</v>
      </c>
    </row>
    <row r="11" spans="1:16" s="1049" customFormat="1" ht="14.25" customHeight="1">
      <c r="A11" s="1045">
        <v>9</v>
      </c>
      <c r="B11" s="1046" t="s">
        <v>2998</v>
      </c>
      <c r="C11" s="1052" t="s">
        <v>2995</v>
      </c>
      <c r="D11" s="1051" t="s">
        <v>3002</v>
      </c>
      <c r="E11" s="1047" t="e">
        <f>SUMIF(#REF!,本期合约金额规划表!D11,#REF!)</f>
        <v>#REF!</v>
      </c>
      <c r="F11" s="1047"/>
      <c r="G11" s="1047" t="e">
        <f>SUMIF(#REF!,本期合约金额规划表!D11,#REF!)</f>
        <v>#REF!</v>
      </c>
      <c r="H11" s="1047" t="e">
        <f>SUMIF(#REF!,本期合约金额规划表!D11,#REF!)</f>
        <v>#REF!</v>
      </c>
      <c r="I11" s="1047"/>
      <c r="J11" s="1047">
        <f>SUMIF('1-商业网点'!$E$4:$E$161,本期合约金额规划表!D11,'1-商业网点'!$O$4:$O$161)</f>
        <v>0</v>
      </c>
      <c r="K11" s="1047" t="e">
        <f>SUMIF(#REF!,本期合约金额规划表!D11,#REF!)</f>
        <v>#REF!</v>
      </c>
      <c r="L11" s="1047" t="e">
        <f t="shared" si="0"/>
        <v>#REF!</v>
      </c>
      <c r="M11" s="1048" t="s">
        <v>3003</v>
      </c>
      <c r="N11" s="1076" t="e">
        <f>L11*10000/#REF!</f>
        <v>#REF!</v>
      </c>
      <c r="O11" s="1050" t="e">
        <v>#VALUE!</v>
      </c>
      <c r="P11" s="1050" t="e">
        <f t="shared" si="1"/>
        <v>#REF!</v>
      </c>
    </row>
    <row r="12" spans="1:16" s="1049" customFormat="1" ht="14.25" customHeight="1">
      <c r="A12" s="1045">
        <v>10</v>
      </c>
      <c r="B12" s="1046" t="s">
        <v>2998</v>
      </c>
      <c r="C12" s="1052" t="s">
        <v>2995</v>
      </c>
      <c r="D12" s="1051" t="s">
        <v>1395</v>
      </c>
      <c r="E12" s="1047" t="e">
        <f>SUMIF(#REF!,本期合约金额规划表!D12,#REF!)</f>
        <v>#REF!</v>
      </c>
      <c r="F12" s="1047"/>
      <c r="G12" s="1047" t="e">
        <f>SUMIF(#REF!,本期合约金额规划表!D12,#REF!)</f>
        <v>#REF!</v>
      </c>
      <c r="H12" s="1047" t="e">
        <f>SUMIF(#REF!,本期合约金额规划表!D12,#REF!)</f>
        <v>#REF!</v>
      </c>
      <c r="I12" s="1047"/>
      <c r="J12" s="1047">
        <f>SUMIF('1-商业网点'!$E$4:$E$161,本期合约金额规划表!D12,'1-商业网点'!$O$4:$O$161)</f>
        <v>0</v>
      </c>
      <c r="K12" s="1047" t="e">
        <f>SUMIF(#REF!,本期合约金额规划表!D12,#REF!)</f>
        <v>#REF!</v>
      </c>
      <c r="L12" s="1047" t="e">
        <f t="shared" si="0"/>
        <v>#REF!</v>
      </c>
      <c r="M12" s="1048" t="s">
        <v>2999</v>
      </c>
      <c r="N12" s="1076" t="e">
        <f>L12*10000/#REF!</f>
        <v>#REF!</v>
      </c>
      <c r="O12" s="1050" t="e">
        <v>#VALUE!</v>
      </c>
      <c r="P12" s="1050" t="e">
        <f t="shared" si="1"/>
        <v>#REF!</v>
      </c>
    </row>
    <row r="13" spans="1:16" s="1049" customFormat="1" ht="13" customHeight="1">
      <c r="A13" s="1045">
        <v>11</v>
      </c>
      <c r="B13" s="1046" t="s">
        <v>2998</v>
      </c>
      <c r="C13" s="1052" t="s">
        <v>3004</v>
      </c>
      <c r="D13" s="1052" t="s">
        <v>1374</v>
      </c>
      <c r="E13" s="1047" t="e">
        <f>SUMIF(#REF!,本期合约金额规划表!D13,#REF!)</f>
        <v>#REF!</v>
      </c>
      <c r="F13" s="1047"/>
      <c r="G13" s="1047" t="e">
        <f>SUMIF(#REF!,本期合约金额规划表!D13,#REF!)</f>
        <v>#REF!</v>
      </c>
      <c r="H13" s="1047" t="e">
        <f>SUMIF(#REF!,本期合约金额规划表!D13,#REF!)</f>
        <v>#REF!</v>
      </c>
      <c r="I13" s="1047"/>
      <c r="J13" s="1047">
        <f>SUMIF('1-商业网点'!$E$4:$E$161,本期合约金额规划表!D13,'1-商业网点'!$O$4:$O$161)</f>
        <v>0</v>
      </c>
      <c r="K13" s="1047" t="e">
        <f>SUMIF(#REF!,本期合约金额规划表!D13,#REF!)</f>
        <v>#REF!</v>
      </c>
      <c r="L13" s="1047" t="e">
        <f t="shared" si="0"/>
        <v>#REF!</v>
      </c>
      <c r="M13" s="1048" t="s">
        <v>3005</v>
      </c>
      <c r="N13" s="1076" t="e">
        <f>L13*10000/#REF!</f>
        <v>#REF!</v>
      </c>
      <c r="O13" s="1050" t="e">
        <v>#VALUE!</v>
      </c>
      <c r="P13" s="1050" t="e">
        <f t="shared" si="1"/>
        <v>#REF!</v>
      </c>
    </row>
    <row r="14" spans="1:16" s="1049" customFormat="1" ht="13" customHeight="1">
      <c r="A14" s="1045">
        <v>12</v>
      </c>
      <c r="B14" s="1046" t="s">
        <v>2998</v>
      </c>
      <c r="C14" s="1052" t="s">
        <v>3004</v>
      </c>
      <c r="D14" s="1052" t="s">
        <v>1377</v>
      </c>
      <c r="E14" s="1047" t="e">
        <f>SUMIF(#REF!,本期合约金额规划表!D14,#REF!)</f>
        <v>#REF!</v>
      </c>
      <c r="F14" s="1047"/>
      <c r="G14" s="1047" t="e">
        <f>SUMIF(#REF!,本期合约金额规划表!D14,#REF!)</f>
        <v>#REF!</v>
      </c>
      <c r="H14" s="1047" t="e">
        <f>SUMIF(#REF!,本期合约金额规划表!D14,#REF!)</f>
        <v>#REF!</v>
      </c>
      <c r="I14" s="1047"/>
      <c r="J14" s="1047">
        <f>SUMIF('1-商业网点'!$E$4:$E$161,本期合约金额规划表!D14,'1-商业网点'!$O$4:$O$161)</f>
        <v>0</v>
      </c>
      <c r="K14" s="1047" t="e">
        <f>SUMIF(#REF!,本期合约金额规划表!D14,#REF!)</f>
        <v>#REF!</v>
      </c>
      <c r="L14" s="1047" t="e">
        <f t="shared" si="0"/>
        <v>#REF!</v>
      </c>
      <c r="M14" s="1048" t="s">
        <v>3005</v>
      </c>
      <c r="N14" s="1076" t="e">
        <f>L14*10000/#REF!</f>
        <v>#REF!</v>
      </c>
      <c r="O14" s="1050" t="e">
        <v>#VALUE!</v>
      </c>
      <c r="P14" s="1050" t="e">
        <f t="shared" si="1"/>
        <v>#REF!</v>
      </c>
    </row>
    <row r="15" spans="1:16" s="1049" customFormat="1" ht="13" customHeight="1">
      <c r="A15" s="1045">
        <v>13</v>
      </c>
      <c r="B15" s="1046" t="s">
        <v>2998</v>
      </c>
      <c r="C15" s="1052" t="s">
        <v>3004</v>
      </c>
      <c r="D15" s="1052" t="s">
        <v>1383</v>
      </c>
      <c r="E15" s="1047" t="e">
        <f>SUMIF(#REF!,本期合约金额规划表!D15,#REF!)</f>
        <v>#REF!</v>
      </c>
      <c r="F15" s="1047"/>
      <c r="G15" s="1047" t="e">
        <f>SUMIF(#REF!,本期合约金额规划表!D15,#REF!)</f>
        <v>#REF!</v>
      </c>
      <c r="H15" s="1047" t="e">
        <f>SUMIF(#REF!,本期合约金额规划表!D15,#REF!)</f>
        <v>#REF!</v>
      </c>
      <c r="I15" s="1047"/>
      <c r="J15" s="1047">
        <f>SUMIF('1-商业网点'!$E$4:$E$161,本期合约金额规划表!D15,'1-商业网点'!$O$4:$O$161)</f>
        <v>0</v>
      </c>
      <c r="K15" s="1047" t="e">
        <f>SUMIF(#REF!,本期合约金额规划表!D15,#REF!)</f>
        <v>#REF!</v>
      </c>
      <c r="L15" s="1047" t="e">
        <f t="shared" si="0"/>
        <v>#REF!</v>
      </c>
      <c r="M15" s="1048" t="s">
        <v>3005</v>
      </c>
      <c r="N15" s="1076" t="e">
        <f>L15*10000/#REF!</f>
        <v>#REF!</v>
      </c>
      <c r="O15" s="1050" t="e">
        <v>#VALUE!</v>
      </c>
      <c r="P15" s="1050" t="e">
        <f t="shared" si="1"/>
        <v>#REF!</v>
      </c>
    </row>
    <row r="16" spans="1:16" s="1049" customFormat="1" ht="13" customHeight="1">
      <c r="A16" s="1045">
        <v>14</v>
      </c>
      <c r="B16" s="1046" t="s">
        <v>2998</v>
      </c>
      <c r="C16" s="1053" t="s">
        <v>3004</v>
      </c>
      <c r="D16" s="1052" t="s">
        <v>1385</v>
      </c>
      <c r="E16" s="1047" t="e">
        <f>SUMIF(#REF!,本期合约金额规划表!D16,#REF!)</f>
        <v>#REF!</v>
      </c>
      <c r="F16" s="1047"/>
      <c r="G16" s="1047" t="e">
        <f>SUMIF(#REF!,本期合约金额规划表!D16,#REF!)</f>
        <v>#REF!</v>
      </c>
      <c r="H16" s="1047" t="e">
        <f>SUMIF(#REF!,本期合约金额规划表!D16,#REF!)</f>
        <v>#REF!</v>
      </c>
      <c r="I16" s="1047"/>
      <c r="J16" s="1047">
        <f>SUMIF('1-商业网点'!$E$4:$E$161,本期合约金额规划表!D16,'1-商业网点'!$O$4:$O$161)</f>
        <v>0</v>
      </c>
      <c r="K16" s="1047" t="e">
        <f>SUMIF(#REF!,本期合约金额规划表!D16,#REF!)</f>
        <v>#REF!</v>
      </c>
      <c r="L16" s="1047" t="e">
        <f t="shared" si="0"/>
        <v>#REF!</v>
      </c>
      <c r="M16" s="1048" t="s">
        <v>3005</v>
      </c>
      <c r="N16" s="1076" t="e">
        <f>L16*10000/#REF!</f>
        <v>#REF!</v>
      </c>
      <c r="O16" s="1050" t="e">
        <v>#VALUE!</v>
      </c>
      <c r="P16" s="1050" t="e">
        <f t="shared" si="1"/>
        <v>#REF!</v>
      </c>
    </row>
    <row r="17" spans="1:16" s="1049" customFormat="1" ht="13" customHeight="1">
      <c r="A17" s="1045">
        <v>15</v>
      </c>
      <c r="B17" s="1046" t="s">
        <v>2998</v>
      </c>
      <c r="C17" s="1053" t="s">
        <v>3004</v>
      </c>
      <c r="D17" s="1052" t="s">
        <v>1381</v>
      </c>
      <c r="E17" s="1047" t="e">
        <f>SUMIF(#REF!,本期合约金额规划表!D17,#REF!)</f>
        <v>#REF!</v>
      </c>
      <c r="F17" s="1047"/>
      <c r="G17" s="1047" t="e">
        <f>SUMIF(#REF!,本期合约金额规划表!D17,#REF!)</f>
        <v>#REF!</v>
      </c>
      <c r="H17" s="1047" t="e">
        <f>SUMIF(#REF!,本期合约金额规划表!D17,#REF!)</f>
        <v>#REF!</v>
      </c>
      <c r="I17" s="1047"/>
      <c r="J17" s="1047">
        <f>SUMIF('1-商业网点'!$E$4:$E$161,本期合约金额规划表!D17,'1-商业网点'!$O$4:$O$161)</f>
        <v>0</v>
      </c>
      <c r="K17" s="1047" t="e">
        <f>SUMIF(#REF!,本期合约金额规划表!D17,#REF!)</f>
        <v>#REF!</v>
      </c>
      <c r="L17" s="1047" t="e">
        <f t="shared" si="0"/>
        <v>#REF!</v>
      </c>
      <c r="M17" s="1048" t="s">
        <v>3005</v>
      </c>
      <c r="N17" s="1076" t="e">
        <f>L17*10000/#REF!</f>
        <v>#REF!</v>
      </c>
      <c r="O17" s="1050" t="e">
        <v>#VALUE!</v>
      </c>
      <c r="P17" s="1050" t="e">
        <f t="shared" si="1"/>
        <v>#REF!</v>
      </c>
    </row>
    <row r="18" spans="1:16" s="1049" customFormat="1" ht="13" customHeight="1">
      <c r="A18" s="1045">
        <v>16</v>
      </c>
      <c r="B18" s="1046" t="s">
        <v>2998</v>
      </c>
      <c r="C18" s="1053" t="s">
        <v>3004</v>
      </c>
      <c r="D18" s="1052" t="s">
        <v>1379</v>
      </c>
      <c r="E18" s="1047" t="e">
        <f>SUMIF(#REF!,本期合约金额规划表!D18,#REF!)</f>
        <v>#REF!</v>
      </c>
      <c r="F18" s="1047"/>
      <c r="G18" s="1047" t="e">
        <f>SUMIF(#REF!,本期合约金额规划表!D18,#REF!)</f>
        <v>#REF!</v>
      </c>
      <c r="H18" s="1047" t="e">
        <f>SUMIF(#REF!,本期合约金额规划表!D18,#REF!)</f>
        <v>#REF!</v>
      </c>
      <c r="I18" s="1047"/>
      <c r="J18" s="1047">
        <f>SUMIF('1-商业网点'!$E$4:$E$161,本期合约金额规划表!D18,'1-商业网点'!$O$4:$O$161)</f>
        <v>0</v>
      </c>
      <c r="K18" s="1047" t="e">
        <f>SUMIF(#REF!,本期合约金额规划表!D18,#REF!)</f>
        <v>#REF!</v>
      </c>
      <c r="L18" s="1047" t="e">
        <f t="shared" si="0"/>
        <v>#REF!</v>
      </c>
      <c r="M18" s="1048" t="s">
        <v>3005</v>
      </c>
      <c r="N18" s="1076" t="e">
        <f>L18*10000/#REF!</f>
        <v>#REF!</v>
      </c>
      <c r="O18" s="1050" t="e">
        <v>#VALUE!</v>
      </c>
      <c r="P18" s="1050" t="e">
        <f t="shared" si="1"/>
        <v>#REF!</v>
      </c>
    </row>
    <row r="19" spans="1:16" s="1049" customFormat="1" ht="13" customHeight="1">
      <c r="A19" s="1045">
        <v>17</v>
      </c>
      <c r="B19" s="1046" t="s">
        <v>2998</v>
      </c>
      <c r="C19" s="1046" t="s">
        <v>3004</v>
      </c>
      <c r="D19" s="1052" t="s">
        <v>1387</v>
      </c>
      <c r="E19" s="1047" t="e">
        <f>SUMIF(#REF!,本期合约金额规划表!D19,#REF!)</f>
        <v>#REF!</v>
      </c>
      <c r="F19" s="1047"/>
      <c r="G19" s="1047" t="e">
        <f>SUMIF(#REF!,本期合约金额规划表!D19,#REF!)</f>
        <v>#REF!</v>
      </c>
      <c r="H19" s="1047" t="e">
        <f>SUMIF(#REF!,本期合约金额规划表!D19,#REF!)</f>
        <v>#REF!</v>
      </c>
      <c r="I19" s="1047"/>
      <c r="J19" s="1047">
        <f>SUMIF('1-商业网点'!$E$4:$E$161,本期合约金额规划表!D19,'1-商业网点'!$O$4:$O$161)</f>
        <v>0</v>
      </c>
      <c r="K19" s="1047" t="e">
        <f>SUMIF(#REF!,本期合约金额规划表!D19,#REF!)</f>
        <v>#REF!</v>
      </c>
      <c r="L19" s="1047" t="e">
        <f t="shared" si="0"/>
        <v>#REF!</v>
      </c>
      <c r="M19" s="1048" t="s">
        <v>3005</v>
      </c>
      <c r="N19" s="1076" t="e">
        <f>L19*10000/#REF!</f>
        <v>#REF!</v>
      </c>
      <c r="O19" s="1050" t="e">
        <v>#VALUE!</v>
      </c>
      <c r="P19" s="1050" t="e">
        <f t="shared" si="1"/>
        <v>#REF!</v>
      </c>
    </row>
    <row r="20" spans="1:16" s="1049" customFormat="1" ht="14.25" customHeight="1">
      <c r="A20" s="1045">
        <v>18</v>
      </c>
      <c r="B20" s="1046" t="s">
        <v>2998</v>
      </c>
      <c r="C20" s="1046" t="s">
        <v>2995</v>
      </c>
      <c r="D20" s="1054" t="s">
        <v>1133</v>
      </c>
      <c r="E20" s="1047" t="e">
        <f>SUMIF(#REF!,本期合约金额规划表!D20,#REF!)</f>
        <v>#REF!</v>
      </c>
      <c r="F20" s="1047"/>
      <c r="G20" s="1047" t="e">
        <f>SUMIF(#REF!,本期合约金额规划表!D20,#REF!)</f>
        <v>#REF!</v>
      </c>
      <c r="H20" s="1047" t="e">
        <f>SUMIF(#REF!,本期合约金额规划表!D20,#REF!)</f>
        <v>#REF!</v>
      </c>
      <c r="I20" s="1047"/>
      <c r="J20" s="1047">
        <f>SUMIF('1-商业网点'!$E$4:$E$161,本期合约金额规划表!D20,'1-商业网点'!$O$4:$O$161)</f>
        <v>0</v>
      </c>
      <c r="K20" s="1047" t="e">
        <f>SUMIF(#REF!,本期合约金额规划表!D20,#REF!)</f>
        <v>#REF!</v>
      </c>
      <c r="L20" s="1047" t="e">
        <f t="shared" si="0"/>
        <v>#REF!</v>
      </c>
      <c r="M20" s="1048" t="s">
        <v>2996</v>
      </c>
      <c r="N20" s="1076" t="e">
        <f>L20*10000/#REF!</f>
        <v>#REF!</v>
      </c>
      <c r="O20" s="1050" t="e">
        <v>#VALUE!</v>
      </c>
      <c r="P20" s="1050" t="e">
        <f t="shared" si="1"/>
        <v>#REF!</v>
      </c>
    </row>
    <row r="21" spans="1:16" s="1049" customFormat="1" ht="14.25" hidden="1" customHeight="1">
      <c r="A21" s="1045">
        <v>19</v>
      </c>
      <c r="B21" s="1046" t="s">
        <v>2998</v>
      </c>
      <c r="C21" s="1046" t="s">
        <v>2995</v>
      </c>
      <c r="D21" s="1054" t="s">
        <v>1211</v>
      </c>
      <c r="E21" s="1047" t="e">
        <f>SUMIF(#REF!,本期合约金额规划表!D21,#REF!)</f>
        <v>#REF!</v>
      </c>
      <c r="F21" s="1047"/>
      <c r="G21" s="1047" t="e">
        <f>SUMIF(#REF!,本期合约金额规划表!D21,#REF!)</f>
        <v>#REF!</v>
      </c>
      <c r="H21" s="1047" t="e">
        <f>SUMIF(#REF!,本期合约金额规划表!D21,#REF!)</f>
        <v>#REF!</v>
      </c>
      <c r="I21" s="1047"/>
      <c r="J21" s="1047">
        <f>SUMIF('1-商业网点'!$E$4:$E$161,本期合约金额规划表!D21,'1-商业网点'!$O$4:$O$161)</f>
        <v>0</v>
      </c>
      <c r="K21" s="1047" t="e">
        <f>SUMIF(#REF!,本期合约金额规划表!D21,#REF!)</f>
        <v>#REF!</v>
      </c>
      <c r="L21" s="1047" t="e">
        <f t="shared" si="0"/>
        <v>#REF!</v>
      </c>
      <c r="M21" s="1048" t="s">
        <v>2996</v>
      </c>
      <c r="N21" s="1076" t="e">
        <f>L21*10000/#REF!</f>
        <v>#REF!</v>
      </c>
      <c r="O21" s="1050" t="e">
        <v>#VALUE!</v>
      </c>
      <c r="P21" s="1050" t="e">
        <f t="shared" si="1"/>
        <v>#REF!</v>
      </c>
    </row>
    <row r="22" spans="1:16" s="1049" customFormat="1" ht="14.25" hidden="1" customHeight="1">
      <c r="A22" s="1045">
        <v>20</v>
      </c>
      <c r="B22" s="1046" t="s">
        <v>2998</v>
      </c>
      <c r="C22" s="1046" t="s">
        <v>2995</v>
      </c>
      <c r="D22" s="1052" t="s">
        <v>1143</v>
      </c>
      <c r="E22" s="1047" t="e">
        <f>SUMIF(#REF!,本期合约金额规划表!D22,#REF!)</f>
        <v>#REF!</v>
      </c>
      <c r="F22" s="1047"/>
      <c r="G22" s="1047" t="e">
        <f>SUMIF(#REF!,本期合约金额规划表!D22,#REF!)</f>
        <v>#REF!</v>
      </c>
      <c r="H22" s="1047" t="e">
        <f>SUMIF(#REF!,本期合约金额规划表!D22,#REF!)</f>
        <v>#REF!</v>
      </c>
      <c r="I22" s="1047"/>
      <c r="J22" s="1047">
        <f>SUMIF('1-商业网点'!$E$4:$E$161,本期合约金额规划表!D22,'1-商业网点'!$O$4:$O$161)</f>
        <v>0</v>
      </c>
      <c r="K22" s="1047" t="e">
        <f>SUMIF(#REF!,本期合约金额规划表!D22,#REF!)</f>
        <v>#REF!</v>
      </c>
      <c r="L22" s="1047" t="e">
        <f t="shared" si="0"/>
        <v>#REF!</v>
      </c>
      <c r="M22" s="1048" t="s">
        <v>2999</v>
      </c>
      <c r="N22" s="1076" t="e">
        <f>L22*10000/#REF!</f>
        <v>#REF!</v>
      </c>
      <c r="O22" s="1050" t="e">
        <v>#VALUE!</v>
      </c>
      <c r="P22" s="1050" t="e">
        <f t="shared" si="1"/>
        <v>#REF!</v>
      </c>
    </row>
    <row r="23" spans="1:16" s="1049" customFormat="1" ht="14.25" customHeight="1">
      <c r="A23" s="1045">
        <v>21</v>
      </c>
      <c r="B23" s="1046" t="s">
        <v>2998</v>
      </c>
      <c r="C23" s="1046" t="s">
        <v>2995</v>
      </c>
      <c r="D23" s="1054" t="s">
        <v>1128</v>
      </c>
      <c r="E23" s="1047" t="e">
        <f>SUMIF(#REF!,本期合约金额规划表!D23,#REF!)</f>
        <v>#REF!</v>
      </c>
      <c r="F23" s="1047"/>
      <c r="G23" s="1047" t="e">
        <f>SUMIF(#REF!,本期合约金额规划表!D23,#REF!)</f>
        <v>#REF!</v>
      </c>
      <c r="H23" s="1047" t="e">
        <f>SUMIF(#REF!,本期合约金额规划表!D23,#REF!)</f>
        <v>#REF!</v>
      </c>
      <c r="I23" s="1047"/>
      <c r="J23" s="1047">
        <f>SUMIF('1-商业网点'!$E$4:$E$161,本期合约金额规划表!D23,'1-商业网点'!$O$4:$O$161)</f>
        <v>0</v>
      </c>
      <c r="K23" s="1047" t="e">
        <f>SUMIF(#REF!,本期合约金额规划表!D23,#REF!)</f>
        <v>#REF!</v>
      </c>
      <c r="L23" s="1047" t="e">
        <f t="shared" si="0"/>
        <v>#REF!</v>
      </c>
      <c r="M23" s="1048" t="s">
        <v>2996</v>
      </c>
      <c r="N23" s="1076" t="e">
        <f>L23*10000/#REF!</f>
        <v>#REF!</v>
      </c>
      <c r="O23" s="1050" t="e">
        <v>#VALUE!</v>
      </c>
      <c r="P23" s="1050" t="e">
        <f t="shared" si="1"/>
        <v>#REF!</v>
      </c>
    </row>
    <row r="24" spans="1:16" s="1049" customFormat="1" ht="14.25" customHeight="1">
      <c r="A24" s="1045">
        <v>22</v>
      </c>
      <c r="B24" s="1046" t="s">
        <v>2998</v>
      </c>
      <c r="C24" s="1046" t="s">
        <v>2995</v>
      </c>
      <c r="D24" s="1054" t="s">
        <v>1100</v>
      </c>
      <c r="E24" s="1047" t="e">
        <f>SUMIF(#REF!,本期合约金额规划表!D24,#REF!)</f>
        <v>#REF!</v>
      </c>
      <c r="F24" s="1047"/>
      <c r="G24" s="1047" t="e">
        <f>SUMIF(#REF!,本期合约金额规划表!D24,#REF!)</f>
        <v>#REF!</v>
      </c>
      <c r="H24" s="1047" t="e">
        <f>SUMIF(#REF!,本期合约金额规划表!D24,#REF!)</f>
        <v>#REF!</v>
      </c>
      <c r="I24" s="1047"/>
      <c r="J24" s="1047">
        <f>SUMIF('1-商业网点'!$E$4:$E$161,本期合约金额规划表!D24,'1-商业网点'!$O$4:$O$161)</f>
        <v>0</v>
      </c>
      <c r="K24" s="1047" t="e">
        <f>SUMIF(#REF!,本期合约金额规划表!D24,#REF!)</f>
        <v>#REF!</v>
      </c>
      <c r="L24" s="1047" t="e">
        <f t="shared" si="0"/>
        <v>#REF!</v>
      </c>
      <c r="M24" s="1048" t="s">
        <v>2999</v>
      </c>
      <c r="N24" s="1076" t="e">
        <f>L24*10000/#REF!</f>
        <v>#REF!</v>
      </c>
      <c r="O24" s="1050" t="e">
        <v>#VALUE!</v>
      </c>
      <c r="P24" s="1050" t="e">
        <f t="shared" si="1"/>
        <v>#REF!</v>
      </c>
    </row>
    <row r="25" spans="1:16" s="1049" customFormat="1" ht="14.25" customHeight="1">
      <c r="A25" s="1045">
        <v>23</v>
      </c>
      <c r="B25" s="1046" t="s">
        <v>2998</v>
      </c>
      <c r="C25" s="1046" t="s">
        <v>2995</v>
      </c>
      <c r="D25" s="1054" t="s">
        <v>467</v>
      </c>
      <c r="E25" s="1047" t="e">
        <f>SUMIF(#REF!,本期合约金额规划表!D25,#REF!)</f>
        <v>#REF!</v>
      </c>
      <c r="F25" s="1047"/>
      <c r="G25" s="1047" t="e">
        <f>SUMIF(#REF!,本期合约金额规划表!D25,#REF!)</f>
        <v>#REF!</v>
      </c>
      <c r="H25" s="1047" t="e">
        <f>SUMIF(#REF!,本期合约金额规划表!D25,#REF!)</f>
        <v>#REF!</v>
      </c>
      <c r="I25" s="1047"/>
      <c r="J25" s="1047">
        <f>SUMIF('1-商业网点'!$E$4:$E$161,本期合约金额规划表!D25,'1-商业网点'!$O$4:$O$161)</f>
        <v>0</v>
      </c>
      <c r="K25" s="1047" t="e">
        <f>SUMIF(#REF!,本期合约金额规划表!D25,#REF!)</f>
        <v>#REF!</v>
      </c>
      <c r="L25" s="1047" t="e">
        <f t="shared" si="0"/>
        <v>#REF!</v>
      </c>
      <c r="M25" s="1048" t="s">
        <v>2996</v>
      </c>
      <c r="N25" s="1076" t="e">
        <f>L25*10000/#REF!</f>
        <v>#REF!</v>
      </c>
      <c r="O25" s="1050" t="e">
        <v>#VALUE!</v>
      </c>
      <c r="P25" s="1050" t="e">
        <f t="shared" si="1"/>
        <v>#REF!</v>
      </c>
    </row>
    <row r="26" spans="1:16" s="1049" customFormat="1" ht="14.25" customHeight="1">
      <c r="A26" s="1045">
        <v>24</v>
      </c>
      <c r="B26" s="1046" t="s">
        <v>2998</v>
      </c>
      <c r="C26" s="1046" t="s">
        <v>2995</v>
      </c>
      <c r="D26" s="1055" t="s">
        <v>1011</v>
      </c>
      <c r="E26" s="1047" t="e">
        <f>SUMIF(#REF!,本期合约金额规划表!D26,#REF!)</f>
        <v>#REF!</v>
      </c>
      <c r="F26" s="1047"/>
      <c r="G26" s="1047" t="e">
        <f>SUMIF(#REF!,本期合约金额规划表!D26,#REF!)</f>
        <v>#REF!</v>
      </c>
      <c r="H26" s="1047" t="e">
        <f>SUMIF(#REF!,本期合约金额规划表!D26,#REF!)</f>
        <v>#REF!</v>
      </c>
      <c r="I26" s="1047"/>
      <c r="J26" s="1047">
        <f>SUMIF('1-商业网点'!$E$4:$E$161,本期合约金额规划表!D26,'1-商业网点'!$O$4:$O$161)</f>
        <v>0</v>
      </c>
      <c r="K26" s="1047" t="e">
        <f>SUMIF(#REF!,本期合约金额规划表!D26,#REF!)</f>
        <v>#REF!</v>
      </c>
      <c r="L26" s="1047" t="e">
        <f t="shared" si="0"/>
        <v>#REF!</v>
      </c>
      <c r="M26" s="1048" t="s">
        <v>3006</v>
      </c>
      <c r="N26" s="1076" t="e">
        <f>L26*10000/#REF!</f>
        <v>#REF!</v>
      </c>
      <c r="O26" s="1050" t="e">
        <v>#VALUE!</v>
      </c>
      <c r="P26" s="1050" t="e">
        <f t="shared" si="1"/>
        <v>#REF!</v>
      </c>
    </row>
    <row r="27" spans="1:16" s="1049" customFormat="1" ht="14.25" hidden="1" customHeight="1">
      <c r="A27" s="1045">
        <v>25</v>
      </c>
      <c r="B27" s="1046" t="s">
        <v>2998</v>
      </c>
      <c r="C27" s="1046" t="s">
        <v>2995</v>
      </c>
      <c r="D27" s="1052" t="s">
        <v>142</v>
      </c>
      <c r="E27" s="1047" t="e">
        <f>SUMIF(#REF!,本期合约金额规划表!D27,#REF!)</f>
        <v>#REF!</v>
      </c>
      <c r="F27" s="1047"/>
      <c r="G27" s="1047" t="e">
        <f>SUMIF(#REF!,本期合约金额规划表!D27,#REF!)</f>
        <v>#REF!</v>
      </c>
      <c r="H27" s="1047" t="e">
        <f>SUMIF(#REF!,本期合约金额规划表!D27,#REF!)</f>
        <v>#REF!</v>
      </c>
      <c r="I27" s="1047"/>
      <c r="J27" s="1047">
        <f>SUMIF('1-商业网点'!$E$4:$E$161,本期合约金额规划表!D27,'1-商业网点'!$O$4:$O$161)</f>
        <v>0</v>
      </c>
      <c r="K27" s="1047" t="e">
        <f>SUMIF(#REF!,本期合约金额规划表!D27,#REF!)</f>
        <v>#REF!</v>
      </c>
      <c r="L27" s="1047" t="e">
        <f t="shared" si="0"/>
        <v>#REF!</v>
      </c>
      <c r="M27" s="1048" t="s">
        <v>2997</v>
      </c>
      <c r="N27" s="1076" t="e">
        <f>L27*10000/#REF!</f>
        <v>#REF!</v>
      </c>
      <c r="O27" s="1050" t="e">
        <v>#VALUE!</v>
      </c>
      <c r="P27" s="1050" t="e">
        <f t="shared" si="1"/>
        <v>#REF!</v>
      </c>
    </row>
    <row r="28" spans="1:16" s="1049" customFormat="1" ht="14.25" customHeight="1">
      <c r="A28" s="1045">
        <v>26</v>
      </c>
      <c r="B28" s="1046" t="s">
        <v>2998</v>
      </c>
      <c r="C28" s="1046" t="s">
        <v>2995</v>
      </c>
      <c r="D28" s="1052" t="s">
        <v>124</v>
      </c>
      <c r="E28" s="1047" t="e">
        <f>SUMIF(#REF!,本期合约金额规划表!D28,#REF!)</f>
        <v>#REF!</v>
      </c>
      <c r="F28" s="1047"/>
      <c r="G28" s="1047" t="e">
        <f>SUMIF(#REF!,本期合约金额规划表!D28,#REF!)</f>
        <v>#REF!</v>
      </c>
      <c r="H28" s="1047" t="e">
        <f>SUMIF(#REF!,本期合约金额规划表!D28,#REF!)</f>
        <v>#REF!</v>
      </c>
      <c r="I28" s="1047"/>
      <c r="J28" s="1047">
        <f>SUMIF('1-商业网点'!$E$4:$E$161,本期合约金额规划表!D28,'1-商业网点'!$O$4:$O$161)</f>
        <v>0</v>
      </c>
      <c r="K28" s="1047" t="e">
        <f>SUMIF(#REF!,本期合约金额规划表!D28,#REF!)</f>
        <v>#REF!</v>
      </c>
      <c r="L28" s="1047" t="e">
        <f t="shared" si="0"/>
        <v>#REF!</v>
      </c>
      <c r="M28" s="1048" t="s">
        <v>2997</v>
      </c>
      <c r="N28" s="1076" t="e">
        <f>L28*10000/#REF!</f>
        <v>#REF!</v>
      </c>
      <c r="O28" s="1050" t="e">
        <v>#VALUE!</v>
      </c>
      <c r="P28" s="1050" t="e">
        <f t="shared" si="1"/>
        <v>#REF!</v>
      </c>
    </row>
    <row r="29" spans="1:16" s="1049" customFormat="1" ht="14.25" hidden="1" customHeight="1">
      <c r="A29" s="1045">
        <v>27</v>
      </c>
      <c r="B29" s="1046" t="s">
        <v>2998</v>
      </c>
      <c r="C29" s="1046" t="s">
        <v>2995</v>
      </c>
      <c r="D29" s="1052" t="s">
        <v>3007</v>
      </c>
      <c r="E29" s="1047" t="e">
        <f>SUMIF(#REF!,本期合约金额规划表!D29,#REF!)</f>
        <v>#REF!</v>
      </c>
      <c r="F29" s="1047"/>
      <c r="G29" s="1047" t="e">
        <f>SUMIF(#REF!,本期合约金额规划表!D29,#REF!)</f>
        <v>#REF!</v>
      </c>
      <c r="H29" s="1047" t="e">
        <f>SUMIF(#REF!,本期合约金额规划表!D29,#REF!)</f>
        <v>#REF!</v>
      </c>
      <c r="I29" s="1047"/>
      <c r="J29" s="1047">
        <f>SUMIF('1-商业网点'!$E$4:$E$161,本期合约金额规划表!D29,'1-商业网点'!$O$4:$O$161)</f>
        <v>0</v>
      </c>
      <c r="K29" s="1047" t="e">
        <f>SUMIF(#REF!,本期合约金额规划表!D29,#REF!)</f>
        <v>#REF!</v>
      </c>
      <c r="L29" s="1047" t="e">
        <f t="shared" si="0"/>
        <v>#REF!</v>
      </c>
      <c r="M29" s="1048" t="s">
        <v>2997</v>
      </c>
      <c r="N29" s="1076" t="e">
        <f>L29*10000/#REF!</f>
        <v>#REF!</v>
      </c>
      <c r="O29" s="1050" t="e">
        <v>#VALUE!</v>
      </c>
      <c r="P29" s="1050" t="e">
        <f t="shared" si="1"/>
        <v>#REF!</v>
      </c>
    </row>
    <row r="30" spans="1:16" s="1049" customFormat="1" ht="14.25" customHeight="1">
      <c r="A30" s="1045">
        <v>28</v>
      </c>
      <c r="B30" s="1046" t="s">
        <v>3008</v>
      </c>
      <c r="C30" s="1046" t="s">
        <v>3009</v>
      </c>
      <c r="D30" s="1081" t="s">
        <v>1488</v>
      </c>
      <c r="E30" s="1047" t="e">
        <f>SUMIF(#REF!,本期合约金额规划表!D30,#REF!)</f>
        <v>#REF!</v>
      </c>
      <c r="F30" s="1047"/>
      <c r="G30" s="1047" t="e">
        <f>SUMIF(#REF!,本期合约金额规划表!D30,#REF!)</f>
        <v>#REF!</v>
      </c>
      <c r="H30" s="1047" t="e">
        <f>SUMIF(#REF!,本期合约金额规划表!D30,#REF!)</f>
        <v>#REF!</v>
      </c>
      <c r="I30" s="1047"/>
      <c r="J30" s="1047" t="e">
        <f>SUMIF('1-商业网点'!$E$4:$E$161,本期合约金额规划表!D30,'1-商业网点'!$O$4:$O$161)</f>
        <v>#REF!</v>
      </c>
      <c r="K30" s="1047" t="e">
        <f>SUMIF(#REF!,本期合约金额规划表!D30,#REF!)</f>
        <v>#REF!</v>
      </c>
      <c r="L30" s="1047" t="e">
        <f t="shared" si="0"/>
        <v>#REF!</v>
      </c>
      <c r="M30" s="1048" t="s">
        <v>2999</v>
      </c>
      <c r="N30" s="1076" t="e">
        <f>L30*10000/#REF!</f>
        <v>#REF!</v>
      </c>
      <c r="O30" s="1050" t="e">
        <v>#VALUE!</v>
      </c>
      <c r="P30" s="1050" t="e">
        <f t="shared" si="1"/>
        <v>#REF!</v>
      </c>
    </row>
    <row r="31" spans="1:16" s="1049" customFormat="1" ht="14.25" customHeight="1">
      <c r="A31" s="1045">
        <v>29</v>
      </c>
      <c r="B31" s="1046" t="s">
        <v>3008</v>
      </c>
      <c r="C31" s="1046" t="s">
        <v>3009</v>
      </c>
      <c r="D31" s="1052" t="s">
        <v>1295</v>
      </c>
      <c r="E31" s="1047" t="e">
        <f>SUMIF(#REF!,本期合约金额规划表!D31,#REF!)</f>
        <v>#REF!</v>
      </c>
      <c r="F31" s="1047"/>
      <c r="G31" s="1047" t="e">
        <f>SUMIF(#REF!,本期合约金额规划表!D31,#REF!)</f>
        <v>#REF!</v>
      </c>
      <c r="H31" s="1047" t="e">
        <f>SUMIF(#REF!,本期合约金额规划表!D31,#REF!)</f>
        <v>#REF!</v>
      </c>
      <c r="I31" s="1047"/>
      <c r="J31" s="1047" t="e">
        <f>SUMIF('1-商业网点'!$E$4:$E$161,本期合约金额规划表!D31,'1-商业网点'!$O$4:$O$161)</f>
        <v>#REF!</v>
      </c>
      <c r="K31" s="1047" t="e">
        <f>SUMIF(#REF!,本期合约金额规划表!D31,#REF!)</f>
        <v>#REF!</v>
      </c>
      <c r="L31" s="1047" t="e">
        <f t="shared" si="0"/>
        <v>#REF!</v>
      </c>
      <c r="M31" s="1048" t="s">
        <v>2999</v>
      </c>
      <c r="N31" s="1076" t="e">
        <f>L31*10000/#REF!</f>
        <v>#REF!</v>
      </c>
      <c r="O31" s="1050" t="e">
        <v>#VALUE!</v>
      </c>
      <c r="P31" s="1050" t="e">
        <f t="shared" si="1"/>
        <v>#REF!</v>
      </c>
    </row>
    <row r="32" spans="1:16" s="1049" customFormat="1" ht="14.25" customHeight="1">
      <c r="A32" s="1045">
        <v>30</v>
      </c>
      <c r="B32" s="1046" t="s">
        <v>3008</v>
      </c>
      <c r="C32" s="1046" t="s">
        <v>3009</v>
      </c>
      <c r="D32" s="1052" t="s">
        <v>1671</v>
      </c>
      <c r="E32" s="1047" t="e">
        <f>SUMIF(#REF!,本期合约金额规划表!D32,#REF!)</f>
        <v>#REF!</v>
      </c>
      <c r="F32" s="1047"/>
      <c r="G32" s="1047" t="e">
        <f>SUMIF(#REF!,本期合约金额规划表!D32,#REF!)</f>
        <v>#REF!</v>
      </c>
      <c r="H32" s="1047" t="e">
        <f>SUMIF(#REF!,本期合约金额规划表!D32,#REF!)</f>
        <v>#REF!</v>
      </c>
      <c r="I32" s="1047"/>
      <c r="J32" s="1047" t="e">
        <f>SUMIF('1-商业网点'!$E$4:$E$161,本期合约金额规划表!D32,'1-商业网点'!$O$4:$O$161)</f>
        <v>#REF!</v>
      </c>
      <c r="K32" s="1047" t="e">
        <f>SUMIF(#REF!,本期合约金额规划表!D32,#REF!)</f>
        <v>#REF!</v>
      </c>
      <c r="L32" s="1047" t="e">
        <f t="shared" si="0"/>
        <v>#REF!</v>
      </c>
      <c r="M32" s="1048" t="s">
        <v>2999</v>
      </c>
      <c r="N32" s="1076" t="e">
        <f>L32*10000/#REF!</f>
        <v>#REF!</v>
      </c>
      <c r="O32" s="1050" t="e">
        <v>#VALUE!</v>
      </c>
      <c r="P32" s="1050" t="e">
        <f t="shared" si="1"/>
        <v>#REF!</v>
      </c>
    </row>
    <row r="33" spans="1:16" s="1049" customFormat="1" ht="14.25" customHeight="1">
      <c r="A33" s="1045">
        <v>31</v>
      </c>
      <c r="B33" s="1046" t="s">
        <v>3008</v>
      </c>
      <c r="C33" s="1046" t="s">
        <v>3009</v>
      </c>
      <c r="D33" s="1052" t="s">
        <v>454</v>
      </c>
      <c r="E33" s="1047" t="e">
        <f>SUMIF(#REF!,本期合约金额规划表!D33,#REF!)</f>
        <v>#REF!</v>
      </c>
      <c r="F33" s="1047"/>
      <c r="G33" s="1047" t="e">
        <f>SUMIF(#REF!,本期合约金额规划表!D33,#REF!)</f>
        <v>#REF!</v>
      </c>
      <c r="H33" s="1047" t="e">
        <f>SUMIF(#REF!,本期合约金额规划表!D33,#REF!)</f>
        <v>#REF!</v>
      </c>
      <c r="I33" s="1047"/>
      <c r="J33" s="1047" t="e">
        <f>SUMIF('1-商业网点'!$E$4:$E$161,本期合约金额规划表!D33,'1-商业网点'!$O$4:$O$161)</f>
        <v>#REF!</v>
      </c>
      <c r="K33" s="1047" t="e">
        <f>SUMIF(#REF!,本期合约金额规划表!D33,#REF!)</f>
        <v>#REF!</v>
      </c>
      <c r="L33" s="1047" t="e">
        <f t="shared" si="0"/>
        <v>#REF!</v>
      </c>
      <c r="M33" s="1048" t="s">
        <v>2999</v>
      </c>
      <c r="N33" s="1076" t="e">
        <f>L33*10000/#REF!</f>
        <v>#REF!</v>
      </c>
      <c r="O33" s="1050" t="e">
        <v>#VALUE!</v>
      </c>
      <c r="P33" s="1050" t="e">
        <f t="shared" si="1"/>
        <v>#REF!</v>
      </c>
    </row>
    <row r="34" spans="1:16" s="1049" customFormat="1" ht="14.25" hidden="1" customHeight="1">
      <c r="A34" s="1045">
        <v>32</v>
      </c>
      <c r="B34" s="1046" t="s">
        <v>3008</v>
      </c>
      <c r="C34" s="1053" t="s">
        <v>3009</v>
      </c>
      <c r="D34" s="1052" t="s">
        <v>1604</v>
      </c>
      <c r="E34" s="1047" t="e">
        <f>SUMIF(#REF!,本期合约金额规划表!D34,#REF!)</f>
        <v>#REF!</v>
      </c>
      <c r="F34" s="1047"/>
      <c r="G34" s="1047" t="e">
        <f>SUMIF(#REF!,本期合约金额规划表!D34,#REF!)</f>
        <v>#REF!</v>
      </c>
      <c r="H34" s="1047" t="e">
        <f>SUMIF(#REF!,本期合约金额规划表!D34,#REF!)</f>
        <v>#REF!</v>
      </c>
      <c r="I34" s="1047"/>
      <c r="J34" s="1047" t="e">
        <f>SUMIF('1-商业网点'!$E$4:$E$161,本期合约金额规划表!D34,'1-商业网点'!$O$4:$O$161)</f>
        <v>#REF!</v>
      </c>
      <c r="K34" s="1047" t="e">
        <f>SUMIF(#REF!,本期合约金额规划表!D34,#REF!)</f>
        <v>#REF!</v>
      </c>
      <c r="L34" s="1047" t="e">
        <f t="shared" si="0"/>
        <v>#REF!</v>
      </c>
      <c r="M34" s="1048" t="s">
        <v>2999</v>
      </c>
      <c r="N34" s="1076" t="e">
        <f>L34*10000/#REF!</f>
        <v>#REF!</v>
      </c>
      <c r="O34" s="1050" t="e">
        <v>#VALUE!</v>
      </c>
      <c r="P34" s="1050" t="e">
        <f t="shared" si="1"/>
        <v>#REF!</v>
      </c>
    </row>
    <row r="35" spans="1:16" s="1049" customFormat="1" ht="14.25" hidden="1" customHeight="1">
      <c r="A35" s="1045">
        <v>33</v>
      </c>
      <c r="B35" s="1046" t="s">
        <v>3008</v>
      </c>
      <c r="C35" s="1046" t="s">
        <v>3009</v>
      </c>
      <c r="D35" s="1052" t="s">
        <v>1603</v>
      </c>
      <c r="E35" s="1047" t="e">
        <f>SUMIF(#REF!,本期合约金额规划表!D35,#REF!)</f>
        <v>#REF!</v>
      </c>
      <c r="F35" s="1047"/>
      <c r="G35" s="1047" t="e">
        <f>SUMIF(#REF!,本期合约金额规划表!D35,#REF!)</f>
        <v>#REF!</v>
      </c>
      <c r="H35" s="1047" t="e">
        <f>SUMIF(#REF!,本期合约金额规划表!D35,#REF!)</f>
        <v>#REF!</v>
      </c>
      <c r="I35" s="1047"/>
      <c r="J35" s="1047" t="e">
        <f>SUMIF('1-商业网点'!$E$4:$E$161,本期合约金额规划表!D35,'1-商业网点'!$O$4:$O$161)</f>
        <v>#REF!</v>
      </c>
      <c r="K35" s="1047" t="e">
        <f>SUMIF(#REF!,本期合约金额规划表!D35,#REF!)</f>
        <v>#REF!</v>
      </c>
      <c r="L35" s="1047" t="e">
        <f t="shared" si="0"/>
        <v>#REF!</v>
      </c>
      <c r="M35" s="1048" t="s">
        <v>2999</v>
      </c>
      <c r="N35" s="1076" t="e">
        <f>L35*10000/#REF!</f>
        <v>#REF!</v>
      </c>
      <c r="O35" s="1050" t="e">
        <v>#VALUE!</v>
      </c>
      <c r="P35" s="1050" t="e">
        <f t="shared" si="1"/>
        <v>#REF!</v>
      </c>
    </row>
    <row r="36" spans="1:16" s="1049" customFormat="1" ht="14.25" hidden="1" customHeight="1">
      <c r="A36" s="1045">
        <v>34</v>
      </c>
      <c r="B36" s="1046" t="s">
        <v>3008</v>
      </c>
      <c r="C36" s="1046" t="s">
        <v>3009</v>
      </c>
      <c r="D36" s="1052" t="s">
        <v>1496</v>
      </c>
      <c r="E36" s="1047" t="e">
        <f>SUMIF(#REF!,本期合约金额规划表!D36,#REF!)</f>
        <v>#REF!</v>
      </c>
      <c r="F36" s="1047"/>
      <c r="G36" s="1047" t="e">
        <f>SUMIF(#REF!,本期合约金额规划表!D36,#REF!)</f>
        <v>#REF!</v>
      </c>
      <c r="H36" s="1047" t="e">
        <f>SUMIF(#REF!,本期合约金额规划表!D36,#REF!)</f>
        <v>#REF!</v>
      </c>
      <c r="I36" s="1047"/>
      <c r="J36" s="1047" t="e">
        <f>SUMIF('1-商业网点'!$E$4:$E$161,本期合约金额规划表!D36,'1-商业网点'!$O$4:$O$161)</f>
        <v>#REF!</v>
      </c>
      <c r="K36" s="1047" t="e">
        <f>SUMIF(#REF!,本期合约金额规划表!D36,#REF!)</f>
        <v>#REF!</v>
      </c>
      <c r="L36" s="1047" t="e">
        <f t="shared" si="0"/>
        <v>#REF!</v>
      </c>
      <c r="M36" s="1048" t="s">
        <v>2999</v>
      </c>
      <c r="N36" s="1076" t="e">
        <f>L36*10000/#REF!</f>
        <v>#REF!</v>
      </c>
      <c r="O36" s="1050" t="e">
        <v>#VALUE!</v>
      </c>
      <c r="P36" s="1050" t="e">
        <f t="shared" si="1"/>
        <v>#REF!</v>
      </c>
    </row>
    <row r="37" spans="1:16" s="1049" customFormat="1" ht="14.25" hidden="1" customHeight="1">
      <c r="A37" s="1045">
        <v>35</v>
      </c>
      <c r="B37" s="1046" t="s">
        <v>3010</v>
      </c>
      <c r="C37" s="1046" t="s">
        <v>3011</v>
      </c>
      <c r="D37" s="1056" t="s">
        <v>3012</v>
      </c>
      <c r="E37" s="1047" t="e">
        <f>SUMIF(#REF!,本期合约金额规划表!D37,#REF!)</f>
        <v>#REF!</v>
      </c>
      <c r="F37" s="1047"/>
      <c r="G37" s="1047" t="e">
        <f>SUMIF(#REF!,本期合约金额规划表!D37,#REF!)</f>
        <v>#REF!</v>
      </c>
      <c r="H37" s="1047" t="e">
        <f>SUMIF(#REF!,本期合约金额规划表!D37,#REF!)</f>
        <v>#REF!</v>
      </c>
      <c r="I37" s="1047"/>
      <c r="J37" s="1047">
        <f>SUMIF('1-商业网点'!$E$4:$E$161,本期合约金额规划表!D37,'1-商业网点'!$O$4:$O$161)</f>
        <v>0</v>
      </c>
      <c r="K37" s="1047" t="e">
        <f>SUMIF(#REF!,本期合约金额规划表!D37,#REF!)</f>
        <v>#REF!</v>
      </c>
      <c r="L37" s="1047" t="e">
        <f>SUM(E37:K37)</f>
        <v>#REF!</v>
      </c>
      <c r="M37" s="1048" t="s">
        <v>2999</v>
      </c>
      <c r="N37" s="1076" t="e">
        <f>L37*10000/#REF!</f>
        <v>#REF!</v>
      </c>
      <c r="O37" s="1050" t="e">
        <v>#VALUE!</v>
      </c>
      <c r="P37" s="1050" t="e">
        <f t="shared" si="1"/>
        <v>#REF!</v>
      </c>
    </row>
    <row r="38" spans="1:16" s="1049" customFormat="1" ht="14.25" hidden="1" customHeight="1">
      <c r="A38" s="1045">
        <v>36</v>
      </c>
      <c r="B38" s="1046" t="s">
        <v>3008</v>
      </c>
      <c r="C38" s="1053" t="s">
        <v>3013</v>
      </c>
      <c r="D38" s="1052" t="s">
        <v>3014</v>
      </c>
      <c r="E38" s="1047" t="e">
        <f>SUMIF(#REF!,本期合约金额规划表!D38,#REF!)</f>
        <v>#REF!</v>
      </c>
      <c r="F38" s="1047"/>
      <c r="G38" s="1047" t="e">
        <f>SUMIF(#REF!,本期合约金额规划表!D38,#REF!)</f>
        <v>#REF!</v>
      </c>
      <c r="H38" s="1047" t="e">
        <f>SUMIF(#REF!,本期合约金额规划表!D38,#REF!)</f>
        <v>#REF!</v>
      </c>
      <c r="I38" s="1047"/>
      <c r="J38" s="1047">
        <f>SUMIF('1-商业网点'!$E$4:$E$161,本期合约金额规划表!D38,'1-商业网点'!$O$4:$O$161)</f>
        <v>0</v>
      </c>
      <c r="K38" s="1047" t="e">
        <f>SUMIF(#REF!,本期合约金额规划表!D38,#REF!)</f>
        <v>#REF!</v>
      </c>
      <c r="L38" s="1047" t="e">
        <f t="shared" si="0"/>
        <v>#REF!</v>
      </c>
      <c r="M38" s="1048" t="s">
        <v>2999</v>
      </c>
      <c r="N38" s="1076" t="e">
        <f>L38*10000/#REF!</f>
        <v>#REF!</v>
      </c>
      <c r="O38" s="1050" t="e">
        <v>#VALUE!</v>
      </c>
      <c r="P38" s="1050" t="e">
        <f t="shared" si="1"/>
        <v>#REF!</v>
      </c>
    </row>
    <row r="39" spans="1:16" s="1049" customFormat="1" ht="14.25" hidden="1" customHeight="1">
      <c r="A39" s="1045">
        <v>37</v>
      </c>
      <c r="B39" s="1046" t="s">
        <v>3008</v>
      </c>
      <c r="C39" s="1053" t="s">
        <v>3013</v>
      </c>
      <c r="D39" s="1052" t="s">
        <v>3015</v>
      </c>
      <c r="E39" s="1047" t="e">
        <f>SUMIF(#REF!,本期合约金额规划表!D39,#REF!)</f>
        <v>#REF!</v>
      </c>
      <c r="F39" s="1047"/>
      <c r="G39" s="1047" t="e">
        <f>SUMIF(#REF!,本期合约金额规划表!D39,#REF!)</f>
        <v>#REF!</v>
      </c>
      <c r="H39" s="1047" t="e">
        <f>SUMIF(#REF!,本期合约金额规划表!D39,#REF!)</f>
        <v>#REF!</v>
      </c>
      <c r="I39" s="1047"/>
      <c r="J39" s="1047">
        <f>SUMIF('1-商业网点'!$E$4:$E$161,本期合约金额规划表!D39,'1-商业网点'!$O$4:$O$161)</f>
        <v>0</v>
      </c>
      <c r="K39" s="1047" t="e">
        <f>SUMIF(#REF!,本期合约金额规划表!D39,#REF!)</f>
        <v>#REF!</v>
      </c>
      <c r="L39" s="1047" t="e">
        <f t="shared" si="0"/>
        <v>#REF!</v>
      </c>
      <c r="M39" s="1048" t="s">
        <v>2999</v>
      </c>
      <c r="N39" s="1076" t="e">
        <f>L39*10000/#REF!</f>
        <v>#REF!</v>
      </c>
      <c r="O39" s="1050" t="e">
        <v>#VALUE!</v>
      </c>
      <c r="P39" s="1050" t="e">
        <f t="shared" si="1"/>
        <v>#REF!</v>
      </c>
    </row>
    <row r="40" spans="1:16" s="1049" customFormat="1" ht="14.25" hidden="1" customHeight="1">
      <c r="A40" s="1045">
        <v>38</v>
      </c>
      <c r="B40" s="1046" t="s">
        <v>3008</v>
      </c>
      <c r="C40" s="1053" t="s">
        <v>3013</v>
      </c>
      <c r="D40" s="1052" t="s">
        <v>3016</v>
      </c>
      <c r="E40" s="1047" t="e">
        <f>SUMIF(#REF!,本期合约金额规划表!D40,#REF!)</f>
        <v>#REF!</v>
      </c>
      <c r="F40" s="1047"/>
      <c r="G40" s="1047" t="e">
        <f>SUMIF(#REF!,本期合约金额规划表!D40,#REF!)</f>
        <v>#REF!</v>
      </c>
      <c r="H40" s="1047" t="e">
        <f>SUMIF(#REF!,本期合约金额规划表!D40,#REF!)</f>
        <v>#REF!</v>
      </c>
      <c r="I40" s="1047"/>
      <c r="J40" s="1047" t="e">
        <f>SUMIF('1-商业网点'!$E$4:$E$161,本期合约金额规划表!D40,'1-商业网点'!$O$4:$O$161)</f>
        <v>#REF!</v>
      </c>
      <c r="K40" s="1047" t="e">
        <f>SUMIF(#REF!,本期合约金额规划表!D40,#REF!)</f>
        <v>#REF!</v>
      </c>
      <c r="L40" s="1047" t="e">
        <f t="shared" si="0"/>
        <v>#REF!</v>
      </c>
      <c r="M40" s="1048" t="s">
        <v>2999</v>
      </c>
      <c r="N40" s="1076" t="e">
        <f>L40*10000/#REF!</f>
        <v>#REF!</v>
      </c>
      <c r="O40" s="1050" t="e">
        <v>#VALUE!</v>
      </c>
      <c r="P40" s="1050" t="e">
        <f t="shared" si="1"/>
        <v>#REF!</v>
      </c>
    </row>
    <row r="41" spans="1:16" s="1049" customFormat="1" ht="14.25" hidden="1" customHeight="1">
      <c r="A41" s="1045">
        <v>39</v>
      </c>
      <c r="B41" s="1046" t="s">
        <v>3008</v>
      </c>
      <c r="C41" s="1053" t="s">
        <v>3013</v>
      </c>
      <c r="D41" s="1052" t="s">
        <v>3017</v>
      </c>
      <c r="E41" s="1047" t="e">
        <f>SUMIF(#REF!,本期合约金额规划表!D41,#REF!)</f>
        <v>#REF!</v>
      </c>
      <c r="F41" s="1047"/>
      <c r="G41" s="1047" t="e">
        <f>SUMIF(#REF!,本期合约金额规划表!D41,#REF!)</f>
        <v>#REF!</v>
      </c>
      <c r="H41" s="1047" t="e">
        <f>SUMIF(#REF!,本期合约金额规划表!D41,#REF!)</f>
        <v>#REF!</v>
      </c>
      <c r="I41" s="1047"/>
      <c r="J41" s="1047" t="e">
        <f>SUMIF('1-商业网点'!$E$4:$E$161,本期合约金额规划表!D41,'1-商业网点'!$O$4:$O$161)</f>
        <v>#REF!</v>
      </c>
      <c r="K41" s="1047" t="e">
        <f>SUMIF(#REF!,本期合约金额规划表!D41,#REF!)</f>
        <v>#REF!</v>
      </c>
      <c r="L41" s="1047" t="e">
        <f t="shared" si="0"/>
        <v>#REF!</v>
      </c>
      <c r="M41" s="1048" t="s">
        <v>2999</v>
      </c>
      <c r="N41" s="1076" t="e">
        <f>L41*10000/#REF!</f>
        <v>#REF!</v>
      </c>
      <c r="O41" s="1050" t="e">
        <v>#VALUE!</v>
      </c>
      <c r="P41" s="1050" t="e">
        <f t="shared" si="1"/>
        <v>#REF!</v>
      </c>
    </row>
    <row r="42" spans="1:16" s="1049" customFormat="1" ht="14.25" hidden="1" customHeight="1">
      <c r="A42" s="1045">
        <v>40</v>
      </c>
      <c r="B42" s="1046" t="s">
        <v>3008</v>
      </c>
      <c r="C42" s="1053" t="s">
        <v>3013</v>
      </c>
      <c r="D42" s="1052" t="s">
        <v>450</v>
      </c>
      <c r="E42" s="1047" t="e">
        <f>SUMIF(#REF!,本期合约金额规划表!D42,#REF!)</f>
        <v>#REF!</v>
      </c>
      <c r="F42" s="1047"/>
      <c r="G42" s="1047" t="e">
        <f>SUMIF(#REF!,本期合约金额规划表!D42,#REF!)</f>
        <v>#REF!</v>
      </c>
      <c r="H42" s="1047" t="e">
        <f>SUMIF(#REF!,本期合约金额规划表!D42,#REF!)</f>
        <v>#REF!</v>
      </c>
      <c r="I42" s="1047"/>
      <c r="J42" s="1047" t="e">
        <f>SUMIF('1-商业网点'!$E$4:$E$161,本期合约金额规划表!D42,'1-商业网点'!$O$4:$O$161)</f>
        <v>#REF!</v>
      </c>
      <c r="K42" s="1047" t="e">
        <f>SUMIF(#REF!,本期合约金额规划表!D42,#REF!)</f>
        <v>#REF!</v>
      </c>
      <c r="L42" s="1047" t="e">
        <f t="shared" si="0"/>
        <v>#REF!</v>
      </c>
      <c r="M42" s="1048" t="s">
        <v>2999</v>
      </c>
      <c r="N42" s="1076" t="e">
        <f>L42*10000/#REF!</f>
        <v>#REF!</v>
      </c>
      <c r="O42" s="1050" t="e">
        <v>#VALUE!</v>
      </c>
      <c r="P42" s="1050" t="e">
        <f t="shared" si="1"/>
        <v>#REF!</v>
      </c>
    </row>
    <row r="43" spans="1:16" s="1049" customFormat="1" ht="14.25" hidden="1" customHeight="1">
      <c r="A43" s="1045">
        <v>41</v>
      </c>
      <c r="B43" s="1046" t="s">
        <v>3008</v>
      </c>
      <c r="C43" s="1053" t="s">
        <v>3018</v>
      </c>
      <c r="D43" s="1052" t="s">
        <v>1548</v>
      </c>
      <c r="E43" s="1047" t="e">
        <f>SUMIF(#REF!,本期合约金额规划表!D43,#REF!)</f>
        <v>#REF!</v>
      </c>
      <c r="F43" s="1047"/>
      <c r="G43" s="1047" t="e">
        <f>SUMIF(#REF!,本期合约金额规划表!D43,#REF!)</f>
        <v>#REF!</v>
      </c>
      <c r="H43" s="1047" t="e">
        <f>SUMIF(#REF!,本期合约金额规划表!D43,#REF!)</f>
        <v>#REF!</v>
      </c>
      <c r="I43" s="1047"/>
      <c r="J43" s="1047" t="e">
        <f>SUMIF('1-商业网点'!$E$4:$E$161,本期合约金额规划表!D43,'1-商业网点'!$O$4:$O$161)</f>
        <v>#REF!</v>
      </c>
      <c r="K43" s="1047" t="e">
        <f>SUMIF(#REF!,本期合约金额规划表!D43,#REF!)</f>
        <v>#REF!</v>
      </c>
      <c r="L43" s="1047" t="e">
        <f t="shared" si="0"/>
        <v>#REF!</v>
      </c>
      <c r="M43" s="1048" t="s">
        <v>2999</v>
      </c>
      <c r="N43" s="1076" t="e">
        <f>L43*10000/#REF!</f>
        <v>#REF!</v>
      </c>
      <c r="O43" s="1050" t="e">
        <v>#VALUE!</v>
      </c>
      <c r="P43" s="1050" t="e">
        <f t="shared" si="1"/>
        <v>#REF!</v>
      </c>
    </row>
    <row r="44" spans="1:16" s="1049" customFormat="1" ht="14.25" hidden="1" customHeight="1">
      <c r="A44" s="1045">
        <v>42</v>
      </c>
      <c r="B44" s="1046" t="s">
        <v>3008</v>
      </c>
      <c r="C44" s="1046" t="s">
        <v>3018</v>
      </c>
      <c r="D44" s="1052" t="s">
        <v>1607</v>
      </c>
      <c r="E44" s="1047" t="e">
        <f>SUMIF(#REF!,本期合约金额规划表!D44,#REF!)</f>
        <v>#REF!</v>
      </c>
      <c r="F44" s="1047"/>
      <c r="G44" s="1047" t="e">
        <f>SUMIF(#REF!,本期合约金额规划表!D44,#REF!)</f>
        <v>#REF!</v>
      </c>
      <c r="H44" s="1047" t="e">
        <f>SUMIF(#REF!,本期合约金额规划表!D44,#REF!)</f>
        <v>#REF!</v>
      </c>
      <c r="I44" s="1047"/>
      <c r="J44" s="1047" t="e">
        <f>SUMIF('1-商业网点'!$E$4:$E$161,本期合约金额规划表!D44,'1-商业网点'!$O$4:$O$161)</f>
        <v>#REF!</v>
      </c>
      <c r="K44" s="1047" t="e">
        <f>SUMIF(#REF!,本期合约金额规划表!D44,#REF!)</f>
        <v>#REF!</v>
      </c>
      <c r="L44" s="1047" t="e">
        <f t="shared" si="0"/>
        <v>#REF!</v>
      </c>
      <c r="M44" s="1048" t="s">
        <v>2999</v>
      </c>
      <c r="N44" s="1076" t="e">
        <f>L44*10000/#REF!</f>
        <v>#REF!</v>
      </c>
      <c r="O44" s="1050" t="e">
        <v>#VALUE!</v>
      </c>
      <c r="P44" s="1050" t="e">
        <f t="shared" si="1"/>
        <v>#REF!</v>
      </c>
    </row>
    <row r="45" spans="1:16" s="1049" customFormat="1" ht="14.25" hidden="1" customHeight="1">
      <c r="A45" s="1045">
        <v>43</v>
      </c>
      <c r="B45" s="1046" t="s">
        <v>3008</v>
      </c>
      <c r="C45" s="1046" t="s">
        <v>3018</v>
      </c>
      <c r="D45" s="1052" t="s">
        <v>457</v>
      </c>
      <c r="E45" s="1047" t="e">
        <f>SUMIF(#REF!,本期合约金额规划表!D45,#REF!)</f>
        <v>#REF!</v>
      </c>
      <c r="F45" s="1047"/>
      <c r="G45" s="1047" t="e">
        <f>SUMIF(#REF!,本期合约金额规划表!D45,#REF!)</f>
        <v>#REF!</v>
      </c>
      <c r="H45" s="1047" t="e">
        <f>SUMIF(#REF!,本期合约金额规划表!D45,#REF!)</f>
        <v>#REF!</v>
      </c>
      <c r="I45" s="1047"/>
      <c r="J45" s="1047" t="e">
        <f>SUMIF('1-商业网点'!$E$4:$E$161,本期合约金额规划表!D45,'1-商业网点'!$O$4:$O$161)</f>
        <v>#REF!</v>
      </c>
      <c r="K45" s="1047" t="e">
        <f>SUMIF(#REF!,本期合约金额规划表!D45,#REF!)</f>
        <v>#REF!</v>
      </c>
      <c r="L45" s="1047" t="e">
        <f t="shared" si="0"/>
        <v>#REF!</v>
      </c>
      <c r="M45" s="1048" t="s">
        <v>2999</v>
      </c>
      <c r="N45" s="1076" t="e">
        <f>L45*10000/#REF!</f>
        <v>#REF!</v>
      </c>
      <c r="O45" s="1050" t="e">
        <v>#VALUE!</v>
      </c>
      <c r="P45" s="1050" t="e">
        <f t="shared" si="1"/>
        <v>#REF!</v>
      </c>
    </row>
    <row r="46" spans="1:16" s="1049" customFormat="1" ht="14.25" hidden="1" customHeight="1">
      <c r="A46" s="1045">
        <v>44</v>
      </c>
      <c r="B46" s="1046" t="s">
        <v>3008</v>
      </c>
      <c r="C46" s="1046" t="s">
        <v>3018</v>
      </c>
      <c r="D46" s="1052" t="s">
        <v>1553</v>
      </c>
      <c r="E46" s="1047" t="e">
        <f>SUMIF(#REF!,本期合约金额规划表!D46,#REF!)</f>
        <v>#REF!</v>
      </c>
      <c r="F46" s="1047"/>
      <c r="G46" s="1047" t="e">
        <f>SUMIF(#REF!,本期合约金额规划表!D46,#REF!)</f>
        <v>#REF!</v>
      </c>
      <c r="H46" s="1047" t="e">
        <f>SUMIF(#REF!,本期合约金额规划表!D46,#REF!)</f>
        <v>#REF!</v>
      </c>
      <c r="I46" s="1047"/>
      <c r="J46" s="1047" t="e">
        <f>SUMIF('1-商业网点'!$E$4:$E$161,本期合约金额规划表!D46,'1-商业网点'!$O$4:$O$161)</f>
        <v>#REF!</v>
      </c>
      <c r="K46" s="1047" t="e">
        <f>SUMIF(#REF!,本期合约金额规划表!D46,#REF!)</f>
        <v>#REF!</v>
      </c>
      <c r="L46" s="1047" t="e">
        <f t="shared" si="0"/>
        <v>#REF!</v>
      </c>
      <c r="M46" s="1048" t="s">
        <v>2999</v>
      </c>
      <c r="N46" s="1076" t="e">
        <f>L46*10000/#REF!</f>
        <v>#REF!</v>
      </c>
      <c r="O46" s="1050" t="e">
        <v>#VALUE!</v>
      </c>
      <c r="P46" s="1050" t="e">
        <f t="shared" si="1"/>
        <v>#REF!</v>
      </c>
    </row>
    <row r="47" spans="1:16" s="1049" customFormat="1" ht="14.25" customHeight="1">
      <c r="A47" s="1045">
        <v>45</v>
      </c>
      <c r="B47" s="1046" t="s">
        <v>3008</v>
      </c>
      <c r="C47" s="1046" t="s">
        <v>3018</v>
      </c>
      <c r="D47" s="1052" t="s">
        <v>3019</v>
      </c>
      <c r="E47" s="1047" t="e">
        <f>SUMIF(#REF!,本期合约金额规划表!D47,#REF!)</f>
        <v>#REF!</v>
      </c>
      <c r="F47" s="1047"/>
      <c r="G47" s="1047" t="e">
        <f>SUMIF(#REF!,本期合约金额规划表!D47,#REF!)</f>
        <v>#REF!</v>
      </c>
      <c r="H47" s="1047" t="e">
        <f>SUMIF(#REF!,本期合约金额规划表!D47,#REF!)</f>
        <v>#REF!</v>
      </c>
      <c r="I47" s="1047"/>
      <c r="J47" s="1047" t="e">
        <f>SUMIF('1-商业网点'!$E$4:$E$161,本期合约金额规划表!D47,'1-商业网点'!$O$4:$O$161)</f>
        <v>#REF!</v>
      </c>
      <c r="K47" s="1047" t="e">
        <f>SUMIF(#REF!,本期合约金额规划表!D47,#REF!)</f>
        <v>#REF!</v>
      </c>
      <c r="L47" s="1047" t="e">
        <f t="shared" si="0"/>
        <v>#REF!</v>
      </c>
      <c r="M47" s="1048" t="s">
        <v>2999</v>
      </c>
      <c r="N47" s="1076" t="e">
        <f>L47*10000/#REF!</f>
        <v>#REF!</v>
      </c>
      <c r="O47" s="1050" t="e">
        <v>#VALUE!</v>
      </c>
      <c r="P47" s="1050" t="e">
        <f t="shared" si="1"/>
        <v>#REF!</v>
      </c>
    </row>
    <row r="48" spans="1:16" s="1049" customFormat="1" ht="14.25" hidden="1" customHeight="1">
      <c r="A48" s="1045">
        <v>46</v>
      </c>
      <c r="B48" s="1046" t="s">
        <v>3008</v>
      </c>
      <c r="C48" s="1046" t="s">
        <v>3009</v>
      </c>
      <c r="D48" s="1052" t="s">
        <v>1587</v>
      </c>
      <c r="E48" s="1047" t="e">
        <f>SUMIF(#REF!,本期合约金额规划表!D48,#REF!)</f>
        <v>#REF!</v>
      </c>
      <c r="F48" s="1047"/>
      <c r="G48" s="1047" t="e">
        <f>SUMIF(#REF!,本期合约金额规划表!D48,#REF!)</f>
        <v>#REF!</v>
      </c>
      <c r="H48" s="1047" t="e">
        <f>SUMIF(#REF!,本期合约金额规划表!D48,#REF!)</f>
        <v>#REF!</v>
      </c>
      <c r="I48" s="1047"/>
      <c r="J48" s="1047" t="e">
        <f>SUMIF('1-商业网点'!$E$4:$E$161,本期合约金额规划表!D48,'1-商业网点'!$O$4:$O$161)</f>
        <v>#REF!</v>
      </c>
      <c r="K48" s="1047" t="e">
        <f>SUMIF(#REF!,本期合约金额规划表!D48,#REF!)</f>
        <v>#REF!</v>
      </c>
      <c r="L48" s="1047" t="e">
        <f t="shared" si="0"/>
        <v>#REF!</v>
      </c>
      <c r="M48" s="1048" t="s">
        <v>2999</v>
      </c>
      <c r="N48" s="1076" t="e">
        <f>L48*10000/#REF!</f>
        <v>#REF!</v>
      </c>
      <c r="O48" s="1050" t="e">
        <v>#VALUE!</v>
      </c>
      <c r="P48" s="1050" t="e">
        <f t="shared" si="1"/>
        <v>#REF!</v>
      </c>
    </row>
    <row r="49" spans="1:16" s="1049" customFormat="1" ht="14.25" customHeight="1">
      <c r="A49" s="1045">
        <v>47</v>
      </c>
      <c r="B49" s="1046" t="s">
        <v>3008</v>
      </c>
      <c r="C49" s="1046" t="s">
        <v>3020</v>
      </c>
      <c r="D49" s="1052" t="s">
        <v>456</v>
      </c>
      <c r="E49" s="1047" t="e">
        <f>SUMIF(#REF!,本期合约金额规划表!D49,#REF!)</f>
        <v>#REF!</v>
      </c>
      <c r="F49" s="1047"/>
      <c r="G49" s="1047" t="e">
        <f>SUMIF(#REF!,本期合约金额规划表!D49,#REF!)</f>
        <v>#REF!</v>
      </c>
      <c r="H49" s="1047" t="e">
        <f>SUMIF(#REF!,本期合约金额规划表!D49,#REF!)</f>
        <v>#REF!</v>
      </c>
      <c r="I49" s="1047"/>
      <c r="J49" s="1047" t="e">
        <f>SUMIF('1-商业网点'!$E$4:$E$161,本期合约金额规划表!D49,'1-商业网点'!$O$4:$O$161)</f>
        <v>#REF!</v>
      </c>
      <c r="K49" s="1047" t="e">
        <f>SUMIF(#REF!,本期合约金额规划表!D49,#REF!)</f>
        <v>#REF!</v>
      </c>
      <c r="L49" s="1047" t="e">
        <f t="shared" si="0"/>
        <v>#REF!</v>
      </c>
      <c r="M49" s="1048" t="s">
        <v>2999</v>
      </c>
      <c r="N49" s="1076" t="e">
        <f>L49*10000/#REF!</f>
        <v>#REF!</v>
      </c>
      <c r="O49" s="1050" t="e">
        <v>#VALUE!</v>
      </c>
      <c r="P49" s="1050" t="e">
        <f t="shared" si="1"/>
        <v>#REF!</v>
      </c>
    </row>
    <row r="50" spans="1:16" s="1049" customFormat="1" ht="14.25" hidden="1" customHeight="1">
      <c r="A50" s="1045">
        <v>48</v>
      </c>
      <c r="B50" s="1046" t="s">
        <v>3008</v>
      </c>
      <c r="C50" s="1046" t="s">
        <v>3020</v>
      </c>
      <c r="D50" s="1052" t="s">
        <v>1528</v>
      </c>
      <c r="E50" s="1047" t="e">
        <f>SUMIF(#REF!,本期合约金额规划表!D50,#REF!)</f>
        <v>#REF!</v>
      </c>
      <c r="F50" s="1047"/>
      <c r="G50" s="1047" t="e">
        <f>SUMIF(#REF!,本期合约金额规划表!D50,#REF!)</f>
        <v>#REF!</v>
      </c>
      <c r="H50" s="1047" t="e">
        <f>SUMIF(#REF!,本期合约金额规划表!D50,#REF!)</f>
        <v>#REF!</v>
      </c>
      <c r="I50" s="1047"/>
      <c r="J50" s="1047">
        <f>SUMIF('1-商业网点'!$E$4:$E$161,本期合约金额规划表!D50,'1-商业网点'!$O$4:$O$161)</f>
        <v>0</v>
      </c>
      <c r="K50" s="1047" t="e">
        <f>SUMIF(#REF!,本期合约金额规划表!D50,#REF!)</f>
        <v>#REF!</v>
      </c>
      <c r="L50" s="1047" t="e">
        <f t="shared" si="0"/>
        <v>#REF!</v>
      </c>
      <c r="M50" s="1048" t="s">
        <v>2999</v>
      </c>
      <c r="N50" s="1076" t="e">
        <f>L50*10000/#REF!</f>
        <v>#REF!</v>
      </c>
      <c r="O50" s="1050" t="e">
        <v>#VALUE!</v>
      </c>
      <c r="P50" s="1050" t="e">
        <f t="shared" si="1"/>
        <v>#REF!</v>
      </c>
    </row>
    <row r="51" spans="1:16" s="1049" customFormat="1" ht="14.25" customHeight="1">
      <c r="A51" s="1045">
        <v>49</v>
      </c>
      <c r="B51" s="1046" t="s">
        <v>3008</v>
      </c>
      <c r="C51" s="1046" t="s">
        <v>3009</v>
      </c>
      <c r="D51" s="1081" t="s">
        <v>459</v>
      </c>
      <c r="E51" s="1047" t="e">
        <f>SUMIF(#REF!,本期合约金额规划表!D51,#REF!)</f>
        <v>#REF!</v>
      </c>
      <c r="F51" s="1047"/>
      <c r="G51" s="1047" t="e">
        <f>SUMIF(#REF!,本期合约金额规划表!D51,#REF!)</f>
        <v>#REF!</v>
      </c>
      <c r="H51" s="1047" t="e">
        <f>SUMIF(#REF!,本期合约金额规划表!D51,#REF!)</f>
        <v>#REF!</v>
      </c>
      <c r="I51" s="1047"/>
      <c r="J51" s="1047" t="e">
        <f>SUMIF('1-商业网点'!$E$4:$E$161,本期合约金额规划表!D51,'1-商业网点'!$O$4:$O$161)</f>
        <v>#REF!</v>
      </c>
      <c r="K51" s="1047" t="e">
        <f>SUMIF(#REF!,本期合约金额规划表!D51,#REF!)</f>
        <v>#REF!</v>
      </c>
      <c r="L51" s="1047" t="e">
        <f t="shared" si="0"/>
        <v>#REF!</v>
      </c>
      <c r="M51" s="1048" t="s">
        <v>2999</v>
      </c>
      <c r="N51" s="1076" t="e">
        <f>L51*10000/#REF!</f>
        <v>#REF!</v>
      </c>
      <c r="O51" s="1050" t="e">
        <v>#VALUE!</v>
      </c>
      <c r="P51" s="1050" t="e">
        <f t="shared" si="1"/>
        <v>#REF!</v>
      </c>
    </row>
    <row r="52" spans="1:16" s="1049" customFormat="1" ht="14.25" hidden="1" customHeight="1">
      <c r="A52" s="1045">
        <v>50</v>
      </c>
      <c r="B52" s="1046" t="s">
        <v>3008</v>
      </c>
      <c r="C52" s="1046" t="s">
        <v>3009</v>
      </c>
      <c r="D52" s="1052" t="s">
        <v>469</v>
      </c>
      <c r="E52" s="1047" t="e">
        <f>SUMIF(#REF!,本期合约金额规划表!D52,#REF!)</f>
        <v>#REF!</v>
      </c>
      <c r="F52" s="1047"/>
      <c r="G52" s="1047" t="e">
        <f>SUMIF(#REF!,本期合约金额规划表!D52,#REF!)</f>
        <v>#REF!</v>
      </c>
      <c r="H52" s="1047" t="e">
        <f>SUMIF(#REF!,本期合约金额规划表!D52,#REF!)</f>
        <v>#REF!</v>
      </c>
      <c r="I52" s="1047"/>
      <c r="J52" s="1047" t="e">
        <f>SUMIF('1-商业网点'!$E$4:$E$161,本期合约金额规划表!D52,'1-商业网点'!$O$4:$O$161)</f>
        <v>#REF!</v>
      </c>
      <c r="K52" s="1047" t="e">
        <f>SUMIF(#REF!,本期合约金额规划表!D52,#REF!)</f>
        <v>#REF!</v>
      </c>
      <c r="L52" s="1047" t="e">
        <f t="shared" si="0"/>
        <v>#REF!</v>
      </c>
      <c r="M52" s="1048" t="s">
        <v>2999</v>
      </c>
      <c r="N52" s="1076" t="e">
        <f>L52*10000/#REF!</f>
        <v>#REF!</v>
      </c>
      <c r="O52" s="1050" t="e">
        <v>#VALUE!</v>
      </c>
      <c r="P52" s="1050" t="e">
        <f t="shared" si="1"/>
        <v>#REF!</v>
      </c>
    </row>
    <row r="53" spans="1:16" s="1049" customFormat="1" ht="14.25" hidden="1" customHeight="1">
      <c r="A53" s="1045">
        <v>51</v>
      </c>
      <c r="B53" s="1046" t="s">
        <v>3008</v>
      </c>
      <c r="C53" s="1046" t="s">
        <v>3009</v>
      </c>
      <c r="D53" s="1052" t="s">
        <v>3021</v>
      </c>
      <c r="E53" s="1047" t="e">
        <f>SUMIF(#REF!,本期合约金额规划表!D53,#REF!)</f>
        <v>#REF!</v>
      </c>
      <c r="F53" s="1047"/>
      <c r="G53" s="1047" t="e">
        <f>SUMIF(#REF!,本期合约金额规划表!D53,#REF!)</f>
        <v>#REF!</v>
      </c>
      <c r="H53" s="1047" t="e">
        <f>SUMIF(#REF!,本期合约金额规划表!D53,#REF!)</f>
        <v>#REF!</v>
      </c>
      <c r="I53" s="1047"/>
      <c r="J53" s="1047">
        <f>SUMIF('1-商业网点'!$E$4:$E$161,本期合约金额规划表!D53,'1-商业网点'!$O$4:$O$161)</f>
        <v>0</v>
      </c>
      <c r="K53" s="1047" t="e">
        <f>SUMIF(#REF!,本期合约金额规划表!D53,#REF!)</f>
        <v>#REF!</v>
      </c>
      <c r="L53" s="1047" t="e">
        <f t="shared" si="0"/>
        <v>#REF!</v>
      </c>
      <c r="M53" s="1048" t="s">
        <v>2999</v>
      </c>
      <c r="N53" s="1076" t="e">
        <f>L53*10000/#REF!</f>
        <v>#REF!</v>
      </c>
      <c r="O53" s="1050" t="e">
        <v>#VALUE!</v>
      </c>
      <c r="P53" s="1050" t="e">
        <f t="shared" si="1"/>
        <v>#REF!</v>
      </c>
    </row>
    <row r="54" spans="1:16" s="1049" customFormat="1" ht="14.25" customHeight="1">
      <c r="A54" s="1045">
        <v>52</v>
      </c>
      <c r="B54" s="1046" t="s">
        <v>3008</v>
      </c>
      <c r="C54" s="1046" t="s">
        <v>3009</v>
      </c>
      <c r="D54" s="1052" t="s">
        <v>1505</v>
      </c>
      <c r="E54" s="1047" t="e">
        <f>SUMIF(#REF!,本期合约金额规划表!D54,#REF!)</f>
        <v>#REF!</v>
      </c>
      <c r="F54" s="1047"/>
      <c r="G54" s="1047" t="e">
        <f>SUMIF(#REF!,本期合约金额规划表!D54,#REF!)</f>
        <v>#REF!</v>
      </c>
      <c r="H54" s="1047" t="e">
        <f>SUMIF(#REF!,本期合约金额规划表!D54,#REF!)</f>
        <v>#REF!</v>
      </c>
      <c r="I54" s="1047"/>
      <c r="J54" s="1047" t="e">
        <f>SUMIF('1-商业网点'!$E$4:$E$161,本期合约金额规划表!D54,'1-商业网点'!$O$4:$O$161)</f>
        <v>#REF!</v>
      </c>
      <c r="K54" s="1047" t="e">
        <f>SUMIF(#REF!,本期合约金额规划表!D54,#REF!)</f>
        <v>#REF!</v>
      </c>
      <c r="L54" s="1047" t="e">
        <f t="shared" si="0"/>
        <v>#REF!</v>
      </c>
      <c r="M54" s="1048" t="s">
        <v>2999</v>
      </c>
      <c r="N54" s="1076" t="e">
        <f>L54*10000/#REF!</f>
        <v>#REF!</v>
      </c>
      <c r="O54" s="1050" t="e">
        <v>#VALUE!</v>
      </c>
      <c r="P54" s="1050" t="e">
        <f t="shared" si="1"/>
        <v>#REF!</v>
      </c>
    </row>
    <row r="55" spans="1:16" s="1049" customFormat="1" ht="14.25" hidden="1" customHeight="1">
      <c r="A55" s="1045">
        <v>53</v>
      </c>
      <c r="B55" s="1046" t="s">
        <v>3008</v>
      </c>
      <c r="C55" s="1046" t="s">
        <v>3020</v>
      </c>
      <c r="D55" s="1052" t="s">
        <v>1314</v>
      </c>
      <c r="E55" s="1047" t="e">
        <f>SUMIF(#REF!,本期合约金额规划表!D55,#REF!)</f>
        <v>#REF!</v>
      </c>
      <c r="F55" s="1047"/>
      <c r="G55" s="1047" t="e">
        <f>SUMIF(#REF!,本期合约金额规划表!D55,#REF!)</f>
        <v>#REF!</v>
      </c>
      <c r="H55" s="1047" t="e">
        <f>SUMIF(#REF!,本期合约金额规划表!D55,#REF!)</f>
        <v>#REF!</v>
      </c>
      <c r="I55" s="1047"/>
      <c r="J55" s="1047">
        <f>SUMIF('1-商业网点'!$E$4:$E$161,本期合约金额规划表!D55,'1-商业网点'!$O$4:$O$161)</f>
        <v>0</v>
      </c>
      <c r="K55" s="1047" t="e">
        <f>SUMIF(#REF!,本期合约金额规划表!D55,#REF!)</f>
        <v>#REF!</v>
      </c>
      <c r="L55" s="1047" t="e">
        <f t="shared" si="0"/>
        <v>#REF!</v>
      </c>
      <c r="M55" s="1048" t="s">
        <v>2999</v>
      </c>
      <c r="N55" s="1076" t="e">
        <f>L55*10000/#REF!</f>
        <v>#REF!</v>
      </c>
      <c r="O55" s="1050" t="e">
        <v>#VALUE!</v>
      </c>
      <c r="P55" s="1050" t="e">
        <f t="shared" si="1"/>
        <v>#REF!</v>
      </c>
    </row>
    <row r="56" spans="1:16" s="1049" customFormat="1" ht="14.25" customHeight="1">
      <c r="A56" s="1045">
        <v>54</v>
      </c>
      <c r="B56" s="1046" t="s">
        <v>3008</v>
      </c>
      <c r="C56" s="1046" t="s">
        <v>3009</v>
      </c>
      <c r="D56" s="1052" t="s">
        <v>1620</v>
      </c>
      <c r="E56" s="1047" t="e">
        <f>SUMIF(#REF!,本期合约金额规划表!D56,#REF!)</f>
        <v>#REF!</v>
      </c>
      <c r="F56" s="1047"/>
      <c r="G56" s="1047" t="e">
        <f>SUMIF(#REF!,本期合约金额规划表!D56,#REF!)</f>
        <v>#REF!</v>
      </c>
      <c r="H56" s="1047" t="e">
        <f>SUMIF(#REF!,本期合约金额规划表!D56,#REF!)</f>
        <v>#REF!</v>
      </c>
      <c r="I56" s="1047"/>
      <c r="J56" s="1047" t="e">
        <f>SUMIF('1-商业网点'!$E$4:$E$161,本期合约金额规划表!D56,'1-商业网点'!$O$4:$O$161)</f>
        <v>#REF!</v>
      </c>
      <c r="K56" s="1047" t="e">
        <f>SUMIF(#REF!,本期合约金额规划表!D56,#REF!)</f>
        <v>#REF!</v>
      </c>
      <c r="L56" s="1047" t="e">
        <f t="shared" si="0"/>
        <v>#REF!</v>
      </c>
      <c r="M56" s="1048" t="s">
        <v>2999</v>
      </c>
      <c r="N56" s="1076" t="e">
        <f>L56*10000/#REF!</f>
        <v>#REF!</v>
      </c>
      <c r="O56" s="1050" t="e">
        <v>#VALUE!</v>
      </c>
      <c r="P56" s="1050" t="e">
        <f t="shared" si="1"/>
        <v>#REF!</v>
      </c>
    </row>
    <row r="57" spans="1:16" s="1049" customFormat="1" ht="14.25" hidden="1" customHeight="1">
      <c r="A57" s="1045">
        <v>55</v>
      </c>
      <c r="B57" s="1046" t="s">
        <v>3008</v>
      </c>
      <c r="C57" s="1046" t="s">
        <v>3009</v>
      </c>
      <c r="D57" s="1052" t="s">
        <v>3022</v>
      </c>
      <c r="E57" s="1047" t="e">
        <f>SUMIF(#REF!,本期合约金额规划表!D57,#REF!)</f>
        <v>#REF!</v>
      </c>
      <c r="F57" s="1047"/>
      <c r="G57" s="1047" t="e">
        <f>SUMIF(#REF!,本期合约金额规划表!D57,#REF!)</f>
        <v>#REF!</v>
      </c>
      <c r="H57" s="1047" t="e">
        <f>SUMIF(#REF!,本期合约金额规划表!D57,#REF!)</f>
        <v>#REF!</v>
      </c>
      <c r="I57" s="1047"/>
      <c r="J57" s="1047">
        <f>SUMIF('1-商业网点'!$E$4:$E$161,本期合约金额规划表!D57,'1-商业网点'!$O$4:$O$161)</f>
        <v>0</v>
      </c>
      <c r="K57" s="1047" t="e">
        <f>SUMIF(#REF!,本期合约金额规划表!D57,#REF!)</f>
        <v>#REF!</v>
      </c>
      <c r="L57" s="1047" t="e">
        <f t="shared" si="0"/>
        <v>#REF!</v>
      </c>
      <c r="M57" s="1048" t="s">
        <v>2999</v>
      </c>
      <c r="N57" s="1076" t="e">
        <f>L57*10000/#REF!</f>
        <v>#REF!</v>
      </c>
      <c r="O57" s="1050" t="e">
        <v>#VALUE!</v>
      </c>
      <c r="P57" s="1050" t="e">
        <f t="shared" si="1"/>
        <v>#REF!</v>
      </c>
    </row>
    <row r="58" spans="1:16" s="1049" customFormat="1" ht="14.25" hidden="1" customHeight="1">
      <c r="A58" s="1045">
        <v>56</v>
      </c>
      <c r="B58" s="1046" t="s">
        <v>3008</v>
      </c>
      <c r="C58" s="1046" t="s">
        <v>3009</v>
      </c>
      <c r="D58" s="1052" t="s">
        <v>471</v>
      </c>
      <c r="E58" s="1047" t="e">
        <f>SUMIF(#REF!,本期合约金额规划表!D58,#REF!)</f>
        <v>#REF!</v>
      </c>
      <c r="F58" s="1047"/>
      <c r="G58" s="1047" t="e">
        <f>SUMIF(#REF!,本期合约金额规划表!D58,#REF!)</f>
        <v>#REF!</v>
      </c>
      <c r="H58" s="1047" t="e">
        <f>SUMIF(#REF!,本期合约金额规划表!D58,#REF!)</f>
        <v>#REF!</v>
      </c>
      <c r="I58" s="1047"/>
      <c r="J58" s="1047">
        <f>SUMIF('1-商业网点'!$E$4:$E$161,本期合约金额规划表!D58,'1-商业网点'!$O$4:$O$161)</f>
        <v>0</v>
      </c>
      <c r="K58" s="1047" t="e">
        <f>SUMIF(#REF!,本期合约金额规划表!D58,#REF!)</f>
        <v>#REF!</v>
      </c>
      <c r="L58" s="1047" t="e">
        <f t="shared" si="0"/>
        <v>#REF!</v>
      </c>
      <c r="M58" s="1048" t="s">
        <v>2999</v>
      </c>
      <c r="N58" s="1076" t="e">
        <f>L58*10000/#REF!</f>
        <v>#REF!</v>
      </c>
      <c r="O58" s="1050" t="e">
        <v>#VALUE!</v>
      </c>
      <c r="P58" s="1050" t="e">
        <f t="shared" si="1"/>
        <v>#REF!</v>
      </c>
    </row>
    <row r="59" spans="1:16" s="1049" customFormat="1" ht="14.25" customHeight="1">
      <c r="A59" s="1045">
        <v>57</v>
      </c>
      <c r="B59" s="1046" t="s">
        <v>3023</v>
      </c>
      <c r="C59" s="1046" t="s">
        <v>3024</v>
      </c>
      <c r="D59" s="1081" t="s">
        <v>1228</v>
      </c>
      <c r="E59" s="1047" t="e">
        <f>SUMIF(#REF!,本期合约金额规划表!D59,#REF!)</f>
        <v>#REF!</v>
      </c>
      <c r="F59" s="1047"/>
      <c r="G59" s="1047" t="e">
        <f>SUMIF(#REF!,本期合约金额规划表!D59,#REF!)</f>
        <v>#REF!</v>
      </c>
      <c r="H59" s="1047" t="e">
        <f>SUMIF(#REF!,本期合约金额规划表!D59,#REF!)</f>
        <v>#REF!</v>
      </c>
      <c r="I59" s="1047"/>
      <c r="J59" s="1047" t="e">
        <f>SUMIF('1-商业网点'!$E$4:$E$161,本期合约金额规划表!D59,'1-商业网点'!$O$4:$O$161)</f>
        <v>#REF!</v>
      </c>
      <c r="K59" s="1047" t="e">
        <f>SUMIF(#REF!,本期合约金额规划表!D59,#REF!)</f>
        <v>#REF!</v>
      </c>
      <c r="L59" s="1047" t="e">
        <f t="shared" si="0"/>
        <v>#REF!</v>
      </c>
      <c r="M59" s="1048" t="s">
        <v>2999</v>
      </c>
      <c r="N59" s="1076" t="e">
        <f>L59*10000/#REF!</f>
        <v>#REF!</v>
      </c>
      <c r="O59" s="1050" t="e">
        <v>#VALUE!</v>
      </c>
      <c r="P59" s="1050" t="e">
        <f t="shared" si="1"/>
        <v>#REF!</v>
      </c>
    </row>
    <row r="60" spans="1:16" s="1049" customFormat="1" ht="14.25" customHeight="1">
      <c r="A60" s="1045">
        <v>58</v>
      </c>
      <c r="B60" s="1046" t="s">
        <v>3023</v>
      </c>
      <c r="C60" s="1046" t="s">
        <v>3011</v>
      </c>
      <c r="D60" s="1057" t="s">
        <v>1271</v>
      </c>
      <c r="E60" s="1047" t="e">
        <f>SUMIF(#REF!,本期合约金额规划表!D60,#REF!)</f>
        <v>#REF!</v>
      </c>
      <c r="F60" s="1047"/>
      <c r="G60" s="1047" t="e">
        <f>SUMIF(#REF!,本期合约金额规划表!D60,#REF!)</f>
        <v>#REF!</v>
      </c>
      <c r="H60" s="1047" t="e">
        <f>SUMIF(#REF!,本期合约金额规划表!D60,#REF!)</f>
        <v>#REF!</v>
      </c>
      <c r="I60" s="1047"/>
      <c r="J60" s="1047">
        <f>SUMIF('1-商业网点'!$E$4:$E$161,本期合约金额规划表!D60,'1-商业网点'!$O$4:$O$161)</f>
        <v>0</v>
      </c>
      <c r="K60" s="1047" t="e">
        <f>SUMIF(#REF!,本期合约金额规划表!D60,#REF!)</f>
        <v>#REF!</v>
      </c>
      <c r="L60" s="1047" t="e">
        <f t="shared" si="0"/>
        <v>#REF!</v>
      </c>
      <c r="M60" s="1048" t="s">
        <v>2999</v>
      </c>
      <c r="N60" s="1076" t="e">
        <f>L60*10000/#REF!</f>
        <v>#REF!</v>
      </c>
      <c r="O60" s="1050" t="e">
        <v>#VALUE!</v>
      </c>
      <c r="P60" s="1050" t="e">
        <f t="shared" si="1"/>
        <v>#REF!</v>
      </c>
    </row>
    <row r="61" spans="1:16" s="1049" customFormat="1" ht="14.25" customHeight="1">
      <c r="A61" s="1045">
        <v>59</v>
      </c>
      <c r="B61" s="1046" t="s">
        <v>3023</v>
      </c>
      <c r="C61" s="1046" t="s">
        <v>3020</v>
      </c>
      <c r="D61" s="1052" t="s">
        <v>1251</v>
      </c>
      <c r="E61" s="1047" t="e">
        <f>SUMIF(#REF!,本期合约金额规划表!D61,#REF!)</f>
        <v>#REF!</v>
      </c>
      <c r="F61" s="1047"/>
      <c r="G61" s="1047" t="e">
        <f>SUMIF(#REF!,本期合约金额规划表!D61,#REF!)</f>
        <v>#REF!</v>
      </c>
      <c r="H61" s="1047" t="e">
        <f>SUMIF(#REF!,本期合约金额规划表!D61,#REF!)</f>
        <v>#REF!</v>
      </c>
      <c r="I61" s="1047"/>
      <c r="J61" s="1047">
        <f>SUMIF('1-商业网点'!$E$4:$E$161,本期合约金额规划表!D61,'1-商业网点'!$O$4:$O$161)</f>
        <v>0</v>
      </c>
      <c r="K61" s="1047" t="e">
        <f>SUMIF(#REF!,本期合约金额规划表!D61,#REF!)</f>
        <v>#REF!</v>
      </c>
      <c r="L61" s="1047" t="e">
        <f t="shared" si="0"/>
        <v>#REF!</v>
      </c>
      <c r="M61" s="1048" t="s">
        <v>2999</v>
      </c>
      <c r="N61" s="1076" t="e">
        <f>L61*10000/#REF!</f>
        <v>#REF!</v>
      </c>
      <c r="O61" s="1050" t="e">
        <v>#VALUE!</v>
      </c>
      <c r="P61" s="1050" t="e">
        <f t="shared" si="1"/>
        <v>#REF!</v>
      </c>
    </row>
    <row r="62" spans="1:16" s="1049" customFormat="1" ht="14.25" customHeight="1">
      <c r="A62" s="1045">
        <v>60</v>
      </c>
      <c r="B62" s="1046" t="s">
        <v>3023</v>
      </c>
      <c r="C62" s="1046" t="s">
        <v>3025</v>
      </c>
      <c r="D62" s="1081" t="s">
        <v>452</v>
      </c>
      <c r="E62" s="1047" t="e">
        <f>SUMIF(#REF!,本期合约金额规划表!D62,#REF!)</f>
        <v>#REF!</v>
      </c>
      <c r="F62" s="1047"/>
      <c r="G62" s="1047" t="e">
        <f>SUMIF(#REF!,本期合约金额规划表!D62,#REF!)</f>
        <v>#REF!</v>
      </c>
      <c r="H62" s="1047" t="e">
        <f>SUMIF(#REF!,本期合约金额规划表!D62,#REF!)</f>
        <v>#REF!</v>
      </c>
      <c r="I62" s="1047"/>
      <c r="J62" s="1047" t="e">
        <f>SUMIF('1-商业网点'!$E$4:$E$161,本期合约金额规划表!D62,'1-商业网点'!$O$4:$O$161)</f>
        <v>#REF!</v>
      </c>
      <c r="K62" s="1047" t="e">
        <f>SUMIF(#REF!,本期合约金额规划表!D62,#REF!)</f>
        <v>#REF!</v>
      </c>
      <c r="L62" s="1047" t="e">
        <f t="shared" si="0"/>
        <v>#REF!</v>
      </c>
      <c r="M62" s="1048" t="s">
        <v>2999</v>
      </c>
      <c r="N62" s="1076" t="e">
        <f>L62*10000/#REF!</f>
        <v>#REF!</v>
      </c>
      <c r="O62" s="1050" t="e">
        <v>#VALUE!</v>
      </c>
      <c r="P62" s="1050" t="e">
        <f t="shared" si="1"/>
        <v>#REF!</v>
      </c>
    </row>
    <row r="63" spans="1:16" s="1049" customFormat="1" ht="14.25" hidden="1" customHeight="1">
      <c r="A63" s="1045">
        <v>61</v>
      </c>
      <c r="B63" s="1046" t="s">
        <v>3023</v>
      </c>
      <c r="C63" s="1046" t="s">
        <v>3013</v>
      </c>
      <c r="D63" s="1052" t="s">
        <v>1540</v>
      </c>
      <c r="E63" s="1047" t="e">
        <f>SUMIF(#REF!,本期合约金额规划表!D63,#REF!)</f>
        <v>#REF!</v>
      </c>
      <c r="F63" s="1047"/>
      <c r="G63" s="1047" t="e">
        <f>SUMIF(#REF!,本期合约金额规划表!D63,#REF!)</f>
        <v>#REF!</v>
      </c>
      <c r="H63" s="1047" t="e">
        <f>SUMIF(#REF!,本期合约金额规划表!D63,#REF!)</f>
        <v>#REF!</v>
      </c>
      <c r="I63" s="1047"/>
      <c r="J63" s="1047" t="e">
        <f>SUMIF('1-商业网点'!$E$4:$E$161,本期合约金额规划表!D63,'1-商业网点'!$O$4:$O$161)</f>
        <v>#REF!</v>
      </c>
      <c r="K63" s="1047" t="e">
        <f>SUMIF(#REF!,本期合约金额规划表!D63,#REF!)</f>
        <v>#REF!</v>
      </c>
      <c r="L63" s="1047" t="e">
        <f t="shared" si="0"/>
        <v>#REF!</v>
      </c>
      <c r="M63" s="1048" t="s">
        <v>2999</v>
      </c>
      <c r="N63" s="1076" t="e">
        <f>L63*10000/#REF!</f>
        <v>#REF!</v>
      </c>
      <c r="O63" s="1050" t="e">
        <v>#VALUE!</v>
      </c>
      <c r="P63" s="1050" t="e">
        <f t="shared" si="1"/>
        <v>#REF!</v>
      </c>
    </row>
    <row r="64" spans="1:16" s="1049" customFormat="1" ht="14.25" hidden="1" customHeight="1">
      <c r="A64" s="1045">
        <v>62</v>
      </c>
      <c r="B64" s="1046" t="s">
        <v>3023</v>
      </c>
      <c r="C64" s="1046" t="s">
        <v>3013</v>
      </c>
      <c r="D64" s="1052" t="s">
        <v>1544</v>
      </c>
      <c r="E64" s="1047" t="e">
        <f>SUMIF(#REF!,本期合约金额规划表!D64,#REF!)</f>
        <v>#REF!</v>
      </c>
      <c r="F64" s="1047"/>
      <c r="G64" s="1047" t="e">
        <f>SUMIF(#REF!,本期合约金额规划表!D64,#REF!)</f>
        <v>#REF!</v>
      </c>
      <c r="H64" s="1047" t="e">
        <f>SUMIF(#REF!,本期合约金额规划表!D64,#REF!)</f>
        <v>#REF!</v>
      </c>
      <c r="I64" s="1047"/>
      <c r="J64" s="1047" t="e">
        <f>SUMIF('1-商业网点'!$E$4:$E$161,本期合约金额规划表!D64,'1-商业网点'!$O$4:$O$161)</f>
        <v>#REF!</v>
      </c>
      <c r="K64" s="1047" t="e">
        <f>SUMIF(#REF!,本期合约金额规划表!D64,#REF!)</f>
        <v>#REF!</v>
      </c>
      <c r="L64" s="1047" t="e">
        <f t="shared" si="0"/>
        <v>#REF!</v>
      </c>
      <c r="M64" s="1048" t="s">
        <v>2999</v>
      </c>
      <c r="N64" s="1076" t="e">
        <f>L64*10000/#REF!</f>
        <v>#REF!</v>
      </c>
      <c r="O64" s="1050" t="e">
        <v>#VALUE!</v>
      </c>
      <c r="P64" s="1050" t="e">
        <f t="shared" si="1"/>
        <v>#REF!</v>
      </c>
    </row>
    <row r="65" spans="1:16" s="1049" customFormat="1" ht="14.25" customHeight="1">
      <c r="A65" s="1045">
        <v>63</v>
      </c>
      <c r="B65" s="1046" t="s">
        <v>3026</v>
      </c>
      <c r="C65" s="1046" t="s">
        <v>3011</v>
      </c>
      <c r="D65" s="1056" t="s">
        <v>3027</v>
      </c>
      <c r="E65" s="1047" t="e">
        <f>SUMIF(#REF!,本期合约金额规划表!D65,#REF!)</f>
        <v>#REF!</v>
      </c>
      <c r="F65" s="1047"/>
      <c r="G65" s="1047" t="e">
        <f>SUMIF(#REF!,本期合约金额规划表!D65,#REF!)</f>
        <v>#REF!</v>
      </c>
      <c r="H65" s="1047" t="e">
        <f>SUMIF(#REF!,本期合约金额规划表!D65,#REF!)</f>
        <v>#REF!</v>
      </c>
      <c r="I65" s="1047"/>
      <c r="J65" s="1047" t="e">
        <f>SUMIF('1-商业网点'!$E$4:$E$161,本期合约金额规划表!D65,'1-商业网点'!$O$4:$O$161)</f>
        <v>#REF!</v>
      </c>
      <c r="K65" s="1047" t="e">
        <f>SUMIF(#REF!,本期合约金额规划表!D65,#REF!)</f>
        <v>#REF!</v>
      </c>
      <c r="L65" s="1047" t="e">
        <f t="shared" si="0"/>
        <v>#REF!</v>
      </c>
      <c r="M65" s="1048" t="s">
        <v>2999</v>
      </c>
      <c r="N65" s="1076" t="e">
        <f>L65*10000/#REF!</f>
        <v>#REF!</v>
      </c>
      <c r="O65" s="1050" t="e">
        <v>#VALUE!</v>
      </c>
      <c r="P65" s="1050" t="e">
        <f t="shared" si="1"/>
        <v>#REF!</v>
      </c>
    </row>
    <row r="66" spans="1:16" s="1049" customFormat="1" ht="14.25" customHeight="1">
      <c r="A66" s="1045">
        <v>64</v>
      </c>
      <c r="B66" s="1046" t="s">
        <v>3023</v>
      </c>
      <c r="C66" s="1046" t="s">
        <v>3011</v>
      </c>
      <c r="D66" s="1052" t="s">
        <v>1590</v>
      </c>
      <c r="E66" s="1047" t="e">
        <f>SUMIF(#REF!,本期合约金额规划表!D66,#REF!)</f>
        <v>#REF!</v>
      </c>
      <c r="F66" s="1047"/>
      <c r="G66" s="1047" t="e">
        <f>SUMIF(#REF!,本期合约金额规划表!D66,#REF!)</f>
        <v>#REF!</v>
      </c>
      <c r="H66" s="1047" t="e">
        <f>SUMIF(#REF!,本期合约金额规划表!D66,#REF!)</f>
        <v>#REF!</v>
      </c>
      <c r="I66" s="1047"/>
      <c r="J66" s="1047" t="e">
        <f>SUMIF('1-商业网点'!$E$4:$E$161,本期合约金额规划表!D66,'1-商业网点'!$O$4:$O$161)</f>
        <v>#REF!</v>
      </c>
      <c r="K66" s="1047" t="e">
        <f>SUMIF(#REF!,本期合约金额规划表!D66,#REF!)</f>
        <v>#REF!</v>
      </c>
      <c r="L66" s="1047" t="e">
        <f t="shared" si="0"/>
        <v>#REF!</v>
      </c>
      <c r="M66" s="1048" t="s">
        <v>2999</v>
      </c>
      <c r="N66" s="1076" t="e">
        <f>L66*10000/#REF!</f>
        <v>#REF!</v>
      </c>
      <c r="O66" s="1050" t="e">
        <v>#VALUE!</v>
      </c>
      <c r="P66" s="1050" t="e">
        <f t="shared" si="1"/>
        <v>#REF!</v>
      </c>
    </row>
    <row r="67" spans="1:16" s="1049" customFormat="1" ht="14.25" customHeight="1">
      <c r="A67" s="1045">
        <v>65</v>
      </c>
      <c r="B67" s="1046" t="s">
        <v>3023</v>
      </c>
      <c r="C67" s="1046" t="s">
        <v>3011</v>
      </c>
      <c r="D67" s="1052" t="s">
        <v>1580</v>
      </c>
      <c r="E67" s="1047" t="e">
        <f>SUMIF(#REF!,本期合约金额规划表!D67,#REF!)</f>
        <v>#REF!</v>
      </c>
      <c r="F67" s="1047"/>
      <c r="G67" s="1047" t="e">
        <f>SUMIF(#REF!,本期合约金额规划表!D67,#REF!)</f>
        <v>#REF!</v>
      </c>
      <c r="H67" s="1047" t="e">
        <f>SUMIF(#REF!,本期合约金额规划表!D67,#REF!)</f>
        <v>#REF!</v>
      </c>
      <c r="I67" s="1047"/>
      <c r="J67" s="1047" t="e">
        <f>SUMIF('1-商业网点'!$E$4:$E$161,本期合约金额规划表!D67,'1-商业网点'!$O$4:$O$161)</f>
        <v>#REF!</v>
      </c>
      <c r="K67" s="1047" t="e">
        <f>SUMIF(#REF!,本期合约金额规划表!D67,#REF!)</f>
        <v>#REF!</v>
      </c>
      <c r="L67" s="1047" t="e">
        <f t="shared" ref="L67:L107" si="2">SUM(E67:K67)</f>
        <v>#REF!</v>
      </c>
      <c r="M67" s="1048" t="s">
        <v>2999</v>
      </c>
      <c r="N67" s="1076" t="e">
        <f>L67*10000/#REF!</f>
        <v>#REF!</v>
      </c>
      <c r="O67" s="1050" t="e">
        <v>#VALUE!</v>
      </c>
      <c r="P67" s="1050" t="e">
        <f t="shared" si="1"/>
        <v>#REF!</v>
      </c>
    </row>
    <row r="68" spans="1:16" s="1049" customFormat="1" ht="14.25" customHeight="1">
      <c r="A68" s="1045">
        <v>66</v>
      </c>
      <c r="B68" s="1046" t="s">
        <v>3023</v>
      </c>
      <c r="C68" s="1053" t="s">
        <v>3011</v>
      </c>
      <c r="D68" s="1052" t="s">
        <v>1415</v>
      </c>
      <c r="E68" s="1047" t="e">
        <f>SUMIF(#REF!,本期合约金额规划表!D68,#REF!)</f>
        <v>#REF!</v>
      </c>
      <c r="F68" s="1047"/>
      <c r="G68" s="1047" t="e">
        <f>SUMIF(#REF!,本期合约金额规划表!D68,#REF!)</f>
        <v>#REF!</v>
      </c>
      <c r="H68" s="1047" t="e">
        <f>SUMIF(#REF!,本期合约金额规划表!D68,#REF!)</f>
        <v>#REF!</v>
      </c>
      <c r="I68" s="1047"/>
      <c r="J68" s="1047">
        <f>SUMIF('1-商业网点'!$E$4:$E$161,本期合约金额规划表!D68,'1-商业网点'!$O$4:$O$161)</f>
        <v>0</v>
      </c>
      <c r="K68" s="1047" t="e">
        <f>SUMIF(#REF!,本期合约金额规划表!D68,#REF!)</f>
        <v>#REF!</v>
      </c>
      <c r="L68" s="1047" t="e">
        <f t="shared" si="2"/>
        <v>#REF!</v>
      </c>
      <c r="M68" s="1048" t="s">
        <v>2999</v>
      </c>
      <c r="N68" s="1076" t="e">
        <f>L68*10000/#REF!</f>
        <v>#REF!</v>
      </c>
      <c r="O68" s="1050" t="e">
        <v>#VALUE!</v>
      </c>
      <c r="P68" s="1050" t="e">
        <f t="shared" ref="P68:P107" si="3">+L68-O68</f>
        <v>#REF!</v>
      </c>
    </row>
    <row r="69" spans="1:16" s="1049" customFormat="1" ht="14.25" customHeight="1">
      <c r="A69" s="1045">
        <v>67</v>
      </c>
      <c r="B69" s="1046" t="s">
        <v>3023</v>
      </c>
      <c r="C69" s="1046" t="s">
        <v>3011</v>
      </c>
      <c r="D69" s="1052" t="s">
        <v>3028</v>
      </c>
      <c r="E69" s="1047" t="e">
        <f>SUMIF(#REF!,本期合约金额规划表!D69,#REF!)</f>
        <v>#REF!</v>
      </c>
      <c r="F69" s="1047"/>
      <c r="G69" s="1047" t="e">
        <f>SUMIF(#REF!,本期合约金额规划表!D69,#REF!)</f>
        <v>#REF!</v>
      </c>
      <c r="H69" s="1047" t="e">
        <f>SUMIF(#REF!,本期合约金额规划表!D69,#REF!)</f>
        <v>#REF!</v>
      </c>
      <c r="I69" s="1047"/>
      <c r="J69" s="1047">
        <f>SUMIF('1-商业网点'!$E$4:$E$161,本期合约金额规划表!D69,'1-商业网点'!$O$4:$O$161)</f>
        <v>0</v>
      </c>
      <c r="K69" s="1047" t="e">
        <f>SUMIF(#REF!,本期合约金额规划表!D69,#REF!)</f>
        <v>#REF!</v>
      </c>
      <c r="L69" s="1047" t="e">
        <f t="shared" si="2"/>
        <v>#REF!</v>
      </c>
      <c r="M69" s="1048" t="s">
        <v>2999</v>
      </c>
      <c r="N69" s="1076" t="e">
        <f>L69*10000/#REF!</f>
        <v>#REF!</v>
      </c>
      <c r="O69" s="1050" t="e">
        <v>#VALUE!</v>
      </c>
      <c r="P69" s="1050" t="e">
        <f t="shared" si="3"/>
        <v>#REF!</v>
      </c>
    </row>
    <row r="70" spans="1:16" s="1049" customFormat="1" ht="14.25" customHeight="1">
      <c r="A70" s="1045">
        <v>68</v>
      </c>
      <c r="B70" s="1046" t="s">
        <v>3023</v>
      </c>
      <c r="C70" s="1046" t="s">
        <v>3020</v>
      </c>
      <c r="D70" s="1052" t="s">
        <v>462</v>
      </c>
      <c r="E70" s="1047" t="e">
        <f>SUMIF(#REF!,本期合约金额规划表!D70,#REF!)</f>
        <v>#REF!</v>
      </c>
      <c r="F70" s="1047"/>
      <c r="G70" s="1047" t="e">
        <f>SUMIF(#REF!,本期合约金额规划表!D70,#REF!)</f>
        <v>#REF!</v>
      </c>
      <c r="H70" s="1047" t="e">
        <f>SUMIF(#REF!,本期合约金额规划表!D70,#REF!)</f>
        <v>#REF!</v>
      </c>
      <c r="I70" s="1047"/>
      <c r="J70" s="1047">
        <f>SUMIF('1-商业网点'!$E$4:$E$161,本期合约金额规划表!D70,'1-商业网点'!$O$4:$O$161)</f>
        <v>0</v>
      </c>
      <c r="K70" s="1047" t="e">
        <f>SUMIF(#REF!,本期合约金额规划表!D70,#REF!)</f>
        <v>#REF!</v>
      </c>
      <c r="L70" s="1047" t="e">
        <f t="shared" si="2"/>
        <v>#REF!</v>
      </c>
      <c r="M70" s="1048" t="s">
        <v>2999</v>
      </c>
      <c r="N70" s="1076" t="e">
        <f>L70*10000/#REF!</f>
        <v>#REF!</v>
      </c>
      <c r="O70" s="1050" t="e">
        <v>#VALUE!</v>
      </c>
      <c r="P70" s="1050" t="e">
        <f t="shared" si="3"/>
        <v>#REF!</v>
      </c>
    </row>
    <row r="71" spans="1:16" s="1049" customFormat="1" ht="14.25" customHeight="1">
      <c r="A71" s="1045">
        <v>69</v>
      </c>
      <c r="B71" s="1046" t="s">
        <v>3023</v>
      </c>
      <c r="C71" s="1046" t="s">
        <v>3020</v>
      </c>
      <c r="D71" s="1052" t="s">
        <v>464</v>
      </c>
      <c r="E71" s="1047" t="e">
        <f>SUMIF(#REF!,本期合约金额规划表!D71,#REF!)</f>
        <v>#REF!</v>
      </c>
      <c r="F71" s="1047"/>
      <c r="G71" s="1047" t="e">
        <f>SUMIF(#REF!,本期合约金额规划表!D71,#REF!)</f>
        <v>#REF!</v>
      </c>
      <c r="H71" s="1047" t="e">
        <f>SUMIF(#REF!,本期合约金额规划表!D71,#REF!)</f>
        <v>#REF!</v>
      </c>
      <c r="I71" s="1047"/>
      <c r="J71" s="1047">
        <f>SUMIF('1-商业网点'!$E$4:$E$161,本期合约金额规划表!D71,'1-商业网点'!$O$4:$O$161)</f>
        <v>0</v>
      </c>
      <c r="K71" s="1047" t="e">
        <f>SUMIF(#REF!,本期合约金额规划表!D71,#REF!)</f>
        <v>#REF!</v>
      </c>
      <c r="L71" s="1047" t="e">
        <f t="shared" si="2"/>
        <v>#REF!</v>
      </c>
      <c r="M71" s="1048" t="s">
        <v>2999</v>
      </c>
      <c r="N71" s="1076" t="e">
        <f>L71*10000/#REF!</f>
        <v>#REF!</v>
      </c>
      <c r="O71" s="1050" t="e">
        <v>#VALUE!</v>
      </c>
      <c r="P71" s="1050" t="e">
        <f t="shared" si="3"/>
        <v>#REF!</v>
      </c>
    </row>
    <row r="72" spans="1:16" s="1049" customFormat="1" ht="14.25" customHeight="1">
      <c r="A72" s="1045">
        <v>70</v>
      </c>
      <c r="B72" s="1046" t="s">
        <v>3023</v>
      </c>
      <c r="C72" s="1046" t="s">
        <v>3011</v>
      </c>
      <c r="D72" s="1052" t="s">
        <v>1278</v>
      </c>
      <c r="E72" s="1047" t="e">
        <f>SUMIF(#REF!,本期合约金额规划表!D72,#REF!)</f>
        <v>#REF!</v>
      </c>
      <c r="F72" s="1047"/>
      <c r="G72" s="1047" t="e">
        <f>SUMIF(#REF!,本期合约金额规划表!D72,#REF!)</f>
        <v>#REF!</v>
      </c>
      <c r="H72" s="1047" t="e">
        <f>SUMIF(#REF!,本期合约金额规划表!D72,#REF!)</f>
        <v>#REF!</v>
      </c>
      <c r="I72" s="1047"/>
      <c r="J72" s="1047">
        <f>SUMIF('1-商业网点'!$E$4:$E$161,本期合约金额规划表!D72,'1-商业网点'!$O$4:$O$161)</f>
        <v>0</v>
      </c>
      <c r="K72" s="1047" t="e">
        <f>SUMIF(#REF!,本期合约金额规划表!D72,#REF!)</f>
        <v>#REF!</v>
      </c>
      <c r="L72" s="1047" t="e">
        <f t="shared" si="2"/>
        <v>#REF!</v>
      </c>
      <c r="M72" s="1048" t="s">
        <v>2999</v>
      </c>
      <c r="N72" s="1076" t="e">
        <f>L72*10000/#REF!</f>
        <v>#REF!</v>
      </c>
      <c r="O72" s="1050" t="e">
        <v>#VALUE!</v>
      </c>
      <c r="P72" s="1050" t="e">
        <f t="shared" si="3"/>
        <v>#REF!</v>
      </c>
    </row>
    <row r="73" spans="1:16" s="1049" customFormat="1" ht="14.25" customHeight="1">
      <c r="A73" s="1045">
        <v>71</v>
      </c>
      <c r="B73" s="1046" t="s">
        <v>3023</v>
      </c>
      <c r="C73" s="1053" t="s">
        <v>3011</v>
      </c>
      <c r="D73" s="1052" t="s">
        <v>1282</v>
      </c>
      <c r="E73" s="1047" t="e">
        <f>SUMIF(#REF!,本期合约金额规划表!D73,#REF!)</f>
        <v>#REF!</v>
      </c>
      <c r="F73" s="1047"/>
      <c r="G73" s="1047" t="e">
        <f>SUMIF(#REF!,本期合约金额规划表!D73,#REF!)</f>
        <v>#REF!</v>
      </c>
      <c r="H73" s="1047" t="e">
        <f>SUMIF(#REF!,本期合约金额规划表!D73,#REF!)</f>
        <v>#REF!</v>
      </c>
      <c r="I73" s="1047"/>
      <c r="J73" s="1047">
        <f>SUMIF('1-商业网点'!$E$4:$E$161,本期合约金额规划表!D73,'1-商业网点'!$O$4:$O$161)</f>
        <v>0</v>
      </c>
      <c r="K73" s="1047" t="e">
        <f>SUMIF(#REF!,本期合约金额规划表!D73,#REF!)</f>
        <v>#REF!</v>
      </c>
      <c r="L73" s="1047" t="e">
        <f t="shared" si="2"/>
        <v>#REF!</v>
      </c>
      <c r="M73" s="1048" t="s">
        <v>2999</v>
      </c>
      <c r="N73" s="1076" t="e">
        <f>L73*10000/#REF!</f>
        <v>#REF!</v>
      </c>
      <c r="O73" s="1050" t="e">
        <v>#VALUE!</v>
      </c>
      <c r="P73" s="1050" t="e">
        <f t="shared" si="3"/>
        <v>#REF!</v>
      </c>
    </row>
    <row r="74" spans="1:16" s="1049" customFormat="1" ht="14.25" customHeight="1">
      <c r="A74" s="1045">
        <v>72</v>
      </c>
      <c r="B74" s="1046" t="s">
        <v>3023</v>
      </c>
      <c r="C74" s="1053" t="s">
        <v>3011</v>
      </c>
      <c r="D74" s="1052" t="s">
        <v>1288</v>
      </c>
      <c r="E74" s="1047" t="e">
        <f>SUMIF(#REF!,本期合约金额规划表!D74,#REF!)</f>
        <v>#REF!</v>
      </c>
      <c r="F74" s="1047"/>
      <c r="G74" s="1047" t="e">
        <f>SUMIF(#REF!,本期合约金额规划表!D74,#REF!)</f>
        <v>#REF!</v>
      </c>
      <c r="H74" s="1047" t="e">
        <f>SUMIF(#REF!,本期合约金额规划表!D74,#REF!)</f>
        <v>#REF!</v>
      </c>
      <c r="I74" s="1047"/>
      <c r="J74" s="1047">
        <f>SUMIF('1-商业网点'!$E$4:$E$161,本期合约金额规划表!D74,'1-商业网点'!$O$4:$O$161)</f>
        <v>0</v>
      </c>
      <c r="K74" s="1047" t="e">
        <f>SUMIF(#REF!,本期合约金额规划表!D74,#REF!)</f>
        <v>#REF!</v>
      </c>
      <c r="L74" s="1047" t="e">
        <f t="shared" si="2"/>
        <v>#REF!</v>
      </c>
      <c r="M74" s="1048" t="s">
        <v>2999</v>
      </c>
      <c r="N74" s="1076" t="e">
        <f>L74*10000/#REF!</f>
        <v>#REF!</v>
      </c>
      <c r="O74" s="1050" t="e">
        <v>#VALUE!</v>
      </c>
      <c r="P74" s="1050" t="e">
        <f t="shared" si="3"/>
        <v>#REF!</v>
      </c>
    </row>
    <row r="75" spans="1:16" s="1049" customFormat="1" ht="14.25" customHeight="1">
      <c r="A75" s="1045">
        <v>73</v>
      </c>
      <c r="B75" s="1046" t="s">
        <v>3023</v>
      </c>
      <c r="C75" s="1053" t="s">
        <v>3020</v>
      </c>
      <c r="D75" s="1052" t="s">
        <v>455</v>
      </c>
      <c r="E75" s="1047" t="e">
        <f>SUMIF(#REF!,本期合约金额规划表!D75,#REF!)</f>
        <v>#REF!</v>
      </c>
      <c r="F75" s="1047"/>
      <c r="G75" s="1047" t="e">
        <f>SUMIF(#REF!,本期合约金额规划表!D75,#REF!)</f>
        <v>#REF!</v>
      </c>
      <c r="H75" s="1047" t="e">
        <f>SUMIF(#REF!,本期合约金额规划表!D75,#REF!)</f>
        <v>#REF!</v>
      </c>
      <c r="I75" s="1047"/>
      <c r="J75" s="1047" t="e">
        <f>SUMIF('1-商业网点'!$E$4:$E$161,本期合约金额规划表!D75,'1-商业网点'!$O$4:$O$161)</f>
        <v>#REF!</v>
      </c>
      <c r="K75" s="1047" t="e">
        <f>SUMIF(#REF!,本期合约金额规划表!D75,#REF!)</f>
        <v>#REF!</v>
      </c>
      <c r="L75" s="1047" t="e">
        <f t="shared" si="2"/>
        <v>#REF!</v>
      </c>
      <c r="M75" s="1048" t="s">
        <v>2999</v>
      </c>
      <c r="N75" s="1076" t="e">
        <f>L75*10000/#REF!</f>
        <v>#REF!</v>
      </c>
      <c r="O75" s="1050" t="e">
        <v>#VALUE!</v>
      </c>
      <c r="P75" s="1050" t="e">
        <f t="shared" si="3"/>
        <v>#REF!</v>
      </c>
    </row>
    <row r="76" spans="1:16" s="1049" customFormat="1" ht="14.25" customHeight="1">
      <c r="A76" s="1045">
        <v>74</v>
      </c>
      <c r="B76" s="1046" t="s">
        <v>3023</v>
      </c>
      <c r="C76" s="1053" t="s">
        <v>3020</v>
      </c>
      <c r="D76" s="1052" t="s">
        <v>460</v>
      </c>
      <c r="E76" s="1047" t="e">
        <f>SUMIF(#REF!,本期合约金额规划表!D76,#REF!)</f>
        <v>#REF!</v>
      </c>
      <c r="F76" s="1047"/>
      <c r="G76" s="1047" t="e">
        <f>SUMIF(#REF!,本期合约金额规划表!D76,#REF!)</f>
        <v>#REF!</v>
      </c>
      <c r="H76" s="1047" t="e">
        <f>SUMIF(#REF!,本期合约金额规划表!D76,#REF!)</f>
        <v>#REF!</v>
      </c>
      <c r="I76" s="1047"/>
      <c r="J76" s="1047" t="e">
        <f>SUMIF('1-商业网点'!$E$4:$E$161,本期合约金额规划表!D76,'1-商业网点'!$O$4:$O$161)</f>
        <v>#REF!</v>
      </c>
      <c r="K76" s="1047" t="e">
        <f>SUMIF(#REF!,本期合约金额规划表!D76,#REF!)</f>
        <v>#REF!</v>
      </c>
      <c r="L76" s="1047" t="e">
        <f t="shared" si="2"/>
        <v>#REF!</v>
      </c>
      <c r="M76" s="1048" t="s">
        <v>2999</v>
      </c>
      <c r="N76" s="1076" t="e">
        <f>L76*10000/#REF!</f>
        <v>#REF!</v>
      </c>
      <c r="O76" s="1050" t="e">
        <v>#VALUE!</v>
      </c>
      <c r="P76" s="1050" t="e">
        <f t="shared" si="3"/>
        <v>#REF!</v>
      </c>
    </row>
    <row r="77" spans="1:16" s="1049" customFormat="1" ht="14.25" hidden="1" customHeight="1">
      <c r="A77" s="1045">
        <v>75</v>
      </c>
      <c r="B77" s="1046" t="s">
        <v>3023</v>
      </c>
      <c r="C77" s="1053" t="s">
        <v>3020</v>
      </c>
      <c r="D77" s="1052" t="s">
        <v>1530</v>
      </c>
      <c r="E77" s="1047" t="e">
        <f>SUMIF(#REF!,本期合约金额规划表!D77,#REF!)</f>
        <v>#REF!</v>
      </c>
      <c r="F77" s="1047"/>
      <c r="G77" s="1047" t="e">
        <f>SUMIF(#REF!,本期合约金额规划表!D77,#REF!)</f>
        <v>#REF!</v>
      </c>
      <c r="H77" s="1047" t="e">
        <f>SUMIF(#REF!,本期合约金额规划表!D77,#REF!)</f>
        <v>#REF!</v>
      </c>
      <c r="I77" s="1047"/>
      <c r="J77" s="1047">
        <f>SUMIF('1-商业网点'!$E$4:$E$161,本期合约金额规划表!D77,'1-商业网点'!$O$4:$O$161)</f>
        <v>0</v>
      </c>
      <c r="K77" s="1047" t="e">
        <f>SUMIF(#REF!,本期合约金额规划表!D77,#REF!)</f>
        <v>#REF!</v>
      </c>
      <c r="L77" s="1047" t="e">
        <f t="shared" si="2"/>
        <v>#REF!</v>
      </c>
      <c r="M77" s="1048" t="s">
        <v>2999</v>
      </c>
      <c r="N77" s="1076" t="e">
        <f>L77*10000/#REF!</f>
        <v>#REF!</v>
      </c>
      <c r="O77" s="1050" t="e">
        <v>#VALUE!</v>
      </c>
      <c r="P77" s="1050" t="e">
        <f t="shared" si="3"/>
        <v>#REF!</v>
      </c>
    </row>
    <row r="78" spans="1:16" s="1049" customFormat="1" ht="14.25" customHeight="1">
      <c r="A78" s="1045">
        <v>76</v>
      </c>
      <c r="B78" s="1046" t="s">
        <v>3023</v>
      </c>
      <c r="C78" s="1053" t="s">
        <v>3011</v>
      </c>
      <c r="D78" s="1052" t="s">
        <v>3029</v>
      </c>
      <c r="E78" s="1047" t="e">
        <f>SUMIF(#REF!,本期合约金额规划表!D78,#REF!)</f>
        <v>#REF!</v>
      </c>
      <c r="F78" s="1047"/>
      <c r="G78" s="1047" t="e">
        <f>SUMIF(#REF!,本期合约金额规划表!D78,#REF!)</f>
        <v>#REF!</v>
      </c>
      <c r="H78" s="1047" t="e">
        <f>SUMIF(#REF!,本期合约金额规划表!D78,#REF!)</f>
        <v>#REF!</v>
      </c>
      <c r="I78" s="1047"/>
      <c r="J78" s="1047" t="e">
        <f>SUMIF('1-商业网点'!$E$4:$E$161,本期合约金额规划表!D78,'1-商业网点'!$O$4:$O$161)</f>
        <v>#REF!</v>
      </c>
      <c r="K78" s="1047" t="e">
        <f>SUMIF(#REF!,本期合约金额规划表!D78,#REF!)</f>
        <v>#REF!</v>
      </c>
      <c r="L78" s="1047" t="e">
        <f t="shared" si="2"/>
        <v>#REF!</v>
      </c>
      <c r="M78" s="1048" t="s">
        <v>2999</v>
      </c>
      <c r="N78" s="1076" t="e">
        <f>L78*10000/#REF!</f>
        <v>#REF!</v>
      </c>
      <c r="O78" s="1050" t="e">
        <v>#VALUE!</v>
      </c>
      <c r="P78" s="1050" t="e">
        <f t="shared" si="3"/>
        <v>#REF!</v>
      </c>
    </row>
    <row r="79" spans="1:16" s="1049" customFormat="1" ht="14.25" hidden="1" customHeight="1">
      <c r="A79" s="1045">
        <v>77</v>
      </c>
      <c r="B79" s="1046" t="s">
        <v>3023</v>
      </c>
      <c r="C79" s="1053" t="s">
        <v>3011</v>
      </c>
      <c r="D79" s="1052" t="s">
        <v>3030</v>
      </c>
      <c r="E79" s="1047" t="e">
        <f>SUMIF(#REF!,本期合约金额规划表!D79,#REF!)</f>
        <v>#REF!</v>
      </c>
      <c r="F79" s="1047"/>
      <c r="G79" s="1047" t="e">
        <f>SUMIF(#REF!,本期合约金额规划表!D79,#REF!)</f>
        <v>#REF!</v>
      </c>
      <c r="H79" s="1047" t="e">
        <f>SUMIF(#REF!,本期合约金额规划表!D79,#REF!)</f>
        <v>#REF!</v>
      </c>
      <c r="I79" s="1047"/>
      <c r="J79" s="1047">
        <f>SUMIF('1-商业网点'!$E$4:$E$161,本期合约金额规划表!D79,'1-商业网点'!$O$4:$O$161)</f>
        <v>0</v>
      </c>
      <c r="K79" s="1047" t="e">
        <f>SUMIF(#REF!,本期合约金额规划表!D79,#REF!)</f>
        <v>#REF!</v>
      </c>
      <c r="L79" s="1047" t="e">
        <f>SUM(E79:K79)</f>
        <v>#REF!</v>
      </c>
      <c r="M79" s="1048" t="s">
        <v>2999</v>
      </c>
      <c r="N79" s="1076" t="e">
        <f>L79*10000/#REF!</f>
        <v>#REF!</v>
      </c>
      <c r="O79" s="1050" t="e">
        <v>#VALUE!</v>
      </c>
      <c r="P79" s="1050" t="e">
        <f t="shared" si="3"/>
        <v>#REF!</v>
      </c>
    </row>
    <row r="80" spans="1:16" s="1049" customFormat="1" ht="14.25" customHeight="1">
      <c r="A80" s="1045">
        <v>78</v>
      </c>
      <c r="B80" s="1046" t="s">
        <v>3023</v>
      </c>
      <c r="C80" s="1046" t="s">
        <v>3011</v>
      </c>
      <c r="D80" s="1052" t="s">
        <v>1583</v>
      </c>
      <c r="E80" s="1047" t="e">
        <f>SUMIF(#REF!,本期合约金额规划表!D80,#REF!)</f>
        <v>#REF!</v>
      </c>
      <c r="F80" s="1047"/>
      <c r="G80" s="1047" t="e">
        <f>SUMIF(#REF!,本期合约金额规划表!D80,#REF!)</f>
        <v>#REF!</v>
      </c>
      <c r="H80" s="1047" t="e">
        <f>SUMIF(#REF!,本期合约金额规划表!D80,#REF!)</f>
        <v>#REF!</v>
      </c>
      <c r="I80" s="1047"/>
      <c r="J80" s="1047" t="e">
        <f>SUMIF('1-商业网点'!$E$4:$E$161,本期合约金额规划表!D80,'1-商业网点'!$O$4:$O$161)</f>
        <v>#REF!</v>
      </c>
      <c r="K80" s="1047" t="e">
        <f>SUMIF(#REF!,本期合约金额规划表!D80,#REF!)</f>
        <v>#REF!</v>
      </c>
      <c r="L80" s="1047" t="e">
        <f t="shared" si="2"/>
        <v>#REF!</v>
      </c>
      <c r="M80" s="1048" t="s">
        <v>2999</v>
      </c>
      <c r="N80" s="1076" t="e">
        <f>L80*10000/#REF!</f>
        <v>#REF!</v>
      </c>
      <c r="O80" s="1050" t="e">
        <v>#VALUE!</v>
      </c>
      <c r="P80" s="1050" t="e">
        <f t="shared" si="3"/>
        <v>#REF!</v>
      </c>
    </row>
    <row r="81" spans="1:16" s="1049" customFormat="1" ht="14.25" customHeight="1">
      <c r="A81" s="1045">
        <v>79</v>
      </c>
      <c r="B81" s="1046" t="s">
        <v>3023</v>
      </c>
      <c r="C81" s="1046" t="s">
        <v>3011</v>
      </c>
      <c r="D81" s="1081" t="s">
        <v>1609</v>
      </c>
      <c r="E81" s="1047" t="e">
        <f>SUMIF(#REF!,本期合约金额规划表!D81,#REF!)</f>
        <v>#REF!</v>
      </c>
      <c r="F81" s="1047"/>
      <c r="G81" s="1047" t="e">
        <f>SUMIF(#REF!,本期合约金额规划表!D81,#REF!)</f>
        <v>#REF!</v>
      </c>
      <c r="H81" s="1047" t="e">
        <f>SUMIF(#REF!,本期合约金额规划表!D81,#REF!)</f>
        <v>#REF!</v>
      </c>
      <c r="I81" s="1047"/>
      <c r="J81" s="1047" t="e">
        <f>SUMIF('1-商业网点'!$E$4:$E$161,本期合约金额规划表!D81,'1-商业网点'!$O$4:$O$161)</f>
        <v>#REF!</v>
      </c>
      <c r="K81" s="1047" t="e">
        <f>SUMIF(#REF!,本期合约金额规划表!D81,#REF!)</f>
        <v>#REF!</v>
      </c>
      <c r="L81" s="1047" t="e">
        <f t="shared" si="2"/>
        <v>#REF!</v>
      </c>
      <c r="M81" s="1048" t="s">
        <v>2999</v>
      </c>
      <c r="N81" s="1076" t="e">
        <f>L81*10000/#REF!</f>
        <v>#REF!</v>
      </c>
      <c r="O81" s="1050" t="e">
        <v>#VALUE!</v>
      </c>
      <c r="P81" s="1050" t="e">
        <f t="shared" si="3"/>
        <v>#REF!</v>
      </c>
    </row>
    <row r="82" spans="1:16" s="1049" customFormat="1" ht="14.25" hidden="1" customHeight="1">
      <c r="A82" s="1045">
        <v>80</v>
      </c>
      <c r="B82" s="1046" t="s">
        <v>3023</v>
      </c>
      <c r="C82" s="1046" t="s">
        <v>3011</v>
      </c>
      <c r="D82" s="1052" t="s">
        <v>468</v>
      </c>
      <c r="E82" s="1047" t="e">
        <f>SUMIF(#REF!,本期合约金额规划表!D82,#REF!)</f>
        <v>#REF!</v>
      </c>
      <c r="F82" s="1047"/>
      <c r="G82" s="1047" t="e">
        <f>SUMIF(#REF!,本期合约金额规划表!D82,#REF!)</f>
        <v>#REF!</v>
      </c>
      <c r="H82" s="1047" t="e">
        <f>SUMIF(#REF!,本期合约金额规划表!D82,#REF!)</f>
        <v>#REF!</v>
      </c>
      <c r="I82" s="1047"/>
      <c r="J82" s="1047" t="e">
        <f>SUMIF('1-商业网点'!$E$4:$E$161,本期合约金额规划表!D82,'1-商业网点'!$O$4:$O$161)</f>
        <v>#REF!</v>
      </c>
      <c r="K82" s="1047" t="e">
        <f>SUMIF(#REF!,本期合约金额规划表!D82,#REF!)</f>
        <v>#REF!</v>
      </c>
      <c r="L82" s="1047" t="e">
        <f t="shared" si="2"/>
        <v>#REF!</v>
      </c>
      <c r="M82" s="1048" t="s">
        <v>2999</v>
      </c>
      <c r="N82" s="1076" t="e">
        <f>L82*10000/#REF!</f>
        <v>#REF!</v>
      </c>
      <c r="O82" s="1050" t="e">
        <v>#VALUE!</v>
      </c>
      <c r="P82" s="1050" t="e">
        <f t="shared" si="3"/>
        <v>#REF!</v>
      </c>
    </row>
    <row r="83" spans="1:16" s="1049" customFormat="1" ht="14.25" customHeight="1">
      <c r="A83" s="1045">
        <v>81</v>
      </c>
      <c r="B83" s="1046" t="s">
        <v>3023</v>
      </c>
      <c r="C83" s="1046" t="s">
        <v>3011</v>
      </c>
      <c r="D83" s="1081" t="s">
        <v>3031</v>
      </c>
      <c r="E83" s="1047" t="e">
        <f>SUMIF(#REF!,本期合约金额规划表!D83,#REF!)</f>
        <v>#REF!</v>
      </c>
      <c r="F83" s="1047"/>
      <c r="G83" s="1047" t="e">
        <f>SUMIF(#REF!,本期合约金额规划表!D83,#REF!)</f>
        <v>#REF!</v>
      </c>
      <c r="H83" s="1047" t="e">
        <f>SUMIF(#REF!,本期合约金额规划表!D83,#REF!)</f>
        <v>#REF!</v>
      </c>
      <c r="I83" s="1047"/>
      <c r="J83" s="1047" t="e">
        <f>SUMIF('1-商业网点'!$E$4:$E$161,本期合约金额规划表!D83,'1-商业网点'!$O$4:$O$161)</f>
        <v>#REF!</v>
      </c>
      <c r="K83" s="1047" t="e">
        <f>SUMIF(#REF!,本期合约金额规划表!D83,#REF!)</f>
        <v>#REF!</v>
      </c>
      <c r="L83" s="1047" t="e">
        <f>SUM(E83:K83)</f>
        <v>#REF!</v>
      </c>
      <c r="M83" s="1048" t="s">
        <v>2999</v>
      </c>
      <c r="N83" s="1076" t="e">
        <f>L83*10000/#REF!</f>
        <v>#REF!</v>
      </c>
      <c r="O83" s="1050" t="e">
        <v>#VALUE!</v>
      </c>
      <c r="P83" s="1050" t="e">
        <f t="shared" si="3"/>
        <v>#REF!</v>
      </c>
    </row>
    <row r="84" spans="1:16" s="1049" customFormat="1" ht="14.25" customHeight="1">
      <c r="A84" s="1045">
        <v>82</v>
      </c>
      <c r="B84" s="1046" t="s">
        <v>3023</v>
      </c>
      <c r="C84" s="1046" t="s">
        <v>3011</v>
      </c>
      <c r="D84" s="1052" t="s">
        <v>470</v>
      </c>
      <c r="E84" s="1047" t="e">
        <f>SUMIF(#REF!,本期合约金额规划表!D84,#REF!)</f>
        <v>#REF!</v>
      </c>
      <c r="F84" s="1047"/>
      <c r="G84" s="1047" t="e">
        <f>SUMIF(#REF!,本期合约金额规划表!D84,#REF!)</f>
        <v>#REF!</v>
      </c>
      <c r="H84" s="1047" t="e">
        <f>SUMIF(#REF!,本期合约金额规划表!D84,#REF!)</f>
        <v>#REF!</v>
      </c>
      <c r="I84" s="1047"/>
      <c r="J84" s="1047" t="e">
        <f>SUMIF('1-商业网点'!$E$4:$E$161,本期合约金额规划表!D84,'1-商业网点'!$O$4:$O$161)</f>
        <v>#REF!</v>
      </c>
      <c r="K84" s="1047" t="e">
        <f>SUMIF(#REF!,本期合约金额规划表!D84,#REF!)</f>
        <v>#REF!</v>
      </c>
      <c r="L84" s="1047" t="e">
        <f t="shared" si="2"/>
        <v>#REF!</v>
      </c>
      <c r="M84" s="1048" t="s">
        <v>2999</v>
      </c>
      <c r="N84" s="1076" t="e">
        <f>L84*10000/#REF!</f>
        <v>#REF!</v>
      </c>
      <c r="O84" s="1050" t="e">
        <v>#VALUE!</v>
      </c>
      <c r="P84" s="1050" t="e">
        <f t="shared" si="3"/>
        <v>#REF!</v>
      </c>
    </row>
    <row r="85" spans="1:16" s="1049" customFormat="1" ht="14.25" customHeight="1">
      <c r="A85" s="1045">
        <v>83</v>
      </c>
      <c r="B85" s="1046" t="s">
        <v>3023</v>
      </c>
      <c r="C85" s="1046" t="s">
        <v>3020</v>
      </c>
      <c r="D85" s="1052" t="s">
        <v>1293</v>
      </c>
      <c r="E85" s="1047" t="e">
        <f>SUMIF(#REF!,本期合约金额规划表!D85,#REF!)</f>
        <v>#REF!</v>
      </c>
      <c r="F85" s="1047"/>
      <c r="G85" s="1047" t="e">
        <f>SUMIF(#REF!,本期合约金额规划表!D85,#REF!)</f>
        <v>#REF!</v>
      </c>
      <c r="H85" s="1047" t="e">
        <f>SUMIF(#REF!,本期合约金额规划表!D85,#REF!)</f>
        <v>#REF!</v>
      </c>
      <c r="I85" s="1047"/>
      <c r="J85" s="1047">
        <f>SUMIF('1-商业网点'!$E$4:$E$161,本期合约金额规划表!D85,'1-商业网点'!$O$4:$O$161)</f>
        <v>0</v>
      </c>
      <c r="K85" s="1047" t="e">
        <f>SUMIF(#REF!,本期合约金额规划表!D85,#REF!)</f>
        <v>#REF!</v>
      </c>
      <c r="L85" s="1047" t="e">
        <f t="shared" si="2"/>
        <v>#REF!</v>
      </c>
      <c r="M85" s="1048" t="s">
        <v>2999</v>
      </c>
      <c r="N85" s="1076" t="e">
        <f>L85*10000/#REF!</f>
        <v>#REF!</v>
      </c>
      <c r="O85" s="1050" t="e">
        <v>#VALUE!</v>
      </c>
      <c r="P85" s="1050" t="e">
        <f t="shared" si="3"/>
        <v>#REF!</v>
      </c>
    </row>
    <row r="86" spans="1:16" s="1049" customFormat="1" ht="14.25" customHeight="1">
      <c r="A86" s="1045">
        <v>84</v>
      </c>
      <c r="B86" s="1046" t="s">
        <v>3023</v>
      </c>
      <c r="C86" s="1046" t="s">
        <v>3020</v>
      </c>
      <c r="D86" s="1052" t="s">
        <v>1502</v>
      </c>
      <c r="E86" s="1047" t="e">
        <f>SUMIF(#REF!,本期合约金额规划表!D86,#REF!)</f>
        <v>#REF!</v>
      </c>
      <c r="F86" s="1047"/>
      <c r="G86" s="1047" t="e">
        <f>SUMIF(#REF!,本期合约金额规划表!D86,#REF!)</f>
        <v>#REF!</v>
      </c>
      <c r="H86" s="1047" t="e">
        <f>SUMIF(#REF!,本期合约金额规划表!D86,#REF!)</f>
        <v>#REF!</v>
      </c>
      <c r="I86" s="1047"/>
      <c r="J86" s="1047" t="e">
        <f>SUMIF('1-商业网点'!$E$4:$E$161,本期合约金额规划表!D86,'1-商业网点'!$O$4:$O$161)</f>
        <v>#REF!</v>
      </c>
      <c r="K86" s="1047" t="e">
        <f>SUMIF(#REF!,本期合约金额规划表!D86,#REF!)</f>
        <v>#REF!</v>
      </c>
      <c r="L86" s="1047" t="e">
        <f t="shared" si="2"/>
        <v>#REF!</v>
      </c>
      <c r="M86" s="1048" t="s">
        <v>2999</v>
      </c>
      <c r="N86" s="1076" t="e">
        <f>L86*10000/#REF!</f>
        <v>#REF!</v>
      </c>
      <c r="O86" s="1050" t="e">
        <v>#VALUE!</v>
      </c>
      <c r="P86" s="1050" t="e">
        <f t="shared" si="3"/>
        <v>#REF!</v>
      </c>
    </row>
    <row r="87" spans="1:16" s="1049" customFormat="1" ht="14.25" hidden="1" customHeight="1">
      <c r="A87" s="1045">
        <v>85</v>
      </c>
      <c r="B87" s="1046" t="s">
        <v>3023</v>
      </c>
      <c r="C87" s="1046" t="s">
        <v>3020</v>
      </c>
      <c r="D87" s="1054" t="s">
        <v>1312</v>
      </c>
      <c r="E87" s="1047" t="e">
        <f>SUMIF(#REF!,本期合约金额规划表!D87,#REF!)</f>
        <v>#REF!</v>
      </c>
      <c r="F87" s="1047"/>
      <c r="G87" s="1047" t="e">
        <f>SUMIF(#REF!,本期合约金额规划表!D87,#REF!)</f>
        <v>#REF!</v>
      </c>
      <c r="H87" s="1047" t="e">
        <f>SUMIF(#REF!,本期合约金额规划表!D87,#REF!)</f>
        <v>#REF!</v>
      </c>
      <c r="I87" s="1047"/>
      <c r="J87" s="1047">
        <f>SUMIF('1-商业网点'!$E$4:$E$161,本期合约金额规划表!D87,'1-商业网点'!$O$4:$O$161)</f>
        <v>0</v>
      </c>
      <c r="K87" s="1047" t="e">
        <f>SUMIF(#REF!,本期合约金额规划表!D87,#REF!)</f>
        <v>#REF!</v>
      </c>
      <c r="L87" s="1047" t="e">
        <f t="shared" si="2"/>
        <v>#REF!</v>
      </c>
      <c r="M87" s="1048" t="s">
        <v>2999</v>
      </c>
      <c r="N87" s="1076" t="e">
        <f>L87*10000/#REF!</f>
        <v>#REF!</v>
      </c>
      <c r="O87" s="1050" t="e">
        <v>#VALUE!</v>
      </c>
      <c r="P87" s="1050" t="e">
        <f t="shared" si="3"/>
        <v>#REF!</v>
      </c>
    </row>
    <row r="88" spans="1:16" s="1049" customFormat="1" ht="14.25" hidden="1" customHeight="1">
      <c r="A88" s="1045">
        <v>86</v>
      </c>
      <c r="B88" s="1046" t="s">
        <v>3023</v>
      </c>
      <c r="C88" s="1046" t="s">
        <v>3020</v>
      </c>
      <c r="D88" s="1054" t="s">
        <v>1310</v>
      </c>
      <c r="E88" s="1047" t="e">
        <f>SUMIF(#REF!,本期合约金额规划表!D88,#REF!)</f>
        <v>#REF!</v>
      </c>
      <c r="F88" s="1047"/>
      <c r="G88" s="1047" t="e">
        <f>SUMIF(#REF!,本期合约金额规划表!D88,#REF!)</f>
        <v>#REF!</v>
      </c>
      <c r="H88" s="1047" t="e">
        <f>SUMIF(#REF!,本期合约金额规划表!D88,#REF!)</f>
        <v>#REF!</v>
      </c>
      <c r="I88" s="1047"/>
      <c r="J88" s="1047">
        <f>SUMIF('1-商业网点'!$E$4:$E$161,本期合约金额规划表!D88,'1-商业网点'!$O$4:$O$161)</f>
        <v>0</v>
      </c>
      <c r="K88" s="1047" t="e">
        <f>SUMIF(#REF!,本期合约金额规划表!D88,#REF!)</f>
        <v>#REF!</v>
      </c>
      <c r="L88" s="1047" t="e">
        <f t="shared" si="2"/>
        <v>#REF!</v>
      </c>
      <c r="M88" s="1048" t="s">
        <v>3032</v>
      </c>
      <c r="N88" s="1076" t="e">
        <f>L88*10000/#REF!</f>
        <v>#REF!</v>
      </c>
      <c r="O88" s="1050" t="e">
        <v>#VALUE!</v>
      </c>
      <c r="P88" s="1050" t="e">
        <f t="shared" si="3"/>
        <v>#REF!</v>
      </c>
    </row>
    <row r="89" spans="1:16" s="1049" customFormat="1" ht="14.25" hidden="1" customHeight="1">
      <c r="A89" s="1045">
        <v>87</v>
      </c>
      <c r="B89" s="1046" t="s">
        <v>3023</v>
      </c>
      <c r="C89" s="1046" t="s">
        <v>3020</v>
      </c>
      <c r="D89" s="1054" t="s">
        <v>1091</v>
      </c>
      <c r="E89" s="1047" t="e">
        <f>SUMIF(#REF!,本期合约金额规划表!D89,#REF!)</f>
        <v>#REF!</v>
      </c>
      <c r="F89" s="1047"/>
      <c r="G89" s="1047" t="e">
        <f>SUMIF(#REF!,本期合约金额规划表!D89,#REF!)</f>
        <v>#REF!</v>
      </c>
      <c r="H89" s="1047" t="e">
        <f>SUMIF(#REF!,本期合约金额规划表!D89,#REF!)</f>
        <v>#REF!</v>
      </c>
      <c r="I89" s="1047"/>
      <c r="J89" s="1047">
        <f>SUMIF('1-商业网点'!$E$4:$E$161,本期合约金额规划表!D89,'1-商业网点'!$O$4:$O$161)</f>
        <v>0</v>
      </c>
      <c r="K89" s="1047" t="e">
        <f>SUMIF(#REF!,本期合约金额规划表!D89,#REF!)</f>
        <v>#REF!</v>
      </c>
      <c r="L89" s="1047" t="e">
        <f>SUM(E89:K89)</f>
        <v>#REF!</v>
      </c>
      <c r="M89" s="1048" t="s">
        <v>3033</v>
      </c>
      <c r="N89" s="1076" t="e">
        <f>L89*10000/#REF!</f>
        <v>#REF!</v>
      </c>
      <c r="O89" s="1050" t="e">
        <v>#VALUE!</v>
      </c>
      <c r="P89" s="1050" t="e">
        <f t="shared" si="3"/>
        <v>#REF!</v>
      </c>
    </row>
    <row r="90" spans="1:16" s="1049" customFormat="1" ht="14.25" customHeight="1">
      <c r="A90" s="1045">
        <v>88</v>
      </c>
      <c r="B90" s="1046" t="s">
        <v>3023</v>
      </c>
      <c r="C90" s="1046" t="s">
        <v>3020</v>
      </c>
      <c r="D90" s="1054" t="s">
        <v>458</v>
      </c>
      <c r="E90" s="1047" t="e">
        <f>SUMIF(#REF!,本期合约金额规划表!D90,#REF!)</f>
        <v>#REF!</v>
      </c>
      <c r="F90" s="1047"/>
      <c r="G90" s="1047" t="e">
        <f>SUMIF(#REF!,本期合约金额规划表!D90,#REF!)</f>
        <v>#REF!</v>
      </c>
      <c r="H90" s="1047" t="e">
        <f>SUMIF(#REF!,本期合约金额规划表!D90,#REF!)</f>
        <v>#REF!</v>
      </c>
      <c r="I90" s="1047"/>
      <c r="J90" s="1047" t="e">
        <f>SUMIF('1-商业网点'!$E$4:$E$161,本期合约金额规划表!D90,'1-商业网点'!$O$4:$O$161)</f>
        <v>#REF!</v>
      </c>
      <c r="K90" s="1047" t="e">
        <f>SUMIF(#REF!,本期合约金额规划表!D90,#REF!)</f>
        <v>#REF!</v>
      </c>
      <c r="L90" s="1047" t="e">
        <f t="shared" si="2"/>
        <v>#REF!</v>
      </c>
      <c r="M90" s="1048" t="s">
        <v>3032</v>
      </c>
      <c r="N90" s="1076" t="e">
        <f>L90*10000/#REF!</f>
        <v>#REF!</v>
      </c>
      <c r="O90" s="1050" t="e">
        <v>#VALUE!</v>
      </c>
      <c r="P90" s="1050" t="e">
        <f t="shared" si="3"/>
        <v>#REF!</v>
      </c>
    </row>
    <row r="91" spans="1:16" s="1049" customFormat="1" ht="14.25" hidden="1" customHeight="1">
      <c r="A91" s="1045">
        <v>89</v>
      </c>
      <c r="B91" s="1046" t="s">
        <v>3023</v>
      </c>
      <c r="C91" s="1046" t="s">
        <v>3020</v>
      </c>
      <c r="D91" s="1054" t="s">
        <v>1596</v>
      </c>
      <c r="E91" s="1047" t="e">
        <f>SUMIF(#REF!,本期合约金额规划表!D91,#REF!)</f>
        <v>#REF!</v>
      </c>
      <c r="F91" s="1047"/>
      <c r="G91" s="1047" t="e">
        <f>SUMIF(#REF!,本期合约金额规划表!D91,#REF!)</f>
        <v>#REF!</v>
      </c>
      <c r="H91" s="1047" t="e">
        <f>SUMIF(#REF!,本期合约金额规划表!D91,#REF!)</f>
        <v>#REF!</v>
      </c>
      <c r="I91" s="1047"/>
      <c r="J91" s="1047" t="e">
        <f>SUMIF('1-商业网点'!$E$4:$E$161,本期合约金额规划表!D91,'1-商业网点'!$O$4:$O$161)</f>
        <v>#REF!</v>
      </c>
      <c r="K91" s="1047" t="e">
        <f>SUMIF(#REF!,本期合约金额规划表!D91,#REF!)</f>
        <v>#REF!</v>
      </c>
      <c r="L91" s="1047" t="e">
        <f t="shared" si="2"/>
        <v>#REF!</v>
      </c>
      <c r="M91" s="1048" t="s">
        <v>3032</v>
      </c>
      <c r="N91" s="1076" t="e">
        <f>L91*10000/#REF!</f>
        <v>#REF!</v>
      </c>
      <c r="O91" s="1050" t="e">
        <v>#VALUE!</v>
      </c>
      <c r="P91" s="1050" t="e">
        <f t="shared" si="3"/>
        <v>#REF!</v>
      </c>
    </row>
    <row r="92" spans="1:16" s="1049" customFormat="1" ht="14.25" customHeight="1">
      <c r="A92" s="1045">
        <v>90</v>
      </c>
      <c r="B92" s="1046" t="s">
        <v>3023</v>
      </c>
      <c r="C92" s="1046" t="s">
        <v>3020</v>
      </c>
      <c r="D92" s="1054" t="s">
        <v>1618</v>
      </c>
      <c r="E92" s="1047" t="e">
        <f>SUMIF(#REF!,本期合约金额规划表!D92,#REF!)</f>
        <v>#REF!</v>
      </c>
      <c r="F92" s="1047"/>
      <c r="G92" s="1047" t="e">
        <f>SUMIF(#REF!,本期合约金额规划表!D92,#REF!)</f>
        <v>#REF!</v>
      </c>
      <c r="H92" s="1047" t="e">
        <f>SUMIF(#REF!,本期合约金额规划表!D92,#REF!)</f>
        <v>#REF!</v>
      </c>
      <c r="I92" s="1047"/>
      <c r="J92" s="1047" t="e">
        <f>SUMIF('1-商业网点'!$E$4:$E$161,本期合约金额规划表!D92,'1-商业网点'!$O$4:$O$161)</f>
        <v>#REF!</v>
      </c>
      <c r="K92" s="1047" t="e">
        <f>SUMIF(#REF!,本期合约金额规划表!D92,#REF!)</f>
        <v>#REF!</v>
      </c>
      <c r="L92" s="1047" t="e">
        <f t="shared" si="2"/>
        <v>#REF!</v>
      </c>
      <c r="M92" s="1048" t="s">
        <v>3033</v>
      </c>
      <c r="N92" s="1076" t="e">
        <f>L92*10000/#REF!</f>
        <v>#REF!</v>
      </c>
      <c r="O92" s="1050" t="e">
        <v>#VALUE!</v>
      </c>
      <c r="P92" s="1050" t="e">
        <f t="shared" si="3"/>
        <v>#REF!</v>
      </c>
    </row>
    <row r="93" spans="1:16" s="1049" customFormat="1" ht="14.25" customHeight="1">
      <c r="A93" s="1045">
        <v>91</v>
      </c>
      <c r="B93" s="1046" t="s">
        <v>3023</v>
      </c>
      <c r="C93" s="1046" t="s">
        <v>3020</v>
      </c>
      <c r="D93" s="1054" t="s">
        <v>1294</v>
      </c>
      <c r="E93" s="1047" t="e">
        <f>SUMIF(#REF!,本期合约金额规划表!D93,#REF!)</f>
        <v>#REF!</v>
      </c>
      <c r="F93" s="1047"/>
      <c r="G93" s="1047" t="e">
        <f>SUMIF(#REF!,本期合约金额规划表!D93,#REF!)</f>
        <v>#REF!</v>
      </c>
      <c r="H93" s="1047" t="e">
        <f>SUMIF(#REF!,本期合约金额规划表!D93,#REF!)</f>
        <v>#REF!</v>
      </c>
      <c r="I93" s="1047"/>
      <c r="J93" s="1047">
        <f>SUMIF('1-商业网点'!$E$4:$E$161,本期合约金额规划表!D93,'1-商业网点'!$O$4:$O$161)</f>
        <v>0</v>
      </c>
      <c r="K93" s="1047" t="e">
        <f>SUMIF(#REF!,本期合约金额规划表!D93,#REF!)</f>
        <v>#REF!</v>
      </c>
      <c r="L93" s="1047" t="e">
        <f t="shared" si="2"/>
        <v>#REF!</v>
      </c>
      <c r="M93" s="1048" t="s">
        <v>3032</v>
      </c>
      <c r="N93" s="1076" t="e">
        <f>L93*10000/#REF!</f>
        <v>#REF!</v>
      </c>
      <c r="O93" s="1050" t="e">
        <v>#VALUE!</v>
      </c>
      <c r="P93" s="1050" t="e">
        <f t="shared" si="3"/>
        <v>#REF!</v>
      </c>
    </row>
    <row r="94" spans="1:16" s="1049" customFormat="1" ht="14.25" customHeight="1">
      <c r="A94" s="1045">
        <v>92</v>
      </c>
      <c r="B94" s="1046" t="s">
        <v>3023</v>
      </c>
      <c r="C94" s="1046" t="s">
        <v>3020</v>
      </c>
      <c r="D94" s="1054" t="s">
        <v>461</v>
      </c>
      <c r="E94" s="1047" t="e">
        <f>SUMIF(#REF!,本期合约金额规划表!D94,#REF!)</f>
        <v>#REF!</v>
      </c>
      <c r="F94" s="1047"/>
      <c r="G94" s="1047" t="e">
        <f>SUMIF(#REF!,本期合约金额规划表!D94,#REF!)</f>
        <v>#REF!</v>
      </c>
      <c r="H94" s="1047" t="e">
        <f>SUMIF(#REF!,本期合约金额规划表!D94,#REF!)</f>
        <v>#REF!</v>
      </c>
      <c r="I94" s="1047"/>
      <c r="J94" s="1047">
        <f>SUMIF('1-商业网点'!$E$4:$E$161,本期合约金额规划表!D94,'1-商业网点'!$O$4:$O$161)</f>
        <v>0</v>
      </c>
      <c r="K94" s="1047" t="e">
        <f>SUMIF(#REF!,本期合约金额规划表!D94,#REF!)</f>
        <v>#REF!</v>
      </c>
      <c r="L94" s="1047" t="e">
        <f t="shared" si="2"/>
        <v>#REF!</v>
      </c>
      <c r="M94" s="1048" t="s">
        <v>3033</v>
      </c>
      <c r="N94" s="1076" t="e">
        <f>L94*10000/#REF!</f>
        <v>#REF!</v>
      </c>
      <c r="O94" s="1050" t="e">
        <v>#VALUE!</v>
      </c>
      <c r="P94" s="1050" t="e">
        <f t="shared" si="3"/>
        <v>#REF!</v>
      </c>
    </row>
    <row r="95" spans="1:16" s="1049" customFormat="1" ht="14.25" hidden="1" customHeight="1">
      <c r="A95" s="1045">
        <v>93</v>
      </c>
      <c r="B95" s="1046" t="s">
        <v>3023</v>
      </c>
      <c r="C95" s="1046" t="s">
        <v>3020</v>
      </c>
      <c r="D95" s="1052" t="s">
        <v>1535</v>
      </c>
      <c r="E95" s="1047" t="e">
        <f>SUMIF(#REF!,本期合约金额规划表!D95,#REF!)</f>
        <v>#REF!</v>
      </c>
      <c r="F95" s="1047"/>
      <c r="G95" s="1047" t="e">
        <f>SUMIF(#REF!,本期合约金额规划表!D95,#REF!)</f>
        <v>#REF!</v>
      </c>
      <c r="H95" s="1047" t="e">
        <f>SUMIF(#REF!,本期合约金额规划表!D95,#REF!)</f>
        <v>#REF!</v>
      </c>
      <c r="I95" s="1047"/>
      <c r="J95" s="1047" t="e">
        <f>SUMIF('1-商业网点'!$E$4:$E$161,本期合约金额规划表!D95,'1-商业网点'!$O$4:$O$161)</f>
        <v>#REF!</v>
      </c>
      <c r="K95" s="1047" t="e">
        <f>SUMIF(#REF!,本期合约金额规划表!D95,#REF!)</f>
        <v>#REF!</v>
      </c>
      <c r="L95" s="1047" t="e">
        <f t="shared" si="2"/>
        <v>#REF!</v>
      </c>
      <c r="M95" s="1048" t="s">
        <v>3033</v>
      </c>
      <c r="N95" s="1076" t="e">
        <f>L95*10000/#REF!</f>
        <v>#REF!</v>
      </c>
      <c r="O95" s="1050" t="e">
        <v>#VALUE!</v>
      </c>
      <c r="P95" s="1050" t="e">
        <f t="shared" si="3"/>
        <v>#REF!</v>
      </c>
    </row>
    <row r="96" spans="1:16" s="1049" customFormat="1" ht="14.25" hidden="1" customHeight="1">
      <c r="A96" s="1045">
        <v>94</v>
      </c>
      <c r="B96" s="1046" t="s">
        <v>3023</v>
      </c>
      <c r="C96" s="1046" t="s">
        <v>3020</v>
      </c>
      <c r="D96" s="1052" t="s">
        <v>1602</v>
      </c>
      <c r="E96" s="1047" t="e">
        <f>SUMIF(#REF!,本期合约金额规划表!D96,#REF!)</f>
        <v>#REF!</v>
      </c>
      <c r="F96" s="1047"/>
      <c r="G96" s="1047" t="e">
        <f>SUMIF(#REF!,本期合约金额规划表!D96,#REF!)</f>
        <v>#REF!</v>
      </c>
      <c r="H96" s="1047" t="e">
        <f>SUMIF(#REF!,本期合约金额规划表!D96,#REF!)</f>
        <v>#REF!</v>
      </c>
      <c r="I96" s="1047"/>
      <c r="J96" s="1047">
        <f>SUMIF('1-商业网点'!$E$4:$E$161,本期合约金额规划表!D96,'1-商业网点'!$O$4:$O$161)</f>
        <v>0</v>
      </c>
      <c r="K96" s="1047" t="e">
        <f>SUMIF(#REF!,本期合约金额规划表!D96,#REF!)</f>
        <v>#REF!</v>
      </c>
      <c r="L96" s="1047" t="e">
        <f t="shared" si="2"/>
        <v>#REF!</v>
      </c>
      <c r="M96" s="1048" t="s">
        <v>3032</v>
      </c>
      <c r="N96" s="1076" t="e">
        <f>L96*10000/#REF!</f>
        <v>#REF!</v>
      </c>
      <c r="O96" s="1050" t="e">
        <v>#VALUE!</v>
      </c>
      <c r="P96" s="1050" t="e">
        <f t="shared" si="3"/>
        <v>#REF!</v>
      </c>
    </row>
    <row r="97" spans="1:16" s="1049" customFormat="1" ht="14.25" hidden="1" customHeight="1">
      <c r="A97" s="1045">
        <v>95</v>
      </c>
      <c r="B97" s="1046" t="s">
        <v>3023</v>
      </c>
      <c r="C97" s="1046" t="s">
        <v>3011</v>
      </c>
      <c r="D97" s="1052" t="s">
        <v>3034</v>
      </c>
      <c r="E97" s="1047" t="e">
        <f>SUMIF(#REF!,本期合约金额规划表!D97,#REF!)</f>
        <v>#REF!</v>
      </c>
      <c r="F97" s="1047"/>
      <c r="G97" s="1047" t="e">
        <f>SUMIF(#REF!,本期合约金额规划表!D97,#REF!)</f>
        <v>#REF!</v>
      </c>
      <c r="H97" s="1047" t="e">
        <f>SUMIF(#REF!,本期合约金额规划表!D97,#REF!)</f>
        <v>#REF!</v>
      </c>
      <c r="I97" s="1047"/>
      <c r="J97" s="1047">
        <f>SUMIF('1-商业网点'!$E$4:$E$161,本期合约金额规划表!D97,'1-商业网点'!$O$4:$O$161)</f>
        <v>0</v>
      </c>
      <c r="K97" s="1047" t="e">
        <f>SUMIF(#REF!,本期合约金额规划表!D97,#REF!)</f>
        <v>#REF!</v>
      </c>
      <c r="L97" s="1047" t="e">
        <f t="shared" si="2"/>
        <v>#REF!</v>
      </c>
      <c r="M97" s="1048" t="s">
        <v>3033</v>
      </c>
      <c r="N97" s="1076" t="e">
        <f>L97*10000/#REF!</f>
        <v>#REF!</v>
      </c>
      <c r="O97" s="1050" t="e">
        <v>#VALUE!</v>
      </c>
      <c r="P97" s="1050" t="e">
        <f t="shared" si="3"/>
        <v>#REF!</v>
      </c>
    </row>
    <row r="98" spans="1:16" s="1049" customFormat="1" ht="14.25" hidden="1" customHeight="1">
      <c r="A98" s="1045">
        <v>96</v>
      </c>
      <c r="B98" s="1046" t="s">
        <v>3023</v>
      </c>
      <c r="C98" s="1046" t="s">
        <v>3011</v>
      </c>
      <c r="D98" s="1052" t="s">
        <v>3035</v>
      </c>
      <c r="E98" s="1047" t="e">
        <f>SUMIF(#REF!,本期合约金额规划表!D98,#REF!)</f>
        <v>#REF!</v>
      </c>
      <c r="F98" s="1047"/>
      <c r="G98" s="1047" t="e">
        <f>SUMIF(#REF!,本期合约金额规划表!D98,#REF!)</f>
        <v>#REF!</v>
      </c>
      <c r="H98" s="1047" t="e">
        <f>SUMIF(#REF!,本期合约金额规划表!D98,#REF!)</f>
        <v>#REF!</v>
      </c>
      <c r="I98" s="1047"/>
      <c r="J98" s="1047">
        <f>SUMIF('1-商业网点'!$E$4:$E$161,本期合约金额规划表!D98,'1-商业网点'!$O$4:$O$161)</f>
        <v>0</v>
      </c>
      <c r="K98" s="1047" t="e">
        <f>SUMIF(#REF!,本期合约金额规划表!D98,#REF!)</f>
        <v>#REF!</v>
      </c>
      <c r="L98" s="1047" t="e">
        <f t="shared" si="2"/>
        <v>#REF!</v>
      </c>
      <c r="M98" s="1048" t="s">
        <v>3033</v>
      </c>
      <c r="N98" s="1076" t="e">
        <f>L98*10000/#REF!</f>
        <v>#REF!</v>
      </c>
      <c r="O98" s="1050" t="e">
        <v>#VALUE!</v>
      </c>
      <c r="P98" s="1050" t="e">
        <f t="shared" si="3"/>
        <v>#REF!</v>
      </c>
    </row>
    <row r="99" spans="1:16" s="1049" customFormat="1" ht="14.25" customHeight="1">
      <c r="A99" s="1045">
        <v>97</v>
      </c>
      <c r="B99" s="1046" t="s">
        <v>3023</v>
      </c>
      <c r="C99" s="1046" t="s">
        <v>3011</v>
      </c>
      <c r="D99" s="1054" t="s">
        <v>1616</v>
      </c>
      <c r="E99" s="1047" t="e">
        <f>SUMIF(#REF!,本期合约金额规划表!D99,#REF!)</f>
        <v>#REF!</v>
      </c>
      <c r="F99" s="1047"/>
      <c r="G99" s="1047" t="e">
        <f>SUMIF(#REF!,本期合约金额规划表!D99,#REF!)</f>
        <v>#REF!</v>
      </c>
      <c r="H99" s="1047" t="e">
        <f>SUMIF(#REF!,本期合约金额规划表!D99,#REF!)</f>
        <v>#REF!</v>
      </c>
      <c r="I99" s="1047"/>
      <c r="J99" s="1047" t="e">
        <f>SUMIF('1-商业网点'!$E$4:$E$161,本期合约金额规划表!D99,'1-商业网点'!$O$4:$O$161)</f>
        <v>#REF!</v>
      </c>
      <c r="K99" s="1047" t="e">
        <f>SUMIF(#REF!,本期合约金额规划表!D99,#REF!)</f>
        <v>#REF!</v>
      </c>
      <c r="L99" s="1047" t="e">
        <f t="shared" si="2"/>
        <v>#REF!</v>
      </c>
      <c r="M99" s="1048" t="s">
        <v>3032</v>
      </c>
      <c r="N99" s="1076" t="e">
        <f>L99*10000/#REF!</f>
        <v>#REF!</v>
      </c>
      <c r="O99" s="1050" t="e">
        <v>#VALUE!</v>
      </c>
      <c r="P99" s="1050" t="e">
        <f t="shared" si="3"/>
        <v>#REF!</v>
      </c>
    </row>
    <row r="100" spans="1:16" s="1049" customFormat="1" ht="14.25" customHeight="1">
      <c r="A100" s="1045">
        <v>98</v>
      </c>
      <c r="B100" s="1046" t="s">
        <v>3023</v>
      </c>
      <c r="C100" s="1046" t="s">
        <v>3011</v>
      </c>
      <c r="D100" s="1052" t="s">
        <v>463</v>
      </c>
      <c r="E100" s="1047" t="e">
        <f>SUMIF(#REF!,本期合约金额规划表!D100,#REF!)</f>
        <v>#REF!</v>
      </c>
      <c r="F100" s="1047"/>
      <c r="G100" s="1047" t="e">
        <f>SUMIF(#REF!,本期合约金额规划表!D100,#REF!)</f>
        <v>#REF!</v>
      </c>
      <c r="H100" s="1047" t="e">
        <f>SUMIF(#REF!,本期合约金额规划表!D100,#REF!)</f>
        <v>#REF!</v>
      </c>
      <c r="I100" s="1047"/>
      <c r="J100" s="1047" t="e">
        <f>SUMIF('1-商业网点'!$E$4:$E$161,本期合约金额规划表!D100,'1-商业网点'!$O$4:$O$161)</f>
        <v>#REF!</v>
      </c>
      <c r="K100" s="1047" t="e">
        <f>SUMIF(#REF!,本期合约金额规划表!D100,#REF!)</f>
        <v>#REF!</v>
      </c>
      <c r="L100" s="1047" t="e">
        <f t="shared" si="2"/>
        <v>#REF!</v>
      </c>
      <c r="M100" s="1048" t="s">
        <v>3032</v>
      </c>
      <c r="N100" s="1076" t="e">
        <f>L100*10000/#REF!</f>
        <v>#REF!</v>
      </c>
      <c r="O100" s="1050" t="e">
        <v>#VALUE!</v>
      </c>
      <c r="P100" s="1050" t="e">
        <f t="shared" si="3"/>
        <v>#REF!</v>
      </c>
    </row>
    <row r="101" spans="1:16" s="1049" customFormat="1" ht="14.25" customHeight="1">
      <c r="A101" s="1045">
        <v>99</v>
      </c>
      <c r="B101" s="1046" t="s">
        <v>3023</v>
      </c>
      <c r="C101" s="1046" t="s">
        <v>3011</v>
      </c>
      <c r="D101" s="1052" t="s">
        <v>1274</v>
      </c>
      <c r="E101" s="1047" t="e">
        <f>SUMIF(#REF!,本期合约金额规划表!D101,#REF!)</f>
        <v>#REF!</v>
      </c>
      <c r="F101" s="1047"/>
      <c r="G101" s="1047" t="e">
        <f>SUMIF(#REF!,本期合约金额规划表!D101,#REF!)</f>
        <v>#REF!</v>
      </c>
      <c r="H101" s="1047" t="e">
        <f>SUMIF(#REF!,本期合约金额规划表!D101,#REF!)</f>
        <v>#REF!</v>
      </c>
      <c r="I101" s="1047"/>
      <c r="J101" s="1047">
        <f>SUMIF('1-商业网点'!$E$4:$E$161,本期合约金额规划表!D101,'1-商业网点'!$O$4:$O$161)</f>
        <v>0</v>
      </c>
      <c r="K101" s="1047" t="e">
        <f>SUMIF(#REF!,本期合约金额规划表!D101,#REF!)</f>
        <v>#REF!</v>
      </c>
      <c r="L101" s="1047" t="e">
        <f t="shared" si="2"/>
        <v>#REF!</v>
      </c>
      <c r="M101" s="1048" t="s">
        <v>3032</v>
      </c>
      <c r="N101" s="1076" t="e">
        <f>L101*10000/#REF!</f>
        <v>#REF!</v>
      </c>
      <c r="O101" s="1050" t="e">
        <v>#VALUE!</v>
      </c>
      <c r="P101" s="1050" t="e">
        <f t="shared" si="3"/>
        <v>#REF!</v>
      </c>
    </row>
    <row r="102" spans="1:16" s="1049" customFormat="1" ht="14.25" hidden="1" customHeight="1">
      <c r="A102" s="1045">
        <v>100</v>
      </c>
      <c r="B102" s="1046" t="s">
        <v>3036</v>
      </c>
      <c r="C102" s="1046" t="s">
        <v>3037</v>
      </c>
      <c r="D102" s="1052" t="s">
        <v>1359</v>
      </c>
      <c r="E102" s="1047" t="e">
        <f>SUMIF(#REF!,本期合约金额规划表!D102,#REF!)</f>
        <v>#REF!</v>
      </c>
      <c r="F102" s="1047"/>
      <c r="G102" s="1047" t="e">
        <f>SUMIF(#REF!,本期合约金额规划表!D102,#REF!)</f>
        <v>#REF!</v>
      </c>
      <c r="H102" s="1047" t="e">
        <f>SUMIF(#REF!,本期合约金额规划表!D102,#REF!)</f>
        <v>#REF!</v>
      </c>
      <c r="I102" s="1047"/>
      <c r="J102" s="1047">
        <f>SUMIF('1-商业网点'!$E$4:$E$161,本期合约金额规划表!D102,'1-商业网点'!$O$4:$O$161)</f>
        <v>0</v>
      </c>
      <c r="K102" s="1047" t="e">
        <f>SUMIF(#REF!,本期合约金额规划表!D102,#REF!)</f>
        <v>#REF!</v>
      </c>
      <c r="L102" s="1047" t="e">
        <f t="shared" si="2"/>
        <v>#REF!</v>
      </c>
      <c r="M102" s="1048" t="s">
        <v>3032</v>
      </c>
      <c r="N102" s="1076" t="e">
        <f>L102*10000/#REF!</f>
        <v>#REF!</v>
      </c>
      <c r="O102" s="1050" t="e">
        <v>#VALUE!</v>
      </c>
      <c r="P102" s="1050" t="e">
        <f t="shared" si="3"/>
        <v>#REF!</v>
      </c>
    </row>
    <row r="103" spans="1:16" s="1049" customFormat="1" ht="14.25" customHeight="1">
      <c r="A103" s="1045">
        <v>101</v>
      </c>
      <c r="B103" s="1046" t="s">
        <v>3036</v>
      </c>
      <c r="C103" s="1046" t="s">
        <v>3037</v>
      </c>
      <c r="D103" s="1052" t="s">
        <v>453</v>
      </c>
      <c r="E103" s="1047" t="e">
        <f>SUMIF(#REF!,本期合约金额规划表!D103,#REF!)</f>
        <v>#REF!</v>
      </c>
      <c r="F103" s="1047"/>
      <c r="G103" s="1047" t="e">
        <f>SUMIF(#REF!,本期合约金额规划表!D103,#REF!)</f>
        <v>#REF!</v>
      </c>
      <c r="H103" s="1047" t="e">
        <f>SUMIF(#REF!,本期合约金额规划表!D103,#REF!)</f>
        <v>#REF!</v>
      </c>
      <c r="I103" s="1047"/>
      <c r="J103" s="1047">
        <f>SUMIF('1-商业网点'!$E$4:$E$161,本期合约金额规划表!D103,'1-商业网点'!$O$4:$O$161)</f>
        <v>0</v>
      </c>
      <c r="K103" s="1047" t="e">
        <f>SUMIF(#REF!,本期合约金额规划表!D103,#REF!)</f>
        <v>#REF!</v>
      </c>
      <c r="L103" s="1047" t="e">
        <f t="shared" si="2"/>
        <v>#REF!</v>
      </c>
      <c r="M103" s="1048" t="s">
        <v>3032</v>
      </c>
      <c r="N103" s="1076" t="e">
        <f>L103*10000/#REF!</f>
        <v>#REF!</v>
      </c>
      <c r="O103" s="1050" t="e">
        <v>#VALUE!</v>
      </c>
      <c r="P103" s="1050" t="e">
        <f t="shared" si="3"/>
        <v>#REF!</v>
      </c>
    </row>
    <row r="104" spans="1:16" s="1049" customFormat="1" ht="14.25" customHeight="1">
      <c r="A104" s="1045">
        <v>102</v>
      </c>
      <c r="B104" s="1046" t="s">
        <v>3036</v>
      </c>
      <c r="C104" s="1046" t="s">
        <v>3037</v>
      </c>
      <c r="D104" s="1052" t="s">
        <v>1363</v>
      </c>
      <c r="E104" s="1047" t="e">
        <f>SUMIF(#REF!,本期合约金额规划表!D104,#REF!)</f>
        <v>#REF!</v>
      </c>
      <c r="F104" s="1047"/>
      <c r="G104" s="1047" t="e">
        <f>SUMIF(#REF!,本期合约金额规划表!D104,#REF!)</f>
        <v>#REF!</v>
      </c>
      <c r="H104" s="1047" t="e">
        <f>SUMIF(#REF!,本期合约金额规划表!D104,#REF!)</f>
        <v>#REF!</v>
      </c>
      <c r="I104" s="1047"/>
      <c r="J104" s="1047">
        <f>SUMIF('1-商业网点'!$E$4:$E$161,本期合约金额规划表!D104,'1-商业网点'!$O$4:$O$161)</f>
        <v>0</v>
      </c>
      <c r="K104" s="1047" t="e">
        <f>SUMIF(#REF!,本期合约金额规划表!D104,#REF!)</f>
        <v>#REF!</v>
      </c>
      <c r="L104" s="1047" t="e">
        <f t="shared" si="2"/>
        <v>#REF!</v>
      </c>
      <c r="M104" s="1048" t="s">
        <v>3033</v>
      </c>
      <c r="N104" s="1076" t="e">
        <f>L104*10000/#REF!</f>
        <v>#REF!</v>
      </c>
      <c r="O104" s="1050" t="e">
        <v>#VALUE!</v>
      </c>
      <c r="P104" s="1050" t="e">
        <f t="shared" si="3"/>
        <v>#REF!</v>
      </c>
    </row>
    <row r="105" spans="1:16" s="1049" customFormat="1" ht="14.25" customHeight="1">
      <c r="A105" s="1045">
        <v>103</v>
      </c>
      <c r="B105" s="1046" t="s">
        <v>3038</v>
      </c>
      <c r="C105" s="1046" t="s">
        <v>3039</v>
      </c>
      <c r="D105" s="1052" t="s">
        <v>1431</v>
      </c>
      <c r="E105" s="1047" t="e">
        <f>SUMIF(#REF!,本期合约金额规划表!D105,#REF!)</f>
        <v>#REF!</v>
      </c>
      <c r="F105" s="1047"/>
      <c r="G105" s="1047" t="e">
        <f>SUMIF(#REF!,本期合约金额规划表!D105,#REF!)</f>
        <v>#REF!</v>
      </c>
      <c r="H105" s="1047" t="e">
        <f>SUMIF(#REF!,本期合约金额规划表!D105,#REF!)</f>
        <v>#REF!</v>
      </c>
      <c r="I105" s="1047"/>
      <c r="J105" s="1047">
        <f>SUMIF('1-商业网点'!$E$4:$E$161,本期合约金额规划表!D105,'1-商业网点'!$O$4:$O$161)</f>
        <v>0</v>
      </c>
      <c r="K105" s="1047" t="e">
        <f>SUMIF(#REF!,本期合约金额规划表!D105,#REF!)</f>
        <v>#REF!</v>
      </c>
      <c r="L105" s="1047" t="e">
        <f t="shared" si="2"/>
        <v>#REF!</v>
      </c>
      <c r="M105" s="1048" t="s">
        <v>3040</v>
      </c>
      <c r="N105" s="1076" t="e">
        <f>L105*10000/#REF!</f>
        <v>#REF!</v>
      </c>
      <c r="O105" s="1050" t="e">
        <v>#VALUE!</v>
      </c>
      <c r="P105" s="1050" t="e">
        <f t="shared" si="3"/>
        <v>#REF!</v>
      </c>
    </row>
    <row r="106" spans="1:16" s="1049" customFormat="1" ht="14.25" hidden="1" customHeight="1">
      <c r="A106" s="1045">
        <v>104</v>
      </c>
      <c r="B106" s="1046" t="s">
        <v>3038</v>
      </c>
      <c r="C106" s="1046" t="s">
        <v>3039</v>
      </c>
      <c r="D106" s="1052" t="s">
        <v>3041</v>
      </c>
      <c r="E106" s="1047" t="e">
        <f>SUMIF(#REF!,本期合约金额规划表!D106,#REF!)</f>
        <v>#REF!</v>
      </c>
      <c r="F106" s="1047"/>
      <c r="G106" s="1047" t="e">
        <f>SUMIF(#REF!,本期合约金额规划表!D106,#REF!)</f>
        <v>#REF!</v>
      </c>
      <c r="H106" s="1047" t="e">
        <f>SUMIF(#REF!,本期合约金额规划表!D106,#REF!)</f>
        <v>#REF!</v>
      </c>
      <c r="I106" s="1047"/>
      <c r="J106" s="1047">
        <f>SUMIF('1-商业网点'!$E$4:$E$161,本期合约金额规划表!D106,'1-商业网点'!$O$4:$O$161)</f>
        <v>0</v>
      </c>
      <c r="K106" s="1047" t="e">
        <f>SUMIF(#REF!,本期合约金额规划表!D106,#REF!)</f>
        <v>#REF!</v>
      </c>
      <c r="L106" s="1047" t="e">
        <f t="shared" si="2"/>
        <v>#REF!</v>
      </c>
      <c r="M106" s="1048" t="s">
        <v>3040</v>
      </c>
      <c r="N106" s="1076" t="e">
        <f>L106*10000/#REF!</f>
        <v>#REF!</v>
      </c>
      <c r="O106" s="1050" t="e">
        <v>#VALUE!</v>
      </c>
      <c r="P106" s="1050" t="e">
        <f t="shared" si="3"/>
        <v>#REF!</v>
      </c>
    </row>
    <row r="107" spans="1:16" s="1049" customFormat="1" ht="14.25" hidden="1" customHeight="1">
      <c r="A107" s="1045">
        <v>105</v>
      </c>
      <c r="B107" s="1046" t="s">
        <v>3038</v>
      </c>
      <c r="C107" s="1046" t="s">
        <v>3039</v>
      </c>
      <c r="D107" s="1052" t="s">
        <v>3042</v>
      </c>
      <c r="E107" s="1047" t="e">
        <f>SUMIF(#REF!,本期合约金额规划表!D107,#REF!)</f>
        <v>#REF!</v>
      </c>
      <c r="F107" s="1047"/>
      <c r="G107" s="1047" t="e">
        <f>SUMIF(#REF!,本期合约金额规划表!D107,#REF!)</f>
        <v>#REF!</v>
      </c>
      <c r="H107" s="1047" t="e">
        <f>SUMIF(#REF!,本期合约金额规划表!D107,#REF!)</f>
        <v>#REF!</v>
      </c>
      <c r="I107" s="1047"/>
      <c r="J107" s="1047">
        <f>SUMIF('1-商业网点'!$E$4:$E$161,本期合约金额规划表!D107,'1-商业网点'!$O$4:$O$161)</f>
        <v>0</v>
      </c>
      <c r="K107" s="1047" t="e">
        <f>SUMIF(#REF!,本期合约金额规划表!D107,#REF!)</f>
        <v>#REF!</v>
      </c>
      <c r="L107" s="1047" t="e">
        <f t="shared" si="2"/>
        <v>#REF!</v>
      </c>
      <c r="M107" s="1048" t="s">
        <v>3043</v>
      </c>
      <c r="N107" s="1076" t="e">
        <f>L107*10000/#REF!</f>
        <v>#REF!</v>
      </c>
      <c r="O107" s="1050" t="e">
        <v>#VALUE!</v>
      </c>
      <c r="P107" s="1050" t="e">
        <f t="shared" si="3"/>
        <v>#REF!</v>
      </c>
    </row>
    <row r="108" spans="1:16" s="1049" customFormat="1" ht="15.75" customHeight="1">
      <c r="A108" s="1058"/>
      <c r="B108" s="2466" t="s">
        <v>3044</v>
      </c>
      <c r="C108" s="2467"/>
      <c r="D108" s="2468"/>
      <c r="E108" s="1059" t="e">
        <f t="shared" ref="E108:L108" si="4">SUM(E3:E107)</f>
        <v>#REF!</v>
      </c>
      <c r="F108" s="1059">
        <f t="shared" si="4"/>
        <v>0</v>
      </c>
      <c r="G108" s="1059" t="e">
        <f t="shared" si="4"/>
        <v>#REF!</v>
      </c>
      <c r="H108" s="1059" t="e">
        <f t="shared" si="4"/>
        <v>#REF!</v>
      </c>
      <c r="I108" s="1059">
        <f t="shared" si="4"/>
        <v>0</v>
      </c>
      <c r="J108" s="1059" t="e">
        <f t="shared" si="4"/>
        <v>#REF!</v>
      </c>
      <c r="K108" s="1059" t="e">
        <f t="shared" si="4"/>
        <v>#REF!</v>
      </c>
      <c r="L108" s="1059" t="e">
        <f t="shared" si="4"/>
        <v>#REF!</v>
      </c>
      <c r="M108" s="1060"/>
      <c r="N108" s="1077"/>
    </row>
    <row r="109" spans="1:16">
      <c r="K109" s="1063"/>
      <c r="L109" s="1064"/>
      <c r="M109" s="1063"/>
      <c r="N109" s="1078"/>
    </row>
    <row r="110" spans="1:16" ht="13">
      <c r="D110" s="1065" t="s">
        <v>3045</v>
      </c>
      <c r="E110" s="1066" t="e">
        <f>E108-#REF!</f>
        <v>#REF!</v>
      </c>
      <c r="F110" s="1066"/>
      <c r="G110" s="1066" t="e">
        <f>G108-#REF!</f>
        <v>#REF!</v>
      </c>
      <c r="H110" s="1067" t="e">
        <f>H108-#REF!</f>
        <v>#REF!</v>
      </c>
      <c r="I110" s="1066"/>
      <c r="J110" s="1066" t="e">
        <f>J108-'1-商业网点'!O168</f>
        <v>#REF!</v>
      </c>
      <c r="K110" s="1066" t="e">
        <f>K108-#REF!</f>
        <v>#REF!</v>
      </c>
      <c r="L110" s="1066" t="e">
        <f>SUM(E110:K110)</f>
        <v>#REF!</v>
      </c>
      <c r="M110" s="1063"/>
      <c r="N110" s="1079"/>
    </row>
    <row r="111" spans="1:16">
      <c r="K111" s="1063"/>
      <c r="L111" s="1064"/>
      <c r="M111" s="1063"/>
      <c r="N111" s="1078"/>
    </row>
    <row r="112" spans="1:16" ht="15" customHeight="1">
      <c r="D112" s="1068" t="s">
        <v>3046</v>
      </c>
      <c r="K112" s="1063"/>
      <c r="L112" s="1069"/>
      <c r="M112" s="1063"/>
      <c r="N112" s="1078"/>
    </row>
    <row r="113" spans="2:14" ht="21.75" customHeight="1">
      <c r="D113" s="1070" t="s">
        <v>3047</v>
      </c>
      <c r="K113" s="1063"/>
      <c r="L113" s="1071"/>
      <c r="M113" s="1063"/>
      <c r="N113" s="1078"/>
    </row>
    <row r="114" spans="2:14" ht="13">
      <c r="D114" s="1070" t="s">
        <v>3048</v>
      </c>
      <c r="K114" s="1063"/>
      <c r="L114" s="1069"/>
      <c r="M114" s="1063"/>
      <c r="N114" s="1078"/>
    </row>
    <row r="115" spans="2:14">
      <c r="K115" s="1063"/>
      <c r="L115" s="1063"/>
      <c r="M115" s="1063"/>
      <c r="N115" s="1078"/>
    </row>
    <row r="116" spans="2:14" hidden="1">
      <c r="K116" s="1063"/>
      <c r="L116" s="1063"/>
      <c r="M116" s="1063"/>
      <c r="N116" s="1078"/>
    </row>
    <row r="117" spans="2:14" hidden="1">
      <c r="H117" s="1072"/>
    </row>
    <row r="118" spans="2:14" hidden="1"/>
    <row r="119" spans="2:14" ht="13" hidden="1">
      <c r="B119" s="1073" t="s">
        <v>3049</v>
      </c>
      <c r="D119" s="1073" t="s">
        <v>3050</v>
      </c>
    </row>
    <row r="120" spans="2:14" hidden="1"/>
    <row r="121" spans="2:14" hidden="1"/>
    <row r="122" spans="2:14" ht="13" hidden="1">
      <c r="B122" s="1073" t="s">
        <v>3051</v>
      </c>
      <c r="D122" s="1073" t="s">
        <v>3052</v>
      </c>
    </row>
    <row r="123" spans="2:14" hidden="1"/>
    <row r="124" spans="2:14" hidden="1"/>
    <row r="125" spans="2:14" hidden="1"/>
  </sheetData>
  <autoFilter ref="A2:M108">
    <filterColumn colId="11">
      <filters>
        <filter val="1019.00"/>
        <filter val="106.77"/>
        <filter val="111.69"/>
        <filter val="118.43"/>
        <filter val="11905.48"/>
        <filter val="1228.40"/>
        <filter val="124.17"/>
        <filter val="13.35"/>
        <filter val="1303.96"/>
        <filter val="133.86"/>
        <filter val="135.45"/>
        <filter val="139.15"/>
        <filter val="149.62"/>
        <filter val="150.60"/>
        <filter val="156.13"/>
        <filter val="160.65"/>
        <filter val="1769.17"/>
        <filter val="18.43"/>
        <filter val="18.63"/>
        <filter val="198.67"/>
        <filter val="2.79"/>
        <filter val="2.92"/>
        <filter val="20.00"/>
        <filter val="20.85"/>
        <filter val="204.44"/>
        <filter val="214.50"/>
        <filter val="219.05"/>
        <filter val="23.98"/>
        <filter val="25.28"/>
        <filter val="250.49"/>
        <filter val="265.76"/>
        <filter val="279.38"/>
        <filter val="300.51"/>
        <filter val="31.04"/>
        <filter val="310.42"/>
        <filter val="333.37"/>
        <filter val="375.40"/>
        <filter val="38.33"/>
        <filter val="43.46"/>
        <filter val="47.96"/>
        <filter val="52.00"/>
        <filter val="57.21"/>
        <filter val="58.38"/>
        <filter val="58.50"/>
        <filter val="6.21"/>
        <filter val="62.08"/>
        <filter val="620.85"/>
        <filter val="6218.64"/>
        <filter val="62420.81"/>
        <filter val="66.84"/>
        <filter val="701.39"/>
        <filter val="723.14"/>
        <filter val="741.84"/>
        <filter val="75.06"/>
        <filter val="8.19"/>
        <filter val="8.77"/>
        <filter val="800.79"/>
        <filter val="93.13"/>
        <filter val="93.43"/>
        <filter val="94955.70"/>
        <filter val="98.29"/>
      </filters>
    </filterColumn>
  </autoFilter>
  <mergeCells count="2">
    <mergeCell ref="A1:M1"/>
    <mergeCell ref="B108:D108"/>
  </mergeCells>
  <phoneticPr fontId="19" type="noConversion"/>
  <conditionalFormatting sqref="D21">
    <cfRule type="duplicateValues" dxfId="297" priority="8"/>
  </conditionalFormatting>
  <conditionalFormatting sqref="D23:D25">
    <cfRule type="duplicateValues" dxfId="296" priority="7"/>
  </conditionalFormatting>
  <conditionalFormatting sqref="D90:D91">
    <cfRule type="duplicateValues" dxfId="295" priority="6"/>
  </conditionalFormatting>
  <conditionalFormatting sqref="D92:D93">
    <cfRule type="duplicateValues" dxfId="294" priority="5"/>
  </conditionalFormatting>
  <conditionalFormatting sqref="D94">
    <cfRule type="duplicateValues" dxfId="293" priority="4"/>
  </conditionalFormatting>
  <conditionalFormatting sqref="D1:D1048576">
    <cfRule type="duplicateValues" dxfId="292" priority="3"/>
  </conditionalFormatting>
  <conditionalFormatting sqref="E177:E225">
    <cfRule type="duplicateValues" dxfId="291" priority="2"/>
  </conditionalFormatting>
  <conditionalFormatting sqref="N1:N1048576">
    <cfRule type="cellIs" dxfId="290" priority="1" operator="greaterThan">
      <formula>0</formula>
    </cfRule>
  </conditionalFormatting>
  <pageMargins left="0.70866141732283472" right="0.70866141732283472" top="0.74803149606299213" bottom="0.74803149606299213" header="0.31496062992125984" footer="0.31496062992125984"/>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C3:D8"/>
  <sheetViews>
    <sheetView workbookViewId="0">
      <selection activeCell="D9" sqref="D9"/>
    </sheetView>
  </sheetViews>
  <sheetFormatPr defaultRowHeight="15.5"/>
  <cols>
    <col min="3" max="3" width="3.33203125" customWidth="1"/>
    <col min="4" max="4" width="58.6640625" customWidth="1"/>
  </cols>
  <sheetData>
    <row r="3" spans="3:4">
      <c r="D3" s="1028" t="s">
        <v>2977</v>
      </c>
    </row>
    <row r="4" spans="3:4">
      <c r="C4" s="1029">
        <v>1</v>
      </c>
      <c r="D4" s="1028" t="s">
        <v>2978</v>
      </c>
    </row>
    <row r="5" spans="3:4">
      <c r="C5" s="1029">
        <v>2</v>
      </c>
      <c r="D5" s="1028" t="s">
        <v>2979</v>
      </c>
    </row>
    <row r="6" spans="3:4">
      <c r="C6" s="1029">
        <v>3</v>
      </c>
      <c r="D6" s="1028" t="s">
        <v>2980</v>
      </c>
    </row>
    <row r="7" spans="3:4">
      <c r="C7" s="1029">
        <v>4</v>
      </c>
      <c r="D7" s="1028" t="s">
        <v>2981</v>
      </c>
    </row>
    <row r="8" spans="3:4">
      <c r="C8" s="1029">
        <v>5</v>
      </c>
    </row>
  </sheetData>
  <phoneticPr fontId="1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zoomScale="85" zoomScaleNormal="85" workbookViewId="0">
      <pane xSplit="4" ySplit="3" topLeftCell="E4" activePane="bottomRight" state="frozen"/>
      <selection pane="topRight"/>
      <selection pane="bottomLeft"/>
      <selection pane="bottomRight" activeCell="N2" sqref="N2"/>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1688</v>
      </c>
      <c r="E1" s="624" t="s">
        <v>10</v>
      </c>
      <c r="F1" s="624" t="s">
        <v>581</v>
      </c>
      <c r="G1" s="624" t="s">
        <v>9</v>
      </c>
      <c r="H1" s="624" t="s">
        <v>41</v>
      </c>
      <c r="I1" s="624" t="s">
        <v>18</v>
      </c>
      <c r="J1" s="624" t="s">
        <v>114</v>
      </c>
      <c r="K1" s="624"/>
      <c r="L1" s="624"/>
      <c r="M1" s="624"/>
      <c r="N1" s="754"/>
      <c r="O1" s="754"/>
      <c r="P1" s="754"/>
      <c r="Q1" s="755"/>
      <c r="R1" s="834"/>
      <c r="V1" s="633">
        <v>418</v>
      </c>
      <c r="AB1" s="756"/>
    </row>
    <row r="2" spans="2:28" s="633" customFormat="1" ht="23.5" customHeight="1">
      <c r="C2" s="752"/>
      <c r="D2" s="753" t="s">
        <v>1622</v>
      </c>
      <c r="E2" s="757" t="e">
        <f>#REF!</f>
        <v>#REF!</v>
      </c>
      <c r="F2" s="758">
        <v>0</v>
      </c>
      <c r="G2" s="759" t="e">
        <f>#REF!</f>
        <v>#REF!</v>
      </c>
      <c r="H2" s="759"/>
      <c r="I2" s="759"/>
      <c r="J2" s="759">
        <v>2</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395" t="s">
        <v>1072</v>
      </c>
      <c r="Q3" s="476" t="s">
        <v>16</v>
      </c>
    </row>
    <row r="4" spans="2:28" ht="15.75" customHeight="1">
      <c r="B4" s="480" t="s">
        <v>537</v>
      </c>
      <c r="C4" s="481" t="s">
        <v>77</v>
      </c>
      <c r="D4" s="480" t="s">
        <v>486</v>
      </c>
      <c r="E4" s="765"/>
      <c r="F4" s="765"/>
      <c r="G4" s="765"/>
      <c r="H4" s="765"/>
      <c r="I4" s="766"/>
      <c r="J4" s="765"/>
      <c r="K4" s="765"/>
      <c r="L4" s="767"/>
      <c r="M4" s="768" t="e">
        <f>SUBTOTAL(9,M5:M68)</f>
        <v>#REF!</v>
      </c>
      <c r="N4" s="768" t="e">
        <f>SUBTOTAL(9,N5:N68)</f>
        <v>#REF!</v>
      </c>
      <c r="O4" s="768" t="e">
        <f>SUBTOTAL(9,O5:O68)</f>
        <v>#REF!</v>
      </c>
      <c r="P4" s="769" t="e">
        <f t="shared" ref="P4:P35" si="0">IF(O4="","",O4*10000/E$2)</f>
        <v>#REF!</v>
      </c>
      <c r="Q4" s="770"/>
      <c r="R4" s="632"/>
      <c r="AB4" s="632"/>
    </row>
    <row r="5" spans="2:28" ht="15.75" customHeight="1" outlineLevel="1">
      <c r="B5" s="771" t="s">
        <v>487</v>
      </c>
      <c r="C5" s="712">
        <v>1</v>
      </c>
      <c r="D5" s="771" t="s">
        <v>650</v>
      </c>
      <c r="E5" s="712"/>
      <c r="F5" s="712"/>
      <c r="G5" s="712"/>
      <c r="H5" s="772"/>
      <c r="I5" s="713"/>
      <c r="J5" s="772"/>
      <c r="K5" s="772"/>
      <c r="L5" s="588"/>
      <c r="M5" s="773" t="e">
        <f>SUBTOTAL(9,M6:M35)</f>
        <v>#REF!</v>
      </c>
      <c r="N5" s="773" t="e">
        <f>SUBTOTAL(9,N6:N35)</f>
        <v>#REF!</v>
      </c>
      <c r="O5" s="773" t="e">
        <f>SUBTOTAL(9,O6:O35)</f>
        <v>#REF!</v>
      </c>
      <c r="P5" s="589" t="e">
        <f t="shared" si="0"/>
        <v>#REF!</v>
      </c>
      <c r="Q5" s="775"/>
      <c r="R5" s="632"/>
      <c r="AB5" s="632"/>
    </row>
    <row r="6" spans="2:28" ht="15.75" customHeight="1" outlineLevel="3">
      <c r="B6" s="776" t="s">
        <v>651</v>
      </c>
      <c r="C6" s="777" t="s">
        <v>36</v>
      </c>
      <c r="D6" s="776" t="s">
        <v>1479</v>
      </c>
      <c r="E6" s="307"/>
      <c r="F6" s="307"/>
      <c r="G6" s="511"/>
      <c r="H6" s="511"/>
      <c r="I6" s="614"/>
      <c r="J6" s="778"/>
      <c r="K6" s="778"/>
      <c r="L6" s="569"/>
      <c r="M6" s="779" t="e">
        <f>SUBTOTAL(9,M7:M8)</f>
        <v>#REF!</v>
      </c>
      <c r="N6" s="779" t="e">
        <f>SUBTOTAL(9,N7:N8)</f>
        <v>#REF!</v>
      </c>
      <c r="O6" s="779" t="e">
        <f>SUBTOTAL(9,O7:O8)</f>
        <v>#REF!</v>
      </c>
      <c r="P6" s="614" t="e">
        <f t="shared" si="0"/>
        <v>#REF!</v>
      </c>
      <c r="Q6" s="781"/>
      <c r="R6" s="632"/>
      <c r="AB6" s="632"/>
    </row>
    <row r="7" spans="2:28" ht="15.75" customHeight="1" outlineLevel="3">
      <c r="B7" s="776" t="s">
        <v>652</v>
      </c>
      <c r="C7" s="782" t="s">
        <v>39</v>
      </c>
      <c r="D7" s="783" t="s">
        <v>654</v>
      </c>
      <c r="E7" s="307" t="s">
        <v>1278</v>
      </c>
      <c r="F7" s="307" t="s">
        <v>9</v>
      </c>
      <c r="G7" s="784">
        <v>0.5</v>
      </c>
      <c r="H7" s="785" t="s">
        <v>103</v>
      </c>
      <c r="I7" s="614" t="e">
        <f>$G$2</f>
        <v>#REF!</v>
      </c>
      <c r="J7" s="778">
        <v>35</v>
      </c>
      <c r="K7" s="778">
        <f>J7/(1+L7)</f>
        <v>31.531531531531527</v>
      </c>
      <c r="L7" s="569">
        <v>0.11</v>
      </c>
      <c r="M7" s="779" t="e">
        <f>G7*I7*K7/10000</f>
        <v>#REF!</v>
      </c>
      <c r="N7" s="779" t="e">
        <f>L7*M7</f>
        <v>#REF!</v>
      </c>
      <c r="O7" s="779" t="e">
        <f>M7+N7</f>
        <v>#REF!</v>
      </c>
      <c r="P7" s="614" t="e">
        <f t="shared" si="0"/>
        <v>#REF!</v>
      </c>
      <c r="Q7" s="781"/>
      <c r="R7" s="632"/>
      <c r="AB7" s="632"/>
    </row>
    <row r="8" spans="2:28" ht="15.75" customHeight="1" outlineLevel="3">
      <c r="B8" s="776" t="s">
        <v>653</v>
      </c>
      <c r="C8" s="782" t="s">
        <v>39</v>
      </c>
      <c r="D8" s="783" t="s">
        <v>1625</v>
      </c>
      <c r="E8" s="307" t="s">
        <v>1228</v>
      </c>
      <c r="F8" s="307" t="s">
        <v>9</v>
      </c>
      <c r="G8" s="784">
        <v>0.5</v>
      </c>
      <c r="H8" s="785" t="s">
        <v>103</v>
      </c>
      <c r="I8" s="614" t="e">
        <f>$G$2</f>
        <v>#REF!</v>
      </c>
      <c r="J8" s="778">
        <v>52</v>
      </c>
      <c r="K8" s="778">
        <f>J8/(1+L8)</f>
        <v>46.846846846846844</v>
      </c>
      <c r="L8" s="569">
        <v>0.11</v>
      </c>
      <c r="M8" s="779" t="e">
        <f>G8*I8*K8/10000</f>
        <v>#REF!</v>
      </c>
      <c r="N8" s="779" t="e">
        <f>L8*M8</f>
        <v>#REF!</v>
      </c>
      <c r="O8" s="779" t="e">
        <f>M8+N8</f>
        <v>#REF!</v>
      </c>
      <c r="P8" s="614" t="e">
        <f t="shared" si="0"/>
        <v>#REF!</v>
      </c>
      <c r="Q8" s="781"/>
      <c r="R8" s="632"/>
      <c r="AB8" s="632"/>
    </row>
    <row r="9" spans="2:28" ht="15.75" customHeight="1" outlineLevel="3" collapsed="1">
      <c r="B9" s="776" t="s">
        <v>655</v>
      </c>
      <c r="C9" s="777" t="s">
        <v>33</v>
      </c>
      <c r="D9" s="776" t="s">
        <v>656</v>
      </c>
      <c r="E9" s="511"/>
      <c r="F9" s="307"/>
      <c r="G9" s="511"/>
      <c r="H9" s="511"/>
      <c r="I9" s="614"/>
      <c r="J9" s="786"/>
      <c r="K9" s="786"/>
      <c r="L9" s="569"/>
      <c r="M9" s="779" t="e">
        <f>SUBTOTAL(9,M10:M35)</f>
        <v>#REF!</v>
      </c>
      <c r="N9" s="779" t="e">
        <f>SUBTOTAL(9,N10:N35)</f>
        <v>#REF!</v>
      </c>
      <c r="O9" s="779" t="e">
        <f>SUBTOTAL(9,O10:O35)</f>
        <v>#REF!</v>
      </c>
      <c r="P9" s="614" t="e">
        <f t="shared" si="0"/>
        <v>#REF!</v>
      </c>
      <c r="Q9" s="781"/>
      <c r="R9" s="632"/>
      <c r="AB9" s="632"/>
    </row>
    <row r="10" spans="2:28" ht="15.75" customHeight="1" outlineLevel="3">
      <c r="B10" s="776" t="s">
        <v>1626</v>
      </c>
      <c r="C10" s="782" t="s">
        <v>39</v>
      </c>
      <c r="D10" s="783" t="s">
        <v>1627</v>
      </c>
      <c r="E10" s="648"/>
      <c r="F10" s="648"/>
      <c r="G10" s="672"/>
      <c r="H10" s="787"/>
      <c r="I10" s="672"/>
      <c r="J10" s="786"/>
      <c r="K10" s="786"/>
      <c r="L10" s="569"/>
      <c r="M10" s="779" t="e">
        <f>SUBTOTAL(9,M11:M12)</f>
        <v>#REF!</v>
      </c>
      <c r="N10" s="779" t="e">
        <f>SUBTOTAL(9,N11:N12)</f>
        <v>#REF!</v>
      </c>
      <c r="O10" s="779" t="e">
        <f>SUBTOTAL(9,O11:O12)</f>
        <v>#REF!</v>
      </c>
      <c r="P10" s="614" t="e">
        <f t="shared" si="0"/>
        <v>#REF!</v>
      </c>
      <c r="Q10" s="781"/>
      <c r="R10" s="632"/>
      <c r="AB10" s="632"/>
    </row>
    <row r="11" spans="2:28" ht="15.75" customHeight="1" outlineLevel="3">
      <c r="B11" s="776" t="s">
        <v>1628</v>
      </c>
      <c r="C11" s="782"/>
      <c r="D11" s="796" t="s">
        <v>1629</v>
      </c>
      <c r="E11" s="648" t="s">
        <v>1603</v>
      </c>
      <c r="F11" s="648" t="s">
        <v>657</v>
      </c>
      <c r="G11" s="672">
        <v>0.35</v>
      </c>
      <c r="H11" s="787" t="s">
        <v>103</v>
      </c>
      <c r="I11" s="672" t="e">
        <f>$E$2</f>
        <v>#REF!</v>
      </c>
      <c r="J11" s="786"/>
      <c r="K11" s="778">
        <f>J11/(1+L11)</f>
        <v>0</v>
      </c>
      <c r="L11" s="569">
        <v>0.11</v>
      </c>
      <c r="M11" s="779" t="e">
        <f>G11*I11*K11/10000</f>
        <v>#REF!</v>
      </c>
      <c r="N11" s="779" t="e">
        <f>L11*M11</f>
        <v>#REF!</v>
      </c>
      <c r="O11" s="779" t="e">
        <f>M11+N11</f>
        <v>#REF!</v>
      </c>
      <c r="P11" s="614" t="e">
        <f t="shared" si="0"/>
        <v>#REF!</v>
      </c>
      <c r="Q11" s="781"/>
      <c r="R11" s="632"/>
      <c r="AB11" s="632"/>
    </row>
    <row r="12" spans="2:28" ht="15.75" customHeight="1" outlineLevel="3">
      <c r="B12" s="776" t="s">
        <v>1630</v>
      </c>
      <c r="C12" s="792"/>
      <c r="D12" s="796" t="s">
        <v>1631</v>
      </c>
      <c r="E12" s="648" t="s">
        <v>1228</v>
      </c>
      <c r="F12" s="648" t="s">
        <v>657</v>
      </c>
      <c r="G12" s="672">
        <v>0.35</v>
      </c>
      <c r="H12" s="790" t="s">
        <v>111</v>
      </c>
      <c r="I12" s="672" t="e">
        <f>$E$2</f>
        <v>#REF!</v>
      </c>
      <c r="J12" s="786">
        <v>640</v>
      </c>
      <c r="K12" s="778">
        <f>J12/(1+L12)</f>
        <v>576.57657657657649</v>
      </c>
      <c r="L12" s="569">
        <v>0.11</v>
      </c>
      <c r="M12" s="779" t="e">
        <f>G12*I12*K12/10000</f>
        <v>#REF!</v>
      </c>
      <c r="N12" s="779" t="e">
        <f>L12*M12</f>
        <v>#REF!</v>
      </c>
      <c r="O12" s="779" t="e">
        <f>M12+N12</f>
        <v>#REF!</v>
      </c>
      <c r="P12" s="614" t="e">
        <f t="shared" si="0"/>
        <v>#REF!</v>
      </c>
      <c r="Q12" s="511"/>
      <c r="R12" s="632"/>
      <c r="AB12" s="632"/>
    </row>
    <row r="13" spans="2:28" ht="15.75" customHeight="1" outlineLevel="3">
      <c r="B13" s="776" t="s">
        <v>1482</v>
      </c>
      <c r="C13" s="782" t="s">
        <v>39</v>
      </c>
      <c r="D13" s="783" t="s">
        <v>658</v>
      </c>
      <c r="E13" s="648"/>
      <c r="F13" s="648"/>
      <c r="G13" s="672"/>
      <c r="H13" s="787"/>
      <c r="I13" s="672"/>
      <c r="J13" s="786"/>
      <c r="K13" s="786"/>
      <c r="L13" s="569"/>
      <c r="M13" s="779" t="e">
        <f>SUBTOTAL(9,M14:M15)</f>
        <v>#REF!</v>
      </c>
      <c r="N13" s="779" t="e">
        <f>SUBTOTAL(9,N14:N15)</f>
        <v>#REF!</v>
      </c>
      <c r="O13" s="779" t="e">
        <f>SUBTOTAL(9,O14:O15)</f>
        <v>#REF!</v>
      </c>
      <c r="P13" s="614" t="e">
        <f t="shared" si="0"/>
        <v>#REF!</v>
      </c>
      <c r="Q13" s="511"/>
      <c r="R13" s="632"/>
      <c r="AB13" s="632"/>
    </row>
    <row r="14" spans="2:28" ht="15.75" customHeight="1" outlineLevel="3">
      <c r="B14" s="776" t="s">
        <v>1632</v>
      </c>
      <c r="C14" s="782"/>
      <c r="D14" s="796" t="s">
        <v>1633</v>
      </c>
      <c r="E14" s="648" t="s">
        <v>1604</v>
      </c>
      <c r="F14" s="648" t="s">
        <v>657</v>
      </c>
      <c r="G14" s="672">
        <v>45</v>
      </c>
      <c r="H14" s="787" t="s">
        <v>104</v>
      </c>
      <c r="I14" s="672" t="e">
        <f>$E$2</f>
        <v>#REF!</v>
      </c>
      <c r="J14" s="786"/>
      <c r="K14" s="778">
        <f>J14/(1+L14)</f>
        <v>0</v>
      </c>
      <c r="L14" s="569">
        <v>0.11</v>
      </c>
      <c r="M14" s="779" t="e">
        <f>G14*I14*K14/10000</f>
        <v>#REF!</v>
      </c>
      <c r="N14" s="779" t="e">
        <f>L14*M14</f>
        <v>#REF!</v>
      </c>
      <c r="O14" s="779" t="e">
        <f>M14+N14</f>
        <v>#REF!</v>
      </c>
      <c r="P14" s="614" t="e">
        <f t="shared" si="0"/>
        <v>#REF!</v>
      </c>
      <c r="Q14" s="511"/>
      <c r="R14" s="632"/>
      <c r="AB14" s="632"/>
    </row>
    <row r="15" spans="2:28" ht="15.75" customHeight="1" outlineLevel="3">
      <c r="B15" s="776" t="s">
        <v>1483</v>
      </c>
      <c r="C15" s="782"/>
      <c r="D15" s="796" t="s">
        <v>1634</v>
      </c>
      <c r="E15" s="648" t="s">
        <v>1228</v>
      </c>
      <c r="F15" s="648" t="s">
        <v>657</v>
      </c>
      <c r="G15" s="672">
        <v>35</v>
      </c>
      <c r="H15" s="787" t="s">
        <v>104</v>
      </c>
      <c r="I15" s="672" t="e">
        <f>$E$2</f>
        <v>#REF!</v>
      </c>
      <c r="J15" s="786">
        <v>6.5</v>
      </c>
      <c r="K15" s="778">
        <f>J15/(1+L15)</f>
        <v>5.8558558558558556</v>
      </c>
      <c r="L15" s="569">
        <v>0.11</v>
      </c>
      <c r="M15" s="779" t="e">
        <f>G15*I15*K15/10000</f>
        <v>#REF!</v>
      </c>
      <c r="N15" s="779" t="e">
        <f>L15*M15</f>
        <v>#REF!</v>
      </c>
      <c r="O15" s="779" t="e">
        <f>M15+N15</f>
        <v>#REF!</v>
      </c>
      <c r="P15" s="614" t="e">
        <f t="shared" si="0"/>
        <v>#REF!</v>
      </c>
      <c r="Q15" s="781"/>
      <c r="R15" s="632"/>
      <c r="AB15" s="632"/>
    </row>
    <row r="16" spans="2:28" ht="15.75" customHeight="1" outlineLevel="3">
      <c r="B16" s="776" t="s">
        <v>1635</v>
      </c>
      <c r="C16" s="782" t="s">
        <v>39</v>
      </c>
      <c r="D16" s="783" t="s">
        <v>659</v>
      </c>
      <c r="E16" s="648" t="s">
        <v>1228</v>
      </c>
      <c r="F16" s="648" t="s">
        <v>657</v>
      </c>
      <c r="G16" s="672">
        <v>2.8</v>
      </c>
      <c r="H16" s="787" t="s">
        <v>101</v>
      </c>
      <c r="I16" s="672" t="e">
        <f>$E$2</f>
        <v>#REF!</v>
      </c>
      <c r="J16" s="672">
        <v>80</v>
      </c>
      <c r="K16" s="778">
        <f>J16/(1+L16)</f>
        <v>72.072072072072061</v>
      </c>
      <c r="L16" s="569">
        <v>0.11</v>
      </c>
      <c r="M16" s="779" t="e">
        <f>G16*I16*K16/10000</f>
        <v>#REF!</v>
      </c>
      <c r="N16" s="779" t="e">
        <f>L16*M16</f>
        <v>#REF!</v>
      </c>
      <c r="O16" s="779" t="e">
        <f>M16+N16</f>
        <v>#REF!</v>
      </c>
      <c r="P16" s="614" t="e">
        <f t="shared" si="0"/>
        <v>#REF!</v>
      </c>
      <c r="Q16" s="781"/>
      <c r="R16" s="632"/>
      <c r="AB16" s="632"/>
    </row>
    <row r="17" spans="2:28" ht="15.75" customHeight="1" outlineLevel="3">
      <c r="B17" s="776" t="s">
        <v>1484</v>
      </c>
      <c r="C17" s="792" t="s">
        <v>39</v>
      </c>
      <c r="D17" s="783" t="s">
        <v>1636</v>
      </c>
      <c r="E17" s="648" t="s">
        <v>1228</v>
      </c>
      <c r="F17" s="648" t="s">
        <v>657</v>
      </c>
      <c r="G17" s="672">
        <v>0.18</v>
      </c>
      <c r="H17" s="787" t="s">
        <v>103</v>
      </c>
      <c r="I17" s="672" t="e">
        <f>$E$2</f>
        <v>#REF!</v>
      </c>
      <c r="J17" s="791">
        <v>600</v>
      </c>
      <c r="K17" s="778">
        <f>J17/(1+L17)</f>
        <v>540.54054054054052</v>
      </c>
      <c r="L17" s="788">
        <v>0.11</v>
      </c>
      <c r="M17" s="779" t="e">
        <f>G17*I17*K17/10000</f>
        <v>#REF!</v>
      </c>
      <c r="N17" s="779" t="e">
        <f>L17*M17</f>
        <v>#REF!</v>
      </c>
      <c r="O17" s="779" t="e">
        <f>M17+N17</f>
        <v>#REF!</v>
      </c>
      <c r="P17" s="614" t="e">
        <f t="shared" si="0"/>
        <v>#REF!</v>
      </c>
      <c r="Q17" s="781"/>
      <c r="R17" s="632"/>
      <c r="AB17" s="632"/>
    </row>
    <row r="18" spans="2:28" ht="15.75" customHeight="1" outlineLevel="3">
      <c r="B18" s="776" t="s">
        <v>1485</v>
      </c>
      <c r="C18" s="782" t="s">
        <v>39</v>
      </c>
      <c r="D18" s="783" t="s">
        <v>386</v>
      </c>
      <c r="E18" s="648" t="s">
        <v>1228</v>
      </c>
      <c r="F18" s="648" t="s">
        <v>657</v>
      </c>
      <c r="G18" s="789">
        <v>4.5</v>
      </c>
      <c r="H18" s="790" t="s">
        <v>384</v>
      </c>
      <c r="I18" s="672" t="e">
        <f>$E$2</f>
        <v>#REF!</v>
      </c>
      <c r="J18" s="786">
        <v>35</v>
      </c>
      <c r="K18" s="778">
        <f>J18/(1+L18)</f>
        <v>31.531531531531527</v>
      </c>
      <c r="L18" s="569">
        <v>0.11</v>
      </c>
      <c r="M18" s="779" t="e">
        <f>G18*I18*K18/10000</f>
        <v>#REF!</v>
      </c>
      <c r="N18" s="779" t="e">
        <f>L18*M18</f>
        <v>#REF!</v>
      </c>
      <c r="O18" s="779" t="e">
        <f>M18+N18</f>
        <v>#REF!</v>
      </c>
      <c r="P18" s="614" t="e">
        <f t="shared" si="0"/>
        <v>#REF!</v>
      </c>
      <c r="Q18" s="781"/>
      <c r="R18" s="632"/>
      <c r="AB18" s="632"/>
    </row>
    <row r="19" spans="2:28" ht="15.75" customHeight="1" outlineLevel="3">
      <c r="B19" s="776" t="s">
        <v>1486</v>
      </c>
      <c r="C19" s="782" t="s">
        <v>39</v>
      </c>
      <c r="D19" s="783" t="s">
        <v>1637</v>
      </c>
      <c r="E19" s="665"/>
      <c r="F19" s="665"/>
      <c r="G19" s="789"/>
      <c r="H19" s="790"/>
      <c r="I19" s="791"/>
      <c r="J19" s="791"/>
      <c r="K19" s="791"/>
      <c r="L19" s="788"/>
      <c r="M19" s="779" t="e">
        <f>SUBTOTAL(9,M20:M21)</f>
        <v>#REF!</v>
      </c>
      <c r="N19" s="779" t="e">
        <f>SUBTOTAL(9,N20:N21)</f>
        <v>#REF!</v>
      </c>
      <c r="O19" s="779" t="e">
        <f>SUBTOTAL(9,O20:O21)</f>
        <v>#REF!</v>
      </c>
      <c r="P19" s="614" t="e">
        <f t="shared" si="0"/>
        <v>#REF!</v>
      </c>
      <c r="Q19" s="511"/>
      <c r="R19" s="632"/>
      <c r="AB19" s="632"/>
    </row>
    <row r="20" spans="2:28" ht="15.75" customHeight="1" outlineLevel="3">
      <c r="B20" s="776" t="s">
        <v>1638</v>
      </c>
      <c r="C20" s="782"/>
      <c r="D20" s="796" t="s">
        <v>1487</v>
      </c>
      <c r="E20" s="648" t="s">
        <v>1488</v>
      </c>
      <c r="F20" s="648" t="s">
        <v>657</v>
      </c>
      <c r="G20" s="672">
        <v>0.4</v>
      </c>
      <c r="H20" s="787" t="s">
        <v>101</v>
      </c>
      <c r="I20" s="672" t="e">
        <f>$E$2</f>
        <v>#REF!</v>
      </c>
      <c r="J20" s="672">
        <v>30</v>
      </c>
      <c r="K20" s="778">
        <f>J20/(1+L20)</f>
        <v>25.641025641025642</v>
      </c>
      <c r="L20" s="569">
        <v>0.17</v>
      </c>
      <c r="M20" s="779" t="e">
        <f>G20*I20*K20/10000</f>
        <v>#REF!</v>
      </c>
      <c r="N20" s="779" t="e">
        <f>L20*M20</f>
        <v>#REF!</v>
      </c>
      <c r="O20" s="779" t="e">
        <f>M20+N20</f>
        <v>#REF!</v>
      </c>
      <c r="P20" s="614" t="e">
        <f t="shared" si="0"/>
        <v>#REF!</v>
      </c>
      <c r="Q20" s="511"/>
      <c r="R20" s="632"/>
      <c r="AB20" s="632"/>
    </row>
    <row r="21" spans="2:28" ht="15.75" customHeight="1" outlineLevel="3">
      <c r="B21" s="776" t="s">
        <v>1489</v>
      </c>
      <c r="C21" s="782"/>
      <c r="D21" s="796" t="s">
        <v>1639</v>
      </c>
      <c r="E21" s="648" t="s">
        <v>1228</v>
      </c>
      <c r="F21" s="648" t="s">
        <v>657</v>
      </c>
      <c r="G21" s="672">
        <v>0.4</v>
      </c>
      <c r="H21" s="787" t="s">
        <v>101</v>
      </c>
      <c r="I21" s="672" t="e">
        <f>$E$2</f>
        <v>#REF!</v>
      </c>
      <c r="J21" s="672">
        <v>20</v>
      </c>
      <c r="K21" s="778">
        <f>J21/(1+L21)</f>
        <v>18.018018018018015</v>
      </c>
      <c r="L21" s="569">
        <v>0.11</v>
      </c>
      <c r="M21" s="779" t="e">
        <f>G21*I21*K21/10000</f>
        <v>#REF!</v>
      </c>
      <c r="N21" s="779" t="e">
        <f>L21*M21</f>
        <v>#REF!</v>
      </c>
      <c r="O21" s="779" t="e">
        <f>M21+N21</f>
        <v>#REF!</v>
      </c>
      <c r="P21" s="614" t="e">
        <f t="shared" si="0"/>
        <v>#REF!</v>
      </c>
      <c r="Q21" s="511"/>
      <c r="R21" s="632"/>
      <c r="AB21" s="632"/>
    </row>
    <row r="22" spans="2:28" ht="15.75" customHeight="1" outlineLevel="3">
      <c r="B22" s="776" t="s">
        <v>1640</v>
      </c>
      <c r="C22" s="782" t="s">
        <v>39</v>
      </c>
      <c r="D22" s="783" t="s">
        <v>1641</v>
      </c>
      <c r="E22" s="648"/>
      <c r="F22" s="648"/>
      <c r="G22" s="789"/>
      <c r="H22" s="790"/>
      <c r="I22" s="672"/>
      <c r="J22" s="791"/>
      <c r="K22" s="791"/>
      <c r="L22" s="788"/>
      <c r="M22" s="779" t="e">
        <f>SUBTOTAL(9,M23:M26)</f>
        <v>#REF!</v>
      </c>
      <c r="N22" s="779" t="e">
        <f>SUBTOTAL(9,N23:N26)</f>
        <v>#REF!</v>
      </c>
      <c r="O22" s="779" t="e">
        <f>SUBTOTAL(9,O23:O26)</f>
        <v>#REF!</v>
      </c>
      <c r="P22" s="614" t="e">
        <f t="shared" si="0"/>
        <v>#REF!</v>
      </c>
      <c r="Q22" s="511"/>
      <c r="R22" s="632"/>
      <c r="AB22" s="632"/>
    </row>
    <row r="23" spans="2:28" ht="15.75" customHeight="1" outlineLevel="3">
      <c r="B23" s="776" t="s">
        <v>1642</v>
      </c>
      <c r="C23" s="782"/>
      <c r="D23" s="796" t="s">
        <v>1643</v>
      </c>
      <c r="E23" s="648" t="s">
        <v>1228</v>
      </c>
      <c r="F23" s="648" t="s">
        <v>657</v>
      </c>
      <c r="G23" s="789">
        <v>1</v>
      </c>
      <c r="H23" s="790" t="s">
        <v>101</v>
      </c>
      <c r="I23" s="672" t="e">
        <f>$E$2</f>
        <v>#REF!</v>
      </c>
      <c r="J23" s="672">
        <v>160</v>
      </c>
      <c r="K23" s="778">
        <f>J23/(1+L23)</f>
        <v>144.14414414414412</v>
      </c>
      <c r="L23" s="569">
        <v>0.11</v>
      </c>
      <c r="M23" s="779" t="e">
        <f>G23*I23*K23/10000</f>
        <v>#REF!</v>
      </c>
      <c r="N23" s="779" t="e">
        <f>L23*M23</f>
        <v>#REF!</v>
      </c>
      <c r="O23" s="779" t="e">
        <f>M23+N23</f>
        <v>#REF!</v>
      </c>
      <c r="P23" s="614" t="e">
        <f t="shared" si="0"/>
        <v>#REF!</v>
      </c>
      <c r="Q23" s="511"/>
      <c r="R23" s="632"/>
      <c r="AB23" s="632"/>
    </row>
    <row r="24" spans="2:28" ht="15.75" customHeight="1" outlineLevel="3">
      <c r="B24" s="776" t="s">
        <v>1490</v>
      </c>
      <c r="C24" s="782"/>
      <c r="D24" s="796" t="s">
        <v>1644</v>
      </c>
      <c r="E24" s="648" t="s">
        <v>1228</v>
      </c>
      <c r="F24" s="648" t="s">
        <v>657</v>
      </c>
      <c r="G24" s="789">
        <v>1</v>
      </c>
      <c r="H24" s="790" t="s">
        <v>101</v>
      </c>
      <c r="I24" s="672" t="e">
        <f>$E$2</f>
        <v>#REF!</v>
      </c>
      <c r="J24" s="672"/>
      <c r="K24" s="778">
        <f>J24/(1+L24)</f>
        <v>0</v>
      </c>
      <c r="L24" s="569">
        <v>0.11</v>
      </c>
      <c r="M24" s="779" t="e">
        <f>G24*I24*K24/10000</f>
        <v>#REF!</v>
      </c>
      <c r="N24" s="779" t="e">
        <f>L24*M24</f>
        <v>#REF!</v>
      </c>
      <c r="O24" s="779" t="e">
        <f>M24+N24</f>
        <v>#REF!</v>
      </c>
      <c r="P24" s="614" t="e">
        <f t="shared" si="0"/>
        <v>#REF!</v>
      </c>
      <c r="Q24" s="511"/>
      <c r="R24" s="632"/>
      <c r="AB24" s="632"/>
    </row>
    <row r="25" spans="2:28" ht="15.75" customHeight="1" outlineLevel="3">
      <c r="B25" s="776" t="s">
        <v>1491</v>
      </c>
      <c r="C25" s="792"/>
      <c r="D25" s="796" t="s">
        <v>1645</v>
      </c>
      <c r="E25" s="648" t="s">
        <v>1228</v>
      </c>
      <c r="F25" s="648" t="s">
        <v>657</v>
      </c>
      <c r="G25" s="789">
        <v>1</v>
      </c>
      <c r="H25" s="790" t="s">
        <v>101</v>
      </c>
      <c r="I25" s="672" t="e">
        <f>$E$2</f>
        <v>#REF!</v>
      </c>
      <c r="J25" s="672"/>
      <c r="K25" s="778">
        <f>J25/(1+L25)</f>
        <v>0</v>
      </c>
      <c r="L25" s="569">
        <v>0.11</v>
      </c>
      <c r="M25" s="779" t="e">
        <f>G25*I25*K25/10000</f>
        <v>#REF!</v>
      </c>
      <c r="N25" s="779" t="e">
        <f>L25*M25</f>
        <v>#REF!</v>
      </c>
      <c r="O25" s="779" t="e">
        <f>M25+N25</f>
        <v>#REF!</v>
      </c>
      <c r="P25" s="614" t="e">
        <f t="shared" si="0"/>
        <v>#REF!</v>
      </c>
      <c r="Q25" s="511"/>
      <c r="R25" s="632"/>
      <c r="AB25" s="632"/>
    </row>
    <row r="26" spans="2:28" ht="15.75" customHeight="1" outlineLevel="3">
      <c r="B26" s="776" t="s">
        <v>1492</v>
      </c>
      <c r="C26" s="782"/>
      <c r="D26" s="796" t="s">
        <v>1646</v>
      </c>
      <c r="E26" s="665" t="s">
        <v>1228</v>
      </c>
      <c r="F26" s="648" t="s">
        <v>657</v>
      </c>
      <c r="G26" s="789">
        <v>1</v>
      </c>
      <c r="H26" s="790" t="s">
        <v>101</v>
      </c>
      <c r="I26" s="672" t="e">
        <f>$E$2</f>
        <v>#REF!</v>
      </c>
      <c r="J26" s="672"/>
      <c r="K26" s="778">
        <f>J26/(1+L26)</f>
        <v>0</v>
      </c>
      <c r="L26" s="569">
        <v>0.11</v>
      </c>
      <c r="M26" s="779" t="e">
        <f>G26*I26*K26/10000</f>
        <v>#REF!</v>
      </c>
      <c r="N26" s="779" t="e">
        <f>L26*M26</f>
        <v>#REF!</v>
      </c>
      <c r="O26" s="779" t="e">
        <f>M26+N26</f>
        <v>#REF!</v>
      </c>
      <c r="P26" s="614" t="e">
        <f t="shared" si="0"/>
        <v>#REF!</v>
      </c>
      <c r="Q26" s="511"/>
      <c r="R26" s="632"/>
      <c r="AB26" s="632"/>
    </row>
    <row r="27" spans="2:28" ht="15.75" customHeight="1" outlineLevel="3">
      <c r="B27" s="776" t="s">
        <v>1647</v>
      </c>
      <c r="C27" s="782" t="s">
        <v>39</v>
      </c>
      <c r="D27" s="783" t="s">
        <v>1648</v>
      </c>
      <c r="E27" s="648"/>
      <c r="F27" s="665"/>
      <c r="G27" s="789"/>
      <c r="H27" s="790"/>
      <c r="I27" s="672"/>
      <c r="J27" s="791"/>
      <c r="K27" s="791"/>
      <c r="L27" s="788"/>
      <c r="M27" s="779" t="e">
        <f>SUBTOTAL(9,M28:M30)</f>
        <v>#REF!</v>
      </c>
      <c r="N27" s="779" t="e">
        <f>SUBTOTAL(9,N28:N30)</f>
        <v>#REF!</v>
      </c>
      <c r="O27" s="779" t="e">
        <f>SUBTOTAL(9,O28:O30)</f>
        <v>#REF!</v>
      </c>
      <c r="P27" s="614" t="e">
        <f t="shared" si="0"/>
        <v>#REF!</v>
      </c>
      <c r="Q27" s="511"/>
      <c r="R27" s="632"/>
      <c r="AB27" s="632"/>
    </row>
    <row r="28" spans="2:28" ht="15.75" customHeight="1" outlineLevel="3">
      <c r="B28" s="776" t="s">
        <v>1649</v>
      </c>
      <c r="C28" s="782"/>
      <c r="D28" s="796" t="s">
        <v>1650</v>
      </c>
      <c r="E28" s="648" t="s">
        <v>1493</v>
      </c>
      <c r="F28" s="648" t="s">
        <v>657</v>
      </c>
      <c r="G28" s="672">
        <v>1.3</v>
      </c>
      <c r="H28" s="790" t="s">
        <v>101</v>
      </c>
      <c r="I28" s="672" t="e">
        <f t="shared" ref="I28:I35" si="1">$E$2</f>
        <v>#REF!</v>
      </c>
      <c r="J28" s="672"/>
      <c r="K28" s="778">
        <f t="shared" ref="K28:K35" si="2">J28/(1+L28)</f>
        <v>0</v>
      </c>
      <c r="L28" s="569">
        <v>0.11</v>
      </c>
      <c r="M28" s="779" t="e">
        <f t="shared" ref="M28:M35" si="3">G28*I28*K28/10000</f>
        <v>#REF!</v>
      </c>
      <c r="N28" s="779" t="e">
        <f t="shared" ref="N28:N35" si="4">L28*M28</f>
        <v>#REF!</v>
      </c>
      <c r="O28" s="779" t="e">
        <f t="shared" ref="O28:O35" si="5">M28+N28</f>
        <v>#REF!</v>
      </c>
      <c r="P28" s="614" t="e">
        <f t="shared" si="0"/>
        <v>#REF!</v>
      </c>
      <c r="Q28" s="511"/>
      <c r="R28" s="632"/>
      <c r="AB28" s="632"/>
    </row>
    <row r="29" spans="2:28" ht="15.75" customHeight="1" outlineLevel="3">
      <c r="B29" s="776" t="s">
        <v>1494</v>
      </c>
      <c r="C29" s="782"/>
      <c r="D29" s="796" t="s">
        <v>1651</v>
      </c>
      <c r="E29" s="665" t="s">
        <v>1493</v>
      </c>
      <c r="F29" s="648" t="s">
        <v>657</v>
      </c>
      <c r="G29" s="672">
        <v>1.4</v>
      </c>
      <c r="H29" s="790" t="s">
        <v>101</v>
      </c>
      <c r="I29" s="672" t="e">
        <f t="shared" si="1"/>
        <v>#REF!</v>
      </c>
      <c r="J29" s="672">
        <v>110</v>
      </c>
      <c r="K29" s="778">
        <f t="shared" si="2"/>
        <v>99.099099099099092</v>
      </c>
      <c r="L29" s="569">
        <v>0.11</v>
      </c>
      <c r="M29" s="779" t="e">
        <f t="shared" si="3"/>
        <v>#REF!</v>
      </c>
      <c r="N29" s="779" t="e">
        <f t="shared" si="4"/>
        <v>#REF!</v>
      </c>
      <c r="O29" s="779" t="e">
        <f t="shared" si="5"/>
        <v>#REF!</v>
      </c>
      <c r="P29" s="614" t="e">
        <f t="shared" si="0"/>
        <v>#REF!</v>
      </c>
      <c r="Q29" s="511"/>
      <c r="R29" s="632"/>
      <c r="AB29" s="632"/>
    </row>
    <row r="30" spans="2:28" ht="15.75" customHeight="1" outlineLevel="3">
      <c r="B30" s="776" t="s">
        <v>1495</v>
      </c>
      <c r="C30" s="782"/>
      <c r="D30" s="796" t="s">
        <v>1652</v>
      </c>
      <c r="E30" s="648" t="s">
        <v>1228</v>
      </c>
      <c r="F30" s="648" t="s">
        <v>1605</v>
      </c>
      <c r="G30" s="672">
        <v>1.5</v>
      </c>
      <c r="H30" s="790" t="s">
        <v>111</v>
      </c>
      <c r="I30" s="672" t="e">
        <f t="shared" si="1"/>
        <v>#REF!</v>
      </c>
      <c r="J30" s="672"/>
      <c r="K30" s="778">
        <f t="shared" si="2"/>
        <v>0</v>
      </c>
      <c r="L30" s="569">
        <v>0.11</v>
      </c>
      <c r="M30" s="779" t="e">
        <f t="shared" si="3"/>
        <v>#REF!</v>
      </c>
      <c r="N30" s="779" t="e">
        <f t="shared" si="4"/>
        <v>#REF!</v>
      </c>
      <c r="O30" s="779" t="e">
        <f t="shared" si="5"/>
        <v>#REF!</v>
      </c>
      <c r="P30" s="614" t="e">
        <f t="shared" si="0"/>
        <v>#REF!</v>
      </c>
      <c r="Q30" s="511"/>
      <c r="R30" s="632"/>
      <c r="AB30" s="632"/>
    </row>
    <row r="31" spans="2:28" ht="15.75" customHeight="1" outlineLevel="3">
      <c r="B31" s="776" t="s">
        <v>1653</v>
      </c>
      <c r="C31" s="782" t="s">
        <v>39</v>
      </c>
      <c r="D31" s="783" t="s">
        <v>1654</v>
      </c>
      <c r="E31" s="648" t="s">
        <v>1496</v>
      </c>
      <c r="F31" s="648" t="s">
        <v>657</v>
      </c>
      <c r="G31" s="672">
        <v>1</v>
      </c>
      <c r="H31" s="787" t="s">
        <v>111</v>
      </c>
      <c r="I31" s="672" t="e">
        <f t="shared" si="1"/>
        <v>#REF!</v>
      </c>
      <c r="J31" s="672">
        <v>150</v>
      </c>
      <c r="K31" s="778">
        <f t="shared" si="2"/>
        <v>128.2051282051282</v>
      </c>
      <c r="L31" s="569">
        <v>0.17</v>
      </c>
      <c r="M31" s="779" t="e">
        <f t="shared" si="3"/>
        <v>#REF!</v>
      </c>
      <c r="N31" s="779" t="e">
        <f t="shared" si="4"/>
        <v>#REF!</v>
      </c>
      <c r="O31" s="779" t="e">
        <f t="shared" si="5"/>
        <v>#REF!</v>
      </c>
      <c r="P31" s="614" t="e">
        <f t="shared" si="0"/>
        <v>#REF!</v>
      </c>
      <c r="Q31" s="511"/>
      <c r="R31" s="632"/>
      <c r="AB31" s="632"/>
    </row>
    <row r="32" spans="2:28" ht="15.75" customHeight="1" outlineLevel="3">
      <c r="B32" s="776" t="s">
        <v>1655</v>
      </c>
      <c r="C32" s="782" t="s">
        <v>39</v>
      </c>
      <c r="D32" s="783" t="s">
        <v>1656</v>
      </c>
      <c r="E32" s="835" t="s">
        <v>1606</v>
      </c>
      <c r="F32" s="648" t="s">
        <v>657</v>
      </c>
      <c r="G32" s="672">
        <v>1</v>
      </c>
      <c r="H32" s="790" t="s">
        <v>111</v>
      </c>
      <c r="I32" s="672" t="e">
        <f t="shared" si="1"/>
        <v>#REF!</v>
      </c>
      <c r="J32" s="672"/>
      <c r="K32" s="778">
        <f t="shared" si="2"/>
        <v>0</v>
      </c>
      <c r="L32" s="569">
        <v>0.17</v>
      </c>
      <c r="M32" s="779" t="e">
        <f t="shared" si="3"/>
        <v>#REF!</v>
      </c>
      <c r="N32" s="779" t="e">
        <f t="shared" si="4"/>
        <v>#REF!</v>
      </c>
      <c r="O32" s="779" t="e">
        <f t="shared" si="5"/>
        <v>#REF!</v>
      </c>
      <c r="P32" s="614" t="e">
        <f t="shared" si="0"/>
        <v>#REF!</v>
      </c>
      <c r="Q32" s="511"/>
      <c r="R32" s="632"/>
      <c r="AB32" s="632"/>
    </row>
    <row r="33" spans="2:28" ht="15.75" customHeight="1" outlineLevel="3">
      <c r="B33" s="776" t="s">
        <v>1657</v>
      </c>
      <c r="C33" s="782" t="s">
        <v>39</v>
      </c>
      <c r="D33" s="783" t="s">
        <v>1658</v>
      </c>
      <c r="E33" s="648" t="s">
        <v>1228</v>
      </c>
      <c r="F33" s="648" t="s">
        <v>657</v>
      </c>
      <c r="G33" s="672">
        <v>1</v>
      </c>
      <c r="H33" s="790" t="s">
        <v>111</v>
      </c>
      <c r="I33" s="672" t="e">
        <f t="shared" si="1"/>
        <v>#REF!</v>
      </c>
      <c r="J33" s="791">
        <v>5</v>
      </c>
      <c r="K33" s="778">
        <f t="shared" si="2"/>
        <v>4.5045045045045038</v>
      </c>
      <c r="L33" s="569">
        <v>0.11</v>
      </c>
      <c r="M33" s="779" t="e">
        <f t="shared" si="3"/>
        <v>#REF!</v>
      </c>
      <c r="N33" s="779" t="e">
        <f t="shared" si="4"/>
        <v>#REF!</v>
      </c>
      <c r="O33" s="779" t="e">
        <f t="shared" si="5"/>
        <v>#REF!</v>
      </c>
      <c r="P33" s="614" t="e">
        <f t="shared" si="0"/>
        <v>#REF!</v>
      </c>
      <c r="Q33" s="511"/>
      <c r="R33" s="632"/>
      <c r="AB33" s="632"/>
    </row>
    <row r="34" spans="2:28" ht="15.75" customHeight="1" outlineLevel="3">
      <c r="B34" s="776" t="s">
        <v>1659</v>
      </c>
      <c r="C34" s="782" t="s">
        <v>39</v>
      </c>
      <c r="D34" s="783" t="s">
        <v>1660</v>
      </c>
      <c r="E34" s="648" t="s">
        <v>1228</v>
      </c>
      <c r="F34" s="648" t="s">
        <v>657</v>
      </c>
      <c r="G34" s="672">
        <v>1</v>
      </c>
      <c r="H34" s="790" t="s">
        <v>111</v>
      </c>
      <c r="I34" s="672" t="e">
        <f t="shared" si="1"/>
        <v>#REF!</v>
      </c>
      <c r="J34" s="791">
        <v>20</v>
      </c>
      <c r="K34" s="778">
        <f t="shared" si="2"/>
        <v>18.018018018018015</v>
      </c>
      <c r="L34" s="569">
        <v>0.11</v>
      </c>
      <c r="M34" s="779" t="e">
        <f t="shared" si="3"/>
        <v>#REF!</v>
      </c>
      <c r="N34" s="779" t="e">
        <f t="shared" si="4"/>
        <v>#REF!</v>
      </c>
      <c r="O34" s="779" t="e">
        <f t="shared" si="5"/>
        <v>#REF!</v>
      </c>
      <c r="P34" s="614" t="e">
        <f t="shared" si="0"/>
        <v>#REF!</v>
      </c>
      <c r="Q34" s="511"/>
      <c r="R34" s="632"/>
      <c r="AB34" s="632"/>
    </row>
    <row r="35" spans="2:28" ht="15.75" customHeight="1" outlineLevel="3">
      <c r="B35" s="776" t="s">
        <v>1497</v>
      </c>
      <c r="C35" s="782" t="s">
        <v>39</v>
      </c>
      <c r="D35" s="783" t="s">
        <v>1661</v>
      </c>
      <c r="E35" s="665" t="s">
        <v>1228</v>
      </c>
      <c r="F35" s="648" t="s">
        <v>657</v>
      </c>
      <c r="G35" s="672">
        <v>1</v>
      </c>
      <c r="H35" s="790" t="s">
        <v>111</v>
      </c>
      <c r="I35" s="672" t="e">
        <f t="shared" si="1"/>
        <v>#REF!</v>
      </c>
      <c r="J35" s="791"/>
      <c r="K35" s="778">
        <f t="shared" si="2"/>
        <v>0</v>
      </c>
      <c r="L35" s="569">
        <v>0.11</v>
      </c>
      <c r="M35" s="779" t="e">
        <f t="shared" si="3"/>
        <v>#REF!</v>
      </c>
      <c r="N35" s="779" t="e">
        <f t="shared" si="4"/>
        <v>#REF!</v>
      </c>
      <c r="O35" s="779" t="e">
        <f t="shared" si="5"/>
        <v>#REF!</v>
      </c>
      <c r="P35" s="614" t="e">
        <f t="shared" si="0"/>
        <v>#REF!</v>
      </c>
      <c r="Q35" s="511"/>
      <c r="R35" s="632"/>
      <c r="AB35" s="632"/>
    </row>
    <row r="36" spans="2:28" ht="15.75" customHeight="1" outlineLevel="1">
      <c r="B36" s="771" t="s">
        <v>490</v>
      </c>
      <c r="C36" s="712">
        <v>2</v>
      </c>
      <c r="D36" s="771" t="s">
        <v>491</v>
      </c>
      <c r="E36" s="712"/>
      <c r="F36" s="712"/>
      <c r="G36" s="712"/>
      <c r="H36" s="772"/>
      <c r="I36" s="713"/>
      <c r="J36" s="772"/>
      <c r="K36" s="772"/>
      <c r="L36" s="588"/>
      <c r="M36" s="773" t="e">
        <f>SUBTOTAL(9,M37:M68)</f>
        <v>#REF!</v>
      </c>
      <c r="N36" s="773" t="e">
        <f>SUBTOTAL(9,N37:N68)</f>
        <v>#REF!</v>
      </c>
      <c r="O36" s="773" t="e">
        <f>SUBTOTAL(9,O37:O68)</f>
        <v>#REF!</v>
      </c>
      <c r="P36" s="589" t="e">
        <f t="shared" ref="P36:P67" si="6">IF(O36="","",O36*10000/E$2)</f>
        <v>#REF!</v>
      </c>
      <c r="Q36" s="775"/>
      <c r="R36" s="632"/>
      <c r="AB36" s="632"/>
    </row>
    <row r="37" spans="2:28" ht="15.75" customHeight="1" outlineLevel="2">
      <c r="B37" s="776" t="s">
        <v>661</v>
      </c>
      <c r="C37" s="777" t="s">
        <v>1096</v>
      </c>
      <c r="D37" s="776" t="s">
        <v>1662</v>
      </c>
      <c r="E37" s="665"/>
      <c r="F37" s="665"/>
      <c r="G37" s="794"/>
      <c r="H37" s="795"/>
      <c r="I37" s="791"/>
      <c r="J37" s="791"/>
      <c r="K37" s="791"/>
      <c r="L37" s="788"/>
      <c r="M37" s="779" t="e">
        <f>SUBTOTAL(9,M38:M55)</f>
        <v>#REF!</v>
      </c>
      <c r="N37" s="779" t="e">
        <f>SUBTOTAL(9,N38:N55)</f>
        <v>#REF!</v>
      </c>
      <c r="O37" s="779" t="e">
        <f>SUBTOTAL(9,O38:O55)</f>
        <v>#REF!</v>
      </c>
      <c r="P37" s="614" t="e">
        <f t="shared" si="6"/>
        <v>#REF!</v>
      </c>
      <c r="Q37" s="511"/>
      <c r="R37" s="632"/>
      <c r="AB37" s="632"/>
    </row>
    <row r="38" spans="2:28" ht="15.75" customHeight="1" outlineLevel="3">
      <c r="B38" s="776" t="s">
        <v>662</v>
      </c>
      <c r="C38" s="782" t="s">
        <v>39</v>
      </c>
      <c r="D38" s="776" t="s">
        <v>1663</v>
      </c>
      <c r="E38" s="648"/>
      <c r="F38" s="648"/>
      <c r="G38" s="791"/>
      <c r="H38" s="795"/>
      <c r="I38" s="672"/>
      <c r="J38" s="791"/>
      <c r="K38" s="791"/>
      <c r="L38" s="788"/>
      <c r="M38" s="779" t="e">
        <f>SUBTOTAL(9,M39:M40)</f>
        <v>#REF!</v>
      </c>
      <c r="N38" s="779" t="e">
        <f>SUBTOTAL(9,N39:N40)</f>
        <v>#REF!</v>
      </c>
      <c r="O38" s="779" t="e">
        <f>SUBTOTAL(9,O39:O40)</f>
        <v>#REF!</v>
      </c>
      <c r="P38" s="614" t="e">
        <f t="shared" si="6"/>
        <v>#REF!</v>
      </c>
      <c r="Q38" s="511"/>
      <c r="R38" s="632"/>
      <c r="AB38" s="632"/>
    </row>
    <row r="39" spans="2:28" ht="15.75" customHeight="1" outlineLevel="3">
      <c r="B39" s="776" t="s">
        <v>1664</v>
      </c>
      <c r="C39" s="782"/>
      <c r="D39" s="796" t="s">
        <v>1498</v>
      </c>
      <c r="E39" s="665" t="s">
        <v>1228</v>
      </c>
      <c r="F39" s="648" t="s">
        <v>663</v>
      </c>
      <c r="G39" s="791">
        <v>1</v>
      </c>
      <c r="H39" s="790" t="s">
        <v>111</v>
      </c>
      <c r="I39" s="672" t="e">
        <f>$E$2*(1+$F$2)</f>
        <v>#REF!</v>
      </c>
      <c r="J39" s="672">
        <v>20</v>
      </c>
      <c r="K39" s="778">
        <f>J39/(1+L39)</f>
        <v>18.018018018018015</v>
      </c>
      <c r="L39" s="569">
        <v>0.11</v>
      </c>
      <c r="M39" s="779" t="e">
        <f>G39*I39*K39/10000</f>
        <v>#REF!</v>
      </c>
      <c r="N39" s="779" t="e">
        <f>L39*M39</f>
        <v>#REF!</v>
      </c>
      <c r="O39" s="779" t="e">
        <f>M39+N39</f>
        <v>#REF!</v>
      </c>
      <c r="P39" s="614" t="e">
        <f t="shared" si="6"/>
        <v>#REF!</v>
      </c>
      <c r="Q39" s="511"/>
      <c r="R39" s="632"/>
      <c r="AB39" s="632"/>
    </row>
    <row r="40" spans="2:28" ht="15.75" customHeight="1" outlineLevel="3">
      <c r="B40" s="776" t="s">
        <v>1499</v>
      </c>
      <c r="C40" s="782"/>
      <c r="D40" s="796" t="s">
        <v>1500</v>
      </c>
      <c r="E40" s="665" t="s">
        <v>1295</v>
      </c>
      <c r="F40" s="648" t="s">
        <v>663</v>
      </c>
      <c r="G40" s="791">
        <v>1</v>
      </c>
      <c r="H40" s="790" t="s">
        <v>111</v>
      </c>
      <c r="I40" s="672" t="e">
        <f>$E$2*(1+$F$2)</f>
        <v>#REF!</v>
      </c>
      <c r="J40" s="672">
        <v>12</v>
      </c>
      <c r="K40" s="778">
        <f>J40/(1+L40)</f>
        <v>10.256410256410257</v>
      </c>
      <c r="L40" s="569">
        <v>0.17</v>
      </c>
      <c r="M40" s="779" t="e">
        <f>G40*I40*K40/10000</f>
        <v>#REF!</v>
      </c>
      <c r="N40" s="779" t="e">
        <f>L40*M40</f>
        <v>#REF!</v>
      </c>
      <c r="O40" s="779" t="e">
        <f>M40+N40</f>
        <v>#REF!</v>
      </c>
      <c r="P40" s="614" t="e">
        <f t="shared" si="6"/>
        <v>#REF!</v>
      </c>
      <c r="Q40" s="511"/>
      <c r="R40" s="632"/>
      <c r="AB40" s="632"/>
    </row>
    <row r="41" spans="2:28" ht="15.75" customHeight="1" outlineLevel="3">
      <c r="B41" s="776" t="s">
        <v>664</v>
      </c>
      <c r="C41" s="782" t="s">
        <v>39</v>
      </c>
      <c r="D41" s="776" t="s">
        <v>667</v>
      </c>
      <c r="E41" s="665"/>
      <c r="F41" s="665"/>
      <c r="G41" s="791"/>
      <c r="H41" s="795"/>
      <c r="I41" s="791"/>
      <c r="J41" s="791"/>
      <c r="K41" s="791"/>
      <c r="L41" s="788"/>
      <c r="M41" s="779" t="e">
        <f>SUBTOTAL(9,M42:M43)</f>
        <v>#REF!</v>
      </c>
      <c r="N41" s="779" t="e">
        <f>SUBTOTAL(9,N42:N43)</f>
        <v>#REF!</v>
      </c>
      <c r="O41" s="779" t="e">
        <f>SUBTOTAL(9,O42:O43)</f>
        <v>#REF!</v>
      </c>
      <c r="P41" s="614" t="e">
        <f t="shared" si="6"/>
        <v>#REF!</v>
      </c>
      <c r="Q41" s="511"/>
      <c r="R41" s="632"/>
      <c r="AB41" s="632"/>
    </row>
    <row r="42" spans="2:28" ht="15.75" customHeight="1" outlineLevel="3">
      <c r="B42" s="776" t="s">
        <v>1665</v>
      </c>
      <c r="C42" s="792"/>
      <c r="D42" s="796" t="s">
        <v>1501</v>
      </c>
      <c r="E42" s="648" t="s">
        <v>1502</v>
      </c>
      <c r="F42" s="648" t="s">
        <v>663</v>
      </c>
      <c r="G42" s="791">
        <v>1</v>
      </c>
      <c r="H42" s="790" t="s">
        <v>111</v>
      </c>
      <c r="I42" s="672" t="e">
        <f>$E$2*(1+$F$2)</f>
        <v>#REF!</v>
      </c>
      <c r="J42" s="791"/>
      <c r="K42" s="778">
        <f>J42/(1+L42)</f>
        <v>0</v>
      </c>
      <c r="L42" s="569">
        <v>0.11</v>
      </c>
      <c r="M42" s="779" t="e">
        <f>G42*I42*K42/10000</f>
        <v>#REF!</v>
      </c>
      <c r="N42" s="779" t="e">
        <f>L42*M42</f>
        <v>#REF!</v>
      </c>
      <c r="O42" s="779" t="e">
        <f>M42+N42</f>
        <v>#REF!</v>
      </c>
      <c r="P42" s="614" t="e">
        <f t="shared" si="6"/>
        <v>#REF!</v>
      </c>
      <c r="Q42" s="511"/>
      <c r="R42" s="632"/>
      <c r="AB42" s="632"/>
    </row>
    <row r="43" spans="2:28" ht="15.75" customHeight="1" outlineLevel="3">
      <c r="B43" s="776" t="s">
        <v>1503</v>
      </c>
      <c r="C43" s="782"/>
      <c r="D43" s="796" t="s">
        <v>1504</v>
      </c>
      <c r="E43" s="648" t="s">
        <v>1505</v>
      </c>
      <c r="F43" s="665"/>
      <c r="G43" s="791">
        <v>1</v>
      </c>
      <c r="H43" s="795" t="s">
        <v>6</v>
      </c>
      <c r="I43" s="791">
        <f>$H$2</f>
        <v>0</v>
      </c>
      <c r="J43" s="791"/>
      <c r="K43" s="778">
        <f>J43/(1+L43)</f>
        <v>0</v>
      </c>
      <c r="L43" s="569">
        <v>0</v>
      </c>
      <c r="M43" s="779">
        <f>G43*I43*K43/10000</f>
        <v>0</v>
      </c>
      <c r="N43" s="779">
        <f>L43*M43</f>
        <v>0</v>
      </c>
      <c r="O43" s="779">
        <f>M43+N43</f>
        <v>0</v>
      </c>
      <c r="P43" s="614" t="e">
        <f t="shared" si="6"/>
        <v>#REF!</v>
      </c>
      <c r="Q43" s="511"/>
      <c r="R43" s="632"/>
      <c r="AB43" s="632"/>
    </row>
    <row r="44" spans="2:28" ht="15.75" customHeight="1" outlineLevel="3">
      <c r="B44" s="776" t="s">
        <v>665</v>
      </c>
      <c r="C44" s="782" t="s">
        <v>39</v>
      </c>
      <c r="D44" s="776" t="s">
        <v>668</v>
      </c>
      <c r="E44" s="665"/>
      <c r="F44" s="665"/>
      <c r="G44" s="791"/>
      <c r="H44" s="795"/>
      <c r="I44" s="791"/>
      <c r="J44" s="791"/>
      <c r="K44" s="791"/>
      <c r="L44" s="788"/>
      <c r="M44" s="779" t="e">
        <f>SUBTOTAL(9,M45:M46)</f>
        <v>#REF!</v>
      </c>
      <c r="N44" s="779" t="e">
        <f>SUBTOTAL(9,N45:N46)</f>
        <v>#REF!</v>
      </c>
      <c r="O44" s="779" t="e">
        <f>SUBTOTAL(9,O45:O46)</f>
        <v>#REF!</v>
      </c>
      <c r="P44" s="614" t="e">
        <f t="shared" si="6"/>
        <v>#REF!</v>
      </c>
      <c r="Q44" s="511"/>
      <c r="R44" s="632"/>
      <c r="AB44" s="632"/>
    </row>
    <row r="45" spans="2:28" ht="15.75" customHeight="1" outlineLevel="3">
      <c r="B45" s="776" t="s">
        <v>1666</v>
      </c>
      <c r="C45" s="782"/>
      <c r="D45" s="796" t="s">
        <v>1506</v>
      </c>
      <c r="E45" s="665" t="s">
        <v>1300</v>
      </c>
      <c r="F45" s="648" t="s">
        <v>663</v>
      </c>
      <c r="G45" s="791">
        <v>1</v>
      </c>
      <c r="H45" s="790" t="s">
        <v>111</v>
      </c>
      <c r="I45" s="672" t="e">
        <f>$E$2*(1+$F$2)</f>
        <v>#REF!</v>
      </c>
      <c r="J45" s="791"/>
      <c r="K45" s="778">
        <f>J45/(1+L45)</f>
        <v>0</v>
      </c>
      <c r="L45" s="788">
        <v>0.11</v>
      </c>
      <c r="M45" s="779" t="e">
        <f>G45*I45*K45/10000</f>
        <v>#REF!</v>
      </c>
      <c r="N45" s="779" t="e">
        <f>L45*M45</f>
        <v>#REF!</v>
      </c>
      <c r="O45" s="779" t="e">
        <f>M45+N45</f>
        <v>#REF!</v>
      </c>
      <c r="P45" s="614" t="e">
        <f t="shared" si="6"/>
        <v>#REF!</v>
      </c>
      <c r="Q45" s="511"/>
      <c r="R45" s="632"/>
      <c r="AB45" s="632"/>
    </row>
    <row r="46" spans="2:28" ht="15.75" customHeight="1" outlineLevel="3">
      <c r="B46" s="776" t="s">
        <v>1507</v>
      </c>
      <c r="C46" s="782"/>
      <c r="D46" s="796" t="s">
        <v>1301</v>
      </c>
      <c r="E46" s="648" t="s">
        <v>1300</v>
      </c>
      <c r="F46" s="665" t="s">
        <v>41</v>
      </c>
      <c r="G46" s="791">
        <v>1</v>
      </c>
      <c r="H46" s="795" t="s">
        <v>6</v>
      </c>
      <c r="I46" s="791">
        <f>$H$2</f>
        <v>0</v>
      </c>
      <c r="J46" s="791"/>
      <c r="K46" s="778">
        <f>J46/(1+L46)</f>
        <v>0</v>
      </c>
      <c r="L46" s="569">
        <v>0</v>
      </c>
      <c r="M46" s="779">
        <f>G46*I46*K46/10000</f>
        <v>0</v>
      </c>
      <c r="N46" s="779">
        <f>L46*M46</f>
        <v>0</v>
      </c>
      <c r="O46" s="779">
        <f>M46+N46</f>
        <v>0</v>
      </c>
      <c r="P46" s="614" t="e">
        <f t="shared" si="6"/>
        <v>#REF!</v>
      </c>
      <c r="Q46" s="511"/>
      <c r="R46" s="632"/>
      <c r="AB46" s="632"/>
    </row>
    <row r="47" spans="2:28" ht="15.75" customHeight="1" outlineLevel="3">
      <c r="B47" s="776" t="s">
        <v>666</v>
      </c>
      <c r="C47" s="782" t="s">
        <v>39</v>
      </c>
      <c r="D47" s="776" t="s">
        <v>1508</v>
      </c>
      <c r="E47" s="665"/>
      <c r="F47" s="665"/>
      <c r="G47" s="791"/>
      <c r="H47" s="795"/>
      <c r="I47" s="791"/>
      <c r="J47" s="791"/>
      <c r="K47" s="791"/>
      <c r="L47" s="788"/>
      <c r="M47" s="779" t="e">
        <f>SUBTOTAL(9,M48:M55)</f>
        <v>#REF!</v>
      </c>
      <c r="N47" s="779" t="e">
        <f>SUBTOTAL(9,N48:N55)</f>
        <v>#REF!</v>
      </c>
      <c r="O47" s="779" t="e">
        <f>SUBTOTAL(9,O48:O55)</f>
        <v>#REF!</v>
      </c>
      <c r="P47" s="614" t="e">
        <f t="shared" si="6"/>
        <v>#REF!</v>
      </c>
      <c r="Q47" s="511"/>
      <c r="R47" s="632"/>
      <c r="AB47" s="632"/>
    </row>
    <row r="48" spans="2:28" ht="15.75" customHeight="1" outlineLevel="3">
      <c r="B48" s="776" t="s">
        <v>1667</v>
      </c>
      <c r="C48" s="782"/>
      <c r="D48" s="796" t="s">
        <v>1509</v>
      </c>
      <c r="E48" s="665" t="s">
        <v>1228</v>
      </c>
      <c r="F48" s="648" t="s">
        <v>663</v>
      </c>
      <c r="G48" s="791">
        <v>1</v>
      </c>
      <c r="H48" s="790" t="s">
        <v>111</v>
      </c>
      <c r="I48" s="672" t="e">
        <f t="shared" ref="I48:I55" si="7">$E$2*(1+$F$2)</f>
        <v>#REF!</v>
      </c>
      <c r="J48" s="672">
        <v>50</v>
      </c>
      <c r="K48" s="778">
        <f t="shared" ref="K48:K54" si="8">J48/(1+L48)</f>
        <v>45.045045045045043</v>
      </c>
      <c r="L48" s="569">
        <v>0.11</v>
      </c>
      <c r="M48" s="779" t="e">
        <f t="shared" ref="M48:M55" si="9">G48*I48*K48/10000</f>
        <v>#REF!</v>
      </c>
      <c r="N48" s="779" t="e">
        <f t="shared" ref="N48:N55" si="10">L48*M48</f>
        <v>#REF!</v>
      </c>
      <c r="O48" s="779" t="e">
        <f t="shared" ref="O48:O55" si="11">M48+N48</f>
        <v>#REF!</v>
      </c>
      <c r="P48" s="614" t="e">
        <f t="shared" si="6"/>
        <v>#REF!</v>
      </c>
      <c r="Q48" s="511"/>
      <c r="R48" s="632"/>
      <c r="AB48" s="632"/>
    </row>
    <row r="49" spans="2:28" ht="15.75" customHeight="1" outlineLevel="3">
      <c r="B49" s="776" t="s">
        <v>1510</v>
      </c>
      <c r="C49" s="782"/>
      <c r="D49" s="796" t="s">
        <v>1511</v>
      </c>
      <c r="E49" s="665" t="s">
        <v>1295</v>
      </c>
      <c r="F49" s="648" t="s">
        <v>1668</v>
      </c>
      <c r="G49" s="791">
        <v>1</v>
      </c>
      <c r="H49" s="790" t="s">
        <v>111</v>
      </c>
      <c r="I49" s="672" t="e">
        <f t="shared" si="7"/>
        <v>#REF!</v>
      </c>
      <c r="J49" s="672">
        <v>5</v>
      </c>
      <c r="K49" s="778">
        <f t="shared" si="8"/>
        <v>4.2735042735042734</v>
      </c>
      <c r="L49" s="569">
        <v>0.17</v>
      </c>
      <c r="M49" s="779" t="e">
        <f t="shared" si="9"/>
        <v>#REF!</v>
      </c>
      <c r="N49" s="779" t="e">
        <f t="shared" si="10"/>
        <v>#REF!</v>
      </c>
      <c r="O49" s="779" t="e">
        <f t="shared" si="11"/>
        <v>#REF!</v>
      </c>
      <c r="P49" s="614" t="e">
        <f t="shared" si="6"/>
        <v>#REF!</v>
      </c>
      <c r="Q49" s="511"/>
      <c r="R49" s="632"/>
      <c r="AB49" s="632"/>
    </row>
    <row r="50" spans="2:28" ht="15.75" customHeight="1" outlineLevel="3">
      <c r="B50" s="776" t="s">
        <v>1512</v>
      </c>
      <c r="C50" s="782"/>
      <c r="D50" s="796" t="s">
        <v>1513</v>
      </c>
      <c r="E50" s="665" t="s">
        <v>454</v>
      </c>
      <c r="F50" s="648" t="s">
        <v>1669</v>
      </c>
      <c r="G50" s="791">
        <v>1</v>
      </c>
      <c r="H50" s="790" t="s">
        <v>111</v>
      </c>
      <c r="I50" s="672" t="e">
        <f t="shared" si="7"/>
        <v>#REF!</v>
      </c>
      <c r="J50" s="672">
        <v>15</v>
      </c>
      <c r="K50" s="778">
        <f t="shared" si="8"/>
        <v>12.820512820512821</v>
      </c>
      <c r="L50" s="569">
        <v>0.17</v>
      </c>
      <c r="M50" s="779" t="e">
        <f t="shared" si="9"/>
        <v>#REF!</v>
      </c>
      <c r="N50" s="779" t="e">
        <f t="shared" si="10"/>
        <v>#REF!</v>
      </c>
      <c r="O50" s="779" t="e">
        <f t="shared" si="11"/>
        <v>#REF!</v>
      </c>
      <c r="P50" s="614" t="e">
        <f t="shared" si="6"/>
        <v>#REF!</v>
      </c>
      <c r="Q50" s="511"/>
      <c r="R50" s="632"/>
      <c r="AB50" s="632"/>
    </row>
    <row r="51" spans="2:28" ht="15.75" customHeight="1" outlineLevel="3">
      <c r="B51" s="776" t="s">
        <v>1514</v>
      </c>
      <c r="C51" s="782"/>
      <c r="D51" s="796" t="s">
        <v>1515</v>
      </c>
      <c r="E51" s="665" t="s">
        <v>1329</v>
      </c>
      <c r="F51" s="648" t="s">
        <v>1670</v>
      </c>
      <c r="G51" s="791">
        <v>1</v>
      </c>
      <c r="H51" s="790" t="s">
        <v>111</v>
      </c>
      <c r="I51" s="672" t="e">
        <f t="shared" si="7"/>
        <v>#REF!</v>
      </c>
      <c r="J51" s="672"/>
      <c r="K51" s="778">
        <f t="shared" si="8"/>
        <v>0</v>
      </c>
      <c r="L51" s="569">
        <v>0.17</v>
      </c>
      <c r="M51" s="779" t="e">
        <f t="shared" si="9"/>
        <v>#REF!</v>
      </c>
      <c r="N51" s="779" t="e">
        <f t="shared" si="10"/>
        <v>#REF!</v>
      </c>
      <c r="O51" s="779" t="e">
        <f t="shared" si="11"/>
        <v>#REF!</v>
      </c>
      <c r="P51" s="614" t="e">
        <f t="shared" si="6"/>
        <v>#REF!</v>
      </c>
      <c r="Q51" s="511"/>
      <c r="R51" s="632"/>
      <c r="AB51" s="632"/>
    </row>
    <row r="52" spans="2:28" ht="15.75" customHeight="1" outlineLevel="3">
      <c r="B52" s="776" t="s">
        <v>1517</v>
      </c>
      <c r="C52" s="782"/>
      <c r="D52" s="796" t="s">
        <v>1518</v>
      </c>
      <c r="E52" s="665" t="s">
        <v>1671</v>
      </c>
      <c r="F52" s="648" t="s">
        <v>1672</v>
      </c>
      <c r="G52" s="791">
        <v>1</v>
      </c>
      <c r="H52" s="790" t="s">
        <v>111</v>
      </c>
      <c r="I52" s="672" t="e">
        <f t="shared" si="7"/>
        <v>#REF!</v>
      </c>
      <c r="J52" s="672">
        <v>10</v>
      </c>
      <c r="K52" s="778">
        <f t="shared" si="8"/>
        <v>8.5470085470085468</v>
      </c>
      <c r="L52" s="569">
        <v>0.17</v>
      </c>
      <c r="M52" s="779" t="e">
        <f t="shared" si="9"/>
        <v>#REF!</v>
      </c>
      <c r="N52" s="779" t="e">
        <f t="shared" si="10"/>
        <v>#REF!</v>
      </c>
      <c r="O52" s="779" t="e">
        <f t="shared" si="11"/>
        <v>#REF!</v>
      </c>
      <c r="P52" s="614" t="e">
        <f t="shared" si="6"/>
        <v>#REF!</v>
      </c>
      <c r="Q52" s="511"/>
      <c r="R52" s="632"/>
      <c r="AB52" s="632"/>
    </row>
    <row r="53" spans="2:28" ht="15.75" customHeight="1" outlineLevel="3">
      <c r="B53" s="776" t="s">
        <v>1519</v>
      </c>
      <c r="C53" s="782"/>
      <c r="D53" s="796" t="s">
        <v>1520</v>
      </c>
      <c r="E53" s="665" t="s">
        <v>1228</v>
      </c>
      <c r="F53" s="648" t="s">
        <v>1673</v>
      </c>
      <c r="G53" s="791"/>
      <c r="H53" s="790" t="s">
        <v>111</v>
      </c>
      <c r="I53" s="672" t="e">
        <f t="shared" si="7"/>
        <v>#REF!</v>
      </c>
      <c r="J53" s="672"/>
      <c r="K53" s="778">
        <f t="shared" si="8"/>
        <v>0</v>
      </c>
      <c r="L53" s="569">
        <v>0</v>
      </c>
      <c r="M53" s="779" t="e">
        <f t="shared" si="9"/>
        <v>#REF!</v>
      </c>
      <c r="N53" s="779" t="e">
        <f t="shared" si="10"/>
        <v>#REF!</v>
      </c>
      <c r="O53" s="779" t="e">
        <f t="shared" si="11"/>
        <v>#REF!</v>
      </c>
      <c r="P53" s="614" t="e">
        <f t="shared" si="6"/>
        <v>#REF!</v>
      </c>
      <c r="Q53" s="511"/>
      <c r="R53" s="632"/>
      <c r="AB53" s="632"/>
    </row>
    <row r="54" spans="2:28" ht="15.75" customHeight="1" outlineLevel="3">
      <c r="B54" s="776" t="s">
        <v>1521</v>
      </c>
      <c r="C54" s="782"/>
      <c r="D54" s="796" t="s">
        <v>1522</v>
      </c>
      <c r="E54" s="665" t="s">
        <v>1671</v>
      </c>
      <c r="F54" s="648" t="s">
        <v>1674</v>
      </c>
      <c r="G54" s="791">
        <v>1</v>
      </c>
      <c r="H54" s="790" t="s">
        <v>111</v>
      </c>
      <c r="I54" s="672" t="e">
        <f t="shared" si="7"/>
        <v>#REF!</v>
      </c>
      <c r="J54" s="672">
        <v>10</v>
      </c>
      <c r="K54" s="778">
        <f t="shared" si="8"/>
        <v>8.5470085470085468</v>
      </c>
      <c r="L54" s="569">
        <v>0.17</v>
      </c>
      <c r="M54" s="779" t="e">
        <f t="shared" si="9"/>
        <v>#REF!</v>
      </c>
      <c r="N54" s="779" t="e">
        <f t="shared" si="10"/>
        <v>#REF!</v>
      </c>
      <c r="O54" s="779" t="e">
        <f t="shared" si="11"/>
        <v>#REF!</v>
      </c>
      <c r="P54" s="614" t="e">
        <f t="shared" si="6"/>
        <v>#REF!</v>
      </c>
      <c r="Q54" s="511"/>
      <c r="R54" s="632"/>
      <c r="AB54" s="632"/>
    </row>
    <row r="55" spans="2:28" ht="15.75" customHeight="1" outlineLevel="3">
      <c r="B55" s="776" t="s">
        <v>1523</v>
      </c>
      <c r="C55" s="782"/>
      <c r="D55" s="796" t="s">
        <v>1524</v>
      </c>
      <c r="E55" s="665" t="s">
        <v>1228</v>
      </c>
      <c r="F55" s="648" t="s">
        <v>1675</v>
      </c>
      <c r="G55" s="791">
        <v>1</v>
      </c>
      <c r="H55" s="790" t="s">
        <v>111</v>
      </c>
      <c r="I55" s="672" t="e">
        <f t="shared" si="7"/>
        <v>#REF!</v>
      </c>
      <c r="J55" s="672"/>
      <c r="K55" s="672"/>
      <c r="L55" s="569">
        <v>0.17</v>
      </c>
      <c r="M55" s="779" t="e">
        <f t="shared" si="9"/>
        <v>#REF!</v>
      </c>
      <c r="N55" s="779" t="e">
        <f t="shared" si="10"/>
        <v>#REF!</v>
      </c>
      <c r="O55" s="779" t="e">
        <f t="shared" si="11"/>
        <v>#REF!</v>
      </c>
      <c r="P55" s="614" t="e">
        <f t="shared" si="6"/>
        <v>#REF!</v>
      </c>
      <c r="Q55" s="511"/>
      <c r="R55" s="632"/>
      <c r="AB55" s="632"/>
    </row>
    <row r="56" spans="2:28" ht="15.75" customHeight="1" outlineLevel="3">
      <c r="B56" s="776" t="s">
        <v>670</v>
      </c>
      <c r="C56" s="782" t="s">
        <v>68</v>
      </c>
      <c r="D56" s="776" t="s">
        <v>1676</v>
      </c>
      <c r="E56" s="665"/>
      <c r="F56" s="665"/>
      <c r="G56" s="794"/>
      <c r="H56" s="795"/>
      <c r="I56" s="791"/>
      <c r="J56" s="791"/>
      <c r="K56" s="791"/>
      <c r="L56" s="569"/>
      <c r="M56" s="779" t="e">
        <f>SUBTOTAL(9,M57:M68)</f>
        <v>#REF!</v>
      </c>
      <c r="N56" s="779" t="e">
        <f>SUBTOTAL(9,N57:N68)</f>
        <v>#REF!</v>
      </c>
      <c r="O56" s="779" t="e">
        <f>SUBTOTAL(9,O57:O68)</f>
        <v>#REF!</v>
      </c>
      <c r="P56" s="614" t="e">
        <f t="shared" si="6"/>
        <v>#REF!</v>
      </c>
      <c r="Q56" s="511"/>
      <c r="R56" s="632"/>
      <c r="AB56" s="632"/>
    </row>
    <row r="57" spans="2:28" ht="15.75"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6"/>
        <v>#REF!</v>
      </c>
      <c r="Q57" s="511"/>
      <c r="R57" s="632"/>
      <c r="AB57" s="632"/>
    </row>
    <row r="58" spans="2:28" ht="15.75" customHeight="1" outlineLevel="3">
      <c r="B58" s="776" t="s">
        <v>1678</v>
      </c>
      <c r="C58" s="782"/>
      <c r="D58" s="796" t="s">
        <v>1525</v>
      </c>
      <c r="E58" s="665" t="s">
        <v>456</v>
      </c>
      <c r="F58" s="665" t="s">
        <v>18</v>
      </c>
      <c r="G58" s="791">
        <v>2</v>
      </c>
      <c r="H58" s="795" t="s">
        <v>100</v>
      </c>
      <c r="I58" s="791">
        <f>$I$2</f>
        <v>0</v>
      </c>
      <c r="J58" s="798"/>
      <c r="K58" s="778">
        <f>J58/(1+L58)</f>
        <v>0</v>
      </c>
      <c r="L58" s="569">
        <v>0.17</v>
      </c>
      <c r="M58" s="779">
        <f>G58*I58*K58/10000</f>
        <v>0</v>
      </c>
      <c r="N58" s="779">
        <f>L58*M58</f>
        <v>0</v>
      </c>
      <c r="O58" s="779">
        <f>M58+N58</f>
        <v>0</v>
      </c>
      <c r="P58" s="614" t="e">
        <f t="shared" si="6"/>
        <v>#REF!</v>
      </c>
      <c r="Q58" s="511"/>
      <c r="R58" s="632"/>
      <c r="AB58" s="632"/>
    </row>
    <row r="59" spans="2:28" ht="15.75" customHeight="1" outlineLevel="3">
      <c r="B59" s="776" t="s">
        <v>1526</v>
      </c>
      <c r="C59" s="782"/>
      <c r="D59" s="796" t="s">
        <v>1527</v>
      </c>
      <c r="E59" s="665" t="s">
        <v>460</v>
      </c>
      <c r="F59" s="665" t="s">
        <v>18</v>
      </c>
      <c r="G59" s="791">
        <v>2</v>
      </c>
      <c r="H59" s="795" t="s">
        <v>100</v>
      </c>
      <c r="I59" s="791">
        <f>$I$2</f>
        <v>0</v>
      </c>
      <c r="J59" s="798"/>
      <c r="K59" s="778">
        <f>J59/(1+L59)</f>
        <v>0</v>
      </c>
      <c r="L59" s="569">
        <v>0.11</v>
      </c>
      <c r="M59" s="779">
        <f>G59*I59*K59/10000</f>
        <v>0</v>
      </c>
      <c r="N59" s="779">
        <f>L59*M59</f>
        <v>0</v>
      </c>
      <c r="O59" s="779">
        <f>M59+N59</f>
        <v>0</v>
      </c>
      <c r="P59" s="614" t="e">
        <f t="shared" si="6"/>
        <v>#REF!</v>
      </c>
      <c r="Q59" s="511"/>
      <c r="R59" s="632"/>
      <c r="AB59" s="632"/>
    </row>
    <row r="60" spans="2:28" ht="15.75"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6"/>
        <v>#REF!</v>
      </c>
      <c r="Q60" s="511"/>
      <c r="R60" s="632"/>
      <c r="AB60" s="632"/>
    </row>
    <row r="61" spans="2:28" ht="15.75"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6"/>
        <v>#REF!</v>
      </c>
      <c r="Q61" s="511"/>
      <c r="R61" s="632"/>
      <c r="AB61" s="632"/>
    </row>
    <row r="62" spans="2:28" ht="15.75"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6"/>
        <v>#REF!</v>
      </c>
      <c r="Q62" s="511"/>
      <c r="R62" s="632"/>
      <c r="AB62" s="632"/>
    </row>
    <row r="63" spans="2:28" ht="15.75" customHeight="1" outlineLevel="3">
      <c r="B63" s="776" t="s">
        <v>673</v>
      </c>
      <c r="C63" s="782" t="s">
        <v>39</v>
      </c>
      <c r="D63" s="776" t="s">
        <v>1683</v>
      </c>
      <c r="E63" s="836"/>
      <c r="F63" s="648"/>
      <c r="G63" s="791"/>
      <c r="H63" s="795"/>
      <c r="I63" s="672"/>
      <c r="J63" s="791"/>
      <c r="K63" s="791"/>
      <c r="L63" s="788"/>
      <c r="M63" s="779" t="e">
        <f>SUBTOTAL(9,M64:M65)</f>
        <v>#REF!</v>
      </c>
      <c r="N63" s="779" t="e">
        <f>SUBTOTAL(9,N64:N65)</f>
        <v>#REF!</v>
      </c>
      <c r="O63" s="779" t="e">
        <f>SUBTOTAL(9,O64:O65)</f>
        <v>#REF!</v>
      </c>
      <c r="P63" s="614" t="e">
        <f t="shared" si="6"/>
        <v>#REF!</v>
      </c>
      <c r="Q63" s="511"/>
      <c r="R63" s="632"/>
      <c r="AB63" s="632"/>
    </row>
    <row r="64" spans="2:28" ht="15.75" customHeight="1" outlineLevel="3">
      <c r="B64" s="776" t="s">
        <v>1684</v>
      </c>
      <c r="C64" s="782"/>
      <c r="D64" s="796" t="s">
        <v>1531</v>
      </c>
      <c r="E64" s="665" t="s">
        <v>455</v>
      </c>
      <c r="F64" s="648" t="s">
        <v>657</v>
      </c>
      <c r="G64" s="791">
        <v>1</v>
      </c>
      <c r="H64" s="795" t="s">
        <v>143</v>
      </c>
      <c r="I64" s="672" t="e">
        <f>$E$2*(1+$F$2)</f>
        <v>#REF!</v>
      </c>
      <c r="J64" s="672">
        <v>80</v>
      </c>
      <c r="K64" s="672">
        <f>J64/(1+L64)</f>
        <v>72.072072072072061</v>
      </c>
      <c r="L64" s="569">
        <v>0.11</v>
      </c>
      <c r="M64" s="779" t="e">
        <f>G64*I64*K64/10000</f>
        <v>#REF!</v>
      </c>
      <c r="N64" s="779" t="e">
        <f>L64*M64</f>
        <v>#REF!</v>
      </c>
      <c r="O64" s="779" t="e">
        <f>M64+N64</f>
        <v>#REF!</v>
      </c>
      <c r="P64" s="614" t="e">
        <f t="shared" si="6"/>
        <v>#REF!</v>
      </c>
      <c r="Q64" s="511"/>
      <c r="R64" s="632"/>
      <c r="AB64" s="632"/>
    </row>
    <row r="65" spans="2:28" ht="15.75" customHeight="1" outlineLevel="3">
      <c r="B65" s="776" t="s">
        <v>1532</v>
      </c>
      <c r="C65" s="777"/>
      <c r="D65" s="796" t="s">
        <v>1533</v>
      </c>
      <c r="E65" s="665" t="s">
        <v>455</v>
      </c>
      <c r="F65" s="648" t="s">
        <v>657</v>
      </c>
      <c r="G65" s="791">
        <v>1</v>
      </c>
      <c r="H65" s="795" t="s">
        <v>143</v>
      </c>
      <c r="I65" s="672" t="e">
        <f>$E$2*(1+$F$2)</f>
        <v>#REF!</v>
      </c>
      <c r="J65" s="672"/>
      <c r="K65" s="672">
        <f>J65/(1+L65)</f>
        <v>0</v>
      </c>
      <c r="L65" s="569">
        <v>0.17</v>
      </c>
      <c r="M65" s="779" t="e">
        <f>G65*I65*K65/10000</f>
        <v>#REF!</v>
      </c>
      <c r="N65" s="779" t="e">
        <f>L65*M65</f>
        <v>#REF!</v>
      </c>
      <c r="O65" s="779" t="e">
        <f>M65+N65</f>
        <v>#REF!</v>
      </c>
      <c r="P65" s="614" t="e">
        <f t="shared" si="6"/>
        <v>#REF!</v>
      </c>
      <c r="Q65" s="511"/>
      <c r="R65" s="632"/>
      <c r="AB65" s="632"/>
    </row>
    <row r="66" spans="2:28" ht="15.75" customHeight="1" outlineLevel="2">
      <c r="B66" s="776" t="s">
        <v>674</v>
      </c>
      <c r="C66" s="782" t="s">
        <v>39</v>
      </c>
      <c r="D66" s="776" t="s">
        <v>1685</v>
      </c>
      <c r="E66" s="648"/>
      <c r="F66" s="665"/>
      <c r="G66" s="791">
        <v>1</v>
      </c>
      <c r="H66" s="795" t="s">
        <v>143</v>
      </c>
      <c r="I66" s="791"/>
      <c r="J66" s="791"/>
      <c r="K66" s="791"/>
      <c r="L66" s="788"/>
      <c r="M66" s="779" t="e">
        <f>SUBTOTAL(9,M67:M68)</f>
        <v>#REF!</v>
      </c>
      <c r="N66" s="779" t="e">
        <f>SUBTOTAL(9,N67:N68)</f>
        <v>#REF!</v>
      </c>
      <c r="O66" s="779" t="e">
        <f>SUBTOTAL(9,O67:O68)</f>
        <v>#REF!</v>
      </c>
      <c r="P66" s="614" t="e">
        <f t="shared" si="6"/>
        <v>#REF!</v>
      </c>
      <c r="Q66" s="511"/>
      <c r="R66" s="632"/>
      <c r="AB66" s="632"/>
    </row>
    <row r="67" spans="2:28" ht="15.75" customHeight="1" outlineLevel="3">
      <c r="B67" s="776" t="s">
        <v>1686</v>
      </c>
      <c r="C67" s="782"/>
      <c r="D67" s="796" t="s">
        <v>1534</v>
      </c>
      <c r="E67" s="665" t="s">
        <v>1535</v>
      </c>
      <c r="F67" s="648" t="s">
        <v>657</v>
      </c>
      <c r="G67" s="791">
        <v>1</v>
      </c>
      <c r="H67" s="795" t="s">
        <v>143</v>
      </c>
      <c r="I67" s="672" t="e">
        <f>$E$2*(1+$F$2)</f>
        <v>#REF!</v>
      </c>
      <c r="J67" s="791"/>
      <c r="K67" s="778">
        <f>J67/(1+L67)</f>
        <v>0</v>
      </c>
      <c r="L67" s="569">
        <v>0.17</v>
      </c>
      <c r="M67" s="779" t="e">
        <f>G67*I67*K67/10000</f>
        <v>#REF!</v>
      </c>
      <c r="N67" s="779" t="e">
        <f>L67*M67</f>
        <v>#REF!</v>
      </c>
      <c r="O67" s="779" t="e">
        <f>M67+N67</f>
        <v>#REF!</v>
      </c>
      <c r="P67" s="614" t="e">
        <f t="shared" si="6"/>
        <v>#REF!</v>
      </c>
      <c r="Q67" s="511"/>
      <c r="R67" s="632"/>
      <c r="AB67" s="632"/>
    </row>
    <row r="68" spans="2:28" ht="15.75" customHeight="1" outlineLevel="3">
      <c r="B68" s="776" t="s">
        <v>1687</v>
      </c>
      <c r="C68" s="782"/>
      <c r="D68" s="796" t="s">
        <v>1536</v>
      </c>
      <c r="E68" s="665" t="s">
        <v>455</v>
      </c>
      <c r="F68" s="648" t="s">
        <v>657</v>
      </c>
      <c r="G68" s="791">
        <v>1</v>
      </c>
      <c r="H68" s="795" t="s">
        <v>143</v>
      </c>
      <c r="I68" s="672" t="e">
        <f>$E$2*(1+$F$2)</f>
        <v>#REF!</v>
      </c>
      <c r="J68" s="791"/>
      <c r="K68" s="778">
        <f>J68/(1+L68)</f>
        <v>0</v>
      </c>
      <c r="L68" s="569">
        <v>0.11</v>
      </c>
      <c r="M68" s="779" t="e">
        <f>G68*I68*K68/10000</f>
        <v>#REF!</v>
      </c>
      <c r="N68" s="779" t="e">
        <f>L68*M68</f>
        <v>#REF!</v>
      </c>
      <c r="O68" s="779" t="e">
        <f>M68+N68</f>
        <v>#REF!</v>
      </c>
      <c r="P68" s="614" t="e">
        <f t="shared" ref="P68:P99" si="12">IF(O68="","",O68*10000/E$2)</f>
        <v>#REF!</v>
      </c>
      <c r="Q68" s="511"/>
      <c r="R68" s="632"/>
      <c r="AB68" s="632"/>
    </row>
    <row r="69" spans="2:28" ht="16.5" customHeight="1">
      <c r="B69" s="480" t="s">
        <v>675</v>
      </c>
      <c r="C69" s="481" t="s">
        <v>34</v>
      </c>
      <c r="D69" s="480" t="s">
        <v>497</v>
      </c>
      <c r="E69" s="765"/>
      <c r="F69" s="765"/>
      <c r="G69" s="765"/>
      <c r="H69" s="800"/>
      <c r="I69" s="766"/>
      <c r="J69" s="800"/>
      <c r="K69" s="800"/>
      <c r="L69" s="767"/>
      <c r="M69" s="768" t="e">
        <f>SUBTOTAL(9,M70:M87)</f>
        <v>#REF!</v>
      </c>
      <c r="N69" s="768" t="e">
        <f>SUBTOTAL(9,N70:N87)</f>
        <v>#REF!</v>
      </c>
      <c r="O69" s="768" t="e">
        <f>SUBTOTAL(9,O70:O87)</f>
        <v>#REF!</v>
      </c>
      <c r="P69" s="769" t="e">
        <f t="shared" si="12"/>
        <v>#REF!</v>
      </c>
      <c r="Q69" s="801"/>
      <c r="R69" s="632"/>
      <c r="AB69" s="632"/>
    </row>
    <row r="70" spans="2:28" ht="16.5" customHeight="1" outlineLevel="1">
      <c r="B70" s="802" t="s">
        <v>676</v>
      </c>
      <c r="C70" s="803">
        <v>1</v>
      </c>
      <c r="D70" s="802" t="s">
        <v>22</v>
      </c>
      <c r="E70" s="712"/>
      <c r="F70" s="712"/>
      <c r="G70" s="712"/>
      <c r="H70" s="772"/>
      <c r="I70" s="713"/>
      <c r="J70" s="772"/>
      <c r="K70" s="772"/>
      <c r="L70" s="588"/>
      <c r="M70" s="773" t="e">
        <f>SUBTOTAL(9,M71:M81)</f>
        <v>#REF!</v>
      </c>
      <c r="N70" s="773" t="e">
        <f>SUBTOTAL(9,N71:N81)</f>
        <v>#REF!</v>
      </c>
      <c r="O70" s="773" t="e">
        <f>SUBTOTAL(9,O71:O81)</f>
        <v>#REF!</v>
      </c>
      <c r="P70" s="774" t="e">
        <f t="shared" si="12"/>
        <v>#REF!</v>
      </c>
      <c r="Q70" s="775"/>
      <c r="R70" s="632">
        <v>700</v>
      </c>
      <c r="AB70" s="632"/>
    </row>
    <row r="71" spans="2:28" ht="16.5" customHeight="1" outlineLevel="2">
      <c r="B71" s="776" t="s">
        <v>677</v>
      </c>
      <c r="C71" s="777" t="s">
        <v>36</v>
      </c>
      <c r="D71" s="776" t="s">
        <v>1537</v>
      </c>
      <c r="E71" s="648" t="s">
        <v>1538</v>
      </c>
      <c r="F71" s="648" t="s">
        <v>657</v>
      </c>
      <c r="G71" s="791">
        <v>1</v>
      </c>
      <c r="H71" s="795" t="s">
        <v>143</v>
      </c>
      <c r="I71" s="672" t="e">
        <f t="shared" ref="I71:I81" si="13">$E$2*(1+$F$2)</f>
        <v>#REF!</v>
      </c>
      <c r="J71" s="672"/>
      <c r="K71" s="778">
        <f t="shared" ref="K71:K81" si="14">J71/(1+L71)</f>
        <v>0</v>
      </c>
      <c r="L71" s="569">
        <v>0.17</v>
      </c>
      <c r="M71" s="779" t="e">
        <f t="shared" ref="M71:M81" si="15">G71*I71*K71/10000</f>
        <v>#REF!</v>
      </c>
      <c r="N71" s="779" t="e">
        <f t="shared" ref="N71:N81" si="16">L71*M71</f>
        <v>#REF!</v>
      </c>
      <c r="O71" s="779" t="e">
        <f t="shared" ref="O71:O81" si="17">M71+N71</f>
        <v>#REF!</v>
      </c>
      <c r="P71" s="780" t="e">
        <f t="shared" si="12"/>
        <v>#REF!</v>
      </c>
      <c r="Q71" s="781"/>
      <c r="R71" s="632"/>
      <c r="AB71" s="632"/>
    </row>
    <row r="72" spans="2:28" ht="16.5" customHeight="1" outlineLevel="2">
      <c r="B72" s="776" t="s">
        <v>678</v>
      </c>
      <c r="C72" s="777" t="s">
        <v>68</v>
      </c>
      <c r="D72" s="776" t="s">
        <v>1539</v>
      </c>
      <c r="E72" s="648" t="s">
        <v>1540</v>
      </c>
      <c r="F72" s="648" t="s">
        <v>657</v>
      </c>
      <c r="G72" s="791">
        <v>1</v>
      </c>
      <c r="H72" s="795" t="s">
        <v>143</v>
      </c>
      <c r="I72" s="672" t="e">
        <f t="shared" si="13"/>
        <v>#REF!</v>
      </c>
      <c r="J72" s="672"/>
      <c r="K72" s="778">
        <f t="shared" si="14"/>
        <v>0</v>
      </c>
      <c r="L72" s="569">
        <v>0.17</v>
      </c>
      <c r="M72" s="779" t="e">
        <f t="shared" si="15"/>
        <v>#REF!</v>
      </c>
      <c r="N72" s="779" t="e">
        <f t="shared" si="16"/>
        <v>#REF!</v>
      </c>
      <c r="O72" s="779" t="e">
        <f t="shared" si="17"/>
        <v>#REF!</v>
      </c>
      <c r="P72" s="780" t="e">
        <f t="shared" si="12"/>
        <v>#REF!</v>
      </c>
      <c r="Q72" s="781"/>
      <c r="R72" s="632"/>
      <c r="AB72" s="632"/>
    </row>
    <row r="73" spans="2:28" ht="16.5" customHeight="1" outlineLevel="2">
      <c r="B73" s="776" t="s">
        <v>679</v>
      </c>
      <c r="C73" s="777" t="s">
        <v>69</v>
      </c>
      <c r="D73" s="776" t="s">
        <v>1541</v>
      </c>
      <c r="E73" s="648" t="s">
        <v>1542</v>
      </c>
      <c r="F73" s="648" t="s">
        <v>657</v>
      </c>
      <c r="G73" s="791">
        <v>1</v>
      </c>
      <c r="H73" s="795" t="s">
        <v>143</v>
      </c>
      <c r="I73" s="672" t="e">
        <f t="shared" si="13"/>
        <v>#REF!</v>
      </c>
      <c r="J73" s="672"/>
      <c r="K73" s="778">
        <f t="shared" si="14"/>
        <v>0</v>
      </c>
      <c r="L73" s="569">
        <v>0.17</v>
      </c>
      <c r="M73" s="779" t="e">
        <f t="shared" si="15"/>
        <v>#REF!</v>
      </c>
      <c r="N73" s="779" t="e">
        <f t="shared" si="16"/>
        <v>#REF!</v>
      </c>
      <c r="O73" s="779" t="e">
        <f t="shared" si="17"/>
        <v>#REF!</v>
      </c>
      <c r="P73" s="780" t="e">
        <f t="shared" si="12"/>
        <v>#REF!</v>
      </c>
      <c r="Q73" s="781"/>
      <c r="R73" s="632"/>
      <c r="AB73" s="632"/>
    </row>
    <row r="74" spans="2:28" ht="16.5" customHeight="1" outlineLevel="2">
      <c r="B74" s="776" t="s">
        <v>680</v>
      </c>
      <c r="C74" s="777" t="s">
        <v>70</v>
      </c>
      <c r="D74" s="776" t="s">
        <v>1543</v>
      </c>
      <c r="E74" s="648" t="s">
        <v>1544</v>
      </c>
      <c r="F74" s="648" t="s">
        <v>657</v>
      </c>
      <c r="G74" s="791">
        <v>1</v>
      </c>
      <c r="H74" s="795" t="s">
        <v>143</v>
      </c>
      <c r="I74" s="672" t="e">
        <f t="shared" si="13"/>
        <v>#REF!</v>
      </c>
      <c r="J74" s="672"/>
      <c r="K74" s="778">
        <f t="shared" si="14"/>
        <v>0</v>
      </c>
      <c r="L74" s="569">
        <v>0.11</v>
      </c>
      <c r="M74" s="779" t="e">
        <f t="shared" si="15"/>
        <v>#REF!</v>
      </c>
      <c r="N74" s="779" t="e">
        <f t="shared" si="16"/>
        <v>#REF!</v>
      </c>
      <c r="O74" s="779" t="e">
        <f t="shared" si="17"/>
        <v>#REF!</v>
      </c>
      <c r="P74" s="780" t="e">
        <f t="shared" si="12"/>
        <v>#REF!</v>
      </c>
      <c r="Q74" s="781"/>
      <c r="R74" s="632"/>
      <c r="AB74" s="632"/>
    </row>
    <row r="75" spans="2:28" ht="16.5" customHeight="1" outlineLevel="2">
      <c r="B75" s="776" t="s">
        <v>681</v>
      </c>
      <c r="C75" s="777" t="s">
        <v>71</v>
      </c>
      <c r="D75" s="776" t="s">
        <v>1545</v>
      </c>
      <c r="E75" s="648" t="s">
        <v>450</v>
      </c>
      <c r="F75" s="648" t="s">
        <v>657</v>
      </c>
      <c r="G75" s="791">
        <v>1</v>
      </c>
      <c r="H75" s="795" t="s">
        <v>143</v>
      </c>
      <c r="I75" s="672" t="e">
        <f t="shared" si="13"/>
        <v>#REF!</v>
      </c>
      <c r="J75" s="672"/>
      <c r="K75" s="778">
        <f t="shared" si="14"/>
        <v>0</v>
      </c>
      <c r="L75" s="569">
        <v>0.17</v>
      </c>
      <c r="M75" s="779" t="e">
        <f t="shared" si="15"/>
        <v>#REF!</v>
      </c>
      <c r="N75" s="779" t="e">
        <f t="shared" si="16"/>
        <v>#REF!</v>
      </c>
      <c r="O75" s="779" t="e">
        <f t="shared" si="17"/>
        <v>#REF!</v>
      </c>
      <c r="P75" s="780" t="e">
        <f t="shared" si="12"/>
        <v>#REF!</v>
      </c>
      <c r="Q75" s="781"/>
      <c r="R75" s="632"/>
      <c r="AB75" s="632"/>
    </row>
    <row r="76" spans="2:28" ht="16.5" customHeight="1" outlineLevel="2">
      <c r="B76" s="776" t="s">
        <v>682</v>
      </c>
      <c r="C76" s="777" t="s">
        <v>144</v>
      </c>
      <c r="D76" s="776" t="s">
        <v>1546</v>
      </c>
      <c r="E76" s="648" t="s">
        <v>452</v>
      </c>
      <c r="F76" s="648" t="s">
        <v>657</v>
      </c>
      <c r="G76" s="791">
        <v>1</v>
      </c>
      <c r="H76" s="795" t="s">
        <v>143</v>
      </c>
      <c r="I76" s="672" t="e">
        <f t="shared" si="13"/>
        <v>#REF!</v>
      </c>
      <c r="J76" s="672"/>
      <c r="K76" s="778">
        <f t="shared" si="14"/>
        <v>0</v>
      </c>
      <c r="L76" s="569">
        <v>0.11</v>
      </c>
      <c r="M76" s="779" t="e">
        <f t="shared" si="15"/>
        <v>#REF!</v>
      </c>
      <c r="N76" s="779" t="e">
        <f t="shared" si="16"/>
        <v>#REF!</v>
      </c>
      <c r="O76" s="779" t="e">
        <f t="shared" si="17"/>
        <v>#REF!</v>
      </c>
      <c r="P76" s="780" t="e">
        <f t="shared" si="12"/>
        <v>#REF!</v>
      </c>
      <c r="Q76" s="781"/>
      <c r="R76" s="632"/>
      <c r="AB76" s="632"/>
    </row>
    <row r="77" spans="2:28" ht="16.5" customHeight="1" outlineLevel="2">
      <c r="B77" s="776" t="s">
        <v>683</v>
      </c>
      <c r="C77" s="777" t="s">
        <v>72</v>
      </c>
      <c r="D77" s="776" t="s">
        <v>1547</v>
      </c>
      <c r="E77" s="648" t="s">
        <v>1548</v>
      </c>
      <c r="F77" s="648" t="s">
        <v>657</v>
      </c>
      <c r="G77" s="791">
        <v>1</v>
      </c>
      <c r="H77" s="795" t="s">
        <v>143</v>
      </c>
      <c r="I77" s="672" t="e">
        <f t="shared" si="13"/>
        <v>#REF!</v>
      </c>
      <c r="J77" s="672"/>
      <c r="K77" s="778">
        <f t="shared" si="14"/>
        <v>0</v>
      </c>
      <c r="L77" s="569">
        <v>0.17</v>
      </c>
      <c r="M77" s="779" t="e">
        <f t="shared" si="15"/>
        <v>#REF!</v>
      </c>
      <c r="N77" s="779" t="e">
        <f t="shared" si="16"/>
        <v>#REF!</v>
      </c>
      <c r="O77" s="779" t="e">
        <f t="shared" si="17"/>
        <v>#REF!</v>
      </c>
      <c r="P77" s="780" t="e">
        <f t="shared" si="12"/>
        <v>#REF!</v>
      </c>
      <c r="Q77" s="781"/>
      <c r="R77" s="632"/>
      <c r="AB77" s="632"/>
    </row>
    <row r="78" spans="2:28" ht="16.5" customHeight="1" outlineLevel="2">
      <c r="B78" s="776" t="s">
        <v>1549</v>
      </c>
      <c r="C78" s="777" t="s">
        <v>73</v>
      </c>
      <c r="D78" s="776" t="s">
        <v>1550</v>
      </c>
      <c r="E78" s="648" t="s">
        <v>1607</v>
      </c>
      <c r="F78" s="648" t="s">
        <v>657</v>
      </c>
      <c r="G78" s="791">
        <v>1</v>
      </c>
      <c r="H78" s="795" t="s">
        <v>143</v>
      </c>
      <c r="I78" s="672" t="e">
        <f t="shared" si="13"/>
        <v>#REF!</v>
      </c>
      <c r="J78" s="672"/>
      <c r="K78" s="778">
        <f t="shared" si="14"/>
        <v>0</v>
      </c>
      <c r="L78" s="569">
        <v>0.17</v>
      </c>
      <c r="M78" s="779" t="e">
        <f t="shared" si="15"/>
        <v>#REF!</v>
      </c>
      <c r="N78" s="779" t="e">
        <f t="shared" si="16"/>
        <v>#REF!</v>
      </c>
      <c r="O78" s="779" t="e">
        <f t="shared" si="17"/>
        <v>#REF!</v>
      </c>
      <c r="P78" s="780" t="e">
        <f t="shared" si="12"/>
        <v>#REF!</v>
      </c>
      <c r="Q78" s="781"/>
      <c r="R78" s="632"/>
      <c r="AB78" s="632"/>
    </row>
    <row r="79" spans="2:28" ht="16.5" customHeight="1" outlineLevel="2">
      <c r="B79" s="776" t="s">
        <v>684</v>
      </c>
      <c r="C79" s="777" t="s">
        <v>74</v>
      </c>
      <c r="D79" s="776" t="s">
        <v>1551</v>
      </c>
      <c r="E79" s="648" t="s">
        <v>457</v>
      </c>
      <c r="F79" s="648" t="s">
        <v>657</v>
      </c>
      <c r="G79" s="791">
        <v>1</v>
      </c>
      <c r="H79" s="795" t="s">
        <v>143</v>
      </c>
      <c r="I79" s="672" t="e">
        <f t="shared" si="13"/>
        <v>#REF!</v>
      </c>
      <c r="J79" s="672"/>
      <c r="K79" s="778">
        <f t="shared" si="14"/>
        <v>0</v>
      </c>
      <c r="L79" s="569">
        <v>0.17</v>
      </c>
      <c r="M79" s="779" t="e">
        <f t="shared" si="15"/>
        <v>#REF!</v>
      </c>
      <c r="N79" s="779" t="e">
        <f t="shared" si="16"/>
        <v>#REF!</v>
      </c>
      <c r="O79" s="779" t="e">
        <f t="shared" si="17"/>
        <v>#REF!</v>
      </c>
      <c r="P79" s="780" t="e">
        <f t="shared" si="12"/>
        <v>#REF!</v>
      </c>
      <c r="Q79" s="781"/>
      <c r="R79" s="632"/>
      <c r="AB79" s="632"/>
    </row>
    <row r="80" spans="2:28" ht="16.5" customHeight="1" outlineLevel="2">
      <c r="B80" s="776" t="s">
        <v>685</v>
      </c>
      <c r="C80" s="777" t="s">
        <v>75</v>
      </c>
      <c r="D80" s="776" t="s">
        <v>1552</v>
      </c>
      <c r="E80" s="648" t="s">
        <v>1553</v>
      </c>
      <c r="F80" s="648" t="s">
        <v>657</v>
      </c>
      <c r="G80" s="791">
        <v>1</v>
      </c>
      <c r="H80" s="795" t="s">
        <v>143</v>
      </c>
      <c r="I80" s="672" t="e">
        <f t="shared" si="13"/>
        <v>#REF!</v>
      </c>
      <c r="J80" s="672"/>
      <c r="K80" s="778">
        <f t="shared" si="14"/>
        <v>0</v>
      </c>
      <c r="L80" s="569">
        <v>0.17</v>
      </c>
      <c r="M80" s="779" t="e">
        <f t="shared" si="15"/>
        <v>#REF!</v>
      </c>
      <c r="N80" s="779" t="e">
        <f t="shared" si="16"/>
        <v>#REF!</v>
      </c>
      <c r="O80" s="779" t="e">
        <f t="shared" si="17"/>
        <v>#REF!</v>
      </c>
      <c r="P80" s="780" t="e">
        <f t="shared" si="12"/>
        <v>#REF!</v>
      </c>
      <c r="Q80" s="781"/>
      <c r="R80" s="632"/>
      <c r="AB80" s="632"/>
    </row>
    <row r="81" spans="2:28" ht="16.5" customHeight="1" outlineLevel="2">
      <c r="B81" s="776" t="s">
        <v>686</v>
      </c>
      <c r="C81" s="777" t="s">
        <v>146</v>
      </c>
      <c r="D81" s="776" t="s">
        <v>1554</v>
      </c>
      <c r="E81" s="648" t="s">
        <v>1608</v>
      </c>
      <c r="F81" s="648" t="s">
        <v>657</v>
      </c>
      <c r="G81" s="791">
        <v>1</v>
      </c>
      <c r="H81" s="795" t="s">
        <v>143</v>
      </c>
      <c r="I81" s="672" t="e">
        <f t="shared" si="13"/>
        <v>#REF!</v>
      </c>
      <c r="J81" s="672"/>
      <c r="K81" s="778">
        <f t="shared" si="14"/>
        <v>0</v>
      </c>
      <c r="L81" s="569">
        <v>0.17</v>
      </c>
      <c r="M81" s="779" t="e">
        <f t="shared" si="15"/>
        <v>#REF!</v>
      </c>
      <c r="N81" s="779" t="e">
        <f t="shared" si="16"/>
        <v>#REF!</v>
      </c>
      <c r="O81" s="779" t="e">
        <f t="shared" si="17"/>
        <v>#REF!</v>
      </c>
      <c r="P81" s="780" t="e">
        <f t="shared" si="12"/>
        <v>#REF!</v>
      </c>
      <c r="Q81" s="781"/>
      <c r="R81" s="632"/>
      <c r="AB81" s="632"/>
    </row>
    <row r="82" spans="2:28" ht="25.5" customHeight="1" outlineLevel="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 r="B88" s="480" t="s">
        <v>699</v>
      </c>
      <c r="C88" s="481" t="s">
        <v>379</v>
      </c>
      <c r="D88" s="480" t="s">
        <v>498</v>
      </c>
      <c r="E88" s="765"/>
      <c r="F88" s="765"/>
      <c r="G88" s="765"/>
      <c r="H88" s="765"/>
      <c r="I88" s="766"/>
      <c r="J88" s="765"/>
      <c r="K88" s="765"/>
      <c r="L88" s="767"/>
      <c r="M88" s="768" t="e">
        <f>SUBTOTAL(9,M89:M167)</f>
        <v>#REF!</v>
      </c>
      <c r="N88" s="768" t="e">
        <f>SUBTOTAL(9,N89:N167)</f>
        <v>#REF!</v>
      </c>
      <c r="O88" s="768" t="e">
        <f>SUBTOTAL(9,O89:O167)</f>
        <v>#REF!</v>
      </c>
      <c r="P88" s="769" t="e">
        <f t="shared" si="12"/>
        <v>#REF!</v>
      </c>
      <c r="Q88" s="770"/>
      <c r="R88" s="632"/>
      <c r="AB88" s="632"/>
    </row>
    <row r="89" spans="2:28" ht="16.5" customHeight="1" outlineLevel="1">
      <c r="B89" s="802" t="s">
        <v>499</v>
      </c>
      <c r="C89" s="803">
        <v>1</v>
      </c>
      <c r="D89" s="802" t="s">
        <v>35</v>
      </c>
      <c r="E89" s="712"/>
      <c r="F89" s="712"/>
      <c r="G89" s="712"/>
      <c r="H89" s="772"/>
      <c r="I89" s="713"/>
      <c r="J89" s="772"/>
      <c r="K89" s="772"/>
      <c r="L89" s="588"/>
      <c r="M89" s="773" t="e">
        <f>SUBTOTAL(9,M90:M128)</f>
        <v>#REF!</v>
      </c>
      <c r="N89" s="773" t="e">
        <f>SUBTOTAL(9,N90:N128)</f>
        <v>#REF!</v>
      </c>
      <c r="O89" s="773" t="e">
        <f>SUBTOTAL(9,O90:O128)</f>
        <v>#REF!</v>
      </c>
      <c r="P89" s="774" t="e">
        <f t="shared" si="12"/>
        <v>#REF!</v>
      </c>
      <c r="Q89" s="775"/>
      <c r="R89" s="632"/>
      <c r="AB89" s="632"/>
    </row>
    <row r="90" spans="2:28" ht="16.5" customHeight="1" outlineLevel="2">
      <c r="B90" s="776" t="s">
        <v>700</v>
      </c>
      <c r="C90" s="777" t="s">
        <v>36</v>
      </c>
      <c r="D90" s="804" t="s">
        <v>701</v>
      </c>
      <c r="E90" s="648"/>
      <c r="F90" s="648"/>
      <c r="G90" s="787"/>
      <c r="H90" s="787"/>
      <c r="I90" s="672"/>
      <c r="J90" s="681"/>
      <c r="K90" s="681"/>
      <c r="L90" s="569"/>
      <c r="M90" s="779" t="e">
        <f>SUBTOTAL(9,M91:M110)</f>
        <v>#REF!</v>
      </c>
      <c r="N90" s="779" t="e">
        <f>SUBTOTAL(9,N91:N110)</f>
        <v>#REF!</v>
      </c>
      <c r="O90" s="779" t="e">
        <f>SUBTOTAL(9,O91:O110)</f>
        <v>#REF!</v>
      </c>
      <c r="P90" s="780" t="e">
        <f t="shared" si="12"/>
        <v>#REF!</v>
      </c>
      <c r="Q90" s="781"/>
      <c r="R90" s="632"/>
      <c r="AB90" s="632"/>
    </row>
    <row r="91" spans="2:28" ht="16.5" customHeight="1" outlineLevel="3">
      <c r="B91" s="776" t="s">
        <v>702</v>
      </c>
      <c r="C91" s="782" t="s">
        <v>39</v>
      </c>
      <c r="D91" s="804" t="s">
        <v>1555</v>
      </c>
      <c r="E91" s="648"/>
      <c r="F91" s="648"/>
      <c r="G91" s="791"/>
      <c r="H91" s="805"/>
      <c r="I91" s="789"/>
      <c r="J91" s="790"/>
      <c r="K91" s="790"/>
      <c r="L91" s="658"/>
      <c r="M91" s="779" t="e">
        <f>SUBTOTAL(9,M92:M93)</f>
        <v>#REF!</v>
      </c>
      <c r="N91" s="779" t="e">
        <f>SUBTOTAL(9,N92:N93)</f>
        <v>#REF!</v>
      </c>
      <c r="O91" s="779" t="e">
        <f>SUBTOTAL(9,O92:O93)</f>
        <v>#REF!</v>
      </c>
      <c r="P91" s="780" t="e">
        <f t="shared" si="12"/>
        <v>#REF!</v>
      </c>
      <c r="Q91" s="806"/>
      <c r="R91" s="632"/>
      <c r="AB91" s="632"/>
    </row>
    <row r="92" spans="2:28" ht="16.5" customHeight="1" outlineLevel="4">
      <c r="B92" s="776" t="s">
        <v>801</v>
      </c>
      <c r="C92" s="782"/>
      <c r="D92" s="807" t="s">
        <v>1556</v>
      </c>
      <c r="E92" s="648" t="s">
        <v>459</v>
      </c>
      <c r="F92" s="648" t="s">
        <v>657</v>
      </c>
      <c r="G92" s="808">
        <v>1.3</v>
      </c>
      <c r="H92" s="805" t="s">
        <v>101</v>
      </c>
      <c r="I92" s="672" t="e">
        <f>$E$2*(1+$F$2)</f>
        <v>#REF!</v>
      </c>
      <c r="J92" s="790">
        <v>35</v>
      </c>
      <c r="K92" s="778">
        <f>J92/(1+L92)</f>
        <v>29.914529914529915</v>
      </c>
      <c r="L92" s="569">
        <v>0.17</v>
      </c>
      <c r="M92" s="779" t="e">
        <f>G92*I92*K92/10000</f>
        <v>#REF!</v>
      </c>
      <c r="N92" s="779" t="e">
        <f>L92*M92</f>
        <v>#REF!</v>
      </c>
      <c r="O92" s="779" t="e">
        <f>M92+N92</f>
        <v>#REF!</v>
      </c>
      <c r="P92" s="780" t="e">
        <f t="shared" si="12"/>
        <v>#REF!</v>
      </c>
      <c r="Q92" s="806"/>
      <c r="R92" s="632"/>
      <c r="AB92" s="632"/>
    </row>
    <row r="93" spans="2:28" ht="16.5" customHeight="1" outlineLevel="4">
      <c r="B93" s="776" t="s">
        <v>703</v>
      </c>
      <c r="C93" s="782"/>
      <c r="D93" s="807" t="s">
        <v>1557</v>
      </c>
      <c r="E93" s="648" t="s">
        <v>1493</v>
      </c>
      <c r="F93" s="648" t="s">
        <v>657</v>
      </c>
      <c r="G93" s="808">
        <v>1.3</v>
      </c>
      <c r="H93" s="805" t="s">
        <v>101</v>
      </c>
      <c r="I93" s="672" t="e">
        <f>$E$2*(1+$F$2)</f>
        <v>#REF!</v>
      </c>
      <c r="J93" s="790">
        <v>25</v>
      </c>
      <c r="K93" s="778">
        <f>J93/(1+L93)</f>
        <v>22.522522522522522</v>
      </c>
      <c r="L93" s="569">
        <v>0.11</v>
      </c>
      <c r="M93" s="779" t="e">
        <f>G93*I93*K93/10000</f>
        <v>#REF!</v>
      </c>
      <c r="N93" s="779" t="e">
        <f>L93*M93</f>
        <v>#REF!</v>
      </c>
      <c r="O93" s="779" t="e">
        <f>M93+N93</f>
        <v>#REF!</v>
      </c>
      <c r="P93" s="780" t="e">
        <f t="shared" si="12"/>
        <v>#REF!</v>
      </c>
      <c r="Q93" s="806"/>
      <c r="R93" s="632"/>
      <c r="AB93" s="632"/>
    </row>
    <row r="94" spans="2:28" ht="16.5" customHeight="1" outlineLevel="3">
      <c r="B94" s="776" t="s">
        <v>1558</v>
      </c>
      <c r="C94" s="782" t="s">
        <v>39</v>
      </c>
      <c r="D94" s="804" t="s">
        <v>1559</v>
      </c>
      <c r="E94" s="665"/>
      <c r="F94" s="665"/>
      <c r="G94" s="809"/>
      <c r="H94" s="790"/>
      <c r="I94" s="789"/>
      <c r="J94" s="790"/>
      <c r="K94" s="790"/>
      <c r="L94" s="569"/>
      <c r="M94" s="779" t="e">
        <f>SUBTOTAL(9,M95:M98)</f>
        <v>#REF!</v>
      </c>
      <c r="N94" s="779" t="e">
        <f>SUBTOTAL(9,N95:N98)</f>
        <v>#REF!</v>
      </c>
      <c r="O94" s="779" t="e">
        <f>SUBTOTAL(9,O95:O98)</f>
        <v>#REF!</v>
      </c>
      <c r="P94" s="780" t="e">
        <f t="shared" si="12"/>
        <v>#REF!</v>
      </c>
      <c r="Q94" s="806"/>
      <c r="R94" s="632"/>
      <c r="AB94" s="632"/>
    </row>
    <row r="95" spans="2:28" ht="16.5" customHeight="1" outlineLevel="4">
      <c r="B95" s="776" t="s">
        <v>802</v>
      </c>
      <c r="C95" s="782"/>
      <c r="D95" s="807" t="s">
        <v>1560</v>
      </c>
      <c r="E95" s="719" t="s">
        <v>1609</v>
      </c>
      <c r="F95" s="648" t="s">
        <v>657</v>
      </c>
      <c r="G95" s="809">
        <v>1</v>
      </c>
      <c r="H95" s="805" t="s">
        <v>101</v>
      </c>
      <c r="I95" s="672" t="e">
        <f>$E$2*(1+$F$2)</f>
        <v>#REF!</v>
      </c>
      <c r="J95" s="790"/>
      <c r="K95" s="778">
        <f>J95/(1+L95)</f>
        <v>0</v>
      </c>
      <c r="L95" s="569">
        <v>0.11</v>
      </c>
      <c r="M95" s="779" t="e">
        <f>G95*I95*K95/10000</f>
        <v>#REF!</v>
      </c>
      <c r="N95" s="779" t="e">
        <f>L95*M95</f>
        <v>#REF!</v>
      </c>
      <c r="O95" s="779" t="e">
        <f>M95+N95</f>
        <v>#REF!</v>
      </c>
      <c r="P95" s="780" t="e">
        <f t="shared" si="12"/>
        <v>#REF!</v>
      </c>
      <c r="Q95" s="806"/>
      <c r="R95" s="632"/>
      <c r="AB95" s="632"/>
    </row>
    <row r="96" spans="2:28" ht="16.5" customHeight="1" outlineLevel="4">
      <c r="B96" s="776" t="s">
        <v>704</v>
      </c>
      <c r="C96" s="782"/>
      <c r="D96" s="807" t="s">
        <v>1561</v>
      </c>
      <c r="E96" s="719" t="s">
        <v>1609</v>
      </c>
      <c r="F96" s="648" t="s">
        <v>657</v>
      </c>
      <c r="G96" s="809">
        <v>0</v>
      </c>
      <c r="H96" s="805" t="s">
        <v>101</v>
      </c>
      <c r="I96" s="672" t="e">
        <f>$E$2*(1+$F$2)</f>
        <v>#REF!</v>
      </c>
      <c r="J96" s="790"/>
      <c r="K96" s="778">
        <f>J96/(1+L96)</f>
        <v>0</v>
      </c>
      <c r="L96" s="569">
        <v>0.11</v>
      </c>
      <c r="M96" s="779" t="e">
        <f>G96*I96*K96/10000</f>
        <v>#REF!</v>
      </c>
      <c r="N96" s="779" t="e">
        <f>L96*M96</f>
        <v>#REF!</v>
      </c>
      <c r="O96" s="779" t="e">
        <f>M96+N96</f>
        <v>#REF!</v>
      </c>
      <c r="P96" s="780" t="e">
        <f t="shared" si="12"/>
        <v>#REF!</v>
      </c>
      <c r="Q96" s="806"/>
      <c r="R96" s="632"/>
      <c r="AB96" s="632"/>
    </row>
    <row r="97" spans="2:28" ht="16.5" customHeight="1" outlineLevel="4">
      <c r="B97" s="776" t="s">
        <v>1562</v>
      </c>
      <c r="C97" s="782"/>
      <c r="D97" s="807" t="s">
        <v>1563</v>
      </c>
      <c r="E97" s="719" t="s">
        <v>1609</v>
      </c>
      <c r="F97" s="648" t="s">
        <v>657</v>
      </c>
      <c r="G97" s="809">
        <v>0</v>
      </c>
      <c r="H97" s="805" t="s">
        <v>101</v>
      </c>
      <c r="I97" s="672" t="e">
        <f>$E$2*(1+$F$2)</f>
        <v>#REF!</v>
      </c>
      <c r="J97" s="790"/>
      <c r="K97" s="778">
        <f>J97/(1+L97)</f>
        <v>0</v>
      </c>
      <c r="L97" s="569">
        <v>0.11</v>
      </c>
      <c r="M97" s="779" t="e">
        <f>G97*I97*K97/10000</f>
        <v>#REF!</v>
      </c>
      <c r="N97" s="779" t="e">
        <f>L97*M97</f>
        <v>#REF!</v>
      </c>
      <c r="O97" s="779" t="e">
        <f>M97+N97</f>
        <v>#REF!</v>
      </c>
      <c r="P97" s="780" t="e">
        <f t="shared" si="12"/>
        <v>#REF!</v>
      </c>
      <c r="Q97" s="806"/>
      <c r="R97" s="632"/>
      <c r="AB97" s="632"/>
    </row>
    <row r="98" spans="2:28" ht="16.5" customHeight="1" outlineLevel="4">
      <c r="B98" s="776" t="s">
        <v>1564</v>
      </c>
      <c r="C98" s="782"/>
      <c r="D98" s="807" t="s">
        <v>1565</v>
      </c>
      <c r="E98" s="719" t="s">
        <v>1609</v>
      </c>
      <c r="F98" s="648" t="s">
        <v>657</v>
      </c>
      <c r="G98" s="809">
        <v>0</v>
      </c>
      <c r="H98" s="805" t="s">
        <v>101</v>
      </c>
      <c r="I98" s="672" t="e">
        <f>$E$2*(1+$F$2)</f>
        <v>#REF!</v>
      </c>
      <c r="J98" s="790"/>
      <c r="K98" s="778">
        <f>J98/(1+L98)</f>
        <v>0</v>
      </c>
      <c r="L98" s="569">
        <v>0.11</v>
      </c>
      <c r="M98" s="779" t="e">
        <f>G98*I98*K98/10000</f>
        <v>#REF!</v>
      </c>
      <c r="N98" s="779" t="e">
        <f>L98*M98</f>
        <v>#REF!</v>
      </c>
      <c r="O98" s="779" t="e">
        <f>M98+N98</f>
        <v>#REF!</v>
      </c>
      <c r="P98" s="780" t="e">
        <f t="shared" si="12"/>
        <v>#REF!</v>
      </c>
      <c r="Q98" s="806"/>
      <c r="R98" s="632"/>
      <c r="AB98" s="632"/>
    </row>
    <row r="99" spans="2:28" ht="16.5" customHeight="1" outlineLevel="3">
      <c r="B99" s="776" t="s">
        <v>1566</v>
      </c>
      <c r="C99" s="782" t="s">
        <v>39</v>
      </c>
      <c r="D99" s="804" t="s">
        <v>1567</v>
      </c>
      <c r="E99" s="665"/>
      <c r="F99" s="665"/>
      <c r="G99" s="809"/>
      <c r="H99" s="790"/>
      <c r="I99" s="789"/>
      <c r="J99" s="790"/>
      <c r="K99" s="778"/>
      <c r="L99" s="569"/>
      <c r="M99" s="779" t="e">
        <f>SUBTOTAL(9,M100:M101)</f>
        <v>#REF!</v>
      </c>
      <c r="N99" s="779" t="e">
        <f>SUBTOTAL(9,N100:N101)</f>
        <v>#REF!</v>
      </c>
      <c r="O99" s="779" t="e">
        <f>SUBTOTAL(9,O100:O101)</f>
        <v>#REF!</v>
      </c>
      <c r="P99" s="780" t="e">
        <f t="shared" si="12"/>
        <v>#REF!</v>
      </c>
      <c r="Q99" s="806"/>
      <c r="R99" s="632"/>
      <c r="AB99" s="632"/>
    </row>
    <row r="100" spans="2:28" ht="16.5" customHeight="1" outlineLevel="4">
      <c r="B100" s="776" t="s">
        <v>1568</v>
      </c>
      <c r="C100" s="782"/>
      <c r="D100" s="807" t="s">
        <v>1569</v>
      </c>
      <c r="E100" s="665" t="s">
        <v>469</v>
      </c>
      <c r="F100" s="648" t="s">
        <v>657</v>
      </c>
      <c r="G100" s="809">
        <v>0</v>
      </c>
      <c r="H100" s="805" t="s">
        <v>101</v>
      </c>
      <c r="I100" s="672" t="e">
        <f>$E$2*(1+$F$2)</f>
        <v>#REF!</v>
      </c>
      <c r="J100" s="790"/>
      <c r="K100" s="778">
        <f>J100/(1+L100)</f>
        <v>0</v>
      </c>
      <c r="L100" s="569">
        <v>0.17</v>
      </c>
      <c r="M100" s="779" t="e">
        <f>G100*I100*K100/10000</f>
        <v>#REF!</v>
      </c>
      <c r="N100" s="779" t="e">
        <f>L100*M100</f>
        <v>#REF!</v>
      </c>
      <c r="O100" s="779" t="e">
        <f>M100+N100</f>
        <v>#REF!</v>
      </c>
      <c r="P100" s="780" t="e">
        <f t="shared" ref="P100:P131" si="18">IF(O100="","",O100*10000/E$2)</f>
        <v>#REF!</v>
      </c>
      <c r="Q100" s="806"/>
      <c r="R100" s="632"/>
      <c r="AB100" s="632"/>
    </row>
    <row r="101" spans="2:28" ht="16.5" customHeight="1" outlineLevel="4">
      <c r="B101" s="776" t="s">
        <v>1570</v>
      </c>
      <c r="C101" s="782"/>
      <c r="D101" s="807" t="s">
        <v>1571</v>
      </c>
      <c r="E101" s="665" t="s">
        <v>1228</v>
      </c>
      <c r="F101" s="648" t="s">
        <v>657</v>
      </c>
      <c r="G101" s="809">
        <v>0</v>
      </c>
      <c r="H101" s="805" t="s">
        <v>101</v>
      </c>
      <c r="I101" s="672" t="e">
        <f>$E$2*(1+$F$2)</f>
        <v>#REF!</v>
      </c>
      <c r="J101" s="790"/>
      <c r="K101" s="778">
        <f>J101/(1+L101)</f>
        <v>0</v>
      </c>
      <c r="L101" s="569">
        <v>0.11</v>
      </c>
      <c r="M101" s="779" t="e">
        <f>G101*I101*K101/10000</f>
        <v>#REF!</v>
      </c>
      <c r="N101" s="779" t="e">
        <f>L101*M101</f>
        <v>#REF!</v>
      </c>
      <c r="O101" s="779" t="e">
        <f>M101+N101</f>
        <v>#REF!</v>
      </c>
      <c r="P101" s="780" t="e">
        <f t="shared" si="18"/>
        <v>#REF!</v>
      </c>
      <c r="Q101" s="806"/>
      <c r="R101" s="632"/>
      <c r="AB101" s="632"/>
    </row>
    <row r="102" spans="2:28" ht="16.5" customHeight="1" outlineLevel="3">
      <c r="B102" s="776" t="s">
        <v>1572</v>
      </c>
      <c r="C102" s="782" t="s">
        <v>39</v>
      </c>
      <c r="D102" s="804" t="s">
        <v>1573</v>
      </c>
      <c r="E102" s="665"/>
      <c r="F102" s="665"/>
      <c r="G102" s="809"/>
      <c r="H102" s="790"/>
      <c r="I102" s="672"/>
      <c r="J102" s="790"/>
      <c r="K102" s="790"/>
      <c r="L102" s="569"/>
      <c r="M102" s="779" t="e">
        <f>SUBTOTAL(9,M103:M104)</f>
        <v>#REF!</v>
      </c>
      <c r="N102" s="779" t="e">
        <f>SUBTOTAL(9,N103:N104)</f>
        <v>#REF!</v>
      </c>
      <c r="O102" s="779" t="e">
        <f>SUBTOTAL(9,O103:O104)</f>
        <v>#REF!</v>
      </c>
      <c r="P102" s="780" t="e">
        <f t="shared" si="18"/>
        <v>#REF!</v>
      </c>
      <c r="Q102" s="806"/>
      <c r="R102" s="632"/>
      <c r="AB102" s="632"/>
    </row>
    <row r="103" spans="2:28" ht="16.5" customHeight="1" outlineLevel="4">
      <c r="B103" s="776" t="s">
        <v>1574</v>
      </c>
      <c r="C103" s="782"/>
      <c r="D103" s="804" t="s">
        <v>1575</v>
      </c>
      <c r="E103" s="665" t="s">
        <v>468</v>
      </c>
      <c r="F103" s="648" t="s">
        <v>657</v>
      </c>
      <c r="G103" s="809">
        <v>0</v>
      </c>
      <c r="H103" s="805" t="s">
        <v>111</v>
      </c>
      <c r="I103" s="672" t="e">
        <f>$E$2*(1+$F$2)</f>
        <v>#REF!</v>
      </c>
      <c r="J103" s="790"/>
      <c r="K103" s="778">
        <f t="shared" ref="K103:K110" si="19">J103/(1+L103)</f>
        <v>0</v>
      </c>
      <c r="L103" s="569">
        <v>0.11</v>
      </c>
      <c r="M103" s="779" t="e">
        <f t="shared" ref="M103:M110" si="20">G103*I103*K103/10000</f>
        <v>#REF!</v>
      </c>
      <c r="N103" s="779" t="e">
        <f t="shared" ref="N103:N110" si="21">L103*M103</f>
        <v>#REF!</v>
      </c>
      <c r="O103" s="779" t="e">
        <f t="shared" ref="O103:O110" si="22">M103+N103</f>
        <v>#REF!</v>
      </c>
      <c r="P103" s="780" t="e">
        <f t="shared" si="18"/>
        <v>#REF!</v>
      </c>
      <c r="Q103" s="806"/>
      <c r="R103" s="632"/>
      <c r="AB103" s="632"/>
    </row>
    <row r="104" spans="2:28" ht="16.5" customHeight="1" outlineLevel="4">
      <c r="B104" s="776" t="s">
        <v>1576</v>
      </c>
      <c r="C104" s="782"/>
      <c r="D104" s="804" t="s">
        <v>1577</v>
      </c>
      <c r="E104" s="665" t="s">
        <v>468</v>
      </c>
      <c r="F104" s="648" t="s">
        <v>657</v>
      </c>
      <c r="G104" s="809"/>
      <c r="H104" s="805" t="s">
        <v>111</v>
      </c>
      <c r="I104" s="672" t="e">
        <f>$E$2*(1+$F$2)</f>
        <v>#REF!</v>
      </c>
      <c r="J104" s="790"/>
      <c r="K104" s="778">
        <f t="shared" si="19"/>
        <v>0</v>
      </c>
      <c r="L104" s="569">
        <v>0.11</v>
      </c>
      <c r="M104" s="779" t="e">
        <f t="shared" si="20"/>
        <v>#REF!</v>
      </c>
      <c r="N104" s="779" t="e">
        <f t="shared" si="21"/>
        <v>#REF!</v>
      </c>
      <c r="O104" s="779" t="e">
        <f t="shared" si="22"/>
        <v>#REF!</v>
      </c>
      <c r="P104" s="780" t="e">
        <f t="shared" si="18"/>
        <v>#REF!</v>
      </c>
      <c r="Q104" s="806"/>
      <c r="R104" s="632"/>
      <c r="AB104" s="632"/>
    </row>
    <row r="105" spans="2:28" ht="16.5" customHeight="1" outlineLevel="3">
      <c r="B105" s="776" t="s">
        <v>1578</v>
      </c>
      <c r="C105" s="782" t="s">
        <v>39</v>
      </c>
      <c r="D105" s="804" t="s">
        <v>1579</v>
      </c>
      <c r="E105" s="648" t="s">
        <v>1610</v>
      </c>
      <c r="F105" s="648" t="s">
        <v>657</v>
      </c>
      <c r="G105" s="809"/>
      <c r="H105" s="790"/>
      <c r="I105" s="672"/>
      <c r="J105" s="790"/>
      <c r="K105" s="778">
        <f t="shared" si="19"/>
        <v>0</v>
      </c>
      <c r="L105" s="569">
        <v>0.11</v>
      </c>
      <c r="M105" s="779">
        <f t="shared" si="20"/>
        <v>0</v>
      </c>
      <c r="N105" s="779">
        <f t="shared" si="21"/>
        <v>0</v>
      </c>
      <c r="O105" s="779">
        <f t="shared" si="22"/>
        <v>0</v>
      </c>
      <c r="P105" s="780" t="e">
        <f t="shared" si="18"/>
        <v>#REF!</v>
      </c>
      <c r="Q105" s="806"/>
      <c r="R105" s="632"/>
      <c r="AB105" s="632"/>
    </row>
    <row r="106" spans="2:28" ht="16.5" customHeight="1" outlineLevel="3">
      <c r="B106" s="776" t="s">
        <v>705</v>
      </c>
      <c r="C106" s="782" t="s">
        <v>39</v>
      </c>
      <c r="D106" s="804" t="s">
        <v>708</v>
      </c>
      <c r="E106" s="648" t="s">
        <v>1580</v>
      </c>
      <c r="F106" s="665" t="s">
        <v>18</v>
      </c>
      <c r="G106" s="810"/>
      <c r="H106" s="795"/>
      <c r="I106" s="789">
        <f>I2</f>
        <v>0</v>
      </c>
      <c r="J106" s="790"/>
      <c r="K106" s="778">
        <f t="shared" si="19"/>
        <v>0</v>
      </c>
      <c r="L106" s="569">
        <v>0.11</v>
      </c>
      <c r="M106" s="779">
        <f t="shared" si="20"/>
        <v>0</v>
      </c>
      <c r="N106" s="779">
        <f t="shared" si="21"/>
        <v>0</v>
      </c>
      <c r="O106" s="779">
        <f t="shared" si="22"/>
        <v>0</v>
      </c>
      <c r="P106" s="780" t="e">
        <f t="shared" si="18"/>
        <v>#REF!</v>
      </c>
      <c r="Q106" s="806"/>
      <c r="R106" s="632"/>
      <c r="AB106" s="632"/>
    </row>
    <row r="107" spans="2:28" ht="16.5" customHeight="1" outlineLevel="3">
      <c r="B107" s="776" t="s">
        <v>706</v>
      </c>
      <c r="C107" s="782" t="s">
        <v>39</v>
      </c>
      <c r="D107" s="804" t="s">
        <v>1581</v>
      </c>
      <c r="E107" s="648" t="s">
        <v>1606</v>
      </c>
      <c r="F107" s="648" t="s">
        <v>657</v>
      </c>
      <c r="G107" s="809"/>
      <c r="H107" s="805" t="s">
        <v>101</v>
      </c>
      <c r="I107" s="672" t="e">
        <f>$E$2*(1+$F$2)</f>
        <v>#REF!</v>
      </c>
      <c r="J107" s="790"/>
      <c r="K107" s="778">
        <f t="shared" si="19"/>
        <v>0</v>
      </c>
      <c r="L107" s="569">
        <v>0.11</v>
      </c>
      <c r="M107" s="779" t="e">
        <f t="shared" si="20"/>
        <v>#REF!</v>
      </c>
      <c r="N107" s="779" t="e">
        <f t="shared" si="21"/>
        <v>#REF!</v>
      </c>
      <c r="O107" s="779" t="e">
        <f t="shared" si="22"/>
        <v>#REF!</v>
      </c>
      <c r="P107" s="780" t="e">
        <f t="shared" si="18"/>
        <v>#REF!</v>
      </c>
      <c r="Q107" s="806"/>
      <c r="R107" s="632"/>
      <c r="AB107" s="632"/>
    </row>
    <row r="108" spans="2:28" ht="16.5" customHeight="1" outlineLevel="3">
      <c r="B108" s="776" t="s">
        <v>707</v>
      </c>
      <c r="C108" s="782" t="s">
        <v>39</v>
      </c>
      <c r="D108" s="804" t="s">
        <v>1582</v>
      </c>
      <c r="E108" s="648" t="s">
        <v>1606</v>
      </c>
      <c r="F108" s="665" t="s">
        <v>18</v>
      </c>
      <c r="G108" s="811"/>
      <c r="H108" s="805" t="s">
        <v>122</v>
      </c>
      <c r="I108" s="672">
        <f>$I$2</f>
        <v>0</v>
      </c>
      <c r="J108" s="787"/>
      <c r="K108" s="778">
        <f t="shared" si="19"/>
        <v>0</v>
      </c>
      <c r="L108" s="569">
        <v>0.11</v>
      </c>
      <c r="M108" s="779">
        <f t="shared" si="20"/>
        <v>0</v>
      </c>
      <c r="N108" s="779">
        <f t="shared" si="21"/>
        <v>0</v>
      </c>
      <c r="O108" s="779">
        <f t="shared" si="22"/>
        <v>0</v>
      </c>
      <c r="P108" s="780" t="e">
        <f t="shared" si="18"/>
        <v>#REF!</v>
      </c>
      <c r="Q108" s="781"/>
      <c r="R108" s="632"/>
      <c r="AB108" s="632"/>
    </row>
    <row r="109" spans="2:28" ht="16.5" customHeight="1" outlineLevel="3">
      <c r="B109" s="776" t="s">
        <v>709</v>
      </c>
      <c r="C109" s="782" t="s">
        <v>39</v>
      </c>
      <c r="D109" s="804" t="s">
        <v>97</v>
      </c>
      <c r="E109" s="648" t="s">
        <v>470</v>
      </c>
      <c r="F109" s="648" t="s">
        <v>657</v>
      </c>
      <c r="G109" s="808">
        <v>1</v>
      </c>
      <c r="H109" s="805" t="s">
        <v>111</v>
      </c>
      <c r="I109" s="672" t="e">
        <f>$E$2*(1+$F$2)</f>
        <v>#REF!</v>
      </c>
      <c r="J109" s="812">
        <v>10</v>
      </c>
      <c r="K109" s="778">
        <f t="shared" si="19"/>
        <v>8.8495575221238951</v>
      </c>
      <c r="L109" s="620">
        <v>0.13</v>
      </c>
      <c r="M109" s="779" t="e">
        <f t="shared" si="20"/>
        <v>#REF!</v>
      </c>
      <c r="N109" s="779" t="e">
        <f t="shared" si="21"/>
        <v>#REF!</v>
      </c>
      <c r="O109" s="779" t="e">
        <f t="shared" si="22"/>
        <v>#REF!</v>
      </c>
      <c r="P109" s="780" t="e">
        <f t="shared" si="18"/>
        <v>#REF!</v>
      </c>
      <c r="Q109" s="781"/>
      <c r="R109" s="632"/>
      <c r="AB109" s="632"/>
    </row>
    <row r="110" spans="2:28" ht="16.5" customHeight="1" outlineLevel="3">
      <c r="B110" s="776" t="s">
        <v>710</v>
      </c>
      <c r="C110" s="782" t="s">
        <v>39</v>
      </c>
      <c r="D110" s="804" t="s">
        <v>711</v>
      </c>
      <c r="E110" s="648" t="s">
        <v>1606</v>
      </c>
      <c r="F110" s="648" t="s">
        <v>657</v>
      </c>
      <c r="G110" s="808"/>
      <c r="H110" s="812"/>
      <c r="I110" s="672"/>
      <c r="J110" s="812"/>
      <c r="K110" s="778">
        <f t="shared" si="19"/>
        <v>0</v>
      </c>
      <c r="L110" s="620">
        <v>0.11</v>
      </c>
      <c r="M110" s="779">
        <f t="shared" si="20"/>
        <v>0</v>
      </c>
      <c r="N110" s="779">
        <f t="shared" si="21"/>
        <v>0</v>
      </c>
      <c r="O110" s="779">
        <f t="shared" si="22"/>
        <v>0</v>
      </c>
      <c r="P110" s="780" t="e">
        <f t="shared" si="18"/>
        <v>#REF!</v>
      </c>
      <c r="Q110" s="781"/>
      <c r="R110" s="632"/>
      <c r="AB110" s="632"/>
    </row>
    <row r="111" spans="2:28" ht="16.5"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8"/>
        <v>#REF!</v>
      </c>
      <c r="Q111" s="781"/>
      <c r="R111" s="632"/>
      <c r="AB111" s="632"/>
    </row>
    <row r="112" spans="2:28" ht="16.5" customHeight="1" outlineLevel="3">
      <c r="B112" s="776" t="s">
        <v>714</v>
      </c>
      <c r="C112" s="782" t="s">
        <v>39</v>
      </c>
      <c r="D112" s="804" t="s">
        <v>715</v>
      </c>
      <c r="E112" s="665" t="s">
        <v>1583</v>
      </c>
      <c r="F112" s="665" t="s">
        <v>803</v>
      </c>
      <c r="G112" s="813">
        <v>6</v>
      </c>
      <c r="H112" s="805" t="s">
        <v>716</v>
      </c>
      <c r="I112" s="672">
        <f>($J$2+1)*$I$2</f>
        <v>0</v>
      </c>
      <c r="J112" s="812">
        <v>60</v>
      </c>
      <c r="K112" s="778">
        <f>J112/(1+L112)</f>
        <v>54.054054054054049</v>
      </c>
      <c r="L112" s="620">
        <v>0.11</v>
      </c>
      <c r="M112" s="779">
        <f>G112*I112*K112/10000</f>
        <v>0</v>
      </c>
      <c r="N112" s="779">
        <f>L112*M112</f>
        <v>0</v>
      </c>
      <c r="O112" s="779">
        <f>M112+N112</f>
        <v>0</v>
      </c>
      <c r="P112" s="780" t="e">
        <f t="shared" si="18"/>
        <v>#REF!</v>
      </c>
      <c r="Q112" s="781"/>
      <c r="R112" s="632"/>
      <c r="AB112" s="632"/>
    </row>
    <row r="113" spans="2:28" ht="16.5" customHeight="1" outlineLevel="3">
      <c r="B113" s="776" t="s">
        <v>717</v>
      </c>
      <c r="C113" s="782" t="s">
        <v>39</v>
      </c>
      <c r="D113" s="804" t="s">
        <v>1584</v>
      </c>
      <c r="E113" s="665" t="s">
        <v>1583</v>
      </c>
      <c r="F113" s="665" t="s">
        <v>114</v>
      </c>
      <c r="G113" s="813"/>
      <c r="H113" s="787"/>
      <c r="I113" s="672"/>
      <c r="J113" s="787"/>
      <c r="K113" s="778">
        <f>J113/(1+L113)</f>
        <v>0</v>
      </c>
      <c r="L113" s="569">
        <v>0.11</v>
      </c>
      <c r="M113" s="779">
        <f>G113*I113*K113/10000</f>
        <v>0</v>
      </c>
      <c r="N113" s="779">
        <f>L113*M113</f>
        <v>0</v>
      </c>
      <c r="O113" s="779">
        <f>M113+N113</f>
        <v>0</v>
      </c>
      <c r="P113" s="780" t="e">
        <f t="shared" si="18"/>
        <v>#REF!</v>
      </c>
      <c r="Q113" s="781"/>
      <c r="R113" s="632"/>
      <c r="AB113" s="632"/>
    </row>
    <row r="114" spans="2:28" ht="16.5" customHeight="1" outlineLevel="3">
      <c r="B114" s="776" t="s">
        <v>718</v>
      </c>
      <c r="C114" s="782" t="s">
        <v>39</v>
      </c>
      <c r="D114" s="804" t="s">
        <v>719</v>
      </c>
      <c r="E114" s="665" t="s">
        <v>1583</v>
      </c>
      <c r="F114" s="665" t="s">
        <v>41</v>
      </c>
      <c r="G114" s="813">
        <v>0</v>
      </c>
      <c r="H114" s="787" t="s">
        <v>660</v>
      </c>
      <c r="I114" s="672">
        <f>$H$2</f>
        <v>0</v>
      </c>
      <c r="J114" s="787">
        <v>145</v>
      </c>
      <c r="K114" s="778">
        <f>J114/(1+L114)</f>
        <v>130.63063063063061</v>
      </c>
      <c r="L114" s="569">
        <v>0.11</v>
      </c>
      <c r="M114" s="779">
        <f>G114*I114*K114/10000</f>
        <v>0</v>
      </c>
      <c r="N114" s="779">
        <f>L114*M114</f>
        <v>0</v>
      </c>
      <c r="O114" s="779">
        <f>M114+N114</f>
        <v>0</v>
      </c>
      <c r="P114" s="780" t="e">
        <f t="shared" si="18"/>
        <v>#REF!</v>
      </c>
      <c r="Q114" s="781"/>
      <c r="R114" s="632"/>
      <c r="AB114" s="632"/>
    </row>
    <row r="115" spans="2:28" ht="16.5" customHeight="1" outlineLevel="3">
      <c r="B115" s="776" t="s">
        <v>1585</v>
      </c>
      <c r="C115" s="782" t="s">
        <v>39</v>
      </c>
      <c r="D115" s="804" t="s">
        <v>720</v>
      </c>
      <c r="E115" s="665" t="s">
        <v>1583</v>
      </c>
      <c r="F115" s="665" t="s">
        <v>41</v>
      </c>
      <c r="G115" s="808">
        <v>10</v>
      </c>
      <c r="H115" s="812" t="s">
        <v>660</v>
      </c>
      <c r="I115" s="672">
        <f>$H$2</f>
        <v>0</v>
      </c>
      <c r="J115" s="812">
        <v>90</v>
      </c>
      <c r="K115" s="778">
        <f>J115/(1+L115)</f>
        <v>81.081081081081081</v>
      </c>
      <c r="L115" s="620">
        <v>0.11</v>
      </c>
      <c r="M115" s="779">
        <f>G115*I115*K115/10000</f>
        <v>0</v>
      </c>
      <c r="N115" s="779">
        <f>L115*M115</f>
        <v>0</v>
      </c>
      <c r="O115" s="779">
        <f>M115+N115</f>
        <v>0</v>
      </c>
      <c r="P115" s="780" t="e">
        <f t="shared" si="18"/>
        <v>#REF!</v>
      </c>
      <c r="Q115" s="781"/>
      <c r="R115" s="632"/>
      <c r="AB115" s="632"/>
    </row>
    <row r="116" spans="2:28" ht="16.5" customHeight="1" outlineLevel="3">
      <c r="B116" s="776" t="s">
        <v>1586</v>
      </c>
      <c r="C116" s="782" t="s">
        <v>39</v>
      </c>
      <c r="D116" s="804" t="s">
        <v>721</v>
      </c>
      <c r="E116" s="665" t="s">
        <v>1583</v>
      </c>
      <c r="F116" s="665" t="s">
        <v>41</v>
      </c>
      <c r="G116" s="809">
        <v>10</v>
      </c>
      <c r="H116" s="787" t="s">
        <v>722</v>
      </c>
      <c r="I116" s="672">
        <f>$H$2</f>
        <v>0</v>
      </c>
      <c r="J116" s="787">
        <v>220</v>
      </c>
      <c r="K116" s="778">
        <f>J116/(1+L116)</f>
        <v>198.19819819819818</v>
      </c>
      <c r="L116" s="569">
        <v>0.11</v>
      </c>
      <c r="M116" s="779">
        <f>G116*I116*K116/10000</f>
        <v>0</v>
      </c>
      <c r="N116" s="779">
        <f>L116*M116</f>
        <v>0</v>
      </c>
      <c r="O116" s="779">
        <f>M116+N116</f>
        <v>0</v>
      </c>
      <c r="P116" s="780" t="e">
        <f t="shared" si="18"/>
        <v>#REF!</v>
      </c>
      <c r="Q116" s="781"/>
      <c r="R116" s="632"/>
      <c r="AB116" s="632"/>
    </row>
    <row r="117" spans="2:28" ht="16.5" customHeight="1" outlineLevel="2">
      <c r="B117" s="776" t="s">
        <v>723</v>
      </c>
      <c r="C117" s="777" t="s">
        <v>88</v>
      </c>
      <c r="D117" s="804" t="s">
        <v>21</v>
      </c>
      <c r="E117" s="648"/>
      <c r="F117" s="648"/>
      <c r="G117" s="787"/>
      <c r="H117" s="787"/>
      <c r="I117" s="672"/>
      <c r="J117" s="681"/>
      <c r="K117" s="681"/>
      <c r="L117" s="569"/>
      <c r="M117" s="779" t="e">
        <f>SUBTOTAL(9,M118:M123)</f>
        <v>#REF!</v>
      </c>
      <c r="N117" s="779" t="e">
        <f>SUBTOTAL(9,N118:N123)</f>
        <v>#REF!</v>
      </c>
      <c r="O117" s="779" t="e">
        <f>SUBTOTAL(9,O118:O123)</f>
        <v>#REF!</v>
      </c>
      <c r="P117" s="780" t="e">
        <f t="shared" si="18"/>
        <v>#REF!</v>
      </c>
      <c r="Q117" s="781"/>
      <c r="R117" s="632"/>
      <c r="AB117" s="632"/>
    </row>
    <row r="118" spans="2:28" ht="16.5" customHeight="1" outlineLevel="3">
      <c r="B118" s="776" t="s">
        <v>724</v>
      </c>
      <c r="C118" s="782" t="s">
        <v>39</v>
      </c>
      <c r="D118" s="804" t="s">
        <v>725</v>
      </c>
      <c r="E118" s="665" t="s">
        <v>1580</v>
      </c>
      <c r="F118" s="665" t="s">
        <v>18</v>
      </c>
      <c r="G118" s="814">
        <v>20</v>
      </c>
      <c r="H118" s="805" t="s">
        <v>1611</v>
      </c>
      <c r="I118" s="672">
        <f>$I$2</f>
        <v>0</v>
      </c>
      <c r="J118" s="812"/>
      <c r="K118" s="778">
        <f>J118/(1+L118)</f>
        <v>0</v>
      </c>
      <c r="L118" s="620">
        <v>0.11</v>
      </c>
      <c r="M118" s="779">
        <f>G118*I118*K118/10000</f>
        <v>0</v>
      </c>
      <c r="N118" s="779">
        <f>L118*M118</f>
        <v>0</v>
      </c>
      <c r="O118" s="779">
        <f>M118+N118</f>
        <v>0</v>
      </c>
      <c r="P118" s="780" t="e">
        <f t="shared" si="18"/>
        <v>#REF!</v>
      </c>
      <c r="Q118" s="781"/>
      <c r="R118" s="632"/>
      <c r="AB118" s="632"/>
    </row>
    <row r="119" spans="2:28" ht="16.5"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8"/>
        <v>#REF!</v>
      </c>
      <c r="Q119" s="781"/>
      <c r="R119" s="632"/>
      <c r="AB119" s="632"/>
    </row>
    <row r="120" spans="2:28" ht="16.5" customHeight="1" outlineLevel="4">
      <c r="B120" s="776" t="s">
        <v>1612</v>
      </c>
      <c r="C120" s="782"/>
      <c r="D120" s="807" t="s">
        <v>1613</v>
      </c>
      <c r="E120" s="665" t="s">
        <v>1587</v>
      </c>
      <c r="F120" s="665" t="s">
        <v>1614</v>
      </c>
      <c r="G120" s="813">
        <v>1</v>
      </c>
      <c r="H120" s="787" t="s">
        <v>727</v>
      </c>
      <c r="I120" s="672">
        <f>$H$2</f>
        <v>0</v>
      </c>
      <c r="J120" s="787"/>
      <c r="K120" s="778">
        <f>J120/(1+L120)</f>
        <v>0</v>
      </c>
      <c r="L120" s="569">
        <v>0.17</v>
      </c>
      <c r="M120" s="779">
        <f>G120*I120*K120/10000</f>
        <v>0</v>
      </c>
      <c r="N120" s="779">
        <f>L120*M120</f>
        <v>0</v>
      </c>
      <c r="O120" s="779">
        <f>M120+N120</f>
        <v>0</v>
      </c>
      <c r="P120" s="780" t="e">
        <f t="shared" si="18"/>
        <v>#REF!</v>
      </c>
      <c r="Q120" s="781"/>
      <c r="R120" s="632"/>
      <c r="AB120" s="632"/>
    </row>
    <row r="121" spans="2:28" ht="16.5" customHeight="1" outlineLevel="4">
      <c r="B121" s="776" t="s">
        <v>1588</v>
      </c>
      <c r="C121" s="782"/>
      <c r="D121" s="807" t="s">
        <v>1615</v>
      </c>
      <c r="E121" s="665" t="s">
        <v>1589</v>
      </c>
      <c r="F121" s="665" t="s">
        <v>1614</v>
      </c>
      <c r="G121" s="813">
        <v>1</v>
      </c>
      <c r="H121" s="787" t="s">
        <v>727</v>
      </c>
      <c r="I121" s="672">
        <f>$H$2</f>
        <v>0</v>
      </c>
      <c r="J121" s="787"/>
      <c r="K121" s="778">
        <f>J121/(1+L121)</f>
        <v>0</v>
      </c>
      <c r="L121" s="569">
        <v>0.17</v>
      </c>
      <c r="M121" s="779">
        <f>G121*I121*K121/10000</f>
        <v>0</v>
      </c>
      <c r="N121" s="779">
        <f>L121*M121</f>
        <v>0</v>
      </c>
      <c r="O121" s="779">
        <f>M121+N121</f>
        <v>0</v>
      </c>
      <c r="P121" s="780" t="e">
        <f t="shared" si="18"/>
        <v>#REF!</v>
      </c>
      <c r="Q121" s="781"/>
      <c r="R121" s="632"/>
      <c r="AB121" s="632"/>
    </row>
    <row r="122" spans="2:28" ht="16.5" customHeight="1" outlineLevel="3">
      <c r="B122" s="776" t="s">
        <v>728</v>
      </c>
      <c r="C122" s="782" t="s">
        <v>39</v>
      </c>
      <c r="D122" s="804" t="s">
        <v>729</v>
      </c>
      <c r="E122" s="648" t="s">
        <v>1590</v>
      </c>
      <c r="F122" s="665" t="s">
        <v>803</v>
      </c>
      <c r="G122" s="813">
        <v>1</v>
      </c>
      <c r="H122" s="805" t="s">
        <v>1591</v>
      </c>
      <c r="I122" s="672">
        <f>$I$2*($J$2+1)</f>
        <v>0</v>
      </c>
      <c r="J122" s="812"/>
      <c r="K122" s="778">
        <f>J122/(1+L122)</f>
        <v>0</v>
      </c>
      <c r="L122" s="620">
        <v>0.11</v>
      </c>
      <c r="M122" s="779">
        <f>G122*I122*K122/10000</f>
        <v>0</v>
      </c>
      <c r="N122" s="779">
        <f>L122*M122</f>
        <v>0</v>
      </c>
      <c r="O122" s="779">
        <f>M122+N122</f>
        <v>0</v>
      </c>
      <c r="P122" s="780" t="e">
        <f t="shared" si="18"/>
        <v>#REF!</v>
      </c>
      <c r="Q122" s="781"/>
      <c r="R122" s="632"/>
      <c r="AB122" s="632"/>
    </row>
    <row r="123" spans="2:28" ht="16.5" customHeight="1" outlineLevel="3">
      <c r="B123" s="776" t="s">
        <v>730</v>
      </c>
      <c r="C123" s="782" t="s">
        <v>39</v>
      </c>
      <c r="D123" s="804" t="s">
        <v>62</v>
      </c>
      <c r="E123" s="665" t="s">
        <v>1580</v>
      </c>
      <c r="F123" s="648" t="s">
        <v>657</v>
      </c>
      <c r="G123" s="808">
        <v>0.4</v>
      </c>
      <c r="H123" s="805" t="s">
        <v>101</v>
      </c>
      <c r="I123" s="672" t="e">
        <f>$E$2*(1+$F$2)</f>
        <v>#REF!</v>
      </c>
      <c r="J123" s="812"/>
      <c r="K123" s="778">
        <f>J123/(1+L123)</f>
        <v>0</v>
      </c>
      <c r="L123" s="620">
        <v>0.17</v>
      </c>
      <c r="M123" s="779" t="e">
        <f>G123*I123*K123/10000</f>
        <v>#REF!</v>
      </c>
      <c r="N123" s="779" t="e">
        <f>L123*M123</f>
        <v>#REF!</v>
      </c>
      <c r="O123" s="779" t="e">
        <f>M123+N123</f>
        <v>#REF!</v>
      </c>
      <c r="P123" s="780" t="e">
        <f t="shared" si="18"/>
        <v>#REF!</v>
      </c>
      <c r="Q123" s="781"/>
      <c r="R123" s="632"/>
      <c r="AB123" s="632"/>
    </row>
    <row r="124" spans="2:28" ht="16.5" customHeight="1" outlineLevel="2">
      <c r="B124" s="776" t="s">
        <v>731</v>
      </c>
      <c r="C124" s="777" t="s">
        <v>78</v>
      </c>
      <c r="D124" s="804" t="s">
        <v>732</v>
      </c>
      <c r="E124" s="648"/>
      <c r="F124" s="648"/>
      <c r="G124" s="787"/>
      <c r="H124" s="787"/>
      <c r="I124" s="672"/>
      <c r="J124" s="681"/>
      <c r="K124" s="681"/>
      <c r="L124" s="569"/>
      <c r="M124" s="779" t="e">
        <f>SUBTOTAL(9,M125:M128)</f>
        <v>#REF!</v>
      </c>
      <c r="N124" s="779" t="e">
        <f>SUBTOTAL(9,N125:N128)</f>
        <v>#REF!</v>
      </c>
      <c r="O124" s="779" t="e">
        <f>SUBTOTAL(9,O125:O128)</f>
        <v>#REF!</v>
      </c>
      <c r="P124" s="780" t="e">
        <f t="shared" si="18"/>
        <v>#REF!</v>
      </c>
      <c r="Q124" s="781"/>
      <c r="R124" s="632"/>
      <c r="AB124" s="632"/>
    </row>
    <row r="125" spans="2:28" ht="16.5" customHeight="1" outlineLevel="3">
      <c r="B125" s="776" t="s">
        <v>733</v>
      </c>
      <c r="C125" s="782" t="s">
        <v>39</v>
      </c>
      <c r="D125" s="815" t="s">
        <v>734</v>
      </c>
      <c r="E125" s="814" t="s">
        <v>1228</v>
      </c>
      <c r="F125" s="814" t="s">
        <v>9</v>
      </c>
      <c r="G125" s="814">
        <v>1</v>
      </c>
      <c r="H125" s="787" t="s">
        <v>145</v>
      </c>
      <c r="I125" s="672" t="e">
        <f>$G$2</f>
        <v>#REF!</v>
      </c>
      <c r="J125" s="816"/>
      <c r="K125" s="778">
        <f>J125/(1+L125)</f>
        <v>0</v>
      </c>
      <c r="L125" s="620">
        <v>0.11</v>
      </c>
      <c r="M125" s="779" t="e">
        <f>G125*I125*K125/10000</f>
        <v>#REF!</v>
      </c>
      <c r="N125" s="779" t="e">
        <f>L125*M125</f>
        <v>#REF!</v>
      </c>
      <c r="O125" s="779" t="e">
        <f>M125+N125</f>
        <v>#REF!</v>
      </c>
      <c r="P125" s="780" t="e">
        <f t="shared" si="18"/>
        <v>#REF!</v>
      </c>
      <c r="Q125" s="781"/>
      <c r="R125" s="632"/>
      <c r="AB125" s="632"/>
    </row>
    <row r="126" spans="2:28" ht="16.5" customHeight="1" outlineLevel="3">
      <c r="B126" s="776" t="s">
        <v>735</v>
      </c>
      <c r="C126" s="782" t="s">
        <v>39</v>
      </c>
      <c r="D126" s="815" t="s">
        <v>736</v>
      </c>
      <c r="E126" s="814" t="s">
        <v>471</v>
      </c>
      <c r="F126" s="814"/>
      <c r="G126" s="814"/>
      <c r="H126" s="812"/>
      <c r="I126" s="672"/>
      <c r="J126" s="816"/>
      <c r="K126" s="778">
        <f>J126/(1+L126)</f>
        <v>0</v>
      </c>
      <c r="L126" s="620">
        <v>0.17</v>
      </c>
      <c r="M126" s="779">
        <f>G126*I126*K126/10000</f>
        <v>0</v>
      </c>
      <c r="N126" s="779">
        <f>L126*M126</f>
        <v>0</v>
      </c>
      <c r="O126" s="779">
        <f>M126+N126</f>
        <v>0</v>
      </c>
      <c r="P126" s="780" t="e">
        <f t="shared" si="18"/>
        <v>#REF!</v>
      </c>
      <c r="Q126" s="781"/>
      <c r="R126" s="632"/>
      <c r="AB126" s="632"/>
    </row>
    <row r="127" spans="2:28" ht="16.5" customHeight="1" outlineLevel="3">
      <c r="B127" s="776" t="s">
        <v>737</v>
      </c>
      <c r="C127" s="782" t="s">
        <v>39</v>
      </c>
      <c r="D127" s="815" t="s">
        <v>738</v>
      </c>
      <c r="E127" s="648" t="s">
        <v>1616</v>
      </c>
      <c r="F127" s="648" t="s">
        <v>657</v>
      </c>
      <c r="G127" s="808">
        <v>1</v>
      </c>
      <c r="H127" s="805" t="s">
        <v>111</v>
      </c>
      <c r="I127" s="672" t="e">
        <f>$E$2*(1+$F$2)</f>
        <v>#REF!</v>
      </c>
      <c r="J127" s="837">
        <v>5</v>
      </c>
      <c r="K127" s="778">
        <f>J127/(1+L127)</f>
        <v>4.5045045045045038</v>
      </c>
      <c r="L127" s="620">
        <v>0.11</v>
      </c>
      <c r="M127" s="779" t="e">
        <f>G127*I127*K127/10000</f>
        <v>#REF!</v>
      </c>
      <c r="N127" s="779" t="e">
        <f>L127*M127</f>
        <v>#REF!</v>
      </c>
      <c r="O127" s="779" t="e">
        <f>M127+N127</f>
        <v>#REF!</v>
      </c>
      <c r="P127" s="780" t="e">
        <f t="shared" si="18"/>
        <v>#REF!</v>
      </c>
      <c r="Q127" s="781"/>
      <c r="R127" s="632"/>
      <c r="AB127" s="632"/>
    </row>
    <row r="128" spans="2:28" ht="16.5" customHeight="1" outlineLevel="3">
      <c r="B128" s="776" t="s">
        <v>739</v>
      </c>
      <c r="C128" s="782" t="s">
        <v>39</v>
      </c>
      <c r="D128" s="815" t="s">
        <v>740</v>
      </c>
      <c r="E128" s="665" t="s">
        <v>463</v>
      </c>
      <c r="F128" s="665" t="s">
        <v>41</v>
      </c>
      <c r="G128" s="814">
        <v>1</v>
      </c>
      <c r="H128" s="812" t="s">
        <v>741</v>
      </c>
      <c r="I128" s="672">
        <f>$H$2</f>
        <v>0</v>
      </c>
      <c r="J128" s="816"/>
      <c r="K128" s="778">
        <f>J128/(1+L128)</f>
        <v>0</v>
      </c>
      <c r="L128" s="620">
        <v>0.17</v>
      </c>
      <c r="M128" s="779">
        <f>G128*I128*K128/10000</f>
        <v>0</v>
      </c>
      <c r="N128" s="779">
        <f>L128*M128</f>
        <v>0</v>
      </c>
      <c r="O128" s="779">
        <f>M128+N128</f>
        <v>0</v>
      </c>
      <c r="P128" s="780" t="e">
        <f t="shared" si="18"/>
        <v>#REF!</v>
      </c>
      <c r="Q128" s="781"/>
      <c r="R128" s="632"/>
      <c r="AB128" s="632"/>
    </row>
    <row r="129" spans="2:28" ht="16.5"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8"/>
        <v>#REF!</v>
      </c>
      <c r="Q129" s="775"/>
      <c r="R129" s="632"/>
      <c r="AB129" s="632"/>
    </row>
    <row r="130" spans="2:28" ht="16.5"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8"/>
        <v>#REF!</v>
      </c>
      <c r="Q130" s="781"/>
      <c r="R130" s="632"/>
      <c r="AB130" s="632"/>
    </row>
    <row r="131" spans="2:28" ht="16.5" customHeight="1" outlineLevel="3">
      <c r="B131" s="776" t="s">
        <v>743</v>
      </c>
      <c r="C131" s="782" t="s">
        <v>39</v>
      </c>
      <c r="D131" s="815" t="s">
        <v>1592</v>
      </c>
      <c r="E131" s="648" t="s">
        <v>1617</v>
      </c>
      <c r="F131" s="648" t="s">
        <v>18</v>
      </c>
      <c r="G131" s="787">
        <v>55</v>
      </c>
      <c r="H131" s="805" t="s">
        <v>122</v>
      </c>
      <c r="I131" s="672">
        <f>$I$2</f>
        <v>0</v>
      </c>
      <c r="J131" s="681"/>
      <c r="K131" s="778">
        <f>J131/(1+L131)</f>
        <v>0</v>
      </c>
      <c r="L131" s="569">
        <v>0.11</v>
      </c>
      <c r="M131" s="779">
        <f>G131*I131*K131/10000</f>
        <v>0</v>
      </c>
      <c r="N131" s="779">
        <f>L131*M131</f>
        <v>0</v>
      </c>
      <c r="O131" s="779">
        <f>M131+N131</f>
        <v>0</v>
      </c>
      <c r="P131" s="780" t="e">
        <f t="shared" si="18"/>
        <v>#REF!</v>
      </c>
      <c r="Q131" s="781"/>
      <c r="R131" s="632"/>
      <c r="AB131" s="632"/>
    </row>
    <row r="132" spans="2:28" ht="16.5" customHeight="1" outlineLevel="3">
      <c r="B132" s="776" t="s">
        <v>744</v>
      </c>
      <c r="C132" s="782" t="s">
        <v>39</v>
      </c>
      <c r="D132" s="815" t="s">
        <v>1593</v>
      </c>
      <c r="E132" s="648" t="s">
        <v>457</v>
      </c>
      <c r="F132" s="648" t="s">
        <v>18</v>
      </c>
      <c r="G132" s="787">
        <v>55</v>
      </c>
      <c r="H132" s="805" t="s">
        <v>122</v>
      </c>
      <c r="I132" s="672">
        <f>$I$2</f>
        <v>0</v>
      </c>
      <c r="J132" s="681"/>
      <c r="K132" s="778">
        <f>J132/(1+L132)</f>
        <v>0</v>
      </c>
      <c r="L132" s="569">
        <v>0.17</v>
      </c>
      <c r="M132" s="779">
        <f>G132*I132*K132/10000</f>
        <v>0</v>
      </c>
      <c r="N132" s="779">
        <f>L132*M132</f>
        <v>0</v>
      </c>
      <c r="O132" s="779">
        <f>M132+N132</f>
        <v>0</v>
      </c>
      <c r="P132" s="780" t="e">
        <f t="shared" ref="P132:P163" si="23">IF(O132="","",O132*10000/E$2)</f>
        <v>#REF!</v>
      </c>
      <c r="Q132" s="781"/>
      <c r="R132" s="632"/>
      <c r="AB132" s="632"/>
    </row>
    <row r="133" spans="2:28" ht="16.5" customHeight="1" outlineLevel="3">
      <c r="B133" s="776" t="s">
        <v>745</v>
      </c>
      <c r="C133" s="782" t="s">
        <v>39</v>
      </c>
      <c r="D133" s="815" t="s">
        <v>1594</v>
      </c>
      <c r="E133" s="648" t="s">
        <v>1329</v>
      </c>
      <c r="F133" s="648" t="s">
        <v>18</v>
      </c>
      <c r="G133" s="787">
        <v>55</v>
      </c>
      <c r="H133" s="805" t="s">
        <v>122</v>
      </c>
      <c r="I133" s="672">
        <f>$I$2</f>
        <v>0</v>
      </c>
      <c r="J133" s="681"/>
      <c r="K133" s="778">
        <f>J133/(1+L133)</f>
        <v>0</v>
      </c>
      <c r="L133" s="569">
        <v>0.17</v>
      </c>
      <c r="M133" s="779">
        <f>G133*I133*K133/10000</f>
        <v>0</v>
      </c>
      <c r="N133" s="779">
        <f>L133*M133</f>
        <v>0</v>
      </c>
      <c r="O133" s="779">
        <f>M133+N133</f>
        <v>0</v>
      </c>
      <c r="P133" s="780" t="e">
        <f t="shared" si="23"/>
        <v>#REF!</v>
      </c>
      <c r="Q133" s="781"/>
      <c r="R133" s="632"/>
      <c r="AB133" s="632"/>
    </row>
    <row r="134" spans="2:28" ht="16.5"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3"/>
        <v>#REF!</v>
      </c>
      <c r="Q134" s="781"/>
      <c r="R134" s="632"/>
      <c r="AB134" s="632"/>
    </row>
    <row r="135" spans="2:28" ht="16.5" customHeight="1" outlineLevel="3">
      <c r="B135" s="776" t="s">
        <v>747</v>
      </c>
      <c r="C135" s="782" t="s">
        <v>39</v>
      </c>
      <c r="D135" s="815" t="s">
        <v>748</v>
      </c>
      <c r="E135" s="648" t="s">
        <v>1617</v>
      </c>
      <c r="F135" s="648" t="s">
        <v>18</v>
      </c>
      <c r="G135" s="787">
        <v>50</v>
      </c>
      <c r="H135" s="805" t="s">
        <v>122</v>
      </c>
      <c r="I135" s="672">
        <f>$I$2</f>
        <v>0</v>
      </c>
      <c r="J135" s="681"/>
      <c r="K135" s="778">
        <f>J135/(1+L135)</f>
        <v>0</v>
      </c>
      <c r="L135" s="569">
        <v>0.11</v>
      </c>
      <c r="M135" s="779">
        <f t="shared" ref="M135:M140" si="24">G135*I135*K135/10000</f>
        <v>0</v>
      </c>
      <c r="N135" s="779">
        <f t="shared" ref="N135:N140" si="25">L135*M135</f>
        <v>0</v>
      </c>
      <c r="O135" s="779">
        <f t="shared" ref="O135:O140" si="26">M135+N135</f>
        <v>0</v>
      </c>
      <c r="P135" s="780" t="e">
        <f t="shared" si="23"/>
        <v>#REF!</v>
      </c>
      <c r="Q135" s="781"/>
      <c r="R135" s="632"/>
      <c r="AB135" s="632"/>
    </row>
    <row r="136" spans="2:28" ht="16.5" customHeight="1" outlineLevel="3">
      <c r="B136" s="776" t="s">
        <v>749</v>
      </c>
      <c r="C136" s="782" t="s">
        <v>39</v>
      </c>
      <c r="D136" s="815" t="s">
        <v>750</v>
      </c>
      <c r="E136" s="648" t="s">
        <v>457</v>
      </c>
      <c r="F136" s="648" t="s">
        <v>18</v>
      </c>
      <c r="G136" s="787">
        <v>50</v>
      </c>
      <c r="H136" s="805" t="s">
        <v>122</v>
      </c>
      <c r="I136" s="672">
        <f>$I$2</f>
        <v>0</v>
      </c>
      <c r="J136" s="681"/>
      <c r="K136" s="778">
        <f>J136/(1+L136)</f>
        <v>0</v>
      </c>
      <c r="L136" s="569">
        <v>0.17</v>
      </c>
      <c r="M136" s="779">
        <f t="shared" si="24"/>
        <v>0</v>
      </c>
      <c r="N136" s="779">
        <f t="shared" si="25"/>
        <v>0</v>
      </c>
      <c r="O136" s="779">
        <f t="shared" si="26"/>
        <v>0</v>
      </c>
      <c r="P136" s="780" t="e">
        <f t="shared" si="23"/>
        <v>#REF!</v>
      </c>
      <c r="Q136" s="781"/>
      <c r="R136" s="632"/>
      <c r="AB136" s="632"/>
    </row>
    <row r="137" spans="2:28" ht="16.5" customHeight="1" outlineLevel="3">
      <c r="B137" s="776" t="s">
        <v>751</v>
      </c>
      <c r="C137" s="782" t="s">
        <v>39</v>
      </c>
      <c r="D137" s="815" t="s">
        <v>752</v>
      </c>
      <c r="E137" s="648" t="s">
        <v>1329</v>
      </c>
      <c r="F137" s="648" t="s">
        <v>18</v>
      </c>
      <c r="G137" s="787">
        <v>50</v>
      </c>
      <c r="H137" s="805" t="s">
        <v>122</v>
      </c>
      <c r="I137" s="672">
        <f>$I$2</f>
        <v>0</v>
      </c>
      <c r="J137" s="681"/>
      <c r="K137" s="778">
        <f>J137/(1+L137)</f>
        <v>0</v>
      </c>
      <c r="L137" s="569">
        <v>0.17</v>
      </c>
      <c r="M137" s="779">
        <f t="shared" si="24"/>
        <v>0</v>
      </c>
      <c r="N137" s="779">
        <f t="shared" si="25"/>
        <v>0</v>
      </c>
      <c r="O137" s="779">
        <f t="shared" si="26"/>
        <v>0</v>
      </c>
      <c r="P137" s="780" t="e">
        <f t="shared" si="23"/>
        <v>#REF!</v>
      </c>
      <c r="Q137" s="781"/>
      <c r="R137" s="632"/>
      <c r="AB137" s="632"/>
    </row>
    <row r="138" spans="2:28" ht="16.5" customHeight="1" outlineLevel="2">
      <c r="B138" s="776" t="s">
        <v>753</v>
      </c>
      <c r="C138" s="777" t="s">
        <v>88</v>
      </c>
      <c r="D138" s="817" t="s">
        <v>754</v>
      </c>
      <c r="E138" s="648" t="s">
        <v>1617</v>
      </c>
      <c r="F138" s="648" t="s">
        <v>18</v>
      </c>
      <c r="G138" s="787"/>
      <c r="H138" s="805" t="s">
        <v>122</v>
      </c>
      <c r="I138" s="672">
        <f>$I$2</f>
        <v>0</v>
      </c>
      <c r="J138" s="681"/>
      <c r="K138" s="681"/>
      <c r="L138" s="569">
        <v>0.11</v>
      </c>
      <c r="M138" s="779">
        <f t="shared" si="24"/>
        <v>0</v>
      </c>
      <c r="N138" s="779">
        <f t="shared" si="25"/>
        <v>0</v>
      </c>
      <c r="O138" s="779">
        <f t="shared" si="26"/>
        <v>0</v>
      </c>
      <c r="P138" s="780" t="e">
        <f t="shared" si="23"/>
        <v>#REF!</v>
      </c>
      <c r="Q138" s="781"/>
      <c r="R138" s="632"/>
      <c r="AB138" s="632"/>
    </row>
    <row r="139" spans="2:28" ht="16.5" customHeight="1" outlineLevel="2">
      <c r="B139" s="776" t="s">
        <v>755</v>
      </c>
      <c r="C139" s="777" t="s">
        <v>70</v>
      </c>
      <c r="D139" s="817" t="s">
        <v>90</v>
      </c>
      <c r="E139" s="648" t="s">
        <v>1617</v>
      </c>
      <c r="F139" s="648" t="s">
        <v>18</v>
      </c>
      <c r="G139" s="787"/>
      <c r="H139" s="805" t="s">
        <v>122</v>
      </c>
      <c r="I139" s="672">
        <f>$I$2</f>
        <v>0</v>
      </c>
      <c r="J139" s="681"/>
      <c r="K139" s="681"/>
      <c r="L139" s="569">
        <v>0.11</v>
      </c>
      <c r="M139" s="779">
        <f t="shared" si="24"/>
        <v>0</v>
      </c>
      <c r="N139" s="779">
        <f t="shared" si="25"/>
        <v>0</v>
      </c>
      <c r="O139" s="779">
        <f t="shared" si="26"/>
        <v>0</v>
      </c>
      <c r="P139" s="780" t="e">
        <f t="shared" si="23"/>
        <v>#REF!</v>
      </c>
      <c r="Q139" s="781"/>
      <c r="R139" s="632"/>
      <c r="AB139" s="632"/>
    </row>
    <row r="140" spans="2:28" ht="16.5" customHeight="1" outlineLevel="2">
      <c r="B140" s="776" t="s">
        <v>756</v>
      </c>
      <c r="C140" s="777" t="s">
        <v>71</v>
      </c>
      <c r="D140" s="817" t="s">
        <v>757</v>
      </c>
      <c r="E140" s="648" t="s">
        <v>1617</v>
      </c>
      <c r="F140" s="665" t="s">
        <v>803</v>
      </c>
      <c r="G140" s="813">
        <v>19.399999999999999</v>
      </c>
      <c r="H140" s="805" t="s">
        <v>117</v>
      </c>
      <c r="I140" s="672">
        <f>$J$2+1</f>
        <v>3</v>
      </c>
      <c r="J140" s="681"/>
      <c r="K140" s="681"/>
      <c r="L140" s="569">
        <v>0.11</v>
      </c>
      <c r="M140" s="779">
        <f t="shared" si="24"/>
        <v>0</v>
      </c>
      <c r="N140" s="779">
        <f t="shared" si="25"/>
        <v>0</v>
      </c>
      <c r="O140" s="779">
        <f t="shared" si="26"/>
        <v>0</v>
      </c>
      <c r="P140" s="780" t="e">
        <f t="shared" si="23"/>
        <v>#REF!</v>
      </c>
      <c r="Q140" s="781"/>
      <c r="R140" s="632"/>
      <c r="AB140" s="632"/>
    </row>
    <row r="141" spans="2:28" ht="16.5"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3"/>
        <v>#REF!</v>
      </c>
      <c r="Q141" s="781"/>
      <c r="R141" s="632"/>
      <c r="AB141" s="632"/>
    </row>
    <row r="142" spans="2:28" ht="16.5" customHeight="1" outlineLevel="3">
      <c r="B142" s="776" t="s">
        <v>759</v>
      </c>
      <c r="C142" s="782" t="s">
        <v>39</v>
      </c>
      <c r="D142" s="815" t="s">
        <v>760</v>
      </c>
      <c r="E142" s="648" t="s">
        <v>1617</v>
      </c>
      <c r="F142" s="665" t="s">
        <v>804</v>
      </c>
      <c r="G142" s="813">
        <v>26.6</v>
      </c>
      <c r="H142" s="805" t="s">
        <v>117</v>
      </c>
      <c r="I142" s="672">
        <f>($J$2-1)*$I$2</f>
        <v>0</v>
      </c>
      <c r="J142" s="681"/>
      <c r="K142" s="778">
        <f>J142/(1+L142)</f>
        <v>0</v>
      </c>
      <c r="L142" s="569">
        <v>0.11</v>
      </c>
      <c r="M142" s="779">
        <f t="shared" ref="M142:M148" si="27">G142*I142*K142/10000</f>
        <v>0</v>
      </c>
      <c r="N142" s="779">
        <f t="shared" ref="N142:N148" si="28">L142*M142</f>
        <v>0</v>
      </c>
      <c r="O142" s="779">
        <f t="shared" ref="O142:O148" si="29">M142+N142</f>
        <v>0</v>
      </c>
      <c r="P142" s="780" t="e">
        <f t="shared" si="23"/>
        <v>#REF!</v>
      </c>
      <c r="Q142" s="806"/>
      <c r="R142" s="632"/>
      <c r="AB142" s="632"/>
    </row>
    <row r="143" spans="2:28" ht="16.5" customHeight="1" outlineLevel="3">
      <c r="B143" s="776" t="s">
        <v>761</v>
      </c>
      <c r="C143" s="782" t="s">
        <v>39</v>
      </c>
      <c r="D143" s="815" t="s">
        <v>805</v>
      </c>
      <c r="E143" s="648" t="s">
        <v>457</v>
      </c>
      <c r="F143" s="665" t="s">
        <v>804</v>
      </c>
      <c r="G143" s="813">
        <v>26.6</v>
      </c>
      <c r="H143" s="805" t="s">
        <v>117</v>
      </c>
      <c r="I143" s="672">
        <f>($J$2-1)*$I$2</f>
        <v>0</v>
      </c>
      <c r="J143" s="681"/>
      <c r="K143" s="778">
        <f>J143/(1+L143)</f>
        <v>0</v>
      </c>
      <c r="L143" s="569">
        <v>0.17</v>
      </c>
      <c r="M143" s="779">
        <f t="shared" si="27"/>
        <v>0</v>
      </c>
      <c r="N143" s="779">
        <f t="shared" si="28"/>
        <v>0</v>
      </c>
      <c r="O143" s="779">
        <f t="shared" si="29"/>
        <v>0</v>
      </c>
      <c r="P143" s="780" t="e">
        <f t="shared" si="23"/>
        <v>#REF!</v>
      </c>
      <c r="Q143" s="806"/>
      <c r="R143" s="632"/>
      <c r="AB143" s="632"/>
    </row>
    <row r="144" spans="2:28" ht="16.5" customHeight="1" outlineLevel="3">
      <c r="B144" s="776" t="s">
        <v>762</v>
      </c>
      <c r="C144" s="782" t="s">
        <v>39</v>
      </c>
      <c r="D144" s="815" t="s">
        <v>806</v>
      </c>
      <c r="E144" s="648" t="s">
        <v>1329</v>
      </c>
      <c r="F144" s="665" t="s">
        <v>804</v>
      </c>
      <c r="G144" s="813">
        <v>26.6</v>
      </c>
      <c r="H144" s="805" t="s">
        <v>117</v>
      </c>
      <c r="I144" s="672">
        <f>($J$2-1)*$I$2</f>
        <v>0</v>
      </c>
      <c r="J144" s="681"/>
      <c r="K144" s="778">
        <f>J144/(1+L144)</f>
        <v>0</v>
      </c>
      <c r="L144" s="569">
        <v>0.17</v>
      </c>
      <c r="M144" s="779">
        <f t="shared" si="27"/>
        <v>0</v>
      </c>
      <c r="N144" s="779">
        <f t="shared" si="28"/>
        <v>0</v>
      </c>
      <c r="O144" s="779">
        <f t="shared" si="29"/>
        <v>0</v>
      </c>
      <c r="P144" s="780" t="e">
        <f t="shared" si="23"/>
        <v>#REF!</v>
      </c>
      <c r="Q144" s="806"/>
      <c r="R144" s="632"/>
      <c r="AB144" s="632"/>
    </row>
    <row r="145" spans="1:28" ht="16.5" customHeight="1" outlineLevel="2">
      <c r="B145" s="776" t="s">
        <v>763</v>
      </c>
      <c r="C145" s="777" t="s">
        <v>91</v>
      </c>
      <c r="D145" s="804" t="s">
        <v>807</v>
      </c>
      <c r="E145" s="648" t="s">
        <v>1617</v>
      </c>
      <c r="F145" s="648"/>
      <c r="G145" s="787"/>
      <c r="H145" s="787"/>
      <c r="I145" s="672"/>
      <c r="J145" s="681"/>
      <c r="K145" s="681"/>
      <c r="L145" s="569">
        <v>0.11</v>
      </c>
      <c r="M145" s="779">
        <f t="shared" si="27"/>
        <v>0</v>
      </c>
      <c r="N145" s="779">
        <f t="shared" si="28"/>
        <v>0</v>
      </c>
      <c r="O145" s="779">
        <f t="shared" si="29"/>
        <v>0</v>
      </c>
      <c r="P145" s="780" t="e">
        <f t="shared" si="23"/>
        <v>#REF!</v>
      </c>
      <c r="Q145" s="781"/>
      <c r="R145" s="632"/>
      <c r="AB145" s="632"/>
    </row>
    <row r="146" spans="1:28" ht="16.5" customHeight="1" outlineLevel="2">
      <c r="B146" s="776" t="s">
        <v>764</v>
      </c>
      <c r="C146" s="777" t="s">
        <v>73</v>
      </c>
      <c r="D146" s="804" t="s">
        <v>808</v>
      </c>
      <c r="E146" s="648" t="s">
        <v>1617</v>
      </c>
      <c r="F146" s="648"/>
      <c r="G146" s="787"/>
      <c r="H146" s="787"/>
      <c r="I146" s="672"/>
      <c r="J146" s="681"/>
      <c r="K146" s="681"/>
      <c r="L146" s="569">
        <v>0.11</v>
      </c>
      <c r="M146" s="779">
        <f t="shared" si="27"/>
        <v>0</v>
      </c>
      <c r="N146" s="779">
        <f t="shared" si="28"/>
        <v>0</v>
      </c>
      <c r="O146" s="779">
        <f t="shared" si="29"/>
        <v>0</v>
      </c>
      <c r="P146" s="780" t="e">
        <f t="shared" si="23"/>
        <v>#REF!</v>
      </c>
      <c r="Q146" s="781"/>
      <c r="R146" s="632"/>
      <c r="AB146" s="632"/>
    </row>
    <row r="147" spans="1:28" ht="16.5" customHeight="1" outlineLevel="2">
      <c r="B147" s="776" t="s">
        <v>765</v>
      </c>
      <c r="C147" s="777" t="s">
        <v>74</v>
      </c>
      <c r="D147" s="804" t="s">
        <v>809</v>
      </c>
      <c r="E147" s="648" t="s">
        <v>1617</v>
      </c>
      <c r="F147" s="648"/>
      <c r="G147" s="787"/>
      <c r="H147" s="787"/>
      <c r="I147" s="672"/>
      <c r="J147" s="681"/>
      <c r="K147" s="681"/>
      <c r="L147" s="569">
        <v>0.11</v>
      </c>
      <c r="M147" s="779">
        <f t="shared" si="27"/>
        <v>0</v>
      </c>
      <c r="N147" s="779">
        <f t="shared" si="28"/>
        <v>0</v>
      </c>
      <c r="O147" s="779">
        <f t="shared" si="29"/>
        <v>0</v>
      </c>
      <c r="P147" s="780" t="e">
        <f t="shared" si="23"/>
        <v>#REF!</v>
      </c>
      <c r="Q147" s="781"/>
      <c r="R147" s="632"/>
      <c r="AB147" s="632"/>
    </row>
    <row r="148" spans="1:28" ht="16.5" customHeight="1" outlineLevel="2">
      <c r="B148" s="776" t="s">
        <v>810</v>
      </c>
      <c r="C148" s="777" t="s">
        <v>75</v>
      </c>
      <c r="D148" s="804" t="s">
        <v>811</v>
      </c>
      <c r="E148" s="648" t="s">
        <v>1329</v>
      </c>
      <c r="F148" s="648"/>
      <c r="G148" s="787"/>
      <c r="H148" s="787"/>
      <c r="I148" s="672"/>
      <c r="J148" s="681"/>
      <c r="K148" s="681"/>
      <c r="L148" s="569">
        <v>0.11</v>
      </c>
      <c r="M148" s="779">
        <f t="shared" si="27"/>
        <v>0</v>
      </c>
      <c r="N148" s="779">
        <f t="shared" si="28"/>
        <v>0</v>
      </c>
      <c r="O148" s="779">
        <f t="shared" si="29"/>
        <v>0</v>
      </c>
      <c r="P148" s="780" t="e">
        <f t="shared" si="23"/>
        <v>#REF!</v>
      </c>
      <c r="Q148" s="781"/>
      <c r="R148" s="632"/>
      <c r="AB148" s="632"/>
    </row>
    <row r="149" spans="1:28" s="633" customFormat="1" ht="16.5"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3"/>
        <v>#REF!</v>
      </c>
      <c r="Q149" s="824"/>
    </row>
    <row r="150" spans="1:28" ht="16.5"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3"/>
        <v>#REF!</v>
      </c>
      <c r="Q150" s="781"/>
      <c r="R150" s="632"/>
      <c r="AB150" s="632"/>
    </row>
    <row r="151" spans="1:28" ht="16.5" customHeight="1" outlineLevel="3">
      <c r="B151" s="776" t="s">
        <v>767</v>
      </c>
      <c r="C151" s="782" t="s">
        <v>39</v>
      </c>
      <c r="D151" s="804" t="s">
        <v>768</v>
      </c>
      <c r="E151" s="665" t="s">
        <v>458</v>
      </c>
      <c r="F151" s="665" t="s">
        <v>41</v>
      </c>
      <c r="G151" s="813">
        <v>1</v>
      </c>
      <c r="H151" s="787" t="s">
        <v>669</v>
      </c>
      <c r="I151" s="672">
        <f t="shared" ref="I151:I156" si="30">$H$2</f>
        <v>0</v>
      </c>
      <c r="J151" s="681"/>
      <c r="K151" s="778">
        <f t="shared" ref="K151:K158" si="31">J151/(1+L151)</f>
        <v>0</v>
      </c>
      <c r="L151" s="569">
        <v>0.11</v>
      </c>
      <c r="M151" s="779">
        <f t="shared" ref="M151:M160" si="32">G151*I151*K151/10000</f>
        <v>0</v>
      </c>
      <c r="N151" s="779">
        <f t="shared" ref="N151:N160" si="33">L151*M151</f>
        <v>0</v>
      </c>
      <c r="O151" s="779">
        <f t="shared" ref="O151:O160" si="34">M151+N151</f>
        <v>0</v>
      </c>
      <c r="P151" s="780" t="e">
        <f t="shared" si="23"/>
        <v>#REF!</v>
      </c>
      <c r="Q151" s="806"/>
      <c r="R151" s="632"/>
      <c r="AB151" s="632"/>
    </row>
    <row r="152" spans="1:28" ht="16.5" customHeight="1" outlineLevel="3">
      <c r="B152" s="776" t="s">
        <v>769</v>
      </c>
      <c r="C152" s="782" t="s">
        <v>39</v>
      </c>
      <c r="D152" s="804" t="s">
        <v>1595</v>
      </c>
      <c r="E152" s="665" t="s">
        <v>1596</v>
      </c>
      <c r="F152" s="665" t="s">
        <v>41</v>
      </c>
      <c r="G152" s="813">
        <v>1</v>
      </c>
      <c r="H152" s="787" t="s">
        <v>669</v>
      </c>
      <c r="I152" s="672">
        <f t="shared" si="30"/>
        <v>0</v>
      </c>
      <c r="J152" s="787">
        <v>500</v>
      </c>
      <c r="K152" s="778">
        <f t="shared" si="31"/>
        <v>450.45045045045043</v>
      </c>
      <c r="L152" s="569">
        <v>0.11</v>
      </c>
      <c r="M152" s="779">
        <f t="shared" si="32"/>
        <v>0</v>
      </c>
      <c r="N152" s="779">
        <f t="shared" si="33"/>
        <v>0</v>
      </c>
      <c r="O152" s="779">
        <f t="shared" si="34"/>
        <v>0</v>
      </c>
      <c r="P152" s="780" t="e">
        <f t="shared" si="23"/>
        <v>#REF!</v>
      </c>
      <c r="Q152" s="806"/>
      <c r="R152" s="632"/>
      <c r="AB152" s="632"/>
    </row>
    <row r="153" spans="1:28" ht="16.5" customHeight="1" outlineLevel="3">
      <c r="B153" s="776" t="s">
        <v>770</v>
      </c>
      <c r="C153" s="782" t="s">
        <v>39</v>
      </c>
      <c r="D153" s="804" t="s">
        <v>771</v>
      </c>
      <c r="E153" s="665" t="s">
        <v>1618</v>
      </c>
      <c r="F153" s="665" t="s">
        <v>41</v>
      </c>
      <c r="G153" s="813">
        <v>1</v>
      </c>
      <c r="H153" s="787" t="s">
        <v>669</v>
      </c>
      <c r="I153" s="672">
        <f t="shared" si="30"/>
        <v>0</v>
      </c>
      <c r="J153" s="787">
        <v>1000</v>
      </c>
      <c r="K153" s="778">
        <f t="shared" si="31"/>
        <v>900.90090090090087</v>
      </c>
      <c r="L153" s="569">
        <v>0.11</v>
      </c>
      <c r="M153" s="779">
        <f t="shared" si="32"/>
        <v>0</v>
      </c>
      <c r="N153" s="779">
        <f t="shared" si="33"/>
        <v>0</v>
      </c>
      <c r="O153" s="779">
        <f t="shared" si="34"/>
        <v>0</v>
      </c>
      <c r="P153" s="780" t="e">
        <f t="shared" si="23"/>
        <v>#REF!</v>
      </c>
      <c r="Q153" s="781"/>
      <c r="R153" s="632"/>
      <c r="AB153" s="632"/>
    </row>
    <row r="154" spans="1:28" ht="16.5" customHeight="1" outlineLevel="3">
      <c r="B154" s="776" t="s">
        <v>772</v>
      </c>
      <c r="C154" s="782" t="s">
        <v>39</v>
      </c>
      <c r="D154" s="804" t="s">
        <v>1619</v>
      </c>
      <c r="E154" s="665" t="s">
        <v>458</v>
      </c>
      <c r="F154" s="665" t="s">
        <v>41</v>
      </c>
      <c r="G154" s="813">
        <v>1</v>
      </c>
      <c r="H154" s="787" t="s">
        <v>669</v>
      </c>
      <c r="I154" s="672">
        <f t="shared" si="30"/>
        <v>0</v>
      </c>
      <c r="J154" s="787"/>
      <c r="K154" s="778">
        <f t="shared" si="31"/>
        <v>0</v>
      </c>
      <c r="L154" s="569">
        <v>0.11</v>
      </c>
      <c r="M154" s="779">
        <f t="shared" si="32"/>
        <v>0</v>
      </c>
      <c r="N154" s="779">
        <f t="shared" si="33"/>
        <v>0</v>
      </c>
      <c r="O154" s="779">
        <f t="shared" si="34"/>
        <v>0</v>
      </c>
      <c r="P154" s="780" t="e">
        <f t="shared" si="23"/>
        <v>#REF!</v>
      </c>
      <c r="Q154" s="781"/>
      <c r="R154" s="632"/>
      <c r="AB154" s="632"/>
    </row>
    <row r="155" spans="1:28" ht="16.5" customHeight="1" outlineLevel="3">
      <c r="B155" s="776" t="s">
        <v>773</v>
      </c>
      <c r="C155" s="782" t="s">
        <v>39</v>
      </c>
      <c r="D155" s="804" t="s">
        <v>1597</v>
      </c>
      <c r="E155" s="665" t="s">
        <v>1620</v>
      </c>
      <c r="F155" s="665" t="s">
        <v>41</v>
      </c>
      <c r="G155" s="813">
        <v>1</v>
      </c>
      <c r="H155" s="787" t="s">
        <v>669</v>
      </c>
      <c r="I155" s="672">
        <f t="shared" si="30"/>
        <v>0</v>
      </c>
      <c r="J155" s="787"/>
      <c r="K155" s="778">
        <f t="shared" si="31"/>
        <v>0</v>
      </c>
      <c r="L155" s="569">
        <v>0.17</v>
      </c>
      <c r="M155" s="779">
        <f t="shared" si="32"/>
        <v>0</v>
      </c>
      <c r="N155" s="779">
        <f t="shared" si="33"/>
        <v>0</v>
      </c>
      <c r="O155" s="779">
        <f t="shared" si="34"/>
        <v>0</v>
      </c>
      <c r="P155" s="780" t="e">
        <f t="shared" si="23"/>
        <v>#REF!</v>
      </c>
      <c r="Q155" s="781"/>
      <c r="R155" s="632"/>
      <c r="AB155" s="632"/>
    </row>
    <row r="156" spans="1:28" ht="16.5" customHeight="1" outlineLevel="3">
      <c r="B156" s="776" t="s">
        <v>774</v>
      </c>
      <c r="C156" s="782" t="s">
        <v>39</v>
      </c>
      <c r="D156" s="804" t="s">
        <v>1598</v>
      </c>
      <c r="E156" s="665" t="s">
        <v>458</v>
      </c>
      <c r="F156" s="665" t="s">
        <v>41</v>
      </c>
      <c r="G156" s="813">
        <v>1</v>
      </c>
      <c r="H156" s="787" t="s">
        <v>669</v>
      </c>
      <c r="I156" s="672">
        <f t="shared" si="30"/>
        <v>0</v>
      </c>
      <c r="J156" s="787">
        <v>300</v>
      </c>
      <c r="K156" s="778">
        <f t="shared" si="31"/>
        <v>270.27027027027026</v>
      </c>
      <c r="L156" s="569">
        <v>0.11</v>
      </c>
      <c r="M156" s="779">
        <f t="shared" si="32"/>
        <v>0</v>
      </c>
      <c r="N156" s="779">
        <f t="shared" si="33"/>
        <v>0</v>
      </c>
      <c r="O156" s="779">
        <f t="shared" si="34"/>
        <v>0</v>
      </c>
      <c r="P156" s="780" t="e">
        <f t="shared" si="23"/>
        <v>#REF!</v>
      </c>
      <c r="Q156" s="781"/>
      <c r="R156" s="632"/>
      <c r="AB156" s="632"/>
    </row>
    <row r="157" spans="1:28" ht="16.5"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#REF!</v>
      </c>
      <c r="Q157" s="781"/>
      <c r="R157" s="632"/>
      <c r="AB157" s="632"/>
    </row>
    <row r="158" spans="1:28" ht="16.5" customHeight="1" outlineLevel="3">
      <c r="A158" s="633"/>
      <c r="B158" s="776" t="s">
        <v>813</v>
      </c>
      <c r="C158" s="782" t="s">
        <v>39</v>
      </c>
      <c r="D158" s="804" t="s">
        <v>776</v>
      </c>
      <c r="E158" s="665" t="s">
        <v>458</v>
      </c>
      <c r="F158" s="648"/>
      <c r="G158" s="825">
        <v>1</v>
      </c>
      <c r="H158" s="787"/>
      <c r="I158" s="672"/>
      <c r="J158" s="787"/>
      <c r="K158" s="778">
        <f t="shared" si="31"/>
        <v>0</v>
      </c>
      <c r="L158" s="569"/>
      <c r="M158" s="779">
        <f t="shared" si="32"/>
        <v>0</v>
      </c>
      <c r="N158" s="779">
        <f t="shared" si="33"/>
        <v>0</v>
      </c>
      <c r="O158" s="779">
        <f t="shared" si="34"/>
        <v>0</v>
      </c>
      <c r="P158" s="780" t="e">
        <f t="shared" si="23"/>
        <v>#REF!</v>
      </c>
      <c r="Q158" s="781"/>
      <c r="R158" s="632"/>
      <c r="AB158" s="632"/>
    </row>
    <row r="159" spans="1:28" s="695" customFormat="1" ht="16.5"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#REF!</v>
      </c>
      <c r="Q159" s="781"/>
    </row>
    <row r="160" spans="1:28" s="695" customFormat="1" ht="16.5"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#REF!</v>
      </c>
      <c r="Q160" s="781"/>
    </row>
    <row r="161" spans="2:28" ht="16.5"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3"/>
        <v>#REF!</v>
      </c>
      <c r="Q161" s="775"/>
      <c r="R161" s="632"/>
      <c r="AB161" s="632"/>
    </row>
    <row r="162" spans="2:28" ht="16.5" customHeight="1" outlineLevel="2">
      <c r="B162" s="776" t="s">
        <v>1600</v>
      </c>
      <c r="C162" s="777" t="s">
        <v>36</v>
      </c>
      <c r="D162" s="804" t="s">
        <v>93</v>
      </c>
      <c r="E162" s="665" t="s">
        <v>461</v>
      </c>
      <c r="F162" s="665" t="s">
        <v>41</v>
      </c>
      <c r="G162" s="813">
        <v>1</v>
      </c>
      <c r="H162" s="787" t="s">
        <v>113</v>
      </c>
      <c r="I162" s="672">
        <f>$H$2</f>
        <v>0</v>
      </c>
      <c r="J162" s="787"/>
      <c r="K162" s="778">
        <f>J162/(1+L162)</f>
        <v>0</v>
      </c>
      <c r="L162" s="569">
        <v>0.17</v>
      </c>
      <c r="M162" s="779">
        <f t="shared" ref="M162:M167" si="35">G162*I162*K162/10000</f>
        <v>0</v>
      </c>
      <c r="N162" s="779">
        <f>L162*M162</f>
        <v>0</v>
      </c>
      <c r="O162" s="779">
        <f>M162+N162</f>
        <v>0</v>
      </c>
      <c r="P162" s="780" t="e">
        <f t="shared" si="23"/>
        <v>#REF!</v>
      </c>
      <c r="Q162" s="781"/>
      <c r="R162" s="632"/>
      <c r="AB162" s="632"/>
    </row>
    <row r="163" spans="2:28" ht="16.5" customHeight="1" outlineLevel="2">
      <c r="B163" s="776" t="s">
        <v>1601</v>
      </c>
      <c r="C163" s="777" t="s">
        <v>68</v>
      </c>
      <c r="D163" s="804" t="s">
        <v>94</v>
      </c>
      <c r="E163" s="648" t="s">
        <v>1602</v>
      </c>
      <c r="F163" s="665" t="s">
        <v>41</v>
      </c>
      <c r="G163" s="813">
        <v>0.7</v>
      </c>
      <c r="H163" s="787" t="s">
        <v>113</v>
      </c>
      <c r="I163" s="672">
        <f>$H$2</f>
        <v>0</v>
      </c>
      <c r="J163" s="681"/>
      <c r="K163" s="778">
        <f>J163/(1+L163)</f>
        <v>0</v>
      </c>
      <c r="L163" s="569">
        <f>17%*0.7+11%*0.3</f>
        <v>0.152</v>
      </c>
      <c r="M163" s="779">
        <f t="shared" si="35"/>
        <v>0</v>
      </c>
      <c r="N163" s="779">
        <f>L163*M163</f>
        <v>0</v>
      </c>
      <c r="O163" s="779">
        <f>M163+N163</f>
        <v>0</v>
      </c>
      <c r="P163" s="780" t="e">
        <f t="shared" si="23"/>
        <v>#REF!</v>
      </c>
      <c r="Q163" s="781"/>
      <c r="R163" s="632"/>
      <c r="AB163" s="632"/>
    </row>
    <row r="164" spans="2:28" ht="16.5" customHeight="1" outlineLevel="2">
      <c r="B164" s="776" t="s">
        <v>779</v>
      </c>
      <c r="C164" s="777" t="s">
        <v>69</v>
      </c>
      <c r="D164" s="804" t="s">
        <v>95</v>
      </c>
      <c r="E164" s="648" t="s">
        <v>1621</v>
      </c>
      <c r="F164" s="648"/>
      <c r="G164" s="787">
        <v>0.3</v>
      </c>
      <c r="H164" s="787"/>
      <c r="I164" s="672"/>
      <c r="J164" s="681"/>
      <c r="K164" s="681"/>
      <c r="L164" s="569"/>
      <c r="M164" s="779">
        <f t="shared" si="35"/>
        <v>0</v>
      </c>
      <c r="N164" s="779"/>
      <c r="O164" s="779"/>
      <c r="P164" s="780" t="str">
        <f>IF(O164="","",O164*10000/E$2)</f>
        <v/>
      </c>
      <c r="Q164" s="781"/>
      <c r="R164" s="632"/>
      <c r="AB164" s="632"/>
    </row>
    <row r="165" spans="2:28" ht="16.5" customHeight="1" outlineLevel="2">
      <c r="B165" s="776" t="s">
        <v>780</v>
      </c>
      <c r="C165" s="777" t="s">
        <v>70</v>
      </c>
      <c r="D165" s="804" t="s">
        <v>96</v>
      </c>
      <c r="E165" s="648" t="s">
        <v>1621</v>
      </c>
      <c r="F165" s="648"/>
      <c r="G165" s="787"/>
      <c r="H165" s="787"/>
      <c r="I165" s="672"/>
      <c r="J165" s="681"/>
      <c r="K165" s="681"/>
      <c r="L165" s="569"/>
      <c r="M165" s="779">
        <f t="shared" si="35"/>
        <v>0</v>
      </c>
      <c r="N165" s="779"/>
      <c r="O165" s="779"/>
      <c r="P165" s="780" t="str">
        <f>IF(O165="","",O165*10000/E$2)</f>
        <v/>
      </c>
      <c r="Q165" s="781"/>
      <c r="R165" s="632"/>
      <c r="AB165" s="632"/>
    </row>
    <row r="166" spans="2:28" ht="16.5" customHeight="1" outlineLevel="2">
      <c r="B166" s="776" t="s">
        <v>781</v>
      </c>
      <c r="C166" s="777" t="s">
        <v>71</v>
      </c>
      <c r="D166" s="804" t="s">
        <v>98</v>
      </c>
      <c r="E166" s="648" t="s">
        <v>1621</v>
      </c>
      <c r="F166" s="648"/>
      <c r="G166" s="787"/>
      <c r="H166" s="787"/>
      <c r="I166" s="672"/>
      <c r="J166" s="681"/>
      <c r="K166" s="681"/>
      <c r="L166" s="569"/>
      <c r="M166" s="779">
        <f t="shared" si="35"/>
        <v>0</v>
      </c>
      <c r="N166" s="779"/>
      <c r="O166" s="779"/>
      <c r="P166" s="780" t="str">
        <f>IF(O166="","",O166*10000/E$2)</f>
        <v/>
      </c>
      <c r="Q166" s="781"/>
      <c r="R166" s="632"/>
      <c r="AB166" s="632"/>
    </row>
    <row r="167" spans="2:28" ht="16.5" customHeight="1" outlineLevel="2">
      <c r="B167" s="776" t="s">
        <v>782</v>
      </c>
      <c r="C167" s="777" t="s">
        <v>144</v>
      </c>
      <c r="D167" s="804" t="s">
        <v>816</v>
      </c>
      <c r="E167" s="648" t="s">
        <v>1621</v>
      </c>
      <c r="F167" s="648"/>
      <c r="G167" s="787"/>
      <c r="H167" s="787"/>
      <c r="I167" s="672"/>
      <c r="J167" s="681"/>
      <c r="K167" s="681"/>
      <c r="L167" s="569"/>
      <c r="M167" s="779">
        <f t="shared" si="35"/>
        <v>0</v>
      </c>
      <c r="N167" s="779"/>
      <c r="O167" s="779"/>
      <c r="P167" s="780" t="str">
        <f>IF(O167="","",O167*10000/E$2)</f>
        <v/>
      </c>
      <c r="Q167" s="781"/>
      <c r="R167" s="632"/>
      <c r="AB167" s="632"/>
    </row>
    <row r="168" spans="2:28" ht="24" customHeight="1">
      <c r="C168" s="632"/>
      <c r="E168" s="632"/>
      <c r="F168" s="632"/>
      <c r="G168" s="632"/>
      <c r="H168" s="632"/>
      <c r="I168" s="632"/>
      <c r="J168" s="829"/>
      <c r="L168" s="748" t="s">
        <v>24</v>
      </c>
      <c r="M168" s="829" t="s">
        <v>2049</v>
      </c>
      <c r="N168" s="829" t="s">
        <v>2048</v>
      </c>
      <c r="O168" s="829"/>
      <c r="AA168" s="831">
        <f>SUM(AA4:AA68)</f>
        <v>0</v>
      </c>
      <c r="AB168" s="632"/>
    </row>
    <row r="169" spans="2:28" ht="24" customHeight="1">
      <c r="J169" s="750"/>
      <c r="K169" s="748" t="s">
        <v>2047</v>
      </c>
      <c r="L169" s="830" t="s">
        <v>2045</v>
      </c>
      <c r="M169" s="750" t="e">
        <f>O4+O69+O88</f>
        <v>#REF!</v>
      </c>
      <c r="N169" s="750" t="e">
        <f>+O4+O88</f>
        <v>#REF!</v>
      </c>
    </row>
    <row r="170" spans="2:28" ht="24" customHeight="1">
      <c r="L170" s="748" t="s">
        <v>2044</v>
      </c>
      <c r="M170" s="750" t="e">
        <f>M169/$E$2*10000</f>
        <v>#REF!</v>
      </c>
      <c r="N170" s="832" t="e">
        <f>N169/$E$2*10000</f>
        <v>#REF!</v>
      </c>
    </row>
    <row r="171" spans="2:28" ht="24" customHeight="1">
      <c r="K171" s="748" t="s">
        <v>2046</v>
      </c>
      <c r="L171" s="830" t="s">
        <v>2045</v>
      </c>
      <c r="M171" s="750" t="e">
        <f>+M4+M69+M88</f>
        <v>#REF!</v>
      </c>
      <c r="N171" s="750" t="e">
        <f>+M4+M88</f>
        <v>#REF!</v>
      </c>
    </row>
    <row r="172" spans="2:28" ht="24" customHeight="1">
      <c r="L172" s="748" t="s">
        <v>2044</v>
      </c>
      <c r="M172" s="750" t="e">
        <f>M171/$E$2*10000</f>
        <v>#REF!</v>
      </c>
      <c r="N172" s="750" t="e">
        <f>N171/$E$2*10000</f>
        <v>#REF!</v>
      </c>
    </row>
  </sheetData>
  <autoFilter ref="A3:AC68"/>
  <phoneticPr fontId="19" type="noConversion"/>
  <conditionalFormatting sqref="I35">
    <cfRule type="cellIs" priority="147" operator="equal">
      <formula>0</formula>
    </cfRule>
    <cfRule type="cellIs" dxfId="289" priority="148" operator="equal">
      <formula>0</formula>
    </cfRule>
  </conditionalFormatting>
  <conditionalFormatting sqref="B149:C149">
    <cfRule type="duplicateValues" dxfId="288" priority="108"/>
  </conditionalFormatting>
  <conditionalFormatting sqref="B161:C161">
    <cfRule type="duplicateValues" dxfId="287" priority="107"/>
  </conditionalFormatting>
  <conditionalFormatting sqref="B89:C89">
    <cfRule type="duplicateValues" dxfId="286" priority="110"/>
  </conditionalFormatting>
  <conditionalFormatting sqref="B86:C87">
    <cfRule type="duplicateValues" dxfId="285" priority="112"/>
  </conditionalFormatting>
  <conditionalFormatting sqref="D168:D65536 D9 D1:D5 D36">
    <cfRule type="duplicateValues" dxfId="284" priority="192"/>
  </conditionalFormatting>
  <conditionalFormatting sqref="B82:C82">
    <cfRule type="duplicateValues" dxfId="283" priority="113"/>
  </conditionalFormatting>
  <conditionalFormatting sqref="I168:I65536">
    <cfRule type="cellIs" dxfId="282" priority="191" operator="equal">
      <formula>0</formula>
    </cfRule>
  </conditionalFormatting>
  <conditionalFormatting sqref="B88:C88">
    <cfRule type="duplicateValues" dxfId="281" priority="111"/>
  </conditionalFormatting>
  <conditionalFormatting sqref="I19 I4:I10">
    <cfRule type="cellIs" dxfId="280" priority="186" operator="equal">
      <formula>0</formula>
    </cfRule>
  </conditionalFormatting>
  <conditionalFormatting sqref="D37:D68">
    <cfRule type="duplicateValues" dxfId="279" priority="194"/>
  </conditionalFormatting>
  <conditionalFormatting sqref="B5:C5">
    <cfRule type="duplicateValues" dxfId="278" priority="189"/>
  </conditionalFormatting>
  <conditionalFormatting sqref="B70:C70">
    <cfRule type="duplicateValues" dxfId="277" priority="114"/>
  </conditionalFormatting>
  <conditionalFormatting sqref="B4:C4">
    <cfRule type="duplicateValues" dxfId="276" priority="190"/>
  </conditionalFormatting>
  <conditionalFormatting sqref="D6:D8">
    <cfRule type="duplicateValues" dxfId="275" priority="193"/>
  </conditionalFormatting>
  <conditionalFormatting sqref="B129:C129">
    <cfRule type="duplicateValues" dxfId="274" priority="109"/>
  </conditionalFormatting>
  <conditionalFormatting sqref="B36:C36">
    <cfRule type="duplicateValues" dxfId="273" priority="188"/>
  </conditionalFormatting>
  <conditionalFormatting sqref="B69:C69">
    <cfRule type="duplicateValues" dxfId="272" priority="115"/>
  </conditionalFormatting>
  <conditionalFormatting sqref="D10:D35">
    <cfRule type="duplicateValues" dxfId="271" priority="187"/>
  </conditionalFormatting>
  <conditionalFormatting sqref="D69:D167">
    <cfRule type="duplicateValues" dxfId="270" priority="118"/>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6"/>
  <sheetViews>
    <sheetView workbookViewId="0">
      <pane xSplit="1" ySplit="2" topLeftCell="B3" activePane="bottomRight" state="frozen"/>
      <selection pane="topRight"/>
      <selection pane="bottomLeft"/>
      <selection pane="bottomRight" activeCell="AS20" sqref="AS20"/>
    </sheetView>
  </sheetViews>
  <sheetFormatPr defaultColWidth="9" defaultRowHeight="15.5"/>
  <cols>
    <col min="1" max="1" width="17.08203125" style="288" customWidth="1"/>
    <col min="2" max="3" width="13.33203125" style="288" customWidth="1"/>
    <col min="4" max="8" width="14.08203125" style="288" customWidth="1"/>
    <col min="9" max="9" width="6.33203125" style="288" customWidth="1"/>
    <col min="10" max="10" width="13" style="288" customWidth="1"/>
    <col min="11" max="11" width="14.1640625" style="288" customWidth="1"/>
    <col min="12" max="12" width="13.58203125" style="288" customWidth="1"/>
    <col min="13" max="16" width="14.1640625" style="288" customWidth="1"/>
    <col min="17" max="17" width="12.33203125" style="288" customWidth="1"/>
    <col min="18" max="18" width="11.6640625" style="288" customWidth="1"/>
    <col min="19" max="21" width="11.58203125" style="288" customWidth="1"/>
    <col min="22" max="256" width="9" style="288" customWidth="1"/>
  </cols>
  <sheetData>
    <row r="1" spans="1:18">
      <c r="A1" s="289"/>
      <c r="B1" s="290" t="s">
        <v>977</v>
      </c>
      <c r="C1" s="290" t="s">
        <v>976</v>
      </c>
      <c r="D1" s="290" t="s">
        <v>977</v>
      </c>
      <c r="E1" s="290" t="s">
        <v>977</v>
      </c>
      <c r="F1" s="290" t="s">
        <v>978</v>
      </c>
      <c r="G1" s="290" t="s">
        <v>8</v>
      </c>
      <c r="H1" s="290" t="s">
        <v>8</v>
      </c>
      <c r="I1" s="291"/>
      <c r="J1" s="290" t="s">
        <v>979</v>
      </c>
      <c r="K1" s="290" t="s">
        <v>979</v>
      </c>
      <c r="L1" s="290" t="s">
        <v>979</v>
      </c>
      <c r="M1" s="290" t="s">
        <v>979</v>
      </c>
      <c r="N1" s="290" t="s">
        <v>138</v>
      </c>
      <c r="O1" s="290" t="s">
        <v>979</v>
      </c>
      <c r="P1" s="290" t="s">
        <v>138</v>
      </c>
      <c r="Q1" s="290" t="s">
        <v>979</v>
      </c>
      <c r="R1" s="2262" t="s">
        <v>980</v>
      </c>
    </row>
    <row r="2" spans="1:18">
      <c r="A2" s="289"/>
      <c r="B2" s="289" t="str">
        <f>'2-成本汇总（本期）'!T4</f>
        <v>地库</v>
      </c>
      <c r="C2" s="289" t="str">
        <f>'2-成本汇总（本期）'!E4</f>
        <v>高层住宅（15F）</v>
      </c>
      <c r="D2" s="289" t="str">
        <f>'2-成本汇总（本期）'!H4</f>
        <v>叠拼（4F）</v>
      </c>
      <c r="E2" s="289" t="str">
        <f>'2-成本汇总（本期）'!K4</f>
        <v>小联排（3F）</v>
      </c>
      <c r="F2" s="289" t="str">
        <f>'2-成本汇总（本期）'!N4</f>
        <v>底层商业（1-2F）</v>
      </c>
      <c r="G2" s="289" t="str">
        <f>'2-成本汇总（本期）'!Q4</f>
        <v>商墅（3-5F）</v>
      </c>
      <c r="H2" s="289" t="str">
        <f>'2-成本汇总（本期）'!W4</f>
        <v>高层公寓(15F)</v>
      </c>
      <c r="I2" s="292"/>
      <c r="J2" s="289" t="str">
        <f>C2</f>
        <v>高层住宅（15F）</v>
      </c>
      <c r="K2" s="289" t="str">
        <f>D2</f>
        <v>叠拼（4F）</v>
      </c>
      <c r="L2" s="289" t="str">
        <f>E2</f>
        <v>小联排（3F）</v>
      </c>
      <c r="M2" s="289" t="str">
        <f>F2</f>
        <v>底层商业（1-2F）</v>
      </c>
      <c r="N2" s="289" t="str">
        <f>G2</f>
        <v>商墅（3-5F）</v>
      </c>
      <c r="O2" s="289" t="str">
        <f>B2</f>
        <v>地库</v>
      </c>
      <c r="P2" s="289" t="str">
        <f>H2</f>
        <v>高层公寓(15F)</v>
      </c>
      <c r="Q2" s="290" t="s">
        <v>981</v>
      </c>
      <c r="R2" s="2263"/>
    </row>
    <row r="3" spans="1:18">
      <c r="A3" s="289"/>
      <c r="B3" s="290" t="s">
        <v>982</v>
      </c>
      <c r="C3" s="290" t="s">
        <v>982</v>
      </c>
      <c r="D3" s="290" t="s">
        <v>982</v>
      </c>
      <c r="E3" s="290" t="s">
        <v>982</v>
      </c>
      <c r="F3" s="290" t="s">
        <v>982</v>
      </c>
      <c r="G3" s="290" t="s">
        <v>982</v>
      </c>
      <c r="H3" s="290" t="s">
        <v>982</v>
      </c>
      <c r="I3" s="291"/>
      <c r="J3" s="290" t="s">
        <v>982</v>
      </c>
      <c r="K3" s="290" t="s">
        <v>982</v>
      </c>
      <c r="L3" s="290" t="s">
        <v>982</v>
      </c>
      <c r="M3" s="290" t="s">
        <v>982</v>
      </c>
      <c r="N3" s="290" t="s">
        <v>982</v>
      </c>
      <c r="O3" s="290" t="s">
        <v>982</v>
      </c>
      <c r="P3" s="290" t="s">
        <v>982</v>
      </c>
      <c r="Q3" s="290" t="s">
        <v>982</v>
      </c>
      <c r="R3" s="839"/>
    </row>
    <row r="4" spans="1:18">
      <c r="A4" s="294" t="s">
        <v>983</v>
      </c>
      <c r="B4" s="295">
        <f>'2-成本汇总（本期）'!AV7</f>
        <v>0</v>
      </c>
      <c r="C4" s="295">
        <f>'2-成本汇总（本期）'!AG7</f>
        <v>0</v>
      </c>
      <c r="D4" s="295">
        <f>'2-成本汇总（本期）'!AJ7</f>
        <v>0</v>
      </c>
      <c r="E4" s="295">
        <f>'2-成本汇总（本期）'!AM7</f>
        <v>0</v>
      </c>
      <c r="F4" s="295">
        <f>'2-成本汇总（本期）'!AP7</f>
        <v>0</v>
      </c>
      <c r="G4" s="295">
        <f>'2-成本汇总（本期）'!AT7</f>
        <v>0</v>
      </c>
      <c r="H4" s="295">
        <f>'2-成本汇总（本期）'!AY7</f>
        <v>0</v>
      </c>
      <c r="I4" s="296"/>
      <c r="J4" s="295">
        <f>C4</f>
        <v>0</v>
      </c>
      <c r="K4" s="295">
        <f>D4</f>
        <v>0</v>
      </c>
      <c r="L4" s="295">
        <f>E4</f>
        <v>0</v>
      </c>
      <c r="M4" s="295">
        <f>F4</f>
        <v>0</v>
      </c>
      <c r="N4" s="295">
        <f>G4</f>
        <v>0</v>
      </c>
      <c r="O4" s="295">
        <f>B4</f>
        <v>0</v>
      </c>
      <c r="P4" s="295">
        <f>H4</f>
        <v>0</v>
      </c>
      <c r="Q4" s="295">
        <f>SUM(J4:P4)</f>
        <v>0</v>
      </c>
      <c r="R4" s="294" t="s">
        <v>984</v>
      </c>
    </row>
    <row r="5" spans="1:18">
      <c r="A5" s="297" t="str">
        <f>'2-成本汇总（本期）'!D9</f>
        <v>土地及政府规费</v>
      </c>
      <c r="B5" s="298">
        <f>SUMIF('2-成本汇总（本期）'!$D$9:$D$42,$A5,'2-成本汇总（本期）'!$U$9:$U$42)</f>
        <v>0</v>
      </c>
      <c r="C5" s="298">
        <f>SUMIF('2-成本汇总（本期）'!$D$9:$D$42,$A5,'2-成本汇总（本期）'!$F$9:$F$42)</f>
        <v>0</v>
      </c>
      <c r="D5" s="298">
        <f>SUMIF('2-成本汇总（本期）'!$D$9:$D$42,$A5,'2-成本汇总（本期）'!$I$9:$I$42)</f>
        <v>0</v>
      </c>
      <c r="E5" s="298">
        <f>SUMIF('2-成本汇总（本期）'!$D$9:$D$42,$A5,'2-成本汇总（本期）'!$L$9:$L$42)</f>
        <v>0</v>
      </c>
      <c r="F5" s="298">
        <f>SUMIF('2-成本汇总（本期）'!$D$9:$D$42,$A5,'2-成本汇总（本期）'!$O$9:$O$42)</f>
        <v>0</v>
      </c>
      <c r="G5" s="298">
        <f>SUMIF('2-成本汇总（本期）'!$D$9:$D$42,$A5,'2-成本汇总（本期）'!$R$9:$R$42)</f>
        <v>0</v>
      </c>
      <c r="H5" s="298">
        <f>SUMIF('2-成本汇总（本期）'!$D$9:$D$42,$A5,'2-成本汇总（本期）'!$X$9:$X$42)</f>
        <v>0</v>
      </c>
      <c r="I5" s="296"/>
      <c r="J5" s="298">
        <f>SUMIF('2-成本汇总（本期）'!$D$9:$D$42,$A5,'2-成本汇总（本期）'!$AH$9:$AH$42)</f>
        <v>0</v>
      </c>
      <c r="K5" s="298">
        <f>SUMIF('2-成本汇总（本期）'!$D$9:$D$42,$A5,'2-成本汇总（本期）'!$AK$9:$AK$42)</f>
        <v>0</v>
      </c>
      <c r="L5" s="298">
        <f>SUMIF('2-成本汇总（本期）'!$D$9:$D$42,$A5,'2-成本汇总（本期）'!$AN$9:$AN$42)</f>
        <v>0</v>
      </c>
      <c r="M5" s="298">
        <f>SUMIF('2-成本汇总（本期）'!$D$9:$D$42,$A5,'2-成本汇总（本期）'!$AQ$9:$AQ$42)</f>
        <v>0</v>
      </c>
      <c r="N5" s="298">
        <f>SUMIF('2-成本汇总（本期）'!$D$9:$D$42,$A5,'2-成本汇总（本期）'!$AT$9:$AT$42)</f>
        <v>0</v>
      </c>
      <c r="O5" s="298">
        <f>SUMIF('2-成本汇总（本期）'!$D$9:$D$42,$A5,'2-成本汇总（本期）'!$AW$9:$AW$42)</f>
        <v>0</v>
      </c>
      <c r="P5" s="298">
        <f>SUMIF('2-成本汇总（本期）'!$D$9:$D$42,$A5,'2-成本汇总（本期）'!$AZ$9:$AZ$42)</f>
        <v>0</v>
      </c>
      <c r="Q5" s="298">
        <f>SUM(J5:P5)</f>
        <v>0</v>
      </c>
      <c r="R5" s="298"/>
    </row>
    <row r="6" spans="1:18">
      <c r="A6" s="294" t="str">
        <f>'2-成本汇总（本期）'!D13</f>
        <v>配套及地下室工程费</v>
      </c>
      <c r="B6" s="295">
        <f>SUMIF('2-成本汇总（本期）'!$D$9:$D$42,$A6,'2-成本汇总（本期）'!$U$9:$U$42)</f>
        <v>0</v>
      </c>
      <c r="C6" s="295">
        <f>SUMIF('2-成本汇总（本期）'!$D$9:$D$42,$A6,'2-成本汇总（本期）'!$F$9:$F$42)</f>
        <v>0</v>
      </c>
      <c r="D6" s="295">
        <f>SUMIF('2-成本汇总（本期）'!$D$9:$D$42,$A6,'2-成本汇总（本期）'!$I$9:$I$42)</f>
        <v>0</v>
      </c>
      <c r="E6" s="295">
        <f>SUMIF('2-成本汇总（本期）'!$D$9:$D$42,$A6,'2-成本汇总（本期）'!$L$9:$L$42)</f>
        <v>0</v>
      </c>
      <c r="F6" s="295">
        <f>SUMIF('2-成本汇总（本期）'!$D$9:$D$42,$A6,'2-成本汇总（本期）'!$O$9:$O$42)</f>
        <v>0</v>
      </c>
      <c r="G6" s="295">
        <f>SUMIF('2-成本汇总（本期）'!$D$9:$D$42,$A6,'2-成本汇总（本期）'!$R$9:$R$42)</f>
        <v>0</v>
      </c>
      <c r="H6" s="295">
        <f>SUMIF('2-成本汇总（本期）'!$D$9:$D$42,$A6,'2-成本汇总（本期）'!$X$9:$X$42)</f>
        <v>0</v>
      </c>
      <c r="I6" s="296"/>
      <c r="J6" s="299">
        <f>SUMIF('2-成本汇总（本期）'!$D$9:$D$42,$A6,'2-成本汇总（本期）'!$AH$9:$AH$42)</f>
        <v>0</v>
      </c>
      <c r="K6" s="299">
        <f>SUMIF('2-成本汇总（本期）'!$D$9:$D$42,$A6,'2-成本汇总（本期）'!$AK$9:$AK$42)</f>
        <v>0</v>
      </c>
      <c r="L6" s="299">
        <f>SUMIF('2-成本汇总（本期）'!$D$9:$D$42,$A6,'2-成本汇总（本期）'!$AN$9:$AN$42)</f>
        <v>0</v>
      </c>
      <c r="M6" s="299">
        <f>SUMIF('2-成本汇总（本期）'!$D$9:$D$42,$A6,'2-成本汇总（本期）'!$AQ$9:$AQ$42)</f>
        <v>0</v>
      </c>
      <c r="N6" s="299">
        <f>SUMIF('2-成本汇总（本期）'!$D$9:$D$42,$A6,'2-成本汇总（本期）'!$AT$9:$AT$42)</f>
        <v>0</v>
      </c>
      <c r="O6" s="299">
        <f>SUMIF('2-成本汇总（本期）'!$D$9:$D$42,$A6,'2-成本汇总（本期）'!$AW$9:$AW$42)</f>
        <v>0</v>
      </c>
      <c r="P6" s="299">
        <f>SUMIF('2-成本汇总（本期）'!$D$9:$D$42,$A6,'2-成本汇总（本期）'!$AZ$9:$AZ$42)</f>
        <v>0</v>
      </c>
      <c r="Q6" s="295">
        <f>SUM(J6:P6)</f>
        <v>0</v>
      </c>
      <c r="R6" s="295"/>
    </row>
    <row r="7" spans="1:18">
      <c r="A7" s="294" t="str">
        <f>'2-成本汇总（本期）'!D18</f>
        <v>基建及管网工程费</v>
      </c>
      <c r="B7" s="295">
        <f>SUMIF('2-成本汇总（本期）'!$D$9:$D$42,$A7,'2-成本汇总（本期）'!$U$9:$U$42)</f>
        <v>0</v>
      </c>
      <c r="C7" s="295">
        <f>SUMIF('2-成本汇总（本期）'!$D$9:$D$42,$A7,'2-成本汇总（本期）'!$F$9:$F$42)</f>
        <v>0</v>
      </c>
      <c r="D7" s="295">
        <f>SUMIF('2-成本汇总（本期）'!$D$9:$D$42,$A7,'2-成本汇总（本期）'!$I$9:$I$42)</f>
        <v>0</v>
      </c>
      <c r="E7" s="295">
        <f>SUMIF('2-成本汇总（本期）'!$D$9:$D$42,$A7,'2-成本汇总（本期）'!$L$9:$L$42)</f>
        <v>0</v>
      </c>
      <c r="F7" s="295">
        <f>SUMIF('2-成本汇总（本期）'!$D$9:$D$42,$A7,'2-成本汇总（本期）'!$O$9:$O$42)</f>
        <v>0</v>
      </c>
      <c r="G7" s="295">
        <f>SUMIF('2-成本汇总（本期）'!$D$9:$D$42,$A7,'2-成本汇总（本期）'!$R$9:$R$42)</f>
        <v>0</v>
      </c>
      <c r="H7" s="295">
        <f>SUMIF('2-成本汇总（本期）'!$D$9:$D$42,$A7,'2-成本汇总（本期）'!$X$9:$X$42)</f>
        <v>0</v>
      </c>
      <c r="I7" s="296"/>
      <c r="J7" s="299">
        <f>SUMIF('2-成本汇总（本期）'!$D$9:$D$42,$A7,'2-成本汇总（本期）'!$AH$9:$AH$42)</f>
        <v>0</v>
      </c>
      <c r="K7" s="299">
        <f>SUMIF('2-成本汇总（本期）'!$D$9:$D$42,$A7,'2-成本汇总（本期）'!$AK$9:$AK$42)</f>
        <v>0</v>
      </c>
      <c r="L7" s="299">
        <f>SUMIF('2-成本汇总（本期）'!$D$9:$D$42,$A7,'2-成本汇总（本期）'!$AN$9:$AN$42)</f>
        <v>0</v>
      </c>
      <c r="M7" s="299">
        <f>SUMIF('2-成本汇总（本期）'!$D$9:$D$42,$A7,'2-成本汇总（本期）'!$AQ$9:$AQ$42)</f>
        <v>0</v>
      </c>
      <c r="N7" s="299">
        <f>SUMIF('2-成本汇总（本期）'!$D$9:$D$42,$A7,'2-成本汇总（本期）'!$AT$9:$AT$42)</f>
        <v>0</v>
      </c>
      <c r="O7" s="299">
        <f>SUMIF('2-成本汇总（本期）'!$D$9:$D$42,$A7,'2-成本汇总（本期）'!$AW$9:$AW$42)</f>
        <v>0</v>
      </c>
      <c r="P7" s="299">
        <f>SUMIF('2-成本汇总（本期）'!$D$9:$D$42,$A7,'2-成本汇总（本期）'!$AZ$9:$AZ$42)</f>
        <v>0</v>
      </c>
      <c r="Q7" s="295">
        <f t="shared" ref="Q7:Q14" si="0">SUM(J7:P7)</f>
        <v>0</v>
      </c>
      <c r="R7" s="295"/>
    </row>
    <row r="8" spans="1:18">
      <c r="A8" s="294" t="str">
        <f>'2-成本汇总（本期）'!D25</f>
        <v>装饰及环保工程费</v>
      </c>
      <c r="B8" s="295">
        <f>SUMIF('2-成本汇总（本期）'!$D$9:$D$42,$A8,'2-成本汇总（本期）'!$U$9:$U$42)</f>
        <v>0</v>
      </c>
      <c r="C8" s="295">
        <f>SUMIF('2-成本汇总（本期）'!$D$9:$D$42,$A8,'2-成本汇总（本期）'!$F$9:$F$42)</f>
        <v>0</v>
      </c>
      <c r="D8" s="295">
        <f>SUMIF('2-成本汇总（本期）'!$D$9:$D$42,$A8,'2-成本汇总（本期）'!$I$9:$I$42)</f>
        <v>0</v>
      </c>
      <c r="E8" s="295">
        <f>SUMIF('2-成本汇总（本期）'!$D$9:$D$42,$A8,'2-成本汇总（本期）'!$L$9:$L$42)</f>
        <v>0</v>
      </c>
      <c r="F8" s="295">
        <f>SUMIF('2-成本汇总（本期）'!$D$9:$D$42,$A8,'2-成本汇总（本期）'!$O$9:$O$42)</f>
        <v>0</v>
      </c>
      <c r="G8" s="295">
        <f>SUMIF('2-成本汇总（本期）'!$D$9:$D$42,$A8,'2-成本汇总（本期）'!$R$9:$R$42)</f>
        <v>0</v>
      </c>
      <c r="H8" s="295">
        <f>SUMIF('2-成本汇总（本期）'!$D$9:$D$42,$A8,'2-成本汇总（本期）'!$X$9:$X$42)</f>
        <v>0</v>
      </c>
      <c r="I8" s="296"/>
      <c r="J8" s="299">
        <f>SUMIF('2-成本汇总（本期）'!$D$9:$D$42,$A8,'2-成本汇总（本期）'!$AH$9:$AH$42)</f>
        <v>0</v>
      </c>
      <c r="K8" s="299">
        <f>SUMIF('2-成本汇总（本期）'!$D$9:$D$42,$A8,'2-成本汇总（本期）'!$AK$9:$AK$42)</f>
        <v>0</v>
      </c>
      <c r="L8" s="299">
        <f>SUMIF('2-成本汇总（本期）'!$D$9:$D$42,$A8,'2-成本汇总（本期）'!$AN$9:$AN$42)</f>
        <v>0</v>
      </c>
      <c r="M8" s="299">
        <f>SUMIF('2-成本汇总（本期）'!$D$9:$D$42,$A8,'2-成本汇总（本期）'!$AQ$9:$AQ$42)</f>
        <v>0</v>
      </c>
      <c r="N8" s="299">
        <f>SUMIF('2-成本汇总（本期）'!$D$9:$D$42,$A8,'2-成本汇总（本期）'!$AT$9:$AT$42)</f>
        <v>0</v>
      </c>
      <c r="O8" s="299">
        <f>SUMIF('2-成本汇总（本期）'!$D$9:$D$42,$A8,'2-成本汇总（本期）'!$AW$9:$AW$42)</f>
        <v>0</v>
      </c>
      <c r="P8" s="299">
        <f>SUMIF('2-成本汇总（本期）'!$D$9:$D$42,$A8,'2-成本汇总（本期）'!$AZ$9:$AZ$42)</f>
        <v>0</v>
      </c>
      <c r="Q8" s="295">
        <f t="shared" si="0"/>
        <v>0</v>
      </c>
      <c r="R8" s="295"/>
    </row>
    <row r="9" spans="1:18">
      <c r="A9" s="294" t="str">
        <f>'2-成本汇总（本期）'!D30</f>
        <v>环境提升工程费</v>
      </c>
      <c r="B9" s="295">
        <f>SUMIF('2-成本汇总（本期）'!$D$9:$D$42,$A9,'2-成本汇总（本期）'!$U$9:$U$42)</f>
        <v>0</v>
      </c>
      <c r="C9" s="295">
        <f>SUMIF('2-成本汇总（本期）'!$D$9:$D$42,$A9,'2-成本汇总（本期）'!$F$9:$F$42)</f>
        <v>0</v>
      </c>
      <c r="D9" s="295">
        <f>SUMIF('2-成本汇总（本期）'!$D$9:$D$42,$A9,'2-成本汇总（本期）'!$I$9:$I$42)</f>
        <v>0</v>
      </c>
      <c r="E9" s="295">
        <f>SUMIF('2-成本汇总（本期）'!$D$9:$D$42,$A9,'2-成本汇总（本期）'!$L$9:$L$42)</f>
        <v>0</v>
      </c>
      <c r="F9" s="295">
        <f>SUMIF('2-成本汇总（本期）'!$D$9:$D$42,$A9,'2-成本汇总（本期）'!$O$9:$O$42)</f>
        <v>0</v>
      </c>
      <c r="G9" s="295">
        <f>SUMIF('2-成本汇总（本期）'!$D$9:$D$42,$A9,'2-成本汇总（本期）'!$R$9:$R$42)</f>
        <v>0</v>
      </c>
      <c r="H9" s="295">
        <f>SUMIF('2-成本汇总（本期）'!$D$9:$D$42,$A9,'2-成本汇总（本期）'!$X$9:$X$42)</f>
        <v>0</v>
      </c>
      <c r="I9" s="296"/>
      <c r="J9" s="299">
        <f>SUMIF('2-成本汇总（本期）'!$D$9:$D$42,$A9,'2-成本汇总（本期）'!$AH$9:$AH$42)</f>
        <v>0</v>
      </c>
      <c r="K9" s="299">
        <f>SUMIF('2-成本汇总（本期）'!$D$9:$D$42,$A9,'2-成本汇总（本期）'!$AK$9:$AK$42)</f>
        <v>0</v>
      </c>
      <c r="L9" s="299">
        <f>SUMIF('2-成本汇总（本期）'!$D$9:$D$42,$A9,'2-成本汇总（本期）'!$AN$9:$AN$42)</f>
        <v>0</v>
      </c>
      <c r="M9" s="299">
        <f>SUMIF('2-成本汇总（本期）'!$D$9:$D$42,$A9,'2-成本汇总（本期）'!$AQ$9:$AQ$42)</f>
        <v>0</v>
      </c>
      <c r="N9" s="299">
        <f>SUMIF('2-成本汇总（本期）'!$D$9:$D$42,$A9,'2-成本汇总（本期）'!$AT$9:$AT$42)</f>
        <v>0</v>
      </c>
      <c r="O9" s="299">
        <f>SUMIF('2-成本汇总（本期）'!$D$9:$D$42,$A9,'2-成本汇总（本期）'!$AW$9:$AW$42)</f>
        <v>0</v>
      </c>
      <c r="P9" s="299">
        <f>SUMIF('2-成本汇总（本期）'!$D$9:$D$42,$A9,'2-成本汇总（本期）'!$AZ$9:$AZ$42)</f>
        <v>0</v>
      </c>
      <c r="Q9" s="295">
        <f t="shared" si="0"/>
        <v>0</v>
      </c>
      <c r="R9" s="295"/>
    </row>
    <row r="10" spans="1:18">
      <c r="A10" s="294" t="str">
        <f>'2-成本汇总（本期）'!D34</f>
        <v>开发管理费</v>
      </c>
      <c r="B10" s="295">
        <f>SUMIF('2-成本汇总（本期）'!$D$9:$D$42,$A10,'2-成本汇总（本期）'!$U$9:$U$42)</f>
        <v>0</v>
      </c>
      <c r="C10" s="295">
        <f>SUMIF('2-成本汇总（本期）'!$D$9:$D$42,$A10,'2-成本汇总（本期）'!$F$9:$F$42)</f>
        <v>0</v>
      </c>
      <c r="D10" s="295">
        <f>SUMIF('2-成本汇总（本期）'!$D$9:$D$42,$A10,'2-成本汇总（本期）'!$I$9:$I$42)</f>
        <v>0</v>
      </c>
      <c r="E10" s="295">
        <f>SUMIF('2-成本汇总（本期）'!$D$9:$D$42,$A10,'2-成本汇总（本期）'!$L$9:$L$42)</f>
        <v>0</v>
      </c>
      <c r="F10" s="295">
        <f>SUMIF('2-成本汇总（本期）'!$D$9:$D$42,$A10,'2-成本汇总（本期）'!$O$9:$O$42)</f>
        <v>0</v>
      </c>
      <c r="G10" s="295">
        <f>SUMIF('2-成本汇总（本期）'!$D$9:$D$42,$A10,'2-成本汇总（本期）'!$R$9:$R$42)</f>
        <v>0</v>
      </c>
      <c r="H10" s="295">
        <f>SUMIF('2-成本汇总（本期）'!$D$9:$D$42,$A10,'2-成本汇总（本期）'!$X$9:$X$42)</f>
        <v>0</v>
      </c>
      <c r="I10" s="296"/>
      <c r="J10" s="299">
        <f>SUMIF('2-成本汇总（本期）'!$D$9:$D$42,$A10,'2-成本汇总（本期）'!$AH$9:$AH$42)</f>
        <v>0</v>
      </c>
      <c r="K10" s="299">
        <f>SUMIF('2-成本汇总（本期）'!$D$9:$D$42,$A10,'2-成本汇总（本期）'!$AK$9:$AK$42)</f>
        <v>0</v>
      </c>
      <c r="L10" s="299">
        <f>SUMIF('2-成本汇总（本期）'!$D$9:$D$42,$A10,'2-成本汇总（本期）'!$AN$9:$AN$42)</f>
        <v>0</v>
      </c>
      <c r="M10" s="299">
        <f>SUMIF('2-成本汇总（本期）'!$D$9:$D$42,$A10,'2-成本汇总（本期）'!$AQ$9:$AQ$42)</f>
        <v>0</v>
      </c>
      <c r="N10" s="299">
        <f>SUMIF('2-成本汇总（本期）'!$D$9:$D$42,$A10,'2-成本汇总（本期）'!$AT$9:$AT$42)</f>
        <v>0</v>
      </c>
      <c r="O10" s="299">
        <f>SUMIF('2-成本汇总（本期）'!$D$9:$D$42,$A10,'2-成本汇总（本期）'!$AW$9:$AW$42)</f>
        <v>0</v>
      </c>
      <c r="P10" s="299">
        <f>SUMIF('2-成本汇总（本期）'!$D$9:$D$42,$A10,'2-成本汇总（本期）'!$AZ$9:$AZ$42)</f>
        <v>0</v>
      </c>
      <c r="Q10" s="295">
        <f t="shared" si="0"/>
        <v>0</v>
      </c>
      <c r="R10" s="295"/>
    </row>
    <row r="11" spans="1:18">
      <c r="A11" s="297" t="s">
        <v>375</v>
      </c>
      <c r="B11" s="298">
        <f t="shared" ref="B11:G11" si="1">SUM(B6:B10)</f>
        <v>0</v>
      </c>
      <c r="C11" s="298">
        <f t="shared" si="1"/>
        <v>0</v>
      </c>
      <c r="D11" s="298">
        <f t="shared" si="1"/>
        <v>0</v>
      </c>
      <c r="E11" s="298">
        <f t="shared" si="1"/>
        <v>0</v>
      </c>
      <c r="F11" s="298">
        <f t="shared" si="1"/>
        <v>0</v>
      </c>
      <c r="G11" s="298">
        <f t="shared" si="1"/>
        <v>0</v>
      </c>
      <c r="H11" s="298">
        <f>SUM(H6:H10)</f>
        <v>0</v>
      </c>
      <c r="I11" s="296"/>
      <c r="J11" s="298">
        <f t="shared" ref="J11:O11" si="2">SUM(J6:J10)</f>
        <v>0</v>
      </c>
      <c r="K11" s="298">
        <f>SUM(K6:K10)</f>
        <v>0</v>
      </c>
      <c r="L11" s="298">
        <f t="shared" si="2"/>
        <v>0</v>
      </c>
      <c r="M11" s="298">
        <f t="shared" si="2"/>
        <v>0</v>
      </c>
      <c r="N11" s="298">
        <f>SUM(N6:N10)</f>
        <v>0</v>
      </c>
      <c r="O11" s="298">
        <f t="shared" si="2"/>
        <v>0</v>
      </c>
      <c r="P11" s="298">
        <f>SUM(P6:P10)</f>
        <v>0</v>
      </c>
      <c r="Q11" s="298">
        <f>SUM(Q6:Q10)</f>
        <v>0</v>
      </c>
      <c r="R11" s="295"/>
    </row>
    <row r="12" spans="1:18">
      <c r="A12" s="300" t="str">
        <f>'2-成本汇总（本期）'!D24</f>
        <v>室内精装修工程费</v>
      </c>
      <c r="B12" s="295">
        <f>SUMIF('2-成本汇总（本期）'!$D$9:$D$42,$A12,'2-成本汇总（本期）'!$U$9:$U$42)</f>
        <v>0</v>
      </c>
      <c r="C12" s="295">
        <f>SUMIF('2-成本汇总（本期）'!$D$9:$D$42,$A12,'2-成本汇总（本期）'!$F$9:$F$42)</f>
        <v>0</v>
      </c>
      <c r="D12" s="295">
        <f>SUMIF('2-成本汇总（本期）'!$D$9:$D$42,$A12,'2-成本汇总（本期）'!$I$9:$I$42)</f>
        <v>0</v>
      </c>
      <c r="E12" s="295">
        <f>SUMIF('2-成本汇总（本期）'!$D$9:$D$42,$A12,'2-成本汇总（本期）'!$L$9:$L$42)</f>
        <v>0</v>
      </c>
      <c r="F12" s="295">
        <f>SUMIF('2-成本汇总（本期）'!$D$9:$D$42,$A12,'2-成本汇总（本期）'!$O$9:$O$42)</f>
        <v>0</v>
      </c>
      <c r="G12" s="295">
        <f>SUMIF('2-成本汇总（本期）'!$D$9:$D$42,$A12,'2-成本汇总（本期）'!$R$9:$R$42)</f>
        <v>0</v>
      </c>
      <c r="H12" s="295">
        <f>SUMIF('2-成本汇总（本期）'!$D$9:$D$42,$A12,'2-成本汇总（本期）'!$X$9:$X$42)</f>
        <v>0</v>
      </c>
      <c r="I12" s="296"/>
      <c r="J12" s="299">
        <f>SUMIF('2-成本汇总（本期）'!$D$9:$D$42,$A12,'2-成本汇总（本期）'!$AH$9:$AH$42)</f>
        <v>0</v>
      </c>
      <c r="K12" s="299">
        <f>SUMIF('2-成本汇总（本期）'!$D$9:$D$42,$A12,'2-成本汇总（本期）'!$AK$9:$AK$42)</f>
        <v>0</v>
      </c>
      <c r="L12" s="299">
        <f>SUMIF('2-成本汇总（本期）'!$D$9:$D$42,$A12,'2-成本汇总（本期）'!$AN$9:$AN$42)</f>
        <v>0</v>
      </c>
      <c r="M12" s="299">
        <f>SUMIF('2-成本汇总（本期）'!$D$9:$D$42,$A12,'2-成本汇总（本期）'!$AQ$9:$AQ$42)</f>
        <v>0</v>
      </c>
      <c r="N12" s="299">
        <f>SUMIF('2-成本汇总（本期）'!$D$9:$D$42,$A12,'2-成本汇总（本期）'!$AT$9:$AT$42)</f>
        <v>0</v>
      </c>
      <c r="O12" s="299">
        <f>SUMIF('2-成本汇总（本期）'!$D$9:$D$42,$A12,'2-成本汇总（本期）'!$AW$9:$AW$42)</f>
        <v>0</v>
      </c>
      <c r="P12" s="299">
        <f>SUMIF('2-成本汇总（本期）'!$D$9:$D$42,$A12,'2-成本汇总（本期）'!$AZ$9:$AZ$42)</f>
        <v>0</v>
      </c>
      <c r="Q12" s="295">
        <f t="shared" si="0"/>
        <v>0</v>
      </c>
      <c r="R12" s="295"/>
    </row>
    <row r="13" spans="1:18">
      <c r="A13" s="297" t="s">
        <v>374</v>
      </c>
      <c r="B13" s="298">
        <f t="shared" ref="B13:G13" si="3">B11+B12</f>
        <v>0</v>
      </c>
      <c r="C13" s="298">
        <f t="shared" si="3"/>
        <v>0</v>
      </c>
      <c r="D13" s="298">
        <f t="shared" si="3"/>
        <v>0</v>
      </c>
      <c r="E13" s="298">
        <f t="shared" si="3"/>
        <v>0</v>
      </c>
      <c r="F13" s="298">
        <f t="shared" si="3"/>
        <v>0</v>
      </c>
      <c r="G13" s="298">
        <f t="shared" si="3"/>
        <v>0</v>
      </c>
      <c r="H13" s="298">
        <f>H11+H12</f>
        <v>0</v>
      </c>
      <c r="I13" s="296"/>
      <c r="J13" s="298">
        <f t="shared" ref="J13:O13" si="4">J11+J12</f>
        <v>0</v>
      </c>
      <c r="K13" s="298">
        <f>K11+K12</f>
        <v>0</v>
      </c>
      <c r="L13" s="298">
        <f t="shared" si="4"/>
        <v>0</v>
      </c>
      <c r="M13" s="298">
        <f t="shared" si="4"/>
        <v>0</v>
      </c>
      <c r="N13" s="298">
        <f>N11+N12</f>
        <v>0</v>
      </c>
      <c r="O13" s="298">
        <f t="shared" si="4"/>
        <v>0</v>
      </c>
      <c r="P13" s="298">
        <f>P11+P12</f>
        <v>0</v>
      </c>
      <c r="Q13" s="298">
        <f>Q11+Q12</f>
        <v>0</v>
      </c>
      <c r="R13" s="295"/>
    </row>
    <row r="14" spans="1:18">
      <c r="A14" s="300" t="str">
        <f>'2-成本汇总（本期）'!D41</f>
        <v>资本化利息</v>
      </c>
      <c r="B14" s="295">
        <f>SUMIF('2-成本汇总（本期）'!$D$9:$D$42,$A14,'2-成本汇总（本期）'!$U$9:$U$42)</f>
        <v>0</v>
      </c>
      <c r="C14" s="295">
        <f>SUMIF('2-成本汇总（本期）'!$D$9:$D$42,$A14,'2-成本汇总（本期）'!$F$9:$F$42)</f>
        <v>0</v>
      </c>
      <c r="D14" s="295">
        <f>SUMIF('2-成本汇总（本期）'!$D$9:$D$42,$A14,'2-成本汇总（本期）'!$I$9:$I$42)</f>
        <v>0</v>
      </c>
      <c r="E14" s="295">
        <f>SUMIF('2-成本汇总（本期）'!$D$9:$D$42,$A14,'2-成本汇总（本期）'!$L$9:$L$42)</f>
        <v>0</v>
      </c>
      <c r="F14" s="295">
        <f>SUMIF('2-成本汇总（本期）'!$D$9:$D$42,$A14,'2-成本汇总（本期）'!$O$9:$O$42)</f>
        <v>0</v>
      </c>
      <c r="G14" s="295">
        <f>SUMIF('2-成本汇总（本期）'!$D$9:$D$42,$A14,'2-成本汇总（本期）'!$R$9:$R$42)</f>
        <v>0</v>
      </c>
      <c r="H14" s="295">
        <f>SUMIF('2-成本汇总（本期）'!$D$9:$D$42,$A14,'2-成本汇总（本期）'!$R$9:$R$42)</f>
        <v>0</v>
      </c>
      <c r="I14" s="296"/>
      <c r="J14" s="299">
        <f>SUMIF('2-成本汇总（本期）'!$D$9:$D$42,$A14,'2-成本汇总（本期）'!$AH$9:$AH$42)</f>
        <v>0</v>
      </c>
      <c r="K14" s="299">
        <f>SUMIF('2-成本汇总（本期）'!$D$9:$D$42,$A14,'2-成本汇总（本期）'!$AK$9:$AK$42)</f>
        <v>0</v>
      </c>
      <c r="L14" s="299">
        <f>SUMIF('2-成本汇总（本期）'!$D$9:$D$42,$A14,'2-成本汇总（本期）'!$AN$9:$AN$42)</f>
        <v>0</v>
      </c>
      <c r="M14" s="299">
        <f>SUMIF('2-成本汇总（本期）'!$D$9:$D$42,$A14,'2-成本汇总（本期）'!$AQ$9:$AQ$42)</f>
        <v>0</v>
      </c>
      <c r="N14" s="299">
        <f>SUMIF('2-成本汇总（本期）'!$D$9:$D$42,$A14,'2-成本汇总（本期）'!$AT$9:$AT$42)</f>
        <v>0</v>
      </c>
      <c r="O14" s="299">
        <f>SUMIF('2-成本汇总（本期）'!$D$9:$D$42,$A14,'2-成本汇总（本期）'!$AW$9:$AW$42)</f>
        <v>0</v>
      </c>
      <c r="P14" s="299">
        <f>SUMIF('2-成本汇总（本期）'!$D$9:$D$42,$A14,'2-成本汇总（本期）'!$AZ$9:$AZ$42)</f>
        <v>0</v>
      </c>
      <c r="Q14" s="295">
        <f t="shared" si="0"/>
        <v>0</v>
      </c>
      <c r="R14" s="295"/>
    </row>
    <row r="15" spans="1:18">
      <c r="A15" s="297" t="s">
        <v>24</v>
      </c>
      <c r="B15" s="298">
        <f t="shared" ref="B15:H15" si="5">B5+B13+B14</f>
        <v>0</v>
      </c>
      <c r="C15" s="298">
        <f t="shared" si="5"/>
        <v>0</v>
      </c>
      <c r="D15" s="298">
        <f t="shared" si="5"/>
        <v>0</v>
      </c>
      <c r="E15" s="298">
        <f t="shared" si="5"/>
        <v>0</v>
      </c>
      <c r="F15" s="298">
        <f t="shared" si="5"/>
        <v>0</v>
      </c>
      <c r="G15" s="298">
        <f t="shared" si="5"/>
        <v>0</v>
      </c>
      <c r="H15" s="298">
        <f t="shared" si="5"/>
        <v>0</v>
      </c>
      <c r="I15" s="296"/>
      <c r="J15" s="298">
        <f t="shared" ref="J15:O15" si="6">J5+J13+J14</f>
        <v>0</v>
      </c>
      <c r="K15" s="298">
        <f>K5+K13+K14</f>
        <v>0</v>
      </c>
      <c r="L15" s="298">
        <f t="shared" si="6"/>
        <v>0</v>
      </c>
      <c r="M15" s="298">
        <f t="shared" si="6"/>
        <v>0</v>
      </c>
      <c r="N15" s="298">
        <f>N5+N13+N14</f>
        <v>0</v>
      </c>
      <c r="O15" s="298">
        <f t="shared" si="6"/>
        <v>0</v>
      </c>
      <c r="P15" s="298">
        <f>P5+P13+P14</f>
        <v>0</v>
      </c>
      <c r="Q15" s="298">
        <f>Q5+Q13+Q14</f>
        <v>0</v>
      </c>
      <c r="R15" s="295"/>
    </row>
    <row r="16" spans="1:18">
      <c r="B16" s="288">
        <f>B15*B4</f>
        <v>0</v>
      </c>
      <c r="C16" s="288">
        <f t="shared" ref="C16:H16" si="7">C15*C4</f>
        <v>0</v>
      </c>
      <c r="D16" s="288">
        <f t="shared" si="7"/>
        <v>0</v>
      </c>
      <c r="E16" s="288">
        <f t="shared" si="7"/>
        <v>0</v>
      </c>
      <c r="F16" s="288">
        <f t="shared" si="7"/>
        <v>0</v>
      </c>
      <c r="G16" s="288">
        <f t="shared" si="7"/>
        <v>0</v>
      </c>
      <c r="H16" s="288">
        <f t="shared" si="7"/>
        <v>0</v>
      </c>
    </row>
    <row r="17" spans="1:27">
      <c r="A17" s="294" t="s">
        <v>106</v>
      </c>
      <c r="B17" s="301" t="s">
        <v>8</v>
      </c>
      <c r="I17" s="302"/>
    </row>
    <row r="18" spans="1:27">
      <c r="A18" s="295" t="str">
        <f>B2</f>
        <v>地库</v>
      </c>
      <c r="B18" s="190">
        <f>B15</f>
        <v>0</v>
      </c>
      <c r="C18" s="303" t="s">
        <v>373</v>
      </c>
      <c r="I18" s="304"/>
    </row>
    <row r="19" spans="1:27">
      <c r="A19" s="295" t="str">
        <f>C2</f>
        <v>高层住宅（15F）</v>
      </c>
      <c r="B19" s="190">
        <f t="shared" ref="B19:B24" si="8">SUMIF($C$2:$H$2,A19,$C$15:$H$15)</f>
        <v>0</v>
      </c>
      <c r="I19" s="304"/>
    </row>
    <row r="20" spans="1:27">
      <c r="A20" s="295" t="str">
        <f>D2</f>
        <v>叠拼（4F）</v>
      </c>
      <c r="B20" s="190">
        <f t="shared" si="8"/>
        <v>0</v>
      </c>
      <c r="AA20" s="288" t="s">
        <v>787</v>
      </c>
    </row>
    <row r="21" spans="1:27">
      <c r="A21" s="295" t="str">
        <f>E2</f>
        <v>小联排（3F）</v>
      </c>
      <c r="B21" s="190">
        <f t="shared" si="8"/>
        <v>0</v>
      </c>
      <c r="D21" s="305"/>
      <c r="E21" s="305"/>
      <c r="I21" s="304"/>
    </row>
    <row r="22" spans="1:27">
      <c r="A22" s="295" t="str">
        <f>F2</f>
        <v>底层商业（1-2F）</v>
      </c>
      <c r="B22" s="190">
        <f t="shared" si="8"/>
        <v>0</v>
      </c>
    </row>
    <row r="23" spans="1:27">
      <c r="A23" s="295" t="str">
        <f>G2</f>
        <v>商墅（3-5F）</v>
      </c>
      <c r="B23" s="190">
        <f t="shared" si="8"/>
        <v>0</v>
      </c>
    </row>
    <row r="24" spans="1:27">
      <c r="A24" s="295" t="str">
        <f>H2</f>
        <v>高层公寓(15F)</v>
      </c>
      <c r="B24" s="190">
        <f t="shared" si="8"/>
        <v>0</v>
      </c>
    </row>
    <row r="28" spans="1:27">
      <c r="A28" s="305"/>
      <c r="B28" s="305"/>
      <c r="C28" s="305"/>
      <c r="F28" s="305"/>
      <c r="G28" s="305"/>
      <c r="H28" s="305"/>
      <c r="I28" s="305"/>
    </row>
    <row r="30" spans="1:27">
      <c r="D30" s="305"/>
      <c r="E30" s="305"/>
    </row>
    <row r="36" spans="1:9">
      <c r="A36" s="305"/>
      <c r="B36" s="305"/>
      <c r="C36" s="305"/>
      <c r="F36" s="305"/>
      <c r="G36" s="305"/>
      <c r="H36" s="305"/>
      <c r="I36" s="305"/>
    </row>
  </sheetData>
  <mergeCells count="1">
    <mergeCell ref="R1:R2"/>
  </mergeCells>
  <phoneticPr fontId="19" type="noConversion"/>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49"/>
  <sheetViews>
    <sheetView topLeftCell="A4" workbookViewId="0">
      <selection activeCell="AS20" sqref="AS20"/>
    </sheetView>
  </sheetViews>
  <sheetFormatPr defaultColWidth="9" defaultRowHeight="15.5" outlineLevelRow="1"/>
  <cols>
    <col min="1" max="1" width="1.6640625" style="306" customWidth="1"/>
    <col min="2" max="2" width="4" style="306" customWidth="1"/>
    <col min="3" max="3" width="16.1640625" style="306" customWidth="1"/>
    <col min="4" max="4" width="8.83203125" style="306" customWidth="1"/>
    <col min="5" max="5" width="7.08203125" style="306" customWidth="1"/>
    <col min="6" max="6" width="6.5" style="306" customWidth="1"/>
    <col min="7" max="7" width="11.5" style="306" customWidth="1"/>
    <col min="8" max="8" width="9.33203125" style="306" customWidth="1"/>
    <col min="9" max="9" width="11" style="306" customWidth="1"/>
    <col min="10" max="10" width="10.33203125" style="306" customWidth="1"/>
    <col min="11" max="11" width="7.5" style="306" customWidth="1"/>
    <col min="12" max="12" width="8.5" style="306" customWidth="1"/>
    <col min="13" max="13" width="7" style="306" customWidth="1"/>
    <col min="14" max="14" width="6.58203125" style="306" customWidth="1"/>
    <col min="15" max="15" width="7.08203125" style="306" customWidth="1"/>
    <col min="16" max="16" width="6.08203125" style="306" customWidth="1"/>
    <col min="17" max="17" width="8.08203125" style="306" customWidth="1"/>
    <col min="18" max="18" width="5" style="306" customWidth="1"/>
    <col min="19" max="19" width="9.5" style="306" customWidth="1"/>
    <col min="20" max="256" width="9" style="306" customWidth="1"/>
  </cols>
  <sheetData>
    <row r="1" spans="1:29" ht="22.5" customHeight="1">
      <c r="B1" s="2485" t="s">
        <v>1947</v>
      </c>
      <c r="C1" s="2485"/>
      <c r="D1" s="2485"/>
      <c r="E1" s="2485"/>
      <c r="F1" s="2485"/>
      <c r="G1" s="2485"/>
      <c r="H1" s="2485"/>
      <c r="I1" s="2485"/>
      <c r="J1" s="2485"/>
      <c r="K1" s="2485"/>
      <c r="L1" s="2485"/>
      <c r="M1" s="2485"/>
      <c r="N1" s="2485"/>
      <c r="O1" s="2485"/>
    </row>
    <row r="2" spans="1:29" ht="15" customHeight="1">
      <c r="B2" s="2481" t="s">
        <v>1948</v>
      </c>
      <c r="C2" s="2481"/>
      <c r="D2" s="2482"/>
      <c r="E2" s="2482"/>
      <c r="F2" s="307" t="s">
        <v>1949</v>
      </c>
      <c r="G2" s="2484" t="s">
        <v>1950</v>
      </c>
      <c r="H2" s="2484"/>
      <c r="I2" s="2480">
        <f>D2</f>
        <v>0</v>
      </c>
      <c r="J2" s="2480"/>
      <c r="K2" s="300" t="s">
        <v>1949</v>
      </c>
      <c r="L2" s="840" t="s">
        <v>38</v>
      </c>
      <c r="M2" s="2480">
        <f>H43</f>
        <v>0</v>
      </c>
      <c r="N2" s="2480"/>
      <c r="O2" s="300" t="s">
        <v>1949</v>
      </c>
      <c r="Q2" s="308"/>
    </row>
    <row r="3" spans="1:29" ht="15" customHeight="1">
      <c r="B3" s="2481" t="s">
        <v>60</v>
      </c>
      <c r="C3" s="2481"/>
      <c r="D3" s="2480">
        <f>G23+G27+G31</f>
        <v>0</v>
      </c>
      <c r="E3" s="2480"/>
      <c r="F3" s="307" t="s">
        <v>1949</v>
      </c>
      <c r="G3" s="2484" t="s">
        <v>1951</v>
      </c>
      <c r="H3" s="2484"/>
      <c r="I3" s="2504" t="e">
        <f>G43/I2</f>
        <v>#DIV/0!</v>
      </c>
      <c r="J3" s="2504"/>
      <c r="K3" s="2504"/>
      <c r="L3" s="840" t="s">
        <v>1952</v>
      </c>
      <c r="M3" s="2505" t="e">
        <f>(D8+M8)/I2</f>
        <v>#DIV/0!</v>
      </c>
      <c r="N3" s="2505"/>
      <c r="O3" s="2505"/>
    </row>
    <row r="4" spans="1:29" ht="15" customHeight="1">
      <c r="B4" s="2474" t="s">
        <v>1953</v>
      </c>
      <c r="C4" s="2474"/>
      <c r="D4" s="2476">
        <f>H23+H27+H31</f>
        <v>0</v>
      </c>
      <c r="E4" s="2476"/>
      <c r="F4" s="307" t="s">
        <v>1949</v>
      </c>
      <c r="G4" s="2484" t="s">
        <v>1954</v>
      </c>
      <c r="H4" s="2484"/>
      <c r="I4" s="2507" t="str">
        <f>IF(D4=0,"",IF(I2=0,"",D4/I2))</f>
        <v/>
      </c>
      <c r="J4" s="2507"/>
      <c r="K4" s="2507"/>
      <c r="L4" s="840" t="s">
        <v>1955</v>
      </c>
      <c r="M4" s="2492"/>
      <c r="N4" s="2493"/>
      <c r="O4" s="300" t="s">
        <v>1956</v>
      </c>
    </row>
    <row r="5" spans="1:29" s="309" customFormat="1" ht="15" customHeight="1">
      <c r="B5" s="2475" t="s">
        <v>1957</v>
      </c>
      <c r="C5" s="2475"/>
      <c r="D5" s="2475" t="s">
        <v>1958</v>
      </c>
      <c r="E5" s="2475"/>
      <c r="F5" s="2475" t="s">
        <v>1959</v>
      </c>
      <c r="G5" s="2475"/>
      <c r="H5" s="2475"/>
      <c r="I5" s="2475" t="s">
        <v>1960</v>
      </c>
      <c r="J5" s="2475"/>
      <c r="K5" s="2475"/>
      <c r="L5" s="2475"/>
      <c r="M5" s="2494" t="s">
        <v>1961</v>
      </c>
      <c r="N5" s="2494"/>
      <c r="O5" s="2494"/>
      <c r="P5" s="310"/>
    </row>
    <row r="6" spans="1:29" s="309" customFormat="1" ht="15" customHeight="1">
      <c r="B6" s="2315">
        <f>D6+F6+I6</f>
        <v>0</v>
      </c>
      <c r="C6" s="2315"/>
      <c r="D6" s="2483"/>
      <c r="E6" s="2483"/>
      <c r="F6" s="2483"/>
      <c r="G6" s="2483"/>
      <c r="H6" s="2483"/>
      <c r="I6" s="2483"/>
      <c r="J6" s="2483"/>
      <c r="K6" s="2503"/>
      <c r="L6" s="2503"/>
      <c r="M6" s="2495"/>
      <c r="N6" s="2495"/>
      <c r="O6" s="2495"/>
    </row>
    <row r="7" spans="1:29" s="309" customFormat="1" ht="15" customHeight="1">
      <c r="B7" s="2475" t="s">
        <v>1962</v>
      </c>
      <c r="C7" s="2475"/>
      <c r="D7" s="840" t="s">
        <v>1963</v>
      </c>
      <c r="E7" s="2475" t="s">
        <v>1964</v>
      </c>
      <c r="F7" s="2475"/>
      <c r="G7" s="840" t="s">
        <v>1965</v>
      </c>
      <c r="H7" s="840" t="s">
        <v>1966</v>
      </c>
      <c r="I7" s="840" t="s">
        <v>1967</v>
      </c>
      <c r="J7" s="840" t="s">
        <v>1968</v>
      </c>
      <c r="K7" s="2475" t="s">
        <v>1969</v>
      </c>
      <c r="L7" s="2475"/>
      <c r="M7" s="2475" t="s">
        <v>1970</v>
      </c>
      <c r="N7" s="2475"/>
      <c r="O7" s="311"/>
      <c r="P7" s="841"/>
      <c r="Q7" s="2501"/>
      <c r="R7" s="2501"/>
      <c r="S7" s="2501"/>
    </row>
    <row r="8" spans="1:29" s="309" customFormat="1" ht="15" customHeight="1">
      <c r="B8" s="2315">
        <f>D2-D3-B6</f>
        <v>0</v>
      </c>
      <c r="C8" s="2315"/>
      <c r="D8" s="842">
        <f>D2*0.3</f>
        <v>0</v>
      </c>
      <c r="E8" s="2506"/>
      <c r="F8" s="2506"/>
      <c r="G8" s="843"/>
      <c r="H8" s="843"/>
      <c r="I8" s="541"/>
      <c r="J8" s="844"/>
      <c r="K8" s="2473"/>
      <c r="L8" s="2473"/>
      <c r="M8" s="2473"/>
      <c r="N8" s="2473"/>
      <c r="O8" s="2473"/>
    </row>
    <row r="9" spans="1:29" s="312" customFormat="1" ht="14.25" hidden="1" customHeight="1" outlineLevel="1">
      <c r="A9" s="313"/>
      <c r="B9" s="314">
        <v>1</v>
      </c>
      <c r="C9" s="315" t="s">
        <v>1971</v>
      </c>
      <c r="E9" s="316"/>
      <c r="F9" s="317"/>
      <c r="G9" s="317"/>
      <c r="H9" s="317"/>
      <c r="I9" s="316"/>
      <c r="J9" s="316"/>
      <c r="K9" s="316"/>
      <c r="L9" s="316"/>
      <c r="M9" s="318"/>
      <c r="N9" s="318"/>
      <c r="O9" s="318"/>
      <c r="P9" s="313"/>
      <c r="T9" s="319"/>
      <c r="V9" s="320"/>
      <c r="W9" s="320"/>
      <c r="X9" s="320"/>
      <c r="Y9" s="320"/>
      <c r="Z9" s="320"/>
      <c r="AA9" s="320"/>
      <c r="AB9" s="320"/>
      <c r="AC9" s="320"/>
    </row>
    <row r="10" spans="1:29" s="312" customFormat="1" ht="14.25" hidden="1" customHeight="1" outlineLevel="1">
      <c r="B10" s="314">
        <v>2</v>
      </c>
      <c r="C10" s="315" t="s">
        <v>1972</v>
      </c>
      <c r="E10" s="316"/>
      <c r="F10" s="317"/>
      <c r="G10" s="317"/>
      <c r="H10" s="317"/>
      <c r="I10" s="316"/>
      <c r="J10" s="316"/>
      <c r="K10" s="316"/>
      <c r="L10" s="316"/>
      <c r="M10" s="318"/>
      <c r="N10" s="318"/>
      <c r="O10" s="318"/>
      <c r="T10" s="321"/>
      <c r="V10" s="320"/>
      <c r="W10" s="320"/>
      <c r="X10" s="320"/>
      <c r="Y10" s="320"/>
      <c r="Z10" s="320"/>
      <c r="AA10" s="320"/>
      <c r="AB10" s="320"/>
      <c r="AC10" s="320"/>
    </row>
    <row r="11" spans="1:29" s="312" customFormat="1" ht="14.25" hidden="1" customHeight="1" outlineLevel="1">
      <c r="B11" s="314">
        <v>3</v>
      </c>
      <c r="C11" s="315" t="s">
        <v>1973</v>
      </c>
      <c r="E11" s="316"/>
      <c r="F11" s="317"/>
      <c r="G11" s="317"/>
      <c r="H11" s="317"/>
      <c r="I11" s="316"/>
      <c r="J11" s="316"/>
      <c r="K11" s="316"/>
      <c r="L11" s="316"/>
      <c r="M11" s="318"/>
      <c r="N11" s="318"/>
      <c r="O11" s="318"/>
      <c r="T11" s="321"/>
      <c r="V11" s="320"/>
      <c r="W11" s="320"/>
      <c r="X11" s="320"/>
      <c r="Y11" s="320"/>
      <c r="Z11" s="320"/>
      <c r="AA11" s="320"/>
      <c r="AB11" s="320"/>
      <c r="AC11" s="320"/>
    </row>
    <row r="12" spans="1:29" s="312" customFormat="1" ht="14.25" hidden="1" customHeight="1" outlineLevel="1">
      <c r="B12" s="314">
        <v>4</v>
      </c>
      <c r="C12" s="315" t="s">
        <v>1974</v>
      </c>
      <c r="E12" s="316"/>
      <c r="F12" s="317"/>
      <c r="G12" s="317"/>
      <c r="H12" s="317"/>
      <c r="I12" s="316"/>
      <c r="J12" s="316"/>
      <c r="K12" s="316"/>
      <c r="L12" s="316"/>
      <c r="M12" s="318"/>
      <c r="N12" s="318"/>
      <c r="O12" s="318"/>
      <c r="T12" s="321"/>
      <c r="V12" s="320"/>
      <c r="W12" s="320"/>
      <c r="X12" s="320"/>
      <c r="Y12" s="320"/>
      <c r="Z12" s="320"/>
      <c r="AA12" s="320"/>
      <c r="AB12" s="320"/>
      <c r="AC12" s="320"/>
    </row>
    <row r="13" spans="1:29" s="312" customFormat="1" ht="14.25" hidden="1" customHeight="1" outlineLevel="1">
      <c r="B13" s="314">
        <v>5</v>
      </c>
      <c r="C13" s="315" t="s">
        <v>1975</v>
      </c>
      <c r="D13" s="316"/>
      <c r="E13" s="316"/>
      <c r="F13" s="317"/>
      <c r="G13" s="317"/>
      <c r="H13" s="317"/>
      <c r="I13" s="316"/>
      <c r="J13" s="316"/>
      <c r="K13" s="316"/>
      <c r="L13" s="316"/>
      <c r="M13" s="318"/>
      <c r="N13" s="318"/>
      <c r="O13" s="318"/>
      <c r="T13" s="321"/>
      <c r="V13" s="320"/>
      <c r="W13" s="320"/>
      <c r="X13" s="320"/>
      <c r="Y13" s="320"/>
      <c r="Z13" s="320"/>
      <c r="AA13" s="320"/>
      <c r="AB13" s="320"/>
      <c r="AC13" s="320"/>
    </row>
    <row r="14" spans="1:29" s="312" customFormat="1" ht="14.25" hidden="1" customHeight="1" outlineLevel="1">
      <c r="B14" s="314">
        <v>6</v>
      </c>
      <c r="C14" s="322" t="s">
        <v>1976</v>
      </c>
      <c r="D14" s="316"/>
      <c r="E14" s="316"/>
      <c r="F14" s="317"/>
      <c r="G14" s="317"/>
      <c r="H14" s="317"/>
      <c r="I14" s="316"/>
      <c r="J14" s="316"/>
      <c r="K14" s="316"/>
      <c r="L14" s="316"/>
      <c r="M14" s="318"/>
      <c r="N14" s="318"/>
      <c r="O14" s="318"/>
      <c r="T14" s="321"/>
      <c r="V14" s="320"/>
      <c r="W14" s="320"/>
      <c r="X14" s="320"/>
      <c r="Y14" s="320"/>
      <c r="Z14" s="320"/>
      <c r="AA14" s="320"/>
      <c r="AB14" s="320"/>
      <c r="AC14" s="320"/>
    </row>
    <row r="15" spans="1:29" s="312" customFormat="1" ht="14.25" hidden="1" customHeight="1" outlineLevel="1">
      <c r="B15" s="314">
        <v>7</v>
      </c>
      <c r="C15" s="315" t="s">
        <v>1977</v>
      </c>
      <c r="D15" s="316"/>
      <c r="E15" s="316"/>
      <c r="F15" s="317"/>
      <c r="G15" s="317"/>
      <c r="H15" s="317"/>
      <c r="I15" s="316"/>
      <c r="J15" s="316"/>
      <c r="K15" s="316"/>
      <c r="L15" s="316"/>
      <c r="M15" s="318"/>
      <c r="N15" s="318"/>
      <c r="O15" s="318"/>
      <c r="T15" s="321"/>
      <c r="V15" s="320"/>
      <c r="W15" s="320"/>
      <c r="X15" s="320"/>
      <c r="Y15" s="320"/>
      <c r="Z15" s="320"/>
      <c r="AA15" s="320"/>
      <c r="AB15" s="320"/>
      <c r="AC15" s="320"/>
    </row>
    <row r="16" spans="1:29" s="312" customFormat="1" ht="14.25" hidden="1" customHeight="1" outlineLevel="1">
      <c r="B16" s="314">
        <v>8</v>
      </c>
      <c r="C16" s="315" t="s">
        <v>1978</v>
      </c>
      <c r="D16" s="316"/>
      <c r="E16" s="316"/>
      <c r="F16" s="317"/>
      <c r="G16" s="317"/>
      <c r="H16" s="317"/>
      <c r="I16" s="316"/>
      <c r="J16" s="316"/>
      <c r="K16" s="316"/>
      <c r="L16" s="316"/>
      <c r="M16" s="318"/>
      <c r="N16" s="318"/>
      <c r="O16" s="318"/>
      <c r="T16" s="321"/>
      <c r="V16" s="320"/>
      <c r="W16" s="320"/>
      <c r="X16" s="320"/>
      <c r="Y16" s="320"/>
      <c r="Z16" s="320"/>
      <c r="AA16" s="320"/>
      <c r="AB16" s="320"/>
      <c r="AC16" s="320"/>
    </row>
    <row r="17" spans="2:29" s="312" customFormat="1" ht="14.25" customHeight="1" collapsed="1">
      <c r="B17" s="314"/>
      <c r="C17" s="318" t="s">
        <v>1979</v>
      </c>
      <c r="D17" s="316"/>
      <c r="E17" s="315" t="s">
        <v>1980</v>
      </c>
      <c r="F17" s="317"/>
      <c r="G17" s="317"/>
      <c r="H17" s="317"/>
      <c r="I17" s="316"/>
      <c r="J17" s="316"/>
      <c r="K17" s="316"/>
      <c r="L17" s="316"/>
      <c r="M17" s="318"/>
      <c r="N17" s="318"/>
      <c r="O17" s="323"/>
      <c r="T17" s="319"/>
      <c r="V17" s="320"/>
      <c r="W17" s="320"/>
      <c r="X17" s="320"/>
      <c r="Y17" s="320"/>
      <c r="Z17" s="320"/>
      <c r="AA17" s="320"/>
      <c r="AB17" s="320"/>
      <c r="AC17" s="320"/>
    </row>
    <row r="18" spans="2:29" ht="15" customHeight="1">
      <c r="B18" s="2496"/>
      <c r="C18" s="2497"/>
      <c r="D18" s="2497"/>
      <c r="E18" s="2497"/>
      <c r="F18" s="2497"/>
      <c r="G18" s="2497"/>
      <c r="H18" s="2497"/>
      <c r="I18" s="2497"/>
      <c r="J18" s="2497"/>
      <c r="K18" s="2497"/>
      <c r="L18" s="2497"/>
      <c r="M18" s="2497"/>
      <c r="N18" s="2497"/>
      <c r="O18" s="2498"/>
      <c r="P18" s="309"/>
    </row>
    <row r="19" spans="2:29" ht="34" customHeight="1">
      <c r="B19" s="2469" t="s">
        <v>1981</v>
      </c>
      <c r="C19" s="2470"/>
      <c r="D19" s="845" t="s">
        <v>1982</v>
      </c>
      <c r="E19" s="324" t="s">
        <v>1954</v>
      </c>
      <c r="F19" s="324" t="s">
        <v>1983</v>
      </c>
      <c r="G19" s="324" t="s">
        <v>1984</v>
      </c>
      <c r="H19" s="324" t="s">
        <v>1985</v>
      </c>
      <c r="I19" s="324" t="s">
        <v>1986</v>
      </c>
      <c r="J19" s="324" t="s">
        <v>1987</v>
      </c>
      <c r="K19" s="846" t="s">
        <v>1988</v>
      </c>
      <c r="L19" s="324" t="s">
        <v>1989</v>
      </c>
      <c r="M19" s="326" t="s">
        <v>1990</v>
      </c>
      <c r="N19" s="326" t="s">
        <v>1991</v>
      </c>
      <c r="O19" s="326" t="s">
        <v>1992</v>
      </c>
      <c r="P19" s="324" t="s">
        <v>1993</v>
      </c>
      <c r="Q19" s="847" t="s">
        <v>1994</v>
      </c>
      <c r="R19" s="848" t="s">
        <v>1995</v>
      </c>
      <c r="T19" s="308"/>
    </row>
    <row r="20" spans="2:29" ht="15" customHeight="1">
      <c r="B20" s="2477" t="s">
        <v>1996</v>
      </c>
      <c r="C20" s="327" t="s">
        <v>1997</v>
      </c>
      <c r="D20" s="849"/>
      <c r="E20" s="850"/>
      <c r="F20" s="851"/>
      <c r="G20" s="852"/>
      <c r="H20" s="852"/>
      <c r="I20" s="853">
        <f>H20</f>
        <v>0</v>
      </c>
      <c r="J20" s="854"/>
      <c r="K20" s="855" t="e">
        <f>I20/I43</f>
        <v>#DIV/0!</v>
      </c>
      <c r="L20" s="328" t="e">
        <f>H20/N20</f>
        <v>#DIV/0!</v>
      </c>
      <c r="M20" s="360"/>
      <c r="N20" s="360"/>
      <c r="O20" s="360"/>
      <c r="P20" s="856"/>
      <c r="Q20" s="330"/>
      <c r="R20" s="857"/>
      <c r="T20" s="332"/>
      <c r="U20" s="333"/>
    </row>
    <row r="21" spans="2:29" ht="15" customHeight="1">
      <c r="B21" s="2478"/>
      <c r="C21" s="327" t="s">
        <v>1998</v>
      </c>
      <c r="D21" s="849"/>
      <c r="E21" s="850"/>
      <c r="F21" s="851"/>
      <c r="G21" s="852"/>
      <c r="H21" s="858"/>
      <c r="I21" s="853">
        <f>H21</f>
        <v>0</v>
      </c>
      <c r="J21" s="854"/>
      <c r="K21" s="855" t="e">
        <f>I21/I43</f>
        <v>#DIV/0!</v>
      </c>
      <c r="L21" s="328" t="e">
        <f>H21/N21</f>
        <v>#DIV/0!</v>
      </c>
      <c r="M21" s="360"/>
      <c r="N21" s="360"/>
      <c r="O21" s="360"/>
      <c r="P21" s="856"/>
      <c r="Q21" s="330"/>
      <c r="R21" s="857"/>
      <c r="T21" s="332"/>
      <c r="U21" s="333"/>
    </row>
    <row r="22" spans="2:29" ht="15" customHeight="1">
      <c r="B22" s="2478"/>
      <c r="C22" s="327" t="s">
        <v>1999</v>
      </c>
      <c r="D22" s="849"/>
      <c r="E22" s="850"/>
      <c r="F22" s="851"/>
      <c r="G22" s="852"/>
      <c r="H22" s="858"/>
      <c r="I22" s="853">
        <f>H22</f>
        <v>0</v>
      </c>
      <c r="J22" s="854"/>
      <c r="K22" s="855" t="e">
        <f>I22/I43</f>
        <v>#DIV/0!</v>
      </c>
      <c r="L22" s="328" t="e">
        <f>H22/N22</f>
        <v>#DIV/0!</v>
      </c>
      <c r="M22" s="360"/>
      <c r="N22" s="360"/>
      <c r="O22" s="360"/>
      <c r="P22" s="856"/>
      <c r="Q22" s="330"/>
      <c r="R22" s="859"/>
      <c r="T22" s="335"/>
      <c r="U22" s="333"/>
    </row>
    <row r="23" spans="2:29" ht="15" customHeight="1">
      <c r="B23" s="2479"/>
      <c r="C23" s="336" t="s">
        <v>2000</v>
      </c>
      <c r="D23" s="337">
        <f>SUM(D20:D22)</f>
        <v>0</v>
      </c>
      <c r="E23" s="338" t="e">
        <f>H23/D23</f>
        <v>#DIV/0!</v>
      </c>
      <c r="F23" s="339">
        <f>SUM(F20:F22)</f>
        <v>0</v>
      </c>
      <c r="G23" s="337">
        <f>SUM(G20:G22)</f>
        <v>0</v>
      </c>
      <c r="H23" s="337">
        <f>SUM(H20:H22)</f>
        <v>0</v>
      </c>
      <c r="I23" s="337">
        <f>SUM(I20:I22)</f>
        <v>0</v>
      </c>
      <c r="J23" s="337">
        <f>SUM(J20:J22)</f>
        <v>0</v>
      </c>
      <c r="K23" s="860" t="e">
        <f>(I23+J23)/(I43+J43)</f>
        <v>#DIV/0!</v>
      </c>
      <c r="L23" s="339" t="e">
        <f>H23/N23</f>
        <v>#DIV/0!</v>
      </c>
      <c r="M23" s="339">
        <f>SUM(M20:M22)</f>
        <v>0</v>
      </c>
      <c r="N23" s="339">
        <f>SUM(N20:N22)</f>
        <v>0</v>
      </c>
      <c r="O23" s="339"/>
      <c r="P23" s="861"/>
      <c r="Q23" s="341"/>
      <c r="R23" s="862"/>
      <c r="U23" s="333"/>
    </row>
    <row r="24" spans="2:29" ht="15" customHeight="1">
      <c r="B24" s="2477" t="s">
        <v>2001</v>
      </c>
      <c r="C24" s="327" t="s">
        <v>2002</v>
      </c>
      <c r="D24" s="849"/>
      <c r="E24" s="850"/>
      <c r="F24" s="342"/>
      <c r="G24" s="850"/>
      <c r="H24" s="863"/>
      <c r="I24" s="328">
        <f>H24</f>
        <v>0</v>
      </c>
      <c r="J24" s="854"/>
      <c r="K24" s="855" t="e">
        <f>I24/I43</f>
        <v>#DIV/0!</v>
      </c>
      <c r="L24" s="864"/>
      <c r="M24" s="343"/>
      <c r="N24" s="865"/>
      <c r="O24" s="865"/>
      <c r="P24" s="865"/>
      <c r="Q24" s="344"/>
      <c r="R24" s="866"/>
      <c r="T24" s="335"/>
      <c r="U24" s="333"/>
    </row>
    <row r="25" spans="2:29" ht="15" customHeight="1">
      <c r="B25" s="2478"/>
      <c r="C25" s="327" t="s">
        <v>2003</v>
      </c>
      <c r="D25" s="850"/>
      <c r="E25" s="850"/>
      <c r="F25" s="867"/>
      <c r="G25" s="850"/>
      <c r="H25" s="863"/>
      <c r="I25" s="328">
        <f>H25</f>
        <v>0</v>
      </c>
      <c r="J25" s="854"/>
      <c r="K25" s="855" t="e">
        <f>I25/I43</f>
        <v>#DIV/0!</v>
      </c>
      <c r="L25" s="864" t="e">
        <f>H25/N25</f>
        <v>#DIV/0!</v>
      </c>
      <c r="M25" s="865"/>
      <c r="N25" s="865"/>
      <c r="O25" s="865"/>
      <c r="P25" s="856"/>
      <c r="Q25" s="344"/>
      <c r="R25" s="866"/>
      <c r="U25" s="333"/>
    </row>
    <row r="26" spans="2:29" ht="15" customHeight="1">
      <c r="B26" s="2478"/>
      <c r="C26" s="327" t="s">
        <v>2004</v>
      </c>
      <c r="D26" s="328"/>
      <c r="E26" s="850"/>
      <c r="F26" s="362"/>
      <c r="G26" s="850"/>
      <c r="H26" s="863"/>
      <c r="I26" s="328">
        <f>H26</f>
        <v>0</v>
      </c>
      <c r="J26" s="854"/>
      <c r="K26" s="855" t="e">
        <f>I26/I43</f>
        <v>#DIV/0!</v>
      </c>
      <c r="L26" s="328" t="e">
        <f>H26/N26</f>
        <v>#DIV/0!</v>
      </c>
      <c r="M26" s="868"/>
      <c r="N26" s="868"/>
      <c r="O26" s="865"/>
      <c r="P26" s="869"/>
      <c r="Q26" s="344"/>
      <c r="R26" s="870"/>
    </row>
    <row r="27" spans="2:29" ht="15" customHeight="1">
      <c r="B27" s="2479"/>
      <c r="C27" s="336" t="s">
        <v>2005</v>
      </c>
      <c r="D27" s="337">
        <f>SUM(D24:D26)</f>
        <v>0</v>
      </c>
      <c r="E27" s="346"/>
      <c r="F27" s="339">
        <f>SUM(F24:F26)</f>
        <v>0</v>
      </c>
      <c r="G27" s="337">
        <f>SUM(G24:G26)</f>
        <v>0</v>
      </c>
      <c r="H27" s="337">
        <f>SUM(H24:H26)</f>
        <v>0</v>
      </c>
      <c r="I27" s="337">
        <f>SUM(I24:I26)</f>
        <v>0</v>
      </c>
      <c r="J27" s="337">
        <f>SUM(J24:J26)</f>
        <v>0</v>
      </c>
      <c r="K27" s="860" t="e">
        <f>(I27+J27)/(I43+J43)</f>
        <v>#DIV/0!</v>
      </c>
      <c r="L27" s="347" t="e">
        <f>H27/N27</f>
        <v>#DIV/0!</v>
      </c>
      <c r="M27" s="347">
        <f>SUM(M24:M26)</f>
        <v>0</v>
      </c>
      <c r="N27" s="347">
        <f>SUM(N24:N26)</f>
        <v>0</v>
      </c>
      <c r="O27" s="347"/>
      <c r="P27" s="347"/>
      <c r="Q27" s="871"/>
      <c r="R27" s="872"/>
    </row>
    <row r="28" spans="2:29" ht="15" customHeight="1">
      <c r="B28" s="2502" t="s">
        <v>2006</v>
      </c>
      <c r="C28" s="348" t="s">
        <v>2007</v>
      </c>
      <c r="D28" s="539"/>
      <c r="E28" s="349"/>
      <c r="F28" s="328"/>
      <c r="G28" s="850"/>
      <c r="H28" s="850"/>
      <c r="I28" s="328"/>
      <c r="J28" s="539"/>
      <c r="K28" s="873"/>
      <c r="L28" s="874"/>
      <c r="M28" s="874"/>
      <c r="N28" s="874"/>
      <c r="O28" s="874"/>
      <c r="P28" s="875"/>
    </row>
    <row r="29" spans="2:29" ht="15" customHeight="1">
      <c r="B29" s="2502"/>
      <c r="C29" s="351" t="s">
        <v>2008</v>
      </c>
      <c r="D29" s="539"/>
      <c r="E29" s="349"/>
      <c r="F29" s="328"/>
      <c r="G29" s="850"/>
      <c r="H29" s="850"/>
      <c r="I29" s="328"/>
      <c r="J29" s="539"/>
      <c r="K29" s="873"/>
      <c r="L29" s="874"/>
      <c r="M29" s="874"/>
      <c r="N29" s="874"/>
      <c r="O29" s="874"/>
      <c r="P29" s="875"/>
    </row>
    <row r="30" spans="2:29" ht="15.75" customHeight="1">
      <c r="B30" s="2502"/>
      <c r="C30" s="352" t="s">
        <v>2009</v>
      </c>
      <c r="D30" s="539"/>
      <c r="E30" s="349"/>
      <c r="F30" s="328"/>
      <c r="G30" s="850"/>
      <c r="H30" s="876"/>
      <c r="I30" s="328">
        <f>H30</f>
        <v>0</v>
      </c>
      <c r="J30" s="539"/>
      <c r="K30" s="873"/>
      <c r="L30" s="2471" t="s">
        <v>985</v>
      </c>
      <c r="M30" s="2471"/>
      <c r="N30" s="2471"/>
      <c r="O30" s="2471"/>
      <c r="P30" s="2472"/>
      <c r="S30" s="308">
        <f>H23+H27+H31</f>
        <v>0</v>
      </c>
    </row>
    <row r="31" spans="2:29" ht="15" customHeight="1">
      <c r="B31" s="2502"/>
      <c r="C31" s="336" t="s">
        <v>2005</v>
      </c>
      <c r="D31" s="353">
        <f>SUM(D28:D30)</f>
        <v>0</v>
      </c>
      <c r="E31" s="354"/>
      <c r="F31" s="339">
        <f>SUM(F28:F30)</f>
        <v>0</v>
      </c>
      <c r="G31" s="337">
        <f>SUM(G28:G30)</f>
        <v>0</v>
      </c>
      <c r="H31" s="337">
        <f>SUM(H28:H30)</f>
        <v>0</v>
      </c>
      <c r="I31" s="337">
        <f>SUM(I28:I30)</f>
        <v>0</v>
      </c>
      <c r="J31" s="337">
        <f>SUM(J28:J30)</f>
        <v>0</v>
      </c>
      <c r="K31" s="860" t="e">
        <f>(I31+J31)/(I43+J43)</f>
        <v>#DIV/0!</v>
      </c>
      <c r="L31" s="2488"/>
      <c r="M31" s="2488"/>
      <c r="N31" s="2488"/>
      <c r="O31" s="2488"/>
      <c r="P31" s="2489"/>
      <c r="S31" s="308">
        <f>D31+D27+D23</f>
        <v>0</v>
      </c>
      <c r="T31" s="308"/>
    </row>
    <row r="32" spans="2:29" ht="15" customHeight="1">
      <c r="B32" s="877"/>
      <c r="C32" s="336" t="s">
        <v>2010</v>
      </c>
      <c r="D32" s="353"/>
      <c r="E32" s="354"/>
      <c r="F32" s="337"/>
      <c r="G32" s="337"/>
      <c r="H32" s="337"/>
      <c r="I32" s="337"/>
      <c r="J32" s="337"/>
      <c r="K32" s="873"/>
      <c r="L32" s="2488"/>
      <c r="M32" s="2488"/>
      <c r="N32" s="2488"/>
      <c r="O32" s="2488"/>
      <c r="P32" s="2489"/>
    </row>
    <row r="33" spans="2:16" ht="15" customHeight="1">
      <c r="B33" s="877"/>
      <c r="C33" s="336" t="s">
        <v>2011</v>
      </c>
      <c r="D33" s="353"/>
      <c r="E33" s="354"/>
      <c r="F33" s="337"/>
      <c r="G33" s="337"/>
      <c r="H33" s="337"/>
      <c r="I33" s="337"/>
      <c r="J33" s="337"/>
      <c r="K33" s="873"/>
      <c r="L33" s="2488"/>
      <c r="M33" s="2488"/>
      <c r="N33" s="2488"/>
      <c r="O33" s="2488"/>
      <c r="P33" s="2489"/>
    </row>
    <row r="34" spans="2:16" ht="15" customHeight="1">
      <c r="B34" s="2469"/>
      <c r="C34" s="2470"/>
      <c r="D34" s="355"/>
      <c r="E34" s="356" t="s">
        <v>2012</v>
      </c>
      <c r="F34" s="355"/>
      <c r="G34" s="356"/>
      <c r="H34" s="355" t="s">
        <v>2013</v>
      </c>
      <c r="I34" s="355" t="s">
        <v>2014</v>
      </c>
      <c r="J34" s="355" t="s">
        <v>2015</v>
      </c>
      <c r="K34" s="873"/>
      <c r="L34" s="2471"/>
      <c r="M34" s="2471"/>
      <c r="N34" s="2471"/>
      <c r="O34" s="2471"/>
      <c r="P34" s="2472"/>
    </row>
    <row r="35" spans="2:16" ht="15" customHeight="1">
      <c r="B35" s="2502" t="s">
        <v>2016</v>
      </c>
      <c r="C35" s="351" t="s">
        <v>2017</v>
      </c>
      <c r="D35" s="357"/>
      <c r="E35" s="863"/>
      <c r="F35" s="328">
        <v>32</v>
      </c>
      <c r="G35" s="358"/>
      <c r="H35" s="850"/>
      <c r="I35" s="328">
        <f>H35</f>
        <v>0</v>
      </c>
      <c r="J35" s="328"/>
      <c r="K35" s="873"/>
      <c r="L35" s="2490" t="s">
        <v>2018</v>
      </c>
      <c r="M35" s="2490"/>
      <c r="N35" s="2490"/>
      <c r="O35" s="2490"/>
      <c r="P35" s="2491"/>
    </row>
    <row r="36" spans="2:16" ht="15" customHeight="1">
      <c r="B36" s="2502"/>
      <c r="C36" s="359" t="s">
        <v>2019</v>
      </c>
      <c r="D36" s="357"/>
      <c r="E36" s="360"/>
      <c r="F36" s="328"/>
      <c r="G36" s="358"/>
      <c r="H36" s="328"/>
      <c r="I36" s="328"/>
      <c r="J36" s="328"/>
      <c r="K36" s="873"/>
      <c r="L36" s="2471" t="s">
        <v>2020</v>
      </c>
      <c r="M36" s="2471"/>
      <c r="N36" s="2471"/>
      <c r="O36" s="2471"/>
      <c r="P36" s="2472"/>
    </row>
    <row r="37" spans="2:16" ht="15" customHeight="1">
      <c r="B37" s="2502"/>
      <c r="C37" s="351" t="s">
        <v>2021</v>
      </c>
      <c r="D37" s="357"/>
      <c r="E37" s="360"/>
      <c r="F37" s="328"/>
      <c r="G37" s="358"/>
      <c r="H37" s="328"/>
      <c r="I37" s="328"/>
      <c r="J37" s="328"/>
      <c r="K37" s="873"/>
      <c r="L37" s="2471" t="s">
        <v>2022</v>
      </c>
      <c r="M37" s="2471"/>
      <c r="N37" s="2471"/>
      <c r="O37" s="2471"/>
      <c r="P37" s="2472"/>
    </row>
    <row r="38" spans="2:16" ht="15" customHeight="1">
      <c r="B38" s="2502"/>
      <c r="C38" s="351" t="s">
        <v>2023</v>
      </c>
      <c r="D38" s="357"/>
      <c r="E38" s="863"/>
      <c r="F38" s="328" t="e">
        <f>H38/E38</f>
        <v>#DIV/0!</v>
      </c>
      <c r="G38" s="358"/>
      <c r="H38" s="850"/>
      <c r="I38" s="328">
        <f>H38</f>
        <v>0</v>
      </c>
      <c r="J38" s="361"/>
      <c r="K38" s="873"/>
      <c r="L38" s="2490" t="s">
        <v>2018</v>
      </c>
      <c r="M38" s="2490"/>
      <c r="N38" s="2490"/>
      <c r="O38" s="2490"/>
      <c r="P38" s="2491"/>
    </row>
    <row r="39" spans="2:16" ht="15" customHeight="1">
      <c r="B39" s="2502"/>
      <c r="C39" s="359" t="s">
        <v>2024</v>
      </c>
      <c r="D39" s="357"/>
      <c r="E39" s="362"/>
      <c r="F39" s="328"/>
      <c r="G39" s="358"/>
      <c r="H39" s="328"/>
      <c r="I39" s="328"/>
      <c r="J39" s="328"/>
      <c r="K39" s="873"/>
      <c r="L39" s="2471" t="s">
        <v>2022</v>
      </c>
      <c r="M39" s="2471"/>
      <c r="N39" s="2471"/>
      <c r="O39" s="2471"/>
      <c r="P39" s="2472"/>
    </row>
    <row r="40" spans="2:16" ht="15" customHeight="1">
      <c r="B40" s="2502"/>
      <c r="C40" s="359" t="s">
        <v>2025</v>
      </c>
      <c r="D40" s="357"/>
      <c r="E40" s="362"/>
      <c r="F40" s="328"/>
      <c r="G40" s="358"/>
      <c r="H40" s="328"/>
      <c r="I40" s="328"/>
      <c r="J40" s="328"/>
      <c r="K40" s="873"/>
      <c r="L40" s="2471" t="s">
        <v>2020</v>
      </c>
      <c r="M40" s="2471"/>
      <c r="N40" s="2471"/>
      <c r="O40" s="2471"/>
      <c r="P40" s="2472"/>
    </row>
    <row r="41" spans="2:16" ht="15" customHeight="1">
      <c r="B41" s="2502"/>
      <c r="C41" s="351" t="s">
        <v>2026</v>
      </c>
      <c r="D41" s="357"/>
      <c r="E41" s="361"/>
      <c r="F41" s="363"/>
      <c r="G41" s="363"/>
      <c r="H41" s="364"/>
      <c r="I41" s="365"/>
      <c r="J41" s="365"/>
      <c r="K41" s="878"/>
      <c r="L41" s="2471" t="s">
        <v>2027</v>
      </c>
      <c r="M41" s="2471"/>
      <c r="N41" s="2471"/>
      <c r="O41" s="2471"/>
      <c r="P41" s="2472"/>
    </row>
    <row r="42" spans="2:16" ht="15" customHeight="1">
      <c r="B42" s="2502"/>
      <c r="C42" s="336" t="s">
        <v>2005</v>
      </c>
      <c r="D42" s="366"/>
      <c r="E42" s="339">
        <f>E35+E38+E41</f>
        <v>0</v>
      </c>
      <c r="F42" s="354"/>
      <c r="G42" s="354"/>
      <c r="H42" s="337">
        <f>H38+H35</f>
        <v>0</v>
      </c>
      <c r="I42" s="337">
        <f>I38+I35</f>
        <v>0</v>
      </c>
      <c r="J42" s="337">
        <f>J38+J35</f>
        <v>0</v>
      </c>
      <c r="K42" s="340" t="e">
        <f>(I42+J42)/(I43+J43)</f>
        <v>#DIV/0!</v>
      </c>
      <c r="L42" s="2488"/>
      <c r="M42" s="2488"/>
      <c r="N42" s="2488"/>
      <c r="O42" s="2488"/>
      <c r="P42" s="2489"/>
    </row>
    <row r="43" spans="2:16" ht="15" customHeight="1">
      <c r="B43" s="2499" t="s">
        <v>2028</v>
      </c>
      <c r="C43" s="2500"/>
      <c r="D43" s="879">
        <f>D23++D27+D31+D42</f>
        <v>0</v>
      </c>
      <c r="E43" s="880">
        <f>E42</f>
        <v>0</v>
      </c>
      <c r="F43" s="881"/>
      <c r="G43" s="879">
        <f>G23+G27+G31+G42</f>
        <v>0</v>
      </c>
      <c r="H43" s="879">
        <f>H23+H27+H31+H42</f>
        <v>0</v>
      </c>
      <c r="I43" s="882">
        <f>I23++I27+I31+I42</f>
        <v>0</v>
      </c>
      <c r="J43" s="882">
        <f>J23++J27+J31+J42</f>
        <v>0</v>
      </c>
      <c r="K43" s="883" t="e">
        <f>K42+K27+K31+K23</f>
        <v>#DIV/0!</v>
      </c>
      <c r="L43" s="2486"/>
      <c r="M43" s="2486"/>
      <c r="N43" s="2486"/>
      <c r="O43" s="2486"/>
      <c r="P43" s="2487"/>
    </row>
    <row r="44" spans="2:16">
      <c r="I44" s="372"/>
      <c r="L44" s="373"/>
      <c r="M44" s="373"/>
    </row>
    <row r="45" spans="2:16">
      <c r="D45" s="308"/>
      <c r="F45" s="308"/>
      <c r="G45" s="308"/>
      <c r="H45" s="308"/>
      <c r="I45" s="308"/>
      <c r="J45" s="308"/>
    </row>
    <row r="47" spans="2:16">
      <c r="D47" s="308"/>
      <c r="E47" s="374"/>
      <c r="H47" s="374"/>
      <c r="I47" s="374"/>
      <c r="J47" s="374"/>
    </row>
    <row r="49" spans="4:4">
      <c r="D49" s="308"/>
    </row>
  </sheetData>
  <mergeCells count="59">
    <mergeCell ref="Q7:S7"/>
    <mergeCell ref="G2:H2"/>
    <mergeCell ref="D5:E5"/>
    <mergeCell ref="B28:B31"/>
    <mergeCell ref="L40:P40"/>
    <mergeCell ref="B35:B42"/>
    <mergeCell ref="B24:B27"/>
    <mergeCell ref="E7:F7"/>
    <mergeCell ref="K5:L5"/>
    <mergeCell ref="D3:E3"/>
    <mergeCell ref="I6:J6"/>
    <mergeCell ref="K6:L6"/>
    <mergeCell ref="I3:K3"/>
    <mergeCell ref="M3:O3"/>
    <mergeCell ref="E8:F8"/>
    <mergeCell ref="I4:K4"/>
    <mergeCell ref="B43:C43"/>
    <mergeCell ref="L35:P35"/>
    <mergeCell ref="L41:P41"/>
    <mergeCell ref="L42:P42"/>
    <mergeCell ref="L36:P36"/>
    <mergeCell ref="L37:P37"/>
    <mergeCell ref="B1:O1"/>
    <mergeCell ref="L43:P43"/>
    <mergeCell ref="L34:P34"/>
    <mergeCell ref="L31:P31"/>
    <mergeCell ref="L33:P33"/>
    <mergeCell ref="L38:P38"/>
    <mergeCell ref="L32:P32"/>
    <mergeCell ref="M4:N4"/>
    <mergeCell ref="D6:E6"/>
    <mergeCell ref="K8:L8"/>
    <mergeCell ref="M5:O5"/>
    <mergeCell ref="M6:O6"/>
    <mergeCell ref="B2:C2"/>
    <mergeCell ref="B18:O18"/>
    <mergeCell ref="M2:N2"/>
    <mergeCell ref="B7:C7"/>
    <mergeCell ref="I2:J2"/>
    <mergeCell ref="B3:C3"/>
    <mergeCell ref="M7:N7"/>
    <mergeCell ref="B8:C8"/>
    <mergeCell ref="B19:C19"/>
    <mergeCell ref="D2:E2"/>
    <mergeCell ref="F6:H6"/>
    <mergeCell ref="I5:J5"/>
    <mergeCell ref="G4:H4"/>
    <mergeCell ref="G3:H3"/>
    <mergeCell ref="B34:C34"/>
    <mergeCell ref="L39:P39"/>
    <mergeCell ref="L30:P30"/>
    <mergeCell ref="M8:O8"/>
    <mergeCell ref="B4:C4"/>
    <mergeCell ref="F5:H5"/>
    <mergeCell ref="K7:L7"/>
    <mergeCell ref="D4:E4"/>
    <mergeCell ref="B6:C6"/>
    <mergeCell ref="B5:C5"/>
    <mergeCell ref="B20:B23"/>
  </mergeCells>
  <phoneticPr fontId="19" type="noConversion"/>
  <printOptions horizontalCentered="1"/>
  <pageMargins left="0.74803149606299213" right="0.74803149606299213" top="0.78740157480314965" bottom="0.19685039370078741" header="0.31496062992125984" footer="0.31496062992125984"/>
  <pageSetup paperSize="9" fitToWidth="0" fitToHeight="0" orientation="landscape"/>
  <headerFooter alignWithMargins="0"/>
  <legacy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73"/>
  <sheetViews>
    <sheetView showGridLines="0" zoomScale="85" workbookViewId="0">
      <pane xSplit="4" ySplit="4" topLeftCell="AF20" activePane="bottomRight" state="frozen"/>
      <selection pane="topRight"/>
      <selection pane="bottomLeft"/>
      <selection pane="bottomRight" activeCell="AS20" sqref="AS20"/>
    </sheetView>
  </sheetViews>
  <sheetFormatPr defaultColWidth="9" defaultRowHeight="15.5" outlineLevelRow="1" outlineLevelCol="1"/>
  <cols>
    <col min="1" max="1" width="3.5" style="375" customWidth="1"/>
    <col min="2" max="2" width="11.6640625" style="376" customWidth="1"/>
    <col min="3" max="3" width="5.5" style="377" customWidth="1"/>
    <col min="4" max="4" width="29.08203125" style="378" customWidth="1"/>
    <col min="5" max="5" width="9.58203125" style="379" customWidth="1"/>
    <col min="6" max="7" width="9.58203125" style="379" hidden="1" outlineLevel="1"/>
    <col min="8" max="8" width="9.58203125" style="379" customWidth="1"/>
    <col min="9" max="10" width="9.58203125" style="379" hidden="1" outlineLevel="1"/>
    <col min="11" max="11" width="9.58203125" style="379" customWidth="1"/>
    <col min="12" max="13" width="9.58203125" style="379" hidden="1" outlineLevel="1"/>
    <col min="14" max="14" width="9.58203125" style="379" customWidth="1"/>
    <col min="15" max="16" width="9.58203125" style="379" hidden="1" outlineLevel="1"/>
    <col min="17" max="17" width="9.58203125" style="379" customWidth="1"/>
    <col min="18" max="19" width="9.58203125" style="379" hidden="1" outlineLevel="1"/>
    <col min="20" max="20" width="9.58203125" style="379" customWidth="1"/>
    <col min="21" max="22" width="9.58203125" style="379" hidden="1" outlineLevel="1"/>
    <col min="23" max="23" width="9.58203125" style="379" customWidth="1"/>
    <col min="24" max="25" width="9.58203125" style="379" hidden="1" outlineLevel="1"/>
    <col min="26" max="26" width="9.58203125" style="379" customWidth="1"/>
    <col min="27" max="28" width="11.1640625" style="380" hidden="1" outlineLevel="1"/>
    <col min="29" max="29" width="11.1640625" style="380" customWidth="1"/>
    <col min="30" max="31" width="10" style="380" hidden="1" outlineLevel="1"/>
    <col min="32" max="32" width="2.1640625" style="381" customWidth="1"/>
    <col min="33" max="33" width="10.83203125" style="380" customWidth="1"/>
    <col min="34" max="35" width="10.83203125" style="380" hidden="1" outlineLevel="1"/>
    <col min="36" max="36" width="10.83203125" style="380" customWidth="1"/>
    <col min="37" max="38" width="9.58203125" style="380" hidden="1" outlineLevel="1"/>
    <col min="39" max="39" width="10.83203125" style="380" customWidth="1"/>
    <col min="40" max="41" width="10.83203125" style="380" hidden="1" outlineLevel="1"/>
    <col min="42" max="42" width="10.83203125" style="380" customWidth="1"/>
    <col min="43" max="44" width="9.58203125" style="380" hidden="1" outlineLevel="1"/>
    <col min="45" max="45" width="10.83203125" style="380" customWidth="1"/>
    <col min="46" max="47" width="9.58203125" style="380" hidden="1" outlineLevel="1"/>
    <col min="48" max="48" width="9.58203125" style="380" customWidth="1"/>
    <col min="49" max="50" width="9.83203125" style="380" hidden="1" outlineLevel="1"/>
    <col min="51" max="51" width="10.83203125" style="380" customWidth="1"/>
    <col min="52" max="53" width="9.58203125" style="380" hidden="1" outlineLevel="1"/>
    <col min="54" max="54" width="9.83203125" style="380" customWidth="1"/>
    <col min="55" max="56" width="10.6640625" style="380" customWidth="1" outlineLevel="1"/>
    <col min="57" max="57" width="1.83203125" style="382" customWidth="1"/>
    <col min="58" max="58" width="16" style="383" customWidth="1"/>
    <col min="59" max="59" width="10.5" style="383" customWidth="1"/>
    <col min="60" max="60" width="12.6640625" style="383" customWidth="1"/>
    <col min="61" max="61" width="9" style="383" customWidth="1"/>
    <col min="62" max="256" width="9" style="375" customWidth="1"/>
  </cols>
  <sheetData>
    <row r="1" spans="1:62" ht="18" customHeight="1">
      <c r="A1" s="375" t="s">
        <v>986</v>
      </c>
      <c r="C1" s="2521" t="s">
        <v>987</v>
      </c>
      <c r="D1" s="2521"/>
      <c r="E1" s="384"/>
      <c r="F1" s="385"/>
      <c r="G1" s="385"/>
      <c r="H1" s="385"/>
      <c r="I1" s="385"/>
      <c r="J1" s="385"/>
      <c r="K1" s="384"/>
      <c r="L1" s="385"/>
      <c r="M1" s="385"/>
      <c r="N1" s="385"/>
      <c r="O1" s="385"/>
      <c r="P1" s="385"/>
      <c r="Q1" s="385"/>
      <c r="R1" s="385"/>
      <c r="S1" s="385"/>
      <c r="T1" s="385"/>
      <c r="U1" s="385"/>
      <c r="V1" s="385"/>
      <c r="W1" s="385"/>
      <c r="X1" s="385"/>
      <c r="Y1" s="385"/>
      <c r="Z1" s="385"/>
      <c r="AA1" s="385"/>
      <c r="AB1" s="385"/>
      <c r="AC1" s="385"/>
      <c r="AD1" s="384"/>
      <c r="AE1" s="384"/>
      <c r="AF1" s="386"/>
      <c r="AG1" s="387"/>
      <c r="AH1" s="387"/>
      <c r="AI1" s="387"/>
      <c r="AJ1" s="387"/>
      <c r="AK1" s="384"/>
      <c r="AL1" s="384"/>
      <c r="AM1" s="387"/>
      <c r="AN1" s="387"/>
      <c r="AO1" s="387"/>
      <c r="AP1" s="387"/>
      <c r="AQ1" s="384"/>
      <c r="AR1" s="384"/>
      <c r="AS1" s="387"/>
      <c r="AT1" s="384"/>
      <c r="AU1" s="384"/>
      <c r="AV1" s="384"/>
      <c r="AW1" s="384"/>
      <c r="AX1" s="384"/>
      <c r="AY1" s="387"/>
      <c r="AZ1" s="384"/>
      <c r="BA1" s="384"/>
      <c r="BB1" s="384"/>
      <c r="BC1" s="384"/>
      <c r="BD1" s="384"/>
      <c r="BE1" s="388"/>
      <c r="BF1" s="389"/>
    </row>
    <row r="2" spans="1:62" ht="18" customHeight="1">
      <c r="C2" s="884"/>
      <c r="D2" s="8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6"/>
      <c r="AG2" s="390"/>
      <c r="AH2" s="390"/>
      <c r="AI2" s="390"/>
      <c r="AJ2" s="390"/>
      <c r="AK2" s="384"/>
      <c r="AL2" s="384"/>
      <c r="AM2" s="390"/>
      <c r="AN2" s="390"/>
      <c r="AO2" s="390"/>
      <c r="AP2" s="390"/>
      <c r="AQ2" s="384"/>
      <c r="AR2" s="384"/>
      <c r="AS2" s="390"/>
      <c r="AT2" s="384"/>
      <c r="AU2" s="384"/>
      <c r="AV2" s="384"/>
      <c r="AW2" s="384"/>
      <c r="AX2" s="384"/>
      <c r="AY2" s="390"/>
      <c r="AZ2" s="384"/>
      <c r="BA2" s="384"/>
      <c r="BB2" s="384"/>
      <c r="BC2" s="384"/>
      <c r="BD2" s="384"/>
      <c r="BE2" s="388"/>
      <c r="BF2" s="389"/>
    </row>
    <row r="3" spans="1:62" ht="20.149999999999999" customHeight="1">
      <c r="B3" s="2508"/>
      <c r="C3" s="2508" t="s">
        <v>25</v>
      </c>
      <c r="D3" s="2515" t="s">
        <v>988</v>
      </c>
      <c r="E3" s="2510"/>
      <c r="F3" s="2510"/>
      <c r="G3" s="2510"/>
      <c r="H3" s="2510"/>
      <c r="I3" s="2510"/>
      <c r="J3" s="2510"/>
      <c r="K3" s="2510"/>
      <c r="L3" s="2510"/>
      <c r="M3" s="2510"/>
      <c r="N3" s="2510"/>
      <c r="O3" s="2510"/>
      <c r="P3" s="2510"/>
      <c r="Q3" s="2510"/>
      <c r="R3" s="2510"/>
      <c r="S3" s="2510"/>
      <c r="T3" s="2510"/>
      <c r="U3" s="2510"/>
      <c r="V3" s="2510"/>
      <c r="W3" s="2510"/>
      <c r="X3" s="2510"/>
      <c r="Y3" s="2510"/>
      <c r="Z3" s="2510"/>
      <c r="AA3" s="2510"/>
      <c r="AB3" s="2510"/>
      <c r="AC3" s="2510"/>
      <c r="AD3" s="2510"/>
      <c r="AE3" s="2511"/>
      <c r="AF3" s="391"/>
      <c r="AG3" s="2509" t="s">
        <v>989</v>
      </c>
      <c r="AH3" s="2510"/>
      <c r="AI3" s="2510"/>
      <c r="AJ3" s="2510"/>
      <c r="AK3" s="2510"/>
      <c r="AL3" s="2510"/>
      <c r="AM3" s="2510"/>
      <c r="AN3" s="2510"/>
      <c r="AO3" s="2510"/>
      <c r="AP3" s="2510"/>
      <c r="AQ3" s="2510"/>
      <c r="AR3" s="2510"/>
      <c r="AS3" s="2510"/>
      <c r="AT3" s="2510"/>
      <c r="AU3" s="2510"/>
      <c r="AV3" s="2510"/>
      <c r="AW3" s="2510"/>
      <c r="AX3" s="2510"/>
      <c r="AY3" s="2510"/>
      <c r="AZ3" s="2510"/>
      <c r="BA3" s="2510"/>
      <c r="BB3" s="2510"/>
      <c r="BC3" s="2510"/>
      <c r="BD3" s="2510"/>
      <c r="BE3" s="2511"/>
      <c r="BF3" s="2516" t="s">
        <v>990</v>
      </c>
    </row>
    <row r="4" spans="1:62" s="392" customFormat="1" ht="32" customHeight="1">
      <c r="B4" s="2508"/>
      <c r="C4" s="2508"/>
      <c r="D4" s="2515"/>
      <c r="E4" s="2512" t="str">
        <f>'2-规划指标'!C20</f>
        <v>高层住宅（15F）</v>
      </c>
      <c r="F4" s="2513"/>
      <c r="G4" s="2514"/>
      <c r="H4" s="2512" t="str">
        <f>'2-规划指标'!C21</f>
        <v>叠拼（4F）</v>
      </c>
      <c r="I4" s="2513"/>
      <c r="J4" s="2513"/>
      <c r="K4" s="2512" t="str">
        <f>'2-规划指标'!C22</f>
        <v>小联排（3F）</v>
      </c>
      <c r="L4" s="2513"/>
      <c r="M4" s="2514"/>
      <c r="N4" s="2512" t="str">
        <f>'2-规划指标'!C24</f>
        <v>底层商业（1-2F）</v>
      </c>
      <c r="O4" s="2513"/>
      <c r="P4" s="2513"/>
      <c r="Q4" s="2512" t="str">
        <f>'2-规划指标'!C25</f>
        <v>商墅（3-5F）</v>
      </c>
      <c r="R4" s="2513"/>
      <c r="S4" s="2513"/>
      <c r="T4" s="2512" t="s">
        <v>991</v>
      </c>
      <c r="U4" s="2513"/>
      <c r="V4" s="2514"/>
      <c r="W4" s="2512" t="str">
        <f>'2-规划指标'!C26</f>
        <v>高层公寓(15F)</v>
      </c>
      <c r="X4" s="2513"/>
      <c r="Y4" s="2513"/>
      <c r="Z4" s="2512" t="s">
        <v>992</v>
      </c>
      <c r="AA4" s="2513"/>
      <c r="AB4" s="2514"/>
      <c r="AC4" s="2509" t="s">
        <v>993</v>
      </c>
      <c r="AD4" s="2510"/>
      <c r="AE4" s="2511"/>
      <c r="AF4" s="391"/>
      <c r="AG4" s="2509" t="str">
        <f>E4</f>
        <v>高层住宅（15F）</v>
      </c>
      <c r="AH4" s="2510"/>
      <c r="AI4" s="2511"/>
      <c r="AJ4" s="2509" t="str">
        <f>H4</f>
        <v>叠拼（4F）</v>
      </c>
      <c r="AK4" s="2510"/>
      <c r="AL4" s="2511"/>
      <c r="AM4" s="2509" t="str">
        <f>K4</f>
        <v>小联排（3F）</v>
      </c>
      <c r="AN4" s="2510"/>
      <c r="AO4" s="2511"/>
      <c r="AP4" s="2509" t="str">
        <f>N4</f>
        <v>底层商业（1-2F）</v>
      </c>
      <c r="AQ4" s="2510"/>
      <c r="AR4" s="2511"/>
      <c r="AS4" s="2509" t="str">
        <f>Q4</f>
        <v>商墅（3-5F）</v>
      </c>
      <c r="AT4" s="2510"/>
      <c r="AU4" s="2511"/>
      <c r="AV4" s="2509" t="str">
        <f>T4</f>
        <v>地库</v>
      </c>
      <c r="AW4" s="2510"/>
      <c r="AX4" s="2511"/>
      <c r="AY4" s="2509" t="str">
        <f>W4</f>
        <v>高层公寓(15F)</v>
      </c>
      <c r="AZ4" s="2510"/>
      <c r="BA4" s="2511"/>
      <c r="BB4" s="2522" t="s">
        <v>138</v>
      </c>
      <c r="BC4" s="2523"/>
      <c r="BD4" s="2524"/>
      <c r="BE4" s="393"/>
      <c r="BF4" s="2516"/>
      <c r="BG4" s="394"/>
      <c r="BH4" s="394"/>
      <c r="BI4" s="394"/>
    </row>
    <row r="5" spans="1:62" s="392" customFormat="1" ht="32" customHeight="1">
      <c r="B5" s="885"/>
      <c r="C5" s="885"/>
      <c r="D5" s="886"/>
      <c r="E5" s="886" t="s">
        <v>994</v>
      </c>
      <c r="F5" s="886" t="s">
        <v>995</v>
      </c>
      <c r="G5" s="886" t="s">
        <v>996</v>
      </c>
      <c r="H5" s="887" t="s">
        <v>994</v>
      </c>
      <c r="I5" s="887" t="s">
        <v>995</v>
      </c>
      <c r="J5" s="887" t="s">
        <v>996</v>
      </c>
      <c r="K5" s="886" t="s">
        <v>994</v>
      </c>
      <c r="L5" s="886" t="s">
        <v>995</v>
      </c>
      <c r="M5" s="886" t="s">
        <v>996</v>
      </c>
      <c r="N5" s="886" t="s">
        <v>994</v>
      </c>
      <c r="O5" s="886" t="s">
        <v>995</v>
      </c>
      <c r="P5" s="886" t="s">
        <v>996</v>
      </c>
      <c r="Q5" s="888" t="s">
        <v>994</v>
      </c>
      <c r="R5" s="888" t="s">
        <v>995</v>
      </c>
      <c r="S5" s="888" t="s">
        <v>996</v>
      </c>
      <c r="T5" s="886" t="s">
        <v>994</v>
      </c>
      <c r="U5" s="886" t="s">
        <v>995</v>
      </c>
      <c r="V5" s="886" t="s">
        <v>996</v>
      </c>
      <c r="W5" s="888" t="s">
        <v>994</v>
      </c>
      <c r="X5" s="888" t="s">
        <v>995</v>
      </c>
      <c r="Y5" s="888" t="s">
        <v>996</v>
      </c>
      <c r="Z5" s="886" t="s">
        <v>994</v>
      </c>
      <c r="AA5" s="886" t="s">
        <v>995</v>
      </c>
      <c r="AB5" s="886" t="s">
        <v>996</v>
      </c>
      <c r="AC5" s="886" t="s">
        <v>994</v>
      </c>
      <c r="AD5" s="886" t="s">
        <v>995</v>
      </c>
      <c r="AE5" s="886" t="s">
        <v>996</v>
      </c>
      <c r="AF5" s="391"/>
      <c r="AG5" s="886" t="s">
        <v>997</v>
      </c>
      <c r="AH5" s="886" t="s">
        <v>998</v>
      </c>
      <c r="AI5" s="886" t="s">
        <v>999</v>
      </c>
      <c r="AJ5" s="887" t="s">
        <v>138</v>
      </c>
      <c r="AK5" s="887" t="s">
        <v>998</v>
      </c>
      <c r="AL5" s="887" t="s">
        <v>472</v>
      </c>
      <c r="AM5" s="886" t="s">
        <v>997</v>
      </c>
      <c r="AN5" s="886" t="s">
        <v>998</v>
      </c>
      <c r="AO5" s="886" t="s">
        <v>999</v>
      </c>
      <c r="AP5" s="886" t="s">
        <v>997</v>
      </c>
      <c r="AQ5" s="886" t="s">
        <v>998</v>
      </c>
      <c r="AR5" s="886" t="s">
        <v>999</v>
      </c>
      <c r="AS5" s="888" t="s">
        <v>138</v>
      </c>
      <c r="AT5" s="888" t="s">
        <v>998</v>
      </c>
      <c r="AU5" s="888" t="s">
        <v>472</v>
      </c>
      <c r="AV5" s="886" t="s">
        <v>997</v>
      </c>
      <c r="AW5" s="886" t="s">
        <v>998</v>
      </c>
      <c r="AX5" s="886" t="s">
        <v>999</v>
      </c>
      <c r="AY5" s="888" t="s">
        <v>138</v>
      </c>
      <c r="AZ5" s="888" t="s">
        <v>998</v>
      </c>
      <c r="BA5" s="888" t="s">
        <v>472</v>
      </c>
      <c r="BB5" s="886" t="s">
        <v>997</v>
      </c>
      <c r="BC5" s="886" t="s">
        <v>998</v>
      </c>
      <c r="BD5" s="886" t="s">
        <v>999</v>
      </c>
      <c r="BE5" s="393"/>
      <c r="BF5" s="889"/>
      <c r="BG5" s="394"/>
      <c r="BH5" s="394"/>
      <c r="BI5" s="394"/>
    </row>
    <row r="6" spans="1:62" s="392" customFormat="1" ht="15.75" customHeight="1">
      <c r="B6" s="397"/>
      <c r="C6" s="397"/>
      <c r="D6" s="398" t="s">
        <v>1000</v>
      </c>
      <c r="E6" s="399" t="s">
        <v>1001</v>
      </c>
      <c r="F6" s="399" t="s">
        <v>1001</v>
      </c>
      <c r="G6" s="399" t="s">
        <v>1001</v>
      </c>
      <c r="H6" s="399" t="s">
        <v>473</v>
      </c>
      <c r="I6" s="399" t="s">
        <v>473</v>
      </c>
      <c r="J6" s="399" t="s">
        <v>473</v>
      </c>
      <c r="K6" s="399" t="s">
        <v>1001</v>
      </c>
      <c r="L6" s="399" t="s">
        <v>1001</v>
      </c>
      <c r="M6" s="399" t="s">
        <v>1001</v>
      </c>
      <c r="N6" s="399" t="s">
        <v>1001</v>
      </c>
      <c r="O6" s="399" t="s">
        <v>1001</v>
      </c>
      <c r="P6" s="399" t="s">
        <v>1001</v>
      </c>
      <c r="Q6" s="399" t="s">
        <v>473</v>
      </c>
      <c r="R6" s="399" t="s">
        <v>473</v>
      </c>
      <c r="S6" s="399" t="s">
        <v>473</v>
      </c>
      <c r="T6" s="399" t="s">
        <v>1001</v>
      </c>
      <c r="U6" s="399" t="s">
        <v>1001</v>
      </c>
      <c r="V6" s="399" t="s">
        <v>1001</v>
      </c>
      <c r="W6" s="399" t="s">
        <v>1917</v>
      </c>
      <c r="X6" s="399" t="s">
        <v>1917</v>
      </c>
      <c r="Y6" s="399" t="s">
        <v>1917</v>
      </c>
      <c r="Z6" s="399" t="s">
        <v>1001</v>
      </c>
      <c r="AA6" s="399" t="s">
        <v>1001</v>
      </c>
      <c r="AB6" s="399" t="s">
        <v>1001</v>
      </c>
      <c r="AC6" s="399" t="s">
        <v>1001</v>
      </c>
      <c r="AD6" s="399" t="s">
        <v>1001</v>
      </c>
      <c r="AE6" s="399" t="s">
        <v>1001</v>
      </c>
      <c r="AF6" s="400"/>
      <c r="AG6" s="399">
        <f>'2-规划指标'!H20</f>
        <v>0</v>
      </c>
      <c r="AH6" s="399">
        <f>AG6</f>
        <v>0</v>
      </c>
      <c r="AI6" s="399">
        <f>AG6</f>
        <v>0</v>
      </c>
      <c r="AJ6" s="399">
        <f>'2-规划指标'!H21</f>
        <v>0</v>
      </c>
      <c r="AK6" s="399">
        <f>AJ6</f>
        <v>0</v>
      </c>
      <c r="AL6" s="399">
        <f>AJ6</f>
        <v>0</v>
      </c>
      <c r="AM6" s="399">
        <f>'2-规划指标'!H22</f>
        <v>0</v>
      </c>
      <c r="AN6" s="399">
        <f>AM6</f>
        <v>0</v>
      </c>
      <c r="AO6" s="399">
        <f>AM6</f>
        <v>0</v>
      </c>
      <c r="AP6" s="399">
        <f>'2-规划指标'!H24</f>
        <v>0</v>
      </c>
      <c r="AQ6" s="399">
        <f>AP6</f>
        <v>0</v>
      </c>
      <c r="AR6" s="399">
        <f>AP6</f>
        <v>0</v>
      </c>
      <c r="AS6" s="399">
        <f>'2-规划指标'!H25</f>
        <v>0</v>
      </c>
      <c r="AT6" s="399">
        <f>AS6</f>
        <v>0</v>
      </c>
      <c r="AU6" s="399">
        <f>AS6</f>
        <v>0</v>
      </c>
      <c r="AV6" s="399">
        <f>'2-规划指标'!H42</f>
        <v>0</v>
      </c>
      <c r="AW6" s="399">
        <f>AV6</f>
        <v>0</v>
      </c>
      <c r="AX6" s="399">
        <f>AV6</f>
        <v>0</v>
      </c>
      <c r="AY6" s="399">
        <f>'2-规划指标'!H26</f>
        <v>0</v>
      </c>
      <c r="AZ6" s="399">
        <f>AY6</f>
        <v>0</v>
      </c>
      <c r="BA6" s="399">
        <f>AY6</f>
        <v>0</v>
      </c>
      <c r="BB6" s="399">
        <f>AG6+AJ6+AM6+AP6+AS6+AV6+AY6</f>
        <v>0</v>
      </c>
      <c r="BC6" s="399">
        <f>BB6</f>
        <v>0</v>
      </c>
      <c r="BD6" s="399">
        <f>BB6</f>
        <v>0</v>
      </c>
      <c r="BE6" s="400"/>
      <c r="BF6" s="401"/>
      <c r="BG6" s="402"/>
      <c r="BH6" s="402"/>
      <c r="BI6" s="402"/>
    </row>
    <row r="7" spans="1:62" s="392" customFormat="1" ht="15.75" customHeight="1">
      <c r="B7" s="397"/>
      <c r="C7" s="397"/>
      <c r="D7" s="398" t="s">
        <v>474</v>
      </c>
      <c r="E7" s="399" t="s">
        <v>473</v>
      </c>
      <c r="F7" s="399" t="s">
        <v>473</v>
      </c>
      <c r="G7" s="399" t="s">
        <v>473</v>
      </c>
      <c r="H7" s="399" t="s">
        <v>473</v>
      </c>
      <c r="I7" s="399" t="s">
        <v>473</v>
      </c>
      <c r="J7" s="399" t="s">
        <v>473</v>
      </c>
      <c r="K7" s="399" t="s">
        <v>473</v>
      </c>
      <c r="L7" s="399" t="s">
        <v>473</v>
      </c>
      <c r="M7" s="399" t="s">
        <v>473</v>
      </c>
      <c r="N7" s="399" t="s">
        <v>473</v>
      </c>
      <c r="O7" s="399" t="s">
        <v>473</v>
      </c>
      <c r="P7" s="399" t="s">
        <v>473</v>
      </c>
      <c r="Q7" s="399" t="s">
        <v>473</v>
      </c>
      <c r="R7" s="399" t="s">
        <v>473</v>
      </c>
      <c r="S7" s="399" t="s">
        <v>473</v>
      </c>
      <c r="T7" s="399" t="s">
        <v>473</v>
      </c>
      <c r="U7" s="399" t="s">
        <v>473</v>
      </c>
      <c r="V7" s="399" t="s">
        <v>473</v>
      </c>
      <c r="W7" s="399" t="s">
        <v>1917</v>
      </c>
      <c r="X7" s="399" t="s">
        <v>1917</v>
      </c>
      <c r="Y7" s="399" t="s">
        <v>1917</v>
      </c>
      <c r="Z7" s="399" t="s">
        <v>473</v>
      </c>
      <c r="AA7" s="399" t="s">
        <v>473</v>
      </c>
      <c r="AB7" s="399" t="s">
        <v>473</v>
      </c>
      <c r="AC7" s="399" t="s">
        <v>473</v>
      </c>
      <c r="AD7" s="399" t="s">
        <v>473</v>
      </c>
      <c r="AE7" s="399" t="s">
        <v>473</v>
      </c>
      <c r="AF7" s="400"/>
      <c r="AG7" s="399">
        <f>'2-规划指标'!I20</f>
        <v>0</v>
      </c>
      <c r="AH7" s="399">
        <f>AG7</f>
        <v>0</v>
      </c>
      <c r="AI7" s="399">
        <f>AG7</f>
        <v>0</v>
      </c>
      <c r="AJ7" s="399">
        <f>'2-规划指标'!I21</f>
        <v>0</v>
      </c>
      <c r="AK7" s="399">
        <f>AJ7</f>
        <v>0</v>
      </c>
      <c r="AL7" s="399">
        <f>AJ7</f>
        <v>0</v>
      </c>
      <c r="AM7" s="399">
        <f>'2-规划指标'!I22</f>
        <v>0</v>
      </c>
      <c r="AN7" s="399">
        <f>AM7</f>
        <v>0</v>
      </c>
      <c r="AO7" s="399">
        <f>AM7</f>
        <v>0</v>
      </c>
      <c r="AP7" s="399">
        <f>'2-规划指标'!I24</f>
        <v>0</v>
      </c>
      <c r="AQ7" s="399">
        <f>AP7</f>
        <v>0</v>
      </c>
      <c r="AR7" s="399">
        <f>AP7</f>
        <v>0</v>
      </c>
      <c r="AS7" s="399">
        <f>'2-规划指标'!I25</f>
        <v>0</v>
      </c>
      <c r="AT7" s="399">
        <f>AS7</f>
        <v>0</v>
      </c>
      <c r="AU7" s="399">
        <f>AS7</f>
        <v>0</v>
      </c>
      <c r="AV7" s="399">
        <f>'2-规划指标'!I42</f>
        <v>0</v>
      </c>
      <c r="AW7" s="399">
        <f>AV7</f>
        <v>0</v>
      </c>
      <c r="AX7" s="399">
        <f>AV7</f>
        <v>0</v>
      </c>
      <c r="AY7" s="399">
        <f>'2-规划指标'!I26</f>
        <v>0</v>
      </c>
      <c r="AZ7" s="399">
        <f>AY7</f>
        <v>0</v>
      </c>
      <c r="BA7" s="399">
        <f>AY7</f>
        <v>0</v>
      </c>
      <c r="BB7" s="399">
        <f>AG7+AJ7+AM7+AP7+AS7+AV7+AY7</f>
        <v>0</v>
      </c>
      <c r="BC7" s="399">
        <f>BB7</f>
        <v>0</v>
      </c>
      <c r="BD7" s="399">
        <f>BB7</f>
        <v>0</v>
      </c>
      <c r="BE7" s="400"/>
      <c r="BF7" s="401"/>
      <c r="BG7" s="402"/>
      <c r="BH7" s="402"/>
      <c r="BI7" s="402"/>
    </row>
    <row r="8" spans="1:62" s="392" customFormat="1" ht="15.75" customHeight="1">
      <c r="B8" s="397"/>
      <c r="C8" s="397"/>
      <c r="D8" s="398" t="s">
        <v>431</v>
      </c>
      <c r="E8" s="399" t="s">
        <v>473</v>
      </c>
      <c r="F8" s="399" t="s">
        <v>473</v>
      </c>
      <c r="G8" s="399" t="s">
        <v>473</v>
      </c>
      <c r="H8" s="399" t="s">
        <v>473</v>
      </c>
      <c r="I8" s="399" t="s">
        <v>473</v>
      </c>
      <c r="J8" s="399" t="s">
        <v>473</v>
      </c>
      <c r="K8" s="399" t="s">
        <v>473</v>
      </c>
      <c r="L8" s="399" t="s">
        <v>473</v>
      </c>
      <c r="M8" s="399" t="s">
        <v>473</v>
      </c>
      <c r="N8" s="399" t="s">
        <v>473</v>
      </c>
      <c r="O8" s="399" t="s">
        <v>473</v>
      </c>
      <c r="P8" s="399" t="s">
        <v>473</v>
      </c>
      <c r="Q8" s="399" t="s">
        <v>473</v>
      </c>
      <c r="R8" s="399" t="s">
        <v>473</v>
      </c>
      <c r="S8" s="399" t="s">
        <v>473</v>
      </c>
      <c r="T8" s="399" t="s">
        <v>473</v>
      </c>
      <c r="U8" s="399" t="s">
        <v>473</v>
      </c>
      <c r="V8" s="399" t="s">
        <v>473</v>
      </c>
      <c r="W8" s="399" t="s">
        <v>1917</v>
      </c>
      <c r="X8" s="399" t="s">
        <v>1917</v>
      </c>
      <c r="Y8" s="399" t="s">
        <v>1917</v>
      </c>
      <c r="Z8" s="399" t="s">
        <v>473</v>
      </c>
      <c r="AA8" s="399" t="s">
        <v>473</v>
      </c>
      <c r="AB8" s="399" t="s">
        <v>473</v>
      </c>
      <c r="AC8" s="399" t="s">
        <v>473</v>
      </c>
      <c r="AD8" s="399" t="s">
        <v>473</v>
      </c>
      <c r="AE8" s="399" t="s">
        <v>473</v>
      </c>
      <c r="AF8" s="400"/>
      <c r="AG8" s="399">
        <f>'2-规划指标'!D20</f>
        <v>0</v>
      </c>
      <c r="AH8" s="399">
        <f>AG8</f>
        <v>0</v>
      </c>
      <c r="AI8" s="399">
        <f>AG8</f>
        <v>0</v>
      </c>
      <c r="AJ8" s="399">
        <f>'2-规划指标'!D21</f>
        <v>0</v>
      </c>
      <c r="AK8" s="399">
        <f>AJ8</f>
        <v>0</v>
      </c>
      <c r="AL8" s="399">
        <f>AJ8</f>
        <v>0</v>
      </c>
      <c r="AM8" s="399">
        <f>'2-规划指标'!D22</f>
        <v>0</v>
      </c>
      <c r="AN8" s="399">
        <f>AM8</f>
        <v>0</v>
      </c>
      <c r="AO8" s="399">
        <f>AM8</f>
        <v>0</v>
      </c>
      <c r="AP8" s="399">
        <f>'2-规划指标'!D24</f>
        <v>0</v>
      </c>
      <c r="AQ8" s="399">
        <f>AP8</f>
        <v>0</v>
      </c>
      <c r="AR8" s="399">
        <f>AP8</f>
        <v>0</v>
      </c>
      <c r="AS8" s="399">
        <f>'2-规划指标'!D25</f>
        <v>0</v>
      </c>
      <c r="AT8" s="399">
        <f>AS8</f>
        <v>0</v>
      </c>
      <c r="AU8" s="399">
        <f>AS8</f>
        <v>0</v>
      </c>
      <c r="AV8" s="399">
        <v>0</v>
      </c>
      <c r="AW8" s="399">
        <f>AV8</f>
        <v>0</v>
      </c>
      <c r="AX8" s="399">
        <f>AV8</f>
        <v>0</v>
      </c>
      <c r="AY8" s="399">
        <f>'2-规划指标'!G26</f>
        <v>0</v>
      </c>
      <c r="AZ8" s="399">
        <f>AY8</f>
        <v>0</v>
      </c>
      <c r="BA8" s="399">
        <f>AY8</f>
        <v>0</v>
      </c>
      <c r="BB8" s="399">
        <f>AG8+AJ8+AM8+AP8+AS8+AV8+AY8</f>
        <v>0</v>
      </c>
      <c r="BC8" s="399">
        <f>BB8</f>
        <v>0</v>
      </c>
      <c r="BD8" s="399">
        <f>BB8</f>
        <v>0</v>
      </c>
      <c r="BE8" s="400"/>
      <c r="BF8" s="401"/>
      <c r="BG8" s="402"/>
      <c r="BH8" s="402"/>
      <c r="BI8" s="402"/>
    </row>
    <row r="9" spans="1:62" s="403" customFormat="1" ht="15.75" customHeight="1">
      <c r="B9" s="404">
        <v>5001.01</v>
      </c>
      <c r="C9" s="405" t="s">
        <v>26</v>
      </c>
      <c r="D9" s="406" t="s">
        <v>1002</v>
      </c>
      <c r="E9" s="407" t="str">
        <f t="shared" ref="E9:E17" si="0">IF(AG$7=0,"",AG9*10000/AG$7)</f>
        <v/>
      </c>
      <c r="F9" s="407" t="str">
        <f t="shared" ref="F9:F17" si="1">IF(AH$7=0,"",AH9*10000/AH$7)</f>
        <v/>
      </c>
      <c r="G9" s="407" t="str">
        <f t="shared" ref="G9:G17" si="2">IF(AI$7=0,"",AI9*10000/AI$7)</f>
        <v/>
      </c>
      <c r="H9" s="407" t="str">
        <f t="shared" ref="H9:H40" si="3">IF(AJ$7=0,"",AJ9*10000/AJ$7)</f>
        <v/>
      </c>
      <c r="I9" s="407" t="str">
        <f t="shared" ref="I9:I40" si="4">IF(AK$7=0,"",AK9*10000/AK$7)</f>
        <v/>
      </c>
      <c r="J9" s="407" t="str">
        <f t="shared" ref="J9:J40" si="5">IF(AL$7=0,"",AL9*10000/AL$7)</f>
        <v/>
      </c>
      <c r="K9" s="407" t="str">
        <f t="shared" ref="K9:K17" si="6">IF(AM$7=0,"",AM9*10000/AM$7)</f>
        <v/>
      </c>
      <c r="L9" s="407" t="str">
        <f t="shared" ref="L9:L17" si="7">IF(AN$7=0,"",AN9*10000/AN$7)</f>
        <v/>
      </c>
      <c r="M9" s="407" t="str">
        <f t="shared" ref="M9:M17" si="8">IF(AO$7=0,"",AO9*10000/AO$7)</f>
        <v/>
      </c>
      <c r="N9" s="407" t="str">
        <f t="shared" ref="N9:N17" si="9">IF(AP$7=0,"",AP9*10000/AP$7)</f>
        <v/>
      </c>
      <c r="O9" s="407" t="str">
        <f t="shared" ref="O9:O17" si="10">IF(AQ$7=0,"",AQ9*10000/AQ$7)</f>
        <v/>
      </c>
      <c r="P9" s="407" t="str">
        <f t="shared" ref="P9:P17" si="11">IF(AR$7=0,"",AR9*10000/AR$7)</f>
        <v/>
      </c>
      <c r="Q9" s="407" t="str">
        <f t="shared" ref="Q9:Q42" si="12">IF(AS$7=0,"",AS9*10000/AS$7)</f>
        <v/>
      </c>
      <c r="R9" s="407" t="str">
        <f t="shared" ref="R9:R42" si="13">IF(AT$7=0,"",AT9*10000/AT$7)</f>
        <v/>
      </c>
      <c r="S9" s="407" t="str">
        <f t="shared" ref="S9:S42" si="14">IF(AU$7=0,"",AU9*10000/AU$7)</f>
        <v/>
      </c>
      <c r="T9" s="407" t="str">
        <f t="shared" ref="T9:T17" si="15">IF(AV$7=0,"",AV9*10000/AV$7)</f>
        <v/>
      </c>
      <c r="U9" s="407" t="str">
        <f t="shared" ref="U9:U17" si="16">IF(AW$7=0,"",AW9*10000/AW$7)</f>
        <v/>
      </c>
      <c r="V9" s="407" t="str">
        <f t="shared" ref="V9:V17" si="17">IF(AX$7=0,"",AX9*10000/AX$7)</f>
        <v/>
      </c>
      <c r="W9" s="407" t="str">
        <f>IF(AY$7=0,"",AY9*10000/AY$7)</f>
        <v/>
      </c>
      <c r="X9" s="407" t="str">
        <f>IF(AZ$7=0,"",AZ9*10000/AZ$7)</f>
        <v/>
      </c>
      <c r="Y9" s="407" t="str">
        <f>IF(BA$7=0,"",BA9*10000/BA$7)</f>
        <v/>
      </c>
      <c r="Z9" s="407" t="str">
        <f t="shared" ref="Z9:Z42" si="18">IF(BB$7=0,"",BB9*10000/BB$7)</f>
        <v/>
      </c>
      <c r="AA9" s="407" t="str">
        <f t="shared" ref="AA9:AA42" si="19">IF(BC$7=0,"",BC9*10000/BC$7)</f>
        <v/>
      </c>
      <c r="AB9" s="407" t="str">
        <f t="shared" ref="AB9:AB42" si="20">IF(BD$7=0,"",BD9*10000/BD$7)</f>
        <v/>
      </c>
      <c r="AC9" s="407" t="str">
        <f t="shared" ref="AC9:AC42" si="21">IF(BB$7=0,"",BB9*10000/(BB$7-AV$7))</f>
        <v/>
      </c>
      <c r="AD9" s="407" t="str">
        <f t="shared" ref="AD9:AD42" si="22">IF(BC$7=0,"",BC9*10000/(BC$7-AW$7))</f>
        <v/>
      </c>
      <c r="AE9" s="407" t="str">
        <f t="shared" ref="AE9:AE42" si="23">IF(BD$7=0,"",BD9*10000/(BD$7-AX$7))</f>
        <v/>
      </c>
      <c r="AF9" s="408"/>
      <c r="AG9" s="409">
        <f>AG10+AG12</f>
        <v>0</v>
      </c>
      <c r="AH9" s="409">
        <f>AH10+AH12</f>
        <v>0</v>
      </c>
      <c r="AI9" s="409">
        <f>AI10+AI12</f>
        <v>0</v>
      </c>
      <c r="AJ9" s="409">
        <f t="shared" ref="AJ9:AO9" si="24">AJ10+AJ12</f>
        <v>0</v>
      </c>
      <c r="AK9" s="409">
        <f t="shared" si="24"/>
        <v>0</v>
      </c>
      <c r="AL9" s="409">
        <f t="shared" si="24"/>
        <v>0</v>
      </c>
      <c r="AM9" s="409">
        <f t="shared" si="24"/>
        <v>0</v>
      </c>
      <c r="AN9" s="409">
        <f t="shared" si="24"/>
        <v>0</v>
      </c>
      <c r="AO9" s="409">
        <f t="shared" si="24"/>
        <v>0</v>
      </c>
      <c r="AP9" s="409">
        <f t="shared" ref="AP9:BD9" si="25">AP10+AP12</f>
        <v>0</v>
      </c>
      <c r="AQ9" s="409">
        <f t="shared" si="25"/>
        <v>0</v>
      </c>
      <c r="AR9" s="409">
        <f t="shared" si="25"/>
        <v>0</v>
      </c>
      <c r="AS9" s="409">
        <f t="shared" si="25"/>
        <v>0</v>
      </c>
      <c r="AT9" s="409">
        <f t="shared" si="25"/>
        <v>0</v>
      </c>
      <c r="AU9" s="409">
        <f t="shared" si="25"/>
        <v>0</v>
      </c>
      <c r="AV9" s="409">
        <f t="shared" si="25"/>
        <v>0</v>
      </c>
      <c r="AW9" s="409">
        <f t="shared" si="25"/>
        <v>0</v>
      </c>
      <c r="AX9" s="409">
        <f t="shared" si="25"/>
        <v>0</v>
      </c>
      <c r="AY9" s="409">
        <f t="shared" si="25"/>
        <v>0</v>
      </c>
      <c r="AZ9" s="409">
        <f t="shared" si="25"/>
        <v>0</v>
      </c>
      <c r="BA9" s="409">
        <f t="shared" si="25"/>
        <v>0</v>
      </c>
      <c r="BB9" s="409">
        <f t="shared" si="25"/>
        <v>0</v>
      </c>
      <c r="BC9" s="409">
        <f t="shared" si="25"/>
        <v>0</v>
      </c>
      <c r="BD9" s="409">
        <f t="shared" si="25"/>
        <v>0</v>
      </c>
      <c r="BE9" s="410"/>
      <c r="BF9" s="411"/>
      <c r="BG9" s="402"/>
      <c r="BH9" s="402"/>
      <c r="BI9" s="402"/>
      <c r="BJ9" s="392"/>
    </row>
    <row r="10" spans="1:62" ht="15.75" customHeight="1" outlineLevel="1">
      <c r="B10" s="412" t="s">
        <v>476</v>
      </c>
      <c r="C10" s="413">
        <v>1</v>
      </c>
      <c r="D10" s="414" t="s">
        <v>376</v>
      </c>
      <c r="E10" s="415" t="str">
        <f>IF(AG$7=0,"",AG10*10000/AG$7)</f>
        <v/>
      </c>
      <c r="F10" s="415" t="str">
        <f t="shared" si="1"/>
        <v/>
      </c>
      <c r="G10" s="415" t="str">
        <f t="shared" si="2"/>
        <v/>
      </c>
      <c r="H10" s="415" t="str">
        <f>IF(AJ$7=0,"",AJ10*10000/AJ$7)</f>
        <v/>
      </c>
      <c r="I10" s="415" t="str">
        <f t="shared" si="4"/>
        <v/>
      </c>
      <c r="J10" s="415" t="str">
        <f t="shared" si="5"/>
        <v/>
      </c>
      <c r="K10" s="415" t="str">
        <f t="shared" si="6"/>
        <v/>
      </c>
      <c r="L10" s="415" t="str">
        <f t="shared" si="7"/>
        <v/>
      </c>
      <c r="M10" s="415" t="str">
        <f t="shared" si="8"/>
        <v/>
      </c>
      <c r="N10" s="415" t="str">
        <f t="shared" si="9"/>
        <v/>
      </c>
      <c r="O10" s="415" t="str">
        <f t="shared" si="10"/>
        <v/>
      </c>
      <c r="P10" s="415" t="str">
        <f t="shared" si="11"/>
        <v/>
      </c>
      <c r="Q10" s="415" t="str">
        <f t="shared" si="12"/>
        <v/>
      </c>
      <c r="R10" s="415" t="str">
        <f t="shared" si="13"/>
        <v/>
      </c>
      <c r="S10" s="415" t="str">
        <f t="shared" si="14"/>
        <v/>
      </c>
      <c r="T10" s="415" t="str">
        <f t="shared" si="15"/>
        <v/>
      </c>
      <c r="U10" s="415" t="str">
        <f t="shared" si="16"/>
        <v/>
      </c>
      <c r="V10" s="415" t="str">
        <f t="shared" si="17"/>
        <v/>
      </c>
      <c r="W10" s="415" t="str">
        <f t="shared" ref="W10:W41" si="26">IF(AY$7=0,"",AY10*10000/AY$7)</f>
        <v/>
      </c>
      <c r="X10" s="415" t="str">
        <f t="shared" ref="X10:X41" si="27">IF(AZ$7=0,"",AZ10*10000/AZ$7)</f>
        <v/>
      </c>
      <c r="Y10" s="415" t="str">
        <f t="shared" ref="Y10:Y41" si="28">IF(BA$7=0,"",BA10*10000/BA$7)</f>
        <v/>
      </c>
      <c r="Z10" s="415" t="str">
        <f>IF(BB$7=0,"",BB10*10000/BB$7)</f>
        <v/>
      </c>
      <c r="AA10" s="415" t="str">
        <f t="shared" si="19"/>
        <v/>
      </c>
      <c r="AB10" s="415" t="str">
        <f t="shared" si="20"/>
        <v/>
      </c>
      <c r="AC10" s="415" t="str">
        <f t="shared" si="21"/>
        <v/>
      </c>
      <c r="AD10" s="415" t="str">
        <f t="shared" si="22"/>
        <v/>
      </c>
      <c r="AE10" s="415" t="str">
        <f t="shared" si="23"/>
        <v/>
      </c>
      <c r="AF10" s="400"/>
      <c r="AG10" s="415">
        <f>'2-地价分摊表'!I46</f>
        <v>0</v>
      </c>
      <c r="AH10" s="415">
        <f>'2-地价分摊表'!J46</f>
        <v>0</v>
      </c>
      <c r="AI10" s="415">
        <f>'2-地价分摊表'!K46</f>
        <v>0</v>
      </c>
      <c r="AJ10" s="415">
        <f>'2-地价分摊表'!I47</f>
        <v>0</v>
      </c>
      <c r="AK10" s="415">
        <f>'2-地价分摊表'!J47</f>
        <v>0</v>
      </c>
      <c r="AL10" s="415">
        <f>'2-地价分摊表'!K47</f>
        <v>0</v>
      </c>
      <c r="AM10" s="415">
        <f>'2-地价分摊表'!I48</f>
        <v>0</v>
      </c>
      <c r="AN10" s="415">
        <f>'2-地价分摊表'!J48</f>
        <v>0</v>
      </c>
      <c r="AO10" s="415">
        <f>'2-地价分摊表'!K48</f>
        <v>0</v>
      </c>
      <c r="AP10" s="415">
        <f>'2-地价分摊表'!I49</f>
        <v>0</v>
      </c>
      <c r="AQ10" s="415">
        <f>'2-地价分摊表'!J49</f>
        <v>0</v>
      </c>
      <c r="AR10" s="415">
        <f>'2-地价分摊表'!K49</f>
        <v>0</v>
      </c>
      <c r="AS10" s="415">
        <f>'2-地价分摊表'!I50</f>
        <v>0</v>
      </c>
      <c r="AT10" s="415">
        <f>'2-地价分摊表'!J50</f>
        <v>0</v>
      </c>
      <c r="AU10" s="415">
        <f>'2-地价分摊表'!K50</f>
        <v>0</v>
      </c>
      <c r="AV10" s="415"/>
      <c r="AW10" s="415"/>
      <c r="AX10" s="415"/>
      <c r="AY10" s="415">
        <f>'2-地价分摊表'!I51</f>
        <v>0</v>
      </c>
      <c r="AZ10" s="415">
        <f>'2-地价分摊表'!J51</f>
        <v>0</v>
      </c>
      <c r="BA10" s="415">
        <f>'2-地价分摊表'!K51</f>
        <v>0</v>
      </c>
      <c r="BB10" s="415">
        <f>AG10+AJ10+AM10+AP10+AS10+AV10+AY10</f>
        <v>0</v>
      </c>
      <c r="BC10" s="415">
        <f>AH10+AK10+AN10+AQ10+AT10+AW10+AZ10</f>
        <v>0</v>
      </c>
      <c r="BD10" s="415">
        <f>AI10+AL10+AO10+AR10+AU10+AX10+BA10</f>
        <v>0</v>
      </c>
      <c r="BE10" s="416"/>
      <c r="BF10" s="417" t="s">
        <v>1003</v>
      </c>
      <c r="BG10" s="402"/>
      <c r="BH10" s="402"/>
      <c r="BI10" s="402"/>
      <c r="BJ10" s="392"/>
    </row>
    <row r="11" spans="1:62" ht="15.75" customHeight="1" outlineLevel="1">
      <c r="B11" s="412" t="s">
        <v>1004</v>
      </c>
      <c r="C11" s="413">
        <v>2</v>
      </c>
      <c r="D11" s="414" t="s">
        <v>1005</v>
      </c>
      <c r="E11" s="415" t="str">
        <f t="shared" si="0"/>
        <v/>
      </c>
      <c r="F11" s="415" t="str">
        <f t="shared" si="1"/>
        <v/>
      </c>
      <c r="G11" s="415" t="str">
        <f t="shared" si="2"/>
        <v/>
      </c>
      <c r="H11" s="415" t="str">
        <f t="shared" si="3"/>
        <v/>
      </c>
      <c r="I11" s="415" t="str">
        <f t="shared" si="4"/>
        <v/>
      </c>
      <c r="J11" s="415" t="str">
        <f t="shared" si="5"/>
        <v/>
      </c>
      <c r="K11" s="415" t="str">
        <f t="shared" si="6"/>
        <v/>
      </c>
      <c r="L11" s="415" t="str">
        <f t="shared" si="7"/>
        <v/>
      </c>
      <c r="M11" s="415" t="str">
        <f t="shared" si="8"/>
        <v/>
      </c>
      <c r="N11" s="415" t="str">
        <f t="shared" si="9"/>
        <v/>
      </c>
      <c r="O11" s="415" t="str">
        <f t="shared" si="10"/>
        <v/>
      </c>
      <c r="P11" s="415" t="str">
        <f t="shared" si="11"/>
        <v/>
      </c>
      <c r="Q11" s="415" t="str">
        <f t="shared" si="12"/>
        <v/>
      </c>
      <c r="R11" s="415" t="str">
        <f t="shared" si="13"/>
        <v/>
      </c>
      <c r="S11" s="415" t="str">
        <f t="shared" si="14"/>
        <v/>
      </c>
      <c r="T11" s="415" t="str">
        <f t="shared" si="15"/>
        <v/>
      </c>
      <c r="U11" s="415" t="str">
        <f t="shared" si="16"/>
        <v/>
      </c>
      <c r="V11" s="415" t="str">
        <f t="shared" si="17"/>
        <v/>
      </c>
      <c r="W11" s="415" t="str">
        <f t="shared" si="26"/>
        <v/>
      </c>
      <c r="X11" s="415" t="str">
        <f t="shared" si="27"/>
        <v/>
      </c>
      <c r="Y11" s="415" t="str">
        <f t="shared" si="28"/>
        <v/>
      </c>
      <c r="Z11" s="415" t="str">
        <f t="shared" si="18"/>
        <v/>
      </c>
      <c r="AA11" s="415" t="str">
        <f t="shared" si="19"/>
        <v/>
      </c>
      <c r="AB11" s="415" t="str">
        <f t="shared" si="20"/>
        <v/>
      </c>
      <c r="AC11" s="415" t="str">
        <f t="shared" si="21"/>
        <v/>
      </c>
      <c r="AD11" s="415" t="str">
        <f t="shared" si="22"/>
        <v/>
      </c>
      <c r="AE11" s="415" t="str">
        <f t="shared" si="23"/>
        <v/>
      </c>
      <c r="AF11" s="400"/>
      <c r="AG11" s="415">
        <f>IF($BB11=0,0,$BB11*AG$7/($BB$7-$AV$7))</f>
        <v>0</v>
      </c>
      <c r="AH11" s="415">
        <f>IF($BC11=0,0,$BC11*AH$7/($BC$7-$AV$7))</f>
        <v>0</v>
      </c>
      <c r="AI11" s="415">
        <f>IF($BD11=0,0,$BD11*AI$7/($BD$7-$AV$7))</f>
        <v>0</v>
      </c>
      <c r="AJ11" s="415">
        <f>IF($BB11=0,0,$BB11*AJ$7/($BB$7-$AV$7))</f>
        <v>0</v>
      </c>
      <c r="AK11" s="415">
        <f>IF($BC11=0,0,$BC11*AK$7/($BC$7-$AV$7))</f>
        <v>0</v>
      </c>
      <c r="AL11" s="415">
        <f>IF($BD11=0,0,$BD11*AL$7/($BD$7-$AV$7))</f>
        <v>0</v>
      </c>
      <c r="AM11" s="415">
        <f>IF($BB11=0,0,$BB11*AM$7/($BB$7-$AV$7))</f>
        <v>0</v>
      </c>
      <c r="AN11" s="415">
        <f>IF($BC11=0,0,$BC11*AN$7/($BC$7-$AV$7))</f>
        <v>0</v>
      </c>
      <c r="AO11" s="415">
        <f>IF($BD11=0,0,$BD11*AO$7/($BD$7-$AV$7))</f>
        <v>0</v>
      </c>
      <c r="AP11" s="415">
        <f>IF($BB11=0,0,$BB11*AP$7/($BB$7-$AV$7))</f>
        <v>0</v>
      </c>
      <c r="AQ11" s="415">
        <f>IF($BC11=0,0,$BC11*AQ$7/($BC$7-$AV$7))</f>
        <v>0</v>
      </c>
      <c r="AR11" s="415">
        <f>IF($BD11=0,0,$BD11*AR$7/($BD$7-$AV$7))</f>
        <v>0</v>
      </c>
      <c r="AS11" s="415">
        <f>IF($BB11=0,0,$BB11*AS$7/($BB$7-$AV$7))</f>
        <v>0</v>
      </c>
      <c r="AT11" s="415">
        <f>IF($BC11=0,0,$BC11*AT$7/($BC$7-$AV$7))</f>
        <v>0</v>
      </c>
      <c r="AU11" s="415">
        <f>IF($BD11=0,0,$BD11*AU$7/($BD$7-$AV$7))</f>
        <v>0</v>
      </c>
      <c r="AV11" s="415"/>
      <c r="AW11" s="415"/>
      <c r="AX11" s="415"/>
      <c r="AY11" s="415">
        <f>IF($BB11=0,0,$BB11*AY$7/($BB$7-$AV$7))</f>
        <v>0</v>
      </c>
      <c r="AZ11" s="415">
        <f>IF($BC11=0,0,$BC11*AZ$7/($BC$7-$AV$7))</f>
        <v>0</v>
      </c>
      <c r="BA11" s="415">
        <f>IF($BD11=0,0,$BD11*BA$7/($BD$7-$AV$7))</f>
        <v>0</v>
      </c>
      <c r="BB11" s="415">
        <f>'2-公摊费用及期间费（本期）'!O17</f>
        <v>0</v>
      </c>
      <c r="BC11" s="415">
        <f>'2-公摊费用及期间费（本期）'!M17</f>
        <v>0</v>
      </c>
      <c r="BD11" s="415">
        <f>'2-公摊费用及期间费（本期）'!N17</f>
        <v>0</v>
      </c>
      <c r="BE11" s="416"/>
      <c r="BF11" s="417"/>
      <c r="BG11" s="402"/>
      <c r="BH11" s="402"/>
      <c r="BI11" s="402"/>
      <c r="BJ11" s="392"/>
    </row>
    <row r="12" spans="1:62" ht="15.75" customHeight="1" outlineLevel="1">
      <c r="B12" s="412" t="s">
        <v>479</v>
      </c>
      <c r="C12" s="413">
        <v>3</v>
      </c>
      <c r="D12" s="418" t="s">
        <v>377</v>
      </c>
      <c r="E12" s="415" t="str">
        <f t="shared" si="0"/>
        <v/>
      </c>
      <c r="F12" s="415" t="str">
        <f t="shared" si="1"/>
        <v/>
      </c>
      <c r="G12" s="415" t="str">
        <f t="shared" si="2"/>
        <v/>
      </c>
      <c r="H12" s="415" t="str">
        <f t="shared" si="3"/>
        <v/>
      </c>
      <c r="I12" s="415" t="str">
        <f t="shared" si="4"/>
        <v/>
      </c>
      <c r="J12" s="415" t="str">
        <f t="shared" si="5"/>
        <v/>
      </c>
      <c r="K12" s="415" t="str">
        <f t="shared" si="6"/>
        <v/>
      </c>
      <c r="L12" s="415" t="str">
        <f t="shared" si="7"/>
        <v/>
      </c>
      <c r="M12" s="415" t="str">
        <f t="shared" si="8"/>
        <v/>
      </c>
      <c r="N12" s="415" t="str">
        <f t="shared" si="9"/>
        <v/>
      </c>
      <c r="O12" s="415" t="str">
        <f t="shared" si="10"/>
        <v/>
      </c>
      <c r="P12" s="415" t="str">
        <f t="shared" si="11"/>
        <v/>
      </c>
      <c r="Q12" s="415" t="str">
        <f t="shared" si="12"/>
        <v/>
      </c>
      <c r="R12" s="415" t="str">
        <f t="shared" si="13"/>
        <v/>
      </c>
      <c r="S12" s="415" t="str">
        <f t="shared" si="14"/>
        <v/>
      </c>
      <c r="T12" s="415" t="str">
        <f t="shared" si="15"/>
        <v/>
      </c>
      <c r="U12" s="415" t="str">
        <f t="shared" si="16"/>
        <v/>
      </c>
      <c r="V12" s="415" t="str">
        <f t="shared" si="17"/>
        <v/>
      </c>
      <c r="W12" s="415" t="str">
        <f t="shared" si="26"/>
        <v/>
      </c>
      <c r="X12" s="415" t="str">
        <f t="shared" si="27"/>
        <v/>
      </c>
      <c r="Y12" s="415" t="str">
        <f t="shared" si="28"/>
        <v/>
      </c>
      <c r="Z12" s="415" t="str">
        <f t="shared" si="18"/>
        <v/>
      </c>
      <c r="AA12" s="415" t="str">
        <f t="shared" si="19"/>
        <v/>
      </c>
      <c r="AB12" s="415" t="str">
        <f t="shared" si="20"/>
        <v/>
      </c>
      <c r="AC12" s="415" t="str">
        <f t="shared" si="21"/>
        <v/>
      </c>
      <c r="AD12" s="415" t="str">
        <f t="shared" si="22"/>
        <v/>
      </c>
      <c r="AE12" s="415" t="str">
        <f t="shared" si="23"/>
        <v/>
      </c>
      <c r="AF12" s="400"/>
      <c r="AG12" s="415">
        <f>IF($BB12=0,0,$BB12*AG$7/($BB$7-$AV$7))</f>
        <v>0</v>
      </c>
      <c r="AH12" s="415">
        <f>IF($BC12=0,0,$BC12*AH$7/($BC$7-$AV$7))</f>
        <v>0</v>
      </c>
      <c r="AI12" s="415">
        <f>IF($BD12=0,0,$BD12*AI$7/($BD$7-$AV$7))</f>
        <v>0</v>
      </c>
      <c r="AJ12" s="415">
        <f>IF($BB12=0,0,$BB12*AJ$7/($BB$7-$AV$7))</f>
        <v>0</v>
      </c>
      <c r="AK12" s="415">
        <f>IF($BC12=0,0,$BC12*AK$7/($BC$7-$AV$7))</f>
        <v>0</v>
      </c>
      <c r="AL12" s="415">
        <f>IF($BD12=0,0,$BD12*AL$7/($BD$7-$AV$7))</f>
        <v>0</v>
      </c>
      <c r="AM12" s="415">
        <f>IF($BB12=0,0,$BB12*AM$7/($BB$7-$AV$7))</f>
        <v>0</v>
      </c>
      <c r="AN12" s="415">
        <f>IF($BC12=0,0,$BC12*AN$7/($BC$7-$AV$7))</f>
        <v>0</v>
      </c>
      <c r="AO12" s="415">
        <f>IF($BD12=0,0,$BD12*AO$7/($BD$7-$AV$7))</f>
        <v>0</v>
      </c>
      <c r="AP12" s="415">
        <f>IF($BB12=0,0,$BB12*AP$7/($BB$7-$AV$7))</f>
        <v>0</v>
      </c>
      <c r="AQ12" s="415">
        <f>IF($BC12=0,0,$BC12*AQ$7/($BC$7-$AV$7))</f>
        <v>0</v>
      </c>
      <c r="AR12" s="415">
        <f>IF($BD12=0,0,$BD12*AR$7/($BD$7-$AV$7))</f>
        <v>0</v>
      </c>
      <c r="AS12" s="415">
        <f>IF($BB12=0,0,$BB12*AS$7/($BB$7-$AV$7))</f>
        <v>0</v>
      </c>
      <c r="AT12" s="415">
        <f>IF($BC12=0,0,$BC12*AT$7/($BC$7-$AV$7))</f>
        <v>0</v>
      </c>
      <c r="AU12" s="415">
        <f>IF($BD12=0,0,$BD12*AU$7/($BD$7-$AV$7))</f>
        <v>0</v>
      </c>
      <c r="AV12" s="415"/>
      <c r="AW12" s="415"/>
      <c r="AX12" s="415"/>
      <c r="AY12" s="415">
        <f>IF($BB12=0,0,$BB12*AY$7/($BB$7-$AV$7))</f>
        <v>0</v>
      </c>
      <c r="AZ12" s="415">
        <f>IF($BC12=0,0,$BC12*AZ$7/($BC$7-$AV$7))</f>
        <v>0</v>
      </c>
      <c r="BA12" s="415">
        <f>IF($BD12=0,0,$BD12*BA$7/($BD$7-$AV$7))</f>
        <v>0</v>
      </c>
      <c r="BB12" s="415">
        <f>'2-公摊费用及期间费（本期）'!O18</f>
        <v>0</v>
      </c>
      <c r="BC12" s="415">
        <f>'2-公摊费用及期间费（本期）'!M18</f>
        <v>0</v>
      </c>
      <c r="BD12" s="415">
        <f>'2-公摊费用及期间费（本期）'!N18</f>
        <v>0</v>
      </c>
      <c r="BE12" s="416"/>
      <c r="BF12" s="417" t="s">
        <v>105</v>
      </c>
      <c r="BG12" s="402"/>
      <c r="BH12" s="402"/>
      <c r="BI12" s="402"/>
      <c r="BJ12" s="392"/>
    </row>
    <row r="13" spans="1:62" s="403" customFormat="1" ht="15.75" customHeight="1">
      <c r="B13" s="404">
        <v>5001.0200000000004</v>
      </c>
      <c r="C13" s="405" t="s">
        <v>27</v>
      </c>
      <c r="D13" s="406" t="s">
        <v>480</v>
      </c>
      <c r="E13" s="407" t="str">
        <f t="shared" si="0"/>
        <v/>
      </c>
      <c r="F13" s="407" t="str">
        <f t="shared" si="1"/>
        <v/>
      </c>
      <c r="G13" s="407" t="str">
        <f t="shared" si="2"/>
        <v/>
      </c>
      <c r="H13" s="407" t="str">
        <f t="shared" si="3"/>
        <v/>
      </c>
      <c r="I13" s="407" t="str">
        <f t="shared" si="4"/>
        <v/>
      </c>
      <c r="J13" s="407" t="str">
        <f t="shared" si="5"/>
        <v/>
      </c>
      <c r="K13" s="407" t="str">
        <f t="shared" si="6"/>
        <v/>
      </c>
      <c r="L13" s="407" t="str">
        <f t="shared" si="7"/>
        <v/>
      </c>
      <c r="M13" s="407" t="str">
        <f t="shared" si="8"/>
        <v/>
      </c>
      <c r="N13" s="407" t="str">
        <f t="shared" si="9"/>
        <v/>
      </c>
      <c r="O13" s="407" t="str">
        <f t="shared" si="10"/>
        <v/>
      </c>
      <c r="P13" s="407" t="str">
        <f t="shared" si="11"/>
        <v/>
      </c>
      <c r="Q13" s="407" t="str">
        <f t="shared" si="12"/>
        <v/>
      </c>
      <c r="R13" s="407" t="str">
        <f t="shared" si="13"/>
        <v/>
      </c>
      <c r="S13" s="407" t="str">
        <f t="shared" si="14"/>
        <v/>
      </c>
      <c r="T13" s="407" t="str">
        <f t="shared" si="15"/>
        <v/>
      </c>
      <c r="U13" s="407" t="str">
        <f t="shared" si="16"/>
        <v/>
      </c>
      <c r="V13" s="407" t="str">
        <f t="shared" si="17"/>
        <v/>
      </c>
      <c r="W13" s="407" t="str">
        <f t="shared" si="26"/>
        <v/>
      </c>
      <c r="X13" s="407" t="str">
        <f t="shared" si="27"/>
        <v/>
      </c>
      <c r="Y13" s="407" t="str">
        <f t="shared" si="28"/>
        <v/>
      </c>
      <c r="Z13" s="407" t="str">
        <f>IF(BB$7=0,"",BB13*10000/BB$7)</f>
        <v/>
      </c>
      <c r="AA13" s="407" t="str">
        <f t="shared" si="19"/>
        <v/>
      </c>
      <c r="AB13" s="407" t="str">
        <f t="shared" si="20"/>
        <v/>
      </c>
      <c r="AC13" s="407" t="str">
        <f t="shared" si="21"/>
        <v/>
      </c>
      <c r="AD13" s="407" t="str">
        <f t="shared" si="22"/>
        <v/>
      </c>
      <c r="AE13" s="407" t="str">
        <f t="shared" si="23"/>
        <v/>
      </c>
      <c r="AF13" s="408"/>
      <c r="AG13" s="409">
        <f>AG14+AG15+AG16+AG17</f>
        <v>0</v>
      </c>
      <c r="AH13" s="409">
        <f>AH14+AH15+AH16+AH17</f>
        <v>0</v>
      </c>
      <c r="AI13" s="409">
        <f>AI14+AI15+AI16+AI17</f>
        <v>0</v>
      </c>
      <c r="AJ13" s="409">
        <f t="shared" ref="AJ13:AO13" si="29">AJ14+AJ15+AJ16+AJ17</f>
        <v>0</v>
      </c>
      <c r="AK13" s="409">
        <f>AK14+AK15+AK16+AK17</f>
        <v>0</v>
      </c>
      <c r="AL13" s="409">
        <f t="shared" si="29"/>
        <v>0</v>
      </c>
      <c r="AM13" s="409">
        <f t="shared" si="29"/>
        <v>0</v>
      </c>
      <c r="AN13" s="409">
        <f>AN14+AN15+AN16+AN17</f>
        <v>0</v>
      </c>
      <c r="AO13" s="409">
        <f t="shared" si="29"/>
        <v>0</v>
      </c>
      <c r="AP13" s="409">
        <f t="shared" ref="AP13:BD13" si="30">AP14+AP15+AP16+AP17</f>
        <v>0</v>
      </c>
      <c r="AQ13" s="409">
        <f t="shared" si="30"/>
        <v>0</v>
      </c>
      <c r="AR13" s="409">
        <f t="shared" si="30"/>
        <v>0</v>
      </c>
      <c r="AS13" s="409">
        <f t="shared" si="30"/>
        <v>0</v>
      </c>
      <c r="AT13" s="409">
        <f t="shared" si="30"/>
        <v>0</v>
      </c>
      <c r="AU13" s="409">
        <f t="shared" si="30"/>
        <v>0</v>
      </c>
      <c r="AV13" s="409">
        <f t="shared" si="30"/>
        <v>0</v>
      </c>
      <c r="AW13" s="409">
        <f t="shared" si="30"/>
        <v>0</v>
      </c>
      <c r="AX13" s="409">
        <f t="shared" si="30"/>
        <v>0</v>
      </c>
      <c r="AY13" s="409">
        <f t="shared" si="30"/>
        <v>0</v>
      </c>
      <c r="AZ13" s="409">
        <f t="shared" si="30"/>
        <v>0</v>
      </c>
      <c r="BA13" s="409">
        <f t="shared" si="30"/>
        <v>0</v>
      </c>
      <c r="BB13" s="409">
        <f t="shared" si="30"/>
        <v>0</v>
      </c>
      <c r="BC13" s="409">
        <f t="shared" si="30"/>
        <v>0</v>
      </c>
      <c r="BD13" s="409">
        <f t="shared" si="30"/>
        <v>0</v>
      </c>
      <c r="BE13" s="410"/>
      <c r="BF13" s="411" t="s">
        <v>105</v>
      </c>
      <c r="BG13" s="402"/>
      <c r="BH13" s="402"/>
      <c r="BI13" s="402"/>
      <c r="BJ13" s="392"/>
    </row>
    <row r="14" spans="1:62" ht="15.75" customHeight="1" outlineLevel="1">
      <c r="B14" s="412" t="s">
        <v>481</v>
      </c>
      <c r="C14" s="413">
        <v>1</v>
      </c>
      <c r="D14" s="414" t="s">
        <v>63</v>
      </c>
      <c r="E14" s="415" t="str">
        <f t="shared" si="0"/>
        <v/>
      </c>
      <c r="F14" s="415" t="str">
        <f t="shared" si="1"/>
        <v/>
      </c>
      <c r="G14" s="415" t="str">
        <f t="shared" si="2"/>
        <v/>
      </c>
      <c r="H14" s="415" t="str">
        <f t="shared" si="3"/>
        <v/>
      </c>
      <c r="I14" s="415" t="str">
        <f t="shared" si="4"/>
        <v/>
      </c>
      <c r="J14" s="415" t="str">
        <f t="shared" si="5"/>
        <v/>
      </c>
      <c r="K14" s="415" t="str">
        <f t="shared" si="6"/>
        <v/>
      </c>
      <c r="L14" s="415" t="str">
        <f t="shared" si="7"/>
        <v/>
      </c>
      <c r="M14" s="415" t="str">
        <f t="shared" si="8"/>
        <v/>
      </c>
      <c r="N14" s="415" t="str">
        <f t="shared" si="9"/>
        <v/>
      </c>
      <c r="O14" s="415" t="str">
        <f t="shared" si="10"/>
        <v/>
      </c>
      <c r="P14" s="415" t="str">
        <f t="shared" si="11"/>
        <v/>
      </c>
      <c r="Q14" s="415" t="str">
        <f t="shared" si="12"/>
        <v/>
      </c>
      <c r="R14" s="415" t="str">
        <f t="shared" si="13"/>
        <v/>
      </c>
      <c r="S14" s="415" t="str">
        <f t="shared" si="14"/>
        <v/>
      </c>
      <c r="T14" s="415" t="str">
        <f t="shared" si="15"/>
        <v/>
      </c>
      <c r="U14" s="415" t="str">
        <f t="shared" si="16"/>
        <v/>
      </c>
      <c r="V14" s="415" t="str">
        <f t="shared" si="17"/>
        <v/>
      </c>
      <c r="W14" s="415" t="str">
        <f t="shared" si="26"/>
        <v/>
      </c>
      <c r="X14" s="415" t="str">
        <f t="shared" si="27"/>
        <v/>
      </c>
      <c r="Y14" s="415" t="str">
        <f t="shared" si="28"/>
        <v/>
      </c>
      <c r="Z14" s="415" t="str">
        <f>IF(BB$7=0,"",BB14*10000/BB$7)</f>
        <v/>
      </c>
      <c r="AA14" s="415" t="str">
        <f t="shared" si="19"/>
        <v/>
      </c>
      <c r="AB14" s="415" t="str">
        <f t="shared" si="20"/>
        <v/>
      </c>
      <c r="AC14" s="415" t="str">
        <f t="shared" si="21"/>
        <v/>
      </c>
      <c r="AD14" s="415" t="str">
        <f t="shared" si="22"/>
        <v/>
      </c>
      <c r="AE14" s="415" t="str">
        <f t="shared" si="23"/>
        <v/>
      </c>
      <c r="AF14" s="400"/>
      <c r="AG14" s="415">
        <f>IF($BB14=0,0,$BB14*AG$7/($BB$7-$AV$7))</f>
        <v>0</v>
      </c>
      <c r="AH14" s="415">
        <f>IF($BC14=0,0,$BC14*AH$7/($BC$7-$AV$7))</f>
        <v>0</v>
      </c>
      <c r="AI14" s="415">
        <f>IF($BD14=0,0,$BD14*AI$7/($BD$7-$AV$7))</f>
        <v>0</v>
      </c>
      <c r="AJ14" s="415">
        <f>IF($BB14=0,0,$BB14*AJ$7/($BB$7-$AV$7))</f>
        <v>0</v>
      </c>
      <c r="AK14" s="415">
        <f>IF($BC14=0,0,$BC14*AK$7/($BC$7-$AV$7))</f>
        <v>0</v>
      </c>
      <c r="AL14" s="415">
        <f>IF($BD14=0,0,$BD14*AL$7/($BD$7-$AV$7))</f>
        <v>0</v>
      </c>
      <c r="AM14" s="415">
        <f>IF($BB14=0,0,$BB14*AM$7/($BB$7-$AV$7))</f>
        <v>0</v>
      </c>
      <c r="AN14" s="415">
        <f>IF($BC14=0,0,$BC14*AN$7/($BC$7-$AV$7))</f>
        <v>0</v>
      </c>
      <c r="AO14" s="415">
        <f>IF($BD14=0,0,$BD14*AO$7/($BD$7-$AV$7))</f>
        <v>0</v>
      </c>
      <c r="AP14" s="415">
        <f>IF($BB14=0,0,$BB14*AP$7/($BB$7-$AV$7))</f>
        <v>0</v>
      </c>
      <c r="AQ14" s="415">
        <f>IF($BC14=0,0,$BC14*AQ$7/($BC$7-$AV$7))</f>
        <v>0</v>
      </c>
      <c r="AR14" s="415">
        <f>IF($BD14=0,0,$BD14*AR$7/($BD$7-$AV$7))</f>
        <v>0</v>
      </c>
      <c r="AS14" s="415">
        <f>IF($BB14=0,0,$BB14*AS$7/($BB$7-$AV$7))</f>
        <v>0</v>
      </c>
      <c r="AT14" s="415">
        <f>IF($BC14=0,0,$BC14*AT$7/($BC$7-$AV$7))</f>
        <v>0</v>
      </c>
      <c r="AU14" s="415">
        <f>IF($BD14=0,0,$BD14*AU$7/($BD$7-$AV$7))</f>
        <v>0</v>
      </c>
      <c r="AV14" s="415"/>
      <c r="AW14" s="415"/>
      <c r="AX14" s="415"/>
      <c r="AY14" s="415">
        <f>IF($BB14=0,0,$BB14*AY$7/($BB$7-$AV$7))</f>
        <v>0</v>
      </c>
      <c r="AZ14" s="415">
        <f>IF($BC14=0,0,$BC14*AZ$7/($BC$7-$AV$7))</f>
        <v>0</v>
      </c>
      <c r="BA14" s="415">
        <f>IF($BD14=0,0,$BD14*BA$7/($BD$7-$AV$7))</f>
        <v>0</v>
      </c>
      <c r="BB14" s="415">
        <f>'2-公摊费用及期间费（本期）'!O73</f>
        <v>0</v>
      </c>
      <c r="BC14" s="415">
        <f>'2-公摊费用及期间费（本期）'!M73</f>
        <v>0</v>
      </c>
      <c r="BD14" s="415">
        <f>'2-公摊费用及期间费（本期）'!N73</f>
        <v>0</v>
      </c>
      <c r="BE14" s="416"/>
      <c r="BF14" s="419" t="s">
        <v>105</v>
      </c>
      <c r="BG14" s="402"/>
      <c r="BH14" s="402"/>
      <c r="BI14" s="402"/>
      <c r="BJ14" s="392"/>
    </row>
    <row r="15" spans="1:62" ht="15.75" customHeight="1" outlineLevel="1">
      <c r="B15" s="412" t="s">
        <v>482</v>
      </c>
      <c r="C15" s="413">
        <v>2</v>
      </c>
      <c r="D15" s="414" t="s">
        <v>64</v>
      </c>
      <c r="E15" s="415" t="str">
        <f t="shared" si="0"/>
        <v/>
      </c>
      <c r="F15" s="415" t="str">
        <f t="shared" si="1"/>
        <v/>
      </c>
      <c r="G15" s="415" t="str">
        <f t="shared" si="2"/>
        <v/>
      </c>
      <c r="H15" s="415" t="str">
        <f t="shared" si="3"/>
        <v/>
      </c>
      <c r="I15" s="415" t="str">
        <f t="shared" si="4"/>
        <v/>
      </c>
      <c r="J15" s="415" t="str">
        <f t="shared" si="5"/>
        <v/>
      </c>
      <c r="K15" s="415" t="str">
        <f t="shared" si="6"/>
        <v/>
      </c>
      <c r="L15" s="415" t="str">
        <f t="shared" si="7"/>
        <v/>
      </c>
      <c r="M15" s="415" t="str">
        <f t="shared" si="8"/>
        <v/>
      </c>
      <c r="N15" s="415" t="str">
        <f t="shared" si="9"/>
        <v/>
      </c>
      <c r="O15" s="415" t="str">
        <f t="shared" si="10"/>
        <v/>
      </c>
      <c r="P15" s="415" t="str">
        <f t="shared" si="11"/>
        <v/>
      </c>
      <c r="Q15" s="415" t="str">
        <f t="shared" si="12"/>
        <v/>
      </c>
      <c r="R15" s="415" t="str">
        <f t="shared" si="13"/>
        <v/>
      </c>
      <c r="S15" s="415" t="str">
        <f t="shared" si="14"/>
        <v/>
      </c>
      <c r="T15" s="415" t="str">
        <f t="shared" si="15"/>
        <v/>
      </c>
      <c r="U15" s="415" t="str">
        <f t="shared" si="16"/>
        <v/>
      </c>
      <c r="V15" s="415" t="str">
        <f t="shared" si="17"/>
        <v/>
      </c>
      <c r="W15" s="415" t="str">
        <f t="shared" si="26"/>
        <v/>
      </c>
      <c r="X15" s="415" t="str">
        <f t="shared" si="27"/>
        <v/>
      </c>
      <c r="Y15" s="415" t="str">
        <f t="shared" si="28"/>
        <v/>
      </c>
      <c r="Z15" s="415" t="str">
        <f>IF(BB$7=0,"",BB15*10000/BB$7)</f>
        <v/>
      </c>
      <c r="AA15" s="415" t="str">
        <f t="shared" si="19"/>
        <v/>
      </c>
      <c r="AB15" s="415" t="str">
        <f t="shared" si="20"/>
        <v/>
      </c>
      <c r="AC15" s="415" t="str">
        <f t="shared" si="21"/>
        <v/>
      </c>
      <c r="AD15" s="415" t="str">
        <f t="shared" si="22"/>
        <v/>
      </c>
      <c r="AE15" s="415" t="str">
        <f t="shared" si="23"/>
        <v/>
      </c>
      <c r="AF15" s="400"/>
      <c r="AG15" s="415">
        <f>IF($BB15=0,0,$BB15*AG$7/($BB$7-$AV$7))</f>
        <v>0</v>
      </c>
      <c r="AH15" s="415">
        <f>IF($BC15=0,0,$BC15*AH$7/($BC$7-$AV$7))</f>
        <v>0</v>
      </c>
      <c r="AI15" s="415">
        <f>IF($BD15=0,0,$BD15*AI$7/($BD$7-$AV$7))</f>
        <v>0</v>
      </c>
      <c r="AJ15" s="415">
        <f>IF($BB15=0,0,$BB15*AJ$7/($BB$7-$AV$7))</f>
        <v>0</v>
      </c>
      <c r="AK15" s="415">
        <f>IF($BC15=0,0,$BC15*AK$7/($BC$7-$AV$7))</f>
        <v>0</v>
      </c>
      <c r="AL15" s="415">
        <f>IF($BD15=0,0,$BD15*AL$7/($BD$7-$AV$7))</f>
        <v>0</v>
      </c>
      <c r="AM15" s="415">
        <f>IF($BB15=0,0,$BB15*AM$7/($BB$7-$AV$7))</f>
        <v>0</v>
      </c>
      <c r="AN15" s="415">
        <f>IF($BC15=0,0,$BC15*AN$7/($BC$7-$AV$7))</f>
        <v>0</v>
      </c>
      <c r="AO15" s="415">
        <f>IF($BD15=0,0,$BD15*AO$7/($BD$7-$AV$7))</f>
        <v>0</v>
      </c>
      <c r="AP15" s="415">
        <f>IF($BB15=0,0,$BB15*AP$7/($BB$7-$AV$7))</f>
        <v>0</v>
      </c>
      <c r="AQ15" s="415">
        <f>IF($BC15=0,0,$BC15*AQ$7/($BC$7-$AV$7))</f>
        <v>0</v>
      </c>
      <c r="AR15" s="415">
        <f>IF($BD15=0,0,$BD15*AR$7/($BD$7-$AV$7))</f>
        <v>0</v>
      </c>
      <c r="AS15" s="415">
        <f>IF($BB15=0,0,$BB15*AS$7/($BB$7-$AV$7))</f>
        <v>0</v>
      </c>
      <c r="AT15" s="415">
        <f>IF($BC15=0,0,$BC15*AT$7/($BC$7-$AV$7))</f>
        <v>0</v>
      </c>
      <c r="AU15" s="415">
        <f>IF($BD15=0,0,$BD15*AU$7/($BD$7-$AV$7))</f>
        <v>0</v>
      </c>
      <c r="AV15" s="415"/>
      <c r="AW15" s="415"/>
      <c r="AX15" s="415"/>
      <c r="AY15" s="415">
        <f>IF($BB15=0,0,$BB15*AY$7/($BB$7-$AV$7))</f>
        <v>0</v>
      </c>
      <c r="AZ15" s="415">
        <f>IF($BC15=0,0,$BC15*AZ$7/($BC$7-$AV$7))</f>
        <v>0</v>
      </c>
      <c r="BA15" s="415">
        <f>IF($BD15=0,0,$BD15*BA$7/($BD$7-$AV$7))</f>
        <v>0</v>
      </c>
      <c r="BB15" s="415">
        <f>'2-公摊费用及期间费（本期）'!O85</f>
        <v>0</v>
      </c>
      <c r="BC15" s="415">
        <f>'2-公摊费用及期间费（本期）'!M85</f>
        <v>0</v>
      </c>
      <c r="BD15" s="415">
        <f>'2-公摊费用及期间费（本期）'!N85</f>
        <v>0</v>
      </c>
      <c r="BE15" s="416"/>
      <c r="BF15" s="419" t="s">
        <v>105</v>
      </c>
      <c r="BG15" s="402"/>
      <c r="BH15" s="402"/>
      <c r="BI15" s="402"/>
      <c r="BJ15" s="392"/>
    </row>
    <row r="16" spans="1:62" ht="15.75" customHeight="1" outlineLevel="1">
      <c r="B16" s="412" t="s">
        <v>483</v>
      </c>
      <c r="C16" s="413">
        <v>3</v>
      </c>
      <c r="D16" s="414" t="s">
        <v>484</v>
      </c>
      <c r="E16" s="415" t="str">
        <f t="shared" si="0"/>
        <v/>
      </c>
      <c r="F16" s="415" t="str">
        <f t="shared" si="1"/>
        <v/>
      </c>
      <c r="G16" s="415" t="str">
        <f t="shared" si="2"/>
        <v/>
      </c>
      <c r="H16" s="415" t="str">
        <f t="shared" si="3"/>
        <v/>
      </c>
      <c r="I16" s="415" t="str">
        <f t="shared" si="4"/>
        <v/>
      </c>
      <c r="J16" s="415" t="str">
        <f t="shared" si="5"/>
        <v/>
      </c>
      <c r="K16" s="415" t="str">
        <f t="shared" si="6"/>
        <v/>
      </c>
      <c r="L16" s="415" t="str">
        <f t="shared" si="7"/>
        <v/>
      </c>
      <c r="M16" s="415" t="str">
        <f t="shared" si="8"/>
        <v/>
      </c>
      <c r="N16" s="415" t="str">
        <f t="shared" si="9"/>
        <v/>
      </c>
      <c r="O16" s="415" t="str">
        <f t="shared" si="10"/>
        <v/>
      </c>
      <c r="P16" s="415" t="str">
        <f t="shared" si="11"/>
        <v/>
      </c>
      <c r="Q16" s="415" t="str">
        <f t="shared" si="12"/>
        <v/>
      </c>
      <c r="R16" s="415" t="str">
        <f t="shared" si="13"/>
        <v/>
      </c>
      <c r="S16" s="415" t="str">
        <f t="shared" si="14"/>
        <v/>
      </c>
      <c r="T16" s="415" t="str">
        <f t="shared" si="15"/>
        <v/>
      </c>
      <c r="U16" s="415" t="str">
        <f t="shared" si="16"/>
        <v/>
      </c>
      <c r="V16" s="415" t="str">
        <f t="shared" si="17"/>
        <v/>
      </c>
      <c r="W16" s="415" t="str">
        <f t="shared" si="26"/>
        <v/>
      </c>
      <c r="X16" s="415" t="str">
        <f t="shared" si="27"/>
        <v/>
      </c>
      <c r="Y16" s="415" t="str">
        <f t="shared" si="28"/>
        <v/>
      </c>
      <c r="Z16" s="415" t="str">
        <f t="shared" si="18"/>
        <v/>
      </c>
      <c r="AA16" s="415" t="str">
        <f t="shared" si="19"/>
        <v/>
      </c>
      <c r="AB16" s="415" t="str">
        <f t="shared" si="20"/>
        <v/>
      </c>
      <c r="AC16" s="415" t="str">
        <f t="shared" si="21"/>
        <v/>
      </c>
      <c r="AD16" s="415" t="str">
        <f t="shared" si="22"/>
        <v/>
      </c>
      <c r="AE16" s="415" t="str">
        <f t="shared" si="23"/>
        <v/>
      </c>
      <c r="AF16" s="400"/>
      <c r="AG16" s="415">
        <f>IF($BB16=0,0,$BB16*AG$7/($BB$7-$AV$7))</f>
        <v>0</v>
      </c>
      <c r="AH16" s="415">
        <f>IF($BC16=0,0,$BC16*AH$7/($BC$7-$AV$7))</f>
        <v>0</v>
      </c>
      <c r="AI16" s="415">
        <f>IF($BD16=0,0,$BD16*AI$7/($BD$7-$AV$7))</f>
        <v>0</v>
      </c>
      <c r="AJ16" s="415">
        <f>IF($BB16=0,0,$BB16*AJ$7/($BB$7-$AV$7))</f>
        <v>0</v>
      </c>
      <c r="AK16" s="415">
        <f>IF($BC16=0,0,$BC16*AK$7/($BC$7-$AV$7))</f>
        <v>0</v>
      </c>
      <c r="AL16" s="415">
        <f>IF($BD16=0,0,$BD16*AL$7/($BD$7-$AV$7))</f>
        <v>0</v>
      </c>
      <c r="AM16" s="415">
        <f>IF($BB16=0,0,$BB16*AM$7/($BB$7-$AV$7))</f>
        <v>0</v>
      </c>
      <c r="AN16" s="415">
        <f>IF($BC16=0,0,$BC16*AN$7/($BC$7-$AV$7))</f>
        <v>0</v>
      </c>
      <c r="AO16" s="415">
        <f>IF($BD16=0,0,$BD16*AO$7/($BD$7-$AV$7))</f>
        <v>0</v>
      </c>
      <c r="AP16" s="415">
        <f>IF($BB16=0,0,$BB16*AP$7/($BB$7-$AV$7))</f>
        <v>0</v>
      </c>
      <c r="AQ16" s="415">
        <f>IF($BC16=0,0,$BC16*AQ$7/($BC$7-$AV$7))</f>
        <v>0</v>
      </c>
      <c r="AR16" s="415">
        <f>IF($BD16=0,0,$BD16*AR$7/($BD$7-$AV$7))</f>
        <v>0</v>
      </c>
      <c r="AS16" s="415">
        <f>IF($BB16=0,0,$BB16*AS$7/($BB$7-$AV$7))</f>
        <v>0</v>
      </c>
      <c r="AT16" s="415">
        <f>IF($BC16=0,0,$BC16*AT$7/($BC$7-$AV$7))</f>
        <v>0</v>
      </c>
      <c r="AU16" s="415">
        <f>IF($BD16=0,0,$BD16*AU$7/($BD$7-$AV$7))</f>
        <v>0</v>
      </c>
      <c r="AV16" s="415"/>
      <c r="AW16" s="415"/>
      <c r="AX16" s="415"/>
      <c r="AY16" s="415">
        <f>IF($BB16=0,0,$BB16*AY$7/($BB$7-$AV$7))</f>
        <v>0</v>
      </c>
      <c r="AZ16" s="415">
        <f>IF($BC16=0,0,$BC16*AZ$7/($BC$7-$AV$7))</f>
        <v>0</v>
      </c>
      <c r="BA16" s="415">
        <f>IF($BD16=0,0,$BD16*BA$7/($BD$7-$AV$7))</f>
        <v>0</v>
      </c>
      <c r="BB16" s="415">
        <f>'2-公摊费用及期间费（本期）'!O97</f>
        <v>0</v>
      </c>
      <c r="BC16" s="415">
        <f>'2-公摊费用及期间费（本期）'!M97</f>
        <v>0</v>
      </c>
      <c r="BD16" s="415">
        <f>'2-公摊费用及期间费（本期）'!N97</f>
        <v>0</v>
      </c>
      <c r="BE16" s="416"/>
      <c r="BF16" s="419" t="s">
        <v>20</v>
      </c>
      <c r="BG16" s="402"/>
      <c r="BH16" s="402"/>
      <c r="BI16" s="402"/>
      <c r="BJ16" s="392"/>
    </row>
    <row r="17" spans="2:62" ht="15.75" customHeight="1" outlineLevel="1">
      <c r="B17" s="412" t="s">
        <v>485</v>
      </c>
      <c r="C17" s="413">
        <v>4</v>
      </c>
      <c r="D17" s="414" t="s">
        <v>40</v>
      </c>
      <c r="E17" s="415" t="str">
        <f t="shared" si="0"/>
        <v/>
      </c>
      <c r="F17" s="415" t="str">
        <f t="shared" si="1"/>
        <v/>
      </c>
      <c r="G17" s="415" t="str">
        <f t="shared" si="2"/>
        <v/>
      </c>
      <c r="H17" s="415" t="str">
        <f t="shared" si="3"/>
        <v/>
      </c>
      <c r="I17" s="415" t="str">
        <f t="shared" si="4"/>
        <v/>
      </c>
      <c r="J17" s="415" t="str">
        <f t="shared" si="5"/>
        <v/>
      </c>
      <c r="K17" s="415" t="str">
        <f t="shared" si="6"/>
        <v/>
      </c>
      <c r="L17" s="415" t="str">
        <f t="shared" si="7"/>
        <v/>
      </c>
      <c r="M17" s="415" t="str">
        <f t="shared" si="8"/>
        <v/>
      </c>
      <c r="N17" s="415" t="str">
        <f t="shared" si="9"/>
        <v/>
      </c>
      <c r="O17" s="415" t="str">
        <f t="shared" si="10"/>
        <v/>
      </c>
      <c r="P17" s="415" t="str">
        <f t="shared" si="11"/>
        <v/>
      </c>
      <c r="Q17" s="415" t="str">
        <f t="shared" si="12"/>
        <v/>
      </c>
      <c r="R17" s="415" t="str">
        <f t="shared" si="13"/>
        <v/>
      </c>
      <c r="S17" s="415" t="str">
        <f t="shared" si="14"/>
        <v/>
      </c>
      <c r="T17" s="415" t="str">
        <f t="shared" si="15"/>
        <v/>
      </c>
      <c r="U17" s="415" t="str">
        <f t="shared" si="16"/>
        <v/>
      </c>
      <c r="V17" s="415" t="str">
        <f t="shared" si="17"/>
        <v/>
      </c>
      <c r="W17" s="415" t="str">
        <f t="shared" si="26"/>
        <v/>
      </c>
      <c r="X17" s="415" t="str">
        <f t="shared" si="27"/>
        <v/>
      </c>
      <c r="Y17" s="415" t="str">
        <f t="shared" si="28"/>
        <v/>
      </c>
      <c r="Z17" s="415" t="str">
        <f t="shared" si="18"/>
        <v/>
      </c>
      <c r="AA17" s="415" t="str">
        <f t="shared" si="19"/>
        <v/>
      </c>
      <c r="AB17" s="415" t="str">
        <f t="shared" si="20"/>
        <v/>
      </c>
      <c r="AC17" s="415" t="str">
        <f t="shared" si="21"/>
        <v/>
      </c>
      <c r="AD17" s="415" t="str">
        <f t="shared" si="22"/>
        <v/>
      </c>
      <c r="AE17" s="415" t="str">
        <f t="shared" si="23"/>
        <v/>
      </c>
      <c r="AF17" s="400"/>
      <c r="AG17" s="415">
        <f>IF($BB17=0,0,$BB17*AG$7/($BB$7-$AV$7))</f>
        <v>0</v>
      </c>
      <c r="AH17" s="415">
        <f>IF($BC17=0,0,$BC17*AH$7/($BC$7-$AV$7))</f>
        <v>0</v>
      </c>
      <c r="AI17" s="415">
        <f>IF($BD17=0,0,$BD17*AI$7/($BD$7-$AV$7))</f>
        <v>0</v>
      </c>
      <c r="AJ17" s="415">
        <f>IF($BB17=0,0,$BB17*AJ$7/($BB$7-$AV$7))</f>
        <v>0</v>
      </c>
      <c r="AK17" s="415">
        <f>IF($BC17=0,0,$BC17*AK$7/($BC$7-$AV$7))</f>
        <v>0</v>
      </c>
      <c r="AL17" s="415">
        <f>IF($BD17=0,0,$BD17*AL$7/($BD$7-$AV$7))</f>
        <v>0</v>
      </c>
      <c r="AM17" s="415">
        <f>IF($BB17=0,0,$BB17*AM$7/($BB$7-$AV$7))</f>
        <v>0</v>
      </c>
      <c r="AN17" s="415">
        <f>IF($BC17=0,0,$BC17*AN$7/($BC$7-$AV$7))</f>
        <v>0</v>
      </c>
      <c r="AO17" s="415">
        <f>IF($BD17=0,0,$BD17*AO$7/($BD$7-$AV$7))</f>
        <v>0</v>
      </c>
      <c r="AP17" s="415">
        <f>IF($BB17=0,0,$BB17*AP$7/($BB$7-$AV$7))</f>
        <v>0</v>
      </c>
      <c r="AQ17" s="415">
        <f>IF($BC17=0,0,$BC17*AQ$7/($BC$7-$AV$7))</f>
        <v>0</v>
      </c>
      <c r="AR17" s="415">
        <f>IF($BD17=0,0,$BD17*AR$7/($BD$7-$AV$7))</f>
        <v>0</v>
      </c>
      <c r="AS17" s="415">
        <f>IF($BB17=0,0,$BB17*AS$7/($BB$7-$AV$7))</f>
        <v>0</v>
      </c>
      <c r="AT17" s="415">
        <f>IF($BC17=0,0,$BC17*AT$7/($BC$7-$AV$7))</f>
        <v>0</v>
      </c>
      <c r="AU17" s="415">
        <f>IF($BD17=0,0,$BD17*AU$7/($BD$7-$AV$7))</f>
        <v>0</v>
      </c>
      <c r="AV17" s="415"/>
      <c r="AW17" s="415"/>
      <c r="AX17" s="415"/>
      <c r="AY17" s="415">
        <f>IF($BB17=0,0,$BB17*AY$7/($BB$7-$AV$7))</f>
        <v>0</v>
      </c>
      <c r="AZ17" s="415">
        <f>IF($BC17=0,0,$BC17*AZ$7/($BC$7-$AV$7))</f>
        <v>0</v>
      </c>
      <c r="BA17" s="415">
        <f>IF($BD17=0,0,$BD17*BA$7/($BD$7-$AV$7))</f>
        <v>0</v>
      </c>
      <c r="BB17" s="415">
        <f>'2-公摊费用及期间费（本期）'!O103</f>
        <v>0</v>
      </c>
      <c r="BC17" s="415">
        <f>'2-公摊费用及期间费（本期）'!M103</f>
        <v>0</v>
      </c>
      <c r="BD17" s="415">
        <f>'2-公摊费用及期间费（本期）'!N103</f>
        <v>0</v>
      </c>
      <c r="BE17" s="416"/>
      <c r="BF17" s="419" t="s">
        <v>105</v>
      </c>
      <c r="BG17" s="402"/>
      <c r="BH17" s="402"/>
      <c r="BI17" s="402"/>
      <c r="BJ17" s="392"/>
    </row>
    <row r="18" spans="2:62" s="403" customFormat="1" ht="15.75" customHeight="1">
      <c r="B18" s="404">
        <v>5001.3</v>
      </c>
      <c r="C18" s="405" t="s">
        <v>28</v>
      </c>
      <c r="D18" s="406" t="s">
        <v>1006</v>
      </c>
      <c r="E18" s="407" t="str">
        <f t="shared" ref="E18:E34" si="31">IF(AG$7=0,"",AG18*10000/AG$7)</f>
        <v/>
      </c>
      <c r="F18" s="407" t="str">
        <f t="shared" ref="F18:F23" si="32">IF(AH$7=0,"",AH18*10000/AH$7)</f>
        <v/>
      </c>
      <c r="G18" s="407" t="str">
        <f t="shared" ref="G18:G23" si="33">IF(AI$7=0,"",AI18*10000/AI$7)</f>
        <v/>
      </c>
      <c r="H18" s="407" t="str">
        <f t="shared" si="3"/>
        <v/>
      </c>
      <c r="I18" s="407" t="str">
        <f t="shared" si="4"/>
        <v/>
      </c>
      <c r="J18" s="407" t="str">
        <f t="shared" si="5"/>
        <v/>
      </c>
      <c r="K18" s="407" t="str">
        <f>IF(AM$7=0,"",AM18*10000/AM$7)</f>
        <v/>
      </c>
      <c r="L18" s="407" t="str">
        <f t="shared" ref="L18:L23" si="34">IF(AN$7=0,"",AN18*10000/AN$7)</f>
        <v/>
      </c>
      <c r="M18" s="407" t="str">
        <f t="shared" ref="M18:M23" si="35">IF(AO$7=0,"",AO18*10000/AO$7)</f>
        <v/>
      </c>
      <c r="N18" s="407" t="str">
        <f t="shared" ref="N18:N34" si="36">IF(AP$7=0,"",AP18*10000/AP$7)</f>
        <v/>
      </c>
      <c r="O18" s="407" t="str">
        <f t="shared" ref="O18:O23" si="37">IF(AQ$7=0,"",AQ18*10000/AQ$7)</f>
        <v/>
      </c>
      <c r="P18" s="407" t="str">
        <f t="shared" ref="P18:P23" si="38">IF(AR$7=0,"",AR18*10000/AR$7)</f>
        <v/>
      </c>
      <c r="Q18" s="407" t="str">
        <f t="shared" si="12"/>
        <v/>
      </c>
      <c r="R18" s="407" t="str">
        <f t="shared" si="13"/>
        <v/>
      </c>
      <c r="S18" s="407" t="str">
        <f t="shared" si="14"/>
        <v/>
      </c>
      <c r="T18" s="407" t="str">
        <f t="shared" ref="T18:T34" si="39">IF(AV$7=0,"",AV18*10000/AV$7)</f>
        <v/>
      </c>
      <c r="U18" s="407" t="str">
        <f t="shared" ref="U18:U23" si="40">IF(AW$7=0,"",AW18*10000/AW$7)</f>
        <v/>
      </c>
      <c r="V18" s="407" t="str">
        <f t="shared" ref="V18:V23" si="41">IF(AX$7=0,"",AX18*10000/AX$7)</f>
        <v/>
      </c>
      <c r="W18" s="407" t="str">
        <f t="shared" si="26"/>
        <v/>
      </c>
      <c r="X18" s="407" t="str">
        <f t="shared" si="27"/>
        <v/>
      </c>
      <c r="Y18" s="407" t="str">
        <f t="shared" si="28"/>
        <v/>
      </c>
      <c r="Z18" s="407" t="str">
        <f t="shared" si="18"/>
        <v/>
      </c>
      <c r="AA18" s="407" t="str">
        <f t="shared" si="19"/>
        <v/>
      </c>
      <c r="AB18" s="407" t="str">
        <f t="shared" si="20"/>
        <v/>
      </c>
      <c r="AC18" s="407" t="str">
        <f t="shared" si="21"/>
        <v/>
      </c>
      <c r="AD18" s="407" t="str">
        <f t="shared" si="22"/>
        <v/>
      </c>
      <c r="AE18" s="407" t="str">
        <f t="shared" si="23"/>
        <v/>
      </c>
      <c r="AF18" s="408"/>
      <c r="AG18" s="409">
        <f>AG19+AG20+AG21+AG22+AG23</f>
        <v>0</v>
      </c>
      <c r="AH18" s="409">
        <f>AH19+AH20+AH21+AH22+AH23</f>
        <v>0</v>
      </c>
      <c r="AI18" s="409">
        <f>AI19+AI20+AI21+AI22+AI23</f>
        <v>0</v>
      </c>
      <c r="AJ18" s="409">
        <f t="shared" ref="AJ18:AO18" si="42">AJ19+AJ20+AJ21+AJ22+AJ23</f>
        <v>0</v>
      </c>
      <c r="AK18" s="409">
        <f t="shared" si="42"/>
        <v>0</v>
      </c>
      <c r="AL18" s="409">
        <f t="shared" si="42"/>
        <v>0</v>
      </c>
      <c r="AM18" s="409">
        <f t="shared" si="42"/>
        <v>0</v>
      </c>
      <c r="AN18" s="409">
        <f t="shared" si="42"/>
        <v>0</v>
      </c>
      <c r="AO18" s="409">
        <f t="shared" si="42"/>
        <v>0</v>
      </c>
      <c r="AP18" s="409">
        <f t="shared" ref="AP18:BD18" si="43">AP19+AP20+AP21+AP22+AP23</f>
        <v>0</v>
      </c>
      <c r="AQ18" s="409">
        <f t="shared" si="43"/>
        <v>0</v>
      </c>
      <c r="AR18" s="409">
        <f t="shared" si="43"/>
        <v>0</v>
      </c>
      <c r="AS18" s="409">
        <f t="shared" si="43"/>
        <v>0</v>
      </c>
      <c r="AT18" s="409">
        <f t="shared" si="43"/>
        <v>0</v>
      </c>
      <c r="AU18" s="409">
        <f t="shared" si="43"/>
        <v>0</v>
      </c>
      <c r="AV18" s="409">
        <f t="shared" si="43"/>
        <v>0</v>
      </c>
      <c r="AW18" s="409">
        <f t="shared" si="43"/>
        <v>0</v>
      </c>
      <c r="AX18" s="409">
        <f t="shared" si="43"/>
        <v>0</v>
      </c>
      <c r="AY18" s="409">
        <f t="shared" si="43"/>
        <v>0</v>
      </c>
      <c r="AZ18" s="409">
        <f t="shared" si="43"/>
        <v>0</v>
      </c>
      <c r="BA18" s="409">
        <f t="shared" si="43"/>
        <v>0</v>
      </c>
      <c r="BB18" s="409">
        <f t="shared" si="43"/>
        <v>0</v>
      </c>
      <c r="BC18" s="409">
        <f t="shared" si="43"/>
        <v>0</v>
      </c>
      <c r="BD18" s="409">
        <f t="shared" si="43"/>
        <v>0</v>
      </c>
      <c r="BE18" s="410"/>
      <c r="BF18" s="411"/>
      <c r="BG18" s="402"/>
      <c r="BH18" s="402"/>
      <c r="BI18" s="402"/>
      <c r="BJ18" s="392"/>
    </row>
    <row r="19" spans="2:62" s="403" customFormat="1" ht="15.75" customHeight="1" outlineLevel="1">
      <c r="B19" s="412" t="s">
        <v>487</v>
      </c>
      <c r="C19" s="413">
        <v>1</v>
      </c>
      <c r="D19" s="420" t="s">
        <v>488</v>
      </c>
      <c r="E19" s="415" t="str">
        <f t="shared" si="31"/>
        <v/>
      </c>
      <c r="F19" s="415" t="str">
        <f t="shared" si="32"/>
        <v/>
      </c>
      <c r="G19" s="415" t="str">
        <f t="shared" si="33"/>
        <v/>
      </c>
      <c r="H19" s="415" t="str">
        <f t="shared" si="3"/>
        <v/>
      </c>
      <c r="I19" s="415" t="str">
        <f t="shared" si="4"/>
        <v/>
      </c>
      <c r="J19" s="415" t="str">
        <f t="shared" si="5"/>
        <v/>
      </c>
      <c r="K19" s="415" t="str">
        <f t="shared" ref="K19:K34" si="44">IF(AM$7=0,"",AM19*10000/AM$7)</f>
        <v/>
      </c>
      <c r="L19" s="415" t="str">
        <f t="shared" si="34"/>
        <v/>
      </c>
      <c r="M19" s="415" t="str">
        <f t="shared" si="35"/>
        <v/>
      </c>
      <c r="N19" s="415" t="str">
        <f t="shared" si="36"/>
        <v/>
      </c>
      <c r="O19" s="415" t="str">
        <f t="shared" si="37"/>
        <v/>
      </c>
      <c r="P19" s="415" t="str">
        <f t="shared" si="38"/>
        <v/>
      </c>
      <c r="Q19" s="415" t="str">
        <f t="shared" si="12"/>
        <v/>
      </c>
      <c r="R19" s="415" t="str">
        <f t="shared" si="13"/>
        <v/>
      </c>
      <c r="S19" s="415" t="str">
        <f t="shared" si="14"/>
        <v/>
      </c>
      <c r="T19" s="415" t="str">
        <f t="shared" si="39"/>
        <v/>
      </c>
      <c r="U19" s="415" t="str">
        <f t="shared" si="40"/>
        <v/>
      </c>
      <c r="V19" s="415" t="str">
        <f t="shared" si="41"/>
        <v/>
      </c>
      <c r="W19" s="415" t="str">
        <f t="shared" si="26"/>
        <v/>
      </c>
      <c r="X19" s="415" t="str">
        <f t="shared" si="27"/>
        <v/>
      </c>
      <c r="Y19" s="415" t="str">
        <f t="shared" si="28"/>
        <v/>
      </c>
      <c r="Z19" s="415" t="str">
        <f t="shared" si="18"/>
        <v/>
      </c>
      <c r="AA19" s="415" t="str">
        <f t="shared" si="19"/>
        <v/>
      </c>
      <c r="AB19" s="415" t="str">
        <f t="shared" si="20"/>
        <v/>
      </c>
      <c r="AC19" s="415" t="str">
        <f t="shared" si="21"/>
        <v/>
      </c>
      <c r="AD19" s="415" t="str">
        <f t="shared" si="22"/>
        <v/>
      </c>
      <c r="AE19" s="415" t="str">
        <f t="shared" si="23"/>
        <v/>
      </c>
      <c r="AF19" s="400"/>
      <c r="AG19" s="421">
        <f>'2-高层'!O5</f>
        <v>0</v>
      </c>
      <c r="AH19" s="421">
        <f>'2-高层'!M5</f>
        <v>0</v>
      </c>
      <c r="AI19" s="421">
        <f>'2-高层'!N5</f>
        <v>0</v>
      </c>
      <c r="AJ19" s="421">
        <f>'2-小叠拼'!O5</f>
        <v>0</v>
      </c>
      <c r="AK19" s="421">
        <f>'2-小叠拼'!M5</f>
        <v>0</v>
      </c>
      <c r="AL19" s="421">
        <f>'2-小叠拼'!N5</f>
        <v>0</v>
      </c>
      <c r="AM19" s="421">
        <f>'2-小联排'!O5</f>
        <v>0</v>
      </c>
      <c r="AN19" s="421">
        <f>'2-小联排'!M5</f>
        <v>0</v>
      </c>
      <c r="AO19" s="421">
        <f>'2-小联排'!N5</f>
        <v>0</v>
      </c>
      <c r="AP19" s="421">
        <f>'2-底商'!O5</f>
        <v>0</v>
      </c>
      <c r="AQ19" s="421">
        <f>'2-底商'!M5</f>
        <v>0</v>
      </c>
      <c r="AR19" s="421">
        <f>'2-底商'!N5</f>
        <v>0</v>
      </c>
      <c r="AS19" s="421">
        <f>'2-商墅'!O5</f>
        <v>0</v>
      </c>
      <c r="AT19" s="421">
        <f>'2-商墅'!M5</f>
        <v>0</v>
      </c>
      <c r="AU19" s="421">
        <f>'2-商墅'!N5</f>
        <v>0</v>
      </c>
      <c r="AV19" s="421">
        <f>'2-地下车库'!O5*(1-'2-公摊费用及期间费（本期）'!$G$88)</f>
        <v>0</v>
      </c>
      <c r="AW19" s="421">
        <f>'2-地下车库'!M5*(1-'2-公摊费用及期间费（本期）'!$G$88)</f>
        <v>0</v>
      </c>
      <c r="AX19" s="421">
        <f>'2-地下车库'!N5*(1-'2-公摊费用及期间费（本期）'!$G$88)</f>
        <v>0</v>
      </c>
      <c r="AY19" s="421">
        <f>'2-高层公寓'!O5</f>
        <v>0</v>
      </c>
      <c r="AZ19" s="421">
        <f>'2-高层公寓'!M5</f>
        <v>0</v>
      </c>
      <c r="BA19" s="421">
        <f>'2-高层公寓'!N5</f>
        <v>0</v>
      </c>
      <c r="BB19" s="415">
        <f t="shared" ref="BB19:BD20" si="45">AG19+AJ19+AM19+AP19+AS19+AV19+AY19</f>
        <v>0</v>
      </c>
      <c r="BC19" s="415">
        <f t="shared" si="45"/>
        <v>0</v>
      </c>
      <c r="BD19" s="415">
        <f t="shared" si="45"/>
        <v>0</v>
      </c>
      <c r="BE19" s="422"/>
      <c r="BF19" s="423" t="s">
        <v>489</v>
      </c>
      <c r="BG19" s="402"/>
      <c r="BH19" s="402"/>
      <c r="BI19" s="402"/>
      <c r="BJ19" s="392"/>
    </row>
    <row r="20" spans="2:62" s="403" customFormat="1" ht="15.75" customHeight="1" outlineLevel="1">
      <c r="B20" s="412" t="s">
        <v>490</v>
      </c>
      <c r="C20" s="413">
        <v>2</v>
      </c>
      <c r="D20" s="420" t="s">
        <v>491</v>
      </c>
      <c r="E20" s="415" t="str">
        <f t="shared" si="31"/>
        <v/>
      </c>
      <c r="F20" s="415" t="str">
        <f t="shared" si="32"/>
        <v/>
      </c>
      <c r="G20" s="415" t="str">
        <f t="shared" si="33"/>
        <v/>
      </c>
      <c r="H20" s="415" t="str">
        <f t="shared" si="3"/>
        <v/>
      </c>
      <c r="I20" s="415" t="str">
        <f t="shared" si="4"/>
        <v/>
      </c>
      <c r="J20" s="415" t="str">
        <f t="shared" si="5"/>
        <v/>
      </c>
      <c r="K20" s="415" t="str">
        <f t="shared" si="44"/>
        <v/>
      </c>
      <c r="L20" s="415" t="str">
        <f t="shared" si="34"/>
        <v/>
      </c>
      <c r="M20" s="415" t="str">
        <f t="shared" si="35"/>
        <v/>
      </c>
      <c r="N20" s="415" t="str">
        <f t="shared" si="36"/>
        <v/>
      </c>
      <c r="O20" s="415" t="str">
        <f t="shared" si="37"/>
        <v/>
      </c>
      <c r="P20" s="415" t="str">
        <f t="shared" si="38"/>
        <v/>
      </c>
      <c r="Q20" s="415" t="str">
        <f t="shared" si="12"/>
        <v/>
      </c>
      <c r="R20" s="415" t="str">
        <f t="shared" si="13"/>
        <v/>
      </c>
      <c r="S20" s="415" t="str">
        <f t="shared" si="14"/>
        <v/>
      </c>
      <c r="T20" s="415" t="str">
        <f t="shared" si="39"/>
        <v/>
      </c>
      <c r="U20" s="415" t="str">
        <f t="shared" si="40"/>
        <v/>
      </c>
      <c r="V20" s="415" t="str">
        <f t="shared" si="41"/>
        <v/>
      </c>
      <c r="W20" s="415" t="str">
        <f t="shared" si="26"/>
        <v/>
      </c>
      <c r="X20" s="415" t="str">
        <f t="shared" si="27"/>
        <v/>
      </c>
      <c r="Y20" s="415" t="str">
        <f t="shared" si="28"/>
        <v/>
      </c>
      <c r="Z20" s="415" t="str">
        <f t="shared" si="18"/>
        <v/>
      </c>
      <c r="AA20" s="415" t="str">
        <f t="shared" si="19"/>
        <v/>
      </c>
      <c r="AB20" s="415" t="str">
        <f t="shared" si="20"/>
        <v/>
      </c>
      <c r="AC20" s="415" t="str">
        <f t="shared" si="21"/>
        <v/>
      </c>
      <c r="AD20" s="415" t="str">
        <f t="shared" si="22"/>
        <v/>
      </c>
      <c r="AE20" s="415" t="str">
        <f t="shared" si="23"/>
        <v/>
      </c>
      <c r="AF20" s="400"/>
      <c r="AG20" s="421">
        <f>'2-高层'!O36</f>
        <v>0</v>
      </c>
      <c r="AH20" s="421">
        <f>'2-高层'!M36</f>
        <v>0</v>
      </c>
      <c r="AI20" s="421">
        <f>'2-高层'!N36</f>
        <v>0</v>
      </c>
      <c r="AJ20" s="421">
        <f>'2-小叠拼'!O36</f>
        <v>0</v>
      </c>
      <c r="AK20" s="421">
        <f>'2-小叠拼'!M36</f>
        <v>0</v>
      </c>
      <c r="AL20" s="421">
        <f>'2-小叠拼'!N36</f>
        <v>0</v>
      </c>
      <c r="AM20" s="421">
        <f>'2-小联排'!O36</f>
        <v>0</v>
      </c>
      <c r="AN20" s="421">
        <f>'2-小联排'!M36</f>
        <v>0</v>
      </c>
      <c r="AO20" s="421">
        <f>'2-小联排'!N36</f>
        <v>0</v>
      </c>
      <c r="AP20" s="421">
        <f>'2-底商'!O36</f>
        <v>0</v>
      </c>
      <c r="AQ20" s="421">
        <f>'2-底商'!M36</f>
        <v>0</v>
      </c>
      <c r="AR20" s="421">
        <f>'2-底商'!N36</f>
        <v>0</v>
      </c>
      <c r="AS20" s="421">
        <f>'2-商墅'!O36</f>
        <v>0</v>
      </c>
      <c r="AT20" s="421">
        <f>'2-商墅'!M36</f>
        <v>0</v>
      </c>
      <c r="AU20" s="421">
        <f>'2-商墅'!N36</f>
        <v>0</v>
      </c>
      <c r="AV20" s="421">
        <f>'2-地下车库'!O36*(1-'2-公摊费用及期间费（本期）'!$G$88)</f>
        <v>0</v>
      </c>
      <c r="AW20" s="421">
        <f>'2-地下车库'!M36*(1-'2-公摊费用及期间费（本期）'!$G$88)</f>
        <v>0</v>
      </c>
      <c r="AX20" s="421">
        <f>'2-地下车库'!N36*(1-'2-公摊费用及期间费（本期）'!$G$88)</f>
        <v>0</v>
      </c>
      <c r="AY20" s="421">
        <f>'2-高层公寓'!O36</f>
        <v>0</v>
      </c>
      <c r="AZ20" s="421">
        <f>'2-高层公寓'!M36</f>
        <v>0</v>
      </c>
      <c r="BA20" s="421">
        <f>'2-高层公寓'!N36</f>
        <v>0</v>
      </c>
      <c r="BB20" s="415">
        <f t="shared" si="45"/>
        <v>0</v>
      </c>
      <c r="BC20" s="415">
        <f t="shared" si="45"/>
        <v>0</v>
      </c>
      <c r="BD20" s="415">
        <f t="shared" si="45"/>
        <v>0</v>
      </c>
      <c r="BE20" s="422"/>
      <c r="BF20" s="423" t="s">
        <v>489</v>
      </c>
      <c r="BG20" s="402"/>
      <c r="BH20" s="402"/>
      <c r="BI20" s="402"/>
    </row>
    <row r="21" spans="2:62" s="403" customFormat="1" ht="15.75" customHeight="1" outlineLevel="1">
      <c r="B21" s="412" t="s">
        <v>492</v>
      </c>
      <c r="C21" s="413">
        <v>3</v>
      </c>
      <c r="D21" s="420" t="s">
        <v>493</v>
      </c>
      <c r="E21" s="415" t="str">
        <f t="shared" si="31"/>
        <v/>
      </c>
      <c r="F21" s="415" t="str">
        <f t="shared" si="32"/>
        <v/>
      </c>
      <c r="G21" s="415" t="str">
        <f t="shared" si="33"/>
        <v/>
      </c>
      <c r="H21" s="415" t="str">
        <f t="shared" si="3"/>
        <v/>
      </c>
      <c r="I21" s="415" t="str">
        <f t="shared" si="4"/>
        <v/>
      </c>
      <c r="J21" s="415" t="str">
        <f t="shared" si="5"/>
        <v/>
      </c>
      <c r="K21" s="415" t="str">
        <f t="shared" si="44"/>
        <v/>
      </c>
      <c r="L21" s="415" t="str">
        <f t="shared" si="34"/>
        <v/>
      </c>
      <c r="M21" s="415" t="str">
        <f t="shared" si="35"/>
        <v/>
      </c>
      <c r="N21" s="415" t="str">
        <f t="shared" si="36"/>
        <v/>
      </c>
      <c r="O21" s="415" t="str">
        <f t="shared" si="37"/>
        <v/>
      </c>
      <c r="P21" s="415" t="str">
        <f t="shared" si="38"/>
        <v/>
      </c>
      <c r="Q21" s="415" t="str">
        <f t="shared" si="12"/>
        <v/>
      </c>
      <c r="R21" s="415" t="str">
        <f t="shared" si="13"/>
        <v/>
      </c>
      <c r="S21" s="415" t="str">
        <f t="shared" si="14"/>
        <v/>
      </c>
      <c r="T21" s="415" t="str">
        <f t="shared" si="39"/>
        <v/>
      </c>
      <c r="U21" s="415" t="str">
        <f t="shared" si="40"/>
        <v/>
      </c>
      <c r="V21" s="415" t="str">
        <f t="shared" si="41"/>
        <v/>
      </c>
      <c r="W21" s="415" t="str">
        <f>IF(AY$7=0,"",AY21*10000/AY$7)</f>
        <v/>
      </c>
      <c r="X21" s="415" t="str">
        <f t="shared" si="27"/>
        <v/>
      </c>
      <c r="Y21" s="415" t="str">
        <f t="shared" si="28"/>
        <v/>
      </c>
      <c r="Z21" s="415" t="str">
        <f t="shared" si="18"/>
        <v/>
      </c>
      <c r="AA21" s="415" t="str">
        <f t="shared" si="19"/>
        <v/>
      </c>
      <c r="AB21" s="415" t="str">
        <f t="shared" si="20"/>
        <v/>
      </c>
      <c r="AC21" s="415" t="str">
        <f t="shared" si="21"/>
        <v/>
      </c>
      <c r="AD21" s="415" t="str">
        <f t="shared" si="22"/>
        <v/>
      </c>
      <c r="AE21" s="415" t="str">
        <f t="shared" si="23"/>
        <v/>
      </c>
      <c r="AF21" s="400"/>
      <c r="AG21" s="415">
        <f>IF($BB21=0,0,$BB21*AG$8/($BB$8-$AV$8))</f>
        <v>0</v>
      </c>
      <c r="AH21" s="415">
        <f>IF($BC21=0,0,$BC21*AH$8/($BC$8-$AV$8))</f>
        <v>0</v>
      </c>
      <c r="AI21" s="415">
        <f>IF($BD21=0,0,$BD21*AI$8/($BD$8-$AV$8))</f>
        <v>0</v>
      </c>
      <c r="AJ21" s="415">
        <f>IF($BB21=0,0,$BB21*AJ$8/($BB$8-$AV$8))</f>
        <v>0</v>
      </c>
      <c r="AK21" s="415">
        <f>IF($BC21=0,0,$BC21*AK$8/($BC$8-$AV$8))</f>
        <v>0</v>
      </c>
      <c r="AL21" s="415">
        <f>IF($BD21=0,0,$BD21*AL$8/($BD$8-$AV$8))</f>
        <v>0</v>
      </c>
      <c r="AM21" s="415">
        <f>IF($BB21=0,0,$BB21*AM$8/($BB$8-$AV$8))</f>
        <v>0</v>
      </c>
      <c r="AN21" s="415">
        <f>IF($BC21=0,0,$BC21*AN$8/($BC$8-$AV$8))</f>
        <v>0</v>
      </c>
      <c r="AO21" s="415">
        <f>IF($BD21=0,0,$BD21*AO$8/($BD$8-$AV$8))</f>
        <v>0</v>
      </c>
      <c r="AP21" s="415">
        <f>IF($BB21=0,0,$BB21*AP$8/($BB$8-$AV$8))</f>
        <v>0</v>
      </c>
      <c r="AQ21" s="415">
        <f>IF($BC21=0,0,$BC21*AQ$8/($BC$8-$AV$8))</f>
        <v>0</v>
      </c>
      <c r="AR21" s="415">
        <f>IF($BD21=0,0,$BD21*AR$8/($BD$8-$AV$8))</f>
        <v>0</v>
      </c>
      <c r="AS21" s="415">
        <f>IF($BB21=0,0,$BB21*AS$8/($BB$8-$AV$8))</f>
        <v>0</v>
      </c>
      <c r="AT21" s="415">
        <f>IF($BC21=0,0,$BC21*AT$8/($BC$8-$AV$8))</f>
        <v>0</v>
      </c>
      <c r="AU21" s="415">
        <f>IF($BD21=0,0,$BD21*AU$8/($BD$8-$AV$8))</f>
        <v>0</v>
      </c>
      <c r="AV21" s="415"/>
      <c r="AW21" s="415"/>
      <c r="AX21" s="415"/>
      <c r="AY21" s="415">
        <f>IF($BB21=0,0,$BB21*AY$8/($BB$8-$AV$8))</f>
        <v>0</v>
      </c>
      <c r="AZ21" s="415">
        <f>IF($BC21=0,0,$BC21*AZ$8/($BC$8-$AV$8))</f>
        <v>0</v>
      </c>
      <c r="BA21" s="415">
        <f>IF($BD21=0,0,$BD21*BA$8/($BD$8-$AV$8))</f>
        <v>0</v>
      </c>
      <c r="BB21" s="415">
        <f>'2-公摊费用及期间费（本期）'!O107</f>
        <v>0</v>
      </c>
      <c r="BC21" s="421">
        <f>'2-公摊费用及期间费（本期）'!M107</f>
        <v>0</v>
      </c>
      <c r="BD21" s="421">
        <f>'2-公摊费用及期间费（本期）'!N107</f>
        <v>0</v>
      </c>
      <c r="BE21" s="422"/>
      <c r="BF21" s="423" t="s">
        <v>431</v>
      </c>
      <c r="BG21" s="402"/>
      <c r="BH21" s="402"/>
      <c r="BI21" s="402"/>
    </row>
    <row r="22" spans="2:62" ht="15.75" customHeight="1" outlineLevel="1">
      <c r="B22" s="412" t="s">
        <v>494</v>
      </c>
      <c r="C22" s="413">
        <v>4</v>
      </c>
      <c r="D22" s="420" t="s">
        <v>495</v>
      </c>
      <c r="E22" s="415" t="str">
        <f t="shared" si="31"/>
        <v/>
      </c>
      <c r="F22" s="415" t="str">
        <f t="shared" si="32"/>
        <v/>
      </c>
      <c r="G22" s="415" t="str">
        <f t="shared" si="33"/>
        <v/>
      </c>
      <c r="H22" s="415" t="str">
        <f t="shared" si="3"/>
        <v/>
      </c>
      <c r="I22" s="415" t="str">
        <f t="shared" si="4"/>
        <v/>
      </c>
      <c r="J22" s="415" t="str">
        <f t="shared" si="5"/>
        <v/>
      </c>
      <c r="K22" s="415" t="str">
        <f t="shared" si="44"/>
        <v/>
      </c>
      <c r="L22" s="415" t="str">
        <f t="shared" si="34"/>
        <v/>
      </c>
      <c r="M22" s="415" t="str">
        <f t="shared" si="35"/>
        <v/>
      </c>
      <c r="N22" s="415" t="str">
        <f t="shared" si="36"/>
        <v/>
      </c>
      <c r="O22" s="415" t="str">
        <f t="shared" si="37"/>
        <v/>
      </c>
      <c r="P22" s="415" t="str">
        <f t="shared" si="38"/>
        <v/>
      </c>
      <c r="Q22" s="415" t="str">
        <f t="shared" si="12"/>
        <v/>
      </c>
      <c r="R22" s="415" t="str">
        <f t="shared" si="13"/>
        <v/>
      </c>
      <c r="S22" s="415" t="str">
        <f t="shared" si="14"/>
        <v/>
      </c>
      <c r="T22" s="415" t="str">
        <f t="shared" si="39"/>
        <v/>
      </c>
      <c r="U22" s="415" t="str">
        <f t="shared" si="40"/>
        <v/>
      </c>
      <c r="V22" s="415" t="str">
        <f t="shared" si="41"/>
        <v/>
      </c>
      <c r="W22" s="415" t="str">
        <f t="shared" si="26"/>
        <v/>
      </c>
      <c r="X22" s="415" t="str">
        <f t="shared" si="27"/>
        <v/>
      </c>
      <c r="Y22" s="415" t="str">
        <f t="shared" si="28"/>
        <v/>
      </c>
      <c r="Z22" s="415" t="str">
        <f t="shared" si="18"/>
        <v/>
      </c>
      <c r="AA22" s="415" t="str">
        <f t="shared" si="19"/>
        <v/>
      </c>
      <c r="AB22" s="415" t="str">
        <f t="shared" si="20"/>
        <v/>
      </c>
      <c r="AC22" s="415" t="str">
        <f t="shared" si="21"/>
        <v/>
      </c>
      <c r="AD22" s="415" t="str">
        <f t="shared" si="22"/>
        <v/>
      </c>
      <c r="AE22" s="415" t="str">
        <f t="shared" si="23"/>
        <v/>
      </c>
      <c r="AF22" s="400"/>
      <c r="AG22" s="415">
        <f>IF($BB22=0,0,$BB22*AG$7/($BB$7-$AV$7))</f>
        <v>0</v>
      </c>
      <c r="AH22" s="415">
        <f>IF($BC22=0,0,$BC22*AH$7/($BC$7-$AV$7))</f>
        <v>0</v>
      </c>
      <c r="AI22" s="415">
        <f>IF($BD22=0,0,$BD22*AI$7/($BD$7-$AV$7))</f>
        <v>0</v>
      </c>
      <c r="AJ22" s="415">
        <f>IF($BB22=0,0,$BB22*AJ$7/($BB$7-$AV$7))</f>
        <v>0</v>
      </c>
      <c r="AK22" s="415">
        <f>IF($BC22=0,0,$BC22*AK$7/($BC$7-$AV$7))</f>
        <v>0</v>
      </c>
      <c r="AL22" s="415">
        <f>IF($BD22=0,0,$BD22*AL$7/($BD$7-$AV$7))</f>
        <v>0</v>
      </c>
      <c r="AM22" s="415">
        <f>IF($BB22=0,0,$BB22*AM$7/($BB$7-$AV$7))</f>
        <v>0</v>
      </c>
      <c r="AN22" s="415">
        <f>IF($BC22=0,0,$BC22*AN$7/($BC$7-$AV$7))</f>
        <v>0</v>
      </c>
      <c r="AO22" s="415">
        <f>IF($BD22=0,0,$BD22*AO$7/($BD$7-$AV$7))</f>
        <v>0</v>
      </c>
      <c r="AP22" s="415">
        <f>IF($BB22=0,0,$BB22*AP$7/($BB$7-$AV$7))</f>
        <v>0</v>
      </c>
      <c r="AQ22" s="415">
        <f>IF($BC22=0,0,$BC22*AQ$7/($BC$7-$AV$7))</f>
        <v>0</v>
      </c>
      <c r="AR22" s="415">
        <f>IF($BD22=0,0,$BD22*AR$7/($BD$7-$AV$7))</f>
        <v>0</v>
      </c>
      <c r="AS22" s="415">
        <f>IF($BB22=0,0,$BB22*AS$7/($BB$7-$AV$7))</f>
        <v>0</v>
      </c>
      <c r="AT22" s="415">
        <f>IF($BC22=0,0,$BC22*AT$7/($BC$7-$AV$7))</f>
        <v>0</v>
      </c>
      <c r="AU22" s="415">
        <f>IF($BD22=0,0,$BD22*AU$7/($BD$7-$AV$7))</f>
        <v>0</v>
      </c>
      <c r="AV22" s="415"/>
      <c r="AW22" s="415"/>
      <c r="AX22" s="415"/>
      <c r="AY22" s="415">
        <f>IF($BB22=0,0,$BB22*AY$7/($BB$7-$AV$7))</f>
        <v>0</v>
      </c>
      <c r="AZ22" s="415">
        <f>IF($BC22=0,0,$BC22*AZ$7/($BC$7-$AV$7))</f>
        <v>0</v>
      </c>
      <c r="BA22" s="415">
        <f>IF($BD22=0,0,$BD22*BA$7/($BD$7-$AV$7))</f>
        <v>0</v>
      </c>
      <c r="BB22" s="415">
        <f>'2-公摊费用及期间费（本期）'!O125</f>
        <v>0</v>
      </c>
      <c r="BC22" s="415">
        <f>'2-公摊费用及期间费（本期）'!M125</f>
        <v>0</v>
      </c>
      <c r="BD22" s="415">
        <f>'2-公摊费用及期间费（本期）'!N125</f>
        <v>0</v>
      </c>
      <c r="BE22" s="422"/>
      <c r="BF22" s="419" t="s">
        <v>105</v>
      </c>
      <c r="BG22" s="402"/>
      <c r="BH22" s="402"/>
      <c r="BI22" s="402"/>
    </row>
    <row r="23" spans="2:62" ht="15.75" customHeight="1" outlineLevel="1">
      <c r="B23" s="412" t="s">
        <v>496</v>
      </c>
      <c r="C23" s="413">
        <v>5</v>
      </c>
      <c r="D23" s="420" t="s">
        <v>43</v>
      </c>
      <c r="E23" s="415" t="str">
        <f t="shared" si="31"/>
        <v/>
      </c>
      <c r="F23" s="415" t="str">
        <f t="shared" si="32"/>
        <v/>
      </c>
      <c r="G23" s="415" t="str">
        <f t="shared" si="33"/>
        <v/>
      </c>
      <c r="H23" s="415" t="str">
        <f t="shared" si="3"/>
        <v/>
      </c>
      <c r="I23" s="415" t="str">
        <f t="shared" si="4"/>
        <v/>
      </c>
      <c r="J23" s="415" t="str">
        <f t="shared" si="5"/>
        <v/>
      </c>
      <c r="K23" s="415" t="str">
        <f t="shared" si="44"/>
        <v/>
      </c>
      <c r="L23" s="415" t="str">
        <f t="shared" si="34"/>
        <v/>
      </c>
      <c r="M23" s="415" t="str">
        <f t="shared" si="35"/>
        <v/>
      </c>
      <c r="N23" s="415" t="str">
        <f t="shared" si="36"/>
        <v/>
      </c>
      <c r="O23" s="415" t="str">
        <f t="shared" si="37"/>
        <v/>
      </c>
      <c r="P23" s="415" t="str">
        <f t="shared" si="38"/>
        <v/>
      </c>
      <c r="Q23" s="415" t="str">
        <f t="shared" si="12"/>
        <v/>
      </c>
      <c r="R23" s="415" t="str">
        <f t="shared" si="13"/>
        <v/>
      </c>
      <c r="S23" s="415" t="str">
        <f t="shared" si="14"/>
        <v/>
      </c>
      <c r="T23" s="415" t="str">
        <f t="shared" si="39"/>
        <v/>
      </c>
      <c r="U23" s="415" t="str">
        <f t="shared" si="40"/>
        <v/>
      </c>
      <c r="V23" s="415" t="str">
        <f t="shared" si="41"/>
        <v/>
      </c>
      <c r="W23" s="415" t="str">
        <f t="shared" si="26"/>
        <v/>
      </c>
      <c r="X23" s="415" t="str">
        <f t="shared" si="27"/>
        <v/>
      </c>
      <c r="Y23" s="415" t="str">
        <f t="shared" si="28"/>
        <v/>
      </c>
      <c r="Z23" s="415" t="str">
        <f t="shared" si="18"/>
        <v/>
      </c>
      <c r="AA23" s="415" t="str">
        <f t="shared" si="19"/>
        <v/>
      </c>
      <c r="AB23" s="415" t="str">
        <f t="shared" si="20"/>
        <v/>
      </c>
      <c r="AC23" s="415" t="str">
        <f t="shared" si="21"/>
        <v/>
      </c>
      <c r="AD23" s="415" t="str">
        <f t="shared" si="22"/>
        <v/>
      </c>
      <c r="AE23" s="415" t="str">
        <f t="shared" si="23"/>
        <v/>
      </c>
      <c r="AF23" s="400"/>
      <c r="AG23" s="415">
        <f>IF($BB23=0,0,$BB23*AG$7/($BB$7-$AV$7))</f>
        <v>0</v>
      </c>
      <c r="AH23" s="415">
        <f>IF($BC23=0,0,$BC23*AH$7/($BC$7-$AV$7))</f>
        <v>0</v>
      </c>
      <c r="AI23" s="415">
        <f>IF($BD23=0,0,$BD23*AI$7/($BD$7-$AV$7))</f>
        <v>0</v>
      </c>
      <c r="AJ23" s="415">
        <f>IF($BB23=0,0,$BB23*AJ$7/($BB$7-$AV$7))</f>
        <v>0</v>
      </c>
      <c r="AK23" s="415">
        <f>IF($BC23=0,0,$BC23*AK$7/($BC$7-$AV$7))</f>
        <v>0</v>
      </c>
      <c r="AL23" s="415">
        <f>IF($BD23=0,0,$BD23*AL$7/($BD$7-$AV$7))</f>
        <v>0</v>
      </c>
      <c r="AM23" s="415">
        <f>IF($BB23=0,0,$BB23*AM$7/($BB$7-$AV$7))</f>
        <v>0</v>
      </c>
      <c r="AN23" s="415">
        <f>IF($BC23=0,0,$BC23*AN$7/($BC$7-$AV$7))</f>
        <v>0</v>
      </c>
      <c r="AO23" s="415">
        <f>IF($BD23=0,0,$BD23*AO$7/($BD$7-$AV$7))</f>
        <v>0</v>
      </c>
      <c r="AP23" s="415">
        <f>IF($BB23=0,0,$BB23*AP$7/($BB$7-$AV$7))</f>
        <v>0</v>
      </c>
      <c r="AQ23" s="415">
        <f>IF($BC23=0,0,$BC23*AQ$7/($BC$7-$AV$7))</f>
        <v>0</v>
      </c>
      <c r="AR23" s="415">
        <f>IF($BD23=0,0,$BD23*AR$7/($BD$7-$AV$7))</f>
        <v>0</v>
      </c>
      <c r="AS23" s="415">
        <f>IF($BB23=0,0,$BB23*AS$7/($BB$7-$AV$7))</f>
        <v>0</v>
      </c>
      <c r="AT23" s="415">
        <f>IF($BC23=0,0,$BC23*AT$7/($BC$7-$AV$7))</f>
        <v>0</v>
      </c>
      <c r="AU23" s="415">
        <f>IF($BD23=0,0,$BD23*AU$7/($BD$7-$AV$7))</f>
        <v>0</v>
      </c>
      <c r="AV23" s="415"/>
      <c r="AW23" s="415"/>
      <c r="AX23" s="415"/>
      <c r="AY23" s="415">
        <f>IF($BB23=0,0,$BB23*AY$7/($BB$7-$AV$7))</f>
        <v>0</v>
      </c>
      <c r="AZ23" s="415">
        <f>IF($BC23=0,0,$BC23*AZ$7/($BC$7-$AV$7))</f>
        <v>0</v>
      </c>
      <c r="BA23" s="415">
        <f>IF($BD23=0,0,$BD23*BA$7/($BD$7-$AV$7))</f>
        <v>0</v>
      </c>
      <c r="BB23" s="415">
        <f>'2-公摊费用及期间费（本期）'!O126</f>
        <v>0</v>
      </c>
      <c r="BC23" s="415">
        <f>'2-公摊费用及期间费（本期）'!M126</f>
        <v>0</v>
      </c>
      <c r="BD23" s="415">
        <f>'2-公摊费用及期间费（本期）'!N126</f>
        <v>0</v>
      </c>
      <c r="BE23" s="422"/>
      <c r="BF23" s="419" t="s">
        <v>105</v>
      </c>
      <c r="BG23" s="402"/>
      <c r="BH23" s="402"/>
      <c r="BI23" s="402"/>
    </row>
    <row r="24" spans="2:62" s="403" customFormat="1" ht="15.75" customHeight="1">
      <c r="B24" s="404">
        <v>5001.04</v>
      </c>
      <c r="C24" s="405" t="s">
        <v>86</v>
      </c>
      <c r="D24" s="406" t="s">
        <v>497</v>
      </c>
      <c r="E24" s="407" t="str">
        <f t="shared" si="31"/>
        <v/>
      </c>
      <c r="F24" s="407" t="str">
        <f t="shared" ref="F24:F29" si="46">IF(AH$7=0,"",AH24*10000/AH$7)</f>
        <v/>
      </c>
      <c r="G24" s="407" t="str">
        <f t="shared" ref="G24:G29" si="47">IF(AI$7=0,"",AI24*10000/AI$7)</f>
        <v/>
      </c>
      <c r="H24" s="407" t="str">
        <f t="shared" si="3"/>
        <v/>
      </c>
      <c r="I24" s="407" t="str">
        <f t="shared" si="4"/>
        <v/>
      </c>
      <c r="J24" s="407" t="str">
        <f t="shared" si="5"/>
        <v/>
      </c>
      <c r="K24" s="407" t="str">
        <f t="shared" si="44"/>
        <v/>
      </c>
      <c r="L24" s="407" t="str">
        <f t="shared" ref="L24:L29" si="48">IF(AN$7=0,"",AN24*10000/AN$7)</f>
        <v/>
      </c>
      <c r="M24" s="407" t="str">
        <f t="shared" ref="M24:M29" si="49">IF(AO$7=0,"",AO24*10000/AO$7)</f>
        <v/>
      </c>
      <c r="N24" s="407" t="str">
        <f t="shared" si="36"/>
        <v/>
      </c>
      <c r="O24" s="407" t="str">
        <f t="shared" ref="O24:O29" si="50">IF(AQ$7=0,"",AQ24*10000/AQ$7)</f>
        <v/>
      </c>
      <c r="P24" s="407" t="str">
        <f t="shared" ref="P24:P29" si="51">IF(AR$7=0,"",AR24*10000/AR$7)</f>
        <v/>
      </c>
      <c r="Q24" s="407" t="str">
        <f t="shared" si="12"/>
        <v/>
      </c>
      <c r="R24" s="407" t="str">
        <f t="shared" si="13"/>
        <v/>
      </c>
      <c r="S24" s="407" t="str">
        <f t="shared" si="14"/>
        <v/>
      </c>
      <c r="T24" s="407" t="str">
        <f t="shared" si="39"/>
        <v/>
      </c>
      <c r="U24" s="407" t="str">
        <f t="shared" ref="U24:U29" si="52">IF(AW$7=0,"",AW24*10000/AW$7)</f>
        <v/>
      </c>
      <c r="V24" s="407" t="str">
        <f t="shared" ref="V24:V29" si="53">IF(AX$7=0,"",AX24*10000/AX$7)</f>
        <v/>
      </c>
      <c r="W24" s="407" t="str">
        <f t="shared" si="26"/>
        <v/>
      </c>
      <c r="X24" s="407" t="str">
        <f t="shared" si="27"/>
        <v/>
      </c>
      <c r="Y24" s="407" t="str">
        <f t="shared" si="28"/>
        <v/>
      </c>
      <c r="Z24" s="407" t="str">
        <f t="shared" si="18"/>
        <v/>
      </c>
      <c r="AA24" s="407" t="str">
        <f t="shared" si="19"/>
        <v/>
      </c>
      <c r="AB24" s="407" t="str">
        <f t="shared" si="20"/>
        <v/>
      </c>
      <c r="AC24" s="407" t="str">
        <f t="shared" si="21"/>
        <v/>
      </c>
      <c r="AD24" s="407" t="str">
        <f t="shared" si="22"/>
        <v/>
      </c>
      <c r="AE24" s="407" t="str">
        <f t="shared" si="23"/>
        <v/>
      </c>
      <c r="AF24" s="408"/>
      <c r="AG24" s="409">
        <f>'2-高层'!O69</f>
        <v>0</v>
      </c>
      <c r="AH24" s="409">
        <f>'2-高层'!M69</f>
        <v>0</v>
      </c>
      <c r="AI24" s="409">
        <f>'2-高层'!N69</f>
        <v>0</v>
      </c>
      <c r="AJ24" s="409">
        <f>'2-小叠拼'!O69</f>
        <v>0</v>
      </c>
      <c r="AK24" s="409">
        <f>'2-小叠拼'!M69</f>
        <v>0</v>
      </c>
      <c r="AL24" s="409">
        <f>'2-小叠拼'!N69</f>
        <v>0</v>
      </c>
      <c r="AM24" s="409">
        <f>'2-小联排'!O69</f>
        <v>0</v>
      </c>
      <c r="AN24" s="409">
        <f>'2-小联排'!M69</f>
        <v>0</v>
      </c>
      <c r="AO24" s="409">
        <f>'2-小联排'!N69</f>
        <v>0</v>
      </c>
      <c r="AP24" s="409">
        <v>0</v>
      </c>
      <c r="AQ24" s="409">
        <v>0</v>
      </c>
      <c r="AR24" s="409">
        <v>0</v>
      </c>
      <c r="AS24" s="409">
        <f>'2-商墅'!O69</f>
        <v>0</v>
      </c>
      <c r="AT24" s="409">
        <f>'2-商墅'!M69</f>
        <v>0</v>
      </c>
      <c r="AU24" s="409">
        <f>'2-商墅'!N69</f>
        <v>0</v>
      </c>
      <c r="AV24" s="409">
        <v>0</v>
      </c>
      <c r="AW24" s="409">
        <v>0</v>
      </c>
      <c r="AX24" s="409">
        <v>0</v>
      </c>
      <c r="AY24" s="409">
        <f>'2-高层公寓'!O69</f>
        <v>0</v>
      </c>
      <c r="AZ24" s="409">
        <f>'2-高层公寓'!M69</f>
        <v>0</v>
      </c>
      <c r="BA24" s="409">
        <f>'2-高层公寓'!N69</f>
        <v>0</v>
      </c>
      <c r="BB24" s="409">
        <f>AG24+AJ24+AM24+AP24+AS24+AV24+AY24</f>
        <v>0</v>
      </c>
      <c r="BC24" s="409">
        <f>AH24+AK24+AN24+AQ24+AT24+AW24+AZ24</f>
        <v>0</v>
      </c>
      <c r="BD24" s="409">
        <f>AI24+AL24+AO24+AR24+AU24+AX24+BA24</f>
        <v>0</v>
      </c>
      <c r="BE24" s="410"/>
      <c r="BF24" s="411" t="s">
        <v>1007</v>
      </c>
      <c r="BG24" s="402"/>
      <c r="BH24" s="402"/>
      <c r="BI24" s="402"/>
    </row>
    <row r="25" spans="2:62" s="403" customFormat="1" ht="15.75" customHeight="1">
      <c r="B25" s="404">
        <v>5001.05</v>
      </c>
      <c r="C25" s="405" t="s">
        <v>379</v>
      </c>
      <c r="D25" s="406" t="s">
        <v>498</v>
      </c>
      <c r="E25" s="407" t="str">
        <f t="shared" si="31"/>
        <v/>
      </c>
      <c r="F25" s="407" t="str">
        <f t="shared" si="46"/>
        <v/>
      </c>
      <c r="G25" s="407" t="str">
        <f t="shared" si="47"/>
        <v/>
      </c>
      <c r="H25" s="407" t="str">
        <f t="shared" si="3"/>
        <v/>
      </c>
      <c r="I25" s="407" t="str">
        <f t="shared" si="4"/>
        <v/>
      </c>
      <c r="J25" s="407" t="str">
        <f t="shared" si="5"/>
        <v/>
      </c>
      <c r="K25" s="407" t="str">
        <f t="shared" si="44"/>
        <v/>
      </c>
      <c r="L25" s="407" t="str">
        <f t="shared" si="48"/>
        <v/>
      </c>
      <c r="M25" s="407" t="str">
        <f t="shared" si="49"/>
        <v/>
      </c>
      <c r="N25" s="407" t="str">
        <f t="shared" si="36"/>
        <v/>
      </c>
      <c r="O25" s="407" t="str">
        <f t="shared" si="50"/>
        <v/>
      </c>
      <c r="P25" s="407" t="str">
        <f t="shared" si="51"/>
        <v/>
      </c>
      <c r="Q25" s="407" t="str">
        <f t="shared" si="12"/>
        <v/>
      </c>
      <c r="R25" s="407" t="str">
        <f t="shared" si="13"/>
        <v/>
      </c>
      <c r="S25" s="407" t="str">
        <f t="shared" si="14"/>
        <v/>
      </c>
      <c r="T25" s="407" t="str">
        <f t="shared" si="39"/>
        <v/>
      </c>
      <c r="U25" s="407" t="str">
        <f t="shared" si="52"/>
        <v/>
      </c>
      <c r="V25" s="407" t="str">
        <f t="shared" si="53"/>
        <v/>
      </c>
      <c r="W25" s="407" t="str">
        <f t="shared" si="26"/>
        <v/>
      </c>
      <c r="X25" s="407" t="str">
        <f t="shared" si="27"/>
        <v/>
      </c>
      <c r="Y25" s="407" t="str">
        <f t="shared" si="28"/>
        <v/>
      </c>
      <c r="Z25" s="407" t="str">
        <f t="shared" si="18"/>
        <v/>
      </c>
      <c r="AA25" s="407" t="str">
        <f t="shared" si="19"/>
        <v/>
      </c>
      <c r="AB25" s="407" t="str">
        <f t="shared" si="20"/>
        <v/>
      </c>
      <c r="AC25" s="407" t="str">
        <f t="shared" si="21"/>
        <v/>
      </c>
      <c r="AD25" s="407" t="str">
        <f t="shared" si="22"/>
        <v/>
      </c>
      <c r="AE25" s="407" t="str">
        <f t="shared" si="23"/>
        <v/>
      </c>
      <c r="AF25" s="408"/>
      <c r="AG25" s="409">
        <f>AG26+AG27+AG28+AG29</f>
        <v>0</v>
      </c>
      <c r="AH25" s="409">
        <f>AH26+AH27+AH28+AH29</f>
        <v>0</v>
      </c>
      <c r="AI25" s="409">
        <f>AI26+AI27+AI28+AI29</f>
        <v>0</v>
      </c>
      <c r="AJ25" s="409">
        <f t="shared" ref="AJ25:AO25" si="54">AJ26+AJ27+AJ28+AJ29</f>
        <v>0</v>
      </c>
      <c r="AK25" s="409">
        <f t="shared" si="54"/>
        <v>0</v>
      </c>
      <c r="AL25" s="409">
        <f t="shared" si="54"/>
        <v>0</v>
      </c>
      <c r="AM25" s="409">
        <f t="shared" si="54"/>
        <v>0</v>
      </c>
      <c r="AN25" s="409">
        <f t="shared" si="54"/>
        <v>0</v>
      </c>
      <c r="AO25" s="409">
        <f t="shared" si="54"/>
        <v>0</v>
      </c>
      <c r="AP25" s="409">
        <f t="shared" ref="AP25:BD25" si="55">AP26+AP27+AP28+AP29</f>
        <v>0</v>
      </c>
      <c r="AQ25" s="409">
        <f t="shared" si="55"/>
        <v>0</v>
      </c>
      <c r="AR25" s="409">
        <f t="shared" si="55"/>
        <v>0</v>
      </c>
      <c r="AS25" s="409">
        <f t="shared" si="55"/>
        <v>0</v>
      </c>
      <c r="AT25" s="409">
        <f t="shared" si="55"/>
        <v>0</v>
      </c>
      <c r="AU25" s="409">
        <f t="shared" si="55"/>
        <v>0</v>
      </c>
      <c r="AV25" s="409">
        <f t="shared" si="55"/>
        <v>0</v>
      </c>
      <c r="AW25" s="409">
        <f t="shared" si="55"/>
        <v>0</v>
      </c>
      <c r="AX25" s="409">
        <f t="shared" si="55"/>
        <v>0</v>
      </c>
      <c r="AY25" s="409">
        <f t="shared" si="55"/>
        <v>0</v>
      </c>
      <c r="AZ25" s="409">
        <f t="shared" si="55"/>
        <v>0</v>
      </c>
      <c r="BA25" s="409">
        <f t="shared" si="55"/>
        <v>0</v>
      </c>
      <c r="BB25" s="409">
        <f t="shared" si="55"/>
        <v>0</v>
      </c>
      <c r="BC25" s="409">
        <f t="shared" si="55"/>
        <v>0</v>
      </c>
      <c r="BD25" s="409">
        <f t="shared" si="55"/>
        <v>0</v>
      </c>
      <c r="BE25" s="410"/>
      <c r="BF25" s="411" t="s">
        <v>489</v>
      </c>
      <c r="BG25" s="402"/>
      <c r="BH25" s="402"/>
      <c r="BI25" s="402"/>
    </row>
    <row r="26" spans="2:62" ht="15.75" customHeight="1" outlineLevel="1">
      <c r="B26" s="412" t="s">
        <v>499</v>
      </c>
      <c r="C26" s="413">
        <v>1</v>
      </c>
      <c r="D26" s="420" t="s">
        <v>87</v>
      </c>
      <c r="E26" s="415" t="str">
        <f t="shared" si="31"/>
        <v/>
      </c>
      <c r="F26" s="415" t="str">
        <f t="shared" si="46"/>
        <v/>
      </c>
      <c r="G26" s="415" t="str">
        <f t="shared" si="47"/>
        <v/>
      </c>
      <c r="H26" s="415" t="str">
        <f t="shared" si="3"/>
        <v/>
      </c>
      <c r="I26" s="415" t="str">
        <f t="shared" si="4"/>
        <v/>
      </c>
      <c r="J26" s="415" t="str">
        <f t="shared" si="5"/>
        <v/>
      </c>
      <c r="K26" s="415" t="str">
        <f t="shared" si="44"/>
        <v/>
      </c>
      <c r="L26" s="415" t="str">
        <f t="shared" si="48"/>
        <v/>
      </c>
      <c r="M26" s="415" t="str">
        <f t="shared" si="49"/>
        <v/>
      </c>
      <c r="N26" s="415" t="str">
        <f t="shared" si="36"/>
        <v/>
      </c>
      <c r="O26" s="415" t="str">
        <f t="shared" si="50"/>
        <v/>
      </c>
      <c r="P26" s="415" t="str">
        <f t="shared" si="51"/>
        <v/>
      </c>
      <c r="Q26" s="415" t="str">
        <f t="shared" si="12"/>
        <v/>
      </c>
      <c r="R26" s="415" t="str">
        <f t="shared" si="13"/>
        <v/>
      </c>
      <c r="S26" s="415" t="str">
        <f t="shared" si="14"/>
        <v/>
      </c>
      <c r="T26" s="415" t="str">
        <f t="shared" si="39"/>
        <v/>
      </c>
      <c r="U26" s="415" t="str">
        <f t="shared" si="52"/>
        <v/>
      </c>
      <c r="V26" s="415" t="str">
        <f t="shared" si="53"/>
        <v/>
      </c>
      <c r="W26" s="415" t="str">
        <f t="shared" si="26"/>
        <v/>
      </c>
      <c r="X26" s="415" t="str">
        <f t="shared" si="27"/>
        <v/>
      </c>
      <c r="Y26" s="415" t="str">
        <f t="shared" si="28"/>
        <v/>
      </c>
      <c r="Z26" s="415" t="str">
        <f t="shared" si="18"/>
        <v/>
      </c>
      <c r="AA26" s="415" t="str">
        <f t="shared" si="19"/>
        <v/>
      </c>
      <c r="AB26" s="415" t="str">
        <f t="shared" si="20"/>
        <v/>
      </c>
      <c r="AC26" s="415" t="str">
        <f t="shared" si="21"/>
        <v/>
      </c>
      <c r="AD26" s="415" t="str">
        <f t="shared" si="22"/>
        <v/>
      </c>
      <c r="AE26" s="415" t="str">
        <f t="shared" si="23"/>
        <v/>
      </c>
      <c r="AF26" s="400"/>
      <c r="AG26" s="415">
        <f>'2-高层'!O89</f>
        <v>0</v>
      </c>
      <c r="AH26" s="415">
        <f>'2-高层'!M89</f>
        <v>0</v>
      </c>
      <c r="AI26" s="415">
        <f>'2-高层'!N89</f>
        <v>0</v>
      </c>
      <c r="AJ26" s="415">
        <f>'2-小叠拼'!O89</f>
        <v>0</v>
      </c>
      <c r="AK26" s="415">
        <f>'2-小叠拼'!M89</f>
        <v>0</v>
      </c>
      <c r="AL26" s="415">
        <f>'2-小叠拼'!N89</f>
        <v>0</v>
      </c>
      <c r="AM26" s="415">
        <f>'2-小联排'!O89</f>
        <v>0</v>
      </c>
      <c r="AN26" s="415">
        <f>'2-小联排'!M89</f>
        <v>0</v>
      </c>
      <c r="AO26" s="415">
        <f>'2-小联排'!N89</f>
        <v>0</v>
      </c>
      <c r="AP26" s="415">
        <f>'2-底商'!O89</f>
        <v>0</v>
      </c>
      <c r="AQ26" s="415">
        <f>'2-底商'!M89</f>
        <v>0</v>
      </c>
      <c r="AR26" s="415">
        <f>'2-底商'!N89</f>
        <v>0</v>
      </c>
      <c r="AS26" s="415">
        <f>'2-商墅'!O89</f>
        <v>0</v>
      </c>
      <c r="AT26" s="415">
        <f>'2-商墅'!M89</f>
        <v>0</v>
      </c>
      <c r="AU26" s="415">
        <f>'2-商墅'!N89</f>
        <v>0</v>
      </c>
      <c r="AV26" s="415"/>
      <c r="AW26" s="415"/>
      <c r="AX26" s="415"/>
      <c r="AY26" s="415">
        <f>'2-高层公寓'!O89</f>
        <v>0</v>
      </c>
      <c r="AZ26" s="415">
        <f>'2-高层公寓'!M89</f>
        <v>0</v>
      </c>
      <c r="BA26" s="415">
        <f>'2-高层公寓'!N89</f>
        <v>0</v>
      </c>
      <c r="BB26" s="415">
        <f t="shared" ref="BB26:BD27" si="56">AG26+AJ26+AM26+AP26+AS26+AV26+AY26</f>
        <v>0</v>
      </c>
      <c r="BC26" s="415">
        <f t="shared" si="56"/>
        <v>0</v>
      </c>
      <c r="BD26" s="415">
        <f t="shared" si="56"/>
        <v>0</v>
      </c>
      <c r="BE26" s="422"/>
      <c r="BF26" s="423" t="s">
        <v>500</v>
      </c>
      <c r="BG26" s="402"/>
      <c r="BH26" s="402"/>
      <c r="BI26" s="402"/>
    </row>
    <row r="27" spans="2:62" ht="15.75" customHeight="1" outlineLevel="1">
      <c r="B27" s="412" t="s">
        <v>501</v>
      </c>
      <c r="C27" s="413">
        <v>2</v>
      </c>
      <c r="D27" s="420" t="s">
        <v>83</v>
      </c>
      <c r="E27" s="415" t="str">
        <f t="shared" si="31"/>
        <v/>
      </c>
      <c r="F27" s="415" t="str">
        <f t="shared" si="46"/>
        <v/>
      </c>
      <c r="G27" s="415" t="str">
        <f t="shared" si="47"/>
        <v/>
      </c>
      <c r="H27" s="415" t="str">
        <f t="shared" si="3"/>
        <v/>
      </c>
      <c r="I27" s="415" t="str">
        <f t="shared" si="4"/>
        <v/>
      </c>
      <c r="J27" s="415" t="str">
        <f t="shared" si="5"/>
        <v/>
      </c>
      <c r="K27" s="415" t="str">
        <f t="shared" si="44"/>
        <v/>
      </c>
      <c r="L27" s="415" t="str">
        <f t="shared" si="48"/>
        <v/>
      </c>
      <c r="M27" s="415" t="str">
        <f t="shared" si="49"/>
        <v/>
      </c>
      <c r="N27" s="415" t="str">
        <f t="shared" si="36"/>
        <v/>
      </c>
      <c r="O27" s="415" t="str">
        <f t="shared" si="50"/>
        <v/>
      </c>
      <c r="P27" s="415" t="str">
        <f t="shared" si="51"/>
        <v/>
      </c>
      <c r="Q27" s="415" t="str">
        <f t="shared" si="12"/>
        <v/>
      </c>
      <c r="R27" s="415" t="str">
        <f t="shared" si="13"/>
        <v/>
      </c>
      <c r="S27" s="415" t="str">
        <f t="shared" si="14"/>
        <v/>
      </c>
      <c r="T27" s="415" t="str">
        <f t="shared" si="39"/>
        <v/>
      </c>
      <c r="U27" s="415" t="str">
        <f t="shared" si="52"/>
        <v/>
      </c>
      <c r="V27" s="415" t="str">
        <f t="shared" si="53"/>
        <v/>
      </c>
      <c r="W27" s="415" t="str">
        <f t="shared" si="26"/>
        <v/>
      </c>
      <c r="X27" s="415" t="str">
        <f t="shared" si="27"/>
        <v/>
      </c>
      <c r="Y27" s="415" t="str">
        <f t="shared" si="28"/>
        <v/>
      </c>
      <c r="Z27" s="415" t="str">
        <f t="shared" si="18"/>
        <v/>
      </c>
      <c r="AA27" s="415" t="str">
        <f t="shared" si="19"/>
        <v/>
      </c>
      <c r="AB27" s="415" t="str">
        <f t="shared" si="20"/>
        <v/>
      </c>
      <c r="AC27" s="415" t="str">
        <f t="shared" si="21"/>
        <v/>
      </c>
      <c r="AD27" s="415" t="str">
        <f t="shared" si="22"/>
        <v/>
      </c>
      <c r="AE27" s="415" t="str">
        <f t="shared" si="23"/>
        <v/>
      </c>
      <c r="AF27" s="400"/>
      <c r="AG27" s="415">
        <f>'2-高层'!O129</f>
        <v>0</v>
      </c>
      <c r="AH27" s="415">
        <f>'2-高层'!M129</f>
        <v>0</v>
      </c>
      <c r="AI27" s="415">
        <f>'2-高层'!N129</f>
        <v>0</v>
      </c>
      <c r="AJ27" s="415">
        <f>'2-小叠拼'!O129</f>
        <v>0</v>
      </c>
      <c r="AK27" s="415">
        <f>'2-小叠拼'!M129</f>
        <v>0</v>
      </c>
      <c r="AL27" s="415">
        <f>'2-小叠拼'!N129</f>
        <v>0</v>
      </c>
      <c r="AM27" s="415">
        <f>'2-小联排'!O129</f>
        <v>0</v>
      </c>
      <c r="AN27" s="415">
        <f>'2-小联排'!M129</f>
        <v>0</v>
      </c>
      <c r="AO27" s="415">
        <f>'2-小联排'!N129</f>
        <v>0</v>
      </c>
      <c r="AP27" s="415">
        <f>'2-底商'!O129</f>
        <v>0</v>
      </c>
      <c r="AQ27" s="415">
        <f>'2-底商'!M129</f>
        <v>0</v>
      </c>
      <c r="AR27" s="415">
        <f>'2-底商'!N129</f>
        <v>0</v>
      </c>
      <c r="AS27" s="415">
        <f>'2-商墅'!O129</f>
        <v>0</v>
      </c>
      <c r="AT27" s="415">
        <f>'2-商墅'!M129</f>
        <v>0</v>
      </c>
      <c r="AU27" s="415">
        <f>'2-商墅'!N129</f>
        <v>0</v>
      </c>
      <c r="AV27" s="415"/>
      <c r="AW27" s="415"/>
      <c r="AX27" s="415"/>
      <c r="AY27" s="415">
        <f>'2-高层公寓'!O129</f>
        <v>0</v>
      </c>
      <c r="AZ27" s="415">
        <f>'2-高层公寓'!M129</f>
        <v>0</v>
      </c>
      <c r="BA27" s="415">
        <f>'2-高层公寓'!N129</f>
        <v>0</v>
      </c>
      <c r="BB27" s="415">
        <f t="shared" si="56"/>
        <v>0</v>
      </c>
      <c r="BC27" s="415">
        <f t="shared" si="56"/>
        <v>0</v>
      </c>
      <c r="BD27" s="415">
        <f t="shared" si="56"/>
        <v>0</v>
      </c>
      <c r="BE27" s="422"/>
      <c r="BF27" s="423" t="s">
        <v>500</v>
      </c>
      <c r="BG27" s="402"/>
      <c r="BH27" s="402"/>
      <c r="BI27" s="402"/>
    </row>
    <row r="28" spans="2:62" ht="15.75" customHeight="1" outlineLevel="1">
      <c r="B28" s="412" t="s">
        <v>1008</v>
      </c>
      <c r="C28" s="413">
        <v>3</v>
      </c>
      <c r="D28" s="420" t="s">
        <v>84</v>
      </c>
      <c r="E28" s="415" t="str">
        <f t="shared" si="31"/>
        <v/>
      </c>
      <c r="F28" s="415" t="str">
        <f t="shared" si="46"/>
        <v/>
      </c>
      <c r="G28" s="415" t="str">
        <f t="shared" si="47"/>
        <v/>
      </c>
      <c r="H28" s="415" t="str">
        <f t="shared" si="3"/>
        <v/>
      </c>
      <c r="I28" s="415" t="str">
        <f t="shared" si="4"/>
        <v/>
      </c>
      <c r="J28" s="415" t="str">
        <f t="shared" si="5"/>
        <v/>
      </c>
      <c r="K28" s="415" t="str">
        <f t="shared" si="44"/>
        <v/>
      </c>
      <c r="L28" s="415" t="str">
        <f t="shared" si="48"/>
        <v/>
      </c>
      <c r="M28" s="415" t="str">
        <f t="shared" si="49"/>
        <v/>
      </c>
      <c r="N28" s="415" t="str">
        <f t="shared" si="36"/>
        <v/>
      </c>
      <c r="O28" s="415" t="str">
        <f t="shared" si="50"/>
        <v/>
      </c>
      <c r="P28" s="415" t="str">
        <f t="shared" si="51"/>
        <v/>
      </c>
      <c r="Q28" s="415" t="str">
        <f t="shared" si="12"/>
        <v/>
      </c>
      <c r="R28" s="415" t="str">
        <f t="shared" si="13"/>
        <v/>
      </c>
      <c r="S28" s="415" t="str">
        <f t="shared" si="14"/>
        <v/>
      </c>
      <c r="T28" s="415" t="str">
        <f t="shared" si="39"/>
        <v/>
      </c>
      <c r="U28" s="415" t="str">
        <f t="shared" si="52"/>
        <v/>
      </c>
      <c r="V28" s="415" t="str">
        <f t="shared" si="53"/>
        <v/>
      </c>
      <c r="W28" s="415" t="str">
        <f t="shared" si="26"/>
        <v/>
      </c>
      <c r="X28" s="415" t="str">
        <f t="shared" si="27"/>
        <v/>
      </c>
      <c r="Y28" s="415" t="str">
        <f t="shared" si="28"/>
        <v/>
      </c>
      <c r="Z28" s="415" t="str">
        <f t="shared" si="18"/>
        <v/>
      </c>
      <c r="AA28" s="415" t="str">
        <f t="shared" si="19"/>
        <v/>
      </c>
      <c r="AB28" s="415" t="str">
        <f t="shared" si="20"/>
        <v/>
      </c>
      <c r="AC28" s="415" t="str">
        <f t="shared" si="21"/>
        <v/>
      </c>
      <c r="AD28" s="415" t="str">
        <f t="shared" si="22"/>
        <v/>
      </c>
      <c r="AE28" s="415" t="str">
        <f t="shared" si="23"/>
        <v/>
      </c>
      <c r="AF28" s="400"/>
      <c r="AG28" s="415">
        <f>'2-高层'!O149</f>
        <v>0</v>
      </c>
      <c r="AH28" s="415">
        <f>'2-高层'!M149</f>
        <v>0</v>
      </c>
      <c r="AI28" s="415">
        <f>'2-高层'!N149</f>
        <v>0</v>
      </c>
      <c r="AJ28" s="415">
        <f>'2-小叠拼'!O149</f>
        <v>0</v>
      </c>
      <c r="AK28" s="415">
        <f>'2-小叠拼'!M149</f>
        <v>0</v>
      </c>
      <c r="AL28" s="415">
        <f>'2-小叠拼'!N149</f>
        <v>0</v>
      </c>
      <c r="AM28" s="415">
        <f>'2-小联排'!O149</f>
        <v>0</v>
      </c>
      <c r="AN28" s="415">
        <f>'2-小联排'!M149</f>
        <v>0</v>
      </c>
      <c r="AO28" s="415">
        <f>'2-小联排'!N19</f>
        <v>0</v>
      </c>
      <c r="AP28" s="415">
        <f>'2-底商'!O149</f>
        <v>0</v>
      </c>
      <c r="AQ28" s="415">
        <f>'2-底商'!M149</f>
        <v>0</v>
      </c>
      <c r="AR28" s="415">
        <f>'2-底商'!N149</f>
        <v>0</v>
      </c>
      <c r="AS28" s="415">
        <f>'2-商墅'!O149</f>
        <v>0</v>
      </c>
      <c r="AT28" s="415">
        <f>'2-商墅'!M149</f>
        <v>0</v>
      </c>
      <c r="AU28" s="415">
        <f>'2-商墅'!N149</f>
        <v>0</v>
      </c>
      <c r="AV28" s="415"/>
      <c r="AW28" s="415"/>
      <c r="AX28" s="415"/>
      <c r="AY28" s="415">
        <f>'2-高层公寓'!O149</f>
        <v>0</v>
      </c>
      <c r="AZ28" s="415">
        <f>'2-高层公寓'!M149</f>
        <v>0</v>
      </c>
      <c r="BA28" s="415">
        <f>'2-高层公寓'!N149</f>
        <v>0</v>
      </c>
      <c r="BB28" s="415">
        <f t="shared" ref="BB28:BD29" si="57">AG28+AJ28+AM28+AP28+AS28+AV28+AY28</f>
        <v>0</v>
      </c>
      <c r="BC28" s="415">
        <f t="shared" si="57"/>
        <v>0</v>
      </c>
      <c r="BD28" s="415">
        <f t="shared" si="57"/>
        <v>0</v>
      </c>
      <c r="BE28" s="422"/>
      <c r="BF28" s="423" t="s">
        <v>500</v>
      </c>
      <c r="BG28" s="402"/>
      <c r="BH28" s="402"/>
      <c r="BI28" s="402"/>
    </row>
    <row r="29" spans="2:62" ht="15.75" customHeight="1" outlineLevel="1">
      <c r="B29" s="412" t="s">
        <v>503</v>
      </c>
      <c r="C29" s="413">
        <v>4</v>
      </c>
      <c r="D29" s="420" t="s">
        <v>92</v>
      </c>
      <c r="E29" s="415" t="str">
        <f t="shared" si="31"/>
        <v/>
      </c>
      <c r="F29" s="415" t="str">
        <f t="shared" si="46"/>
        <v/>
      </c>
      <c r="G29" s="415" t="str">
        <f t="shared" si="47"/>
        <v/>
      </c>
      <c r="H29" s="415" t="str">
        <f t="shared" si="3"/>
        <v/>
      </c>
      <c r="I29" s="415" t="str">
        <f t="shared" si="4"/>
        <v/>
      </c>
      <c r="J29" s="415" t="str">
        <f t="shared" si="5"/>
        <v/>
      </c>
      <c r="K29" s="415" t="str">
        <f t="shared" si="44"/>
        <v/>
      </c>
      <c r="L29" s="415" t="str">
        <f t="shared" si="48"/>
        <v/>
      </c>
      <c r="M29" s="415" t="str">
        <f t="shared" si="49"/>
        <v/>
      </c>
      <c r="N29" s="415" t="str">
        <f t="shared" si="36"/>
        <v/>
      </c>
      <c r="O29" s="415" t="str">
        <f t="shared" si="50"/>
        <v/>
      </c>
      <c r="P29" s="415" t="str">
        <f t="shared" si="51"/>
        <v/>
      </c>
      <c r="Q29" s="415" t="str">
        <f t="shared" si="12"/>
        <v/>
      </c>
      <c r="R29" s="415" t="str">
        <f t="shared" si="13"/>
        <v/>
      </c>
      <c r="S29" s="415" t="str">
        <f t="shared" si="14"/>
        <v/>
      </c>
      <c r="T29" s="415" t="str">
        <f t="shared" si="39"/>
        <v/>
      </c>
      <c r="U29" s="415" t="str">
        <f t="shared" si="52"/>
        <v/>
      </c>
      <c r="V29" s="415" t="str">
        <f t="shared" si="53"/>
        <v/>
      </c>
      <c r="W29" s="415" t="str">
        <f t="shared" si="26"/>
        <v/>
      </c>
      <c r="X29" s="415" t="str">
        <f t="shared" si="27"/>
        <v/>
      </c>
      <c r="Y29" s="415" t="str">
        <f t="shared" si="28"/>
        <v/>
      </c>
      <c r="Z29" s="415" t="str">
        <f t="shared" si="18"/>
        <v/>
      </c>
      <c r="AA29" s="415" t="str">
        <f t="shared" si="19"/>
        <v/>
      </c>
      <c r="AB29" s="415" t="str">
        <f t="shared" si="20"/>
        <v/>
      </c>
      <c r="AC29" s="415" t="str">
        <f t="shared" si="21"/>
        <v/>
      </c>
      <c r="AD29" s="415" t="str">
        <f t="shared" si="22"/>
        <v/>
      </c>
      <c r="AE29" s="415" t="str">
        <f t="shared" si="23"/>
        <v/>
      </c>
      <c r="AF29" s="400"/>
      <c r="AG29" s="415">
        <f>'2-高层'!O161</f>
        <v>0</v>
      </c>
      <c r="AH29" s="415">
        <f>'2-高层'!M161</f>
        <v>0</v>
      </c>
      <c r="AI29" s="415">
        <f>'2-高层'!N161</f>
        <v>0</v>
      </c>
      <c r="AJ29" s="415">
        <f>'2-小叠拼'!O161</f>
        <v>0</v>
      </c>
      <c r="AK29" s="415">
        <f>'2-小叠拼'!M161</f>
        <v>0</v>
      </c>
      <c r="AL29" s="415">
        <f>'2-小叠拼'!N161</f>
        <v>0</v>
      </c>
      <c r="AM29" s="415">
        <f>'2-小联排'!O161</f>
        <v>0</v>
      </c>
      <c r="AN29" s="415">
        <f>'2-小联排'!M161</f>
        <v>0</v>
      </c>
      <c r="AO29" s="415">
        <f>'2-小联排'!N161</f>
        <v>0</v>
      </c>
      <c r="AP29" s="415">
        <f>'2-底商'!O161</f>
        <v>0</v>
      </c>
      <c r="AQ29" s="415">
        <f>'2-底商'!M161</f>
        <v>0</v>
      </c>
      <c r="AR29" s="415">
        <f>'2-底商'!N161</f>
        <v>0</v>
      </c>
      <c r="AS29" s="415">
        <f>'2-商墅'!O161</f>
        <v>0</v>
      </c>
      <c r="AT29" s="415">
        <f>'2-商墅'!M161</f>
        <v>0</v>
      </c>
      <c r="AU29" s="415">
        <f>'2-商墅'!N161</f>
        <v>0</v>
      </c>
      <c r="AV29" s="415"/>
      <c r="AW29" s="415"/>
      <c r="AX29" s="415"/>
      <c r="AY29" s="415">
        <f>'2-高层公寓'!O161</f>
        <v>0</v>
      </c>
      <c r="AZ29" s="415">
        <f>'2-高层公寓'!M161</f>
        <v>0</v>
      </c>
      <c r="BA29" s="415">
        <f>'2-高层公寓'!N161</f>
        <v>0</v>
      </c>
      <c r="BB29" s="415">
        <f t="shared" si="57"/>
        <v>0</v>
      </c>
      <c r="BC29" s="415">
        <f t="shared" si="57"/>
        <v>0</v>
      </c>
      <c r="BD29" s="415">
        <f t="shared" si="57"/>
        <v>0</v>
      </c>
      <c r="BE29" s="422"/>
      <c r="BF29" s="423" t="s">
        <v>500</v>
      </c>
      <c r="BG29" s="402"/>
      <c r="BH29" s="402"/>
      <c r="BI29" s="402"/>
    </row>
    <row r="30" spans="2:62" s="403" customFormat="1" ht="15.75" customHeight="1">
      <c r="B30" s="404">
        <v>5001.0600000000004</v>
      </c>
      <c r="C30" s="405" t="s">
        <v>81</v>
      </c>
      <c r="D30" s="406" t="s">
        <v>139</v>
      </c>
      <c r="E30" s="407" t="str">
        <f t="shared" si="31"/>
        <v/>
      </c>
      <c r="F30" s="407" t="str">
        <f t="shared" ref="F30:G33" si="58">IF(AH$7=0,"",AH30*10000/AH$7)</f>
        <v/>
      </c>
      <c r="G30" s="407" t="str">
        <f t="shared" si="58"/>
        <v/>
      </c>
      <c r="H30" s="407" t="str">
        <f t="shared" si="3"/>
        <v/>
      </c>
      <c r="I30" s="407" t="str">
        <f t="shared" si="4"/>
        <v/>
      </c>
      <c r="J30" s="407" t="str">
        <f t="shared" si="5"/>
        <v/>
      </c>
      <c r="K30" s="407" t="str">
        <f t="shared" si="44"/>
        <v/>
      </c>
      <c r="L30" s="407" t="str">
        <f t="shared" ref="L30:M33" si="59">IF(AN$7=0,"",AN30*10000/AN$7)</f>
        <v/>
      </c>
      <c r="M30" s="407" t="str">
        <f t="shared" si="59"/>
        <v/>
      </c>
      <c r="N30" s="407" t="str">
        <f t="shared" si="36"/>
        <v/>
      </c>
      <c r="O30" s="407" t="str">
        <f t="shared" ref="O30:P33" si="60">IF(AQ$7=0,"",AQ30*10000/AQ$7)</f>
        <v/>
      </c>
      <c r="P30" s="407" t="str">
        <f t="shared" si="60"/>
        <v/>
      </c>
      <c r="Q30" s="407" t="str">
        <f t="shared" si="12"/>
        <v/>
      </c>
      <c r="R30" s="407" t="str">
        <f t="shared" si="13"/>
        <v/>
      </c>
      <c r="S30" s="407" t="str">
        <f t="shared" si="14"/>
        <v/>
      </c>
      <c r="T30" s="407" t="str">
        <f t="shared" si="39"/>
        <v/>
      </c>
      <c r="U30" s="407" t="str">
        <f t="shared" ref="U30:V33" si="61">IF(AW$7=0,"",AW30*10000/AW$7)</f>
        <v/>
      </c>
      <c r="V30" s="407" t="str">
        <f t="shared" si="61"/>
        <v/>
      </c>
      <c r="W30" s="407" t="str">
        <f t="shared" si="26"/>
        <v/>
      </c>
      <c r="X30" s="407" t="str">
        <f t="shared" si="27"/>
        <v/>
      </c>
      <c r="Y30" s="407" t="str">
        <f t="shared" si="28"/>
        <v/>
      </c>
      <c r="Z30" s="407" t="str">
        <f t="shared" si="18"/>
        <v/>
      </c>
      <c r="AA30" s="407" t="str">
        <f t="shared" si="19"/>
        <v/>
      </c>
      <c r="AB30" s="407" t="str">
        <f t="shared" si="20"/>
        <v/>
      </c>
      <c r="AC30" s="407" t="str">
        <f t="shared" si="21"/>
        <v/>
      </c>
      <c r="AD30" s="407" t="str">
        <f t="shared" si="22"/>
        <v/>
      </c>
      <c r="AE30" s="407" t="str">
        <f t="shared" si="23"/>
        <v/>
      </c>
      <c r="AF30" s="408"/>
      <c r="AG30" s="409">
        <f>AG31+AG32+AG33</f>
        <v>0</v>
      </c>
      <c r="AH30" s="409">
        <f>AH31+AH32+AH33</f>
        <v>0</v>
      </c>
      <c r="AI30" s="409">
        <f>AI31+AI32+AI33</f>
        <v>0</v>
      </c>
      <c r="AJ30" s="409">
        <f t="shared" ref="AJ30:AO30" si="62">AJ31+AJ32+AJ33</f>
        <v>0</v>
      </c>
      <c r="AK30" s="409">
        <f t="shared" si="62"/>
        <v>0</v>
      </c>
      <c r="AL30" s="409">
        <f t="shared" si="62"/>
        <v>0</v>
      </c>
      <c r="AM30" s="409">
        <f t="shared" si="62"/>
        <v>0</v>
      </c>
      <c r="AN30" s="409">
        <f t="shared" si="62"/>
        <v>0</v>
      </c>
      <c r="AO30" s="409">
        <f t="shared" si="62"/>
        <v>0</v>
      </c>
      <c r="AP30" s="409">
        <f t="shared" ref="AP30:BD30" si="63">AP31+AP32+AP33</f>
        <v>0</v>
      </c>
      <c r="AQ30" s="409">
        <f t="shared" si="63"/>
        <v>0</v>
      </c>
      <c r="AR30" s="409">
        <f t="shared" si="63"/>
        <v>0</v>
      </c>
      <c r="AS30" s="409">
        <f t="shared" si="63"/>
        <v>0</v>
      </c>
      <c r="AT30" s="409">
        <f t="shared" si="63"/>
        <v>0</v>
      </c>
      <c r="AU30" s="409">
        <f t="shared" si="63"/>
        <v>0</v>
      </c>
      <c r="AV30" s="409">
        <f t="shared" si="63"/>
        <v>0</v>
      </c>
      <c r="AW30" s="409">
        <f t="shared" si="63"/>
        <v>0</v>
      </c>
      <c r="AX30" s="409">
        <f t="shared" si="63"/>
        <v>0</v>
      </c>
      <c r="AY30" s="409">
        <f t="shared" si="63"/>
        <v>0</v>
      </c>
      <c r="AZ30" s="409">
        <f t="shared" si="63"/>
        <v>0</v>
      </c>
      <c r="BA30" s="409">
        <f t="shared" si="63"/>
        <v>0</v>
      </c>
      <c r="BB30" s="409">
        <f t="shared" si="63"/>
        <v>0</v>
      </c>
      <c r="BC30" s="409">
        <f t="shared" si="63"/>
        <v>0</v>
      </c>
      <c r="BD30" s="409">
        <f t="shared" si="63"/>
        <v>0</v>
      </c>
      <c r="BE30" s="410"/>
      <c r="BF30" s="411" t="s">
        <v>105</v>
      </c>
      <c r="BG30" s="402"/>
      <c r="BH30" s="402"/>
      <c r="BI30" s="402"/>
    </row>
    <row r="31" spans="2:62" ht="15.75" customHeight="1" outlineLevel="1">
      <c r="B31" s="412" t="s">
        <v>504</v>
      </c>
      <c r="C31" s="413">
        <v>1</v>
      </c>
      <c r="D31" s="420" t="s">
        <v>140</v>
      </c>
      <c r="E31" s="415" t="str">
        <f t="shared" si="31"/>
        <v/>
      </c>
      <c r="F31" s="415" t="str">
        <f t="shared" si="58"/>
        <v/>
      </c>
      <c r="G31" s="415" t="str">
        <f t="shared" si="58"/>
        <v/>
      </c>
      <c r="H31" s="415" t="str">
        <f t="shared" si="3"/>
        <v/>
      </c>
      <c r="I31" s="415" t="str">
        <f t="shared" si="4"/>
        <v/>
      </c>
      <c r="J31" s="415" t="str">
        <f t="shared" si="5"/>
        <v/>
      </c>
      <c r="K31" s="415" t="str">
        <f t="shared" si="44"/>
        <v/>
      </c>
      <c r="L31" s="415" t="str">
        <f t="shared" si="59"/>
        <v/>
      </c>
      <c r="M31" s="415" t="str">
        <f t="shared" si="59"/>
        <v/>
      </c>
      <c r="N31" s="415" t="str">
        <f t="shared" si="36"/>
        <v/>
      </c>
      <c r="O31" s="415" t="str">
        <f t="shared" si="60"/>
        <v/>
      </c>
      <c r="P31" s="415" t="str">
        <f t="shared" si="60"/>
        <v/>
      </c>
      <c r="Q31" s="415" t="str">
        <f t="shared" si="12"/>
        <v/>
      </c>
      <c r="R31" s="415" t="str">
        <f t="shared" si="13"/>
        <v/>
      </c>
      <c r="S31" s="415" t="str">
        <f t="shared" si="14"/>
        <v/>
      </c>
      <c r="T31" s="415" t="str">
        <f t="shared" si="39"/>
        <v/>
      </c>
      <c r="U31" s="415" t="str">
        <f t="shared" si="61"/>
        <v/>
      </c>
      <c r="V31" s="415" t="str">
        <f t="shared" si="61"/>
        <v/>
      </c>
      <c r="W31" s="415" t="str">
        <f t="shared" si="26"/>
        <v/>
      </c>
      <c r="X31" s="415" t="str">
        <f t="shared" si="27"/>
        <v/>
      </c>
      <c r="Y31" s="415" t="str">
        <f t="shared" si="28"/>
        <v/>
      </c>
      <c r="Z31" s="415" t="str">
        <f t="shared" si="18"/>
        <v/>
      </c>
      <c r="AA31" s="415" t="str">
        <f t="shared" si="19"/>
        <v/>
      </c>
      <c r="AB31" s="415" t="str">
        <f t="shared" si="20"/>
        <v/>
      </c>
      <c r="AC31" s="415" t="str">
        <f t="shared" si="21"/>
        <v/>
      </c>
      <c r="AD31" s="415" t="str">
        <f t="shared" si="22"/>
        <v/>
      </c>
      <c r="AE31" s="415" t="str">
        <f t="shared" si="23"/>
        <v/>
      </c>
      <c r="AF31" s="400"/>
      <c r="AG31" s="415">
        <f>IF($BB31=0,0,$BB31*AG$7/($BB$7-$AV$7))</f>
        <v>0</v>
      </c>
      <c r="AH31" s="415">
        <f>IF($BC31=0,0,$BC31*AH$7/($BC$7-$AV$7))</f>
        <v>0</v>
      </c>
      <c r="AI31" s="415">
        <f>IF($BD31=0,0,$BD31*AI$7/($BD$7-$AV$7))</f>
        <v>0</v>
      </c>
      <c r="AJ31" s="415">
        <f>IF($BB31=0,0,$BB31*AJ$7/($BB$7-$AV$7))</f>
        <v>0</v>
      </c>
      <c r="AK31" s="415">
        <f>IF($BC31=0,0,$BC31*AK$7/($BC$7-$AV$7))</f>
        <v>0</v>
      </c>
      <c r="AL31" s="415">
        <f>IF($BD31=0,0,$BD31*AL$7/($BD$7-$AV$7))</f>
        <v>0</v>
      </c>
      <c r="AM31" s="415">
        <f>IF($BB31=0,0,$BB31*AM$7/($BB$7-$AV$7))</f>
        <v>0</v>
      </c>
      <c r="AN31" s="415">
        <f>IF($BC31=0,0,$BC31*AN$7/($BC$7-$AV$7))</f>
        <v>0</v>
      </c>
      <c r="AO31" s="415">
        <f>IF($BD31=0,0,$BD31*AO$7/($BD$7-$AV$7))</f>
        <v>0</v>
      </c>
      <c r="AP31" s="415">
        <f>IF($BB31=0,0,$BB31*AP$7/($BB$7-$AV$7))</f>
        <v>0</v>
      </c>
      <c r="AQ31" s="415">
        <f>IF($BC31=0,0,$BC31*AQ$7/($BC$7-$AV$7))</f>
        <v>0</v>
      </c>
      <c r="AR31" s="415">
        <f>IF($BD31=0,0,$BD31*AR$7/($BD$7-$AV$7))</f>
        <v>0</v>
      </c>
      <c r="AS31" s="415">
        <f>IF($BB31=0,0,$BB31*AS$7/($BB$7-$AV$7))</f>
        <v>0</v>
      </c>
      <c r="AT31" s="415">
        <f>IF($BC31=0,0,$BC31*AT$7/($BC$7-$AV$7))</f>
        <v>0</v>
      </c>
      <c r="AU31" s="415">
        <f>IF($BD31=0,0,$BD31*AU$7/($BD$7-$AV$7))</f>
        <v>0</v>
      </c>
      <c r="AV31" s="415"/>
      <c r="AW31" s="415"/>
      <c r="AX31" s="415"/>
      <c r="AY31" s="415">
        <f>IF($BB31=0,0,$BB31*AY$7/($BB$7-$AV$7))</f>
        <v>0</v>
      </c>
      <c r="AZ31" s="415">
        <f>IF($BC31=0,0,$BC31*AZ$7/($BC$7-$AV$7))</f>
        <v>0</v>
      </c>
      <c r="BA31" s="415">
        <f>IF($BD31=0,0,$BD31*BA$7/($BD$7-$AV$7))</f>
        <v>0</v>
      </c>
      <c r="BB31" s="415">
        <f>'2-公摊费用及期间费（本期）'!O128</f>
        <v>0</v>
      </c>
      <c r="BC31" s="415">
        <f>'2-公摊费用及期间费（本期）'!M128</f>
        <v>0</v>
      </c>
      <c r="BD31" s="415">
        <f>'2-公摊费用及期间费（本期）'!N128</f>
        <v>0</v>
      </c>
      <c r="BE31" s="422"/>
      <c r="BF31" s="423" t="s">
        <v>105</v>
      </c>
      <c r="BG31" s="402"/>
      <c r="BH31" s="402"/>
      <c r="BI31" s="402"/>
    </row>
    <row r="32" spans="2:62" ht="15.75" customHeight="1" outlineLevel="1">
      <c r="B32" s="412" t="s">
        <v>505</v>
      </c>
      <c r="C32" s="413">
        <v>2</v>
      </c>
      <c r="D32" s="420" t="s">
        <v>506</v>
      </c>
      <c r="E32" s="415" t="str">
        <f t="shared" si="31"/>
        <v/>
      </c>
      <c r="F32" s="415" t="str">
        <f t="shared" si="58"/>
        <v/>
      </c>
      <c r="G32" s="415" t="str">
        <f t="shared" si="58"/>
        <v/>
      </c>
      <c r="H32" s="415" t="str">
        <f t="shared" si="3"/>
        <v/>
      </c>
      <c r="I32" s="415" t="str">
        <f t="shared" si="4"/>
        <v/>
      </c>
      <c r="J32" s="415" t="str">
        <f t="shared" si="5"/>
        <v/>
      </c>
      <c r="K32" s="415" t="str">
        <f t="shared" si="44"/>
        <v/>
      </c>
      <c r="L32" s="415" t="str">
        <f t="shared" si="59"/>
        <v/>
      </c>
      <c r="M32" s="415" t="str">
        <f t="shared" si="59"/>
        <v/>
      </c>
      <c r="N32" s="415" t="str">
        <f t="shared" si="36"/>
        <v/>
      </c>
      <c r="O32" s="415" t="str">
        <f t="shared" si="60"/>
        <v/>
      </c>
      <c r="P32" s="415" t="str">
        <f t="shared" si="60"/>
        <v/>
      </c>
      <c r="Q32" s="415" t="str">
        <f t="shared" si="12"/>
        <v/>
      </c>
      <c r="R32" s="415" t="str">
        <f t="shared" si="13"/>
        <v/>
      </c>
      <c r="S32" s="415" t="str">
        <f t="shared" si="14"/>
        <v/>
      </c>
      <c r="T32" s="415" t="str">
        <f t="shared" si="39"/>
        <v/>
      </c>
      <c r="U32" s="415" t="str">
        <f t="shared" si="61"/>
        <v/>
      </c>
      <c r="V32" s="415" t="str">
        <f t="shared" si="61"/>
        <v/>
      </c>
      <c r="W32" s="415" t="str">
        <f t="shared" si="26"/>
        <v/>
      </c>
      <c r="X32" s="415" t="str">
        <f t="shared" si="27"/>
        <v/>
      </c>
      <c r="Y32" s="415" t="str">
        <f t="shared" si="28"/>
        <v/>
      </c>
      <c r="Z32" s="415" t="str">
        <f t="shared" si="18"/>
        <v/>
      </c>
      <c r="AA32" s="415" t="str">
        <f t="shared" si="19"/>
        <v/>
      </c>
      <c r="AB32" s="415" t="str">
        <f t="shared" si="20"/>
        <v/>
      </c>
      <c r="AC32" s="415" t="str">
        <f t="shared" si="21"/>
        <v/>
      </c>
      <c r="AD32" s="415" t="str">
        <f t="shared" si="22"/>
        <v/>
      </c>
      <c r="AE32" s="415" t="str">
        <f t="shared" si="23"/>
        <v/>
      </c>
      <c r="AF32" s="400"/>
      <c r="AG32" s="415">
        <f>IF($BB32=0,0,$BB32*AG$8/($BB$8-$AV$8))</f>
        <v>0</v>
      </c>
      <c r="AH32" s="415">
        <f>IF($BC32=0,0,$BC32*AH$8/($BC$8-$AV$8))</f>
        <v>0</v>
      </c>
      <c r="AI32" s="415">
        <f>IF($BD32=0,0,$BD32*AI$8/($BD$8-$AV$8))</f>
        <v>0</v>
      </c>
      <c r="AJ32" s="415">
        <f>IF($BB32=0,0,$BB32*AJ$8/($BB$8-$AV$8))</f>
        <v>0</v>
      </c>
      <c r="AK32" s="415">
        <f>IF($BC32=0,0,$BC32*AK$8/($BC$8-$AV$8))</f>
        <v>0</v>
      </c>
      <c r="AL32" s="415">
        <f>IF($BD32=0,0,$BD32*AL$8/($BD$8-$AV$8))</f>
        <v>0</v>
      </c>
      <c r="AM32" s="415">
        <f>IF($BB32=0,0,$BB32*AM$8/($BB$8-$AV$8))</f>
        <v>0</v>
      </c>
      <c r="AN32" s="415">
        <f>IF($BC32=0,0,$BC32*AN$8/($BC$8-$AV$8))</f>
        <v>0</v>
      </c>
      <c r="AO32" s="415">
        <f>IF($BD32=0,0,$BD32*AO$8/($BD$8-$AV$8))</f>
        <v>0</v>
      </c>
      <c r="AP32" s="415">
        <f>IF($BB32=0,0,$BB32*AP$8/($BB$8-$AV$8))</f>
        <v>0</v>
      </c>
      <c r="AQ32" s="415">
        <f>IF($BC32=0,0,$BC32*AQ$8/($BC$8-$AV$8))</f>
        <v>0</v>
      </c>
      <c r="AR32" s="415">
        <f>IF($BD32=0,0,$BD32*AR$8/($BD$8-$AV$8))</f>
        <v>0</v>
      </c>
      <c r="AS32" s="415">
        <f>IF($BB32=0,0,$BB32*AS$8/($BB$8-$AV$8))</f>
        <v>0</v>
      </c>
      <c r="AT32" s="415">
        <f>IF($BC32=0,0,$BC32*AT$8/($BC$8-$AV$8))</f>
        <v>0</v>
      </c>
      <c r="AU32" s="415">
        <f>IF($BD32=0,0,$BD32*AU$8/($BD$8-$AV$8))</f>
        <v>0</v>
      </c>
      <c r="AV32" s="415"/>
      <c r="AW32" s="415"/>
      <c r="AX32" s="415"/>
      <c r="AY32" s="415">
        <f>IF($BB32=0,0,$BB32*AY$8/($BB$8-$AV$8))</f>
        <v>0</v>
      </c>
      <c r="AZ32" s="415">
        <f>IF($BC32=0,0,$BC32*AZ$8/($BC$8-$AV$8))</f>
        <v>0</v>
      </c>
      <c r="BA32" s="415">
        <f>IF($BD32=0,0,$BD32*BA$8/($BD$8-$AV$8))</f>
        <v>0</v>
      </c>
      <c r="BB32" s="415">
        <f>'2-公摊费用及期间费（本期）'!O142</f>
        <v>0</v>
      </c>
      <c r="BC32" s="415">
        <f>'2-公摊费用及期间费（本期）'!M142</f>
        <v>0</v>
      </c>
      <c r="BD32" s="415">
        <f>'2-公摊费用及期间费（本期）'!N142</f>
        <v>0</v>
      </c>
      <c r="BE32" s="422"/>
      <c r="BF32" s="423" t="s">
        <v>431</v>
      </c>
      <c r="BG32" s="402"/>
      <c r="BH32" s="402"/>
      <c r="BI32" s="402"/>
    </row>
    <row r="33" spans="2:61" ht="15.75" customHeight="1" outlineLevel="1">
      <c r="B33" s="412" t="s">
        <v>507</v>
      </c>
      <c r="C33" s="413">
        <v>3</v>
      </c>
      <c r="D33" s="420" t="s">
        <v>508</v>
      </c>
      <c r="E33" s="415" t="str">
        <f t="shared" si="31"/>
        <v/>
      </c>
      <c r="F33" s="415" t="str">
        <f t="shared" si="58"/>
        <v/>
      </c>
      <c r="G33" s="415" t="str">
        <f t="shared" si="58"/>
        <v/>
      </c>
      <c r="H33" s="415" t="str">
        <f t="shared" si="3"/>
        <v/>
      </c>
      <c r="I33" s="415" t="str">
        <f t="shared" si="4"/>
        <v/>
      </c>
      <c r="J33" s="415" t="str">
        <f t="shared" si="5"/>
        <v/>
      </c>
      <c r="K33" s="415" t="str">
        <f t="shared" si="44"/>
        <v/>
      </c>
      <c r="L33" s="415" t="str">
        <f t="shared" si="59"/>
        <v/>
      </c>
      <c r="M33" s="415" t="str">
        <f t="shared" si="59"/>
        <v/>
      </c>
      <c r="N33" s="415" t="str">
        <f t="shared" si="36"/>
        <v/>
      </c>
      <c r="O33" s="415" t="str">
        <f t="shared" si="60"/>
        <v/>
      </c>
      <c r="P33" s="415" t="str">
        <f t="shared" si="60"/>
        <v/>
      </c>
      <c r="Q33" s="415" t="str">
        <f t="shared" si="12"/>
        <v/>
      </c>
      <c r="R33" s="415" t="str">
        <f t="shared" si="13"/>
        <v/>
      </c>
      <c r="S33" s="415" t="str">
        <f t="shared" si="14"/>
        <v/>
      </c>
      <c r="T33" s="415" t="str">
        <f t="shared" si="39"/>
        <v/>
      </c>
      <c r="U33" s="415" t="str">
        <f t="shared" si="61"/>
        <v/>
      </c>
      <c r="V33" s="415" t="str">
        <f t="shared" si="61"/>
        <v/>
      </c>
      <c r="W33" s="415" t="str">
        <f t="shared" si="26"/>
        <v/>
      </c>
      <c r="X33" s="415" t="str">
        <f t="shared" si="27"/>
        <v/>
      </c>
      <c r="Y33" s="415" t="str">
        <f t="shared" si="28"/>
        <v/>
      </c>
      <c r="Z33" s="415" t="str">
        <f t="shared" si="18"/>
        <v/>
      </c>
      <c r="AA33" s="415" t="str">
        <f t="shared" si="19"/>
        <v/>
      </c>
      <c r="AB33" s="415" t="str">
        <f t="shared" si="20"/>
        <v/>
      </c>
      <c r="AC33" s="415" t="str">
        <f t="shared" si="21"/>
        <v/>
      </c>
      <c r="AD33" s="415" t="str">
        <f t="shared" si="22"/>
        <v/>
      </c>
      <c r="AE33" s="415" t="str">
        <f t="shared" si="23"/>
        <v/>
      </c>
      <c r="AF33" s="400"/>
      <c r="AG33" s="415">
        <f>IF($BB33=0,0,$BB33*AG$8/($BB$8-$AV$8))</f>
        <v>0</v>
      </c>
      <c r="AH33" s="415">
        <f>IF($BC33=0,0,$BC33*AH$8/($BC$8-$AV$8))</f>
        <v>0</v>
      </c>
      <c r="AI33" s="415">
        <f>IF($BD33=0,0,$BD33*AI$8/($BD$8-$AV$8))</f>
        <v>0</v>
      </c>
      <c r="AJ33" s="415">
        <f>IF($BB33=0,0,$BB33*AJ$8/($BB$8-$AV$8))</f>
        <v>0</v>
      </c>
      <c r="AK33" s="415">
        <f>IF($BC33=0,0,$BC33*AK$8/($BC$8-$AV$8))</f>
        <v>0</v>
      </c>
      <c r="AL33" s="415">
        <f>IF($BD33=0,0,$BD33*AL$8/($BD$8-$AV$8))</f>
        <v>0</v>
      </c>
      <c r="AM33" s="415">
        <f>IF($BB33=0,0,$BB33*AM$8/($BB$8-$AV$8))</f>
        <v>0</v>
      </c>
      <c r="AN33" s="415">
        <f>IF($BC33=0,0,$BC33*AN$8/($BC$8-$AV$8))</f>
        <v>0</v>
      </c>
      <c r="AO33" s="415">
        <f>IF($BD33=0,0,$BD33*AO$8/($BD$8-$AV$8))</f>
        <v>0</v>
      </c>
      <c r="AP33" s="415">
        <f>IF($BB33=0,0,$BB33*AP$8/($BB$8-$AV$8))</f>
        <v>0</v>
      </c>
      <c r="AQ33" s="415">
        <f>IF($BC33=0,0,$BC33*AQ$8/($BC$8-$AV$8))</f>
        <v>0</v>
      </c>
      <c r="AR33" s="415">
        <f>IF($BD33=0,0,$BD33*AR$8/($BD$8-$AV$8))</f>
        <v>0</v>
      </c>
      <c r="AS33" s="415">
        <f>IF($BB33=0,0,$BB33*AS$8/($BB$8-$AV$8))</f>
        <v>0</v>
      </c>
      <c r="AT33" s="415">
        <f>IF($BC33=0,0,$BC33*AT$8/($BC$8-$AV$8))</f>
        <v>0</v>
      </c>
      <c r="AU33" s="415">
        <f>IF($BD33=0,0,$BD33*AU$8/($BD$8-$AV$8))</f>
        <v>0</v>
      </c>
      <c r="AV33" s="415"/>
      <c r="AW33" s="415"/>
      <c r="AX33" s="415"/>
      <c r="AY33" s="415">
        <f>IF($BB33=0,0,$BB33*AY$8/($BB$8-$AV$8))</f>
        <v>0</v>
      </c>
      <c r="AZ33" s="415">
        <f>IF($BC33=0,0,$BC33*AZ$8/($BC$8-$AV$8))</f>
        <v>0</v>
      </c>
      <c r="BA33" s="415">
        <f>IF($BD33=0,0,$BD33*BA$8/($BD$8-$AV$8))</f>
        <v>0</v>
      </c>
      <c r="BB33" s="415">
        <f>'2-公摊费用及期间费（本期）'!O150</f>
        <v>0</v>
      </c>
      <c r="BC33" s="415">
        <f>'2-公摊费用及期间费（本期）'!M150</f>
        <v>0</v>
      </c>
      <c r="BD33" s="415">
        <f>'2-公摊费用及期间费（本期）'!N150</f>
        <v>0</v>
      </c>
      <c r="BE33" s="422"/>
      <c r="BF33" s="423" t="s">
        <v>431</v>
      </c>
      <c r="BG33" s="402"/>
      <c r="BH33" s="402"/>
      <c r="BI33" s="402"/>
    </row>
    <row r="34" spans="2:61" s="403" customFormat="1" ht="15.75" customHeight="1">
      <c r="B34" s="404">
        <v>5001.07</v>
      </c>
      <c r="C34" s="405" t="s">
        <v>380</v>
      </c>
      <c r="D34" s="406" t="s">
        <v>82</v>
      </c>
      <c r="E34" s="407" t="str">
        <f t="shared" si="31"/>
        <v/>
      </c>
      <c r="F34" s="407" t="str">
        <f t="shared" ref="F34:F40" si="64">IF(AH$7=0,"",AH34*10000/AH$7)</f>
        <v/>
      </c>
      <c r="G34" s="407" t="str">
        <f t="shared" ref="G34:G40" si="65">IF(AI$7=0,"",AI34*10000/AI$7)</f>
        <v/>
      </c>
      <c r="H34" s="407" t="str">
        <f t="shared" si="3"/>
        <v/>
      </c>
      <c r="I34" s="407" t="str">
        <f t="shared" si="4"/>
        <v/>
      </c>
      <c r="J34" s="407" t="str">
        <f t="shared" si="5"/>
        <v/>
      </c>
      <c r="K34" s="407" t="str">
        <f t="shared" si="44"/>
        <v/>
      </c>
      <c r="L34" s="407" t="str">
        <f t="shared" ref="L34:L40" si="66">IF(AN$7=0,"",AN34*10000/AN$7)</f>
        <v/>
      </c>
      <c r="M34" s="407" t="str">
        <f t="shared" ref="M34:M40" si="67">IF(AO$7=0,"",AO34*10000/AO$7)</f>
        <v/>
      </c>
      <c r="N34" s="407" t="str">
        <f t="shared" si="36"/>
        <v/>
      </c>
      <c r="O34" s="407" t="str">
        <f t="shared" ref="O34:O40" si="68">IF(AQ$7=0,"",AQ34*10000/AQ$7)</f>
        <v/>
      </c>
      <c r="P34" s="407" t="str">
        <f t="shared" ref="P34:P40" si="69">IF(AR$7=0,"",AR34*10000/AR$7)</f>
        <v/>
      </c>
      <c r="Q34" s="407" t="str">
        <f t="shared" si="12"/>
        <v/>
      </c>
      <c r="R34" s="407" t="str">
        <f t="shared" si="13"/>
        <v/>
      </c>
      <c r="S34" s="407" t="str">
        <f t="shared" si="14"/>
        <v/>
      </c>
      <c r="T34" s="407" t="str">
        <f t="shared" si="39"/>
        <v/>
      </c>
      <c r="U34" s="407" t="str">
        <f t="shared" ref="U34:U40" si="70">IF(AW$7=0,"",AW34*10000/AW$7)</f>
        <v/>
      </c>
      <c r="V34" s="407" t="str">
        <f t="shared" ref="V34:V40" si="71">IF(AX$7=0,"",AX34*10000/AX$7)</f>
        <v/>
      </c>
      <c r="W34" s="407" t="str">
        <f t="shared" si="26"/>
        <v/>
      </c>
      <c r="X34" s="407" t="str">
        <f t="shared" si="27"/>
        <v/>
      </c>
      <c r="Y34" s="407" t="str">
        <f t="shared" si="28"/>
        <v/>
      </c>
      <c r="Z34" s="407" t="str">
        <f t="shared" si="18"/>
        <v/>
      </c>
      <c r="AA34" s="407" t="str">
        <f t="shared" si="19"/>
        <v/>
      </c>
      <c r="AB34" s="407" t="str">
        <f t="shared" si="20"/>
        <v/>
      </c>
      <c r="AC34" s="407" t="str">
        <f t="shared" si="21"/>
        <v/>
      </c>
      <c r="AD34" s="407" t="str">
        <f t="shared" si="22"/>
        <v/>
      </c>
      <c r="AE34" s="407" t="str">
        <f t="shared" si="23"/>
        <v/>
      </c>
      <c r="AF34" s="408"/>
      <c r="AG34" s="409">
        <f>AG35+AG36+AG37+AG38+AG39+AG40</f>
        <v>0</v>
      </c>
      <c r="AH34" s="409">
        <f>AH35+AH36+AH37+AH38+AH39+AH40</f>
        <v>0</v>
      </c>
      <c r="AI34" s="409">
        <f>AI35+AI36+AI37+AI38+AI39+AI40</f>
        <v>0</v>
      </c>
      <c r="AJ34" s="409">
        <f t="shared" ref="AJ34:AO34" si="72">AJ35+AJ36+AJ37+AJ38+AJ39+AJ40</f>
        <v>0</v>
      </c>
      <c r="AK34" s="409">
        <f t="shared" si="72"/>
        <v>0</v>
      </c>
      <c r="AL34" s="409">
        <f t="shared" si="72"/>
        <v>0</v>
      </c>
      <c r="AM34" s="409">
        <f t="shared" si="72"/>
        <v>0</v>
      </c>
      <c r="AN34" s="409">
        <f t="shared" si="72"/>
        <v>0</v>
      </c>
      <c r="AO34" s="409">
        <f t="shared" si="72"/>
        <v>0</v>
      </c>
      <c r="AP34" s="409">
        <f t="shared" ref="AP34:BD34" si="73">AP35+AP36+AP37+AP38+AP39+AP40</f>
        <v>0</v>
      </c>
      <c r="AQ34" s="409">
        <f t="shared" si="73"/>
        <v>0</v>
      </c>
      <c r="AR34" s="409">
        <f t="shared" si="73"/>
        <v>0</v>
      </c>
      <c r="AS34" s="409">
        <f t="shared" si="73"/>
        <v>0</v>
      </c>
      <c r="AT34" s="409">
        <f t="shared" si="73"/>
        <v>0</v>
      </c>
      <c r="AU34" s="409">
        <f t="shared" si="73"/>
        <v>0</v>
      </c>
      <c r="AV34" s="409">
        <f t="shared" si="73"/>
        <v>0</v>
      </c>
      <c r="AW34" s="409">
        <f t="shared" si="73"/>
        <v>0</v>
      </c>
      <c r="AX34" s="409">
        <f t="shared" si="73"/>
        <v>0</v>
      </c>
      <c r="AY34" s="409">
        <f t="shared" si="73"/>
        <v>0</v>
      </c>
      <c r="AZ34" s="409">
        <f t="shared" si="73"/>
        <v>0</v>
      </c>
      <c r="BA34" s="409">
        <f t="shared" si="73"/>
        <v>0</v>
      </c>
      <c r="BB34" s="409">
        <f t="shared" si="73"/>
        <v>0</v>
      </c>
      <c r="BC34" s="409">
        <f t="shared" si="73"/>
        <v>0</v>
      </c>
      <c r="BD34" s="409">
        <f t="shared" si="73"/>
        <v>0</v>
      </c>
      <c r="BE34" s="410"/>
      <c r="BF34" s="411" t="s">
        <v>105</v>
      </c>
      <c r="BG34" s="402"/>
      <c r="BH34" s="402"/>
      <c r="BI34" s="402"/>
    </row>
    <row r="35" spans="2:61" ht="15.75" customHeight="1" outlineLevel="1">
      <c r="B35" s="412" t="s">
        <v>509</v>
      </c>
      <c r="C35" s="413">
        <v>1</v>
      </c>
      <c r="D35" s="424" t="s">
        <v>65</v>
      </c>
      <c r="E35" s="415" t="str">
        <f t="shared" ref="E35:E40" si="74">IF(AG$7=0,"",AG35*10000/AG$7)</f>
        <v/>
      </c>
      <c r="F35" s="415" t="str">
        <f t="shared" si="64"/>
        <v/>
      </c>
      <c r="G35" s="415" t="str">
        <f t="shared" si="65"/>
        <v/>
      </c>
      <c r="H35" s="415" t="str">
        <f t="shared" si="3"/>
        <v/>
      </c>
      <c r="I35" s="415" t="str">
        <f t="shared" si="4"/>
        <v/>
      </c>
      <c r="J35" s="415" t="str">
        <f t="shared" si="5"/>
        <v/>
      </c>
      <c r="K35" s="415" t="str">
        <f t="shared" ref="K35:K40" si="75">IF(AM$7=0,"",AM35*10000/AM$7)</f>
        <v/>
      </c>
      <c r="L35" s="415" t="str">
        <f t="shared" si="66"/>
        <v/>
      </c>
      <c r="M35" s="415" t="str">
        <f t="shared" si="67"/>
        <v/>
      </c>
      <c r="N35" s="415" t="str">
        <f t="shared" ref="N35:N40" si="76">IF(AP$7=0,"",AP35*10000/AP$7)</f>
        <v/>
      </c>
      <c r="O35" s="415" t="str">
        <f t="shared" si="68"/>
        <v/>
      </c>
      <c r="P35" s="415" t="str">
        <f t="shared" si="69"/>
        <v/>
      </c>
      <c r="Q35" s="415" t="str">
        <f t="shared" si="12"/>
        <v/>
      </c>
      <c r="R35" s="415" t="str">
        <f t="shared" si="13"/>
        <v/>
      </c>
      <c r="S35" s="415" t="str">
        <f t="shared" si="14"/>
        <v/>
      </c>
      <c r="T35" s="415" t="str">
        <f t="shared" ref="T35:T40" si="77">IF(AV$7=0,"",AV35*10000/AV$7)</f>
        <v/>
      </c>
      <c r="U35" s="415" t="str">
        <f t="shared" si="70"/>
        <v/>
      </c>
      <c r="V35" s="415" t="str">
        <f t="shared" si="71"/>
        <v/>
      </c>
      <c r="W35" s="415" t="str">
        <f t="shared" si="26"/>
        <v/>
      </c>
      <c r="X35" s="415" t="str">
        <f t="shared" si="27"/>
        <v/>
      </c>
      <c r="Y35" s="415" t="str">
        <f t="shared" si="28"/>
        <v/>
      </c>
      <c r="Z35" s="415" t="str">
        <f t="shared" si="18"/>
        <v/>
      </c>
      <c r="AA35" s="415" t="str">
        <f t="shared" si="19"/>
        <v/>
      </c>
      <c r="AB35" s="415" t="str">
        <f t="shared" si="20"/>
        <v/>
      </c>
      <c r="AC35" s="415" t="str">
        <f t="shared" si="21"/>
        <v/>
      </c>
      <c r="AD35" s="415" t="str">
        <f t="shared" si="22"/>
        <v/>
      </c>
      <c r="AE35" s="415" t="str">
        <f t="shared" si="23"/>
        <v/>
      </c>
      <c r="AF35" s="400"/>
      <c r="AG35" s="415">
        <f t="shared" ref="AG35:AG40" si="78">IF($BB35=0,0,$BB35*AG$7/($BB$7-$AV$7))</f>
        <v>0</v>
      </c>
      <c r="AH35" s="415">
        <f t="shared" ref="AH35:AH40" si="79">IF($BC35=0,0,$BC35*AH$7/($BC$7-$AV$7))</f>
        <v>0</v>
      </c>
      <c r="AI35" s="415">
        <f t="shared" ref="AI35:AI40" si="80">IF($BD35=0,0,$BD35*AI$7/($BD$7-$AV$7))</f>
        <v>0</v>
      </c>
      <c r="AJ35" s="415">
        <f t="shared" ref="AJ35:AJ40" si="81">IF($BB35=0,0,$BB35*AJ$7/($BB$7-$AV$7))</f>
        <v>0</v>
      </c>
      <c r="AK35" s="415">
        <f t="shared" ref="AK35:AK40" si="82">IF($BC35=0,0,$BC35*AK$7/($BC$7-$AV$7))</f>
        <v>0</v>
      </c>
      <c r="AL35" s="415">
        <f t="shared" ref="AL35:AL40" si="83">IF($BD35=0,0,$BD35*AL$7/($BD$7-$AV$7))</f>
        <v>0</v>
      </c>
      <c r="AM35" s="415">
        <f t="shared" ref="AM35:AM40" si="84">IF($BB35=0,0,$BB35*AM$7/($BB$7-$AV$7))</f>
        <v>0</v>
      </c>
      <c r="AN35" s="415">
        <f t="shared" ref="AN35:AN40" si="85">IF($BC35=0,0,$BC35*AN$7/($BC$7-$AV$7))</f>
        <v>0</v>
      </c>
      <c r="AO35" s="415">
        <f t="shared" ref="AO35:AO40" si="86">IF($BD35=0,0,$BD35*AO$7/($BD$7-$AV$7))</f>
        <v>0</v>
      </c>
      <c r="AP35" s="415">
        <f t="shared" ref="AP35:AP40" si="87">IF($BB35=0,0,$BB35*AP$7/($BB$7-$AV$7))</f>
        <v>0</v>
      </c>
      <c r="AQ35" s="415">
        <f t="shared" ref="AQ35:AQ40" si="88">IF($BC35=0,0,$BC35*AQ$7/($BC$7-$AV$7))</f>
        <v>0</v>
      </c>
      <c r="AR35" s="415">
        <f t="shared" ref="AR35:AR40" si="89">IF($BD35=0,0,$BD35*AR$7/($BD$7-$AV$7))</f>
        <v>0</v>
      </c>
      <c r="AS35" s="415">
        <f t="shared" ref="AS35:AS40" si="90">IF($BB35=0,0,$BB35*AS$7/($BB$7-$AV$7))</f>
        <v>0</v>
      </c>
      <c r="AT35" s="415">
        <f t="shared" ref="AT35:AT40" si="91">IF($BC35=0,0,$BC35*AT$7/($BC$7-$AV$7))</f>
        <v>0</v>
      </c>
      <c r="AU35" s="415">
        <f t="shared" ref="AU35:AU40" si="92">IF($BD35=0,0,$BD35*AU$7/($BD$7-$AV$7))</f>
        <v>0</v>
      </c>
      <c r="AV35" s="415"/>
      <c r="AW35" s="415"/>
      <c r="AX35" s="415"/>
      <c r="AY35" s="415">
        <f t="shared" ref="AY35:AY40" si="93">IF($BB35=0,0,$BB35*AY$7/($BB$7-$AV$7))</f>
        <v>0</v>
      </c>
      <c r="AZ35" s="415">
        <f t="shared" ref="AZ35:AZ40" si="94">IF($BC35=0,0,$BC35*AZ$7/($BC$7-$AV$7))</f>
        <v>0</v>
      </c>
      <c r="BA35" s="415">
        <f t="shared" ref="BA35:BA40" si="95">IF($BD35=0,0,$BD35*BA$7/($BD$7-$AV$7))</f>
        <v>0</v>
      </c>
      <c r="BB35" s="415">
        <f>'2-公摊费用及期间费（本期）'!O175</f>
        <v>0</v>
      </c>
      <c r="BC35" s="415">
        <f>'2-公摊费用及期间费（本期）'!M175</f>
        <v>0</v>
      </c>
      <c r="BD35" s="415">
        <f>'2-公摊费用及期间费（本期）'!N175</f>
        <v>0</v>
      </c>
      <c r="BE35" s="416"/>
      <c r="BF35" s="423" t="s">
        <v>105</v>
      </c>
      <c r="BG35" s="402"/>
      <c r="BH35" s="402"/>
      <c r="BI35" s="402"/>
    </row>
    <row r="36" spans="2:61" ht="15.75" customHeight="1" outlineLevel="1">
      <c r="B36" s="412" t="s">
        <v>1009</v>
      </c>
      <c r="C36" s="413">
        <v>2</v>
      </c>
      <c r="D36" s="424" t="s">
        <v>124</v>
      </c>
      <c r="E36" s="415" t="str">
        <f t="shared" si="74"/>
        <v/>
      </c>
      <c r="F36" s="415" t="str">
        <f t="shared" si="64"/>
        <v/>
      </c>
      <c r="G36" s="415" t="str">
        <f t="shared" si="65"/>
        <v/>
      </c>
      <c r="H36" s="415" t="str">
        <f t="shared" si="3"/>
        <v/>
      </c>
      <c r="I36" s="415" t="str">
        <f t="shared" si="4"/>
        <v/>
      </c>
      <c r="J36" s="415" t="str">
        <f t="shared" si="5"/>
        <v/>
      </c>
      <c r="K36" s="415" t="str">
        <f t="shared" si="75"/>
        <v/>
      </c>
      <c r="L36" s="415" t="str">
        <f t="shared" si="66"/>
        <v/>
      </c>
      <c r="M36" s="415" t="str">
        <f t="shared" si="67"/>
        <v/>
      </c>
      <c r="N36" s="415" t="str">
        <f t="shared" si="76"/>
        <v/>
      </c>
      <c r="O36" s="415" t="str">
        <f t="shared" si="68"/>
        <v/>
      </c>
      <c r="P36" s="415" t="str">
        <f t="shared" si="69"/>
        <v/>
      </c>
      <c r="Q36" s="415" t="str">
        <f t="shared" si="12"/>
        <v/>
      </c>
      <c r="R36" s="415" t="str">
        <f t="shared" si="13"/>
        <v/>
      </c>
      <c r="S36" s="415" t="str">
        <f t="shared" si="14"/>
        <v/>
      </c>
      <c r="T36" s="415" t="str">
        <f t="shared" si="77"/>
        <v/>
      </c>
      <c r="U36" s="415" t="str">
        <f t="shared" si="70"/>
        <v/>
      </c>
      <c r="V36" s="415" t="str">
        <f t="shared" si="71"/>
        <v/>
      </c>
      <c r="W36" s="415" t="str">
        <f t="shared" si="26"/>
        <v/>
      </c>
      <c r="X36" s="415" t="str">
        <f t="shared" si="27"/>
        <v/>
      </c>
      <c r="Y36" s="415" t="str">
        <f t="shared" si="28"/>
        <v/>
      </c>
      <c r="Z36" s="415" t="str">
        <f t="shared" si="18"/>
        <v/>
      </c>
      <c r="AA36" s="415" t="str">
        <f t="shared" si="19"/>
        <v/>
      </c>
      <c r="AB36" s="415" t="str">
        <f t="shared" si="20"/>
        <v/>
      </c>
      <c r="AC36" s="415" t="str">
        <f t="shared" si="21"/>
        <v/>
      </c>
      <c r="AD36" s="415" t="str">
        <f t="shared" si="22"/>
        <v/>
      </c>
      <c r="AE36" s="415" t="str">
        <f t="shared" si="23"/>
        <v/>
      </c>
      <c r="AF36" s="400"/>
      <c r="AG36" s="415">
        <f t="shared" si="78"/>
        <v>0</v>
      </c>
      <c r="AH36" s="415">
        <f t="shared" si="79"/>
        <v>0</v>
      </c>
      <c r="AI36" s="415">
        <f t="shared" si="80"/>
        <v>0</v>
      </c>
      <c r="AJ36" s="415">
        <f t="shared" si="81"/>
        <v>0</v>
      </c>
      <c r="AK36" s="415">
        <f t="shared" si="82"/>
        <v>0</v>
      </c>
      <c r="AL36" s="415">
        <f t="shared" si="83"/>
        <v>0</v>
      </c>
      <c r="AM36" s="415">
        <f t="shared" si="84"/>
        <v>0</v>
      </c>
      <c r="AN36" s="415">
        <f t="shared" si="85"/>
        <v>0</v>
      </c>
      <c r="AO36" s="415">
        <f t="shared" si="86"/>
        <v>0</v>
      </c>
      <c r="AP36" s="415">
        <f t="shared" si="87"/>
        <v>0</v>
      </c>
      <c r="AQ36" s="415">
        <f t="shared" si="88"/>
        <v>0</v>
      </c>
      <c r="AR36" s="415">
        <f t="shared" si="89"/>
        <v>0</v>
      </c>
      <c r="AS36" s="415">
        <f t="shared" si="90"/>
        <v>0</v>
      </c>
      <c r="AT36" s="415">
        <f t="shared" si="91"/>
        <v>0</v>
      </c>
      <c r="AU36" s="415">
        <f t="shared" si="92"/>
        <v>0</v>
      </c>
      <c r="AV36" s="415"/>
      <c r="AW36" s="415"/>
      <c r="AX36" s="415"/>
      <c r="AY36" s="415">
        <f t="shared" si="93"/>
        <v>0</v>
      </c>
      <c r="AZ36" s="415">
        <f t="shared" si="94"/>
        <v>0</v>
      </c>
      <c r="BA36" s="415">
        <f t="shared" si="95"/>
        <v>0</v>
      </c>
      <c r="BB36" s="415">
        <f>'2-公摊费用及期间费（本期）'!O189</f>
        <v>0</v>
      </c>
      <c r="BC36" s="415">
        <f>'2-公摊费用及期间费（本期）'!M189</f>
        <v>0</v>
      </c>
      <c r="BD36" s="415">
        <f>'2-公摊费用及期间费（本期）'!N189</f>
        <v>0</v>
      </c>
      <c r="BE36" s="416"/>
      <c r="BF36" s="423" t="s">
        <v>105</v>
      </c>
      <c r="BG36" s="402"/>
      <c r="BH36" s="402"/>
      <c r="BI36" s="402"/>
    </row>
    <row r="37" spans="2:61" ht="15.75" customHeight="1" outlineLevel="1">
      <c r="B37" s="412" t="s">
        <v>511</v>
      </c>
      <c r="C37" s="413">
        <v>3</v>
      </c>
      <c r="D37" s="424" t="s">
        <v>66</v>
      </c>
      <c r="E37" s="415" t="str">
        <f t="shared" si="74"/>
        <v/>
      </c>
      <c r="F37" s="415" t="str">
        <f t="shared" si="64"/>
        <v/>
      </c>
      <c r="G37" s="415" t="str">
        <f t="shared" si="65"/>
        <v/>
      </c>
      <c r="H37" s="415" t="str">
        <f t="shared" si="3"/>
        <v/>
      </c>
      <c r="I37" s="415" t="str">
        <f t="shared" si="4"/>
        <v/>
      </c>
      <c r="J37" s="415" t="str">
        <f t="shared" si="5"/>
        <v/>
      </c>
      <c r="K37" s="415" t="str">
        <f t="shared" si="75"/>
        <v/>
      </c>
      <c r="L37" s="415" t="str">
        <f t="shared" si="66"/>
        <v/>
      </c>
      <c r="M37" s="415" t="str">
        <f t="shared" si="67"/>
        <v/>
      </c>
      <c r="N37" s="415" t="str">
        <f t="shared" si="76"/>
        <v/>
      </c>
      <c r="O37" s="415" t="str">
        <f t="shared" si="68"/>
        <v/>
      </c>
      <c r="P37" s="415" t="str">
        <f t="shared" si="69"/>
        <v/>
      </c>
      <c r="Q37" s="415" t="str">
        <f t="shared" si="12"/>
        <v/>
      </c>
      <c r="R37" s="415" t="str">
        <f t="shared" si="13"/>
        <v/>
      </c>
      <c r="S37" s="415" t="str">
        <f t="shared" si="14"/>
        <v/>
      </c>
      <c r="T37" s="415" t="str">
        <f t="shared" si="77"/>
        <v/>
      </c>
      <c r="U37" s="415" t="str">
        <f t="shared" si="70"/>
        <v/>
      </c>
      <c r="V37" s="415" t="str">
        <f t="shared" si="71"/>
        <v/>
      </c>
      <c r="W37" s="415" t="str">
        <f t="shared" si="26"/>
        <v/>
      </c>
      <c r="X37" s="415" t="str">
        <f t="shared" si="27"/>
        <v/>
      </c>
      <c r="Y37" s="415" t="str">
        <f t="shared" si="28"/>
        <v/>
      </c>
      <c r="Z37" s="415" t="str">
        <f t="shared" si="18"/>
        <v/>
      </c>
      <c r="AA37" s="415" t="str">
        <f t="shared" si="19"/>
        <v/>
      </c>
      <c r="AB37" s="415" t="str">
        <f t="shared" si="20"/>
        <v/>
      </c>
      <c r="AC37" s="415" t="str">
        <f t="shared" si="21"/>
        <v/>
      </c>
      <c r="AD37" s="415" t="str">
        <f t="shared" si="22"/>
        <v/>
      </c>
      <c r="AE37" s="415" t="str">
        <f t="shared" si="23"/>
        <v/>
      </c>
      <c r="AF37" s="400"/>
      <c r="AG37" s="415">
        <f t="shared" si="78"/>
        <v>0</v>
      </c>
      <c r="AH37" s="415">
        <f t="shared" si="79"/>
        <v>0</v>
      </c>
      <c r="AI37" s="415">
        <f t="shared" si="80"/>
        <v>0</v>
      </c>
      <c r="AJ37" s="415">
        <f t="shared" si="81"/>
        <v>0</v>
      </c>
      <c r="AK37" s="415">
        <f t="shared" si="82"/>
        <v>0</v>
      </c>
      <c r="AL37" s="415">
        <f t="shared" si="83"/>
        <v>0</v>
      </c>
      <c r="AM37" s="415">
        <f t="shared" si="84"/>
        <v>0</v>
      </c>
      <c r="AN37" s="415">
        <f t="shared" si="85"/>
        <v>0</v>
      </c>
      <c r="AO37" s="415">
        <f t="shared" si="86"/>
        <v>0</v>
      </c>
      <c r="AP37" s="415">
        <f t="shared" si="87"/>
        <v>0</v>
      </c>
      <c r="AQ37" s="415">
        <f t="shared" si="88"/>
        <v>0</v>
      </c>
      <c r="AR37" s="415">
        <f t="shared" si="89"/>
        <v>0</v>
      </c>
      <c r="AS37" s="415">
        <f t="shared" si="90"/>
        <v>0</v>
      </c>
      <c r="AT37" s="415">
        <f t="shared" si="91"/>
        <v>0</v>
      </c>
      <c r="AU37" s="415">
        <f t="shared" si="92"/>
        <v>0</v>
      </c>
      <c r="AV37" s="415"/>
      <c r="AW37" s="415"/>
      <c r="AX37" s="415"/>
      <c r="AY37" s="415">
        <f t="shared" si="93"/>
        <v>0</v>
      </c>
      <c r="AZ37" s="415">
        <f t="shared" si="94"/>
        <v>0</v>
      </c>
      <c r="BA37" s="415">
        <f t="shared" si="95"/>
        <v>0</v>
      </c>
      <c r="BB37" s="415">
        <f>'2-公摊费用及期间费（本期）'!O190</f>
        <v>0</v>
      </c>
      <c r="BC37" s="415">
        <f>'2-公摊费用及期间费（本期）'!M190</f>
        <v>0</v>
      </c>
      <c r="BD37" s="415">
        <f>'2-公摊费用及期间费（本期）'!N190</f>
        <v>0</v>
      </c>
      <c r="BE37" s="416"/>
      <c r="BF37" s="423" t="s">
        <v>105</v>
      </c>
      <c r="BG37" s="402"/>
      <c r="BH37" s="402"/>
      <c r="BI37" s="402"/>
    </row>
    <row r="38" spans="2:61" ht="15.75" customHeight="1" outlineLevel="1">
      <c r="B38" s="412" t="s">
        <v>512</v>
      </c>
      <c r="C38" s="413">
        <v>4</v>
      </c>
      <c r="D38" s="424" t="s">
        <v>513</v>
      </c>
      <c r="E38" s="415" t="str">
        <f t="shared" si="74"/>
        <v/>
      </c>
      <c r="F38" s="415" t="str">
        <f t="shared" si="64"/>
        <v/>
      </c>
      <c r="G38" s="415" t="str">
        <f t="shared" si="65"/>
        <v/>
      </c>
      <c r="H38" s="415" t="str">
        <f t="shared" si="3"/>
        <v/>
      </c>
      <c r="I38" s="415" t="str">
        <f t="shared" si="4"/>
        <v/>
      </c>
      <c r="J38" s="415" t="str">
        <f t="shared" si="5"/>
        <v/>
      </c>
      <c r="K38" s="415" t="str">
        <f t="shared" si="75"/>
        <v/>
      </c>
      <c r="L38" s="415" t="str">
        <f t="shared" si="66"/>
        <v/>
      </c>
      <c r="M38" s="415" t="str">
        <f t="shared" si="67"/>
        <v/>
      </c>
      <c r="N38" s="415" t="str">
        <f t="shared" si="76"/>
        <v/>
      </c>
      <c r="O38" s="415" t="str">
        <f t="shared" si="68"/>
        <v/>
      </c>
      <c r="P38" s="415" t="str">
        <f t="shared" si="69"/>
        <v/>
      </c>
      <c r="Q38" s="415" t="str">
        <f t="shared" si="12"/>
        <v/>
      </c>
      <c r="R38" s="415" t="str">
        <f t="shared" si="13"/>
        <v/>
      </c>
      <c r="S38" s="415" t="str">
        <f t="shared" si="14"/>
        <v/>
      </c>
      <c r="T38" s="415" t="str">
        <f t="shared" si="77"/>
        <v/>
      </c>
      <c r="U38" s="415" t="str">
        <f t="shared" si="70"/>
        <v/>
      </c>
      <c r="V38" s="415" t="str">
        <f t="shared" si="71"/>
        <v/>
      </c>
      <c r="W38" s="415" t="str">
        <f t="shared" si="26"/>
        <v/>
      </c>
      <c r="X38" s="415" t="str">
        <f t="shared" si="27"/>
        <v/>
      </c>
      <c r="Y38" s="415" t="str">
        <f t="shared" si="28"/>
        <v/>
      </c>
      <c r="Z38" s="415" t="str">
        <f t="shared" si="18"/>
        <v/>
      </c>
      <c r="AA38" s="415" t="str">
        <f t="shared" si="19"/>
        <v/>
      </c>
      <c r="AB38" s="415" t="str">
        <f t="shared" si="20"/>
        <v/>
      </c>
      <c r="AC38" s="415" t="str">
        <f t="shared" si="21"/>
        <v/>
      </c>
      <c r="AD38" s="415" t="str">
        <f t="shared" si="22"/>
        <v/>
      </c>
      <c r="AE38" s="415" t="str">
        <f t="shared" si="23"/>
        <v/>
      </c>
      <c r="AF38" s="400"/>
      <c r="AG38" s="415">
        <f t="shared" si="78"/>
        <v>0</v>
      </c>
      <c r="AH38" s="415">
        <f t="shared" si="79"/>
        <v>0</v>
      </c>
      <c r="AI38" s="415">
        <f t="shared" si="80"/>
        <v>0</v>
      </c>
      <c r="AJ38" s="415">
        <f t="shared" si="81"/>
        <v>0</v>
      </c>
      <c r="AK38" s="415">
        <f t="shared" si="82"/>
        <v>0</v>
      </c>
      <c r="AL38" s="415">
        <f t="shared" si="83"/>
        <v>0</v>
      </c>
      <c r="AM38" s="415">
        <f t="shared" si="84"/>
        <v>0</v>
      </c>
      <c r="AN38" s="415">
        <f t="shared" si="85"/>
        <v>0</v>
      </c>
      <c r="AO38" s="415">
        <f t="shared" si="86"/>
        <v>0</v>
      </c>
      <c r="AP38" s="415">
        <f t="shared" si="87"/>
        <v>0</v>
      </c>
      <c r="AQ38" s="415">
        <f t="shared" si="88"/>
        <v>0</v>
      </c>
      <c r="AR38" s="415">
        <f t="shared" si="89"/>
        <v>0</v>
      </c>
      <c r="AS38" s="415">
        <f t="shared" si="90"/>
        <v>0</v>
      </c>
      <c r="AT38" s="415">
        <f t="shared" si="91"/>
        <v>0</v>
      </c>
      <c r="AU38" s="415">
        <f t="shared" si="92"/>
        <v>0</v>
      </c>
      <c r="AV38" s="415"/>
      <c r="AW38" s="415"/>
      <c r="AX38" s="415"/>
      <c r="AY38" s="415">
        <f t="shared" si="93"/>
        <v>0</v>
      </c>
      <c r="AZ38" s="415">
        <f t="shared" si="94"/>
        <v>0</v>
      </c>
      <c r="BA38" s="415">
        <f t="shared" si="95"/>
        <v>0</v>
      </c>
      <c r="BB38" s="415">
        <f>'2-公摊费用及期间费（本期）'!O207</f>
        <v>0</v>
      </c>
      <c r="BC38" s="415">
        <f>'2-公摊费用及期间费（本期）'!M207</f>
        <v>0</v>
      </c>
      <c r="BD38" s="415">
        <f>'2-公摊费用及期间费（本期）'!N207</f>
        <v>0</v>
      </c>
      <c r="BE38" s="416"/>
      <c r="BF38" s="423" t="s">
        <v>105</v>
      </c>
      <c r="BG38" s="402"/>
      <c r="BH38" s="402"/>
      <c r="BI38" s="402"/>
    </row>
    <row r="39" spans="2:61" ht="15.75" customHeight="1" outlineLevel="1">
      <c r="B39" s="412" t="s">
        <v>514</v>
      </c>
      <c r="C39" s="413">
        <v>5</v>
      </c>
      <c r="D39" s="424" t="s">
        <v>67</v>
      </c>
      <c r="E39" s="415" t="str">
        <f t="shared" si="74"/>
        <v/>
      </c>
      <c r="F39" s="415" t="str">
        <f t="shared" si="64"/>
        <v/>
      </c>
      <c r="G39" s="415" t="str">
        <f t="shared" si="65"/>
        <v/>
      </c>
      <c r="H39" s="415" t="str">
        <f t="shared" si="3"/>
        <v/>
      </c>
      <c r="I39" s="415" t="str">
        <f t="shared" si="4"/>
        <v/>
      </c>
      <c r="J39" s="415" t="str">
        <f t="shared" si="5"/>
        <v/>
      </c>
      <c r="K39" s="415" t="str">
        <f t="shared" si="75"/>
        <v/>
      </c>
      <c r="L39" s="415" t="str">
        <f t="shared" si="66"/>
        <v/>
      </c>
      <c r="M39" s="415" t="str">
        <f t="shared" si="67"/>
        <v/>
      </c>
      <c r="N39" s="415" t="str">
        <f t="shared" si="76"/>
        <v/>
      </c>
      <c r="O39" s="415" t="str">
        <f t="shared" si="68"/>
        <v/>
      </c>
      <c r="P39" s="415" t="str">
        <f t="shared" si="69"/>
        <v/>
      </c>
      <c r="Q39" s="415" t="str">
        <f t="shared" si="12"/>
        <v/>
      </c>
      <c r="R39" s="415" t="str">
        <f t="shared" si="13"/>
        <v/>
      </c>
      <c r="S39" s="415" t="str">
        <f t="shared" si="14"/>
        <v/>
      </c>
      <c r="T39" s="415" t="str">
        <f t="shared" si="77"/>
        <v/>
      </c>
      <c r="U39" s="415" t="str">
        <f t="shared" si="70"/>
        <v/>
      </c>
      <c r="V39" s="415" t="str">
        <f t="shared" si="71"/>
        <v/>
      </c>
      <c r="W39" s="415" t="str">
        <f t="shared" si="26"/>
        <v/>
      </c>
      <c r="X39" s="415" t="str">
        <f t="shared" si="27"/>
        <v/>
      </c>
      <c r="Y39" s="415" t="str">
        <f t="shared" si="28"/>
        <v/>
      </c>
      <c r="Z39" s="415" t="str">
        <f t="shared" si="18"/>
        <v/>
      </c>
      <c r="AA39" s="415" t="str">
        <f t="shared" si="19"/>
        <v/>
      </c>
      <c r="AB39" s="415" t="str">
        <f t="shared" si="20"/>
        <v/>
      </c>
      <c r="AC39" s="415" t="str">
        <f t="shared" si="21"/>
        <v/>
      </c>
      <c r="AD39" s="415" t="str">
        <f t="shared" si="22"/>
        <v/>
      </c>
      <c r="AE39" s="415" t="str">
        <f t="shared" si="23"/>
        <v/>
      </c>
      <c r="AF39" s="400"/>
      <c r="AG39" s="415">
        <f t="shared" si="78"/>
        <v>0</v>
      </c>
      <c r="AH39" s="415">
        <f t="shared" si="79"/>
        <v>0</v>
      </c>
      <c r="AI39" s="415">
        <f t="shared" si="80"/>
        <v>0</v>
      </c>
      <c r="AJ39" s="415">
        <f t="shared" si="81"/>
        <v>0</v>
      </c>
      <c r="AK39" s="415">
        <f t="shared" si="82"/>
        <v>0</v>
      </c>
      <c r="AL39" s="415">
        <f t="shared" si="83"/>
        <v>0</v>
      </c>
      <c r="AM39" s="415">
        <f t="shared" si="84"/>
        <v>0</v>
      </c>
      <c r="AN39" s="415">
        <f t="shared" si="85"/>
        <v>0</v>
      </c>
      <c r="AO39" s="415">
        <f t="shared" si="86"/>
        <v>0</v>
      </c>
      <c r="AP39" s="415">
        <f t="shared" si="87"/>
        <v>0</v>
      </c>
      <c r="AQ39" s="415">
        <f t="shared" si="88"/>
        <v>0</v>
      </c>
      <c r="AR39" s="415">
        <f t="shared" si="89"/>
        <v>0</v>
      </c>
      <c r="AS39" s="415">
        <f t="shared" si="90"/>
        <v>0</v>
      </c>
      <c r="AT39" s="415">
        <f t="shared" si="91"/>
        <v>0</v>
      </c>
      <c r="AU39" s="415">
        <f t="shared" si="92"/>
        <v>0</v>
      </c>
      <c r="AV39" s="415"/>
      <c r="AW39" s="415"/>
      <c r="AX39" s="415"/>
      <c r="AY39" s="415">
        <f t="shared" si="93"/>
        <v>0</v>
      </c>
      <c r="AZ39" s="415">
        <f t="shared" si="94"/>
        <v>0</v>
      </c>
      <c r="BA39" s="415">
        <f t="shared" si="95"/>
        <v>0</v>
      </c>
      <c r="BB39" s="415">
        <f>'2-公摊费用及期间费（本期）'!O227</f>
        <v>0</v>
      </c>
      <c r="BC39" s="415">
        <f>'2-公摊费用及期间费（本期）'!M227</f>
        <v>0</v>
      </c>
      <c r="BD39" s="415">
        <f>'2-公摊费用及期间费（本期）'!N227</f>
        <v>0</v>
      </c>
      <c r="BE39" s="416"/>
      <c r="BF39" s="423" t="s">
        <v>105</v>
      </c>
      <c r="BG39" s="402"/>
      <c r="BH39" s="402"/>
      <c r="BI39" s="402"/>
    </row>
    <row r="40" spans="2:61" ht="15.75" customHeight="1" outlineLevel="1">
      <c r="B40" s="412" t="s">
        <v>1010</v>
      </c>
      <c r="C40" s="413">
        <v>6</v>
      </c>
      <c r="D40" s="424" t="s">
        <v>1011</v>
      </c>
      <c r="E40" s="415" t="str">
        <f t="shared" si="74"/>
        <v/>
      </c>
      <c r="F40" s="415" t="str">
        <f t="shared" si="64"/>
        <v/>
      </c>
      <c r="G40" s="415" t="str">
        <f t="shared" si="65"/>
        <v/>
      </c>
      <c r="H40" s="415" t="str">
        <f t="shared" si="3"/>
        <v/>
      </c>
      <c r="I40" s="415" t="str">
        <f t="shared" si="4"/>
        <v/>
      </c>
      <c r="J40" s="415" t="str">
        <f t="shared" si="5"/>
        <v/>
      </c>
      <c r="K40" s="415" t="str">
        <f t="shared" si="75"/>
        <v/>
      </c>
      <c r="L40" s="415" t="str">
        <f t="shared" si="66"/>
        <v/>
      </c>
      <c r="M40" s="415" t="str">
        <f t="shared" si="67"/>
        <v/>
      </c>
      <c r="N40" s="415" t="str">
        <f t="shared" si="76"/>
        <v/>
      </c>
      <c r="O40" s="415" t="str">
        <f t="shared" si="68"/>
        <v/>
      </c>
      <c r="P40" s="415" t="str">
        <f t="shared" si="69"/>
        <v/>
      </c>
      <c r="Q40" s="415" t="str">
        <f t="shared" si="12"/>
        <v/>
      </c>
      <c r="R40" s="415" t="str">
        <f t="shared" si="13"/>
        <v/>
      </c>
      <c r="S40" s="415" t="str">
        <f t="shared" si="14"/>
        <v/>
      </c>
      <c r="T40" s="415" t="str">
        <f t="shared" si="77"/>
        <v/>
      </c>
      <c r="U40" s="415" t="str">
        <f t="shared" si="70"/>
        <v/>
      </c>
      <c r="V40" s="415" t="str">
        <f t="shared" si="71"/>
        <v/>
      </c>
      <c r="W40" s="415" t="str">
        <f t="shared" si="26"/>
        <v/>
      </c>
      <c r="X40" s="415" t="str">
        <f t="shared" si="27"/>
        <v/>
      </c>
      <c r="Y40" s="415" t="str">
        <f t="shared" si="28"/>
        <v/>
      </c>
      <c r="Z40" s="415" t="str">
        <f t="shared" si="18"/>
        <v/>
      </c>
      <c r="AA40" s="415" t="str">
        <f t="shared" si="19"/>
        <v/>
      </c>
      <c r="AB40" s="415" t="str">
        <f t="shared" si="20"/>
        <v/>
      </c>
      <c r="AC40" s="415" t="str">
        <f t="shared" si="21"/>
        <v/>
      </c>
      <c r="AD40" s="415" t="str">
        <f t="shared" si="22"/>
        <v/>
      </c>
      <c r="AE40" s="415" t="str">
        <f t="shared" si="23"/>
        <v/>
      </c>
      <c r="AF40" s="400"/>
      <c r="AG40" s="415">
        <f t="shared" si="78"/>
        <v>0</v>
      </c>
      <c r="AH40" s="415">
        <f t="shared" si="79"/>
        <v>0</v>
      </c>
      <c r="AI40" s="415">
        <f t="shared" si="80"/>
        <v>0</v>
      </c>
      <c r="AJ40" s="415">
        <f t="shared" si="81"/>
        <v>0</v>
      </c>
      <c r="AK40" s="415">
        <f t="shared" si="82"/>
        <v>0</v>
      </c>
      <c r="AL40" s="415">
        <f t="shared" si="83"/>
        <v>0</v>
      </c>
      <c r="AM40" s="415">
        <f t="shared" si="84"/>
        <v>0</v>
      </c>
      <c r="AN40" s="415">
        <f t="shared" si="85"/>
        <v>0</v>
      </c>
      <c r="AO40" s="415">
        <f t="shared" si="86"/>
        <v>0</v>
      </c>
      <c r="AP40" s="415">
        <f t="shared" si="87"/>
        <v>0</v>
      </c>
      <c r="AQ40" s="415">
        <f t="shared" si="88"/>
        <v>0</v>
      </c>
      <c r="AR40" s="415">
        <f t="shared" si="89"/>
        <v>0</v>
      </c>
      <c r="AS40" s="415">
        <f t="shared" si="90"/>
        <v>0</v>
      </c>
      <c r="AT40" s="415">
        <f t="shared" si="91"/>
        <v>0</v>
      </c>
      <c r="AU40" s="415">
        <f t="shared" si="92"/>
        <v>0</v>
      </c>
      <c r="AV40" s="415"/>
      <c r="AW40" s="415"/>
      <c r="AX40" s="415"/>
      <c r="AY40" s="415">
        <f t="shared" si="93"/>
        <v>0</v>
      </c>
      <c r="AZ40" s="415">
        <f t="shared" si="94"/>
        <v>0</v>
      </c>
      <c r="BA40" s="415">
        <f t="shared" si="95"/>
        <v>0</v>
      </c>
      <c r="BB40" s="415">
        <f>'2-公摊费用及期间费（本期）'!O228</f>
        <v>0</v>
      </c>
      <c r="BC40" s="415">
        <f>'2-公摊费用及期间费（本期）'!M228</f>
        <v>0</v>
      </c>
      <c r="BD40" s="415">
        <f>'2-公摊费用及期间费（本期）'!N228</f>
        <v>0</v>
      </c>
      <c r="BE40" s="416"/>
      <c r="BF40" s="423" t="s">
        <v>105</v>
      </c>
      <c r="BG40" s="402"/>
      <c r="BH40" s="402"/>
      <c r="BI40" s="402"/>
    </row>
    <row r="41" spans="2:61" s="403" customFormat="1" ht="15.75" customHeight="1">
      <c r="B41" s="404">
        <v>5001.08</v>
      </c>
      <c r="C41" s="405" t="s">
        <v>141</v>
      </c>
      <c r="D41" s="406" t="s">
        <v>142</v>
      </c>
      <c r="E41" s="407" t="str">
        <f t="shared" ref="E41:G42" si="96">IF(AG$7=0,"",AG41*10000/AG$7)</f>
        <v/>
      </c>
      <c r="F41" s="407" t="str">
        <f t="shared" si="96"/>
        <v/>
      </c>
      <c r="G41" s="407" t="str">
        <f t="shared" si="96"/>
        <v/>
      </c>
      <c r="H41" s="407" t="str">
        <f t="shared" ref="H41:P42" si="97">IF(AJ$7=0,"",AJ41*10000/AJ$7)</f>
        <v/>
      </c>
      <c r="I41" s="407" t="str">
        <f t="shared" si="97"/>
        <v/>
      </c>
      <c r="J41" s="407" t="str">
        <f t="shared" si="97"/>
        <v/>
      </c>
      <c r="K41" s="407" t="str">
        <f t="shared" si="97"/>
        <v/>
      </c>
      <c r="L41" s="407" t="str">
        <f t="shared" si="97"/>
        <v/>
      </c>
      <c r="M41" s="407" t="str">
        <f t="shared" si="97"/>
        <v/>
      </c>
      <c r="N41" s="407" t="str">
        <f t="shared" si="97"/>
        <v/>
      </c>
      <c r="O41" s="407" t="str">
        <f t="shared" si="97"/>
        <v/>
      </c>
      <c r="P41" s="407" t="str">
        <f t="shared" si="97"/>
        <v/>
      </c>
      <c r="Q41" s="407" t="str">
        <f t="shared" si="12"/>
        <v/>
      </c>
      <c r="R41" s="407" t="str">
        <f t="shared" si="13"/>
        <v/>
      </c>
      <c r="S41" s="407" t="str">
        <f t="shared" si="14"/>
        <v/>
      </c>
      <c r="T41" s="407" t="str">
        <f t="shared" ref="T41:V42" si="98">IF(AV$7=0,"",AV41*10000/AV$7)</f>
        <v/>
      </c>
      <c r="U41" s="407" t="str">
        <f t="shared" si="98"/>
        <v/>
      </c>
      <c r="V41" s="407" t="str">
        <f t="shared" si="98"/>
        <v/>
      </c>
      <c r="W41" s="407" t="str">
        <f t="shared" si="26"/>
        <v/>
      </c>
      <c r="X41" s="407" t="str">
        <f t="shared" si="27"/>
        <v/>
      </c>
      <c r="Y41" s="407" t="str">
        <f t="shared" si="28"/>
        <v/>
      </c>
      <c r="Z41" s="407" t="str">
        <f t="shared" si="18"/>
        <v/>
      </c>
      <c r="AA41" s="407" t="str">
        <f t="shared" si="19"/>
        <v/>
      </c>
      <c r="AB41" s="407" t="str">
        <f t="shared" si="20"/>
        <v/>
      </c>
      <c r="AC41" s="407" t="str">
        <f t="shared" si="21"/>
        <v/>
      </c>
      <c r="AD41" s="407" t="str">
        <f t="shared" si="22"/>
        <v/>
      </c>
      <c r="AE41" s="407" t="str">
        <f t="shared" si="23"/>
        <v/>
      </c>
      <c r="AF41" s="408"/>
      <c r="AG41" s="409"/>
      <c r="AH41" s="409"/>
      <c r="AI41" s="409"/>
      <c r="AJ41" s="409"/>
      <c r="AK41" s="409"/>
      <c r="AL41" s="409"/>
      <c r="AM41" s="409"/>
      <c r="AN41" s="409"/>
      <c r="AO41" s="409"/>
      <c r="AP41" s="409"/>
      <c r="AQ41" s="409"/>
      <c r="AR41" s="409"/>
      <c r="AS41" s="409"/>
      <c r="AT41" s="409"/>
      <c r="AU41" s="409"/>
      <c r="AV41" s="409"/>
      <c r="AW41" s="409"/>
      <c r="AX41" s="409"/>
      <c r="AY41" s="409"/>
      <c r="AZ41" s="409"/>
      <c r="BA41" s="409"/>
      <c r="BB41" s="409">
        <f>'2-公摊费用及期间费（本期）'!O231</f>
        <v>0</v>
      </c>
      <c r="BC41" s="409">
        <f>'2-公摊费用及期间费（本期）'!M231</f>
        <v>0</v>
      </c>
      <c r="BD41" s="409">
        <f>'2-公摊费用及期间费（本期）'!N231</f>
        <v>0</v>
      </c>
      <c r="BE41" s="410"/>
      <c r="BF41" s="411" t="s">
        <v>105</v>
      </c>
      <c r="BG41" s="402"/>
      <c r="BH41" s="402"/>
      <c r="BI41" s="402"/>
    </row>
    <row r="42" spans="2:61" s="403" customFormat="1" ht="15.75" customHeight="1">
      <c r="B42" s="425"/>
      <c r="C42" s="425"/>
      <c r="D42" s="426" t="s">
        <v>1012</v>
      </c>
      <c r="E42" s="427" t="str">
        <f t="shared" si="96"/>
        <v/>
      </c>
      <c r="F42" s="427" t="str">
        <f t="shared" si="96"/>
        <v/>
      </c>
      <c r="G42" s="427" t="str">
        <f t="shared" si="96"/>
        <v/>
      </c>
      <c r="H42" s="427" t="str">
        <f t="shared" si="97"/>
        <v/>
      </c>
      <c r="I42" s="427" t="str">
        <f t="shared" si="97"/>
        <v/>
      </c>
      <c r="J42" s="427" t="str">
        <f t="shared" si="97"/>
        <v/>
      </c>
      <c r="K42" s="427" t="str">
        <f t="shared" si="97"/>
        <v/>
      </c>
      <c r="L42" s="427" t="str">
        <f t="shared" si="97"/>
        <v/>
      </c>
      <c r="M42" s="427" t="str">
        <f t="shared" si="97"/>
        <v/>
      </c>
      <c r="N42" s="427" t="str">
        <f t="shared" si="97"/>
        <v/>
      </c>
      <c r="O42" s="427" t="str">
        <f t="shared" si="97"/>
        <v/>
      </c>
      <c r="P42" s="427" t="str">
        <f t="shared" si="97"/>
        <v/>
      </c>
      <c r="Q42" s="427" t="str">
        <f t="shared" si="12"/>
        <v/>
      </c>
      <c r="R42" s="427" t="str">
        <f t="shared" si="13"/>
        <v/>
      </c>
      <c r="S42" s="427" t="str">
        <f t="shared" si="14"/>
        <v/>
      </c>
      <c r="T42" s="427" t="str">
        <f t="shared" si="98"/>
        <v/>
      </c>
      <c r="U42" s="427" t="str">
        <f t="shared" si="98"/>
        <v/>
      </c>
      <c r="V42" s="427" t="str">
        <f t="shared" si="98"/>
        <v/>
      </c>
      <c r="W42" s="427" t="str">
        <f>IF(AY$7=0,"",AY42*10000/AY$7)</f>
        <v/>
      </c>
      <c r="X42" s="427" t="str">
        <f>IF(AZ$7=0,"",AZ42*10000/AZ$7)</f>
        <v/>
      </c>
      <c r="Y42" s="427" t="str">
        <f>IF(BA$7=0,"",BA42*10000/BA$7)</f>
        <v/>
      </c>
      <c r="Z42" s="427" t="str">
        <f t="shared" si="18"/>
        <v/>
      </c>
      <c r="AA42" s="427" t="str">
        <f t="shared" si="19"/>
        <v/>
      </c>
      <c r="AB42" s="427" t="str">
        <f t="shared" si="20"/>
        <v/>
      </c>
      <c r="AC42" s="427" t="str">
        <f t="shared" si="21"/>
        <v/>
      </c>
      <c r="AD42" s="427" t="str">
        <f t="shared" si="22"/>
        <v/>
      </c>
      <c r="AE42" s="427" t="str">
        <f t="shared" si="23"/>
        <v/>
      </c>
      <c r="AF42" s="428"/>
      <c r="AG42" s="429">
        <f t="shared" ref="AG42:BD42" si="99">AG9+AG13+AG18+AG24+AG25+AG30+AG34+AG41</f>
        <v>0</v>
      </c>
      <c r="AH42" s="429">
        <f t="shared" si="99"/>
        <v>0</v>
      </c>
      <c r="AI42" s="429">
        <f t="shared" si="99"/>
        <v>0</v>
      </c>
      <c r="AJ42" s="429">
        <f t="shared" si="99"/>
        <v>0</v>
      </c>
      <c r="AK42" s="429">
        <f t="shared" si="99"/>
        <v>0</v>
      </c>
      <c r="AL42" s="429">
        <f t="shared" si="99"/>
        <v>0</v>
      </c>
      <c r="AM42" s="429">
        <f t="shared" si="99"/>
        <v>0</v>
      </c>
      <c r="AN42" s="429">
        <f t="shared" si="99"/>
        <v>0</v>
      </c>
      <c r="AO42" s="429">
        <f t="shared" si="99"/>
        <v>0</v>
      </c>
      <c r="AP42" s="429">
        <f t="shared" si="99"/>
        <v>0</v>
      </c>
      <c r="AQ42" s="429">
        <f t="shared" si="99"/>
        <v>0</v>
      </c>
      <c r="AR42" s="429">
        <f t="shared" si="99"/>
        <v>0</v>
      </c>
      <c r="AS42" s="429">
        <f t="shared" si="99"/>
        <v>0</v>
      </c>
      <c r="AT42" s="429">
        <f t="shared" si="99"/>
        <v>0</v>
      </c>
      <c r="AU42" s="429">
        <f t="shared" si="99"/>
        <v>0</v>
      </c>
      <c r="AV42" s="429">
        <f t="shared" si="99"/>
        <v>0</v>
      </c>
      <c r="AW42" s="429">
        <f t="shared" si="99"/>
        <v>0</v>
      </c>
      <c r="AX42" s="429">
        <f t="shared" si="99"/>
        <v>0</v>
      </c>
      <c r="AY42" s="429">
        <f t="shared" si="99"/>
        <v>0</v>
      </c>
      <c r="AZ42" s="429">
        <f t="shared" si="99"/>
        <v>0</v>
      </c>
      <c r="BA42" s="429">
        <f t="shared" si="99"/>
        <v>0</v>
      </c>
      <c r="BB42" s="429">
        <f t="shared" si="99"/>
        <v>0</v>
      </c>
      <c r="BC42" s="429">
        <f t="shared" si="99"/>
        <v>0</v>
      </c>
      <c r="BD42" s="429">
        <f t="shared" si="99"/>
        <v>0</v>
      </c>
      <c r="BE42" s="428"/>
      <c r="BF42" s="430"/>
      <c r="BG42" s="402"/>
      <c r="BH42" s="402"/>
      <c r="BI42" s="402"/>
    </row>
    <row r="43" spans="2:61" s="403" customFormat="1" ht="15.75" customHeight="1">
      <c r="B43" s="404">
        <v>5001.09</v>
      </c>
      <c r="C43" s="405" t="s">
        <v>1013</v>
      </c>
      <c r="D43" s="406" t="s">
        <v>1014</v>
      </c>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8"/>
      <c r="AG43" s="409"/>
      <c r="AH43" s="409">
        <f>AH44+AH45+AH46</f>
        <v>0</v>
      </c>
      <c r="AI43" s="409"/>
      <c r="AJ43" s="409"/>
      <c r="AK43" s="409">
        <f>AK44+AK45+AK46</f>
        <v>0</v>
      </c>
      <c r="AL43" s="409"/>
      <c r="AM43" s="409"/>
      <c r="AN43" s="409">
        <f>AN44+AN45+AN46</f>
        <v>0</v>
      </c>
      <c r="AO43" s="409"/>
      <c r="AP43" s="409"/>
      <c r="AQ43" s="409">
        <f>AQ44+AQ45+AQ46</f>
        <v>0</v>
      </c>
      <c r="AR43" s="409"/>
      <c r="AS43" s="409"/>
      <c r="AT43" s="409">
        <f>AT44+AT45+AT46</f>
        <v>0</v>
      </c>
      <c r="AU43" s="409"/>
      <c r="AV43" s="409"/>
      <c r="AW43" s="409">
        <f>AW44+AW45+AW46</f>
        <v>0</v>
      </c>
      <c r="AX43" s="409"/>
      <c r="AY43" s="409"/>
      <c r="AZ43" s="409">
        <f>AZ44+AZ45+AZ46</f>
        <v>0</v>
      </c>
      <c r="BA43" s="409"/>
      <c r="BB43" s="409"/>
      <c r="BC43" s="409">
        <f>BC44+BC45+BC46</f>
        <v>0</v>
      </c>
      <c r="BD43" s="409"/>
      <c r="BE43" s="410"/>
      <c r="BF43" s="411" t="s">
        <v>105</v>
      </c>
      <c r="BG43" s="431"/>
      <c r="BH43" s="431"/>
      <c r="BI43" s="431"/>
    </row>
    <row r="44" spans="2:61" ht="15.75" customHeight="1" outlineLevel="1">
      <c r="B44" s="413"/>
      <c r="C44" s="413">
        <v>1</v>
      </c>
      <c r="D44" s="424" t="s">
        <v>29</v>
      </c>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00"/>
      <c r="AG44" s="421"/>
      <c r="AH44" s="421"/>
      <c r="AI44" s="421"/>
      <c r="AJ44" s="421"/>
      <c r="AK44" s="415"/>
      <c r="AL44" s="415"/>
      <c r="AM44" s="421"/>
      <c r="AN44" s="421"/>
      <c r="AO44" s="421"/>
      <c r="AP44" s="421"/>
      <c r="AQ44" s="415"/>
      <c r="AR44" s="415"/>
      <c r="AS44" s="421"/>
      <c r="AT44" s="415"/>
      <c r="AU44" s="415"/>
      <c r="AV44" s="415"/>
      <c r="AW44" s="415"/>
      <c r="AX44" s="415"/>
      <c r="AY44" s="421"/>
      <c r="AZ44" s="415"/>
      <c r="BA44" s="415"/>
      <c r="BB44" s="415"/>
      <c r="BC44" s="415"/>
      <c r="BD44" s="415"/>
      <c r="BE44" s="416"/>
      <c r="BF44" s="419"/>
    </row>
    <row r="45" spans="2:61" ht="15.75" customHeight="1" outlineLevel="1">
      <c r="B45" s="413"/>
      <c r="C45" s="413">
        <v>2</v>
      </c>
      <c r="D45" s="424" t="s">
        <v>30</v>
      </c>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00"/>
      <c r="AG45" s="421"/>
      <c r="AH45" s="421"/>
      <c r="AI45" s="421"/>
      <c r="AJ45" s="421"/>
      <c r="AK45" s="415"/>
      <c r="AL45" s="415"/>
      <c r="AM45" s="421"/>
      <c r="AN45" s="421"/>
      <c r="AO45" s="421"/>
      <c r="AP45" s="421"/>
      <c r="AQ45" s="415"/>
      <c r="AR45" s="415"/>
      <c r="AS45" s="421"/>
      <c r="AT45" s="415"/>
      <c r="AU45" s="415"/>
      <c r="AV45" s="415"/>
      <c r="AW45" s="415"/>
      <c r="AX45" s="415"/>
      <c r="AY45" s="421"/>
      <c r="AZ45" s="415"/>
      <c r="BA45" s="415"/>
      <c r="BB45" s="415"/>
      <c r="BC45" s="415"/>
      <c r="BD45" s="415"/>
      <c r="BE45" s="416"/>
      <c r="BF45" s="419"/>
    </row>
    <row r="46" spans="2:61" ht="15.75" customHeight="1" outlineLevel="1">
      <c r="B46" s="413"/>
      <c r="C46" s="413">
        <v>3</v>
      </c>
      <c r="D46" s="424" t="s">
        <v>31</v>
      </c>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00"/>
      <c r="AG46" s="421"/>
      <c r="AH46" s="421"/>
      <c r="AI46" s="421"/>
      <c r="AJ46" s="421"/>
      <c r="AK46" s="415"/>
      <c r="AL46" s="415"/>
      <c r="AM46" s="421"/>
      <c r="AN46" s="421"/>
      <c r="AO46" s="421"/>
      <c r="AP46" s="421"/>
      <c r="AQ46" s="415"/>
      <c r="AR46" s="415"/>
      <c r="AS46" s="421"/>
      <c r="AT46" s="415"/>
      <c r="AU46" s="415"/>
      <c r="AV46" s="415"/>
      <c r="AW46" s="415"/>
      <c r="AX46" s="415"/>
      <c r="AY46" s="421"/>
      <c r="AZ46" s="415"/>
      <c r="BA46" s="415"/>
      <c r="BB46" s="415"/>
      <c r="BC46" s="415"/>
      <c r="BD46" s="415"/>
      <c r="BE46" s="416"/>
      <c r="BF46" s="419"/>
    </row>
    <row r="47" spans="2:61" s="403" customFormat="1" ht="15.75" customHeight="1">
      <c r="B47" s="425"/>
      <c r="C47" s="425"/>
      <c r="D47" s="426" t="s">
        <v>32</v>
      </c>
      <c r="E47" s="429"/>
      <c r="F47" s="429"/>
      <c r="G47" s="429"/>
      <c r="H47" s="429"/>
      <c r="I47" s="429"/>
      <c r="J47" s="429"/>
      <c r="K47" s="429"/>
      <c r="L47" s="429"/>
      <c r="M47" s="429"/>
      <c r="N47" s="429"/>
      <c r="O47" s="429"/>
      <c r="P47" s="429"/>
      <c r="Q47" s="429"/>
      <c r="R47" s="429"/>
      <c r="S47" s="429"/>
      <c r="T47" s="429"/>
      <c r="U47" s="429"/>
      <c r="V47" s="429"/>
      <c r="W47" s="429"/>
      <c r="X47" s="429"/>
      <c r="Y47" s="429"/>
      <c r="Z47" s="429"/>
      <c r="AA47" s="429"/>
      <c r="AB47" s="429"/>
      <c r="AC47" s="429"/>
      <c r="AD47" s="429"/>
      <c r="AE47" s="429"/>
      <c r="AF47" s="428"/>
      <c r="AG47" s="432"/>
      <c r="AH47" s="432"/>
      <c r="AI47" s="432"/>
      <c r="AJ47" s="432"/>
      <c r="AK47" s="432"/>
      <c r="AL47" s="432"/>
      <c r="AM47" s="432"/>
      <c r="AN47" s="432"/>
      <c r="AO47" s="432"/>
      <c r="AP47" s="432"/>
      <c r="AQ47" s="432"/>
      <c r="AR47" s="432"/>
      <c r="AS47" s="432"/>
      <c r="AT47" s="432"/>
      <c r="AU47" s="432"/>
      <c r="AV47" s="432"/>
      <c r="AW47" s="432"/>
      <c r="AX47" s="432"/>
      <c r="AY47" s="432"/>
      <c r="AZ47" s="432"/>
      <c r="BA47" s="432"/>
      <c r="BB47" s="432"/>
      <c r="BC47" s="432"/>
      <c r="BD47" s="432"/>
      <c r="BE47" s="433"/>
      <c r="BF47" s="430"/>
      <c r="BG47" s="434"/>
      <c r="BH47" s="434"/>
      <c r="BI47" s="434"/>
    </row>
    <row r="48" spans="2:61" s="403" customFormat="1" ht="24.75" customHeight="1">
      <c r="B48" s="435"/>
      <c r="C48" s="377"/>
      <c r="D48" s="436"/>
      <c r="E48" s="437"/>
      <c r="F48" s="437"/>
      <c r="G48" s="437"/>
      <c r="H48" s="437"/>
      <c r="I48" s="437"/>
      <c r="J48" s="437"/>
      <c r="K48" s="437"/>
      <c r="L48" s="437"/>
      <c r="M48" s="437"/>
      <c r="N48" s="437"/>
      <c r="O48" s="437"/>
      <c r="P48" s="437"/>
      <c r="Q48" s="437"/>
      <c r="R48" s="437"/>
      <c r="S48" s="437"/>
      <c r="T48" s="437"/>
      <c r="U48" s="437"/>
      <c r="V48" s="437"/>
      <c r="W48" s="437"/>
      <c r="X48" s="437"/>
      <c r="Y48" s="437"/>
      <c r="Z48" s="437" t="e">
        <f>Z13+Z18+Z25+Z30</f>
        <v>#VALUE!</v>
      </c>
      <c r="AA48" s="437"/>
      <c r="AB48" s="437"/>
      <c r="AC48" s="437"/>
      <c r="AD48" s="438"/>
      <c r="AE48" s="438"/>
      <c r="AF48" s="439"/>
      <c r="AG48" s="437"/>
      <c r="AH48" s="437"/>
      <c r="AI48" s="437"/>
      <c r="AJ48" s="437"/>
      <c r="AK48" s="437"/>
      <c r="AL48" s="437"/>
      <c r="AM48" s="437"/>
      <c r="AN48" s="437"/>
      <c r="AO48" s="437"/>
      <c r="AP48" s="437"/>
      <c r="AQ48" s="437"/>
      <c r="AR48" s="437"/>
      <c r="AS48" s="437"/>
      <c r="AT48" s="437"/>
      <c r="AU48" s="437"/>
      <c r="AV48" s="437"/>
      <c r="AW48" s="440"/>
      <c r="AX48" s="440"/>
      <c r="AY48" s="437"/>
      <c r="AZ48" s="437"/>
      <c r="BA48" s="437"/>
      <c r="BB48" s="440"/>
      <c r="BC48" s="440"/>
      <c r="BD48" s="440"/>
      <c r="BE48" s="441"/>
      <c r="BF48" s="383"/>
      <c r="BG48" s="383"/>
      <c r="BH48" s="434"/>
      <c r="BI48" s="434"/>
    </row>
    <row r="49" spans="3:60" ht="14.25" customHeight="1">
      <c r="D49" s="436"/>
      <c r="E49" s="437"/>
      <c r="F49" s="437"/>
      <c r="G49" s="437"/>
      <c r="H49" s="437"/>
      <c r="I49" s="437"/>
      <c r="J49" s="437"/>
      <c r="K49" s="437"/>
      <c r="L49" s="437"/>
      <c r="M49" s="437"/>
      <c r="N49" s="437"/>
      <c r="O49" s="437"/>
      <c r="P49" s="437"/>
      <c r="Q49" s="437"/>
      <c r="R49" s="437"/>
      <c r="S49" s="437"/>
      <c r="T49" s="437"/>
      <c r="U49" s="437"/>
      <c r="V49" s="437"/>
      <c r="W49" s="437"/>
      <c r="X49" s="437"/>
      <c r="Y49" s="437"/>
      <c r="Z49" s="437"/>
      <c r="AA49" s="437"/>
      <c r="AB49" s="437"/>
      <c r="AC49" s="437"/>
      <c r="AD49" s="438"/>
      <c r="AE49" s="438"/>
      <c r="AF49" s="439"/>
      <c r="AG49" s="437"/>
      <c r="AH49" s="437"/>
      <c r="AI49" s="437"/>
      <c r="AJ49" s="437"/>
      <c r="AK49" s="437"/>
      <c r="AL49" s="437"/>
      <c r="AM49" s="437"/>
      <c r="AN49" s="437"/>
      <c r="AO49" s="437"/>
      <c r="AP49" s="437"/>
      <c r="AQ49" s="437"/>
      <c r="AR49" s="437"/>
      <c r="AS49" s="437"/>
      <c r="AT49" s="437"/>
      <c r="AU49" s="437"/>
      <c r="AV49" s="437"/>
      <c r="AW49" s="439"/>
      <c r="AX49" s="439"/>
      <c r="AY49" s="437"/>
      <c r="AZ49" s="437"/>
      <c r="BA49" s="437"/>
      <c r="BB49" s="439"/>
      <c r="BC49" s="439"/>
      <c r="BD49" s="439"/>
      <c r="BE49" s="442"/>
      <c r="BF49" s="443"/>
      <c r="BG49" s="443"/>
      <c r="BH49" s="443"/>
    </row>
    <row r="50" spans="3:60">
      <c r="E50" s="444"/>
      <c r="F50" s="444"/>
      <c r="G50" s="444"/>
      <c r="H50" s="444"/>
      <c r="I50" s="444"/>
      <c r="J50" s="444"/>
      <c r="K50" s="444"/>
      <c r="L50" s="444"/>
      <c r="M50" s="444"/>
      <c r="N50" s="444"/>
      <c r="O50" s="444"/>
      <c r="P50" s="444"/>
      <c r="Q50" s="444"/>
      <c r="R50" s="444"/>
      <c r="S50" s="444"/>
      <c r="T50" s="444"/>
      <c r="U50" s="444"/>
      <c r="V50" s="444"/>
      <c r="W50" s="444"/>
      <c r="X50" s="444"/>
      <c r="Y50" s="444"/>
      <c r="Z50" s="444"/>
      <c r="AA50" s="444"/>
      <c r="AB50" s="444"/>
      <c r="AC50" s="444"/>
      <c r="AD50" s="445"/>
      <c r="AE50" s="437"/>
      <c r="AW50" s="439"/>
      <c r="AX50" s="439"/>
      <c r="BB50" s="439"/>
      <c r="BC50" s="439"/>
      <c r="BD50" s="439"/>
      <c r="BE50" s="442"/>
      <c r="BF50" s="446"/>
      <c r="BG50" s="443"/>
      <c r="BH50" s="443"/>
    </row>
    <row r="51" spans="3:60">
      <c r="C51" s="2517" t="s">
        <v>1015</v>
      </c>
      <c r="D51" s="447" t="s">
        <v>1016</v>
      </c>
      <c r="E51" s="448"/>
      <c r="F51" s="448" t="e">
        <f>F42-F10</f>
        <v>#VALUE!</v>
      </c>
      <c r="G51" s="448"/>
      <c r="H51" s="448"/>
      <c r="I51" s="448"/>
      <c r="J51" s="448"/>
      <c r="K51" s="448"/>
      <c r="L51" s="448" t="e">
        <f>L42-L10</f>
        <v>#VALUE!</v>
      </c>
      <c r="M51" s="448"/>
      <c r="N51" s="448"/>
      <c r="O51" s="448"/>
      <c r="P51" s="448"/>
      <c r="Q51" s="448"/>
      <c r="R51" s="448"/>
      <c r="S51" s="448"/>
      <c r="T51" s="448"/>
      <c r="U51" s="448"/>
      <c r="V51" s="448"/>
      <c r="W51" s="448"/>
      <c r="X51" s="448"/>
      <c r="Y51" s="448"/>
      <c r="Z51" s="448"/>
      <c r="AA51" s="448" t="e">
        <f>AA42-AB10</f>
        <v>#VALUE!</v>
      </c>
      <c r="AB51" s="448"/>
      <c r="AC51" s="448"/>
      <c r="AD51" s="448" t="e">
        <f>AD42-AD10</f>
        <v>#VALUE!</v>
      </c>
      <c r="AE51" s="379"/>
      <c r="AF51" s="449"/>
      <c r="AW51" s="439"/>
      <c r="AX51" s="439"/>
      <c r="BB51" s="439"/>
      <c r="BC51" s="439"/>
      <c r="BD51" s="439"/>
      <c r="BE51" s="450"/>
      <c r="BF51" s="451"/>
      <c r="BG51" s="452"/>
      <c r="BH51" s="452"/>
    </row>
    <row r="52" spans="3:60">
      <c r="C52" s="2518"/>
      <c r="D52" s="453" t="s">
        <v>1017</v>
      </c>
      <c r="E52" s="454"/>
      <c r="F52" s="454" t="e">
        <f>F42-F10-F41</f>
        <v>#VALUE!</v>
      </c>
      <c r="G52" s="454"/>
      <c r="H52" s="454"/>
      <c r="I52" s="454"/>
      <c r="J52" s="454"/>
      <c r="K52" s="454"/>
      <c r="L52" s="454" t="e">
        <f>L42-L10-L41</f>
        <v>#VALUE!</v>
      </c>
      <c r="M52" s="454"/>
      <c r="N52" s="454"/>
      <c r="O52" s="454"/>
      <c r="P52" s="454"/>
      <c r="Q52" s="454"/>
      <c r="R52" s="454"/>
      <c r="S52" s="454"/>
      <c r="T52" s="454"/>
      <c r="U52" s="454"/>
      <c r="V52" s="454"/>
      <c r="W52" s="454"/>
      <c r="X52" s="454"/>
      <c r="Y52" s="454"/>
      <c r="Z52" s="454"/>
      <c r="AA52" s="454" t="e">
        <f>AA42-AB10-AA41</f>
        <v>#VALUE!</v>
      </c>
      <c r="AB52" s="454"/>
      <c r="AC52" s="454"/>
      <c r="AD52" s="454" t="e">
        <f>AD42-AD10-AD41</f>
        <v>#VALUE!</v>
      </c>
      <c r="AE52" s="379"/>
      <c r="AF52" s="449"/>
      <c r="AW52" s="439"/>
      <c r="AX52" s="439"/>
      <c r="BB52" s="439" t="s">
        <v>1018</v>
      </c>
      <c r="BC52" s="439">
        <f>BB42</f>
        <v>0</v>
      </c>
      <c r="BD52" s="439"/>
      <c r="BE52" s="455"/>
      <c r="BF52" s="456"/>
      <c r="BG52" s="457"/>
      <c r="BH52" s="458"/>
    </row>
    <row r="53" spans="3:60">
      <c r="C53" s="2519"/>
      <c r="D53" s="453" t="s">
        <v>788</v>
      </c>
      <c r="E53" s="459"/>
      <c r="F53" s="459" t="e">
        <f>F52-F24</f>
        <v>#VALUE!</v>
      </c>
      <c r="G53" s="459"/>
      <c r="H53" s="459"/>
      <c r="I53" s="459"/>
      <c r="J53" s="459"/>
      <c r="K53" s="459"/>
      <c r="L53" s="459" t="e">
        <f>L52-L24</f>
        <v>#VALUE!</v>
      </c>
      <c r="M53" s="459"/>
      <c r="N53" s="459"/>
      <c r="O53" s="459"/>
      <c r="P53" s="459"/>
      <c r="Q53" s="459"/>
      <c r="R53" s="459"/>
      <c r="S53" s="459"/>
      <c r="T53" s="459"/>
      <c r="U53" s="459"/>
      <c r="V53" s="459"/>
      <c r="W53" s="459"/>
      <c r="X53" s="459"/>
      <c r="Y53" s="459"/>
      <c r="Z53" s="459"/>
      <c r="AA53" s="459" t="e">
        <f>AA52-AA24</f>
        <v>#VALUE!</v>
      </c>
      <c r="AB53" s="459"/>
      <c r="AC53" s="459"/>
      <c r="AD53" s="459" t="e">
        <f>AD52-AD24</f>
        <v>#VALUE!</v>
      </c>
      <c r="AE53" s="379"/>
      <c r="AF53" s="449"/>
      <c r="AW53" s="439"/>
      <c r="AX53" s="439"/>
      <c r="BB53" s="439" t="s">
        <v>20</v>
      </c>
      <c r="BC53" s="439">
        <f>'2-规划指标'!I43</f>
        <v>0</v>
      </c>
      <c r="BD53" s="439">
        <f>'2-规划指标'!H43</f>
        <v>0</v>
      </c>
      <c r="BE53" s="455"/>
      <c r="BF53" s="460"/>
      <c r="BG53" s="460"/>
      <c r="BH53" s="461"/>
    </row>
    <row r="54" spans="3:60">
      <c r="C54" s="2519"/>
      <c r="D54" s="462" t="s">
        <v>789</v>
      </c>
      <c r="E54" s="454"/>
      <c r="F54" s="454"/>
      <c r="G54" s="454"/>
      <c r="H54" s="454"/>
      <c r="I54" s="454"/>
      <c r="J54" s="454"/>
      <c r="K54" s="454"/>
      <c r="L54" s="454"/>
      <c r="M54" s="454"/>
      <c r="N54" s="454"/>
      <c r="O54" s="454"/>
      <c r="P54" s="454"/>
      <c r="Q54" s="454"/>
      <c r="R54" s="454"/>
      <c r="S54" s="454"/>
      <c r="T54" s="454"/>
      <c r="U54" s="454"/>
      <c r="V54" s="454"/>
      <c r="W54" s="454"/>
      <c r="X54" s="454"/>
      <c r="Y54" s="454"/>
      <c r="Z54" s="454"/>
      <c r="AA54" s="454"/>
      <c r="AB54" s="454"/>
      <c r="AC54" s="454"/>
      <c r="AD54" s="454"/>
      <c r="AE54" s="379"/>
      <c r="AF54" s="449"/>
      <c r="AW54" s="439"/>
      <c r="AX54" s="439"/>
      <c r="BB54" s="439"/>
      <c r="BC54" s="463" t="e">
        <f>BC52/BC53</f>
        <v>#DIV/0!</v>
      </c>
      <c r="BD54" s="463" t="e">
        <f>BC52/BD53</f>
        <v>#DIV/0!</v>
      </c>
      <c r="BE54" s="464"/>
      <c r="BF54" s="465"/>
      <c r="BG54" s="465"/>
      <c r="BH54" s="466"/>
    </row>
    <row r="55" spans="3:60">
      <c r="C55" s="2520"/>
      <c r="D55" s="467" t="s">
        <v>790</v>
      </c>
      <c r="E55" s="468"/>
      <c r="F55" s="468"/>
      <c r="G55" s="468"/>
      <c r="H55" s="468"/>
      <c r="I55" s="468"/>
      <c r="J55" s="468"/>
      <c r="K55" s="468"/>
      <c r="L55" s="468"/>
      <c r="M55" s="468"/>
      <c r="N55" s="468"/>
      <c r="O55" s="468"/>
      <c r="P55" s="468"/>
      <c r="Q55" s="468"/>
      <c r="R55" s="468"/>
      <c r="S55" s="468"/>
      <c r="T55" s="468"/>
      <c r="U55" s="468"/>
      <c r="V55" s="468"/>
      <c r="W55" s="468"/>
      <c r="X55" s="468"/>
      <c r="Y55" s="468"/>
      <c r="Z55" s="468"/>
      <c r="AA55" s="468"/>
      <c r="AB55" s="468"/>
      <c r="AC55" s="468"/>
      <c r="AD55" s="468"/>
      <c r="AE55" s="379"/>
      <c r="AF55" s="449"/>
      <c r="AW55" s="439"/>
      <c r="AX55" s="439"/>
      <c r="BB55" s="439"/>
      <c r="BC55" s="439"/>
      <c r="BD55" s="439"/>
      <c r="BE55" s="469"/>
      <c r="BF55" s="460"/>
      <c r="BG55" s="460"/>
      <c r="BH55" s="461"/>
    </row>
    <row r="56" spans="3:60">
      <c r="C56" s="470"/>
      <c r="AW56" s="439"/>
      <c r="AX56" s="439"/>
      <c r="BB56" s="439"/>
      <c r="BC56" s="439"/>
      <c r="BD56" s="439"/>
      <c r="BE56" s="471"/>
      <c r="BF56" s="471"/>
      <c r="BG56" s="471"/>
      <c r="BH56" s="443"/>
    </row>
    <row r="57" spans="3:60" ht="23.5" customHeight="1">
      <c r="C57" s="470"/>
      <c r="AW57" s="439"/>
      <c r="AX57" s="439"/>
      <c r="BB57" s="439"/>
      <c r="BC57" s="439"/>
      <c r="BD57" s="439"/>
      <c r="BE57" s="450"/>
      <c r="BF57" s="452"/>
      <c r="BG57" s="452"/>
      <c r="BH57" s="443"/>
    </row>
    <row r="58" spans="3:60" ht="25.5" customHeight="1">
      <c r="C58" s="470"/>
      <c r="AW58" s="439"/>
      <c r="AX58" s="439"/>
      <c r="BB58" s="439"/>
      <c r="BC58" s="439"/>
      <c r="BD58" s="439"/>
      <c r="BE58" s="472"/>
      <c r="BF58" s="457"/>
      <c r="BG58" s="457"/>
      <c r="BH58" s="443"/>
    </row>
    <row r="59" spans="3:60" ht="25.5" customHeight="1">
      <c r="C59" s="470"/>
      <c r="AW59" s="439"/>
      <c r="AX59" s="439"/>
      <c r="BB59" s="439"/>
      <c r="BC59" s="439"/>
      <c r="BD59" s="439"/>
      <c r="BE59" s="472"/>
      <c r="BF59" s="457"/>
      <c r="BG59" s="457"/>
      <c r="BH59" s="443"/>
    </row>
    <row r="60" spans="3:60" ht="25.5" customHeight="1">
      <c r="C60" s="470"/>
      <c r="AW60" s="439"/>
      <c r="AX60" s="439"/>
      <c r="BB60" s="439"/>
      <c r="BC60" s="439"/>
      <c r="BD60" s="439"/>
      <c r="BE60" s="472"/>
      <c r="BF60" s="457"/>
      <c r="BG60" s="457"/>
      <c r="BH60" s="443"/>
    </row>
    <row r="61" spans="3:60" ht="25.5" customHeight="1">
      <c r="C61" s="470"/>
      <c r="AW61" s="439"/>
      <c r="AX61" s="439"/>
      <c r="BB61" s="439"/>
      <c r="BC61" s="439"/>
      <c r="BD61" s="439"/>
      <c r="BE61" s="473"/>
      <c r="BF61" s="457"/>
      <c r="BG61" s="457"/>
      <c r="BH61" s="443"/>
    </row>
    <row r="62" spans="3:60">
      <c r="C62" s="470"/>
      <c r="AW62" s="439"/>
      <c r="AX62" s="439"/>
      <c r="BB62" s="439"/>
      <c r="BC62" s="439"/>
      <c r="BD62" s="439"/>
      <c r="BE62" s="471"/>
      <c r="BF62" s="471"/>
      <c r="BG62" s="471"/>
      <c r="BH62" s="443"/>
    </row>
    <row r="63" spans="3:60" ht="27.75" customHeight="1">
      <c r="C63" s="470"/>
      <c r="AW63" s="439"/>
      <c r="AX63" s="439"/>
      <c r="BB63" s="439"/>
      <c r="BC63" s="439"/>
      <c r="BD63" s="439"/>
      <c r="BE63" s="450"/>
      <c r="BF63" s="452"/>
      <c r="BG63" s="452"/>
      <c r="BH63" s="443"/>
    </row>
    <row r="64" spans="3:60" ht="21" customHeight="1">
      <c r="C64" s="470"/>
      <c r="AW64" s="439"/>
      <c r="AX64" s="439"/>
      <c r="BB64" s="439"/>
      <c r="BC64" s="439"/>
      <c r="BD64" s="439"/>
      <c r="BE64" s="472"/>
      <c r="BF64" s="457"/>
      <c r="BG64" s="457"/>
      <c r="BH64" s="443"/>
    </row>
    <row r="65" spans="3:60" ht="21" customHeight="1">
      <c r="C65" s="470"/>
      <c r="AW65" s="439"/>
      <c r="AX65" s="439"/>
      <c r="BB65" s="439"/>
      <c r="BC65" s="439"/>
      <c r="BD65" s="439"/>
      <c r="BE65" s="472"/>
      <c r="BF65" s="457"/>
      <c r="BG65" s="457"/>
      <c r="BH65" s="443"/>
    </row>
    <row r="66" spans="3:60" ht="21" customHeight="1">
      <c r="C66" s="470"/>
      <c r="AW66" s="439"/>
      <c r="AX66" s="439"/>
      <c r="BB66" s="439"/>
      <c r="BC66" s="439"/>
      <c r="BD66" s="439"/>
      <c r="BE66" s="472"/>
      <c r="BF66" s="457"/>
      <c r="BG66" s="457"/>
      <c r="BH66" s="443"/>
    </row>
    <row r="67" spans="3:60" ht="21" customHeight="1">
      <c r="C67" s="470"/>
      <c r="AW67" s="439"/>
      <c r="AX67" s="439"/>
      <c r="BB67" s="439"/>
      <c r="BC67" s="439"/>
      <c r="BD67" s="439"/>
      <c r="BE67" s="473"/>
      <c r="BF67" s="474"/>
      <c r="BG67" s="474"/>
      <c r="BH67" s="443"/>
    </row>
    <row r="68" spans="3:60">
      <c r="C68" s="470"/>
      <c r="AW68" s="439"/>
      <c r="AX68" s="439"/>
      <c r="BB68" s="439"/>
      <c r="BC68" s="439"/>
      <c r="BD68" s="439"/>
      <c r="BE68" s="442"/>
      <c r="BF68" s="443"/>
      <c r="BG68" s="443"/>
      <c r="BH68" s="443"/>
    </row>
    <row r="69" spans="3:60" ht="27.25" customHeight="1">
      <c r="C69" s="470"/>
      <c r="AW69" s="439"/>
      <c r="AX69" s="439"/>
      <c r="BB69" s="439"/>
      <c r="BC69" s="439"/>
      <c r="BD69" s="439"/>
      <c r="BE69" s="442"/>
      <c r="BF69" s="443"/>
      <c r="BG69" s="443"/>
      <c r="BH69" s="443"/>
    </row>
    <row r="70" spans="3:60">
      <c r="C70" s="470"/>
    </row>
    <row r="71" spans="3:60">
      <c r="C71" s="470"/>
    </row>
    <row r="72" spans="3:60">
      <c r="C72" s="470"/>
    </row>
    <row r="73" spans="3:60">
      <c r="C73" s="470"/>
    </row>
  </sheetData>
  <mergeCells count="25">
    <mergeCell ref="C51:C55"/>
    <mergeCell ref="C3:C4"/>
    <mergeCell ref="C1:D1"/>
    <mergeCell ref="BB4:BD4"/>
    <mergeCell ref="AG3:BE3"/>
    <mergeCell ref="H4:J4"/>
    <mergeCell ref="BF3:BF4"/>
    <mergeCell ref="N4:P4"/>
    <mergeCell ref="AJ4:AL4"/>
    <mergeCell ref="AV4:AX4"/>
    <mergeCell ref="K4:M4"/>
    <mergeCell ref="Q4:S4"/>
    <mergeCell ref="AG4:AI4"/>
    <mergeCell ref="T4:V4"/>
    <mergeCell ref="AM4:AO4"/>
    <mergeCell ref="AY4:BA4"/>
    <mergeCell ref="B3:B4"/>
    <mergeCell ref="AS4:AU4"/>
    <mergeCell ref="E4:G4"/>
    <mergeCell ref="AP4:AR4"/>
    <mergeCell ref="AC4:AE4"/>
    <mergeCell ref="Z4:AB4"/>
    <mergeCell ref="W4:Y4"/>
    <mergeCell ref="E3:AE3"/>
    <mergeCell ref="D3:D4"/>
  </mergeCells>
  <phoneticPr fontId="19" type="noConversion"/>
  <printOptions horizontalCentered="1"/>
  <pageMargins left="0" right="0" top="0.6692913385826772" bottom="0.98425196850393704" header="0.11811023622047245" footer="0.11811023622047245"/>
  <pageSetup paperSize="9" scale="93" orientation="landscape"/>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5"/>
  <sheetViews>
    <sheetView showGridLines="0" topLeftCell="A18" workbookViewId="0">
      <selection activeCell="F35" sqref="F35"/>
    </sheetView>
  </sheetViews>
  <sheetFormatPr defaultColWidth="9" defaultRowHeight="15.5"/>
  <cols>
    <col min="1" max="1" width="1.5" style="475" customWidth="1"/>
    <col min="2" max="2" width="6.58203125" style="475" customWidth="1"/>
    <col min="3" max="3" width="5.1640625" style="322" customWidth="1"/>
    <col min="4" max="4" width="35.6640625" style="322" customWidth="1"/>
    <col min="5" max="5" width="14.33203125" style="322" customWidth="1"/>
    <col min="6" max="6" width="10.5" style="322" customWidth="1"/>
    <col min="7" max="7" width="9" style="322" customWidth="1"/>
    <col min="8" max="8" width="8" style="322" customWidth="1"/>
    <col min="9" max="9" width="9.33203125" style="322" customWidth="1"/>
    <col min="10" max="11" width="8.5" style="322" customWidth="1"/>
    <col min="12" max="12" width="9.08203125" style="322" customWidth="1"/>
    <col min="13" max="13" width="11.33203125" style="322" customWidth="1"/>
    <col min="14" max="14" width="8.58203125" style="322" customWidth="1"/>
    <col min="15" max="15" width="13.6640625" style="322" customWidth="1"/>
    <col min="16" max="17" width="11.58203125" style="322" customWidth="1"/>
    <col min="18" max="18" width="10.58203125" style="322" customWidth="1"/>
    <col min="19" max="256" width="9" style="322" customWidth="1"/>
  </cols>
  <sheetData>
    <row r="1" spans="1:19" ht="19.5" customHeight="1">
      <c r="C1" s="2526" t="s">
        <v>791</v>
      </c>
      <c r="D1" s="2526"/>
      <c r="E1" s="2526"/>
      <c r="F1" s="2526"/>
      <c r="G1" s="2526"/>
      <c r="H1" s="2526"/>
      <c r="I1" s="2526"/>
      <c r="J1" s="2526"/>
      <c r="K1" s="2526"/>
      <c r="L1" s="2526"/>
      <c r="M1" s="2526"/>
      <c r="N1" s="2526"/>
      <c r="O1" s="2526"/>
      <c r="P1" s="2526"/>
      <c r="Q1" s="2526"/>
      <c r="R1" s="2526"/>
    </row>
    <row r="2" spans="1:19" ht="30" customHeight="1">
      <c r="C2" s="890" t="s">
        <v>25</v>
      </c>
      <c r="D2" s="891" t="s">
        <v>23</v>
      </c>
      <c r="E2" s="892" t="s">
        <v>792</v>
      </c>
      <c r="F2" s="893" t="s">
        <v>47</v>
      </c>
      <c r="G2" s="894" t="s">
        <v>14</v>
      </c>
      <c r="H2" s="895" t="s">
        <v>793</v>
      </c>
      <c r="I2" s="896" t="s">
        <v>794</v>
      </c>
      <c r="J2" s="897" t="s">
        <v>15</v>
      </c>
      <c r="K2" s="897" t="s">
        <v>974</v>
      </c>
      <c r="L2" s="897" t="s">
        <v>515</v>
      </c>
      <c r="M2" s="895" t="s">
        <v>975</v>
      </c>
      <c r="N2" s="898" t="s">
        <v>1019</v>
      </c>
      <c r="O2" s="898" t="s">
        <v>1020</v>
      </c>
      <c r="P2" s="893" t="s">
        <v>48</v>
      </c>
    </row>
    <row r="3" spans="1:19">
      <c r="C3" s="899" t="s">
        <v>378</v>
      </c>
      <c r="D3" s="900" t="s">
        <v>475</v>
      </c>
      <c r="E3" s="901"/>
      <c r="F3" s="902"/>
      <c r="G3" s="903"/>
      <c r="H3" s="483"/>
      <c r="I3" s="484"/>
      <c r="J3" s="485"/>
      <c r="K3" s="485"/>
      <c r="L3" s="485"/>
      <c r="M3" s="486"/>
      <c r="N3" s="904"/>
      <c r="O3" s="904"/>
      <c r="P3" s="905"/>
    </row>
    <row r="4" spans="1:19">
      <c r="C4" s="906">
        <v>1</v>
      </c>
      <c r="D4" s="907" t="s">
        <v>795</v>
      </c>
      <c r="E4" s="908"/>
      <c r="F4" s="909"/>
      <c r="G4" s="491"/>
      <c r="H4" s="491"/>
      <c r="I4" s="492"/>
      <c r="J4" s="493"/>
      <c r="K4" s="493"/>
      <c r="L4" s="493"/>
      <c r="M4" s="494">
        <f>M5+M6+M7+M8+M9+M13</f>
        <v>0</v>
      </c>
      <c r="N4" s="494">
        <f>N5+N6+N7+N8+N9+N13</f>
        <v>0</v>
      </c>
      <c r="O4" s="494">
        <f>O5+O6+O7+O8+O9+O13</f>
        <v>0</v>
      </c>
      <c r="P4" s="910"/>
    </row>
    <row r="5" spans="1:19">
      <c r="C5" s="911" t="s">
        <v>570</v>
      </c>
      <c r="D5" s="496" t="s">
        <v>76</v>
      </c>
      <c r="E5" s="497" t="s">
        <v>1915</v>
      </c>
      <c r="F5" s="498"/>
      <c r="G5" s="497"/>
      <c r="H5" s="495" t="s">
        <v>111</v>
      </c>
      <c r="I5" s="499">
        <f>'2-规划指标'!D4-'2-规划指标'!H30</f>
        <v>0</v>
      </c>
      <c r="J5" s="499">
        <v>2244.291578369508</v>
      </c>
      <c r="K5" s="499">
        <f>J5/(1+L5)</f>
        <v>2021.8843048373944</v>
      </c>
      <c r="L5" s="500">
        <v>0.11</v>
      </c>
      <c r="M5" s="501">
        <f>I5*K5/10000</f>
        <v>0</v>
      </c>
      <c r="N5" s="912">
        <f>L5*M5</f>
        <v>0</v>
      </c>
      <c r="O5" s="912">
        <f>M5+N5</f>
        <v>0</v>
      </c>
      <c r="P5" s="913"/>
      <c r="R5" s="322">
        <f>I5/666.7</f>
        <v>0</v>
      </c>
      <c r="S5" s="322" t="s">
        <v>1021</v>
      </c>
    </row>
    <row r="6" spans="1:19" s="502" customFormat="1" ht="12">
      <c r="A6" s="503"/>
      <c r="B6" s="503"/>
      <c r="C6" s="911" t="s">
        <v>517</v>
      </c>
      <c r="D6" s="496" t="s">
        <v>1022</v>
      </c>
      <c r="E6" s="497" t="s">
        <v>1916</v>
      </c>
      <c r="F6" s="498"/>
      <c r="G6" s="497"/>
      <c r="H6" s="495" t="s">
        <v>111</v>
      </c>
      <c r="I6" s="499">
        <f>I5</f>
        <v>0</v>
      </c>
      <c r="J6" s="499">
        <v>741.15</v>
      </c>
      <c r="K6" s="499">
        <f>J6</f>
        <v>741.15</v>
      </c>
      <c r="L6" s="500">
        <v>0</v>
      </c>
      <c r="M6" s="501">
        <f>J6*I6/10000-M7</f>
        <v>0</v>
      </c>
      <c r="N6" s="912">
        <f>L6*M6</f>
        <v>0</v>
      </c>
      <c r="O6" s="912">
        <f>M6+N6</f>
        <v>0</v>
      </c>
      <c r="P6" s="913"/>
      <c r="R6" s="502" t="e">
        <f>O5/R5</f>
        <v>#DIV/0!</v>
      </c>
      <c r="S6" s="502" t="s">
        <v>1023</v>
      </c>
    </row>
    <row r="7" spans="1:19">
      <c r="C7" s="911" t="s">
        <v>544</v>
      </c>
      <c r="D7" s="504" t="s">
        <v>1024</v>
      </c>
      <c r="E7" s="497" t="s">
        <v>784</v>
      </c>
      <c r="F7" s="498"/>
      <c r="G7" s="505">
        <v>0.04</v>
      </c>
      <c r="H7" s="501"/>
      <c r="I7" s="499">
        <f>O5</f>
        <v>0</v>
      </c>
      <c r="J7" s="499"/>
      <c r="K7" s="499"/>
      <c r="L7" s="500">
        <v>0</v>
      </c>
      <c r="M7" s="501">
        <f>G7*I7</f>
        <v>0</v>
      </c>
      <c r="N7" s="912">
        <f>L7*M7</f>
        <v>0</v>
      </c>
      <c r="O7" s="912">
        <f>M7+N7</f>
        <v>0</v>
      </c>
      <c r="P7" s="913"/>
    </row>
    <row r="8" spans="1:19">
      <c r="C8" s="911" t="s">
        <v>545</v>
      </c>
      <c r="D8" s="506" t="s">
        <v>785</v>
      </c>
      <c r="E8" s="497" t="s">
        <v>785</v>
      </c>
      <c r="F8" s="507"/>
      <c r="G8" s="914">
        <v>1</v>
      </c>
      <c r="H8" s="495" t="s">
        <v>111</v>
      </c>
      <c r="I8" s="914">
        <f>'2-规划指标'!D2</f>
        <v>0</v>
      </c>
      <c r="J8" s="915">
        <v>48</v>
      </c>
      <c r="K8" s="499">
        <f>J8/(1+L8)</f>
        <v>48</v>
      </c>
      <c r="L8" s="500">
        <v>0</v>
      </c>
      <c r="M8" s="508">
        <f>G8*I8*J8/10000</f>
        <v>0</v>
      </c>
      <c r="N8" s="912">
        <f>L8*M8</f>
        <v>0</v>
      </c>
      <c r="O8" s="912">
        <f>M8+N8</f>
        <v>0</v>
      </c>
      <c r="P8" s="916"/>
    </row>
    <row r="9" spans="1:19">
      <c r="C9" s="911" t="s">
        <v>625</v>
      </c>
      <c r="D9" s="506" t="s">
        <v>518</v>
      </c>
      <c r="E9" s="497"/>
      <c r="F9" s="507"/>
      <c r="G9" s="914"/>
      <c r="H9" s="917"/>
      <c r="I9" s="914"/>
      <c r="J9" s="915"/>
      <c r="K9" s="915"/>
      <c r="L9" s="500"/>
      <c r="M9" s="508">
        <f>SUM(M10:M12)</f>
        <v>0</v>
      </c>
      <c r="N9" s="918"/>
      <c r="O9" s="918"/>
      <c r="P9" s="916"/>
    </row>
    <row r="10" spans="1:19" ht="11" customHeight="1">
      <c r="C10" s="509" t="s">
        <v>516</v>
      </c>
      <c r="D10" s="510" t="s">
        <v>1025</v>
      </c>
      <c r="E10" s="511"/>
      <c r="F10" s="512"/>
      <c r="G10" s="919">
        <v>1</v>
      </c>
      <c r="H10" s="920" t="s">
        <v>111</v>
      </c>
      <c r="I10" s="919"/>
      <c r="J10" s="921"/>
      <c r="K10" s="921"/>
      <c r="L10" s="921"/>
      <c r="M10" s="922">
        <f>G10*I10*J10/10000</f>
        <v>0</v>
      </c>
      <c r="N10" s="923"/>
      <c r="O10" s="923"/>
      <c r="P10" s="924"/>
    </row>
    <row r="11" spans="1:19" ht="11" customHeight="1">
      <c r="C11" s="509" t="s">
        <v>516</v>
      </c>
      <c r="D11" s="510" t="s">
        <v>1026</v>
      </c>
      <c r="E11" s="511"/>
      <c r="F11" s="512"/>
      <c r="G11" s="919">
        <v>1</v>
      </c>
      <c r="H11" s="920" t="s">
        <v>111</v>
      </c>
      <c r="I11" s="919"/>
      <c r="J11" s="921"/>
      <c r="K11" s="921"/>
      <c r="L11" s="921"/>
      <c r="M11" s="922">
        <f>G11*I11*J11/10000</f>
        <v>0</v>
      </c>
      <c r="N11" s="925"/>
      <c r="O11" s="925"/>
      <c r="P11" s="926"/>
    </row>
    <row r="12" spans="1:19" ht="11" customHeight="1">
      <c r="C12" s="509" t="s">
        <v>516</v>
      </c>
      <c r="D12" s="510" t="s">
        <v>1027</v>
      </c>
      <c r="E12" s="511"/>
      <c r="F12" s="512"/>
      <c r="G12" s="919">
        <v>1</v>
      </c>
      <c r="H12" s="920" t="s">
        <v>143</v>
      </c>
      <c r="I12" s="919"/>
      <c r="J12" s="921"/>
      <c r="K12" s="921"/>
      <c r="L12" s="921"/>
      <c r="M12" s="922">
        <f>G12*I12*J12/10000</f>
        <v>0</v>
      </c>
      <c r="N12" s="925"/>
      <c r="O12" s="925"/>
      <c r="P12" s="926"/>
    </row>
    <row r="13" spans="1:19">
      <c r="C13" s="911" t="s">
        <v>640</v>
      </c>
      <c r="D13" s="506" t="s">
        <v>796</v>
      </c>
      <c r="E13" s="497" t="s">
        <v>786</v>
      </c>
      <c r="F13" s="498"/>
      <c r="G13" s="497"/>
      <c r="H13" s="495"/>
      <c r="I13" s="497"/>
      <c r="J13" s="499"/>
      <c r="K13" s="499"/>
      <c r="L13" s="499"/>
      <c r="M13" s="501"/>
      <c r="N13" s="912"/>
      <c r="O13" s="912"/>
      <c r="P13" s="913"/>
    </row>
    <row r="14" spans="1:19">
      <c r="C14" s="927"/>
      <c r="D14" s="928" t="s">
        <v>797</v>
      </c>
      <c r="E14" s="481"/>
      <c r="F14" s="929"/>
      <c r="G14" s="930"/>
      <c r="H14" s="930" t="s">
        <v>111</v>
      </c>
      <c r="I14" s="931">
        <f>SUM(I15:I16)</f>
        <v>0</v>
      </c>
      <c r="J14" s="932" t="e">
        <f>M14/I14*10000</f>
        <v>#DIV/0!</v>
      </c>
      <c r="K14" s="932"/>
      <c r="L14" s="932"/>
      <c r="M14" s="933">
        <f>M4</f>
        <v>0</v>
      </c>
      <c r="N14" s="933">
        <f>N4</f>
        <v>0</v>
      </c>
      <c r="O14" s="933">
        <f>O4</f>
        <v>0</v>
      </c>
      <c r="P14" s="934"/>
    </row>
    <row r="15" spans="1:19">
      <c r="C15" s="935" t="s">
        <v>136</v>
      </c>
      <c r="D15" s="300" t="s">
        <v>519</v>
      </c>
      <c r="E15" s="511"/>
      <c r="F15" s="514" t="s">
        <v>520</v>
      </c>
      <c r="G15" s="511"/>
      <c r="H15" s="307"/>
      <c r="I15" s="515">
        <f>'2-规划指标'!I23+'2-规划指标'!I27</f>
        <v>0</v>
      </c>
      <c r="J15" s="513"/>
      <c r="K15" s="513"/>
      <c r="L15" s="513"/>
      <c r="M15" s="516">
        <f>M14-M16</f>
        <v>0</v>
      </c>
      <c r="N15" s="516">
        <f>N14-N16</f>
        <v>0</v>
      </c>
      <c r="O15" s="936">
        <f>M15+N15</f>
        <v>0</v>
      </c>
      <c r="P15" s="924"/>
    </row>
    <row r="16" spans="1:19">
      <c r="C16" s="935" t="s">
        <v>137</v>
      </c>
      <c r="D16" s="300" t="s">
        <v>521</v>
      </c>
      <c r="E16" s="511"/>
      <c r="F16" s="514" t="s">
        <v>522</v>
      </c>
      <c r="G16" s="511"/>
      <c r="H16" s="307"/>
      <c r="I16" s="515">
        <f>'2-规划指标'!H26</f>
        <v>0</v>
      </c>
      <c r="J16" s="513"/>
      <c r="K16" s="513"/>
      <c r="L16" s="513"/>
      <c r="M16" s="516">
        <f>J16*I16/10000</f>
        <v>0</v>
      </c>
      <c r="N16" s="936">
        <f>M16*0.11</f>
        <v>0</v>
      </c>
      <c r="O16" s="936">
        <f>M16+N16</f>
        <v>0</v>
      </c>
      <c r="P16" s="924"/>
    </row>
    <row r="17" spans="3:18">
      <c r="C17" s="937"/>
      <c r="D17" s="938" t="s">
        <v>523</v>
      </c>
      <c r="E17" s="939"/>
      <c r="F17" s="940" t="s">
        <v>522</v>
      </c>
      <c r="G17" s="939"/>
      <c r="H17" s="941"/>
      <c r="I17" s="942"/>
      <c r="J17" s="942"/>
      <c r="K17" s="942"/>
      <c r="L17" s="942"/>
      <c r="M17" s="943"/>
      <c r="N17" s="944"/>
      <c r="O17" s="944"/>
      <c r="P17" s="945"/>
    </row>
    <row r="18" spans="3:18">
      <c r="D18" s="517"/>
      <c r="E18" s="517"/>
      <c r="F18" s="518"/>
      <c r="G18" s="518"/>
      <c r="H18" s="518"/>
      <c r="I18" s="518"/>
      <c r="J18" s="518"/>
      <c r="K18" s="518"/>
      <c r="L18" s="518"/>
      <c r="M18" s="518"/>
      <c r="N18" s="518"/>
      <c r="O18" s="518"/>
      <c r="P18" s="518"/>
      <c r="Q18" s="518"/>
    </row>
    <row r="19" spans="3:18">
      <c r="C19" s="2529"/>
      <c r="D19" s="2529"/>
      <c r="E19" s="2529"/>
      <c r="F19" s="2529"/>
      <c r="G19" s="2529"/>
      <c r="H19" s="2529"/>
      <c r="I19" s="2529"/>
      <c r="J19" s="2529"/>
      <c r="K19" s="2529"/>
      <c r="L19" s="2529"/>
      <c r="M19" s="2529"/>
      <c r="N19" s="2529"/>
      <c r="O19" s="2529"/>
      <c r="P19" s="946"/>
      <c r="Q19" s="946"/>
      <c r="R19" s="946"/>
    </row>
    <row r="20" spans="3:18" ht="18.25" customHeight="1">
      <c r="C20" s="475"/>
      <c r="D20" s="2526" t="s">
        <v>1028</v>
      </c>
      <c r="E20" s="2526"/>
      <c r="F20" s="2526"/>
      <c r="G20" s="2526"/>
      <c r="H20" s="2526"/>
      <c r="I20" s="2526"/>
      <c r="J20" s="2526"/>
      <c r="K20" s="2526"/>
      <c r="L20" s="2526"/>
      <c r="M20" s="947"/>
      <c r="N20" s="947"/>
      <c r="O20" s="519">
        <f>J6/0.75</f>
        <v>988.19999999999993</v>
      </c>
      <c r="P20" s="520">
        <f>O20+J5</f>
        <v>3232.4915783695078</v>
      </c>
      <c r="Q20" s="519"/>
    </row>
    <row r="21" spans="3:18" ht="24">
      <c r="C21" s="475"/>
      <c r="D21" s="2530" t="s">
        <v>1029</v>
      </c>
      <c r="E21" s="948" t="s">
        <v>524</v>
      </c>
      <c r="F21" s="948" t="s">
        <v>1030</v>
      </c>
      <c r="G21" s="2532" t="s">
        <v>1031</v>
      </c>
      <c r="H21" s="2533"/>
      <c r="I21" s="2534"/>
      <c r="J21" s="949"/>
      <c r="K21" s="949"/>
      <c r="L21" s="2535" t="s">
        <v>1032</v>
      </c>
      <c r="M21" s="950"/>
      <c r="N21" s="950"/>
      <c r="O21" s="521">
        <f>'2-成本汇总（本期）'!BC9-'2-地价分摊表'!M5</f>
        <v>0</v>
      </c>
      <c r="P21" s="518"/>
      <c r="Q21" s="518"/>
    </row>
    <row r="22" spans="3:18">
      <c r="C22" s="475"/>
      <c r="D22" s="2531"/>
      <c r="E22" s="495"/>
      <c r="F22" s="495"/>
      <c r="G22" s="522" t="s">
        <v>427</v>
      </c>
      <c r="H22" s="522" t="s">
        <v>152</v>
      </c>
      <c r="I22" s="951" t="s">
        <v>153</v>
      </c>
      <c r="J22" s="952"/>
      <c r="K22" s="952"/>
      <c r="L22" s="2536"/>
      <c r="M22" s="950"/>
      <c r="N22" s="950"/>
    </row>
    <row r="23" spans="3:18" ht="15" customHeight="1">
      <c r="C23" s="475"/>
      <c r="D23" s="953" t="s">
        <v>1033</v>
      </c>
      <c r="E23" s="524">
        <f>'2-规划指标'!D2</f>
        <v>0</v>
      </c>
      <c r="F23" s="524">
        <f>I14</f>
        <v>0</v>
      </c>
      <c r="G23" s="524">
        <f>E23</f>
        <v>0</v>
      </c>
      <c r="H23" s="524"/>
      <c r="I23" s="525"/>
      <c r="J23" s="954"/>
      <c r="K23" s="954"/>
      <c r="L23" s="955"/>
      <c r="M23" s="527"/>
      <c r="N23" s="527"/>
    </row>
    <row r="24" spans="3:18" ht="15" customHeight="1">
      <c r="C24" s="475"/>
      <c r="D24" s="953" t="s">
        <v>1034</v>
      </c>
      <c r="E24" s="524"/>
      <c r="F24" s="524"/>
      <c r="G24" s="524"/>
      <c r="H24" s="524"/>
      <c r="I24" s="525"/>
      <c r="J24" s="956"/>
      <c r="K24" s="956"/>
      <c r="L24" s="957"/>
      <c r="M24" s="527"/>
      <c r="N24" s="527"/>
    </row>
    <row r="25" spans="3:18" ht="15" customHeight="1">
      <c r="C25" s="475"/>
      <c r="D25" s="953" t="s">
        <v>1035</v>
      </c>
      <c r="E25" s="524"/>
      <c r="F25" s="524"/>
      <c r="G25" s="524"/>
      <c r="H25" s="518"/>
      <c r="I25" s="524"/>
      <c r="J25" s="958"/>
      <c r="K25" s="958"/>
      <c r="L25" s="957"/>
      <c r="M25" s="527"/>
      <c r="N25" s="527"/>
    </row>
    <row r="26" spans="3:18" ht="15" customHeight="1">
      <c r="C26" s="475"/>
      <c r="D26" s="953" t="s">
        <v>1036</v>
      </c>
      <c r="E26" s="524"/>
      <c r="F26" s="524"/>
      <c r="G26" s="524"/>
      <c r="H26" s="524"/>
      <c r="I26" s="525"/>
      <c r="J26" s="956"/>
      <c r="K26" s="956"/>
      <c r="L26" s="957"/>
      <c r="M26" s="527"/>
      <c r="N26" s="527"/>
    </row>
    <row r="27" spans="3:18" ht="15" customHeight="1">
      <c r="C27" s="475"/>
      <c r="D27" s="953" t="s">
        <v>1037</v>
      </c>
      <c r="E27" s="524"/>
      <c r="F27" s="529"/>
      <c r="G27" s="524" t="str">
        <f>IF($E27=0,"",IF(#REF!=0,"",$E27*#REF!/#REF!))</f>
        <v/>
      </c>
      <c r="H27" s="524" t="str">
        <f>IF($E27=0,"",IF(#REF!=0,"",$E27*#REF!/#REF!))</f>
        <v/>
      </c>
      <c r="I27" s="525"/>
      <c r="J27" s="956"/>
      <c r="K27" s="956"/>
      <c r="L27" s="2525" t="s">
        <v>1038</v>
      </c>
      <c r="M27" s="530"/>
      <c r="N27" s="530"/>
    </row>
    <row r="28" spans="3:18" ht="15" customHeight="1">
      <c r="C28" s="475"/>
      <c r="D28" s="953" t="s">
        <v>1039</v>
      </c>
      <c r="E28" s="524"/>
      <c r="F28" s="529"/>
      <c r="G28" s="524"/>
      <c r="H28" s="524"/>
      <c r="I28" s="525"/>
      <c r="J28" s="956"/>
      <c r="K28" s="956"/>
      <c r="L28" s="2525"/>
      <c r="M28" s="530"/>
      <c r="N28" s="530"/>
    </row>
    <row r="29" spans="3:18" ht="15" customHeight="1">
      <c r="C29" s="475"/>
      <c r="D29" s="953" t="s">
        <v>1040</v>
      </c>
      <c r="E29" s="524"/>
      <c r="F29" s="529"/>
      <c r="G29" s="524" t="str">
        <f>IF($E29=0,"",IF($F$31=0,"",$E29*F$23/$F$31))</f>
        <v/>
      </c>
      <c r="H29" s="524" t="str">
        <f>IF($E29=0,"",IF($F$31=0,"",$E29*F$24/$F$31))</f>
        <v/>
      </c>
      <c r="I29" s="525"/>
      <c r="J29" s="956"/>
      <c r="K29" s="956"/>
      <c r="L29" s="2525"/>
      <c r="M29" s="530"/>
      <c r="N29" s="530"/>
    </row>
    <row r="30" spans="3:18" ht="15" customHeight="1">
      <c r="C30" s="475"/>
      <c r="D30" s="953" t="s">
        <v>1041</v>
      </c>
      <c r="E30" s="524"/>
      <c r="F30" s="529"/>
      <c r="G30" s="524" t="str">
        <f>IF($E30=0,"",IF(#REF!=0,"",$E30*#REF!/#REF!))</f>
        <v/>
      </c>
      <c r="H30" s="524" t="str">
        <f>IF($E30=0,"",IF(#REF!=0,"",$E30*#REF!/#REF!))</f>
        <v/>
      </c>
      <c r="I30" s="525"/>
      <c r="J30" s="956"/>
      <c r="K30" s="956"/>
      <c r="L30" s="2525"/>
      <c r="M30" s="530"/>
      <c r="N30" s="530"/>
    </row>
    <row r="31" spans="3:18" ht="15" customHeight="1">
      <c r="C31" s="475"/>
      <c r="D31" s="959" t="s">
        <v>1042</v>
      </c>
      <c r="E31" s="960">
        <f>SUM(E23:E30)</f>
        <v>0</v>
      </c>
      <c r="F31" s="960">
        <f>SUM(F23:F30)</f>
        <v>0</v>
      </c>
      <c r="G31" s="960">
        <f>SUM(G23:G30)</f>
        <v>0</v>
      </c>
      <c r="H31" s="960">
        <f>SUM(H23:H30)</f>
        <v>0</v>
      </c>
      <c r="I31" s="961">
        <f>SUM(I23:I30)</f>
        <v>0</v>
      </c>
      <c r="J31" s="962"/>
      <c r="K31" s="962"/>
      <c r="L31" s="963" t="s">
        <v>525</v>
      </c>
      <c r="M31" s="534"/>
      <c r="N31" s="534"/>
    </row>
    <row r="32" spans="3:18">
      <c r="C32" s="535"/>
      <c r="D32" s="535"/>
      <c r="E32" s="535"/>
      <c r="F32" s="535"/>
      <c r="G32" s="535"/>
      <c r="H32" s="535"/>
      <c r="I32" s="535"/>
      <c r="J32" s="535"/>
      <c r="K32" s="535"/>
      <c r="L32" s="535"/>
      <c r="M32" s="535"/>
      <c r="N32" s="535"/>
      <c r="O32" s="535"/>
      <c r="P32" s="535"/>
      <c r="Q32" s="535"/>
      <c r="R32" s="536"/>
    </row>
    <row r="33" spans="3:18" ht="15" customHeight="1">
      <c r="C33" s="475"/>
      <c r="D33" s="2526" t="s">
        <v>1043</v>
      </c>
      <c r="E33" s="2526"/>
      <c r="F33" s="2526"/>
      <c r="G33" s="2526"/>
      <c r="H33" s="2527"/>
      <c r="I33" s="537"/>
      <c r="J33" s="537"/>
      <c r="K33" s="537"/>
      <c r="L33" s="537"/>
      <c r="M33" s="537"/>
      <c r="N33" s="537"/>
      <c r="O33" s="537"/>
      <c r="P33" s="537"/>
      <c r="Q33" s="537"/>
    </row>
    <row r="34" spans="3:18" ht="25.5" customHeight="1">
      <c r="C34" s="475"/>
      <c r="D34" s="964" t="s">
        <v>381</v>
      </c>
      <c r="E34" s="948" t="s">
        <v>526</v>
      </c>
      <c r="F34" s="948" t="s">
        <v>134</v>
      </c>
      <c r="G34" s="948" t="s">
        <v>524</v>
      </c>
      <c r="H34" s="518"/>
    </row>
    <row r="35" spans="3:18" ht="15" customHeight="1">
      <c r="C35" s="475"/>
      <c r="D35" s="965" t="str">
        <f>'2-规划指标'!C20</f>
        <v>高层住宅（15F）</v>
      </c>
      <c r="E35" s="539">
        <f>'2-规划指标'!I20</f>
        <v>0</v>
      </c>
      <c r="F35" s="540">
        <v>0</v>
      </c>
      <c r="G35" s="966">
        <f>'2-规划指标'!D20</f>
        <v>0</v>
      </c>
    </row>
    <row r="36" spans="3:18" ht="15" customHeight="1">
      <c r="C36" s="475"/>
      <c r="D36" s="965" t="str">
        <f>'2-规划指标'!C21</f>
        <v>叠拼（4F）</v>
      </c>
      <c r="E36" s="539">
        <f>'2-规划指标'!I21</f>
        <v>0</v>
      </c>
      <c r="F36" s="540">
        <f>'2-规划指标'!E21</f>
        <v>0</v>
      </c>
      <c r="G36" s="966">
        <f>IF(F36=0,0,E36/F36)</f>
        <v>0</v>
      </c>
    </row>
    <row r="37" spans="3:18" ht="15" customHeight="1">
      <c r="C37" s="475"/>
      <c r="D37" s="965" t="str">
        <f>'2-规划指标'!C22</f>
        <v>小联排（3F）</v>
      </c>
      <c r="E37" s="539">
        <f>'2-规划指标'!I22</f>
        <v>0</v>
      </c>
      <c r="F37" s="540">
        <f>'2-规划指标'!E22</f>
        <v>0</v>
      </c>
      <c r="G37" s="966">
        <f>IF(F37=0,0,E37/F37)</f>
        <v>0</v>
      </c>
    </row>
    <row r="38" spans="3:18" ht="15" customHeight="1">
      <c r="C38" s="475"/>
      <c r="D38" s="965" t="str">
        <f>'2-规划指标'!C24</f>
        <v>底层商业（1-2F）</v>
      </c>
      <c r="E38" s="539">
        <f>'2-规划指标'!I24</f>
        <v>0</v>
      </c>
      <c r="F38" s="540">
        <f>'2-规划指标'!E24</f>
        <v>0</v>
      </c>
      <c r="G38" s="966">
        <f>IF(F38=0,0,E38/F38)</f>
        <v>0</v>
      </c>
    </row>
    <row r="39" spans="3:18" ht="15" customHeight="1">
      <c r="C39" s="475"/>
      <c r="D39" s="965" t="str">
        <f>'2-规划指标'!C25</f>
        <v>商墅（3-5F）</v>
      </c>
      <c r="E39" s="539">
        <f>'2-规划指标'!I25</f>
        <v>0</v>
      </c>
      <c r="F39" s="540">
        <f>'2-规划指标'!E25</f>
        <v>0</v>
      </c>
      <c r="G39" s="966">
        <f>IF(F39=0,0,E39/F39)</f>
        <v>0</v>
      </c>
    </row>
    <row r="40" spans="3:18" ht="15" customHeight="1">
      <c r="C40" s="475"/>
      <c r="D40" s="965" t="str">
        <f>'2-规划指标'!C26</f>
        <v>高层公寓(15F)</v>
      </c>
      <c r="E40" s="539">
        <f>'2-规划指标'!I26</f>
        <v>0</v>
      </c>
      <c r="F40" s="540">
        <f>'2-规划指标'!E26</f>
        <v>0</v>
      </c>
      <c r="G40" s="966">
        <f>IF(F40=0,0,E40/F40)</f>
        <v>0</v>
      </c>
    </row>
    <row r="41" spans="3:18" ht="15" customHeight="1">
      <c r="C41" s="475"/>
      <c r="D41" s="959" t="s">
        <v>56</v>
      </c>
      <c r="E41" s="967">
        <f>SUM(E35:E40)</f>
        <v>0</v>
      </c>
      <c r="F41" s="968" t="e">
        <f>E41/G41</f>
        <v>#DIV/0!</v>
      </c>
      <c r="G41" s="969">
        <f>SUM(G35:G40)</f>
        <v>0</v>
      </c>
      <c r="H41" s="543"/>
      <c r="I41" s="544"/>
      <c r="J41" s="544"/>
      <c r="K41" s="544"/>
    </row>
    <row r="42" spans="3:18">
      <c r="C42" s="535"/>
      <c r="D42" s="535"/>
      <c r="E42" s="535"/>
      <c r="F42" s="535"/>
      <c r="G42" s="535"/>
      <c r="H42" s="535"/>
      <c r="R42" s="536"/>
    </row>
    <row r="43" spans="3:18" ht="19.5" customHeight="1">
      <c r="C43" s="475"/>
      <c r="D43" s="2527" t="s">
        <v>1044</v>
      </c>
      <c r="E43" s="2527"/>
      <c r="F43" s="2527"/>
      <c r="G43" s="2527"/>
      <c r="H43" s="2527"/>
      <c r="I43" s="2527"/>
      <c r="J43" s="2527"/>
      <c r="K43" s="2527"/>
      <c r="L43" s="2527"/>
      <c r="M43" s="2527"/>
      <c r="N43" s="2527"/>
      <c r="O43" s="2527"/>
      <c r="P43" s="947"/>
      <c r="Q43" s="947"/>
    </row>
    <row r="44" spans="3:18" ht="36">
      <c r="C44" s="475"/>
      <c r="D44" s="964" t="s">
        <v>381</v>
      </c>
      <c r="E44" s="948" t="s">
        <v>526</v>
      </c>
      <c r="F44" s="948" t="s">
        <v>134</v>
      </c>
      <c r="G44" s="948" t="s">
        <v>525</v>
      </c>
      <c r="H44" s="970" t="s">
        <v>527</v>
      </c>
      <c r="I44" s="948" t="s">
        <v>1045</v>
      </c>
      <c r="J44" s="948" t="s">
        <v>1046</v>
      </c>
      <c r="K44" s="948" t="s">
        <v>1047</v>
      </c>
      <c r="L44" s="971" t="s">
        <v>798</v>
      </c>
      <c r="M44" s="546"/>
      <c r="N44" s="546"/>
    </row>
    <row r="45" spans="3:18" ht="15" customHeight="1">
      <c r="C45" s="475"/>
      <c r="D45" s="972" t="s">
        <v>1048</v>
      </c>
      <c r="E45" s="548"/>
      <c r="F45" s="548"/>
      <c r="G45" s="548"/>
      <c r="H45" s="548"/>
      <c r="I45" s="549">
        <f>SUM(I46:I51)</f>
        <v>0</v>
      </c>
      <c r="J45" s="549">
        <f>SUM(J46:J51)</f>
        <v>0</v>
      </c>
      <c r="K45" s="549">
        <f>SUM(K46:K51)</f>
        <v>0</v>
      </c>
      <c r="L45" s="973"/>
      <c r="M45" s="551"/>
      <c r="N45" s="551"/>
    </row>
    <row r="46" spans="3:18" ht="15" customHeight="1">
      <c r="C46" s="475"/>
      <c r="D46" s="974" t="str">
        <f t="shared" ref="D46:F48" si="0">D35</f>
        <v>高层住宅（15F）</v>
      </c>
      <c r="E46" s="539">
        <f t="shared" si="0"/>
        <v>0</v>
      </c>
      <c r="F46" s="539">
        <f t="shared" si="0"/>
        <v>0</v>
      </c>
      <c r="G46" s="539">
        <f t="shared" ref="G46:G51" si="1">IF(F46=0,0,E46/F46)</f>
        <v>0</v>
      </c>
      <c r="H46" s="539">
        <f t="shared" ref="H46:H51" si="2">IF($O$15=0,0,$O$15/$G$52)</f>
        <v>0</v>
      </c>
      <c r="I46" s="553">
        <f t="shared" ref="I46:I51" si="3">G46*H46</f>
        <v>0</v>
      </c>
      <c r="J46" s="975">
        <f t="shared" ref="J46:J51" si="4">IF($M$15=0,0,$M$15/$G$52)*G46</f>
        <v>0</v>
      </c>
      <c r="K46" s="975">
        <f t="shared" ref="K46:K51" si="5">IF($N$15=0,0,$N$15/$G$52)*G46</f>
        <v>0</v>
      </c>
      <c r="L46" s="976" t="e">
        <f t="shared" ref="L46:L52" si="6">I46/E46*10000</f>
        <v>#DIV/0!</v>
      </c>
      <c r="M46" s="555"/>
      <c r="N46" s="555"/>
    </row>
    <row r="47" spans="3:18" ht="15" customHeight="1">
      <c r="C47" s="475"/>
      <c r="D47" s="974" t="str">
        <f t="shared" si="0"/>
        <v>叠拼（4F）</v>
      </c>
      <c r="E47" s="539">
        <f t="shared" si="0"/>
        <v>0</v>
      </c>
      <c r="F47" s="539">
        <f t="shared" si="0"/>
        <v>0</v>
      </c>
      <c r="G47" s="539">
        <f t="shared" si="1"/>
        <v>0</v>
      </c>
      <c r="H47" s="539">
        <f t="shared" si="2"/>
        <v>0</v>
      </c>
      <c r="I47" s="553">
        <f t="shared" si="3"/>
        <v>0</v>
      </c>
      <c r="J47" s="975">
        <f t="shared" si="4"/>
        <v>0</v>
      </c>
      <c r="K47" s="975">
        <f t="shared" si="5"/>
        <v>0</v>
      </c>
      <c r="L47" s="976" t="e">
        <f t="shared" si="6"/>
        <v>#DIV/0!</v>
      </c>
      <c r="M47" s="555"/>
      <c r="N47" s="555"/>
    </row>
    <row r="48" spans="3:18" ht="15" customHeight="1">
      <c r="C48" s="475"/>
      <c r="D48" s="977" t="str">
        <f t="shared" si="0"/>
        <v>小联排（3F）</v>
      </c>
      <c r="E48" s="978">
        <f t="shared" si="0"/>
        <v>0</v>
      </c>
      <c r="F48" s="978">
        <f t="shared" si="0"/>
        <v>0</v>
      </c>
      <c r="G48" s="539">
        <f t="shared" si="1"/>
        <v>0</v>
      </c>
      <c r="H48" s="539">
        <f t="shared" si="2"/>
        <v>0</v>
      </c>
      <c r="I48" s="553">
        <f t="shared" si="3"/>
        <v>0</v>
      </c>
      <c r="J48" s="975">
        <f t="shared" si="4"/>
        <v>0</v>
      </c>
      <c r="K48" s="975">
        <f t="shared" si="5"/>
        <v>0</v>
      </c>
      <c r="L48" s="976" t="e">
        <f t="shared" si="6"/>
        <v>#DIV/0!</v>
      </c>
      <c r="M48" s="555"/>
      <c r="N48" s="555"/>
    </row>
    <row r="49" spans="3:18" ht="15" customHeight="1">
      <c r="C49" s="475"/>
      <c r="D49" s="977" t="str">
        <f t="shared" ref="D49:F51" si="7">D38</f>
        <v>底层商业（1-2F）</v>
      </c>
      <c r="E49" s="978">
        <f t="shared" si="7"/>
        <v>0</v>
      </c>
      <c r="F49" s="978">
        <f t="shared" si="7"/>
        <v>0</v>
      </c>
      <c r="G49" s="539">
        <f t="shared" si="1"/>
        <v>0</v>
      </c>
      <c r="H49" s="539">
        <f t="shared" si="2"/>
        <v>0</v>
      </c>
      <c r="I49" s="553">
        <f t="shared" si="3"/>
        <v>0</v>
      </c>
      <c r="J49" s="975">
        <f t="shared" si="4"/>
        <v>0</v>
      </c>
      <c r="K49" s="975">
        <f t="shared" si="5"/>
        <v>0</v>
      </c>
      <c r="L49" s="976" t="e">
        <f t="shared" si="6"/>
        <v>#DIV/0!</v>
      </c>
      <c r="M49" s="555"/>
      <c r="N49" s="555"/>
    </row>
    <row r="50" spans="3:18" ht="15" customHeight="1">
      <c r="C50" s="475"/>
      <c r="D50" s="977" t="str">
        <f t="shared" si="7"/>
        <v>商墅（3-5F）</v>
      </c>
      <c r="E50" s="978">
        <f t="shared" si="7"/>
        <v>0</v>
      </c>
      <c r="F50" s="978">
        <f t="shared" si="7"/>
        <v>0</v>
      </c>
      <c r="G50" s="539">
        <f t="shared" si="1"/>
        <v>0</v>
      </c>
      <c r="H50" s="539">
        <f t="shared" si="2"/>
        <v>0</v>
      </c>
      <c r="I50" s="553">
        <f t="shared" si="3"/>
        <v>0</v>
      </c>
      <c r="J50" s="975">
        <f t="shared" si="4"/>
        <v>0</v>
      </c>
      <c r="K50" s="975">
        <f t="shared" si="5"/>
        <v>0</v>
      </c>
      <c r="L50" s="976" t="e">
        <f t="shared" si="6"/>
        <v>#DIV/0!</v>
      </c>
      <c r="M50" s="555"/>
      <c r="N50" s="555"/>
    </row>
    <row r="51" spans="3:18" ht="15" customHeight="1">
      <c r="C51" s="475"/>
      <c r="D51" s="977" t="str">
        <f t="shared" si="7"/>
        <v>高层公寓(15F)</v>
      </c>
      <c r="E51" s="978">
        <f t="shared" si="7"/>
        <v>0</v>
      </c>
      <c r="F51" s="978">
        <f t="shared" si="7"/>
        <v>0</v>
      </c>
      <c r="G51" s="539">
        <f t="shared" si="1"/>
        <v>0</v>
      </c>
      <c r="H51" s="539">
        <f t="shared" si="2"/>
        <v>0</v>
      </c>
      <c r="I51" s="553">
        <f t="shared" si="3"/>
        <v>0</v>
      </c>
      <c r="J51" s="975">
        <f t="shared" si="4"/>
        <v>0</v>
      </c>
      <c r="K51" s="975">
        <f t="shared" si="5"/>
        <v>0</v>
      </c>
      <c r="L51" s="976" t="e">
        <f t="shared" si="6"/>
        <v>#DIV/0!</v>
      </c>
      <c r="M51" s="555"/>
      <c r="N51" s="555"/>
    </row>
    <row r="52" spans="3:18" ht="15" customHeight="1">
      <c r="C52" s="475"/>
      <c r="D52" s="959" t="s">
        <v>56</v>
      </c>
      <c r="E52" s="967">
        <f>SUM(E46:E51)</f>
        <v>0</v>
      </c>
      <c r="F52" s="979"/>
      <c r="G52" s="967">
        <f>SUM(G46:G51)</f>
        <v>0</v>
      </c>
      <c r="H52" s="967"/>
      <c r="I52" s="980">
        <f>I45</f>
        <v>0</v>
      </c>
      <c r="J52" s="980">
        <f>J45</f>
        <v>0</v>
      </c>
      <c r="K52" s="980">
        <f>K45</f>
        <v>0</v>
      </c>
      <c r="L52" s="981" t="e">
        <f t="shared" si="6"/>
        <v>#DIV/0!</v>
      </c>
      <c r="M52" s="558"/>
      <c r="N52" s="558"/>
      <c r="R52" s="518"/>
    </row>
    <row r="53" spans="3:18">
      <c r="C53" s="535"/>
      <c r="D53" s="535"/>
      <c r="E53" s="535"/>
      <c r="F53" s="535"/>
      <c r="G53" s="535"/>
      <c r="H53" s="535"/>
      <c r="I53" s="535"/>
      <c r="J53" s="535"/>
      <c r="K53" s="535"/>
      <c r="L53" s="535"/>
      <c r="M53" s="535"/>
      <c r="N53" s="535"/>
      <c r="O53" s="535"/>
      <c r="P53" s="535"/>
      <c r="Q53" s="535"/>
      <c r="R53" s="536"/>
    </row>
    <row r="54" spans="3:18">
      <c r="C54" s="2528"/>
      <c r="D54" s="2528"/>
      <c r="E54" s="2528"/>
      <c r="F54" s="2528"/>
      <c r="G54" s="2528"/>
      <c r="H54" s="2528"/>
      <c r="I54" s="2528"/>
      <c r="J54" s="2528"/>
      <c r="K54" s="2528"/>
      <c r="L54" s="2528"/>
      <c r="M54" s="2528"/>
      <c r="N54" s="2528"/>
      <c r="O54" s="2528"/>
      <c r="P54" s="982"/>
      <c r="Q54" s="982"/>
      <c r="R54" s="559"/>
    </row>
    <row r="55" spans="3:18">
      <c r="R55" s="518"/>
    </row>
  </sheetData>
  <mergeCells count="10">
    <mergeCell ref="L27:L30"/>
    <mergeCell ref="D33:H33"/>
    <mergeCell ref="D43:O43"/>
    <mergeCell ref="C54:O54"/>
    <mergeCell ref="C1:R1"/>
    <mergeCell ref="C19:O19"/>
    <mergeCell ref="D20:L20"/>
    <mergeCell ref="D21:D22"/>
    <mergeCell ref="G21:I21"/>
    <mergeCell ref="L21:L22"/>
  </mergeCells>
  <phoneticPr fontId="19" type="noConversion"/>
  <printOptions horizontalCentered="1"/>
  <pageMargins left="0" right="0" top="0.39370078740157483" bottom="0.19685039370078741" header="0.11811023622047245" footer="0.11811023622047245"/>
  <pageSetup paperSize="9" fitToWidth="0" fitToHeight="0" orientation="landscape"/>
  <headerFooter alignWithMargins="0"/>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2:IV237"/>
  <sheetViews>
    <sheetView workbookViewId="0">
      <pane xSplit="4" ySplit="4" topLeftCell="H83" activePane="bottomRight" state="frozen"/>
      <selection pane="topRight"/>
      <selection pane="bottomLeft"/>
      <selection pane="bottomRight" activeCell="M86" sqref="M86:O96"/>
    </sheetView>
  </sheetViews>
  <sheetFormatPr defaultColWidth="9" defaultRowHeight="24" customHeight="1" outlineLevelRow="3"/>
  <cols>
    <col min="1" max="1" width="2.83203125" style="560" customWidth="1"/>
    <col min="2" max="2" width="15.6640625" style="561" customWidth="1"/>
    <col min="3" max="3" width="8.83203125" style="561" customWidth="1"/>
    <col min="4" max="4" width="17.5" style="562" customWidth="1"/>
    <col min="5" max="5" width="16.5" style="563" customWidth="1"/>
    <col min="6" max="6" width="12.5" style="562" customWidth="1"/>
    <col min="7" max="7" width="9.5" style="564" customWidth="1"/>
    <col min="8" max="8" width="9.1640625" style="565" customWidth="1"/>
    <col min="9" max="9" width="10.33203125" style="566" customWidth="1"/>
    <col min="10" max="10" width="9" style="566" customWidth="1"/>
    <col min="11" max="12" width="7.58203125" style="566" customWidth="1"/>
    <col min="13" max="13" width="12.83203125" style="563" customWidth="1"/>
    <col min="14" max="14" width="10.08203125" style="563" customWidth="1"/>
    <col min="15" max="15" width="9.5" style="563" customWidth="1"/>
    <col min="16" max="16" width="11.1640625" style="563" customWidth="1"/>
    <col min="17" max="17" width="11.6640625" style="563" customWidth="1"/>
    <col min="18" max="18" width="10" style="563" customWidth="1"/>
    <col min="19" max="256" width="9" style="560" customWidth="1"/>
  </cols>
  <sheetData>
    <row r="2" spans="1:52" ht="36">
      <c r="B2" s="2537" t="s">
        <v>1049</v>
      </c>
      <c r="C2" s="983" t="s">
        <v>1050</v>
      </c>
      <c r="D2" s="984" t="s">
        <v>1051</v>
      </c>
      <c r="E2" s="983" t="s">
        <v>1052</v>
      </c>
      <c r="F2" s="984" t="s">
        <v>1053</v>
      </c>
      <c r="G2" s="983" t="s">
        <v>1054</v>
      </c>
      <c r="H2" s="985" t="s">
        <v>1055</v>
      </c>
      <c r="I2" s="986" t="s">
        <v>1056</v>
      </c>
      <c r="J2" s="984" t="s">
        <v>1057</v>
      </c>
      <c r="K2" s="984"/>
      <c r="L2" s="984"/>
      <c r="M2" s="983" t="s">
        <v>1058</v>
      </c>
      <c r="N2" s="987"/>
      <c r="O2" s="987"/>
      <c r="P2" s="988" t="s">
        <v>1059</v>
      </c>
      <c r="Q2" s="988" t="s">
        <v>1060</v>
      </c>
    </row>
    <row r="3" spans="1:52" ht="26.25" customHeight="1">
      <c r="B3" s="2538"/>
      <c r="C3" s="567">
        <f>'2-规划指标'!D2</f>
        <v>0</v>
      </c>
      <c r="D3" s="567">
        <f>'2-规划指标'!M2</f>
        <v>0</v>
      </c>
      <c r="E3" s="567">
        <f>'2-规划指标'!D4</f>
        <v>0</v>
      </c>
      <c r="F3" s="567">
        <f>'2-规划指标'!I23+'2-规划指标'!I27</f>
        <v>0</v>
      </c>
      <c r="G3" s="567">
        <f>'2-规划指标'!D3</f>
        <v>0</v>
      </c>
      <c r="H3" s="989">
        <f>'2-规划指标'!H42</f>
        <v>0</v>
      </c>
      <c r="I3" s="567">
        <f>'2-规划指标'!F23+'2-规划指标'!F27</f>
        <v>0</v>
      </c>
      <c r="J3" s="567">
        <f>'2-规划指标'!M23+'2-规划指标'!M27</f>
        <v>0</v>
      </c>
      <c r="K3" s="567"/>
      <c r="L3" s="567"/>
      <c r="M3" s="567">
        <f>'2-规划指标'!N23+'2-规划指标'!N27</f>
        <v>0</v>
      </c>
      <c r="N3" s="987"/>
      <c r="O3" s="987"/>
      <c r="P3" s="990">
        <f>'2-规划指标'!B6+'2-规划指标'!B8</f>
        <v>0</v>
      </c>
      <c r="Q3" s="991"/>
      <c r="R3" s="992"/>
    </row>
    <row r="4" spans="1:52" s="570" customFormat="1" ht="27.65" customHeight="1">
      <c r="B4" s="571" t="s">
        <v>25</v>
      </c>
      <c r="C4" s="993"/>
      <c r="D4" s="574" t="s">
        <v>1061</v>
      </c>
      <c r="E4" s="574" t="s">
        <v>1062</v>
      </c>
      <c r="F4" s="994" t="s">
        <v>1063</v>
      </c>
      <c r="G4" s="573" t="s">
        <v>1064</v>
      </c>
      <c r="H4" s="994" t="s">
        <v>1065</v>
      </c>
      <c r="I4" s="994" t="s">
        <v>1066</v>
      </c>
      <c r="J4" s="763" t="s">
        <v>1067</v>
      </c>
      <c r="K4" s="995" t="s">
        <v>1068</v>
      </c>
      <c r="L4" s="995" t="s">
        <v>515</v>
      </c>
      <c r="M4" s="764" t="s">
        <v>1070</v>
      </c>
      <c r="N4" s="764" t="s">
        <v>1019</v>
      </c>
      <c r="O4" s="764" t="s">
        <v>1071</v>
      </c>
      <c r="P4" s="886" t="s">
        <v>1072</v>
      </c>
      <c r="Q4" s="574" t="s">
        <v>1073</v>
      </c>
      <c r="R4" s="574" t="s">
        <v>1074</v>
      </c>
    </row>
    <row r="5" spans="1:52" s="575" customFormat="1" ht="23.9" customHeight="1">
      <c r="A5" s="576"/>
      <c r="B5" s="577">
        <v>5001.01</v>
      </c>
      <c r="C5" s="578" t="s">
        <v>1075</v>
      </c>
      <c r="D5" s="480" t="s">
        <v>1076</v>
      </c>
      <c r="E5" s="481"/>
      <c r="F5" s="482"/>
      <c r="G5" s="411"/>
      <c r="H5" s="483"/>
      <c r="I5" s="484"/>
      <c r="J5" s="579"/>
      <c r="K5" s="579"/>
      <c r="L5" s="580"/>
      <c r="M5" s="581">
        <f>SUBTOTAL(9,M6:M71)</f>
        <v>0</v>
      </c>
      <c r="N5" s="581">
        <f>SUBTOTAL(9,N6:N71)</f>
        <v>0</v>
      </c>
      <c r="O5" s="581">
        <f>SUBTOTAL(9,O6:O71)</f>
        <v>0</v>
      </c>
      <c r="P5" s="581" t="e">
        <f>IF(O5="","",O5*10000/F$3)</f>
        <v>#DIV/0!</v>
      </c>
      <c r="Q5" s="581">
        <f>M5</f>
        <v>0</v>
      </c>
      <c r="R5" s="581"/>
    </row>
    <row r="6" spans="1:52" s="582" customFormat="1" ht="16" customHeight="1" outlineLevel="1">
      <c r="A6" s="583"/>
      <c r="B6" s="584" t="s">
        <v>1077</v>
      </c>
      <c r="C6" s="585">
        <v>1</v>
      </c>
      <c r="D6" s="586" t="s">
        <v>1078</v>
      </c>
      <c r="E6" s="586"/>
      <c r="F6" s="996"/>
      <c r="G6" s="996"/>
      <c r="H6" s="996"/>
      <c r="I6" s="996"/>
      <c r="J6" s="996"/>
      <c r="K6" s="996"/>
      <c r="L6" s="588"/>
      <c r="M6" s="589">
        <f>SUBTOTAL(9,M7:M16)</f>
        <v>0</v>
      </c>
      <c r="N6" s="589">
        <f>SUBTOTAL(9,N7:N16)</f>
        <v>0</v>
      </c>
      <c r="O6" s="589">
        <f>SUBTOTAL(9,O7:O16)</f>
        <v>0</v>
      </c>
      <c r="P6" s="489" t="e">
        <f>IF(O6="","",O6*10000/F$3)</f>
        <v>#DIV/0!</v>
      </c>
      <c r="Q6" s="590" t="s">
        <v>1079</v>
      </c>
      <c r="R6" s="589">
        <f>SUBTOTAL(9,R7:R16)</f>
        <v>0</v>
      </c>
    </row>
    <row r="7" spans="1:52" s="591" customFormat="1" ht="16.25" customHeight="1" outlineLevel="2">
      <c r="A7" s="583"/>
      <c r="B7" s="510" t="s">
        <v>1080</v>
      </c>
      <c r="C7" s="509" t="s">
        <v>1081</v>
      </c>
      <c r="D7" s="510" t="s">
        <v>376</v>
      </c>
      <c r="E7" s="509" t="s">
        <v>1082</v>
      </c>
      <c r="F7" s="592"/>
      <c r="G7" s="593"/>
      <c r="H7" s="593"/>
      <c r="I7" s="593"/>
      <c r="J7" s="593"/>
      <c r="K7" s="593"/>
      <c r="L7" s="594"/>
      <c r="M7" s="595">
        <v>0</v>
      </c>
      <c r="N7" s="595"/>
      <c r="O7" s="595"/>
      <c r="P7" s="595" t="str">
        <f>IF(O7="","",O7*10000/F$3)</f>
        <v/>
      </c>
      <c r="Q7" s="596"/>
      <c r="R7" s="595">
        <v>0</v>
      </c>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582"/>
      <c r="AT7" s="582"/>
      <c r="AU7" s="582"/>
      <c r="AV7" s="582"/>
      <c r="AW7" s="582"/>
      <c r="AX7" s="582"/>
      <c r="AY7" s="582"/>
      <c r="AZ7" s="582"/>
    </row>
    <row r="8" spans="1:52" s="591" customFormat="1" ht="16.25" customHeight="1" outlineLevel="3">
      <c r="A8" s="583"/>
      <c r="B8" s="510" t="s">
        <v>1083</v>
      </c>
      <c r="C8" s="509" t="s">
        <v>516</v>
      </c>
      <c r="D8" s="510" t="s">
        <v>528</v>
      </c>
      <c r="E8" s="509" t="s">
        <v>784</v>
      </c>
      <c r="F8" s="592"/>
      <c r="G8" s="593"/>
      <c r="H8" s="593"/>
      <c r="I8" s="593"/>
      <c r="J8" s="593"/>
      <c r="K8" s="593"/>
      <c r="L8" s="597">
        <v>0.11</v>
      </c>
      <c r="M8" s="595">
        <f>'2-地价分摊表'!M5</f>
        <v>0</v>
      </c>
      <c r="N8" s="595">
        <f>'2-地价分摊表'!N5</f>
        <v>0</v>
      </c>
      <c r="O8" s="595">
        <f>M8+N8</f>
        <v>0</v>
      </c>
      <c r="P8" s="595" t="e">
        <f>IF(O8="","",O8*10000/F$3)</f>
        <v>#DIV/0!</v>
      </c>
      <c r="Q8" s="596"/>
      <c r="R8" s="595"/>
      <c r="S8" s="582"/>
      <c r="T8" s="582"/>
      <c r="U8" s="582"/>
      <c r="V8" s="582"/>
      <c r="W8" s="582"/>
      <c r="X8" s="582"/>
      <c r="Y8" s="582"/>
      <c r="Z8" s="582"/>
      <c r="AA8" s="582"/>
      <c r="AB8" s="582"/>
      <c r="AC8" s="582"/>
      <c r="AD8" s="582"/>
      <c r="AE8" s="582"/>
      <c r="AF8" s="582"/>
      <c r="AG8" s="582"/>
      <c r="AH8" s="582"/>
      <c r="AI8" s="582"/>
      <c r="AJ8" s="582"/>
      <c r="AK8" s="582"/>
      <c r="AL8" s="582"/>
      <c r="AM8" s="582"/>
      <c r="AN8" s="582"/>
      <c r="AO8" s="582"/>
      <c r="AP8" s="582"/>
      <c r="AQ8" s="582"/>
      <c r="AR8" s="582"/>
      <c r="AS8" s="582"/>
      <c r="AT8" s="582"/>
      <c r="AU8" s="582"/>
      <c r="AV8" s="582"/>
      <c r="AW8" s="582"/>
      <c r="AX8" s="582"/>
      <c r="AY8" s="582"/>
      <c r="AZ8" s="582"/>
    </row>
    <row r="9" spans="1:52" s="591" customFormat="1" ht="16.25" customHeight="1" outlineLevel="3">
      <c r="A9" s="583"/>
      <c r="B9" s="510" t="s">
        <v>1084</v>
      </c>
      <c r="C9" s="509" t="s">
        <v>1085</v>
      </c>
      <c r="D9" s="510" t="s">
        <v>529</v>
      </c>
      <c r="E9" s="509" t="s">
        <v>1086</v>
      </c>
      <c r="F9" s="592"/>
      <c r="G9" s="593"/>
      <c r="H9" s="593"/>
      <c r="I9" s="593"/>
      <c r="J9" s="593"/>
      <c r="K9" s="593"/>
      <c r="L9" s="597">
        <v>0</v>
      </c>
      <c r="M9" s="595">
        <f>'2-地价分摊表'!M6</f>
        <v>0</v>
      </c>
      <c r="N9" s="595">
        <f>'2-地价分摊表'!N6</f>
        <v>0</v>
      </c>
      <c r="O9" s="595">
        <f>M9+N9</f>
        <v>0</v>
      </c>
      <c r="P9" s="595" t="e">
        <f t="shared" ref="P9:P16" si="0">IF(O9="","",O9*10000/F$3)</f>
        <v>#DIV/0!</v>
      </c>
      <c r="Q9" s="596"/>
      <c r="R9" s="595"/>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row>
    <row r="10" spans="1:52" s="591" customFormat="1" ht="16.25" customHeight="1" outlineLevel="3">
      <c r="A10" s="583"/>
      <c r="B10" s="510" t="s">
        <v>1087</v>
      </c>
      <c r="C10" s="509" t="s">
        <v>516</v>
      </c>
      <c r="D10" s="510" t="s">
        <v>530</v>
      </c>
      <c r="E10" s="509" t="s">
        <v>784</v>
      </c>
      <c r="F10" s="592"/>
      <c r="G10" s="593"/>
      <c r="H10" s="593"/>
      <c r="I10" s="593"/>
      <c r="J10" s="593"/>
      <c r="K10" s="593"/>
      <c r="L10" s="597">
        <v>0</v>
      </c>
      <c r="M10" s="595">
        <f>'2-地价分摊表'!M7</f>
        <v>0</v>
      </c>
      <c r="N10" s="595">
        <f>'2-地价分摊表'!N7</f>
        <v>0</v>
      </c>
      <c r="O10" s="595">
        <f>M10+N10</f>
        <v>0</v>
      </c>
      <c r="P10" s="595" t="e">
        <f t="shared" si="0"/>
        <v>#DIV/0!</v>
      </c>
      <c r="Q10" s="596"/>
      <c r="R10" s="595"/>
      <c r="S10" s="582"/>
      <c r="T10" s="582"/>
      <c r="U10" s="582"/>
      <c r="V10" s="582"/>
      <c r="W10" s="582"/>
      <c r="X10" s="582"/>
      <c r="Y10" s="582"/>
      <c r="Z10" s="582"/>
      <c r="AA10" s="582"/>
      <c r="AB10" s="582"/>
      <c r="AC10" s="582"/>
      <c r="AD10" s="582"/>
      <c r="AE10" s="582"/>
      <c r="AF10" s="582"/>
      <c r="AG10" s="582"/>
      <c r="AH10" s="582"/>
      <c r="AI10" s="582"/>
      <c r="AJ10" s="582"/>
      <c r="AK10" s="582"/>
      <c r="AL10" s="582"/>
      <c r="AM10" s="582"/>
      <c r="AN10" s="582"/>
      <c r="AO10" s="582"/>
      <c r="AP10" s="582"/>
      <c r="AQ10" s="582"/>
      <c r="AR10" s="582"/>
      <c r="AS10" s="582"/>
      <c r="AT10" s="582"/>
      <c r="AU10" s="582"/>
      <c r="AV10" s="582"/>
      <c r="AW10" s="582"/>
      <c r="AX10" s="582"/>
      <c r="AY10" s="582"/>
      <c r="AZ10" s="582"/>
    </row>
    <row r="11" spans="1:52" s="591" customFormat="1" ht="16.25" customHeight="1" outlineLevel="3">
      <c r="A11" s="583"/>
      <c r="B11" s="510" t="s">
        <v>1088</v>
      </c>
      <c r="C11" s="509" t="s">
        <v>516</v>
      </c>
      <c r="D11" s="510" t="s">
        <v>465</v>
      </c>
      <c r="E11" s="509" t="s">
        <v>465</v>
      </c>
      <c r="F11" s="592"/>
      <c r="G11" s="593"/>
      <c r="H11" s="593"/>
      <c r="I11" s="593"/>
      <c r="J11" s="593"/>
      <c r="K11" s="593"/>
      <c r="L11" s="597">
        <v>0</v>
      </c>
      <c r="M11" s="595">
        <f>'2-地价分摊表'!M8</f>
        <v>0</v>
      </c>
      <c r="N11" s="595">
        <f>'2-地价分摊表'!N8</f>
        <v>0</v>
      </c>
      <c r="O11" s="595">
        <f>M11+N11</f>
        <v>0</v>
      </c>
      <c r="P11" s="595" t="e">
        <f t="shared" si="0"/>
        <v>#DIV/0!</v>
      </c>
      <c r="Q11" s="596"/>
      <c r="R11" s="595"/>
      <c r="S11" s="582"/>
      <c r="T11" s="582"/>
      <c r="U11" s="582"/>
      <c r="V11" s="582"/>
      <c r="W11" s="582"/>
      <c r="X11" s="582"/>
      <c r="Y11" s="582"/>
      <c r="Z11" s="582"/>
      <c r="AA11" s="582"/>
      <c r="AB11" s="582"/>
      <c r="AC11" s="582"/>
      <c r="AD11" s="582"/>
      <c r="AE11" s="582"/>
      <c r="AF11" s="582"/>
      <c r="AG11" s="582"/>
      <c r="AH11" s="582"/>
      <c r="AI11" s="582"/>
      <c r="AJ11" s="582"/>
      <c r="AK11" s="582"/>
      <c r="AL11" s="582"/>
      <c r="AM11" s="582"/>
      <c r="AN11" s="582"/>
      <c r="AO11" s="582"/>
      <c r="AP11" s="582"/>
      <c r="AQ11" s="582"/>
      <c r="AR11" s="582"/>
      <c r="AS11" s="582"/>
      <c r="AT11" s="582"/>
      <c r="AU11" s="582"/>
      <c r="AV11" s="582"/>
      <c r="AW11" s="582"/>
      <c r="AX11" s="582"/>
      <c r="AY11" s="582"/>
      <c r="AZ11" s="582"/>
    </row>
    <row r="12" spans="1:52" s="591" customFormat="1" ht="16.25" customHeight="1" outlineLevel="2">
      <c r="A12" s="583"/>
      <c r="B12" s="510" t="s">
        <v>1089</v>
      </c>
      <c r="C12" s="509" t="s">
        <v>33</v>
      </c>
      <c r="D12" s="510" t="s">
        <v>531</v>
      </c>
      <c r="E12" s="509"/>
      <c r="F12" s="592"/>
      <c r="G12" s="593"/>
      <c r="H12" s="593"/>
      <c r="I12" s="593"/>
      <c r="J12" s="593"/>
      <c r="K12" s="593"/>
      <c r="L12" s="594"/>
      <c r="M12" s="595"/>
      <c r="N12" s="595"/>
      <c r="O12" s="595"/>
      <c r="P12" s="595" t="str">
        <f t="shared" si="0"/>
        <v/>
      </c>
      <c r="Q12" s="596"/>
      <c r="R12" s="595">
        <f>SUBTOTAL(9,R13:R15)</f>
        <v>0</v>
      </c>
      <c r="S12" s="582"/>
      <c r="T12" s="582"/>
      <c r="U12" s="582"/>
      <c r="V12" s="582"/>
      <c r="W12" s="582"/>
      <c r="X12" s="582"/>
      <c r="Y12" s="582"/>
      <c r="Z12" s="582"/>
      <c r="AA12" s="582"/>
      <c r="AB12" s="582"/>
      <c r="AC12" s="582"/>
      <c r="AD12" s="582"/>
      <c r="AE12" s="582"/>
      <c r="AF12" s="582"/>
      <c r="AG12" s="582"/>
      <c r="AH12" s="582"/>
      <c r="AI12" s="582"/>
      <c r="AJ12" s="582"/>
      <c r="AK12" s="582"/>
      <c r="AL12" s="582"/>
      <c r="AM12" s="582"/>
      <c r="AN12" s="582"/>
      <c r="AO12" s="582"/>
      <c r="AP12" s="582"/>
      <c r="AQ12" s="582"/>
      <c r="AR12" s="582"/>
      <c r="AS12" s="582"/>
      <c r="AT12" s="582"/>
      <c r="AU12" s="582"/>
      <c r="AV12" s="582"/>
      <c r="AW12" s="582"/>
      <c r="AX12" s="582"/>
      <c r="AY12" s="582"/>
      <c r="AZ12" s="582"/>
    </row>
    <row r="13" spans="1:52" s="591" customFormat="1" ht="16.25" customHeight="1" outlineLevel="3">
      <c r="A13" s="583"/>
      <c r="B13" s="510" t="s">
        <v>1090</v>
      </c>
      <c r="C13" s="509" t="s">
        <v>516</v>
      </c>
      <c r="D13" s="510" t="s">
        <v>1025</v>
      </c>
      <c r="E13" s="598" t="s">
        <v>1091</v>
      </c>
      <c r="F13" s="592"/>
      <c r="G13" s="593"/>
      <c r="H13" s="593"/>
      <c r="I13" s="593"/>
      <c r="J13" s="593"/>
      <c r="K13" s="593"/>
      <c r="L13" s="597">
        <v>0.11</v>
      </c>
      <c r="M13" s="599"/>
      <c r="N13" s="599"/>
      <c r="O13" s="599"/>
      <c r="P13" s="595" t="str">
        <f t="shared" si="0"/>
        <v/>
      </c>
      <c r="Q13" s="596"/>
      <c r="R13" s="595">
        <f>M13*$R$3</f>
        <v>0</v>
      </c>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row>
    <row r="14" spans="1:52" s="591" customFormat="1" ht="16.25" customHeight="1" outlineLevel="3">
      <c r="A14" s="583"/>
      <c r="B14" s="510" t="s">
        <v>1092</v>
      </c>
      <c r="C14" s="509" t="s">
        <v>516</v>
      </c>
      <c r="D14" s="510" t="s">
        <v>1026</v>
      </c>
      <c r="E14" s="598" t="s">
        <v>1091</v>
      </c>
      <c r="F14" s="592"/>
      <c r="G14" s="593"/>
      <c r="H14" s="593"/>
      <c r="I14" s="593"/>
      <c r="J14" s="593"/>
      <c r="K14" s="593"/>
      <c r="L14" s="597">
        <v>0.11</v>
      </c>
      <c r="M14" s="599"/>
      <c r="N14" s="599"/>
      <c r="O14" s="582"/>
      <c r="P14" s="595" t="str">
        <f t="shared" si="0"/>
        <v/>
      </c>
      <c r="Q14" s="596"/>
      <c r="R14" s="595">
        <f>M14*$R$3</f>
        <v>0</v>
      </c>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row>
    <row r="15" spans="1:52" s="591" customFormat="1" ht="16.25" customHeight="1" outlineLevel="3">
      <c r="A15" s="583"/>
      <c r="B15" s="510" t="s">
        <v>1093</v>
      </c>
      <c r="C15" s="509" t="s">
        <v>516</v>
      </c>
      <c r="D15" s="510" t="s">
        <v>1027</v>
      </c>
      <c r="E15" s="598" t="s">
        <v>1091</v>
      </c>
      <c r="F15" s="592"/>
      <c r="G15" s="593"/>
      <c r="H15" s="593"/>
      <c r="I15" s="593"/>
      <c r="J15" s="593"/>
      <c r="K15" s="593"/>
      <c r="L15" s="597">
        <v>0.11</v>
      </c>
      <c r="M15" s="599"/>
      <c r="N15" s="599"/>
      <c r="O15" s="599"/>
      <c r="P15" s="595" t="str">
        <f t="shared" si="0"/>
        <v/>
      </c>
      <c r="Q15" s="596"/>
      <c r="R15" s="595"/>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row>
    <row r="16" spans="1:52" s="591" customFormat="1" ht="16.25" customHeight="1" outlineLevel="2">
      <c r="A16" s="583"/>
      <c r="B16" s="510" t="s">
        <v>1094</v>
      </c>
      <c r="C16" s="509" t="s">
        <v>88</v>
      </c>
      <c r="D16" s="510" t="s">
        <v>532</v>
      </c>
      <c r="E16" s="509" t="s">
        <v>786</v>
      </c>
      <c r="F16" s="592"/>
      <c r="G16" s="593"/>
      <c r="H16" s="593"/>
      <c r="I16" s="593"/>
      <c r="J16" s="593"/>
      <c r="K16" s="593"/>
      <c r="L16" s="594"/>
      <c r="M16" s="595"/>
      <c r="N16" s="595"/>
      <c r="O16" s="595"/>
      <c r="P16" s="595" t="str">
        <f t="shared" si="0"/>
        <v/>
      </c>
      <c r="Q16" s="596"/>
      <c r="R16" s="595"/>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row>
    <row r="17" spans="1:18" ht="16" customHeight="1" outlineLevel="1">
      <c r="A17" s="600"/>
      <c r="B17" s="601" t="s">
        <v>477</v>
      </c>
      <c r="C17" s="585">
        <v>2</v>
      </c>
      <c r="D17" s="586" t="s">
        <v>478</v>
      </c>
      <c r="E17" s="602"/>
      <c r="F17" s="490"/>
      <c r="G17" s="493"/>
      <c r="H17" s="491"/>
      <c r="I17" s="492"/>
      <c r="J17" s="492"/>
      <c r="K17" s="492"/>
      <c r="L17" s="588"/>
      <c r="M17" s="589">
        <f>'2-地价分摊表'!M6</f>
        <v>0</v>
      </c>
      <c r="N17" s="589">
        <v>0</v>
      </c>
      <c r="O17" s="589">
        <f>'2-地价分摊表'!O6</f>
        <v>0</v>
      </c>
      <c r="P17" s="589" t="e">
        <f>IF(O17="","",O17*10000/F$3)</f>
        <v>#DIV/0!</v>
      </c>
      <c r="Q17" s="589"/>
      <c r="R17" s="589"/>
    </row>
    <row r="18" spans="1:18" ht="16" customHeight="1" outlineLevel="1">
      <c r="A18" s="600"/>
      <c r="B18" s="601" t="s">
        <v>477</v>
      </c>
      <c r="C18" s="585">
        <v>3</v>
      </c>
      <c r="D18" s="586" t="s">
        <v>533</v>
      </c>
      <c r="E18" s="602"/>
      <c r="F18" s="490"/>
      <c r="G18" s="493"/>
      <c r="H18" s="491"/>
      <c r="I18" s="492"/>
      <c r="J18" s="492"/>
      <c r="K18" s="492"/>
      <c r="L18" s="588"/>
      <c r="M18" s="589">
        <f>SUBTOTAL(9,M19:M71)</f>
        <v>0</v>
      </c>
      <c r="N18" s="589">
        <f>SUBTOTAL(9,N19:N71)</f>
        <v>0</v>
      </c>
      <c r="O18" s="589">
        <f>SUBTOTAL(9,O19:O71)</f>
        <v>0</v>
      </c>
      <c r="P18" s="589" t="e">
        <f>IF(O18="","",O18*10000/F$3)</f>
        <v>#DIV/0!</v>
      </c>
      <c r="Q18" s="589">
        <f t="shared" ref="Q18:Q28" si="1">M18</f>
        <v>0</v>
      </c>
      <c r="R18" s="589"/>
    </row>
    <row r="19" spans="1:18" ht="16" customHeight="1" outlineLevel="2">
      <c r="A19" s="600"/>
      <c r="B19" s="603" t="s">
        <v>1095</v>
      </c>
      <c r="C19" s="604" t="s">
        <v>1096</v>
      </c>
      <c r="D19" s="605" t="s">
        <v>1097</v>
      </c>
      <c r="E19" s="606"/>
      <c r="F19" s="607"/>
      <c r="G19" s="608"/>
      <c r="H19" s="609"/>
      <c r="I19" s="610"/>
      <c r="J19" s="611"/>
      <c r="K19" s="611"/>
      <c r="L19" s="612"/>
      <c r="M19" s="613">
        <f>SUBTOTAL(9,M20:M28)</f>
        <v>0</v>
      </c>
      <c r="N19" s="613">
        <f>SUBTOTAL(9,N20:N28)</f>
        <v>0</v>
      </c>
      <c r="O19" s="613">
        <f>SUBTOTAL(9,O20:O28)</f>
        <v>0</v>
      </c>
      <c r="P19" s="599" t="e">
        <f>IF(O19="","",O19*10000/F$3)</f>
        <v>#DIV/0!</v>
      </c>
      <c r="Q19" s="614">
        <f t="shared" si="1"/>
        <v>0</v>
      </c>
      <c r="R19" s="614"/>
    </row>
    <row r="20" spans="1:18" ht="15.5" outlineLevel="3">
      <c r="A20" s="600"/>
      <c r="B20" s="603" t="s">
        <v>1098</v>
      </c>
      <c r="C20" s="615" t="s">
        <v>39</v>
      </c>
      <c r="D20" s="616" t="s">
        <v>1099</v>
      </c>
      <c r="E20" s="606" t="s">
        <v>1100</v>
      </c>
      <c r="F20" s="606" t="s">
        <v>431</v>
      </c>
      <c r="G20" s="617">
        <v>1</v>
      </c>
      <c r="H20" s="618" t="s">
        <v>582</v>
      </c>
      <c r="I20" s="618">
        <f>C3</f>
        <v>0</v>
      </c>
      <c r="J20" s="619">
        <v>1</v>
      </c>
      <c r="K20" s="617">
        <f>J20/(1+L20)</f>
        <v>0.94339622641509424</v>
      </c>
      <c r="L20" s="620">
        <v>0.06</v>
      </c>
      <c r="M20" s="599">
        <f>K20*I20*G20/10000</f>
        <v>0</v>
      </c>
      <c r="N20" s="599">
        <f>M20*L20</f>
        <v>0</v>
      </c>
      <c r="O20" s="599">
        <f>M20+N20</f>
        <v>0</v>
      </c>
      <c r="P20" s="599" t="e">
        <f t="shared" ref="P20:P71" si="2">IF(O20="","",O20*10000/F$3)</f>
        <v>#DIV/0!</v>
      </c>
      <c r="Q20" s="599">
        <f t="shared" si="1"/>
        <v>0</v>
      </c>
      <c r="R20" s="621"/>
    </row>
    <row r="21" spans="1:18" ht="15.5" outlineLevel="3">
      <c r="A21" s="600"/>
      <c r="B21" s="603" t="s">
        <v>1101</v>
      </c>
      <c r="C21" s="615" t="s">
        <v>39</v>
      </c>
      <c r="D21" s="616" t="s">
        <v>1102</v>
      </c>
      <c r="E21" s="606" t="s">
        <v>1100</v>
      </c>
      <c r="F21" s="606" t="s">
        <v>431</v>
      </c>
      <c r="G21" s="617">
        <v>2</v>
      </c>
      <c r="H21" s="618" t="s">
        <v>582</v>
      </c>
      <c r="I21" s="618">
        <f>C3</f>
        <v>0</v>
      </c>
      <c r="J21" s="619">
        <v>2</v>
      </c>
      <c r="K21" s="619">
        <f t="shared" ref="K21:K71" si="3">J21/(1+L21)</f>
        <v>1.8867924528301885</v>
      </c>
      <c r="L21" s="620">
        <v>0.06</v>
      </c>
      <c r="M21" s="599">
        <f t="shared" ref="M21:M71" si="4">K21*I21*G21/10000</f>
        <v>0</v>
      </c>
      <c r="N21" s="599">
        <f t="shared" ref="N21:N28" si="5">M21*L21</f>
        <v>0</v>
      </c>
      <c r="O21" s="599">
        <f t="shared" ref="O21:O28" si="6">M21+N21</f>
        <v>0</v>
      </c>
      <c r="P21" s="599" t="e">
        <f t="shared" si="2"/>
        <v>#DIV/0!</v>
      </c>
      <c r="Q21" s="599">
        <f t="shared" si="1"/>
        <v>0</v>
      </c>
      <c r="R21" s="621"/>
    </row>
    <row r="22" spans="1:18" ht="16" customHeight="1" outlineLevel="3">
      <c r="A22" s="600"/>
      <c r="B22" s="603" t="s">
        <v>1103</v>
      </c>
      <c r="C22" s="615" t="s">
        <v>39</v>
      </c>
      <c r="D22" s="616" t="s">
        <v>1104</v>
      </c>
      <c r="E22" s="606" t="s">
        <v>1100</v>
      </c>
      <c r="F22" s="606" t="s">
        <v>1106</v>
      </c>
      <c r="G22" s="617">
        <v>30</v>
      </c>
      <c r="H22" s="606" t="s">
        <v>1107</v>
      </c>
      <c r="I22" s="618">
        <f>J3</f>
        <v>0</v>
      </c>
      <c r="J22" s="619">
        <v>180</v>
      </c>
      <c r="K22" s="619">
        <f t="shared" si="3"/>
        <v>169.81132075471697</v>
      </c>
      <c r="L22" s="620">
        <v>0.06</v>
      </c>
      <c r="M22" s="599">
        <f t="shared" si="4"/>
        <v>0</v>
      </c>
      <c r="N22" s="599">
        <f t="shared" si="5"/>
        <v>0</v>
      </c>
      <c r="O22" s="599">
        <f t="shared" si="6"/>
        <v>0</v>
      </c>
      <c r="P22" s="599" t="e">
        <f t="shared" si="2"/>
        <v>#DIV/0!</v>
      </c>
      <c r="Q22" s="599">
        <f t="shared" si="1"/>
        <v>0</v>
      </c>
      <c r="R22" s="621"/>
    </row>
    <row r="23" spans="1:18" ht="16" customHeight="1" outlineLevel="3">
      <c r="A23" s="600"/>
      <c r="B23" s="603" t="s">
        <v>1108</v>
      </c>
      <c r="C23" s="615" t="s">
        <v>39</v>
      </c>
      <c r="D23" s="616" t="s">
        <v>1109</v>
      </c>
      <c r="E23" s="606" t="s">
        <v>1100</v>
      </c>
      <c r="F23" s="606" t="s">
        <v>1105</v>
      </c>
      <c r="G23" s="617">
        <v>120</v>
      </c>
      <c r="H23" s="606" t="s">
        <v>135</v>
      </c>
      <c r="I23" s="618">
        <f>J3</f>
        <v>0</v>
      </c>
      <c r="J23" s="619">
        <v>180</v>
      </c>
      <c r="K23" s="619">
        <f t="shared" si="3"/>
        <v>169.81132075471697</v>
      </c>
      <c r="L23" s="620">
        <v>0.06</v>
      </c>
      <c r="M23" s="599">
        <f t="shared" si="4"/>
        <v>0</v>
      </c>
      <c r="N23" s="599">
        <f t="shared" si="5"/>
        <v>0</v>
      </c>
      <c r="O23" s="599">
        <f t="shared" si="6"/>
        <v>0</v>
      </c>
      <c r="P23" s="599" t="e">
        <f t="shared" si="2"/>
        <v>#DIV/0!</v>
      </c>
      <c r="Q23" s="599">
        <f t="shared" si="1"/>
        <v>0</v>
      </c>
      <c r="R23" s="621"/>
    </row>
    <row r="24" spans="1:18" ht="16" customHeight="1" outlineLevel="3">
      <c r="A24" s="600"/>
      <c r="B24" s="603" t="s">
        <v>1110</v>
      </c>
      <c r="C24" s="615" t="s">
        <v>39</v>
      </c>
      <c r="D24" s="616" t="s">
        <v>1111</v>
      </c>
      <c r="E24" s="606" t="s">
        <v>1100</v>
      </c>
      <c r="F24" s="606" t="s">
        <v>1112</v>
      </c>
      <c r="G24" s="622">
        <v>1</v>
      </c>
      <c r="H24" s="606" t="s">
        <v>583</v>
      </c>
      <c r="I24" s="618">
        <f>I3</f>
        <v>0</v>
      </c>
      <c r="J24" s="623">
        <v>12000</v>
      </c>
      <c r="K24" s="623">
        <f t="shared" si="3"/>
        <v>11320.754716981131</v>
      </c>
      <c r="L24" s="620">
        <v>0.06</v>
      </c>
      <c r="M24" s="599">
        <f t="shared" si="4"/>
        <v>0</v>
      </c>
      <c r="N24" s="599">
        <f t="shared" si="5"/>
        <v>0</v>
      </c>
      <c r="O24" s="599">
        <f t="shared" si="6"/>
        <v>0</v>
      </c>
      <c r="P24" s="599" t="e">
        <f t="shared" si="2"/>
        <v>#DIV/0!</v>
      </c>
      <c r="Q24" s="599">
        <f t="shared" si="1"/>
        <v>0</v>
      </c>
      <c r="R24" s="621"/>
    </row>
    <row r="25" spans="1:18" s="600" customFormat="1" ht="16" customHeight="1" outlineLevel="3">
      <c r="B25" s="603" t="s">
        <v>1113</v>
      </c>
      <c r="C25" s="604" t="s">
        <v>39</v>
      </c>
      <c r="D25" s="616" t="s">
        <v>1114</v>
      </c>
      <c r="E25" s="606" t="s">
        <v>1100</v>
      </c>
      <c r="F25" s="606" t="s">
        <v>1115</v>
      </c>
      <c r="G25" s="617">
        <v>1</v>
      </c>
      <c r="H25" s="618" t="s">
        <v>1116</v>
      </c>
      <c r="I25" s="618">
        <f>C3</f>
        <v>0</v>
      </c>
      <c r="J25" s="623">
        <v>0.5</v>
      </c>
      <c r="K25" s="623">
        <f t="shared" si="3"/>
        <v>0.47169811320754712</v>
      </c>
      <c r="L25" s="620">
        <v>0.06</v>
      </c>
      <c r="M25" s="599">
        <f t="shared" si="4"/>
        <v>0</v>
      </c>
      <c r="N25" s="599">
        <f t="shared" si="5"/>
        <v>0</v>
      </c>
      <c r="O25" s="599">
        <f t="shared" si="6"/>
        <v>0</v>
      </c>
      <c r="P25" s="599" t="e">
        <f t="shared" si="2"/>
        <v>#DIV/0!</v>
      </c>
      <c r="Q25" s="599">
        <f t="shared" si="1"/>
        <v>0</v>
      </c>
      <c r="R25" s="614"/>
    </row>
    <row r="26" spans="1:18" s="600" customFormat="1" ht="16" customHeight="1" outlineLevel="3">
      <c r="B26" s="603" t="s">
        <v>1117</v>
      </c>
      <c r="C26" s="624" t="s">
        <v>39</v>
      </c>
      <c r="D26" s="616" t="s">
        <v>1118</v>
      </c>
      <c r="E26" s="606" t="s">
        <v>1100</v>
      </c>
      <c r="F26" s="606" t="s">
        <v>3</v>
      </c>
      <c r="G26" s="617"/>
      <c r="H26" s="606" t="s">
        <v>583</v>
      </c>
      <c r="I26" s="618">
        <f>I3</f>
        <v>0</v>
      </c>
      <c r="J26" s="623">
        <v>8000</v>
      </c>
      <c r="K26" s="623">
        <f t="shared" si="3"/>
        <v>7207.2072072072069</v>
      </c>
      <c r="L26" s="620">
        <v>0.11</v>
      </c>
      <c r="M26" s="599">
        <f t="shared" si="4"/>
        <v>0</v>
      </c>
      <c r="N26" s="599">
        <f t="shared" si="5"/>
        <v>0</v>
      </c>
      <c r="O26" s="599">
        <f t="shared" si="6"/>
        <v>0</v>
      </c>
      <c r="P26" s="599" t="e">
        <f t="shared" si="2"/>
        <v>#DIV/0!</v>
      </c>
      <c r="Q26" s="599">
        <f t="shared" si="1"/>
        <v>0</v>
      </c>
      <c r="R26" s="614"/>
    </row>
    <row r="27" spans="1:18" s="600" customFormat="1" ht="16" customHeight="1" outlineLevel="3">
      <c r="B27" s="603" t="s">
        <v>1119</v>
      </c>
      <c r="C27" s="624" t="s">
        <v>39</v>
      </c>
      <c r="D27" s="616" t="s">
        <v>1120</v>
      </c>
      <c r="E27" s="606" t="s">
        <v>1121</v>
      </c>
      <c r="F27" s="606" t="s">
        <v>11</v>
      </c>
      <c r="G27" s="622"/>
      <c r="H27" s="618" t="s">
        <v>582</v>
      </c>
      <c r="I27" s="618">
        <f t="shared" ref="I27:I62" si="7">$D$3</f>
        <v>0</v>
      </c>
      <c r="J27" s="619">
        <v>3</v>
      </c>
      <c r="K27" s="619">
        <f t="shared" si="3"/>
        <v>2.7027027027027026</v>
      </c>
      <c r="L27" s="620">
        <v>0.11</v>
      </c>
      <c r="M27" s="599">
        <f t="shared" si="4"/>
        <v>0</v>
      </c>
      <c r="N27" s="599">
        <f t="shared" si="5"/>
        <v>0</v>
      </c>
      <c r="O27" s="599">
        <f t="shared" si="6"/>
        <v>0</v>
      </c>
      <c r="P27" s="599" t="e">
        <f t="shared" si="2"/>
        <v>#DIV/0!</v>
      </c>
      <c r="Q27" s="599">
        <f t="shared" si="1"/>
        <v>0</v>
      </c>
      <c r="R27" s="614"/>
    </row>
    <row r="28" spans="1:18" s="600" customFormat="1" ht="16" customHeight="1" outlineLevel="3">
      <c r="B28" s="603" t="s">
        <v>1122</v>
      </c>
      <c r="C28" s="624" t="s">
        <v>39</v>
      </c>
      <c r="D28" s="616" t="s">
        <v>1123</v>
      </c>
      <c r="E28" s="606" t="s">
        <v>1100</v>
      </c>
      <c r="F28" s="606" t="s">
        <v>11</v>
      </c>
      <c r="G28" s="617">
        <v>8</v>
      </c>
      <c r="H28" s="618" t="s">
        <v>584</v>
      </c>
      <c r="I28" s="618">
        <f>I3</f>
        <v>0</v>
      </c>
      <c r="J28" s="619">
        <v>900</v>
      </c>
      <c r="K28" s="619">
        <f t="shared" si="3"/>
        <v>849.05660377358481</v>
      </c>
      <c r="L28" s="620">
        <v>0.06</v>
      </c>
      <c r="M28" s="599">
        <f t="shared" si="4"/>
        <v>0</v>
      </c>
      <c r="N28" s="599">
        <f t="shared" si="5"/>
        <v>0</v>
      </c>
      <c r="O28" s="599">
        <f t="shared" si="6"/>
        <v>0</v>
      </c>
      <c r="P28" s="599" t="e">
        <f t="shared" si="2"/>
        <v>#DIV/0!</v>
      </c>
      <c r="Q28" s="599">
        <f t="shared" si="1"/>
        <v>0</v>
      </c>
      <c r="R28" s="614"/>
    </row>
    <row r="29" spans="1:18" s="600" customFormat="1" ht="16" customHeight="1" outlineLevel="2">
      <c r="B29" s="603" t="s">
        <v>1124</v>
      </c>
      <c r="C29" s="624" t="s">
        <v>68</v>
      </c>
      <c r="D29" s="616" t="s">
        <v>1125</v>
      </c>
      <c r="E29" s="606"/>
      <c r="F29" s="606" t="s">
        <v>11</v>
      </c>
      <c r="G29" s="617"/>
      <c r="H29" s="618"/>
      <c r="I29" s="618"/>
      <c r="J29" s="619"/>
      <c r="K29" s="619"/>
      <c r="L29" s="620"/>
      <c r="M29" s="613">
        <f>SUBTOTAL(9,M30:M67)</f>
        <v>0</v>
      </c>
      <c r="N29" s="613">
        <f>SUBTOTAL(9,N30:N67)</f>
        <v>0</v>
      </c>
      <c r="O29" s="613">
        <f>SUBTOTAL(9,O30:O67)</f>
        <v>0</v>
      </c>
      <c r="P29" s="599" t="e">
        <f t="shared" si="2"/>
        <v>#DIV/0!</v>
      </c>
      <c r="Q29" s="599"/>
      <c r="R29" s="614"/>
    </row>
    <row r="30" spans="1:18" s="600" customFormat="1" ht="16" customHeight="1" outlineLevel="3">
      <c r="B30" s="603" t="s">
        <v>1126</v>
      </c>
      <c r="C30" s="624" t="s">
        <v>39</v>
      </c>
      <c r="D30" s="616" t="s">
        <v>1127</v>
      </c>
      <c r="E30" s="606" t="s">
        <v>1128</v>
      </c>
      <c r="F30" s="606" t="s">
        <v>11</v>
      </c>
      <c r="G30" s="617">
        <v>1</v>
      </c>
      <c r="H30" s="618" t="s">
        <v>582</v>
      </c>
      <c r="I30" s="618">
        <f>D3</f>
        <v>0</v>
      </c>
      <c r="J30" s="619">
        <v>1</v>
      </c>
      <c r="K30" s="619">
        <v>0.8</v>
      </c>
      <c r="L30" s="620">
        <v>0.06</v>
      </c>
      <c r="M30" s="599">
        <f t="shared" si="4"/>
        <v>0</v>
      </c>
      <c r="N30" s="599">
        <f t="shared" ref="N30:N67" si="8">M30*L30</f>
        <v>0</v>
      </c>
      <c r="O30" s="599">
        <f t="shared" ref="O30:O67" si="9">M30+N30</f>
        <v>0</v>
      </c>
      <c r="P30" s="599" t="e">
        <f t="shared" si="2"/>
        <v>#DIV/0!</v>
      </c>
      <c r="Q30" s="599">
        <f>M30</f>
        <v>0</v>
      </c>
      <c r="R30" s="614"/>
    </row>
    <row r="31" spans="1:18" s="600" customFormat="1" ht="16" customHeight="1" outlineLevel="3">
      <c r="B31" s="603" t="s">
        <v>1129</v>
      </c>
      <c r="C31" s="624" t="s">
        <v>39</v>
      </c>
      <c r="D31" s="616" t="s">
        <v>1130</v>
      </c>
      <c r="E31" s="606" t="s">
        <v>1128</v>
      </c>
      <c r="F31" s="606" t="s">
        <v>11</v>
      </c>
      <c r="G31" s="622">
        <v>1</v>
      </c>
      <c r="H31" s="618" t="s">
        <v>582</v>
      </c>
      <c r="I31" s="618">
        <f t="shared" si="7"/>
        <v>0</v>
      </c>
      <c r="J31" s="619">
        <v>3</v>
      </c>
      <c r="K31" s="619">
        <v>2</v>
      </c>
      <c r="L31" s="620">
        <v>0.06</v>
      </c>
      <c r="M31" s="599">
        <f t="shared" si="4"/>
        <v>0</v>
      </c>
      <c r="N31" s="599">
        <f t="shared" si="8"/>
        <v>0</v>
      </c>
      <c r="O31" s="599">
        <f t="shared" si="9"/>
        <v>0</v>
      </c>
      <c r="P31" s="599" t="e">
        <f t="shared" si="2"/>
        <v>#DIV/0!</v>
      </c>
      <c r="Q31" s="599">
        <f>M31</f>
        <v>0</v>
      </c>
      <c r="R31" s="614"/>
    </row>
    <row r="32" spans="1:18" s="600" customFormat="1" ht="16" customHeight="1" outlineLevel="3">
      <c r="B32" s="603" t="s">
        <v>1131</v>
      </c>
      <c r="C32" s="624" t="s">
        <v>39</v>
      </c>
      <c r="D32" s="616" t="s">
        <v>1132</v>
      </c>
      <c r="E32" s="606" t="s">
        <v>1133</v>
      </c>
      <c r="F32" s="606" t="s">
        <v>431</v>
      </c>
      <c r="G32" s="622">
        <v>1</v>
      </c>
      <c r="H32" s="618" t="s">
        <v>582</v>
      </c>
      <c r="I32" s="618">
        <f>C3</f>
        <v>0</v>
      </c>
      <c r="J32" s="619">
        <v>1.0349999999999999</v>
      </c>
      <c r="K32" s="619">
        <f t="shared" si="3"/>
        <v>1.0349999999999999</v>
      </c>
      <c r="L32" s="620">
        <v>0</v>
      </c>
      <c r="M32" s="599">
        <f t="shared" si="4"/>
        <v>0</v>
      </c>
      <c r="N32" s="599">
        <f t="shared" si="8"/>
        <v>0</v>
      </c>
      <c r="O32" s="599">
        <f t="shared" si="9"/>
        <v>0</v>
      </c>
      <c r="P32" s="599" t="e">
        <f t="shared" si="2"/>
        <v>#DIV/0!</v>
      </c>
      <c r="Q32" s="599">
        <f>M32</f>
        <v>0</v>
      </c>
      <c r="R32" s="614"/>
    </row>
    <row r="33" spans="2:18" s="600" customFormat="1" ht="16" customHeight="1" outlineLevel="3">
      <c r="B33" s="603" t="s">
        <v>1134</v>
      </c>
      <c r="C33" s="624" t="s">
        <v>39</v>
      </c>
      <c r="D33" s="616" t="s">
        <v>1135</v>
      </c>
      <c r="E33" s="606" t="s">
        <v>1133</v>
      </c>
      <c r="F33" s="606" t="s">
        <v>1136</v>
      </c>
      <c r="G33" s="622">
        <v>1</v>
      </c>
      <c r="H33" s="618" t="s">
        <v>582</v>
      </c>
      <c r="I33" s="618">
        <f>D3</f>
        <v>0</v>
      </c>
      <c r="J33" s="619">
        <v>2</v>
      </c>
      <c r="K33" s="619">
        <f t="shared" si="3"/>
        <v>2</v>
      </c>
      <c r="L33" s="620">
        <v>0</v>
      </c>
      <c r="M33" s="599">
        <f t="shared" si="4"/>
        <v>0</v>
      </c>
      <c r="N33" s="599">
        <f t="shared" si="8"/>
        <v>0</v>
      </c>
      <c r="O33" s="599">
        <f t="shared" si="9"/>
        <v>0</v>
      </c>
      <c r="P33" s="599" t="e">
        <f t="shared" si="2"/>
        <v>#DIV/0!</v>
      </c>
      <c r="Q33" s="599">
        <f>M33</f>
        <v>0</v>
      </c>
      <c r="R33" s="614"/>
    </row>
    <row r="34" spans="2:18" s="600" customFormat="1" ht="16" customHeight="1" outlineLevel="3">
      <c r="B34" s="603" t="s">
        <v>1137</v>
      </c>
      <c r="C34" s="624" t="s">
        <v>39</v>
      </c>
      <c r="D34" s="616" t="s">
        <v>1138</v>
      </c>
      <c r="E34" s="606" t="s">
        <v>1133</v>
      </c>
      <c r="F34" s="606" t="s">
        <v>1139</v>
      </c>
      <c r="G34" s="622">
        <v>1</v>
      </c>
      <c r="H34" s="618" t="s">
        <v>1140</v>
      </c>
      <c r="I34" s="618">
        <f>I33</f>
        <v>0</v>
      </c>
      <c r="J34" s="619">
        <v>10</v>
      </c>
      <c r="K34" s="619">
        <f t="shared" si="3"/>
        <v>10</v>
      </c>
      <c r="L34" s="620">
        <v>0</v>
      </c>
      <c r="M34" s="599">
        <f t="shared" si="4"/>
        <v>0</v>
      </c>
      <c r="N34" s="599">
        <f t="shared" si="8"/>
        <v>0</v>
      </c>
      <c r="O34" s="599">
        <f t="shared" si="9"/>
        <v>0</v>
      </c>
      <c r="P34" s="599" t="e">
        <f t="shared" si="2"/>
        <v>#DIV/0!</v>
      </c>
      <c r="Q34" s="599">
        <f>M34</f>
        <v>0</v>
      </c>
      <c r="R34" s="614"/>
    </row>
    <row r="35" spans="2:18" s="600" customFormat="1" ht="16" customHeight="1" outlineLevel="3">
      <c r="B35" s="603" t="s">
        <v>1141</v>
      </c>
      <c r="C35" s="624" t="s">
        <v>39</v>
      </c>
      <c r="D35" s="616" t="s">
        <v>1142</v>
      </c>
      <c r="E35" s="606" t="s">
        <v>1143</v>
      </c>
      <c r="F35" s="606" t="s">
        <v>11</v>
      </c>
      <c r="G35" s="622">
        <v>2.5999999999999999E-2</v>
      </c>
      <c r="H35" s="618" t="s">
        <v>582</v>
      </c>
      <c r="I35" s="618">
        <f t="shared" si="7"/>
        <v>0</v>
      </c>
      <c r="J35" s="619">
        <v>2400</v>
      </c>
      <c r="K35" s="619">
        <f t="shared" si="3"/>
        <v>2162.1621621621621</v>
      </c>
      <c r="L35" s="620">
        <v>0.11</v>
      </c>
      <c r="M35" s="599">
        <f t="shared" si="4"/>
        <v>0</v>
      </c>
      <c r="N35" s="599">
        <f t="shared" si="8"/>
        <v>0</v>
      </c>
      <c r="O35" s="599">
        <f t="shared" si="9"/>
        <v>0</v>
      </c>
      <c r="P35" s="599" t="e">
        <f t="shared" si="2"/>
        <v>#DIV/0!</v>
      </c>
      <c r="Q35" s="599">
        <f t="shared" ref="Q35:Q98" si="10">M35</f>
        <v>0</v>
      </c>
      <c r="R35" s="614"/>
    </row>
    <row r="36" spans="2:18" s="600" customFormat="1" ht="16" customHeight="1" outlineLevel="3">
      <c r="B36" s="603" t="s">
        <v>1144</v>
      </c>
      <c r="C36" s="624" t="s">
        <v>39</v>
      </c>
      <c r="D36" s="616" t="s">
        <v>1145</v>
      </c>
      <c r="E36" s="606" t="s">
        <v>1133</v>
      </c>
      <c r="F36" s="606" t="s">
        <v>11</v>
      </c>
      <c r="G36" s="622">
        <v>5.9999999999999995E-4</v>
      </c>
      <c r="H36" s="618" t="s">
        <v>582</v>
      </c>
      <c r="I36" s="618">
        <f t="shared" si="7"/>
        <v>0</v>
      </c>
      <c r="J36" s="619"/>
      <c r="K36" s="619">
        <f t="shared" si="3"/>
        <v>0</v>
      </c>
      <c r="L36" s="620"/>
      <c r="M36" s="599">
        <f t="shared" si="4"/>
        <v>0</v>
      </c>
      <c r="N36" s="599">
        <f t="shared" si="8"/>
        <v>0</v>
      </c>
      <c r="O36" s="599">
        <f t="shared" si="9"/>
        <v>0</v>
      </c>
      <c r="P36" s="599" t="e">
        <f t="shared" si="2"/>
        <v>#DIV/0!</v>
      </c>
      <c r="Q36" s="599">
        <f t="shared" si="10"/>
        <v>0</v>
      </c>
      <c r="R36" s="614"/>
    </row>
    <row r="37" spans="2:18" s="600" customFormat="1" ht="16" customHeight="1" outlineLevel="3">
      <c r="B37" s="603" t="s">
        <v>1146</v>
      </c>
      <c r="C37" s="624" t="s">
        <v>39</v>
      </c>
      <c r="D37" s="616" t="s">
        <v>1147</v>
      </c>
      <c r="E37" s="606" t="s">
        <v>1133</v>
      </c>
      <c r="F37" s="606" t="s">
        <v>11</v>
      </c>
      <c r="G37" s="622">
        <v>1</v>
      </c>
      <c r="H37" s="618" t="s">
        <v>582</v>
      </c>
      <c r="I37" s="618">
        <f t="shared" si="7"/>
        <v>0</v>
      </c>
      <c r="J37" s="619">
        <v>1</v>
      </c>
      <c r="K37" s="619">
        <f t="shared" si="3"/>
        <v>0.94339622641509424</v>
      </c>
      <c r="L37" s="620">
        <v>0.06</v>
      </c>
      <c r="M37" s="599">
        <f t="shared" si="4"/>
        <v>0</v>
      </c>
      <c r="N37" s="599">
        <f t="shared" si="8"/>
        <v>0</v>
      </c>
      <c r="O37" s="599">
        <f t="shared" si="9"/>
        <v>0</v>
      </c>
      <c r="P37" s="599" t="e">
        <f t="shared" si="2"/>
        <v>#DIV/0!</v>
      </c>
      <c r="Q37" s="599">
        <f t="shared" si="10"/>
        <v>0</v>
      </c>
      <c r="R37" s="614"/>
    </row>
    <row r="38" spans="2:18" s="600" customFormat="1" ht="16" customHeight="1" outlineLevel="3">
      <c r="B38" s="603" t="s">
        <v>1148</v>
      </c>
      <c r="C38" s="624" t="s">
        <v>39</v>
      </c>
      <c r="D38" s="616" t="s">
        <v>1149</v>
      </c>
      <c r="E38" s="606" t="s">
        <v>1133</v>
      </c>
      <c r="F38" s="606" t="s">
        <v>11</v>
      </c>
      <c r="G38" s="622">
        <v>1</v>
      </c>
      <c r="H38" s="618" t="s">
        <v>582</v>
      </c>
      <c r="I38" s="618">
        <f t="shared" si="7"/>
        <v>0</v>
      </c>
      <c r="J38" s="619">
        <v>1.3</v>
      </c>
      <c r="K38" s="619">
        <f t="shared" si="3"/>
        <v>1.3</v>
      </c>
      <c r="L38" s="620">
        <v>0</v>
      </c>
      <c r="M38" s="599">
        <f t="shared" si="4"/>
        <v>0</v>
      </c>
      <c r="N38" s="599">
        <f t="shared" si="8"/>
        <v>0</v>
      </c>
      <c r="O38" s="599">
        <f t="shared" si="9"/>
        <v>0</v>
      </c>
      <c r="P38" s="599" t="e">
        <f t="shared" si="2"/>
        <v>#DIV/0!</v>
      </c>
      <c r="Q38" s="599">
        <f t="shared" si="10"/>
        <v>0</v>
      </c>
      <c r="R38" s="614"/>
    </row>
    <row r="39" spans="2:18" s="600" customFormat="1" ht="16" customHeight="1" outlineLevel="3">
      <c r="B39" s="603" t="s">
        <v>1150</v>
      </c>
      <c r="C39" s="624" t="s">
        <v>39</v>
      </c>
      <c r="D39" s="616" t="s">
        <v>466</v>
      </c>
      <c r="E39" s="606" t="s">
        <v>1133</v>
      </c>
      <c r="F39" s="606" t="s">
        <v>11</v>
      </c>
      <c r="G39" s="622">
        <v>1</v>
      </c>
      <c r="H39" s="618" t="s">
        <v>582</v>
      </c>
      <c r="I39" s="618">
        <f t="shared" si="7"/>
        <v>0</v>
      </c>
      <c r="J39" s="619">
        <v>0</v>
      </c>
      <c r="K39" s="619">
        <f t="shared" si="3"/>
        <v>0</v>
      </c>
      <c r="L39" s="620">
        <v>0</v>
      </c>
      <c r="M39" s="599">
        <f t="shared" si="4"/>
        <v>0</v>
      </c>
      <c r="N39" s="599">
        <f t="shared" si="8"/>
        <v>0</v>
      </c>
      <c r="O39" s="599">
        <f t="shared" si="9"/>
        <v>0</v>
      </c>
      <c r="P39" s="599" t="e">
        <f t="shared" si="2"/>
        <v>#DIV/0!</v>
      </c>
      <c r="Q39" s="599">
        <f t="shared" si="10"/>
        <v>0</v>
      </c>
      <c r="R39" s="614"/>
    </row>
    <row r="40" spans="2:18" s="600" customFormat="1" ht="16" customHeight="1" outlineLevel="3">
      <c r="B40" s="603" t="s">
        <v>1151</v>
      </c>
      <c r="C40" s="624" t="s">
        <v>39</v>
      </c>
      <c r="D40" s="616" t="s">
        <v>1152</v>
      </c>
      <c r="E40" s="606" t="s">
        <v>1133</v>
      </c>
      <c r="F40" s="606" t="s">
        <v>11</v>
      </c>
      <c r="G40" s="622">
        <v>1</v>
      </c>
      <c r="H40" s="618" t="s">
        <v>582</v>
      </c>
      <c r="I40" s="618">
        <f t="shared" si="7"/>
        <v>0</v>
      </c>
      <c r="J40" s="619"/>
      <c r="K40" s="619">
        <f t="shared" si="3"/>
        <v>0</v>
      </c>
      <c r="L40" s="620">
        <v>0</v>
      </c>
      <c r="M40" s="599">
        <f t="shared" si="4"/>
        <v>0</v>
      </c>
      <c r="N40" s="599">
        <f t="shared" si="8"/>
        <v>0</v>
      </c>
      <c r="O40" s="599">
        <f t="shared" si="9"/>
        <v>0</v>
      </c>
      <c r="P40" s="599" t="e">
        <f t="shared" si="2"/>
        <v>#DIV/0!</v>
      </c>
      <c r="Q40" s="599">
        <f t="shared" si="10"/>
        <v>0</v>
      </c>
      <c r="R40" s="614"/>
    </row>
    <row r="41" spans="2:18" s="600" customFormat="1" ht="16" customHeight="1" outlineLevel="3">
      <c r="B41" s="603" t="s">
        <v>1153</v>
      </c>
      <c r="C41" s="624" t="s">
        <v>39</v>
      </c>
      <c r="D41" s="616" t="s">
        <v>1154</v>
      </c>
      <c r="E41" s="606" t="s">
        <v>1133</v>
      </c>
      <c r="F41" s="606" t="s">
        <v>5</v>
      </c>
      <c r="G41" s="622">
        <v>1</v>
      </c>
      <c r="H41" s="618" t="s">
        <v>669</v>
      </c>
      <c r="I41" s="618">
        <f>M3</f>
        <v>0</v>
      </c>
      <c r="J41" s="619">
        <v>1</v>
      </c>
      <c r="K41" s="619">
        <f t="shared" si="3"/>
        <v>1</v>
      </c>
      <c r="L41" s="620">
        <v>0</v>
      </c>
      <c r="M41" s="599">
        <f t="shared" si="4"/>
        <v>0</v>
      </c>
      <c r="N41" s="599">
        <f t="shared" si="8"/>
        <v>0</v>
      </c>
      <c r="O41" s="599">
        <f t="shared" si="9"/>
        <v>0</v>
      </c>
      <c r="P41" s="599" t="e">
        <f t="shared" si="2"/>
        <v>#DIV/0!</v>
      </c>
      <c r="Q41" s="599">
        <f t="shared" si="10"/>
        <v>0</v>
      </c>
      <c r="R41" s="614"/>
    </row>
    <row r="42" spans="2:18" s="600" customFormat="1" ht="16" customHeight="1" outlineLevel="3">
      <c r="B42" s="603" t="s">
        <v>1155</v>
      </c>
      <c r="C42" s="624" t="s">
        <v>39</v>
      </c>
      <c r="D42" s="616" t="s">
        <v>1156</v>
      </c>
      <c r="E42" s="606" t="s">
        <v>1133</v>
      </c>
      <c r="F42" s="606" t="s">
        <v>11</v>
      </c>
      <c r="G42" s="622">
        <v>1</v>
      </c>
      <c r="H42" s="618" t="s">
        <v>582</v>
      </c>
      <c r="I42" s="618">
        <f t="shared" si="7"/>
        <v>0</v>
      </c>
      <c r="J42" s="619">
        <v>1.6</v>
      </c>
      <c r="K42" s="619">
        <f t="shared" si="3"/>
        <v>1.5094339622641511</v>
      </c>
      <c r="L42" s="620">
        <v>0.06</v>
      </c>
      <c r="M42" s="599">
        <f t="shared" si="4"/>
        <v>0</v>
      </c>
      <c r="N42" s="599">
        <f t="shared" si="8"/>
        <v>0</v>
      </c>
      <c r="O42" s="599">
        <f t="shared" si="9"/>
        <v>0</v>
      </c>
      <c r="P42" s="599" t="e">
        <f t="shared" si="2"/>
        <v>#DIV/0!</v>
      </c>
      <c r="Q42" s="599">
        <f t="shared" si="10"/>
        <v>0</v>
      </c>
      <c r="R42" s="614"/>
    </row>
    <row r="43" spans="2:18" s="600" customFormat="1" ht="16" customHeight="1" outlineLevel="3">
      <c r="B43" s="603" t="s">
        <v>1157</v>
      </c>
      <c r="C43" s="624" t="s">
        <v>39</v>
      </c>
      <c r="D43" s="616" t="s">
        <v>1158</v>
      </c>
      <c r="E43" s="606" t="s">
        <v>1133</v>
      </c>
      <c r="F43" s="606" t="s">
        <v>11</v>
      </c>
      <c r="G43" s="622">
        <v>1</v>
      </c>
      <c r="H43" s="618" t="s">
        <v>582</v>
      </c>
      <c r="I43" s="618">
        <f t="shared" si="7"/>
        <v>0</v>
      </c>
      <c r="J43" s="619"/>
      <c r="K43" s="619">
        <f t="shared" si="3"/>
        <v>0</v>
      </c>
      <c r="L43" s="620">
        <v>0.06</v>
      </c>
      <c r="M43" s="599">
        <f t="shared" si="4"/>
        <v>0</v>
      </c>
      <c r="N43" s="599">
        <f t="shared" si="8"/>
        <v>0</v>
      </c>
      <c r="O43" s="599">
        <f t="shared" si="9"/>
        <v>0</v>
      </c>
      <c r="P43" s="599" t="e">
        <f t="shared" si="2"/>
        <v>#DIV/0!</v>
      </c>
      <c r="Q43" s="599">
        <f t="shared" si="10"/>
        <v>0</v>
      </c>
      <c r="R43" s="614"/>
    </row>
    <row r="44" spans="2:18" s="600" customFormat="1" outlineLevel="3">
      <c r="B44" s="603" t="s">
        <v>1159</v>
      </c>
      <c r="C44" s="624" t="s">
        <v>39</v>
      </c>
      <c r="D44" s="616" t="s">
        <v>1160</v>
      </c>
      <c r="E44" s="606" t="s">
        <v>1133</v>
      </c>
      <c r="F44" s="606" t="s">
        <v>11</v>
      </c>
      <c r="G44" s="622">
        <v>1</v>
      </c>
      <c r="H44" s="618" t="s">
        <v>582</v>
      </c>
      <c r="I44" s="618">
        <f>'2-规划指标'!I23</f>
        <v>0</v>
      </c>
      <c r="J44" s="619">
        <v>3</v>
      </c>
      <c r="K44" s="619">
        <f t="shared" si="3"/>
        <v>3</v>
      </c>
      <c r="L44" s="620">
        <v>0</v>
      </c>
      <c r="M44" s="599">
        <f t="shared" si="4"/>
        <v>0</v>
      </c>
      <c r="N44" s="599">
        <f t="shared" si="8"/>
        <v>0</v>
      </c>
      <c r="O44" s="599">
        <f t="shared" si="9"/>
        <v>0</v>
      </c>
      <c r="P44" s="599" t="e">
        <f t="shared" si="2"/>
        <v>#DIV/0!</v>
      </c>
      <c r="Q44" s="599">
        <f t="shared" si="10"/>
        <v>0</v>
      </c>
      <c r="R44" s="614"/>
    </row>
    <row r="45" spans="2:18" s="600" customFormat="1" outlineLevel="3">
      <c r="B45" s="603" t="s">
        <v>1161</v>
      </c>
      <c r="C45" s="624" t="s">
        <v>39</v>
      </c>
      <c r="D45" s="616" t="s">
        <v>1162</v>
      </c>
      <c r="E45" s="606" t="s">
        <v>1133</v>
      </c>
      <c r="F45" s="606" t="s">
        <v>11</v>
      </c>
      <c r="G45" s="622">
        <v>1</v>
      </c>
      <c r="H45" s="618" t="s">
        <v>582</v>
      </c>
      <c r="I45" s="618">
        <f>'2-规划指标'!I27</f>
        <v>0</v>
      </c>
      <c r="J45" s="619">
        <v>10</v>
      </c>
      <c r="K45" s="619">
        <f t="shared" si="3"/>
        <v>10</v>
      </c>
      <c r="L45" s="620">
        <v>0</v>
      </c>
      <c r="M45" s="599">
        <f t="shared" si="4"/>
        <v>0</v>
      </c>
      <c r="N45" s="599">
        <f t="shared" si="8"/>
        <v>0</v>
      </c>
      <c r="O45" s="599">
        <f t="shared" si="9"/>
        <v>0</v>
      </c>
      <c r="P45" s="599" t="e">
        <f t="shared" si="2"/>
        <v>#DIV/0!</v>
      </c>
      <c r="Q45" s="599">
        <f t="shared" si="10"/>
        <v>0</v>
      </c>
      <c r="R45" s="614"/>
    </row>
    <row r="46" spans="2:18" s="600" customFormat="1" ht="16" customHeight="1" outlineLevel="3">
      <c r="B46" s="603" t="s">
        <v>1163</v>
      </c>
      <c r="C46" s="624" t="s">
        <v>39</v>
      </c>
      <c r="D46" s="616" t="s">
        <v>1164</v>
      </c>
      <c r="E46" s="606" t="s">
        <v>1133</v>
      </c>
      <c r="F46" s="606" t="s">
        <v>5</v>
      </c>
      <c r="G46" s="622">
        <v>1</v>
      </c>
      <c r="H46" s="618" t="s">
        <v>669</v>
      </c>
      <c r="I46" s="618">
        <f>M3</f>
        <v>0</v>
      </c>
      <c r="J46" s="619">
        <v>80</v>
      </c>
      <c r="K46" s="619">
        <f t="shared" si="3"/>
        <v>80</v>
      </c>
      <c r="L46" s="620">
        <v>0</v>
      </c>
      <c r="M46" s="599">
        <f t="shared" si="4"/>
        <v>0</v>
      </c>
      <c r="N46" s="599">
        <f t="shared" si="8"/>
        <v>0</v>
      </c>
      <c r="O46" s="599">
        <f t="shared" si="9"/>
        <v>0</v>
      </c>
      <c r="P46" s="599" t="e">
        <f t="shared" si="2"/>
        <v>#DIV/0!</v>
      </c>
      <c r="Q46" s="599">
        <f t="shared" si="10"/>
        <v>0</v>
      </c>
      <c r="R46" s="614"/>
    </row>
    <row r="47" spans="2:18" s="600" customFormat="1" ht="16" customHeight="1" outlineLevel="3">
      <c r="B47" s="603" t="s">
        <v>1165</v>
      </c>
      <c r="C47" s="624" t="s">
        <v>39</v>
      </c>
      <c r="D47" s="616" t="s">
        <v>1166</v>
      </c>
      <c r="E47" s="606" t="s">
        <v>1133</v>
      </c>
      <c r="F47" s="606" t="s">
        <v>5</v>
      </c>
      <c r="G47" s="622">
        <v>1</v>
      </c>
      <c r="H47" s="618" t="s">
        <v>669</v>
      </c>
      <c r="I47" s="618">
        <v>0</v>
      </c>
      <c r="J47" s="619">
        <v>550</v>
      </c>
      <c r="K47" s="619">
        <f t="shared" si="3"/>
        <v>550</v>
      </c>
      <c r="L47" s="620">
        <v>0</v>
      </c>
      <c r="M47" s="599">
        <f t="shared" si="4"/>
        <v>0</v>
      </c>
      <c r="N47" s="599">
        <f t="shared" si="8"/>
        <v>0</v>
      </c>
      <c r="O47" s="599">
        <f t="shared" si="9"/>
        <v>0</v>
      </c>
      <c r="P47" s="599" t="e">
        <f t="shared" si="2"/>
        <v>#DIV/0!</v>
      </c>
      <c r="Q47" s="599">
        <f t="shared" si="10"/>
        <v>0</v>
      </c>
      <c r="R47" s="614"/>
    </row>
    <row r="48" spans="2:18" s="600" customFormat="1" ht="16" customHeight="1" outlineLevel="3">
      <c r="B48" s="603" t="s">
        <v>1167</v>
      </c>
      <c r="C48" s="624" t="s">
        <v>39</v>
      </c>
      <c r="D48" s="616" t="s">
        <v>1168</v>
      </c>
      <c r="E48" s="606" t="s">
        <v>1133</v>
      </c>
      <c r="F48" s="606" t="s">
        <v>1136</v>
      </c>
      <c r="G48" s="622">
        <v>1</v>
      </c>
      <c r="H48" s="618" t="s">
        <v>582</v>
      </c>
      <c r="I48" s="618">
        <f>E3</f>
        <v>0</v>
      </c>
      <c r="J48" s="619">
        <v>1</v>
      </c>
      <c r="K48" s="619">
        <f t="shared" si="3"/>
        <v>1</v>
      </c>
      <c r="L48" s="620">
        <v>0</v>
      </c>
      <c r="M48" s="599">
        <f t="shared" si="4"/>
        <v>0</v>
      </c>
      <c r="N48" s="599">
        <f t="shared" si="8"/>
        <v>0</v>
      </c>
      <c r="O48" s="599">
        <f t="shared" si="9"/>
        <v>0</v>
      </c>
      <c r="P48" s="599" t="e">
        <f t="shared" si="2"/>
        <v>#DIV/0!</v>
      </c>
      <c r="Q48" s="599">
        <f t="shared" si="10"/>
        <v>0</v>
      </c>
      <c r="R48" s="614"/>
    </row>
    <row r="49" spans="1:18" s="600" customFormat="1" ht="16" customHeight="1" outlineLevel="3">
      <c r="B49" s="603" t="s">
        <v>1169</v>
      </c>
      <c r="C49" s="624" t="s">
        <v>39</v>
      </c>
      <c r="D49" s="616" t="s">
        <v>1170</v>
      </c>
      <c r="E49" s="606" t="s">
        <v>1133</v>
      </c>
      <c r="F49" s="606" t="s">
        <v>11</v>
      </c>
      <c r="G49" s="622">
        <v>1</v>
      </c>
      <c r="H49" s="618" t="s">
        <v>582</v>
      </c>
      <c r="I49" s="618">
        <f t="shared" si="7"/>
        <v>0</v>
      </c>
      <c r="J49" s="619"/>
      <c r="K49" s="619">
        <f t="shared" si="3"/>
        <v>0</v>
      </c>
      <c r="L49" s="620">
        <v>0</v>
      </c>
      <c r="M49" s="599">
        <f t="shared" si="4"/>
        <v>0</v>
      </c>
      <c r="N49" s="599">
        <f t="shared" si="8"/>
        <v>0</v>
      </c>
      <c r="O49" s="599">
        <f t="shared" si="9"/>
        <v>0</v>
      </c>
      <c r="P49" s="599" t="e">
        <f t="shared" si="2"/>
        <v>#DIV/0!</v>
      </c>
      <c r="Q49" s="599">
        <f t="shared" si="10"/>
        <v>0</v>
      </c>
      <c r="R49" s="614"/>
    </row>
    <row r="50" spans="1:18" s="600" customFormat="1" ht="16" customHeight="1" outlineLevel="3">
      <c r="B50" s="603" t="s">
        <v>1171</v>
      </c>
      <c r="C50" s="624" t="s">
        <v>39</v>
      </c>
      <c r="D50" s="616" t="s">
        <v>1172</v>
      </c>
      <c r="E50" s="606" t="s">
        <v>1133</v>
      </c>
      <c r="F50" s="606" t="s">
        <v>11</v>
      </c>
      <c r="G50" s="622">
        <v>1</v>
      </c>
      <c r="H50" s="618" t="s">
        <v>582</v>
      </c>
      <c r="I50" s="618">
        <f t="shared" si="7"/>
        <v>0</v>
      </c>
      <c r="J50" s="619">
        <v>2</v>
      </c>
      <c r="K50" s="619">
        <f t="shared" si="3"/>
        <v>2</v>
      </c>
      <c r="L50" s="620">
        <v>0</v>
      </c>
      <c r="M50" s="599">
        <f t="shared" si="4"/>
        <v>0</v>
      </c>
      <c r="N50" s="599">
        <f t="shared" si="8"/>
        <v>0</v>
      </c>
      <c r="O50" s="599">
        <f t="shared" si="9"/>
        <v>0</v>
      </c>
      <c r="P50" s="599" t="e">
        <f t="shared" si="2"/>
        <v>#DIV/0!</v>
      </c>
      <c r="Q50" s="599">
        <f t="shared" si="10"/>
        <v>0</v>
      </c>
      <c r="R50" s="614"/>
    </row>
    <row r="51" spans="1:18" s="600" customFormat="1" ht="16" customHeight="1" outlineLevel="3">
      <c r="B51" s="603" t="s">
        <v>1173</v>
      </c>
      <c r="C51" s="624" t="s">
        <v>39</v>
      </c>
      <c r="D51" s="616" t="s">
        <v>1174</v>
      </c>
      <c r="E51" s="606" t="s">
        <v>1133</v>
      </c>
      <c r="F51" s="606" t="s">
        <v>11</v>
      </c>
      <c r="G51" s="622">
        <v>1</v>
      </c>
      <c r="H51" s="618" t="s">
        <v>582</v>
      </c>
      <c r="I51" s="618">
        <f t="shared" si="7"/>
        <v>0</v>
      </c>
      <c r="J51" s="619">
        <v>7</v>
      </c>
      <c r="K51" s="619">
        <f t="shared" si="3"/>
        <v>6.6037735849056602</v>
      </c>
      <c r="L51" s="620">
        <v>0.06</v>
      </c>
      <c r="M51" s="599">
        <f t="shared" si="4"/>
        <v>0</v>
      </c>
      <c r="N51" s="599">
        <f t="shared" si="8"/>
        <v>0</v>
      </c>
      <c r="O51" s="599">
        <f t="shared" si="9"/>
        <v>0</v>
      </c>
      <c r="P51" s="599" t="e">
        <f t="shared" si="2"/>
        <v>#DIV/0!</v>
      </c>
      <c r="Q51" s="599">
        <f t="shared" si="10"/>
        <v>0</v>
      </c>
      <c r="R51" s="614"/>
    </row>
    <row r="52" spans="1:18" s="600" customFormat="1" ht="16" customHeight="1" outlineLevel="3">
      <c r="B52" s="603" t="s">
        <v>1175</v>
      </c>
      <c r="C52" s="624" t="s">
        <v>39</v>
      </c>
      <c r="D52" s="616" t="s">
        <v>1176</v>
      </c>
      <c r="E52" s="606" t="s">
        <v>1133</v>
      </c>
      <c r="F52" s="606" t="s">
        <v>11</v>
      </c>
      <c r="G52" s="622">
        <v>1</v>
      </c>
      <c r="H52" s="618" t="s">
        <v>582</v>
      </c>
      <c r="I52" s="618">
        <f t="shared" si="7"/>
        <v>0</v>
      </c>
      <c r="J52" s="619">
        <v>4.1500000000000004</v>
      </c>
      <c r="K52" s="619">
        <f t="shared" si="3"/>
        <v>4.1500000000000004</v>
      </c>
      <c r="L52" s="620">
        <v>0</v>
      </c>
      <c r="M52" s="599">
        <f t="shared" si="4"/>
        <v>0</v>
      </c>
      <c r="N52" s="599">
        <f t="shared" si="8"/>
        <v>0</v>
      </c>
      <c r="O52" s="599">
        <f t="shared" si="9"/>
        <v>0</v>
      </c>
      <c r="P52" s="599" t="e">
        <f t="shared" si="2"/>
        <v>#DIV/0!</v>
      </c>
      <c r="Q52" s="599">
        <f t="shared" si="10"/>
        <v>0</v>
      </c>
      <c r="R52" s="614"/>
    </row>
    <row r="53" spans="1:18" s="600" customFormat="1" ht="16" customHeight="1" outlineLevel="3">
      <c r="B53" s="603" t="s">
        <v>1177</v>
      </c>
      <c r="C53" s="624" t="s">
        <v>39</v>
      </c>
      <c r="D53" s="616" t="s">
        <v>1178</v>
      </c>
      <c r="E53" s="606" t="s">
        <v>1133</v>
      </c>
      <c r="F53" s="606" t="s">
        <v>11</v>
      </c>
      <c r="G53" s="622">
        <v>1</v>
      </c>
      <c r="H53" s="618" t="s">
        <v>582</v>
      </c>
      <c r="I53" s="618">
        <f t="shared" si="7"/>
        <v>0</v>
      </c>
      <c r="J53" s="619"/>
      <c r="K53" s="619">
        <f t="shared" si="3"/>
        <v>0</v>
      </c>
      <c r="L53" s="620">
        <v>0</v>
      </c>
      <c r="M53" s="599">
        <f t="shared" si="4"/>
        <v>0</v>
      </c>
      <c r="N53" s="599">
        <f t="shared" si="8"/>
        <v>0</v>
      </c>
      <c r="O53" s="599">
        <f t="shared" si="9"/>
        <v>0</v>
      </c>
      <c r="P53" s="599" t="e">
        <f t="shared" si="2"/>
        <v>#DIV/0!</v>
      </c>
      <c r="Q53" s="599">
        <f t="shared" si="10"/>
        <v>0</v>
      </c>
      <c r="R53" s="614"/>
    </row>
    <row r="54" spans="1:18" s="600" customFormat="1" ht="16" customHeight="1" outlineLevel="3">
      <c r="B54" s="603" t="s">
        <v>1179</v>
      </c>
      <c r="C54" s="624" t="s">
        <v>39</v>
      </c>
      <c r="D54" s="616" t="s">
        <v>1180</v>
      </c>
      <c r="E54" s="606" t="s">
        <v>1133</v>
      </c>
      <c r="F54" s="606" t="s">
        <v>11</v>
      </c>
      <c r="G54" s="622">
        <v>1</v>
      </c>
      <c r="H54" s="618" t="s">
        <v>582</v>
      </c>
      <c r="I54" s="618">
        <f t="shared" si="7"/>
        <v>0</v>
      </c>
      <c r="J54" s="619"/>
      <c r="K54" s="619">
        <f t="shared" si="3"/>
        <v>0</v>
      </c>
      <c r="L54" s="620">
        <v>0</v>
      </c>
      <c r="M54" s="599">
        <f t="shared" si="4"/>
        <v>0</v>
      </c>
      <c r="N54" s="599">
        <f t="shared" si="8"/>
        <v>0</v>
      </c>
      <c r="O54" s="599">
        <f t="shared" si="9"/>
        <v>0</v>
      </c>
      <c r="P54" s="599" t="e">
        <f t="shared" si="2"/>
        <v>#DIV/0!</v>
      </c>
      <c r="Q54" s="599">
        <f t="shared" si="10"/>
        <v>0</v>
      </c>
      <c r="R54" s="614"/>
    </row>
    <row r="55" spans="1:18" s="600" customFormat="1" ht="16" customHeight="1" outlineLevel="3">
      <c r="B55" s="603" t="s">
        <v>1181</v>
      </c>
      <c r="C55" s="624" t="s">
        <v>39</v>
      </c>
      <c r="D55" s="616" t="s">
        <v>1182</v>
      </c>
      <c r="E55" s="606" t="s">
        <v>1133</v>
      </c>
      <c r="F55" s="606" t="s">
        <v>11</v>
      </c>
      <c r="G55" s="622">
        <v>1</v>
      </c>
      <c r="H55" s="618" t="s">
        <v>582</v>
      </c>
      <c r="I55" s="618">
        <f t="shared" si="7"/>
        <v>0</v>
      </c>
      <c r="J55" s="619">
        <v>1.2</v>
      </c>
      <c r="K55" s="619">
        <f t="shared" si="3"/>
        <v>1.1320754716981132</v>
      </c>
      <c r="L55" s="620">
        <v>0.06</v>
      </c>
      <c r="M55" s="599">
        <f t="shared" si="4"/>
        <v>0</v>
      </c>
      <c r="N55" s="599">
        <f t="shared" si="8"/>
        <v>0</v>
      </c>
      <c r="O55" s="599">
        <f t="shared" si="9"/>
        <v>0</v>
      </c>
      <c r="P55" s="599" t="e">
        <f t="shared" si="2"/>
        <v>#DIV/0!</v>
      </c>
      <c r="Q55" s="599">
        <f t="shared" si="10"/>
        <v>0</v>
      </c>
      <c r="R55" s="614"/>
    </row>
    <row r="56" spans="1:18" s="600" customFormat="1" ht="16" customHeight="1" outlineLevel="3">
      <c r="B56" s="603" t="s">
        <v>1183</v>
      </c>
      <c r="C56" s="624" t="s">
        <v>39</v>
      </c>
      <c r="D56" s="616" t="s">
        <v>1184</v>
      </c>
      <c r="E56" s="606" t="s">
        <v>1133</v>
      </c>
      <c r="F56" s="606" t="s">
        <v>11</v>
      </c>
      <c r="G56" s="622">
        <v>1</v>
      </c>
      <c r="H56" s="618" t="s">
        <v>582</v>
      </c>
      <c r="I56" s="618">
        <f t="shared" si="7"/>
        <v>0</v>
      </c>
      <c r="J56" s="619">
        <v>0.5</v>
      </c>
      <c r="K56" s="619">
        <f t="shared" si="3"/>
        <v>0.47169811320754712</v>
      </c>
      <c r="L56" s="620">
        <v>0.06</v>
      </c>
      <c r="M56" s="599">
        <f t="shared" si="4"/>
        <v>0</v>
      </c>
      <c r="N56" s="599">
        <f t="shared" si="8"/>
        <v>0</v>
      </c>
      <c r="O56" s="599">
        <f t="shared" si="9"/>
        <v>0</v>
      </c>
      <c r="P56" s="599" t="e">
        <f t="shared" si="2"/>
        <v>#DIV/0!</v>
      </c>
      <c r="Q56" s="599">
        <f t="shared" si="10"/>
        <v>0</v>
      </c>
      <c r="R56" s="614"/>
    </row>
    <row r="57" spans="1:18" s="600" customFormat="1" ht="16" customHeight="1" outlineLevel="3">
      <c r="B57" s="603" t="s">
        <v>1185</v>
      </c>
      <c r="C57" s="624" t="s">
        <v>39</v>
      </c>
      <c r="D57" s="616" t="s">
        <v>1186</v>
      </c>
      <c r="E57" s="606" t="s">
        <v>1133</v>
      </c>
      <c r="F57" s="606" t="s">
        <v>431</v>
      </c>
      <c r="G57" s="622">
        <v>1</v>
      </c>
      <c r="H57" s="618" t="s">
        <v>582</v>
      </c>
      <c r="I57" s="618">
        <f>C3</f>
        <v>0</v>
      </c>
      <c r="J57" s="619">
        <v>0.45</v>
      </c>
      <c r="K57" s="619">
        <f t="shared" si="3"/>
        <v>0.45</v>
      </c>
      <c r="L57" s="620">
        <v>0</v>
      </c>
      <c r="M57" s="599">
        <f t="shared" si="4"/>
        <v>0</v>
      </c>
      <c r="N57" s="599">
        <f t="shared" si="8"/>
        <v>0</v>
      </c>
      <c r="O57" s="599">
        <f t="shared" si="9"/>
        <v>0</v>
      </c>
      <c r="P57" s="599" t="e">
        <f t="shared" si="2"/>
        <v>#DIV/0!</v>
      </c>
      <c r="Q57" s="599">
        <f t="shared" si="10"/>
        <v>0</v>
      </c>
      <c r="R57" s="614"/>
    </row>
    <row r="58" spans="1:18" s="600" customFormat="1" ht="16" customHeight="1" outlineLevel="3">
      <c r="B58" s="603" t="s">
        <v>1187</v>
      </c>
      <c r="C58" s="624" t="s">
        <v>39</v>
      </c>
      <c r="D58" s="616" t="s">
        <v>1188</v>
      </c>
      <c r="E58" s="606" t="s">
        <v>1133</v>
      </c>
      <c r="F58" s="606" t="s">
        <v>5</v>
      </c>
      <c r="G58" s="622">
        <v>1</v>
      </c>
      <c r="H58" s="618" t="s">
        <v>669</v>
      </c>
      <c r="I58" s="618">
        <f>M3</f>
        <v>0</v>
      </c>
      <c r="J58" s="619">
        <v>50</v>
      </c>
      <c r="K58" s="619">
        <f t="shared" si="3"/>
        <v>50</v>
      </c>
      <c r="L58" s="620">
        <v>0</v>
      </c>
      <c r="M58" s="599">
        <f t="shared" si="4"/>
        <v>0</v>
      </c>
      <c r="N58" s="599">
        <f t="shared" si="8"/>
        <v>0</v>
      </c>
      <c r="O58" s="599">
        <f t="shared" si="9"/>
        <v>0</v>
      </c>
      <c r="P58" s="599" t="e">
        <f t="shared" si="2"/>
        <v>#DIV/0!</v>
      </c>
      <c r="Q58" s="599">
        <f t="shared" si="10"/>
        <v>0</v>
      </c>
      <c r="R58" s="614"/>
    </row>
    <row r="59" spans="1:18" s="600" customFormat="1" ht="16" customHeight="1" outlineLevel="3">
      <c r="B59" s="603" t="s">
        <v>1189</v>
      </c>
      <c r="C59" s="624" t="s">
        <v>39</v>
      </c>
      <c r="D59" s="616" t="s">
        <v>1190</v>
      </c>
      <c r="E59" s="606" t="s">
        <v>1133</v>
      </c>
      <c r="F59" s="606" t="s">
        <v>11</v>
      </c>
      <c r="G59" s="622">
        <v>1</v>
      </c>
      <c r="H59" s="618" t="s">
        <v>582</v>
      </c>
      <c r="I59" s="618">
        <f t="shared" si="7"/>
        <v>0</v>
      </c>
      <c r="J59" s="619">
        <v>2.1</v>
      </c>
      <c r="K59" s="619">
        <f t="shared" si="3"/>
        <v>2.1</v>
      </c>
      <c r="L59" s="620">
        <v>0</v>
      </c>
      <c r="M59" s="599">
        <f t="shared" si="4"/>
        <v>0</v>
      </c>
      <c r="N59" s="599">
        <f t="shared" si="8"/>
        <v>0</v>
      </c>
      <c r="O59" s="599">
        <f t="shared" si="9"/>
        <v>0</v>
      </c>
      <c r="P59" s="599" t="e">
        <f t="shared" si="2"/>
        <v>#DIV/0!</v>
      </c>
      <c r="Q59" s="599">
        <f t="shared" si="10"/>
        <v>0</v>
      </c>
      <c r="R59" s="614"/>
    </row>
    <row r="60" spans="1:18" s="600" customFormat="1" ht="16" customHeight="1" outlineLevel="3">
      <c r="B60" s="603" t="s">
        <v>1191</v>
      </c>
      <c r="C60" s="624" t="s">
        <v>39</v>
      </c>
      <c r="D60" s="616" t="s">
        <v>1192</v>
      </c>
      <c r="E60" s="606" t="s">
        <v>1133</v>
      </c>
      <c r="F60" s="606" t="s">
        <v>11</v>
      </c>
      <c r="G60" s="622">
        <v>1</v>
      </c>
      <c r="H60" s="618" t="s">
        <v>582</v>
      </c>
      <c r="I60" s="618">
        <f>E3</f>
        <v>0</v>
      </c>
      <c r="J60" s="619">
        <v>2.2999999999999998</v>
      </c>
      <c r="K60" s="619">
        <f t="shared" si="3"/>
        <v>2.1698113207547167</v>
      </c>
      <c r="L60" s="620">
        <v>0.06</v>
      </c>
      <c r="M60" s="599">
        <f t="shared" si="4"/>
        <v>0</v>
      </c>
      <c r="N60" s="599">
        <f t="shared" si="8"/>
        <v>0</v>
      </c>
      <c r="O60" s="599">
        <f t="shared" si="9"/>
        <v>0</v>
      </c>
      <c r="P60" s="599" t="e">
        <f t="shared" si="2"/>
        <v>#DIV/0!</v>
      </c>
      <c r="Q60" s="599">
        <f t="shared" si="10"/>
        <v>0</v>
      </c>
      <c r="R60" s="614"/>
    </row>
    <row r="61" spans="1:18" s="600" customFormat="1" ht="16" customHeight="1" outlineLevel="3">
      <c r="B61" s="603" t="s">
        <v>1193</v>
      </c>
      <c r="C61" s="624" t="s">
        <v>39</v>
      </c>
      <c r="D61" s="616" t="s">
        <v>1194</v>
      </c>
      <c r="E61" s="606" t="s">
        <v>1133</v>
      </c>
      <c r="F61" s="606" t="s">
        <v>11</v>
      </c>
      <c r="G61" s="622">
        <v>1</v>
      </c>
      <c r="H61" s="618" t="s">
        <v>582</v>
      </c>
      <c r="I61" s="618">
        <f t="shared" si="7"/>
        <v>0</v>
      </c>
      <c r="J61" s="619"/>
      <c r="K61" s="619">
        <f t="shared" si="3"/>
        <v>0</v>
      </c>
      <c r="L61" s="620">
        <v>0</v>
      </c>
      <c r="M61" s="599">
        <f t="shared" si="4"/>
        <v>0</v>
      </c>
      <c r="N61" s="599">
        <f t="shared" si="8"/>
        <v>0</v>
      </c>
      <c r="O61" s="599">
        <f t="shared" si="9"/>
        <v>0</v>
      </c>
      <c r="P61" s="599" t="e">
        <f t="shared" si="2"/>
        <v>#DIV/0!</v>
      </c>
      <c r="Q61" s="599">
        <f t="shared" si="10"/>
        <v>0</v>
      </c>
      <c r="R61" s="614"/>
    </row>
    <row r="62" spans="1:18" s="600" customFormat="1" ht="16" customHeight="1" outlineLevel="3">
      <c r="B62" s="603" t="s">
        <v>1195</v>
      </c>
      <c r="C62" s="624" t="s">
        <v>39</v>
      </c>
      <c r="D62" s="616" t="s">
        <v>1196</v>
      </c>
      <c r="E62" s="606" t="s">
        <v>1133</v>
      </c>
      <c r="F62" s="606" t="s">
        <v>11</v>
      </c>
      <c r="G62" s="622">
        <v>1</v>
      </c>
      <c r="H62" s="618" t="s">
        <v>582</v>
      </c>
      <c r="I62" s="618">
        <f t="shared" si="7"/>
        <v>0</v>
      </c>
      <c r="J62" s="619"/>
      <c r="K62" s="619">
        <f t="shared" si="3"/>
        <v>0</v>
      </c>
      <c r="L62" s="620">
        <v>0</v>
      </c>
      <c r="M62" s="599">
        <f t="shared" si="4"/>
        <v>0</v>
      </c>
      <c r="N62" s="599">
        <f t="shared" si="8"/>
        <v>0</v>
      </c>
      <c r="O62" s="599">
        <f t="shared" si="9"/>
        <v>0</v>
      </c>
      <c r="P62" s="599" t="e">
        <f t="shared" si="2"/>
        <v>#DIV/0!</v>
      </c>
      <c r="Q62" s="599">
        <f t="shared" si="10"/>
        <v>0</v>
      </c>
      <c r="R62" s="614"/>
    </row>
    <row r="63" spans="1:18" s="600" customFormat="1" ht="21.75" customHeight="1" outlineLevel="3">
      <c r="B63" s="603" t="s">
        <v>1197</v>
      </c>
      <c r="C63" s="624" t="s">
        <v>39</v>
      </c>
      <c r="D63" s="616" t="s">
        <v>1198</v>
      </c>
      <c r="E63" s="606" t="s">
        <v>1133</v>
      </c>
      <c r="F63" s="606" t="s">
        <v>11</v>
      </c>
      <c r="G63" s="622">
        <v>1</v>
      </c>
      <c r="H63" s="618" t="s">
        <v>582</v>
      </c>
      <c r="I63" s="618">
        <f>D3</f>
        <v>0</v>
      </c>
      <c r="J63" s="619">
        <v>1.5</v>
      </c>
      <c r="K63" s="619">
        <f t="shared" si="3"/>
        <v>1.5</v>
      </c>
      <c r="L63" s="620">
        <v>0</v>
      </c>
      <c r="M63" s="599">
        <f t="shared" si="4"/>
        <v>0</v>
      </c>
      <c r="N63" s="599">
        <f t="shared" si="8"/>
        <v>0</v>
      </c>
      <c r="O63" s="599">
        <f t="shared" si="9"/>
        <v>0</v>
      </c>
      <c r="P63" s="599" t="e">
        <f t="shared" si="2"/>
        <v>#DIV/0!</v>
      </c>
      <c r="Q63" s="599">
        <f t="shared" si="10"/>
        <v>0</v>
      </c>
      <c r="R63" s="614"/>
    </row>
    <row r="64" spans="1:18" ht="16" customHeight="1" outlineLevel="3">
      <c r="A64" s="600"/>
      <c r="B64" s="603" t="s">
        <v>1199</v>
      </c>
      <c r="C64" s="615" t="s">
        <v>39</v>
      </c>
      <c r="D64" s="616" t="s">
        <v>467</v>
      </c>
      <c r="E64" s="606" t="s">
        <v>467</v>
      </c>
      <c r="F64" s="606" t="s">
        <v>1200</v>
      </c>
      <c r="G64" s="622">
        <v>1.04</v>
      </c>
      <c r="H64" s="618" t="s">
        <v>1201</v>
      </c>
      <c r="I64" s="618">
        <f>E3</f>
        <v>0</v>
      </c>
      <c r="J64" s="619">
        <v>400</v>
      </c>
      <c r="K64" s="619">
        <f t="shared" si="3"/>
        <v>400</v>
      </c>
      <c r="L64" s="620">
        <v>0</v>
      </c>
      <c r="M64" s="599">
        <f>K64*I64*G64/10000</f>
        <v>0</v>
      </c>
      <c r="N64" s="599">
        <f t="shared" si="8"/>
        <v>0</v>
      </c>
      <c r="O64" s="599">
        <f t="shared" si="9"/>
        <v>0</v>
      </c>
      <c r="P64" s="599" t="e">
        <f t="shared" si="2"/>
        <v>#DIV/0!</v>
      </c>
      <c r="Q64" s="599">
        <f t="shared" si="10"/>
        <v>0</v>
      </c>
      <c r="R64" s="614"/>
    </row>
    <row r="65" spans="1:18" ht="16" customHeight="1" outlineLevel="3">
      <c r="A65" s="600"/>
      <c r="B65" s="603" t="s">
        <v>1202</v>
      </c>
      <c r="C65" s="615" t="s">
        <v>39</v>
      </c>
      <c r="D65" s="616" t="s">
        <v>1203</v>
      </c>
      <c r="E65" s="606" t="s">
        <v>1133</v>
      </c>
      <c r="F65" s="606" t="s">
        <v>1204</v>
      </c>
      <c r="G65" s="622">
        <v>1</v>
      </c>
      <c r="H65" s="618" t="s">
        <v>1201</v>
      </c>
      <c r="I65" s="618">
        <f>C3</f>
        <v>0</v>
      </c>
      <c r="J65" s="619">
        <v>2</v>
      </c>
      <c r="K65" s="619">
        <f t="shared" si="3"/>
        <v>2</v>
      </c>
      <c r="L65" s="620">
        <v>0</v>
      </c>
      <c r="M65" s="599">
        <f t="shared" si="4"/>
        <v>0</v>
      </c>
      <c r="N65" s="599">
        <f t="shared" si="8"/>
        <v>0</v>
      </c>
      <c r="O65" s="599">
        <f t="shared" si="9"/>
        <v>0</v>
      </c>
      <c r="P65" s="599" t="e">
        <f t="shared" si="2"/>
        <v>#DIV/0!</v>
      </c>
      <c r="Q65" s="599">
        <f t="shared" si="10"/>
        <v>0</v>
      </c>
      <c r="R65" s="621"/>
    </row>
    <row r="66" spans="1:18" ht="16" customHeight="1" outlineLevel="3">
      <c r="A66" s="600"/>
      <c r="B66" s="603" t="s">
        <v>1205</v>
      </c>
      <c r="C66" s="615" t="s">
        <v>39</v>
      </c>
      <c r="D66" s="616" t="s">
        <v>1206</v>
      </c>
      <c r="E66" s="606" t="s">
        <v>1133</v>
      </c>
      <c r="F66" s="606" t="s">
        <v>1207</v>
      </c>
      <c r="G66" s="622">
        <v>1</v>
      </c>
      <c r="H66" s="618" t="s">
        <v>1201</v>
      </c>
      <c r="I66" s="618">
        <f>E3</f>
        <v>0</v>
      </c>
      <c r="J66" s="619">
        <v>0.4</v>
      </c>
      <c r="K66" s="619">
        <f t="shared" si="3"/>
        <v>0.4</v>
      </c>
      <c r="L66" s="620">
        <v>0</v>
      </c>
      <c r="M66" s="599">
        <f t="shared" si="4"/>
        <v>0</v>
      </c>
      <c r="N66" s="599">
        <f t="shared" si="8"/>
        <v>0</v>
      </c>
      <c r="O66" s="599">
        <f t="shared" si="9"/>
        <v>0</v>
      </c>
      <c r="P66" s="599" t="e">
        <f t="shared" si="2"/>
        <v>#DIV/0!</v>
      </c>
      <c r="Q66" s="599">
        <f t="shared" si="10"/>
        <v>0</v>
      </c>
      <c r="R66" s="621"/>
    </row>
    <row r="67" spans="1:18" ht="16" customHeight="1" outlineLevel="3">
      <c r="A67" s="600"/>
      <c r="B67" s="603" t="s">
        <v>1208</v>
      </c>
      <c r="C67" s="615" t="s">
        <v>39</v>
      </c>
      <c r="D67" s="616" t="s">
        <v>1209</v>
      </c>
      <c r="E67" s="606" t="s">
        <v>1133</v>
      </c>
      <c r="F67" s="606" t="s">
        <v>1200</v>
      </c>
      <c r="G67" s="622">
        <v>8.9999999999999993E-3</v>
      </c>
      <c r="H67" s="618" t="s">
        <v>1201</v>
      </c>
      <c r="I67" s="618">
        <f>D3</f>
        <v>0</v>
      </c>
      <c r="J67" s="619"/>
      <c r="K67" s="619">
        <f t="shared" si="3"/>
        <v>0</v>
      </c>
      <c r="L67" s="620">
        <v>0</v>
      </c>
      <c r="M67" s="599">
        <f t="shared" si="4"/>
        <v>0</v>
      </c>
      <c r="N67" s="599">
        <f t="shared" si="8"/>
        <v>0</v>
      </c>
      <c r="O67" s="599">
        <f t="shared" si="9"/>
        <v>0</v>
      </c>
      <c r="P67" s="599" t="e">
        <f t="shared" si="2"/>
        <v>#DIV/0!</v>
      </c>
      <c r="Q67" s="599">
        <f t="shared" si="10"/>
        <v>0</v>
      </c>
      <c r="R67" s="621"/>
    </row>
    <row r="68" spans="1:18" ht="16" customHeight="1" outlineLevel="2">
      <c r="A68" s="600"/>
      <c r="B68" s="603" t="s">
        <v>1210</v>
      </c>
      <c r="C68" s="615" t="s">
        <v>69</v>
      </c>
      <c r="D68" s="616" t="s">
        <v>1211</v>
      </c>
      <c r="E68" s="606" t="s">
        <v>1211</v>
      </c>
      <c r="F68" s="606"/>
      <c r="G68" s="622"/>
      <c r="H68" s="618"/>
      <c r="I68" s="618"/>
      <c r="J68" s="619"/>
      <c r="K68" s="619"/>
      <c r="L68" s="620"/>
      <c r="M68" s="613">
        <f>SUBTOTAL(9,M69:M71)</f>
        <v>0</v>
      </c>
      <c r="N68" s="613">
        <f>SUBTOTAL(9,N69:N71)</f>
        <v>0</v>
      </c>
      <c r="O68" s="613">
        <f>SUBTOTAL(9,O69:O71)</f>
        <v>0</v>
      </c>
      <c r="P68" s="599" t="e">
        <f t="shared" si="2"/>
        <v>#DIV/0!</v>
      </c>
      <c r="Q68" s="599">
        <f t="shared" si="10"/>
        <v>0</v>
      </c>
      <c r="R68" s="621"/>
    </row>
    <row r="69" spans="1:18" ht="16" customHeight="1" outlineLevel="3">
      <c r="A69" s="600"/>
      <c r="B69" s="603" t="s">
        <v>1212</v>
      </c>
      <c r="C69" s="615" t="s">
        <v>39</v>
      </c>
      <c r="D69" s="616" t="s">
        <v>447</v>
      </c>
      <c r="E69" s="606"/>
      <c r="F69" s="606" t="s">
        <v>1200</v>
      </c>
      <c r="G69" s="622">
        <v>1</v>
      </c>
      <c r="H69" s="618" t="s">
        <v>1201</v>
      </c>
      <c r="I69" s="618">
        <f>D3</f>
        <v>0</v>
      </c>
      <c r="J69" s="619"/>
      <c r="K69" s="619">
        <f t="shared" si="3"/>
        <v>0</v>
      </c>
      <c r="L69" s="620">
        <v>0</v>
      </c>
      <c r="M69" s="599">
        <f t="shared" si="4"/>
        <v>0</v>
      </c>
      <c r="N69" s="599">
        <f>M69*L69</f>
        <v>0</v>
      </c>
      <c r="O69" s="599">
        <f>M69+N69</f>
        <v>0</v>
      </c>
      <c r="P69" s="599" t="e">
        <f t="shared" si="2"/>
        <v>#DIV/0!</v>
      </c>
      <c r="Q69" s="599">
        <f t="shared" si="10"/>
        <v>0</v>
      </c>
      <c r="R69" s="621"/>
    </row>
    <row r="70" spans="1:18" ht="16" customHeight="1" outlineLevel="3">
      <c r="A70" s="600"/>
      <c r="B70" s="603" t="s">
        <v>1213</v>
      </c>
      <c r="C70" s="604" t="s">
        <v>39</v>
      </c>
      <c r="D70" s="616" t="s">
        <v>448</v>
      </c>
      <c r="E70" s="606"/>
      <c r="F70" s="606" t="s">
        <v>1214</v>
      </c>
      <c r="G70" s="622">
        <v>1</v>
      </c>
      <c r="H70" s="618" t="s">
        <v>1201</v>
      </c>
      <c r="I70" s="625"/>
      <c r="J70" s="626"/>
      <c r="K70" s="619">
        <f t="shared" si="3"/>
        <v>0</v>
      </c>
      <c r="L70" s="620">
        <v>0</v>
      </c>
      <c r="M70" s="599">
        <f t="shared" si="4"/>
        <v>0</v>
      </c>
      <c r="N70" s="599">
        <f>M70*L70</f>
        <v>0</v>
      </c>
      <c r="O70" s="599">
        <f>M70+N70</f>
        <v>0</v>
      </c>
      <c r="P70" s="599" t="e">
        <f t="shared" si="2"/>
        <v>#DIV/0!</v>
      </c>
      <c r="Q70" s="599">
        <f t="shared" si="10"/>
        <v>0</v>
      </c>
      <c r="R70" s="621"/>
    </row>
    <row r="71" spans="1:18" ht="16" customHeight="1" outlineLevel="3">
      <c r="A71" s="600"/>
      <c r="B71" s="603" t="s">
        <v>1215</v>
      </c>
      <c r="C71" s="615" t="s">
        <v>39</v>
      </c>
      <c r="D71" s="627" t="s">
        <v>449</v>
      </c>
      <c r="E71" s="606"/>
      <c r="F71" s="606" t="s">
        <v>1214</v>
      </c>
      <c r="G71" s="622">
        <v>1</v>
      </c>
      <c r="H71" s="618" t="s">
        <v>1216</v>
      </c>
      <c r="I71" s="625"/>
      <c r="J71" s="626"/>
      <c r="K71" s="619">
        <f t="shared" si="3"/>
        <v>0</v>
      </c>
      <c r="L71" s="620">
        <v>0</v>
      </c>
      <c r="M71" s="599">
        <f t="shared" si="4"/>
        <v>0</v>
      </c>
      <c r="N71" s="599">
        <f>M71*L71</f>
        <v>0</v>
      </c>
      <c r="O71" s="599">
        <f>M71+N71</f>
        <v>0</v>
      </c>
      <c r="P71" s="599" t="e">
        <f t="shared" si="2"/>
        <v>#DIV/0!</v>
      </c>
      <c r="Q71" s="599">
        <f t="shared" si="10"/>
        <v>0</v>
      </c>
      <c r="R71" s="621"/>
    </row>
    <row r="72" spans="1:18" s="575" customFormat="1" ht="23.9" customHeight="1">
      <c r="A72" s="576"/>
      <c r="B72" s="577">
        <v>5001.0200000000004</v>
      </c>
      <c r="C72" s="578" t="s">
        <v>1217</v>
      </c>
      <c r="D72" s="480" t="s">
        <v>1218</v>
      </c>
      <c r="E72" s="481"/>
      <c r="F72" s="482"/>
      <c r="G72" s="411"/>
      <c r="H72" s="483"/>
      <c r="I72" s="484"/>
      <c r="J72" s="628"/>
      <c r="K72" s="628"/>
      <c r="L72" s="580"/>
      <c r="M72" s="581">
        <f>SUBTOTAL(9,M73:M105)</f>
        <v>0</v>
      </c>
      <c r="N72" s="581">
        <f>SUBTOTAL(9,N73:N105)</f>
        <v>0</v>
      </c>
      <c r="O72" s="581">
        <f>SUBTOTAL(9,O73:O105)</f>
        <v>0</v>
      </c>
      <c r="P72" s="581" t="e">
        <f t="shared" ref="P72:P77" si="11">IF(O72="","",O72*10000/F$3)</f>
        <v>#DIV/0!</v>
      </c>
      <c r="Q72" s="486">
        <f t="shared" si="10"/>
        <v>0</v>
      </c>
      <c r="R72" s="486"/>
    </row>
    <row r="73" spans="1:18" ht="16" customHeight="1" outlineLevel="1">
      <c r="A73" s="600"/>
      <c r="B73" s="629" t="s">
        <v>1219</v>
      </c>
      <c r="C73" s="996">
        <v>1</v>
      </c>
      <c r="D73" s="630" t="s">
        <v>1220</v>
      </c>
      <c r="E73" s="494"/>
      <c r="F73" s="996"/>
      <c r="G73" s="996"/>
      <c r="H73" s="996"/>
      <c r="I73" s="996"/>
      <c r="J73" s="631"/>
      <c r="K73" s="631"/>
      <c r="L73" s="588"/>
      <c r="M73" s="589">
        <f>SUBTOTAL(9,M74:M84)</f>
        <v>0</v>
      </c>
      <c r="N73" s="589">
        <f>SUBTOTAL(9,N74:N84)</f>
        <v>0</v>
      </c>
      <c r="O73" s="589">
        <f>SUBTOTAL(9,O74:O84)</f>
        <v>0</v>
      </c>
      <c r="P73" s="494" t="e">
        <f t="shared" si="11"/>
        <v>#DIV/0!</v>
      </c>
      <c r="Q73" s="494">
        <f t="shared" si="10"/>
        <v>0</v>
      </c>
      <c r="R73" s="494"/>
    </row>
    <row r="74" spans="1:18" s="632" customFormat="1" ht="16" customHeight="1" outlineLevel="2">
      <c r="A74" s="633"/>
      <c r="B74" s="603" t="s">
        <v>1221</v>
      </c>
      <c r="C74" s="624" t="s">
        <v>1096</v>
      </c>
      <c r="D74" s="605" t="s">
        <v>149</v>
      </c>
      <c r="E74" s="624"/>
      <c r="F74" s="624" t="s">
        <v>1222</v>
      </c>
      <c r="G74" s="624">
        <v>1</v>
      </c>
      <c r="H74" s="618" t="s">
        <v>1223</v>
      </c>
      <c r="I74" s="624"/>
      <c r="J74" s="634"/>
      <c r="K74" s="619">
        <f>J74/(1+L74)</f>
        <v>0</v>
      </c>
      <c r="L74" s="569"/>
      <c r="M74" s="614"/>
      <c r="N74" s="599">
        <f>M74*L74</f>
        <v>0</v>
      </c>
      <c r="O74" s="599">
        <f>M74+N74</f>
        <v>0</v>
      </c>
      <c r="P74" s="614" t="e">
        <f t="shared" si="11"/>
        <v>#DIV/0!</v>
      </c>
      <c r="Q74" s="614">
        <f t="shared" si="10"/>
        <v>0</v>
      </c>
      <c r="R74" s="613"/>
    </row>
    <row r="75" spans="1:18" s="632" customFormat="1" ht="16" customHeight="1" outlineLevel="2">
      <c r="A75" s="633"/>
      <c r="B75" s="603" t="s">
        <v>1224</v>
      </c>
      <c r="C75" s="624" t="s">
        <v>68</v>
      </c>
      <c r="D75" s="635" t="s">
        <v>1225</v>
      </c>
      <c r="E75" s="624"/>
      <c r="F75" s="624" t="s">
        <v>1222</v>
      </c>
      <c r="G75" s="624">
        <v>1</v>
      </c>
      <c r="H75" s="618" t="s">
        <v>1223</v>
      </c>
      <c r="I75" s="624"/>
      <c r="J75" s="634"/>
      <c r="K75" s="634"/>
      <c r="L75" s="569"/>
      <c r="M75" s="613">
        <f>SUBTOTAL(9,M76:M77)</f>
        <v>0</v>
      </c>
      <c r="N75" s="613">
        <f>SUBTOTAL(9,N76:N77)</f>
        <v>0</v>
      </c>
      <c r="O75" s="613">
        <f>SUBTOTAL(9,O76:O77)</f>
        <v>0</v>
      </c>
      <c r="P75" s="614" t="e">
        <f t="shared" si="11"/>
        <v>#DIV/0!</v>
      </c>
      <c r="Q75" s="614">
        <f t="shared" si="10"/>
        <v>0</v>
      </c>
      <c r="R75" s="613"/>
    </row>
    <row r="76" spans="1:18" s="636" customFormat="1" ht="18.75" customHeight="1" outlineLevel="3">
      <c r="B76" s="637" t="s">
        <v>1226</v>
      </c>
      <c r="C76" s="638" t="s">
        <v>39</v>
      </c>
      <c r="D76" s="639" t="s">
        <v>1227</v>
      </c>
      <c r="E76" s="638" t="s">
        <v>1228</v>
      </c>
      <c r="F76" s="638" t="s">
        <v>1222</v>
      </c>
      <c r="G76" s="638">
        <v>1</v>
      </c>
      <c r="H76" s="640" t="s">
        <v>1223</v>
      </c>
      <c r="I76" s="641">
        <f>'2-配套用房'!E2</f>
        <v>0</v>
      </c>
      <c r="J76" s="642"/>
      <c r="K76" s="643" t="e">
        <f>M76*10000/I76</f>
        <v>#DIV/0!</v>
      </c>
      <c r="L76" s="644" t="e">
        <f>N76/M76</f>
        <v>#DIV/0!</v>
      </c>
      <c r="M76" s="645">
        <f>'2-配套用房'!M4+'2-配套用房'!M88</f>
        <v>0</v>
      </c>
      <c r="N76" s="645">
        <f>'2-配套用房'!N4+'2-配套用房'!N88</f>
        <v>0</v>
      </c>
      <c r="O76" s="645">
        <f>M76+N76</f>
        <v>0</v>
      </c>
      <c r="P76" s="646" t="e">
        <f t="shared" si="11"/>
        <v>#DIV/0!</v>
      </c>
      <c r="Q76" s="646">
        <f t="shared" si="10"/>
        <v>0</v>
      </c>
      <c r="R76" s="647"/>
    </row>
    <row r="77" spans="1:18" s="633" customFormat="1" ht="18.75" customHeight="1" outlineLevel="3">
      <c r="B77" s="603" t="s">
        <v>1229</v>
      </c>
      <c r="C77" s="624" t="s">
        <v>39</v>
      </c>
      <c r="D77" s="635" t="s">
        <v>1230</v>
      </c>
      <c r="E77" s="648" t="s">
        <v>452</v>
      </c>
      <c r="F77" s="624" t="s">
        <v>1222</v>
      </c>
      <c r="G77" s="624">
        <v>1</v>
      </c>
      <c r="H77" s="618" t="s">
        <v>1223</v>
      </c>
      <c r="I77" s="649">
        <f>'2-配套用房'!E2</f>
        <v>0</v>
      </c>
      <c r="J77" s="634"/>
      <c r="K77" s="619" t="e">
        <f>M77*10000/I77</f>
        <v>#DIV/0!</v>
      </c>
      <c r="L77" s="569" t="e">
        <f>N77/M77</f>
        <v>#DIV/0!</v>
      </c>
      <c r="M77" s="599">
        <f>'2-配套用房'!M69</f>
        <v>0</v>
      </c>
      <c r="N77" s="599">
        <f>'2-配套用房'!N69</f>
        <v>0</v>
      </c>
      <c r="O77" s="599">
        <f>M77+N77</f>
        <v>0</v>
      </c>
      <c r="P77" s="614" t="e">
        <f t="shared" si="11"/>
        <v>#DIV/0!</v>
      </c>
      <c r="Q77" s="614">
        <f t="shared" si="10"/>
        <v>0</v>
      </c>
      <c r="R77" s="613"/>
    </row>
    <row r="78" spans="1:18" s="632" customFormat="1" ht="16" customHeight="1" outlineLevel="2">
      <c r="A78" s="633"/>
      <c r="B78" s="603" t="s">
        <v>1231</v>
      </c>
      <c r="C78" s="624" t="s">
        <v>69</v>
      </c>
      <c r="D78" s="635" t="s">
        <v>150</v>
      </c>
      <c r="E78" s="598"/>
      <c r="F78" s="624"/>
      <c r="G78" s="624">
        <v>1</v>
      </c>
      <c r="H78" s="618" t="s">
        <v>1201</v>
      </c>
      <c r="I78" s="624"/>
      <c r="J78" s="634"/>
      <c r="K78" s="634"/>
      <c r="L78" s="569"/>
      <c r="M78" s="613">
        <f>SUBTOTAL(9,M79:M80)</f>
        <v>0</v>
      </c>
      <c r="N78" s="613">
        <f>SUBTOTAL(9,N79:N80)</f>
        <v>0</v>
      </c>
      <c r="O78" s="613">
        <f>SUBTOTAL(9,O79:O80)</f>
        <v>0</v>
      </c>
      <c r="P78" s="614" t="e">
        <f t="shared" ref="P78:P84" si="12">IF(O78="","",O78*10000/F$3)</f>
        <v>#DIV/0!</v>
      </c>
      <c r="Q78" s="614">
        <f t="shared" si="10"/>
        <v>0</v>
      </c>
      <c r="R78" s="613"/>
    </row>
    <row r="79" spans="1:18" s="633" customFormat="1" ht="16" customHeight="1" outlineLevel="3">
      <c r="B79" s="603" t="s">
        <v>1232</v>
      </c>
      <c r="C79" s="624" t="s">
        <v>39</v>
      </c>
      <c r="D79" s="650" t="s">
        <v>1233</v>
      </c>
      <c r="E79" s="624"/>
      <c r="F79" s="624" t="s">
        <v>1200</v>
      </c>
      <c r="G79" s="624">
        <v>1</v>
      </c>
      <c r="H79" s="618" t="s">
        <v>1201</v>
      </c>
      <c r="I79" s="649"/>
      <c r="J79" s="634"/>
      <c r="K79" s="619"/>
      <c r="L79" s="569"/>
      <c r="M79" s="599"/>
      <c r="N79" s="599"/>
      <c r="O79" s="599">
        <f t="shared" ref="O79:O84" si="13">M79+N79</f>
        <v>0</v>
      </c>
      <c r="P79" s="614" t="e">
        <f t="shared" si="12"/>
        <v>#DIV/0!</v>
      </c>
      <c r="Q79" s="614">
        <f>M79</f>
        <v>0</v>
      </c>
      <c r="R79" s="613"/>
    </row>
    <row r="80" spans="1:18" s="632" customFormat="1" ht="16" customHeight="1" outlineLevel="3">
      <c r="A80" s="600"/>
      <c r="B80" s="603" t="s">
        <v>1234</v>
      </c>
      <c r="C80" s="615" t="s">
        <v>39</v>
      </c>
      <c r="D80" s="650" t="s">
        <v>1235</v>
      </c>
      <c r="E80" s="624"/>
      <c r="F80" s="624" t="s">
        <v>1214</v>
      </c>
      <c r="G80" s="624">
        <v>1</v>
      </c>
      <c r="H80" s="618" t="s">
        <v>1216</v>
      </c>
      <c r="I80" s="624"/>
      <c r="J80" s="634"/>
      <c r="K80" s="619">
        <f>J80/(1+L80)</f>
        <v>0</v>
      </c>
      <c r="L80" s="569"/>
      <c r="M80" s="614"/>
      <c r="N80" s="599">
        <f>M80*L80</f>
        <v>0</v>
      </c>
      <c r="O80" s="599">
        <f t="shared" si="13"/>
        <v>0</v>
      </c>
      <c r="P80" s="614" t="e">
        <f t="shared" si="12"/>
        <v>#DIV/0!</v>
      </c>
      <c r="Q80" s="614">
        <f t="shared" si="10"/>
        <v>0</v>
      </c>
      <c r="R80" s="613"/>
    </row>
    <row r="81" spans="1:18" s="632" customFormat="1" ht="16" customHeight="1" outlineLevel="2">
      <c r="A81" s="600"/>
      <c r="B81" s="603" t="s">
        <v>1236</v>
      </c>
      <c r="C81" s="624" t="s">
        <v>70</v>
      </c>
      <c r="D81" s="635" t="s">
        <v>1237</v>
      </c>
      <c r="E81" s="624" t="s">
        <v>453</v>
      </c>
      <c r="F81" s="624" t="s">
        <v>1222</v>
      </c>
      <c r="G81" s="624">
        <v>1</v>
      </c>
      <c r="H81" s="618" t="s">
        <v>1223</v>
      </c>
      <c r="I81" s="624"/>
      <c r="J81" s="634"/>
      <c r="K81" s="619">
        <f>J81/(1+L81)</f>
        <v>0</v>
      </c>
      <c r="L81" s="569"/>
      <c r="M81" s="614"/>
      <c r="N81" s="599">
        <f>M81*L81</f>
        <v>0</v>
      </c>
      <c r="O81" s="599">
        <f t="shared" si="13"/>
        <v>0</v>
      </c>
      <c r="P81" s="614" t="e">
        <f t="shared" si="12"/>
        <v>#DIV/0!</v>
      </c>
      <c r="Q81" s="614">
        <f t="shared" si="10"/>
        <v>0</v>
      </c>
      <c r="R81" s="613"/>
    </row>
    <row r="82" spans="1:18" s="632" customFormat="1" ht="16" customHeight="1" outlineLevel="2">
      <c r="A82" s="600"/>
      <c r="B82" s="603" t="s">
        <v>1238</v>
      </c>
      <c r="C82" s="624" t="s">
        <v>71</v>
      </c>
      <c r="D82" s="635" t="s">
        <v>1239</v>
      </c>
      <c r="E82" s="624" t="s">
        <v>1228</v>
      </c>
      <c r="F82" s="624" t="s">
        <v>1222</v>
      </c>
      <c r="G82" s="624">
        <v>1</v>
      </c>
      <c r="H82" s="618" t="s">
        <v>1223</v>
      </c>
      <c r="I82" s="624"/>
      <c r="J82" s="634"/>
      <c r="K82" s="619">
        <f>J82/(1+L82)</f>
        <v>0</v>
      </c>
      <c r="L82" s="569"/>
      <c r="M82" s="614"/>
      <c r="N82" s="599">
        <f>M82*L82</f>
        <v>0</v>
      </c>
      <c r="O82" s="599">
        <f t="shared" si="13"/>
        <v>0</v>
      </c>
      <c r="P82" s="614" t="e">
        <f t="shared" si="12"/>
        <v>#DIV/0!</v>
      </c>
      <c r="Q82" s="614">
        <f t="shared" si="10"/>
        <v>0</v>
      </c>
      <c r="R82" s="613"/>
    </row>
    <row r="83" spans="1:18" s="632" customFormat="1" ht="16" customHeight="1" outlineLevel="2">
      <c r="A83" s="633"/>
      <c r="B83" s="603" t="s">
        <v>1240</v>
      </c>
      <c r="C83" s="624" t="s">
        <v>144</v>
      </c>
      <c r="D83" s="651" t="s">
        <v>1241</v>
      </c>
      <c r="E83" s="624"/>
      <c r="F83" s="624" t="s">
        <v>1222</v>
      </c>
      <c r="G83" s="624">
        <v>1</v>
      </c>
      <c r="H83" s="618" t="s">
        <v>1223</v>
      </c>
      <c r="I83" s="624"/>
      <c r="J83" s="634"/>
      <c r="K83" s="619">
        <f>J83/(1+L83)</f>
        <v>0</v>
      </c>
      <c r="L83" s="569"/>
      <c r="M83" s="614"/>
      <c r="N83" s="599">
        <f>M83*L83</f>
        <v>0</v>
      </c>
      <c r="O83" s="599">
        <f t="shared" si="13"/>
        <v>0</v>
      </c>
      <c r="P83" s="614" t="e">
        <f t="shared" si="12"/>
        <v>#DIV/0!</v>
      </c>
      <c r="Q83" s="614">
        <f t="shared" si="10"/>
        <v>0</v>
      </c>
      <c r="R83" s="613"/>
    </row>
    <row r="84" spans="1:18" s="632" customFormat="1" ht="16" customHeight="1" outlineLevel="2">
      <c r="A84" s="633"/>
      <c r="B84" s="603" t="s">
        <v>1242</v>
      </c>
      <c r="C84" s="624" t="s">
        <v>72</v>
      </c>
      <c r="D84" s="652" t="s">
        <v>1243</v>
      </c>
      <c r="E84" s="624" t="s">
        <v>1228</v>
      </c>
      <c r="F84" s="624" t="s">
        <v>1222</v>
      </c>
      <c r="G84" s="624">
        <v>1</v>
      </c>
      <c r="H84" s="618" t="s">
        <v>1223</v>
      </c>
      <c r="I84" s="624"/>
      <c r="J84" s="634"/>
      <c r="K84" s="619">
        <f>J84/(1+L84)</f>
        <v>0</v>
      </c>
      <c r="L84" s="569"/>
      <c r="M84" s="614"/>
      <c r="N84" s="599">
        <f>M84*L84</f>
        <v>0</v>
      </c>
      <c r="O84" s="599">
        <f t="shared" si="13"/>
        <v>0</v>
      </c>
      <c r="P84" s="614" t="e">
        <f t="shared" si="12"/>
        <v>#DIV/0!</v>
      </c>
      <c r="Q84" s="614">
        <f t="shared" si="10"/>
        <v>0</v>
      </c>
      <c r="R84" s="613"/>
    </row>
    <row r="85" spans="1:18" s="632" customFormat="1" ht="27" customHeight="1" outlineLevel="1">
      <c r="A85" s="633"/>
      <c r="B85" s="629" t="s">
        <v>1244</v>
      </c>
      <c r="C85" s="996">
        <v>2</v>
      </c>
      <c r="D85" s="630" t="s">
        <v>1245</v>
      </c>
      <c r="E85" s="494"/>
      <c r="F85" s="996"/>
      <c r="G85" s="996"/>
      <c r="H85" s="996"/>
      <c r="I85" s="996"/>
      <c r="J85" s="631"/>
      <c r="K85" s="631"/>
      <c r="L85" s="588"/>
      <c r="M85" s="589">
        <f>SUBTOTAL(9,M86:M96)</f>
        <v>0</v>
      </c>
      <c r="N85" s="589">
        <f>SUBTOTAL(9,N86:N96)</f>
        <v>0</v>
      </c>
      <c r="O85" s="589">
        <f>SUBTOTAL(9,O86:O96)</f>
        <v>0</v>
      </c>
      <c r="P85" s="653" t="e">
        <f>IF(O85="","",O85*10000/F$3)</f>
        <v>#DIV/0!</v>
      </c>
      <c r="Q85" s="653">
        <f t="shared" si="10"/>
        <v>0</v>
      </c>
      <c r="R85" s="996"/>
    </row>
    <row r="86" spans="1:18" s="632" customFormat="1" ht="25.5" customHeight="1" outlineLevel="2">
      <c r="A86" s="633"/>
      <c r="B86" s="603" t="s">
        <v>1246</v>
      </c>
      <c r="C86" s="624" t="s">
        <v>1096</v>
      </c>
      <c r="D86" s="605" t="s">
        <v>1247</v>
      </c>
      <c r="E86" s="624"/>
      <c r="F86" s="624" t="s">
        <v>1222</v>
      </c>
      <c r="G86" s="654">
        <v>0</v>
      </c>
      <c r="H86" s="624" t="s">
        <v>1248</v>
      </c>
      <c r="I86" s="655">
        <v>0</v>
      </c>
      <c r="J86" s="656"/>
      <c r="K86" s="657">
        <v>0</v>
      </c>
      <c r="L86" s="658"/>
      <c r="M86" s="599"/>
      <c r="N86" s="599"/>
      <c r="O86" s="599"/>
      <c r="P86" s="614" t="str">
        <f>IF(O86="","",O86*10000/F$3)</f>
        <v/>
      </c>
      <c r="Q86" s="614">
        <f t="shared" si="10"/>
        <v>0</v>
      </c>
      <c r="R86" s="613"/>
    </row>
    <row r="87" spans="1:18" s="632" customFormat="1" ht="22.5" customHeight="1" outlineLevel="2">
      <c r="A87" s="633"/>
      <c r="B87" s="603" t="s">
        <v>1249</v>
      </c>
      <c r="C87" s="615" t="s">
        <v>68</v>
      </c>
      <c r="D87" s="659" t="s">
        <v>1250</v>
      </c>
      <c r="E87" s="624" t="s">
        <v>1252</v>
      </c>
      <c r="F87" s="624" t="s">
        <v>1222</v>
      </c>
      <c r="G87" s="638">
        <v>1</v>
      </c>
      <c r="H87" s="624" t="s">
        <v>1248</v>
      </c>
      <c r="I87" s="655">
        <f>'2-地下车库'!$E$2</f>
        <v>0</v>
      </c>
      <c r="J87" s="634">
        <v>10</v>
      </c>
      <c r="K87" s="619">
        <f>J87/(1+L87)</f>
        <v>8.5470085470085468</v>
      </c>
      <c r="L87" s="569">
        <v>0.17</v>
      </c>
      <c r="M87" s="599"/>
      <c r="N87" s="599"/>
      <c r="O87" s="599"/>
      <c r="P87" s="614" t="str">
        <f t="shared" ref="P87:P96" si="14">IF(O87="","",O87*10000/F$3)</f>
        <v/>
      </c>
      <c r="Q87" s="621">
        <f t="shared" si="10"/>
        <v>0</v>
      </c>
      <c r="R87" s="660"/>
    </row>
    <row r="88" spans="1:18" s="633" customFormat="1" ht="23.25" customHeight="1" outlineLevel="2">
      <c r="B88" s="603" t="s">
        <v>1253</v>
      </c>
      <c r="C88" s="615" t="s">
        <v>69</v>
      </c>
      <c r="D88" s="659" t="s">
        <v>1254</v>
      </c>
      <c r="E88" s="624"/>
      <c r="F88" s="624" t="s">
        <v>1222</v>
      </c>
      <c r="G88" s="654">
        <v>0.54</v>
      </c>
      <c r="H88" s="624" t="s">
        <v>1248</v>
      </c>
      <c r="I88" s="655">
        <f>'2-地下车库'!$E$2</f>
        <v>0</v>
      </c>
      <c r="J88" s="634"/>
      <c r="K88" s="657" t="e">
        <f>M88*10000/I88</f>
        <v>#DIV/0!</v>
      </c>
      <c r="L88" s="658" t="e">
        <f>N88/M88</f>
        <v>#DIV/0!</v>
      </c>
      <c r="M88" s="599"/>
      <c r="N88" s="599"/>
      <c r="O88" s="599"/>
      <c r="P88" s="614" t="str">
        <f t="shared" si="14"/>
        <v/>
      </c>
      <c r="Q88" s="614">
        <f t="shared" si="10"/>
        <v>0</v>
      </c>
      <c r="R88" s="613"/>
    </row>
    <row r="89" spans="1:18" s="632" customFormat="1" ht="16" customHeight="1" outlineLevel="2">
      <c r="A89" s="633"/>
      <c r="B89" s="603" t="s">
        <v>1255</v>
      </c>
      <c r="C89" s="624" t="s">
        <v>70</v>
      </c>
      <c r="D89" s="605" t="s">
        <v>1256</v>
      </c>
      <c r="E89" s="661"/>
      <c r="F89" s="624" t="s">
        <v>1214</v>
      </c>
      <c r="G89" s="654">
        <v>0.54</v>
      </c>
      <c r="H89" s="624" t="s">
        <v>1257</v>
      </c>
      <c r="I89" s="655">
        <f>'2-地下车库'!$E$2</f>
        <v>0</v>
      </c>
      <c r="J89" s="634"/>
      <c r="K89" s="634"/>
      <c r="L89" s="569"/>
      <c r="M89" s="599"/>
      <c r="N89" s="599"/>
      <c r="O89" s="599"/>
      <c r="P89" s="614" t="str">
        <f t="shared" si="14"/>
        <v/>
      </c>
      <c r="Q89" s="614">
        <f t="shared" si="10"/>
        <v>0</v>
      </c>
      <c r="R89" s="613"/>
    </row>
    <row r="90" spans="1:18" s="632" customFormat="1" ht="13" outlineLevel="2">
      <c r="A90" s="633"/>
      <c r="B90" s="603" t="s">
        <v>1258</v>
      </c>
      <c r="C90" s="615" t="s">
        <v>71</v>
      </c>
      <c r="D90" s="659" t="s">
        <v>1259</v>
      </c>
      <c r="E90" s="648"/>
      <c r="F90" s="624" t="s">
        <v>1214</v>
      </c>
      <c r="G90" s="654">
        <v>0.54</v>
      </c>
      <c r="H90" s="624" t="s">
        <v>1260</v>
      </c>
      <c r="I90" s="655">
        <f>'2-地下车库'!$E$2</f>
        <v>0</v>
      </c>
      <c r="J90" s="634"/>
      <c r="K90" s="657" t="e">
        <f>M90*10000/I90</f>
        <v>#DIV/0!</v>
      </c>
      <c r="L90" s="658" t="e">
        <f>N90/M90</f>
        <v>#DIV/0!</v>
      </c>
      <c r="M90" s="599"/>
      <c r="N90" s="599"/>
      <c r="O90" s="599"/>
      <c r="P90" s="614" t="str">
        <f t="shared" si="14"/>
        <v/>
      </c>
      <c r="Q90" s="614">
        <f t="shared" si="10"/>
        <v>0</v>
      </c>
      <c r="R90" s="613"/>
    </row>
    <row r="91" spans="1:18" s="632" customFormat="1" ht="13" outlineLevel="2">
      <c r="A91" s="633"/>
      <c r="B91" s="603" t="s">
        <v>1261</v>
      </c>
      <c r="C91" s="615" t="s">
        <v>144</v>
      </c>
      <c r="D91" s="659" t="s">
        <v>1262</v>
      </c>
      <c r="E91" s="648"/>
      <c r="F91" s="624" t="s">
        <v>1214</v>
      </c>
      <c r="G91" s="654">
        <v>0.54</v>
      </c>
      <c r="H91" s="624" t="s">
        <v>1260</v>
      </c>
      <c r="I91" s="655">
        <f>'2-地下车库'!$E$2</f>
        <v>0</v>
      </c>
      <c r="J91" s="657"/>
      <c r="K91" s="657" t="e">
        <f>M91*10000/I91</f>
        <v>#DIV/0!</v>
      </c>
      <c r="L91" s="658" t="e">
        <f>N91/M91</f>
        <v>#DIV/0!</v>
      </c>
      <c r="M91" s="599"/>
      <c r="N91" s="599"/>
      <c r="O91" s="599"/>
      <c r="P91" s="614" t="str">
        <f t="shared" si="14"/>
        <v/>
      </c>
      <c r="Q91" s="614">
        <f t="shared" si="10"/>
        <v>0</v>
      </c>
      <c r="R91" s="613"/>
    </row>
    <row r="92" spans="1:18" s="632" customFormat="1" outlineLevel="2">
      <c r="A92" s="633"/>
      <c r="B92" s="603" t="s">
        <v>1263</v>
      </c>
      <c r="C92" s="624" t="s">
        <v>72</v>
      </c>
      <c r="D92" s="662" t="s">
        <v>1264</v>
      </c>
      <c r="E92" s="307"/>
      <c r="F92" s="624" t="s">
        <v>1200</v>
      </c>
      <c r="G92" s="654">
        <v>0.54</v>
      </c>
      <c r="H92" s="624" t="s">
        <v>1260</v>
      </c>
      <c r="I92" s="655">
        <f>'2-地下车库'!$E$2</f>
        <v>0</v>
      </c>
      <c r="J92" s="656"/>
      <c r="K92" s="657" t="e">
        <f>M92*10000/I92</f>
        <v>#DIV/0!</v>
      </c>
      <c r="L92" s="658" t="e">
        <f>N92/M92</f>
        <v>#DIV/0!</v>
      </c>
      <c r="M92" s="599"/>
      <c r="N92" s="599"/>
      <c r="O92" s="599"/>
      <c r="P92" s="614" t="str">
        <f t="shared" si="14"/>
        <v/>
      </c>
      <c r="Q92" s="614">
        <f t="shared" si="10"/>
        <v>0</v>
      </c>
      <c r="R92" s="613"/>
    </row>
    <row r="93" spans="1:18" s="632" customFormat="1" ht="13" outlineLevel="2">
      <c r="A93" s="633"/>
      <c r="B93" s="603" t="s">
        <v>1265</v>
      </c>
      <c r="C93" s="615" t="s">
        <v>73</v>
      </c>
      <c r="D93" s="659" t="s">
        <v>1266</v>
      </c>
      <c r="E93" s="624"/>
      <c r="F93" s="624" t="s">
        <v>1214</v>
      </c>
      <c r="G93" s="654">
        <v>0.54</v>
      </c>
      <c r="H93" s="624" t="s">
        <v>1260</v>
      </c>
      <c r="I93" s="655">
        <f>'2-地下车库'!$E$2</f>
        <v>0</v>
      </c>
      <c r="J93" s="634"/>
      <c r="K93" s="634"/>
      <c r="L93" s="569"/>
      <c r="M93" s="599"/>
      <c r="N93" s="599"/>
      <c r="O93" s="599"/>
      <c r="P93" s="614" t="str">
        <f t="shared" si="14"/>
        <v/>
      </c>
      <c r="Q93" s="614">
        <f t="shared" si="10"/>
        <v>0</v>
      </c>
      <c r="R93" s="613"/>
    </row>
    <row r="94" spans="1:18" s="632" customFormat="1" outlineLevel="2">
      <c r="A94" s="633"/>
      <c r="B94" s="603" t="s">
        <v>1267</v>
      </c>
      <c r="C94" s="615" t="s">
        <v>74</v>
      </c>
      <c r="D94" s="659" t="s">
        <v>1268</v>
      </c>
      <c r="E94" s="624"/>
      <c r="F94" s="624" t="s">
        <v>1214</v>
      </c>
      <c r="G94" s="654">
        <v>0.54</v>
      </c>
      <c r="H94" s="624" t="s">
        <v>111</v>
      </c>
      <c r="I94" s="655">
        <f>'2-地下车库'!$E$2</f>
        <v>0</v>
      </c>
      <c r="J94" s="656"/>
      <c r="K94" s="656"/>
      <c r="L94" s="597"/>
      <c r="M94" s="599"/>
      <c r="N94" s="599"/>
      <c r="O94" s="599"/>
      <c r="P94" s="614" t="str">
        <f t="shared" si="14"/>
        <v/>
      </c>
      <c r="Q94" s="614">
        <f t="shared" si="10"/>
        <v>0</v>
      </c>
      <c r="R94" s="613"/>
    </row>
    <row r="95" spans="1:18" s="632" customFormat="1" ht="16" customHeight="1" outlineLevel="2">
      <c r="A95" s="633"/>
      <c r="B95" s="603" t="s">
        <v>1269</v>
      </c>
      <c r="C95" s="624" t="s">
        <v>75</v>
      </c>
      <c r="D95" s="662" t="s">
        <v>1270</v>
      </c>
      <c r="E95" s="661" t="s">
        <v>1271</v>
      </c>
      <c r="F95" s="624" t="s">
        <v>11</v>
      </c>
      <c r="G95" s="638">
        <v>1</v>
      </c>
      <c r="H95" s="624" t="s">
        <v>111</v>
      </c>
      <c r="I95" s="655">
        <f>'2-地下车库'!$E$2</f>
        <v>0</v>
      </c>
      <c r="J95" s="656">
        <v>20</v>
      </c>
      <c r="K95" s="619">
        <f>J95/(1+L95)</f>
        <v>17.094017094017094</v>
      </c>
      <c r="L95" s="597">
        <v>0.17</v>
      </c>
      <c r="M95" s="599"/>
      <c r="N95" s="599"/>
      <c r="O95" s="599"/>
      <c r="P95" s="614" t="str">
        <f t="shared" si="14"/>
        <v/>
      </c>
      <c r="Q95" s="614">
        <f t="shared" si="10"/>
        <v>0</v>
      </c>
      <c r="R95" s="613"/>
    </row>
    <row r="96" spans="1:18" s="632" customFormat="1" ht="16" customHeight="1" outlineLevel="2">
      <c r="A96" s="633"/>
      <c r="B96" s="603" t="s">
        <v>1272</v>
      </c>
      <c r="C96" s="624" t="s">
        <v>99</v>
      </c>
      <c r="D96" s="662" t="s">
        <v>1273</v>
      </c>
      <c r="E96" s="661" t="s">
        <v>1274</v>
      </c>
      <c r="F96" s="624" t="s">
        <v>11</v>
      </c>
      <c r="G96" s="638">
        <v>1</v>
      </c>
      <c r="H96" s="624" t="s">
        <v>111</v>
      </c>
      <c r="I96" s="655">
        <f>'2-地下车库'!$E$2</f>
        <v>0</v>
      </c>
      <c r="J96" s="656">
        <v>25</v>
      </c>
      <c r="K96" s="619">
        <f>J96/(1+L96)</f>
        <v>22.522522522522522</v>
      </c>
      <c r="L96" s="597">
        <v>0.11</v>
      </c>
      <c r="M96" s="599"/>
      <c r="N96" s="599"/>
      <c r="O96" s="599"/>
      <c r="P96" s="614" t="str">
        <f t="shared" si="14"/>
        <v/>
      </c>
      <c r="Q96" s="614">
        <f t="shared" si="10"/>
        <v>0</v>
      </c>
      <c r="R96" s="613"/>
    </row>
    <row r="97" spans="1:18" ht="25.75" customHeight="1" outlineLevel="1">
      <c r="A97" s="600"/>
      <c r="B97" s="629" t="s">
        <v>1275</v>
      </c>
      <c r="C97" s="996">
        <v>3</v>
      </c>
      <c r="D97" s="488" t="s">
        <v>484</v>
      </c>
      <c r="E97" s="487"/>
      <c r="F97" s="996"/>
      <c r="G97" s="996"/>
      <c r="H97" s="996"/>
      <c r="I97" s="996"/>
      <c r="J97" s="631"/>
      <c r="K97" s="631"/>
      <c r="L97" s="588"/>
      <c r="M97" s="589">
        <f>SUBTOTAL(9,M98:M102)</f>
        <v>0</v>
      </c>
      <c r="N97" s="589">
        <f>SUBTOTAL(9,N98:N102)</f>
        <v>0</v>
      </c>
      <c r="O97" s="589">
        <f>SUBTOTAL(9,O98:O102)</f>
        <v>0</v>
      </c>
      <c r="P97" s="494" t="e">
        <f t="shared" ref="P97:P102" si="15">IF(O97="","",O97*10000/F$3)</f>
        <v>#DIV/0!</v>
      </c>
      <c r="Q97" s="494">
        <f t="shared" si="10"/>
        <v>0</v>
      </c>
      <c r="R97" s="494"/>
    </row>
    <row r="98" spans="1:18" s="632" customFormat="1" ht="24" customHeight="1" outlineLevel="2">
      <c r="A98" s="633"/>
      <c r="B98" s="603" t="s">
        <v>1276</v>
      </c>
      <c r="C98" s="624" t="s">
        <v>1096</v>
      </c>
      <c r="D98" s="663" t="s">
        <v>1277</v>
      </c>
      <c r="E98" s="664" t="s">
        <v>1278</v>
      </c>
      <c r="F98" s="665" t="s">
        <v>1279</v>
      </c>
      <c r="G98" s="666">
        <v>6</v>
      </c>
      <c r="H98" s="666" t="s">
        <v>1280</v>
      </c>
      <c r="I98" s="667">
        <f>H3</f>
        <v>0</v>
      </c>
      <c r="J98" s="668">
        <v>45</v>
      </c>
      <c r="K98" s="619">
        <f t="shared" ref="K98:K104" si="16">J98/(1+L98)</f>
        <v>40.54054054054054</v>
      </c>
      <c r="L98" s="620">
        <v>0.11</v>
      </c>
      <c r="M98" s="599">
        <f t="shared" ref="M98:M105" si="17">K98*I98*G98/10000</f>
        <v>0</v>
      </c>
      <c r="N98" s="599">
        <f>M98*L98</f>
        <v>0</v>
      </c>
      <c r="O98" s="599">
        <f>M98+N98</f>
        <v>0</v>
      </c>
      <c r="P98" s="614" t="e">
        <f t="shared" si="15"/>
        <v>#DIV/0!</v>
      </c>
      <c r="Q98" s="669">
        <f t="shared" si="10"/>
        <v>0</v>
      </c>
      <c r="R98" s="669"/>
    </row>
    <row r="99" spans="1:18" s="632" customFormat="1" ht="19.75" customHeight="1" outlineLevel="2">
      <c r="A99" s="633"/>
      <c r="B99" s="603" t="s">
        <v>1281</v>
      </c>
      <c r="C99" s="615" t="s">
        <v>68</v>
      </c>
      <c r="D99" s="663" t="s">
        <v>385</v>
      </c>
      <c r="E99" s="665" t="s">
        <v>1282</v>
      </c>
      <c r="F99" s="665" t="s">
        <v>580</v>
      </c>
      <c r="G99" s="666">
        <f>2*1.2</f>
        <v>2.4</v>
      </c>
      <c r="H99" s="666" t="s">
        <v>1283</v>
      </c>
      <c r="I99" s="667">
        <f>H3</f>
        <v>0</v>
      </c>
      <c r="J99" s="668">
        <v>40</v>
      </c>
      <c r="K99" s="619">
        <f t="shared" si="16"/>
        <v>36.03603603603603</v>
      </c>
      <c r="L99" s="620">
        <v>0.11</v>
      </c>
      <c r="M99" s="599">
        <f t="shared" si="17"/>
        <v>0</v>
      </c>
      <c r="N99" s="599">
        <f>M99*L99</f>
        <v>0</v>
      </c>
      <c r="O99" s="599">
        <f>M99+N99</f>
        <v>0</v>
      </c>
      <c r="P99" s="614" t="e">
        <f t="shared" si="15"/>
        <v>#DIV/0!</v>
      </c>
      <c r="Q99" s="614">
        <f t="shared" ref="Q99:Q162" si="18">M99</f>
        <v>0</v>
      </c>
      <c r="R99" s="614"/>
    </row>
    <row r="100" spans="1:18" s="632" customFormat="1" ht="19.75" customHeight="1" outlineLevel="2">
      <c r="A100" s="633"/>
      <c r="B100" s="603" t="s">
        <v>1284</v>
      </c>
      <c r="C100" s="615" t="s">
        <v>69</v>
      </c>
      <c r="D100" s="663" t="s">
        <v>1285</v>
      </c>
      <c r="E100" s="665" t="s">
        <v>1228</v>
      </c>
      <c r="F100" s="665" t="s">
        <v>580</v>
      </c>
      <c r="G100" s="666">
        <v>2</v>
      </c>
      <c r="H100" s="666" t="s">
        <v>101</v>
      </c>
      <c r="I100" s="667">
        <f>H3</f>
        <v>0</v>
      </c>
      <c r="J100" s="668">
        <v>45</v>
      </c>
      <c r="K100" s="619">
        <f t="shared" si="16"/>
        <v>40.54054054054054</v>
      </c>
      <c r="L100" s="620">
        <v>0.11</v>
      </c>
      <c r="M100" s="599">
        <f t="shared" si="17"/>
        <v>0</v>
      </c>
      <c r="N100" s="599">
        <f>M100*L100</f>
        <v>0</v>
      </c>
      <c r="O100" s="599">
        <f>M100+N100</f>
        <v>0</v>
      </c>
      <c r="P100" s="614" t="e">
        <f t="shared" si="15"/>
        <v>#DIV/0!</v>
      </c>
      <c r="Q100" s="614">
        <f t="shared" si="18"/>
        <v>0</v>
      </c>
      <c r="R100" s="614"/>
    </row>
    <row r="101" spans="1:18" s="632" customFormat="1" ht="19.75" customHeight="1" outlineLevel="2">
      <c r="A101" s="633"/>
      <c r="B101" s="603" t="s">
        <v>1286</v>
      </c>
      <c r="C101" s="615" t="s">
        <v>70</v>
      </c>
      <c r="D101" s="663" t="s">
        <v>1287</v>
      </c>
      <c r="E101" s="665" t="s">
        <v>1288</v>
      </c>
      <c r="F101" s="665" t="s">
        <v>580</v>
      </c>
      <c r="G101" s="666">
        <v>1</v>
      </c>
      <c r="H101" s="666" t="s">
        <v>103</v>
      </c>
      <c r="I101" s="667">
        <f>H3</f>
        <v>0</v>
      </c>
      <c r="J101" s="668">
        <v>70</v>
      </c>
      <c r="K101" s="619">
        <f t="shared" si="16"/>
        <v>63.063063063063055</v>
      </c>
      <c r="L101" s="620">
        <v>0.11</v>
      </c>
      <c r="M101" s="599">
        <f t="shared" si="17"/>
        <v>0</v>
      </c>
      <c r="N101" s="599">
        <f>M101*L101</f>
        <v>0</v>
      </c>
      <c r="O101" s="599">
        <f>M101+N101</f>
        <v>0</v>
      </c>
      <c r="P101" s="614" t="e">
        <f t="shared" si="15"/>
        <v>#DIV/0!</v>
      </c>
      <c r="Q101" s="614">
        <f t="shared" si="18"/>
        <v>0</v>
      </c>
      <c r="R101" s="614"/>
    </row>
    <row r="102" spans="1:18" s="632" customFormat="1" ht="19.75" customHeight="1" outlineLevel="2">
      <c r="A102" s="633"/>
      <c r="B102" s="603" t="s">
        <v>1289</v>
      </c>
      <c r="C102" s="624" t="s">
        <v>71</v>
      </c>
      <c r="D102" s="663" t="s">
        <v>1290</v>
      </c>
      <c r="E102" s="665" t="s">
        <v>1121</v>
      </c>
      <c r="F102" s="670"/>
      <c r="G102" s="666"/>
      <c r="H102" s="666"/>
      <c r="I102" s="667"/>
      <c r="J102" s="668"/>
      <c r="K102" s="619">
        <f t="shared" si="16"/>
        <v>0</v>
      </c>
      <c r="L102" s="620">
        <v>0.06</v>
      </c>
      <c r="M102" s="599">
        <f t="shared" si="17"/>
        <v>0</v>
      </c>
      <c r="N102" s="599">
        <f>M102*L102</f>
        <v>0</v>
      </c>
      <c r="O102" s="599">
        <f>M102+N102</f>
        <v>0</v>
      </c>
      <c r="P102" s="614" t="e">
        <f t="shared" si="15"/>
        <v>#DIV/0!</v>
      </c>
      <c r="Q102" s="614">
        <f t="shared" si="18"/>
        <v>0</v>
      </c>
      <c r="R102" s="614"/>
    </row>
    <row r="103" spans="1:18" s="632" customFormat="1" ht="24" customHeight="1" outlineLevel="1">
      <c r="A103" s="633"/>
      <c r="B103" s="601" t="s">
        <v>485</v>
      </c>
      <c r="C103" s="996">
        <v>4</v>
      </c>
      <c r="D103" s="488" t="s">
        <v>534</v>
      </c>
      <c r="E103" s="487"/>
      <c r="F103" s="996"/>
      <c r="G103" s="996"/>
      <c r="H103" s="996"/>
      <c r="I103" s="996"/>
      <c r="J103" s="631"/>
      <c r="K103" s="631"/>
      <c r="L103" s="588"/>
      <c r="M103" s="589">
        <f>SUBTOTAL(9,M104:M105)</f>
        <v>0</v>
      </c>
      <c r="N103" s="589">
        <f>SUBTOTAL(9,N104:N105)</f>
        <v>0</v>
      </c>
      <c r="O103" s="589">
        <f>SUBTOTAL(9,O104:O105)</f>
        <v>0</v>
      </c>
      <c r="P103" s="494" t="e">
        <f t="shared" ref="P103:P108" si="19">IF(O103="","",O103*10000/F$3)</f>
        <v>#DIV/0!</v>
      </c>
      <c r="Q103" s="494">
        <f t="shared" si="18"/>
        <v>0</v>
      </c>
      <c r="R103" s="494"/>
    </row>
    <row r="104" spans="1:18" s="632" customFormat="1" ht="24" customHeight="1" outlineLevel="2">
      <c r="A104" s="633"/>
      <c r="B104" s="603" t="s">
        <v>585</v>
      </c>
      <c r="C104" s="604" t="s">
        <v>36</v>
      </c>
      <c r="D104" s="671" t="s">
        <v>535</v>
      </c>
      <c r="E104" s="664" t="s">
        <v>1278</v>
      </c>
      <c r="F104" s="665" t="s">
        <v>431</v>
      </c>
      <c r="G104" s="624">
        <v>1</v>
      </c>
      <c r="H104" s="624" t="s">
        <v>111</v>
      </c>
      <c r="I104" s="655">
        <f>C3</f>
        <v>0</v>
      </c>
      <c r="J104" s="656">
        <v>15</v>
      </c>
      <c r="K104" s="619">
        <f t="shared" si="16"/>
        <v>13.513513513513512</v>
      </c>
      <c r="L104" s="597">
        <v>0.11</v>
      </c>
      <c r="M104" s="599">
        <f t="shared" si="17"/>
        <v>0</v>
      </c>
      <c r="N104" s="599">
        <f>M104*L104</f>
        <v>0</v>
      </c>
      <c r="O104" s="599">
        <f>M104+N104</f>
        <v>0</v>
      </c>
      <c r="P104" s="614" t="e">
        <f t="shared" si="19"/>
        <v>#DIV/0!</v>
      </c>
      <c r="Q104" s="672">
        <f t="shared" si="18"/>
        <v>0</v>
      </c>
      <c r="R104" s="673"/>
    </row>
    <row r="105" spans="1:18" s="632" customFormat="1" ht="24" customHeight="1" outlineLevel="2">
      <c r="A105" s="633"/>
      <c r="B105" s="603" t="s">
        <v>536</v>
      </c>
      <c r="C105" s="604" t="s">
        <v>33</v>
      </c>
      <c r="D105" s="671" t="s">
        <v>1291</v>
      </c>
      <c r="E105" s="674" t="s">
        <v>1278</v>
      </c>
      <c r="F105" s="593"/>
      <c r="G105" s="624"/>
      <c r="H105" s="624"/>
      <c r="I105" s="624"/>
      <c r="J105" s="634"/>
      <c r="K105" s="634"/>
      <c r="L105" s="569"/>
      <c r="M105" s="599">
        <f t="shared" si="17"/>
        <v>0</v>
      </c>
      <c r="N105" s="675"/>
      <c r="O105" s="675"/>
      <c r="P105" s="614" t="str">
        <f t="shared" si="19"/>
        <v/>
      </c>
      <c r="Q105" s="672">
        <f t="shared" si="18"/>
        <v>0</v>
      </c>
      <c r="R105" s="673"/>
    </row>
    <row r="106" spans="1:18" s="575" customFormat="1" ht="24.75" customHeight="1">
      <c r="A106" s="576"/>
      <c r="B106" s="577" t="s">
        <v>537</v>
      </c>
      <c r="C106" s="578" t="s">
        <v>77</v>
      </c>
      <c r="D106" s="480" t="s">
        <v>486</v>
      </c>
      <c r="E106" s="481"/>
      <c r="F106" s="482"/>
      <c r="G106" s="411"/>
      <c r="H106" s="483"/>
      <c r="I106" s="484"/>
      <c r="J106" s="628"/>
      <c r="K106" s="628"/>
      <c r="L106" s="580"/>
      <c r="M106" s="581">
        <f>SUBTOTAL(9,M107:M126)</f>
        <v>0</v>
      </c>
      <c r="N106" s="581">
        <f>SUBTOTAL(9,N107:N126)</f>
        <v>0</v>
      </c>
      <c r="O106" s="581">
        <f>SUBTOTAL(9,O107:O126)</f>
        <v>0</v>
      </c>
      <c r="P106" s="581" t="e">
        <f t="shared" si="19"/>
        <v>#DIV/0!</v>
      </c>
      <c r="Q106" s="486">
        <f t="shared" si="18"/>
        <v>0</v>
      </c>
      <c r="R106" s="486"/>
    </row>
    <row r="107" spans="1:18" ht="24" customHeight="1" outlineLevel="1">
      <c r="A107" s="600"/>
      <c r="B107" s="601" t="s">
        <v>492</v>
      </c>
      <c r="C107" s="585">
        <v>3</v>
      </c>
      <c r="D107" s="676" t="s">
        <v>493</v>
      </c>
      <c r="E107" s="677"/>
      <c r="F107" s="678"/>
      <c r="G107" s="493"/>
      <c r="H107" s="491"/>
      <c r="I107" s="492"/>
      <c r="J107" s="679"/>
      <c r="K107" s="679"/>
      <c r="L107" s="588"/>
      <c r="M107" s="589">
        <f>SUBTOTAL(9,M108:M124)</f>
        <v>0</v>
      </c>
      <c r="N107" s="589">
        <f>SUBTOTAL(9,N108:N124)</f>
        <v>0</v>
      </c>
      <c r="O107" s="589">
        <f>SUBTOTAL(9,O108:O124)</f>
        <v>0</v>
      </c>
      <c r="P107" s="494" t="e">
        <f t="shared" si="19"/>
        <v>#DIV/0!</v>
      </c>
      <c r="Q107" s="494">
        <f t="shared" si="18"/>
        <v>0</v>
      </c>
      <c r="R107" s="494"/>
    </row>
    <row r="108" spans="1:18" s="632" customFormat="1" ht="24" customHeight="1" outlineLevel="2">
      <c r="A108" s="633"/>
      <c r="B108" s="603" t="s">
        <v>586</v>
      </c>
      <c r="C108" s="604" t="s">
        <v>1096</v>
      </c>
      <c r="D108" s="635" t="s">
        <v>1292</v>
      </c>
      <c r="E108" s="680"/>
      <c r="F108" s="648"/>
      <c r="G108" s="672"/>
      <c r="H108" s="681"/>
      <c r="I108" s="681"/>
      <c r="J108" s="682"/>
      <c r="K108" s="682"/>
      <c r="L108" s="569"/>
      <c r="M108" s="613">
        <f>SUBTOTAL(9,M109:M111)</f>
        <v>0</v>
      </c>
      <c r="N108" s="613">
        <f>SUBTOTAL(9,N109:N111)</f>
        <v>0</v>
      </c>
      <c r="O108" s="613">
        <f>SUBTOTAL(9,O109:O111)</f>
        <v>0</v>
      </c>
      <c r="P108" s="614" t="e">
        <f t="shared" si="19"/>
        <v>#DIV/0!</v>
      </c>
      <c r="Q108" s="669">
        <f t="shared" si="18"/>
        <v>0</v>
      </c>
      <c r="R108" s="669"/>
    </row>
    <row r="109" spans="1:18" s="632" customFormat="1" ht="24" customHeight="1" outlineLevel="3">
      <c r="A109" s="633"/>
      <c r="B109" s="603" t="s">
        <v>587</v>
      </c>
      <c r="C109" s="615" t="s">
        <v>39</v>
      </c>
      <c r="D109" s="651" t="s">
        <v>538</v>
      </c>
      <c r="E109" s="683" t="s">
        <v>1293</v>
      </c>
      <c r="F109" s="684" t="s">
        <v>11</v>
      </c>
      <c r="G109" s="568">
        <v>1</v>
      </c>
      <c r="H109" s="685" t="s">
        <v>582</v>
      </c>
      <c r="I109" s="685">
        <f>D3</f>
        <v>0</v>
      </c>
      <c r="J109" s="686"/>
      <c r="K109" s="619">
        <f>J109/(1+L109)</f>
        <v>0</v>
      </c>
      <c r="L109" s="569">
        <v>0.11</v>
      </c>
      <c r="M109" s="599">
        <f t="shared" ref="M109:M124" si="20">K109*I109*G109/10000</f>
        <v>0</v>
      </c>
      <c r="N109" s="599">
        <f>M109*L109</f>
        <v>0</v>
      </c>
      <c r="O109" s="599">
        <f>M109+N109</f>
        <v>0</v>
      </c>
      <c r="P109" s="614" t="e">
        <f t="shared" ref="P109:P124" si="21">IF(O109="","",O109*10000/F$3)</f>
        <v>#DIV/0!</v>
      </c>
      <c r="Q109" s="672">
        <f t="shared" si="18"/>
        <v>0</v>
      </c>
      <c r="R109" s="673"/>
    </row>
    <row r="110" spans="1:18" s="632" customFormat="1" ht="24" customHeight="1" outlineLevel="3">
      <c r="A110" s="633"/>
      <c r="B110" s="603" t="s">
        <v>588</v>
      </c>
      <c r="C110" s="615" t="s">
        <v>39</v>
      </c>
      <c r="D110" s="651" t="s">
        <v>539</v>
      </c>
      <c r="E110" s="684" t="s">
        <v>1294</v>
      </c>
      <c r="F110" s="684" t="s">
        <v>11</v>
      </c>
      <c r="G110" s="568">
        <v>1</v>
      </c>
      <c r="H110" s="685" t="s">
        <v>582</v>
      </c>
      <c r="I110" s="685">
        <f>D3</f>
        <v>0</v>
      </c>
      <c r="J110" s="682"/>
      <c r="K110" s="619">
        <f>J110/(1+L110)</f>
        <v>0</v>
      </c>
      <c r="L110" s="569">
        <v>0.11</v>
      </c>
      <c r="M110" s="599">
        <f t="shared" si="20"/>
        <v>0</v>
      </c>
      <c r="N110" s="599">
        <f>M110*L110</f>
        <v>0</v>
      </c>
      <c r="O110" s="599">
        <f>M110+N110</f>
        <v>0</v>
      </c>
      <c r="P110" s="614" t="e">
        <f t="shared" si="21"/>
        <v>#DIV/0!</v>
      </c>
      <c r="Q110" s="672">
        <f t="shared" si="18"/>
        <v>0</v>
      </c>
      <c r="R110" s="673"/>
    </row>
    <row r="111" spans="1:18" s="632" customFormat="1" ht="24" customHeight="1" outlineLevel="3">
      <c r="A111" s="633"/>
      <c r="B111" s="603" t="s">
        <v>589</v>
      </c>
      <c r="C111" s="615" t="s">
        <v>39</v>
      </c>
      <c r="D111" s="651" t="s">
        <v>540</v>
      </c>
      <c r="E111" s="684" t="s">
        <v>1295</v>
      </c>
      <c r="F111" s="684" t="s">
        <v>11</v>
      </c>
      <c r="G111" s="568">
        <v>1</v>
      </c>
      <c r="H111" s="685" t="s">
        <v>582</v>
      </c>
      <c r="I111" s="685">
        <f>D3</f>
        <v>0</v>
      </c>
      <c r="J111" s="682"/>
      <c r="K111" s="619">
        <f>J111/(1+L111)</f>
        <v>0</v>
      </c>
      <c r="L111" s="569">
        <v>0.17</v>
      </c>
      <c r="M111" s="599">
        <f t="shared" si="20"/>
        <v>0</v>
      </c>
      <c r="N111" s="599">
        <f>M111*L111</f>
        <v>0</v>
      </c>
      <c r="O111" s="599">
        <f>M111+N111</f>
        <v>0</v>
      </c>
      <c r="P111" s="614" t="e">
        <f t="shared" si="21"/>
        <v>#DIV/0!</v>
      </c>
      <c r="Q111" s="672">
        <f t="shared" si="18"/>
        <v>0</v>
      </c>
      <c r="R111" s="673"/>
    </row>
    <row r="112" spans="1:18" s="632" customFormat="1" ht="24" customHeight="1" outlineLevel="2">
      <c r="A112" s="633"/>
      <c r="B112" s="603" t="s">
        <v>590</v>
      </c>
      <c r="C112" s="615" t="s">
        <v>68</v>
      </c>
      <c r="D112" s="651" t="s">
        <v>1296</v>
      </c>
      <c r="E112" s="665"/>
      <c r="F112" s="684" t="s">
        <v>11</v>
      </c>
      <c r="G112" s="568">
        <v>1</v>
      </c>
      <c r="H112" s="685" t="s">
        <v>582</v>
      </c>
      <c r="I112" s="685">
        <f>D3</f>
        <v>0</v>
      </c>
      <c r="J112" s="686"/>
      <c r="K112" s="686"/>
      <c r="L112" s="569"/>
      <c r="M112" s="613">
        <f>SUBTOTAL(9,M113:M114)</f>
        <v>0</v>
      </c>
      <c r="N112" s="613">
        <f>SUBTOTAL(9,N113:N114)</f>
        <v>0</v>
      </c>
      <c r="O112" s="613">
        <f>SUBTOTAL(9,O113:O114)</f>
        <v>0</v>
      </c>
      <c r="P112" s="614" t="e">
        <f t="shared" si="21"/>
        <v>#DIV/0!</v>
      </c>
      <c r="Q112" s="672">
        <f t="shared" si="18"/>
        <v>0</v>
      </c>
      <c r="R112" s="673"/>
    </row>
    <row r="113" spans="1:18" s="632" customFormat="1" ht="24" customHeight="1" outlineLevel="3">
      <c r="A113" s="633"/>
      <c r="B113" s="603" t="s">
        <v>591</v>
      </c>
      <c r="C113" s="615" t="s">
        <v>39</v>
      </c>
      <c r="D113" s="651" t="s">
        <v>1297</v>
      </c>
      <c r="E113" s="684" t="s">
        <v>467</v>
      </c>
      <c r="F113" s="684" t="s">
        <v>11</v>
      </c>
      <c r="G113" s="568">
        <v>1</v>
      </c>
      <c r="H113" s="685" t="s">
        <v>582</v>
      </c>
      <c r="I113" s="685">
        <f>D3</f>
        <v>0</v>
      </c>
      <c r="J113" s="682"/>
      <c r="K113" s="619">
        <f>J113/(1+L113)</f>
        <v>0</v>
      </c>
      <c r="L113" s="569"/>
      <c r="M113" s="599">
        <f t="shared" si="20"/>
        <v>0</v>
      </c>
      <c r="N113" s="599">
        <f>M113*L113</f>
        <v>0</v>
      </c>
      <c r="O113" s="599">
        <f>M113+N113</f>
        <v>0</v>
      </c>
      <c r="P113" s="614" t="e">
        <f t="shared" si="21"/>
        <v>#DIV/0!</v>
      </c>
      <c r="Q113" s="614">
        <f t="shared" si="18"/>
        <v>0</v>
      </c>
      <c r="R113" s="614"/>
    </row>
    <row r="114" spans="1:18" s="632" customFormat="1" ht="24" customHeight="1" outlineLevel="3">
      <c r="A114" s="633"/>
      <c r="B114" s="603" t="s">
        <v>592</v>
      </c>
      <c r="C114" s="604" t="s">
        <v>39</v>
      </c>
      <c r="D114" s="635" t="s">
        <v>541</v>
      </c>
      <c r="E114" s="598" t="s">
        <v>1091</v>
      </c>
      <c r="F114" s="648"/>
      <c r="G114" s="672"/>
      <c r="H114" s="681"/>
      <c r="I114" s="681"/>
      <c r="J114" s="682"/>
      <c r="K114" s="619">
        <f>J114/(1+L114)</f>
        <v>0</v>
      </c>
      <c r="L114" s="569"/>
      <c r="M114" s="599">
        <f t="shared" si="20"/>
        <v>0</v>
      </c>
      <c r="N114" s="599">
        <f>M114*L114</f>
        <v>0</v>
      </c>
      <c r="O114" s="599">
        <f>M114+N114</f>
        <v>0</v>
      </c>
      <c r="P114" s="614" t="e">
        <f t="shared" si="21"/>
        <v>#DIV/0!</v>
      </c>
      <c r="Q114" s="669">
        <f t="shared" si="18"/>
        <v>0</v>
      </c>
      <c r="R114" s="669"/>
    </row>
    <row r="115" spans="1:18" s="632" customFormat="1" ht="24" customHeight="1" outlineLevel="2">
      <c r="A115" s="633"/>
      <c r="B115" s="603" t="s">
        <v>593</v>
      </c>
      <c r="C115" s="615" t="s">
        <v>69</v>
      </c>
      <c r="D115" s="687" t="s">
        <v>1298</v>
      </c>
      <c r="E115" s="688"/>
      <c r="F115" s="684" t="s">
        <v>11</v>
      </c>
      <c r="G115" s="568">
        <v>1</v>
      </c>
      <c r="H115" s="685" t="s">
        <v>582</v>
      </c>
      <c r="I115" s="685">
        <f>D3</f>
        <v>0</v>
      </c>
      <c r="J115" s="686"/>
      <c r="K115" s="686"/>
      <c r="L115" s="569"/>
      <c r="M115" s="613">
        <f>SUBTOTAL(9,M116:M118)</f>
        <v>0</v>
      </c>
      <c r="N115" s="613">
        <f>SUBTOTAL(9,N116:N118)</f>
        <v>0</v>
      </c>
      <c r="O115" s="613">
        <f>SUBTOTAL(9,O116:O118)</f>
        <v>0</v>
      </c>
      <c r="P115" s="614" t="e">
        <f t="shared" si="21"/>
        <v>#DIV/0!</v>
      </c>
      <c r="Q115" s="672">
        <f t="shared" si="18"/>
        <v>0</v>
      </c>
      <c r="R115" s="673"/>
    </row>
    <row r="116" spans="1:18" s="632" customFormat="1" ht="24" customHeight="1" outlineLevel="3">
      <c r="A116" s="633"/>
      <c r="B116" s="603" t="s">
        <v>594</v>
      </c>
      <c r="C116" s="615" t="s">
        <v>39</v>
      </c>
      <c r="D116" s="687" t="s">
        <v>1299</v>
      </c>
      <c r="E116" s="607" t="s">
        <v>1300</v>
      </c>
      <c r="F116" s="684" t="s">
        <v>11</v>
      </c>
      <c r="G116" s="568">
        <v>1</v>
      </c>
      <c r="H116" s="685" t="s">
        <v>582</v>
      </c>
      <c r="I116" s="685">
        <f>D3</f>
        <v>0</v>
      </c>
      <c r="J116" s="686"/>
      <c r="K116" s="619">
        <f>J116/(1+L116)</f>
        <v>0</v>
      </c>
      <c r="L116" s="569">
        <v>0</v>
      </c>
      <c r="M116" s="599">
        <f t="shared" si="20"/>
        <v>0</v>
      </c>
      <c r="N116" s="599">
        <f>M116*L116</f>
        <v>0</v>
      </c>
      <c r="O116" s="599">
        <f>M116+N116</f>
        <v>0</v>
      </c>
      <c r="P116" s="614" t="e">
        <f t="shared" si="21"/>
        <v>#DIV/0!</v>
      </c>
      <c r="Q116" s="672">
        <f t="shared" si="18"/>
        <v>0</v>
      </c>
      <c r="R116" s="673"/>
    </row>
    <row r="117" spans="1:18" s="632" customFormat="1" ht="24" customHeight="1" outlineLevel="3">
      <c r="A117" s="633"/>
      <c r="B117" s="603" t="s">
        <v>595</v>
      </c>
      <c r="C117" s="615" t="s">
        <v>39</v>
      </c>
      <c r="D117" s="687" t="s">
        <v>1301</v>
      </c>
      <c r="E117" s="607" t="s">
        <v>1300</v>
      </c>
      <c r="F117" s="684" t="s">
        <v>11</v>
      </c>
      <c r="G117" s="568">
        <v>1</v>
      </c>
      <c r="H117" s="685" t="s">
        <v>582</v>
      </c>
      <c r="I117" s="685">
        <f>D3</f>
        <v>0</v>
      </c>
      <c r="J117" s="686"/>
      <c r="K117" s="619">
        <f>J117/(1+L117)</f>
        <v>0</v>
      </c>
      <c r="L117" s="569"/>
      <c r="M117" s="599">
        <f t="shared" si="20"/>
        <v>0</v>
      </c>
      <c r="N117" s="599">
        <f>M117*L117</f>
        <v>0</v>
      </c>
      <c r="O117" s="599">
        <f>M117+N117</f>
        <v>0</v>
      </c>
      <c r="P117" s="614" t="e">
        <f t="shared" si="21"/>
        <v>#DIV/0!</v>
      </c>
      <c r="Q117" s="672">
        <f t="shared" si="18"/>
        <v>0</v>
      </c>
      <c r="R117" s="673"/>
    </row>
    <row r="118" spans="1:18" s="632" customFormat="1" ht="24" customHeight="1" outlineLevel="3">
      <c r="A118" s="633"/>
      <c r="B118" s="603" t="s">
        <v>1302</v>
      </c>
      <c r="C118" s="604" t="s">
        <v>39</v>
      </c>
      <c r="D118" s="635" t="s">
        <v>542</v>
      </c>
      <c r="E118" s="598" t="s">
        <v>1303</v>
      </c>
      <c r="F118" s="648"/>
      <c r="G118" s="672"/>
      <c r="H118" s="681"/>
      <c r="I118" s="681"/>
      <c r="J118" s="682"/>
      <c r="K118" s="619">
        <f>J118/(1+L118)</f>
        <v>0</v>
      </c>
      <c r="L118" s="569"/>
      <c r="M118" s="599">
        <f t="shared" si="20"/>
        <v>0</v>
      </c>
      <c r="N118" s="599">
        <f>M118*L118</f>
        <v>0</v>
      </c>
      <c r="O118" s="599">
        <f>M118+N118</f>
        <v>0</v>
      </c>
      <c r="P118" s="614" t="e">
        <f t="shared" si="21"/>
        <v>#DIV/0!</v>
      </c>
      <c r="Q118" s="669">
        <f t="shared" si="18"/>
        <v>0</v>
      </c>
      <c r="R118" s="669"/>
    </row>
    <row r="119" spans="1:18" s="632" customFormat="1" ht="24" customHeight="1" outlineLevel="2">
      <c r="A119" s="633"/>
      <c r="B119" s="603" t="s">
        <v>1304</v>
      </c>
      <c r="C119" s="615" t="s">
        <v>70</v>
      </c>
      <c r="D119" s="687" t="s">
        <v>1305</v>
      </c>
      <c r="E119" s="684"/>
      <c r="F119" s="684" t="s">
        <v>11</v>
      </c>
      <c r="G119" s="568">
        <v>1</v>
      </c>
      <c r="H119" s="685" t="s">
        <v>582</v>
      </c>
      <c r="I119" s="685">
        <f t="shared" ref="I119:I124" si="22">$D$3</f>
        <v>0</v>
      </c>
      <c r="J119" s="686"/>
      <c r="K119" s="686"/>
      <c r="L119" s="569"/>
      <c r="M119" s="613">
        <f>SUBTOTAL(9,M120:M124)</f>
        <v>0</v>
      </c>
      <c r="N119" s="613">
        <f>SUBTOTAL(9,N120:N124)</f>
        <v>0</v>
      </c>
      <c r="O119" s="613">
        <f>SUBTOTAL(9,O120:O124)</f>
        <v>0</v>
      </c>
      <c r="P119" s="614" t="e">
        <f t="shared" si="21"/>
        <v>#DIV/0!</v>
      </c>
      <c r="Q119" s="672">
        <f t="shared" si="18"/>
        <v>0</v>
      </c>
      <c r="R119" s="673"/>
    </row>
    <row r="120" spans="1:18" s="632" customFormat="1" ht="24" customHeight="1" outlineLevel="3">
      <c r="A120" s="633"/>
      <c r="B120" s="603" t="s">
        <v>596</v>
      </c>
      <c r="C120" s="615" t="s">
        <v>39</v>
      </c>
      <c r="D120" s="687" t="s">
        <v>1306</v>
      </c>
      <c r="E120" s="689" t="s">
        <v>1307</v>
      </c>
      <c r="F120" s="684" t="s">
        <v>42</v>
      </c>
      <c r="G120" s="568">
        <v>1</v>
      </c>
      <c r="H120" s="685" t="s">
        <v>1308</v>
      </c>
      <c r="I120" s="685">
        <f t="shared" si="22"/>
        <v>0</v>
      </c>
      <c r="J120" s="686"/>
      <c r="K120" s="619">
        <f t="shared" ref="K120:K125" si="23">J120/(1+L120)</f>
        <v>0</v>
      </c>
      <c r="L120" s="569">
        <v>0</v>
      </c>
      <c r="M120" s="599">
        <f t="shared" si="20"/>
        <v>0</v>
      </c>
      <c r="N120" s="599">
        <f t="shared" ref="N120:N126" si="24">M120*L120</f>
        <v>0</v>
      </c>
      <c r="O120" s="599">
        <f t="shared" ref="O120:O126" si="25">M120+N120</f>
        <v>0</v>
      </c>
      <c r="P120" s="614" t="e">
        <f t="shared" si="21"/>
        <v>#DIV/0!</v>
      </c>
      <c r="Q120" s="672">
        <f t="shared" si="18"/>
        <v>0</v>
      </c>
      <c r="R120" s="673"/>
    </row>
    <row r="121" spans="1:18" s="632" customFormat="1" ht="27.75" customHeight="1" outlineLevel="3">
      <c r="A121" s="633"/>
      <c r="B121" s="603" t="s">
        <v>597</v>
      </c>
      <c r="C121" s="604" t="s">
        <v>39</v>
      </c>
      <c r="D121" s="635" t="s">
        <v>1309</v>
      </c>
      <c r="E121" s="680" t="s">
        <v>1310</v>
      </c>
      <c r="F121" s="684" t="s">
        <v>42</v>
      </c>
      <c r="G121" s="672">
        <v>1</v>
      </c>
      <c r="H121" s="685" t="s">
        <v>1308</v>
      </c>
      <c r="I121" s="685">
        <f t="shared" si="22"/>
        <v>0</v>
      </c>
      <c r="J121" s="682"/>
      <c r="K121" s="619">
        <f t="shared" si="23"/>
        <v>0</v>
      </c>
      <c r="L121" s="569">
        <v>0.11</v>
      </c>
      <c r="M121" s="599">
        <f t="shared" si="20"/>
        <v>0</v>
      </c>
      <c r="N121" s="599">
        <f t="shared" si="24"/>
        <v>0</v>
      </c>
      <c r="O121" s="599">
        <f t="shared" si="25"/>
        <v>0</v>
      </c>
      <c r="P121" s="614" t="e">
        <f t="shared" si="21"/>
        <v>#DIV/0!</v>
      </c>
      <c r="Q121" s="669">
        <f t="shared" si="18"/>
        <v>0</v>
      </c>
      <c r="R121" s="669"/>
    </row>
    <row r="122" spans="1:18" s="632" customFormat="1" ht="24" customHeight="1" outlineLevel="3">
      <c r="A122" s="633"/>
      <c r="B122" s="603" t="s">
        <v>598</v>
      </c>
      <c r="C122" s="615" t="s">
        <v>39</v>
      </c>
      <c r="D122" s="663" t="s">
        <v>1311</v>
      </c>
      <c r="E122" s="664" t="s">
        <v>1312</v>
      </c>
      <c r="F122" s="684" t="s">
        <v>1313</v>
      </c>
      <c r="G122" s="568">
        <v>1</v>
      </c>
      <c r="H122" s="685" t="s">
        <v>1308</v>
      </c>
      <c r="I122" s="685">
        <f t="shared" si="22"/>
        <v>0</v>
      </c>
      <c r="J122" s="686"/>
      <c r="K122" s="619">
        <f t="shared" si="23"/>
        <v>0</v>
      </c>
      <c r="L122" s="569">
        <v>0.11</v>
      </c>
      <c r="M122" s="599">
        <f t="shared" si="20"/>
        <v>0</v>
      </c>
      <c r="N122" s="599">
        <f t="shared" si="24"/>
        <v>0</v>
      </c>
      <c r="O122" s="599">
        <f t="shared" si="25"/>
        <v>0</v>
      </c>
      <c r="P122" s="614" t="e">
        <f t="shared" si="21"/>
        <v>#DIV/0!</v>
      </c>
      <c r="Q122" s="672">
        <f t="shared" si="18"/>
        <v>0</v>
      </c>
      <c r="R122" s="673"/>
    </row>
    <row r="123" spans="1:18" s="632" customFormat="1" ht="24" customHeight="1" outlineLevel="3">
      <c r="A123" s="633"/>
      <c r="B123" s="603" t="s">
        <v>599</v>
      </c>
      <c r="C123" s="615" t="s">
        <v>39</v>
      </c>
      <c r="D123" s="663" t="s">
        <v>543</v>
      </c>
      <c r="E123" s="664" t="s">
        <v>458</v>
      </c>
      <c r="F123" s="684" t="s">
        <v>1313</v>
      </c>
      <c r="G123" s="568">
        <v>1</v>
      </c>
      <c r="H123" s="685" t="s">
        <v>1308</v>
      </c>
      <c r="I123" s="685">
        <f t="shared" si="22"/>
        <v>0</v>
      </c>
      <c r="J123" s="686"/>
      <c r="K123" s="619">
        <f t="shared" si="23"/>
        <v>0</v>
      </c>
      <c r="L123" s="569">
        <v>0.11</v>
      </c>
      <c r="M123" s="599">
        <f t="shared" si="20"/>
        <v>0</v>
      </c>
      <c r="N123" s="599">
        <f t="shared" si="24"/>
        <v>0</v>
      </c>
      <c r="O123" s="599">
        <f t="shared" si="25"/>
        <v>0</v>
      </c>
      <c r="P123" s="614" t="e">
        <f t="shared" si="21"/>
        <v>#DIV/0!</v>
      </c>
      <c r="Q123" s="614">
        <f t="shared" si="18"/>
        <v>0</v>
      </c>
      <c r="R123" s="614"/>
    </row>
    <row r="124" spans="1:18" s="632" customFormat="1" ht="24" customHeight="1" outlineLevel="3">
      <c r="A124" s="633"/>
      <c r="B124" s="603" t="s">
        <v>600</v>
      </c>
      <c r="C124" s="615" t="s">
        <v>39</v>
      </c>
      <c r="D124" s="663" t="s">
        <v>1314</v>
      </c>
      <c r="E124" s="690" t="s">
        <v>1314</v>
      </c>
      <c r="F124" s="684" t="s">
        <v>1313</v>
      </c>
      <c r="G124" s="568">
        <v>1</v>
      </c>
      <c r="H124" s="685" t="s">
        <v>1308</v>
      </c>
      <c r="I124" s="685">
        <f t="shared" si="22"/>
        <v>0</v>
      </c>
      <c r="J124" s="686"/>
      <c r="K124" s="619">
        <f t="shared" si="23"/>
        <v>0</v>
      </c>
      <c r="L124" s="569">
        <v>0.17</v>
      </c>
      <c r="M124" s="599">
        <f t="shared" si="20"/>
        <v>0</v>
      </c>
      <c r="N124" s="599">
        <f t="shared" si="24"/>
        <v>0</v>
      </c>
      <c r="O124" s="599">
        <f t="shared" si="25"/>
        <v>0</v>
      </c>
      <c r="P124" s="614" t="e">
        <f t="shared" si="21"/>
        <v>#DIV/0!</v>
      </c>
      <c r="Q124" s="614">
        <f t="shared" si="18"/>
        <v>0</v>
      </c>
      <c r="R124" s="614"/>
    </row>
    <row r="125" spans="1:18" s="632" customFormat="1" ht="24" customHeight="1" outlineLevel="1">
      <c r="A125" s="633"/>
      <c r="B125" s="601" t="s">
        <v>1315</v>
      </c>
      <c r="C125" s="585">
        <v>4</v>
      </c>
      <c r="D125" s="691" t="s">
        <v>1316</v>
      </c>
      <c r="E125" s="677" t="s">
        <v>1228</v>
      </c>
      <c r="F125" s="491" t="s">
        <v>1313</v>
      </c>
      <c r="G125" s="492">
        <v>1</v>
      </c>
      <c r="H125" s="491" t="s">
        <v>1317</v>
      </c>
      <c r="I125" s="692">
        <f>D3</f>
        <v>0</v>
      </c>
      <c r="J125" s="692">
        <v>20</v>
      </c>
      <c r="K125" s="692">
        <f t="shared" si="23"/>
        <v>18.018018018018015</v>
      </c>
      <c r="L125" s="588">
        <v>0.11</v>
      </c>
      <c r="M125" s="589">
        <f>J125*I125*G125/10000</f>
        <v>0</v>
      </c>
      <c r="N125" s="589">
        <f t="shared" si="24"/>
        <v>0</v>
      </c>
      <c r="O125" s="589">
        <f t="shared" si="25"/>
        <v>0</v>
      </c>
      <c r="P125" s="494" t="e">
        <f t="shared" ref="P125:P133" si="26">IF(O125="","",O125*10000/F$3)</f>
        <v>#DIV/0!</v>
      </c>
      <c r="Q125" s="493">
        <f t="shared" si="18"/>
        <v>0</v>
      </c>
      <c r="R125" s="493"/>
    </row>
    <row r="126" spans="1:18" s="632" customFormat="1" ht="24" customHeight="1" outlineLevel="1">
      <c r="A126" s="633"/>
      <c r="B126" s="601" t="s">
        <v>496</v>
      </c>
      <c r="C126" s="585">
        <v>5</v>
      </c>
      <c r="D126" s="691" t="s">
        <v>602</v>
      </c>
      <c r="E126" s="677"/>
      <c r="F126" s="491" t="s">
        <v>11</v>
      </c>
      <c r="G126" s="492">
        <v>1</v>
      </c>
      <c r="H126" s="491" t="s">
        <v>601</v>
      </c>
      <c r="I126" s="692">
        <f>D3</f>
        <v>0</v>
      </c>
      <c r="J126" s="679"/>
      <c r="K126" s="679"/>
      <c r="L126" s="588"/>
      <c r="M126" s="589">
        <f>J126*I126*G126/10000</f>
        <v>0</v>
      </c>
      <c r="N126" s="589">
        <f t="shared" si="24"/>
        <v>0</v>
      </c>
      <c r="O126" s="589">
        <f t="shared" si="25"/>
        <v>0</v>
      </c>
      <c r="P126" s="494" t="e">
        <f t="shared" si="26"/>
        <v>#DIV/0!</v>
      </c>
      <c r="Q126" s="493">
        <f t="shared" si="18"/>
        <v>0</v>
      </c>
      <c r="R126" s="493"/>
    </row>
    <row r="127" spans="1:18" s="575" customFormat="1" ht="24" customHeight="1">
      <c r="A127" s="576"/>
      <c r="B127" s="577" t="s">
        <v>1318</v>
      </c>
      <c r="C127" s="578" t="s">
        <v>1319</v>
      </c>
      <c r="D127" s="480" t="s">
        <v>139</v>
      </c>
      <c r="E127" s="481"/>
      <c r="F127" s="482"/>
      <c r="G127" s="411"/>
      <c r="H127" s="483"/>
      <c r="I127" s="484"/>
      <c r="J127" s="628"/>
      <c r="K127" s="628"/>
      <c r="L127" s="580"/>
      <c r="M127" s="581">
        <f>SUBTOTAL(9,M128:M173)</f>
        <v>0</v>
      </c>
      <c r="N127" s="581">
        <f>SUBTOTAL(9,N128:N173)</f>
        <v>0</v>
      </c>
      <c r="O127" s="581">
        <f>SUBTOTAL(9,O128:O173)</f>
        <v>0</v>
      </c>
      <c r="P127" s="486" t="e">
        <f t="shared" si="26"/>
        <v>#DIV/0!</v>
      </c>
      <c r="Q127" s="486">
        <f t="shared" si="18"/>
        <v>0</v>
      </c>
      <c r="R127" s="486"/>
    </row>
    <row r="128" spans="1:18" s="632" customFormat="1" ht="24" customHeight="1" outlineLevel="1">
      <c r="A128" s="633"/>
      <c r="B128" s="601" t="s">
        <v>504</v>
      </c>
      <c r="C128" s="585">
        <v>1</v>
      </c>
      <c r="D128" s="691" t="s">
        <v>140</v>
      </c>
      <c r="E128" s="677"/>
      <c r="F128" s="491"/>
      <c r="G128" s="493"/>
      <c r="H128" s="491"/>
      <c r="I128" s="492"/>
      <c r="J128" s="679"/>
      <c r="K128" s="679"/>
      <c r="L128" s="588"/>
      <c r="M128" s="589">
        <f>SUBTOTAL(9,M129:M141)</f>
        <v>0</v>
      </c>
      <c r="N128" s="589">
        <f>SUBTOTAL(9,N129:N141)</f>
        <v>0</v>
      </c>
      <c r="O128" s="589">
        <f>SUBTOTAL(9,O129:O141)</f>
        <v>0</v>
      </c>
      <c r="P128" s="494" t="e">
        <f t="shared" si="26"/>
        <v>#DIV/0!</v>
      </c>
      <c r="Q128" s="494">
        <f t="shared" si="18"/>
        <v>0</v>
      </c>
      <c r="R128" s="494"/>
    </row>
    <row r="129" spans="1:18" s="632" customFormat="1" ht="24" customHeight="1" outlineLevel="2">
      <c r="A129" s="633"/>
      <c r="B129" s="603" t="s">
        <v>1320</v>
      </c>
      <c r="C129" s="604" t="s">
        <v>1096</v>
      </c>
      <c r="D129" s="635" t="s">
        <v>1321</v>
      </c>
      <c r="E129" s="598" t="s">
        <v>1091</v>
      </c>
      <c r="F129" s="607" t="s">
        <v>11</v>
      </c>
      <c r="G129" s="672"/>
      <c r="H129" s="624"/>
      <c r="I129" s="681"/>
      <c r="J129" s="682"/>
      <c r="K129" s="682"/>
      <c r="L129" s="569"/>
      <c r="M129" s="599">
        <f>K129*I129*G129/10000</f>
        <v>0</v>
      </c>
      <c r="N129" s="599">
        <f>M129*L129</f>
        <v>0</v>
      </c>
      <c r="O129" s="599">
        <f>M129+N129</f>
        <v>0</v>
      </c>
      <c r="P129" s="614" t="e">
        <f t="shared" si="26"/>
        <v>#DIV/0!</v>
      </c>
      <c r="Q129" s="693">
        <f t="shared" si="18"/>
        <v>0</v>
      </c>
      <c r="R129" s="614"/>
    </row>
    <row r="130" spans="1:18" s="632" customFormat="1" ht="24" customHeight="1" outlineLevel="2">
      <c r="A130" s="633"/>
      <c r="B130" s="603" t="s">
        <v>1322</v>
      </c>
      <c r="C130" s="615" t="s">
        <v>68</v>
      </c>
      <c r="D130" s="627" t="s">
        <v>1323</v>
      </c>
      <c r="E130" s="607"/>
      <c r="F130" s="607"/>
      <c r="G130" s="672"/>
      <c r="H130" s="624"/>
      <c r="I130" s="681"/>
      <c r="J130" s="682"/>
      <c r="K130" s="682"/>
      <c r="L130" s="569"/>
      <c r="M130" s="613">
        <f>SUBTOTAL(9,M131:M133)</f>
        <v>0</v>
      </c>
      <c r="N130" s="613">
        <f>SUBTOTAL(9,N131:N133)</f>
        <v>0</v>
      </c>
      <c r="O130" s="613">
        <f>SUBTOTAL(9,O131:O133)</f>
        <v>0</v>
      </c>
      <c r="P130" s="614" t="e">
        <f t="shared" si="26"/>
        <v>#DIV/0!</v>
      </c>
      <c r="Q130" s="693">
        <f t="shared" si="18"/>
        <v>0</v>
      </c>
      <c r="R130" s="614"/>
    </row>
    <row r="131" spans="1:18" s="632" customFormat="1" ht="24" customHeight="1" outlineLevel="3">
      <c r="A131" s="633"/>
      <c r="B131" s="603" t="s">
        <v>1324</v>
      </c>
      <c r="C131" s="615" t="s">
        <v>39</v>
      </c>
      <c r="D131" s="627" t="s">
        <v>1325</v>
      </c>
      <c r="E131" s="607" t="s">
        <v>1228</v>
      </c>
      <c r="F131" s="607"/>
      <c r="G131" s="672">
        <v>1</v>
      </c>
      <c r="H131" s="624" t="s">
        <v>111</v>
      </c>
      <c r="I131" s="681">
        <f>I130</f>
        <v>0</v>
      </c>
      <c r="J131" s="682"/>
      <c r="K131" s="682"/>
      <c r="L131" s="569">
        <v>0.11</v>
      </c>
      <c r="M131" s="599">
        <f t="shared" ref="M131:M137" si="27">K131*I131*G131/10000</f>
        <v>0</v>
      </c>
      <c r="N131" s="599">
        <f t="shared" ref="N131:N137" si="28">M131*L131</f>
        <v>0</v>
      </c>
      <c r="O131" s="599">
        <f t="shared" ref="O131:O137" si="29">M131+N131</f>
        <v>0</v>
      </c>
      <c r="P131" s="614" t="e">
        <f t="shared" si="26"/>
        <v>#DIV/0!</v>
      </c>
      <c r="Q131" s="693">
        <f t="shared" si="18"/>
        <v>0</v>
      </c>
      <c r="R131" s="614"/>
    </row>
    <row r="132" spans="1:18" s="632" customFormat="1" ht="24" customHeight="1" outlineLevel="3">
      <c r="A132" s="633"/>
      <c r="B132" s="603" t="s">
        <v>603</v>
      </c>
      <c r="C132" s="615" t="s">
        <v>39</v>
      </c>
      <c r="D132" s="627" t="s">
        <v>1326</v>
      </c>
      <c r="E132" s="648" t="s">
        <v>452</v>
      </c>
      <c r="F132" s="607"/>
      <c r="G132" s="672">
        <v>1</v>
      </c>
      <c r="H132" s="624" t="s">
        <v>1327</v>
      </c>
      <c r="I132" s="681">
        <f>I131</f>
        <v>0</v>
      </c>
      <c r="J132" s="682"/>
      <c r="K132" s="682"/>
      <c r="L132" s="569">
        <v>0.11</v>
      </c>
      <c r="M132" s="599">
        <f t="shared" si="27"/>
        <v>0</v>
      </c>
      <c r="N132" s="599">
        <f t="shared" si="28"/>
        <v>0</v>
      </c>
      <c r="O132" s="599">
        <f t="shared" si="29"/>
        <v>0</v>
      </c>
      <c r="P132" s="614" t="e">
        <f t="shared" si="26"/>
        <v>#DIV/0!</v>
      </c>
      <c r="Q132" s="693">
        <f t="shared" si="18"/>
        <v>0</v>
      </c>
      <c r="R132" s="614"/>
    </row>
    <row r="133" spans="1:18" s="632" customFormat="1" ht="24" customHeight="1" outlineLevel="3">
      <c r="A133" s="633"/>
      <c r="B133" s="603" t="s">
        <v>604</v>
      </c>
      <c r="C133" s="604" t="s">
        <v>39</v>
      </c>
      <c r="D133" s="635" t="s">
        <v>1328</v>
      </c>
      <c r="E133" s="648" t="s">
        <v>1329</v>
      </c>
      <c r="F133" s="648"/>
      <c r="G133" s="672"/>
      <c r="H133" s="624"/>
      <c r="I133" s="681"/>
      <c r="J133" s="682"/>
      <c r="K133" s="682"/>
      <c r="L133" s="569">
        <v>0.17</v>
      </c>
      <c r="M133" s="599">
        <f t="shared" si="27"/>
        <v>0</v>
      </c>
      <c r="N133" s="599">
        <f t="shared" si="28"/>
        <v>0</v>
      </c>
      <c r="O133" s="599">
        <f t="shared" si="29"/>
        <v>0</v>
      </c>
      <c r="P133" s="614" t="e">
        <f t="shared" si="26"/>
        <v>#DIV/0!</v>
      </c>
      <c r="Q133" s="693">
        <f t="shared" si="18"/>
        <v>0</v>
      </c>
      <c r="R133" s="614"/>
    </row>
    <row r="134" spans="1:18" s="632" customFormat="1" ht="24" customHeight="1" outlineLevel="2">
      <c r="A134" s="633"/>
      <c r="B134" s="603" t="s">
        <v>1330</v>
      </c>
      <c r="C134" s="615" t="s">
        <v>572</v>
      </c>
      <c r="D134" s="627" t="s">
        <v>1331</v>
      </c>
      <c r="E134" s="598" t="s">
        <v>1091</v>
      </c>
      <c r="F134" s="648"/>
      <c r="G134" s="672">
        <v>1</v>
      </c>
      <c r="H134" s="624" t="s">
        <v>1327</v>
      </c>
      <c r="I134" s="681"/>
      <c r="J134" s="682"/>
      <c r="K134" s="682"/>
      <c r="L134" s="569"/>
      <c r="M134" s="599">
        <f t="shared" si="27"/>
        <v>0</v>
      </c>
      <c r="N134" s="599">
        <f t="shared" si="28"/>
        <v>0</v>
      </c>
      <c r="O134" s="599">
        <f t="shared" si="29"/>
        <v>0</v>
      </c>
      <c r="P134" s="614" t="e">
        <f t="shared" ref="P134:P141" si="30">IF(O134="","",O134*10000/F$3)</f>
        <v>#DIV/0!</v>
      </c>
      <c r="Q134" s="693">
        <f t="shared" si="18"/>
        <v>0</v>
      </c>
      <c r="R134" s="614"/>
    </row>
    <row r="135" spans="1:18" s="632" customFormat="1" ht="24" customHeight="1" outlineLevel="2">
      <c r="A135" s="633"/>
      <c r="B135" s="603" t="s">
        <v>1332</v>
      </c>
      <c r="C135" s="615" t="s">
        <v>574</v>
      </c>
      <c r="D135" s="627" t="s">
        <v>1333</v>
      </c>
      <c r="E135" s="598" t="s">
        <v>1091</v>
      </c>
      <c r="F135" s="648"/>
      <c r="G135" s="672">
        <v>1</v>
      </c>
      <c r="H135" s="624" t="s">
        <v>1327</v>
      </c>
      <c r="I135" s="681"/>
      <c r="J135" s="682"/>
      <c r="K135" s="682"/>
      <c r="L135" s="569"/>
      <c r="M135" s="599">
        <f t="shared" si="27"/>
        <v>0</v>
      </c>
      <c r="N135" s="599">
        <f t="shared" si="28"/>
        <v>0</v>
      </c>
      <c r="O135" s="599">
        <f t="shared" si="29"/>
        <v>0</v>
      </c>
      <c r="P135" s="614" t="e">
        <f t="shared" si="30"/>
        <v>#DIV/0!</v>
      </c>
      <c r="Q135" s="693">
        <f t="shared" si="18"/>
        <v>0</v>
      </c>
      <c r="R135" s="614"/>
    </row>
    <row r="136" spans="1:18" s="632" customFormat="1" ht="24" customHeight="1" outlineLevel="2">
      <c r="A136" s="633"/>
      <c r="B136" s="603" t="s">
        <v>1334</v>
      </c>
      <c r="C136" s="615" t="s">
        <v>576</v>
      </c>
      <c r="D136" s="627" t="s">
        <v>1335</v>
      </c>
      <c r="E136" s="598" t="s">
        <v>1091</v>
      </c>
      <c r="F136" s="648"/>
      <c r="G136" s="672">
        <v>1</v>
      </c>
      <c r="H136" s="624" t="s">
        <v>1327</v>
      </c>
      <c r="I136" s="681"/>
      <c r="J136" s="682"/>
      <c r="K136" s="682"/>
      <c r="L136" s="569"/>
      <c r="M136" s="599">
        <f t="shared" si="27"/>
        <v>0</v>
      </c>
      <c r="N136" s="599">
        <f t="shared" si="28"/>
        <v>0</v>
      </c>
      <c r="O136" s="599">
        <f t="shared" si="29"/>
        <v>0</v>
      </c>
      <c r="P136" s="614" t="e">
        <f t="shared" si="30"/>
        <v>#DIV/0!</v>
      </c>
      <c r="Q136" s="693">
        <f t="shared" si="18"/>
        <v>0</v>
      </c>
      <c r="R136" s="614"/>
    </row>
    <row r="137" spans="1:18" s="632" customFormat="1" ht="24" customHeight="1" outlineLevel="2">
      <c r="A137" s="633"/>
      <c r="B137" s="603" t="s">
        <v>1336</v>
      </c>
      <c r="C137" s="604" t="s">
        <v>144</v>
      </c>
      <c r="D137" s="635" t="s">
        <v>1337</v>
      </c>
      <c r="E137" s="607" t="s">
        <v>1228</v>
      </c>
      <c r="F137" s="607"/>
      <c r="G137" s="672">
        <v>1</v>
      </c>
      <c r="H137" s="624"/>
      <c r="I137" s="681"/>
      <c r="J137" s="682"/>
      <c r="K137" s="682"/>
      <c r="L137" s="569"/>
      <c r="M137" s="599">
        <f t="shared" si="27"/>
        <v>0</v>
      </c>
      <c r="N137" s="599">
        <f t="shared" si="28"/>
        <v>0</v>
      </c>
      <c r="O137" s="599">
        <f t="shared" si="29"/>
        <v>0</v>
      </c>
      <c r="P137" s="614" t="e">
        <f t="shared" si="30"/>
        <v>#DIV/0!</v>
      </c>
      <c r="Q137" s="693">
        <f t="shared" si="18"/>
        <v>0</v>
      </c>
      <c r="R137" s="614"/>
    </row>
    <row r="138" spans="1:18" s="632" customFormat="1" ht="24" customHeight="1" outlineLevel="2">
      <c r="A138" s="633"/>
      <c r="B138" s="603" t="s">
        <v>1338</v>
      </c>
      <c r="C138" s="604" t="s">
        <v>72</v>
      </c>
      <c r="D138" s="635" t="s">
        <v>1339</v>
      </c>
      <c r="E138" s="607"/>
      <c r="F138" s="607"/>
      <c r="G138" s="672">
        <v>1</v>
      </c>
      <c r="H138" s="624"/>
      <c r="I138" s="681"/>
      <c r="J138" s="682"/>
      <c r="K138" s="682"/>
      <c r="L138" s="569"/>
      <c r="M138" s="613">
        <f>SUBTOTAL(9,M139:M140)</f>
        <v>0</v>
      </c>
      <c r="N138" s="613">
        <f>SUBTOTAL(9,N139:N140)</f>
        <v>0</v>
      </c>
      <c r="O138" s="613">
        <f>SUBTOTAL(9,O139:O140)</f>
        <v>0</v>
      </c>
      <c r="P138" s="614" t="e">
        <f t="shared" si="30"/>
        <v>#DIV/0!</v>
      </c>
      <c r="Q138" s="693">
        <f t="shared" si="18"/>
        <v>0</v>
      </c>
      <c r="R138" s="614"/>
    </row>
    <row r="139" spans="1:18" s="632" customFormat="1" ht="24" customHeight="1" outlineLevel="3">
      <c r="A139" s="633"/>
      <c r="B139" s="603" t="s">
        <v>1340</v>
      </c>
      <c r="C139" s="604" t="s">
        <v>39</v>
      </c>
      <c r="D139" s="635" t="s">
        <v>1341</v>
      </c>
      <c r="E139" s="607" t="s">
        <v>453</v>
      </c>
      <c r="F139" s="607"/>
      <c r="G139" s="672">
        <v>1</v>
      </c>
      <c r="H139" s="624" t="s">
        <v>1327</v>
      </c>
      <c r="I139" s="681">
        <v>1000</v>
      </c>
      <c r="J139" s="682"/>
      <c r="K139" s="619">
        <f>J139/(1+L139)</f>
        <v>0</v>
      </c>
      <c r="L139" s="569">
        <v>0.11</v>
      </c>
      <c r="M139" s="599">
        <f t="shared" ref="M139:M149" si="31">K139*I139*G139/10000</f>
        <v>0</v>
      </c>
      <c r="N139" s="599">
        <f>M139*L139</f>
        <v>0</v>
      </c>
      <c r="O139" s="599">
        <f>M139+N139</f>
        <v>0</v>
      </c>
      <c r="P139" s="614" t="e">
        <f t="shared" si="30"/>
        <v>#DIV/0!</v>
      </c>
      <c r="Q139" s="693">
        <f>M139</f>
        <v>0</v>
      </c>
      <c r="R139" s="614"/>
    </row>
    <row r="140" spans="1:18" s="632" customFormat="1" ht="24" customHeight="1" outlineLevel="3">
      <c r="A140" s="633"/>
      <c r="B140" s="603" t="s">
        <v>1342</v>
      </c>
      <c r="C140" s="615" t="s">
        <v>39</v>
      </c>
      <c r="D140" s="694" t="s">
        <v>1343</v>
      </c>
      <c r="E140" s="607" t="s">
        <v>453</v>
      </c>
      <c r="F140" s="607"/>
      <c r="G140" s="672"/>
      <c r="H140" s="624"/>
      <c r="I140" s="681"/>
      <c r="J140" s="682"/>
      <c r="K140" s="682"/>
      <c r="L140" s="569">
        <v>0.11</v>
      </c>
      <c r="M140" s="599">
        <f t="shared" si="31"/>
        <v>0</v>
      </c>
      <c r="N140" s="599">
        <f>M140*L140</f>
        <v>0</v>
      </c>
      <c r="O140" s="599">
        <f>M140+N140</f>
        <v>0</v>
      </c>
      <c r="P140" s="614" t="e">
        <f t="shared" si="30"/>
        <v>#DIV/0!</v>
      </c>
      <c r="Q140" s="693"/>
      <c r="R140" s="614"/>
    </row>
    <row r="141" spans="1:18" s="632" customFormat="1" ht="24" customHeight="1" outlineLevel="2">
      <c r="A141" s="633"/>
      <c r="B141" s="603" t="s">
        <v>1344</v>
      </c>
      <c r="C141" s="615" t="s">
        <v>73</v>
      </c>
      <c r="D141" s="694" t="s">
        <v>1345</v>
      </c>
      <c r="E141" s="607" t="s">
        <v>1228</v>
      </c>
      <c r="F141" s="607"/>
      <c r="G141" s="672"/>
      <c r="H141" s="624" t="s">
        <v>1327</v>
      </c>
      <c r="I141" s="681"/>
      <c r="J141" s="682"/>
      <c r="K141" s="619">
        <f>J141/(1+L141)</f>
        <v>0</v>
      </c>
      <c r="L141" s="569">
        <v>0.11</v>
      </c>
      <c r="M141" s="614">
        <f t="shared" si="31"/>
        <v>0</v>
      </c>
      <c r="N141" s="614">
        <f>M141*L141</f>
        <v>0</v>
      </c>
      <c r="O141" s="614">
        <f>M141+N141</f>
        <v>0</v>
      </c>
      <c r="P141" s="614" t="e">
        <f t="shared" si="30"/>
        <v>#DIV/0!</v>
      </c>
      <c r="Q141" s="693"/>
      <c r="R141" s="614"/>
    </row>
    <row r="142" spans="1:18" s="632" customFormat="1" ht="24" customHeight="1" outlineLevel="1">
      <c r="A142" s="633"/>
      <c r="B142" s="601" t="s">
        <v>1346</v>
      </c>
      <c r="C142" s="585">
        <v>2</v>
      </c>
      <c r="D142" s="691" t="s">
        <v>1347</v>
      </c>
      <c r="E142" s="677"/>
      <c r="F142" s="491"/>
      <c r="G142" s="493"/>
      <c r="H142" s="491"/>
      <c r="I142" s="492"/>
      <c r="J142" s="679"/>
      <c r="K142" s="679"/>
      <c r="L142" s="588"/>
      <c r="M142" s="589">
        <f>SUBTOTAL(9,M143:M149)</f>
        <v>0</v>
      </c>
      <c r="N142" s="589">
        <f>SUBTOTAL(9,N143:N149)</f>
        <v>0</v>
      </c>
      <c r="O142" s="589">
        <f>SUBTOTAL(9,O143:O149)</f>
        <v>0</v>
      </c>
      <c r="P142" s="494" t="e">
        <f>IF(O142="","",O142*10000/F$3)</f>
        <v>#DIV/0!</v>
      </c>
      <c r="Q142" s="494">
        <f t="shared" si="18"/>
        <v>0</v>
      </c>
      <c r="R142" s="494"/>
    </row>
    <row r="143" spans="1:18" s="695" customFormat="1" ht="24" customHeight="1" outlineLevel="2">
      <c r="A143" s="633"/>
      <c r="B143" s="603" t="s">
        <v>605</v>
      </c>
      <c r="C143" s="604" t="s">
        <v>1348</v>
      </c>
      <c r="D143" s="663" t="s">
        <v>1349</v>
      </c>
      <c r="E143" s="607" t="s">
        <v>458</v>
      </c>
      <c r="F143" s="607" t="s">
        <v>1350</v>
      </c>
      <c r="G143" s="568">
        <v>1</v>
      </c>
      <c r="H143" s="685" t="s">
        <v>1351</v>
      </c>
      <c r="I143" s="685">
        <f>D3</f>
        <v>0</v>
      </c>
      <c r="J143" s="686">
        <v>2</v>
      </c>
      <c r="K143" s="619">
        <f t="shared" ref="K143:K149" si="32">J143/(1+L143)</f>
        <v>1.8018018018018016</v>
      </c>
      <c r="L143" s="569">
        <v>0.11</v>
      </c>
      <c r="M143" s="614">
        <f t="shared" si="31"/>
        <v>0</v>
      </c>
      <c r="N143" s="599">
        <f t="shared" ref="N143:N149" si="33">M143*L143</f>
        <v>0</v>
      </c>
      <c r="O143" s="599">
        <f t="shared" ref="O143:O149" si="34">M143+N143</f>
        <v>0</v>
      </c>
      <c r="P143" s="614" t="e">
        <f>IF(O143="","",O143*10000/F$3)</f>
        <v>#DIV/0!</v>
      </c>
      <c r="Q143" s="614">
        <f t="shared" si="18"/>
        <v>0</v>
      </c>
      <c r="R143" s="614"/>
    </row>
    <row r="144" spans="1:18" s="695" customFormat="1" ht="24" customHeight="1" outlineLevel="2">
      <c r="A144" s="633"/>
      <c r="B144" s="603" t="s">
        <v>606</v>
      </c>
      <c r="C144" s="604" t="s">
        <v>1352</v>
      </c>
      <c r="D144" s="663" t="s">
        <v>1353</v>
      </c>
      <c r="E144" s="607" t="s">
        <v>458</v>
      </c>
      <c r="F144" s="607" t="s">
        <v>1354</v>
      </c>
      <c r="G144" s="568">
        <v>1</v>
      </c>
      <c r="H144" s="685" t="s">
        <v>1116</v>
      </c>
      <c r="I144" s="685">
        <f>D3</f>
        <v>0</v>
      </c>
      <c r="J144" s="686">
        <v>6</v>
      </c>
      <c r="K144" s="619">
        <f t="shared" si="32"/>
        <v>5.4054054054054053</v>
      </c>
      <c r="L144" s="569">
        <v>0.11</v>
      </c>
      <c r="M144" s="614">
        <f t="shared" si="31"/>
        <v>0</v>
      </c>
      <c r="N144" s="599">
        <f t="shared" si="33"/>
        <v>0</v>
      </c>
      <c r="O144" s="599">
        <f t="shared" si="34"/>
        <v>0</v>
      </c>
      <c r="P144" s="614" t="e">
        <f t="shared" ref="P144:P149" si="35">IF(O144="","",O144*10000/F$3)</f>
        <v>#DIV/0!</v>
      </c>
      <c r="Q144" s="614">
        <f t="shared" si="18"/>
        <v>0</v>
      </c>
      <c r="R144" s="614"/>
    </row>
    <row r="145" spans="1:18" s="695" customFormat="1" ht="24" customHeight="1" outlineLevel="2">
      <c r="A145" s="633"/>
      <c r="B145" s="603" t="s">
        <v>607</v>
      </c>
      <c r="C145" s="604" t="s">
        <v>88</v>
      </c>
      <c r="D145" s="663" t="s">
        <v>546</v>
      </c>
      <c r="E145" s="607" t="s">
        <v>458</v>
      </c>
      <c r="F145" s="607" t="s">
        <v>11</v>
      </c>
      <c r="G145" s="568">
        <v>1</v>
      </c>
      <c r="H145" s="685" t="s">
        <v>582</v>
      </c>
      <c r="I145" s="685">
        <f>D3</f>
        <v>0</v>
      </c>
      <c r="J145" s="686">
        <v>2</v>
      </c>
      <c r="K145" s="619">
        <f t="shared" si="32"/>
        <v>1.8018018018018016</v>
      </c>
      <c r="L145" s="569">
        <v>0.11</v>
      </c>
      <c r="M145" s="614">
        <f t="shared" si="31"/>
        <v>0</v>
      </c>
      <c r="N145" s="599">
        <f t="shared" si="33"/>
        <v>0</v>
      </c>
      <c r="O145" s="599">
        <f t="shared" si="34"/>
        <v>0</v>
      </c>
      <c r="P145" s="614" t="e">
        <f t="shared" si="35"/>
        <v>#DIV/0!</v>
      </c>
      <c r="Q145" s="614">
        <f t="shared" si="18"/>
        <v>0</v>
      </c>
      <c r="R145" s="614"/>
    </row>
    <row r="146" spans="1:18" s="695" customFormat="1" ht="24" customHeight="1" outlineLevel="2">
      <c r="A146" s="633"/>
      <c r="B146" s="603" t="s">
        <v>608</v>
      </c>
      <c r="C146" s="604" t="s">
        <v>78</v>
      </c>
      <c r="D146" s="663" t="s">
        <v>799</v>
      </c>
      <c r="E146" s="607" t="s">
        <v>458</v>
      </c>
      <c r="F146" s="607" t="s">
        <v>11</v>
      </c>
      <c r="G146" s="568">
        <v>1</v>
      </c>
      <c r="H146" s="685" t="s">
        <v>582</v>
      </c>
      <c r="I146" s="685">
        <f>D3</f>
        <v>0</v>
      </c>
      <c r="J146" s="686">
        <v>2</v>
      </c>
      <c r="K146" s="619">
        <f t="shared" si="32"/>
        <v>1.8018018018018016</v>
      </c>
      <c r="L146" s="569">
        <v>0.11</v>
      </c>
      <c r="M146" s="614">
        <f t="shared" si="31"/>
        <v>0</v>
      </c>
      <c r="N146" s="599">
        <f t="shared" si="33"/>
        <v>0</v>
      </c>
      <c r="O146" s="599">
        <f t="shared" si="34"/>
        <v>0</v>
      </c>
      <c r="P146" s="614" t="e">
        <f t="shared" si="35"/>
        <v>#DIV/0!</v>
      </c>
      <c r="Q146" s="614">
        <f t="shared" si="18"/>
        <v>0</v>
      </c>
      <c r="R146" s="614"/>
    </row>
    <row r="147" spans="1:18" s="695" customFormat="1" ht="24" customHeight="1" outlineLevel="2">
      <c r="A147" s="633"/>
      <c r="B147" s="603" t="s">
        <v>609</v>
      </c>
      <c r="C147" s="604" t="s">
        <v>79</v>
      </c>
      <c r="D147" s="663" t="s">
        <v>49</v>
      </c>
      <c r="E147" s="607" t="s">
        <v>458</v>
      </c>
      <c r="F147" s="607" t="s">
        <v>11</v>
      </c>
      <c r="G147" s="568">
        <v>1</v>
      </c>
      <c r="H147" s="685" t="s">
        <v>582</v>
      </c>
      <c r="I147" s="685">
        <f>D3</f>
        <v>0</v>
      </c>
      <c r="J147" s="686">
        <v>0.5</v>
      </c>
      <c r="K147" s="619">
        <f t="shared" si="32"/>
        <v>0.4504504504504504</v>
      </c>
      <c r="L147" s="569">
        <v>0.11</v>
      </c>
      <c r="M147" s="614">
        <f t="shared" si="31"/>
        <v>0</v>
      </c>
      <c r="N147" s="599">
        <f t="shared" si="33"/>
        <v>0</v>
      </c>
      <c r="O147" s="599">
        <f t="shared" si="34"/>
        <v>0</v>
      </c>
      <c r="P147" s="614" t="e">
        <f t="shared" si="35"/>
        <v>#DIV/0!</v>
      </c>
      <c r="Q147" s="614">
        <f t="shared" si="18"/>
        <v>0</v>
      </c>
      <c r="R147" s="614"/>
    </row>
    <row r="148" spans="1:18" s="695" customFormat="1" ht="24" customHeight="1" outlineLevel="2">
      <c r="A148" s="633"/>
      <c r="B148" s="603" t="s">
        <v>610</v>
      </c>
      <c r="C148" s="604" t="s">
        <v>80</v>
      </c>
      <c r="D148" s="663" t="s">
        <v>50</v>
      </c>
      <c r="E148" s="607" t="s">
        <v>458</v>
      </c>
      <c r="F148" s="607" t="s">
        <v>11</v>
      </c>
      <c r="G148" s="568">
        <v>1</v>
      </c>
      <c r="H148" s="685" t="s">
        <v>582</v>
      </c>
      <c r="I148" s="685">
        <f>D3</f>
        <v>0</v>
      </c>
      <c r="J148" s="686">
        <v>0.5</v>
      </c>
      <c r="K148" s="619">
        <f t="shared" si="32"/>
        <v>0.4504504504504504</v>
      </c>
      <c r="L148" s="569">
        <v>0.11</v>
      </c>
      <c r="M148" s="614">
        <f t="shared" si="31"/>
        <v>0</v>
      </c>
      <c r="N148" s="599">
        <f t="shared" si="33"/>
        <v>0</v>
      </c>
      <c r="O148" s="599">
        <f t="shared" si="34"/>
        <v>0</v>
      </c>
      <c r="P148" s="614" t="e">
        <f t="shared" si="35"/>
        <v>#DIV/0!</v>
      </c>
      <c r="Q148" s="614">
        <f t="shared" si="18"/>
        <v>0</v>
      </c>
      <c r="R148" s="614"/>
    </row>
    <row r="149" spans="1:18" ht="24" customHeight="1" outlineLevel="2">
      <c r="A149" s="600"/>
      <c r="B149" s="603" t="s">
        <v>547</v>
      </c>
      <c r="C149" s="604" t="s">
        <v>91</v>
      </c>
      <c r="D149" s="663" t="s">
        <v>548</v>
      </c>
      <c r="E149" s="607" t="s">
        <v>458</v>
      </c>
      <c r="F149" s="607" t="s">
        <v>11</v>
      </c>
      <c r="G149" s="568">
        <v>1</v>
      </c>
      <c r="H149" s="685" t="s">
        <v>582</v>
      </c>
      <c r="I149" s="685">
        <f>D3</f>
        <v>0</v>
      </c>
      <c r="J149" s="686">
        <v>0.5</v>
      </c>
      <c r="K149" s="619">
        <f t="shared" si="32"/>
        <v>0.4504504504504504</v>
      </c>
      <c r="L149" s="569">
        <v>0.11</v>
      </c>
      <c r="M149" s="614">
        <f t="shared" si="31"/>
        <v>0</v>
      </c>
      <c r="N149" s="599">
        <f t="shared" si="33"/>
        <v>0</v>
      </c>
      <c r="O149" s="599">
        <f t="shared" si="34"/>
        <v>0</v>
      </c>
      <c r="P149" s="614" t="e">
        <f t="shared" si="35"/>
        <v>#DIV/0!</v>
      </c>
      <c r="Q149" s="614">
        <f t="shared" si="18"/>
        <v>0</v>
      </c>
      <c r="R149" s="614"/>
    </row>
    <row r="150" spans="1:18" s="632" customFormat="1" ht="24" customHeight="1" outlineLevel="1">
      <c r="A150" s="633"/>
      <c r="B150" s="601" t="s">
        <v>507</v>
      </c>
      <c r="C150" s="585">
        <v>3</v>
      </c>
      <c r="D150" s="691" t="s">
        <v>508</v>
      </c>
      <c r="E150" s="677"/>
      <c r="F150" s="491"/>
      <c r="G150" s="493"/>
      <c r="H150" s="696"/>
      <c r="I150" s="696" t="e">
        <f>O150/P3*10000</f>
        <v>#DIV/0!</v>
      </c>
      <c r="J150" s="492">
        <v>357.53518473337499</v>
      </c>
      <c r="K150" s="679"/>
      <c r="L150" s="588"/>
      <c r="M150" s="589">
        <f>SUBTOTAL(9,M151:M173)</f>
        <v>0</v>
      </c>
      <c r="N150" s="589">
        <f>SUBTOTAL(9,N151:N173)</f>
        <v>0</v>
      </c>
      <c r="O150" s="589">
        <f>SUBTOTAL(9,O151:O173)</f>
        <v>0</v>
      </c>
      <c r="P150" s="589" t="e">
        <f>IF(O150="","",O150*10000/F$3)</f>
        <v>#DIV/0!</v>
      </c>
      <c r="Q150" s="589">
        <f t="shared" si="18"/>
        <v>0</v>
      </c>
      <c r="R150" s="589"/>
    </row>
    <row r="151" spans="1:18" ht="24" customHeight="1" outlineLevel="2">
      <c r="A151" s="600"/>
      <c r="B151" s="603" t="s">
        <v>1355</v>
      </c>
      <c r="C151" s="604" t="s">
        <v>1096</v>
      </c>
      <c r="D151" s="635" t="s">
        <v>1356</v>
      </c>
      <c r="E151" s="680"/>
      <c r="F151" s="607"/>
      <c r="G151" s="568"/>
      <c r="H151" s="685"/>
      <c r="I151" s="685"/>
      <c r="J151" s="686"/>
      <c r="K151" s="686"/>
      <c r="L151" s="569"/>
      <c r="M151" s="613">
        <f>SUBTOTAL(9,M152:M153)</f>
        <v>0</v>
      </c>
      <c r="N151" s="613">
        <f>SUBTOTAL(9,N152:N153)</f>
        <v>0</v>
      </c>
      <c r="O151" s="613">
        <f>SUBTOTAL(9,O152:O153)</f>
        <v>0</v>
      </c>
      <c r="P151" s="614" t="e">
        <f>IF(O151="","",O151*10000/F$3)</f>
        <v>#DIV/0!</v>
      </c>
      <c r="Q151" s="669">
        <f t="shared" si="18"/>
        <v>0</v>
      </c>
      <c r="R151" s="669"/>
    </row>
    <row r="152" spans="1:18" s="632" customFormat="1" ht="24" customHeight="1" outlineLevel="3">
      <c r="A152" s="633"/>
      <c r="B152" s="603" t="s">
        <v>1357</v>
      </c>
      <c r="C152" s="615" t="s">
        <v>39</v>
      </c>
      <c r="D152" s="697" t="s">
        <v>1358</v>
      </c>
      <c r="E152" s="615" t="s">
        <v>1359</v>
      </c>
      <c r="F152" s="615" t="s">
        <v>611</v>
      </c>
      <c r="G152" s="672">
        <v>0.2</v>
      </c>
      <c r="H152" s="681" t="s">
        <v>800</v>
      </c>
      <c r="I152" s="681">
        <f>$P$3</f>
        <v>0</v>
      </c>
      <c r="J152" s="698"/>
      <c r="K152" s="619">
        <f>J152/(1+L152)</f>
        <v>0</v>
      </c>
      <c r="L152" s="569">
        <v>0.11</v>
      </c>
      <c r="M152" s="614">
        <f t="shared" ref="M152:M173" si="36">K152*I152*G152/10000</f>
        <v>0</v>
      </c>
      <c r="N152" s="599">
        <f>M152*L152</f>
        <v>0</v>
      </c>
      <c r="O152" s="599">
        <f>M152+N152</f>
        <v>0</v>
      </c>
      <c r="P152" s="614" t="e">
        <f>IF(O152="","",O152*10000/F$3)</f>
        <v>#DIV/0!</v>
      </c>
      <c r="Q152" s="614">
        <f t="shared" si="18"/>
        <v>0</v>
      </c>
      <c r="R152" s="614"/>
    </row>
    <row r="153" spans="1:18" s="632" customFormat="1" ht="24" customHeight="1" outlineLevel="3">
      <c r="A153" s="633"/>
      <c r="B153" s="603" t="s">
        <v>1360</v>
      </c>
      <c r="C153" s="615" t="s">
        <v>39</v>
      </c>
      <c r="D153" s="697" t="s">
        <v>1361</v>
      </c>
      <c r="E153" s="615" t="s">
        <v>453</v>
      </c>
      <c r="F153" s="615" t="s">
        <v>611</v>
      </c>
      <c r="G153" s="672">
        <v>0.8</v>
      </c>
      <c r="H153" s="624" t="s">
        <v>101</v>
      </c>
      <c r="I153" s="681">
        <f>$P$3</f>
        <v>0</v>
      </c>
      <c r="J153" s="682"/>
      <c r="K153" s="619">
        <f>J153/(1+L153)</f>
        <v>0</v>
      </c>
      <c r="L153" s="569">
        <v>0.11</v>
      </c>
      <c r="M153" s="614">
        <f t="shared" si="36"/>
        <v>0</v>
      </c>
      <c r="N153" s="599">
        <f>M153*L153</f>
        <v>0</v>
      </c>
      <c r="O153" s="599">
        <f>M153+N153</f>
        <v>0</v>
      </c>
      <c r="P153" s="614" t="e">
        <f t="shared" ref="P153:P173" si="37">IF(O153="","",O153*10000/F$3)</f>
        <v>#DIV/0!</v>
      </c>
      <c r="Q153" s="614">
        <f t="shared" si="18"/>
        <v>0</v>
      </c>
      <c r="R153" s="614"/>
    </row>
    <row r="154" spans="1:18" s="632" customFormat="1" ht="24" customHeight="1" outlineLevel="2">
      <c r="A154" s="633"/>
      <c r="B154" s="603" t="s">
        <v>612</v>
      </c>
      <c r="C154" s="615" t="s">
        <v>68</v>
      </c>
      <c r="D154" s="697" t="s">
        <v>1362</v>
      </c>
      <c r="E154" s="615"/>
      <c r="F154" s="615"/>
      <c r="G154" s="672"/>
      <c r="H154" s="624"/>
      <c r="I154" s="681"/>
      <c r="J154" s="682"/>
      <c r="K154" s="682"/>
      <c r="L154" s="569"/>
      <c r="M154" s="613">
        <f>SUBTOTAL(9,M155:M157)</f>
        <v>0</v>
      </c>
      <c r="N154" s="613">
        <f>SUBTOTAL(9,N155:N157)</f>
        <v>0</v>
      </c>
      <c r="O154" s="613">
        <f>SUBTOTAL(9,O155:O157)</f>
        <v>0</v>
      </c>
      <c r="P154" s="614" t="e">
        <f t="shared" si="37"/>
        <v>#DIV/0!</v>
      </c>
      <c r="Q154" s="614">
        <f t="shared" si="18"/>
        <v>0</v>
      </c>
      <c r="R154" s="614"/>
    </row>
    <row r="155" spans="1:18" s="632" customFormat="1" ht="24" customHeight="1" outlineLevel="3">
      <c r="A155" s="633"/>
      <c r="B155" s="603" t="s">
        <v>613</v>
      </c>
      <c r="C155" s="615" t="s">
        <v>39</v>
      </c>
      <c r="D155" s="697" t="s">
        <v>549</v>
      </c>
      <c r="E155" s="615" t="s">
        <v>1363</v>
      </c>
      <c r="F155" s="615" t="s">
        <v>611</v>
      </c>
      <c r="G155" s="672">
        <v>1</v>
      </c>
      <c r="H155" s="624" t="s">
        <v>101</v>
      </c>
      <c r="I155" s="681">
        <f>P3</f>
        <v>0</v>
      </c>
      <c r="J155" s="682"/>
      <c r="K155" s="619">
        <f>J155/(1+L155)</f>
        <v>0</v>
      </c>
      <c r="L155" s="569">
        <v>0.11</v>
      </c>
      <c r="M155" s="614">
        <f t="shared" si="36"/>
        <v>0</v>
      </c>
      <c r="N155" s="599">
        <f>M155*L155</f>
        <v>0</v>
      </c>
      <c r="O155" s="599">
        <f>M155+N155</f>
        <v>0</v>
      </c>
      <c r="P155" s="614" t="e">
        <f t="shared" si="37"/>
        <v>#DIV/0!</v>
      </c>
      <c r="Q155" s="614">
        <f t="shared" si="18"/>
        <v>0</v>
      </c>
      <c r="R155" s="614"/>
    </row>
    <row r="156" spans="1:18" ht="24" customHeight="1" outlineLevel="3">
      <c r="A156" s="600"/>
      <c r="B156" s="603" t="s">
        <v>614</v>
      </c>
      <c r="C156" s="604" t="s">
        <v>39</v>
      </c>
      <c r="D156" s="635" t="s">
        <v>550</v>
      </c>
      <c r="E156" s="607" t="s">
        <v>453</v>
      </c>
      <c r="F156" s="615" t="s">
        <v>611</v>
      </c>
      <c r="G156" s="672">
        <v>1</v>
      </c>
      <c r="H156" s="624" t="s">
        <v>101</v>
      </c>
      <c r="I156" s="681">
        <f>P3</f>
        <v>0</v>
      </c>
      <c r="J156" s="682"/>
      <c r="K156" s="619">
        <f>J156/(1+L156)</f>
        <v>0</v>
      </c>
      <c r="L156" s="569">
        <v>0.11</v>
      </c>
      <c r="M156" s="614">
        <f t="shared" si="36"/>
        <v>0</v>
      </c>
      <c r="N156" s="599">
        <f>M156*L156</f>
        <v>0</v>
      </c>
      <c r="O156" s="599">
        <f>M156+N156</f>
        <v>0</v>
      </c>
      <c r="P156" s="614" t="e">
        <f t="shared" si="37"/>
        <v>#DIV/0!</v>
      </c>
      <c r="Q156" s="614">
        <f t="shared" si="18"/>
        <v>0</v>
      </c>
      <c r="R156" s="614"/>
    </row>
    <row r="157" spans="1:18" ht="24" customHeight="1" outlineLevel="3">
      <c r="A157" s="600"/>
      <c r="B157" s="603" t="s">
        <v>615</v>
      </c>
      <c r="C157" s="615" t="s">
        <v>39</v>
      </c>
      <c r="D157" s="699" t="s">
        <v>551</v>
      </c>
      <c r="E157" s="615" t="s">
        <v>1363</v>
      </c>
      <c r="F157" s="615"/>
      <c r="G157" s="672">
        <v>1</v>
      </c>
      <c r="H157" s="624" t="s">
        <v>584</v>
      </c>
      <c r="I157" s="681">
        <v>10000</v>
      </c>
      <c r="J157" s="682"/>
      <c r="K157" s="619">
        <f>J157/(1+L157)</f>
        <v>0</v>
      </c>
      <c r="L157" s="569">
        <v>0.11</v>
      </c>
      <c r="M157" s="614">
        <f t="shared" si="36"/>
        <v>0</v>
      </c>
      <c r="N157" s="599">
        <f>M157*L157</f>
        <v>0</v>
      </c>
      <c r="O157" s="599">
        <f>M157+N157</f>
        <v>0</v>
      </c>
      <c r="P157" s="614" t="e">
        <f t="shared" si="37"/>
        <v>#DIV/0!</v>
      </c>
      <c r="Q157" s="614">
        <f t="shared" si="18"/>
        <v>0</v>
      </c>
      <c r="R157" s="614"/>
    </row>
    <row r="158" spans="1:18" ht="24" customHeight="1" outlineLevel="2">
      <c r="A158" s="600"/>
      <c r="B158" s="603" t="s">
        <v>616</v>
      </c>
      <c r="C158" s="615" t="s">
        <v>69</v>
      </c>
      <c r="D158" s="699" t="s">
        <v>1364</v>
      </c>
      <c r="E158" s="665"/>
      <c r="F158" s="665"/>
      <c r="G158" s="693"/>
      <c r="H158" s="693"/>
      <c r="I158" s="700"/>
      <c r="J158" s="686"/>
      <c r="K158" s="686"/>
      <c r="L158" s="569"/>
      <c r="M158" s="613">
        <f>SUBTOTAL(9,M159:M163)</f>
        <v>0</v>
      </c>
      <c r="N158" s="613">
        <f>SUBTOTAL(9,N159:N163)</f>
        <v>0</v>
      </c>
      <c r="O158" s="613">
        <f>SUBTOTAL(9,O159:O163)</f>
        <v>0</v>
      </c>
      <c r="P158" s="614" t="e">
        <f t="shared" si="37"/>
        <v>#DIV/0!</v>
      </c>
      <c r="Q158" s="614">
        <f t="shared" si="18"/>
        <v>0</v>
      </c>
      <c r="R158" s="614"/>
    </row>
    <row r="159" spans="1:18" s="600" customFormat="1" ht="24" customHeight="1" outlineLevel="3" collapsed="1">
      <c r="B159" s="603" t="s">
        <v>617</v>
      </c>
      <c r="C159" s="624" t="s">
        <v>39</v>
      </c>
      <c r="D159" s="701" t="s">
        <v>552</v>
      </c>
      <c r="E159" s="648" t="s">
        <v>1294</v>
      </c>
      <c r="F159" s="648"/>
      <c r="G159" s="693">
        <v>1</v>
      </c>
      <c r="H159" s="624" t="s">
        <v>111</v>
      </c>
      <c r="I159" s="681">
        <f>'2-规划指标'!D6</f>
        <v>0</v>
      </c>
      <c r="J159" s="702"/>
      <c r="K159" s="619">
        <f t="shared" ref="K159:K166" si="38">J159/(1+L159)</f>
        <v>0</v>
      </c>
      <c r="L159" s="703">
        <v>0.11</v>
      </c>
      <c r="M159" s="614">
        <f t="shared" si="36"/>
        <v>0</v>
      </c>
      <c r="N159" s="599">
        <f>M159*L159</f>
        <v>0</v>
      </c>
      <c r="O159" s="599">
        <f>M159+N159</f>
        <v>0</v>
      </c>
      <c r="P159" s="614" t="e">
        <f t="shared" si="37"/>
        <v>#DIV/0!</v>
      </c>
      <c r="Q159" s="614">
        <f t="shared" si="18"/>
        <v>0</v>
      </c>
      <c r="R159" s="614"/>
    </row>
    <row r="160" spans="1:18" s="600" customFormat="1" ht="24" customHeight="1" outlineLevel="3">
      <c r="B160" s="603" t="s">
        <v>618</v>
      </c>
      <c r="C160" s="604" t="s">
        <v>39</v>
      </c>
      <c r="D160" s="635" t="s">
        <v>553</v>
      </c>
      <c r="E160" s="607" t="s">
        <v>453</v>
      </c>
      <c r="F160" s="607"/>
      <c r="G160" s="568">
        <v>1</v>
      </c>
      <c r="H160" s="624" t="s">
        <v>111</v>
      </c>
      <c r="I160" s="700">
        <f>'2-规划指标'!F6</f>
        <v>0</v>
      </c>
      <c r="J160" s="686"/>
      <c r="K160" s="619">
        <f t="shared" si="38"/>
        <v>0</v>
      </c>
      <c r="L160" s="569">
        <v>0.11</v>
      </c>
      <c r="M160" s="614">
        <f t="shared" si="36"/>
        <v>0</v>
      </c>
      <c r="N160" s="599">
        <f>M160*L160</f>
        <v>0</v>
      </c>
      <c r="O160" s="599">
        <f>M160+N160</f>
        <v>0</v>
      </c>
      <c r="P160" s="614" t="e">
        <f t="shared" si="37"/>
        <v>#DIV/0!</v>
      </c>
      <c r="Q160" s="669">
        <f t="shared" si="18"/>
        <v>0</v>
      </c>
      <c r="R160" s="669"/>
    </row>
    <row r="161" spans="1:18" s="600" customFormat="1" ht="24" customHeight="1" outlineLevel="3">
      <c r="B161" s="603" t="s">
        <v>619</v>
      </c>
      <c r="C161" s="624" t="s">
        <v>39</v>
      </c>
      <c r="D161" s="701" t="s">
        <v>554</v>
      </c>
      <c r="E161" s="648" t="s">
        <v>453</v>
      </c>
      <c r="F161" s="648"/>
      <c r="G161" s="686">
        <v>0.2</v>
      </c>
      <c r="H161" s="624" t="s">
        <v>111</v>
      </c>
      <c r="I161" s="700">
        <f>P3</f>
        <v>0</v>
      </c>
      <c r="J161" s="686"/>
      <c r="K161" s="619">
        <f t="shared" si="38"/>
        <v>0</v>
      </c>
      <c r="L161" s="569">
        <v>0.11</v>
      </c>
      <c r="M161" s="614">
        <f t="shared" si="36"/>
        <v>0</v>
      </c>
      <c r="N161" s="599">
        <f>M161*L161</f>
        <v>0</v>
      </c>
      <c r="O161" s="599">
        <f>M161+N161</f>
        <v>0</v>
      </c>
      <c r="P161" s="614" t="e">
        <f t="shared" si="37"/>
        <v>#DIV/0!</v>
      </c>
      <c r="Q161" s="614">
        <f t="shared" si="18"/>
        <v>0</v>
      </c>
      <c r="R161" s="614"/>
    </row>
    <row r="162" spans="1:18" s="600" customFormat="1" ht="24" customHeight="1" outlineLevel="3">
      <c r="B162" s="603" t="s">
        <v>620</v>
      </c>
      <c r="C162" s="624" t="s">
        <v>39</v>
      </c>
      <c r="D162" s="701" t="s">
        <v>555</v>
      </c>
      <c r="E162" s="648" t="s">
        <v>453</v>
      </c>
      <c r="F162" s="648"/>
      <c r="G162" s="686">
        <v>1</v>
      </c>
      <c r="H162" s="624" t="s">
        <v>111</v>
      </c>
      <c r="I162" s="700">
        <f>'2-规划指标'!G8</f>
        <v>0</v>
      </c>
      <c r="J162" s="686"/>
      <c r="K162" s="619">
        <f t="shared" si="38"/>
        <v>0</v>
      </c>
      <c r="L162" s="569">
        <v>0.11</v>
      </c>
      <c r="M162" s="614">
        <f t="shared" si="36"/>
        <v>0</v>
      </c>
      <c r="N162" s="599">
        <f>M162*L162</f>
        <v>0</v>
      </c>
      <c r="O162" s="599">
        <f>M162+N162</f>
        <v>0</v>
      </c>
      <c r="P162" s="614" t="e">
        <f t="shared" si="37"/>
        <v>#DIV/0!</v>
      </c>
      <c r="Q162" s="614">
        <f t="shared" si="18"/>
        <v>0</v>
      </c>
      <c r="R162" s="614"/>
    </row>
    <row r="163" spans="1:18" s="600" customFormat="1" ht="24" customHeight="1" outlineLevel="3">
      <c r="B163" s="603" t="s">
        <v>621</v>
      </c>
      <c r="C163" s="624" t="s">
        <v>39</v>
      </c>
      <c r="D163" s="701" t="s">
        <v>556</v>
      </c>
      <c r="E163" s="648" t="s">
        <v>453</v>
      </c>
      <c r="F163" s="648"/>
      <c r="G163" s="686">
        <v>1</v>
      </c>
      <c r="H163" s="624" t="s">
        <v>1327</v>
      </c>
      <c r="I163" s="700">
        <f>'2-规划指标'!H8</f>
        <v>0</v>
      </c>
      <c r="J163" s="686"/>
      <c r="K163" s="619">
        <f t="shared" si="38"/>
        <v>0</v>
      </c>
      <c r="L163" s="569">
        <v>0.11</v>
      </c>
      <c r="M163" s="614">
        <f t="shared" si="36"/>
        <v>0</v>
      </c>
      <c r="N163" s="599">
        <f>M163*L163</f>
        <v>0</v>
      </c>
      <c r="O163" s="599">
        <f>M163+N163</f>
        <v>0</v>
      </c>
      <c r="P163" s="614" t="e">
        <f t="shared" si="37"/>
        <v>#DIV/0!</v>
      </c>
      <c r="Q163" s="614">
        <f t="shared" ref="Q163:Q226" si="39">M163</f>
        <v>0</v>
      </c>
      <c r="R163" s="614"/>
    </row>
    <row r="164" spans="1:18" s="600" customFormat="1" ht="24" customHeight="1" outlineLevel="2">
      <c r="B164" s="603" t="s">
        <v>622</v>
      </c>
      <c r="C164" s="624" t="s">
        <v>70</v>
      </c>
      <c r="D164" s="701" t="s">
        <v>1365</v>
      </c>
      <c r="E164" s="648"/>
      <c r="F164" s="648"/>
      <c r="G164" s="686"/>
      <c r="H164" s="624"/>
      <c r="I164" s="700"/>
      <c r="J164" s="686"/>
      <c r="K164" s="686"/>
      <c r="L164" s="569"/>
      <c r="M164" s="613">
        <f>SUBTOTAL(9,M165:M166)</f>
        <v>0</v>
      </c>
      <c r="N164" s="613">
        <f>SUBTOTAL(9,N165:N166)</f>
        <v>0</v>
      </c>
      <c r="O164" s="613">
        <f>SUBTOTAL(9,O165:O166)</f>
        <v>0</v>
      </c>
      <c r="P164" s="614" t="e">
        <f t="shared" si="37"/>
        <v>#DIV/0!</v>
      </c>
      <c r="Q164" s="614">
        <f t="shared" si="39"/>
        <v>0</v>
      </c>
      <c r="R164" s="614"/>
    </row>
    <row r="165" spans="1:18" s="600" customFormat="1" ht="24" customHeight="1" outlineLevel="3">
      <c r="B165" s="603" t="s">
        <v>623</v>
      </c>
      <c r="C165" s="624" t="s">
        <v>39</v>
      </c>
      <c r="D165" s="701" t="s">
        <v>1366</v>
      </c>
      <c r="E165" s="648" t="s">
        <v>453</v>
      </c>
      <c r="F165" s="648" t="s">
        <v>443</v>
      </c>
      <c r="G165" s="686">
        <v>1</v>
      </c>
      <c r="H165" s="624" t="s">
        <v>135</v>
      </c>
      <c r="I165" s="700">
        <f>'2-规划指标'!M8</f>
        <v>0</v>
      </c>
      <c r="J165" s="686"/>
      <c r="K165" s="619">
        <f t="shared" si="38"/>
        <v>0</v>
      </c>
      <c r="L165" s="569"/>
      <c r="M165" s="614">
        <f t="shared" si="36"/>
        <v>0</v>
      </c>
      <c r="N165" s="599">
        <f>M165*L165</f>
        <v>0</v>
      </c>
      <c r="O165" s="599">
        <f>M165+N165</f>
        <v>0</v>
      </c>
      <c r="P165" s="614" t="e">
        <f t="shared" si="37"/>
        <v>#DIV/0!</v>
      </c>
      <c r="Q165" s="614">
        <f t="shared" si="39"/>
        <v>0</v>
      </c>
      <c r="R165" s="614"/>
    </row>
    <row r="166" spans="1:18" s="600" customFormat="1" ht="24" customHeight="1" outlineLevel="3">
      <c r="B166" s="603" t="s">
        <v>1367</v>
      </c>
      <c r="C166" s="624" t="s">
        <v>39</v>
      </c>
      <c r="D166" s="701" t="s">
        <v>1368</v>
      </c>
      <c r="E166" s="648" t="s">
        <v>453</v>
      </c>
      <c r="F166" s="648" t="s">
        <v>443</v>
      </c>
      <c r="G166" s="686">
        <v>1</v>
      </c>
      <c r="H166" s="624" t="s">
        <v>135</v>
      </c>
      <c r="I166" s="700">
        <f>'2-规划指标'!M4</f>
        <v>0</v>
      </c>
      <c r="J166" s="686"/>
      <c r="K166" s="619">
        <f t="shared" si="38"/>
        <v>0</v>
      </c>
      <c r="L166" s="569">
        <v>0.11</v>
      </c>
      <c r="M166" s="614">
        <f t="shared" si="36"/>
        <v>0</v>
      </c>
      <c r="N166" s="599">
        <f>M166*L166</f>
        <v>0</v>
      </c>
      <c r="O166" s="599">
        <f>M166+N166</f>
        <v>0</v>
      </c>
      <c r="P166" s="614" t="e">
        <f t="shared" si="37"/>
        <v>#DIV/0!</v>
      </c>
      <c r="Q166" s="614"/>
      <c r="R166" s="614"/>
    </row>
    <row r="167" spans="1:18" ht="24" customHeight="1" outlineLevel="2">
      <c r="A167" s="600"/>
      <c r="B167" s="603" t="s">
        <v>1369</v>
      </c>
      <c r="C167" s="615" t="s">
        <v>71</v>
      </c>
      <c r="D167" s="699" t="s">
        <v>557</v>
      </c>
      <c r="E167" s="665"/>
      <c r="F167" s="665"/>
      <c r="G167" s="686"/>
      <c r="H167" s="624"/>
      <c r="I167" s="700"/>
      <c r="J167" s="686"/>
      <c r="K167" s="686"/>
      <c r="L167" s="569"/>
      <c r="M167" s="613">
        <f>SUBTOTAL(9,M168:M169)</f>
        <v>0</v>
      </c>
      <c r="N167" s="613">
        <f>SUBTOTAL(9,N168:N169)</f>
        <v>0</v>
      </c>
      <c r="O167" s="613">
        <f>SUBTOTAL(9,O168:O169)</f>
        <v>0</v>
      </c>
      <c r="P167" s="614" t="e">
        <f t="shared" si="37"/>
        <v>#DIV/0!</v>
      </c>
      <c r="Q167" s="614"/>
      <c r="R167" s="614"/>
    </row>
    <row r="168" spans="1:18" ht="24" customHeight="1" outlineLevel="3">
      <c r="A168" s="600"/>
      <c r="B168" s="603" t="s">
        <v>1370</v>
      </c>
      <c r="C168" s="615" t="s">
        <v>39</v>
      </c>
      <c r="D168" s="699" t="s">
        <v>558</v>
      </c>
      <c r="E168" s="615" t="s">
        <v>453</v>
      </c>
      <c r="F168" s="615"/>
      <c r="G168" s="686">
        <v>1</v>
      </c>
      <c r="H168" s="624" t="s">
        <v>111</v>
      </c>
      <c r="I168" s="681">
        <f>$P$3</f>
        <v>0</v>
      </c>
      <c r="J168" s="686"/>
      <c r="K168" s="619">
        <f t="shared" ref="K168:K173" si="40">J168/(1+L168)</f>
        <v>0</v>
      </c>
      <c r="L168" s="569">
        <v>0.11</v>
      </c>
      <c r="M168" s="614">
        <f t="shared" si="36"/>
        <v>0</v>
      </c>
      <c r="N168" s="599">
        <f>M168*L168</f>
        <v>0</v>
      </c>
      <c r="O168" s="599">
        <f>M168+N168</f>
        <v>0</v>
      </c>
      <c r="P168" s="614" t="e">
        <f t="shared" si="37"/>
        <v>#DIV/0!</v>
      </c>
      <c r="Q168" s="614">
        <f t="shared" si="39"/>
        <v>0</v>
      </c>
      <c r="R168" s="614"/>
    </row>
    <row r="169" spans="1:18" ht="24" customHeight="1" outlineLevel="3">
      <c r="A169" s="600"/>
      <c r="B169" s="603" t="s">
        <v>1371</v>
      </c>
      <c r="C169" s="604" t="s">
        <v>39</v>
      </c>
      <c r="D169" s="635" t="s">
        <v>559</v>
      </c>
      <c r="E169" s="607" t="s">
        <v>453</v>
      </c>
      <c r="F169" s="607"/>
      <c r="G169" s="568">
        <v>1</v>
      </c>
      <c r="H169" s="624" t="s">
        <v>111</v>
      </c>
      <c r="I169" s="681">
        <f>$P$3</f>
        <v>0</v>
      </c>
      <c r="J169" s="686"/>
      <c r="K169" s="619">
        <f t="shared" si="40"/>
        <v>0</v>
      </c>
      <c r="L169" s="569">
        <v>0.11</v>
      </c>
      <c r="M169" s="614">
        <f t="shared" si="36"/>
        <v>0</v>
      </c>
      <c r="N169" s="599">
        <f>M169*L169</f>
        <v>0</v>
      </c>
      <c r="O169" s="599">
        <f>M169+N169</f>
        <v>0</v>
      </c>
      <c r="P169" s="614" t="e">
        <f t="shared" si="37"/>
        <v>#DIV/0!</v>
      </c>
      <c r="Q169" s="669">
        <f t="shared" si="39"/>
        <v>0</v>
      </c>
      <c r="R169" s="669"/>
    </row>
    <row r="170" spans="1:18" s="632" customFormat="1" ht="24" customHeight="1" outlineLevel="2">
      <c r="A170" s="633"/>
      <c r="B170" s="603" t="s">
        <v>1372</v>
      </c>
      <c r="C170" s="615" t="s">
        <v>144</v>
      </c>
      <c r="D170" s="704" t="s">
        <v>560</v>
      </c>
      <c r="E170" s="615"/>
      <c r="F170" s="615"/>
      <c r="G170" s="648"/>
      <c r="H170" s="624"/>
      <c r="I170" s="681"/>
      <c r="J170" s="682"/>
      <c r="K170" s="682"/>
      <c r="L170" s="569"/>
      <c r="M170" s="613">
        <f>SUBTOTAL(9,M171:M173)</f>
        <v>0</v>
      </c>
      <c r="N170" s="613">
        <f>SUBTOTAL(9,N171:N173)</f>
        <v>0</v>
      </c>
      <c r="O170" s="613">
        <f>SUBTOTAL(9,O171:O173)</f>
        <v>0</v>
      </c>
      <c r="P170" s="614" t="e">
        <f t="shared" si="37"/>
        <v>#DIV/0!</v>
      </c>
      <c r="Q170" s="614">
        <f t="shared" si="39"/>
        <v>0</v>
      </c>
      <c r="R170" s="614"/>
    </row>
    <row r="171" spans="1:18" s="632" customFormat="1" ht="24" customHeight="1" outlineLevel="3">
      <c r="A171" s="633"/>
      <c r="B171" s="603" t="s">
        <v>626</v>
      </c>
      <c r="C171" s="615" t="s">
        <v>39</v>
      </c>
      <c r="D171" s="704" t="s">
        <v>561</v>
      </c>
      <c r="E171" s="615" t="s">
        <v>1363</v>
      </c>
      <c r="F171" s="615"/>
      <c r="G171" s="648">
        <v>1</v>
      </c>
      <c r="H171" s="624" t="s">
        <v>135</v>
      </c>
      <c r="I171" s="681">
        <v>100</v>
      </c>
      <c r="J171" s="682"/>
      <c r="K171" s="619">
        <f t="shared" si="40"/>
        <v>0</v>
      </c>
      <c r="L171" s="569">
        <v>0.17</v>
      </c>
      <c r="M171" s="614">
        <f t="shared" si="36"/>
        <v>0</v>
      </c>
      <c r="N171" s="599">
        <f>M171*L171</f>
        <v>0</v>
      </c>
      <c r="O171" s="599">
        <f>M171+N171</f>
        <v>0</v>
      </c>
      <c r="P171" s="614" t="e">
        <f t="shared" si="37"/>
        <v>#DIV/0!</v>
      </c>
      <c r="Q171" s="614">
        <f t="shared" si="39"/>
        <v>0</v>
      </c>
      <c r="R171" s="614"/>
    </row>
    <row r="172" spans="1:18" ht="24" customHeight="1" outlineLevel="3">
      <c r="A172" s="600"/>
      <c r="B172" s="603" t="s">
        <v>627</v>
      </c>
      <c r="C172" s="604" t="s">
        <v>39</v>
      </c>
      <c r="D172" s="635" t="s">
        <v>562</v>
      </c>
      <c r="E172" s="607" t="s">
        <v>1363</v>
      </c>
      <c r="F172" s="607"/>
      <c r="G172" s="567"/>
      <c r="H172" s="685"/>
      <c r="I172" s="685"/>
      <c r="J172" s="686"/>
      <c r="K172" s="686"/>
      <c r="L172" s="569"/>
      <c r="M172" s="614">
        <f t="shared" si="36"/>
        <v>0</v>
      </c>
      <c r="N172" s="599">
        <f>M172*L172</f>
        <v>0</v>
      </c>
      <c r="O172" s="599">
        <f>M172+N172</f>
        <v>0</v>
      </c>
      <c r="P172" s="614" t="e">
        <f t="shared" si="37"/>
        <v>#DIV/0!</v>
      </c>
      <c r="Q172" s="669">
        <f t="shared" si="39"/>
        <v>0</v>
      </c>
      <c r="R172" s="669"/>
    </row>
    <row r="173" spans="1:18" s="575" customFormat="1" ht="24" customHeight="1" outlineLevel="3">
      <c r="A173" s="576"/>
      <c r="B173" s="603" t="s">
        <v>628</v>
      </c>
      <c r="C173" s="615" t="s">
        <v>39</v>
      </c>
      <c r="D173" s="704" t="s">
        <v>563</v>
      </c>
      <c r="E173" s="615" t="s">
        <v>1363</v>
      </c>
      <c r="F173" s="615" t="s">
        <v>624</v>
      </c>
      <c r="G173" s="681">
        <v>1</v>
      </c>
      <c r="H173" s="685" t="s">
        <v>111</v>
      </c>
      <c r="I173" s="700">
        <f>C3-G3</f>
        <v>0</v>
      </c>
      <c r="J173" s="682"/>
      <c r="K173" s="619">
        <f t="shared" si="40"/>
        <v>0</v>
      </c>
      <c r="L173" s="569">
        <v>0.17</v>
      </c>
      <c r="M173" s="614">
        <f t="shared" si="36"/>
        <v>0</v>
      </c>
      <c r="N173" s="599">
        <f>M173*L173</f>
        <v>0</v>
      </c>
      <c r="O173" s="599">
        <f>M173+N173</f>
        <v>0</v>
      </c>
      <c r="P173" s="614" t="e">
        <f t="shared" si="37"/>
        <v>#DIV/0!</v>
      </c>
      <c r="Q173" s="614">
        <f t="shared" si="39"/>
        <v>0</v>
      </c>
      <c r="R173" s="614"/>
    </row>
    <row r="174" spans="1:18" ht="24" customHeight="1">
      <c r="A174" s="600"/>
      <c r="B174" s="577" t="s">
        <v>564</v>
      </c>
      <c r="C174" s="578" t="s">
        <v>380</v>
      </c>
      <c r="D174" s="480" t="s">
        <v>82</v>
      </c>
      <c r="E174" s="481"/>
      <c r="F174" s="705"/>
      <c r="G174" s="706"/>
      <c r="H174" s="707"/>
      <c r="I174" s="708"/>
      <c r="J174" s="709"/>
      <c r="K174" s="709"/>
      <c r="L174" s="710"/>
      <c r="M174" s="581">
        <f>SUBTOTAL(9,M175:M230)</f>
        <v>0</v>
      </c>
      <c r="N174" s="581">
        <f>SUBTOTAL(9,N175:N230)</f>
        <v>0</v>
      </c>
      <c r="O174" s="581">
        <f>SUBTOTAL(9,O175:O230)</f>
        <v>0</v>
      </c>
      <c r="P174" s="581" t="e">
        <f>IF(O174="","",O174*10000/F$3)</f>
        <v>#DIV/0!</v>
      </c>
      <c r="Q174" s="581">
        <f t="shared" si="39"/>
        <v>0</v>
      </c>
      <c r="R174" s="711"/>
    </row>
    <row r="175" spans="1:18" ht="24" customHeight="1" outlineLevel="1">
      <c r="A175" s="600"/>
      <c r="B175" s="601" t="s">
        <v>509</v>
      </c>
      <c r="C175" s="585">
        <v>1</v>
      </c>
      <c r="D175" s="691" t="s">
        <v>565</v>
      </c>
      <c r="E175" s="677"/>
      <c r="F175" s="712"/>
      <c r="G175" s="493"/>
      <c r="H175" s="491"/>
      <c r="I175" s="492"/>
      <c r="J175" s="679"/>
      <c r="K175" s="679"/>
      <c r="L175" s="588"/>
      <c r="M175" s="589">
        <f>SUBTOTAL(9,M176:M188)</f>
        <v>0</v>
      </c>
      <c r="N175" s="589">
        <f>SUBTOTAL(9,N176:N188)</f>
        <v>0</v>
      </c>
      <c r="O175" s="589">
        <f>SUBTOTAL(9,O176:O188)</f>
        <v>0</v>
      </c>
      <c r="P175" s="589" t="e">
        <f>IF(O175="","",O175*10000/F$3)</f>
        <v>#DIV/0!</v>
      </c>
      <c r="Q175" s="713">
        <f t="shared" si="39"/>
        <v>0</v>
      </c>
      <c r="R175" s="713"/>
    </row>
    <row r="176" spans="1:18" ht="22.5" customHeight="1" outlineLevel="2">
      <c r="A176" s="600"/>
      <c r="B176" s="603" t="s">
        <v>629</v>
      </c>
      <c r="C176" s="604" t="s">
        <v>1096</v>
      </c>
      <c r="D176" s="635" t="s">
        <v>1373</v>
      </c>
      <c r="E176" s="714" t="s">
        <v>1374</v>
      </c>
      <c r="F176" s="607" t="s">
        <v>11</v>
      </c>
      <c r="G176" s="567">
        <v>1</v>
      </c>
      <c r="H176" s="685"/>
      <c r="I176" s="685">
        <f>D3</f>
        <v>0</v>
      </c>
      <c r="J176" s="686">
        <v>6</v>
      </c>
      <c r="K176" s="619">
        <f t="shared" ref="K176:K185" si="41">J176/(1+L176)</f>
        <v>5.6603773584905657</v>
      </c>
      <c r="L176" s="569">
        <v>0.06</v>
      </c>
      <c r="M176" s="614">
        <f t="shared" ref="M176:M188" si="42">K176*I176*G176/10000</f>
        <v>0</v>
      </c>
      <c r="N176" s="599">
        <f t="shared" ref="N176:N188" si="43">M176*L176</f>
        <v>0</v>
      </c>
      <c r="O176" s="599">
        <f t="shared" ref="O176:O189" si="44">M176+N176</f>
        <v>0</v>
      </c>
      <c r="P176" s="614" t="e">
        <f>IF(O176="","",O176*10000/F$3)</f>
        <v>#DIV/0!</v>
      </c>
      <c r="Q176" s="669">
        <f t="shared" si="39"/>
        <v>0</v>
      </c>
      <c r="R176" s="669"/>
    </row>
    <row r="177" spans="1:18" ht="22.5" customHeight="1" outlineLevel="2">
      <c r="A177" s="600"/>
      <c r="B177" s="603" t="s">
        <v>630</v>
      </c>
      <c r="C177" s="604" t="s">
        <v>68</v>
      </c>
      <c r="D177" s="635" t="s">
        <v>1375</v>
      </c>
      <c r="E177" s="714" t="s">
        <v>1374</v>
      </c>
      <c r="F177" s="607" t="s">
        <v>11</v>
      </c>
      <c r="G177" s="567">
        <v>1</v>
      </c>
      <c r="H177" s="685"/>
      <c r="I177" s="685">
        <f>D3</f>
        <v>0</v>
      </c>
      <c r="J177" s="686">
        <v>2.5</v>
      </c>
      <c r="K177" s="619">
        <f t="shared" si="41"/>
        <v>2.3584905660377355</v>
      </c>
      <c r="L177" s="569">
        <v>0.06</v>
      </c>
      <c r="M177" s="614">
        <f t="shared" si="42"/>
        <v>0</v>
      </c>
      <c r="N177" s="599">
        <f t="shared" si="43"/>
        <v>0</v>
      </c>
      <c r="O177" s="599">
        <f t="shared" si="44"/>
        <v>0</v>
      </c>
      <c r="P177" s="614" t="e">
        <f t="shared" ref="P177:P188" si="45">IF(O177="","",O177*10000/F$3)</f>
        <v>#DIV/0!</v>
      </c>
      <c r="Q177" s="669">
        <f t="shared" si="39"/>
        <v>0</v>
      </c>
      <c r="R177" s="669"/>
    </row>
    <row r="178" spans="1:18" ht="22.5" customHeight="1" outlineLevel="2">
      <c r="A178" s="600"/>
      <c r="B178" s="603" t="s">
        <v>631</v>
      </c>
      <c r="C178" s="604" t="s">
        <v>69</v>
      </c>
      <c r="D178" s="635" t="s">
        <v>1376</v>
      </c>
      <c r="E178" s="714" t="s">
        <v>1377</v>
      </c>
      <c r="F178" s="607" t="s">
        <v>11</v>
      </c>
      <c r="G178" s="700">
        <v>1</v>
      </c>
      <c r="H178" s="685"/>
      <c r="I178" s="685">
        <f>D3</f>
        <v>0</v>
      </c>
      <c r="J178" s="682">
        <v>16</v>
      </c>
      <c r="K178" s="619">
        <f t="shared" si="41"/>
        <v>15.094339622641508</v>
      </c>
      <c r="L178" s="569">
        <v>0.06</v>
      </c>
      <c r="M178" s="614">
        <f t="shared" si="42"/>
        <v>0</v>
      </c>
      <c r="N178" s="599">
        <f t="shared" si="43"/>
        <v>0</v>
      </c>
      <c r="O178" s="599">
        <f t="shared" si="44"/>
        <v>0</v>
      </c>
      <c r="P178" s="614" t="e">
        <f t="shared" si="45"/>
        <v>#DIV/0!</v>
      </c>
      <c r="Q178" s="614">
        <f t="shared" si="39"/>
        <v>0</v>
      </c>
      <c r="R178" s="614"/>
    </row>
    <row r="179" spans="1:18" ht="22.5" customHeight="1" outlineLevel="2">
      <c r="A179" s="600"/>
      <c r="B179" s="603" t="s">
        <v>632</v>
      </c>
      <c r="C179" s="604" t="s">
        <v>70</v>
      </c>
      <c r="D179" s="635" t="s">
        <v>1378</v>
      </c>
      <c r="E179" s="714" t="s">
        <v>1379</v>
      </c>
      <c r="F179" s="615" t="s">
        <v>566</v>
      </c>
      <c r="G179" s="700">
        <v>1</v>
      </c>
      <c r="H179" s="685"/>
      <c r="I179" s="700">
        <f>P3</f>
        <v>0</v>
      </c>
      <c r="J179" s="682">
        <v>25</v>
      </c>
      <c r="K179" s="619">
        <f t="shared" si="41"/>
        <v>23.584905660377359</v>
      </c>
      <c r="L179" s="569">
        <v>0.06</v>
      </c>
      <c r="M179" s="614">
        <f t="shared" si="42"/>
        <v>0</v>
      </c>
      <c r="N179" s="599">
        <f t="shared" si="43"/>
        <v>0</v>
      </c>
      <c r="O179" s="599">
        <f t="shared" si="44"/>
        <v>0</v>
      </c>
      <c r="P179" s="614" t="e">
        <f t="shared" si="45"/>
        <v>#DIV/0!</v>
      </c>
      <c r="Q179" s="614">
        <f t="shared" si="39"/>
        <v>0</v>
      </c>
      <c r="R179" s="614"/>
    </row>
    <row r="180" spans="1:18" ht="22.5" customHeight="1" outlineLevel="2">
      <c r="A180" s="600"/>
      <c r="B180" s="603" t="s">
        <v>633</v>
      </c>
      <c r="C180" s="604" t="s">
        <v>71</v>
      </c>
      <c r="D180" s="635" t="s">
        <v>1380</v>
      </c>
      <c r="E180" s="714" t="s">
        <v>1381</v>
      </c>
      <c r="F180" s="607" t="s">
        <v>11</v>
      </c>
      <c r="G180" s="624">
        <v>1</v>
      </c>
      <c r="H180" s="685"/>
      <c r="I180" s="715">
        <f>D3</f>
        <v>0</v>
      </c>
      <c r="J180" s="682">
        <v>1</v>
      </c>
      <c r="K180" s="619">
        <f t="shared" si="41"/>
        <v>0.94339622641509424</v>
      </c>
      <c r="L180" s="569">
        <v>0.06</v>
      </c>
      <c r="M180" s="614">
        <f t="shared" si="42"/>
        <v>0</v>
      </c>
      <c r="N180" s="599">
        <f t="shared" si="43"/>
        <v>0</v>
      </c>
      <c r="O180" s="599">
        <f t="shared" si="44"/>
        <v>0</v>
      </c>
      <c r="P180" s="614" t="e">
        <f t="shared" si="45"/>
        <v>#DIV/0!</v>
      </c>
      <c r="Q180" s="614">
        <f t="shared" si="39"/>
        <v>0</v>
      </c>
      <c r="R180" s="614"/>
    </row>
    <row r="181" spans="1:18" ht="22.5" customHeight="1" outlineLevel="2">
      <c r="A181" s="600"/>
      <c r="B181" s="603" t="s">
        <v>634</v>
      </c>
      <c r="C181" s="604" t="s">
        <v>144</v>
      </c>
      <c r="D181" s="635" t="s">
        <v>1382</v>
      </c>
      <c r="E181" s="714" t="s">
        <v>1383</v>
      </c>
      <c r="F181" s="607" t="s">
        <v>431</v>
      </c>
      <c r="G181" s="624">
        <v>1</v>
      </c>
      <c r="H181" s="685"/>
      <c r="I181" s="715">
        <f>C3</f>
        <v>0</v>
      </c>
      <c r="J181" s="682">
        <v>6</v>
      </c>
      <c r="K181" s="619">
        <f t="shared" si="41"/>
        <v>5.6603773584905657</v>
      </c>
      <c r="L181" s="569">
        <v>0.06</v>
      </c>
      <c r="M181" s="614">
        <f t="shared" si="42"/>
        <v>0</v>
      </c>
      <c r="N181" s="599">
        <f t="shared" si="43"/>
        <v>0</v>
      </c>
      <c r="O181" s="599">
        <f t="shared" si="44"/>
        <v>0</v>
      </c>
      <c r="P181" s="614" t="e">
        <f t="shared" si="45"/>
        <v>#DIV/0!</v>
      </c>
      <c r="Q181" s="614">
        <f t="shared" si="39"/>
        <v>0</v>
      </c>
      <c r="R181" s="614"/>
    </row>
    <row r="182" spans="1:18" ht="22.5" customHeight="1" outlineLevel="2">
      <c r="A182" s="600"/>
      <c r="B182" s="603" t="s">
        <v>635</v>
      </c>
      <c r="C182" s="604" t="s">
        <v>72</v>
      </c>
      <c r="D182" s="635" t="s">
        <v>1384</v>
      </c>
      <c r="E182" s="714" t="s">
        <v>1385</v>
      </c>
      <c r="F182" s="665" t="s">
        <v>567</v>
      </c>
      <c r="G182" s="624">
        <v>1</v>
      </c>
      <c r="H182" s="685"/>
      <c r="I182" s="681">
        <f>'2-规划指标'!H35</f>
        <v>0</v>
      </c>
      <c r="J182" s="682">
        <v>60</v>
      </c>
      <c r="K182" s="619">
        <f t="shared" si="41"/>
        <v>56.60377358490566</v>
      </c>
      <c r="L182" s="569">
        <v>0.06</v>
      </c>
      <c r="M182" s="614">
        <f t="shared" si="42"/>
        <v>0</v>
      </c>
      <c r="N182" s="599">
        <f t="shared" si="43"/>
        <v>0</v>
      </c>
      <c r="O182" s="599">
        <f t="shared" si="44"/>
        <v>0</v>
      </c>
      <c r="P182" s="614" t="e">
        <f t="shared" si="45"/>
        <v>#DIV/0!</v>
      </c>
      <c r="Q182" s="614">
        <f t="shared" si="39"/>
        <v>0</v>
      </c>
      <c r="R182" s="614"/>
    </row>
    <row r="183" spans="1:18" ht="22.5" customHeight="1" outlineLevel="2">
      <c r="A183" s="600"/>
      <c r="B183" s="603" t="s">
        <v>636</v>
      </c>
      <c r="C183" s="604" t="s">
        <v>73</v>
      </c>
      <c r="D183" s="635" t="s">
        <v>1386</v>
      </c>
      <c r="E183" s="714" t="s">
        <v>1387</v>
      </c>
      <c r="F183" s="665" t="s">
        <v>567</v>
      </c>
      <c r="G183" s="624">
        <v>1</v>
      </c>
      <c r="H183" s="685"/>
      <c r="I183" s="681">
        <f>$D$3*(1+$Q$3)</f>
        <v>0</v>
      </c>
      <c r="J183" s="682">
        <v>5</v>
      </c>
      <c r="K183" s="619">
        <f t="shared" si="41"/>
        <v>4.7169811320754711</v>
      </c>
      <c r="L183" s="569">
        <v>0.06</v>
      </c>
      <c r="M183" s="614">
        <f t="shared" si="42"/>
        <v>0</v>
      </c>
      <c r="N183" s="599">
        <f t="shared" si="43"/>
        <v>0</v>
      </c>
      <c r="O183" s="599">
        <f t="shared" si="44"/>
        <v>0</v>
      </c>
      <c r="P183" s="614" t="e">
        <f t="shared" si="45"/>
        <v>#DIV/0!</v>
      </c>
      <c r="Q183" s="614">
        <f t="shared" si="39"/>
        <v>0</v>
      </c>
      <c r="R183" s="614"/>
    </row>
    <row r="184" spans="1:18" ht="22.5" customHeight="1" outlineLevel="2">
      <c r="A184" s="600"/>
      <c r="B184" s="603" t="s">
        <v>637</v>
      </c>
      <c r="C184" s="604" t="s">
        <v>74</v>
      </c>
      <c r="D184" s="635" t="s">
        <v>1388</v>
      </c>
      <c r="E184" s="680"/>
      <c r="F184" s="615"/>
      <c r="G184" s="648"/>
      <c r="H184" s="685"/>
      <c r="I184" s="681"/>
      <c r="J184" s="682"/>
      <c r="K184" s="682"/>
      <c r="L184" s="569"/>
      <c r="M184" s="614">
        <f t="shared" si="42"/>
        <v>0</v>
      </c>
      <c r="N184" s="599">
        <f t="shared" si="43"/>
        <v>0</v>
      </c>
      <c r="O184" s="599">
        <f t="shared" si="44"/>
        <v>0</v>
      </c>
      <c r="P184" s="614" t="e">
        <f t="shared" si="45"/>
        <v>#DIV/0!</v>
      </c>
      <c r="Q184" s="614">
        <f t="shared" si="39"/>
        <v>0</v>
      </c>
      <c r="R184" s="614"/>
    </row>
    <row r="185" spans="1:18" ht="22.5" customHeight="1" outlineLevel="2">
      <c r="A185" s="600"/>
      <c r="B185" s="603" t="s">
        <v>638</v>
      </c>
      <c r="C185" s="604" t="s">
        <v>75</v>
      </c>
      <c r="D185" s="635" t="s">
        <v>451</v>
      </c>
      <c r="E185" s="714" t="s">
        <v>1387</v>
      </c>
      <c r="F185" s="665" t="s">
        <v>567</v>
      </c>
      <c r="G185" s="624">
        <v>1</v>
      </c>
      <c r="H185" s="685"/>
      <c r="I185" s="681">
        <f>$D$3*(1+$Q$3)</f>
        <v>0</v>
      </c>
      <c r="J185" s="682">
        <v>1</v>
      </c>
      <c r="K185" s="619">
        <f t="shared" si="41"/>
        <v>1</v>
      </c>
      <c r="L185" s="569">
        <v>0</v>
      </c>
      <c r="M185" s="614">
        <f t="shared" si="42"/>
        <v>0</v>
      </c>
      <c r="N185" s="599">
        <f t="shared" si="43"/>
        <v>0</v>
      </c>
      <c r="O185" s="599">
        <f t="shared" si="44"/>
        <v>0</v>
      </c>
      <c r="P185" s="614" t="e">
        <f t="shared" si="45"/>
        <v>#DIV/0!</v>
      </c>
      <c r="Q185" s="614">
        <f t="shared" si="39"/>
        <v>0</v>
      </c>
      <c r="R185" s="614"/>
    </row>
    <row r="186" spans="1:18" ht="22.5" customHeight="1" outlineLevel="2">
      <c r="A186" s="600"/>
      <c r="B186" s="603" t="s">
        <v>639</v>
      </c>
      <c r="C186" s="604" t="s">
        <v>146</v>
      </c>
      <c r="D186" s="635" t="s">
        <v>1389</v>
      </c>
      <c r="E186" s="680"/>
      <c r="F186" s="665"/>
      <c r="G186" s="624"/>
      <c r="H186" s="685"/>
      <c r="I186" s="681"/>
      <c r="J186" s="682"/>
      <c r="K186" s="682"/>
      <c r="L186" s="569"/>
      <c r="M186" s="614">
        <f t="shared" si="42"/>
        <v>0</v>
      </c>
      <c r="N186" s="599">
        <f t="shared" si="43"/>
        <v>0</v>
      </c>
      <c r="O186" s="599">
        <f t="shared" si="44"/>
        <v>0</v>
      </c>
      <c r="P186" s="614" t="e">
        <f t="shared" si="45"/>
        <v>#DIV/0!</v>
      </c>
      <c r="Q186" s="614"/>
      <c r="R186" s="614"/>
    </row>
    <row r="187" spans="1:18" ht="22.5" customHeight="1" outlineLevel="2">
      <c r="A187" s="600"/>
      <c r="B187" s="603" t="s">
        <v>1390</v>
      </c>
      <c r="C187" s="604" t="s">
        <v>147</v>
      </c>
      <c r="D187" s="635" t="s">
        <v>1391</v>
      </c>
      <c r="E187" s="680"/>
      <c r="F187" s="665"/>
      <c r="G187" s="624"/>
      <c r="H187" s="685"/>
      <c r="I187" s="681"/>
      <c r="J187" s="682"/>
      <c r="K187" s="682"/>
      <c r="L187" s="569"/>
      <c r="M187" s="614">
        <f t="shared" si="42"/>
        <v>0</v>
      </c>
      <c r="N187" s="599">
        <f t="shared" si="43"/>
        <v>0</v>
      </c>
      <c r="O187" s="599">
        <f t="shared" si="44"/>
        <v>0</v>
      </c>
      <c r="P187" s="614" t="e">
        <f t="shared" si="45"/>
        <v>#DIV/0!</v>
      </c>
      <c r="Q187" s="614"/>
      <c r="R187" s="614"/>
    </row>
    <row r="188" spans="1:18" ht="22.5" customHeight="1" outlineLevel="2">
      <c r="A188" s="600"/>
      <c r="B188" s="603" t="s">
        <v>1392</v>
      </c>
      <c r="C188" s="604" t="s">
        <v>148</v>
      </c>
      <c r="D188" s="635" t="s">
        <v>1393</v>
      </c>
      <c r="E188" s="714" t="s">
        <v>1387</v>
      </c>
      <c r="F188" s="615"/>
      <c r="G188" s="648">
        <v>1</v>
      </c>
      <c r="H188" s="685"/>
      <c r="I188" s="681">
        <f>$D$3*(1+$Q$3)</f>
        <v>0</v>
      </c>
      <c r="J188" s="682">
        <v>1</v>
      </c>
      <c r="K188" s="619">
        <f>J188/(1+L188)</f>
        <v>1</v>
      </c>
      <c r="L188" s="569">
        <v>0</v>
      </c>
      <c r="M188" s="614">
        <f t="shared" si="42"/>
        <v>0</v>
      </c>
      <c r="N188" s="599">
        <f t="shared" si="43"/>
        <v>0</v>
      </c>
      <c r="O188" s="599">
        <f t="shared" si="44"/>
        <v>0</v>
      </c>
      <c r="P188" s="614" t="e">
        <f t="shared" si="45"/>
        <v>#DIV/0!</v>
      </c>
      <c r="Q188" s="614">
        <f t="shared" si="39"/>
        <v>0</v>
      </c>
      <c r="R188" s="614"/>
    </row>
    <row r="189" spans="1:18" ht="24.75" customHeight="1" outlineLevel="1">
      <c r="A189" s="600"/>
      <c r="B189" s="601" t="s">
        <v>510</v>
      </c>
      <c r="C189" s="585">
        <v>2</v>
      </c>
      <c r="D189" s="691" t="s">
        <v>445</v>
      </c>
      <c r="E189" s="677"/>
      <c r="F189" s="712"/>
      <c r="G189" s="493"/>
      <c r="H189" s="716"/>
      <c r="I189" s="492"/>
      <c r="J189" s="679"/>
      <c r="K189" s="679"/>
      <c r="L189" s="588"/>
      <c r="M189" s="679">
        <v>0</v>
      </c>
      <c r="N189" s="679">
        <f>I189*J189/10000</f>
        <v>0</v>
      </c>
      <c r="O189" s="679">
        <f t="shared" si="44"/>
        <v>0</v>
      </c>
      <c r="P189" s="679" t="e">
        <f>IF(O189="","",O189*10000/F$3)</f>
        <v>#DIV/0!</v>
      </c>
      <c r="Q189" s="679">
        <f t="shared" si="39"/>
        <v>0</v>
      </c>
      <c r="R189" s="679"/>
    </row>
    <row r="190" spans="1:18" ht="24" customHeight="1" outlineLevel="1">
      <c r="A190" s="600"/>
      <c r="B190" s="601" t="s">
        <v>511</v>
      </c>
      <c r="C190" s="585">
        <v>3</v>
      </c>
      <c r="D190" s="691" t="s">
        <v>568</v>
      </c>
      <c r="E190" s="677"/>
      <c r="F190" s="712"/>
      <c r="G190" s="493"/>
      <c r="H190" s="491"/>
      <c r="I190" s="492"/>
      <c r="J190" s="679"/>
      <c r="K190" s="679"/>
      <c r="L190" s="588"/>
      <c r="M190" s="589">
        <f>SUBTOTAL(9,M191:M206)</f>
        <v>0</v>
      </c>
      <c r="N190" s="589">
        <f>SUBTOTAL(9,N191:N206)</f>
        <v>0</v>
      </c>
      <c r="O190" s="589">
        <f>SUBTOTAL(9,O191:O206)</f>
        <v>0</v>
      </c>
      <c r="P190" s="589" t="e">
        <f>IF(O190="","",O190*10000/F$3)</f>
        <v>#DIV/0!</v>
      </c>
      <c r="Q190" s="717">
        <f>M190</f>
        <v>0</v>
      </c>
      <c r="R190" s="717"/>
    </row>
    <row r="191" spans="1:18" ht="24" customHeight="1" outlineLevel="2">
      <c r="A191" s="600"/>
      <c r="B191" s="603" t="s">
        <v>569</v>
      </c>
      <c r="C191" s="604" t="s">
        <v>1096</v>
      </c>
      <c r="D191" s="635" t="s">
        <v>1394</v>
      </c>
      <c r="E191" s="665" t="s">
        <v>1395</v>
      </c>
      <c r="F191" s="665" t="s">
        <v>567</v>
      </c>
      <c r="G191" s="567">
        <v>1</v>
      </c>
      <c r="H191" s="685" t="s">
        <v>111</v>
      </c>
      <c r="I191" s="681">
        <f>$D$3*(1+$Q$3)</f>
        <v>0</v>
      </c>
      <c r="J191" s="686">
        <v>12</v>
      </c>
      <c r="K191" s="619">
        <f>J191/(1+L191)</f>
        <v>11.320754716981131</v>
      </c>
      <c r="L191" s="569">
        <v>0.06</v>
      </c>
      <c r="M191" s="614">
        <f t="shared" ref="M191:M205" si="46">K191*I191*G191/10000</f>
        <v>0</v>
      </c>
      <c r="N191" s="599">
        <f>M191*L191</f>
        <v>0</v>
      </c>
      <c r="O191" s="599">
        <f>M191+N191</f>
        <v>0</v>
      </c>
      <c r="P191" s="614" t="e">
        <f>IF(O191="","",O191*10000/F$3)</f>
        <v>#DIV/0!</v>
      </c>
      <c r="Q191" s="669">
        <f t="shared" si="39"/>
        <v>0</v>
      </c>
      <c r="R191" s="669"/>
    </row>
    <row r="192" spans="1:18" ht="24" customHeight="1" outlineLevel="2">
      <c r="A192" s="600"/>
      <c r="B192" s="603" t="s">
        <v>1396</v>
      </c>
      <c r="C192" s="604" t="s">
        <v>68</v>
      </c>
      <c r="D192" s="635" t="s">
        <v>1397</v>
      </c>
      <c r="E192" s="665" t="s">
        <v>1395</v>
      </c>
      <c r="F192" s="665" t="s">
        <v>567</v>
      </c>
      <c r="G192" s="693">
        <v>1</v>
      </c>
      <c r="H192" s="685" t="s">
        <v>111</v>
      </c>
      <c r="I192" s="681">
        <f>$D$3*(1+$Q$3)</f>
        <v>0</v>
      </c>
      <c r="J192" s="682"/>
      <c r="K192" s="619">
        <f>J192/(1+L192)</f>
        <v>0</v>
      </c>
      <c r="L192" s="569">
        <v>0</v>
      </c>
      <c r="M192" s="614">
        <f t="shared" si="46"/>
        <v>0</v>
      </c>
      <c r="N192" s="599">
        <f>M192*L192</f>
        <v>0</v>
      </c>
      <c r="O192" s="599">
        <f>M192+N192</f>
        <v>0</v>
      </c>
      <c r="P192" s="614" t="e">
        <f t="shared" ref="P192:P206" si="47">IF(O192="","",O192*10000/F$3)</f>
        <v>#DIV/0!</v>
      </c>
      <c r="Q192" s="718">
        <f t="shared" si="39"/>
        <v>0</v>
      </c>
      <c r="R192" s="718"/>
    </row>
    <row r="193" spans="1:18" ht="24" customHeight="1" outlineLevel="2">
      <c r="A193" s="600"/>
      <c r="B193" s="603" t="s">
        <v>571</v>
      </c>
      <c r="C193" s="604" t="s">
        <v>69</v>
      </c>
      <c r="D193" s="635" t="s">
        <v>1398</v>
      </c>
      <c r="E193" s="665" t="s">
        <v>1395</v>
      </c>
      <c r="F193" s="665" t="s">
        <v>1399</v>
      </c>
      <c r="G193" s="693">
        <v>1</v>
      </c>
      <c r="H193" s="685" t="s">
        <v>1400</v>
      </c>
      <c r="I193" s="681">
        <f>$D$3*(1+$Q$3)</f>
        <v>0</v>
      </c>
      <c r="J193" s="682">
        <v>1.8</v>
      </c>
      <c r="K193" s="619">
        <f>J193/(1+L193)</f>
        <v>1.8</v>
      </c>
      <c r="L193" s="569">
        <v>0</v>
      </c>
      <c r="M193" s="614">
        <f t="shared" si="46"/>
        <v>0</v>
      </c>
      <c r="N193" s="599">
        <f>M193*L193</f>
        <v>0</v>
      </c>
      <c r="O193" s="599">
        <f>M193+N193</f>
        <v>0</v>
      </c>
      <c r="P193" s="614" t="e">
        <f t="shared" si="47"/>
        <v>#DIV/0!</v>
      </c>
      <c r="Q193" s="718">
        <f t="shared" si="39"/>
        <v>0</v>
      </c>
      <c r="R193" s="718"/>
    </row>
    <row r="194" spans="1:18" ht="24" customHeight="1" outlineLevel="2">
      <c r="A194" s="600"/>
      <c r="B194" s="603" t="s">
        <v>573</v>
      </c>
      <c r="C194" s="604" t="s">
        <v>70</v>
      </c>
      <c r="D194" s="635" t="s">
        <v>1401</v>
      </c>
      <c r="E194" s="665" t="s">
        <v>1395</v>
      </c>
      <c r="F194" s="665" t="s">
        <v>1402</v>
      </c>
      <c r="G194" s="567">
        <v>1</v>
      </c>
      <c r="H194" s="685" t="s">
        <v>1400</v>
      </c>
      <c r="I194" s="681">
        <f>$D$3*(1+$Q$3)</f>
        <v>0</v>
      </c>
      <c r="J194" s="686">
        <v>10</v>
      </c>
      <c r="K194" s="619">
        <f>J194/(1+L194)</f>
        <v>10</v>
      </c>
      <c r="L194" s="569">
        <v>0</v>
      </c>
      <c r="M194" s="614">
        <f t="shared" si="46"/>
        <v>0</v>
      </c>
      <c r="N194" s="599">
        <f>M194*L194</f>
        <v>0</v>
      </c>
      <c r="O194" s="599">
        <f>M194+N194</f>
        <v>0</v>
      </c>
      <c r="P194" s="614" t="e">
        <f t="shared" si="47"/>
        <v>#DIV/0!</v>
      </c>
      <c r="Q194" s="669">
        <f t="shared" si="39"/>
        <v>0</v>
      </c>
      <c r="R194" s="669"/>
    </row>
    <row r="195" spans="1:18" ht="24" customHeight="1" outlineLevel="2">
      <c r="A195" s="600"/>
      <c r="B195" s="603" t="s">
        <v>575</v>
      </c>
      <c r="C195" s="604" t="s">
        <v>71</v>
      </c>
      <c r="D195" s="635" t="s">
        <v>1403</v>
      </c>
      <c r="E195" s="665" t="s">
        <v>1395</v>
      </c>
      <c r="F195" s="607"/>
      <c r="G195" s="567"/>
      <c r="H195" s="685"/>
      <c r="I195" s="685"/>
      <c r="J195" s="686"/>
      <c r="K195" s="686"/>
      <c r="L195" s="569"/>
      <c r="M195" s="614">
        <f t="shared" si="46"/>
        <v>0</v>
      </c>
      <c r="N195" s="599">
        <f>M195*L195</f>
        <v>0</v>
      </c>
      <c r="O195" s="599">
        <f>M195+N195</f>
        <v>0</v>
      </c>
      <c r="P195" s="614" t="e">
        <f t="shared" si="47"/>
        <v>#DIV/0!</v>
      </c>
      <c r="Q195" s="669">
        <f t="shared" si="39"/>
        <v>0</v>
      </c>
      <c r="R195" s="669"/>
    </row>
    <row r="196" spans="1:18" ht="24" customHeight="1" outlineLevel="2">
      <c r="A196" s="600"/>
      <c r="B196" s="603" t="s">
        <v>577</v>
      </c>
      <c r="C196" s="615" t="s">
        <v>144</v>
      </c>
      <c r="D196" s="635" t="s">
        <v>1404</v>
      </c>
      <c r="E196" s="665"/>
      <c r="F196" s="607"/>
      <c r="G196" s="567"/>
      <c r="H196" s="685"/>
      <c r="I196" s="685"/>
      <c r="J196" s="686"/>
      <c r="K196" s="686"/>
      <c r="L196" s="569"/>
      <c r="M196" s="613">
        <f>SUBTOTAL(9,M197:M205)</f>
        <v>0</v>
      </c>
      <c r="N196" s="613">
        <f>SUBTOTAL(9,N197:N205)</f>
        <v>0</v>
      </c>
      <c r="O196" s="613">
        <f>SUBTOTAL(9,O197:O205)</f>
        <v>0</v>
      </c>
      <c r="P196" s="614" t="e">
        <f t="shared" si="47"/>
        <v>#DIV/0!</v>
      </c>
      <c r="Q196" s="669">
        <f t="shared" si="39"/>
        <v>0</v>
      </c>
      <c r="R196" s="669"/>
    </row>
    <row r="197" spans="1:18" ht="24" customHeight="1" outlineLevel="3">
      <c r="A197" s="600"/>
      <c r="B197" s="603" t="s">
        <v>1405</v>
      </c>
      <c r="C197" s="615" t="s">
        <v>39</v>
      </c>
      <c r="D197" s="635" t="s">
        <v>1406</v>
      </c>
      <c r="E197" s="719" t="s">
        <v>1407</v>
      </c>
      <c r="F197" s="607"/>
      <c r="G197" s="624"/>
      <c r="H197" s="685"/>
      <c r="I197" s="624"/>
      <c r="J197" s="686"/>
      <c r="K197" s="686"/>
      <c r="L197" s="569">
        <v>0.11</v>
      </c>
      <c r="M197" s="614">
        <f t="shared" si="46"/>
        <v>0</v>
      </c>
      <c r="N197" s="599">
        <f>M197*L197</f>
        <v>0</v>
      </c>
      <c r="O197" s="599">
        <f>M197+N197</f>
        <v>0</v>
      </c>
      <c r="P197" s="614" t="e">
        <f t="shared" si="47"/>
        <v>#DIV/0!</v>
      </c>
      <c r="Q197" s="669">
        <f t="shared" si="39"/>
        <v>0</v>
      </c>
      <c r="R197" s="669"/>
    </row>
    <row r="198" spans="1:18" ht="24" customHeight="1" outlineLevel="3">
      <c r="A198" s="600"/>
      <c r="B198" s="603" t="s">
        <v>1408</v>
      </c>
      <c r="C198" s="615" t="s">
        <v>39</v>
      </c>
      <c r="D198" s="635" t="s">
        <v>1409</v>
      </c>
      <c r="E198" s="719" t="s">
        <v>1407</v>
      </c>
      <c r="F198" s="607"/>
      <c r="G198" s="567">
        <v>1</v>
      </c>
      <c r="H198" s="685" t="s">
        <v>1248</v>
      </c>
      <c r="I198" s="685">
        <v>300</v>
      </c>
      <c r="J198" s="686"/>
      <c r="K198" s="619">
        <f>J198/(1+L198)</f>
        <v>0</v>
      </c>
      <c r="L198" s="569">
        <v>0.11</v>
      </c>
      <c r="M198" s="614">
        <f t="shared" si="46"/>
        <v>0</v>
      </c>
      <c r="N198" s="599">
        <f>M198*L198</f>
        <v>0</v>
      </c>
      <c r="O198" s="599">
        <f>M198+N198</f>
        <v>0</v>
      </c>
      <c r="P198" s="614" t="e">
        <f t="shared" si="47"/>
        <v>#DIV/0!</v>
      </c>
      <c r="Q198" s="669">
        <f t="shared" si="39"/>
        <v>0</v>
      </c>
      <c r="R198" s="669"/>
    </row>
    <row r="199" spans="1:18" ht="26.25" customHeight="1" outlineLevel="3">
      <c r="A199" s="600"/>
      <c r="B199" s="603" t="s">
        <v>1410</v>
      </c>
      <c r="C199" s="615" t="s">
        <v>39</v>
      </c>
      <c r="D199" s="635" t="s">
        <v>1411</v>
      </c>
      <c r="E199" s="719" t="s">
        <v>1407</v>
      </c>
      <c r="F199" s="665"/>
      <c r="G199" s="567">
        <v>1</v>
      </c>
      <c r="H199" s="685" t="s">
        <v>1248</v>
      </c>
      <c r="I199" s="685">
        <v>1000</v>
      </c>
      <c r="J199" s="686"/>
      <c r="K199" s="619">
        <f>J199/(1+L199)</f>
        <v>0</v>
      </c>
      <c r="L199" s="569">
        <v>0.11</v>
      </c>
      <c r="M199" s="614">
        <f t="shared" si="46"/>
        <v>0</v>
      </c>
      <c r="N199" s="599">
        <f>M199*L199</f>
        <v>0</v>
      </c>
      <c r="O199" s="599">
        <f>M199+N199</f>
        <v>0</v>
      </c>
      <c r="P199" s="614" t="e">
        <f t="shared" si="47"/>
        <v>#DIV/0!</v>
      </c>
      <c r="Q199" s="718">
        <f t="shared" si="39"/>
        <v>0</v>
      </c>
      <c r="R199" s="718"/>
    </row>
    <row r="200" spans="1:18" ht="26.25" customHeight="1" outlineLevel="3">
      <c r="A200" s="600"/>
      <c r="B200" s="603" t="s">
        <v>1412</v>
      </c>
      <c r="C200" s="615" t="s">
        <v>39</v>
      </c>
      <c r="D200" s="635" t="s">
        <v>1413</v>
      </c>
      <c r="E200" s="665"/>
      <c r="F200" s="665"/>
      <c r="G200" s="624"/>
      <c r="H200" s="685"/>
      <c r="I200" s="624"/>
      <c r="J200" s="682"/>
      <c r="K200" s="682"/>
      <c r="L200" s="569"/>
      <c r="M200" s="614">
        <f>SUBTOTAL(9,M201:M202)</f>
        <v>0</v>
      </c>
      <c r="N200" s="614">
        <f>SUBTOTAL(9,N201:N202)</f>
        <v>0</v>
      </c>
      <c r="O200" s="614">
        <f>SUBTOTAL(9,O201:O202)</f>
        <v>0</v>
      </c>
      <c r="P200" s="614" t="e">
        <f t="shared" si="47"/>
        <v>#DIV/0!</v>
      </c>
      <c r="Q200" s="718">
        <f t="shared" si="39"/>
        <v>0</v>
      </c>
      <c r="R200" s="718"/>
    </row>
    <row r="201" spans="1:18" ht="26.25" customHeight="1" outlineLevel="3">
      <c r="A201" s="600"/>
      <c r="B201" s="603" t="s">
        <v>1414</v>
      </c>
      <c r="C201" s="615"/>
      <c r="D201" s="720" t="s">
        <v>578</v>
      </c>
      <c r="E201" s="665" t="s">
        <v>1415</v>
      </c>
      <c r="F201" s="665" t="s">
        <v>1399</v>
      </c>
      <c r="G201" s="567">
        <v>1</v>
      </c>
      <c r="H201" s="685" t="s">
        <v>1248</v>
      </c>
      <c r="I201" s="681">
        <f>$D$3*(1+$Q$3)</f>
        <v>0</v>
      </c>
      <c r="J201" s="686">
        <v>3</v>
      </c>
      <c r="K201" s="619">
        <f t="shared" ref="K201:K206" si="48">J201/(1+L201)</f>
        <v>2.7027027027027026</v>
      </c>
      <c r="L201" s="569">
        <v>0.11</v>
      </c>
      <c r="M201" s="614">
        <f t="shared" si="46"/>
        <v>0</v>
      </c>
      <c r="N201" s="599">
        <f t="shared" ref="N201:N206" si="49">M201*L201</f>
        <v>0</v>
      </c>
      <c r="O201" s="599">
        <f t="shared" ref="O201:O206" si="50">M201+N201</f>
        <v>0</v>
      </c>
      <c r="P201" s="614" t="e">
        <f t="shared" si="47"/>
        <v>#DIV/0!</v>
      </c>
      <c r="Q201" s="718">
        <f>M201</f>
        <v>0</v>
      </c>
      <c r="R201" s="718"/>
    </row>
    <row r="202" spans="1:18" ht="26.25" customHeight="1" outlineLevel="3">
      <c r="A202" s="600"/>
      <c r="B202" s="603" t="s">
        <v>1416</v>
      </c>
      <c r="C202" s="615"/>
      <c r="D202" s="720" t="s">
        <v>579</v>
      </c>
      <c r="E202" s="665" t="s">
        <v>1415</v>
      </c>
      <c r="F202" s="665" t="s">
        <v>1399</v>
      </c>
      <c r="G202" s="567">
        <v>1</v>
      </c>
      <c r="H202" s="685" t="s">
        <v>1248</v>
      </c>
      <c r="I202" s="681">
        <f>$D$3*(1+$Q$3)</f>
        <v>0</v>
      </c>
      <c r="J202" s="686">
        <v>2</v>
      </c>
      <c r="K202" s="619">
        <f t="shared" si="48"/>
        <v>1.8018018018018016</v>
      </c>
      <c r="L202" s="569">
        <v>0.11</v>
      </c>
      <c r="M202" s="614">
        <f t="shared" si="46"/>
        <v>0</v>
      </c>
      <c r="N202" s="599">
        <f t="shared" si="49"/>
        <v>0</v>
      </c>
      <c r="O202" s="599">
        <f t="shared" si="50"/>
        <v>0</v>
      </c>
      <c r="P202" s="614" t="e">
        <f t="shared" si="47"/>
        <v>#DIV/0!</v>
      </c>
      <c r="Q202" s="718">
        <f t="shared" si="39"/>
        <v>0</v>
      </c>
      <c r="R202" s="718"/>
    </row>
    <row r="203" spans="1:18" ht="26.25" customHeight="1" outlineLevel="3">
      <c r="A203" s="600"/>
      <c r="B203" s="603" t="s">
        <v>1417</v>
      </c>
      <c r="C203" s="615" t="s">
        <v>39</v>
      </c>
      <c r="D203" s="635" t="s">
        <v>1418</v>
      </c>
      <c r="E203" s="665" t="s">
        <v>1228</v>
      </c>
      <c r="F203" s="665" t="s">
        <v>1399</v>
      </c>
      <c r="G203" s="567">
        <v>1</v>
      </c>
      <c r="H203" s="685" t="s">
        <v>1248</v>
      </c>
      <c r="I203" s="681">
        <f>$D$3*(1+$Q$3)</f>
        <v>0</v>
      </c>
      <c r="J203" s="682">
        <v>5</v>
      </c>
      <c r="K203" s="619">
        <f t="shared" si="48"/>
        <v>4.5045045045045038</v>
      </c>
      <c r="L203" s="569">
        <v>0.11</v>
      </c>
      <c r="M203" s="614">
        <f t="shared" si="46"/>
        <v>0</v>
      </c>
      <c r="N203" s="599">
        <f t="shared" si="49"/>
        <v>0</v>
      </c>
      <c r="O203" s="599">
        <f t="shared" si="50"/>
        <v>0</v>
      </c>
      <c r="P203" s="614" t="e">
        <f t="shared" si="47"/>
        <v>#DIV/0!</v>
      </c>
      <c r="Q203" s="718">
        <f t="shared" si="39"/>
        <v>0</v>
      </c>
      <c r="R203" s="718"/>
    </row>
    <row r="204" spans="1:18" ht="26.25" customHeight="1" outlineLevel="3">
      <c r="A204" s="600"/>
      <c r="B204" s="603" t="s">
        <v>1419</v>
      </c>
      <c r="C204" s="615" t="s">
        <v>39</v>
      </c>
      <c r="D204" s="635" t="s">
        <v>1420</v>
      </c>
      <c r="E204" s="665" t="s">
        <v>462</v>
      </c>
      <c r="F204" s="665" t="s">
        <v>1399</v>
      </c>
      <c r="G204" s="567">
        <v>1</v>
      </c>
      <c r="H204" s="685" t="s">
        <v>1248</v>
      </c>
      <c r="I204" s="681">
        <f>$D$3*(1+$Q$3)</f>
        <v>0</v>
      </c>
      <c r="J204" s="682">
        <v>3</v>
      </c>
      <c r="K204" s="619">
        <f t="shared" si="48"/>
        <v>2.7027027027027026</v>
      </c>
      <c r="L204" s="569">
        <v>0.11</v>
      </c>
      <c r="M204" s="614">
        <f t="shared" si="46"/>
        <v>0</v>
      </c>
      <c r="N204" s="599">
        <f t="shared" si="49"/>
        <v>0</v>
      </c>
      <c r="O204" s="599">
        <f t="shared" si="50"/>
        <v>0</v>
      </c>
      <c r="P204" s="614" t="e">
        <f t="shared" si="47"/>
        <v>#DIV/0!</v>
      </c>
      <c r="Q204" s="718">
        <f>M204</f>
        <v>0</v>
      </c>
      <c r="R204" s="718"/>
    </row>
    <row r="205" spans="1:18" ht="26.25" customHeight="1" outlineLevel="3">
      <c r="A205" s="600"/>
      <c r="B205" s="603" t="s">
        <v>1421</v>
      </c>
      <c r="C205" s="615" t="s">
        <v>39</v>
      </c>
      <c r="D205" s="635" t="s">
        <v>1422</v>
      </c>
      <c r="E205" s="680" t="s">
        <v>464</v>
      </c>
      <c r="F205" s="665" t="s">
        <v>1399</v>
      </c>
      <c r="G205" s="567">
        <v>1</v>
      </c>
      <c r="H205" s="685" t="s">
        <v>1248</v>
      </c>
      <c r="I205" s="681">
        <f>$D$3*(1+$Q$3)</f>
        <v>0</v>
      </c>
      <c r="J205" s="682">
        <v>3</v>
      </c>
      <c r="K205" s="619">
        <f t="shared" si="48"/>
        <v>2.7027027027027026</v>
      </c>
      <c r="L205" s="569">
        <v>0.11</v>
      </c>
      <c r="M205" s="614">
        <f t="shared" si="46"/>
        <v>0</v>
      </c>
      <c r="N205" s="599">
        <f t="shared" si="49"/>
        <v>0</v>
      </c>
      <c r="O205" s="599">
        <f t="shared" si="50"/>
        <v>0</v>
      </c>
      <c r="P205" s="614" t="e">
        <f t="shared" si="47"/>
        <v>#DIV/0!</v>
      </c>
      <c r="Q205" s="718">
        <f t="shared" si="39"/>
        <v>0</v>
      </c>
      <c r="R205" s="718"/>
    </row>
    <row r="206" spans="1:18" s="600" customFormat="1" ht="26.25" customHeight="1" outlineLevel="2">
      <c r="B206" s="603" t="s">
        <v>1423</v>
      </c>
      <c r="C206" s="624" t="s">
        <v>72</v>
      </c>
      <c r="D206" s="635" t="s">
        <v>1424</v>
      </c>
      <c r="E206" s="680"/>
      <c r="F206" s="648"/>
      <c r="G206" s="567">
        <v>1</v>
      </c>
      <c r="H206" s="685"/>
      <c r="I206" s="681">
        <f>F3</f>
        <v>0</v>
      </c>
      <c r="J206" s="682"/>
      <c r="K206" s="619">
        <f t="shared" si="48"/>
        <v>0</v>
      </c>
      <c r="L206" s="569">
        <v>0.11</v>
      </c>
      <c r="M206" s="614">
        <f>K206*I206*G206/10000</f>
        <v>0</v>
      </c>
      <c r="N206" s="599">
        <f t="shared" si="49"/>
        <v>0</v>
      </c>
      <c r="O206" s="599">
        <f t="shared" si="50"/>
        <v>0</v>
      </c>
      <c r="P206" s="614" t="e">
        <f t="shared" si="47"/>
        <v>#DIV/0!</v>
      </c>
      <c r="Q206" s="718">
        <f t="shared" si="39"/>
        <v>0</v>
      </c>
      <c r="R206" s="718"/>
    </row>
    <row r="207" spans="1:18" ht="24" customHeight="1" outlineLevel="1">
      <c r="A207" s="600"/>
      <c r="B207" s="601" t="s">
        <v>1425</v>
      </c>
      <c r="C207" s="585">
        <v>4</v>
      </c>
      <c r="D207" s="691" t="s">
        <v>1426</v>
      </c>
      <c r="E207" s="677"/>
      <c r="F207" s="491"/>
      <c r="G207" s="493"/>
      <c r="H207" s="491"/>
      <c r="I207" s="721"/>
      <c r="J207" s="722"/>
      <c r="K207" s="722"/>
      <c r="L207" s="340"/>
      <c r="M207" s="713">
        <f>SUBTOTAL(9,M208:M226)</f>
        <v>0</v>
      </c>
      <c r="N207" s="713">
        <f>SUBTOTAL(9,N208:N226)</f>
        <v>0</v>
      </c>
      <c r="O207" s="713">
        <f>SUBTOTAL(9,O208:O226)</f>
        <v>0</v>
      </c>
      <c r="P207" s="589" t="e">
        <f>IF(O207="","",O207*10000/F$3)</f>
        <v>#DIV/0!</v>
      </c>
      <c r="Q207" s="713">
        <f>M207</f>
        <v>0</v>
      </c>
      <c r="R207" s="713"/>
    </row>
    <row r="208" spans="1:18" ht="24" customHeight="1" outlineLevel="2">
      <c r="A208" s="600"/>
      <c r="B208" s="603" t="s">
        <v>1427</v>
      </c>
      <c r="C208" s="604" t="s">
        <v>1096</v>
      </c>
      <c r="D208" s="635" t="s">
        <v>1428</v>
      </c>
      <c r="E208" s="680"/>
      <c r="F208" s="607"/>
      <c r="G208" s="624"/>
      <c r="H208" s="685"/>
      <c r="I208" s="624"/>
      <c r="J208" s="686"/>
      <c r="K208" s="686"/>
      <c r="L208" s="569"/>
      <c r="M208" s="613">
        <f>SUBTOTAL(9,M209:M213)</f>
        <v>0</v>
      </c>
      <c r="N208" s="613">
        <f>SUBTOTAL(9,N209:N213)</f>
        <v>0</v>
      </c>
      <c r="O208" s="613">
        <f>SUBTOTAL(9,O209:O213)</f>
        <v>0</v>
      </c>
      <c r="P208" s="614" t="e">
        <f>IF(O208="","",O208*10000/F$3)</f>
        <v>#DIV/0!</v>
      </c>
      <c r="Q208" s="669">
        <f t="shared" si="39"/>
        <v>0</v>
      </c>
      <c r="R208" s="669"/>
    </row>
    <row r="209" spans="1:18" ht="24" customHeight="1" outlineLevel="3">
      <c r="A209" s="600"/>
      <c r="B209" s="603" t="s">
        <v>1429</v>
      </c>
      <c r="C209" s="615" t="s">
        <v>39</v>
      </c>
      <c r="D209" s="635" t="s">
        <v>1430</v>
      </c>
      <c r="E209" s="714" t="s">
        <v>1431</v>
      </c>
      <c r="F209" s="665"/>
      <c r="G209" s="567">
        <v>1</v>
      </c>
      <c r="H209" s="685" t="s">
        <v>1248</v>
      </c>
      <c r="I209" s="685">
        <v>2000</v>
      </c>
      <c r="J209" s="686"/>
      <c r="K209" s="619">
        <f>J209/(1+L209)</f>
        <v>0</v>
      </c>
      <c r="L209" s="569">
        <v>0.11</v>
      </c>
      <c r="M209" s="614">
        <f t="shared" ref="M209:M230" si="51">K209*I209*G209/10000</f>
        <v>0</v>
      </c>
      <c r="N209" s="599">
        <f>M209*L209</f>
        <v>0</v>
      </c>
      <c r="O209" s="599">
        <f>M209+N209</f>
        <v>0</v>
      </c>
      <c r="P209" s="614" t="e">
        <f t="shared" ref="P209:P225" si="52">IF(O209="","",O209*10000/F$3)</f>
        <v>#DIV/0!</v>
      </c>
      <c r="Q209" s="718">
        <f t="shared" si="39"/>
        <v>0</v>
      </c>
      <c r="R209" s="718"/>
    </row>
    <row r="210" spans="1:18" ht="24" customHeight="1" outlineLevel="3">
      <c r="A210" s="600"/>
      <c r="B210" s="603" t="s">
        <v>641</v>
      </c>
      <c r="C210" s="615" t="s">
        <v>39</v>
      </c>
      <c r="D210" s="635" t="s">
        <v>1432</v>
      </c>
      <c r="E210" s="714" t="s">
        <v>1431</v>
      </c>
      <c r="F210" s="648"/>
      <c r="G210" s="567">
        <v>1</v>
      </c>
      <c r="H210" s="685" t="s">
        <v>1248</v>
      </c>
      <c r="I210" s="685">
        <v>2000</v>
      </c>
      <c r="J210" s="686"/>
      <c r="K210" s="619">
        <f>J210/(1+L210)</f>
        <v>0</v>
      </c>
      <c r="L210" s="569">
        <v>0.06</v>
      </c>
      <c r="M210" s="614">
        <f t="shared" si="51"/>
        <v>0</v>
      </c>
      <c r="N210" s="599">
        <f>M210*L210</f>
        <v>0</v>
      </c>
      <c r="O210" s="599">
        <f>M210+N210</f>
        <v>0</v>
      </c>
      <c r="P210" s="614" t="e">
        <f t="shared" si="52"/>
        <v>#DIV/0!</v>
      </c>
      <c r="Q210" s="718">
        <f t="shared" si="39"/>
        <v>0</v>
      </c>
      <c r="R210" s="718"/>
    </row>
    <row r="211" spans="1:18" ht="24" customHeight="1" outlineLevel="3">
      <c r="A211" s="600"/>
      <c r="B211" s="603" t="s">
        <v>642</v>
      </c>
      <c r="C211" s="615" t="s">
        <v>39</v>
      </c>
      <c r="D211" s="635" t="s">
        <v>1433</v>
      </c>
      <c r="E211" s="714" t="s">
        <v>1431</v>
      </c>
      <c r="F211" s="648"/>
      <c r="G211" s="567">
        <v>1</v>
      </c>
      <c r="H211" s="685" t="s">
        <v>1248</v>
      </c>
      <c r="I211" s="685">
        <v>1500</v>
      </c>
      <c r="J211" s="686"/>
      <c r="K211" s="619">
        <f>J211/(1+L211)</f>
        <v>0</v>
      </c>
      <c r="L211" s="569">
        <v>0.11</v>
      </c>
      <c r="M211" s="614">
        <f t="shared" si="51"/>
        <v>0</v>
      </c>
      <c r="N211" s="599">
        <f>M211*L211</f>
        <v>0</v>
      </c>
      <c r="O211" s="599">
        <f>M211+N211</f>
        <v>0</v>
      </c>
      <c r="P211" s="614" t="e">
        <f t="shared" si="52"/>
        <v>#DIV/0!</v>
      </c>
      <c r="Q211" s="718">
        <f t="shared" si="39"/>
        <v>0</v>
      </c>
      <c r="R211" s="718"/>
    </row>
    <row r="212" spans="1:18" ht="24" customHeight="1" outlineLevel="3">
      <c r="A212" s="600"/>
      <c r="B212" s="603" t="s">
        <v>643</v>
      </c>
      <c r="C212" s="615" t="s">
        <v>39</v>
      </c>
      <c r="D212" s="635" t="s">
        <v>1434</v>
      </c>
      <c r="E212" s="714" t="s">
        <v>1431</v>
      </c>
      <c r="F212" s="648"/>
      <c r="G212" s="567">
        <v>1</v>
      </c>
      <c r="H212" s="685" t="s">
        <v>1248</v>
      </c>
      <c r="I212" s="685">
        <v>1500</v>
      </c>
      <c r="J212" s="686"/>
      <c r="K212" s="619">
        <f>J212/(1+L212)</f>
        <v>0</v>
      </c>
      <c r="L212" s="569">
        <v>0.11</v>
      </c>
      <c r="M212" s="614">
        <f t="shared" si="51"/>
        <v>0</v>
      </c>
      <c r="N212" s="599">
        <f>M212*L212</f>
        <v>0</v>
      </c>
      <c r="O212" s="599">
        <f>M212+N212</f>
        <v>0</v>
      </c>
      <c r="P212" s="614" t="e">
        <f t="shared" si="52"/>
        <v>#DIV/0!</v>
      </c>
      <c r="Q212" s="718">
        <f t="shared" si="39"/>
        <v>0</v>
      </c>
      <c r="R212" s="718"/>
    </row>
    <row r="213" spans="1:18" ht="24" customHeight="1" outlineLevel="3">
      <c r="A213" s="600"/>
      <c r="B213" s="603" t="s">
        <v>644</v>
      </c>
      <c r="C213" s="615" t="s">
        <v>39</v>
      </c>
      <c r="D213" s="635" t="s">
        <v>1435</v>
      </c>
      <c r="E213" s="680"/>
      <c r="F213" s="648"/>
      <c r="G213" s="672"/>
      <c r="H213" s="624"/>
      <c r="I213" s="681"/>
      <c r="J213" s="682"/>
      <c r="K213" s="682"/>
      <c r="L213" s="569"/>
      <c r="M213" s="614">
        <f t="shared" si="51"/>
        <v>0</v>
      </c>
      <c r="N213" s="599">
        <f>M213*L213</f>
        <v>0</v>
      </c>
      <c r="O213" s="599">
        <f>M213+N213</f>
        <v>0</v>
      </c>
      <c r="P213" s="614" t="e">
        <f t="shared" si="52"/>
        <v>#DIV/0!</v>
      </c>
      <c r="Q213" s="718">
        <f t="shared" si="39"/>
        <v>0</v>
      </c>
      <c r="R213" s="718"/>
    </row>
    <row r="214" spans="1:18" ht="24" customHeight="1" outlineLevel="2">
      <c r="A214" s="600"/>
      <c r="B214" s="603" t="s">
        <v>1436</v>
      </c>
      <c r="C214" s="615" t="s">
        <v>68</v>
      </c>
      <c r="D214" s="635" t="s">
        <v>1437</v>
      </c>
      <c r="E214" s="680"/>
      <c r="F214" s="648"/>
      <c r="G214" s="672"/>
      <c r="H214" s="685"/>
      <c r="I214" s="681"/>
      <c r="J214" s="682"/>
      <c r="K214" s="682"/>
      <c r="L214" s="569"/>
      <c r="M214" s="613">
        <f>SUBTOTAL(9,M215:M219)</f>
        <v>0</v>
      </c>
      <c r="N214" s="613">
        <f>SUBTOTAL(9,N215:N219)</f>
        <v>0</v>
      </c>
      <c r="O214" s="613">
        <f>SUBTOTAL(9,O215:O219)</f>
        <v>0</v>
      </c>
      <c r="P214" s="614" t="e">
        <f t="shared" si="52"/>
        <v>#DIV/0!</v>
      </c>
      <c r="Q214" s="718">
        <f t="shared" si="39"/>
        <v>0</v>
      </c>
      <c r="R214" s="718"/>
    </row>
    <row r="215" spans="1:18" ht="24" customHeight="1" outlineLevel="3">
      <c r="A215" s="600"/>
      <c r="B215" s="603" t="s">
        <v>1438</v>
      </c>
      <c r="C215" s="604" t="s">
        <v>39</v>
      </c>
      <c r="D215" s="635" t="s">
        <v>1439</v>
      </c>
      <c r="E215" s="680"/>
      <c r="F215" s="648"/>
      <c r="G215" s="624">
        <v>1</v>
      </c>
      <c r="H215" s="685"/>
      <c r="I215" s="624">
        <v>2000</v>
      </c>
      <c r="J215" s="686"/>
      <c r="K215" s="619">
        <f>J215/(1+L215)</f>
        <v>0</v>
      </c>
      <c r="L215" s="569">
        <v>0.11</v>
      </c>
      <c r="M215" s="614">
        <f t="shared" si="51"/>
        <v>0</v>
      </c>
      <c r="N215" s="599">
        <f>M215*L215</f>
        <v>0</v>
      </c>
      <c r="O215" s="599">
        <f>M215+N215</f>
        <v>0</v>
      </c>
      <c r="P215" s="614" t="e">
        <f t="shared" si="52"/>
        <v>#DIV/0!</v>
      </c>
      <c r="Q215" s="718">
        <f t="shared" si="39"/>
        <v>0</v>
      </c>
      <c r="R215" s="718"/>
    </row>
    <row r="216" spans="1:18" ht="24" customHeight="1" outlineLevel="3">
      <c r="A216" s="600"/>
      <c r="B216" s="603" t="s">
        <v>645</v>
      </c>
      <c r="C216" s="615" t="s">
        <v>39</v>
      </c>
      <c r="D216" s="635" t="s">
        <v>1440</v>
      </c>
      <c r="E216" s="680"/>
      <c r="F216" s="648"/>
      <c r="G216" s="672"/>
      <c r="H216" s="624"/>
      <c r="I216" s="681"/>
      <c r="J216" s="682"/>
      <c r="K216" s="682"/>
      <c r="L216" s="569"/>
      <c r="M216" s="614">
        <f t="shared" si="51"/>
        <v>0</v>
      </c>
      <c r="N216" s="599">
        <f>M216*L216</f>
        <v>0</v>
      </c>
      <c r="O216" s="599">
        <f>M216+N216</f>
        <v>0</v>
      </c>
      <c r="P216" s="614" t="e">
        <f t="shared" si="52"/>
        <v>#DIV/0!</v>
      </c>
      <c r="Q216" s="718">
        <f t="shared" si="39"/>
        <v>0</v>
      </c>
      <c r="R216" s="718"/>
    </row>
    <row r="217" spans="1:18" ht="24" customHeight="1" outlineLevel="3">
      <c r="A217" s="600"/>
      <c r="B217" s="603" t="s">
        <v>646</v>
      </c>
      <c r="C217" s="615" t="s">
        <v>39</v>
      </c>
      <c r="D217" s="635" t="s">
        <v>1441</v>
      </c>
      <c r="E217" s="680"/>
      <c r="F217" s="624"/>
      <c r="G217" s="624">
        <v>1</v>
      </c>
      <c r="H217" s="685"/>
      <c r="I217" s="624">
        <v>2000</v>
      </c>
      <c r="J217" s="686"/>
      <c r="K217" s="619">
        <f>J217/(1+L217)</f>
        <v>0</v>
      </c>
      <c r="L217" s="569">
        <v>0.11</v>
      </c>
      <c r="M217" s="614">
        <f t="shared" si="51"/>
        <v>0</v>
      </c>
      <c r="N217" s="599">
        <f>M217*L217</f>
        <v>0</v>
      </c>
      <c r="O217" s="599">
        <f>M217+N217</f>
        <v>0</v>
      </c>
      <c r="P217" s="614" t="e">
        <f t="shared" si="52"/>
        <v>#DIV/0!</v>
      </c>
      <c r="Q217" s="718">
        <f t="shared" si="39"/>
        <v>0</v>
      </c>
      <c r="R217" s="718"/>
    </row>
    <row r="218" spans="1:18" ht="24" customHeight="1" outlineLevel="3">
      <c r="A218" s="600"/>
      <c r="B218" s="603" t="s">
        <v>647</v>
      </c>
      <c r="C218" s="615" t="s">
        <v>39</v>
      </c>
      <c r="D218" s="635" t="s">
        <v>1442</v>
      </c>
      <c r="E218" s="680"/>
      <c r="F218" s="624"/>
      <c r="G218" s="624">
        <v>1</v>
      </c>
      <c r="H218" s="685"/>
      <c r="I218" s="624">
        <v>2000</v>
      </c>
      <c r="J218" s="686"/>
      <c r="K218" s="619">
        <f>J218/(1+L218)</f>
        <v>0</v>
      </c>
      <c r="L218" s="569">
        <v>0.11</v>
      </c>
      <c r="M218" s="614">
        <f t="shared" si="51"/>
        <v>0</v>
      </c>
      <c r="N218" s="599">
        <f>M218*L218</f>
        <v>0</v>
      </c>
      <c r="O218" s="599">
        <f>M218+N218</f>
        <v>0</v>
      </c>
      <c r="P218" s="614" t="e">
        <f t="shared" si="52"/>
        <v>#DIV/0!</v>
      </c>
      <c r="Q218" s="718">
        <f t="shared" si="39"/>
        <v>0</v>
      </c>
      <c r="R218" s="718"/>
    </row>
    <row r="219" spans="1:18" ht="24" customHeight="1" outlineLevel="3">
      <c r="A219" s="600"/>
      <c r="B219" s="603" t="s">
        <v>648</v>
      </c>
      <c r="C219" s="615" t="s">
        <v>39</v>
      </c>
      <c r="D219" s="635" t="s">
        <v>1443</v>
      </c>
      <c r="E219" s="680"/>
      <c r="F219" s="624"/>
      <c r="G219" s="672"/>
      <c r="H219" s="624"/>
      <c r="I219" s="681"/>
      <c r="J219" s="682"/>
      <c r="K219" s="682"/>
      <c r="L219" s="569"/>
      <c r="M219" s="614">
        <f t="shared" si="51"/>
        <v>0</v>
      </c>
      <c r="N219" s="599">
        <f>M219*L219</f>
        <v>0</v>
      </c>
      <c r="O219" s="599">
        <f>M219+N219</f>
        <v>0</v>
      </c>
      <c r="P219" s="614" t="e">
        <f t="shared" si="52"/>
        <v>#DIV/0!</v>
      </c>
      <c r="Q219" s="718">
        <f t="shared" si="39"/>
        <v>0</v>
      </c>
      <c r="R219" s="718"/>
    </row>
    <row r="220" spans="1:18" ht="24" customHeight="1" outlineLevel="2">
      <c r="A220" s="600"/>
      <c r="B220" s="603" t="s">
        <v>1444</v>
      </c>
      <c r="C220" s="615" t="s">
        <v>69</v>
      </c>
      <c r="D220" s="635" t="s">
        <v>1445</v>
      </c>
      <c r="E220" s="714"/>
      <c r="F220" s="624"/>
      <c r="G220" s="672"/>
      <c r="H220" s="685"/>
      <c r="I220" s="681"/>
      <c r="J220" s="682"/>
      <c r="K220" s="682"/>
      <c r="L220" s="569"/>
      <c r="M220" s="613">
        <f>SUBTOTAL(9,M221:M223)</f>
        <v>0</v>
      </c>
      <c r="N220" s="613">
        <f>SUBTOTAL(9,N221:N223)</f>
        <v>0</v>
      </c>
      <c r="O220" s="613">
        <f>SUBTOTAL(9,O221:O223)</f>
        <v>0</v>
      </c>
      <c r="P220" s="614" t="e">
        <f t="shared" si="52"/>
        <v>#DIV/0!</v>
      </c>
      <c r="Q220" s="718">
        <f t="shared" si="39"/>
        <v>0</v>
      </c>
      <c r="R220" s="718"/>
    </row>
    <row r="221" spans="1:18" ht="24" customHeight="1" outlineLevel="3">
      <c r="A221" s="600"/>
      <c r="B221" s="603" t="s">
        <v>1446</v>
      </c>
      <c r="C221" s="615" t="s">
        <v>39</v>
      </c>
      <c r="D221" s="635" t="s">
        <v>1447</v>
      </c>
      <c r="E221" s="714" t="s">
        <v>1431</v>
      </c>
      <c r="F221" s="624"/>
      <c r="G221" s="672">
        <v>1</v>
      </c>
      <c r="H221" s="624"/>
      <c r="I221" s="681">
        <v>4</v>
      </c>
      <c r="J221" s="682"/>
      <c r="K221" s="619">
        <f>J221/(1+L221)</f>
        <v>0</v>
      </c>
      <c r="L221" s="569">
        <v>0.17</v>
      </c>
      <c r="M221" s="614">
        <f t="shared" si="51"/>
        <v>0</v>
      </c>
      <c r="N221" s="599">
        <f>M221*L221</f>
        <v>0</v>
      </c>
      <c r="O221" s="599">
        <f>M221+N221</f>
        <v>0</v>
      </c>
      <c r="P221" s="614" t="e">
        <f t="shared" si="52"/>
        <v>#DIV/0!</v>
      </c>
      <c r="Q221" s="718">
        <f t="shared" si="39"/>
        <v>0</v>
      </c>
      <c r="R221" s="718"/>
    </row>
    <row r="222" spans="1:18" ht="24" customHeight="1" outlineLevel="3">
      <c r="A222" s="600"/>
      <c r="B222" s="603" t="s">
        <v>1448</v>
      </c>
      <c r="C222" s="604" t="s">
        <v>39</v>
      </c>
      <c r="D222" s="635" t="s">
        <v>1449</v>
      </c>
      <c r="E222" s="714" t="s">
        <v>1431</v>
      </c>
      <c r="F222" s="607"/>
      <c r="G222" s="624">
        <v>1</v>
      </c>
      <c r="H222" s="685"/>
      <c r="I222" s="624">
        <v>1000</v>
      </c>
      <c r="J222" s="686"/>
      <c r="K222" s="619">
        <f>J222/(1+L222)</f>
        <v>0</v>
      </c>
      <c r="L222" s="569">
        <v>0.11</v>
      </c>
      <c r="M222" s="614">
        <f t="shared" si="51"/>
        <v>0</v>
      </c>
      <c r="N222" s="599">
        <f>M222*L222</f>
        <v>0</v>
      </c>
      <c r="O222" s="599">
        <f>M222+N222</f>
        <v>0</v>
      </c>
      <c r="P222" s="614" t="e">
        <f t="shared" si="52"/>
        <v>#DIV/0!</v>
      </c>
      <c r="Q222" s="669">
        <f t="shared" si="39"/>
        <v>0</v>
      </c>
      <c r="R222" s="669"/>
    </row>
    <row r="223" spans="1:18" ht="24" customHeight="1" outlineLevel="3">
      <c r="A223" s="600"/>
      <c r="B223" s="603" t="s">
        <v>1450</v>
      </c>
      <c r="C223" s="615" t="s">
        <v>39</v>
      </c>
      <c r="D223" s="635" t="s">
        <v>1451</v>
      </c>
      <c r="E223" s="714" t="s">
        <v>1431</v>
      </c>
      <c r="F223" s="723"/>
      <c r="G223" s="614">
        <v>1</v>
      </c>
      <c r="H223" s="723"/>
      <c r="I223" s="624">
        <v>1000</v>
      </c>
      <c r="J223" s="634"/>
      <c r="K223" s="619">
        <f>J223/(1+L223)</f>
        <v>0</v>
      </c>
      <c r="L223" s="569">
        <v>0.11</v>
      </c>
      <c r="M223" s="614">
        <f t="shared" si="51"/>
        <v>0</v>
      </c>
      <c r="N223" s="599">
        <f>M223*L223</f>
        <v>0</v>
      </c>
      <c r="O223" s="599">
        <f>M223+N223</f>
        <v>0</v>
      </c>
      <c r="P223" s="614" t="e">
        <f t="shared" si="52"/>
        <v>#DIV/0!</v>
      </c>
      <c r="Q223" s="718">
        <f t="shared" si="39"/>
        <v>0</v>
      </c>
      <c r="R223" s="718"/>
    </row>
    <row r="224" spans="1:18" ht="24" customHeight="1" outlineLevel="2">
      <c r="A224" s="600"/>
      <c r="B224" s="603" t="s">
        <v>1452</v>
      </c>
      <c r="C224" s="615" t="s">
        <v>70</v>
      </c>
      <c r="D224" s="635" t="s">
        <v>1453</v>
      </c>
      <c r="E224" s="714"/>
      <c r="F224" s="723"/>
      <c r="G224" s="614"/>
      <c r="H224" s="685"/>
      <c r="I224" s="723"/>
      <c r="J224" s="634"/>
      <c r="K224" s="634"/>
      <c r="L224" s="569"/>
      <c r="M224" s="613">
        <f>SUBTOTAL(9,M225:M226)</f>
        <v>0</v>
      </c>
      <c r="N224" s="613">
        <f>SUBTOTAL(9,N225:N226)</f>
        <v>0</v>
      </c>
      <c r="O224" s="613">
        <f>SUBTOTAL(9,O225:O226)</f>
        <v>0</v>
      </c>
      <c r="P224" s="614" t="e">
        <f t="shared" si="52"/>
        <v>#DIV/0!</v>
      </c>
      <c r="Q224" s="718">
        <f t="shared" si="39"/>
        <v>0</v>
      </c>
      <c r="R224" s="718"/>
    </row>
    <row r="225" spans="1:18" ht="24" customHeight="1" outlineLevel="3">
      <c r="A225" s="600"/>
      <c r="B225" s="603" t="s">
        <v>1454</v>
      </c>
      <c r="C225" s="604" t="s">
        <v>39</v>
      </c>
      <c r="D225" s="635" t="s">
        <v>1455</v>
      </c>
      <c r="E225" s="714" t="s">
        <v>1431</v>
      </c>
      <c r="F225" s="648"/>
      <c r="G225" s="624">
        <v>1</v>
      </c>
      <c r="H225" s="685"/>
      <c r="I225" s="624">
        <v>1000</v>
      </c>
      <c r="J225" s="686"/>
      <c r="K225" s="619">
        <f>J225/(1+L225)</f>
        <v>0</v>
      </c>
      <c r="L225" s="569">
        <v>0.11</v>
      </c>
      <c r="M225" s="614">
        <f>K225*I225*G225/10000</f>
        <v>0</v>
      </c>
      <c r="N225" s="599">
        <f>M225*L225</f>
        <v>0</v>
      </c>
      <c r="O225" s="599">
        <f>M225+N225</f>
        <v>0</v>
      </c>
      <c r="P225" s="614" t="e">
        <f t="shared" si="52"/>
        <v>#DIV/0!</v>
      </c>
      <c r="Q225" s="718">
        <f t="shared" si="39"/>
        <v>0</v>
      </c>
      <c r="R225" s="718"/>
    </row>
    <row r="226" spans="1:18" ht="24" customHeight="1" outlineLevel="3">
      <c r="A226" s="600"/>
      <c r="B226" s="603" t="s">
        <v>1456</v>
      </c>
      <c r="C226" s="615" t="s">
        <v>39</v>
      </c>
      <c r="D226" s="635" t="s">
        <v>1457</v>
      </c>
      <c r="E226" s="714" t="s">
        <v>1431</v>
      </c>
      <c r="F226" s="648"/>
      <c r="G226" s="672">
        <v>1</v>
      </c>
      <c r="H226" s="624"/>
      <c r="I226" s="681">
        <v>1000</v>
      </c>
      <c r="J226" s="682"/>
      <c r="K226" s="619">
        <f>J226/(1+L226)</f>
        <v>0</v>
      </c>
      <c r="L226" s="569">
        <v>0.03</v>
      </c>
      <c r="M226" s="614">
        <f t="shared" si="51"/>
        <v>0</v>
      </c>
      <c r="N226" s="599">
        <f>M226*L226</f>
        <v>0</v>
      </c>
      <c r="O226" s="599">
        <f>M226+N226</f>
        <v>0</v>
      </c>
      <c r="P226" s="614" t="e">
        <f t="shared" ref="P226:P234" si="53">IF(O226="","",O226*10000/F$3)</f>
        <v>#DIV/0!</v>
      </c>
      <c r="Q226" s="718">
        <f t="shared" si="39"/>
        <v>0</v>
      </c>
      <c r="R226" s="718"/>
    </row>
    <row r="227" spans="1:18" ht="24" customHeight="1" outlineLevel="1">
      <c r="A227" s="600"/>
      <c r="B227" s="601" t="s">
        <v>1458</v>
      </c>
      <c r="C227" s="585">
        <v>5</v>
      </c>
      <c r="D227" s="691" t="s">
        <v>1459</v>
      </c>
      <c r="E227" s="677" t="s">
        <v>1460</v>
      </c>
      <c r="F227" s="491"/>
      <c r="G227" s="716">
        <v>1</v>
      </c>
      <c r="H227" s="716" t="s">
        <v>143</v>
      </c>
      <c r="I227" s="721">
        <f>D3</f>
        <v>0</v>
      </c>
      <c r="J227" s="722">
        <v>8</v>
      </c>
      <c r="K227" s="722">
        <f>J227/(1+L227)</f>
        <v>7.5471698113207539</v>
      </c>
      <c r="L227" s="340">
        <v>0.06</v>
      </c>
      <c r="M227" s="679">
        <f t="shared" si="51"/>
        <v>0</v>
      </c>
      <c r="N227" s="679">
        <f>M227*L227</f>
        <v>0</v>
      </c>
      <c r="O227" s="679">
        <f>M227+N227</f>
        <v>0</v>
      </c>
      <c r="P227" s="589" t="e">
        <f t="shared" si="53"/>
        <v>#DIV/0!</v>
      </c>
      <c r="Q227" s="589">
        <f>M227</f>
        <v>0</v>
      </c>
      <c r="R227" s="589"/>
    </row>
    <row r="228" spans="1:18" ht="24" customHeight="1" outlineLevel="1">
      <c r="A228" s="600"/>
      <c r="B228" s="601" t="s">
        <v>1461</v>
      </c>
      <c r="C228" s="585">
        <v>6</v>
      </c>
      <c r="D228" s="691" t="s">
        <v>1462</v>
      </c>
      <c r="E228" s="677" t="s">
        <v>1462</v>
      </c>
      <c r="F228" s="491"/>
      <c r="G228" s="716"/>
      <c r="H228" s="716"/>
      <c r="I228" s="721"/>
      <c r="J228" s="722"/>
      <c r="K228" s="722"/>
      <c r="L228" s="340"/>
      <c r="M228" s="589">
        <f>SUBTOTAL(9,M229:M230)</f>
        <v>0</v>
      </c>
      <c r="N228" s="589">
        <f>SUBTOTAL(9,N229:N230)</f>
        <v>0</v>
      </c>
      <c r="O228" s="589">
        <f>SUBTOTAL(9,O229:O230)</f>
        <v>0</v>
      </c>
      <c r="P228" s="589" t="e">
        <f t="shared" si="53"/>
        <v>#DIV/0!</v>
      </c>
      <c r="Q228" s="713">
        <f>M228</f>
        <v>0</v>
      </c>
      <c r="R228" s="713"/>
    </row>
    <row r="229" spans="1:18" ht="24" customHeight="1" outlineLevel="2" collapsed="1">
      <c r="A229" s="600"/>
      <c r="B229" s="603" t="s">
        <v>1463</v>
      </c>
      <c r="C229" s="604" t="s">
        <v>1464</v>
      </c>
      <c r="D229" s="697" t="s">
        <v>1465</v>
      </c>
      <c r="E229" s="724"/>
      <c r="F229" s="607"/>
      <c r="G229" s="567"/>
      <c r="H229" s="685"/>
      <c r="I229" s="685"/>
      <c r="J229" s="686"/>
      <c r="K229" s="619">
        <f>J229/(1+L229)</f>
        <v>0</v>
      </c>
      <c r="L229" s="569">
        <v>0.06</v>
      </c>
      <c r="M229" s="614">
        <f t="shared" si="51"/>
        <v>0</v>
      </c>
      <c r="N229" s="614"/>
      <c r="O229" s="614"/>
      <c r="P229" s="614" t="str">
        <f t="shared" si="53"/>
        <v/>
      </c>
      <c r="Q229" s="669">
        <f>M229</f>
        <v>0</v>
      </c>
      <c r="R229" s="669"/>
    </row>
    <row r="230" spans="1:18" ht="24" customHeight="1" outlineLevel="2" collapsed="1">
      <c r="A230" s="600"/>
      <c r="B230" s="603" t="s">
        <v>1466</v>
      </c>
      <c r="C230" s="604" t="s">
        <v>1467</v>
      </c>
      <c r="D230" s="697" t="s">
        <v>1468</v>
      </c>
      <c r="E230" s="724"/>
      <c r="F230" s="607" t="s">
        <v>1222</v>
      </c>
      <c r="G230" s="567">
        <v>1</v>
      </c>
      <c r="H230" s="685" t="s">
        <v>1248</v>
      </c>
      <c r="I230" s="685">
        <f>D3</f>
        <v>0</v>
      </c>
      <c r="J230" s="686">
        <v>10</v>
      </c>
      <c r="K230" s="619">
        <f>J230/(1+L230)</f>
        <v>9.4339622641509422</v>
      </c>
      <c r="L230" s="569">
        <v>0.06</v>
      </c>
      <c r="M230" s="614">
        <f t="shared" si="51"/>
        <v>0</v>
      </c>
      <c r="N230" s="599">
        <f>M230*L230</f>
        <v>0</v>
      </c>
      <c r="O230" s="599">
        <f>M230+N230</f>
        <v>0</v>
      </c>
      <c r="P230" s="614" t="e">
        <f t="shared" si="53"/>
        <v>#DIV/0!</v>
      </c>
      <c r="Q230" s="669">
        <f>M230</f>
        <v>0</v>
      </c>
      <c r="R230" s="669"/>
    </row>
    <row r="231" spans="1:18" ht="24" customHeight="1">
      <c r="A231" s="600"/>
      <c r="B231" s="577" t="s">
        <v>1469</v>
      </c>
      <c r="C231" s="578" t="s">
        <v>1470</v>
      </c>
      <c r="D231" s="725" t="s">
        <v>1471</v>
      </c>
      <c r="E231" s="726"/>
      <c r="F231" s="727"/>
      <c r="G231" s="728"/>
      <c r="H231" s="728"/>
      <c r="I231" s="728"/>
      <c r="J231" s="728"/>
      <c r="K231" s="728"/>
      <c r="L231" s="580"/>
      <c r="M231" s="581"/>
      <c r="N231" s="729"/>
      <c r="O231" s="729"/>
      <c r="P231" s="730" t="str">
        <f t="shared" si="53"/>
        <v/>
      </c>
      <c r="Q231" s="730">
        <f>M231</f>
        <v>0</v>
      </c>
      <c r="R231" s="730"/>
    </row>
    <row r="232" spans="1:18" ht="24" customHeight="1" outlineLevel="1">
      <c r="A232" s="600"/>
      <c r="B232" s="731" t="s">
        <v>1472</v>
      </c>
      <c r="C232" s="732">
        <v>1</v>
      </c>
      <c r="D232" s="733" t="s">
        <v>1473</v>
      </c>
      <c r="E232" s="677"/>
      <c r="F232" s="491"/>
      <c r="G232" s="716"/>
      <c r="H232" s="716"/>
      <c r="I232" s="721"/>
      <c r="J232" s="722"/>
      <c r="K232" s="722"/>
      <c r="L232" s="340"/>
      <c r="M232" s="589"/>
      <c r="N232" s="589"/>
      <c r="O232" s="589"/>
      <c r="P232" s="589" t="str">
        <f t="shared" si="53"/>
        <v/>
      </c>
      <c r="Q232" s="713"/>
      <c r="R232" s="713"/>
    </row>
    <row r="233" spans="1:18" ht="24" customHeight="1" outlineLevel="1">
      <c r="A233" s="600"/>
      <c r="B233" s="731" t="s">
        <v>1474</v>
      </c>
      <c r="C233" s="732">
        <v>2</v>
      </c>
      <c r="D233" s="733" t="s">
        <v>1475</v>
      </c>
      <c r="E233" s="677"/>
      <c r="F233" s="491"/>
      <c r="G233" s="716"/>
      <c r="H233" s="716"/>
      <c r="I233" s="721"/>
      <c r="J233" s="722"/>
      <c r="K233" s="722"/>
      <c r="L233" s="340"/>
      <c r="M233" s="589"/>
      <c r="N233" s="589"/>
      <c r="O233" s="589"/>
      <c r="P233" s="589" t="str">
        <f t="shared" si="53"/>
        <v/>
      </c>
      <c r="Q233" s="713"/>
      <c r="R233" s="713"/>
    </row>
    <row r="234" spans="1:18" ht="24" customHeight="1" outlineLevel="1">
      <c r="A234" s="600"/>
      <c r="B234" s="731" t="s">
        <v>1476</v>
      </c>
      <c r="C234" s="732">
        <v>3</v>
      </c>
      <c r="D234" s="733" t="s">
        <v>1477</v>
      </c>
      <c r="E234" s="677"/>
      <c r="F234" s="491"/>
      <c r="G234" s="716"/>
      <c r="H234" s="716"/>
      <c r="I234" s="721"/>
      <c r="J234" s="722"/>
      <c r="K234" s="722"/>
      <c r="L234" s="340"/>
      <c r="M234" s="589"/>
      <c r="N234" s="589"/>
      <c r="O234" s="589"/>
      <c r="P234" s="589" t="str">
        <f t="shared" si="53"/>
        <v/>
      </c>
      <c r="Q234" s="713"/>
      <c r="R234" s="713"/>
    </row>
    <row r="235" spans="1:18" ht="24" customHeight="1">
      <c r="B235" s="734"/>
      <c r="C235" s="734"/>
      <c r="D235" s="735"/>
      <c r="F235" s="736"/>
      <c r="G235" s="737"/>
      <c r="H235" s="738"/>
      <c r="I235" s="739"/>
      <c r="J235" s="740" t="s">
        <v>1478</v>
      </c>
      <c r="K235" s="740"/>
      <c r="L235" s="740"/>
      <c r="M235" s="737">
        <f>M5+M72+M106+M127+M174+M231-M86-M90-M91-M92-M83</f>
        <v>0</v>
      </c>
      <c r="N235" s="737"/>
      <c r="O235" s="737">
        <f>O5+O72+O106+O127+O174+O231-O86-O90-O91-O92-O88</f>
        <v>0</v>
      </c>
      <c r="P235" s="741"/>
      <c r="Q235" s="741"/>
      <c r="R235" s="741"/>
    </row>
    <row r="236" spans="1:18" ht="24" customHeight="1">
      <c r="B236" s="742"/>
      <c r="C236" s="742"/>
      <c r="D236" s="743"/>
      <c r="F236" s="743"/>
      <c r="G236" s="744"/>
      <c r="H236" s="745"/>
      <c r="I236" s="746"/>
      <c r="J236" s="747"/>
      <c r="K236" s="747"/>
      <c r="L236" s="747"/>
    </row>
    <row r="237" spans="1:18" ht="24" customHeight="1">
      <c r="B237" s="742"/>
      <c r="C237" s="742"/>
      <c r="D237" s="743"/>
      <c r="F237" s="743"/>
      <c r="G237" s="744"/>
      <c r="H237" s="745"/>
      <c r="I237" s="746"/>
      <c r="J237" s="747"/>
      <c r="K237" s="747"/>
      <c r="L237" s="747"/>
    </row>
  </sheetData>
  <autoFilter ref="A4:R237"/>
  <mergeCells count="1">
    <mergeCell ref="B2:B3"/>
  </mergeCells>
  <phoneticPr fontId="19" type="noConversion"/>
  <conditionalFormatting sqref="D66">
    <cfRule type="duplicateValues" dxfId="269" priority="5"/>
  </conditionalFormatting>
  <conditionalFormatting sqref="B17">
    <cfRule type="duplicateValues" dxfId="268" priority="1"/>
  </conditionalFormatting>
  <conditionalFormatting sqref="B228">
    <cfRule type="duplicateValues" dxfId="267" priority="11"/>
  </conditionalFormatting>
  <conditionalFormatting sqref="B207">
    <cfRule type="duplicateValues" dxfId="266" priority="13"/>
  </conditionalFormatting>
  <conditionalFormatting sqref="B227">
    <cfRule type="duplicateValues" dxfId="265" priority="12"/>
  </conditionalFormatting>
  <conditionalFormatting sqref="D96">
    <cfRule type="duplicateValues" dxfId="264" priority="8"/>
  </conditionalFormatting>
  <conditionalFormatting sqref="B142">
    <cfRule type="duplicateValues" dxfId="263" priority="18"/>
  </conditionalFormatting>
  <conditionalFormatting sqref="D17">
    <cfRule type="duplicateValues" dxfId="262" priority="2"/>
  </conditionalFormatting>
  <conditionalFormatting sqref="D235:D65536 D202:D231 F2:F3 D4:D5 D97:D199 D18:D64 D68:D95">
    <cfRule type="duplicateValues" dxfId="261" priority="26"/>
  </conditionalFormatting>
  <conditionalFormatting sqref="B18">
    <cfRule type="duplicateValues" dxfId="260" priority="24"/>
  </conditionalFormatting>
  <conditionalFormatting sqref="B128">
    <cfRule type="duplicateValues" dxfId="259" priority="19"/>
  </conditionalFormatting>
  <conditionalFormatting sqref="B125">
    <cfRule type="duplicateValues" dxfId="258" priority="21"/>
  </conditionalFormatting>
  <conditionalFormatting sqref="B189">
    <cfRule type="duplicateValues" dxfId="257" priority="15"/>
  </conditionalFormatting>
  <conditionalFormatting sqref="B190">
    <cfRule type="duplicateValues" dxfId="256" priority="14"/>
  </conditionalFormatting>
  <conditionalFormatting sqref="B150">
    <cfRule type="duplicateValues" dxfId="255" priority="17"/>
  </conditionalFormatting>
  <conditionalFormatting sqref="B5">
    <cfRule type="duplicateValues" dxfId="254" priority="25"/>
  </conditionalFormatting>
  <conditionalFormatting sqref="D67">
    <cfRule type="duplicateValues" dxfId="253" priority="4"/>
  </conditionalFormatting>
  <conditionalFormatting sqref="E17">
    <cfRule type="duplicateValues" dxfId="252" priority="3"/>
  </conditionalFormatting>
  <conditionalFormatting sqref="B126">
    <cfRule type="duplicateValues" dxfId="251" priority="20"/>
  </conditionalFormatting>
  <conditionalFormatting sqref="B107">
    <cfRule type="duplicateValues" dxfId="250" priority="22"/>
  </conditionalFormatting>
  <conditionalFormatting sqref="D200">
    <cfRule type="duplicateValues" dxfId="249" priority="9"/>
  </conditionalFormatting>
  <conditionalFormatting sqref="B175">
    <cfRule type="duplicateValues" dxfId="248" priority="16"/>
  </conditionalFormatting>
  <conditionalFormatting sqref="D201">
    <cfRule type="duplicateValues" dxfId="247" priority="10"/>
  </conditionalFormatting>
  <conditionalFormatting sqref="D65">
    <cfRule type="duplicateValues" dxfId="246" priority="6"/>
  </conditionalFormatting>
  <conditionalFormatting sqref="E72:E73 E4:E5 E18">
    <cfRule type="duplicateValues" dxfId="245" priority="27"/>
  </conditionalFormatting>
  <conditionalFormatting sqref="E96">
    <cfRule type="duplicateValues" dxfId="244" priority="7"/>
  </conditionalFormatting>
  <conditionalFormatting sqref="B103">
    <cfRule type="duplicateValues" dxfId="243" priority="23"/>
  </conditionalFormatting>
  <printOptions horizontalCentered="1"/>
  <pageMargins left="0" right="0" top="0.59055118110236227" bottom="0.59055118110236227" header="0.31496062992125984" footer="0.31496062992125984"/>
  <pageSetup paperSize="9" scale="81"/>
  <headerFooter alignWithMargins="0"/>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4" activePane="bottomRight" state="frozen"/>
      <selection pane="topRight"/>
      <selection pane="bottomLeft"/>
      <selection pane="bottomRight" activeCell="O4" sqref="O4:O168"/>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1690</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'2-规划指标'!H20</f>
        <v>0</v>
      </c>
      <c r="F2" s="758">
        <v>0</v>
      </c>
      <c r="G2" s="759">
        <f>'2-规划指标'!G20</f>
        <v>0</v>
      </c>
      <c r="H2" s="759">
        <f>'2-规划指标'!N20</f>
        <v>0</v>
      </c>
      <c r="I2" s="759">
        <f>'2-规划指标'!M20</f>
        <v>0</v>
      </c>
      <c r="J2" s="759"/>
      <c r="K2" s="759">
        <f>'2-规划指标'!O20</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ollapsed="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hidden="1"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1714</v>
      </c>
      <c r="C7" s="782" t="s">
        <v>39</v>
      </c>
      <c r="D7" s="783" t="s">
        <v>1480</v>
      </c>
      <c r="E7" s="307" t="s">
        <v>1278</v>
      </c>
      <c r="F7" s="307" t="s">
        <v>1692</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1692</v>
      </c>
      <c r="G8" s="784">
        <v>0.5</v>
      </c>
      <c r="H8" s="785" t="s">
        <v>384</v>
      </c>
      <c r="I8" s="614">
        <f>$G$2</f>
        <v>0</v>
      </c>
      <c r="J8" s="614">
        <v>52</v>
      </c>
      <c r="K8" s="778">
        <f>J8/(1+L8)</f>
        <v>46.846846846846844</v>
      </c>
      <c r="L8" s="569">
        <v>0.11</v>
      </c>
      <c r="M8" s="779">
        <f>G8*I8*K8/10000</f>
        <v>0</v>
      </c>
      <c r="N8" s="779">
        <f>L8*M8</f>
        <v>0</v>
      </c>
      <c r="O8" s="779">
        <f>M8+N8</f>
        <v>0</v>
      </c>
      <c r="P8" s="780" t="e">
        <f t="shared" si="0"/>
        <v>#DIV/0!</v>
      </c>
      <c r="Q8" s="781">
        <f t="shared" ref="Q8:Q35" si="1">G8*I8*J8/10000-O8</f>
        <v>0</v>
      </c>
      <c r="AA8" s="632"/>
    </row>
    <row r="9" spans="2:27" ht="16.5" hidden="1"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c r="H11" s="787" t="s">
        <v>384</v>
      </c>
      <c r="I11" s="672">
        <f>$E$2*(1+$F$2)</f>
        <v>0</v>
      </c>
      <c r="J11" s="672"/>
      <c r="K11" s="778">
        <f>J11/(1+L11)</f>
        <v>0</v>
      </c>
      <c r="L11" s="569">
        <v>0.11</v>
      </c>
      <c r="M11" s="779">
        <f>G11*I11*K11/10000</f>
        <v>0</v>
      </c>
      <c r="N11" s="779">
        <f>L11*M11</f>
        <v>0</v>
      </c>
      <c r="O11" s="779">
        <f>M11+N11</f>
        <v>0</v>
      </c>
      <c r="P11" s="780" t="e">
        <f t="shared" si="0"/>
        <v>#DIV/0!</v>
      </c>
      <c r="Q11" s="781">
        <f t="shared" si="1"/>
        <v>0</v>
      </c>
      <c r="AA11" s="632"/>
    </row>
    <row r="12" spans="2:27" ht="16.5" hidden="1" customHeight="1" outlineLevel="3">
      <c r="B12" s="776" t="s">
        <v>1722</v>
      </c>
      <c r="C12" s="782"/>
      <c r="D12" s="783" t="s">
        <v>1723</v>
      </c>
      <c r="E12" s="648" t="s">
        <v>1228</v>
      </c>
      <c r="F12" s="648" t="s">
        <v>657</v>
      </c>
      <c r="G12" s="672">
        <v>0.35</v>
      </c>
      <c r="H12" s="787" t="s">
        <v>384</v>
      </c>
      <c r="I12" s="672">
        <f t="shared" ref="I12:I17" si="2">$E$2*(1+$F$2)</f>
        <v>0</v>
      </c>
      <c r="J12" s="672">
        <v>460</v>
      </c>
      <c r="K12" s="778">
        <f>J12/(1+L12)</f>
        <v>414.41441441441435</v>
      </c>
      <c r="L12" s="569">
        <v>0.11</v>
      </c>
      <c r="M12" s="779">
        <f>G12*I12*K12/10000</f>
        <v>0</v>
      </c>
      <c r="N12" s="779">
        <f>L12*M12</f>
        <v>0</v>
      </c>
      <c r="O12" s="779">
        <f>M12+N12</f>
        <v>0</v>
      </c>
      <c r="P12" s="780" t="e">
        <f t="shared" si="0"/>
        <v>#DIV/0!</v>
      </c>
      <c r="Q12" s="781">
        <f t="shared" si="1"/>
        <v>0</v>
      </c>
      <c r="AA12" s="632"/>
    </row>
    <row r="13" spans="2:27" ht="16.5" hidden="1"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38</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3.2</v>
      </c>
      <c r="H16" s="787" t="s">
        <v>145</v>
      </c>
      <c r="I16" s="672">
        <f>$E$2*(1+$F$2)</f>
        <v>0</v>
      </c>
      <c r="J16" s="672">
        <v>60</v>
      </c>
      <c r="K16" s="778">
        <f>J16/(1+L16)</f>
        <v>54.054054054054049</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0.15</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4</v>
      </c>
      <c r="H18" s="790" t="s">
        <v>145</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1733</v>
      </c>
      <c r="E20" s="648" t="s">
        <v>1488</v>
      </c>
      <c r="F20" s="648" t="s">
        <v>657</v>
      </c>
      <c r="G20" s="672">
        <v>0.35</v>
      </c>
      <c r="H20" s="787" t="s">
        <v>145</v>
      </c>
      <c r="I20" s="672">
        <f t="shared" ref="I20:I29" si="5">$E$2*(1+$F$2)</f>
        <v>0</v>
      </c>
      <c r="J20" s="672">
        <v>40</v>
      </c>
      <c r="K20" s="778">
        <f>J20/(1+L20)</f>
        <v>34.188034188034187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0.35</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145</v>
      </c>
      <c r="I23" s="672">
        <f t="shared" si="5"/>
        <v>0</v>
      </c>
      <c r="J23" s="672">
        <v>165</v>
      </c>
      <c r="K23" s="778">
        <f>J23/(1+L23)</f>
        <v>148.64864864864865</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IF(O27="","",O27*10000/E$2)</f>
        <v>#DIV/0!</v>
      </c>
      <c r="Q27" s="781"/>
      <c r="AA27" s="632"/>
    </row>
    <row r="28" spans="2:27" s="633" customFormat="1" ht="16.5" hidden="1" customHeight="1" outlineLevel="3">
      <c r="B28" s="776" t="s">
        <v>1744</v>
      </c>
      <c r="C28" s="792"/>
      <c r="D28" s="783" t="s">
        <v>1745</v>
      </c>
      <c r="E28" s="648" t="s">
        <v>1493</v>
      </c>
      <c r="F28" s="648" t="s">
        <v>657</v>
      </c>
      <c r="G28" s="672">
        <v>1.2</v>
      </c>
      <c r="H28" s="787" t="s">
        <v>145</v>
      </c>
      <c r="I28" s="672">
        <f t="shared" si="5"/>
        <v>0</v>
      </c>
      <c r="J28" s="672"/>
      <c r="K28" s="778">
        <f t="shared" ref="K28:K34" si="6">J28/(1+L28)</f>
        <v>0</v>
      </c>
      <c r="L28" s="569">
        <v>0.11</v>
      </c>
      <c r="M28" s="779">
        <f t="shared" ref="M28:M35" si="7">G28*I28*K28/10000</f>
        <v>0</v>
      </c>
      <c r="N28" s="779">
        <f t="shared" si="3"/>
        <v>0</v>
      </c>
      <c r="O28" s="779">
        <f t="shared" si="4"/>
        <v>0</v>
      </c>
      <c r="P28" s="780" t="e">
        <f>IF(O28="","",O28*10000/E$2)</f>
        <v>#DIV/0!</v>
      </c>
      <c r="Q28" s="781">
        <f t="shared" si="1"/>
        <v>0</v>
      </c>
    </row>
    <row r="29" spans="2:27" s="633" customFormat="1" ht="16.5" hidden="1" customHeight="1" outlineLevel="3">
      <c r="B29" s="776" t="s">
        <v>1494</v>
      </c>
      <c r="C29" s="792"/>
      <c r="D29" s="783" t="s">
        <v>1746</v>
      </c>
      <c r="E29" s="648" t="s">
        <v>1493</v>
      </c>
      <c r="F29" s="648" t="s">
        <v>657</v>
      </c>
      <c r="G29" s="672">
        <v>1.2</v>
      </c>
      <c r="H29" s="787" t="s">
        <v>145</v>
      </c>
      <c r="I29" s="672">
        <f t="shared" si="5"/>
        <v>0</v>
      </c>
      <c r="J29" s="672">
        <v>110</v>
      </c>
      <c r="K29" s="778">
        <f t="shared" si="6"/>
        <v>99.099099099099092</v>
      </c>
      <c r="L29" s="569">
        <v>0.11</v>
      </c>
      <c r="M29" s="779">
        <f t="shared" si="7"/>
        <v>0</v>
      </c>
      <c r="N29" s="779">
        <f t="shared" si="3"/>
        <v>0</v>
      </c>
      <c r="O29" s="779">
        <f t="shared" si="4"/>
        <v>0</v>
      </c>
      <c r="P29" s="780" t="e">
        <f t="shared" si="0"/>
        <v>#DIV/0!</v>
      </c>
      <c r="Q29" s="781">
        <f t="shared" si="1"/>
        <v>0</v>
      </c>
    </row>
    <row r="30" spans="2:27" s="633" customFormat="1" ht="16.5" hidden="1" customHeight="1" outlineLevel="3">
      <c r="B30" s="776" t="s">
        <v>1495</v>
      </c>
      <c r="C30" s="792"/>
      <c r="D30" s="783" t="s">
        <v>1747</v>
      </c>
      <c r="E30" s="648" t="s">
        <v>1228</v>
      </c>
      <c r="F30" s="648" t="s">
        <v>1748</v>
      </c>
      <c r="G30" s="672">
        <v>1.5</v>
      </c>
      <c r="H30" s="787" t="s">
        <v>143</v>
      </c>
      <c r="I30" s="672">
        <f>$G$2</f>
        <v>0</v>
      </c>
      <c r="J30" s="672">
        <v>90</v>
      </c>
      <c r="K30" s="778">
        <f t="shared" si="6"/>
        <v>81.081081081081081</v>
      </c>
      <c r="L30" s="569">
        <v>0.11</v>
      </c>
      <c r="M30" s="779">
        <f>G30*I30*K30/10000</f>
        <v>0</v>
      </c>
      <c r="N30" s="779">
        <f t="shared" si="3"/>
        <v>0</v>
      </c>
      <c r="O30" s="779">
        <f t="shared" si="4"/>
        <v>0</v>
      </c>
      <c r="P30" s="780" t="e">
        <f t="shared" si="0"/>
        <v>#DIV/0!</v>
      </c>
      <c r="Q30" s="781">
        <f t="shared" si="1"/>
        <v>0</v>
      </c>
    </row>
    <row r="31" spans="2:27" s="633" customFormat="1" ht="16.5" hidden="1" customHeight="1" outlineLevel="3">
      <c r="B31" s="776" t="s">
        <v>1749</v>
      </c>
      <c r="C31" s="792" t="s">
        <v>39</v>
      </c>
      <c r="D31" s="776" t="s">
        <v>1750</v>
      </c>
      <c r="E31" s="648" t="s">
        <v>1496</v>
      </c>
      <c r="F31" s="648" t="s">
        <v>657</v>
      </c>
      <c r="G31" s="672">
        <v>1</v>
      </c>
      <c r="H31" s="787" t="s">
        <v>143</v>
      </c>
      <c r="I31" s="672">
        <f>$E$2*(1+$F$2)</f>
        <v>0</v>
      </c>
      <c r="J31" s="672"/>
      <c r="K31" s="778">
        <f t="shared" si="6"/>
        <v>0</v>
      </c>
      <c r="L31" s="569">
        <v>0.17</v>
      </c>
      <c r="M31" s="779">
        <f t="shared" si="7"/>
        <v>0</v>
      </c>
      <c r="N31" s="779">
        <f t="shared" si="3"/>
        <v>0</v>
      </c>
      <c r="O31" s="779">
        <f t="shared" si="4"/>
        <v>0</v>
      </c>
      <c r="P31" s="780" t="e">
        <f t="shared" si="0"/>
        <v>#DIV/0!</v>
      </c>
      <c r="Q31" s="781">
        <f t="shared" si="1"/>
        <v>0</v>
      </c>
    </row>
    <row r="32" spans="2:27" s="633" customFormat="1" ht="24.75" hidden="1" customHeight="1" outlineLevel="3">
      <c r="B32" s="776" t="s">
        <v>1751</v>
      </c>
      <c r="C32" s="792" t="s">
        <v>39</v>
      </c>
      <c r="D32" s="776" t="s">
        <v>1752</v>
      </c>
      <c r="E32" s="648" t="s">
        <v>1753</v>
      </c>
      <c r="F32" s="648" t="s">
        <v>657</v>
      </c>
      <c r="G32" s="672">
        <v>1</v>
      </c>
      <c r="H32" s="787" t="s">
        <v>143</v>
      </c>
      <c r="I32" s="672">
        <f>$E$2*(1+$F$2)</f>
        <v>0</v>
      </c>
      <c r="J32" s="672"/>
      <c r="K32" s="778">
        <f t="shared" si="6"/>
        <v>0</v>
      </c>
      <c r="L32" s="569">
        <v>0.11</v>
      </c>
      <c r="M32" s="779">
        <f t="shared" si="7"/>
        <v>0</v>
      </c>
      <c r="N32" s="779">
        <f t="shared" si="3"/>
        <v>0</v>
      </c>
      <c r="O32" s="779">
        <f t="shared" si="4"/>
        <v>0</v>
      </c>
      <c r="P32" s="780" t="e">
        <f t="shared" si="0"/>
        <v>#DIV/0!</v>
      </c>
      <c r="Q32" s="781" t="s">
        <v>1754</v>
      </c>
    </row>
    <row r="33" spans="2:27" ht="16.5" hidden="1"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hidden="1"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IF(O37="","",O37*10000/E$2)</f>
        <v>#DIV/0!</v>
      </c>
      <c r="Q37" s="511"/>
      <c r="AA37" s="632"/>
    </row>
    <row r="38" spans="2:27" ht="16.5" hidden="1"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1764</v>
      </c>
      <c r="C39" s="782"/>
      <c r="D39" s="796" t="s">
        <v>1498</v>
      </c>
      <c r="E39" s="648" t="s">
        <v>1228</v>
      </c>
      <c r="F39" s="648" t="s">
        <v>1765</v>
      </c>
      <c r="G39" s="791">
        <v>1</v>
      </c>
      <c r="H39" s="790" t="s">
        <v>143</v>
      </c>
      <c r="I39" s="672">
        <f>$E$2*(1+$F$2)</f>
        <v>0</v>
      </c>
      <c r="J39" s="672">
        <v>30</v>
      </c>
      <c r="K39" s="778">
        <f>J39/(1+L39)</f>
        <v>27.027027027027025</v>
      </c>
      <c r="L39" s="569">
        <v>0.11</v>
      </c>
      <c r="M39" s="779">
        <f>G39*I39*K39/10000</f>
        <v>0</v>
      </c>
      <c r="N39" s="779">
        <f>L39*M39</f>
        <v>0</v>
      </c>
      <c r="O39" s="779">
        <f>M39+N39</f>
        <v>0</v>
      </c>
      <c r="P39" s="780" t="e">
        <f t="shared" si="0"/>
        <v>#DIV/0!</v>
      </c>
      <c r="Q39" s="781">
        <f t="shared" ref="Q39:Q102" si="8">G39*I39*J39/10000-O39</f>
        <v>0</v>
      </c>
      <c r="AA39" s="632"/>
    </row>
    <row r="40" spans="2:27" ht="16.5" hidden="1" customHeight="1" outlineLevel="3">
      <c r="B40" s="776" t="s">
        <v>1499</v>
      </c>
      <c r="C40" s="782"/>
      <c r="D40" s="796" t="s">
        <v>1500</v>
      </c>
      <c r="E40" s="648" t="s">
        <v>1295</v>
      </c>
      <c r="F40" s="648" t="s">
        <v>1765</v>
      </c>
      <c r="G40" s="791">
        <v>1</v>
      </c>
      <c r="H40" s="790" t="s">
        <v>143</v>
      </c>
      <c r="I40" s="672">
        <f>$E$2*(1+$F$2)</f>
        <v>0</v>
      </c>
      <c r="J40" s="672">
        <v>25</v>
      </c>
      <c r="K40" s="778">
        <f>J40/(1+L40)</f>
        <v>21.36752136752137</v>
      </c>
      <c r="L40" s="569">
        <v>0.17</v>
      </c>
      <c r="M40" s="779">
        <f>G40*I40*K40/10000</f>
        <v>0</v>
      </c>
      <c r="N40" s="779">
        <f>L40*M40</f>
        <v>0</v>
      </c>
      <c r="O40" s="779">
        <f>M40+N40</f>
        <v>0</v>
      </c>
      <c r="P40" s="780" t="e">
        <f t="shared" si="0"/>
        <v>#DIV/0!</v>
      </c>
      <c r="Q40" s="781">
        <f t="shared" si="8"/>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s="633" customFormat="1" ht="16.5" hidden="1" customHeight="1" outlineLevel="3">
      <c r="B42" s="776" t="s">
        <v>1766</v>
      </c>
      <c r="C42" s="792"/>
      <c r="D42" s="796" t="s">
        <v>1501</v>
      </c>
      <c r="E42" s="648" t="s">
        <v>1502</v>
      </c>
      <c r="F42" s="648" t="s">
        <v>1765</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 t="shared" si="8"/>
        <v>0</v>
      </c>
    </row>
    <row r="43" spans="2:27" s="633" customFormat="1" ht="16.5" hidden="1" customHeight="1" outlineLevel="3">
      <c r="B43" s="776" t="s">
        <v>1503</v>
      </c>
      <c r="C43" s="792"/>
      <c r="D43" s="796" t="s">
        <v>1504</v>
      </c>
      <c r="E43" s="648" t="s">
        <v>1505</v>
      </c>
      <c r="F43" s="648"/>
      <c r="G43" s="672">
        <v>1</v>
      </c>
      <c r="H43" s="787" t="s">
        <v>741</v>
      </c>
      <c r="I43" s="672">
        <f>$H$2</f>
        <v>0</v>
      </c>
      <c r="J43" s="672">
        <v>1800</v>
      </c>
      <c r="K43" s="778">
        <f>J43/(1+L43)</f>
        <v>1800</v>
      </c>
      <c r="L43" s="569">
        <v>0</v>
      </c>
      <c r="M43" s="779">
        <f>G43*I43*K43/10000</f>
        <v>0</v>
      </c>
      <c r="N43" s="779">
        <f>L43*M43</f>
        <v>0</v>
      </c>
      <c r="O43" s="779">
        <f>M43+N43</f>
        <v>0</v>
      </c>
      <c r="P43" s="780" t="e">
        <f t="shared" si="0"/>
        <v>#DIV/0!</v>
      </c>
      <c r="Q43" s="781">
        <f t="shared" si="8"/>
        <v>0</v>
      </c>
    </row>
    <row r="44" spans="2:27" s="633" customFormat="1" ht="16.5" hidden="1" customHeight="1" outlineLevel="3">
      <c r="B44" s="776" t="s">
        <v>665</v>
      </c>
      <c r="C44" s="792" t="s">
        <v>39</v>
      </c>
      <c r="D44" s="776" t="s">
        <v>668</v>
      </c>
      <c r="E44" s="648"/>
      <c r="F44" s="648"/>
      <c r="G44" s="672"/>
      <c r="H44" s="787"/>
      <c r="I44" s="672"/>
      <c r="J44" s="672"/>
      <c r="K44" s="672"/>
      <c r="L44" s="569"/>
      <c r="M44" s="779">
        <f>SUBTOTAL(9,M45:M46)</f>
        <v>0</v>
      </c>
      <c r="N44" s="779">
        <f>SUBTOTAL(9,N45:N46)</f>
        <v>0</v>
      </c>
      <c r="O44" s="779">
        <f>SUBTOTAL(9,O45:O46)</f>
        <v>0</v>
      </c>
      <c r="P44" s="780" t="e">
        <f t="shared" si="0"/>
        <v>#DIV/0!</v>
      </c>
      <c r="Q44" s="781"/>
    </row>
    <row r="45" spans="2:27" s="633" customFormat="1" ht="16.5" hidden="1" customHeight="1" outlineLevel="3">
      <c r="B45" s="776" t="s">
        <v>1767</v>
      </c>
      <c r="C45" s="792"/>
      <c r="D45" s="796" t="s">
        <v>1506</v>
      </c>
      <c r="E45" s="648" t="s">
        <v>1300</v>
      </c>
      <c r="F45" s="648" t="s">
        <v>1765</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row>
    <row r="46" spans="2:27" s="633" customFormat="1" ht="16.5" hidden="1" customHeight="1" outlineLevel="3">
      <c r="B46" s="776" t="s">
        <v>1507</v>
      </c>
      <c r="C46" s="792"/>
      <c r="D46" s="796" t="s">
        <v>1768</v>
      </c>
      <c r="E46" s="648" t="s">
        <v>1300</v>
      </c>
      <c r="F46" s="648" t="s">
        <v>1693</v>
      </c>
      <c r="G46" s="672">
        <v>1</v>
      </c>
      <c r="H46" s="787" t="s">
        <v>741</v>
      </c>
      <c r="I46" s="672">
        <f>$H$2</f>
        <v>0</v>
      </c>
      <c r="J46" s="672">
        <v>1753</v>
      </c>
      <c r="K46" s="778">
        <f>J46/(1+L46)</f>
        <v>1753</v>
      </c>
      <c r="L46" s="569">
        <v>0</v>
      </c>
      <c r="M46" s="779">
        <f>G46*I46*K46/10000</f>
        <v>0</v>
      </c>
      <c r="N46" s="779">
        <f>L46*M46</f>
        <v>0</v>
      </c>
      <c r="O46" s="779">
        <f>M46+N46</f>
        <v>0</v>
      </c>
      <c r="P46" s="780" t="e">
        <f t="shared" si="0"/>
        <v>#DIV/0!</v>
      </c>
      <c r="Q46" s="781">
        <f t="shared" si="8"/>
        <v>0</v>
      </c>
    </row>
    <row r="47" spans="2:27" s="633" customFormat="1" ht="16.5" hidden="1" customHeight="1" outlineLevel="3">
      <c r="B47" s="776" t="s">
        <v>666</v>
      </c>
      <c r="C47" s="792" t="s">
        <v>39</v>
      </c>
      <c r="D47" s="776" t="s">
        <v>1508</v>
      </c>
      <c r="E47" s="648"/>
      <c r="F47" s="648"/>
      <c r="G47" s="672"/>
      <c r="H47" s="787"/>
      <c r="I47" s="672"/>
      <c r="J47" s="672"/>
      <c r="K47" s="672"/>
      <c r="L47" s="569"/>
      <c r="M47" s="779">
        <f>SUBTOTAL(9,M48:M55)</f>
        <v>0</v>
      </c>
      <c r="N47" s="779">
        <f>SUBTOTAL(9,N48:N55)</f>
        <v>0</v>
      </c>
      <c r="O47" s="779">
        <f>SUBTOTAL(9,O48:O55)</f>
        <v>0</v>
      </c>
      <c r="P47" s="780" t="e">
        <f t="shared" si="0"/>
        <v>#DIV/0!</v>
      </c>
      <c r="Q47" s="781"/>
    </row>
    <row r="48" spans="2:27" s="633" customFormat="1" ht="16.5" hidden="1" customHeight="1" outlineLevel="3">
      <c r="B48" s="776" t="s">
        <v>1769</v>
      </c>
      <c r="C48" s="792"/>
      <c r="D48" s="796" t="s">
        <v>1509</v>
      </c>
      <c r="E48" s="648" t="s">
        <v>1228</v>
      </c>
      <c r="F48" s="648" t="s">
        <v>1765</v>
      </c>
      <c r="G48" s="672">
        <v>1</v>
      </c>
      <c r="H48" s="787" t="s">
        <v>143</v>
      </c>
      <c r="I48" s="672">
        <f t="shared" ref="I48:I55" si="9">$E$2*(1+$F$2)</f>
        <v>0</v>
      </c>
      <c r="J48" s="672">
        <v>80</v>
      </c>
      <c r="K48" s="778">
        <f t="shared" ref="K48:K54" si="10">J48/(1+L48)</f>
        <v>72.072072072072061</v>
      </c>
      <c r="L48" s="569">
        <v>0.11</v>
      </c>
      <c r="M48" s="779">
        <f t="shared" ref="M48:M55" si="11">G48*I48*K48/10000</f>
        <v>0</v>
      </c>
      <c r="N48" s="779">
        <f t="shared" ref="N48:N55" si="12">L48*M48</f>
        <v>0</v>
      </c>
      <c r="O48" s="779">
        <f t="shared" ref="O48:O55" si="13">M48+N48</f>
        <v>0</v>
      </c>
      <c r="P48" s="780" t="e">
        <f t="shared" si="0"/>
        <v>#DIV/0!</v>
      </c>
      <c r="Q48" s="781">
        <f t="shared" si="8"/>
        <v>0</v>
      </c>
    </row>
    <row r="49" spans="2:27" s="633" customFormat="1" ht="16.5" hidden="1" customHeight="1" outlineLevel="3">
      <c r="B49" s="776" t="s">
        <v>1510</v>
      </c>
      <c r="C49" s="792"/>
      <c r="D49" s="796" t="s">
        <v>1511</v>
      </c>
      <c r="E49" s="648" t="s">
        <v>1295</v>
      </c>
      <c r="F49" s="648" t="s">
        <v>1770</v>
      </c>
      <c r="G49" s="672">
        <v>1</v>
      </c>
      <c r="H49" s="787"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row>
    <row r="50" spans="2:27" s="633" customFormat="1" ht="16.5" hidden="1" customHeight="1" outlineLevel="3">
      <c r="B50" s="776" t="s">
        <v>1512</v>
      </c>
      <c r="C50" s="792"/>
      <c r="D50" s="796" t="s">
        <v>1513</v>
      </c>
      <c r="E50" s="797" t="s">
        <v>1771</v>
      </c>
      <c r="F50" s="648" t="s">
        <v>1770</v>
      </c>
      <c r="G50" s="672">
        <v>1</v>
      </c>
      <c r="H50" s="787" t="s">
        <v>143</v>
      </c>
      <c r="I50" s="672">
        <f t="shared" si="9"/>
        <v>0</v>
      </c>
      <c r="J50" s="672">
        <v>20</v>
      </c>
      <c r="K50" s="778">
        <f t="shared" si="10"/>
        <v>17.094017094017094</v>
      </c>
      <c r="L50" s="569">
        <v>0.17</v>
      </c>
      <c r="M50" s="779">
        <f t="shared" si="11"/>
        <v>0</v>
      </c>
      <c r="N50" s="779">
        <f t="shared" si="12"/>
        <v>0</v>
      </c>
      <c r="O50" s="779">
        <f t="shared" si="13"/>
        <v>0</v>
      </c>
      <c r="P50" s="780" t="e">
        <f t="shared" si="0"/>
        <v>#DIV/0!</v>
      </c>
      <c r="Q50" s="781">
        <f t="shared" si="8"/>
        <v>0</v>
      </c>
    </row>
    <row r="51" spans="2:27" s="633" customFormat="1" ht="16.5" hidden="1" customHeight="1" outlineLevel="3">
      <c r="B51" s="776" t="s">
        <v>1514</v>
      </c>
      <c r="C51" s="792"/>
      <c r="D51" s="796" t="s">
        <v>1515</v>
      </c>
      <c r="E51" s="648" t="s">
        <v>1772</v>
      </c>
      <c r="F51" s="648" t="s">
        <v>1770</v>
      </c>
      <c r="G51" s="672">
        <v>1</v>
      </c>
      <c r="H51" s="787" t="s">
        <v>143</v>
      </c>
      <c r="I51" s="672">
        <f t="shared" si="9"/>
        <v>0</v>
      </c>
      <c r="J51" s="672"/>
      <c r="K51" s="778">
        <f t="shared" si="10"/>
        <v>0</v>
      </c>
      <c r="L51" s="569">
        <v>0.17</v>
      </c>
      <c r="M51" s="779">
        <f t="shared" si="11"/>
        <v>0</v>
      </c>
      <c r="N51" s="779">
        <f t="shared" si="12"/>
        <v>0</v>
      </c>
      <c r="O51" s="779">
        <f t="shared" si="13"/>
        <v>0</v>
      </c>
      <c r="P51" s="780" t="e">
        <f t="shared" si="0"/>
        <v>#DIV/0!</v>
      </c>
      <c r="Q51" s="781">
        <f t="shared" si="8"/>
        <v>0</v>
      </c>
    </row>
    <row r="52" spans="2:27" s="633" customFormat="1" ht="16.5" hidden="1" customHeight="1" outlineLevel="3">
      <c r="B52" s="776" t="s">
        <v>1517</v>
      </c>
      <c r="C52" s="792"/>
      <c r="D52" s="796" t="s">
        <v>1518</v>
      </c>
      <c r="E52" s="648" t="s">
        <v>1773</v>
      </c>
      <c r="F52" s="648" t="s">
        <v>1770</v>
      </c>
      <c r="G52" s="672">
        <v>1</v>
      </c>
      <c r="H52" s="787" t="s">
        <v>143</v>
      </c>
      <c r="I52" s="672">
        <f t="shared" si="9"/>
        <v>0</v>
      </c>
      <c r="J52" s="672">
        <v>15</v>
      </c>
      <c r="K52" s="778">
        <f t="shared" si="10"/>
        <v>12.820512820512821</v>
      </c>
      <c r="L52" s="569">
        <v>0.17</v>
      </c>
      <c r="M52" s="779">
        <f t="shared" si="11"/>
        <v>0</v>
      </c>
      <c r="N52" s="779">
        <f t="shared" si="12"/>
        <v>0</v>
      </c>
      <c r="O52" s="779">
        <f t="shared" si="13"/>
        <v>0</v>
      </c>
      <c r="P52" s="780" t="e">
        <f t="shared" si="0"/>
        <v>#DIV/0!</v>
      </c>
      <c r="Q52" s="781">
        <f t="shared" si="8"/>
        <v>0</v>
      </c>
    </row>
    <row r="53" spans="2:27" s="633" customFormat="1" ht="16.5" hidden="1"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hidden="1" customHeight="1" outlineLevel="3">
      <c r="B54" s="776" t="s">
        <v>1521</v>
      </c>
      <c r="C54" s="782"/>
      <c r="D54" s="796" t="s">
        <v>1522</v>
      </c>
      <c r="E54" s="665" t="s">
        <v>1773</v>
      </c>
      <c r="F54" s="648" t="s">
        <v>1770</v>
      </c>
      <c r="G54" s="791">
        <v>1</v>
      </c>
      <c r="H54" s="790" t="s">
        <v>741</v>
      </c>
      <c r="I54" s="672">
        <f>H2</f>
        <v>0</v>
      </c>
      <c r="J54" s="672">
        <v>700</v>
      </c>
      <c r="K54" s="778">
        <f t="shared" si="10"/>
        <v>598.29059829059838</v>
      </c>
      <c r="L54" s="569">
        <v>0.17</v>
      </c>
      <c r="M54" s="779">
        <f t="shared" si="11"/>
        <v>0</v>
      </c>
      <c r="N54" s="779">
        <f t="shared" si="12"/>
        <v>0</v>
      </c>
      <c r="O54" s="779">
        <f t="shared" si="13"/>
        <v>0</v>
      </c>
      <c r="P54" s="780" t="e">
        <f t="shared" si="0"/>
        <v>#DIV/0!</v>
      </c>
      <c r="Q54" s="781">
        <f t="shared" si="8"/>
        <v>0</v>
      </c>
      <c r="AA54" s="632"/>
    </row>
    <row r="55" spans="2:27" ht="16.5" hidden="1"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hidden="1" customHeight="1" outlineLevel="2">
      <c r="B56" s="776" t="s">
        <v>670</v>
      </c>
      <c r="C56" s="777" t="s">
        <v>1716</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hidden="1"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hidden="1" customHeight="1" outlineLevel="3">
      <c r="B58" s="776" t="s">
        <v>1776</v>
      </c>
      <c r="C58" s="782"/>
      <c r="D58" s="796" t="s">
        <v>1525</v>
      </c>
      <c r="E58" s="665" t="s">
        <v>456</v>
      </c>
      <c r="F58" s="665" t="s">
        <v>1694</v>
      </c>
      <c r="G58" s="791">
        <v>1</v>
      </c>
      <c r="H58" s="795" t="s">
        <v>1920</v>
      </c>
      <c r="I58" s="791">
        <f>$I$2</f>
        <v>0</v>
      </c>
      <c r="J58" s="791">
        <v>210000</v>
      </c>
      <c r="K58" s="778">
        <f>J58/(1+L58)</f>
        <v>179487.1794871795</v>
      </c>
      <c r="L58" s="569">
        <v>0.17</v>
      </c>
      <c r="M58" s="779">
        <f>G58*I58*K58/10000</f>
        <v>0</v>
      </c>
      <c r="N58" s="779">
        <f>L58*M58</f>
        <v>0</v>
      </c>
      <c r="O58" s="779">
        <f>M58+N58</f>
        <v>0</v>
      </c>
      <c r="P58" s="780" t="e">
        <f t="shared" si="0"/>
        <v>#DIV/0!</v>
      </c>
      <c r="Q58" s="511">
        <f t="shared" si="8"/>
        <v>0</v>
      </c>
      <c r="AA58" s="632"/>
    </row>
    <row r="59" spans="2:27" ht="16.5" hidden="1" customHeight="1" outlineLevel="3">
      <c r="B59" s="776" t="s">
        <v>1526</v>
      </c>
      <c r="C59" s="782"/>
      <c r="D59" s="796" t="s">
        <v>1527</v>
      </c>
      <c r="E59" s="799" t="s">
        <v>1778</v>
      </c>
      <c r="F59" s="665" t="s">
        <v>1694</v>
      </c>
      <c r="G59" s="791">
        <v>1</v>
      </c>
      <c r="H59" s="795" t="s">
        <v>1920</v>
      </c>
      <c r="I59" s="791">
        <f>$I$2</f>
        <v>0</v>
      </c>
      <c r="J59" s="791">
        <v>55000</v>
      </c>
      <c r="K59" s="778">
        <f>J59/(1+L59)</f>
        <v>49549.549549549542</v>
      </c>
      <c r="L59" s="569">
        <v>0.11</v>
      </c>
      <c r="M59" s="779">
        <f>G59*I59*K59/10000</f>
        <v>0</v>
      </c>
      <c r="N59" s="779">
        <f>L59*M59</f>
        <v>0</v>
      </c>
      <c r="O59" s="779">
        <f>M59+N59</f>
        <v>0</v>
      </c>
      <c r="P59" s="780" t="e">
        <f t="shared" si="0"/>
        <v>#DIV/0!</v>
      </c>
      <c r="Q59" s="511">
        <f t="shared" si="8"/>
        <v>0</v>
      </c>
      <c r="AA59" s="632"/>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hidden="1"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hidden="1"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1784</v>
      </c>
      <c r="C64" s="782"/>
      <c r="D64" s="796" t="s">
        <v>1531</v>
      </c>
      <c r="E64" s="648" t="s">
        <v>455</v>
      </c>
      <c r="F64" s="648" t="s">
        <v>657</v>
      </c>
      <c r="G64" s="791">
        <v>1</v>
      </c>
      <c r="H64" s="795" t="s">
        <v>143</v>
      </c>
      <c r="I64" s="672">
        <f>$E$2*(1+$F$2)</f>
        <v>0</v>
      </c>
      <c r="J64" s="672">
        <v>50</v>
      </c>
      <c r="K64" s="778">
        <f>J64/(1+L64)</f>
        <v>45.045045045045043</v>
      </c>
      <c r="L64" s="569">
        <v>0.11</v>
      </c>
      <c r="M64" s="779">
        <f>G64*I64*K64/10000</f>
        <v>0</v>
      </c>
      <c r="N64" s="779">
        <f>L64*M64</f>
        <v>0</v>
      </c>
      <c r="O64" s="779">
        <f>M64+N64</f>
        <v>0</v>
      </c>
      <c r="P64" s="780" t="e">
        <f t="shared" si="0"/>
        <v>#DIV/0!</v>
      </c>
      <c r="Q64" s="511">
        <f t="shared" si="8"/>
        <v>0</v>
      </c>
      <c r="AA64" s="632"/>
    </row>
    <row r="65" spans="2:27" ht="16.5" hidden="1"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hidden="1"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hidden="1" customHeight="1" outlineLevel="3">
      <c r="B67" s="776" t="s">
        <v>1787</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 t="shared" si="8"/>
        <v>0</v>
      </c>
      <c r="AA67" s="632"/>
    </row>
    <row r="68" spans="2:27" ht="16.5" hidden="1" customHeight="1" outlineLevel="3">
      <c r="B68" s="776" t="s">
        <v>1788</v>
      </c>
      <c r="C68" s="782"/>
      <c r="D68" s="796" t="s">
        <v>1789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ollapsed="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1795</v>
      </c>
      <c r="C71" s="777" t="s">
        <v>1712</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v>90</v>
      </c>
      <c r="K72" s="791">
        <f t="shared" ref="K72:K81" si="19">J72/(1+L72)</f>
        <v>76.923076923076934</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v>70</v>
      </c>
      <c r="K74" s="791">
        <f t="shared" si="19"/>
        <v>59.82905982905983</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v>70</v>
      </c>
      <c r="K75" s="791">
        <f t="shared" si="19"/>
        <v>59.82905982905983</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v>220</v>
      </c>
      <c r="K76" s="791">
        <f t="shared" si="19"/>
        <v>198.19819819819818</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v>40</v>
      </c>
      <c r="K77" s="791">
        <f t="shared" si="19"/>
        <v>34.188034188034187</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1796</v>
      </c>
      <c r="F78" s="648" t="s">
        <v>657</v>
      </c>
      <c r="G78" s="791">
        <v>1</v>
      </c>
      <c r="H78" s="795" t="s">
        <v>143</v>
      </c>
      <c r="I78" s="672">
        <f t="shared" si="15"/>
        <v>0</v>
      </c>
      <c r="J78" s="672">
        <v>50</v>
      </c>
      <c r="K78" s="791">
        <f t="shared" si="19"/>
        <v>42.73504273504274</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v>50</v>
      </c>
      <c r="K79" s="791">
        <f t="shared" si="19"/>
        <v>42.73504273504274</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1797</v>
      </c>
      <c r="E81" s="648" t="s">
        <v>1798</v>
      </c>
      <c r="F81" s="648" t="s">
        <v>657</v>
      </c>
      <c r="G81" s="791">
        <v>1</v>
      </c>
      <c r="H81" s="795" t="s">
        <v>143</v>
      </c>
      <c r="I81" s="672">
        <f>$E$2*(1+$F$2)</f>
        <v>0</v>
      </c>
      <c r="J81" s="672">
        <v>10</v>
      </c>
      <c r="K81" s="791">
        <f t="shared" si="19"/>
        <v>8.5470085470085468</v>
      </c>
      <c r="L81" s="569">
        <v>0.17</v>
      </c>
      <c r="M81" s="779">
        <f t="shared" si="16"/>
        <v>0</v>
      </c>
      <c r="N81" s="779">
        <f t="shared" si="17"/>
        <v>0</v>
      </c>
      <c r="O81" s="779">
        <f t="shared" si="18"/>
        <v>0</v>
      </c>
      <c r="P81" s="780" t="e">
        <f t="shared" si="14"/>
        <v>#DIV/0!</v>
      </c>
      <c r="Q81" s="781">
        <f t="shared" si="8"/>
        <v>0</v>
      </c>
      <c r="AA81" s="632"/>
    </row>
    <row r="82" spans="2:27" ht="25.5" hidden="1"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1815</v>
      </c>
      <c r="C92" s="782"/>
      <c r="D92" s="807" t="s">
        <v>1556</v>
      </c>
      <c r="E92" s="648" t="s">
        <v>459</v>
      </c>
      <c r="F92" s="648" t="s">
        <v>657</v>
      </c>
      <c r="G92" s="808">
        <v>1.3</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1.3</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hidden="1" customHeight="1" outlineLevel="3">
      <c r="B94" s="776" t="s">
        <v>1816</v>
      </c>
      <c r="C94" s="782" t="s">
        <v>39</v>
      </c>
      <c r="D94" s="804" t="s">
        <v>1817</v>
      </c>
      <c r="E94" s="665"/>
      <c r="F94" s="665"/>
      <c r="G94" s="809"/>
      <c r="H94" s="790"/>
      <c r="I94" s="789"/>
      <c r="J94" s="789"/>
      <c r="K94" s="790"/>
      <c r="L94" s="569"/>
      <c r="M94" s="779">
        <f>SUBTOTAL(9,M95:M98)</f>
        <v>0</v>
      </c>
      <c r="N94" s="779">
        <f>SUBTOTAL(9,N95:N98)</f>
        <v>0</v>
      </c>
      <c r="O94" s="779">
        <f>SUBTOTAL(9,O95:O98)</f>
        <v>0</v>
      </c>
      <c r="P94" s="780" t="e">
        <f t="shared" si="14"/>
        <v>#DIV/0!</v>
      </c>
      <c r="Q94" s="806">
        <f t="shared" si="8"/>
        <v>0</v>
      </c>
      <c r="AA94" s="632"/>
    </row>
    <row r="95" spans="2:27" ht="16.5" hidden="1" customHeight="1" outlineLevel="4">
      <c r="B95" s="776" t="s">
        <v>1818</v>
      </c>
      <c r="C95" s="782"/>
      <c r="D95" s="807" t="s">
        <v>1560</v>
      </c>
      <c r="E95" s="719" t="s">
        <v>1819</v>
      </c>
      <c r="F95" s="648" t="s">
        <v>657</v>
      </c>
      <c r="G95" s="809">
        <v>0</v>
      </c>
      <c r="H95" s="805" t="s">
        <v>145</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1820</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1822</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1825</v>
      </c>
      <c r="C103" s="782"/>
      <c r="D103" s="804" t="s">
        <v>1575</v>
      </c>
      <c r="E103" s="665" t="s">
        <v>468</v>
      </c>
      <c r="F103" s="648" t="s">
        <v>657</v>
      </c>
      <c r="G103" s="809">
        <v>1</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1826</v>
      </c>
      <c r="C105" s="782" t="s">
        <v>39</v>
      </c>
      <c r="D105" s="804" t="s">
        <v>1827</v>
      </c>
      <c r="E105" s="648" t="s">
        <v>1828</v>
      </c>
      <c r="F105" s="648" t="s">
        <v>657</v>
      </c>
      <c r="G105" s="809"/>
      <c r="H105" s="790"/>
      <c r="I105" s="672"/>
      <c r="J105" s="672"/>
      <c r="K105" s="791">
        <f t="shared" si="21"/>
        <v>0</v>
      </c>
      <c r="L105" s="569">
        <v>0.17</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1829</v>
      </c>
      <c r="E106" s="648" t="s">
        <v>1580</v>
      </c>
      <c r="F106" s="665" t="s">
        <v>1694</v>
      </c>
      <c r="G106" s="810">
        <v>10</v>
      </c>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1753</v>
      </c>
      <c r="F107" s="648" t="s">
        <v>657</v>
      </c>
      <c r="G107" s="809">
        <v>1</v>
      </c>
      <c r="H107" s="805" t="s">
        <v>145</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1753</v>
      </c>
      <c r="F108" s="665" t="s">
        <v>1694</v>
      </c>
      <c r="G108" s="811">
        <v>0</v>
      </c>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1830</v>
      </c>
      <c r="E109" s="648" t="s">
        <v>470</v>
      </c>
      <c r="F109" s="648" t="s">
        <v>657</v>
      </c>
      <c r="G109" s="808">
        <v>1</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1834</v>
      </c>
      <c r="E112" s="665" t="s">
        <v>1583</v>
      </c>
      <c r="F112" s="665" t="s">
        <v>1835</v>
      </c>
      <c r="G112" s="813">
        <v>7</v>
      </c>
      <c r="H112" s="805" t="s">
        <v>1922</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1695</v>
      </c>
      <c r="G113" s="813">
        <v>5</v>
      </c>
      <c r="H113" s="805" t="s">
        <v>1922</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1837</v>
      </c>
      <c r="E114" s="665" t="s">
        <v>1583</v>
      </c>
      <c r="F114" s="665" t="s">
        <v>1693</v>
      </c>
      <c r="G114" s="813">
        <v>10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1838</v>
      </c>
      <c r="C115" s="782" t="s">
        <v>39</v>
      </c>
      <c r="D115" s="804" t="s">
        <v>1839</v>
      </c>
      <c r="E115" s="665" t="s">
        <v>1583</v>
      </c>
      <c r="F115" s="665" t="s">
        <v>1693</v>
      </c>
      <c r="G115" s="808">
        <v>6</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1840</v>
      </c>
      <c r="C116" s="782" t="s">
        <v>39</v>
      </c>
      <c r="D116" s="804" t="s">
        <v>1841</v>
      </c>
      <c r="E116" s="665" t="s">
        <v>1583</v>
      </c>
      <c r="F116" s="665" t="s">
        <v>1693</v>
      </c>
      <c r="G116" s="809">
        <v>6</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1844</v>
      </c>
      <c r="E118" s="665" t="s">
        <v>1580</v>
      </c>
      <c r="F118" s="665" t="s">
        <v>1694</v>
      </c>
      <c r="G118" s="814">
        <v>1</v>
      </c>
      <c r="H118" s="805" t="s">
        <v>7</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1846</v>
      </c>
      <c r="C120" s="782"/>
      <c r="D120" s="807" t="s">
        <v>1847</v>
      </c>
      <c r="E120" s="665" t="s">
        <v>1587</v>
      </c>
      <c r="F120" s="665" t="s">
        <v>1848</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1849</v>
      </c>
      <c r="E121" s="665" t="s">
        <v>1589</v>
      </c>
      <c r="F121" s="665" t="s">
        <v>1848</v>
      </c>
      <c r="G121" s="813">
        <v>1</v>
      </c>
      <c r="H121" s="787" t="s">
        <v>727</v>
      </c>
      <c r="I121" s="672">
        <f>$H$2</f>
        <v>0</v>
      </c>
      <c r="J121" s="672">
        <v>1700</v>
      </c>
      <c r="K121" s="791">
        <f>J121/(1+L121)</f>
        <v>1452.9914529914531</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1850</v>
      </c>
      <c r="E122" s="648" t="s">
        <v>1590</v>
      </c>
      <c r="F122" s="665" t="s">
        <v>1835</v>
      </c>
      <c r="G122" s="813">
        <v>7</v>
      </c>
      <c r="H122" s="805" t="s">
        <v>1923</v>
      </c>
      <c r="I122" s="672">
        <f>$I$2*($K$2+1)</f>
        <v>0</v>
      </c>
      <c r="J122" s="67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hidden="1" customHeight="1" outlineLevel="3">
      <c r="B123" s="776" t="s">
        <v>1851</v>
      </c>
      <c r="C123" s="782" t="s">
        <v>39</v>
      </c>
      <c r="D123" s="804" t="s">
        <v>1852</v>
      </c>
      <c r="E123" s="665" t="s">
        <v>1580</v>
      </c>
      <c r="F123" s="648" t="s">
        <v>657</v>
      </c>
      <c r="G123" s="808">
        <v>0.19</v>
      </c>
      <c r="H123" s="805" t="s">
        <v>145</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1856</v>
      </c>
      <c r="E125" s="814" t="s">
        <v>1228</v>
      </c>
      <c r="F125" s="814" t="s">
        <v>1692</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IF(O126="","",O126*10000/E$2)</f>
        <v>#DIV/0!</v>
      </c>
      <c r="Q126" s="781">
        <f t="shared" si="25"/>
        <v>0</v>
      </c>
      <c r="AA126" s="632"/>
    </row>
    <row r="127" spans="2:27" ht="16.5" hidden="1" customHeight="1" outlineLevel="3">
      <c r="B127" s="776" t="s">
        <v>1858</v>
      </c>
      <c r="C127" s="782" t="s">
        <v>39</v>
      </c>
      <c r="D127" s="815" t="s">
        <v>1859</v>
      </c>
      <c r="E127" s="648" t="s">
        <v>1860</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1861</v>
      </c>
      <c r="E128" s="665" t="s">
        <v>463</v>
      </c>
      <c r="F128" s="665" t="s">
        <v>1693</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1862</v>
      </c>
      <c r="C129" s="712">
        <v>2</v>
      </c>
      <c r="D129" s="771" t="s">
        <v>1863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1865</v>
      </c>
      <c r="C131" s="782" t="s">
        <v>39</v>
      </c>
      <c r="D131" s="815" t="s">
        <v>1866</v>
      </c>
      <c r="E131" s="648" t="s">
        <v>1867</v>
      </c>
      <c r="F131" s="648" t="s">
        <v>1694</v>
      </c>
      <c r="G131" s="787">
        <v>50</v>
      </c>
      <c r="H131" s="805" t="s">
        <v>1921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1868</v>
      </c>
      <c r="E132" s="648" t="s">
        <v>457</v>
      </c>
      <c r="F132" s="648" t="s">
        <v>1694</v>
      </c>
      <c r="G132" s="787">
        <v>50</v>
      </c>
      <c r="H132" s="805" t="s">
        <v>1921</v>
      </c>
      <c r="I132" s="672">
        <f>$I$2</f>
        <v>0</v>
      </c>
      <c r="J132" s="672">
        <v>800</v>
      </c>
      <c r="K132" s="791">
        <f>J132/(1+L132)</f>
        <v>683.76068376068383</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1869</v>
      </c>
      <c r="E133" s="648" t="s">
        <v>1329</v>
      </c>
      <c r="F133" s="648" t="s">
        <v>1694</v>
      </c>
      <c r="G133" s="787">
        <v>50</v>
      </c>
      <c r="H133" s="805" t="s">
        <v>1921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1872</v>
      </c>
      <c r="C135" s="782" t="s">
        <v>39</v>
      </c>
      <c r="D135" s="815" t="s">
        <v>1873</v>
      </c>
      <c r="E135" s="648" t="s">
        <v>1867</v>
      </c>
      <c r="F135" s="648" t="s">
        <v>1694</v>
      </c>
      <c r="G135" s="787">
        <v>30</v>
      </c>
      <c r="H135" s="805" t="s">
        <v>1921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1874</v>
      </c>
      <c r="E136" s="648" t="s">
        <v>457</v>
      </c>
      <c r="F136" s="648" t="s">
        <v>1694</v>
      </c>
      <c r="G136" s="787">
        <v>30</v>
      </c>
      <c r="H136" s="805" t="s">
        <v>1921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1875</v>
      </c>
      <c r="E137" s="648" t="s">
        <v>1329</v>
      </c>
      <c r="F137" s="648" t="s">
        <v>1694</v>
      </c>
      <c r="G137" s="787">
        <v>30</v>
      </c>
      <c r="H137" s="805" t="s">
        <v>1921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1879</v>
      </c>
      <c r="E140" s="648" t="s">
        <v>1867</v>
      </c>
      <c r="F140" s="665" t="s">
        <v>1835</v>
      </c>
      <c r="G140" s="813">
        <v>15</v>
      </c>
      <c r="H140" s="805" t="s">
        <v>1924</v>
      </c>
      <c r="I140" s="672">
        <f>($K$2+1)*$I$2</f>
        <v>0</v>
      </c>
      <c r="J140" s="672">
        <v>150</v>
      </c>
      <c r="K140" s="791">
        <f>J140/(1+L140)</f>
        <v>135.13513513513513</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1882</v>
      </c>
      <c r="C142" s="782" t="s">
        <v>39</v>
      </c>
      <c r="D142" s="815" t="s">
        <v>1883</v>
      </c>
      <c r="E142" s="648" t="s">
        <v>1867</v>
      </c>
      <c r="F142" s="665" t="s">
        <v>1884</v>
      </c>
      <c r="G142" s="813">
        <v>15</v>
      </c>
      <c r="H142" s="805" t="s">
        <v>1924</v>
      </c>
      <c r="I142" s="672">
        <f>($K$2-1)*$I$2</f>
        <v>0</v>
      </c>
      <c r="J142" s="672">
        <v>350</v>
      </c>
      <c r="K142" s="791">
        <f>J142/(1+L142)</f>
        <v>315.31531531531527</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1885</v>
      </c>
      <c r="E143" s="648" t="s">
        <v>457</v>
      </c>
      <c r="F143" s="665" t="s">
        <v>1884</v>
      </c>
      <c r="G143" s="813">
        <v>15</v>
      </c>
      <c r="H143" s="805" t="s">
        <v>1924</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1886</v>
      </c>
      <c r="E144" s="648" t="s">
        <v>1329</v>
      </c>
      <c r="F144" s="665" t="s">
        <v>1884</v>
      </c>
      <c r="G144" s="813">
        <v>15</v>
      </c>
      <c r="H144" s="805" t="s">
        <v>1924</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1693</v>
      </c>
      <c r="G151" s="813">
        <v>1</v>
      </c>
      <c r="H151" s="787" t="s">
        <v>1925</v>
      </c>
      <c r="I151" s="672">
        <f t="shared" ref="I151:I156" si="30">$H$2</f>
        <v>0</v>
      </c>
      <c r="J151" s="672">
        <v>200</v>
      </c>
      <c r="K151" s="791">
        <f t="shared" ref="K151:K156" si="31">J151/(1+L151)</f>
        <v>180.18018018018017</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1896</v>
      </c>
      <c r="E152" s="665" t="s">
        <v>1596</v>
      </c>
      <c r="F152" s="665" t="s">
        <v>1693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1897</v>
      </c>
      <c r="F153" s="665" t="s">
        <v>1693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1898</v>
      </c>
      <c r="E154" s="665" t="s">
        <v>458</v>
      </c>
      <c r="F154" s="665" t="s">
        <v>1693</v>
      </c>
      <c r="G154" s="813">
        <v>1</v>
      </c>
      <c r="H154" s="787" t="s">
        <v>1925</v>
      </c>
      <c r="I154" s="672">
        <f t="shared" si="30"/>
        <v>0</v>
      </c>
      <c r="J154" s="672">
        <v>200</v>
      </c>
      <c r="K154" s="791">
        <f t="shared" si="31"/>
        <v>180.18018018018017</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1899</v>
      </c>
      <c r="E155" s="665" t="s">
        <v>1900</v>
      </c>
      <c r="F155" s="665" t="s">
        <v>1693</v>
      </c>
      <c r="G155" s="813">
        <v>1</v>
      </c>
      <c r="H155" s="787" t="s">
        <v>1925</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1901</v>
      </c>
      <c r="E156" s="665" t="s">
        <v>458</v>
      </c>
      <c r="F156" s="665" t="s">
        <v>1693</v>
      </c>
      <c r="G156" s="813">
        <v>1</v>
      </c>
      <c r="H156" s="787" t="s">
        <v>1925</v>
      </c>
      <c r="I156" s="672">
        <f t="shared" si="30"/>
        <v>0</v>
      </c>
      <c r="J156" s="672">
        <v>200</v>
      </c>
      <c r="K156" s="791">
        <f t="shared" si="31"/>
        <v>180.18018018018017</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1903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1712</v>
      </c>
      <c r="D162" s="804" t="s">
        <v>1908</v>
      </c>
      <c r="E162" s="665" t="s">
        <v>461</v>
      </c>
      <c r="F162" s="665" t="s">
        <v>1693</v>
      </c>
      <c r="G162" s="813">
        <v>1</v>
      </c>
      <c r="H162" s="787" t="s">
        <v>143</v>
      </c>
      <c r="I162" s="672">
        <f>$H$2</f>
        <v>0</v>
      </c>
      <c r="J162" s="672">
        <v>20</v>
      </c>
      <c r="K162" s="791">
        <f>J162/(1+L162)</f>
        <v>17.094017094017094</v>
      </c>
      <c r="L162" s="569">
        <v>0.17</v>
      </c>
      <c r="M162" s="779">
        <f t="shared" si="32"/>
        <v>0</v>
      </c>
      <c r="N162" s="779">
        <f>L162*M162</f>
        <v>0</v>
      </c>
      <c r="O162" s="779">
        <f>M162+N162</f>
        <v>0</v>
      </c>
      <c r="P162" s="780" t="e">
        <f>IF(O162="","",O162*10000/E$2)</f>
        <v>#DIV/0!</v>
      </c>
      <c r="Q162" s="781">
        <f t="shared" si="25"/>
        <v>0</v>
      </c>
      <c r="AA162" s="632"/>
    </row>
    <row r="163" spans="2:27" ht="16.5" hidden="1" customHeight="1" outlineLevel="2">
      <c r="B163" s="776" t="s">
        <v>1601</v>
      </c>
      <c r="C163" s="777" t="s">
        <v>68</v>
      </c>
      <c r="D163" s="804" t="s">
        <v>1909</v>
      </c>
      <c r="E163" s="648" t="s">
        <v>1602</v>
      </c>
      <c r="F163" s="665" t="s">
        <v>1693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1910</v>
      </c>
      <c r="E164" s="648" t="s">
        <v>1911</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hidden="1"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38:J40">
    <cfRule type="cellIs" priority="77" operator="equal">
      <formula>0</formula>
    </cfRule>
    <cfRule type="cellIs" dxfId="242" priority="78" operator="equal">
      <formula>0</formula>
    </cfRule>
  </conditionalFormatting>
  <conditionalFormatting sqref="B82:C82">
    <cfRule type="duplicateValues" dxfId="241" priority="143"/>
  </conditionalFormatting>
  <conditionalFormatting sqref="B88:C88">
    <cfRule type="duplicateValues" dxfId="240" priority="141"/>
  </conditionalFormatting>
  <conditionalFormatting sqref="D6:D8">
    <cfRule type="duplicateValues" dxfId="239" priority="152"/>
  </conditionalFormatting>
  <conditionalFormatting sqref="B36:C36">
    <cfRule type="duplicateValues" dxfId="238" priority="146"/>
  </conditionalFormatting>
  <conditionalFormatting sqref="B129:C129">
    <cfRule type="duplicateValues" dxfId="237" priority="139"/>
  </conditionalFormatting>
  <conditionalFormatting sqref="B5:C5">
    <cfRule type="duplicateValues" dxfId="236" priority="147"/>
  </conditionalFormatting>
  <conditionalFormatting sqref="B4:C4">
    <cfRule type="duplicateValues" dxfId="235" priority="148"/>
  </conditionalFormatting>
  <conditionalFormatting sqref="B161:C161">
    <cfRule type="duplicateValues" dxfId="234" priority="137"/>
  </conditionalFormatting>
  <conditionalFormatting sqref="D1:D5 D9:D65536">
    <cfRule type="duplicateValues" dxfId="233" priority="151"/>
  </conditionalFormatting>
  <conditionalFormatting sqref="B70:C70">
    <cfRule type="duplicateValues" dxfId="232" priority="144"/>
  </conditionalFormatting>
  <conditionalFormatting sqref="B149:C149">
    <cfRule type="duplicateValues" dxfId="231" priority="138"/>
  </conditionalFormatting>
  <conditionalFormatting sqref="B89:C89">
    <cfRule type="duplicateValues" dxfId="230" priority="140"/>
  </conditionalFormatting>
  <conditionalFormatting sqref="B69:C69">
    <cfRule type="duplicateValues" dxfId="229" priority="145"/>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228" priority="150" operator="equal">
      <formula>0</formula>
    </cfRule>
  </conditionalFormatting>
  <conditionalFormatting sqref="B86:C87">
    <cfRule type="duplicateValues" dxfId="227" priority="142"/>
  </conditionalFormatting>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O4" sqref="O4:O88"/>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4.08203125" style="632" customWidth="1"/>
    <col min="5" max="5" width="22.8320312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2029</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5" customHeight="1">
      <c r="C2" s="752"/>
      <c r="D2" s="753" t="s">
        <v>1622</v>
      </c>
      <c r="E2" s="757">
        <f>'2-规划指标'!H21</f>
        <v>0</v>
      </c>
      <c r="F2" s="758">
        <v>0</v>
      </c>
      <c r="G2" s="759">
        <f>'2-规划指标'!G21</f>
        <v>0</v>
      </c>
      <c r="H2" s="759">
        <f>'2-规划指标'!N21</f>
        <v>0</v>
      </c>
      <c r="I2" s="759">
        <f>'2-规划指标'!M21</f>
        <v>0</v>
      </c>
      <c r="J2" s="759">
        <f>'2-规划指标'!O21</f>
        <v>0</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995" t="s">
        <v>1623</v>
      </c>
      <c r="K3" s="995" t="s">
        <v>1624</v>
      </c>
      <c r="L3" s="995" t="s">
        <v>515</v>
      </c>
      <c r="M3" s="764" t="s">
        <v>1689</v>
      </c>
      <c r="N3" s="764" t="s">
        <v>1019</v>
      </c>
      <c r="O3" s="764" t="s">
        <v>1071</v>
      </c>
      <c r="P3" s="886" t="s">
        <v>1072</v>
      </c>
      <c r="Q3" s="995"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3.5</v>
      </c>
      <c r="H7" s="785" t="s">
        <v>384</v>
      </c>
      <c r="I7" s="614">
        <f>$G$2</f>
        <v>0</v>
      </c>
      <c r="J7" s="778">
        <v>50</v>
      </c>
      <c r="K7" s="778">
        <f>J7/(1+L7)</f>
        <v>45.045045045045043</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50</v>
      </c>
      <c r="K8" s="778">
        <f>J8/(1+L8)</f>
        <v>45.045045045045043</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v>
      </c>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0.47</v>
      </c>
      <c r="H12" s="790" t="s">
        <v>384</v>
      </c>
      <c r="I12" s="672">
        <f>$E$2</f>
        <v>0</v>
      </c>
      <c r="J12" s="786">
        <v>700</v>
      </c>
      <c r="K12" s="778">
        <f>J12/(1+L12)</f>
        <v>630.63063063063055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0</v>
      </c>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49</v>
      </c>
      <c r="H15" s="787" t="s">
        <v>1927</v>
      </c>
      <c r="I15" s="672">
        <f>$E$2</f>
        <v>0</v>
      </c>
      <c r="J15" s="786">
        <v>7.5</v>
      </c>
      <c r="K15" s="778">
        <f t="shared" ref="K15:K35" si="1">J15/(1+L15)</f>
        <v>6.7567567567567561</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3.3</v>
      </c>
      <c r="H16" s="787" t="s">
        <v>145</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0.28999999999999998</v>
      </c>
      <c r="H17" s="787" t="s">
        <v>384</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3</v>
      </c>
      <c r="H18" s="790" t="s">
        <v>145</v>
      </c>
      <c r="I18" s="672">
        <f>$E$2</f>
        <v>0</v>
      </c>
      <c r="J18" s="786">
        <v>45</v>
      </c>
      <c r="K18" s="778">
        <f t="shared" si="1"/>
        <v>40.54054054054054</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0.89</v>
      </c>
      <c r="H20" s="787" t="s">
        <v>145</v>
      </c>
      <c r="I20" s="672">
        <f>$E$2</f>
        <v>0</v>
      </c>
      <c r="J20" s="672">
        <v>45.5035862018402</v>
      </c>
      <c r="K20" s="778">
        <f t="shared" si="1"/>
        <v>38.891954018666837</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0.89</v>
      </c>
      <c r="H21" s="787" t="s">
        <v>145</v>
      </c>
      <c r="I21" s="672">
        <f>$E$2</f>
        <v>0</v>
      </c>
      <c r="J21" s="672">
        <v>30</v>
      </c>
      <c r="K21" s="778">
        <f t="shared" si="1"/>
        <v>27.027027027027025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c r="K23" s="778">
        <f t="shared" si="1"/>
        <v>0</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v>780</v>
      </c>
      <c r="K25" s="778">
        <f t="shared" si="1"/>
        <v>702.7027027027026</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v>25</v>
      </c>
      <c r="K26" s="778">
        <f t="shared" si="1"/>
        <v>22.522522522522522</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v>0</v>
      </c>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1.35</v>
      </c>
      <c r="H29" s="790" t="s">
        <v>145</v>
      </c>
      <c r="I29" s="672">
        <f t="shared" si="2"/>
        <v>0</v>
      </c>
      <c r="J29" s="672">
        <v>100</v>
      </c>
      <c r="K29" s="778">
        <f t="shared" si="1"/>
        <v>90.090090090090087</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v>
      </c>
      <c r="H30" s="790" t="s">
        <v>143</v>
      </c>
      <c r="I30" s="672">
        <f>G2</f>
        <v>0</v>
      </c>
      <c r="J30" s="672">
        <v>90</v>
      </c>
      <c r="K30" s="778">
        <f t="shared" si="1"/>
        <v>81.081081081081081</v>
      </c>
      <c r="L30" s="569">
        <v>0.11</v>
      </c>
      <c r="M30" s="779">
        <f>G30*I30*K30/10000</f>
        <v>0</v>
      </c>
      <c r="N30" s="779">
        <f t="shared" si="3"/>
        <v>0</v>
      </c>
      <c r="O30" s="779">
        <f t="shared" si="4"/>
        <v>0</v>
      </c>
      <c r="P30" s="614" t="e">
        <f>IF(O30="","",O30*10000/E$2)</f>
        <v>#DIV/0!</v>
      </c>
      <c r="Q30" s="511"/>
      <c r="R30" s="632"/>
      <c r="AB30" s="632"/>
    </row>
    <row r="31" spans="2:28" ht="15.75" hidden="1" customHeight="1" outlineLevel="3">
      <c r="B31" s="776" t="s">
        <v>1653</v>
      </c>
      <c r="C31" s="782" t="s">
        <v>39</v>
      </c>
      <c r="D31" s="783" t="s">
        <v>1654</v>
      </c>
      <c r="E31" s="648" t="s">
        <v>1496</v>
      </c>
      <c r="F31" s="648" t="s">
        <v>657</v>
      </c>
      <c r="G31" s="672">
        <v>1</v>
      </c>
      <c r="H31" s="787" t="s">
        <v>143</v>
      </c>
      <c r="I31" s="672">
        <f t="shared" si="2"/>
        <v>0</v>
      </c>
      <c r="J31" s="672">
        <v>0</v>
      </c>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143</v>
      </c>
      <c r="I32" s="672">
        <f t="shared" si="2"/>
        <v>0</v>
      </c>
      <c r="J32" s="672"/>
      <c r="K32" s="778">
        <f t="shared" si="1"/>
        <v>0</v>
      </c>
      <c r="L32" s="569">
        <v>0.11</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143</v>
      </c>
      <c r="I33" s="672">
        <f t="shared" si="2"/>
        <v>0</v>
      </c>
      <c r="J33" s="672">
        <v>10</v>
      </c>
      <c r="K33" s="778">
        <f t="shared" si="1"/>
        <v>9.0090090090090076</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43</v>
      </c>
      <c r="K39" s="778">
        <f>J39/(1+L39)</f>
        <v>38.738738738738732</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45</v>
      </c>
      <c r="K40" s="778">
        <f>J40/(1+L40)</f>
        <v>38.461538461538467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c r="H45" s="790" t="s">
        <v>143</v>
      </c>
      <c r="I45" s="672">
        <f>$E$2*(1+$F$2)</f>
        <v>0</v>
      </c>
      <c r="J45" s="791">
        <v>30</v>
      </c>
      <c r="K45" s="778">
        <f>J45/(1+L45)</f>
        <v>27.027027027027025</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v>1150</v>
      </c>
      <c r="K46" s="778">
        <f>J46/(1+L46)</f>
        <v>1150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6">$E$2*(1+$F$2)</f>
        <v>0</v>
      </c>
      <c r="J48" s="672">
        <v>90</v>
      </c>
      <c r="K48" s="778">
        <f t="shared" ref="K48:K53" si="7">J48/(1+L48)</f>
        <v>81.081081081081081</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6"/>
        <v>0</v>
      </c>
      <c r="J50" s="672">
        <v>30</v>
      </c>
      <c r="K50" s="778">
        <f t="shared" si="7"/>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6"/>
        <v>0</v>
      </c>
      <c r="J51" s="672">
        <v>11</v>
      </c>
      <c r="K51" s="778">
        <f t="shared" si="7"/>
        <v>9.4017094017094021</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v>1</v>
      </c>
      <c r="H53" s="790" t="s">
        <v>143</v>
      </c>
      <c r="I53" s="672">
        <f t="shared" si="6"/>
        <v>0</v>
      </c>
      <c r="J53" s="672">
        <v>50</v>
      </c>
      <c r="K53" s="778">
        <f t="shared" si="7"/>
        <v>50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741</v>
      </c>
      <c r="I54" s="672">
        <f>H2</f>
        <v>0</v>
      </c>
      <c r="J54" s="672">
        <v>350</v>
      </c>
      <c r="K54" s="778">
        <f>J54/(1+L54)</f>
        <v>299.14529914529919</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788"/>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788"/>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10</v>
      </c>
      <c r="K64" s="672">
        <f>J64/(1+L64)</f>
        <v>9.0090090090090076</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v>0</v>
      </c>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v>0</v>
      </c>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v>0</v>
      </c>
      <c r="K68" s="778">
        <f>J68/(1+L68)</f>
        <v>0</v>
      </c>
      <c r="L68" s="569">
        <v>0.11</v>
      </c>
      <c r="M68" s="779">
        <f>G68*I68*K68/10000</f>
        <v>0</v>
      </c>
      <c r="N68" s="779">
        <f>L68*M68</f>
        <v>0</v>
      </c>
      <c r="O68" s="779">
        <f>M68+N68</f>
        <v>0</v>
      </c>
      <c r="P68" s="614" t="e">
        <f t="shared" si="0"/>
        <v>#DIV/0!</v>
      </c>
      <c r="Q68" s="511"/>
      <c r="R68" s="632"/>
      <c r="AB68" s="632"/>
    </row>
    <row r="69" spans="2:28" ht="16.5" customHeight="1" collapsed="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hidden="1" customHeight="1" outlineLevel="1">
      <c r="B70" s="802" t="s">
        <v>676</v>
      </c>
      <c r="C70" s="803">
        <v>1</v>
      </c>
      <c r="D70" s="802" t="s">
        <v>45</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0.17</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hidden="1" customHeight="1" outlineLevel="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hidden="1"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hidden="1"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ollapsed="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hidden="1" customHeight="1" outlineLevel="1">
      <c r="B89" s="802" t="s">
        <v>499</v>
      </c>
      <c r="C89" s="803">
        <v>1</v>
      </c>
      <c r="D89" s="802" t="s">
        <v>87</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1.05</v>
      </c>
      <c r="H92" s="805" t="s">
        <v>145</v>
      </c>
      <c r="I92" s="672">
        <f t="shared" ref="I92:I103" si="17">$E$2*(1+$F$2)</f>
        <v>0</v>
      </c>
      <c r="J92" s="790">
        <v>30</v>
      </c>
      <c r="K92" s="778">
        <f>J92/(1+L92)</f>
        <v>25.641025641025642</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1.05</v>
      </c>
      <c r="H93" s="805" t="s">
        <v>145</v>
      </c>
      <c r="I93" s="672">
        <f t="shared" si="17"/>
        <v>0</v>
      </c>
      <c r="J93" s="790">
        <v>50</v>
      </c>
      <c r="K93" s="778">
        <f>J93/(1+L93)</f>
        <v>45.045045045045043</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0</v>
      </c>
      <c r="H95" s="805" t="s">
        <v>145</v>
      </c>
      <c r="I95" s="672">
        <f t="shared" si="17"/>
        <v>0</v>
      </c>
      <c r="J95" s="790"/>
      <c r="K95" s="778">
        <f t="shared" ref="K95:K128" si="18">J95/(1+L95)</f>
        <v>0</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145</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145</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145</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0.25</v>
      </c>
      <c r="H100" s="805" t="s">
        <v>145</v>
      </c>
      <c r="I100" s="672">
        <f t="shared" si="17"/>
        <v>0</v>
      </c>
      <c r="J100" s="790">
        <v>50</v>
      </c>
      <c r="K100" s="778">
        <f t="shared" si="18"/>
        <v>42.73504273504274</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0.25</v>
      </c>
      <c r="H101" s="805" t="s">
        <v>145</v>
      </c>
      <c r="I101" s="672">
        <f t="shared" si="17"/>
        <v>0</v>
      </c>
      <c r="J101" s="790">
        <v>150</v>
      </c>
      <c r="K101" s="778">
        <f t="shared" si="18"/>
        <v>135.13513513513513</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0</v>
      </c>
      <c r="H103" s="805" t="s">
        <v>143</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v>0.15</v>
      </c>
      <c r="H104" s="805" t="s">
        <v>143</v>
      </c>
      <c r="I104" s="672">
        <f>$E$2*(1+$F$2)</f>
        <v>0</v>
      </c>
      <c r="J104" s="790">
        <v>360</v>
      </c>
      <c r="K104" s="778">
        <f t="shared" si="18"/>
        <v>324.32432432432432</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0.17</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57</v>
      </c>
      <c r="G106" s="810">
        <v>1</v>
      </c>
      <c r="H106" s="795"/>
      <c r="I106" s="789">
        <f>I2</f>
        <v>0</v>
      </c>
      <c r="J106" s="790">
        <v>5000</v>
      </c>
      <c r="K106" s="778">
        <f t="shared" si="18"/>
        <v>4504.5045045045044</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c r="H107" s="805" t="s">
        <v>145</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57</v>
      </c>
      <c r="G108" s="811">
        <v>0</v>
      </c>
      <c r="H108" s="805" t="s">
        <v>1921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0</v>
      </c>
      <c r="H109" s="805" t="s">
        <v>143</v>
      </c>
      <c r="I109" s="672">
        <f>$E$2*(1+$F$2)</f>
        <v>0</v>
      </c>
      <c r="J109" s="812">
        <v>10</v>
      </c>
      <c r="K109" s="778">
        <f t="shared" si="18"/>
        <v>9.0090090090090076</v>
      </c>
      <c r="L109" s="620">
        <v>0.11</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6</v>
      </c>
      <c r="H112" s="805" t="s">
        <v>1922</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c r="H113" s="787" t="s">
        <v>1922</v>
      </c>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5.5</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3</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4</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57</v>
      </c>
      <c r="G118" s="814"/>
      <c r="H118" s="805" t="s">
        <v>7</v>
      </c>
      <c r="I118" s="672">
        <f>$I$2</f>
        <v>0</v>
      </c>
      <c r="J118" s="812">
        <v>5000</v>
      </c>
      <c r="K118" s="778">
        <f t="shared" si="18"/>
        <v>4504.5045045045044</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v>3700</v>
      </c>
      <c r="K120" s="778">
        <f t="shared" si="18"/>
        <v>3162.3931623931626</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0</v>
      </c>
      <c r="H121" s="787" t="s">
        <v>727</v>
      </c>
      <c r="I121" s="672">
        <f>$H$2</f>
        <v>0</v>
      </c>
      <c r="J121" s="787">
        <v>500</v>
      </c>
      <c r="K121" s="778">
        <f t="shared" si="18"/>
        <v>427.35042735042737</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4.4999999999999998E-2</v>
      </c>
      <c r="H122" s="805" t="s">
        <v>1923</v>
      </c>
      <c r="I122" s="672">
        <f>$I$2*($J$2+1)</f>
        <v>0</v>
      </c>
      <c r="J122" s="812">
        <v>450</v>
      </c>
      <c r="K122" s="778">
        <f t="shared" si="18"/>
        <v>384.61538461538464</v>
      </c>
      <c r="L122" s="620">
        <v>0.17</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0.39</v>
      </c>
      <c r="H123" s="805" t="s">
        <v>145</v>
      </c>
      <c r="I123" s="672">
        <f>$E$2*(1+$F$2)</f>
        <v>0</v>
      </c>
      <c r="J123" s="812">
        <v>700</v>
      </c>
      <c r="K123" s="778">
        <f t="shared" si="18"/>
        <v>598.29059829059838</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0</v>
      </c>
      <c r="H125" s="787" t="s">
        <v>145</v>
      </c>
      <c r="I125" s="672">
        <f>$G$2</f>
        <v>0</v>
      </c>
      <c r="J125" s="816">
        <v>130</v>
      </c>
      <c r="K125" s="778">
        <f t="shared" si="18"/>
        <v>117.1171171171171</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143</v>
      </c>
      <c r="I127" s="672">
        <f>$E$2*(1+$F$2)</f>
        <v>0</v>
      </c>
      <c r="J127" s="837">
        <v>3</v>
      </c>
      <c r="K127" s="778">
        <f t="shared" si="18"/>
        <v>2.5641025641025643</v>
      </c>
      <c r="L127" s="620">
        <v>0.17</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120</v>
      </c>
      <c r="K128" s="778">
        <f t="shared" si="18"/>
        <v>102.56410256410257</v>
      </c>
      <c r="L128" s="620">
        <v>0.17</v>
      </c>
      <c r="M128" s="779">
        <f t="shared" si="19"/>
        <v>0</v>
      </c>
      <c r="N128" s="779">
        <f>L128*M128</f>
        <v>0</v>
      </c>
      <c r="O128" s="779">
        <f>M128+N128</f>
        <v>0</v>
      </c>
      <c r="P128" s="780" t="e">
        <f t="shared" si="11"/>
        <v>#DIV/0!</v>
      </c>
      <c r="Q128" s="781"/>
      <c r="R128" s="632"/>
      <c r="AB128" s="632"/>
    </row>
    <row r="129" spans="2:28" ht="16.5" hidden="1"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57</v>
      </c>
      <c r="G131" s="787"/>
      <c r="H131" s="805" t="s">
        <v>1921</v>
      </c>
      <c r="I131" s="672">
        <f>$I$2</f>
        <v>0</v>
      </c>
      <c r="J131" s="681">
        <v>900</v>
      </c>
      <c r="K131" s="778">
        <f>J131/(1+L131)</f>
        <v>810.81081081081072</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57</v>
      </c>
      <c r="G132" s="787"/>
      <c r="H132" s="805" t="s">
        <v>1921</v>
      </c>
      <c r="I132" s="672">
        <f>$I$2</f>
        <v>0</v>
      </c>
      <c r="J132" s="681">
        <v>200</v>
      </c>
      <c r="K132" s="778">
        <f>J132/(1+L132)</f>
        <v>170.94017094017096</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57</v>
      </c>
      <c r="G133" s="787"/>
      <c r="H133" s="805" t="s">
        <v>1921</v>
      </c>
      <c r="I133" s="672">
        <f>$I$2</f>
        <v>0</v>
      </c>
      <c r="J133" s="681">
        <v>100</v>
      </c>
      <c r="K133" s="778">
        <f>J133/(1+L133)</f>
        <v>85.470085470085479</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57</v>
      </c>
      <c r="G135" s="787"/>
      <c r="H135" s="805" t="s">
        <v>1921</v>
      </c>
      <c r="I135" s="672">
        <f>$I$2</f>
        <v>0</v>
      </c>
      <c r="J135" s="681">
        <v>300</v>
      </c>
      <c r="K135" s="778">
        <f>J135/(1+L135)</f>
        <v>270.27027027027026</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57</v>
      </c>
      <c r="G136" s="787"/>
      <c r="H136" s="805" t="s">
        <v>1921</v>
      </c>
      <c r="I136" s="672">
        <f>$I$2</f>
        <v>0</v>
      </c>
      <c r="J136" s="681">
        <v>200</v>
      </c>
      <c r="K136" s="778">
        <f>J136/(1+L136)</f>
        <v>170.94017094017096</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57</v>
      </c>
      <c r="G137" s="787"/>
      <c r="H137" s="805" t="s">
        <v>1921</v>
      </c>
      <c r="I137" s="672">
        <f>$I$2</f>
        <v>0</v>
      </c>
      <c r="J137" s="681">
        <v>100</v>
      </c>
      <c r="K137" s="778">
        <f>J137/(1+L137)</f>
        <v>85.470085470085479</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57</v>
      </c>
      <c r="G138" s="787"/>
      <c r="H138" s="805" t="s">
        <v>1921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57</v>
      </c>
      <c r="G139" s="787"/>
      <c r="H139" s="805" t="s">
        <v>1921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c r="H140" s="805" t="s">
        <v>1924</v>
      </c>
      <c r="I140" s="672">
        <f>$J$2+1</f>
        <v>1</v>
      </c>
      <c r="J140" s="681">
        <v>200</v>
      </c>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c r="H142" s="805" t="s">
        <v>1924</v>
      </c>
      <c r="I142" s="672">
        <f>($J$2-1)*$I$2</f>
        <v>0</v>
      </c>
      <c r="J142" s="681">
        <v>500</v>
      </c>
      <c r="K142" s="778">
        <f>J142/(1+L142)</f>
        <v>450.45045045045043</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c r="H143" s="805" t="s">
        <v>1924</v>
      </c>
      <c r="I143" s="672">
        <f>($J$2-1)*$I$2</f>
        <v>0</v>
      </c>
      <c r="J143" s="681">
        <v>200</v>
      </c>
      <c r="K143" s="778">
        <f>J143/(1+L143)</f>
        <v>170.94017094017096</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c r="H144" s="805" t="s">
        <v>1924</v>
      </c>
      <c r="I144" s="672">
        <f>($J$2-1)*$I$2</f>
        <v>0</v>
      </c>
      <c r="J144" s="681">
        <v>100</v>
      </c>
      <c r="K144" s="778">
        <f>J144/(1+L144)</f>
        <v>85.470085470085479</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hidden="1"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1925</v>
      </c>
      <c r="I151" s="672">
        <f t="shared" ref="I151:I156" si="29">$H$2</f>
        <v>0</v>
      </c>
      <c r="J151" s="681">
        <v>800</v>
      </c>
      <c r="K151" s="778">
        <f t="shared" ref="K151:K158" si="30">J151/(1+L151)</f>
        <v>720.72072072072069</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1925</v>
      </c>
      <c r="I152" s="672">
        <f t="shared" si="29"/>
        <v>0</v>
      </c>
      <c r="J152" s="787">
        <v>400</v>
      </c>
      <c r="K152" s="778">
        <f t="shared" si="30"/>
        <v>360.36036036036035</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1925</v>
      </c>
      <c r="I153" s="672">
        <f t="shared" si="29"/>
        <v>0</v>
      </c>
      <c r="J153" s="787">
        <v>1500</v>
      </c>
      <c r="K153" s="778">
        <f t="shared" si="30"/>
        <v>1351.3513513513512</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1925</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1925</v>
      </c>
      <c r="I155" s="672">
        <f t="shared" si="29"/>
        <v>0</v>
      </c>
      <c r="J155" s="787">
        <v>500</v>
      </c>
      <c r="K155" s="778">
        <f t="shared" si="30"/>
        <v>427.35042735042737</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1925</v>
      </c>
      <c r="I156" s="672">
        <f t="shared" si="29"/>
        <v>0</v>
      </c>
      <c r="J156" s="787"/>
      <c r="K156" s="778">
        <f t="shared" si="30"/>
        <v>0</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hidden="1"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c r="H162" s="787" t="s">
        <v>143</v>
      </c>
      <c r="I162" s="672">
        <f>$H$2</f>
        <v>0</v>
      </c>
      <c r="J162" s="787">
        <v>25</v>
      </c>
      <c r="K162" s="778">
        <f>J162/(1+L162)</f>
        <v>21.36752136752137</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1</v>
      </c>
      <c r="H163" s="787" t="s">
        <v>1926</v>
      </c>
      <c r="I163" s="672">
        <f>$H$2</f>
        <v>0</v>
      </c>
      <c r="J163" s="681">
        <v>5900</v>
      </c>
      <c r="K163" s="778">
        <f>J163/(1+L163)</f>
        <v>5042.735042735043</v>
      </c>
      <c r="L163" s="569">
        <v>0.17</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1</v>
      </c>
      <c r="H164" s="787" t="s">
        <v>1926</v>
      </c>
      <c r="I164" s="672"/>
      <c r="J164" s="681">
        <v>6800</v>
      </c>
      <c r="K164" s="681"/>
      <c r="L164" s="569">
        <v>0.11</v>
      </c>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04">
    <cfRule type="cellIs" priority="29" operator="equal">
      <formula>0</formula>
    </cfRule>
    <cfRule type="cellIs" dxfId="226" priority="30" operator="equal">
      <formula>0</formula>
    </cfRule>
  </conditionalFormatting>
  <conditionalFormatting sqref="B129:C129">
    <cfRule type="duplicateValues" dxfId="225" priority="109"/>
  </conditionalFormatting>
  <conditionalFormatting sqref="B86:C87">
    <cfRule type="duplicateValues" dxfId="224" priority="112"/>
  </conditionalFormatting>
  <conditionalFormatting sqref="B4:C4">
    <cfRule type="duplicateValues" dxfId="223" priority="190"/>
  </conditionalFormatting>
  <conditionalFormatting sqref="D69:D167">
    <cfRule type="duplicateValues" dxfId="222" priority="118"/>
  </conditionalFormatting>
  <conditionalFormatting sqref="I19 I4:I10">
    <cfRule type="cellIs" dxfId="221" priority="186" operator="equal">
      <formula>0</formula>
    </cfRule>
  </conditionalFormatting>
  <conditionalFormatting sqref="B69:C69">
    <cfRule type="duplicateValues" dxfId="220" priority="115"/>
  </conditionalFormatting>
  <conditionalFormatting sqref="D10:D35">
    <cfRule type="duplicateValues" dxfId="219" priority="187"/>
  </conditionalFormatting>
  <conditionalFormatting sqref="D6:D8">
    <cfRule type="duplicateValues" dxfId="218" priority="193"/>
  </conditionalFormatting>
  <conditionalFormatting sqref="D168:D65536 D9 D1:D5 D36">
    <cfRule type="duplicateValues" dxfId="217" priority="192"/>
  </conditionalFormatting>
  <conditionalFormatting sqref="B5:C5">
    <cfRule type="duplicateValues" dxfId="216" priority="189"/>
  </conditionalFormatting>
  <conditionalFormatting sqref="B161:C161">
    <cfRule type="duplicateValues" dxfId="215" priority="107"/>
  </conditionalFormatting>
  <conditionalFormatting sqref="B36:C36">
    <cfRule type="duplicateValues" dxfId="214" priority="188"/>
  </conditionalFormatting>
  <conditionalFormatting sqref="I168:I65536">
    <cfRule type="cellIs" dxfId="213" priority="191" operator="equal">
      <formula>0</formula>
    </cfRule>
  </conditionalFormatting>
  <conditionalFormatting sqref="D37:D68">
    <cfRule type="duplicateValues" dxfId="212" priority="194"/>
  </conditionalFormatting>
  <conditionalFormatting sqref="B82:C82">
    <cfRule type="duplicateValues" dxfId="211" priority="113"/>
  </conditionalFormatting>
  <conditionalFormatting sqref="B70:C70">
    <cfRule type="duplicateValues" dxfId="210" priority="114"/>
  </conditionalFormatting>
  <conditionalFormatting sqref="B89:C89">
    <cfRule type="duplicateValues" dxfId="209" priority="110"/>
  </conditionalFormatting>
  <conditionalFormatting sqref="B149:C149">
    <cfRule type="duplicateValues" dxfId="208" priority="108"/>
  </conditionalFormatting>
  <conditionalFormatting sqref="B88:C88">
    <cfRule type="duplicateValues" dxfId="207" priority="111"/>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O4" sqref="O4:O88"/>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2030</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'2-规划指标'!H22</f>
        <v>0</v>
      </c>
      <c r="F2" s="758">
        <v>0</v>
      </c>
      <c r="G2" s="759">
        <f>'2-规划指标'!G22</f>
        <v>0</v>
      </c>
      <c r="H2" s="759">
        <f>'2-规划指标'!N22</f>
        <v>0</v>
      </c>
      <c r="I2" s="759">
        <f>'2-规划指标'!M22</f>
        <v>0</v>
      </c>
      <c r="J2" s="759"/>
      <c r="K2" s="759">
        <f>'2-规划指标'!O22</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ollapsed="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hidden="1"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 t="shared" si="0"/>
        <v>#DIV/0!</v>
      </c>
      <c r="Q6" s="781"/>
      <c r="AA6" s="632"/>
    </row>
    <row r="7" spans="2:27" ht="16.5" hidden="1" customHeight="1" outlineLevel="3">
      <c r="B7" s="776" t="s">
        <v>1714</v>
      </c>
      <c r="C7" s="782" t="s">
        <v>39</v>
      </c>
      <c r="D7" s="783" t="s">
        <v>1480</v>
      </c>
      <c r="E7" s="307" t="s">
        <v>1278</v>
      </c>
      <c r="F7" s="307" t="s">
        <v>1692</v>
      </c>
      <c r="G7" s="784">
        <v>3.5</v>
      </c>
      <c r="H7" s="785" t="s">
        <v>384</v>
      </c>
      <c r="I7" s="614">
        <f>$G$2</f>
        <v>0</v>
      </c>
      <c r="J7" s="614">
        <v>50</v>
      </c>
      <c r="K7" s="778">
        <f>J7/(1+L7)</f>
        <v>45.045045045045043</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1692</v>
      </c>
      <c r="G8" s="784">
        <v>1.5</v>
      </c>
      <c r="H8" s="785" t="s">
        <v>384</v>
      </c>
      <c r="I8" s="614">
        <f>$G$2</f>
        <v>0</v>
      </c>
      <c r="J8" s="614">
        <v>50</v>
      </c>
      <c r="K8" s="778">
        <f>J8/(1+L8)</f>
        <v>45.045045045045043</v>
      </c>
      <c r="L8" s="569">
        <v>0.11</v>
      </c>
      <c r="M8" s="779">
        <f>G8*I8*K8/10000</f>
        <v>0</v>
      </c>
      <c r="N8" s="779">
        <f>L8*M8</f>
        <v>0</v>
      </c>
      <c r="O8" s="779">
        <f>M8+N8</f>
        <v>0</v>
      </c>
      <c r="P8" s="780" t="e">
        <f t="shared" si="0"/>
        <v>#DIV/0!</v>
      </c>
      <c r="Q8" s="781">
        <f t="shared" ref="Q8:Q35" si="1">G8*I8*J8/10000-O8</f>
        <v>0</v>
      </c>
      <c r="AA8" s="632"/>
    </row>
    <row r="9" spans="2:27" ht="16.5" hidden="1"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v>0</v>
      </c>
      <c r="H11" s="787" t="s">
        <v>384</v>
      </c>
      <c r="I11" s="672">
        <f>$E$2*(1+$F$2)</f>
        <v>0</v>
      </c>
      <c r="J11" s="672"/>
      <c r="K11" s="778">
        <f>J11/(1+L11)</f>
        <v>0</v>
      </c>
      <c r="L11" s="569">
        <v>0.11</v>
      </c>
      <c r="M11" s="779">
        <f>G11*I11*K11/10000</f>
        <v>0</v>
      </c>
      <c r="N11" s="779">
        <f>L11*M11</f>
        <v>0</v>
      </c>
      <c r="O11" s="779">
        <f>M11+N11</f>
        <v>0</v>
      </c>
      <c r="P11" s="780" t="e">
        <f t="shared" si="0"/>
        <v>#DIV/0!</v>
      </c>
      <c r="Q11" s="781">
        <f t="shared" si="1"/>
        <v>0</v>
      </c>
      <c r="AA11" s="632"/>
    </row>
    <row r="12" spans="2:27" ht="16.5" hidden="1" customHeight="1" outlineLevel="3">
      <c r="B12" s="776" t="s">
        <v>1722</v>
      </c>
      <c r="C12" s="782"/>
      <c r="D12" s="783" t="s">
        <v>1723</v>
      </c>
      <c r="E12" s="648" t="s">
        <v>1228</v>
      </c>
      <c r="F12" s="648" t="s">
        <v>657</v>
      </c>
      <c r="G12" s="672">
        <v>0.47</v>
      </c>
      <c r="H12" s="787" t="s">
        <v>143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hidden="1"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v>0</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49</v>
      </c>
      <c r="H15" s="787" t="s">
        <v>1927</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0.28999999999999998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3</v>
      </c>
      <c r="H18" s="790" t="s">
        <v>384</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1733</v>
      </c>
      <c r="E20" s="648" t="s">
        <v>1488</v>
      </c>
      <c r="F20" s="648" t="s">
        <v>657</v>
      </c>
      <c r="G20" s="672">
        <v>0.89</v>
      </c>
      <c r="H20" s="787" t="s">
        <v>145</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0.89</v>
      </c>
      <c r="H21" s="787" t="s">
        <v>145</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145</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145</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145</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hidden="1" customHeight="1" outlineLevel="3">
      <c r="B28" s="776" t="s">
        <v>1744</v>
      </c>
      <c r="C28" s="782"/>
      <c r="D28" s="783" t="s">
        <v>1745</v>
      </c>
      <c r="E28" s="648" t="s">
        <v>1493</v>
      </c>
      <c r="F28" s="648" t="s">
        <v>657</v>
      </c>
      <c r="G28" s="672"/>
      <c r="H28" s="790" t="s">
        <v>145</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hidden="1" customHeight="1" outlineLevel="3">
      <c r="B29" s="776" t="s">
        <v>1494</v>
      </c>
      <c r="C29" s="782"/>
      <c r="D29" s="783" t="s">
        <v>1746</v>
      </c>
      <c r="E29" s="648" t="s">
        <v>1493</v>
      </c>
      <c r="F29" s="648" t="s">
        <v>657</v>
      </c>
      <c r="G29" s="672">
        <v>1.35</v>
      </c>
      <c r="H29" s="790" t="s">
        <v>145</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hidden="1" customHeight="1" outlineLevel="3">
      <c r="B30" s="776" t="s">
        <v>1495</v>
      </c>
      <c r="C30" s="782"/>
      <c r="D30" s="783" t="s">
        <v>1747</v>
      </c>
      <c r="E30" s="648" t="s">
        <v>1228</v>
      </c>
      <c r="F30" s="648" t="s">
        <v>1748</v>
      </c>
      <c r="G30" s="672">
        <v>1</v>
      </c>
      <c r="H30" s="790" t="s">
        <v>143</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hidden="1" customHeight="1" outlineLevel="3">
      <c r="B31" s="776" t="s">
        <v>1749</v>
      </c>
      <c r="C31" s="782" t="s">
        <v>39</v>
      </c>
      <c r="D31" s="776" t="s">
        <v>1750</v>
      </c>
      <c r="E31" s="648" t="s">
        <v>1496</v>
      </c>
      <c r="F31" s="648" t="s">
        <v>657</v>
      </c>
      <c r="G31" s="672">
        <v>1</v>
      </c>
      <c r="H31" s="787" t="s">
        <v>143</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hidden="1" customHeight="1" outlineLevel="3">
      <c r="B32" s="776" t="s">
        <v>1751</v>
      </c>
      <c r="C32" s="782" t="s">
        <v>39</v>
      </c>
      <c r="D32" s="776" t="s">
        <v>1752</v>
      </c>
      <c r="E32" s="648" t="s">
        <v>1753</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hidden="1" customHeight="1" outlineLevel="3">
      <c r="B33" s="776" t="s">
        <v>1755</v>
      </c>
      <c r="C33" s="782" t="s">
        <v>39</v>
      </c>
      <c r="D33" s="776" t="s">
        <v>1756</v>
      </c>
      <c r="E33" s="648" t="s">
        <v>1228</v>
      </c>
      <c r="F33" s="648" t="s">
        <v>657</v>
      </c>
      <c r="G33" s="672">
        <v>1</v>
      </c>
      <c r="H33" s="790" t="s">
        <v>143</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hidden="1"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hidden="1"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hidden="1"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hidden="1" customHeight="1" outlineLevel="3">
      <c r="B39" s="776" t="s">
        <v>1764</v>
      </c>
      <c r="C39" s="782"/>
      <c r="D39" s="796" t="s">
        <v>1498</v>
      </c>
      <c r="E39" s="648" t="s">
        <v>1228</v>
      </c>
      <c r="F39" s="648" t="s">
        <v>1765</v>
      </c>
      <c r="G39" s="791">
        <v>1</v>
      </c>
      <c r="H39" s="790" t="s">
        <v>143</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hidden="1" customHeight="1" outlineLevel="3">
      <c r="B40" s="776" t="s">
        <v>1499</v>
      </c>
      <c r="C40" s="782"/>
      <c r="D40" s="796" t="s">
        <v>1500</v>
      </c>
      <c r="E40" s="648" t="s">
        <v>1295</v>
      </c>
      <c r="F40" s="648" t="s">
        <v>1765</v>
      </c>
      <c r="G40" s="791">
        <v>1</v>
      </c>
      <c r="H40" s="790" t="s">
        <v>143</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ht="16.5" hidden="1" customHeight="1" outlineLevel="3">
      <c r="B42" s="776" t="s">
        <v>1766</v>
      </c>
      <c r="C42" s="782"/>
      <c r="D42" s="796" t="s">
        <v>1501</v>
      </c>
      <c r="E42" s="665" t="s">
        <v>1502</v>
      </c>
      <c r="F42" s="648" t="s">
        <v>1765</v>
      </c>
      <c r="G42" s="672">
        <v>1</v>
      </c>
      <c r="H42" s="787" t="s">
        <v>143</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hidden="1" customHeight="1" outlineLevel="3">
      <c r="B43" s="776" t="s">
        <v>1503</v>
      </c>
      <c r="C43" s="782"/>
      <c r="D43" s="796" t="s">
        <v>1504</v>
      </c>
      <c r="E43" s="665" t="s">
        <v>1505</v>
      </c>
      <c r="F43" s="665"/>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hidden="1" customHeight="1" outlineLevel="3">
      <c r="B44" s="776" t="s">
        <v>665</v>
      </c>
      <c r="C44" s="782" t="s">
        <v>39</v>
      </c>
      <c r="D44" s="776" t="s">
        <v>668</v>
      </c>
      <c r="E44" s="665"/>
      <c r="F44" s="665"/>
      <c r="G44" s="672"/>
      <c r="H44" s="787"/>
      <c r="I44" s="672"/>
      <c r="J44" s="672"/>
      <c r="K44" s="672"/>
      <c r="L44" s="569"/>
      <c r="M44" s="779">
        <f>SUBTOTAL(9,M45:M46)</f>
        <v>0</v>
      </c>
      <c r="N44" s="779">
        <f>SUBTOTAL(9,N45:N46)</f>
        <v>0</v>
      </c>
      <c r="O44" s="779">
        <f>SUBTOTAL(9,O45:O46)</f>
        <v>0</v>
      </c>
      <c r="P44" s="780" t="e">
        <f t="shared" si="0"/>
        <v>#DIV/0!</v>
      </c>
      <c r="Q44" s="511"/>
      <c r="AA44" s="632"/>
    </row>
    <row r="45" spans="2:27" ht="16.5" hidden="1" customHeight="1" outlineLevel="3">
      <c r="B45" s="776" t="s">
        <v>1767</v>
      </c>
      <c r="C45" s="782"/>
      <c r="D45" s="796" t="s">
        <v>1506</v>
      </c>
      <c r="E45" s="665" t="s">
        <v>1300</v>
      </c>
      <c r="F45" s="648" t="s">
        <v>1765</v>
      </c>
      <c r="G45" s="672"/>
      <c r="H45" s="787" t="s">
        <v>143</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hidden="1" customHeight="1" outlineLevel="3">
      <c r="B46" s="776" t="s">
        <v>1507</v>
      </c>
      <c r="C46" s="782"/>
      <c r="D46" s="796" t="s">
        <v>1768</v>
      </c>
      <c r="E46" s="665" t="s">
        <v>1300</v>
      </c>
      <c r="F46" s="665" t="s">
        <v>1693</v>
      </c>
      <c r="G46" s="672">
        <v>1</v>
      </c>
      <c r="H46" s="787" t="s">
        <v>741</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780" t="e">
        <f t="shared" si="0"/>
        <v>#DIV/0!</v>
      </c>
      <c r="Q47" s="511"/>
      <c r="AA47" s="632"/>
    </row>
    <row r="48" spans="2:27" ht="16.5" hidden="1" customHeight="1" outlineLevel="3">
      <c r="B48" s="776" t="s">
        <v>1769</v>
      </c>
      <c r="C48" s="782"/>
      <c r="D48" s="796" t="s">
        <v>1509</v>
      </c>
      <c r="E48" s="648" t="s">
        <v>1228</v>
      </c>
      <c r="F48" s="648" t="s">
        <v>1765</v>
      </c>
      <c r="G48" s="791">
        <v>1</v>
      </c>
      <c r="H48" s="790" t="s">
        <v>143</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hidden="1"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hidden="1" customHeight="1" outlineLevel="3">
      <c r="B50" s="776" t="s">
        <v>1512</v>
      </c>
      <c r="C50" s="782"/>
      <c r="D50" s="796" t="s">
        <v>1513</v>
      </c>
      <c r="E50" s="797" t="s">
        <v>1771</v>
      </c>
      <c r="F50" s="648" t="s">
        <v>1770</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hidden="1" customHeight="1" outlineLevel="3">
      <c r="B51" s="776" t="s">
        <v>1514</v>
      </c>
      <c r="C51" s="782"/>
      <c r="D51" s="796" t="s">
        <v>1515</v>
      </c>
      <c r="E51" s="665" t="s">
        <v>1772</v>
      </c>
      <c r="F51" s="648" t="s">
        <v>1770</v>
      </c>
      <c r="G51" s="791">
        <v>1</v>
      </c>
      <c r="H51" s="790" t="s">
        <v>143</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hidden="1"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hidden="1" customHeight="1" outlineLevel="3">
      <c r="B53" s="776" t="s">
        <v>1519</v>
      </c>
      <c r="C53" s="792"/>
      <c r="D53" s="796" t="s">
        <v>1520</v>
      </c>
      <c r="E53" s="648" t="s">
        <v>1228</v>
      </c>
      <c r="F53" s="648" t="s">
        <v>1770</v>
      </c>
      <c r="G53" s="672">
        <v>1</v>
      </c>
      <c r="H53" s="787" t="s">
        <v>143</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s="633" customFormat="1" ht="16.5" hidden="1" customHeight="1" outlineLevel="3">
      <c r="B54" s="776" t="s">
        <v>1521</v>
      </c>
      <c r="C54" s="792"/>
      <c r="D54" s="796" t="s">
        <v>1522</v>
      </c>
      <c r="E54" s="648" t="s">
        <v>1773</v>
      </c>
      <c r="F54" s="648" t="s">
        <v>1770</v>
      </c>
      <c r="G54" s="672">
        <v>1</v>
      </c>
      <c r="H54" s="787" t="s">
        <v>741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row>
    <row r="55" spans="2:27" s="633" customFormat="1" ht="16.5" hidden="1" customHeight="1" outlineLevel="3">
      <c r="B55" s="776" t="s">
        <v>1523</v>
      </c>
      <c r="C55" s="792"/>
      <c r="D55" s="796" t="s">
        <v>1524</v>
      </c>
      <c r="E55" s="648" t="s">
        <v>1228</v>
      </c>
      <c r="F55" s="648" t="s">
        <v>1770</v>
      </c>
      <c r="G55" s="672">
        <v>1</v>
      </c>
      <c r="H55" s="787" t="s">
        <v>143</v>
      </c>
      <c r="I55" s="672">
        <f t="shared" si="9"/>
        <v>0</v>
      </c>
      <c r="J55" s="672"/>
      <c r="K55" s="672"/>
      <c r="L55" s="569">
        <v>0.17</v>
      </c>
      <c r="M55" s="779">
        <f t="shared" si="11"/>
        <v>0</v>
      </c>
      <c r="N55" s="779">
        <f t="shared" si="12"/>
        <v>0</v>
      </c>
      <c r="O55" s="779">
        <f t="shared" si="13"/>
        <v>0</v>
      </c>
      <c r="P55" s="780" t="e">
        <f t="shared" si="0"/>
        <v>#DIV/0!</v>
      </c>
      <c r="Q55" s="781">
        <f t="shared" si="8"/>
        <v>0</v>
      </c>
    </row>
    <row r="56" spans="2:27" s="633" customFormat="1" ht="16.5" hidden="1" customHeight="1" outlineLevel="2">
      <c r="B56" s="776" t="s">
        <v>670</v>
      </c>
      <c r="C56" s="777" t="s">
        <v>1716</v>
      </c>
      <c r="D56" s="776" t="s">
        <v>1774</v>
      </c>
      <c r="E56" s="648"/>
      <c r="F56" s="648"/>
      <c r="G56" s="673"/>
      <c r="H56" s="787"/>
      <c r="I56" s="672"/>
      <c r="J56" s="672"/>
      <c r="K56" s="672"/>
      <c r="L56" s="569"/>
      <c r="M56" s="779">
        <f>SUBTOTAL(9,M57:M68)</f>
        <v>0</v>
      </c>
      <c r="N56" s="779">
        <f>SUBTOTAL(9,N57:N68)</f>
        <v>0</v>
      </c>
      <c r="O56" s="779">
        <f>SUBTOTAL(9,O57:O68)</f>
        <v>0</v>
      </c>
      <c r="P56" s="780" t="e">
        <f t="shared" si="0"/>
        <v>#DIV/0!</v>
      </c>
      <c r="Q56" s="781"/>
    </row>
    <row r="57" spans="2:27" s="633" customFormat="1" ht="16.5" hidden="1" customHeight="1" outlineLevel="3">
      <c r="B57" s="776" t="s">
        <v>671</v>
      </c>
      <c r="C57" s="792" t="s">
        <v>39</v>
      </c>
      <c r="D57" s="776" t="s">
        <v>1775</v>
      </c>
      <c r="E57" s="648"/>
      <c r="F57" s="648"/>
      <c r="G57" s="672"/>
      <c r="H57" s="787"/>
      <c r="I57" s="672"/>
      <c r="J57" s="672"/>
      <c r="K57" s="681"/>
      <c r="L57" s="569"/>
      <c r="M57" s="779">
        <f>SUBTOTAL(9,M58:M59)</f>
        <v>0</v>
      </c>
      <c r="N57" s="779">
        <f>SUBTOTAL(9,N58:N59)</f>
        <v>0</v>
      </c>
      <c r="O57" s="779">
        <f>SUBTOTAL(9,O58:O59)</f>
        <v>0</v>
      </c>
      <c r="P57" s="780" t="e">
        <f t="shared" si="0"/>
        <v>#DIV/0!</v>
      </c>
      <c r="Q57" s="781"/>
    </row>
    <row r="58" spans="2:27" s="633" customFormat="1" ht="16.5" hidden="1" customHeight="1" outlineLevel="3">
      <c r="B58" s="776" t="s">
        <v>1776</v>
      </c>
      <c r="C58" s="792"/>
      <c r="D58" s="796" t="s">
        <v>1525</v>
      </c>
      <c r="E58" s="648" t="s">
        <v>456</v>
      </c>
      <c r="F58" s="648" t="s">
        <v>1694</v>
      </c>
      <c r="G58" s="672">
        <v>2</v>
      </c>
      <c r="H58" s="787" t="s">
        <v>1920</v>
      </c>
      <c r="I58" s="672">
        <f>$I$2</f>
        <v>0</v>
      </c>
      <c r="J58" s="672"/>
      <c r="K58" s="778">
        <f>J58/(1+L58)</f>
        <v>0</v>
      </c>
      <c r="L58" s="569">
        <v>0.17</v>
      </c>
      <c r="M58" s="779">
        <f>G58*I58*K58/10000</f>
        <v>0</v>
      </c>
      <c r="N58" s="779">
        <f>L58*M58</f>
        <v>0</v>
      </c>
      <c r="O58" s="779">
        <f>M58+N58</f>
        <v>0</v>
      </c>
      <c r="P58" s="780" t="e">
        <f t="shared" si="0"/>
        <v>#DIV/0!</v>
      </c>
      <c r="Q58" s="781">
        <f t="shared" si="8"/>
        <v>0</v>
      </c>
    </row>
    <row r="59" spans="2:27" s="633" customFormat="1" ht="16.5" hidden="1" customHeight="1" outlineLevel="3">
      <c r="B59" s="776" t="s">
        <v>1526</v>
      </c>
      <c r="C59" s="792"/>
      <c r="D59" s="796" t="s">
        <v>1527</v>
      </c>
      <c r="E59" s="719" t="s">
        <v>1778</v>
      </c>
      <c r="F59" s="648" t="s">
        <v>1694</v>
      </c>
      <c r="G59" s="672">
        <v>2</v>
      </c>
      <c r="H59" s="787" t="s">
        <v>1920</v>
      </c>
      <c r="I59" s="672">
        <f>$I$2</f>
        <v>0</v>
      </c>
      <c r="J59" s="672"/>
      <c r="K59" s="778">
        <f>J59/(1+L59)</f>
        <v>0</v>
      </c>
      <c r="L59" s="569">
        <v>0.11</v>
      </c>
      <c r="M59" s="779">
        <f>G59*I59*K59/10000</f>
        <v>0</v>
      </c>
      <c r="N59" s="779">
        <f>L59*M59</f>
        <v>0</v>
      </c>
      <c r="O59" s="779">
        <f>M59+N59</f>
        <v>0</v>
      </c>
      <c r="P59" s="780" t="e">
        <f t="shared" si="0"/>
        <v>#DIV/0!</v>
      </c>
      <c r="Q59" s="781">
        <f t="shared" si="8"/>
        <v>0</v>
      </c>
    </row>
    <row r="60" spans="2:27" ht="16.5" hidden="1"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hidden="1"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hidden="1"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hidden="1"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hidden="1"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hidden="1"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hidden="1"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hidden="1"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hidden="1" customHeight="1" outlineLevel="3">
      <c r="B68" s="776" t="s">
        <v>1788</v>
      </c>
      <c r="C68" s="782"/>
      <c r="D68" s="796" t="s">
        <v>1789</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ollapsed="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hidden="1"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1795</v>
      </c>
      <c r="C71" s="777" t="s">
        <v>1712</v>
      </c>
      <c r="D71" s="776" t="s">
        <v>1537</v>
      </c>
      <c r="E71" s="648" t="s">
        <v>1538</v>
      </c>
      <c r="F71" s="648" t="s">
        <v>657</v>
      </c>
      <c r="G71" s="791">
        <v>1</v>
      </c>
      <c r="H71" s="795" t="s">
        <v>143</v>
      </c>
      <c r="I71" s="672">
        <f>$E$2*(1+$F$2)</f>
        <v>0</v>
      </c>
      <c r="J71" s="672"/>
      <c r="K71" s="791">
        <f>J71/(1+L71)</f>
        <v>0</v>
      </c>
      <c r="L71" s="569">
        <v>0.17</v>
      </c>
      <c r="M71" s="779">
        <f t="shared" ref="M71:M81" si="15">G71*I71*K71/10000</f>
        <v>0</v>
      </c>
      <c r="N71" s="779">
        <f t="shared" ref="N71:N81" si="16">L71*M71</f>
        <v>0</v>
      </c>
      <c r="O71" s="779">
        <f t="shared" ref="O71:O81" si="17">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ref="I72:I78" si="18">$E$2*(1+$F$2)</f>
        <v>0</v>
      </c>
      <c r="J72" s="672"/>
      <c r="K72" s="791">
        <f t="shared" ref="K72:K81" si="19">J72/(1+L72)</f>
        <v>0</v>
      </c>
      <c r="L72" s="569">
        <v>0.17</v>
      </c>
      <c r="M72" s="779">
        <f t="shared" si="15"/>
        <v>0</v>
      </c>
      <c r="N72" s="779">
        <f t="shared" si="16"/>
        <v>0</v>
      </c>
      <c r="O72" s="779">
        <f t="shared" si="17"/>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8"/>
        <v>0</v>
      </c>
      <c r="J73" s="672"/>
      <c r="K73" s="791">
        <f t="shared" si="19"/>
        <v>0</v>
      </c>
      <c r="L73" s="569">
        <v>0.17</v>
      </c>
      <c r="M73" s="779">
        <f t="shared" si="15"/>
        <v>0</v>
      </c>
      <c r="N73" s="779">
        <f t="shared" si="16"/>
        <v>0</v>
      </c>
      <c r="O73" s="779">
        <f t="shared" si="17"/>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8"/>
        <v>0</v>
      </c>
      <c r="J74" s="672"/>
      <c r="K74" s="791">
        <f t="shared" si="19"/>
        <v>0</v>
      </c>
      <c r="L74" s="569">
        <v>0.17</v>
      </c>
      <c r="M74" s="779">
        <f t="shared" si="15"/>
        <v>0</v>
      </c>
      <c r="N74" s="779">
        <f t="shared" si="16"/>
        <v>0</v>
      </c>
      <c r="O74" s="779">
        <f t="shared" si="17"/>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8"/>
        <v>0</v>
      </c>
      <c r="J75" s="672"/>
      <c r="K75" s="791">
        <f t="shared" si="19"/>
        <v>0</v>
      </c>
      <c r="L75" s="569">
        <v>0.17</v>
      </c>
      <c r="M75" s="779">
        <f t="shared" si="15"/>
        <v>0</v>
      </c>
      <c r="N75" s="779">
        <f t="shared" si="16"/>
        <v>0</v>
      </c>
      <c r="O75" s="779">
        <f t="shared" si="17"/>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1928</v>
      </c>
      <c r="I76" s="672">
        <f t="shared" si="18"/>
        <v>0</v>
      </c>
      <c r="J76" s="672"/>
      <c r="K76" s="791">
        <f t="shared" si="19"/>
        <v>0</v>
      </c>
      <c r="L76" s="569">
        <v>0.11</v>
      </c>
      <c r="M76" s="779">
        <f t="shared" si="15"/>
        <v>0</v>
      </c>
      <c r="N76" s="779">
        <f t="shared" si="16"/>
        <v>0</v>
      </c>
      <c r="O76" s="779">
        <f t="shared" si="17"/>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1929</v>
      </c>
      <c r="I77" s="672">
        <f t="shared" si="18"/>
        <v>0</v>
      </c>
      <c r="J77" s="672"/>
      <c r="K77" s="791">
        <f t="shared" si="19"/>
        <v>0</v>
      </c>
      <c r="L77" s="569">
        <v>0.17</v>
      </c>
      <c r="M77" s="779">
        <f t="shared" si="15"/>
        <v>0</v>
      </c>
      <c r="N77" s="779">
        <f t="shared" si="16"/>
        <v>0</v>
      </c>
      <c r="O77" s="779">
        <f t="shared" si="17"/>
        <v>0</v>
      </c>
      <c r="P77" s="780" t="e">
        <f t="shared" si="14"/>
        <v>#DIV/0!</v>
      </c>
      <c r="Q77" s="781">
        <f t="shared" si="8"/>
        <v>0</v>
      </c>
      <c r="AA77" s="632"/>
    </row>
    <row r="78" spans="2:27" ht="16.5" hidden="1" customHeight="1" outlineLevel="2">
      <c r="B78" s="776" t="s">
        <v>1549</v>
      </c>
      <c r="C78" s="777" t="s">
        <v>73</v>
      </c>
      <c r="D78" s="776" t="s">
        <v>1550</v>
      </c>
      <c r="E78" s="648" t="s">
        <v>1796</v>
      </c>
      <c r="F78" s="648" t="s">
        <v>657</v>
      </c>
      <c r="G78" s="791">
        <v>1</v>
      </c>
      <c r="H78" s="795" t="s">
        <v>1930</v>
      </c>
      <c r="I78" s="672">
        <f t="shared" si="18"/>
        <v>0</v>
      </c>
      <c r="J78" s="672"/>
      <c r="K78" s="791">
        <f t="shared" si="19"/>
        <v>0</v>
      </c>
      <c r="L78" s="569">
        <v>0.17</v>
      </c>
      <c r="M78" s="779">
        <f t="shared" si="15"/>
        <v>0</v>
      </c>
      <c r="N78" s="779">
        <f t="shared" si="16"/>
        <v>0</v>
      </c>
      <c r="O78" s="779">
        <f t="shared" si="17"/>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5"/>
        <v>0</v>
      </c>
      <c r="N79" s="779">
        <f t="shared" si="16"/>
        <v>0</v>
      </c>
      <c r="O79" s="779">
        <f t="shared" si="17"/>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5"/>
        <v>0</v>
      </c>
      <c r="N80" s="779">
        <f t="shared" si="16"/>
        <v>0</v>
      </c>
      <c r="O80" s="779">
        <f t="shared" si="17"/>
        <v>0</v>
      </c>
      <c r="P80" s="780" t="e">
        <f t="shared" si="14"/>
        <v>#DIV/0!</v>
      </c>
      <c r="Q80" s="781">
        <f t="shared" si="8"/>
        <v>0</v>
      </c>
      <c r="AA80" s="632"/>
    </row>
    <row r="81" spans="2:27" ht="16.5" hidden="1" customHeight="1" outlineLevel="2">
      <c r="B81" s="776" t="s">
        <v>686</v>
      </c>
      <c r="C81" s="777" t="s">
        <v>146</v>
      </c>
      <c r="D81" s="776" t="s">
        <v>1797</v>
      </c>
      <c r="E81" s="648" t="s">
        <v>1798</v>
      </c>
      <c r="F81" s="648" t="s">
        <v>657</v>
      </c>
      <c r="G81" s="791">
        <v>1</v>
      </c>
      <c r="H81" s="795" t="s">
        <v>143</v>
      </c>
      <c r="I81" s="672">
        <f>$E$2*(1+$F$2)</f>
        <v>0</v>
      </c>
      <c r="J81" s="672"/>
      <c r="K81" s="791">
        <f t="shared" si="19"/>
        <v>0</v>
      </c>
      <c r="L81" s="569">
        <v>0.17</v>
      </c>
      <c r="M81" s="779">
        <f t="shared" si="15"/>
        <v>0</v>
      </c>
      <c r="N81" s="779">
        <f t="shared" si="16"/>
        <v>0</v>
      </c>
      <c r="O81" s="779">
        <f t="shared" si="17"/>
        <v>0</v>
      </c>
      <c r="P81" s="780" t="e">
        <f t="shared" si="14"/>
        <v>#DIV/0!</v>
      </c>
      <c r="Q81" s="781">
        <f t="shared" si="8"/>
        <v>0</v>
      </c>
      <c r="AA81" s="632"/>
    </row>
    <row r="82" spans="2:27" ht="25.5" hidden="1"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hidden="1"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hidden="1"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ollapsed="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hidden="1"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1815</v>
      </c>
      <c r="C92" s="782"/>
      <c r="D92" s="807" t="s">
        <v>1556</v>
      </c>
      <c r="E92" s="648" t="s">
        <v>459</v>
      </c>
      <c r="F92" s="648" t="s">
        <v>657</v>
      </c>
      <c r="G92" s="808">
        <v>1.05</v>
      </c>
      <c r="H92" s="805" t="s">
        <v>145</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145</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1816</v>
      </c>
      <c r="C94" s="782" t="s">
        <v>39</v>
      </c>
      <c r="D94" s="804" t="s">
        <v>1817</v>
      </c>
      <c r="E94" s="665"/>
      <c r="F94" s="665"/>
      <c r="G94" s="809"/>
      <c r="H94" s="790"/>
      <c r="I94" s="789"/>
      <c r="J94" s="789"/>
      <c r="K94" s="790"/>
      <c r="L94" s="569"/>
      <c r="M94" s="779">
        <f>SUBTOTAL(9,M95:M98)</f>
        <v>0</v>
      </c>
      <c r="N94" s="779">
        <f>SUBTOTAL(9,N95:N98)</f>
        <v>0</v>
      </c>
      <c r="O94" s="779">
        <f>SUBTOTAL(9,O95:O98)</f>
        <v>0</v>
      </c>
      <c r="P94" s="780" t="e">
        <f t="shared" si="14"/>
        <v>#DIV/0!</v>
      </c>
      <c r="Q94" s="806">
        <f t="shared" si="8"/>
        <v>0</v>
      </c>
      <c r="AA94" s="632"/>
    </row>
    <row r="95" spans="2:27" ht="16.5" hidden="1" customHeight="1" outlineLevel="4">
      <c r="B95" s="776" t="s">
        <v>1818</v>
      </c>
      <c r="C95" s="782"/>
      <c r="D95" s="807" t="s">
        <v>1560</v>
      </c>
      <c r="E95" s="719" t="s">
        <v>1819</v>
      </c>
      <c r="F95" s="648" t="s">
        <v>657</v>
      </c>
      <c r="G95" s="809">
        <v>0</v>
      </c>
      <c r="H95" s="805" t="s">
        <v>145</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1820</v>
      </c>
      <c r="C99" s="782" t="s">
        <v>39</v>
      </c>
      <c r="D99" s="804" t="s">
        <v>1821</v>
      </c>
      <c r="E99" s="665"/>
      <c r="F99" s="665"/>
      <c r="G99" s="809"/>
      <c r="H99" s="790"/>
      <c r="I99" s="789"/>
      <c r="J99" s="789"/>
      <c r="K99" s="790"/>
      <c r="L99" s="569"/>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1822</v>
      </c>
      <c r="C100" s="782"/>
      <c r="D100" s="807" t="s">
        <v>1569</v>
      </c>
      <c r="E100" s="665" t="s">
        <v>469</v>
      </c>
      <c r="F100" s="648" t="s">
        <v>657</v>
      </c>
      <c r="G100" s="809">
        <v>0.25</v>
      </c>
      <c r="H100" s="805" t="s">
        <v>145</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145</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1825</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143</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1826</v>
      </c>
      <c r="C105" s="782" t="s">
        <v>39</v>
      </c>
      <c r="D105" s="804" t="s">
        <v>1827</v>
      </c>
      <c r="E105" s="648" t="s">
        <v>1828</v>
      </c>
      <c r="F105" s="648" t="s">
        <v>657</v>
      </c>
      <c r="G105" s="809"/>
      <c r="H105" s="790"/>
      <c r="I105" s="672"/>
      <c r="J105" s="672"/>
      <c r="K105" s="791">
        <f t="shared" si="21"/>
        <v>0</v>
      </c>
      <c r="L105" s="569">
        <v>0.11</v>
      </c>
      <c r="M105" s="779">
        <f t="shared" si="22"/>
        <v>0</v>
      </c>
      <c r="N105" s="779">
        <f t="shared" si="23"/>
        <v>0</v>
      </c>
      <c r="O105" s="779">
        <f t="shared" si="24"/>
        <v>0</v>
      </c>
      <c r="P105" s="780" t="e">
        <f>IF(O105="","",O105*10000/E$2)</f>
        <v>#DIV/0!</v>
      </c>
      <c r="Q105" s="806">
        <f t="shared" si="25"/>
        <v>0</v>
      </c>
      <c r="AA105" s="632"/>
    </row>
    <row r="106" spans="2:27" ht="16.5" hidden="1" customHeight="1" outlineLevel="3">
      <c r="B106" s="776" t="s">
        <v>705</v>
      </c>
      <c r="C106" s="782" t="s">
        <v>39</v>
      </c>
      <c r="D106" s="804" t="s">
        <v>1829</v>
      </c>
      <c r="E106" s="648" t="s">
        <v>1580</v>
      </c>
      <c r="F106" s="665" t="s">
        <v>1694</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1753</v>
      </c>
      <c r="F107" s="648" t="s">
        <v>657</v>
      </c>
      <c r="G107" s="809"/>
      <c r="H107" s="805" t="s">
        <v>145</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1753</v>
      </c>
      <c r="F108" s="665" t="s">
        <v>1694</v>
      </c>
      <c r="G108" s="811">
        <v>0</v>
      </c>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1830</v>
      </c>
      <c r="E109" s="648" t="s">
        <v>470</v>
      </c>
      <c r="F109" s="648" t="s">
        <v>657</v>
      </c>
      <c r="G109" s="808">
        <v>0</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1834</v>
      </c>
      <c r="E112" s="665" t="s">
        <v>1583</v>
      </c>
      <c r="F112" s="665" t="s">
        <v>1835</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1695</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1837</v>
      </c>
      <c r="E114" s="665" t="s">
        <v>1583</v>
      </c>
      <c r="F114" s="665" t="s">
        <v>1693</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1838</v>
      </c>
      <c r="C115" s="782" t="s">
        <v>39</v>
      </c>
      <c r="D115" s="804" t="s">
        <v>1839</v>
      </c>
      <c r="E115" s="665" t="s">
        <v>1583</v>
      </c>
      <c r="F115" s="665" t="s">
        <v>1693</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1840</v>
      </c>
      <c r="C116" s="782" t="s">
        <v>39</v>
      </c>
      <c r="D116" s="804" t="s">
        <v>1841</v>
      </c>
      <c r="E116" s="665" t="s">
        <v>1583</v>
      </c>
      <c r="F116" s="665" t="s">
        <v>1693</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1844</v>
      </c>
      <c r="E118" s="665" t="s">
        <v>1580</v>
      </c>
      <c r="F118" s="665" t="s">
        <v>1694</v>
      </c>
      <c r="G118" s="814"/>
      <c r="H118" s="805" t="s">
        <v>7</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1846</v>
      </c>
      <c r="C120" s="782"/>
      <c r="D120" s="807" t="s">
        <v>1847</v>
      </c>
      <c r="E120" s="665" t="s">
        <v>1587</v>
      </c>
      <c r="F120" s="665" t="s">
        <v>1848</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1849</v>
      </c>
      <c r="E121" s="665" t="s">
        <v>1589</v>
      </c>
      <c r="F121" s="665" t="s">
        <v>1848</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1850</v>
      </c>
      <c r="E122" s="648" t="s">
        <v>1590</v>
      </c>
      <c r="F122" s="665" t="s">
        <v>1835</v>
      </c>
      <c r="G122" s="813">
        <v>4.4999999999999998E-2</v>
      </c>
      <c r="H122" s="805" t="s">
        <v>1923</v>
      </c>
      <c r="I122" s="672">
        <f>$I$2*($K$2+1)</f>
        <v>0</v>
      </c>
      <c r="J122" s="67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hidden="1" customHeight="1" outlineLevel="3">
      <c r="B123" s="776" t="s">
        <v>1851</v>
      </c>
      <c r="C123" s="782" t="s">
        <v>39</v>
      </c>
      <c r="D123" s="804" t="s">
        <v>1852</v>
      </c>
      <c r="E123" s="665" t="s">
        <v>1580</v>
      </c>
      <c r="F123" s="648" t="s">
        <v>657</v>
      </c>
      <c r="G123" s="808">
        <v>0.39</v>
      </c>
      <c r="H123" s="805" t="s">
        <v>145</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1856</v>
      </c>
      <c r="E125" s="814" t="s">
        <v>1228</v>
      </c>
      <c r="F125" s="814" t="s">
        <v>1692</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1858</v>
      </c>
      <c r="C127" s="782" t="s">
        <v>39</v>
      </c>
      <c r="D127" s="815" t="s">
        <v>1859</v>
      </c>
      <c r="E127" s="648" t="s">
        <v>1860</v>
      </c>
      <c r="F127" s="648" t="s">
        <v>657</v>
      </c>
      <c r="G127" s="808">
        <v>1</v>
      </c>
      <c r="H127" s="805" t="s">
        <v>143</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1861</v>
      </c>
      <c r="E128" s="665" t="s">
        <v>463</v>
      </c>
      <c r="F128" s="665" t="s">
        <v>1693</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hidden="1" customHeight="1" outlineLevel="1">
      <c r="B129" s="771" t="s">
        <v>1862</v>
      </c>
      <c r="C129" s="712">
        <v>2</v>
      </c>
      <c r="D129" s="771" t="s">
        <v>1863</v>
      </c>
      <c r="E129" s="712"/>
      <c r="F129" s="712"/>
      <c r="G129" s="712"/>
      <c r="H129" s="772"/>
      <c r="I129" s="713"/>
      <c r="J129" s="713"/>
      <c r="K129" s="772"/>
      <c r="L129" s="772"/>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1865</v>
      </c>
      <c r="C131" s="782" t="s">
        <v>39</v>
      </c>
      <c r="D131" s="815" t="s">
        <v>1866</v>
      </c>
      <c r="E131" s="648" t="s">
        <v>1867</v>
      </c>
      <c r="F131" s="648" t="s">
        <v>1694</v>
      </c>
      <c r="G131" s="787"/>
      <c r="H131" s="805" t="s">
        <v>1921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1868</v>
      </c>
      <c r="E132" s="648" t="s">
        <v>457</v>
      </c>
      <c r="F132" s="648" t="s">
        <v>1694</v>
      </c>
      <c r="G132" s="787"/>
      <c r="H132" s="805" t="s">
        <v>1921</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1869</v>
      </c>
      <c r="E133" s="648" t="s">
        <v>1329</v>
      </c>
      <c r="F133" s="648" t="s">
        <v>1694</v>
      </c>
      <c r="G133" s="787"/>
      <c r="H133" s="805" t="s">
        <v>1921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1872</v>
      </c>
      <c r="C135" s="782" t="s">
        <v>39</v>
      </c>
      <c r="D135" s="815" t="s">
        <v>1873</v>
      </c>
      <c r="E135" s="648" t="s">
        <v>1867</v>
      </c>
      <c r="F135" s="648" t="s">
        <v>1694</v>
      </c>
      <c r="G135" s="787"/>
      <c r="H135" s="805" t="s">
        <v>1921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1874</v>
      </c>
      <c r="E136" s="648" t="s">
        <v>457</v>
      </c>
      <c r="F136" s="648" t="s">
        <v>1694</v>
      </c>
      <c r="G136" s="787"/>
      <c r="H136" s="805" t="s">
        <v>1921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1875</v>
      </c>
      <c r="E137" s="648" t="s">
        <v>1329</v>
      </c>
      <c r="F137" s="648" t="s">
        <v>1694</v>
      </c>
      <c r="G137" s="787"/>
      <c r="H137" s="805" t="s">
        <v>1921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1879</v>
      </c>
      <c r="E140" s="648" t="s">
        <v>1867</v>
      </c>
      <c r="F140" s="665" t="s">
        <v>1835</v>
      </c>
      <c r="G140" s="813"/>
      <c r="H140" s="805" t="s">
        <v>1924</v>
      </c>
      <c r="I140" s="672">
        <f>$K$2+1</f>
        <v>1</v>
      </c>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1882</v>
      </c>
      <c r="C142" s="782" t="s">
        <v>39</v>
      </c>
      <c r="D142" s="815" t="s">
        <v>1883</v>
      </c>
      <c r="E142" s="648" t="s">
        <v>1867</v>
      </c>
      <c r="F142" s="665" t="s">
        <v>1884</v>
      </c>
      <c r="G142" s="813"/>
      <c r="H142" s="805" t="s">
        <v>1924</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1885</v>
      </c>
      <c r="E143" s="648" t="s">
        <v>457</v>
      </c>
      <c r="F143" s="665" t="s">
        <v>1884</v>
      </c>
      <c r="G143" s="813"/>
      <c r="H143" s="805" t="s">
        <v>1924</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1886</v>
      </c>
      <c r="E144" s="648" t="s">
        <v>1329</v>
      </c>
      <c r="F144" s="665" t="s">
        <v>1884</v>
      </c>
      <c r="G144" s="813"/>
      <c r="H144" s="805" t="s">
        <v>1924</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hidden="1"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1693</v>
      </c>
      <c r="G151" s="813">
        <v>1</v>
      </c>
      <c r="H151" s="787" t="s">
        <v>1925</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1896</v>
      </c>
      <c r="E152" s="665" t="s">
        <v>1596</v>
      </c>
      <c r="F152" s="665" t="s">
        <v>1693</v>
      </c>
      <c r="G152" s="813">
        <v>1</v>
      </c>
      <c r="H152" s="787" t="s">
        <v>1925</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1897</v>
      </c>
      <c r="F153" s="665" t="s">
        <v>1693</v>
      </c>
      <c r="G153" s="813">
        <v>1</v>
      </c>
      <c r="H153" s="787" t="s">
        <v>1925</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1898</v>
      </c>
      <c r="E154" s="665" t="s">
        <v>458</v>
      </c>
      <c r="F154" s="665" t="s">
        <v>1693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1899</v>
      </c>
      <c r="E155" s="665" t="s">
        <v>1900</v>
      </c>
      <c r="F155" s="665" t="s">
        <v>1693</v>
      </c>
      <c r="G155" s="813">
        <v>1</v>
      </c>
      <c r="H155" s="787" t="s">
        <v>1925</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1901</v>
      </c>
      <c r="E156" s="665" t="s">
        <v>458</v>
      </c>
      <c r="F156" s="665" t="s">
        <v>1693</v>
      </c>
      <c r="G156" s="813">
        <v>1</v>
      </c>
      <c r="H156" s="787" t="s">
        <v>1925</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1903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hidden="1"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1712</v>
      </c>
      <c r="D162" s="804" t="s">
        <v>1908</v>
      </c>
      <c r="E162" s="665" t="s">
        <v>461</v>
      </c>
      <c r="F162" s="665" t="s">
        <v>1693</v>
      </c>
      <c r="G162" s="813"/>
      <c r="H162" s="787" t="s">
        <v>143</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1909</v>
      </c>
      <c r="E163" s="648" t="s">
        <v>1602</v>
      </c>
      <c r="F163" s="665" t="s">
        <v>1693</v>
      </c>
      <c r="G163" s="813">
        <v>1</v>
      </c>
      <c r="H163" s="787" t="s">
        <v>1926</v>
      </c>
      <c r="I163" s="672">
        <f>$H$2</f>
        <v>0</v>
      </c>
      <c r="J163" s="672">
        <v>5900</v>
      </c>
      <c r="K163" s="791">
        <f>J163/(1+L163)</f>
        <v>5042.735042735043</v>
      </c>
      <c r="L163" s="569">
        <v>0.17</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1910</v>
      </c>
      <c r="E164" s="648" t="s">
        <v>1911</v>
      </c>
      <c r="F164" s="648"/>
      <c r="G164" s="787">
        <v>1</v>
      </c>
      <c r="H164" s="787" t="s">
        <v>1926</v>
      </c>
      <c r="I164" s="672"/>
      <c r="J164" s="672">
        <v>6800</v>
      </c>
      <c r="K164" s="681"/>
      <c r="L164" s="569">
        <v>0.11</v>
      </c>
      <c r="M164" s="779">
        <f t="shared" si="32"/>
        <v>0</v>
      </c>
      <c r="N164" s="779"/>
      <c r="O164" s="779"/>
      <c r="P164" s="780" t="str">
        <f t="shared" si="26"/>
        <v/>
      </c>
      <c r="Q164" s="781">
        <f t="shared" si="25"/>
        <v>0</v>
      </c>
      <c r="AA164" s="632"/>
    </row>
    <row r="165" spans="2:27" ht="16.5" hidden="1"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20:J21">
    <cfRule type="cellIs" priority="103" operator="equal">
      <formula>0</formula>
    </cfRule>
    <cfRule type="cellIs" dxfId="206" priority="104" operator="equal">
      <formula>0</formula>
    </cfRule>
  </conditionalFormatting>
  <conditionalFormatting sqref="B88:C88">
    <cfRule type="duplicateValues" dxfId="205" priority="161"/>
  </conditionalFormatting>
  <conditionalFormatting sqref="D6:D8">
    <cfRule type="duplicateValues" dxfId="204" priority="172"/>
  </conditionalFormatting>
  <conditionalFormatting sqref="B161:C161">
    <cfRule type="duplicateValues" dxfId="203" priority="157"/>
  </conditionalFormatting>
  <conditionalFormatting sqref="B149:C149">
    <cfRule type="duplicateValues" dxfId="202" priority="158"/>
  </conditionalFormatting>
  <conditionalFormatting sqref="B36:C36">
    <cfRule type="duplicateValues" dxfId="201" priority="166"/>
  </conditionalFormatting>
  <conditionalFormatting sqref="B82:C82">
    <cfRule type="duplicateValues" dxfId="200" priority="163"/>
  </conditionalFormatting>
  <conditionalFormatting sqref="D1:D5 D9:D65536">
    <cfRule type="duplicateValues" dxfId="199" priority="171"/>
  </conditionalFormatting>
  <conditionalFormatting sqref="B86:C87">
    <cfRule type="duplicateValues" dxfId="198" priority="162"/>
  </conditionalFormatting>
  <conditionalFormatting sqref="B129:C129">
    <cfRule type="duplicateValues" dxfId="197" priority="159"/>
  </conditionalFormatting>
  <conditionalFormatting sqref="B5:C5">
    <cfRule type="duplicateValues" dxfId="196" priority="167"/>
  </conditionalFormatting>
  <conditionalFormatting sqref="B4:C4">
    <cfRule type="duplicateValues" dxfId="195" priority="168"/>
  </conditionalFormatting>
  <conditionalFormatting sqref="B69:C69">
    <cfRule type="duplicateValues" dxfId="194" priority="165"/>
  </conditionalFormatting>
  <conditionalFormatting sqref="B89:C89">
    <cfRule type="duplicateValues" dxfId="193" priority="160"/>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192" priority="170" operator="equal">
      <formula>0</formula>
    </cfRule>
  </conditionalFormatting>
  <conditionalFormatting sqref="B70:C70">
    <cfRule type="duplicateValues" dxfId="191" priority="164"/>
  </conditionalFormatting>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79" activePane="bottomRight" state="frozen"/>
      <selection pane="topRight"/>
      <selection pane="bottomLeft"/>
      <selection pane="bottomRight" activeCell="D89" sqref="D89"/>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783</v>
      </c>
      <c r="E1" s="624" t="s">
        <v>1214</v>
      </c>
      <c r="F1" s="624" t="s">
        <v>1691</v>
      </c>
      <c r="G1" s="624" t="s">
        <v>1692</v>
      </c>
      <c r="H1" s="624" t="s">
        <v>1693</v>
      </c>
      <c r="I1" s="624" t="s">
        <v>1694</v>
      </c>
      <c r="J1" s="624"/>
      <c r="K1" s="624" t="s">
        <v>1695</v>
      </c>
      <c r="L1" s="624"/>
      <c r="M1" s="624"/>
      <c r="N1" s="754"/>
      <c r="O1" s="754"/>
      <c r="P1" s="754"/>
      <c r="Q1" s="755"/>
      <c r="U1" s="633">
        <v>418</v>
      </c>
      <c r="AA1" s="756"/>
    </row>
    <row r="2" spans="2:27" s="633" customFormat="1" ht="17.25" customHeight="1">
      <c r="C2" s="752"/>
      <c r="D2" s="753" t="s">
        <v>1696</v>
      </c>
      <c r="E2" s="757">
        <f>'2-规划指标'!H24</f>
        <v>0</v>
      </c>
      <c r="F2" s="758">
        <v>0</v>
      </c>
      <c r="G2" s="759">
        <f>'2-规划指标'!G24</f>
        <v>0</v>
      </c>
      <c r="H2" s="759">
        <f>'2-规划指标'!N24</f>
        <v>0</v>
      </c>
      <c r="I2" s="759">
        <v>0</v>
      </c>
      <c r="J2" s="759"/>
      <c r="K2" s="759">
        <f>'2-规划指标'!O24</f>
        <v>0</v>
      </c>
      <c r="L2" s="759"/>
      <c r="M2" s="760"/>
      <c r="N2" s="761"/>
      <c r="O2" s="761"/>
      <c r="P2" s="761"/>
      <c r="Q2" s="755"/>
      <c r="AA2" s="756"/>
    </row>
    <row r="3" spans="2:27" s="748" customFormat="1" ht="24" customHeight="1">
      <c r="B3" s="995" t="s">
        <v>25</v>
      </c>
      <c r="C3" s="995"/>
      <c r="D3" s="995" t="s">
        <v>23</v>
      </c>
      <c r="E3" s="762" t="s">
        <v>1697</v>
      </c>
      <c r="F3" s="762" t="s">
        <v>1698</v>
      </c>
      <c r="G3" s="762" t="s">
        <v>1699</v>
      </c>
      <c r="H3" s="762" t="s">
        <v>1700</v>
      </c>
      <c r="I3" s="762" t="s">
        <v>1701</v>
      </c>
      <c r="J3" s="763" t="s">
        <v>1702</v>
      </c>
      <c r="K3" s="995" t="s">
        <v>1703</v>
      </c>
      <c r="L3" s="995" t="s">
        <v>515</v>
      </c>
      <c r="M3" s="764" t="s">
        <v>1704</v>
      </c>
      <c r="N3" s="764" t="s">
        <v>1019</v>
      </c>
      <c r="O3" s="764" t="s">
        <v>1071</v>
      </c>
      <c r="P3" s="886" t="s">
        <v>1072</v>
      </c>
      <c r="Q3" s="995" t="s">
        <v>1705</v>
      </c>
    </row>
    <row r="4" spans="2:27" ht="16.5" customHeight="1">
      <c r="B4" s="480" t="s">
        <v>1706</v>
      </c>
      <c r="C4" s="481" t="s">
        <v>1707</v>
      </c>
      <c r="D4" s="480" t="s">
        <v>1708</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1709</v>
      </c>
      <c r="C5" s="712">
        <v>1</v>
      </c>
      <c r="D5" s="771" t="s">
        <v>1710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1711</v>
      </c>
      <c r="C6" s="777" t="s">
        <v>1712</v>
      </c>
      <c r="D6" s="776" t="s">
        <v>1713</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1714</v>
      </c>
      <c r="C7" s="782" t="s">
        <v>39</v>
      </c>
      <c r="D7" s="783" t="s">
        <v>1480</v>
      </c>
      <c r="E7" s="307" t="s">
        <v>1278</v>
      </c>
      <c r="F7" s="307" t="s">
        <v>1692</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1692</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customHeight="1" outlineLevel="2">
      <c r="B9" s="776" t="s">
        <v>1715</v>
      </c>
      <c r="C9" s="777" t="s">
        <v>1716</v>
      </c>
      <c r="D9" s="776" t="s">
        <v>1717</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1719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0.35</v>
      </c>
      <c r="H11" s="787" t="s">
        <v>384</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0.35</v>
      </c>
      <c r="H12" s="787" t="s">
        <v>143</v>
      </c>
      <c r="I12" s="672">
        <f t="shared" ref="I12:I17" si="2">$E$2*(1+$F$2)</f>
        <v>0</v>
      </c>
      <c r="J12" s="672">
        <v>460</v>
      </c>
      <c r="K12" s="778">
        <f>J12/(1+L12)</f>
        <v>414.41441441441435</v>
      </c>
      <c r="L12" s="569">
        <v>0.11</v>
      </c>
      <c r="M12" s="779">
        <f>G12*I12*K12/10000</f>
        <v>0</v>
      </c>
      <c r="N12" s="779">
        <f>L12*M12</f>
        <v>0</v>
      </c>
      <c r="O12" s="779">
        <f>M12+N12</f>
        <v>0</v>
      </c>
      <c r="P12" s="780" t="e">
        <f t="shared" si="0"/>
        <v>#DIV/0!</v>
      </c>
      <c r="Q12" s="781">
        <f t="shared" si="1"/>
        <v>0</v>
      </c>
      <c r="AA12" s="632"/>
    </row>
    <row r="13" spans="2:27" ht="16.5" customHeight="1" outlineLevel="3">
      <c r="B13" s="776" t="s">
        <v>1724</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45</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45</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2.8</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0.18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4.5</v>
      </c>
      <c r="H18" s="790" t="s">
        <v>384</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1731</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1733</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145</v>
      </c>
      <c r="I23" s="672">
        <f t="shared" si="5"/>
        <v>0</v>
      </c>
      <c r="J23" s="672">
        <v>165</v>
      </c>
      <c r="K23" s="778">
        <f>J23/(1+L23)</f>
        <v>148.64864864864865</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v>
      </c>
      <c r="H29" s="790" t="s">
        <v>145</v>
      </c>
      <c r="I29" s="672">
        <f t="shared" si="5"/>
        <v>0</v>
      </c>
      <c r="J29" s="672">
        <v>110</v>
      </c>
      <c r="K29" s="778">
        <f t="shared" si="6"/>
        <v>99.099099099099092</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1748</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143</v>
      </c>
      <c r="I31" s="672">
        <f>$E$2*(1+$F$2)</f>
        <v>0</v>
      </c>
      <c r="J31" s="672"/>
      <c r="K31" s="778">
        <f t="shared" si="6"/>
        <v>0</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1753</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1760</v>
      </c>
      <c r="C36" s="712">
        <v>2</v>
      </c>
      <c r="D36" s="771" t="s">
        <v>1761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1712</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1765</v>
      </c>
      <c r="G39" s="791">
        <v>1</v>
      </c>
      <c r="H39" s="790" t="s">
        <v>143</v>
      </c>
      <c r="I39" s="672">
        <f>$E$2*(1+$F$2)</f>
        <v>0</v>
      </c>
      <c r="J39" s="672">
        <v>20</v>
      </c>
      <c r="K39" s="778">
        <f>J39/(1+L39)</f>
        <v>18.018018018018015</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1765</v>
      </c>
      <c r="G40" s="672">
        <v>1</v>
      </c>
      <c r="H40" s="787" t="s">
        <v>143</v>
      </c>
      <c r="I40" s="672">
        <f>$E$2*(1+$F$2)</f>
        <v>0</v>
      </c>
      <c r="J40" s="672">
        <v>25</v>
      </c>
      <c r="K40" s="778">
        <f>J40/(1+L40)</f>
        <v>21.36752136752137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1765</v>
      </c>
      <c r="G42" s="672">
        <v>1</v>
      </c>
      <c r="H42" s="787" t="s">
        <v>143</v>
      </c>
      <c r="I42" s="672">
        <f>$E$2*(1+$F$2)</f>
        <v>0</v>
      </c>
      <c r="J42" s="672"/>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1765</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1693</v>
      </c>
      <c r="G46" s="672">
        <v>1</v>
      </c>
      <c r="H46" s="787" t="s">
        <v>741</v>
      </c>
      <c r="I46" s="672">
        <f>$H$2</f>
        <v>0</v>
      </c>
      <c r="J46" s="672"/>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1765</v>
      </c>
      <c r="G48" s="791">
        <v>1</v>
      </c>
      <c r="H48" s="790" t="s">
        <v>143</v>
      </c>
      <c r="I48" s="672">
        <f t="shared" ref="I48:I55" si="9">$E$2*(1+$F$2)</f>
        <v>0</v>
      </c>
      <c r="J48" s="672">
        <v>50</v>
      </c>
      <c r="K48" s="778">
        <f t="shared" ref="K48:K54" si="10">J48/(1+L48)</f>
        <v>45.045045045045043</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143</v>
      </c>
      <c r="I50" s="672">
        <f t="shared" si="9"/>
        <v>0</v>
      </c>
      <c r="J50" s="672">
        <v>15</v>
      </c>
      <c r="K50" s="778">
        <f t="shared" si="10"/>
        <v>12.820512820512821</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1772</v>
      </c>
      <c r="F51" s="648" t="s">
        <v>1770</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143</v>
      </c>
      <c r="I54" s="672">
        <f t="shared" si="9"/>
        <v>0</v>
      </c>
      <c r="J54" s="672">
        <v>10</v>
      </c>
      <c r="K54" s="778">
        <f t="shared" si="10"/>
        <v>8.5470085470085468</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1716</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1694</v>
      </c>
      <c r="G58" s="791">
        <v>2</v>
      </c>
      <c r="H58" s="795" t="s">
        <v>1920</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1694</v>
      </c>
      <c r="G59" s="791">
        <v>2</v>
      </c>
      <c r="H59" s="795" t="s">
        <v>1920</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80</v>
      </c>
      <c r="K64" s="778">
        <f>J64/(1+L64)</f>
        <v>72.072072072072061</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1789</v>
      </c>
      <c r="E68" s="648" t="s">
        <v>455</v>
      </c>
      <c r="F68" s="648" t="s">
        <v>657</v>
      </c>
      <c r="G68" s="791">
        <v>1</v>
      </c>
      <c r="H68" s="795" t="s">
        <v>143</v>
      </c>
      <c r="I68" s="672">
        <f>$E$2*(1+$F$2)</f>
        <v>0</v>
      </c>
      <c r="J68" s="672"/>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1790</v>
      </c>
      <c r="C69" s="481" t="s">
        <v>1791</v>
      </c>
      <c r="D69" s="480" t="s">
        <v>1792</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 r="B70" s="802" t="s">
        <v>1793</v>
      </c>
      <c r="C70" s="803">
        <v>1</v>
      </c>
      <c r="D70" s="802" t="s">
        <v>1794</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1795</v>
      </c>
      <c r="C71" s="777" t="s">
        <v>1712</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customHeight="1" outlineLevel="2">
      <c r="B78" s="776" t="s">
        <v>1549</v>
      </c>
      <c r="C78" s="777" t="s">
        <v>73</v>
      </c>
      <c r="D78" s="776" t="s">
        <v>1550</v>
      </c>
      <c r="E78" s="648" t="s">
        <v>1796</v>
      </c>
      <c r="F78" s="648" t="s">
        <v>657</v>
      </c>
      <c r="G78" s="791">
        <v>1</v>
      </c>
      <c r="H78" s="795" t="s">
        <v>1930</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customHeight="1" outlineLevel="2">
      <c r="B81" s="776" t="s">
        <v>686</v>
      </c>
      <c r="C81" s="777" t="s">
        <v>146</v>
      </c>
      <c r="D81" s="776" t="s">
        <v>1797</v>
      </c>
      <c r="E81" s="648" t="s">
        <v>1798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 r="B82" s="802" t="s">
        <v>1799</v>
      </c>
      <c r="C82" s="803">
        <v>2</v>
      </c>
      <c r="D82" s="802" t="s">
        <v>1800</v>
      </c>
      <c r="E82" s="712"/>
      <c r="F82" s="712"/>
      <c r="G82" s="712"/>
      <c r="H82" s="772"/>
      <c r="I82" s="713"/>
      <c r="J82" s="713"/>
      <c r="K82" s="772"/>
      <c r="L82" s="588"/>
      <c r="M82" s="773">
        <f>SUBTOTAL(9,M83:M85)</f>
        <v>0</v>
      </c>
      <c r="N82" s="773"/>
      <c r="O82" s="773"/>
      <c r="P82" s="774" t="str">
        <f t="shared" si="14"/>
        <v/>
      </c>
      <c r="Q82" s="775">
        <f t="shared" si="8"/>
        <v>0</v>
      </c>
      <c r="AA82" s="632"/>
    </row>
    <row r="83" spans="2:27" ht="16.5" customHeight="1" outlineLevel="2">
      <c r="B83" s="776" t="s">
        <v>689</v>
      </c>
      <c r="C83" s="777" t="s">
        <v>1712</v>
      </c>
      <c r="D83" s="804" t="s">
        <v>1801</v>
      </c>
      <c r="E83" s="648" t="s">
        <v>1798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1802</v>
      </c>
      <c r="E84" s="648" t="s">
        <v>1798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1803</v>
      </c>
      <c r="E85" s="648" t="s">
        <v>1798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1804</v>
      </c>
      <c r="C86" s="803">
        <v>3</v>
      </c>
      <c r="D86" s="802" t="s">
        <v>1805</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1806</v>
      </c>
      <c r="C87" s="803">
        <v>4</v>
      </c>
      <c r="D87" s="802" t="s">
        <v>1807</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1808</v>
      </c>
      <c r="C88" s="481" t="s">
        <v>1809</v>
      </c>
      <c r="D88" s="480" t="s">
        <v>1810</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 r="B89" s="802" t="s">
        <v>1811</v>
      </c>
      <c r="C89" s="803">
        <v>1</v>
      </c>
      <c r="D89" s="802" t="s">
        <v>1812</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1712</v>
      </c>
      <c r="D90" s="804" t="s">
        <v>1813</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1814</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customHeight="1" outlineLevel="4">
      <c r="B92" s="776" t="s">
        <v>1815</v>
      </c>
      <c r="C92" s="782"/>
      <c r="D92" s="807" t="s">
        <v>1556</v>
      </c>
      <c r="E92" s="648" t="s">
        <v>459</v>
      </c>
      <c r="F92" s="648" t="s">
        <v>657</v>
      </c>
      <c r="G92" s="808">
        <v>0.2</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0.2</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customHeight="1" outlineLevel="3">
      <c r="B94" s="776" t="s">
        <v>1816</v>
      </c>
      <c r="C94" s="782" t="s">
        <v>39</v>
      </c>
      <c r="D94" s="804" t="s">
        <v>1817</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customHeight="1" outlineLevel="4">
      <c r="B95" s="776" t="s">
        <v>1818</v>
      </c>
      <c r="C95" s="782"/>
      <c r="D95" s="807" t="s">
        <v>1560</v>
      </c>
      <c r="E95" s="719" t="s">
        <v>1819</v>
      </c>
      <c r="F95" s="648" t="s">
        <v>657</v>
      </c>
      <c r="G95" s="809">
        <v>1</v>
      </c>
      <c r="H95" s="805" t="s">
        <v>145</v>
      </c>
      <c r="I95" s="672">
        <f t="shared" si="20"/>
        <v>0</v>
      </c>
      <c r="J95" s="672">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1819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1819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1819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1820</v>
      </c>
      <c r="C99" s="782" t="s">
        <v>39</v>
      </c>
      <c r="D99" s="804" t="s">
        <v>1821</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customHeight="1" outlineLevel="4">
      <c r="B100" s="776" t="s">
        <v>1822</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1823</v>
      </c>
      <c r="C102" s="782" t="s">
        <v>39</v>
      </c>
      <c r="D102" s="804" t="s">
        <v>1824</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1825</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1826</v>
      </c>
      <c r="C105" s="782" t="s">
        <v>39</v>
      </c>
      <c r="D105" s="804" t="s">
        <v>1827</v>
      </c>
      <c r="E105" s="648" t="s">
        <v>1828</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customHeight="1" outlineLevel="3">
      <c r="B106" s="776" t="s">
        <v>705</v>
      </c>
      <c r="C106" s="782" t="s">
        <v>39</v>
      </c>
      <c r="D106" s="804" t="s">
        <v>1829</v>
      </c>
      <c r="E106" s="648" t="s">
        <v>1580</v>
      </c>
      <c r="F106" s="665" t="s">
        <v>1694</v>
      </c>
      <c r="G106" s="810"/>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1753</v>
      </c>
      <c r="F107" s="648" t="s">
        <v>657</v>
      </c>
      <c r="G107" s="809"/>
      <c r="H107" s="805"/>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1753</v>
      </c>
      <c r="F108" s="665" t="s">
        <v>1694</v>
      </c>
      <c r="G108" s="811"/>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1830</v>
      </c>
      <c r="E109" s="648" t="s">
        <v>470</v>
      </c>
      <c r="F109" s="648" t="s">
        <v>657</v>
      </c>
      <c r="G109" s="808">
        <v>1</v>
      </c>
      <c r="H109" s="805" t="s">
        <v>143</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1831</v>
      </c>
      <c r="C110" s="782" t="s">
        <v>39</v>
      </c>
      <c r="D110" s="804" t="s">
        <v>1832</v>
      </c>
      <c r="E110" s="648" t="s">
        <v>1753</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1716</v>
      </c>
      <c r="D111" s="804" t="s">
        <v>1833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1834</v>
      </c>
      <c r="E112" s="665" t="s">
        <v>1583</v>
      </c>
      <c r="F112" s="665" t="s">
        <v>1835</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1695</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1837</v>
      </c>
      <c r="E114" s="665" t="s">
        <v>1583</v>
      </c>
      <c r="F114" s="665" t="s">
        <v>1693</v>
      </c>
      <c r="G114" s="813">
        <v>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1838</v>
      </c>
      <c r="C115" s="782" t="s">
        <v>39</v>
      </c>
      <c r="D115" s="804" t="s">
        <v>1839</v>
      </c>
      <c r="E115" s="665" t="s">
        <v>1583</v>
      </c>
      <c r="F115" s="665" t="s">
        <v>1693</v>
      </c>
      <c r="G115" s="808">
        <v>10</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1840</v>
      </c>
      <c r="C116" s="782" t="s">
        <v>39</v>
      </c>
      <c r="D116" s="804" t="s">
        <v>1841</v>
      </c>
      <c r="E116" s="665" t="s">
        <v>1583</v>
      </c>
      <c r="F116" s="665" t="s">
        <v>1693</v>
      </c>
      <c r="G116" s="809">
        <v>10</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1842</v>
      </c>
      <c r="D117" s="804" t="s">
        <v>1843</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1844</v>
      </c>
      <c r="E118" s="665" t="s">
        <v>1580</v>
      </c>
      <c r="F118" s="665" t="s">
        <v>1694</v>
      </c>
      <c r="G118" s="814">
        <v>20</v>
      </c>
      <c r="H118" s="805" t="s">
        <v>7</v>
      </c>
      <c r="I118" s="672">
        <f>$I$2</f>
        <v>0</v>
      </c>
      <c r="J118" s="672"/>
      <c r="K118" s="791">
        <f>J118/(1+L118)</f>
        <v>0</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1845</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1846</v>
      </c>
      <c r="C120" s="782"/>
      <c r="D120" s="807" t="s">
        <v>1847</v>
      </c>
      <c r="E120" s="665" t="s">
        <v>1587</v>
      </c>
      <c r="F120" s="665" t="s">
        <v>1848</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1849</v>
      </c>
      <c r="E121" s="665" t="s">
        <v>1589</v>
      </c>
      <c r="F121" s="665" t="s">
        <v>1848</v>
      </c>
      <c r="G121" s="813">
        <v>1</v>
      </c>
      <c r="H121" s="787" t="s">
        <v>727</v>
      </c>
      <c r="I121" s="672">
        <f>$H$2</f>
        <v>0</v>
      </c>
      <c r="J121" s="672"/>
      <c r="K121" s="791">
        <f>J121/(1+L121)</f>
        <v>0</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1850</v>
      </c>
      <c r="E122" s="648" t="s">
        <v>1590</v>
      </c>
      <c r="F122" s="665" t="s">
        <v>1835</v>
      </c>
      <c r="G122" s="813">
        <v>1</v>
      </c>
      <c r="H122" s="805" t="s">
        <v>1923</v>
      </c>
      <c r="I122" s="672">
        <f>$I$2*($K$2+1)</f>
        <v>0</v>
      </c>
      <c r="J122" s="672"/>
      <c r="K122" s="791">
        <f>J122/(1+L122)</f>
        <v>0</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1851</v>
      </c>
      <c r="C123" s="782" t="s">
        <v>39</v>
      </c>
      <c r="D123" s="804" t="s">
        <v>1852</v>
      </c>
      <c r="E123" s="665" t="s">
        <v>1580</v>
      </c>
      <c r="F123" s="648" t="s">
        <v>657</v>
      </c>
      <c r="G123" s="808">
        <v>0.4</v>
      </c>
      <c r="H123" s="805" t="s">
        <v>145</v>
      </c>
      <c r="I123" s="672">
        <f>$E$2*(1+$F$2)</f>
        <v>0</v>
      </c>
      <c r="J123" s="672"/>
      <c r="K123" s="791">
        <f>J123/(1+L123)</f>
        <v>0</v>
      </c>
      <c r="L123" s="620">
        <v>0.17</v>
      </c>
      <c r="M123" s="779">
        <f>G123*I123*K123/10000</f>
        <v>0</v>
      </c>
      <c r="N123" s="779">
        <f>L123*M123</f>
        <v>0</v>
      </c>
      <c r="O123" s="779">
        <f>M123+N123</f>
        <v>0</v>
      </c>
      <c r="P123" s="780" t="e">
        <f t="shared" si="14"/>
        <v>#DIV/0!</v>
      </c>
      <c r="Q123" s="781">
        <f t="shared" si="25"/>
        <v>0</v>
      </c>
      <c r="R123" s="632" t="s">
        <v>1853</v>
      </c>
      <c r="AA123" s="632"/>
    </row>
    <row r="124" spans="2:27" ht="16.5" customHeight="1" outlineLevel="2">
      <c r="B124" s="776" t="s">
        <v>731</v>
      </c>
      <c r="C124" s="777" t="s">
        <v>1854</v>
      </c>
      <c r="D124" s="804" t="s">
        <v>1855</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1856</v>
      </c>
      <c r="E125" s="814" t="s">
        <v>1228</v>
      </c>
      <c r="F125" s="814" t="s">
        <v>1692</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1857</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1858</v>
      </c>
      <c r="C127" s="782" t="s">
        <v>39</v>
      </c>
      <c r="D127" s="815" t="s">
        <v>1859</v>
      </c>
      <c r="E127" s="648" t="s">
        <v>1860</v>
      </c>
      <c r="F127" s="648" t="s">
        <v>657</v>
      </c>
      <c r="G127" s="808">
        <v>1</v>
      </c>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1861</v>
      </c>
      <c r="E128" s="665" t="s">
        <v>463</v>
      </c>
      <c r="F128" s="665" t="s">
        <v>1693</v>
      </c>
      <c r="G128" s="814">
        <v>1</v>
      </c>
      <c r="H128" s="812" t="s">
        <v>741</v>
      </c>
      <c r="I128" s="672">
        <f>$H$2</f>
        <v>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1862</v>
      </c>
      <c r="C129" s="712">
        <v>2</v>
      </c>
      <c r="D129" s="771" t="s">
        <v>1863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1712</v>
      </c>
      <c r="D130" s="817" t="s">
        <v>1864</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1865</v>
      </c>
      <c r="C131" s="782" t="s">
        <v>39</v>
      </c>
      <c r="D131" s="815" t="s">
        <v>1866</v>
      </c>
      <c r="E131" s="648" t="s">
        <v>1867</v>
      </c>
      <c r="F131" s="648" t="s">
        <v>1694</v>
      </c>
      <c r="G131" s="787">
        <v>55</v>
      </c>
      <c r="H131" s="805" t="s">
        <v>1921</v>
      </c>
      <c r="I131" s="672">
        <f>$I$2</f>
        <v>0</v>
      </c>
      <c r="J131" s="672"/>
      <c r="K131" s="791">
        <f>J131/(1+L131)</f>
        <v>0</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1868</v>
      </c>
      <c r="E132" s="648" t="s">
        <v>457</v>
      </c>
      <c r="F132" s="648" t="s">
        <v>1694</v>
      </c>
      <c r="G132" s="787">
        <v>55</v>
      </c>
      <c r="H132" s="805" t="s">
        <v>1921</v>
      </c>
      <c r="I132" s="672">
        <f>$I$2</f>
        <v>0</v>
      </c>
      <c r="J132" s="672"/>
      <c r="K132" s="791">
        <f>J132/(1+L132)</f>
        <v>0</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1869</v>
      </c>
      <c r="E133" s="648" t="s">
        <v>1329</v>
      </c>
      <c r="F133" s="648" t="s">
        <v>1694</v>
      </c>
      <c r="G133" s="787">
        <v>55</v>
      </c>
      <c r="H133" s="805" t="s">
        <v>1921</v>
      </c>
      <c r="I133" s="672">
        <f>$I$2</f>
        <v>0</v>
      </c>
      <c r="J133" s="672"/>
      <c r="K133" s="791">
        <f>J133/(1+L133)</f>
        <v>0</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1870</v>
      </c>
      <c r="C134" s="777" t="s">
        <v>1716</v>
      </c>
      <c r="D134" s="817" t="s">
        <v>1871</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1872</v>
      </c>
      <c r="C135" s="782" t="s">
        <v>39</v>
      </c>
      <c r="D135" s="815" t="s">
        <v>1873</v>
      </c>
      <c r="E135" s="648" t="s">
        <v>1867</v>
      </c>
      <c r="F135" s="648" t="s">
        <v>1694</v>
      </c>
      <c r="G135" s="787">
        <v>50</v>
      </c>
      <c r="H135" s="805" t="s">
        <v>1921</v>
      </c>
      <c r="I135" s="672">
        <f>$I$2</f>
        <v>0</v>
      </c>
      <c r="J135" s="672"/>
      <c r="K135" s="791">
        <f>J135/(1+L135)</f>
        <v>0</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1874</v>
      </c>
      <c r="E136" s="648" t="s">
        <v>457</v>
      </c>
      <c r="F136" s="648" t="s">
        <v>1694</v>
      </c>
      <c r="G136" s="787">
        <v>50</v>
      </c>
      <c r="H136" s="805" t="s">
        <v>1921</v>
      </c>
      <c r="I136" s="672">
        <f>$I$2</f>
        <v>0</v>
      </c>
      <c r="J136" s="672"/>
      <c r="K136" s="791">
        <f>J136/(1+L136)</f>
        <v>0</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1875</v>
      </c>
      <c r="E137" s="648" t="s">
        <v>1329</v>
      </c>
      <c r="F137" s="648" t="s">
        <v>1694</v>
      </c>
      <c r="G137" s="787">
        <v>50</v>
      </c>
      <c r="H137" s="805" t="s">
        <v>1921</v>
      </c>
      <c r="I137" s="672">
        <f>$I$2</f>
        <v>0</v>
      </c>
      <c r="J137" s="672"/>
      <c r="K137" s="791">
        <f>J137/(1+L137)</f>
        <v>0</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1876</v>
      </c>
      <c r="C138" s="777" t="s">
        <v>1842</v>
      </c>
      <c r="D138" s="817" t="s">
        <v>1877</v>
      </c>
      <c r="E138" s="648" t="s">
        <v>1867</v>
      </c>
      <c r="F138" s="648" t="s">
        <v>1694</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1878</v>
      </c>
      <c r="E139" s="648" t="s">
        <v>1867</v>
      </c>
      <c r="F139" s="648" t="s">
        <v>1694</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1879</v>
      </c>
      <c r="E140" s="648" t="s">
        <v>1867</v>
      </c>
      <c r="F140" s="665" t="s">
        <v>1835</v>
      </c>
      <c r="G140" s="813">
        <v>19.399999999999999</v>
      </c>
      <c r="H140" s="805" t="s">
        <v>1924</v>
      </c>
      <c r="I140" s="672"/>
      <c r="J140" s="672"/>
      <c r="K140" s="791">
        <f>J140/(1+L140)</f>
        <v>0</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1880</v>
      </c>
      <c r="C141" s="777" t="s">
        <v>144</v>
      </c>
      <c r="D141" s="817" t="s">
        <v>1881</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1882</v>
      </c>
      <c r="C142" s="782" t="s">
        <v>39</v>
      </c>
      <c r="D142" s="815" t="s">
        <v>1883</v>
      </c>
      <c r="E142" s="648" t="s">
        <v>1867</v>
      </c>
      <c r="F142" s="665" t="s">
        <v>1884</v>
      </c>
      <c r="G142" s="813">
        <v>26.6</v>
      </c>
      <c r="H142" s="805" t="s">
        <v>1924</v>
      </c>
      <c r="I142" s="672">
        <f>($K$2-1)*$I$2</f>
        <v>0</v>
      </c>
      <c r="J142" s="672"/>
      <c r="K142" s="791">
        <f>J142/(1+L142)</f>
        <v>0</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1885</v>
      </c>
      <c r="E143" s="648" t="s">
        <v>457</v>
      </c>
      <c r="F143" s="665" t="s">
        <v>1884</v>
      </c>
      <c r="G143" s="813">
        <v>26.6</v>
      </c>
      <c r="H143" s="805" t="s">
        <v>1924</v>
      </c>
      <c r="I143" s="672">
        <f>($K$2-1)*$I$2</f>
        <v>0</v>
      </c>
      <c r="J143" s="672"/>
      <c r="K143" s="791">
        <f>J143/(1+L143)</f>
        <v>0</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1886</v>
      </c>
      <c r="E144" s="648" t="s">
        <v>1329</v>
      </c>
      <c r="F144" s="665" t="s">
        <v>1884</v>
      </c>
      <c r="G144" s="813">
        <v>26.6</v>
      </c>
      <c r="H144" s="805" t="s">
        <v>1924</v>
      </c>
      <c r="I144" s="672">
        <f>($K$2-1)*$I$2</f>
        <v>0</v>
      </c>
      <c r="J144" s="672"/>
      <c r="K144" s="791">
        <f>J144/(1+L144)</f>
        <v>0</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1887</v>
      </c>
      <c r="D145" s="804" t="s">
        <v>1888</v>
      </c>
      <c r="E145" s="648" t="s">
        <v>1867</v>
      </c>
      <c r="F145" s="648"/>
      <c r="G145" s="787"/>
      <c r="H145" s="787"/>
      <c r="I145" s="672"/>
      <c r="J145" s="672"/>
      <c r="K145" s="681"/>
      <c r="L145" s="569">
        <v>0.11</v>
      </c>
      <c r="M145" s="779"/>
      <c r="N145" s="779"/>
      <c r="O145" s="779"/>
      <c r="P145" s="780" t="str">
        <f t="shared" si="26"/>
        <v/>
      </c>
      <c r="Q145" s="781">
        <f t="shared" si="25"/>
        <v>0</v>
      </c>
      <c r="AA145" s="632"/>
    </row>
    <row r="146" spans="1:27" ht="16.5" customHeight="1" outlineLevel="2">
      <c r="B146" s="776" t="s">
        <v>764</v>
      </c>
      <c r="C146" s="777" t="s">
        <v>73</v>
      </c>
      <c r="D146" s="804" t="s">
        <v>1889</v>
      </c>
      <c r="E146" s="648" t="s">
        <v>1867</v>
      </c>
      <c r="F146" s="648"/>
      <c r="G146" s="787"/>
      <c r="H146" s="787"/>
      <c r="I146" s="672"/>
      <c r="J146" s="672"/>
      <c r="K146" s="681"/>
      <c r="L146" s="569">
        <v>0.11</v>
      </c>
      <c r="M146" s="779"/>
      <c r="N146" s="779"/>
      <c r="O146" s="779"/>
      <c r="P146" s="780" t="str">
        <f t="shared" si="26"/>
        <v/>
      </c>
      <c r="Q146" s="781">
        <f t="shared" si="25"/>
        <v>0</v>
      </c>
      <c r="AA146" s="632"/>
    </row>
    <row r="147" spans="1:27" ht="16.5" customHeight="1" outlineLevel="2">
      <c r="B147" s="776" t="s">
        <v>765</v>
      </c>
      <c r="C147" s="777" t="s">
        <v>74</v>
      </c>
      <c r="D147" s="804" t="s">
        <v>1890</v>
      </c>
      <c r="E147" s="648" t="s">
        <v>1867</v>
      </c>
      <c r="F147" s="648"/>
      <c r="G147" s="787"/>
      <c r="H147" s="787"/>
      <c r="I147" s="672"/>
      <c r="J147" s="672"/>
      <c r="K147" s="681"/>
      <c r="L147" s="569">
        <v>0.11</v>
      </c>
      <c r="M147" s="779"/>
      <c r="N147" s="779"/>
      <c r="O147" s="779"/>
      <c r="P147" s="780" t="str">
        <f t="shared" si="26"/>
        <v/>
      </c>
      <c r="Q147" s="781">
        <f t="shared" si="25"/>
        <v>0</v>
      </c>
      <c r="AA147" s="632"/>
    </row>
    <row r="148" spans="1:27" ht="16.5" customHeight="1" outlineLevel="2">
      <c r="B148" s="776" t="s">
        <v>1891</v>
      </c>
      <c r="C148" s="777" t="s">
        <v>75</v>
      </c>
      <c r="D148" s="804" t="s">
        <v>1892</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 r="B149" s="818" t="s">
        <v>1893</v>
      </c>
      <c r="C149" s="819">
        <v>3</v>
      </c>
      <c r="D149" s="818" t="s">
        <v>1894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1712</v>
      </c>
      <c r="D150" s="804" t="s">
        <v>1895</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1693</v>
      </c>
      <c r="G151" s="813">
        <v>1</v>
      </c>
      <c r="H151" s="787" t="s">
        <v>1925</v>
      </c>
      <c r="I151" s="672">
        <f t="shared" ref="I151:I156" si="30">$H$2</f>
        <v>0</v>
      </c>
      <c r="J151" s="672"/>
      <c r="K151" s="791">
        <f t="shared" ref="K151:K156" si="31">J151/(1+L151)</f>
        <v>0</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customHeight="1" outlineLevel="3">
      <c r="B152" s="776" t="s">
        <v>769</v>
      </c>
      <c r="C152" s="782" t="s">
        <v>39</v>
      </c>
      <c r="D152" s="804" t="s">
        <v>1896</v>
      </c>
      <c r="E152" s="665" t="s">
        <v>1596</v>
      </c>
      <c r="F152" s="665" t="s">
        <v>1693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1897</v>
      </c>
      <c r="F153" s="665" t="s">
        <v>1693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1898</v>
      </c>
      <c r="E154" s="665" t="s">
        <v>458</v>
      </c>
      <c r="F154" s="665" t="s">
        <v>1693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1899</v>
      </c>
      <c r="E155" s="665" t="s">
        <v>1900</v>
      </c>
      <c r="F155" s="665" t="s">
        <v>1693</v>
      </c>
      <c r="G155" s="813">
        <v>1</v>
      </c>
      <c r="H155" s="787" t="s">
        <v>1925</v>
      </c>
      <c r="I155" s="672">
        <f t="shared" si="30"/>
        <v>0</v>
      </c>
      <c r="J155" s="672"/>
      <c r="K155" s="791">
        <f t="shared" si="31"/>
        <v>0</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1901</v>
      </c>
      <c r="E156" s="665" t="s">
        <v>458</v>
      </c>
      <c r="F156" s="665" t="s">
        <v>1693</v>
      </c>
      <c r="G156" s="813">
        <v>1</v>
      </c>
      <c r="H156" s="787" t="s">
        <v>1925</v>
      </c>
      <c r="I156" s="672">
        <f t="shared" si="30"/>
        <v>0</v>
      </c>
      <c r="J156" s="672">
        <v>300</v>
      </c>
      <c r="K156" s="791">
        <f t="shared" si="31"/>
        <v>270.27027027027026</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1902</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customHeight="1" outlineLevel="3">
      <c r="A158" s="633"/>
      <c r="B158" s="776" t="s">
        <v>1903</v>
      </c>
      <c r="C158" s="782" t="s">
        <v>39</v>
      </c>
      <c r="D158" s="804" t="s">
        <v>776</v>
      </c>
      <c r="E158" s="665" t="s">
        <v>458</v>
      </c>
      <c r="F158" s="648"/>
      <c r="G158" s="825">
        <v>1</v>
      </c>
      <c r="H158" s="787" t="s">
        <v>145</v>
      </c>
      <c r="I158" s="672"/>
      <c r="J158" s="672"/>
      <c r="K158" s="787"/>
      <c r="L158" s="569">
        <v>0.11</v>
      </c>
      <c r="M158" s="779">
        <f t="shared" si="32"/>
        <v>0</v>
      </c>
      <c r="N158" s="779"/>
      <c r="O158" s="779"/>
      <c r="P158" s="780" t="str">
        <f t="shared" si="26"/>
        <v/>
      </c>
      <c r="Q158" s="781">
        <f t="shared" si="25"/>
        <v>0</v>
      </c>
      <c r="AA158" s="632"/>
    </row>
    <row r="159" spans="1:27" s="695" customFormat="1" ht="16.5" customHeight="1" outlineLevel="2">
      <c r="A159" s="633"/>
      <c r="B159" s="776" t="s">
        <v>777</v>
      </c>
      <c r="C159" s="777" t="s">
        <v>1716</v>
      </c>
      <c r="D159" s="804" t="s">
        <v>1904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customHeight="1" outlineLevel="2">
      <c r="A160" s="633"/>
      <c r="B160" s="776" t="s">
        <v>778</v>
      </c>
      <c r="C160" s="777" t="s">
        <v>69</v>
      </c>
      <c r="D160" s="804" t="s">
        <v>1905</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 r="B161" s="771" t="s">
        <v>1906</v>
      </c>
      <c r="C161" s="712">
        <v>4</v>
      </c>
      <c r="D161" s="771" t="s">
        <v>1907</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1712</v>
      </c>
      <c r="D162" s="804" t="s">
        <v>1908</v>
      </c>
      <c r="E162" s="665" t="s">
        <v>461</v>
      </c>
      <c r="F162" s="665" t="s">
        <v>1693</v>
      </c>
      <c r="G162" s="813">
        <v>1</v>
      </c>
      <c r="H162" s="787" t="s">
        <v>1926</v>
      </c>
      <c r="I162" s="672">
        <f>$H$2</f>
        <v>0</v>
      </c>
      <c r="J162" s="672"/>
      <c r="K162" s="791">
        <f>J162/(1+L162)</f>
        <v>0</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1909</v>
      </c>
      <c r="E163" s="648" t="s">
        <v>1602</v>
      </c>
      <c r="F163" s="665" t="s">
        <v>1693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1910</v>
      </c>
      <c r="E164" s="648" t="s">
        <v>1911</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1912</v>
      </c>
      <c r="E165" s="648" t="s">
        <v>1911</v>
      </c>
      <c r="F165" s="648"/>
      <c r="G165" s="787"/>
      <c r="H165" s="787"/>
      <c r="I165" s="672"/>
      <c r="J165" s="672"/>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1913</v>
      </c>
      <c r="E166" s="648" t="s">
        <v>1911</v>
      </c>
      <c r="F166" s="648"/>
      <c r="G166" s="787"/>
      <c r="H166" s="787"/>
      <c r="I166" s="672"/>
      <c r="J166" s="672"/>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1914</v>
      </c>
      <c r="E167" s="648" t="s">
        <v>1911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1937</v>
      </c>
      <c r="M168" s="829" t="s">
        <v>1931</v>
      </c>
      <c r="N168" s="829" t="s">
        <v>1932</v>
      </c>
      <c r="AA168" s="632"/>
    </row>
    <row r="169" spans="2:27" ht="15.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750"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162:J162">
    <cfRule type="cellIs" priority="89" operator="equal">
      <formula>0</formula>
    </cfRule>
    <cfRule type="cellIs" dxfId="190" priority="90" operator="equal">
      <formula>0</formula>
    </cfRule>
  </conditionalFormatting>
  <conditionalFormatting sqref="B70:C70">
    <cfRule type="duplicateValues" dxfId="189"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188" priority="148" operator="equal">
      <formula>0</formula>
    </cfRule>
  </conditionalFormatting>
  <conditionalFormatting sqref="B129:C129">
    <cfRule type="duplicateValues" dxfId="187" priority="137"/>
  </conditionalFormatting>
  <conditionalFormatting sqref="B89:C89">
    <cfRule type="duplicateValues" dxfId="186" priority="138"/>
  </conditionalFormatting>
  <conditionalFormatting sqref="D1:D5 D9:D65536">
    <cfRule type="duplicateValues" dxfId="185" priority="149"/>
  </conditionalFormatting>
  <conditionalFormatting sqref="B86:C87">
    <cfRule type="duplicateValues" dxfId="184" priority="140"/>
  </conditionalFormatting>
  <conditionalFormatting sqref="B88:C88">
    <cfRule type="duplicateValues" dxfId="183" priority="139"/>
  </conditionalFormatting>
  <conditionalFormatting sqref="B149:C149">
    <cfRule type="duplicateValues" dxfId="182" priority="136"/>
  </conditionalFormatting>
  <conditionalFormatting sqref="B82:C82">
    <cfRule type="duplicateValues" dxfId="181" priority="141"/>
  </conditionalFormatting>
  <conditionalFormatting sqref="B161:C161">
    <cfRule type="duplicateValues" dxfId="180" priority="135"/>
  </conditionalFormatting>
  <conditionalFormatting sqref="D6:D8">
    <cfRule type="duplicateValues" dxfId="179" priority="150"/>
  </conditionalFormatting>
  <conditionalFormatting sqref="B36:C36">
    <cfRule type="duplicateValues" dxfId="178" priority="144"/>
  </conditionalFormatting>
  <conditionalFormatting sqref="B4:C4">
    <cfRule type="duplicateValues" dxfId="177" priority="146"/>
  </conditionalFormatting>
  <conditionalFormatting sqref="B5:C5">
    <cfRule type="duplicateValues" dxfId="176" priority="145"/>
  </conditionalFormatting>
  <conditionalFormatting sqref="B69:C69">
    <cfRule type="duplicateValues" dxfId="175" priority="143"/>
  </conditionalFormatting>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75"/>
  <sheetViews>
    <sheetView workbookViewId="0">
      <pane xSplit="4" ySplit="3" topLeftCell="G72" activePane="bottomRight" state="frozen"/>
      <selection pane="topRight"/>
      <selection pane="bottomLeft"/>
      <selection pane="bottomRight" activeCell="M74" sqref="M74"/>
    </sheetView>
  </sheetViews>
  <sheetFormatPr defaultColWidth="9" defaultRowHeight="24" customHeight="1" outlineLevelRow="3"/>
  <cols>
    <col min="1" max="1" width="3.33203125" style="632" customWidth="1"/>
    <col min="2" max="2" width="17.58203125" style="632" customWidth="1"/>
    <col min="3" max="3" width="5.08203125" style="748" customWidth="1"/>
    <col min="4" max="4" width="19.58203125" style="632" customWidth="1"/>
    <col min="5" max="5" width="18.8320312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3" width="12.1640625" style="750" customWidth="1"/>
    <col min="14" max="15" width="10"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446</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5" customHeight="1">
      <c r="C2" s="752"/>
      <c r="D2" s="753" t="s">
        <v>1622</v>
      </c>
      <c r="E2" s="757">
        <f>'2-规划指标'!H42</f>
        <v>0</v>
      </c>
      <c r="F2" s="758">
        <v>0</v>
      </c>
      <c r="G2" s="759">
        <f>E2</f>
        <v>0</v>
      </c>
      <c r="H2" s="759"/>
      <c r="I2" s="759"/>
      <c r="J2" s="759">
        <v>1</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838" t="s">
        <v>1623</v>
      </c>
      <c r="K3" s="995" t="s">
        <v>1624</v>
      </c>
      <c r="L3" s="995" t="s">
        <v>515</v>
      </c>
      <c r="M3" s="764" t="s">
        <v>1069</v>
      </c>
      <c r="N3" s="764" t="s">
        <v>1019</v>
      </c>
      <c r="O3" s="764" t="s">
        <v>1071</v>
      </c>
      <c r="P3" s="886" t="s">
        <v>1072</v>
      </c>
      <c r="Q3" s="995"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2</v>
      </c>
      <c r="H7" s="785" t="s">
        <v>384</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1.1000000000000001</v>
      </c>
      <c r="H12" s="790" t="s">
        <v>143</v>
      </c>
      <c r="I12" s="672">
        <f>$E$2</f>
        <v>0</v>
      </c>
      <c r="J12" s="786">
        <v>540</v>
      </c>
      <c r="K12" s="778">
        <f>J12/(1+L12)</f>
        <v>486.48648648648646</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130</v>
      </c>
      <c r="H15" s="787" t="s">
        <v>1927</v>
      </c>
      <c r="I15" s="672">
        <f>$E$2</f>
        <v>0</v>
      </c>
      <c r="J15" s="786">
        <v>4.5</v>
      </c>
      <c r="K15" s="778">
        <f>J15/(1+L15)</f>
        <v>4.0540540540540535</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v>
      </c>
      <c r="H16" s="787" t="s">
        <v>145</v>
      </c>
      <c r="I16" s="672">
        <f>$E$2</f>
        <v>0</v>
      </c>
      <c r="J16" s="672">
        <v>68</v>
      </c>
      <c r="K16" s="778">
        <f>J16/(1+L16)</f>
        <v>61.261261261261254</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0.08</v>
      </c>
      <c r="H17" s="787" t="s">
        <v>384</v>
      </c>
      <c r="I17" s="672">
        <f>$E$2</f>
        <v>0</v>
      </c>
      <c r="J17" s="791">
        <v>550</v>
      </c>
      <c r="K17" s="778">
        <f>J17/(1+L17)</f>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145</v>
      </c>
      <c r="I18" s="672">
        <f>$E$2</f>
        <v>0</v>
      </c>
      <c r="J18" s="786">
        <v>35</v>
      </c>
      <c r="K18" s="778">
        <f>J18/(1+L18)</f>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1.5</v>
      </c>
      <c r="H20" s="787" t="s">
        <v>145</v>
      </c>
      <c r="I20" s="672">
        <f>$E$2</f>
        <v>0</v>
      </c>
      <c r="J20" s="672">
        <v>50</v>
      </c>
      <c r="K20" s="778">
        <f>J20/(1+L20)</f>
        <v>42.73504273504274</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1.5</v>
      </c>
      <c r="H21" s="787" t="s">
        <v>145</v>
      </c>
      <c r="I21" s="672">
        <f>$E$2</f>
        <v>0</v>
      </c>
      <c r="J21" s="672">
        <v>50</v>
      </c>
      <c r="K21" s="778">
        <f>J21/(1+L21)</f>
        <v>45.045045045045043</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v>165</v>
      </c>
      <c r="K23" s="778">
        <f>J23/(1+L23)</f>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ref="K24:K35" si="1">J24/(1+L24)</f>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c r="K28" s="778">
        <f t="shared" si="1"/>
        <v>0</v>
      </c>
      <c r="L28" s="569">
        <v>0.11</v>
      </c>
      <c r="M28" s="779">
        <f t="shared" ref="M28:M35" si="3">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c r="H29" s="790" t="s">
        <v>145</v>
      </c>
      <c r="I29" s="672">
        <f t="shared" si="2"/>
        <v>0</v>
      </c>
      <c r="J29" s="672"/>
      <c r="K29" s="778">
        <f t="shared" si="1"/>
        <v>0</v>
      </c>
      <c r="L29" s="569">
        <v>0.11</v>
      </c>
      <c r="M29" s="779">
        <f t="shared" si="3"/>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0.5</v>
      </c>
      <c r="H30" s="790" t="s">
        <v>143</v>
      </c>
      <c r="I30" s="672">
        <f>G2</f>
        <v>0</v>
      </c>
      <c r="J30" s="672">
        <v>90</v>
      </c>
      <c r="K30" s="778">
        <f t="shared" si="1"/>
        <v>81.081081081081081</v>
      </c>
      <c r="L30" s="569">
        <v>0.11</v>
      </c>
      <c r="M30" s="779">
        <f t="shared" si="3"/>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c r="H31" s="787" t="s">
        <v>143</v>
      </c>
      <c r="I31" s="672">
        <f t="shared" si="2"/>
        <v>0</v>
      </c>
      <c r="J31" s="672"/>
      <c r="K31" s="778">
        <f t="shared" si="1"/>
        <v>0</v>
      </c>
      <c r="L31" s="569">
        <v>0.17</v>
      </c>
      <c r="M31" s="779">
        <f t="shared" si="3"/>
        <v>0</v>
      </c>
      <c r="N31" s="779">
        <f t="shared" si="4"/>
        <v>0</v>
      </c>
      <c r="O31" s="779">
        <f t="shared" si="5"/>
        <v>0</v>
      </c>
      <c r="P31" s="614" t="e">
        <f t="shared" si="0"/>
        <v>#DIV/0!</v>
      </c>
      <c r="Q31" s="511"/>
      <c r="R31" s="632"/>
      <c r="AB31" s="632"/>
    </row>
    <row r="32" spans="2:28" s="633" customFormat="1" ht="15.75" hidden="1" customHeight="1" outlineLevel="3">
      <c r="B32" s="776" t="s">
        <v>1655</v>
      </c>
      <c r="C32" s="792" t="s">
        <v>39</v>
      </c>
      <c r="D32" s="783" t="s">
        <v>1656</v>
      </c>
      <c r="E32" s="648" t="s">
        <v>1606</v>
      </c>
      <c r="F32" s="648" t="s">
        <v>657</v>
      </c>
      <c r="G32" s="672"/>
      <c r="H32" s="787" t="s">
        <v>143</v>
      </c>
      <c r="I32" s="672">
        <f t="shared" si="2"/>
        <v>0</v>
      </c>
      <c r="J32" s="672"/>
      <c r="K32" s="778">
        <f t="shared" si="1"/>
        <v>0</v>
      </c>
      <c r="L32" s="569">
        <v>0.11</v>
      </c>
      <c r="M32" s="779">
        <f t="shared" si="3"/>
        <v>0</v>
      </c>
      <c r="N32" s="779">
        <f t="shared" si="4"/>
        <v>0</v>
      </c>
      <c r="O32" s="779">
        <f t="shared" si="5"/>
        <v>0</v>
      </c>
      <c r="P32" s="614" t="e">
        <f t="shared" si="0"/>
        <v>#DIV/0!</v>
      </c>
      <c r="Q32" s="781"/>
    </row>
    <row r="33" spans="2:28" ht="15.75" hidden="1" customHeight="1" outlineLevel="3">
      <c r="B33" s="776" t="s">
        <v>1657</v>
      </c>
      <c r="C33" s="782" t="s">
        <v>39</v>
      </c>
      <c r="D33" s="783" t="s">
        <v>1658</v>
      </c>
      <c r="E33" s="648" t="s">
        <v>1228</v>
      </c>
      <c r="F33" s="648" t="s">
        <v>657</v>
      </c>
      <c r="G33" s="672">
        <v>1</v>
      </c>
      <c r="H33" s="790" t="s">
        <v>143</v>
      </c>
      <c r="I33" s="672">
        <f t="shared" si="2"/>
        <v>0</v>
      </c>
      <c r="J33" s="791">
        <v>5</v>
      </c>
      <c r="K33" s="778">
        <f t="shared" si="1"/>
        <v>4.5045045045045038</v>
      </c>
      <c r="L33" s="569">
        <v>0.11</v>
      </c>
      <c r="M33" s="779">
        <f t="shared" si="3"/>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3"/>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3"/>
        <v>0</v>
      </c>
      <c r="N35" s="779">
        <f t="shared" si="4"/>
        <v>0</v>
      </c>
      <c r="O35" s="779">
        <f t="shared" si="5"/>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ollapsed="1">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c r="K42" s="778">
        <f t="shared" ref="K42:K55" si="6">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 t="shared" si="6"/>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143</v>
      </c>
      <c r="I45" s="672">
        <f>$E$2*(1+$F$2)</f>
        <v>0</v>
      </c>
      <c r="J45" s="791"/>
      <c r="K45" s="778">
        <f t="shared" si="6"/>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c r="K46" s="778">
        <f t="shared" si="6"/>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7">$E$2*(1+$F$2)</f>
        <v>0</v>
      </c>
      <c r="J48" s="672">
        <v>120</v>
      </c>
      <c r="K48" s="778">
        <f t="shared" si="6"/>
        <v>108.1081081081081</v>
      </c>
      <c r="L48" s="569">
        <v>0.11</v>
      </c>
      <c r="M48" s="779">
        <f t="shared" ref="M48:M55" si="8">G48*I48*K48/10000</f>
        <v>0</v>
      </c>
      <c r="N48" s="779">
        <f t="shared" ref="N48:N55" si="9">L48*M48</f>
        <v>0</v>
      </c>
      <c r="O48" s="779">
        <f t="shared" ref="O48:O55" si="10">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7"/>
        <v>0</v>
      </c>
      <c r="J49" s="672">
        <v>10</v>
      </c>
      <c r="K49" s="778">
        <f t="shared" si="6"/>
        <v>8.5470085470085468</v>
      </c>
      <c r="L49" s="569">
        <v>0.17</v>
      </c>
      <c r="M49" s="779">
        <f t="shared" si="8"/>
        <v>0</v>
      </c>
      <c r="N49" s="779">
        <f t="shared" si="9"/>
        <v>0</v>
      </c>
      <c r="O49" s="779">
        <f t="shared" si="10"/>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7"/>
        <v>0</v>
      </c>
      <c r="J50" s="672">
        <v>30</v>
      </c>
      <c r="K50" s="778">
        <f t="shared" si="6"/>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7"/>
        <v>0</v>
      </c>
      <c r="J51" s="672">
        <v>10</v>
      </c>
      <c r="K51" s="778">
        <f t="shared" si="6"/>
        <v>8.5470085470085468</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7"/>
        <v>0</v>
      </c>
      <c r="J52" s="672">
        <v>25</v>
      </c>
      <c r="K52" s="778">
        <f t="shared" si="6"/>
        <v>21.36752136752137</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143</v>
      </c>
      <c r="I53" s="672">
        <f t="shared" si="7"/>
        <v>0</v>
      </c>
      <c r="J53" s="672"/>
      <c r="K53" s="778">
        <f t="shared" si="6"/>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143</v>
      </c>
      <c r="I54" s="672">
        <f t="shared" si="7"/>
        <v>0</v>
      </c>
      <c r="J54" s="672"/>
      <c r="K54" s="778">
        <f t="shared" si="6"/>
        <v>0</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7"/>
        <v>0</v>
      </c>
      <c r="J55" s="672"/>
      <c r="K55" s="778">
        <f t="shared" si="6"/>
        <v>0</v>
      </c>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569"/>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569"/>
      <c r="M61" s="779">
        <f>G61*I61*K61/10000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G62*I62*K62/10000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78"/>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791">
        <v>290</v>
      </c>
      <c r="K64" s="778">
        <f>J64/(1+L64)</f>
        <v>261.26126126126121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791"/>
      <c r="K65" s="778">
        <f>J65/(1+L65)</f>
        <v>0</v>
      </c>
      <c r="L65" s="569">
        <v>0.17</v>
      </c>
      <c r="M65" s="779">
        <f>G65*I65*K65/10000</f>
        <v>0</v>
      </c>
      <c r="N65" s="779">
        <f>L65*M65</f>
        <v>0</v>
      </c>
      <c r="O65" s="779">
        <f>M65+N65</f>
        <v>0</v>
      </c>
      <c r="P65" s="614" t="e">
        <f t="shared" si="0"/>
        <v>#DIV/0!</v>
      </c>
      <c r="Q65" s="511"/>
      <c r="R65" s="632"/>
      <c r="AB65" s="632"/>
    </row>
    <row r="66" spans="2:28" ht="15.75" hidden="1" customHeight="1" outlineLevel="2" collapsed="1">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24" customHeight="1">
      <c r="C69" s="632"/>
      <c r="E69" s="632"/>
      <c r="F69" s="632"/>
      <c r="G69" s="632"/>
      <c r="H69" s="632"/>
      <c r="I69" s="632"/>
      <c r="J69" s="829" t="s">
        <v>817</v>
      </c>
      <c r="K69" s="829"/>
      <c r="L69" s="829"/>
      <c r="M69" s="829"/>
      <c r="N69" s="829"/>
      <c r="O69" s="829"/>
      <c r="AA69" s="831">
        <f>SUM(AA4:AA68)</f>
        <v>0</v>
      </c>
      <c r="AB69" s="632"/>
    </row>
    <row r="70" spans="2:28" ht="24" customHeight="1">
      <c r="J70" s="750" t="s">
        <v>24</v>
      </c>
      <c r="K70" s="750"/>
      <c r="L70" s="750"/>
    </row>
    <row r="71" spans="2:28" ht="24" customHeight="1">
      <c r="L71" s="748" t="s">
        <v>1938</v>
      </c>
      <c r="M71" s="750">
        <f>'2-规划指标'!E38+'2-规划指标'!E35</f>
        <v>0</v>
      </c>
      <c r="N71" s="750" t="s">
        <v>1943</v>
      </c>
      <c r="O71" s="750">
        <f>O4</f>
        <v>0</v>
      </c>
    </row>
    <row r="72" spans="2:28" ht="24" customHeight="1">
      <c r="L72" s="748" t="s">
        <v>1939</v>
      </c>
      <c r="M72" s="750">
        <f>M71*6*0.65</f>
        <v>0</v>
      </c>
      <c r="N72" s="750" t="s">
        <v>1944</v>
      </c>
      <c r="O72" s="750" t="e">
        <f>O71/$E$2*10000</f>
        <v>#DIV/0!</v>
      </c>
    </row>
    <row r="73" spans="2:28" ht="24" customHeight="1">
      <c r="L73" s="748" t="s">
        <v>1940</v>
      </c>
      <c r="M73" s="750" t="e">
        <f>M72/O71</f>
        <v>#DIV/0!</v>
      </c>
      <c r="N73" s="750" t="s">
        <v>1945</v>
      </c>
      <c r="O73" s="750">
        <f>+M4</f>
        <v>0</v>
      </c>
    </row>
    <row r="74" spans="2:28" ht="24" customHeight="1">
      <c r="L74" s="748" t="s">
        <v>1941</v>
      </c>
      <c r="M74" s="750">
        <f>O71-M72</f>
        <v>0</v>
      </c>
      <c r="N74" s="750" t="s">
        <v>1946</v>
      </c>
      <c r="O74" s="750" t="e">
        <f>O73/$E$2*10000</f>
        <v>#DIV/0!</v>
      </c>
    </row>
    <row r="75" spans="2:28" ht="24" customHeight="1">
      <c r="L75" s="748" t="s">
        <v>1942</v>
      </c>
      <c r="M75" s="750" t="e">
        <f>M74/O71</f>
        <v>#DIV/0!</v>
      </c>
    </row>
  </sheetData>
  <autoFilter ref="A3:AC68"/>
  <phoneticPr fontId="19" type="noConversion"/>
  <conditionalFormatting sqref="I63">
    <cfRule type="cellIs" priority="21" operator="equal">
      <formula>0</formula>
    </cfRule>
    <cfRule type="cellIs" dxfId="174" priority="22" operator="equal">
      <formula>0</formula>
    </cfRule>
  </conditionalFormatting>
  <conditionalFormatting sqref="I69:I65536">
    <cfRule type="cellIs" dxfId="173" priority="73" operator="equal">
      <formula>0</formula>
    </cfRule>
  </conditionalFormatting>
  <conditionalFormatting sqref="B4:C4">
    <cfRule type="duplicateValues" dxfId="172" priority="72"/>
  </conditionalFormatting>
  <conditionalFormatting sqref="B36:C36">
    <cfRule type="duplicateValues" dxfId="171" priority="70"/>
  </conditionalFormatting>
  <conditionalFormatting sqref="D6:D8">
    <cfRule type="duplicateValues" dxfId="170" priority="75"/>
  </conditionalFormatting>
  <conditionalFormatting sqref="B5:C5">
    <cfRule type="duplicateValues" dxfId="169" priority="71"/>
  </conditionalFormatting>
  <conditionalFormatting sqref="D37:D68">
    <cfRule type="duplicateValues" dxfId="168" priority="76"/>
  </conditionalFormatting>
  <conditionalFormatting sqref="D69:D65536 D9 D1:D5 D36">
    <cfRule type="duplicateValues" dxfId="167" priority="74"/>
  </conditionalFormatting>
  <conditionalFormatting sqref="I19 I4:I10">
    <cfRule type="cellIs" dxfId="166" priority="68" operator="equal">
      <formula>0</formula>
    </cfRule>
  </conditionalFormatting>
  <conditionalFormatting sqref="D10:D35">
    <cfRule type="duplicateValues" dxfId="165" priority="6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P175" sqref="P175"/>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1688</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5" customHeight="1">
      <c r="C2" s="752"/>
      <c r="D2" s="753" t="s">
        <v>1622</v>
      </c>
      <c r="E2" s="757">
        <f>'2-规划指标'!H26</f>
        <v>0</v>
      </c>
      <c r="F2" s="758">
        <v>0</v>
      </c>
      <c r="G2" s="759">
        <f>'2-规划指标'!G26</f>
        <v>0</v>
      </c>
      <c r="H2" s="759">
        <f>'2-规划指标'!N26</f>
        <v>0</v>
      </c>
      <c r="I2" s="759">
        <f>'2-规划指标'!M26</f>
        <v>0</v>
      </c>
      <c r="J2" s="759">
        <f>'2-规划指标'!O26</f>
        <v>0</v>
      </c>
      <c r="K2" s="759"/>
      <c r="L2" s="759"/>
      <c r="M2" s="760"/>
      <c r="N2" s="761"/>
      <c r="O2" s="761"/>
      <c r="P2" s="754"/>
      <c r="Q2" s="755"/>
      <c r="R2" s="834"/>
      <c r="AB2" s="756"/>
    </row>
    <row r="3" spans="2:28" s="748" customFormat="1" ht="24" customHeight="1">
      <c r="B3" s="997" t="s">
        <v>25</v>
      </c>
      <c r="C3" s="997"/>
      <c r="D3" s="997" t="s">
        <v>23</v>
      </c>
      <c r="E3" s="762" t="s">
        <v>444</v>
      </c>
      <c r="F3" s="762" t="s">
        <v>47</v>
      </c>
      <c r="G3" s="762" t="s">
        <v>108</v>
      </c>
      <c r="H3" s="762" t="s">
        <v>109</v>
      </c>
      <c r="I3" s="762" t="s">
        <v>110</v>
      </c>
      <c r="J3" s="997" t="s">
        <v>1623</v>
      </c>
      <c r="K3" s="997" t="s">
        <v>1624</v>
      </c>
      <c r="L3" s="997" t="s">
        <v>515</v>
      </c>
      <c r="M3" s="764" t="s">
        <v>1689</v>
      </c>
      <c r="N3" s="764" t="s">
        <v>1019</v>
      </c>
      <c r="O3" s="764" t="s">
        <v>1071</v>
      </c>
      <c r="P3" s="888" t="s">
        <v>1072</v>
      </c>
      <c r="Q3" s="997" t="s">
        <v>48</v>
      </c>
    </row>
    <row r="4" spans="2:28" ht="15.75" customHeight="1" collapsed="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hidden="1" customHeight="1" outlineLevel="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$E$2*(1+$F$2)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 t="shared" ref="I12:I17" si="1">$E$2*(1+$F$2)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38</v>
      </c>
      <c r="H14" s="787" t="s">
        <v>104</v>
      </c>
      <c r="I14" s="672">
        <f t="shared" si="1"/>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38</v>
      </c>
      <c r="H15" s="787" t="s">
        <v>104</v>
      </c>
      <c r="I15" s="672">
        <f t="shared" si="1"/>
        <v>0</v>
      </c>
      <c r="J15" s="786">
        <v>5</v>
      </c>
      <c r="K15" s="778">
        <f t="shared" ref="K15:K35" si="2">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3.2</v>
      </c>
      <c r="H16" s="787" t="s">
        <v>101</v>
      </c>
      <c r="I16" s="672">
        <f>$E$2*(1+$F$2)</f>
        <v>0</v>
      </c>
      <c r="J16" s="672">
        <v>60</v>
      </c>
      <c r="K16" s="778">
        <f t="shared" si="2"/>
        <v>54.054054054054049</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0.15</v>
      </c>
      <c r="H17" s="787" t="s">
        <v>103</v>
      </c>
      <c r="I17" s="672">
        <f t="shared" si="1"/>
        <v>0</v>
      </c>
      <c r="J17" s="791">
        <v>550</v>
      </c>
      <c r="K17" s="778">
        <f t="shared" si="2"/>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384</v>
      </c>
      <c r="I18" s="672">
        <f>$E$2*(1+$F$2)</f>
        <v>0</v>
      </c>
      <c r="J18" s="786">
        <v>35</v>
      </c>
      <c r="K18" s="778">
        <f t="shared" si="2"/>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0.35</v>
      </c>
      <c r="H20" s="787" t="s">
        <v>101</v>
      </c>
      <c r="I20" s="672">
        <f t="shared" ref="I20:I29" si="3">$E$2*(1+$F$2)</f>
        <v>0</v>
      </c>
      <c r="J20" s="672">
        <v>40</v>
      </c>
      <c r="K20" s="778">
        <f t="shared" si="2"/>
        <v>34.188034188034187</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0.35</v>
      </c>
      <c r="H21" s="787" t="s">
        <v>101</v>
      </c>
      <c r="I21" s="672">
        <f t="shared" si="3"/>
        <v>0</v>
      </c>
      <c r="J21" s="672">
        <v>20</v>
      </c>
      <c r="K21" s="778">
        <f t="shared" si="2"/>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 t="shared" si="3"/>
        <v>0</v>
      </c>
      <c r="J23" s="672">
        <v>165</v>
      </c>
      <c r="K23" s="778">
        <f t="shared" si="2"/>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 t="shared" si="3"/>
        <v>0</v>
      </c>
      <c r="J24" s="672"/>
      <c r="K24" s="778">
        <f t="shared" si="2"/>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 t="shared" si="3"/>
        <v>0</v>
      </c>
      <c r="J25" s="672"/>
      <c r="K25" s="778">
        <f t="shared" si="2"/>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 t="shared" si="3"/>
        <v>0</v>
      </c>
      <c r="J26" s="672"/>
      <c r="K26" s="778">
        <f t="shared" si="2"/>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1.2</v>
      </c>
      <c r="H28" s="790" t="s">
        <v>101</v>
      </c>
      <c r="I28" s="672">
        <f t="shared" si="3"/>
        <v>0</v>
      </c>
      <c r="J28" s="672"/>
      <c r="K28" s="778">
        <f t="shared" si="2"/>
        <v>0</v>
      </c>
      <c r="L28" s="569">
        <v>0.11</v>
      </c>
      <c r="M28" s="779">
        <f>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v>1.2</v>
      </c>
      <c r="H29" s="790" t="s">
        <v>101</v>
      </c>
      <c r="I29" s="672">
        <f t="shared" si="3"/>
        <v>0</v>
      </c>
      <c r="J29" s="672">
        <v>110</v>
      </c>
      <c r="K29" s="778">
        <f t="shared" si="2"/>
        <v>99.099099099099092</v>
      </c>
      <c r="L29" s="569">
        <v>0.11</v>
      </c>
      <c r="M29" s="779">
        <f t="shared" ref="M29:M35" si="6">G29*I29*K29/10000</f>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$G$2</f>
        <v>0</v>
      </c>
      <c r="J30" s="672">
        <v>90</v>
      </c>
      <c r="K30" s="778">
        <f t="shared" si="2"/>
        <v>81.081081081081081</v>
      </c>
      <c r="L30" s="569">
        <v>0.11</v>
      </c>
      <c r="M30" s="779">
        <f t="shared" si="6"/>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$E$2*(1+$F$2)</f>
        <v>0</v>
      </c>
      <c r="J31" s="672"/>
      <c r="K31" s="778">
        <f t="shared" si="2"/>
        <v>0</v>
      </c>
      <c r="L31" s="569">
        <v>0.17</v>
      </c>
      <c r="M31" s="779">
        <f t="shared" si="6"/>
        <v>0</v>
      </c>
      <c r="N31" s="779">
        <f t="shared" si="4"/>
        <v>0</v>
      </c>
      <c r="O31" s="779">
        <f t="shared" si="5"/>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$E$2*(1+$F$2)</f>
        <v>0</v>
      </c>
      <c r="J32" s="672"/>
      <c r="K32" s="778">
        <f t="shared" si="2"/>
        <v>0</v>
      </c>
      <c r="L32" s="569">
        <v>0.17</v>
      </c>
      <c r="M32" s="779">
        <f t="shared" si="6"/>
        <v>0</v>
      </c>
      <c r="N32" s="779">
        <f t="shared" si="4"/>
        <v>0</v>
      </c>
      <c r="O32" s="779">
        <f t="shared" si="5"/>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$E$2*(1+$F$2)</f>
        <v>0</v>
      </c>
      <c r="J33" s="791">
        <v>5</v>
      </c>
      <c r="K33" s="778">
        <f t="shared" si="2"/>
        <v>4.5045045045045038</v>
      </c>
      <c r="L33" s="569">
        <v>0.11</v>
      </c>
      <c r="M33" s="779">
        <f t="shared" si="6"/>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$E$2*(1+$F$2)</f>
        <v>0</v>
      </c>
      <c r="J34" s="791">
        <v>20</v>
      </c>
      <c r="K34" s="778">
        <f t="shared" si="2"/>
        <v>18.018018018018015</v>
      </c>
      <c r="L34" s="569">
        <v>0.11</v>
      </c>
      <c r="M34" s="779">
        <f t="shared" si="6"/>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$E$2*(1+$F$2)</f>
        <v>0</v>
      </c>
      <c r="J35" s="791"/>
      <c r="K35" s="778">
        <f t="shared" si="2"/>
        <v>0</v>
      </c>
      <c r="L35" s="569">
        <v>0.11</v>
      </c>
      <c r="M35" s="779">
        <f t="shared" si="6"/>
        <v>0</v>
      </c>
      <c r="N35" s="779">
        <f t="shared" si="4"/>
        <v>0</v>
      </c>
      <c r="O35" s="779">
        <f t="shared" si="5"/>
        <v>0</v>
      </c>
      <c r="P35" s="614" t="e">
        <f t="shared" si="0"/>
        <v>#DIV/0!</v>
      </c>
      <c r="Q35" s="511"/>
      <c r="R35" s="632"/>
      <c r="AB35" s="632"/>
    </row>
    <row r="36" spans="2:28" ht="15.75" hidden="1" customHeight="1" outlineLevel="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30</v>
      </c>
      <c r="K39" s="778">
        <f>J39/(1+L39)</f>
        <v>27.027027027027025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119</v>
      </c>
      <c r="I43" s="672">
        <f>$H$2</f>
        <v>0</v>
      </c>
      <c r="J43" s="791">
        <v>1800</v>
      </c>
      <c r="K43" s="778">
        <f>J43/(1+L43)</f>
        <v>1800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672"/>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119</v>
      </c>
      <c r="I46" s="672">
        <f>$H$2</f>
        <v>0</v>
      </c>
      <c r="J46" s="791">
        <v>1753</v>
      </c>
      <c r="K46" s="778">
        <f>J46/(1+L46)</f>
        <v>1753</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672"/>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7">$E$2*(1+$F$2)</f>
        <v>0</v>
      </c>
      <c r="J48" s="672">
        <v>80</v>
      </c>
      <c r="K48" s="778">
        <f t="shared" ref="K48:K54" si="8">J48/(1+L48)</f>
        <v>72.072072072072061</v>
      </c>
      <c r="L48" s="569">
        <v>0.11</v>
      </c>
      <c r="M48" s="779">
        <f t="shared" ref="M48:M55" si="9">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7"/>
        <v>0</v>
      </c>
      <c r="J49" s="672">
        <v>5</v>
      </c>
      <c r="K49" s="778">
        <f t="shared" si="8"/>
        <v>4.2735042735042734</v>
      </c>
      <c r="L49" s="569">
        <v>0.17</v>
      </c>
      <c r="M49" s="779">
        <f t="shared" si="9"/>
        <v>0</v>
      </c>
      <c r="N49" s="779">
        <f t="shared" ref="N49:N55" si="10">L49*M49</f>
        <v>0</v>
      </c>
      <c r="O49" s="779">
        <f t="shared" ref="O49:O55" si="11">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7"/>
        <v>0</v>
      </c>
      <c r="J50" s="672">
        <v>20</v>
      </c>
      <c r="K50" s="778">
        <f t="shared" si="8"/>
        <v>17.094017094017094</v>
      </c>
      <c r="L50" s="569">
        <v>0.17</v>
      </c>
      <c r="M50" s="779">
        <f t="shared" si="9"/>
        <v>0</v>
      </c>
      <c r="N50" s="779">
        <f t="shared" si="10"/>
        <v>0</v>
      </c>
      <c r="O50" s="779">
        <f t="shared" si="11"/>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7"/>
        <v>0</v>
      </c>
      <c r="J51" s="672"/>
      <c r="K51" s="778">
        <f t="shared" si="8"/>
        <v>0</v>
      </c>
      <c r="L51" s="569">
        <v>0.17</v>
      </c>
      <c r="M51" s="779">
        <f t="shared" si="9"/>
        <v>0</v>
      </c>
      <c r="N51" s="779">
        <f t="shared" si="10"/>
        <v>0</v>
      </c>
      <c r="O51" s="779">
        <f t="shared" si="11"/>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7"/>
        <v>0</v>
      </c>
      <c r="J52" s="672">
        <v>15</v>
      </c>
      <c r="K52" s="778">
        <f t="shared" si="8"/>
        <v>12.820512820512821</v>
      </c>
      <c r="L52" s="569">
        <v>0.17</v>
      </c>
      <c r="M52" s="779">
        <f t="shared" si="9"/>
        <v>0</v>
      </c>
      <c r="N52" s="779">
        <f t="shared" si="10"/>
        <v>0</v>
      </c>
      <c r="O52" s="779">
        <f t="shared" si="11"/>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7"/>
        <v>0</v>
      </c>
      <c r="J53" s="672"/>
      <c r="K53" s="778">
        <f t="shared" si="8"/>
        <v>0</v>
      </c>
      <c r="L53" s="569">
        <v>0</v>
      </c>
      <c r="M53" s="779">
        <f t="shared" si="9"/>
        <v>0</v>
      </c>
      <c r="N53" s="779">
        <f t="shared" si="10"/>
        <v>0</v>
      </c>
      <c r="O53" s="779">
        <f t="shared" si="11"/>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H2</f>
        <v>0</v>
      </c>
      <c r="J54" s="672">
        <v>700</v>
      </c>
      <c r="K54" s="778">
        <f t="shared" si="8"/>
        <v>598.29059829059838</v>
      </c>
      <c r="L54" s="569">
        <v>0.17</v>
      </c>
      <c r="M54" s="779">
        <f t="shared" si="9"/>
        <v>0</v>
      </c>
      <c r="N54" s="779">
        <f t="shared" si="10"/>
        <v>0</v>
      </c>
      <c r="O54" s="779">
        <f t="shared" si="11"/>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7"/>
        <v>0</v>
      </c>
      <c r="J55" s="672"/>
      <c r="K55" s="672"/>
      <c r="L55" s="569">
        <v>0.17</v>
      </c>
      <c r="M55" s="779">
        <f t="shared" si="9"/>
        <v>0</v>
      </c>
      <c r="N55" s="779">
        <f t="shared" si="10"/>
        <v>0</v>
      </c>
      <c r="O55" s="779">
        <f t="shared" si="11"/>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1</v>
      </c>
      <c r="H58" s="795" t="s">
        <v>100</v>
      </c>
      <c r="I58" s="791">
        <f>$I$2</f>
        <v>0</v>
      </c>
      <c r="J58" s="798">
        <v>210000</v>
      </c>
      <c r="K58" s="778">
        <f>J58/(1+L58)</f>
        <v>179487.1794871795</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1</v>
      </c>
      <c r="H59" s="795" t="s">
        <v>100</v>
      </c>
      <c r="I59" s="791">
        <f>$I$2</f>
        <v>0</v>
      </c>
      <c r="J59" s="798">
        <v>55000</v>
      </c>
      <c r="K59" s="778">
        <f>J59/(1+L59)</f>
        <v>49549.549549549542</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50</v>
      </c>
      <c r="K64" s="672">
        <f>J64/(1+L64)</f>
        <v>45.045045045045043</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ollapsed="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2">IF(O69="","",O69*10000/E$2)</f>
        <v>#DIV/0!</v>
      </c>
      <c r="Q69" s="801"/>
      <c r="R69" s="632"/>
      <c r="AB69" s="632"/>
    </row>
    <row r="70" spans="2:28" ht="16.5" hidden="1" customHeight="1" outlineLevel="1">
      <c r="B70" s="802" t="s">
        <v>676</v>
      </c>
      <c r="C70" s="803">
        <v>1</v>
      </c>
      <c r="D70" s="802" t="s">
        <v>22</v>
      </c>
      <c r="E70" s="712"/>
      <c r="F70" s="712"/>
      <c r="G70" s="712"/>
      <c r="H70" s="772"/>
      <c r="I70" s="713"/>
      <c r="J70" s="772"/>
      <c r="K70" s="772"/>
      <c r="L70" s="588"/>
      <c r="M70" s="773">
        <f>SUBTOTAL(9,M71:M81)</f>
        <v>0</v>
      </c>
      <c r="N70" s="773">
        <f>SUBTOTAL(9,N71:N81)</f>
        <v>0</v>
      </c>
      <c r="O70" s="773">
        <f>SUBTOTAL(9,O71:O81)</f>
        <v>0</v>
      </c>
      <c r="P70" s="774" t="e">
        <f t="shared" si="12"/>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78" si="13">$E$2*(1+$F$2)</f>
        <v>0</v>
      </c>
      <c r="J71" s="672"/>
      <c r="K71" s="778">
        <f t="shared" ref="K71:K81" si="14">J71/(1+L71)</f>
        <v>0</v>
      </c>
      <c r="L71" s="569">
        <v>0.17</v>
      </c>
      <c r="M71" s="779">
        <f t="shared" ref="M71:M81" si="15">G71*I71*K71/10000</f>
        <v>0</v>
      </c>
      <c r="N71" s="779">
        <f t="shared" ref="N71:N81" si="16">L71*M71</f>
        <v>0</v>
      </c>
      <c r="O71" s="779">
        <f t="shared" ref="O71:O81" si="17">M71+N71</f>
        <v>0</v>
      </c>
      <c r="P71" s="780" t="e">
        <f t="shared" si="12"/>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3"/>
        <v>0</v>
      </c>
      <c r="J72" s="672">
        <v>90</v>
      </c>
      <c r="K72" s="778">
        <f t="shared" si="14"/>
        <v>76.923076923076934</v>
      </c>
      <c r="L72" s="569">
        <v>0.17</v>
      </c>
      <c r="M72" s="779">
        <f t="shared" si="15"/>
        <v>0</v>
      </c>
      <c r="N72" s="779">
        <f t="shared" si="16"/>
        <v>0</v>
      </c>
      <c r="O72" s="779">
        <f t="shared" si="17"/>
        <v>0</v>
      </c>
      <c r="P72" s="780" t="e">
        <f t="shared" si="12"/>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3"/>
        <v>0</v>
      </c>
      <c r="J73" s="672"/>
      <c r="K73" s="778">
        <f t="shared" si="14"/>
        <v>0</v>
      </c>
      <c r="L73" s="569">
        <v>0.17</v>
      </c>
      <c r="M73" s="779">
        <f t="shared" si="15"/>
        <v>0</v>
      </c>
      <c r="N73" s="779">
        <f t="shared" si="16"/>
        <v>0</v>
      </c>
      <c r="O73" s="779">
        <f t="shared" si="17"/>
        <v>0</v>
      </c>
      <c r="P73" s="780" t="e">
        <f t="shared" si="12"/>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 t="shared" si="13"/>
        <v>0</v>
      </c>
      <c r="J74" s="672">
        <v>70</v>
      </c>
      <c r="K74" s="778">
        <f t="shared" si="14"/>
        <v>63.063063063063055</v>
      </c>
      <c r="L74" s="569">
        <v>0.11</v>
      </c>
      <c r="M74" s="779">
        <f t="shared" si="15"/>
        <v>0</v>
      </c>
      <c r="N74" s="779">
        <f t="shared" si="16"/>
        <v>0</v>
      </c>
      <c r="O74" s="779">
        <f t="shared" si="17"/>
        <v>0</v>
      </c>
      <c r="P74" s="780" t="e">
        <f t="shared" si="12"/>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3"/>
        <v>0</v>
      </c>
      <c r="J75" s="672">
        <v>70</v>
      </c>
      <c r="K75" s="778">
        <f t="shared" si="14"/>
        <v>59.82905982905983</v>
      </c>
      <c r="L75" s="569">
        <v>0.17</v>
      </c>
      <c r="M75" s="779">
        <f t="shared" si="15"/>
        <v>0</v>
      </c>
      <c r="N75" s="779">
        <f t="shared" si="16"/>
        <v>0</v>
      </c>
      <c r="O75" s="779">
        <f t="shared" si="17"/>
        <v>0</v>
      </c>
      <c r="P75" s="780" t="e">
        <f t="shared" si="12"/>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3"/>
        <v>0</v>
      </c>
      <c r="J76" s="672">
        <v>620</v>
      </c>
      <c r="K76" s="778">
        <f t="shared" si="14"/>
        <v>558.5585585585585</v>
      </c>
      <c r="L76" s="569">
        <v>0.11</v>
      </c>
      <c r="M76" s="779">
        <f t="shared" si="15"/>
        <v>0</v>
      </c>
      <c r="N76" s="779">
        <f t="shared" si="16"/>
        <v>0</v>
      </c>
      <c r="O76" s="779">
        <f t="shared" si="17"/>
        <v>0</v>
      </c>
      <c r="P76" s="780" t="e">
        <f t="shared" si="12"/>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3"/>
        <v>0</v>
      </c>
      <c r="J77" s="672">
        <v>40</v>
      </c>
      <c r="K77" s="778">
        <f t="shared" si="14"/>
        <v>34.188034188034187</v>
      </c>
      <c r="L77" s="569">
        <v>0.17</v>
      </c>
      <c r="M77" s="779">
        <f t="shared" si="15"/>
        <v>0</v>
      </c>
      <c r="N77" s="779">
        <f t="shared" si="16"/>
        <v>0</v>
      </c>
      <c r="O77" s="779">
        <f t="shared" si="17"/>
        <v>0</v>
      </c>
      <c r="P77" s="780" t="e">
        <f t="shared" si="12"/>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3"/>
        <v>0</v>
      </c>
      <c r="J78" s="672">
        <v>50</v>
      </c>
      <c r="K78" s="778">
        <f t="shared" si="14"/>
        <v>42.73504273504274</v>
      </c>
      <c r="L78" s="569">
        <v>0.17</v>
      </c>
      <c r="M78" s="779">
        <f t="shared" si="15"/>
        <v>0</v>
      </c>
      <c r="N78" s="779">
        <f t="shared" si="16"/>
        <v>0</v>
      </c>
      <c r="O78" s="779">
        <f t="shared" si="17"/>
        <v>0</v>
      </c>
      <c r="P78" s="780" t="e">
        <f t="shared" si="12"/>
        <v>#DIV/0!</v>
      </c>
      <c r="Q78" s="781"/>
      <c r="R78" s="632"/>
      <c r="AB78" s="632"/>
    </row>
    <row r="79" spans="2:28" ht="16.5" hidden="1" customHeight="1" outlineLevel="2">
      <c r="B79" s="776" t="s">
        <v>684</v>
      </c>
      <c r="C79" s="777" t="s">
        <v>74</v>
      </c>
      <c r="D79" s="776" t="s">
        <v>1551</v>
      </c>
      <c r="E79" s="648" t="s">
        <v>457</v>
      </c>
      <c r="F79" s="648" t="s">
        <v>657</v>
      </c>
      <c r="G79" s="791">
        <v>1</v>
      </c>
      <c r="H79" s="795" t="s">
        <v>143</v>
      </c>
      <c r="I79" s="672">
        <f>$E$2*(1+$F$2)</f>
        <v>0</v>
      </c>
      <c r="J79" s="672">
        <v>50</v>
      </c>
      <c r="K79" s="778">
        <f t="shared" si="14"/>
        <v>42.73504273504274</v>
      </c>
      <c r="L79" s="569">
        <v>0.17</v>
      </c>
      <c r="M79" s="779">
        <f t="shared" si="15"/>
        <v>0</v>
      </c>
      <c r="N79" s="779">
        <f t="shared" si="16"/>
        <v>0</v>
      </c>
      <c r="O79" s="779">
        <f t="shared" si="17"/>
        <v>0</v>
      </c>
      <c r="P79" s="780" t="e">
        <f t="shared" si="12"/>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$E$2*(1+$F$2)</f>
        <v>0</v>
      </c>
      <c r="J80" s="672"/>
      <c r="K80" s="778">
        <f t="shared" si="14"/>
        <v>0</v>
      </c>
      <c r="L80" s="569">
        <v>0.17</v>
      </c>
      <c r="M80" s="779">
        <f t="shared" si="15"/>
        <v>0</v>
      </c>
      <c r="N80" s="779">
        <f t="shared" si="16"/>
        <v>0</v>
      </c>
      <c r="O80" s="779">
        <f t="shared" si="17"/>
        <v>0</v>
      </c>
      <c r="P80" s="780" t="e">
        <f t="shared" si="12"/>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$E$2*(1+$F$2)</f>
        <v>0</v>
      </c>
      <c r="J81" s="672">
        <v>10</v>
      </c>
      <c r="K81" s="778">
        <f t="shared" si="14"/>
        <v>8.5470085470085468</v>
      </c>
      <c r="L81" s="569">
        <v>0.17</v>
      </c>
      <c r="M81" s="779">
        <f t="shared" si="15"/>
        <v>0</v>
      </c>
      <c r="N81" s="779">
        <f t="shared" si="16"/>
        <v>0</v>
      </c>
      <c r="O81" s="779">
        <f t="shared" si="17"/>
        <v>0</v>
      </c>
      <c r="P81" s="780" t="e">
        <f t="shared" si="12"/>
        <v>#DIV/0!</v>
      </c>
      <c r="Q81" s="781"/>
      <c r="R81" s="632"/>
      <c r="AB81" s="632"/>
    </row>
    <row r="82" spans="2:28" ht="25.5" hidden="1" customHeight="1" outlineLevel="1">
      <c r="B82" s="802" t="s">
        <v>687</v>
      </c>
      <c r="C82" s="803">
        <v>2</v>
      </c>
      <c r="D82" s="802" t="s">
        <v>688</v>
      </c>
      <c r="E82" s="712"/>
      <c r="F82" s="712"/>
      <c r="G82" s="712"/>
      <c r="H82" s="772"/>
      <c r="I82" s="713"/>
      <c r="J82" s="772"/>
      <c r="K82" s="772"/>
      <c r="L82" s="588"/>
      <c r="M82" s="773">
        <f>SUBTOTAL(9,M83:M85)</f>
        <v>0</v>
      </c>
      <c r="N82" s="773"/>
      <c r="O82" s="773"/>
      <c r="P82" s="774" t="str">
        <f t="shared" si="12"/>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2"/>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2"/>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2"/>
        <v/>
      </c>
      <c r="Q85" s="781"/>
      <c r="R85" s="632"/>
      <c r="AB85" s="632"/>
    </row>
    <row r="86" spans="2:28" ht="16.5" hidden="1" customHeight="1" outlineLevel="1">
      <c r="B86" s="802" t="s">
        <v>695</v>
      </c>
      <c r="C86" s="803">
        <v>3</v>
      </c>
      <c r="D86" s="802" t="s">
        <v>696</v>
      </c>
      <c r="E86" s="712"/>
      <c r="F86" s="712"/>
      <c r="G86" s="712"/>
      <c r="H86" s="772"/>
      <c r="I86" s="713"/>
      <c r="J86" s="772"/>
      <c r="K86" s="772"/>
      <c r="L86" s="588"/>
      <c r="M86" s="773">
        <f>G86*I86*J86/10000</f>
        <v>0</v>
      </c>
      <c r="N86" s="773"/>
      <c r="O86" s="773"/>
      <c r="P86" s="774" t="str">
        <f t="shared" si="12"/>
        <v/>
      </c>
      <c r="Q86" s="775"/>
      <c r="R86" s="632"/>
      <c r="AB86" s="632"/>
    </row>
    <row r="87" spans="2:28" ht="16.5" hidden="1" customHeight="1" outlineLevel="1">
      <c r="B87" s="802" t="s">
        <v>697</v>
      </c>
      <c r="C87" s="803">
        <v>4</v>
      </c>
      <c r="D87" s="802" t="s">
        <v>698</v>
      </c>
      <c r="E87" s="712"/>
      <c r="F87" s="712"/>
      <c r="G87" s="712"/>
      <c r="H87" s="772"/>
      <c r="I87" s="713"/>
      <c r="J87" s="772"/>
      <c r="K87" s="772"/>
      <c r="L87" s="588"/>
      <c r="M87" s="773">
        <f>G87*I87*J87/10000</f>
        <v>0</v>
      </c>
      <c r="N87" s="773"/>
      <c r="O87" s="773"/>
      <c r="P87" s="774" t="str">
        <f t="shared" si="12"/>
        <v/>
      </c>
      <c r="Q87" s="775"/>
      <c r="R87" s="632"/>
      <c r="AB87" s="632"/>
    </row>
    <row r="88" spans="2:28" ht="16.5" customHeight="1" collapsed="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2"/>
        <v>#DIV/0!</v>
      </c>
      <c r="Q88" s="770"/>
      <c r="R88" s="632"/>
      <c r="AB88" s="632"/>
    </row>
    <row r="89" spans="2:28" ht="16.5" hidden="1" customHeight="1" outlineLevel="1">
      <c r="B89" s="802" t="s">
        <v>499</v>
      </c>
      <c r="C89" s="803">
        <v>1</v>
      </c>
      <c r="D89" s="802" t="s">
        <v>35</v>
      </c>
      <c r="E89" s="712"/>
      <c r="F89" s="712"/>
      <c r="G89" s="712"/>
      <c r="H89" s="772"/>
      <c r="I89" s="713"/>
      <c r="J89" s="772"/>
      <c r="K89" s="772"/>
      <c r="L89" s="588"/>
      <c r="M89" s="773">
        <f>SUBTOTAL(9,M90:M128)</f>
        <v>0</v>
      </c>
      <c r="N89" s="773">
        <f>SUBTOTAL(9,N90:N128)</f>
        <v>0</v>
      </c>
      <c r="O89" s="773">
        <f>SUBTOTAL(9,O90:O128)</f>
        <v>0</v>
      </c>
      <c r="P89" s="774" t="e">
        <f t="shared" si="12"/>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2"/>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2"/>
        <v>#DIV/0!</v>
      </c>
      <c r="Q91" s="806"/>
      <c r="R91" s="632"/>
      <c r="AB91" s="632"/>
    </row>
    <row r="92" spans="2:28" ht="16.5" hidden="1" customHeight="1" outlineLevel="4">
      <c r="B92" s="776" t="s">
        <v>801</v>
      </c>
      <c r="C92" s="782"/>
      <c r="D92" s="807" t="s">
        <v>1556</v>
      </c>
      <c r="E92" s="648" t="s">
        <v>459</v>
      </c>
      <c r="F92" s="648" t="s">
        <v>657</v>
      </c>
      <c r="G92" s="808">
        <v>1.3</v>
      </c>
      <c r="H92" s="805" t="s">
        <v>101</v>
      </c>
      <c r="I92" s="672">
        <f t="shared" ref="I92:I103" si="18">$E$2*(1+$F$2)</f>
        <v>0</v>
      </c>
      <c r="J92" s="790">
        <v>35</v>
      </c>
      <c r="K92" s="778">
        <f>J92/(1+L92)</f>
        <v>29.914529914529915</v>
      </c>
      <c r="L92" s="569">
        <v>0.17</v>
      </c>
      <c r="M92" s="779">
        <f>G92*I92*K92/10000</f>
        <v>0</v>
      </c>
      <c r="N92" s="779">
        <f>L92*M92</f>
        <v>0</v>
      </c>
      <c r="O92" s="779">
        <f>M92+N92</f>
        <v>0</v>
      </c>
      <c r="P92" s="780" t="e">
        <f t="shared" si="12"/>
        <v>#DIV/0!</v>
      </c>
      <c r="Q92" s="806"/>
      <c r="R92" s="632"/>
      <c r="AB92" s="632"/>
    </row>
    <row r="93" spans="2:28" ht="16.5" hidden="1" customHeight="1" outlineLevel="4">
      <c r="B93" s="776" t="s">
        <v>703</v>
      </c>
      <c r="C93" s="782"/>
      <c r="D93" s="807" t="s">
        <v>1557</v>
      </c>
      <c r="E93" s="648" t="s">
        <v>1493</v>
      </c>
      <c r="F93" s="648" t="s">
        <v>657</v>
      </c>
      <c r="G93" s="808">
        <v>1.3</v>
      </c>
      <c r="H93" s="805" t="s">
        <v>101</v>
      </c>
      <c r="I93" s="672">
        <f t="shared" si="18"/>
        <v>0</v>
      </c>
      <c r="J93" s="790">
        <v>25</v>
      </c>
      <c r="K93" s="778">
        <f>J93/(1+L93)</f>
        <v>22.522522522522522</v>
      </c>
      <c r="L93" s="569">
        <v>0.11</v>
      </c>
      <c r="M93" s="779">
        <f>G93*I93*K93/10000</f>
        <v>0</v>
      </c>
      <c r="N93" s="779">
        <f>L93*M93</f>
        <v>0</v>
      </c>
      <c r="O93" s="779">
        <f>M93+N93</f>
        <v>0</v>
      </c>
      <c r="P93" s="780" t="e">
        <f t="shared" si="12"/>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2"/>
        <v>#DIV/0!</v>
      </c>
      <c r="Q94" s="806"/>
      <c r="R94" s="632"/>
      <c r="AB94" s="632"/>
    </row>
    <row r="95" spans="2:28" ht="16.5" hidden="1" customHeight="1" outlineLevel="4">
      <c r="B95" s="776" t="s">
        <v>802</v>
      </c>
      <c r="C95" s="782"/>
      <c r="D95" s="807" t="s">
        <v>1560</v>
      </c>
      <c r="E95" s="719" t="s">
        <v>1609</v>
      </c>
      <c r="F95" s="648" t="s">
        <v>657</v>
      </c>
      <c r="G95" s="809">
        <v>0</v>
      </c>
      <c r="H95" s="805" t="s">
        <v>101</v>
      </c>
      <c r="I95" s="672">
        <f t="shared" si="18"/>
        <v>0</v>
      </c>
      <c r="J95" s="790"/>
      <c r="K95" s="778">
        <f t="shared" ref="K95:K128" si="19">J95/(1+L95)</f>
        <v>0</v>
      </c>
      <c r="L95" s="569">
        <v>0.11</v>
      </c>
      <c r="M95" s="779">
        <f t="shared" ref="M95:M128" si="20">G95*I95*K95/10000</f>
        <v>0</v>
      </c>
      <c r="N95" s="779">
        <f>L95*M95</f>
        <v>0</v>
      </c>
      <c r="O95" s="779">
        <f>M95+N95</f>
        <v>0</v>
      </c>
      <c r="P95" s="780" t="e">
        <f t="shared" si="12"/>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8"/>
        <v>0</v>
      </c>
      <c r="J96" s="790"/>
      <c r="K96" s="778">
        <f t="shared" si="19"/>
        <v>0</v>
      </c>
      <c r="L96" s="569">
        <v>0.11</v>
      </c>
      <c r="M96" s="779">
        <f t="shared" si="20"/>
        <v>0</v>
      </c>
      <c r="N96" s="779">
        <f>L96*M96</f>
        <v>0</v>
      </c>
      <c r="O96" s="779">
        <f>M96+N96</f>
        <v>0</v>
      </c>
      <c r="P96" s="780" t="e">
        <f t="shared" si="12"/>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8"/>
        <v>0</v>
      </c>
      <c r="J97" s="790"/>
      <c r="K97" s="778">
        <f t="shared" si="19"/>
        <v>0</v>
      </c>
      <c r="L97" s="569">
        <v>0.11</v>
      </c>
      <c r="M97" s="779">
        <f t="shared" si="20"/>
        <v>0</v>
      </c>
      <c r="N97" s="779">
        <f>L97*M97</f>
        <v>0</v>
      </c>
      <c r="O97" s="779">
        <f>M97+N97</f>
        <v>0</v>
      </c>
      <c r="P97" s="780" t="e">
        <f t="shared" si="12"/>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8"/>
        <v>0</v>
      </c>
      <c r="J98" s="790"/>
      <c r="K98" s="778">
        <f t="shared" si="19"/>
        <v>0</v>
      </c>
      <c r="L98" s="569">
        <v>0.11</v>
      </c>
      <c r="M98" s="779">
        <f t="shared" si="20"/>
        <v>0</v>
      </c>
      <c r="N98" s="779">
        <f>L98*M98</f>
        <v>0</v>
      </c>
      <c r="O98" s="779">
        <f>M98+N98</f>
        <v>0</v>
      </c>
      <c r="P98" s="780" t="e">
        <f t="shared" si="12"/>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2"/>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8"/>
        <v>0</v>
      </c>
      <c r="J100" s="790"/>
      <c r="K100" s="778">
        <f t="shared" si="19"/>
        <v>0</v>
      </c>
      <c r="L100" s="569">
        <v>0.17</v>
      </c>
      <c r="M100" s="779">
        <f t="shared" si="20"/>
        <v>0</v>
      </c>
      <c r="N100" s="779">
        <f>L100*M100</f>
        <v>0</v>
      </c>
      <c r="O100" s="779">
        <f>M100+N100</f>
        <v>0</v>
      </c>
      <c r="P100" s="780" t="e">
        <f t="shared" si="12"/>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8"/>
        <v>0</v>
      </c>
      <c r="J101" s="790"/>
      <c r="K101" s="778">
        <f t="shared" si="19"/>
        <v>0</v>
      </c>
      <c r="L101" s="569">
        <v>0.11</v>
      </c>
      <c r="M101" s="779">
        <f t="shared" si="20"/>
        <v>0</v>
      </c>
      <c r="N101" s="779">
        <f>L101*M101</f>
        <v>0</v>
      </c>
      <c r="O101" s="779">
        <f>M101+N101</f>
        <v>0</v>
      </c>
      <c r="P101" s="780" t="e">
        <f t="shared" si="12"/>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2"/>
        <v>#DIV/0!</v>
      </c>
      <c r="Q102" s="806"/>
      <c r="R102" s="632"/>
      <c r="AB102" s="632"/>
    </row>
    <row r="103" spans="2:28" ht="16.5" hidden="1" customHeight="1" outlineLevel="4">
      <c r="B103" s="776" t="s">
        <v>1574</v>
      </c>
      <c r="C103" s="782"/>
      <c r="D103" s="804" t="s">
        <v>1575</v>
      </c>
      <c r="E103" s="665" t="s">
        <v>468</v>
      </c>
      <c r="F103" s="648" t="s">
        <v>657</v>
      </c>
      <c r="G103" s="809">
        <v>1</v>
      </c>
      <c r="H103" s="805" t="s">
        <v>111</v>
      </c>
      <c r="I103" s="672">
        <f t="shared" si="18"/>
        <v>0</v>
      </c>
      <c r="J103" s="790"/>
      <c r="K103" s="778">
        <f t="shared" si="19"/>
        <v>0</v>
      </c>
      <c r="L103" s="569">
        <v>0.11</v>
      </c>
      <c r="M103" s="779">
        <f t="shared" si="20"/>
        <v>0</v>
      </c>
      <c r="N103" s="779">
        <f t="shared" ref="N103:N110" si="21">L103*M103</f>
        <v>0</v>
      </c>
      <c r="O103" s="779">
        <f t="shared" ref="O103:O110" si="22">M103+N103</f>
        <v>0</v>
      </c>
      <c r="P103" s="780" t="e">
        <f t="shared" si="12"/>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9"/>
        <v>0</v>
      </c>
      <c r="L104" s="569">
        <v>0.11</v>
      </c>
      <c r="M104" s="779">
        <f t="shared" si="20"/>
        <v>0</v>
      </c>
      <c r="N104" s="779">
        <f t="shared" si="21"/>
        <v>0</v>
      </c>
      <c r="O104" s="779">
        <f t="shared" si="22"/>
        <v>0</v>
      </c>
      <c r="P104" s="780" t="e">
        <f t="shared" si="12"/>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9"/>
        <v>0</v>
      </c>
      <c r="L105" s="569">
        <v>0.11</v>
      </c>
      <c r="M105" s="779">
        <f t="shared" si="20"/>
        <v>0</v>
      </c>
      <c r="N105" s="779">
        <f t="shared" si="21"/>
        <v>0</v>
      </c>
      <c r="O105" s="779">
        <f t="shared" si="22"/>
        <v>0</v>
      </c>
      <c r="P105" s="780" t="e">
        <f t="shared" si="12"/>
        <v>#DIV/0!</v>
      </c>
      <c r="Q105" s="806"/>
      <c r="R105" s="632"/>
      <c r="AB105" s="632"/>
    </row>
    <row r="106" spans="2:28" ht="16.5" hidden="1" customHeight="1" outlineLevel="3">
      <c r="B106" s="776" t="s">
        <v>705</v>
      </c>
      <c r="C106" s="782" t="s">
        <v>39</v>
      </c>
      <c r="D106" s="804" t="s">
        <v>708</v>
      </c>
      <c r="E106" s="648" t="s">
        <v>1580</v>
      </c>
      <c r="F106" s="665" t="s">
        <v>57</v>
      </c>
      <c r="G106" s="810">
        <v>10</v>
      </c>
      <c r="H106" s="795"/>
      <c r="I106" s="789">
        <f>I2</f>
        <v>0</v>
      </c>
      <c r="J106" s="790"/>
      <c r="K106" s="778">
        <f t="shared" si="19"/>
        <v>0</v>
      </c>
      <c r="L106" s="569">
        <v>0.11</v>
      </c>
      <c r="M106" s="779">
        <f t="shared" si="20"/>
        <v>0</v>
      </c>
      <c r="N106" s="779">
        <f t="shared" si="21"/>
        <v>0</v>
      </c>
      <c r="O106" s="779">
        <f t="shared" si="22"/>
        <v>0</v>
      </c>
      <c r="P106" s="780" t="e">
        <f t="shared" si="12"/>
        <v>#DIV/0!</v>
      </c>
      <c r="Q106" s="806"/>
      <c r="R106" s="632"/>
      <c r="AB106" s="632"/>
    </row>
    <row r="107" spans="2:28" ht="16.5" hidden="1" customHeight="1" outlineLevel="3">
      <c r="B107" s="776" t="s">
        <v>706</v>
      </c>
      <c r="C107" s="782" t="s">
        <v>39</v>
      </c>
      <c r="D107" s="804" t="s">
        <v>1581</v>
      </c>
      <c r="E107" s="648" t="s">
        <v>1606</v>
      </c>
      <c r="F107" s="648" t="s">
        <v>657</v>
      </c>
      <c r="G107" s="809">
        <v>1</v>
      </c>
      <c r="H107" s="805" t="s">
        <v>101</v>
      </c>
      <c r="I107" s="672">
        <f>$E$2*(1+$F$2)</f>
        <v>0</v>
      </c>
      <c r="J107" s="790"/>
      <c r="K107" s="778">
        <f t="shared" si="19"/>
        <v>0</v>
      </c>
      <c r="L107" s="569">
        <v>0.11</v>
      </c>
      <c r="M107" s="779">
        <f t="shared" si="20"/>
        <v>0</v>
      </c>
      <c r="N107" s="779">
        <f t="shared" si="21"/>
        <v>0</v>
      </c>
      <c r="O107" s="779">
        <f t="shared" si="22"/>
        <v>0</v>
      </c>
      <c r="P107" s="780" t="e">
        <f t="shared" si="12"/>
        <v>#DIV/0!</v>
      </c>
      <c r="Q107" s="806"/>
      <c r="R107" s="632"/>
      <c r="AB107" s="632"/>
    </row>
    <row r="108" spans="2:28" ht="16.5" hidden="1" customHeight="1" outlineLevel="3">
      <c r="B108" s="776" t="s">
        <v>707</v>
      </c>
      <c r="C108" s="782" t="s">
        <v>39</v>
      </c>
      <c r="D108" s="804" t="s">
        <v>1582</v>
      </c>
      <c r="E108" s="648" t="s">
        <v>1606</v>
      </c>
      <c r="F108" s="665" t="s">
        <v>57</v>
      </c>
      <c r="G108" s="811">
        <v>0</v>
      </c>
      <c r="H108" s="805" t="s">
        <v>1</v>
      </c>
      <c r="I108" s="672">
        <f>$I$2</f>
        <v>0</v>
      </c>
      <c r="J108" s="787"/>
      <c r="K108" s="778">
        <f t="shared" si="19"/>
        <v>0</v>
      </c>
      <c r="L108" s="569">
        <v>0.11</v>
      </c>
      <c r="M108" s="779">
        <f t="shared" si="20"/>
        <v>0</v>
      </c>
      <c r="N108" s="779">
        <f t="shared" si="21"/>
        <v>0</v>
      </c>
      <c r="O108" s="779">
        <f t="shared" si="22"/>
        <v>0</v>
      </c>
      <c r="P108" s="780" t="e">
        <f t="shared" si="12"/>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9"/>
        <v>8.8495575221238951</v>
      </c>
      <c r="L109" s="620">
        <v>0.13</v>
      </c>
      <c r="M109" s="779">
        <f t="shared" si="20"/>
        <v>0</v>
      </c>
      <c r="N109" s="779">
        <f t="shared" si="21"/>
        <v>0</v>
      </c>
      <c r="O109" s="779">
        <f t="shared" si="22"/>
        <v>0</v>
      </c>
      <c r="P109" s="780" t="e">
        <f t="shared" si="12"/>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9"/>
        <v>0</v>
      </c>
      <c r="L110" s="620">
        <v>0.11</v>
      </c>
      <c r="M110" s="779">
        <f t="shared" si="20"/>
        <v>0</v>
      </c>
      <c r="N110" s="779">
        <f t="shared" si="21"/>
        <v>0</v>
      </c>
      <c r="O110" s="779">
        <f t="shared" si="22"/>
        <v>0</v>
      </c>
      <c r="P110" s="780" t="e">
        <f t="shared" si="12"/>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2"/>
        <v>#DIV/0!</v>
      </c>
      <c r="Q111" s="781"/>
      <c r="R111" s="632"/>
      <c r="AB111" s="632"/>
    </row>
    <row r="112" spans="2:28" ht="16.5" hidden="1" customHeight="1" outlineLevel="3">
      <c r="B112" s="776" t="s">
        <v>714</v>
      </c>
      <c r="C112" s="782" t="s">
        <v>39</v>
      </c>
      <c r="D112" s="804" t="s">
        <v>715</v>
      </c>
      <c r="E112" s="665" t="s">
        <v>1583</v>
      </c>
      <c r="F112" s="665" t="s">
        <v>803</v>
      </c>
      <c r="G112" s="813">
        <v>7</v>
      </c>
      <c r="H112" s="805" t="s">
        <v>716</v>
      </c>
      <c r="I112" s="672">
        <f>($K$2+1)*$I$2</f>
        <v>0</v>
      </c>
      <c r="J112" s="812">
        <v>60</v>
      </c>
      <c r="K112" s="778">
        <f t="shared" si="19"/>
        <v>54.054054054054049</v>
      </c>
      <c r="L112" s="620">
        <v>0.11</v>
      </c>
      <c r="M112" s="779">
        <f t="shared" si="20"/>
        <v>0</v>
      </c>
      <c r="N112" s="779">
        <f>L112*M112</f>
        <v>0</v>
      </c>
      <c r="O112" s="779">
        <f>M112+N112</f>
        <v>0</v>
      </c>
      <c r="P112" s="780" t="e">
        <f t="shared" si="12"/>
        <v>#DIV/0!</v>
      </c>
      <c r="Q112" s="781"/>
      <c r="R112" s="632"/>
      <c r="AB112" s="632"/>
    </row>
    <row r="113" spans="2:28" ht="16.5" hidden="1" customHeight="1" outlineLevel="3">
      <c r="B113" s="776" t="s">
        <v>717</v>
      </c>
      <c r="C113" s="782" t="s">
        <v>39</v>
      </c>
      <c r="D113" s="804" t="s">
        <v>1584</v>
      </c>
      <c r="E113" s="665" t="s">
        <v>1583</v>
      </c>
      <c r="F113" s="665" t="s">
        <v>0</v>
      </c>
      <c r="G113" s="813">
        <v>5</v>
      </c>
      <c r="H113" s="787"/>
      <c r="I113" s="672">
        <f>I112</f>
        <v>0</v>
      </c>
      <c r="J113" s="787"/>
      <c r="K113" s="778">
        <f t="shared" si="19"/>
        <v>0</v>
      </c>
      <c r="L113" s="569">
        <v>0.11</v>
      </c>
      <c r="M113" s="779">
        <f t="shared" si="20"/>
        <v>0</v>
      </c>
      <c r="N113" s="779">
        <f>L113*M113</f>
        <v>0</v>
      </c>
      <c r="O113" s="779">
        <f>M113+N113</f>
        <v>0</v>
      </c>
      <c r="P113" s="780" t="e">
        <f t="shared" si="12"/>
        <v>#DIV/0!</v>
      </c>
      <c r="Q113" s="781"/>
      <c r="R113" s="632"/>
      <c r="AB113" s="632"/>
    </row>
    <row r="114" spans="2:28" ht="16.5" hidden="1" customHeight="1" outlineLevel="3">
      <c r="B114" s="776" t="s">
        <v>718</v>
      </c>
      <c r="C114" s="782" t="s">
        <v>39</v>
      </c>
      <c r="D114" s="804" t="s">
        <v>719</v>
      </c>
      <c r="E114" s="665" t="s">
        <v>1583</v>
      </c>
      <c r="F114" s="665" t="s">
        <v>5</v>
      </c>
      <c r="G114" s="813">
        <v>10</v>
      </c>
      <c r="H114" s="787" t="s">
        <v>660</v>
      </c>
      <c r="I114" s="672">
        <f>$H$2</f>
        <v>0</v>
      </c>
      <c r="J114" s="787">
        <v>145</v>
      </c>
      <c r="K114" s="778">
        <f t="shared" si="19"/>
        <v>130.63063063063061</v>
      </c>
      <c r="L114" s="569">
        <v>0.11</v>
      </c>
      <c r="M114" s="779">
        <f t="shared" si="20"/>
        <v>0</v>
      </c>
      <c r="N114" s="779">
        <f>L114*M114</f>
        <v>0</v>
      </c>
      <c r="O114" s="779">
        <f>M114+N114</f>
        <v>0</v>
      </c>
      <c r="P114" s="780" t="e">
        <f t="shared" si="12"/>
        <v>#DIV/0!</v>
      </c>
      <c r="Q114" s="781"/>
      <c r="R114" s="632"/>
      <c r="AB114" s="632"/>
    </row>
    <row r="115" spans="2:28" ht="16.5" hidden="1" customHeight="1" outlineLevel="3">
      <c r="B115" s="776" t="s">
        <v>1585</v>
      </c>
      <c r="C115" s="782" t="s">
        <v>39</v>
      </c>
      <c r="D115" s="804" t="s">
        <v>720</v>
      </c>
      <c r="E115" s="665" t="s">
        <v>1583</v>
      </c>
      <c r="F115" s="665" t="s">
        <v>5</v>
      </c>
      <c r="G115" s="808">
        <v>6</v>
      </c>
      <c r="H115" s="812" t="s">
        <v>660</v>
      </c>
      <c r="I115" s="672">
        <f>$H$2</f>
        <v>0</v>
      </c>
      <c r="J115" s="812">
        <v>90</v>
      </c>
      <c r="K115" s="778">
        <f t="shared" si="19"/>
        <v>81.081081081081081</v>
      </c>
      <c r="L115" s="620">
        <v>0.11</v>
      </c>
      <c r="M115" s="779">
        <f t="shared" si="20"/>
        <v>0</v>
      </c>
      <c r="N115" s="779">
        <f>L115*M115</f>
        <v>0</v>
      </c>
      <c r="O115" s="779">
        <f>M115+N115</f>
        <v>0</v>
      </c>
      <c r="P115" s="780" t="e">
        <f t="shared" si="12"/>
        <v>#DIV/0!</v>
      </c>
      <c r="Q115" s="781"/>
      <c r="R115" s="632"/>
      <c r="AB115" s="632"/>
    </row>
    <row r="116" spans="2:28" ht="16.5" hidden="1" customHeight="1" outlineLevel="3">
      <c r="B116" s="776" t="s">
        <v>1586</v>
      </c>
      <c r="C116" s="782" t="s">
        <v>39</v>
      </c>
      <c r="D116" s="804" t="s">
        <v>721</v>
      </c>
      <c r="E116" s="665" t="s">
        <v>1583</v>
      </c>
      <c r="F116" s="665" t="s">
        <v>5</v>
      </c>
      <c r="G116" s="809">
        <v>6</v>
      </c>
      <c r="H116" s="787" t="s">
        <v>722</v>
      </c>
      <c r="I116" s="672">
        <f>$H$2</f>
        <v>0</v>
      </c>
      <c r="J116" s="787">
        <v>220</v>
      </c>
      <c r="K116" s="778">
        <f t="shared" si="19"/>
        <v>198.19819819819818</v>
      </c>
      <c r="L116" s="569">
        <v>0.11</v>
      </c>
      <c r="M116" s="779">
        <f t="shared" si="20"/>
        <v>0</v>
      </c>
      <c r="N116" s="779">
        <f>L116*M116</f>
        <v>0</v>
      </c>
      <c r="O116" s="779">
        <f>M116+N116</f>
        <v>0</v>
      </c>
      <c r="P116" s="780" t="e">
        <f t="shared" si="12"/>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2"/>
        <v>#DIV/0!</v>
      </c>
      <c r="Q117" s="781"/>
      <c r="R117" s="632"/>
      <c r="AB117" s="632"/>
    </row>
    <row r="118" spans="2:28" ht="16.5" hidden="1" customHeight="1" outlineLevel="3">
      <c r="B118" s="776" t="s">
        <v>724</v>
      </c>
      <c r="C118" s="782" t="s">
        <v>39</v>
      </c>
      <c r="D118" s="804" t="s">
        <v>725</v>
      </c>
      <c r="E118" s="665" t="s">
        <v>1580</v>
      </c>
      <c r="F118" s="665" t="s">
        <v>57</v>
      </c>
      <c r="G118" s="814">
        <v>1</v>
      </c>
      <c r="H118" s="805" t="s">
        <v>1611</v>
      </c>
      <c r="I118" s="672">
        <f>$I$2</f>
        <v>0</v>
      </c>
      <c r="J118" s="812">
        <v>5000</v>
      </c>
      <c r="K118" s="778">
        <f t="shared" si="19"/>
        <v>4504.5045045045044</v>
      </c>
      <c r="L118" s="620">
        <v>0.11</v>
      </c>
      <c r="M118" s="779">
        <f t="shared" si="20"/>
        <v>0</v>
      </c>
      <c r="N118" s="779">
        <f>L118*M118</f>
        <v>0</v>
      </c>
      <c r="O118" s="779">
        <f>M118+N118</f>
        <v>0</v>
      </c>
      <c r="P118" s="780" t="e">
        <f t="shared" si="12"/>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2"/>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9"/>
        <v>0</v>
      </c>
      <c r="L120" s="569">
        <v>0.17</v>
      </c>
      <c r="M120" s="779">
        <f t="shared" si="20"/>
        <v>0</v>
      </c>
      <c r="N120" s="779">
        <f>L120*M120</f>
        <v>0</v>
      </c>
      <c r="O120" s="779">
        <f>M120+N120</f>
        <v>0</v>
      </c>
      <c r="P120" s="780" t="e">
        <f t="shared" si="12"/>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v>1700</v>
      </c>
      <c r="K121" s="778">
        <f t="shared" si="19"/>
        <v>1452.9914529914531</v>
      </c>
      <c r="L121" s="569">
        <v>0.17</v>
      </c>
      <c r="M121" s="779">
        <f t="shared" si="20"/>
        <v>0</v>
      </c>
      <c r="N121" s="779">
        <f>L121*M121</f>
        <v>0</v>
      </c>
      <c r="O121" s="779">
        <f>M121+N121</f>
        <v>0</v>
      </c>
      <c r="P121" s="780" t="e">
        <f t="shared" si="12"/>
        <v>#DIV/0!</v>
      </c>
      <c r="Q121" s="781"/>
      <c r="R121" s="632"/>
      <c r="AB121" s="632"/>
    </row>
    <row r="122" spans="2:28" ht="16.5" hidden="1" customHeight="1" outlineLevel="3">
      <c r="B122" s="776" t="s">
        <v>728</v>
      </c>
      <c r="C122" s="782" t="s">
        <v>39</v>
      </c>
      <c r="D122" s="804" t="s">
        <v>729</v>
      </c>
      <c r="E122" s="648" t="s">
        <v>1590</v>
      </c>
      <c r="F122" s="665" t="s">
        <v>803</v>
      </c>
      <c r="G122" s="813">
        <v>7</v>
      </c>
      <c r="H122" s="805" t="s">
        <v>1591</v>
      </c>
      <c r="I122" s="672">
        <f>$I$2*($K$2+1)</f>
        <v>0</v>
      </c>
      <c r="J122" s="812">
        <v>450</v>
      </c>
      <c r="K122" s="778">
        <f t="shared" si="19"/>
        <v>405.40540540540536</v>
      </c>
      <c r="L122" s="620">
        <v>0.11</v>
      </c>
      <c r="M122" s="779">
        <f t="shared" si="20"/>
        <v>0</v>
      </c>
      <c r="N122" s="779">
        <f>L122*M122</f>
        <v>0</v>
      </c>
      <c r="O122" s="779">
        <f>M122+N122</f>
        <v>0</v>
      </c>
      <c r="P122" s="780" t="e">
        <f t="shared" si="12"/>
        <v>#DIV/0!</v>
      </c>
      <c r="Q122" s="781"/>
      <c r="R122" s="632"/>
      <c r="AB122" s="632"/>
    </row>
    <row r="123" spans="2:28" ht="16.5" hidden="1" customHeight="1" outlineLevel="3">
      <c r="B123" s="776" t="s">
        <v>730</v>
      </c>
      <c r="C123" s="782" t="s">
        <v>39</v>
      </c>
      <c r="D123" s="804" t="s">
        <v>62</v>
      </c>
      <c r="E123" s="665" t="s">
        <v>1580</v>
      </c>
      <c r="F123" s="648" t="s">
        <v>657</v>
      </c>
      <c r="G123" s="808">
        <v>0.19</v>
      </c>
      <c r="H123" s="805" t="s">
        <v>101</v>
      </c>
      <c r="I123" s="672">
        <f>$E$2*(1+$F$2)</f>
        <v>0</v>
      </c>
      <c r="J123" s="812">
        <v>700</v>
      </c>
      <c r="K123" s="778">
        <f t="shared" si="19"/>
        <v>598.29059829059838</v>
      </c>
      <c r="L123" s="620">
        <v>0.17</v>
      </c>
      <c r="M123" s="779">
        <f t="shared" si="20"/>
        <v>0</v>
      </c>
      <c r="N123" s="779">
        <f>L123*M123</f>
        <v>0</v>
      </c>
      <c r="O123" s="779">
        <f>M123+N123</f>
        <v>0</v>
      </c>
      <c r="P123" s="780" t="e">
        <f t="shared" si="12"/>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2"/>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9"/>
        <v>0</v>
      </c>
      <c r="L125" s="620">
        <v>0.11</v>
      </c>
      <c r="M125" s="779">
        <f t="shared" si="20"/>
        <v>0</v>
      </c>
      <c r="N125" s="779">
        <f>L125*M125</f>
        <v>0</v>
      </c>
      <c r="O125" s="779">
        <f>M125+N125</f>
        <v>0</v>
      </c>
      <c r="P125" s="780" t="e">
        <f t="shared" si="12"/>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9"/>
        <v>0</v>
      </c>
      <c r="L126" s="620">
        <v>0.17</v>
      </c>
      <c r="M126" s="779">
        <f t="shared" si="20"/>
        <v>0</v>
      </c>
      <c r="N126" s="779">
        <f>L126*M126</f>
        <v>0</v>
      </c>
      <c r="O126" s="779">
        <f>M126+N126</f>
        <v>0</v>
      </c>
      <c r="P126" s="780" t="e">
        <f t="shared" si="12"/>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9"/>
        <v>4.5045045045045038</v>
      </c>
      <c r="L127" s="620">
        <v>0.11</v>
      </c>
      <c r="M127" s="779">
        <f t="shared" si="20"/>
        <v>0</v>
      </c>
      <c r="N127" s="779">
        <f>L127*M127</f>
        <v>0</v>
      </c>
      <c r="O127" s="779">
        <f>M127+N127</f>
        <v>0</v>
      </c>
      <c r="P127" s="780" t="e">
        <f t="shared" si="12"/>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9"/>
        <v>68.376068376068375</v>
      </c>
      <c r="L128" s="620">
        <v>0.17</v>
      </c>
      <c r="M128" s="779">
        <f t="shared" si="20"/>
        <v>0</v>
      </c>
      <c r="N128" s="779">
        <f>L128*M128</f>
        <v>0</v>
      </c>
      <c r="O128" s="779">
        <f>M128+N128</f>
        <v>0</v>
      </c>
      <c r="P128" s="780" t="e">
        <f t="shared" si="12"/>
        <v>#DIV/0!</v>
      </c>
      <c r="Q128" s="781"/>
      <c r="R128" s="632"/>
      <c r="AB128" s="632"/>
    </row>
    <row r="129" spans="2:28" ht="16.5" hidden="1" customHeight="1" outlineLevel="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2"/>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2"/>
        <v>#DIV/0!</v>
      </c>
      <c r="Q130" s="781"/>
      <c r="R130" s="632"/>
      <c r="AB130" s="632"/>
    </row>
    <row r="131" spans="2:28" ht="16.5" hidden="1" customHeight="1" outlineLevel="3">
      <c r="B131" s="776" t="s">
        <v>743</v>
      </c>
      <c r="C131" s="782" t="s">
        <v>39</v>
      </c>
      <c r="D131" s="815" t="s">
        <v>1592</v>
      </c>
      <c r="E131" s="648" t="s">
        <v>1617</v>
      </c>
      <c r="F131" s="648" t="s">
        <v>57</v>
      </c>
      <c r="G131" s="787">
        <v>50</v>
      </c>
      <c r="H131" s="805" t="s">
        <v>1</v>
      </c>
      <c r="I131" s="672">
        <f>$I$2</f>
        <v>0</v>
      </c>
      <c r="J131" s="681">
        <v>900</v>
      </c>
      <c r="K131" s="778">
        <f>J131/(1+L131)</f>
        <v>810.81081081081072</v>
      </c>
      <c r="L131" s="569">
        <v>0.11</v>
      </c>
      <c r="M131" s="779">
        <f>G131*I131*K131/10000</f>
        <v>0</v>
      </c>
      <c r="N131" s="779">
        <f>L131*M131</f>
        <v>0</v>
      </c>
      <c r="O131" s="779">
        <f>M131+N131</f>
        <v>0</v>
      </c>
      <c r="P131" s="780" t="e">
        <f t="shared" si="12"/>
        <v>#DIV/0!</v>
      </c>
      <c r="Q131" s="781"/>
      <c r="R131" s="632"/>
      <c r="AB131" s="632"/>
    </row>
    <row r="132" spans="2:28" ht="16.5" hidden="1" customHeight="1" outlineLevel="3">
      <c r="B132" s="776" t="s">
        <v>744</v>
      </c>
      <c r="C132" s="782" t="s">
        <v>39</v>
      </c>
      <c r="D132" s="815" t="s">
        <v>1593</v>
      </c>
      <c r="E132" s="648" t="s">
        <v>457</v>
      </c>
      <c r="F132" s="648" t="s">
        <v>57</v>
      </c>
      <c r="G132" s="787">
        <v>50</v>
      </c>
      <c r="H132" s="805" t="s">
        <v>1</v>
      </c>
      <c r="I132" s="672">
        <f>$I$2</f>
        <v>0</v>
      </c>
      <c r="J132" s="681">
        <v>800</v>
      </c>
      <c r="K132" s="778">
        <f>J132/(1+L132)</f>
        <v>683.76068376068383</v>
      </c>
      <c r="L132" s="569">
        <v>0.17</v>
      </c>
      <c r="M132" s="779">
        <f>G132*I132*K132/10000</f>
        <v>0</v>
      </c>
      <c r="N132" s="779">
        <f>L132*M132</f>
        <v>0</v>
      </c>
      <c r="O132" s="779">
        <f>M132+N132</f>
        <v>0</v>
      </c>
      <c r="P132" s="780" t="e">
        <f t="shared" si="12"/>
        <v>#DIV/0!</v>
      </c>
      <c r="Q132" s="781"/>
      <c r="R132" s="632"/>
      <c r="AB132" s="632"/>
    </row>
    <row r="133" spans="2:28" ht="16.5" hidden="1" customHeight="1" outlineLevel="3">
      <c r="B133" s="776" t="s">
        <v>745</v>
      </c>
      <c r="C133" s="782" t="s">
        <v>39</v>
      </c>
      <c r="D133" s="815" t="s">
        <v>1594</v>
      </c>
      <c r="E133" s="648" t="s">
        <v>1329</v>
      </c>
      <c r="F133" s="648" t="s">
        <v>57</v>
      </c>
      <c r="G133" s="787">
        <v>50</v>
      </c>
      <c r="H133" s="805" t="s">
        <v>1</v>
      </c>
      <c r="I133" s="672">
        <f>$I$2</f>
        <v>0</v>
      </c>
      <c r="J133" s="681">
        <v>100</v>
      </c>
      <c r="K133" s="778">
        <f>J133/(1+L133)</f>
        <v>85.470085470085479</v>
      </c>
      <c r="L133" s="569">
        <v>0.17</v>
      </c>
      <c r="M133" s="779">
        <f>G133*I133*K133/10000</f>
        <v>0</v>
      </c>
      <c r="N133" s="779">
        <f>L133*M133</f>
        <v>0</v>
      </c>
      <c r="O133" s="779">
        <f>M133+N133</f>
        <v>0</v>
      </c>
      <c r="P133" s="780" t="e">
        <f t="shared" ref="P133:P167" si="23">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3"/>
        <v>#DIV/0!</v>
      </c>
      <c r="Q134" s="781"/>
      <c r="R134" s="632"/>
      <c r="AB134" s="632"/>
    </row>
    <row r="135" spans="2:28" ht="16.5" hidden="1" customHeight="1" outlineLevel="3">
      <c r="B135" s="776" t="s">
        <v>747</v>
      </c>
      <c r="C135" s="782" t="s">
        <v>39</v>
      </c>
      <c r="D135" s="815" t="s">
        <v>748</v>
      </c>
      <c r="E135" s="648" t="s">
        <v>1617</v>
      </c>
      <c r="F135" s="648" t="s">
        <v>57</v>
      </c>
      <c r="G135" s="787">
        <v>30</v>
      </c>
      <c r="H135" s="805" t="s">
        <v>1</v>
      </c>
      <c r="I135" s="672">
        <f>$I$2</f>
        <v>0</v>
      </c>
      <c r="J135" s="681">
        <v>300</v>
      </c>
      <c r="K135" s="778">
        <f>J135/(1+L135)</f>
        <v>270.27027027027026</v>
      </c>
      <c r="L135" s="569">
        <v>0.11</v>
      </c>
      <c r="M135" s="779">
        <f t="shared" ref="M135:M140" si="24">G135*I135*K135/10000</f>
        <v>0</v>
      </c>
      <c r="N135" s="779">
        <f t="shared" ref="N135:N140" si="25">L135*M135</f>
        <v>0</v>
      </c>
      <c r="O135" s="779">
        <f t="shared" ref="O135:O140" si="26">M135+N135</f>
        <v>0</v>
      </c>
      <c r="P135" s="780" t="e">
        <f t="shared" si="23"/>
        <v>#DIV/0!</v>
      </c>
      <c r="Q135" s="781"/>
      <c r="R135" s="632"/>
      <c r="AB135" s="632"/>
    </row>
    <row r="136" spans="2:28" ht="16.5" hidden="1" customHeight="1" outlineLevel="3">
      <c r="B136" s="776" t="s">
        <v>749</v>
      </c>
      <c r="C136" s="782" t="s">
        <v>39</v>
      </c>
      <c r="D136" s="815" t="s">
        <v>750</v>
      </c>
      <c r="E136" s="648" t="s">
        <v>457</v>
      </c>
      <c r="F136" s="648" t="s">
        <v>57</v>
      </c>
      <c r="G136" s="787">
        <v>30</v>
      </c>
      <c r="H136" s="805" t="s">
        <v>1</v>
      </c>
      <c r="I136" s="672">
        <f>$I$2</f>
        <v>0</v>
      </c>
      <c r="J136" s="681">
        <v>200</v>
      </c>
      <c r="K136" s="778">
        <f>J136/(1+L136)</f>
        <v>170.94017094017096</v>
      </c>
      <c r="L136" s="569">
        <v>0.17</v>
      </c>
      <c r="M136" s="779">
        <f t="shared" si="24"/>
        <v>0</v>
      </c>
      <c r="N136" s="779">
        <f t="shared" si="25"/>
        <v>0</v>
      </c>
      <c r="O136" s="779">
        <f t="shared" si="26"/>
        <v>0</v>
      </c>
      <c r="P136" s="780" t="e">
        <f t="shared" si="23"/>
        <v>#DIV/0!</v>
      </c>
      <c r="Q136" s="781"/>
      <c r="R136" s="632"/>
      <c r="AB136" s="632"/>
    </row>
    <row r="137" spans="2:28" ht="16.5" hidden="1" customHeight="1" outlineLevel="3">
      <c r="B137" s="776" t="s">
        <v>751</v>
      </c>
      <c r="C137" s="782" t="s">
        <v>39</v>
      </c>
      <c r="D137" s="815" t="s">
        <v>752</v>
      </c>
      <c r="E137" s="648" t="s">
        <v>1329</v>
      </c>
      <c r="F137" s="648" t="s">
        <v>57</v>
      </c>
      <c r="G137" s="787">
        <v>30</v>
      </c>
      <c r="H137" s="805" t="s">
        <v>1</v>
      </c>
      <c r="I137" s="672">
        <f>$I$2</f>
        <v>0</v>
      </c>
      <c r="J137" s="681">
        <v>100</v>
      </c>
      <c r="K137" s="778">
        <f>J137/(1+L137)</f>
        <v>85.470085470085479</v>
      </c>
      <c r="L137" s="569">
        <v>0.17</v>
      </c>
      <c r="M137" s="779">
        <f t="shared" si="24"/>
        <v>0</v>
      </c>
      <c r="N137" s="779">
        <f t="shared" si="25"/>
        <v>0</v>
      </c>
      <c r="O137" s="779">
        <f t="shared" si="26"/>
        <v>0</v>
      </c>
      <c r="P137" s="780" t="e">
        <f t="shared" si="23"/>
        <v>#DIV/0!</v>
      </c>
      <c r="Q137" s="781"/>
      <c r="R137" s="632"/>
      <c r="AB137" s="632"/>
    </row>
    <row r="138" spans="2:28" ht="16.5" hidden="1" customHeight="1" outlineLevel="2">
      <c r="B138" s="776" t="s">
        <v>753</v>
      </c>
      <c r="C138" s="777" t="s">
        <v>88</v>
      </c>
      <c r="D138" s="817" t="s">
        <v>754</v>
      </c>
      <c r="E138" s="648" t="s">
        <v>1617</v>
      </c>
      <c r="F138" s="648" t="s">
        <v>57</v>
      </c>
      <c r="G138" s="787"/>
      <c r="H138" s="805" t="s">
        <v>1</v>
      </c>
      <c r="I138" s="672">
        <f>$I$2</f>
        <v>0</v>
      </c>
      <c r="J138" s="681"/>
      <c r="K138" s="681"/>
      <c r="L138" s="569">
        <v>0.11</v>
      </c>
      <c r="M138" s="779">
        <f t="shared" si="24"/>
        <v>0</v>
      </c>
      <c r="N138" s="779">
        <f t="shared" si="25"/>
        <v>0</v>
      </c>
      <c r="O138" s="779">
        <f t="shared" si="26"/>
        <v>0</v>
      </c>
      <c r="P138" s="780" t="e">
        <f t="shared" si="23"/>
        <v>#DIV/0!</v>
      </c>
      <c r="Q138" s="781"/>
      <c r="R138" s="632"/>
      <c r="AB138" s="632"/>
    </row>
    <row r="139" spans="2:28" ht="16.5" hidden="1" customHeight="1" outlineLevel="2">
      <c r="B139" s="776" t="s">
        <v>755</v>
      </c>
      <c r="C139" s="777" t="s">
        <v>70</v>
      </c>
      <c r="D139" s="817" t="s">
        <v>90</v>
      </c>
      <c r="E139" s="648" t="s">
        <v>1617</v>
      </c>
      <c r="F139" s="648" t="s">
        <v>57</v>
      </c>
      <c r="G139" s="787"/>
      <c r="H139" s="805" t="s">
        <v>1</v>
      </c>
      <c r="I139" s="672">
        <f>$I$2</f>
        <v>0</v>
      </c>
      <c r="J139" s="681"/>
      <c r="K139" s="681"/>
      <c r="L139" s="569">
        <v>0.11</v>
      </c>
      <c r="M139" s="779">
        <f t="shared" si="24"/>
        <v>0</v>
      </c>
      <c r="N139" s="779">
        <f t="shared" si="25"/>
        <v>0</v>
      </c>
      <c r="O139" s="779">
        <f t="shared" si="26"/>
        <v>0</v>
      </c>
      <c r="P139" s="780" t="e">
        <f t="shared" si="23"/>
        <v>#DIV/0!</v>
      </c>
      <c r="Q139" s="781"/>
      <c r="R139" s="632"/>
      <c r="AB139" s="632"/>
    </row>
    <row r="140" spans="2:28" ht="16.5" hidden="1" customHeight="1" outlineLevel="2">
      <c r="B140" s="776" t="s">
        <v>756</v>
      </c>
      <c r="C140" s="777" t="s">
        <v>71</v>
      </c>
      <c r="D140" s="817" t="s">
        <v>757</v>
      </c>
      <c r="E140" s="648" t="s">
        <v>1617</v>
      </c>
      <c r="F140" s="665" t="s">
        <v>803</v>
      </c>
      <c r="G140" s="813">
        <v>15</v>
      </c>
      <c r="H140" s="805" t="s">
        <v>2</v>
      </c>
      <c r="I140" s="672">
        <f>($K$2+1)*$I$2</f>
        <v>0</v>
      </c>
      <c r="J140" s="681">
        <v>150</v>
      </c>
      <c r="K140" s="681"/>
      <c r="L140" s="569">
        <v>0.11</v>
      </c>
      <c r="M140" s="779">
        <f t="shared" si="24"/>
        <v>0</v>
      </c>
      <c r="N140" s="779">
        <f t="shared" si="25"/>
        <v>0</v>
      </c>
      <c r="O140" s="779">
        <f t="shared" si="26"/>
        <v>0</v>
      </c>
      <c r="P140" s="780" t="e">
        <f t="shared" si="23"/>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3"/>
        <v>#DIV/0!</v>
      </c>
      <c r="Q141" s="781"/>
      <c r="R141" s="632"/>
      <c r="AB141" s="632"/>
    </row>
    <row r="142" spans="2:28" ht="16.5" hidden="1" customHeight="1" outlineLevel="3">
      <c r="B142" s="776" t="s">
        <v>759</v>
      </c>
      <c r="C142" s="782" t="s">
        <v>39</v>
      </c>
      <c r="D142" s="815" t="s">
        <v>760</v>
      </c>
      <c r="E142" s="648" t="s">
        <v>1617</v>
      </c>
      <c r="F142" s="665" t="s">
        <v>804</v>
      </c>
      <c r="G142" s="813">
        <v>15</v>
      </c>
      <c r="H142" s="805" t="s">
        <v>2</v>
      </c>
      <c r="I142" s="672">
        <f>($J$2-1)*$I$2</f>
        <v>0</v>
      </c>
      <c r="J142" s="681">
        <v>350</v>
      </c>
      <c r="K142" s="778">
        <f>J142/(1+L142)</f>
        <v>315.31531531531527</v>
      </c>
      <c r="L142" s="569">
        <v>0.11</v>
      </c>
      <c r="M142" s="779">
        <f t="shared" ref="M142:M148" si="27">G142*I142*K142/10000</f>
        <v>0</v>
      </c>
      <c r="N142" s="779">
        <f t="shared" ref="N142:N148" si="28">L142*M142</f>
        <v>0</v>
      </c>
      <c r="O142" s="779">
        <f t="shared" ref="O142:O148" si="29">M142+N142</f>
        <v>0</v>
      </c>
      <c r="P142" s="780" t="e">
        <f t="shared" si="23"/>
        <v>#DIV/0!</v>
      </c>
      <c r="Q142" s="806"/>
      <c r="R142" s="632"/>
      <c r="AB142" s="632"/>
    </row>
    <row r="143" spans="2:28" ht="16.5" hidden="1" customHeight="1" outlineLevel="3">
      <c r="B143" s="776" t="s">
        <v>761</v>
      </c>
      <c r="C143" s="782" t="s">
        <v>39</v>
      </c>
      <c r="D143" s="815" t="s">
        <v>805</v>
      </c>
      <c r="E143" s="648" t="s">
        <v>457</v>
      </c>
      <c r="F143" s="665" t="s">
        <v>804</v>
      </c>
      <c r="G143" s="813">
        <v>15</v>
      </c>
      <c r="H143" s="805" t="s">
        <v>2</v>
      </c>
      <c r="I143" s="672">
        <f>($J$2-1)*$I$2</f>
        <v>0</v>
      </c>
      <c r="J143" s="681">
        <v>200</v>
      </c>
      <c r="K143" s="778">
        <f>J143/(1+L143)</f>
        <v>170.94017094017096</v>
      </c>
      <c r="L143" s="569">
        <v>0.17</v>
      </c>
      <c r="M143" s="779">
        <f t="shared" si="27"/>
        <v>0</v>
      </c>
      <c r="N143" s="779">
        <f t="shared" si="28"/>
        <v>0</v>
      </c>
      <c r="O143" s="779">
        <f t="shared" si="29"/>
        <v>0</v>
      </c>
      <c r="P143" s="780" t="e">
        <f t="shared" si="23"/>
        <v>#DIV/0!</v>
      </c>
      <c r="Q143" s="806"/>
      <c r="R143" s="632"/>
      <c r="AB143" s="632"/>
    </row>
    <row r="144" spans="2:28" ht="16.5" hidden="1" customHeight="1" outlineLevel="3">
      <c r="B144" s="776" t="s">
        <v>762</v>
      </c>
      <c r="C144" s="782" t="s">
        <v>39</v>
      </c>
      <c r="D144" s="815" t="s">
        <v>806</v>
      </c>
      <c r="E144" s="648" t="s">
        <v>1329</v>
      </c>
      <c r="F144" s="665" t="s">
        <v>804</v>
      </c>
      <c r="G144" s="813">
        <v>15</v>
      </c>
      <c r="H144" s="805" t="s">
        <v>2</v>
      </c>
      <c r="I144" s="672">
        <f>($J$2-1)*$I$2</f>
        <v>0</v>
      </c>
      <c r="J144" s="681">
        <v>100</v>
      </c>
      <c r="K144" s="778">
        <f>J144/(1+L144)</f>
        <v>85.470085470085479</v>
      </c>
      <c r="L144" s="569">
        <v>0.17</v>
      </c>
      <c r="M144" s="779">
        <f t="shared" si="27"/>
        <v>0</v>
      </c>
      <c r="N144" s="779">
        <f t="shared" si="28"/>
        <v>0</v>
      </c>
      <c r="O144" s="779">
        <f t="shared" si="29"/>
        <v>0</v>
      </c>
      <c r="P144" s="780" t="e">
        <f t="shared" si="23"/>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7"/>
        <v>0</v>
      </c>
      <c r="N145" s="779">
        <f t="shared" si="28"/>
        <v>0</v>
      </c>
      <c r="O145" s="779">
        <f t="shared" si="29"/>
        <v>0</v>
      </c>
      <c r="P145" s="780" t="e">
        <f t="shared" si="23"/>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7"/>
        <v>0</v>
      </c>
      <c r="N146" s="779">
        <f t="shared" si="28"/>
        <v>0</v>
      </c>
      <c r="O146" s="779">
        <f t="shared" si="29"/>
        <v>0</v>
      </c>
      <c r="P146" s="780" t="e">
        <f t="shared" si="23"/>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7"/>
        <v>0</v>
      </c>
      <c r="N147" s="779">
        <f t="shared" si="28"/>
        <v>0</v>
      </c>
      <c r="O147" s="779">
        <f t="shared" si="29"/>
        <v>0</v>
      </c>
      <c r="P147" s="780" t="e">
        <f t="shared" si="23"/>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7"/>
        <v>0</v>
      </c>
      <c r="N148" s="779">
        <f t="shared" si="28"/>
        <v>0</v>
      </c>
      <c r="O148" s="779">
        <f t="shared" si="29"/>
        <v>0</v>
      </c>
      <c r="P148" s="780" t="e">
        <f t="shared" si="23"/>
        <v>#DIV/0!</v>
      </c>
      <c r="Q148" s="781"/>
      <c r="R148" s="632"/>
      <c r="AB148" s="632"/>
    </row>
    <row r="149" spans="1:28" s="633" customFormat="1" ht="16.5" hidden="1" customHeight="1" outlineLevel="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3"/>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3"/>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30">$H$2</f>
        <v>0</v>
      </c>
      <c r="J151" s="681">
        <v>200</v>
      </c>
      <c r="K151" s="778">
        <f t="shared" ref="K151:K158" si="31">J151/(1+L151)</f>
        <v>180.18018018018017</v>
      </c>
      <c r="L151" s="569">
        <v>0.11</v>
      </c>
      <c r="M151" s="779">
        <f t="shared" ref="M151:M167" si="32">G151*I151*K151/10000</f>
        <v>0</v>
      </c>
      <c r="N151" s="779">
        <f t="shared" ref="N151:N160" si="33">L151*M151</f>
        <v>0</v>
      </c>
      <c r="O151" s="779">
        <f t="shared" ref="O151:O160" si="34">M151+N151</f>
        <v>0</v>
      </c>
      <c r="P151" s="780" t="e">
        <f t="shared" si="23"/>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30"/>
        <v>0</v>
      </c>
      <c r="J152" s="787">
        <v>500</v>
      </c>
      <c r="K152" s="778">
        <f t="shared" si="31"/>
        <v>450.45045045045043</v>
      </c>
      <c r="L152" s="569">
        <v>0.11</v>
      </c>
      <c r="M152" s="779">
        <f t="shared" si="32"/>
        <v>0</v>
      </c>
      <c r="N152" s="779">
        <f t="shared" si="33"/>
        <v>0</v>
      </c>
      <c r="O152" s="779">
        <f t="shared" si="34"/>
        <v>0</v>
      </c>
      <c r="P152" s="780" t="e">
        <f t="shared" si="23"/>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30"/>
        <v>0</v>
      </c>
      <c r="J153" s="787">
        <v>1000</v>
      </c>
      <c r="K153" s="778">
        <f t="shared" si="31"/>
        <v>900.90090090090087</v>
      </c>
      <c r="L153" s="569">
        <v>0.11</v>
      </c>
      <c r="M153" s="779">
        <f t="shared" si="32"/>
        <v>0</v>
      </c>
      <c r="N153" s="779">
        <f t="shared" si="33"/>
        <v>0</v>
      </c>
      <c r="O153" s="779">
        <f t="shared" si="34"/>
        <v>0</v>
      </c>
      <c r="P153" s="780" t="e">
        <f t="shared" si="23"/>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30"/>
        <v>0</v>
      </c>
      <c r="J154" s="787">
        <v>200</v>
      </c>
      <c r="K154" s="778">
        <f t="shared" si="31"/>
        <v>180.18018018018017</v>
      </c>
      <c r="L154" s="569">
        <v>0.11</v>
      </c>
      <c r="M154" s="779">
        <f t="shared" si="32"/>
        <v>0</v>
      </c>
      <c r="N154" s="779">
        <f t="shared" si="33"/>
        <v>0</v>
      </c>
      <c r="O154" s="779">
        <f t="shared" si="34"/>
        <v>0</v>
      </c>
      <c r="P154" s="780" t="e">
        <f t="shared" si="23"/>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30"/>
        <v>0</v>
      </c>
      <c r="J155" s="787">
        <v>500</v>
      </c>
      <c r="K155" s="778">
        <f t="shared" si="31"/>
        <v>427.35042735042737</v>
      </c>
      <c r="L155" s="569">
        <v>0.17</v>
      </c>
      <c r="M155" s="779">
        <f t="shared" si="32"/>
        <v>0</v>
      </c>
      <c r="N155" s="779">
        <f t="shared" si="33"/>
        <v>0</v>
      </c>
      <c r="O155" s="779">
        <f t="shared" si="34"/>
        <v>0</v>
      </c>
      <c r="P155" s="780" t="e">
        <f t="shared" si="23"/>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30"/>
        <v>0</v>
      </c>
      <c r="J156" s="787">
        <v>200</v>
      </c>
      <c r="K156" s="778">
        <f t="shared" si="31"/>
        <v>180.18018018018017</v>
      </c>
      <c r="L156" s="569">
        <v>0.11</v>
      </c>
      <c r="M156" s="779">
        <f t="shared" si="32"/>
        <v>0</v>
      </c>
      <c r="N156" s="779">
        <f t="shared" si="33"/>
        <v>0</v>
      </c>
      <c r="O156" s="779">
        <f t="shared" si="34"/>
        <v>0</v>
      </c>
      <c r="P156" s="780" t="e">
        <f t="shared" si="23"/>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1"/>
        <v>0</v>
      </c>
      <c r="L157" s="569"/>
      <c r="M157" s="779">
        <f t="shared" si="32"/>
        <v>0</v>
      </c>
      <c r="N157" s="779">
        <f t="shared" si="33"/>
        <v>0</v>
      </c>
      <c r="O157" s="779">
        <f t="shared" si="34"/>
        <v>0</v>
      </c>
      <c r="P157" s="780" t="e">
        <f t="shared" si="23"/>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1"/>
        <v>0</v>
      </c>
      <c r="L158" s="569"/>
      <c r="M158" s="779">
        <f t="shared" si="32"/>
        <v>0</v>
      </c>
      <c r="N158" s="779">
        <f t="shared" si="33"/>
        <v>0</v>
      </c>
      <c r="O158" s="779">
        <f t="shared" si="34"/>
        <v>0</v>
      </c>
      <c r="P158" s="780" t="e">
        <f t="shared" si="23"/>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2"/>
        <v>0</v>
      </c>
      <c r="N159" s="779">
        <f t="shared" si="33"/>
        <v>0</v>
      </c>
      <c r="O159" s="779">
        <f t="shared" si="34"/>
        <v>0</v>
      </c>
      <c r="P159" s="780" t="e">
        <f t="shared" si="23"/>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2"/>
        <v>0</v>
      </c>
      <c r="N160" s="779">
        <f t="shared" si="33"/>
        <v>0</v>
      </c>
      <c r="O160" s="779">
        <f t="shared" si="34"/>
        <v>0</v>
      </c>
      <c r="P160" s="780" t="e">
        <f t="shared" si="23"/>
        <v>#DIV/0!</v>
      </c>
      <c r="Q160" s="781"/>
    </row>
    <row r="161" spans="2:28" ht="16.5" hidden="1" customHeight="1" outlineLevel="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3"/>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v>20</v>
      </c>
      <c r="K162" s="778">
        <f>J162/(1+L162)</f>
        <v>17.094017094017094</v>
      </c>
      <c r="L162" s="569">
        <v>0.17</v>
      </c>
      <c r="M162" s="779">
        <f t="shared" si="32"/>
        <v>0</v>
      </c>
      <c r="N162" s="779">
        <f>L162*M162</f>
        <v>0</v>
      </c>
      <c r="O162" s="779">
        <f>M162+N162</f>
        <v>0</v>
      </c>
      <c r="P162" s="780" t="e">
        <f t="shared" si="23"/>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2"/>
        <v>0</v>
      </c>
      <c r="N163" s="779">
        <f>L163*M163</f>
        <v>0</v>
      </c>
      <c r="O163" s="779">
        <f>M163+N163</f>
        <v>0</v>
      </c>
      <c r="P163" s="780" t="e">
        <f t="shared" si="23"/>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2"/>
        <v>0</v>
      </c>
      <c r="N164" s="779"/>
      <c r="O164" s="779"/>
      <c r="P164" s="780" t="str">
        <f t="shared" si="23"/>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2"/>
        <v>0</v>
      </c>
      <c r="N165" s="779"/>
      <c r="O165" s="779"/>
      <c r="P165" s="780" t="str">
        <f t="shared" si="23"/>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2"/>
        <v>0</v>
      </c>
      <c r="N166" s="779"/>
      <c r="O166" s="779"/>
      <c r="P166" s="780" t="str">
        <f t="shared" si="23"/>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2"/>
        <v>0</v>
      </c>
      <c r="N167" s="779"/>
      <c r="O167" s="779"/>
      <c r="P167" s="780" t="str">
        <f t="shared" si="23"/>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L81">
    <cfRule type="cellIs" priority="125" operator="equal">
      <formula>0</formula>
    </cfRule>
    <cfRule type="cellIs" dxfId="164" priority="126" operator="equal">
      <formula>0</formula>
    </cfRule>
  </conditionalFormatting>
  <conditionalFormatting sqref="B88:C88">
    <cfRule type="duplicateValues" dxfId="163" priority="225"/>
  </conditionalFormatting>
  <conditionalFormatting sqref="B4:C4">
    <cfRule type="duplicateValues" dxfId="162" priority="304"/>
  </conditionalFormatting>
  <conditionalFormatting sqref="B89:C89">
    <cfRule type="duplicateValues" dxfId="161" priority="224"/>
  </conditionalFormatting>
  <conditionalFormatting sqref="D6:D8">
    <cfRule type="duplicateValues" dxfId="160" priority="307"/>
  </conditionalFormatting>
  <conditionalFormatting sqref="D69:D167">
    <cfRule type="duplicateValues" dxfId="159" priority="232"/>
  </conditionalFormatting>
  <conditionalFormatting sqref="B5:C5">
    <cfRule type="duplicateValues" dxfId="158" priority="303"/>
  </conditionalFormatting>
  <conditionalFormatting sqref="B86:C87">
    <cfRule type="duplicateValues" dxfId="157" priority="226"/>
  </conditionalFormatting>
  <conditionalFormatting sqref="D10:D35">
    <cfRule type="duplicateValues" dxfId="156" priority="301"/>
  </conditionalFormatting>
  <conditionalFormatting sqref="B129:C129">
    <cfRule type="duplicateValues" dxfId="155" priority="223"/>
  </conditionalFormatting>
  <conditionalFormatting sqref="D168:D65536 D9 D1:D5 D36">
    <cfRule type="duplicateValues" dxfId="154" priority="306"/>
  </conditionalFormatting>
  <conditionalFormatting sqref="B161:C161">
    <cfRule type="duplicateValues" dxfId="153" priority="221"/>
  </conditionalFormatting>
  <conditionalFormatting sqref="D37:D68">
    <cfRule type="duplicateValues" dxfId="152" priority="308"/>
  </conditionalFormatting>
  <conditionalFormatting sqref="B70:C70">
    <cfRule type="duplicateValues" dxfId="151" priority="228"/>
  </conditionalFormatting>
  <conditionalFormatting sqref="B149:C149">
    <cfRule type="duplicateValues" dxfId="150" priority="222"/>
  </conditionalFormatting>
  <conditionalFormatting sqref="B36:C36">
    <cfRule type="duplicateValues" dxfId="149" priority="302"/>
  </conditionalFormatting>
  <conditionalFormatting sqref="B82:C82">
    <cfRule type="duplicateValues" dxfId="148" priority="227"/>
  </conditionalFormatting>
  <conditionalFormatting sqref="B69:C69">
    <cfRule type="duplicateValues" dxfId="147" priority="229"/>
  </conditionalFormatting>
  <conditionalFormatting sqref="I168:I65536">
    <cfRule type="cellIs" dxfId="146" priority="305" operator="equal">
      <formula>0</formula>
    </cfRule>
  </conditionalFormatting>
  <conditionalFormatting sqref="I4:I6">
    <cfRule type="cellIs" dxfId="145" priority="300"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N89" sqref="N89"/>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1688</v>
      </c>
      <c r="E1" s="624" t="s">
        <v>11</v>
      </c>
      <c r="F1" s="624" t="s">
        <v>581</v>
      </c>
      <c r="G1" s="624" t="s">
        <v>9</v>
      </c>
      <c r="H1" s="624" t="s">
        <v>5</v>
      </c>
      <c r="I1" s="624" t="s">
        <v>57</v>
      </c>
      <c r="J1" s="624" t="s">
        <v>0</v>
      </c>
      <c r="K1" s="624"/>
      <c r="L1" s="624"/>
      <c r="M1" s="624"/>
      <c r="N1" s="754"/>
      <c r="O1" s="754"/>
      <c r="P1" s="754"/>
      <c r="Q1" s="755"/>
      <c r="R1" s="834"/>
      <c r="V1" s="633">
        <v>418</v>
      </c>
      <c r="AB1" s="756"/>
    </row>
    <row r="2" spans="2:28" s="633" customFormat="1" ht="23.5" customHeight="1">
      <c r="C2" s="752"/>
      <c r="D2" s="753" t="s">
        <v>1622</v>
      </c>
      <c r="E2" s="757">
        <f>'2-规划指标'!H29+'2-规划指标'!H28</f>
        <v>0</v>
      </c>
      <c r="F2" s="758">
        <v>0</v>
      </c>
      <c r="G2" s="759">
        <f>'2-规划指标'!G29+'2-规划指标'!G28</f>
        <v>0</v>
      </c>
      <c r="H2" s="759"/>
      <c r="I2" s="759"/>
      <c r="J2" s="759">
        <v>2</v>
      </c>
      <c r="K2" s="759"/>
      <c r="L2" s="759"/>
      <c r="M2" s="760"/>
      <c r="N2" s="761"/>
      <c r="O2" s="761"/>
      <c r="P2" s="754"/>
      <c r="Q2" s="755"/>
      <c r="R2" s="834"/>
      <c r="AB2" s="756"/>
    </row>
    <row r="3" spans="2:28" s="748" customFormat="1" ht="24" customHeight="1">
      <c r="B3" s="995" t="s">
        <v>25</v>
      </c>
      <c r="C3" s="995"/>
      <c r="D3" s="995" t="s">
        <v>23</v>
      </c>
      <c r="E3" s="762" t="s">
        <v>444</v>
      </c>
      <c r="F3" s="762" t="s">
        <v>47</v>
      </c>
      <c r="G3" s="762" t="s">
        <v>108</v>
      </c>
      <c r="H3" s="762" t="s">
        <v>109</v>
      </c>
      <c r="I3" s="762" t="s">
        <v>649</v>
      </c>
      <c r="J3" s="995" t="s">
        <v>1623</v>
      </c>
      <c r="K3" s="995" t="s">
        <v>1624</v>
      </c>
      <c r="L3" s="995" t="s">
        <v>515</v>
      </c>
      <c r="M3" s="764" t="s">
        <v>1689</v>
      </c>
      <c r="N3" s="764" t="s">
        <v>1019</v>
      </c>
      <c r="O3" s="764" t="s">
        <v>1071</v>
      </c>
      <c r="P3" s="886" t="s">
        <v>1072</v>
      </c>
      <c r="Q3" s="995" t="s">
        <v>48</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45</v>
      </c>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45</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2.8</v>
      </c>
      <c r="H16" s="787" t="s">
        <v>101</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0.18</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4.5</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0.4</v>
      </c>
      <c r="H20" s="787" t="s">
        <v>101</v>
      </c>
      <c r="I20" s="672">
        <f>$E$2</f>
        <v>0</v>
      </c>
      <c r="J20" s="672">
        <v>30</v>
      </c>
      <c r="K20" s="778">
        <f t="shared" si="1"/>
        <v>25.641025641025642</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0.4</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1.3</v>
      </c>
      <c r="H28" s="790" t="s">
        <v>101</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v>
      </c>
      <c r="H29" s="790" t="s">
        <v>101</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 t="shared" si="2"/>
        <v>0</v>
      </c>
      <c r="J30" s="672"/>
      <c r="K30" s="778">
        <f t="shared" si="1"/>
        <v>0</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20</v>
      </c>
      <c r="K39" s="778">
        <f>J39/(1+L39)</f>
        <v>18.018018018018015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c r="K42" s="778">
        <f>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119</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119</v>
      </c>
      <c r="I46" s="791">
        <f>$H$2</f>
        <v>0</v>
      </c>
      <c r="J46" s="791"/>
      <c r="K46" s="778">
        <f>J46/(1+L46)</f>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6">$E$2*(1+$F$2)</f>
        <v>0</v>
      </c>
      <c r="J48" s="672">
        <v>50</v>
      </c>
      <c r="K48" s="778">
        <f t="shared" ref="K48:K54" si="7">J48/(1+L48)</f>
        <v>45.045045045045043</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6"/>
        <v>0</v>
      </c>
      <c r="J50" s="672">
        <v>15</v>
      </c>
      <c r="K50" s="778">
        <f t="shared" si="7"/>
        <v>12.820512820512821</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 t="shared" si="6"/>
        <v>0</v>
      </c>
      <c r="J54" s="672">
        <v>10</v>
      </c>
      <c r="K54" s="778">
        <f t="shared" si="7"/>
        <v>8.5470085470085468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57</v>
      </c>
      <c r="G58" s="791">
        <v>2</v>
      </c>
      <c r="H58" s="795" t="s">
        <v>100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57</v>
      </c>
      <c r="G59" s="791">
        <v>2</v>
      </c>
      <c r="H59" s="795" t="s">
        <v>100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80</v>
      </c>
      <c r="K64" s="672">
        <f>J64/(1+L64)</f>
        <v>72.072072072072061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675</v>
      </c>
      <c r="C69" s="481" t="s">
        <v>86</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676</v>
      </c>
      <c r="C70" s="803">
        <v>1</v>
      </c>
      <c r="D70" s="802" t="s">
        <v>45</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499</v>
      </c>
      <c r="C89" s="803">
        <v>1</v>
      </c>
      <c r="D89" s="802" t="s">
        <v>87</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0.2</v>
      </c>
      <c r="H92" s="805" t="s">
        <v>101</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0.2</v>
      </c>
      <c r="H93" s="805" t="s">
        <v>101</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1</v>
      </c>
      <c r="H95" s="805" t="s">
        <v>101</v>
      </c>
      <c r="I95" s="672">
        <f t="shared" si="17"/>
        <v>0</v>
      </c>
      <c r="J95" s="790">
        <v>800</v>
      </c>
      <c r="K95" s="778">
        <f t="shared" ref="K95:K128" si="18">J95/(1+L95)</f>
        <v>720.72072072072069</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0</v>
      </c>
      <c r="H103" s="805" t="s">
        <v>111</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57</v>
      </c>
      <c r="G106" s="810"/>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c r="H107" s="805" t="s">
        <v>101</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57</v>
      </c>
      <c r="G108" s="811"/>
      <c r="H108" s="805" t="s">
        <v>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6</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10</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10</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44</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57</v>
      </c>
      <c r="G118" s="814">
        <v>20</v>
      </c>
      <c r="H118" s="805" t="s">
        <v>1611</v>
      </c>
      <c r="I118" s="672">
        <f>$I$2</f>
        <v>0</v>
      </c>
      <c r="J118" s="812"/>
      <c r="K118" s="778">
        <f t="shared" si="18"/>
        <v>0</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c r="K121" s="778">
        <f t="shared" si="18"/>
        <v>0</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f>$I$2*($J$2+1)</f>
        <v>0</v>
      </c>
      <c r="J122" s="812"/>
      <c r="K122" s="778">
        <f t="shared" si="18"/>
        <v>0</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0.4</v>
      </c>
      <c r="H123" s="805" t="s">
        <v>101</v>
      </c>
      <c r="I123" s="672">
        <f>$E$2*(1+$F$2)</f>
        <v>0</v>
      </c>
      <c r="J123" s="812"/>
      <c r="K123" s="778">
        <f t="shared" si="18"/>
        <v>0</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57</v>
      </c>
      <c r="G131" s="787">
        <v>55</v>
      </c>
      <c r="H131" s="805" t="s">
        <v>1</v>
      </c>
      <c r="I131" s="672">
        <f>$I$2</f>
        <v>0</v>
      </c>
      <c r="J131" s="681"/>
      <c r="K131" s="778">
        <f>J131/(1+L131)</f>
        <v>0</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57</v>
      </c>
      <c r="G132" s="787">
        <v>55</v>
      </c>
      <c r="H132" s="805" t="s">
        <v>1</v>
      </c>
      <c r="I132" s="672">
        <f>$I$2</f>
        <v>0</v>
      </c>
      <c r="J132" s="681"/>
      <c r="K132" s="778">
        <f>J132/(1+L132)</f>
        <v>0</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57</v>
      </c>
      <c r="G133" s="787">
        <v>55</v>
      </c>
      <c r="H133" s="805" t="s">
        <v>1</v>
      </c>
      <c r="I133" s="672">
        <f>$I$2</f>
        <v>0</v>
      </c>
      <c r="J133" s="681"/>
      <c r="K133" s="778">
        <f>J133/(1+L133)</f>
        <v>0</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57</v>
      </c>
      <c r="G135" s="787">
        <v>50</v>
      </c>
      <c r="H135" s="805" t="s">
        <v>1</v>
      </c>
      <c r="I135" s="672">
        <f>$I$2</f>
        <v>0</v>
      </c>
      <c r="J135" s="681"/>
      <c r="K135" s="778">
        <f>J135/(1+L135)</f>
        <v>0</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57</v>
      </c>
      <c r="G136" s="787">
        <v>50</v>
      </c>
      <c r="H136" s="805" t="s">
        <v>1</v>
      </c>
      <c r="I136" s="672">
        <f>$I$2</f>
        <v>0</v>
      </c>
      <c r="J136" s="681"/>
      <c r="K136" s="778">
        <f>J136/(1+L136)</f>
        <v>0</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57</v>
      </c>
      <c r="G137" s="787">
        <v>50</v>
      </c>
      <c r="H137" s="805" t="s">
        <v>1</v>
      </c>
      <c r="I137" s="672">
        <f>$I$2</f>
        <v>0</v>
      </c>
      <c r="J137" s="681"/>
      <c r="K137" s="778">
        <f>J137/(1+L137)</f>
        <v>0</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57</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57</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2</v>
      </c>
      <c r="I140" s="672">
        <f>$J$2+1</f>
        <v>3</v>
      </c>
      <c r="J140" s="681"/>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26.6</v>
      </c>
      <c r="H142" s="805" t="s">
        <v>2</v>
      </c>
      <c r="I142" s="672">
        <f>($J$2-1)*$I$2</f>
        <v>0</v>
      </c>
      <c r="J142" s="681"/>
      <c r="K142" s="778">
        <f>J142/(1+L142)</f>
        <v>0</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26.6</v>
      </c>
      <c r="H143" s="805" t="s">
        <v>2</v>
      </c>
      <c r="I143" s="672">
        <f>($J$2-1)*$I$2</f>
        <v>0</v>
      </c>
      <c r="J143" s="681"/>
      <c r="K143" s="778">
        <f>J143/(1+L143)</f>
        <v>0</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26.6</v>
      </c>
      <c r="H144" s="805" t="s">
        <v>2</v>
      </c>
      <c r="I144" s="672">
        <f>($J$2-1)*$I$2</f>
        <v>0</v>
      </c>
      <c r="J144" s="681"/>
      <c r="K144" s="778">
        <f>J144/(1+L144)</f>
        <v>0</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c r="K151" s="778">
        <f t="shared" ref="K151:K158" si="30">J151/(1+L151)</f>
        <v>0</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c r="K155" s="778">
        <f t="shared" si="30"/>
        <v>0</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300</v>
      </c>
      <c r="K156" s="778">
        <f t="shared" si="30"/>
        <v>270.27027027027026</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c r="K162" s="778">
        <f>J162/(1+L162)</f>
        <v>0</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1937</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750"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L73">
    <cfRule type="cellIs" priority="19" operator="equal">
      <formula>0</formula>
    </cfRule>
    <cfRule type="cellIs" dxfId="144" priority="20" operator="equal">
      <formula>0</formula>
    </cfRule>
  </conditionalFormatting>
  <conditionalFormatting sqref="D6:D8">
    <cfRule type="duplicateValues" dxfId="143" priority="193"/>
  </conditionalFormatting>
  <conditionalFormatting sqref="B70:C70">
    <cfRule type="duplicateValues" dxfId="142" priority="114"/>
  </conditionalFormatting>
  <conditionalFormatting sqref="B149:C149">
    <cfRule type="duplicateValues" dxfId="141" priority="108"/>
  </conditionalFormatting>
  <conditionalFormatting sqref="B88:C88">
    <cfRule type="duplicateValues" dxfId="140" priority="111"/>
  </conditionalFormatting>
  <conditionalFormatting sqref="B89:C89">
    <cfRule type="duplicateValues" dxfId="139" priority="110"/>
  </conditionalFormatting>
  <conditionalFormatting sqref="D10:D35">
    <cfRule type="duplicateValues" dxfId="138" priority="187"/>
  </conditionalFormatting>
  <conditionalFormatting sqref="B5:C5">
    <cfRule type="duplicateValues" dxfId="137" priority="189"/>
  </conditionalFormatting>
  <conditionalFormatting sqref="B82:C82">
    <cfRule type="duplicateValues" dxfId="136" priority="113"/>
  </conditionalFormatting>
  <conditionalFormatting sqref="D168:D65536 D9 D1:D5 D36">
    <cfRule type="duplicateValues" dxfId="135" priority="192"/>
  </conditionalFormatting>
  <conditionalFormatting sqref="B86:C87">
    <cfRule type="duplicateValues" dxfId="134" priority="112"/>
  </conditionalFormatting>
  <conditionalFormatting sqref="B4:C4">
    <cfRule type="duplicateValues" dxfId="133" priority="190"/>
  </conditionalFormatting>
  <conditionalFormatting sqref="B161:C161">
    <cfRule type="duplicateValues" dxfId="132" priority="107"/>
  </conditionalFormatting>
  <conditionalFormatting sqref="B36:C36">
    <cfRule type="duplicateValues" dxfId="131" priority="188"/>
  </conditionalFormatting>
  <conditionalFormatting sqref="I19 I4:I10">
    <cfRule type="cellIs" dxfId="130" priority="186" operator="equal">
      <formula>0</formula>
    </cfRule>
  </conditionalFormatting>
  <conditionalFormatting sqref="D37:D68">
    <cfRule type="duplicateValues" dxfId="129" priority="194"/>
  </conditionalFormatting>
  <conditionalFormatting sqref="D69:D167">
    <cfRule type="duplicateValues" dxfId="128" priority="118"/>
  </conditionalFormatting>
  <conditionalFormatting sqref="B69:C69">
    <cfRule type="duplicateValues" dxfId="127" priority="115"/>
  </conditionalFormatting>
  <conditionalFormatting sqref="B129:C129">
    <cfRule type="duplicateValues" dxfId="126" priority="109"/>
  </conditionalFormatting>
  <conditionalFormatting sqref="I168:I65536">
    <cfRule type="cellIs" dxfId="125" priority="191" operator="equal">
      <formula>0</formula>
    </cfRule>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36"/>
  <sheetViews>
    <sheetView workbookViewId="0">
      <pane xSplit="1" ySplit="2" topLeftCell="B3" activePane="bottomRight" state="frozen"/>
      <selection pane="topRight"/>
      <selection pane="bottomLeft"/>
      <selection pane="bottomRight" activeCell="AS20" sqref="AS20"/>
    </sheetView>
  </sheetViews>
  <sheetFormatPr defaultColWidth="9" defaultRowHeight="15.5"/>
  <cols>
    <col min="1" max="1" width="17.08203125" style="288" customWidth="1"/>
    <col min="2" max="3" width="13.33203125" style="288" customWidth="1"/>
    <col min="4" max="8" width="14.08203125" style="288" customWidth="1"/>
    <col min="9" max="9" width="6.33203125" style="288" customWidth="1"/>
    <col min="10" max="10" width="13" style="288" customWidth="1"/>
    <col min="11" max="11" width="14.1640625" style="288" customWidth="1"/>
    <col min="12" max="12" width="13.58203125" style="288" customWidth="1"/>
    <col min="13" max="16" width="14.1640625" style="288" customWidth="1"/>
    <col min="17" max="17" width="12.33203125" style="288" customWidth="1"/>
    <col min="18" max="18" width="11.6640625" style="288" customWidth="1"/>
    <col min="19" max="21" width="11.58203125" style="288" customWidth="1"/>
    <col min="22" max="256" width="9" style="288" customWidth="1"/>
  </cols>
  <sheetData>
    <row r="1" spans="1:18">
      <c r="A1" s="289"/>
      <c r="B1" s="290" t="s">
        <v>2297</v>
      </c>
      <c r="C1" s="290" t="s">
        <v>2297</v>
      </c>
      <c r="D1" s="290" t="s">
        <v>2297</v>
      </c>
      <c r="E1" s="290" t="s">
        <v>2297</v>
      </c>
      <c r="F1" s="290" t="s">
        <v>2297</v>
      </c>
      <c r="G1" s="290" t="s">
        <v>2297</v>
      </c>
      <c r="H1" s="290" t="s">
        <v>2297</v>
      </c>
      <c r="I1" s="291"/>
      <c r="J1" s="290" t="s">
        <v>2298</v>
      </c>
      <c r="K1" s="290" t="s">
        <v>2298</v>
      </c>
      <c r="L1" s="290" t="s">
        <v>2298</v>
      </c>
      <c r="M1" s="290" t="s">
        <v>2298</v>
      </c>
      <c r="N1" s="290" t="s">
        <v>2298</v>
      </c>
      <c r="O1" s="290" t="s">
        <v>2298</v>
      </c>
      <c r="P1" s="290" t="s">
        <v>2298</v>
      </c>
      <c r="Q1" s="290" t="s">
        <v>2298</v>
      </c>
      <c r="R1" s="2262" t="s">
        <v>2299</v>
      </c>
    </row>
    <row r="2" spans="1:18">
      <c r="A2" s="289"/>
      <c r="B2" s="289" t="str">
        <f>'3-成本汇总（本期）'!W4</f>
        <v>地库</v>
      </c>
      <c r="C2" s="289">
        <f>'3-成本汇总（本期）'!E4</f>
        <v>0</v>
      </c>
      <c r="D2" s="289">
        <f>'3-成本汇总（本期）'!H4</f>
        <v>0</v>
      </c>
      <c r="E2" s="289" t="str">
        <f>'3-成本汇总（本期）'!K4</f>
        <v>大商业（4-5F）</v>
      </c>
      <c r="F2" s="289" t="str">
        <f>'3-成本汇总（本期）'!N4</f>
        <v>星级办公（22-26F）</v>
      </c>
      <c r="G2" s="289" t="str">
        <f>'3-成本汇总（本期）'!Q4</f>
        <v>商墅（3-5F）</v>
      </c>
      <c r="H2" s="289" t="str">
        <f>'3-规划指标'!C27</f>
        <v>高层公寓(16F)</v>
      </c>
      <c r="I2" s="292"/>
      <c r="J2" s="289">
        <f>C2</f>
        <v>0</v>
      </c>
      <c r="K2" s="289">
        <f>D2</f>
        <v>0</v>
      </c>
      <c r="L2" s="289" t="str">
        <f>E2</f>
        <v>大商业（4-5F）</v>
      </c>
      <c r="M2" s="289" t="str">
        <f>F2</f>
        <v>星级办公（22-26F）</v>
      </c>
      <c r="N2" s="289" t="str">
        <f>G2</f>
        <v>商墅（3-5F）</v>
      </c>
      <c r="O2" s="289" t="str">
        <f>B2</f>
        <v>地库</v>
      </c>
      <c r="P2" s="289" t="str">
        <f>H2</f>
        <v>高层公寓(16F)</v>
      </c>
      <c r="Q2" s="290" t="s">
        <v>2300</v>
      </c>
      <c r="R2" s="2263"/>
    </row>
    <row r="3" spans="1:18">
      <c r="A3" s="289"/>
      <c r="B3" s="290" t="s">
        <v>2301</v>
      </c>
      <c r="C3" s="290" t="s">
        <v>2301</v>
      </c>
      <c r="D3" s="290" t="s">
        <v>2301</v>
      </c>
      <c r="E3" s="290" t="s">
        <v>2301</v>
      </c>
      <c r="F3" s="290" t="s">
        <v>2301</v>
      </c>
      <c r="G3" s="290" t="s">
        <v>2301</v>
      </c>
      <c r="H3" s="290" t="s">
        <v>2301</v>
      </c>
      <c r="I3" s="291"/>
      <c r="J3" s="290" t="s">
        <v>2301</v>
      </c>
      <c r="K3" s="290" t="s">
        <v>2301</v>
      </c>
      <c r="L3" s="290" t="s">
        <v>2301</v>
      </c>
      <c r="M3" s="290" t="s">
        <v>2301</v>
      </c>
      <c r="N3" s="290" t="s">
        <v>2301</v>
      </c>
      <c r="O3" s="290" t="s">
        <v>2301</v>
      </c>
      <c r="P3" s="290" t="s">
        <v>2301</v>
      </c>
      <c r="Q3" s="290" t="s">
        <v>2301</v>
      </c>
      <c r="R3" s="998"/>
    </row>
    <row r="4" spans="1:18">
      <c r="A4" s="294" t="s">
        <v>2302</v>
      </c>
      <c r="B4" s="295">
        <f>'3-成本汇总（本期）'!BB7</f>
        <v>0</v>
      </c>
      <c r="C4" s="295">
        <f>'3-成本汇总（本期）'!AJ7</f>
        <v>0</v>
      </c>
      <c r="D4" s="295">
        <f>'3-成本汇总（本期）'!AM7</f>
        <v>0</v>
      </c>
      <c r="E4" s="295">
        <f>'3-成本汇总（本期）'!AP7</f>
        <v>0</v>
      </c>
      <c r="F4" s="295">
        <f>'3-成本汇总（本期）'!AS7</f>
        <v>0</v>
      </c>
      <c r="G4" s="295">
        <f>'3-成本汇总（本期）'!AW7</f>
        <v>0</v>
      </c>
      <c r="H4" s="295">
        <f>'3-成本汇总（本期）'!AY7</f>
        <v>0</v>
      </c>
      <c r="I4" s="296"/>
      <c r="J4" s="295">
        <f>C4</f>
        <v>0</v>
      </c>
      <c r="K4" s="295">
        <f>D4</f>
        <v>0</v>
      </c>
      <c r="L4" s="295">
        <f>E4</f>
        <v>0</v>
      </c>
      <c r="M4" s="295">
        <f>F4</f>
        <v>0</v>
      </c>
      <c r="N4" s="295">
        <f>G4</f>
        <v>0</v>
      </c>
      <c r="O4" s="295">
        <f>B4</f>
        <v>0</v>
      </c>
      <c r="P4" s="295">
        <f>H4</f>
        <v>0</v>
      </c>
      <c r="Q4" s="295">
        <f>SUM(J4:P4)</f>
        <v>0</v>
      </c>
      <c r="R4" s="294" t="s">
        <v>2303</v>
      </c>
    </row>
    <row r="5" spans="1:18">
      <c r="A5" s="297" t="str">
        <f>'3-成本汇总（本期）'!D9</f>
        <v>土地及政府规费</v>
      </c>
      <c r="B5" s="298">
        <f>SUMIF('3-成本汇总（本期）'!$D$9:$D$42,$A5,'3-成本汇总（本期）'!$X$9:$X$42)</f>
        <v>0</v>
      </c>
      <c r="C5" s="298">
        <f>SUMIF('3-成本汇总（本期）'!$D$9:$D$42,$A5,'3-成本汇总（本期）'!$F$9:$F$42)</f>
        <v>0</v>
      </c>
      <c r="D5" s="298">
        <f>SUMIF('3-成本汇总（本期）'!$D$9:$D$42,$A5,'3-成本汇总（本期）'!$I$9:$I$42)</f>
        <v>0</v>
      </c>
      <c r="E5" s="298">
        <f>SUMIF('3-成本汇总（本期）'!$D$9:$D$42,$A5,'3-成本汇总（本期）'!$L$9:$L$42)</f>
        <v>0</v>
      </c>
      <c r="F5" s="298">
        <f>SUMIF('3-成本汇总（本期）'!$D$9:$D$42,$A5,'3-成本汇总（本期）'!$O$9:$O$42)</f>
        <v>0</v>
      </c>
      <c r="G5" s="298">
        <f>SUMIF('3-成本汇总（本期）'!$D$9:$D$42,$A5,'3-成本汇总（本期）'!$R$9:$R$42)</f>
        <v>0</v>
      </c>
      <c r="H5" s="298">
        <f>SUMIF('3-成本汇总（本期）'!$D$9:$D$42,$A5,'3-成本汇总（本期）'!$U$9:$U$42)</f>
        <v>0</v>
      </c>
      <c r="I5" s="296"/>
      <c r="J5" s="298">
        <f>SUMIF('3-成本汇总（本期）'!$D$9:$D$42,$A5,'3-成本汇总（本期）'!$AK$9:$AK$42)</f>
        <v>0</v>
      </c>
      <c r="K5" s="298">
        <f>SUMIF('3-成本汇总（本期）'!$D$9:$D$42,$A5,'3-成本汇总（本期）'!$AN$9:$AN$42)</f>
        <v>0</v>
      </c>
      <c r="L5" s="298">
        <f>SUMIF('3-成本汇总（本期）'!$D$9:$D$42,$A5,'3-成本汇总（本期）'!$AQ$9:$AQ$42)</f>
        <v>0</v>
      </c>
      <c r="M5" s="298">
        <f>SUMIF('3-成本汇总（本期）'!$D$9:$D$42,$A5,'3-成本汇总（本期）'!$AT$9:$AT$42)</f>
        <v>0</v>
      </c>
      <c r="N5" s="298">
        <f>SUMIF('3-成本汇总（本期）'!$D$9:$D$42,$A5,'3-成本汇总（本期）'!$AW$9:$AW$42)</f>
        <v>0</v>
      </c>
      <c r="O5" s="298">
        <f>SUMIF('3-成本汇总（本期）'!$D$9:$D$42,$A5,'3-成本汇总（本期）'!$BC$9:$BC$42)</f>
        <v>0</v>
      </c>
      <c r="P5" s="298">
        <f>SUMIF('3-成本汇总（本期）'!$D$9:$D$42,$A5,'3-成本汇总（本期）'!$AZ$9:$AZ$42)</f>
        <v>0</v>
      </c>
      <c r="Q5" s="298">
        <f>SUM(J5:P5)</f>
        <v>0</v>
      </c>
      <c r="R5" s="298"/>
    </row>
    <row r="6" spans="1:18">
      <c r="A6" s="294" t="str">
        <f>'3-成本汇总（本期）'!D13</f>
        <v>配套及地下室工程费</v>
      </c>
      <c r="B6" s="295">
        <f>SUMIF('3-成本汇总（本期）'!$D$9:$D$42,$A6,'3-成本汇总（本期）'!$X$9:$X$42)</f>
        <v>0</v>
      </c>
      <c r="C6" s="295">
        <f>SUMIF('3-成本汇总（本期）'!$D$9:$D$42,$A6,'3-成本汇总（本期）'!$F$9:$F$42)</f>
        <v>0</v>
      </c>
      <c r="D6" s="295">
        <f>SUMIF('3-成本汇总（本期）'!$D$9:$D$42,$A6,'3-成本汇总（本期）'!$I$9:$I$42)</f>
        <v>0</v>
      </c>
      <c r="E6" s="295">
        <f>SUMIF('3-成本汇总（本期）'!$D$9:$D$42,$A6,'3-成本汇总（本期）'!$L$9:$L$42)</f>
        <v>0</v>
      </c>
      <c r="F6" s="295">
        <f>SUMIF('3-成本汇总（本期）'!$D$9:$D$42,$A6,'3-成本汇总（本期）'!$O$9:$O$42)</f>
        <v>0</v>
      </c>
      <c r="G6" s="295">
        <f>SUMIF('3-成本汇总（本期）'!$D$9:$D$42,$A6,'3-成本汇总（本期）'!$R$9:$R$42)</f>
        <v>0</v>
      </c>
      <c r="H6" s="295">
        <f>SUMIF('3-成本汇总（本期）'!$D$9:$D$42,$A6,'3-成本汇总（本期）'!$U$9:$U$42)</f>
        <v>0</v>
      </c>
      <c r="I6" s="296"/>
      <c r="J6" s="299">
        <f>SUMIF('3-成本汇总（本期）'!$D$9:$D$42,$A6,'3-成本汇总（本期）'!$AK$9:$AK$42)</f>
        <v>0</v>
      </c>
      <c r="K6" s="299">
        <f>SUMIF('3-成本汇总（本期）'!$D$9:$D$42,$A6,'3-成本汇总（本期）'!$AN$9:$AN$42)</f>
        <v>0</v>
      </c>
      <c r="L6" s="299">
        <f>SUMIF('3-成本汇总（本期）'!$D$9:$D$42,$A6,'3-成本汇总（本期）'!$AQ$9:$AQ$42)</f>
        <v>0</v>
      </c>
      <c r="M6" s="299">
        <f>SUMIF('3-成本汇总（本期）'!$D$9:$D$42,$A6,'3-成本汇总（本期）'!$AT$9:$AT$42)</f>
        <v>0</v>
      </c>
      <c r="N6" s="299">
        <f>SUMIF('3-成本汇总（本期）'!$D$9:$D$42,$A6,'3-成本汇总（本期）'!$AW$9:$AW$42)</f>
        <v>0</v>
      </c>
      <c r="O6" s="299">
        <f>SUMIF('3-成本汇总（本期）'!$D$9:$D$42,$A6,'3-成本汇总（本期）'!$BC$9:$BC$42)</f>
        <v>0</v>
      </c>
      <c r="P6" s="299">
        <f>SUMIF('3-成本汇总（本期）'!$D$9:$D$42,$A6,'3-成本汇总（本期）'!$AZ$9:$AZ$42)</f>
        <v>0</v>
      </c>
      <c r="Q6" s="295">
        <f>SUM(J6:P6)</f>
        <v>0</v>
      </c>
      <c r="R6" s="295"/>
    </row>
    <row r="7" spans="1:18">
      <c r="A7" s="294" t="str">
        <f>'3-成本汇总（本期）'!D18</f>
        <v>基建及管网工程费</v>
      </c>
      <c r="B7" s="295">
        <f>SUMIF('3-成本汇总（本期）'!$D$9:$D$42,$A7,'3-成本汇总（本期）'!$X$9:$X$42)</f>
        <v>0</v>
      </c>
      <c r="C7" s="295">
        <f>SUMIF('3-成本汇总（本期）'!$D$9:$D$42,$A7,'3-成本汇总（本期）'!$F$9:$F$42)</f>
        <v>0</v>
      </c>
      <c r="D7" s="295">
        <f>SUMIF('3-成本汇总（本期）'!$D$9:$D$42,$A7,'3-成本汇总（本期）'!$I$9:$I$42)</f>
        <v>0</v>
      </c>
      <c r="E7" s="295">
        <f>SUMIF('3-成本汇总（本期）'!$D$9:$D$42,$A7,'3-成本汇总（本期）'!$L$9:$L$42)</f>
        <v>0</v>
      </c>
      <c r="F7" s="295">
        <f>SUMIF('3-成本汇总（本期）'!$D$9:$D$42,$A7,'3-成本汇总（本期）'!$O$9:$O$42)</f>
        <v>0</v>
      </c>
      <c r="G7" s="295">
        <f>SUMIF('3-成本汇总（本期）'!$D$9:$D$42,$A7,'3-成本汇总（本期）'!$R$9:$R$42)</f>
        <v>0</v>
      </c>
      <c r="H7" s="295">
        <f>SUMIF('3-成本汇总（本期）'!$D$9:$D$42,$A7,'3-成本汇总（本期）'!$U$9:$U$42)</f>
        <v>0</v>
      </c>
      <c r="I7" s="296"/>
      <c r="J7" s="299">
        <f>SUMIF('3-成本汇总（本期）'!$D$9:$D$42,$A7,'3-成本汇总（本期）'!$AK$9:$AK$42)</f>
        <v>0</v>
      </c>
      <c r="K7" s="299">
        <f>SUMIF('3-成本汇总（本期）'!$D$9:$D$42,$A7,'3-成本汇总（本期）'!$AN$9:$AN$42)</f>
        <v>0</v>
      </c>
      <c r="L7" s="299">
        <f>SUMIF('3-成本汇总（本期）'!$D$9:$D$42,$A7,'3-成本汇总（本期）'!$AQ$9:$AQ$42)</f>
        <v>0</v>
      </c>
      <c r="M7" s="299">
        <f>SUMIF('3-成本汇总（本期）'!$D$9:$D$42,$A7,'3-成本汇总（本期）'!$AT$9:$AT$42)</f>
        <v>0</v>
      </c>
      <c r="N7" s="299">
        <f>SUMIF('3-成本汇总（本期）'!$D$9:$D$42,$A7,'3-成本汇总（本期）'!$AW$9:$AW$42)</f>
        <v>0</v>
      </c>
      <c r="O7" s="299">
        <f>SUMIF('3-成本汇总（本期）'!$D$9:$D$42,$A7,'3-成本汇总（本期）'!$BC$9:$BC$42)</f>
        <v>0</v>
      </c>
      <c r="P7" s="299">
        <f>SUMIF('3-成本汇总（本期）'!$D$9:$D$42,$A7,'3-成本汇总（本期）'!$AZ$9:$AZ$42)</f>
        <v>0</v>
      </c>
      <c r="Q7" s="295">
        <f t="shared" ref="Q7:Q14" si="0">SUM(J7:P7)</f>
        <v>0</v>
      </c>
      <c r="R7" s="295"/>
    </row>
    <row r="8" spans="1:18">
      <c r="A8" s="294" t="str">
        <f>'3-成本汇总（本期）'!D25</f>
        <v>装饰及环保工程费</v>
      </c>
      <c r="B8" s="295">
        <f>SUMIF('3-成本汇总（本期）'!$D$9:$D$42,$A8,'3-成本汇总（本期）'!$X$9:$X$42)</f>
        <v>0</v>
      </c>
      <c r="C8" s="295">
        <f>SUMIF('3-成本汇总（本期）'!$D$9:$D$42,$A8,'3-成本汇总（本期）'!$F$9:$F$42)</f>
        <v>0</v>
      </c>
      <c r="D8" s="295">
        <f>SUMIF('3-成本汇总（本期）'!$D$9:$D$42,$A8,'3-成本汇总（本期）'!$I$9:$I$42)</f>
        <v>0</v>
      </c>
      <c r="E8" s="295">
        <f>SUMIF('3-成本汇总（本期）'!$D$9:$D$42,$A8,'3-成本汇总（本期）'!$L$9:$L$42)</f>
        <v>0</v>
      </c>
      <c r="F8" s="295">
        <f>SUMIF('3-成本汇总（本期）'!$D$9:$D$42,$A8,'3-成本汇总（本期）'!$O$9:$O$42)</f>
        <v>0</v>
      </c>
      <c r="G8" s="295">
        <f>SUMIF('3-成本汇总（本期）'!$D$9:$D$42,$A8,'3-成本汇总（本期）'!$R$9:$R$42)</f>
        <v>0</v>
      </c>
      <c r="H8" s="295">
        <f>SUMIF('3-成本汇总（本期）'!$D$9:$D$42,$A8,'3-成本汇总（本期）'!$U$9:$U$42)</f>
        <v>0</v>
      </c>
      <c r="I8" s="296"/>
      <c r="J8" s="299">
        <f>SUMIF('3-成本汇总（本期）'!$D$9:$D$42,$A8,'3-成本汇总（本期）'!$AK$9:$AK$42)</f>
        <v>0</v>
      </c>
      <c r="K8" s="299">
        <f>SUMIF('3-成本汇总（本期）'!$D$9:$D$42,$A8,'3-成本汇总（本期）'!$AN$9:$AN$42)</f>
        <v>0</v>
      </c>
      <c r="L8" s="299">
        <f>SUMIF('3-成本汇总（本期）'!$D$9:$D$42,$A8,'3-成本汇总（本期）'!$AQ$9:$AQ$42)</f>
        <v>0</v>
      </c>
      <c r="M8" s="299">
        <f>SUMIF('3-成本汇总（本期）'!$D$9:$D$42,$A8,'3-成本汇总（本期）'!$AT$9:$AT$42)</f>
        <v>0</v>
      </c>
      <c r="N8" s="299">
        <f>SUMIF('3-成本汇总（本期）'!$D$9:$D$42,$A8,'3-成本汇总（本期）'!$AW$9:$AW$42)</f>
        <v>0</v>
      </c>
      <c r="O8" s="299">
        <f>SUMIF('3-成本汇总（本期）'!$D$9:$D$42,$A8,'3-成本汇总（本期）'!$BC$9:$BC$42)</f>
        <v>0</v>
      </c>
      <c r="P8" s="299">
        <f>SUMIF('3-成本汇总（本期）'!$D$9:$D$42,$A8,'3-成本汇总（本期）'!$AZ$9:$AZ$42)</f>
        <v>0</v>
      </c>
      <c r="Q8" s="295">
        <f t="shared" si="0"/>
        <v>0</v>
      </c>
      <c r="R8" s="295"/>
    </row>
    <row r="9" spans="1:18">
      <c r="A9" s="294" t="str">
        <f>'3-成本汇总（本期）'!D30</f>
        <v>环境提升工程费</v>
      </c>
      <c r="B9" s="295">
        <f>SUMIF('3-成本汇总（本期）'!$D$9:$D$42,$A9,'3-成本汇总（本期）'!$X$9:$X$42)</f>
        <v>0</v>
      </c>
      <c r="C9" s="295">
        <f>SUMIF('3-成本汇总（本期）'!$D$9:$D$42,$A9,'3-成本汇总（本期）'!$F$9:$F$42)</f>
        <v>0</v>
      </c>
      <c r="D9" s="295">
        <f>SUMIF('3-成本汇总（本期）'!$D$9:$D$42,$A9,'3-成本汇总（本期）'!$I$9:$I$42)</f>
        <v>0</v>
      </c>
      <c r="E9" s="295">
        <f>SUMIF('3-成本汇总（本期）'!$D$9:$D$42,$A9,'3-成本汇总（本期）'!$L$9:$L$42)</f>
        <v>0</v>
      </c>
      <c r="F9" s="295">
        <f>SUMIF('3-成本汇总（本期）'!$D$9:$D$42,$A9,'3-成本汇总（本期）'!$O$9:$O$42)</f>
        <v>0</v>
      </c>
      <c r="G9" s="295">
        <f>SUMIF('3-成本汇总（本期）'!$D$9:$D$42,$A9,'3-成本汇总（本期）'!$R$9:$R$42)</f>
        <v>0</v>
      </c>
      <c r="H9" s="295">
        <f>SUMIF('3-成本汇总（本期）'!$D$9:$D$42,$A9,'3-成本汇总（本期）'!$U$9:$U$42)</f>
        <v>0</v>
      </c>
      <c r="I9" s="296"/>
      <c r="J9" s="299">
        <f>SUMIF('3-成本汇总（本期）'!$D$9:$D$42,$A9,'3-成本汇总（本期）'!$AK$9:$AK$42)</f>
        <v>0</v>
      </c>
      <c r="K9" s="299">
        <f>SUMIF('3-成本汇总（本期）'!$D$9:$D$42,$A9,'3-成本汇总（本期）'!$AN$9:$AN$42)</f>
        <v>0</v>
      </c>
      <c r="L9" s="299">
        <f>SUMIF('3-成本汇总（本期）'!$D$9:$D$42,$A9,'3-成本汇总（本期）'!$AQ$9:$AQ$42)</f>
        <v>0</v>
      </c>
      <c r="M9" s="299">
        <f>SUMIF('3-成本汇总（本期）'!$D$9:$D$42,$A9,'3-成本汇总（本期）'!$AT$9:$AT$42)</f>
        <v>0</v>
      </c>
      <c r="N9" s="299">
        <f>SUMIF('3-成本汇总（本期）'!$D$9:$D$42,$A9,'3-成本汇总（本期）'!$AW$9:$AW$42)</f>
        <v>0</v>
      </c>
      <c r="O9" s="299">
        <f>SUMIF('3-成本汇总（本期）'!$D$9:$D$42,$A9,'3-成本汇总（本期）'!$BC$9:$BC$42)</f>
        <v>0</v>
      </c>
      <c r="P9" s="299">
        <f>SUMIF('3-成本汇总（本期）'!$D$9:$D$42,$A9,'3-成本汇总（本期）'!$AZ$9:$AZ$42)</f>
        <v>0</v>
      </c>
      <c r="Q9" s="295">
        <f t="shared" si="0"/>
        <v>0</v>
      </c>
      <c r="R9" s="295"/>
    </row>
    <row r="10" spans="1:18">
      <c r="A10" s="294" t="str">
        <f>'3-成本汇总（本期）'!D34</f>
        <v>开发管理费</v>
      </c>
      <c r="B10" s="295">
        <f>SUMIF('3-成本汇总（本期）'!$D$9:$D$42,$A10,'3-成本汇总（本期）'!$X$9:$X$42)</f>
        <v>0</v>
      </c>
      <c r="C10" s="295">
        <f>SUMIF('3-成本汇总（本期）'!$D$9:$D$42,$A10,'3-成本汇总（本期）'!$F$9:$F$42)</f>
        <v>0</v>
      </c>
      <c r="D10" s="295">
        <f>SUMIF('3-成本汇总（本期）'!$D$9:$D$42,$A10,'3-成本汇总（本期）'!$I$9:$I$42)</f>
        <v>0</v>
      </c>
      <c r="E10" s="295">
        <f>SUMIF('3-成本汇总（本期）'!$D$9:$D$42,$A10,'3-成本汇总（本期）'!$L$9:$L$42)</f>
        <v>0</v>
      </c>
      <c r="F10" s="295">
        <f>SUMIF('3-成本汇总（本期）'!$D$9:$D$42,$A10,'3-成本汇总（本期）'!$O$9:$O$42)</f>
        <v>0</v>
      </c>
      <c r="G10" s="295">
        <f>SUMIF('3-成本汇总（本期）'!$D$9:$D$42,$A10,'3-成本汇总（本期）'!$R$9:$R$42)</f>
        <v>0</v>
      </c>
      <c r="H10" s="295">
        <f>SUMIF('3-成本汇总（本期）'!$D$9:$D$42,$A10,'3-成本汇总（本期）'!$U$9:$U$42)</f>
        <v>0</v>
      </c>
      <c r="I10" s="296"/>
      <c r="J10" s="299">
        <f>SUMIF('3-成本汇总（本期）'!$D$9:$D$42,$A10,'3-成本汇总（本期）'!$AK$9:$AK$42)</f>
        <v>0</v>
      </c>
      <c r="K10" s="299">
        <f>SUMIF('3-成本汇总（本期）'!$D$9:$D$42,$A10,'3-成本汇总（本期）'!$AN$9:$AN$42)</f>
        <v>0</v>
      </c>
      <c r="L10" s="299">
        <f>SUMIF('3-成本汇总（本期）'!$D$9:$D$42,$A10,'3-成本汇总（本期）'!$AQ$9:$AQ$42)</f>
        <v>0</v>
      </c>
      <c r="M10" s="299">
        <f>SUMIF('3-成本汇总（本期）'!$D$9:$D$42,$A10,'3-成本汇总（本期）'!$AT$9:$AT$42)</f>
        <v>0</v>
      </c>
      <c r="N10" s="299">
        <f>SUMIF('3-成本汇总（本期）'!$D$9:$D$42,$A10,'3-成本汇总（本期）'!$AW$9:$AW$42)</f>
        <v>0</v>
      </c>
      <c r="O10" s="299">
        <f>SUMIF('3-成本汇总（本期）'!$D$9:$D$42,$A10,'3-成本汇总（本期）'!$BC$9:$BC$42)</f>
        <v>0</v>
      </c>
      <c r="P10" s="299">
        <f>SUMIF('3-成本汇总（本期）'!$D$9:$D$42,$A10,'3-成本汇总（本期）'!$AZ$9:$AZ$42)</f>
        <v>0</v>
      </c>
      <c r="Q10" s="295">
        <f t="shared" si="0"/>
        <v>0</v>
      </c>
      <c r="R10" s="295"/>
    </row>
    <row r="11" spans="1:18">
      <c r="A11" s="297" t="s">
        <v>2304</v>
      </c>
      <c r="B11" s="298">
        <f t="shared" ref="B11:G11" si="1">SUM(B6:B10)</f>
        <v>0</v>
      </c>
      <c r="C11" s="298">
        <f t="shared" si="1"/>
        <v>0</v>
      </c>
      <c r="D11" s="298">
        <f t="shared" si="1"/>
        <v>0</v>
      </c>
      <c r="E11" s="298">
        <f t="shared" si="1"/>
        <v>0</v>
      </c>
      <c r="F11" s="298">
        <f t="shared" si="1"/>
        <v>0</v>
      </c>
      <c r="G11" s="298">
        <f t="shared" si="1"/>
        <v>0</v>
      </c>
      <c r="H11" s="298">
        <f>SUM(H6:H10)</f>
        <v>0</v>
      </c>
      <c r="I11" s="296"/>
      <c r="J11" s="298">
        <f t="shared" ref="J11:P11" si="2">SUM(J6:J10)</f>
        <v>0</v>
      </c>
      <c r="K11" s="298">
        <f>SUM(K6:K10)</f>
        <v>0</v>
      </c>
      <c r="L11" s="298">
        <f t="shared" si="2"/>
        <v>0</v>
      </c>
      <c r="M11" s="298">
        <f t="shared" si="2"/>
        <v>0</v>
      </c>
      <c r="N11" s="298">
        <f>SUM(N6:N10)</f>
        <v>0</v>
      </c>
      <c r="O11" s="298">
        <f t="shared" si="2"/>
        <v>0</v>
      </c>
      <c r="P11" s="298">
        <f t="shared" si="2"/>
        <v>0</v>
      </c>
      <c r="Q11" s="298">
        <f>SUM(Q6:Q10)</f>
        <v>0</v>
      </c>
      <c r="R11" s="295"/>
    </row>
    <row r="12" spans="1:18">
      <c r="A12" s="300" t="str">
        <f>'3-成本汇总（本期）'!D24</f>
        <v>室内精装修工程费</v>
      </c>
      <c r="B12" s="295">
        <f>SUMIF('3-成本汇总（本期）'!$D$9:$D$42,$A12,'3-成本汇总（本期）'!$X$9:$X$42)</f>
        <v>0</v>
      </c>
      <c r="C12" s="295">
        <f>SUMIF('3-成本汇总（本期）'!$D$9:$D$42,$A12,'3-成本汇总（本期）'!$F$9:$F$42)</f>
        <v>0</v>
      </c>
      <c r="D12" s="295">
        <f>SUMIF('3-成本汇总（本期）'!$D$9:$D$42,$A12,'3-成本汇总（本期）'!$I$9:$I$42)</f>
        <v>0</v>
      </c>
      <c r="E12" s="295">
        <f>SUMIF('3-成本汇总（本期）'!$D$9:$D$42,$A12,'3-成本汇总（本期）'!$L$9:$L$42)</f>
        <v>0</v>
      </c>
      <c r="F12" s="295">
        <f>SUMIF('3-成本汇总（本期）'!$D$9:$D$42,$A12,'3-成本汇总（本期）'!$O$9:$O$42)</f>
        <v>0</v>
      </c>
      <c r="G12" s="295">
        <f>SUMIF('3-成本汇总（本期）'!$D$9:$D$42,$A12,'3-成本汇总（本期）'!$R$9:$R$42)</f>
        <v>0</v>
      </c>
      <c r="H12" s="295">
        <f>SUMIF('3-成本汇总（本期）'!$D$9:$D$42,$A12,'3-成本汇总（本期）'!$U$9:$U$42)</f>
        <v>0</v>
      </c>
      <c r="I12" s="296"/>
      <c r="J12" s="299">
        <f>SUMIF('3-成本汇总（本期）'!$D$9:$D$42,$A12,'3-成本汇总（本期）'!$AK$9:$AK$42)</f>
        <v>0</v>
      </c>
      <c r="K12" s="299">
        <f>SUMIF('3-成本汇总（本期）'!$D$9:$D$42,$A12,'3-成本汇总（本期）'!$AN$9:$AN$42)</f>
        <v>0</v>
      </c>
      <c r="L12" s="299">
        <f>SUMIF('3-成本汇总（本期）'!$D$9:$D$42,$A12,'3-成本汇总（本期）'!$AQ$9:$AQ$42)</f>
        <v>0</v>
      </c>
      <c r="M12" s="299">
        <f>SUMIF('3-成本汇总（本期）'!$D$9:$D$42,$A12,'3-成本汇总（本期）'!$AT$9:$AT$42)</f>
        <v>0</v>
      </c>
      <c r="N12" s="299">
        <f>SUMIF('3-成本汇总（本期）'!$D$9:$D$42,$A12,'3-成本汇总（本期）'!$AW$9:$AW$42)</f>
        <v>0</v>
      </c>
      <c r="O12" s="299">
        <f>SUMIF('3-成本汇总（本期）'!$D$9:$D$42,$A12,'3-成本汇总（本期）'!$BC$9:$BC$42)</f>
        <v>0</v>
      </c>
      <c r="P12" s="299">
        <f>SUMIF('3-成本汇总（本期）'!$D$9:$D$42,$A12,'3-成本汇总（本期）'!$AZ$9:$AZ$42)</f>
        <v>0</v>
      </c>
      <c r="Q12" s="295">
        <f t="shared" si="0"/>
        <v>0</v>
      </c>
      <c r="R12" s="295"/>
    </row>
    <row r="13" spans="1:18">
      <c r="A13" s="297" t="s">
        <v>2305</v>
      </c>
      <c r="B13" s="298">
        <f t="shared" ref="B13:H13" si="3">B11+B12</f>
        <v>0</v>
      </c>
      <c r="C13" s="298">
        <f t="shared" si="3"/>
        <v>0</v>
      </c>
      <c r="D13" s="298">
        <f t="shared" si="3"/>
        <v>0</v>
      </c>
      <c r="E13" s="298">
        <f t="shared" si="3"/>
        <v>0</v>
      </c>
      <c r="F13" s="298">
        <f t="shared" si="3"/>
        <v>0</v>
      </c>
      <c r="G13" s="298">
        <f t="shared" si="3"/>
        <v>0</v>
      </c>
      <c r="H13" s="298">
        <f t="shared" si="3"/>
        <v>0</v>
      </c>
      <c r="I13" s="296"/>
      <c r="J13" s="298">
        <f t="shared" ref="J13:P13" si="4">J11+J12</f>
        <v>0</v>
      </c>
      <c r="K13" s="298">
        <f>K11+K12</f>
        <v>0</v>
      </c>
      <c r="L13" s="298">
        <f t="shared" si="4"/>
        <v>0</v>
      </c>
      <c r="M13" s="298">
        <f t="shared" si="4"/>
        <v>0</v>
      </c>
      <c r="N13" s="298">
        <f t="shared" si="4"/>
        <v>0</v>
      </c>
      <c r="O13" s="298">
        <f t="shared" si="4"/>
        <v>0</v>
      </c>
      <c r="P13" s="298">
        <f t="shared" si="4"/>
        <v>0</v>
      </c>
      <c r="Q13" s="298">
        <f>Q11+Q12</f>
        <v>0</v>
      </c>
      <c r="R13" s="295"/>
    </row>
    <row r="14" spans="1:18">
      <c r="A14" s="300" t="str">
        <f>'3-成本汇总（本期）'!D41</f>
        <v>资本化利息</v>
      </c>
      <c r="B14" s="295">
        <f>SUMIF('3-成本汇总（本期）'!$D$9:$D$42,$A14,'3-成本汇总（本期）'!$X$9:$X$42)</f>
        <v>0</v>
      </c>
      <c r="C14" s="295">
        <f>SUMIF('3-成本汇总（本期）'!$D$9:$D$42,$A14,'3-成本汇总（本期）'!$F$9:$F$42)</f>
        <v>0</v>
      </c>
      <c r="D14" s="295">
        <f>SUMIF('3-成本汇总（本期）'!$D$9:$D$42,$A14,'3-成本汇总（本期）'!$I$9:$I$42)</f>
        <v>0</v>
      </c>
      <c r="E14" s="295">
        <f>SUMIF('3-成本汇总（本期）'!$D$9:$D$42,$A14,'3-成本汇总（本期）'!$L$9:$L$42)</f>
        <v>0</v>
      </c>
      <c r="F14" s="295">
        <f>SUMIF('3-成本汇总（本期）'!$D$9:$D$42,$A14,'3-成本汇总（本期）'!$O$9:$O$42)</f>
        <v>0</v>
      </c>
      <c r="G14" s="295">
        <f>SUMIF('3-成本汇总（本期）'!$D$9:$D$42,$A14,'3-成本汇总（本期）'!$R$9:$R$42)</f>
        <v>0</v>
      </c>
      <c r="H14" s="295">
        <f>SUMIF('3-成本汇总（本期）'!$D$9:$D$42,$A14,'3-成本汇总（本期）'!$U$9:$U$42)</f>
        <v>0</v>
      </c>
      <c r="I14" s="296"/>
      <c r="J14" s="299">
        <f>SUMIF('3-成本汇总（本期）'!$D$9:$D$42,$A14,'3-成本汇总（本期）'!$AK$9:$AK$42)</f>
        <v>0</v>
      </c>
      <c r="K14" s="299">
        <f>SUMIF('3-成本汇总（本期）'!$D$9:$D$42,$A14,'3-成本汇总（本期）'!$AN$9:$AN$42)</f>
        <v>0</v>
      </c>
      <c r="L14" s="299">
        <f>SUMIF('3-成本汇总（本期）'!$D$9:$D$42,$A14,'3-成本汇总（本期）'!$AQ$9:$AQ$42)</f>
        <v>0</v>
      </c>
      <c r="M14" s="299">
        <f>SUMIF('3-成本汇总（本期）'!$D$9:$D$42,$A14,'3-成本汇总（本期）'!$AT$9:$AT$42)</f>
        <v>0</v>
      </c>
      <c r="N14" s="299">
        <f>SUMIF('3-成本汇总（本期）'!$D$9:$D$42,$A14,'3-成本汇总（本期）'!$AW$9:$AW$42)</f>
        <v>0</v>
      </c>
      <c r="O14" s="299">
        <f>SUMIF('3-成本汇总（本期）'!$D$9:$D$42,$A14,'3-成本汇总（本期）'!$BC$9:$BC$42)</f>
        <v>0</v>
      </c>
      <c r="P14" s="299">
        <f>SUMIF('3-成本汇总（本期）'!$D$9:$D$42,$A14,'3-成本汇总（本期）'!$AZ$9:$AZ$42)</f>
        <v>0</v>
      </c>
      <c r="Q14" s="295">
        <f t="shared" si="0"/>
        <v>0</v>
      </c>
      <c r="R14" s="295"/>
    </row>
    <row r="15" spans="1:18">
      <c r="A15" s="297" t="s">
        <v>2300</v>
      </c>
      <c r="B15" s="298">
        <f t="shared" ref="B15:H15" si="5">B5+B13+B14</f>
        <v>0</v>
      </c>
      <c r="C15" s="298">
        <f t="shared" si="5"/>
        <v>0</v>
      </c>
      <c r="D15" s="298">
        <f t="shared" si="5"/>
        <v>0</v>
      </c>
      <c r="E15" s="298">
        <f t="shared" si="5"/>
        <v>0</v>
      </c>
      <c r="F15" s="298">
        <f t="shared" si="5"/>
        <v>0</v>
      </c>
      <c r="G15" s="298">
        <f t="shared" si="5"/>
        <v>0</v>
      </c>
      <c r="H15" s="298">
        <f t="shared" si="5"/>
        <v>0</v>
      </c>
      <c r="I15" s="296"/>
      <c r="J15" s="298">
        <f t="shared" ref="J15:P15" si="6">J5+J13+J14</f>
        <v>0</v>
      </c>
      <c r="K15" s="298">
        <f>K5+K13+K14</f>
        <v>0</v>
      </c>
      <c r="L15" s="298">
        <f t="shared" si="6"/>
        <v>0</v>
      </c>
      <c r="M15" s="298">
        <f t="shared" si="6"/>
        <v>0</v>
      </c>
      <c r="N15" s="298">
        <f>N5+N13+N14</f>
        <v>0</v>
      </c>
      <c r="O15" s="298">
        <f t="shared" si="6"/>
        <v>0</v>
      </c>
      <c r="P15" s="298">
        <f t="shared" si="6"/>
        <v>0</v>
      </c>
      <c r="Q15" s="298">
        <f>Q5+Q13+Q14</f>
        <v>0</v>
      </c>
      <c r="R15" s="295"/>
    </row>
    <row r="16" spans="1:18">
      <c r="B16" s="288">
        <f>B15*B4</f>
        <v>0</v>
      </c>
      <c r="C16" s="288">
        <f t="shared" ref="C16:H16" si="7">C15*C4</f>
        <v>0</v>
      </c>
      <c r="D16" s="288">
        <f t="shared" si="7"/>
        <v>0</v>
      </c>
      <c r="E16" s="288">
        <f t="shared" si="7"/>
        <v>0</v>
      </c>
      <c r="F16" s="288">
        <f t="shared" si="7"/>
        <v>0</v>
      </c>
      <c r="G16" s="288">
        <f t="shared" si="7"/>
        <v>0</v>
      </c>
      <c r="H16" s="288">
        <f t="shared" si="7"/>
        <v>0</v>
      </c>
    </row>
    <row r="17" spans="1:27">
      <c r="A17" s="294" t="s">
        <v>2306</v>
      </c>
      <c r="B17" s="301" t="s">
        <v>2297</v>
      </c>
      <c r="I17" s="302"/>
    </row>
    <row r="18" spans="1:27">
      <c r="A18" s="295" t="s">
        <v>940</v>
      </c>
      <c r="B18" s="190">
        <f>B15</f>
        <v>0</v>
      </c>
      <c r="C18" s="303" t="s">
        <v>2303</v>
      </c>
      <c r="I18" s="304"/>
    </row>
    <row r="19" spans="1:27">
      <c r="A19" s="295" t="s">
        <v>2934</v>
      </c>
      <c r="B19" s="190">
        <f>H15</f>
        <v>0</v>
      </c>
      <c r="I19" s="304"/>
    </row>
    <row r="20" spans="1:27">
      <c r="A20" s="295" t="s">
        <v>2935</v>
      </c>
      <c r="B20" s="190">
        <f>G15</f>
        <v>0</v>
      </c>
      <c r="AA20" s="288" t="s">
        <v>2307</v>
      </c>
    </row>
    <row r="21" spans="1:27">
      <c r="A21" s="295" t="s">
        <v>2936</v>
      </c>
      <c r="B21" s="190">
        <f>F15</f>
        <v>0</v>
      </c>
      <c r="D21" s="305"/>
      <c r="E21" s="305"/>
      <c r="I21" s="304"/>
    </row>
    <row r="22" spans="1:27">
      <c r="A22" s="295" t="s">
        <v>2937</v>
      </c>
      <c r="B22" s="190">
        <f>E15</f>
        <v>0</v>
      </c>
    </row>
    <row r="23" spans="1:27">
      <c r="A23" s="295">
        <v>0</v>
      </c>
      <c r="B23" s="190">
        <f>SUMIF($C$2:$H$2,A23,$C$15:$H$15)</f>
        <v>0</v>
      </c>
    </row>
    <row r="24" spans="1:27">
      <c r="A24" s="295">
        <v>0</v>
      </c>
      <c r="B24" s="190">
        <f>SUMIF($C$2:$H$2,A24,$C$15:$H$15)</f>
        <v>0</v>
      </c>
    </row>
    <row r="28" spans="1:27">
      <c r="A28" s="305"/>
      <c r="B28" s="305"/>
      <c r="C28" s="305"/>
      <c r="F28" s="305"/>
      <c r="G28" s="305"/>
      <c r="H28" s="305"/>
      <c r="I28" s="305"/>
    </row>
    <row r="30" spans="1:27">
      <c r="D30" s="305"/>
      <c r="E30" s="305"/>
    </row>
    <row r="36" spans="1:9">
      <c r="A36" s="305"/>
      <c r="B36" s="305"/>
      <c r="C36" s="305"/>
      <c r="F36" s="305"/>
      <c r="G36" s="305"/>
      <c r="H36" s="305"/>
      <c r="I36" s="305"/>
    </row>
  </sheetData>
  <mergeCells count="1">
    <mergeCell ref="R1:R2"/>
  </mergeCells>
  <phoneticPr fontId="19" type="noConversion"/>
  <pageMargins left="0.75" right="0.75" top="1" bottom="1" header="0.5" footer="0.5"/>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0"/>
  <sheetViews>
    <sheetView workbookViewId="0">
      <selection activeCell="AS20" sqref="AS20"/>
    </sheetView>
  </sheetViews>
  <sheetFormatPr defaultColWidth="9" defaultRowHeight="15.5" outlineLevelRow="1"/>
  <cols>
    <col min="1" max="1" width="1.6640625" style="306" customWidth="1"/>
    <col min="2" max="2" width="4" style="306" customWidth="1"/>
    <col min="3" max="3" width="16.1640625" style="306" customWidth="1"/>
    <col min="4" max="4" width="8.83203125" style="306" customWidth="1"/>
    <col min="5" max="5" width="7.08203125" style="306" customWidth="1"/>
    <col min="6" max="6" width="6.5" style="306" customWidth="1"/>
    <col min="7" max="7" width="11.5" style="306" customWidth="1"/>
    <col min="8" max="8" width="9.33203125" style="306" customWidth="1"/>
    <col min="9" max="9" width="11" style="306" customWidth="1"/>
    <col min="10" max="10" width="10.33203125" style="306" customWidth="1"/>
    <col min="11" max="11" width="7.5" style="306" customWidth="1"/>
    <col min="12" max="12" width="8.5" style="306" customWidth="1"/>
    <col min="13" max="13" width="7" style="306" customWidth="1"/>
    <col min="14" max="14" width="7.6640625" style="306" customWidth="1"/>
    <col min="15" max="15" width="7.08203125" style="306" customWidth="1"/>
    <col min="16" max="16" width="6.08203125" style="306" customWidth="1"/>
    <col min="17" max="17" width="8.08203125" style="306" customWidth="1"/>
    <col min="18" max="18" width="5" style="306" customWidth="1"/>
    <col min="19" max="19" width="9.5" style="306" customWidth="1"/>
    <col min="20" max="256" width="9" style="306" customWidth="1"/>
  </cols>
  <sheetData>
    <row r="1" spans="1:29" ht="22.5" customHeight="1">
      <c r="B1" s="2485" t="s">
        <v>2308</v>
      </c>
      <c r="C1" s="2485"/>
      <c r="D1" s="2485"/>
      <c r="E1" s="2485"/>
      <c r="F1" s="2485"/>
      <c r="G1" s="2485"/>
      <c r="H1" s="2485"/>
      <c r="I1" s="2485"/>
      <c r="J1" s="2485"/>
      <c r="K1" s="2485"/>
      <c r="L1" s="2485"/>
      <c r="M1" s="2485"/>
      <c r="N1" s="2485"/>
      <c r="O1" s="2485"/>
    </row>
    <row r="2" spans="1:29" ht="15" customHeight="1">
      <c r="B2" s="2481" t="s">
        <v>2309</v>
      </c>
      <c r="C2" s="2481"/>
      <c r="D2" s="2482"/>
      <c r="E2" s="2482"/>
      <c r="F2" s="307" t="s">
        <v>2310</v>
      </c>
      <c r="G2" s="2484" t="s">
        <v>2311</v>
      </c>
      <c r="H2" s="2484"/>
      <c r="I2" s="2480">
        <f>D2</f>
        <v>0</v>
      </c>
      <c r="J2" s="2480"/>
      <c r="K2" s="300" t="s">
        <v>2310</v>
      </c>
      <c r="L2" s="999" t="s">
        <v>38</v>
      </c>
      <c r="M2" s="2480">
        <f>H44</f>
        <v>0</v>
      </c>
      <c r="N2" s="2480"/>
      <c r="O2" s="300" t="s">
        <v>2310</v>
      </c>
      <c r="Q2" s="308"/>
    </row>
    <row r="3" spans="1:29" ht="15" customHeight="1">
      <c r="B3" s="2481" t="s">
        <v>60</v>
      </c>
      <c r="C3" s="2481"/>
      <c r="D3" s="2480">
        <f>G23+G28+G32</f>
        <v>0</v>
      </c>
      <c r="E3" s="2480"/>
      <c r="F3" s="307" t="s">
        <v>2310</v>
      </c>
      <c r="G3" s="2484" t="s">
        <v>2312</v>
      </c>
      <c r="H3" s="2484"/>
      <c r="I3" s="2504" t="e">
        <f>G44/I2</f>
        <v>#DIV/0!</v>
      </c>
      <c r="J3" s="2504"/>
      <c r="K3" s="2504"/>
      <c r="L3" s="999" t="s">
        <v>2313</v>
      </c>
      <c r="M3" s="2505" t="e">
        <f>(D8+M8)/I2</f>
        <v>#DIV/0!</v>
      </c>
      <c r="N3" s="2505"/>
      <c r="O3" s="2505"/>
      <c r="P3" s="308" t="e">
        <f>D3+'2-规划指标'!D3+#REF!</f>
        <v>#REF!</v>
      </c>
    </row>
    <row r="4" spans="1:29" ht="15" customHeight="1">
      <c r="B4" s="2474" t="s">
        <v>2314</v>
      </c>
      <c r="C4" s="2474"/>
      <c r="D4" s="2476">
        <f>H23+H28+H32</f>
        <v>0</v>
      </c>
      <c r="E4" s="2476"/>
      <c r="F4" s="307" t="s">
        <v>2310</v>
      </c>
      <c r="G4" s="2484" t="s">
        <v>2315</v>
      </c>
      <c r="H4" s="2484"/>
      <c r="I4" s="2507" t="str">
        <f>IF(D4=0,"",IF(I2=0,"",D4/I2))</f>
        <v/>
      </c>
      <c r="J4" s="2507"/>
      <c r="K4" s="2507"/>
      <c r="L4" s="999" t="s">
        <v>2316</v>
      </c>
      <c r="M4" s="2492"/>
      <c r="N4" s="2493"/>
      <c r="O4" s="300" t="s">
        <v>2317</v>
      </c>
    </row>
    <row r="5" spans="1:29" s="309" customFormat="1" ht="15" customHeight="1">
      <c r="B5" s="2475" t="s">
        <v>2318</v>
      </c>
      <c r="C5" s="2475"/>
      <c r="D5" s="2475" t="s">
        <v>2319</v>
      </c>
      <c r="E5" s="2475"/>
      <c r="F5" s="2475" t="s">
        <v>2320</v>
      </c>
      <c r="G5" s="2475"/>
      <c r="H5" s="2475"/>
      <c r="I5" s="2475" t="s">
        <v>2321</v>
      </c>
      <c r="J5" s="2475"/>
      <c r="K5" s="2475"/>
      <c r="L5" s="2475"/>
      <c r="M5" s="2494" t="s">
        <v>2322</v>
      </c>
      <c r="N5" s="2494"/>
      <c r="O5" s="2494"/>
      <c r="P5" s="310"/>
    </row>
    <row r="6" spans="1:29" s="309" customFormat="1" ht="15" customHeight="1">
      <c r="B6" s="2315">
        <f>D6+F6+I6</f>
        <v>0</v>
      </c>
      <c r="C6" s="2315"/>
      <c r="D6" s="2483"/>
      <c r="E6" s="2483"/>
      <c r="F6" s="2483"/>
      <c r="G6" s="2483"/>
      <c r="H6" s="2483"/>
      <c r="I6" s="2483"/>
      <c r="J6" s="2483"/>
      <c r="K6" s="2503"/>
      <c r="L6" s="2503"/>
      <c r="M6" s="2495"/>
      <c r="N6" s="2495"/>
      <c r="O6" s="2495"/>
    </row>
    <row r="7" spans="1:29" s="309" customFormat="1" ht="15" customHeight="1">
      <c r="B7" s="2475" t="s">
        <v>2323</v>
      </c>
      <c r="C7" s="2475"/>
      <c r="D7" s="999" t="s">
        <v>2324</v>
      </c>
      <c r="E7" s="2475" t="s">
        <v>2325</v>
      </c>
      <c r="F7" s="2475"/>
      <c r="G7" s="999" t="s">
        <v>2326</v>
      </c>
      <c r="H7" s="999" t="s">
        <v>2327</v>
      </c>
      <c r="I7" s="999" t="s">
        <v>2328</v>
      </c>
      <c r="J7" s="999" t="s">
        <v>2329</v>
      </c>
      <c r="K7" s="2475" t="s">
        <v>2330</v>
      </c>
      <c r="L7" s="2475"/>
      <c r="M7" s="2475" t="s">
        <v>2331</v>
      </c>
      <c r="N7" s="2475"/>
      <c r="O7" s="311"/>
      <c r="P7" s="1000"/>
      <c r="Q7" s="2501"/>
      <c r="R7" s="2501"/>
      <c r="S7" s="2501"/>
    </row>
    <row r="8" spans="1:29" s="309" customFormat="1" ht="15" customHeight="1">
      <c r="B8" s="2315">
        <f>D2-D3-B6</f>
        <v>0</v>
      </c>
      <c r="C8" s="2315"/>
      <c r="D8" s="1001">
        <f>D2*0.3</f>
        <v>0</v>
      </c>
      <c r="E8" s="2506"/>
      <c r="F8" s="2506"/>
      <c r="G8" s="843">
        <f>B8-D8-E8-H8-I8-J8-K8</f>
        <v>0</v>
      </c>
      <c r="H8" s="843">
        <f>B8*0.1</f>
        <v>0</v>
      </c>
      <c r="I8" s="1002"/>
      <c r="J8" s="1003"/>
      <c r="K8" s="2473"/>
      <c r="L8" s="2473"/>
      <c r="M8" s="2473"/>
      <c r="N8" s="2473"/>
      <c r="O8" s="2473"/>
    </row>
    <row r="9" spans="1:29" s="312" customFormat="1" ht="14.25" hidden="1" customHeight="1" outlineLevel="1">
      <c r="A9" s="313"/>
      <c r="B9" s="314">
        <v>1</v>
      </c>
      <c r="C9" s="315" t="s">
        <v>2332</v>
      </c>
      <c r="E9" s="316"/>
      <c r="F9" s="317"/>
      <c r="G9" s="317"/>
      <c r="H9" s="317"/>
      <c r="I9" s="316"/>
      <c r="J9" s="316"/>
      <c r="K9" s="316"/>
      <c r="L9" s="316"/>
      <c r="M9" s="318"/>
      <c r="N9" s="318"/>
      <c r="O9" s="318"/>
      <c r="P9" s="313"/>
      <c r="T9" s="319"/>
      <c r="V9" s="320"/>
      <c r="W9" s="320"/>
      <c r="X9" s="320"/>
      <c r="Y9" s="320"/>
      <c r="Z9" s="320"/>
      <c r="AA9" s="320"/>
      <c r="AB9" s="320"/>
      <c r="AC9" s="320"/>
    </row>
    <row r="10" spans="1:29" s="312" customFormat="1" ht="14.25" hidden="1" customHeight="1" outlineLevel="1">
      <c r="B10" s="314">
        <v>2</v>
      </c>
      <c r="C10" s="315" t="s">
        <v>2333</v>
      </c>
      <c r="E10" s="316"/>
      <c r="F10" s="317"/>
      <c r="G10" s="317"/>
      <c r="H10" s="317"/>
      <c r="I10" s="316"/>
      <c r="J10" s="316"/>
      <c r="K10" s="316"/>
      <c r="L10" s="316"/>
      <c r="M10" s="318"/>
      <c r="N10" s="318"/>
      <c r="O10" s="318"/>
      <c r="T10" s="321"/>
      <c r="V10" s="320"/>
      <c r="W10" s="320"/>
      <c r="X10" s="320"/>
      <c r="Y10" s="320"/>
      <c r="Z10" s="320"/>
      <c r="AA10" s="320"/>
      <c r="AB10" s="320"/>
      <c r="AC10" s="320"/>
    </row>
    <row r="11" spans="1:29" s="312" customFormat="1" ht="14.25" hidden="1" customHeight="1" outlineLevel="1">
      <c r="B11" s="314">
        <v>3</v>
      </c>
      <c r="C11" s="315" t="s">
        <v>2334</v>
      </c>
      <c r="E11" s="316"/>
      <c r="F11" s="317"/>
      <c r="G11" s="317"/>
      <c r="H11" s="317"/>
      <c r="I11" s="316"/>
      <c r="J11" s="316"/>
      <c r="K11" s="316"/>
      <c r="L11" s="316"/>
      <c r="M11" s="318"/>
      <c r="N11" s="318"/>
      <c r="O11" s="318"/>
      <c r="T11" s="321"/>
      <c r="V11" s="320"/>
      <c r="W11" s="320"/>
      <c r="X11" s="320"/>
      <c r="Y11" s="320"/>
      <c r="Z11" s="320"/>
      <c r="AA11" s="320"/>
      <c r="AB11" s="320"/>
      <c r="AC11" s="320"/>
    </row>
    <row r="12" spans="1:29" s="312" customFormat="1" ht="14.25" hidden="1" customHeight="1" outlineLevel="1">
      <c r="B12" s="314">
        <v>4</v>
      </c>
      <c r="C12" s="315" t="s">
        <v>2335</v>
      </c>
      <c r="E12" s="316"/>
      <c r="F12" s="317"/>
      <c r="G12" s="317"/>
      <c r="H12" s="317"/>
      <c r="I12" s="316"/>
      <c r="J12" s="316"/>
      <c r="K12" s="316"/>
      <c r="L12" s="316"/>
      <c r="M12" s="318"/>
      <c r="N12" s="318"/>
      <c r="O12" s="318"/>
      <c r="T12" s="321"/>
      <c r="V12" s="320"/>
      <c r="W12" s="320"/>
      <c r="X12" s="320"/>
      <c r="Y12" s="320"/>
      <c r="Z12" s="320"/>
      <c r="AA12" s="320"/>
      <c r="AB12" s="320"/>
      <c r="AC12" s="320"/>
    </row>
    <row r="13" spans="1:29" s="312" customFormat="1" ht="14.25" hidden="1" customHeight="1" outlineLevel="1">
      <c r="B13" s="314">
        <v>5</v>
      </c>
      <c r="C13" s="315" t="s">
        <v>2336</v>
      </c>
      <c r="D13" s="316"/>
      <c r="E13" s="316"/>
      <c r="F13" s="317"/>
      <c r="G13" s="317"/>
      <c r="H13" s="317"/>
      <c r="I13" s="316"/>
      <c r="J13" s="316"/>
      <c r="K13" s="316"/>
      <c r="L13" s="316"/>
      <c r="M13" s="318"/>
      <c r="N13" s="318"/>
      <c r="O13" s="318"/>
      <c r="T13" s="321"/>
      <c r="V13" s="320"/>
      <c r="W13" s="320"/>
      <c r="X13" s="320"/>
      <c r="Y13" s="320"/>
      <c r="Z13" s="320"/>
      <c r="AA13" s="320"/>
      <c r="AB13" s="320"/>
      <c r="AC13" s="320"/>
    </row>
    <row r="14" spans="1:29" s="312" customFormat="1" ht="14.25" hidden="1" customHeight="1" outlineLevel="1">
      <c r="B14" s="314">
        <v>6</v>
      </c>
      <c r="C14" s="322" t="s">
        <v>2337</v>
      </c>
      <c r="D14" s="316"/>
      <c r="E14" s="316"/>
      <c r="F14" s="317"/>
      <c r="G14" s="317"/>
      <c r="H14" s="317"/>
      <c r="I14" s="316"/>
      <c r="J14" s="316"/>
      <c r="K14" s="316"/>
      <c r="L14" s="316"/>
      <c r="M14" s="318"/>
      <c r="N14" s="318"/>
      <c r="O14" s="318"/>
      <c r="T14" s="321"/>
      <c r="V14" s="320"/>
      <c r="W14" s="320"/>
      <c r="X14" s="320"/>
      <c r="Y14" s="320"/>
      <c r="Z14" s="320"/>
      <c r="AA14" s="320"/>
      <c r="AB14" s="320"/>
      <c r="AC14" s="320"/>
    </row>
    <row r="15" spans="1:29" s="312" customFormat="1" ht="14.25" hidden="1" customHeight="1" outlineLevel="1">
      <c r="B15" s="314">
        <v>7</v>
      </c>
      <c r="C15" s="315" t="s">
        <v>2338</v>
      </c>
      <c r="D15" s="316"/>
      <c r="E15" s="316"/>
      <c r="F15" s="317"/>
      <c r="G15" s="317"/>
      <c r="H15" s="317"/>
      <c r="I15" s="316"/>
      <c r="J15" s="316"/>
      <c r="K15" s="316"/>
      <c r="L15" s="316"/>
      <c r="M15" s="318"/>
      <c r="N15" s="318"/>
      <c r="O15" s="318"/>
      <c r="T15" s="321"/>
      <c r="V15" s="320"/>
      <c r="W15" s="320"/>
      <c r="X15" s="320"/>
      <c r="Y15" s="320"/>
      <c r="Z15" s="320"/>
      <c r="AA15" s="320"/>
      <c r="AB15" s="320"/>
      <c r="AC15" s="320"/>
    </row>
    <row r="16" spans="1:29" s="312" customFormat="1" ht="14.25" hidden="1" customHeight="1" outlineLevel="1">
      <c r="B16" s="314">
        <v>8</v>
      </c>
      <c r="C16" s="315" t="s">
        <v>2339</v>
      </c>
      <c r="D16" s="316"/>
      <c r="E16" s="316"/>
      <c r="F16" s="317"/>
      <c r="G16" s="317"/>
      <c r="H16" s="317"/>
      <c r="I16" s="316"/>
      <c r="J16" s="316"/>
      <c r="K16" s="316"/>
      <c r="L16" s="316"/>
      <c r="M16" s="318"/>
      <c r="N16" s="318"/>
      <c r="O16" s="318"/>
      <c r="T16" s="321"/>
      <c r="V16" s="320"/>
      <c r="W16" s="320"/>
      <c r="X16" s="320"/>
      <c r="Y16" s="320"/>
      <c r="Z16" s="320"/>
      <c r="AA16" s="320"/>
      <c r="AB16" s="320"/>
      <c r="AC16" s="320"/>
    </row>
    <row r="17" spans="2:29" s="312" customFormat="1" ht="14.25" customHeight="1" collapsed="1">
      <c r="B17" s="314"/>
      <c r="C17" s="318" t="s">
        <v>2340</v>
      </c>
      <c r="D17" s="316"/>
      <c r="E17" s="315" t="s">
        <v>2341</v>
      </c>
      <c r="F17" s="317"/>
      <c r="G17" s="317"/>
      <c r="H17" s="317"/>
      <c r="I17" s="316"/>
      <c r="J17" s="316"/>
      <c r="K17" s="316"/>
      <c r="L17" s="316"/>
      <c r="M17" s="318"/>
      <c r="N17" s="318"/>
      <c r="O17" s="323"/>
      <c r="T17" s="319"/>
      <c r="V17" s="320"/>
      <c r="W17" s="320"/>
      <c r="X17" s="320"/>
      <c r="Y17" s="320"/>
      <c r="Z17" s="320"/>
      <c r="AA17" s="320"/>
      <c r="AB17" s="320"/>
      <c r="AC17" s="320"/>
    </row>
    <row r="18" spans="2:29" ht="15" customHeight="1">
      <c r="B18" s="2539"/>
      <c r="C18" s="2540"/>
      <c r="D18" s="2540"/>
      <c r="E18" s="2540"/>
      <c r="F18" s="2540"/>
      <c r="G18" s="2540"/>
      <c r="H18" s="2540"/>
      <c r="I18" s="2540"/>
      <c r="J18" s="2540"/>
      <c r="K18" s="2540"/>
      <c r="L18" s="2540"/>
      <c r="M18" s="2540"/>
      <c r="N18" s="2540"/>
      <c r="O18" s="2541"/>
      <c r="P18" s="309"/>
    </row>
    <row r="19" spans="2:29" ht="34" customHeight="1">
      <c r="B19" s="2470" t="s">
        <v>2342</v>
      </c>
      <c r="C19" s="2470"/>
      <c r="D19" s="1004" t="s">
        <v>2343</v>
      </c>
      <c r="E19" s="324" t="s">
        <v>2344</v>
      </c>
      <c r="F19" s="324" t="s">
        <v>2345</v>
      </c>
      <c r="G19" s="324" t="s">
        <v>2346</v>
      </c>
      <c r="H19" s="324" t="s">
        <v>2347</v>
      </c>
      <c r="I19" s="324" t="s">
        <v>2348</v>
      </c>
      <c r="J19" s="324" t="s">
        <v>2349</v>
      </c>
      <c r="K19" s="325" t="s">
        <v>2350</v>
      </c>
      <c r="L19" s="324" t="s">
        <v>2351</v>
      </c>
      <c r="M19" s="326" t="s">
        <v>2352</v>
      </c>
      <c r="N19" s="326" t="s">
        <v>2353</v>
      </c>
      <c r="O19" s="326" t="s">
        <v>2354</v>
      </c>
      <c r="P19" s="324" t="s">
        <v>2355</v>
      </c>
      <c r="Q19" s="324" t="s">
        <v>2356</v>
      </c>
      <c r="R19" s="1004" t="s">
        <v>2357</v>
      </c>
      <c r="T19" s="308"/>
    </row>
    <row r="20" spans="2:29" ht="15" customHeight="1">
      <c r="B20" s="2543" t="s">
        <v>2358</v>
      </c>
      <c r="C20" s="327"/>
      <c r="D20" s="849"/>
      <c r="E20" s="1005"/>
      <c r="F20" s="1006"/>
      <c r="G20" s="1007"/>
      <c r="H20" s="1007"/>
      <c r="I20" s="1008"/>
      <c r="J20" s="328"/>
      <c r="K20" s="329"/>
      <c r="L20" s="328"/>
      <c r="M20" s="360"/>
      <c r="N20" s="360"/>
      <c r="O20" s="360"/>
      <c r="P20" s="1009"/>
      <c r="Q20" s="330"/>
      <c r="R20" s="331"/>
      <c r="T20" s="332"/>
      <c r="U20" s="333"/>
    </row>
    <row r="21" spans="2:29" ht="15" customHeight="1">
      <c r="B21" s="2543"/>
      <c r="C21" s="327"/>
      <c r="D21" s="849"/>
      <c r="E21" s="1005"/>
      <c r="F21" s="1006"/>
      <c r="G21" s="1007"/>
      <c r="H21" s="1007"/>
      <c r="I21" s="1008"/>
      <c r="J21" s="328"/>
      <c r="K21" s="329"/>
      <c r="L21" s="328"/>
      <c r="M21" s="360"/>
      <c r="N21" s="360"/>
      <c r="O21" s="360"/>
      <c r="P21" s="1009"/>
      <c r="Q21" s="330"/>
      <c r="R21" s="331"/>
      <c r="T21" s="332"/>
      <c r="U21" s="333"/>
    </row>
    <row r="22" spans="2:29" ht="15" customHeight="1">
      <c r="B22" s="2543"/>
      <c r="C22" s="327"/>
      <c r="D22" s="849"/>
      <c r="E22" s="1005"/>
      <c r="F22" s="1006"/>
      <c r="G22" s="1007"/>
      <c r="H22" s="1007"/>
      <c r="I22" s="1008"/>
      <c r="J22" s="328"/>
      <c r="K22" s="329"/>
      <c r="L22" s="328"/>
      <c r="M22" s="360"/>
      <c r="N22" s="360"/>
      <c r="O22" s="360"/>
      <c r="P22" s="1009"/>
      <c r="Q22" s="330"/>
      <c r="R22" s="334"/>
      <c r="T22" s="335"/>
      <c r="U22" s="333"/>
    </row>
    <row r="23" spans="2:29" ht="15" customHeight="1">
      <c r="B23" s="2543"/>
      <c r="C23" s="336" t="s">
        <v>2359</v>
      </c>
      <c r="D23" s="337"/>
      <c r="E23" s="338"/>
      <c r="F23" s="339"/>
      <c r="G23" s="337"/>
      <c r="H23" s="337"/>
      <c r="I23" s="337"/>
      <c r="J23" s="337"/>
      <c r="K23" s="340"/>
      <c r="L23" s="339"/>
      <c r="M23" s="339"/>
      <c r="N23" s="339"/>
      <c r="O23" s="339"/>
      <c r="P23" s="341"/>
      <c r="Q23" s="341"/>
      <c r="R23" s="341"/>
      <c r="U23" s="333"/>
    </row>
    <row r="24" spans="2:29" ht="15" customHeight="1">
      <c r="B24" s="2543" t="s">
        <v>2360</v>
      </c>
      <c r="C24" s="327" t="s">
        <v>2361</v>
      </c>
      <c r="D24" s="849"/>
      <c r="E24" s="1005"/>
      <c r="F24" s="342"/>
      <c r="G24" s="1005"/>
      <c r="H24" s="863"/>
      <c r="I24" s="328">
        <f>H24</f>
        <v>0</v>
      </c>
      <c r="J24" s="854"/>
      <c r="K24" s="855" t="e">
        <f>I24/I44</f>
        <v>#DIV/0!</v>
      </c>
      <c r="L24" s="864"/>
      <c r="M24" s="343"/>
      <c r="N24" s="865"/>
      <c r="O24" s="865"/>
      <c r="P24" s="1010"/>
      <c r="Q24" s="344"/>
      <c r="R24" s="345"/>
      <c r="T24" s="335"/>
      <c r="U24" s="333"/>
    </row>
    <row r="25" spans="2:29" ht="15" customHeight="1">
      <c r="B25" s="2543"/>
      <c r="C25" s="327" t="s">
        <v>2362</v>
      </c>
      <c r="D25" s="1005"/>
      <c r="E25" s="1005"/>
      <c r="F25" s="867"/>
      <c r="G25" s="1005"/>
      <c r="H25" s="863"/>
      <c r="I25" s="328">
        <f>H25</f>
        <v>0</v>
      </c>
      <c r="J25" s="854"/>
      <c r="K25" s="855" t="e">
        <f>I25/I44</f>
        <v>#DIV/0!</v>
      </c>
      <c r="L25" s="864"/>
      <c r="M25" s="865"/>
      <c r="N25" s="865"/>
      <c r="O25" s="865"/>
      <c r="P25" s="856"/>
      <c r="Q25" s="344"/>
      <c r="R25" s="345"/>
      <c r="U25" s="333"/>
    </row>
    <row r="26" spans="2:29" ht="15" customHeight="1">
      <c r="B26" s="2543"/>
      <c r="C26" s="327" t="s">
        <v>2363</v>
      </c>
      <c r="D26" s="849"/>
      <c r="E26" s="1005"/>
      <c r="F26" s="342"/>
      <c r="G26" s="1005"/>
      <c r="H26" s="863"/>
      <c r="I26" s="328">
        <f>H26</f>
        <v>0</v>
      </c>
      <c r="J26" s="854"/>
      <c r="K26" s="855" t="e">
        <f>I26/I44</f>
        <v>#DIV/0!</v>
      </c>
      <c r="L26" s="864"/>
      <c r="M26" s="343"/>
      <c r="N26" s="865"/>
      <c r="O26" s="865"/>
      <c r="P26" s="865"/>
      <c r="Q26" s="344"/>
      <c r="R26" s="345"/>
      <c r="U26" s="333"/>
    </row>
    <row r="27" spans="2:29" ht="15" customHeight="1">
      <c r="B27" s="2543"/>
      <c r="C27" s="327" t="s">
        <v>2364</v>
      </c>
      <c r="D27" s="328"/>
      <c r="E27" s="1005"/>
      <c r="F27" s="362"/>
      <c r="G27" s="1005"/>
      <c r="H27" s="863"/>
      <c r="I27" s="328">
        <f>H27</f>
        <v>0</v>
      </c>
      <c r="J27" s="854"/>
      <c r="K27" s="855" t="e">
        <f>I27/I44</f>
        <v>#DIV/0!</v>
      </c>
      <c r="L27" s="328"/>
      <c r="M27" s="868"/>
      <c r="N27" s="868"/>
      <c r="O27" s="865"/>
      <c r="P27" s="869"/>
      <c r="Q27" s="344"/>
      <c r="R27" s="330"/>
    </row>
    <row r="28" spans="2:29" ht="15" customHeight="1">
      <c r="B28" s="2543"/>
      <c r="C28" s="336" t="s">
        <v>2359</v>
      </c>
      <c r="D28" s="337">
        <f>SUM(D24:D27)</f>
        <v>0</v>
      </c>
      <c r="E28" s="346"/>
      <c r="F28" s="339">
        <f>SUM(F24:F27)</f>
        <v>0</v>
      </c>
      <c r="G28" s="337">
        <f>SUM(G24:G27)</f>
        <v>0</v>
      </c>
      <c r="H28" s="337">
        <f>SUM(H24:H27)</f>
        <v>0</v>
      </c>
      <c r="I28" s="337">
        <f>SUM(I24:I27)</f>
        <v>0</v>
      </c>
      <c r="J28" s="337">
        <f>SUM(J24:J27)</f>
        <v>0</v>
      </c>
      <c r="K28" s="340" t="e">
        <f>(I28+J28)/(I44+J44)</f>
        <v>#DIV/0!</v>
      </c>
      <c r="L28" s="347" t="e">
        <f>H28/N28</f>
        <v>#DIV/0!</v>
      </c>
      <c r="M28" s="347">
        <f>SUM(M24:M27)</f>
        <v>0</v>
      </c>
      <c r="N28" s="347">
        <f>SUM(N24:N27)</f>
        <v>0</v>
      </c>
      <c r="O28" s="347"/>
      <c r="P28" s="347"/>
      <c r="Q28" s="347"/>
      <c r="R28" s="347"/>
    </row>
    <row r="29" spans="2:29" ht="15" customHeight="1">
      <c r="B29" s="2542" t="s">
        <v>2365</v>
      </c>
      <c r="C29" s="348" t="s">
        <v>2366</v>
      </c>
      <c r="D29" s="1002"/>
      <c r="E29" s="349"/>
      <c r="F29" s="328"/>
      <c r="G29" s="1005"/>
      <c r="H29" s="1005"/>
      <c r="I29" s="328"/>
      <c r="J29" s="1002"/>
      <c r="K29" s="350"/>
      <c r="L29" s="1011"/>
      <c r="M29" s="1011"/>
      <c r="N29" s="1011"/>
      <c r="O29" s="1011"/>
      <c r="P29" s="1011"/>
    </row>
    <row r="30" spans="2:29" ht="15" customHeight="1">
      <c r="B30" s="2542"/>
      <c r="C30" s="351" t="s">
        <v>2367</v>
      </c>
      <c r="D30" s="1002"/>
      <c r="E30" s="349"/>
      <c r="F30" s="328"/>
      <c r="G30" s="1005"/>
      <c r="H30" s="1005"/>
      <c r="I30" s="328"/>
      <c r="J30" s="1002"/>
      <c r="K30" s="350"/>
      <c r="L30" s="1011"/>
      <c r="M30" s="1011"/>
      <c r="N30" s="1011"/>
      <c r="O30" s="1011"/>
      <c r="P30" s="1011"/>
    </row>
    <row r="31" spans="2:29" ht="15.75" customHeight="1">
      <c r="B31" s="2542"/>
      <c r="C31" s="352" t="s">
        <v>2368</v>
      </c>
      <c r="D31" s="1002"/>
      <c r="E31" s="349"/>
      <c r="F31" s="328"/>
      <c r="G31" s="1005"/>
      <c r="H31" s="876"/>
      <c r="I31" s="328">
        <f>H31</f>
        <v>0</v>
      </c>
      <c r="J31" s="1002"/>
      <c r="K31" s="350"/>
      <c r="L31" s="2471" t="s">
        <v>985</v>
      </c>
      <c r="M31" s="2471"/>
      <c r="N31" s="2471"/>
      <c r="O31" s="2471"/>
      <c r="P31" s="2471"/>
      <c r="S31" s="308">
        <f>H23+H28+H32</f>
        <v>0</v>
      </c>
    </row>
    <row r="32" spans="2:29" ht="15" customHeight="1">
      <c r="B32" s="2542"/>
      <c r="C32" s="336" t="s">
        <v>2359</v>
      </c>
      <c r="D32" s="353">
        <f>SUM(D29:D31)</f>
        <v>0</v>
      </c>
      <c r="E32" s="354"/>
      <c r="F32" s="339">
        <f>SUM(F29:F31)</f>
        <v>0</v>
      </c>
      <c r="G32" s="337">
        <f>SUM(G29:G31)</f>
        <v>0</v>
      </c>
      <c r="H32" s="337">
        <f>SUM(H29:H31)</f>
        <v>0</v>
      </c>
      <c r="I32" s="337">
        <f>SUM(I29:I31)</f>
        <v>0</v>
      </c>
      <c r="J32" s="337">
        <f>SUM(J29:J31)</f>
        <v>0</v>
      </c>
      <c r="K32" s="340" t="e">
        <f>(I32+J32)/(I44+J44)</f>
        <v>#DIV/0!</v>
      </c>
      <c r="L32" s="2488"/>
      <c r="M32" s="2488"/>
      <c r="N32" s="2488"/>
      <c r="O32" s="2488"/>
      <c r="P32" s="2488"/>
      <c r="S32" s="308">
        <f>D32+D28+D23</f>
        <v>0</v>
      </c>
      <c r="T32" s="308"/>
    </row>
    <row r="33" spans="2:18" ht="15" customHeight="1">
      <c r="B33" s="1012"/>
      <c r="C33" s="336" t="s">
        <v>2369</v>
      </c>
      <c r="D33" s="353"/>
      <c r="E33" s="354"/>
      <c r="F33" s="337"/>
      <c r="G33" s="337"/>
      <c r="H33" s="337"/>
      <c r="I33" s="337"/>
      <c r="J33" s="337"/>
      <c r="K33" s="350"/>
      <c r="L33" s="2488"/>
      <c r="M33" s="2488"/>
      <c r="N33" s="2488"/>
      <c r="O33" s="2488"/>
      <c r="P33" s="2488"/>
    </row>
    <row r="34" spans="2:18" ht="15" customHeight="1">
      <c r="B34" s="1012"/>
      <c r="C34" s="336" t="s">
        <v>2370</v>
      </c>
      <c r="D34" s="353"/>
      <c r="E34" s="354"/>
      <c r="F34" s="337"/>
      <c r="G34" s="337"/>
      <c r="H34" s="337"/>
      <c r="I34" s="337"/>
      <c r="J34" s="337"/>
      <c r="K34" s="350"/>
      <c r="L34" s="2488"/>
      <c r="M34" s="2488"/>
      <c r="N34" s="2488"/>
      <c r="O34" s="2488"/>
      <c r="P34" s="2488"/>
    </row>
    <row r="35" spans="2:18" ht="15" customHeight="1">
      <c r="B35" s="2470"/>
      <c r="C35" s="2470"/>
      <c r="D35" s="355"/>
      <c r="E35" s="356" t="s">
        <v>2371</v>
      </c>
      <c r="F35" s="355"/>
      <c r="G35" s="356"/>
      <c r="H35" s="355" t="s">
        <v>2347</v>
      </c>
      <c r="I35" s="355" t="s">
        <v>2348</v>
      </c>
      <c r="J35" s="355" t="s">
        <v>2349</v>
      </c>
      <c r="K35" s="350"/>
      <c r="L35" s="2471"/>
      <c r="M35" s="2471"/>
      <c r="N35" s="2471"/>
      <c r="O35" s="2471"/>
      <c r="P35" s="2471"/>
      <c r="R35" s="308" t="e">
        <f>I36+'2-规划指标'!I35+#REF!</f>
        <v>#REF!</v>
      </c>
    </row>
    <row r="36" spans="2:18" ht="15" customHeight="1">
      <c r="B36" s="2542" t="s">
        <v>2372</v>
      </c>
      <c r="C36" s="351" t="s">
        <v>2373</v>
      </c>
      <c r="D36" s="357"/>
      <c r="E36" s="863"/>
      <c r="F36" s="328">
        <v>32</v>
      </c>
      <c r="G36" s="358"/>
      <c r="H36" s="1005"/>
      <c r="I36" s="328">
        <f>H36</f>
        <v>0</v>
      </c>
      <c r="J36" s="328"/>
      <c r="K36" s="350"/>
      <c r="L36" s="2490" t="s">
        <v>2374</v>
      </c>
      <c r="M36" s="2490"/>
      <c r="N36" s="2490"/>
      <c r="O36" s="2490"/>
      <c r="P36" s="2490"/>
    </row>
    <row r="37" spans="2:18" ht="15" customHeight="1">
      <c r="B37" s="2542"/>
      <c r="C37" s="359" t="s">
        <v>2375</v>
      </c>
      <c r="D37" s="357"/>
      <c r="E37" s="360"/>
      <c r="F37" s="328"/>
      <c r="G37" s="358"/>
      <c r="H37" s="328"/>
      <c r="I37" s="328"/>
      <c r="J37" s="328"/>
      <c r="K37" s="350"/>
      <c r="L37" s="2471" t="s">
        <v>2376</v>
      </c>
      <c r="M37" s="2471"/>
      <c r="N37" s="2471"/>
      <c r="O37" s="2471"/>
      <c r="P37" s="2471"/>
    </row>
    <row r="38" spans="2:18" ht="15" customHeight="1">
      <c r="B38" s="2542"/>
      <c r="C38" s="351" t="s">
        <v>2377</v>
      </c>
      <c r="D38" s="357"/>
      <c r="E38" s="360"/>
      <c r="F38" s="328"/>
      <c r="G38" s="358"/>
      <c r="H38" s="328"/>
      <c r="I38" s="328"/>
      <c r="J38" s="328"/>
      <c r="K38" s="350"/>
      <c r="L38" s="2471" t="s">
        <v>2378</v>
      </c>
      <c r="M38" s="2471"/>
      <c r="N38" s="2471"/>
      <c r="O38" s="2471"/>
      <c r="P38" s="2471"/>
    </row>
    <row r="39" spans="2:18" ht="15" customHeight="1">
      <c r="B39" s="2542"/>
      <c r="C39" s="351" t="s">
        <v>2379</v>
      </c>
      <c r="D39" s="357"/>
      <c r="E39" s="863"/>
      <c r="F39" s="328" t="e">
        <f>H39/E39</f>
        <v>#DIV/0!</v>
      </c>
      <c r="G39" s="358"/>
      <c r="H39" s="1005"/>
      <c r="I39" s="328">
        <f>H39</f>
        <v>0</v>
      </c>
      <c r="J39" s="361"/>
      <c r="K39" s="350"/>
      <c r="L39" s="2490" t="s">
        <v>2374</v>
      </c>
      <c r="M39" s="2490"/>
      <c r="N39" s="2490"/>
      <c r="O39" s="2490"/>
      <c r="P39" s="2490"/>
    </row>
    <row r="40" spans="2:18" ht="15" customHeight="1">
      <c r="B40" s="2542"/>
      <c r="C40" s="359" t="s">
        <v>2380</v>
      </c>
      <c r="D40" s="357"/>
      <c r="E40" s="362"/>
      <c r="F40" s="328"/>
      <c r="G40" s="358"/>
      <c r="H40" s="328"/>
      <c r="I40" s="328"/>
      <c r="J40" s="328"/>
      <c r="K40" s="350"/>
      <c r="L40" s="2471" t="s">
        <v>2378</v>
      </c>
      <c r="M40" s="2471"/>
      <c r="N40" s="2471"/>
      <c r="O40" s="2471"/>
      <c r="P40" s="2471"/>
    </row>
    <row r="41" spans="2:18" ht="15" customHeight="1">
      <c r="B41" s="2542"/>
      <c r="C41" s="359" t="s">
        <v>2381</v>
      </c>
      <c r="D41" s="357"/>
      <c r="E41" s="362"/>
      <c r="F41" s="328"/>
      <c r="G41" s="358"/>
      <c r="H41" s="328"/>
      <c r="I41" s="328"/>
      <c r="J41" s="328"/>
      <c r="K41" s="350"/>
      <c r="L41" s="2471" t="s">
        <v>2376</v>
      </c>
      <c r="M41" s="2471"/>
      <c r="N41" s="2471"/>
      <c r="O41" s="2471"/>
      <c r="P41" s="2471"/>
    </row>
    <row r="42" spans="2:18" ht="15" customHeight="1">
      <c r="B42" s="2542"/>
      <c r="C42" s="351" t="s">
        <v>2382</v>
      </c>
      <c r="D42" s="357"/>
      <c r="E42" s="361"/>
      <c r="F42" s="363"/>
      <c r="G42" s="363"/>
      <c r="H42" s="364"/>
      <c r="I42" s="365"/>
      <c r="J42" s="365"/>
      <c r="K42" s="350"/>
      <c r="L42" s="2471" t="s">
        <v>2383</v>
      </c>
      <c r="M42" s="2471"/>
      <c r="N42" s="2471"/>
      <c r="O42" s="2471"/>
      <c r="P42" s="2471"/>
    </row>
    <row r="43" spans="2:18" ht="15" customHeight="1">
      <c r="B43" s="2542"/>
      <c r="C43" s="336" t="s">
        <v>2359</v>
      </c>
      <c r="D43" s="366"/>
      <c r="E43" s="339">
        <f>E36+E39+E42</f>
        <v>0</v>
      </c>
      <c r="F43" s="354"/>
      <c r="G43" s="354"/>
      <c r="H43" s="337">
        <f>H39+H36</f>
        <v>0</v>
      </c>
      <c r="I43" s="337">
        <f>I39+I36</f>
        <v>0</v>
      </c>
      <c r="J43" s="337">
        <f>J39+J36</f>
        <v>0</v>
      </c>
      <c r="K43" s="340" t="e">
        <f>(I43+J43)/(I44+J44)</f>
        <v>#DIV/0!</v>
      </c>
      <c r="L43" s="2488"/>
      <c r="M43" s="2488"/>
      <c r="N43" s="2488"/>
      <c r="O43" s="2488"/>
      <c r="P43" s="2488"/>
    </row>
    <row r="44" spans="2:18" ht="15" customHeight="1">
      <c r="B44" s="2544" t="s">
        <v>2384</v>
      </c>
      <c r="C44" s="2544"/>
      <c r="D44" s="367">
        <f>D23++D28+D32+D43</f>
        <v>0</v>
      </c>
      <c r="E44" s="368">
        <f>E43</f>
        <v>0</v>
      </c>
      <c r="F44" s="369"/>
      <c r="G44" s="367">
        <f>G23+G28+G32+G43</f>
        <v>0</v>
      </c>
      <c r="H44" s="367">
        <f>H23+H28+H32+H43</f>
        <v>0</v>
      </c>
      <c r="I44" s="370">
        <f>I23++I28+I32+I43</f>
        <v>0</v>
      </c>
      <c r="J44" s="370">
        <f>J23++J28+J32+J43</f>
        <v>0</v>
      </c>
      <c r="K44" s="371" t="e">
        <f>K43+K28+K32+K23</f>
        <v>#DIV/0!</v>
      </c>
      <c r="L44" s="2545"/>
      <c r="M44" s="2545"/>
      <c r="N44" s="2545"/>
      <c r="O44" s="2545"/>
      <c r="P44" s="2545"/>
    </row>
    <row r="45" spans="2:18">
      <c r="I45" s="372"/>
      <c r="L45" s="373"/>
      <c r="M45" s="373"/>
    </row>
    <row r="46" spans="2:18">
      <c r="D46" s="308"/>
      <c r="F46" s="308"/>
      <c r="G46" s="308"/>
      <c r="H46" s="308"/>
      <c r="I46" s="308"/>
      <c r="J46" s="308"/>
    </row>
    <row r="48" spans="2:18">
      <c r="D48" s="308"/>
      <c r="E48" s="374"/>
      <c r="H48" s="374"/>
      <c r="I48" s="374"/>
      <c r="J48" s="374"/>
    </row>
    <row r="50" spans="4:4">
      <c r="D50" s="308"/>
    </row>
  </sheetData>
  <mergeCells count="59">
    <mergeCell ref="B44:C44"/>
    <mergeCell ref="L44:P44"/>
    <mergeCell ref="L39:P39"/>
    <mergeCell ref="Q7:S7"/>
    <mergeCell ref="B6:C6"/>
    <mergeCell ref="L37:P37"/>
    <mergeCell ref="B8:C8"/>
    <mergeCell ref="L32:P32"/>
    <mergeCell ref="L34:P34"/>
    <mergeCell ref="L33:P33"/>
    <mergeCell ref="L31:P31"/>
    <mergeCell ref="L41:P41"/>
    <mergeCell ref="L43:P43"/>
    <mergeCell ref="E7:F7"/>
    <mergeCell ref="D6:E6"/>
    <mergeCell ref="L40:P40"/>
    <mergeCell ref="B1:O1"/>
    <mergeCell ref="L38:P38"/>
    <mergeCell ref="B5:C5"/>
    <mergeCell ref="L42:P42"/>
    <mergeCell ref="I6:J6"/>
    <mergeCell ref="B24:B28"/>
    <mergeCell ref="K8:L8"/>
    <mergeCell ref="M6:O6"/>
    <mergeCell ref="M8:O8"/>
    <mergeCell ref="I2:J2"/>
    <mergeCell ref="B2:C2"/>
    <mergeCell ref="K7:L7"/>
    <mergeCell ref="M5:O5"/>
    <mergeCell ref="B19:C19"/>
    <mergeCell ref="B20:B23"/>
    <mergeCell ref="G2:H2"/>
    <mergeCell ref="D2:E2"/>
    <mergeCell ref="I3:K3"/>
    <mergeCell ref="M2:N2"/>
    <mergeCell ref="F5:H5"/>
    <mergeCell ref="D4:E4"/>
    <mergeCell ref="I4:K4"/>
    <mergeCell ref="M4:N4"/>
    <mergeCell ref="G3:H3"/>
    <mergeCell ref="D3:E3"/>
    <mergeCell ref="K5:L5"/>
    <mergeCell ref="D5:E5"/>
    <mergeCell ref="M3:O3"/>
    <mergeCell ref="I5:J5"/>
    <mergeCell ref="B18:O18"/>
    <mergeCell ref="G4:H4"/>
    <mergeCell ref="B3:C3"/>
    <mergeCell ref="L36:P36"/>
    <mergeCell ref="B36:B43"/>
    <mergeCell ref="B4:C4"/>
    <mergeCell ref="L35:P35"/>
    <mergeCell ref="B7:C7"/>
    <mergeCell ref="M7:N7"/>
    <mergeCell ref="B35:C35"/>
    <mergeCell ref="B29:B32"/>
    <mergeCell ref="E8:F8"/>
    <mergeCell ref="F6:H6"/>
    <mergeCell ref="K6:L6"/>
  </mergeCells>
  <phoneticPr fontId="19" type="noConversion"/>
  <printOptions horizontalCentered="1"/>
  <pageMargins left="0.74803149606299213" right="0.74803149606299213" top="0.78740157480314965" bottom="0.19685039370078741" header="0.31496062992125984" footer="0.31496062992125984"/>
  <pageSetup paperSize="9" fitToWidth="0" fitToHeight="0" orientation="landscape"/>
  <headerFooter alignWithMargins="0"/>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68FD4"/>
  </sheetPr>
  <dimension ref="A1:IV73"/>
  <sheetViews>
    <sheetView showGridLines="0" zoomScale="85" workbookViewId="0">
      <pane xSplit="4" ySplit="4" topLeftCell="Z5" activePane="bottomRight" state="frozen"/>
      <selection pane="topRight"/>
      <selection pane="bottomLeft"/>
      <selection pane="bottomRight" activeCell="AS20" sqref="AS20"/>
    </sheetView>
  </sheetViews>
  <sheetFormatPr defaultColWidth="9" defaultRowHeight="15.5" outlineLevelRow="1" outlineLevelCol="1"/>
  <cols>
    <col min="1" max="1" width="3.5" style="375" customWidth="1"/>
    <col min="2" max="2" width="11.6640625" style="376" customWidth="1"/>
    <col min="3" max="3" width="5.5" style="377" customWidth="1"/>
    <col min="4" max="4" width="29.08203125" style="378" customWidth="1"/>
    <col min="5" max="5" width="9.58203125" style="379" customWidth="1"/>
    <col min="6" max="7" width="9.58203125" style="379" hidden="1" outlineLevel="1"/>
    <col min="8" max="8" width="9.58203125" style="379" customWidth="1"/>
    <col min="9" max="10" width="9.58203125" style="379" hidden="1" outlineLevel="1"/>
    <col min="11" max="11" width="9.58203125" style="379" customWidth="1"/>
    <col min="12" max="13" width="9.58203125" style="379" hidden="1" outlineLevel="1"/>
    <col min="14" max="14" width="9.58203125" style="379" customWidth="1"/>
    <col min="15" max="16" width="9.58203125" style="379" hidden="1" outlineLevel="1"/>
    <col min="17" max="17" width="9.58203125" style="379" customWidth="1"/>
    <col min="18" max="19" width="9.58203125" style="379" hidden="1" outlineLevel="1"/>
    <col min="20" max="20" width="9.58203125" style="379" customWidth="1"/>
    <col min="21" max="22" width="9.58203125" style="379" hidden="1" outlineLevel="1"/>
    <col min="23" max="23" width="9.58203125" style="379" customWidth="1"/>
    <col min="24" max="25" width="9.58203125" style="379" hidden="1" outlineLevel="1"/>
    <col min="26" max="26" width="9.58203125" style="379" customWidth="1"/>
    <col min="27" max="28" width="9.58203125" style="379" hidden="1" outlineLevel="1"/>
    <col min="29" max="29" width="9.58203125" style="379" customWidth="1"/>
    <col min="30" max="31" width="11.1640625" style="380" hidden="1" outlineLevel="1"/>
    <col min="32" max="32" width="11.1640625" style="380" customWidth="1"/>
    <col min="33" max="34" width="10" style="380" hidden="1" outlineLevel="1"/>
    <col min="35" max="35" width="2.1640625" style="381" customWidth="1"/>
    <col min="36" max="36" width="10.83203125" style="380" customWidth="1"/>
    <col min="37" max="38" width="10.83203125" style="380" hidden="1" outlineLevel="1"/>
    <col min="39" max="39" width="10.83203125" style="380" customWidth="1"/>
    <col min="40" max="41" width="9.58203125" style="380" hidden="1" outlineLevel="1"/>
    <col min="42" max="42" width="10.83203125" style="380" customWidth="1"/>
    <col min="43" max="44" width="10.83203125" style="380" hidden="1" outlineLevel="1"/>
    <col min="45" max="45" width="10.83203125" style="380" customWidth="1"/>
    <col min="46" max="47" width="9.58203125" style="380" hidden="1" outlineLevel="1"/>
    <col min="48" max="48" width="10.83203125" style="380" customWidth="1"/>
    <col min="49" max="50" width="9.58203125" style="380" hidden="1" outlineLevel="1"/>
    <col min="51" max="51" width="9.58203125" style="380" customWidth="1"/>
    <col min="52" max="53" width="9.58203125" style="380" hidden="1" outlineLevel="1"/>
    <col min="54" max="54" width="9.58203125" style="380" customWidth="1"/>
    <col min="55" max="56" width="9.83203125" style="380" hidden="1" outlineLevel="1"/>
    <col min="57" max="57" width="10.83203125" style="380" customWidth="1"/>
    <col min="58" max="59" width="9.58203125" style="380" hidden="1" outlineLevel="1"/>
    <col min="60" max="60" width="9.83203125" style="380" customWidth="1"/>
    <col min="61" max="62" width="10.6640625" style="380" customWidth="1" outlineLevel="1"/>
    <col min="63" max="63" width="1.83203125" style="382" customWidth="1"/>
    <col min="64" max="64" width="16" style="383" customWidth="1"/>
    <col min="65" max="65" width="10.5" style="383" customWidth="1"/>
    <col min="66" max="66" width="12.6640625" style="383" customWidth="1"/>
    <col min="67" max="67" width="9" style="383" customWidth="1"/>
    <col min="68" max="256" width="9" style="375" customWidth="1"/>
  </cols>
  <sheetData>
    <row r="1" spans="1:68" ht="18" customHeight="1">
      <c r="A1" s="375" t="s">
        <v>2307</v>
      </c>
      <c r="C1" s="2521" t="s">
        <v>2385</v>
      </c>
      <c r="D1" s="2521"/>
      <c r="E1" s="384"/>
      <c r="F1" s="385"/>
      <c r="G1" s="385"/>
      <c r="H1" s="385"/>
      <c r="I1" s="385"/>
      <c r="J1" s="385"/>
      <c r="K1" s="384"/>
      <c r="L1" s="385"/>
      <c r="M1" s="385"/>
      <c r="N1" s="385"/>
      <c r="O1" s="385"/>
      <c r="P1" s="385"/>
      <c r="Q1" s="385"/>
      <c r="R1" s="385"/>
      <c r="S1" s="385"/>
      <c r="T1" s="385"/>
      <c r="U1" s="385"/>
      <c r="V1" s="385"/>
      <c r="W1" s="385"/>
      <c r="X1" s="385"/>
      <c r="Y1" s="385"/>
      <c r="Z1" s="385"/>
      <c r="AA1" s="385"/>
      <c r="AB1" s="385"/>
      <c r="AC1" s="385"/>
      <c r="AD1" s="385"/>
      <c r="AE1" s="385"/>
      <c r="AF1" s="385"/>
      <c r="AG1" s="384"/>
      <c r="AH1" s="384"/>
      <c r="AI1" s="386"/>
      <c r="AJ1" s="387"/>
      <c r="AK1" s="387"/>
      <c r="AL1" s="387"/>
      <c r="AM1" s="387"/>
      <c r="AN1" s="384"/>
      <c r="AO1" s="384"/>
      <c r="AP1" s="387"/>
      <c r="AQ1" s="387"/>
      <c r="AR1" s="387"/>
      <c r="AS1" s="387"/>
      <c r="AT1" s="384"/>
      <c r="AU1" s="384"/>
      <c r="AV1" s="387"/>
      <c r="AW1" s="384"/>
      <c r="AX1" s="384"/>
      <c r="AY1" s="384"/>
      <c r="AZ1" s="384"/>
      <c r="BA1" s="384"/>
      <c r="BB1" s="384"/>
      <c r="BC1" s="384"/>
      <c r="BD1" s="384"/>
      <c r="BE1" s="387"/>
      <c r="BF1" s="384"/>
      <c r="BG1" s="384"/>
      <c r="BH1" s="384"/>
      <c r="BI1" s="384"/>
      <c r="BJ1" s="384"/>
      <c r="BK1" s="388"/>
      <c r="BL1" s="389"/>
    </row>
    <row r="2" spans="1:68" ht="18" customHeight="1">
      <c r="C2" s="1013"/>
      <c r="D2" s="1013"/>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6"/>
      <c r="AJ2" s="390"/>
      <c r="AK2" s="390"/>
      <c r="AL2" s="390"/>
      <c r="AM2" s="390"/>
      <c r="AN2" s="384"/>
      <c r="AO2" s="384"/>
      <c r="AP2" s="390"/>
      <c r="AQ2" s="390"/>
      <c r="AR2" s="390"/>
      <c r="AS2" s="390"/>
      <c r="AT2" s="384"/>
      <c r="AU2" s="384"/>
      <c r="AV2" s="390"/>
      <c r="AW2" s="384"/>
      <c r="AX2" s="384"/>
      <c r="AY2" s="384"/>
      <c r="AZ2" s="384"/>
      <c r="BA2" s="384"/>
      <c r="BB2" s="384"/>
      <c r="BC2" s="384"/>
      <c r="BD2" s="384"/>
      <c r="BE2" s="390"/>
      <c r="BF2" s="384"/>
      <c r="BG2" s="384"/>
      <c r="BH2" s="384"/>
      <c r="BI2" s="384"/>
      <c r="BJ2" s="384"/>
      <c r="BK2" s="388"/>
      <c r="BL2" s="389"/>
    </row>
    <row r="3" spans="1:68" ht="20.149999999999999" customHeight="1">
      <c r="B3" s="2508"/>
      <c r="C3" s="2508" t="s">
        <v>25</v>
      </c>
      <c r="D3" s="2515" t="s">
        <v>2386</v>
      </c>
      <c r="E3" s="2510"/>
      <c r="F3" s="2510"/>
      <c r="G3" s="2510"/>
      <c r="H3" s="2510"/>
      <c r="I3" s="2510"/>
      <c r="J3" s="2510"/>
      <c r="K3" s="2510"/>
      <c r="L3" s="2510"/>
      <c r="M3" s="2510"/>
      <c r="N3" s="2510"/>
      <c r="O3" s="2510"/>
      <c r="P3" s="2510"/>
      <c r="Q3" s="2510"/>
      <c r="R3" s="2510"/>
      <c r="S3" s="2510"/>
      <c r="T3" s="2510"/>
      <c r="U3" s="2510"/>
      <c r="V3" s="2510"/>
      <c r="W3" s="2510"/>
      <c r="X3" s="2510"/>
      <c r="Y3" s="2510"/>
      <c r="Z3" s="2510"/>
      <c r="AA3" s="2510"/>
      <c r="AB3" s="2510"/>
      <c r="AC3" s="2510"/>
      <c r="AD3" s="2510"/>
      <c r="AE3" s="2510"/>
      <c r="AF3" s="2510"/>
      <c r="AG3" s="2510"/>
      <c r="AH3" s="2511"/>
      <c r="AI3" s="391"/>
      <c r="AJ3" s="2509" t="s">
        <v>2298</v>
      </c>
      <c r="AK3" s="2510"/>
      <c r="AL3" s="2510"/>
      <c r="AM3" s="2510"/>
      <c r="AN3" s="2510"/>
      <c r="AO3" s="2510"/>
      <c r="AP3" s="2510"/>
      <c r="AQ3" s="2510"/>
      <c r="AR3" s="2510"/>
      <c r="AS3" s="2510"/>
      <c r="AT3" s="2510"/>
      <c r="AU3" s="2510"/>
      <c r="AV3" s="2510"/>
      <c r="AW3" s="2510"/>
      <c r="AX3" s="2510"/>
      <c r="AY3" s="2510"/>
      <c r="AZ3" s="2510"/>
      <c r="BA3" s="2510"/>
      <c r="BB3" s="2510"/>
      <c r="BC3" s="2510"/>
      <c r="BD3" s="2510"/>
      <c r="BE3" s="2510"/>
      <c r="BF3" s="2510"/>
      <c r="BG3" s="2510"/>
      <c r="BH3" s="2510"/>
      <c r="BI3" s="2510"/>
      <c r="BJ3" s="2510"/>
      <c r="BK3" s="2511"/>
      <c r="BL3" s="2516" t="s">
        <v>2387</v>
      </c>
    </row>
    <row r="4" spans="1:68" s="392" customFormat="1" ht="32" customHeight="1">
      <c r="B4" s="2508"/>
      <c r="C4" s="2508"/>
      <c r="D4" s="2515"/>
      <c r="E4" s="2512">
        <f>'3-规划指标'!C20</f>
        <v>0</v>
      </c>
      <c r="F4" s="2513"/>
      <c r="G4" s="2514"/>
      <c r="H4" s="2512">
        <f>'3-规划指标'!C21</f>
        <v>0</v>
      </c>
      <c r="I4" s="2513"/>
      <c r="J4" s="2513"/>
      <c r="K4" s="2512" t="str">
        <f>'3-规划指标'!C26</f>
        <v>大商业（4-5F）</v>
      </c>
      <c r="L4" s="2513"/>
      <c r="M4" s="2514"/>
      <c r="N4" s="2512" t="str">
        <f>'3-规划指标'!C24</f>
        <v>星级办公（22-26F）</v>
      </c>
      <c r="O4" s="2513"/>
      <c r="P4" s="2513"/>
      <c r="Q4" s="2512" t="str">
        <f>'3-规划指标'!C25</f>
        <v>商墅（3-5F）</v>
      </c>
      <c r="R4" s="2513"/>
      <c r="S4" s="2513"/>
      <c r="T4" s="2512" t="str">
        <f>+'3-规划指标'!C27</f>
        <v>高层公寓(16F)</v>
      </c>
      <c r="U4" s="2513"/>
      <c r="V4" s="2513"/>
      <c r="W4" s="2512" t="s">
        <v>2388</v>
      </c>
      <c r="X4" s="2513"/>
      <c r="Y4" s="2514"/>
      <c r="Z4" s="2512" t="s">
        <v>2389</v>
      </c>
      <c r="AA4" s="2513"/>
      <c r="AB4" s="2513"/>
      <c r="AC4" s="2512" t="s">
        <v>2390</v>
      </c>
      <c r="AD4" s="2513"/>
      <c r="AE4" s="2514"/>
      <c r="AF4" s="2509" t="s">
        <v>2391</v>
      </c>
      <c r="AG4" s="2510"/>
      <c r="AH4" s="2511"/>
      <c r="AI4" s="391"/>
      <c r="AJ4" s="2509">
        <f>E4</f>
        <v>0</v>
      </c>
      <c r="AK4" s="2510"/>
      <c r="AL4" s="2511"/>
      <c r="AM4" s="2509">
        <f>H4</f>
        <v>0</v>
      </c>
      <c r="AN4" s="2510"/>
      <c r="AO4" s="2511"/>
      <c r="AP4" s="2509" t="str">
        <f>K4</f>
        <v>大商业（4-5F）</v>
      </c>
      <c r="AQ4" s="2510"/>
      <c r="AR4" s="2511"/>
      <c r="AS4" s="2509" t="str">
        <f>N4</f>
        <v>星级办公（22-26F）</v>
      </c>
      <c r="AT4" s="2510"/>
      <c r="AU4" s="2511"/>
      <c r="AV4" s="2509" t="str">
        <f>Q4</f>
        <v>商墅（3-5F）</v>
      </c>
      <c r="AW4" s="2510"/>
      <c r="AX4" s="2511"/>
      <c r="AY4" s="2509" t="str">
        <f>T4</f>
        <v>高层公寓(16F)</v>
      </c>
      <c r="AZ4" s="2510"/>
      <c r="BA4" s="2511"/>
      <c r="BB4" s="2509" t="str">
        <f>W4</f>
        <v>地库</v>
      </c>
      <c r="BC4" s="2510"/>
      <c r="BD4" s="2511"/>
      <c r="BE4" s="2509" t="str">
        <f>Z4</f>
        <v>配套用房</v>
      </c>
      <c r="BF4" s="2510"/>
      <c r="BG4" s="2511"/>
      <c r="BH4" s="2522" t="s">
        <v>2298</v>
      </c>
      <c r="BI4" s="2523"/>
      <c r="BJ4" s="2524"/>
      <c r="BK4" s="393"/>
      <c r="BL4" s="2516"/>
      <c r="BM4" s="394"/>
      <c r="BN4" s="394"/>
      <c r="BO4" s="394"/>
    </row>
    <row r="5" spans="1:68" s="392" customFormat="1" ht="32" customHeight="1">
      <c r="B5" s="1014"/>
      <c r="C5" s="1014"/>
      <c r="D5" s="1015"/>
      <c r="E5" s="1015" t="s">
        <v>994</v>
      </c>
      <c r="F5" s="1015" t="s">
        <v>995</v>
      </c>
      <c r="G5" s="1015" t="s">
        <v>996</v>
      </c>
      <c r="H5" s="1015" t="s">
        <v>994</v>
      </c>
      <c r="I5" s="1015" t="s">
        <v>995</v>
      </c>
      <c r="J5" s="1015" t="s">
        <v>996</v>
      </c>
      <c r="K5" s="1015" t="s">
        <v>994</v>
      </c>
      <c r="L5" s="1015" t="s">
        <v>995</v>
      </c>
      <c r="M5" s="1015" t="s">
        <v>996</v>
      </c>
      <c r="N5" s="1015" t="s">
        <v>994</v>
      </c>
      <c r="O5" s="1015" t="s">
        <v>995</v>
      </c>
      <c r="P5" s="1015" t="s">
        <v>996</v>
      </c>
      <c r="Q5" s="1015" t="s">
        <v>994</v>
      </c>
      <c r="R5" s="1015" t="s">
        <v>995</v>
      </c>
      <c r="S5" s="1015" t="s">
        <v>996</v>
      </c>
      <c r="T5" s="1015" t="s">
        <v>994</v>
      </c>
      <c r="U5" s="1015" t="s">
        <v>995</v>
      </c>
      <c r="V5" s="1015" t="s">
        <v>996</v>
      </c>
      <c r="W5" s="1015" t="s">
        <v>994</v>
      </c>
      <c r="X5" s="1015" t="s">
        <v>995</v>
      </c>
      <c r="Y5" s="1015" t="s">
        <v>996</v>
      </c>
      <c r="Z5" s="1015" t="s">
        <v>994</v>
      </c>
      <c r="AA5" s="1015" t="s">
        <v>995</v>
      </c>
      <c r="AB5" s="1015" t="s">
        <v>996</v>
      </c>
      <c r="AC5" s="1015" t="s">
        <v>994</v>
      </c>
      <c r="AD5" s="1015" t="s">
        <v>995</v>
      </c>
      <c r="AE5" s="1015" t="s">
        <v>996</v>
      </c>
      <c r="AF5" s="1015" t="s">
        <v>994</v>
      </c>
      <c r="AG5" s="1015" t="s">
        <v>995</v>
      </c>
      <c r="AH5" s="1015" t="s">
        <v>996</v>
      </c>
      <c r="AI5" s="391"/>
      <c r="AJ5" s="1015" t="s">
        <v>2298</v>
      </c>
      <c r="AK5" s="1015" t="s">
        <v>2392</v>
      </c>
      <c r="AL5" s="1015" t="s">
        <v>2393</v>
      </c>
      <c r="AM5" s="1015" t="s">
        <v>2298</v>
      </c>
      <c r="AN5" s="1015" t="s">
        <v>2392</v>
      </c>
      <c r="AO5" s="1015" t="s">
        <v>2393</v>
      </c>
      <c r="AP5" s="1015" t="s">
        <v>2298</v>
      </c>
      <c r="AQ5" s="1015" t="s">
        <v>2392</v>
      </c>
      <c r="AR5" s="1015" t="s">
        <v>2393</v>
      </c>
      <c r="AS5" s="1015" t="s">
        <v>2298</v>
      </c>
      <c r="AT5" s="1015" t="s">
        <v>2392</v>
      </c>
      <c r="AU5" s="1015" t="s">
        <v>2393</v>
      </c>
      <c r="AV5" s="1015" t="s">
        <v>2298</v>
      </c>
      <c r="AW5" s="1015" t="s">
        <v>2392</v>
      </c>
      <c r="AX5" s="1015" t="s">
        <v>2393</v>
      </c>
      <c r="AY5" s="1015" t="s">
        <v>2298</v>
      </c>
      <c r="AZ5" s="1015" t="s">
        <v>2392</v>
      </c>
      <c r="BA5" s="1015" t="s">
        <v>2393</v>
      </c>
      <c r="BB5" s="1015" t="s">
        <v>2298</v>
      </c>
      <c r="BC5" s="1015" t="s">
        <v>2392</v>
      </c>
      <c r="BD5" s="1015" t="s">
        <v>2393</v>
      </c>
      <c r="BE5" s="1015" t="s">
        <v>2298</v>
      </c>
      <c r="BF5" s="1015" t="s">
        <v>2392</v>
      </c>
      <c r="BG5" s="1015" t="s">
        <v>2393</v>
      </c>
      <c r="BH5" s="1015" t="s">
        <v>2298</v>
      </c>
      <c r="BI5" s="1015" t="s">
        <v>2392</v>
      </c>
      <c r="BJ5" s="1015" t="s">
        <v>2393</v>
      </c>
      <c r="BK5" s="393"/>
      <c r="BL5" s="1016"/>
      <c r="BM5" s="394"/>
      <c r="BN5" s="394"/>
      <c r="BO5" s="394"/>
    </row>
    <row r="6" spans="1:68" s="392" customFormat="1" ht="15.75" customHeight="1">
      <c r="B6" s="397"/>
      <c r="C6" s="397"/>
      <c r="D6" s="398" t="s">
        <v>2394</v>
      </c>
      <c r="E6" s="399" t="s">
        <v>2395</v>
      </c>
      <c r="F6" s="399" t="s">
        <v>2395</v>
      </c>
      <c r="G6" s="399" t="s">
        <v>2395</v>
      </c>
      <c r="H6" s="399" t="s">
        <v>2395</v>
      </c>
      <c r="I6" s="399" t="s">
        <v>2395</v>
      </c>
      <c r="J6" s="399" t="s">
        <v>2395</v>
      </c>
      <c r="K6" s="399" t="s">
        <v>2395</v>
      </c>
      <c r="L6" s="399" t="s">
        <v>2395</v>
      </c>
      <c r="M6" s="399" t="s">
        <v>2395</v>
      </c>
      <c r="N6" s="399" t="s">
        <v>2395</v>
      </c>
      <c r="O6" s="399" t="s">
        <v>2395</v>
      </c>
      <c r="P6" s="399" t="s">
        <v>2395</v>
      </c>
      <c r="Q6" s="399" t="s">
        <v>2395</v>
      </c>
      <c r="R6" s="399" t="s">
        <v>2395</v>
      </c>
      <c r="S6" s="399" t="s">
        <v>2395</v>
      </c>
      <c r="T6" s="399" t="s">
        <v>2395</v>
      </c>
      <c r="U6" s="399" t="s">
        <v>2395</v>
      </c>
      <c r="V6" s="399" t="s">
        <v>2395</v>
      </c>
      <c r="W6" s="399" t="s">
        <v>2395</v>
      </c>
      <c r="X6" s="399" t="s">
        <v>2395</v>
      </c>
      <c r="Y6" s="399" t="s">
        <v>2395</v>
      </c>
      <c r="Z6" s="399" t="s">
        <v>2395</v>
      </c>
      <c r="AA6" s="399" t="s">
        <v>2395</v>
      </c>
      <c r="AB6" s="399" t="s">
        <v>2395</v>
      </c>
      <c r="AC6" s="399" t="s">
        <v>2395</v>
      </c>
      <c r="AD6" s="399" t="s">
        <v>2395</v>
      </c>
      <c r="AE6" s="399" t="s">
        <v>2395</v>
      </c>
      <c r="AF6" s="399" t="s">
        <v>2395</v>
      </c>
      <c r="AG6" s="399" t="s">
        <v>2395</v>
      </c>
      <c r="AH6" s="399" t="s">
        <v>2395</v>
      </c>
      <c r="AI6" s="400"/>
      <c r="AJ6" s="399">
        <f>'3-规划指标'!H20</f>
        <v>0</v>
      </c>
      <c r="AK6" s="399">
        <f>AJ6</f>
        <v>0</v>
      </c>
      <c r="AL6" s="399">
        <f>AJ6</f>
        <v>0</v>
      </c>
      <c r="AM6" s="399">
        <f>'3-规划指标'!H21</f>
        <v>0</v>
      </c>
      <c r="AN6" s="399">
        <f>AM6</f>
        <v>0</v>
      </c>
      <c r="AO6" s="399">
        <f>AM6</f>
        <v>0</v>
      </c>
      <c r="AP6" s="399">
        <f>'3-规划指标'!H26</f>
        <v>0</v>
      </c>
      <c r="AQ6" s="399">
        <f>AP6</f>
        <v>0</v>
      </c>
      <c r="AR6" s="399">
        <f>AP6</f>
        <v>0</v>
      </c>
      <c r="AS6" s="399">
        <f>'3-规划指标'!H24</f>
        <v>0</v>
      </c>
      <c r="AT6" s="399">
        <f>AS6</f>
        <v>0</v>
      </c>
      <c r="AU6" s="399">
        <f>AS6</f>
        <v>0</v>
      </c>
      <c r="AV6" s="399">
        <f>'3-规划指标'!H25</f>
        <v>0</v>
      </c>
      <c r="AW6" s="399">
        <f>AV6</f>
        <v>0</v>
      </c>
      <c r="AX6" s="399">
        <f>AV6</f>
        <v>0</v>
      </c>
      <c r="AY6" s="399">
        <f>+'3-规划指标'!H27</f>
        <v>0</v>
      </c>
      <c r="AZ6" s="399">
        <f>AY6</f>
        <v>0</v>
      </c>
      <c r="BA6" s="399">
        <f>AY6</f>
        <v>0</v>
      </c>
      <c r="BB6" s="399">
        <f>'3-规划指标'!H43</f>
        <v>0</v>
      </c>
      <c r="BC6" s="399">
        <f>BB6</f>
        <v>0</v>
      </c>
      <c r="BD6" s="399">
        <f>BB6</f>
        <v>0</v>
      </c>
      <c r="BE6" s="399"/>
      <c r="BF6" s="399"/>
      <c r="BG6" s="399"/>
      <c r="BH6" s="399">
        <f>AJ6+AM6+AP6+AS6+AV6+BB6+BE6+AY6</f>
        <v>0</v>
      </c>
      <c r="BI6" s="399">
        <f>BH6</f>
        <v>0</v>
      </c>
      <c r="BJ6" s="399">
        <f>BH6</f>
        <v>0</v>
      </c>
      <c r="BK6" s="400"/>
      <c r="BL6" s="401"/>
      <c r="BM6" s="402"/>
      <c r="BN6" s="402"/>
      <c r="BO6" s="402"/>
    </row>
    <row r="7" spans="1:68" s="392" customFormat="1" ht="15.75" customHeight="1">
      <c r="B7" s="397"/>
      <c r="C7" s="397"/>
      <c r="D7" s="398" t="s">
        <v>2396</v>
      </c>
      <c r="E7" s="399" t="s">
        <v>2397</v>
      </c>
      <c r="F7" s="399" t="s">
        <v>2397</v>
      </c>
      <c r="G7" s="399" t="s">
        <v>2397</v>
      </c>
      <c r="H7" s="399" t="s">
        <v>2397</v>
      </c>
      <c r="I7" s="399" t="s">
        <v>2397</v>
      </c>
      <c r="J7" s="399" t="s">
        <v>2397</v>
      </c>
      <c r="K7" s="399" t="s">
        <v>2397</v>
      </c>
      <c r="L7" s="399" t="s">
        <v>2397</v>
      </c>
      <c r="M7" s="399" t="s">
        <v>2397</v>
      </c>
      <c r="N7" s="399" t="s">
        <v>2397</v>
      </c>
      <c r="O7" s="399" t="s">
        <v>2397</v>
      </c>
      <c r="P7" s="399" t="s">
        <v>2397</v>
      </c>
      <c r="Q7" s="399" t="s">
        <v>2397</v>
      </c>
      <c r="R7" s="399" t="s">
        <v>2397</v>
      </c>
      <c r="S7" s="399" t="s">
        <v>2397</v>
      </c>
      <c r="T7" s="399" t="s">
        <v>2397</v>
      </c>
      <c r="U7" s="399" t="s">
        <v>2397</v>
      </c>
      <c r="V7" s="399" t="s">
        <v>2397</v>
      </c>
      <c r="W7" s="399" t="s">
        <v>2397</v>
      </c>
      <c r="X7" s="399" t="s">
        <v>2397</v>
      </c>
      <c r="Y7" s="399" t="s">
        <v>2397</v>
      </c>
      <c r="Z7" s="399" t="s">
        <v>2397</v>
      </c>
      <c r="AA7" s="399" t="s">
        <v>2397</v>
      </c>
      <c r="AB7" s="399" t="s">
        <v>2397</v>
      </c>
      <c r="AC7" s="399" t="s">
        <v>2397</v>
      </c>
      <c r="AD7" s="399" t="s">
        <v>2397</v>
      </c>
      <c r="AE7" s="399" t="s">
        <v>2397</v>
      </c>
      <c r="AF7" s="399" t="s">
        <v>2397</v>
      </c>
      <c r="AG7" s="399" t="s">
        <v>2397</v>
      </c>
      <c r="AH7" s="399" t="s">
        <v>2397</v>
      </c>
      <c r="AI7" s="400"/>
      <c r="AJ7" s="399">
        <f>'3-规划指标'!I20</f>
        <v>0</v>
      </c>
      <c r="AK7" s="399">
        <f>AJ7</f>
        <v>0</v>
      </c>
      <c r="AL7" s="399">
        <f>AJ7</f>
        <v>0</v>
      </c>
      <c r="AM7" s="399">
        <f>'3-规划指标'!I21</f>
        <v>0</v>
      </c>
      <c r="AN7" s="399">
        <f>AM7</f>
        <v>0</v>
      </c>
      <c r="AO7" s="399">
        <f>AM7</f>
        <v>0</v>
      </c>
      <c r="AP7" s="399">
        <f>'3-规划指标'!I26</f>
        <v>0</v>
      </c>
      <c r="AQ7" s="399">
        <f>AP7</f>
        <v>0</v>
      </c>
      <c r="AR7" s="399">
        <f>AP7</f>
        <v>0</v>
      </c>
      <c r="AS7" s="399">
        <f>'3-规划指标'!I24</f>
        <v>0</v>
      </c>
      <c r="AT7" s="399">
        <f>AS7</f>
        <v>0</v>
      </c>
      <c r="AU7" s="399">
        <f>AS7</f>
        <v>0</v>
      </c>
      <c r="AV7" s="399">
        <f>'3-规划指标'!I25</f>
        <v>0</v>
      </c>
      <c r="AW7" s="399">
        <f>AV7</f>
        <v>0</v>
      </c>
      <c r="AX7" s="399">
        <f>AV7</f>
        <v>0</v>
      </c>
      <c r="AY7" s="399">
        <f>'3-规划指标'!I27</f>
        <v>0</v>
      </c>
      <c r="AZ7" s="399">
        <f>AY7</f>
        <v>0</v>
      </c>
      <c r="BA7" s="399">
        <f>AY7</f>
        <v>0</v>
      </c>
      <c r="BB7" s="399">
        <f>'3-规划指标'!I43</f>
        <v>0</v>
      </c>
      <c r="BC7" s="399">
        <f>BB7</f>
        <v>0</v>
      </c>
      <c r="BD7" s="399">
        <f>BB7</f>
        <v>0</v>
      </c>
      <c r="BE7" s="399"/>
      <c r="BF7" s="399"/>
      <c r="BG7" s="399"/>
      <c r="BH7" s="399">
        <f>AJ7+AM7+AP7+AS7+AV7+BB7+BE7+AY7</f>
        <v>0</v>
      </c>
      <c r="BI7" s="399">
        <f>BH7</f>
        <v>0</v>
      </c>
      <c r="BJ7" s="399">
        <f>BH7</f>
        <v>0</v>
      </c>
      <c r="BK7" s="400"/>
      <c r="BL7" s="401"/>
      <c r="BM7" s="402"/>
      <c r="BN7" s="402"/>
      <c r="BO7" s="402"/>
    </row>
    <row r="8" spans="1:68" s="392" customFormat="1" ht="15.75" customHeight="1">
      <c r="B8" s="397"/>
      <c r="C8" s="397"/>
      <c r="D8" s="398" t="s">
        <v>2398</v>
      </c>
      <c r="E8" s="399" t="s">
        <v>2397</v>
      </c>
      <c r="F8" s="399" t="s">
        <v>2397</v>
      </c>
      <c r="G8" s="399" t="s">
        <v>2397</v>
      </c>
      <c r="H8" s="399" t="s">
        <v>2397</v>
      </c>
      <c r="I8" s="399" t="s">
        <v>2397</v>
      </c>
      <c r="J8" s="399" t="s">
        <v>2397</v>
      </c>
      <c r="K8" s="399" t="s">
        <v>2397</v>
      </c>
      <c r="L8" s="399" t="s">
        <v>2397</v>
      </c>
      <c r="M8" s="399" t="s">
        <v>2397</v>
      </c>
      <c r="N8" s="399" t="s">
        <v>2397</v>
      </c>
      <c r="O8" s="399" t="s">
        <v>2397</v>
      </c>
      <c r="P8" s="399" t="s">
        <v>2397</v>
      </c>
      <c r="Q8" s="399" t="s">
        <v>2397</v>
      </c>
      <c r="R8" s="399" t="s">
        <v>2397</v>
      </c>
      <c r="S8" s="399" t="s">
        <v>2397</v>
      </c>
      <c r="T8" s="399" t="s">
        <v>2397</v>
      </c>
      <c r="U8" s="399" t="s">
        <v>2397</v>
      </c>
      <c r="V8" s="399" t="s">
        <v>2397</v>
      </c>
      <c r="W8" s="399" t="s">
        <v>2397</v>
      </c>
      <c r="X8" s="399" t="s">
        <v>2397</v>
      </c>
      <c r="Y8" s="399" t="s">
        <v>2397</v>
      </c>
      <c r="Z8" s="399" t="s">
        <v>2397</v>
      </c>
      <c r="AA8" s="399" t="s">
        <v>2397</v>
      </c>
      <c r="AB8" s="399" t="s">
        <v>2397</v>
      </c>
      <c r="AC8" s="399" t="s">
        <v>2397</v>
      </c>
      <c r="AD8" s="399" t="s">
        <v>2397</v>
      </c>
      <c r="AE8" s="399" t="s">
        <v>2397</v>
      </c>
      <c r="AF8" s="399" t="s">
        <v>2397</v>
      </c>
      <c r="AG8" s="399" t="s">
        <v>2397</v>
      </c>
      <c r="AH8" s="399" t="s">
        <v>2397</v>
      </c>
      <c r="AI8" s="400"/>
      <c r="AJ8" s="399">
        <f>'3-规划指标'!D20</f>
        <v>0</v>
      </c>
      <c r="AK8" s="399">
        <f>AJ8</f>
        <v>0</v>
      </c>
      <c r="AL8" s="399">
        <f>AJ8</f>
        <v>0</v>
      </c>
      <c r="AM8" s="399">
        <f>'3-规划指标'!D21</f>
        <v>0</v>
      </c>
      <c r="AN8" s="399">
        <f>AM8</f>
        <v>0</v>
      </c>
      <c r="AO8" s="399">
        <f>AM8</f>
        <v>0</v>
      </c>
      <c r="AP8" s="399">
        <f>'3-规划指标'!D26</f>
        <v>0</v>
      </c>
      <c r="AQ8" s="399">
        <f>AP8</f>
        <v>0</v>
      </c>
      <c r="AR8" s="399">
        <f>AP8</f>
        <v>0</v>
      </c>
      <c r="AS8" s="399">
        <f>'3-规划指标'!D24</f>
        <v>0</v>
      </c>
      <c r="AT8" s="399">
        <f>AS8</f>
        <v>0</v>
      </c>
      <c r="AU8" s="399">
        <f>AS8</f>
        <v>0</v>
      </c>
      <c r="AV8" s="399">
        <f>'3-规划指标'!D25</f>
        <v>0</v>
      </c>
      <c r="AW8" s="399">
        <f>AV8</f>
        <v>0</v>
      </c>
      <c r="AX8" s="399">
        <f>AV8</f>
        <v>0</v>
      </c>
      <c r="AY8" s="399">
        <f>'3-规划指标'!D27</f>
        <v>0</v>
      </c>
      <c r="AZ8" s="399">
        <f>AY8</f>
        <v>0</v>
      </c>
      <c r="BA8" s="399">
        <f>AY8</f>
        <v>0</v>
      </c>
      <c r="BB8" s="399">
        <v>0</v>
      </c>
      <c r="BC8" s="399">
        <f>BB8</f>
        <v>0</v>
      </c>
      <c r="BD8" s="399">
        <f>BB8</f>
        <v>0</v>
      </c>
      <c r="BE8" s="399"/>
      <c r="BF8" s="399"/>
      <c r="BG8" s="399"/>
      <c r="BH8" s="399">
        <f>AJ8+AM8+AP8+AS8+AV8+BB8+BE8+AY8</f>
        <v>0</v>
      </c>
      <c r="BI8" s="399">
        <f>BH8</f>
        <v>0</v>
      </c>
      <c r="BJ8" s="399">
        <f>BH8</f>
        <v>0</v>
      </c>
      <c r="BK8" s="400"/>
      <c r="BL8" s="401"/>
      <c r="BM8" s="402"/>
      <c r="BN8" s="402"/>
      <c r="BO8" s="402"/>
    </row>
    <row r="9" spans="1:68" s="403" customFormat="1" ht="15.75" customHeight="1" collapsed="1">
      <c r="B9" s="404">
        <v>5001.01</v>
      </c>
      <c r="C9" s="405" t="s">
        <v>26</v>
      </c>
      <c r="D9" s="406" t="s">
        <v>2399</v>
      </c>
      <c r="E9" s="407" t="str">
        <f t="shared" ref="E9:T24" si="0">IF(AJ$7=0,"",AJ9*10000/AJ$7)</f>
        <v/>
      </c>
      <c r="F9" s="407" t="str">
        <f t="shared" si="0"/>
        <v/>
      </c>
      <c r="G9" s="407" t="str">
        <f t="shared" si="0"/>
        <v/>
      </c>
      <c r="H9" s="407" t="str">
        <f t="shared" si="0"/>
        <v/>
      </c>
      <c r="I9" s="407" t="str">
        <f t="shared" si="0"/>
        <v/>
      </c>
      <c r="J9" s="407" t="str">
        <f t="shared" si="0"/>
        <v/>
      </c>
      <c r="K9" s="407" t="str">
        <f t="shared" si="0"/>
        <v/>
      </c>
      <c r="L9" s="407" t="str">
        <f t="shared" si="0"/>
        <v/>
      </c>
      <c r="M9" s="407" t="str">
        <f t="shared" si="0"/>
        <v/>
      </c>
      <c r="N9" s="407" t="str">
        <f t="shared" si="0"/>
        <v/>
      </c>
      <c r="O9" s="407" t="str">
        <f t="shared" si="0"/>
        <v/>
      </c>
      <c r="P9" s="407" t="str">
        <f t="shared" si="0"/>
        <v/>
      </c>
      <c r="Q9" s="407" t="str">
        <f t="shared" si="0"/>
        <v/>
      </c>
      <c r="R9" s="407" t="str">
        <f t="shared" si="0"/>
        <v/>
      </c>
      <c r="S9" s="407" t="str">
        <f t="shared" si="0"/>
        <v/>
      </c>
      <c r="T9" s="407" t="str">
        <f>IF(AY$7=0,"",AY9*10000/AY$7)</f>
        <v/>
      </c>
      <c r="U9" s="407" t="str">
        <f t="shared" ref="U9:AB41" si="1">IF(AZ$7=0,"",AZ9*10000/AZ$7)</f>
        <v/>
      </c>
      <c r="V9" s="407" t="str">
        <f t="shared" si="1"/>
        <v/>
      </c>
      <c r="W9" s="407" t="str">
        <f t="shared" si="1"/>
        <v/>
      </c>
      <c r="X9" s="407" t="str">
        <f t="shared" si="1"/>
        <v/>
      </c>
      <c r="Y9" s="407" t="str">
        <f t="shared" si="1"/>
        <v/>
      </c>
      <c r="Z9" s="407" t="str">
        <f>IF(BE$7=0,"",BE9*10000/BE$7)</f>
        <v/>
      </c>
      <c r="AA9" s="407" t="str">
        <f>IF(BF$7=0,"",BF9*10000/BF$7)</f>
        <v/>
      </c>
      <c r="AB9" s="407" t="str">
        <f>IF(BG$7=0,"",BG9*10000/BG$7)</f>
        <v/>
      </c>
      <c r="AC9" s="407" t="str">
        <f t="shared" ref="AC9:AE42" si="2">IF(BH$7=0,"",BH9*10000/BH$7)</f>
        <v/>
      </c>
      <c r="AD9" s="407" t="str">
        <f t="shared" si="2"/>
        <v/>
      </c>
      <c r="AE9" s="407" t="str">
        <f t="shared" si="2"/>
        <v/>
      </c>
      <c r="AF9" s="407" t="str">
        <f t="shared" ref="AF9:AH42" si="3">IF(BH$7=0,"",BH9*10000/(BH$7-BB$7))</f>
        <v/>
      </c>
      <c r="AG9" s="407" t="str">
        <f t="shared" si="3"/>
        <v/>
      </c>
      <c r="AH9" s="407" t="str">
        <f t="shared" si="3"/>
        <v/>
      </c>
      <c r="AI9" s="408"/>
      <c r="AJ9" s="409">
        <f>AJ10+AJ12</f>
        <v>0</v>
      </c>
      <c r="AK9" s="409">
        <f t="shared" ref="AK9:BJ9" si="4">AK10+AK12</f>
        <v>0</v>
      </c>
      <c r="AL9" s="409">
        <f t="shared" si="4"/>
        <v>0</v>
      </c>
      <c r="AM9" s="409">
        <f t="shared" si="4"/>
        <v>0</v>
      </c>
      <c r="AN9" s="409">
        <f t="shared" si="4"/>
        <v>0</v>
      </c>
      <c r="AO9" s="409">
        <f t="shared" si="4"/>
        <v>0</v>
      </c>
      <c r="AP9" s="409">
        <f t="shared" si="4"/>
        <v>0</v>
      </c>
      <c r="AQ9" s="409">
        <f t="shared" si="4"/>
        <v>0</v>
      </c>
      <c r="AR9" s="409">
        <f t="shared" si="4"/>
        <v>0</v>
      </c>
      <c r="AS9" s="409">
        <f t="shared" si="4"/>
        <v>0</v>
      </c>
      <c r="AT9" s="409">
        <f t="shared" si="4"/>
        <v>0</v>
      </c>
      <c r="AU9" s="409">
        <f t="shared" si="4"/>
        <v>0</v>
      </c>
      <c r="AV9" s="409">
        <f t="shared" si="4"/>
        <v>0</v>
      </c>
      <c r="AW9" s="409">
        <f t="shared" si="4"/>
        <v>0</v>
      </c>
      <c r="AX9" s="409">
        <f t="shared" si="4"/>
        <v>0</v>
      </c>
      <c r="AY9" s="409">
        <f t="shared" si="4"/>
        <v>0</v>
      </c>
      <c r="AZ9" s="409">
        <f t="shared" si="4"/>
        <v>0</v>
      </c>
      <c r="BA9" s="409">
        <f t="shared" si="4"/>
        <v>0</v>
      </c>
      <c r="BB9" s="409">
        <f t="shared" si="4"/>
        <v>0</v>
      </c>
      <c r="BC9" s="409">
        <f t="shared" si="4"/>
        <v>0</v>
      </c>
      <c r="BD9" s="409">
        <f t="shared" si="4"/>
        <v>0</v>
      </c>
      <c r="BE9" s="409"/>
      <c r="BF9" s="409"/>
      <c r="BG9" s="409"/>
      <c r="BH9" s="409">
        <f>BH10+BH12</f>
        <v>0</v>
      </c>
      <c r="BI9" s="409">
        <f>BI10+BI12</f>
        <v>0</v>
      </c>
      <c r="BJ9" s="409">
        <f t="shared" si="4"/>
        <v>0</v>
      </c>
      <c r="BK9" s="410"/>
      <c r="BL9" s="411"/>
      <c r="BM9" s="402"/>
      <c r="BN9" s="402"/>
      <c r="BO9" s="402"/>
      <c r="BP9" s="392"/>
    </row>
    <row r="10" spans="1:68" ht="15.75" hidden="1" customHeight="1" outlineLevel="1">
      <c r="B10" s="412" t="s">
        <v>2400</v>
      </c>
      <c r="C10" s="413">
        <v>1</v>
      </c>
      <c r="D10" s="414" t="s">
        <v>376</v>
      </c>
      <c r="E10" s="415" t="str">
        <f>IF(AJ$7=0,"",AJ10*10000/AJ$7)</f>
        <v/>
      </c>
      <c r="F10" s="415" t="str">
        <f t="shared" si="0"/>
        <v/>
      </c>
      <c r="G10" s="415" t="str">
        <f t="shared" si="0"/>
        <v/>
      </c>
      <c r="H10" s="415" t="str">
        <f>IF(AM$7=0,"",AM10*10000/AM$7)</f>
        <v/>
      </c>
      <c r="I10" s="415" t="str">
        <f t="shared" si="0"/>
        <v/>
      </c>
      <c r="J10" s="415" t="str">
        <f t="shared" si="0"/>
        <v/>
      </c>
      <c r="K10" s="415" t="str">
        <f t="shared" si="0"/>
        <v/>
      </c>
      <c r="L10" s="415" t="str">
        <f t="shared" si="0"/>
        <v/>
      </c>
      <c r="M10" s="415" t="str">
        <f t="shared" si="0"/>
        <v/>
      </c>
      <c r="N10" s="415" t="str">
        <f>IF(AS$7=0,"",AS10*10000/AS$7)</f>
        <v/>
      </c>
      <c r="O10" s="415" t="str">
        <f t="shared" si="0"/>
        <v/>
      </c>
      <c r="P10" s="415" t="str">
        <f t="shared" si="0"/>
        <v/>
      </c>
      <c r="Q10" s="415" t="str">
        <f t="shared" si="0"/>
        <v/>
      </c>
      <c r="R10" s="415" t="str">
        <f t="shared" si="0"/>
        <v/>
      </c>
      <c r="S10" s="415" t="str">
        <f t="shared" si="0"/>
        <v/>
      </c>
      <c r="T10" s="415" t="str">
        <f>IF(AY$7=0,"",AY10*10000/AY$7)</f>
        <v/>
      </c>
      <c r="U10" s="415" t="str">
        <f>IF(AZ$7=0,"",AZ10*10000/AZ$7)</f>
        <v/>
      </c>
      <c r="V10" s="415" t="str">
        <f>IF(BA$7=0,"",BA10*10000/BA$7)</f>
        <v/>
      </c>
      <c r="W10" s="415" t="str">
        <f t="shared" si="1"/>
        <v/>
      </c>
      <c r="X10" s="415" t="str">
        <f t="shared" si="1"/>
        <v/>
      </c>
      <c r="Y10" s="415" t="str">
        <f t="shared" si="1"/>
        <v/>
      </c>
      <c r="Z10" s="415" t="str">
        <f t="shared" si="1"/>
        <v/>
      </c>
      <c r="AA10" s="415" t="str">
        <f t="shared" si="1"/>
        <v/>
      </c>
      <c r="AB10" s="415" t="str">
        <f t="shared" si="1"/>
        <v/>
      </c>
      <c r="AC10" s="415" t="str">
        <f>IF(BH$7=0,"",BH10*10000/BH$7)</f>
        <v/>
      </c>
      <c r="AD10" s="415" t="str">
        <f t="shared" si="2"/>
        <v/>
      </c>
      <c r="AE10" s="415" t="str">
        <f t="shared" si="2"/>
        <v/>
      </c>
      <c r="AF10" s="415" t="str">
        <f t="shared" si="3"/>
        <v/>
      </c>
      <c r="AG10" s="415" t="str">
        <f t="shared" si="3"/>
        <v/>
      </c>
      <c r="AH10" s="415" t="str">
        <f t="shared" si="3"/>
        <v/>
      </c>
      <c r="AI10" s="400"/>
      <c r="AJ10" s="415">
        <f>'3-地价分摊表'!I46</f>
        <v>0</v>
      </c>
      <c r="AK10" s="415">
        <f>'3-地价分摊表'!J46</f>
        <v>0</v>
      </c>
      <c r="AL10" s="415">
        <f>'3-地价分摊表'!K46</f>
        <v>0</v>
      </c>
      <c r="AM10" s="415">
        <f>'3-地价分摊表'!I47</f>
        <v>0</v>
      </c>
      <c r="AN10" s="415">
        <f>'3-地价分摊表'!J47</f>
        <v>0</v>
      </c>
      <c r="AO10" s="415">
        <f>'3-地价分摊表'!K47</f>
        <v>0</v>
      </c>
      <c r="AP10" s="415">
        <f>'3-地价分摊表'!I48</f>
        <v>0</v>
      </c>
      <c r="AQ10" s="415">
        <f>'3-地价分摊表'!J48</f>
        <v>0</v>
      </c>
      <c r="AR10" s="415">
        <f>'3-地价分摊表'!K48</f>
        <v>0</v>
      </c>
      <c r="AS10" s="415">
        <f>'3-地价分摊表'!I49</f>
        <v>0</v>
      </c>
      <c r="AT10" s="415">
        <f>'3-地价分摊表'!J49</f>
        <v>0</v>
      </c>
      <c r="AU10" s="415">
        <f>'3-地价分摊表'!K49</f>
        <v>0</v>
      </c>
      <c r="AV10" s="415">
        <f>'3-地价分摊表'!I50</f>
        <v>0</v>
      </c>
      <c r="AW10" s="415">
        <f>'3-地价分摊表'!J50</f>
        <v>0</v>
      </c>
      <c r="AX10" s="415">
        <f>'3-地价分摊表'!K50</f>
        <v>0</v>
      </c>
      <c r="AY10" s="415">
        <f>'3-地价分摊表'!I51</f>
        <v>0</v>
      </c>
      <c r="AZ10" s="415">
        <f>'3-地价分摊表'!J51</f>
        <v>0</v>
      </c>
      <c r="BA10" s="415">
        <f>'3-地价分摊表'!K51</f>
        <v>0</v>
      </c>
      <c r="BB10" s="415"/>
      <c r="BC10" s="415"/>
      <c r="BD10" s="415"/>
      <c r="BE10" s="415"/>
      <c r="BF10" s="415"/>
      <c r="BG10" s="415"/>
      <c r="BH10" s="415">
        <f>AJ10+AM10+AP10+AS10+AV10+BB10+BE10+AY10</f>
        <v>0</v>
      </c>
      <c r="BI10" s="415">
        <f>AK10+AN10+AQ10+AT10+AW10+BC10+BF10+AZ10</f>
        <v>0</v>
      </c>
      <c r="BJ10" s="415">
        <f>AL10+AO10+AR10+AU10+AX10+BD10+BG10+BA10</f>
        <v>0</v>
      </c>
      <c r="BK10" s="416"/>
      <c r="BL10" s="417" t="s">
        <v>2401</v>
      </c>
      <c r="BM10" s="402"/>
      <c r="BN10" s="402"/>
      <c r="BO10" s="402"/>
      <c r="BP10" s="392"/>
    </row>
    <row r="11" spans="1:68" ht="15.75" hidden="1" customHeight="1" outlineLevel="1">
      <c r="B11" s="412" t="s">
        <v>2402</v>
      </c>
      <c r="C11" s="413">
        <v>2</v>
      </c>
      <c r="D11" s="414" t="s">
        <v>2403</v>
      </c>
      <c r="E11" s="415" t="str">
        <f t="shared" si="0"/>
        <v/>
      </c>
      <c r="F11" s="415" t="str">
        <f t="shared" si="0"/>
        <v/>
      </c>
      <c r="G11" s="415" t="str">
        <f t="shared" si="0"/>
        <v/>
      </c>
      <c r="H11" s="415" t="str">
        <f t="shared" si="0"/>
        <v/>
      </c>
      <c r="I11" s="415" t="str">
        <f t="shared" si="0"/>
        <v/>
      </c>
      <c r="J11" s="415" t="str">
        <f t="shared" si="0"/>
        <v/>
      </c>
      <c r="K11" s="415" t="str">
        <f t="shared" si="0"/>
        <v/>
      </c>
      <c r="L11" s="415" t="str">
        <f t="shared" si="0"/>
        <v/>
      </c>
      <c r="M11" s="415" t="str">
        <f t="shared" si="0"/>
        <v/>
      </c>
      <c r="N11" s="415" t="str">
        <f t="shared" si="0"/>
        <v/>
      </c>
      <c r="O11" s="415" t="str">
        <f t="shared" si="0"/>
        <v/>
      </c>
      <c r="P11" s="415" t="str">
        <f t="shared" si="0"/>
        <v/>
      </c>
      <c r="Q11" s="415" t="str">
        <f t="shared" si="0"/>
        <v/>
      </c>
      <c r="R11" s="415" t="str">
        <f t="shared" si="0"/>
        <v/>
      </c>
      <c r="S11" s="415" t="str">
        <f t="shared" si="0"/>
        <v/>
      </c>
      <c r="T11" s="415" t="str">
        <f t="shared" si="0"/>
        <v/>
      </c>
      <c r="U11" s="415" t="str">
        <f t="shared" si="1"/>
        <v/>
      </c>
      <c r="V11" s="415" t="str">
        <f t="shared" si="1"/>
        <v/>
      </c>
      <c r="W11" s="415" t="str">
        <f t="shared" si="1"/>
        <v/>
      </c>
      <c r="X11" s="415" t="str">
        <f t="shared" si="1"/>
        <v/>
      </c>
      <c r="Y11" s="415" t="str">
        <f t="shared" si="1"/>
        <v/>
      </c>
      <c r="Z11" s="415" t="str">
        <f t="shared" si="1"/>
        <v/>
      </c>
      <c r="AA11" s="415" t="str">
        <f t="shared" si="1"/>
        <v/>
      </c>
      <c r="AB11" s="415" t="str">
        <f t="shared" si="1"/>
        <v/>
      </c>
      <c r="AC11" s="415" t="str">
        <f t="shared" si="2"/>
        <v/>
      </c>
      <c r="AD11" s="415" t="str">
        <f t="shared" si="2"/>
        <v/>
      </c>
      <c r="AE11" s="415" t="str">
        <f t="shared" si="2"/>
        <v/>
      </c>
      <c r="AF11" s="415" t="str">
        <f t="shared" si="3"/>
        <v/>
      </c>
      <c r="AG11" s="415" t="str">
        <f t="shared" si="3"/>
        <v/>
      </c>
      <c r="AH11" s="415" t="str">
        <f t="shared" si="3"/>
        <v/>
      </c>
      <c r="AI11" s="400"/>
      <c r="AJ11" s="415">
        <f>IF($BH11=0,0,$BH11*AJ$7/($BH$7-$BB$7))</f>
        <v>0</v>
      </c>
      <c r="AK11" s="415">
        <f>IF($BI11=0,0,$BI11*AK$7/($BI$7-$BB$7))</f>
        <v>0</v>
      </c>
      <c r="AL11" s="415">
        <f>IF($BJ11=0,0,$BJ11*AL$7/($BJ$7-$BB$7))</f>
        <v>0</v>
      </c>
      <c r="AM11" s="415">
        <f>IF($BH11=0,0,$BH11*AM$7/($BH$7-$BB$7))</f>
        <v>0</v>
      </c>
      <c r="AN11" s="415">
        <f>IF($BI11=0,0,$BI11*AN$7/($BI$7-$BB$7))</f>
        <v>0</v>
      </c>
      <c r="AO11" s="415">
        <f>IF($BJ11=0,0,$BJ11*AO$7/($BJ$7-$BB$7))</f>
        <v>0</v>
      </c>
      <c r="AP11" s="415">
        <f>IF($BH11=0,0,$BH11*AP$7/($BH$7-$BB$7))</f>
        <v>0</v>
      </c>
      <c r="AQ11" s="415">
        <f>IF($BI11=0,0,$BI11*AQ$7/($BI$7-$BB$7))</f>
        <v>0</v>
      </c>
      <c r="AR11" s="415">
        <f>IF($BJ11=0,0,$BJ11*AR$7/($BJ$7-$BB$7))</f>
        <v>0</v>
      </c>
      <c r="AS11" s="415">
        <f>IF($BH11=0,0,$BH11*AS$7/($BH$7-$BB$7))</f>
        <v>0</v>
      </c>
      <c r="AT11" s="415">
        <f>IF($BI11=0,0,$BI11*AT$7/($BI$7-$BB$7))</f>
        <v>0</v>
      </c>
      <c r="AU11" s="415">
        <f>IF($BJ11=0,0,$BJ11*AU$7/($BJ$7-$BB$7))</f>
        <v>0</v>
      </c>
      <c r="AV11" s="415">
        <f>IF($BH11=0,0,$BH11*AV$7/($BH$7-$BB$7))</f>
        <v>0</v>
      </c>
      <c r="AW11" s="415">
        <f>IF($BI11=0,0,$BI11*AW$7/($BI$7-$BB$7))</f>
        <v>0</v>
      </c>
      <c r="AX11" s="415">
        <f>IF($BJ11=0,0,$BJ11*AX$7/($BJ$7-$BB$7))</f>
        <v>0</v>
      </c>
      <c r="AY11" s="415">
        <f>IF($BH11=0,0,$BH11*AY$7/($BH$7-$BB$7))</f>
        <v>0</v>
      </c>
      <c r="AZ11" s="415">
        <f>IF($BI11=0,0,$BI11*AZ$7/($BI$7-$BB$7))</f>
        <v>0</v>
      </c>
      <c r="BA11" s="415">
        <f>IF($BJ11=0,0,$BJ11*BA$7/($BJ$7-$BB$7))</f>
        <v>0</v>
      </c>
      <c r="BB11" s="415"/>
      <c r="BC11" s="415"/>
      <c r="BD11" s="415"/>
      <c r="BE11" s="415"/>
      <c r="BF11" s="415"/>
      <c r="BG11" s="415"/>
      <c r="BH11" s="415">
        <f>'3-公摊费用及期间费（本期）'!O17</f>
        <v>0</v>
      </c>
      <c r="BI11" s="415">
        <f>'3-公摊费用及期间费（本期）'!M17</f>
        <v>0</v>
      </c>
      <c r="BJ11" s="415">
        <f>'3-公摊费用及期间费（本期）'!N17</f>
        <v>0</v>
      </c>
      <c r="BK11" s="416"/>
      <c r="BL11" s="417"/>
      <c r="BM11" s="402"/>
      <c r="BN11" s="402"/>
      <c r="BO11" s="402"/>
      <c r="BP11" s="392"/>
    </row>
    <row r="12" spans="1:68" ht="15.75" hidden="1" customHeight="1" outlineLevel="1">
      <c r="B12" s="412" t="s">
        <v>2404</v>
      </c>
      <c r="C12" s="413">
        <v>3</v>
      </c>
      <c r="D12" s="418" t="s">
        <v>377</v>
      </c>
      <c r="E12" s="415" t="str">
        <f t="shared" si="0"/>
        <v/>
      </c>
      <c r="F12" s="415" t="str">
        <f t="shared" si="0"/>
        <v/>
      </c>
      <c r="G12" s="415" t="str">
        <f t="shared" si="0"/>
        <v/>
      </c>
      <c r="H12" s="415" t="str">
        <f t="shared" si="0"/>
        <v/>
      </c>
      <c r="I12" s="415" t="str">
        <f t="shared" si="0"/>
        <v/>
      </c>
      <c r="J12" s="415" t="str">
        <f t="shared" si="0"/>
        <v/>
      </c>
      <c r="K12" s="415" t="str">
        <f t="shared" si="0"/>
        <v/>
      </c>
      <c r="L12" s="415" t="str">
        <f t="shared" si="0"/>
        <v/>
      </c>
      <c r="M12" s="415" t="str">
        <f t="shared" si="0"/>
        <v/>
      </c>
      <c r="N12" s="415" t="str">
        <f t="shared" si="0"/>
        <v/>
      </c>
      <c r="O12" s="415" t="str">
        <f t="shared" si="0"/>
        <v/>
      </c>
      <c r="P12" s="415" t="str">
        <f t="shared" si="0"/>
        <v/>
      </c>
      <c r="Q12" s="415" t="str">
        <f t="shared" si="0"/>
        <v/>
      </c>
      <c r="R12" s="415" t="str">
        <f t="shared" si="0"/>
        <v/>
      </c>
      <c r="S12" s="415" t="str">
        <f t="shared" si="0"/>
        <v/>
      </c>
      <c r="T12" s="415" t="str">
        <f t="shared" si="0"/>
        <v/>
      </c>
      <c r="U12" s="415" t="str">
        <f t="shared" si="1"/>
        <v/>
      </c>
      <c r="V12" s="415" t="str">
        <f t="shared" si="1"/>
        <v/>
      </c>
      <c r="W12" s="415" t="str">
        <f t="shared" si="1"/>
        <v/>
      </c>
      <c r="X12" s="415" t="str">
        <f t="shared" si="1"/>
        <v/>
      </c>
      <c r="Y12" s="415" t="str">
        <f t="shared" si="1"/>
        <v/>
      </c>
      <c r="Z12" s="415" t="str">
        <f t="shared" si="1"/>
        <v/>
      </c>
      <c r="AA12" s="415" t="str">
        <f t="shared" si="1"/>
        <v/>
      </c>
      <c r="AB12" s="415" t="str">
        <f t="shared" si="1"/>
        <v/>
      </c>
      <c r="AC12" s="415" t="str">
        <f t="shared" si="2"/>
        <v/>
      </c>
      <c r="AD12" s="415" t="str">
        <f t="shared" si="2"/>
        <v/>
      </c>
      <c r="AE12" s="415" t="str">
        <f t="shared" si="2"/>
        <v/>
      </c>
      <c r="AF12" s="415" t="str">
        <f t="shared" si="3"/>
        <v/>
      </c>
      <c r="AG12" s="415" t="str">
        <f t="shared" si="3"/>
        <v/>
      </c>
      <c r="AH12" s="415" t="str">
        <f t="shared" si="3"/>
        <v/>
      </c>
      <c r="AI12" s="400"/>
      <c r="AJ12" s="415">
        <f>IF($BH12=0,0,$BH12*AJ$7/($BH$7-$BB$7))</f>
        <v>0</v>
      </c>
      <c r="AK12" s="415">
        <f>IF($BI12=0,0,$BI12*AK$7/($BI$7-$BB$7))</f>
        <v>0</v>
      </c>
      <c r="AL12" s="415">
        <f>IF($BJ12=0,0,$BJ12*AL$7/($BJ$7-$BB$7))</f>
        <v>0</v>
      </c>
      <c r="AM12" s="415">
        <f>IF($BH12=0,0,$BH12*AM$7/($BH$7-$BB$7))</f>
        <v>0</v>
      </c>
      <c r="AN12" s="415">
        <f>IF($BI12=0,0,$BI12*AN$7/($BI$7-$BB$7))</f>
        <v>0</v>
      </c>
      <c r="AO12" s="415">
        <f>IF($BJ12=0,0,$BJ12*AO$7/($BJ$7-$BB$7))</f>
        <v>0</v>
      </c>
      <c r="AP12" s="415">
        <f>IF($BH12=0,0,$BH12*AP$7/($BH$7-$BB$7))</f>
        <v>0</v>
      </c>
      <c r="AQ12" s="415">
        <f>IF($BI12=0,0,$BI12*AQ$7/($BI$7-$BB$7))</f>
        <v>0</v>
      </c>
      <c r="AR12" s="415">
        <f>IF($BJ12=0,0,$BJ12*AR$7/($BJ$7-$BB$7))</f>
        <v>0</v>
      </c>
      <c r="AS12" s="415">
        <f>IF($BH12=0,0,$BH12*AS$7/($BH$7-$BB$7))</f>
        <v>0</v>
      </c>
      <c r="AT12" s="415">
        <f>IF($BI12=0,0,$BI12*AT$7/($BI$7-$BB$7))</f>
        <v>0</v>
      </c>
      <c r="AU12" s="415">
        <f>IF($BJ12=0,0,$BJ12*AU$7/($BJ$7-$BB$7))</f>
        <v>0</v>
      </c>
      <c r="AV12" s="415">
        <f>IF($BH12=0,0,$BH12*AV$7/($BH$7-$BB$7))</f>
        <v>0</v>
      </c>
      <c r="AW12" s="415">
        <f>IF($BI12=0,0,$BI12*AW$7/($BI$7-$BB$7))</f>
        <v>0</v>
      </c>
      <c r="AX12" s="415">
        <f>IF($BJ12=0,0,$BJ12*AX$7/($BJ$7-$BB$7))</f>
        <v>0</v>
      </c>
      <c r="AY12" s="415">
        <f>IF($BH12=0,0,$BH12*AY$7/($BH$7-$BB$7))</f>
        <v>0</v>
      </c>
      <c r="AZ12" s="415">
        <f>IF($BI12=0,0,$BI12*AZ$7/($BI$7-$BB$7))</f>
        <v>0</v>
      </c>
      <c r="BA12" s="415">
        <f>IF($BJ12=0,0,$BJ12*BA$7/($BJ$7-$BB$7))</f>
        <v>0</v>
      </c>
      <c r="BB12" s="415"/>
      <c r="BC12" s="415"/>
      <c r="BD12" s="415"/>
      <c r="BE12" s="415"/>
      <c r="BF12" s="415"/>
      <c r="BG12" s="415"/>
      <c r="BH12" s="415">
        <f>'3-公摊费用及期间费（本期）'!O18</f>
        <v>0</v>
      </c>
      <c r="BI12" s="415">
        <f>'3-公摊费用及期间费（本期）'!M18</f>
        <v>0</v>
      </c>
      <c r="BJ12" s="415">
        <f>'3-公摊费用及期间费（本期）'!N18</f>
        <v>0</v>
      </c>
      <c r="BK12" s="416"/>
      <c r="BL12" s="417" t="s">
        <v>105</v>
      </c>
      <c r="BM12" s="402">
        <f>+'3-公摊费用及期间费（本期）'!O18</f>
        <v>0</v>
      </c>
      <c r="BN12" s="402">
        <f>+BM12-BH12</f>
        <v>0</v>
      </c>
      <c r="BO12" s="402"/>
      <c r="BP12" s="392"/>
    </row>
    <row r="13" spans="1:68" s="403" customFormat="1" ht="15.75" customHeight="1" collapsed="1">
      <c r="B13" s="404">
        <v>5001.0200000000004</v>
      </c>
      <c r="C13" s="405" t="s">
        <v>27</v>
      </c>
      <c r="D13" s="406" t="s">
        <v>2405</v>
      </c>
      <c r="E13" s="407" t="str">
        <f t="shared" si="0"/>
        <v/>
      </c>
      <c r="F13" s="407" t="str">
        <f t="shared" si="0"/>
        <v/>
      </c>
      <c r="G13" s="407" t="str">
        <f t="shared" si="0"/>
        <v/>
      </c>
      <c r="H13" s="407" t="str">
        <f t="shared" si="0"/>
        <v/>
      </c>
      <c r="I13" s="407" t="str">
        <f t="shared" si="0"/>
        <v/>
      </c>
      <c r="J13" s="407" t="str">
        <f t="shared" si="0"/>
        <v/>
      </c>
      <c r="K13" s="407" t="str">
        <f t="shared" si="0"/>
        <v/>
      </c>
      <c r="L13" s="407" t="str">
        <f t="shared" si="0"/>
        <v/>
      </c>
      <c r="M13" s="407" t="str">
        <f t="shared" si="0"/>
        <v/>
      </c>
      <c r="N13" s="407" t="str">
        <f t="shared" si="0"/>
        <v/>
      </c>
      <c r="O13" s="407" t="str">
        <f t="shared" si="0"/>
        <v/>
      </c>
      <c r="P13" s="407" t="str">
        <f t="shared" si="0"/>
        <v/>
      </c>
      <c r="Q13" s="407" t="str">
        <f t="shared" si="0"/>
        <v/>
      </c>
      <c r="R13" s="407" t="str">
        <f t="shared" si="0"/>
        <v/>
      </c>
      <c r="S13" s="407" t="str">
        <f t="shared" si="0"/>
        <v/>
      </c>
      <c r="T13" s="407" t="str">
        <f t="shared" si="0"/>
        <v/>
      </c>
      <c r="U13" s="407" t="str">
        <f t="shared" si="1"/>
        <v/>
      </c>
      <c r="V13" s="407" t="str">
        <f t="shared" si="1"/>
        <v/>
      </c>
      <c r="W13" s="407" t="str">
        <f t="shared" si="1"/>
        <v/>
      </c>
      <c r="X13" s="407" t="str">
        <f t="shared" si="1"/>
        <v/>
      </c>
      <c r="Y13" s="407" t="str">
        <f t="shared" si="1"/>
        <v/>
      </c>
      <c r="Z13" s="407" t="str">
        <f t="shared" si="1"/>
        <v/>
      </c>
      <c r="AA13" s="407" t="str">
        <f t="shared" si="1"/>
        <v/>
      </c>
      <c r="AB13" s="407" t="str">
        <f t="shared" si="1"/>
        <v/>
      </c>
      <c r="AC13" s="407" t="str">
        <f t="shared" si="2"/>
        <v/>
      </c>
      <c r="AD13" s="407" t="str">
        <f t="shared" si="2"/>
        <v/>
      </c>
      <c r="AE13" s="407" t="str">
        <f t="shared" si="2"/>
        <v/>
      </c>
      <c r="AF13" s="407" t="str">
        <f t="shared" si="3"/>
        <v/>
      </c>
      <c r="AG13" s="407" t="str">
        <f t="shared" si="3"/>
        <v/>
      </c>
      <c r="AH13" s="407" t="str">
        <f t="shared" si="3"/>
        <v/>
      </c>
      <c r="AI13" s="408"/>
      <c r="AJ13" s="409">
        <f>AJ14+AJ15+AJ16+AJ17</f>
        <v>0</v>
      </c>
      <c r="AK13" s="409">
        <f>AK14+AK15+AK16+AK17</f>
        <v>0</v>
      </c>
      <c r="AL13" s="409">
        <f t="shared" ref="AL13:BJ13" si="5">AL14+AL15+AL16+AL17</f>
        <v>0</v>
      </c>
      <c r="AM13" s="409">
        <f t="shared" si="5"/>
        <v>0</v>
      </c>
      <c r="AN13" s="409">
        <f>AN14+AN15+AN16+AN17</f>
        <v>0</v>
      </c>
      <c r="AO13" s="409">
        <f t="shared" si="5"/>
        <v>0</v>
      </c>
      <c r="AP13" s="409">
        <f t="shared" si="5"/>
        <v>0</v>
      </c>
      <c r="AQ13" s="409">
        <f>AQ14+AQ15+AQ16+AQ17</f>
        <v>0</v>
      </c>
      <c r="AR13" s="409">
        <f t="shared" si="5"/>
        <v>0</v>
      </c>
      <c r="AS13" s="409">
        <f t="shared" si="5"/>
        <v>0</v>
      </c>
      <c r="AT13" s="409">
        <f>AT14+AT15+AT16+AT17</f>
        <v>0</v>
      </c>
      <c r="AU13" s="409">
        <f t="shared" si="5"/>
        <v>0</v>
      </c>
      <c r="AV13" s="409">
        <f t="shared" si="5"/>
        <v>0</v>
      </c>
      <c r="AW13" s="409">
        <f>AW14+AW15+AW16+AW17</f>
        <v>0</v>
      </c>
      <c r="AX13" s="409">
        <f t="shared" si="5"/>
        <v>0</v>
      </c>
      <c r="AY13" s="409">
        <f t="shared" si="5"/>
        <v>0</v>
      </c>
      <c r="AZ13" s="409">
        <f>AZ14+AZ15+AZ16+AZ17</f>
        <v>0</v>
      </c>
      <c r="BA13" s="409">
        <f>BA14+BA15+BA16+BA17</f>
        <v>0</v>
      </c>
      <c r="BB13" s="409">
        <f t="shared" si="5"/>
        <v>0</v>
      </c>
      <c r="BC13" s="409">
        <f>BC14+BC15+BC16+BC17</f>
        <v>0</v>
      </c>
      <c r="BD13" s="409">
        <f t="shared" si="5"/>
        <v>0</v>
      </c>
      <c r="BE13" s="409"/>
      <c r="BF13" s="409"/>
      <c r="BG13" s="409"/>
      <c r="BH13" s="409">
        <f>BH14+BH15+BH16+BH17</f>
        <v>0</v>
      </c>
      <c r="BI13" s="409">
        <f>BI14+BI15+BI16+BI17</f>
        <v>0</v>
      </c>
      <c r="BJ13" s="409">
        <f t="shared" si="5"/>
        <v>0</v>
      </c>
      <c r="BK13" s="410"/>
      <c r="BL13" s="411" t="s">
        <v>105</v>
      </c>
      <c r="BM13" s="402"/>
      <c r="BN13" s="402">
        <f>+BM13-BH13</f>
        <v>0</v>
      </c>
      <c r="BO13" s="402"/>
      <c r="BP13" s="392"/>
    </row>
    <row r="14" spans="1:68" ht="15.75" hidden="1" customHeight="1" outlineLevel="1">
      <c r="B14" s="412" t="s">
        <v>2406</v>
      </c>
      <c r="C14" s="413">
        <v>1</v>
      </c>
      <c r="D14" s="414" t="s">
        <v>63</v>
      </c>
      <c r="E14" s="415" t="str">
        <f t="shared" si="0"/>
        <v/>
      </c>
      <c r="F14" s="415" t="str">
        <f t="shared" si="0"/>
        <v/>
      </c>
      <c r="G14" s="415" t="str">
        <f t="shared" si="0"/>
        <v/>
      </c>
      <c r="H14" s="415" t="str">
        <f t="shared" si="0"/>
        <v/>
      </c>
      <c r="I14" s="415" t="str">
        <f t="shared" si="0"/>
        <v/>
      </c>
      <c r="J14" s="415" t="str">
        <f t="shared" si="0"/>
        <v/>
      </c>
      <c r="K14" s="415" t="str">
        <f t="shared" si="0"/>
        <v/>
      </c>
      <c r="L14" s="415" t="str">
        <f t="shared" si="0"/>
        <v/>
      </c>
      <c r="M14" s="415" t="str">
        <f t="shared" si="0"/>
        <v/>
      </c>
      <c r="N14" s="415" t="str">
        <f t="shared" si="0"/>
        <v/>
      </c>
      <c r="O14" s="415" t="str">
        <f t="shared" si="0"/>
        <v/>
      </c>
      <c r="P14" s="415" t="str">
        <f t="shared" si="0"/>
        <v/>
      </c>
      <c r="Q14" s="415" t="str">
        <f t="shared" si="0"/>
        <v/>
      </c>
      <c r="R14" s="415" t="str">
        <f t="shared" si="0"/>
        <v/>
      </c>
      <c r="S14" s="415" t="str">
        <f t="shared" si="0"/>
        <v/>
      </c>
      <c r="T14" s="415" t="str">
        <f t="shared" si="0"/>
        <v/>
      </c>
      <c r="U14" s="415" t="str">
        <f t="shared" si="1"/>
        <v/>
      </c>
      <c r="V14" s="415" t="str">
        <f t="shared" si="1"/>
        <v/>
      </c>
      <c r="W14" s="415" t="str">
        <f t="shared" si="1"/>
        <v/>
      </c>
      <c r="X14" s="415" t="str">
        <f t="shared" si="1"/>
        <v/>
      </c>
      <c r="Y14" s="415" t="str">
        <f t="shared" si="1"/>
        <v/>
      </c>
      <c r="Z14" s="415" t="str">
        <f t="shared" si="1"/>
        <v/>
      </c>
      <c r="AA14" s="415" t="str">
        <f t="shared" si="1"/>
        <v/>
      </c>
      <c r="AB14" s="415" t="str">
        <f t="shared" si="1"/>
        <v/>
      </c>
      <c r="AC14" s="415" t="str">
        <f t="shared" si="2"/>
        <v/>
      </c>
      <c r="AD14" s="415" t="str">
        <f t="shared" si="2"/>
        <v/>
      </c>
      <c r="AE14" s="415" t="str">
        <f t="shared" si="2"/>
        <v/>
      </c>
      <c r="AF14" s="415" t="str">
        <f t="shared" si="3"/>
        <v/>
      </c>
      <c r="AG14" s="415" t="str">
        <f t="shared" si="3"/>
        <v/>
      </c>
      <c r="AH14" s="415" t="str">
        <f t="shared" si="3"/>
        <v/>
      </c>
      <c r="AI14" s="400"/>
      <c r="AJ14" s="415">
        <f>IF($BH14=0,0,$BH14*AJ$7/($BH$7-$BB$7))</f>
        <v>0</v>
      </c>
      <c r="AK14" s="415">
        <f>IF($BI14=0,0,$BI14*AK$7/($BI$7-$BB$7))</f>
        <v>0</v>
      </c>
      <c r="AL14" s="415">
        <f>IF($BJ14=0,0,$BJ14*AL$7/($BJ$7-$BB$7))</f>
        <v>0</v>
      </c>
      <c r="AM14" s="415">
        <f>IF($BH14=0,0,$BH14*AM$7/($BH$7-$BB$7))</f>
        <v>0</v>
      </c>
      <c r="AN14" s="415">
        <f>IF($BI14=0,0,$BI14*AN$7/($BI$7-$BB$7))</f>
        <v>0</v>
      </c>
      <c r="AO14" s="415">
        <f>IF($BJ14=0,0,$BJ14*AO$7/($BJ$7-$BB$7))</f>
        <v>0</v>
      </c>
      <c r="AP14" s="415">
        <f>IF($BH14=0,0,$BH14*AP$7/($BH$7-$BB$7))</f>
        <v>0</v>
      </c>
      <c r="AQ14" s="415">
        <f>IF($BI14=0,0,$BI14*AQ$7/($BI$7-$BB$7))</f>
        <v>0</v>
      </c>
      <c r="AR14" s="415">
        <f>IF($BJ14=0,0,$BJ14*AR$7/($BJ$7-$BB$7))</f>
        <v>0</v>
      </c>
      <c r="AS14" s="415">
        <f>IF($BH14=0,0,$BH14*AS$7/($BH$7-$BB$7))</f>
        <v>0</v>
      </c>
      <c r="AT14" s="415">
        <f>IF($BI14=0,0,$BI14*AT$7/($BI$7-$BB$7))</f>
        <v>0</v>
      </c>
      <c r="AU14" s="415">
        <f>IF($BJ14=0,0,$BJ14*AU$7/($BJ$7-$BB$7))</f>
        <v>0</v>
      </c>
      <c r="AV14" s="415">
        <f>IF($BH14=0,0,$BH14*AV$7/($BH$7-$BB$7))</f>
        <v>0</v>
      </c>
      <c r="AW14" s="415">
        <f>IF($BI14=0,0,$BI14*AW$7/($BI$7-$BB$7))</f>
        <v>0</v>
      </c>
      <c r="AX14" s="415">
        <f>IF($BJ14=0,0,$BJ14*AX$7/($BJ$7-$BB$7))</f>
        <v>0</v>
      </c>
      <c r="AY14" s="415">
        <f>IF($BH14=0,0,$BH14*AY$7/($BH$7-$BB$7))</f>
        <v>0</v>
      </c>
      <c r="AZ14" s="415">
        <f>IF($BI14=0,0,$BI14*AZ$7/($BI$7-$BB$7))</f>
        <v>0</v>
      </c>
      <c r="BA14" s="415">
        <f>IF($BJ14=0,0,$BJ14*BA$7/($BJ$7-$BB$7))</f>
        <v>0</v>
      </c>
      <c r="BB14" s="415"/>
      <c r="BC14" s="415"/>
      <c r="BD14" s="415"/>
      <c r="BE14" s="415"/>
      <c r="BF14" s="415"/>
      <c r="BG14" s="415"/>
      <c r="BH14" s="415">
        <f>'3-公摊费用及期间费（本期）'!O73</f>
        <v>0</v>
      </c>
      <c r="BI14" s="415">
        <f>'3-公摊费用及期间费（本期）'!M73</f>
        <v>0</v>
      </c>
      <c r="BJ14" s="415">
        <f>'3-公摊费用及期间费（本期）'!N73</f>
        <v>0</v>
      </c>
      <c r="BK14" s="416"/>
      <c r="BL14" s="419" t="s">
        <v>105</v>
      </c>
      <c r="BM14" s="402">
        <f>+'3-公摊费用及期间费（本期）'!O73</f>
        <v>0</v>
      </c>
      <c r="BN14" s="402">
        <f>+BM14-BH14</f>
        <v>0</v>
      </c>
      <c r="BO14" s="402"/>
      <c r="BP14" s="392"/>
    </row>
    <row r="15" spans="1:68" ht="15.75" hidden="1" customHeight="1" outlineLevel="1">
      <c r="B15" s="412" t="s">
        <v>2407</v>
      </c>
      <c r="C15" s="413">
        <v>2</v>
      </c>
      <c r="D15" s="414" t="s">
        <v>64</v>
      </c>
      <c r="E15" s="415" t="str">
        <f t="shared" si="0"/>
        <v/>
      </c>
      <c r="F15" s="415" t="str">
        <f t="shared" si="0"/>
        <v/>
      </c>
      <c r="G15" s="415" t="str">
        <f t="shared" si="0"/>
        <v/>
      </c>
      <c r="H15" s="415" t="str">
        <f t="shared" si="0"/>
        <v/>
      </c>
      <c r="I15" s="415" t="str">
        <f t="shared" si="0"/>
        <v/>
      </c>
      <c r="J15" s="415" t="str">
        <f t="shared" si="0"/>
        <v/>
      </c>
      <c r="K15" s="415" t="str">
        <f t="shared" si="0"/>
        <v/>
      </c>
      <c r="L15" s="415" t="str">
        <f t="shared" si="0"/>
        <v/>
      </c>
      <c r="M15" s="415" t="str">
        <f t="shared" si="0"/>
        <v/>
      </c>
      <c r="N15" s="415" t="str">
        <f t="shared" si="0"/>
        <v/>
      </c>
      <c r="O15" s="415" t="str">
        <f t="shared" si="0"/>
        <v/>
      </c>
      <c r="P15" s="415" t="str">
        <f t="shared" si="0"/>
        <v/>
      </c>
      <c r="Q15" s="415" t="str">
        <f t="shared" si="0"/>
        <v/>
      </c>
      <c r="R15" s="415" t="str">
        <f t="shared" si="0"/>
        <v/>
      </c>
      <c r="S15" s="415" t="str">
        <f t="shared" si="0"/>
        <v/>
      </c>
      <c r="T15" s="415" t="str">
        <f t="shared" si="0"/>
        <v/>
      </c>
      <c r="U15" s="415" t="str">
        <f t="shared" si="1"/>
        <v/>
      </c>
      <c r="V15" s="415" t="str">
        <f t="shared" si="1"/>
        <v/>
      </c>
      <c r="W15" s="415" t="str">
        <f t="shared" si="1"/>
        <v/>
      </c>
      <c r="X15" s="415" t="str">
        <f t="shared" si="1"/>
        <v/>
      </c>
      <c r="Y15" s="415" t="str">
        <f t="shared" si="1"/>
        <v/>
      </c>
      <c r="Z15" s="415" t="str">
        <f t="shared" si="1"/>
        <v/>
      </c>
      <c r="AA15" s="415" t="str">
        <f t="shared" si="1"/>
        <v/>
      </c>
      <c r="AB15" s="415" t="str">
        <f t="shared" si="1"/>
        <v/>
      </c>
      <c r="AC15" s="415" t="str">
        <f t="shared" si="2"/>
        <v/>
      </c>
      <c r="AD15" s="415" t="str">
        <f t="shared" si="2"/>
        <v/>
      </c>
      <c r="AE15" s="415" t="str">
        <f t="shared" si="2"/>
        <v/>
      </c>
      <c r="AF15" s="415" t="str">
        <f t="shared" si="3"/>
        <v/>
      </c>
      <c r="AG15" s="415" t="str">
        <f t="shared" si="3"/>
        <v/>
      </c>
      <c r="AH15" s="415" t="str">
        <f t="shared" si="3"/>
        <v/>
      </c>
      <c r="AI15" s="400"/>
      <c r="AJ15" s="415">
        <f>IF($BH15=0,0,$BH15*AJ$7/($BH$7-$BB$7))</f>
        <v>0</v>
      </c>
      <c r="AK15" s="415">
        <f>IF($BI15=0,0,$BI15*AK$7/($BI$7-$BB$7))</f>
        <v>0</v>
      </c>
      <c r="AL15" s="415">
        <f>IF($BJ15=0,0,$BJ15*AL$7/($BJ$7-$BB$7))</f>
        <v>0</v>
      </c>
      <c r="AM15" s="415">
        <f>IF($BH15=0,0,$BH15*AM$7/($BH$7-$BB$7))</f>
        <v>0</v>
      </c>
      <c r="AN15" s="415">
        <f>IF($BI15=0,0,$BI15*AN$7/($BI$7-$BB$7))</f>
        <v>0</v>
      </c>
      <c r="AO15" s="415">
        <f>IF($BJ15=0,0,$BJ15*AO$7/($BJ$7-$BB$7))</f>
        <v>0</v>
      </c>
      <c r="AP15" s="415">
        <f>IF($BH15=0,0,$BH15*AP$7/($BH$7-$BB$7))</f>
        <v>0</v>
      </c>
      <c r="AQ15" s="415">
        <f>IF($BI15=0,0,$BI15*AQ$7/($BI$7-$BB$7))</f>
        <v>0</v>
      </c>
      <c r="AR15" s="415">
        <f>IF($BJ15=0,0,$BJ15*AR$7/($BJ$7-$BB$7))</f>
        <v>0</v>
      </c>
      <c r="AS15" s="415">
        <f>IF($BH15=0,0,$BH15*AS$7/($BH$7-$BB$7))</f>
        <v>0</v>
      </c>
      <c r="AT15" s="415">
        <f>IF($BI15=0,0,$BI15*AT$7/($BI$7-$BB$7))</f>
        <v>0</v>
      </c>
      <c r="AU15" s="415">
        <f>IF($BJ15=0,0,$BJ15*AU$7/($BJ$7-$BB$7))</f>
        <v>0</v>
      </c>
      <c r="AV15" s="415">
        <f>IF($BH15=0,0,$BH15*AV$7/($BH$7-$BB$7))</f>
        <v>0</v>
      </c>
      <c r="AW15" s="415">
        <f>IF($BI15=0,0,$BI15*AW$7/($BI$7-$BB$7))</f>
        <v>0</v>
      </c>
      <c r="AX15" s="415">
        <f>IF($BJ15=0,0,$BJ15*AX$7/($BJ$7-$BB$7))</f>
        <v>0</v>
      </c>
      <c r="AY15" s="415">
        <f>IF($BH15=0,0,$BH15*AY$7/($BH$7-$BB$7))</f>
        <v>0</v>
      </c>
      <c r="AZ15" s="415">
        <f>IF($BI15=0,0,$BI15*AZ$7/($BI$7-$BB$7))</f>
        <v>0</v>
      </c>
      <c r="BA15" s="415">
        <f>IF($BJ15=0,0,$BJ15*BA$7/($BJ$7-$BB$7))</f>
        <v>0</v>
      </c>
      <c r="BB15" s="415"/>
      <c r="BC15" s="415"/>
      <c r="BD15" s="415"/>
      <c r="BE15" s="415"/>
      <c r="BF15" s="415"/>
      <c r="BG15" s="415"/>
      <c r="BH15" s="415">
        <f>'3-公摊费用及期间费（本期）'!O85</f>
        <v>0</v>
      </c>
      <c r="BI15" s="415">
        <f>'3-公摊费用及期间费（本期）'!M85</f>
        <v>0</v>
      </c>
      <c r="BJ15" s="415">
        <f>'3-公摊费用及期间费（本期）'!N85</f>
        <v>0</v>
      </c>
      <c r="BK15" s="416"/>
      <c r="BL15" s="419" t="s">
        <v>105</v>
      </c>
      <c r="BM15" s="402">
        <f>+'3-公摊费用及期间费（本期）'!O85</f>
        <v>0</v>
      </c>
      <c r="BN15" s="402">
        <f t="shared" ref="BN15:BN41" si="6">+BM15-BH15</f>
        <v>0</v>
      </c>
      <c r="BO15" s="402"/>
      <c r="BP15" s="392"/>
    </row>
    <row r="16" spans="1:68" ht="15.75" hidden="1" customHeight="1" outlineLevel="1">
      <c r="B16" s="412" t="s">
        <v>2408</v>
      </c>
      <c r="C16" s="413">
        <v>3</v>
      </c>
      <c r="D16" s="414" t="s">
        <v>2409</v>
      </c>
      <c r="E16" s="415" t="str">
        <f t="shared" si="0"/>
        <v/>
      </c>
      <c r="F16" s="415" t="str">
        <f t="shared" si="0"/>
        <v/>
      </c>
      <c r="G16" s="415" t="str">
        <f t="shared" si="0"/>
        <v/>
      </c>
      <c r="H16" s="415" t="str">
        <f t="shared" si="0"/>
        <v/>
      </c>
      <c r="I16" s="415" t="str">
        <f t="shared" si="0"/>
        <v/>
      </c>
      <c r="J16" s="415" t="str">
        <f t="shared" si="0"/>
        <v/>
      </c>
      <c r="K16" s="415" t="str">
        <f t="shared" si="0"/>
        <v/>
      </c>
      <c r="L16" s="415" t="str">
        <f t="shared" si="0"/>
        <v/>
      </c>
      <c r="M16" s="415" t="str">
        <f t="shared" si="0"/>
        <v/>
      </c>
      <c r="N16" s="415" t="str">
        <f t="shared" si="0"/>
        <v/>
      </c>
      <c r="O16" s="415" t="str">
        <f t="shared" si="0"/>
        <v/>
      </c>
      <c r="P16" s="415" t="str">
        <f t="shared" si="0"/>
        <v/>
      </c>
      <c r="Q16" s="415" t="str">
        <f t="shared" si="0"/>
        <v/>
      </c>
      <c r="R16" s="415" t="str">
        <f t="shared" si="0"/>
        <v/>
      </c>
      <c r="S16" s="415" t="str">
        <f t="shared" si="0"/>
        <v/>
      </c>
      <c r="T16" s="415" t="str">
        <f t="shared" si="0"/>
        <v/>
      </c>
      <c r="U16" s="415" t="str">
        <f t="shared" si="1"/>
        <v/>
      </c>
      <c r="V16" s="415" t="str">
        <f t="shared" si="1"/>
        <v/>
      </c>
      <c r="W16" s="415" t="str">
        <f t="shared" si="1"/>
        <v/>
      </c>
      <c r="X16" s="415" t="str">
        <f t="shared" si="1"/>
        <v/>
      </c>
      <c r="Y16" s="415" t="str">
        <f t="shared" si="1"/>
        <v/>
      </c>
      <c r="Z16" s="415" t="str">
        <f t="shared" si="1"/>
        <v/>
      </c>
      <c r="AA16" s="415" t="str">
        <f t="shared" si="1"/>
        <v/>
      </c>
      <c r="AB16" s="415" t="str">
        <f t="shared" si="1"/>
        <v/>
      </c>
      <c r="AC16" s="415" t="str">
        <f t="shared" si="2"/>
        <v/>
      </c>
      <c r="AD16" s="415" t="str">
        <f t="shared" si="2"/>
        <v/>
      </c>
      <c r="AE16" s="415" t="str">
        <f t="shared" si="2"/>
        <v/>
      </c>
      <c r="AF16" s="415" t="str">
        <f t="shared" si="3"/>
        <v/>
      </c>
      <c r="AG16" s="415" t="str">
        <f t="shared" si="3"/>
        <v/>
      </c>
      <c r="AH16" s="415" t="str">
        <f t="shared" si="3"/>
        <v/>
      </c>
      <c r="AI16" s="400"/>
      <c r="AJ16" s="415">
        <f>IF($BH16=0,0,$BH16*AJ$7/($BH$7-$BB$7))</f>
        <v>0</v>
      </c>
      <c r="AK16" s="415">
        <f>IF($BI16=0,0,$BI16*AK$7/($BI$7-$BB$7))</f>
        <v>0</v>
      </c>
      <c r="AL16" s="415">
        <f>IF($BJ16=0,0,$BJ16*AL$7/($BJ$7-$BB$7))</f>
        <v>0</v>
      </c>
      <c r="AM16" s="415">
        <f>IF($BH16=0,0,$BH16*AM$7/($BH$7-$BB$7))</f>
        <v>0</v>
      </c>
      <c r="AN16" s="415">
        <f>IF($BI16=0,0,$BI16*AN$7/($BI$7-$BB$7))</f>
        <v>0</v>
      </c>
      <c r="AO16" s="415">
        <f>IF($BJ16=0,0,$BJ16*AO$7/($BJ$7-$BB$7))</f>
        <v>0</v>
      </c>
      <c r="AP16" s="415">
        <f>IF($BH16=0,0,$BH16*AP$7/($BH$7-$BB$7))</f>
        <v>0</v>
      </c>
      <c r="AQ16" s="415">
        <f>IF($BI16=0,0,$BI16*AQ$7/($BI$7-$BB$7))</f>
        <v>0</v>
      </c>
      <c r="AR16" s="415">
        <f>IF($BJ16=0,0,$BJ16*AR$7/($BJ$7-$BB$7))</f>
        <v>0</v>
      </c>
      <c r="AS16" s="415">
        <f>IF($BH16=0,0,$BH16*AS$7/($BH$7-$BB$7))</f>
        <v>0</v>
      </c>
      <c r="AT16" s="415">
        <f>IF($BI16=0,0,$BI16*AT$7/($BI$7-$BB$7))</f>
        <v>0</v>
      </c>
      <c r="AU16" s="415">
        <f>IF($BJ16=0,0,$BJ16*AU$7/($BJ$7-$BB$7))</f>
        <v>0</v>
      </c>
      <c r="AV16" s="415">
        <f>IF($BH16=0,0,$BH16*AV$7/($BH$7-$BB$7))</f>
        <v>0</v>
      </c>
      <c r="AW16" s="415">
        <f>IF($BI16=0,0,$BI16*AW$7/($BI$7-$BB$7))</f>
        <v>0</v>
      </c>
      <c r="AX16" s="415">
        <f>IF($BJ16=0,0,$BJ16*AX$7/($BJ$7-$BB$7))</f>
        <v>0</v>
      </c>
      <c r="AY16" s="415">
        <f>IF($BH16=0,0,$BH16*AY$7/($BH$7-$BB$7))</f>
        <v>0</v>
      </c>
      <c r="AZ16" s="415">
        <f>IF($BI16=0,0,$BI16*AZ$7/($BI$7-$BB$7))</f>
        <v>0</v>
      </c>
      <c r="BA16" s="415">
        <f>IF($BJ16=0,0,$BJ16*BA$7/($BJ$7-$BB$7))</f>
        <v>0</v>
      </c>
      <c r="BB16" s="415"/>
      <c r="BC16" s="415"/>
      <c r="BD16" s="415"/>
      <c r="BE16" s="415"/>
      <c r="BF16" s="415"/>
      <c r="BG16" s="415"/>
      <c r="BH16" s="415">
        <f>'3-公摊费用及期间费（本期）'!O97</f>
        <v>0</v>
      </c>
      <c r="BI16" s="415">
        <f>'3-公摊费用及期间费（本期）'!M97</f>
        <v>0</v>
      </c>
      <c r="BJ16" s="415">
        <f>'3-公摊费用及期间费（本期）'!N97</f>
        <v>0</v>
      </c>
      <c r="BK16" s="416"/>
      <c r="BL16" s="419" t="s">
        <v>2302</v>
      </c>
      <c r="BM16" s="402">
        <f>+'3-公摊费用及期间费（本期）'!O97</f>
        <v>0</v>
      </c>
      <c r="BN16" s="402">
        <f t="shared" si="6"/>
        <v>0</v>
      </c>
      <c r="BO16" s="402"/>
      <c r="BP16" s="392"/>
    </row>
    <row r="17" spans="2:68" ht="15.75" hidden="1" customHeight="1" outlineLevel="1">
      <c r="B17" s="412" t="s">
        <v>2410</v>
      </c>
      <c r="C17" s="413">
        <v>4</v>
      </c>
      <c r="D17" s="414" t="s">
        <v>40</v>
      </c>
      <c r="E17" s="415" t="str">
        <f t="shared" si="0"/>
        <v/>
      </c>
      <c r="F17" s="415" t="str">
        <f t="shared" si="0"/>
        <v/>
      </c>
      <c r="G17" s="415" t="str">
        <f t="shared" si="0"/>
        <v/>
      </c>
      <c r="H17" s="415" t="str">
        <f t="shared" si="0"/>
        <v/>
      </c>
      <c r="I17" s="415" t="str">
        <f t="shared" si="0"/>
        <v/>
      </c>
      <c r="J17" s="415" t="str">
        <f t="shared" si="0"/>
        <v/>
      </c>
      <c r="K17" s="415" t="str">
        <f t="shared" si="0"/>
        <v/>
      </c>
      <c r="L17" s="415" t="str">
        <f t="shared" si="0"/>
        <v/>
      </c>
      <c r="M17" s="415" t="str">
        <f t="shared" si="0"/>
        <v/>
      </c>
      <c r="N17" s="415" t="str">
        <f t="shared" si="0"/>
        <v/>
      </c>
      <c r="O17" s="415" t="str">
        <f t="shared" si="0"/>
        <v/>
      </c>
      <c r="P17" s="415" t="str">
        <f t="shared" si="0"/>
        <v/>
      </c>
      <c r="Q17" s="415" t="str">
        <f t="shared" si="0"/>
        <v/>
      </c>
      <c r="R17" s="415" t="str">
        <f t="shared" si="0"/>
        <v/>
      </c>
      <c r="S17" s="415" t="str">
        <f t="shared" si="0"/>
        <v/>
      </c>
      <c r="T17" s="415" t="str">
        <f t="shared" si="0"/>
        <v/>
      </c>
      <c r="U17" s="415" t="str">
        <f t="shared" si="1"/>
        <v/>
      </c>
      <c r="V17" s="415" t="str">
        <f t="shared" si="1"/>
        <v/>
      </c>
      <c r="W17" s="415" t="str">
        <f t="shared" si="1"/>
        <v/>
      </c>
      <c r="X17" s="415" t="str">
        <f t="shared" si="1"/>
        <v/>
      </c>
      <c r="Y17" s="415" t="str">
        <f t="shared" si="1"/>
        <v/>
      </c>
      <c r="Z17" s="415" t="str">
        <f t="shared" si="1"/>
        <v/>
      </c>
      <c r="AA17" s="415" t="str">
        <f t="shared" si="1"/>
        <v/>
      </c>
      <c r="AB17" s="415" t="str">
        <f t="shared" si="1"/>
        <v/>
      </c>
      <c r="AC17" s="415" t="str">
        <f t="shared" si="2"/>
        <v/>
      </c>
      <c r="AD17" s="415" t="str">
        <f t="shared" si="2"/>
        <v/>
      </c>
      <c r="AE17" s="415" t="str">
        <f t="shared" si="2"/>
        <v/>
      </c>
      <c r="AF17" s="415" t="str">
        <f t="shared" si="3"/>
        <v/>
      </c>
      <c r="AG17" s="415" t="str">
        <f t="shared" si="3"/>
        <v/>
      </c>
      <c r="AH17" s="415" t="str">
        <f t="shared" si="3"/>
        <v/>
      </c>
      <c r="AI17" s="400"/>
      <c r="AJ17" s="415">
        <f>IF($BH17=0,0,$BH17*AJ$7/($BH$7-$BB$7))</f>
        <v>0</v>
      </c>
      <c r="AK17" s="415">
        <f>IF($BI17=0,0,$BI17*AK$7/($BI$7-$BB$7))</f>
        <v>0</v>
      </c>
      <c r="AL17" s="415">
        <f>IF($BJ17=0,0,$BJ17*AL$7/($BJ$7-$BB$7))</f>
        <v>0</v>
      </c>
      <c r="AM17" s="415">
        <f>IF($BH17=0,0,$BH17*AM$7/($BH$7-$BB$7))</f>
        <v>0</v>
      </c>
      <c r="AN17" s="415">
        <f>IF($BI17=0,0,$BI17*AN$7/($BI$7-$BB$7))</f>
        <v>0</v>
      </c>
      <c r="AO17" s="415">
        <f>IF($BJ17=0,0,$BJ17*AO$7/($BJ$7-$BB$7))</f>
        <v>0</v>
      </c>
      <c r="AP17" s="415">
        <f>IF($BH17=0,0,$BH17*AP$7/($BH$7-$BB$7))</f>
        <v>0</v>
      </c>
      <c r="AQ17" s="415">
        <f>IF($BI17=0,0,$BI17*AQ$7/($BI$7-$BB$7))</f>
        <v>0</v>
      </c>
      <c r="AR17" s="415">
        <f>IF($BJ17=0,0,$BJ17*AR$7/($BJ$7-$BB$7))</f>
        <v>0</v>
      </c>
      <c r="AS17" s="415">
        <f>IF($BH17=0,0,$BH17*AS$7/($BH$7-$BB$7))</f>
        <v>0</v>
      </c>
      <c r="AT17" s="415">
        <f>IF($BI17=0,0,$BI17*AT$7/($BI$7-$BB$7))</f>
        <v>0</v>
      </c>
      <c r="AU17" s="415">
        <f>IF($BJ17=0,0,$BJ17*AU$7/($BJ$7-$BB$7))</f>
        <v>0</v>
      </c>
      <c r="AV17" s="415">
        <f>IF($BH17=0,0,$BH17*AV$7/($BH$7-$BB$7))</f>
        <v>0</v>
      </c>
      <c r="AW17" s="415">
        <f>IF($BI17=0,0,$BI17*AW$7/($BI$7-$BB$7))</f>
        <v>0</v>
      </c>
      <c r="AX17" s="415">
        <f>IF($BJ17=0,0,$BJ17*AX$7/($BJ$7-$BB$7))</f>
        <v>0</v>
      </c>
      <c r="AY17" s="415">
        <f>IF($BH17=0,0,$BH17*AY$7/($BH$7-$BB$7))</f>
        <v>0</v>
      </c>
      <c r="AZ17" s="415">
        <f>IF($BI17=0,0,$BI17*AZ$7/($BI$7-$BB$7))</f>
        <v>0</v>
      </c>
      <c r="BA17" s="415">
        <f>IF($BJ17=0,0,$BJ17*BA$7/($BJ$7-$BB$7))</f>
        <v>0</v>
      </c>
      <c r="BB17" s="415"/>
      <c r="BC17" s="415"/>
      <c r="BD17" s="415"/>
      <c r="BE17" s="415"/>
      <c r="BF17" s="415"/>
      <c r="BG17" s="415"/>
      <c r="BH17" s="415">
        <f>'3-公摊费用及期间费（本期）'!O103</f>
        <v>0</v>
      </c>
      <c r="BI17" s="415">
        <f>'3-公摊费用及期间费（本期）'!M103</f>
        <v>0</v>
      </c>
      <c r="BJ17" s="415">
        <f>'3-公摊费用及期间费（本期）'!N103</f>
        <v>0</v>
      </c>
      <c r="BK17" s="416"/>
      <c r="BL17" s="419" t="s">
        <v>105</v>
      </c>
      <c r="BM17" s="402">
        <f>+'3-公摊费用及期间费（本期）'!O103</f>
        <v>0</v>
      </c>
      <c r="BN17" s="402">
        <f t="shared" si="6"/>
        <v>0</v>
      </c>
      <c r="BO17" s="402"/>
      <c r="BP17" s="392"/>
    </row>
    <row r="18" spans="2:68" s="403" customFormat="1" ht="15.75" customHeight="1">
      <c r="B18" s="404">
        <v>5001.3</v>
      </c>
      <c r="C18" s="405" t="s">
        <v>28</v>
      </c>
      <c r="D18" s="406" t="s">
        <v>2411</v>
      </c>
      <c r="E18" s="407" t="str">
        <f t="shared" si="0"/>
        <v/>
      </c>
      <c r="F18" s="407" t="str">
        <f t="shared" si="0"/>
        <v/>
      </c>
      <c r="G18" s="407" t="str">
        <f t="shared" si="0"/>
        <v/>
      </c>
      <c r="H18" s="407" t="str">
        <f t="shared" si="0"/>
        <v/>
      </c>
      <c r="I18" s="407" t="str">
        <f t="shared" si="0"/>
        <v/>
      </c>
      <c r="J18" s="407" t="str">
        <f t="shared" si="0"/>
        <v/>
      </c>
      <c r="K18" s="407" t="str">
        <f>IF(AP$7=0,"",AP18*10000/AP$7)</f>
        <v/>
      </c>
      <c r="L18" s="407" t="str">
        <f t="shared" si="0"/>
        <v/>
      </c>
      <c r="M18" s="407" t="str">
        <f t="shared" si="0"/>
        <v/>
      </c>
      <c r="N18" s="407" t="str">
        <f t="shared" si="0"/>
        <v/>
      </c>
      <c r="O18" s="407" t="str">
        <f t="shared" si="0"/>
        <v/>
      </c>
      <c r="P18" s="407" t="str">
        <f t="shared" si="0"/>
        <v/>
      </c>
      <c r="Q18" s="407" t="str">
        <f t="shared" si="0"/>
        <v/>
      </c>
      <c r="R18" s="407" t="str">
        <f t="shared" si="0"/>
        <v/>
      </c>
      <c r="S18" s="407" t="str">
        <f t="shared" si="0"/>
        <v/>
      </c>
      <c r="T18" s="407" t="str">
        <f t="shared" si="0"/>
        <v/>
      </c>
      <c r="U18" s="407" t="str">
        <f t="shared" si="1"/>
        <v/>
      </c>
      <c r="V18" s="407" t="str">
        <f t="shared" si="1"/>
        <v/>
      </c>
      <c r="W18" s="407" t="str">
        <f>IF(BB$7=0,"",BB18*10000/BB$7)</f>
        <v/>
      </c>
      <c r="X18" s="407" t="str">
        <f t="shared" si="1"/>
        <v/>
      </c>
      <c r="Y18" s="407" t="str">
        <f t="shared" si="1"/>
        <v/>
      </c>
      <c r="Z18" s="407" t="str">
        <f t="shared" si="1"/>
        <v/>
      </c>
      <c r="AA18" s="407" t="str">
        <f t="shared" si="1"/>
        <v/>
      </c>
      <c r="AB18" s="407" t="str">
        <f t="shared" si="1"/>
        <v/>
      </c>
      <c r="AC18" s="407" t="str">
        <f t="shared" si="2"/>
        <v/>
      </c>
      <c r="AD18" s="407" t="str">
        <f t="shared" si="2"/>
        <v/>
      </c>
      <c r="AE18" s="407" t="str">
        <f t="shared" si="2"/>
        <v/>
      </c>
      <c r="AF18" s="407" t="str">
        <f t="shared" si="3"/>
        <v/>
      </c>
      <c r="AG18" s="407" t="str">
        <f t="shared" si="3"/>
        <v/>
      </c>
      <c r="AH18" s="407" t="str">
        <f t="shared" si="3"/>
        <v/>
      </c>
      <c r="AI18" s="408"/>
      <c r="AJ18" s="409">
        <f>AJ19+AJ20+AJ21+AJ22+AJ23</f>
        <v>0</v>
      </c>
      <c r="AK18" s="409">
        <f t="shared" ref="AK18:BJ18" si="7">AK19+AK20+AK21+AK22+AK23</f>
        <v>0</v>
      </c>
      <c r="AL18" s="409">
        <f t="shared" si="7"/>
        <v>0</v>
      </c>
      <c r="AM18" s="409">
        <f t="shared" si="7"/>
        <v>0</v>
      </c>
      <c r="AN18" s="409">
        <f t="shared" si="7"/>
        <v>0</v>
      </c>
      <c r="AO18" s="409">
        <f t="shared" si="7"/>
        <v>0</v>
      </c>
      <c r="AP18" s="409">
        <f t="shared" si="7"/>
        <v>0</v>
      </c>
      <c r="AQ18" s="409">
        <f t="shared" si="7"/>
        <v>0</v>
      </c>
      <c r="AR18" s="409">
        <f t="shared" si="7"/>
        <v>0</v>
      </c>
      <c r="AS18" s="409">
        <f t="shared" si="7"/>
        <v>0</v>
      </c>
      <c r="AT18" s="409">
        <f t="shared" si="7"/>
        <v>0</v>
      </c>
      <c r="AU18" s="409">
        <f t="shared" si="7"/>
        <v>0</v>
      </c>
      <c r="AV18" s="409">
        <f t="shared" si="7"/>
        <v>0</v>
      </c>
      <c r="AW18" s="409">
        <f t="shared" si="7"/>
        <v>0</v>
      </c>
      <c r="AX18" s="409">
        <f t="shared" si="7"/>
        <v>0</v>
      </c>
      <c r="AY18" s="409">
        <f t="shared" si="7"/>
        <v>0</v>
      </c>
      <c r="AZ18" s="409">
        <f t="shared" si="7"/>
        <v>0</v>
      </c>
      <c r="BA18" s="409">
        <f t="shared" si="7"/>
        <v>0</v>
      </c>
      <c r="BB18" s="409">
        <f>BB19+BB20+BB21+BB22+BB23</f>
        <v>0</v>
      </c>
      <c r="BC18" s="409">
        <f t="shared" si="7"/>
        <v>0</v>
      </c>
      <c r="BD18" s="409">
        <f t="shared" si="7"/>
        <v>0</v>
      </c>
      <c r="BE18" s="409"/>
      <c r="BF18" s="409"/>
      <c r="BG18" s="409"/>
      <c r="BH18" s="409">
        <f>BH19+BH20+BH21+BH22+BH23</f>
        <v>0</v>
      </c>
      <c r="BI18" s="409">
        <f t="shared" si="7"/>
        <v>0</v>
      </c>
      <c r="BJ18" s="409">
        <f t="shared" si="7"/>
        <v>0</v>
      </c>
      <c r="BK18" s="410"/>
      <c r="BL18" s="411"/>
      <c r="BM18" s="402"/>
      <c r="BN18" s="402">
        <f t="shared" si="6"/>
        <v>0</v>
      </c>
      <c r="BO18" s="402"/>
      <c r="BP18" s="392"/>
    </row>
    <row r="19" spans="2:68" s="403" customFormat="1" ht="15.75" customHeight="1" outlineLevel="1">
      <c r="B19" s="412" t="s">
        <v>2412</v>
      </c>
      <c r="C19" s="413">
        <v>1</v>
      </c>
      <c r="D19" s="420" t="s">
        <v>488</v>
      </c>
      <c r="E19" s="415" t="str">
        <f t="shared" si="0"/>
        <v/>
      </c>
      <c r="F19" s="415" t="str">
        <f t="shared" si="0"/>
        <v/>
      </c>
      <c r="G19" s="415" t="str">
        <f t="shared" si="0"/>
        <v/>
      </c>
      <c r="H19" s="415" t="str">
        <f t="shared" si="0"/>
        <v/>
      </c>
      <c r="I19" s="415" t="str">
        <f t="shared" si="0"/>
        <v/>
      </c>
      <c r="J19" s="415" t="str">
        <f t="shared" si="0"/>
        <v/>
      </c>
      <c r="K19" s="415" t="str">
        <f t="shared" si="0"/>
        <v/>
      </c>
      <c r="L19" s="415" t="str">
        <f t="shared" si="0"/>
        <v/>
      </c>
      <c r="M19" s="415" t="str">
        <f t="shared" si="0"/>
        <v/>
      </c>
      <c r="N19" s="415" t="str">
        <f t="shared" si="0"/>
        <v/>
      </c>
      <c r="O19" s="415" t="str">
        <f t="shared" si="0"/>
        <v/>
      </c>
      <c r="P19" s="415" t="str">
        <f t="shared" si="0"/>
        <v/>
      </c>
      <c r="Q19" s="415" t="str">
        <f t="shared" si="0"/>
        <v/>
      </c>
      <c r="R19" s="415" t="str">
        <f t="shared" si="0"/>
        <v/>
      </c>
      <c r="S19" s="415" t="str">
        <f t="shared" si="0"/>
        <v/>
      </c>
      <c r="T19" s="415" t="str">
        <f t="shared" si="0"/>
        <v/>
      </c>
      <c r="U19" s="415" t="str">
        <f t="shared" si="1"/>
        <v/>
      </c>
      <c r="V19" s="415" t="str">
        <f t="shared" si="1"/>
        <v/>
      </c>
      <c r="W19" s="415" t="str">
        <f t="shared" si="1"/>
        <v/>
      </c>
      <c r="X19" s="415" t="str">
        <f t="shared" si="1"/>
        <v/>
      </c>
      <c r="Y19" s="415" t="str">
        <f t="shared" si="1"/>
        <v/>
      </c>
      <c r="Z19" s="415" t="str">
        <f t="shared" si="1"/>
        <v/>
      </c>
      <c r="AA19" s="415" t="str">
        <f t="shared" si="1"/>
        <v/>
      </c>
      <c r="AB19" s="415" t="str">
        <f t="shared" si="1"/>
        <v/>
      </c>
      <c r="AC19" s="415" t="str">
        <f t="shared" si="2"/>
        <v/>
      </c>
      <c r="AD19" s="415" t="str">
        <f t="shared" si="2"/>
        <v/>
      </c>
      <c r="AE19" s="415" t="str">
        <f t="shared" si="2"/>
        <v/>
      </c>
      <c r="AF19" s="415" t="str">
        <f t="shared" si="3"/>
        <v/>
      </c>
      <c r="AG19" s="415" t="str">
        <f t="shared" si="3"/>
        <v/>
      </c>
      <c r="AH19" s="415" t="str">
        <f t="shared" si="3"/>
        <v/>
      </c>
      <c r="AI19" s="400"/>
      <c r="AJ19" s="421">
        <v>0</v>
      </c>
      <c r="AK19" s="421">
        <v>0</v>
      </c>
      <c r="AL19" s="421">
        <v>0</v>
      </c>
      <c r="AM19" s="421">
        <v>0</v>
      </c>
      <c r="AN19" s="421">
        <v>0</v>
      </c>
      <c r="AO19" s="421">
        <v>0</v>
      </c>
      <c r="AP19" s="421">
        <f>'3-大商业'!O5</f>
        <v>0</v>
      </c>
      <c r="AQ19" s="421">
        <f>'3-大商业'!M5</f>
        <v>0</v>
      </c>
      <c r="AR19" s="421">
        <f>'3-大商业'!N5</f>
        <v>0</v>
      </c>
      <c r="AS19" s="421">
        <f>'3-星级办公'!O5</f>
        <v>0</v>
      </c>
      <c r="AT19" s="421">
        <f>'3-星级办公'!M5</f>
        <v>0</v>
      </c>
      <c r="AU19" s="421">
        <f>'3-星级办公'!N5</f>
        <v>0</v>
      </c>
      <c r="AV19" s="421">
        <f>'3-商墅'!O5</f>
        <v>0</v>
      </c>
      <c r="AW19" s="421">
        <f>'3-商墅'!M5</f>
        <v>0</v>
      </c>
      <c r="AX19" s="421">
        <f>'3-商墅'!N5</f>
        <v>0</v>
      </c>
      <c r="AY19" s="421">
        <f>+'3-高层公寓'!O5</f>
        <v>0</v>
      </c>
      <c r="AZ19" s="421">
        <f>+'3-高层公寓'!M5</f>
        <v>0</v>
      </c>
      <c r="BA19" s="421">
        <f>+'3-高层公寓'!N5</f>
        <v>0</v>
      </c>
      <c r="BB19" s="421">
        <f>'3-地下车库'!O5*(1-'3-公摊费用及期间费（本期）'!$G$88)</f>
        <v>0</v>
      </c>
      <c r="BC19" s="421">
        <f>'3-地下车库'!M5*(1-'3-公摊费用及期间费（本期）'!$G$88)</f>
        <v>0</v>
      </c>
      <c r="BD19" s="421">
        <f>'3-地下车库'!N5*(1-'3-公摊费用及期间费（本期）'!$G$88)</f>
        <v>0</v>
      </c>
      <c r="BE19" s="421"/>
      <c r="BF19" s="421"/>
      <c r="BG19" s="421"/>
      <c r="BH19" s="415">
        <f t="shared" ref="BH19:BJ20" si="8">AJ19+AM19+AP19+AS19+AV19+BB19+BE19+AY19</f>
        <v>0</v>
      </c>
      <c r="BI19" s="415">
        <f t="shared" si="8"/>
        <v>0</v>
      </c>
      <c r="BJ19" s="415">
        <f t="shared" si="8"/>
        <v>0</v>
      </c>
      <c r="BK19" s="422"/>
      <c r="BL19" s="423" t="s">
        <v>2413</v>
      </c>
      <c r="BM19" s="402"/>
      <c r="BN19" s="402">
        <f t="shared" si="6"/>
        <v>0</v>
      </c>
      <c r="BO19" s="402"/>
      <c r="BP19" s="392"/>
    </row>
    <row r="20" spans="2:68" s="403" customFormat="1" ht="15.75" customHeight="1" outlineLevel="1">
      <c r="B20" s="412" t="s">
        <v>2414</v>
      </c>
      <c r="C20" s="413">
        <v>2</v>
      </c>
      <c r="D20" s="420" t="s">
        <v>2415</v>
      </c>
      <c r="E20" s="415" t="str">
        <f t="shared" si="0"/>
        <v/>
      </c>
      <c r="F20" s="415" t="str">
        <f t="shared" si="0"/>
        <v/>
      </c>
      <c r="G20" s="415" t="str">
        <f t="shared" si="0"/>
        <v/>
      </c>
      <c r="H20" s="415" t="str">
        <f t="shared" si="0"/>
        <v/>
      </c>
      <c r="I20" s="415" t="str">
        <f t="shared" si="0"/>
        <v/>
      </c>
      <c r="J20" s="415" t="str">
        <f t="shared" si="0"/>
        <v/>
      </c>
      <c r="K20" s="415" t="str">
        <f t="shared" si="0"/>
        <v/>
      </c>
      <c r="L20" s="415" t="str">
        <f t="shared" si="0"/>
        <v/>
      </c>
      <c r="M20" s="415" t="str">
        <f t="shared" si="0"/>
        <v/>
      </c>
      <c r="N20" s="415" t="str">
        <f t="shared" si="0"/>
        <v/>
      </c>
      <c r="O20" s="415" t="str">
        <f t="shared" si="0"/>
        <v/>
      </c>
      <c r="P20" s="415" t="str">
        <f t="shared" si="0"/>
        <v/>
      </c>
      <c r="Q20" s="415" t="str">
        <f t="shared" si="0"/>
        <v/>
      </c>
      <c r="R20" s="415" t="str">
        <f t="shared" si="0"/>
        <v/>
      </c>
      <c r="S20" s="415" t="str">
        <f t="shared" si="0"/>
        <v/>
      </c>
      <c r="T20" s="415" t="str">
        <f t="shared" si="0"/>
        <v/>
      </c>
      <c r="U20" s="415" t="str">
        <f t="shared" si="1"/>
        <v/>
      </c>
      <c r="V20" s="415" t="str">
        <f t="shared" si="1"/>
        <v/>
      </c>
      <c r="W20" s="415" t="str">
        <f t="shared" si="1"/>
        <v/>
      </c>
      <c r="X20" s="415" t="str">
        <f t="shared" si="1"/>
        <v/>
      </c>
      <c r="Y20" s="415" t="str">
        <f t="shared" si="1"/>
        <v/>
      </c>
      <c r="Z20" s="415" t="str">
        <f t="shared" si="1"/>
        <v/>
      </c>
      <c r="AA20" s="415" t="str">
        <f t="shared" si="1"/>
        <v/>
      </c>
      <c r="AB20" s="415" t="str">
        <f t="shared" si="1"/>
        <v/>
      </c>
      <c r="AC20" s="415" t="str">
        <f t="shared" si="2"/>
        <v/>
      </c>
      <c r="AD20" s="415" t="str">
        <f t="shared" si="2"/>
        <v/>
      </c>
      <c r="AE20" s="415" t="str">
        <f t="shared" si="2"/>
        <v/>
      </c>
      <c r="AF20" s="415" t="str">
        <f t="shared" si="3"/>
        <v/>
      </c>
      <c r="AG20" s="415" t="str">
        <f t="shared" si="3"/>
        <v/>
      </c>
      <c r="AH20" s="415" t="str">
        <f t="shared" si="3"/>
        <v/>
      </c>
      <c r="AI20" s="400"/>
      <c r="AJ20" s="421">
        <v>0</v>
      </c>
      <c r="AK20" s="421">
        <v>0</v>
      </c>
      <c r="AL20" s="421">
        <v>0</v>
      </c>
      <c r="AM20" s="421">
        <v>0</v>
      </c>
      <c r="AN20" s="421">
        <v>0</v>
      </c>
      <c r="AO20" s="421">
        <v>0</v>
      </c>
      <c r="AP20" s="421">
        <f>'3-大商业'!O36</f>
        <v>0</v>
      </c>
      <c r="AQ20" s="421">
        <f>'3-大商业'!M36</f>
        <v>0</v>
      </c>
      <c r="AR20" s="421">
        <f>'3-大商业'!N36</f>
        <v>0</v>
      </c>
      <c r="AS20" s="421">
        <f>'3-星级办公'!O36</f>
        <v>0</v>
      </c>
      <c r="AT20" s="421">
        <f>'3-星级办公'!M36</f>
        <v>0</v>
      </c>
      <c r="AU20" s="421">
        <f>'3-星级办公'!N36</f>
        <v>0</v>
      </c>
      <c r="AV20" s="421">
        <f>'3-商墅'!O36</f>
        <v>0</v>
      </c>
      <c r="AW20" s="421">
        <f>'3-商墅'!M36</f>
        <v>0</v>
      </c>
      <c r="AX20" s="421">
        <f>'3-商墅'!N36</f>
        <v>0</v>
      </c>
      <c r="AY20" s="421">
        <f>+'3-高层公寓'!O36</f>
        <v>0</v>
      </c>
      <c r="AZ20" s="421">
        <f>+'3-高层公寓'!M36</f>
        <v>0</v>
      </c>
      <c r="BA20" s="421">
        <f>+'3-高层公寓'!N36</f>
        <v>0</v>
      </c>
      <c r="BB20" s="421">
        <f>'3-地下车库'!O36*(1-'3-公摊费用及期间费（本期）'!$G$88)</f>
        <v>0</v>
      </c>
      <c r="BC20" s="421">
        <f>'3-地下车库'!M36*(1-'3-公摊费用及期间费（本期）'!$G$88)</f>
        <v>0</v>
      </c>
      <c r="BD20" s="421">
        <f>'3-地下车库'!N36*(1-'3-公摊费用及期间费（本期）'!$G$88)</f>
        <v>0</v>
      </c>
      <c r="BE20" s="421"/>
      <c r="BF20" s="421"/>
      <c r="BG20" s="421"/>
      <c r="BH20" s="415">
        <f t="shared" si="8"/>
        <v>0</v>
      </c>
      <c r="BI20" s="415">
        <f t="shared" si="8"/>
        <v>0</v>
      </c>
      <c r="BJ20" s="415">
        <f t="shared" si="8"/>
        <v>0</v>
      </c>
      <c r="BK20" s="422"/>
      <c r="BL20" s="423" t="s">
        <v>2413</v>
      </c>
      <c r="BM20" s="402"/>
      <c r="BN20" s="402">
        <f t="shared" si="6"/>
        <v>0</v>
      </c>
      <c r="BO20" s="402"/>
    </row>
    <row r="21" spans="2:68" s="403" customFormat="1" ht="15.75" customHeight="1" outlineLevel="1">
      <c r="B21" s="412" t="s">
        <v>2416</v>
      </c>
      <c r="C21" s="413">
        <v>3</v>
      </c>
      <c r="D21" s="420" t="s">
        <v>2417</v>
      </c>
      <c r="E21" s="415" t="str">
        <f t="shared" si="0"/>
        <v/>
      </c>
      <c r="F21" s="415" t="str">
        <f t="shared" si="0"/>
        <v/>
      </c>
      <c r="G21" s="415" t="str">
        <f t="shared" si="0"/>
        <v/>
      </c>
      <c r="H21" s="415" t="str">
        <f t="shared" si="0"/>
        <v/>
      </c>
      <c r="I21" s="415" t="str">
        <f t="shared" si="0"/>
        <v/>
      </c>
      <c r="J21" s="415" t="str">
        <f t="shared" si="0"/>
        <v/>
      </c>
      <c r="K21" s="415" t="str">
        <f t="shared" si="0"/>
        <v/>
      </c>
      <c r="L21" s="415" t="str">
        <f t="shared" si="0"/>
        <v/>
      </c>
      <c r="M21" s="415" t="str">
        <f t="shared" si="0"/>
        <v/>
      </c>
      <c r="N21" s="415" t="str">
        <f t="shared" si="0"/>
        <v/>
      </c>
      <c r="O21" s="415" t="str">
        <f t="shared" si="0"/>
        <v/>
      </c>
      <c r="P21" s="415" t="str">
        <f t="shared" si="0"/>
        <v/>
      </c>
      <c r="Q21" s="415" t="str">
        <f t="shared" si="0"/>
        <v/>
      </c>
      <c r="R21" s="415" t="str">
        <f t="shared" si="0"/>
        <v/>
      </c>
      <c r="S21" s="415" t="str">
        <f t="shared" si="0"/>
        <v/>
      </c>
      <c r="T21" s="415" t="str">
        <f t="shared" si="0"/>
        <v/>
      </c>
      <c r="U21" s="415" t="str">
        <f t="shared" si="1"/>
        <v/>
      </c>
      <c r="V21" s="415" t="str">
        <f t="shared" si="1"/>
        <v/>
      </c>
      <c r="W21" s="415" t="str">
        <f t="shared" si="1"/>
        <v/>
      </c>
      <c r="X21" s="415" t="str">
        <f t="shared" si="1"/>
        <v/>
      </c>
      <c r="Y21" s="415" t="str">
        <f t="shared" si="1"/>
        <v/>
      </c>
      <c r="Z21" s="415" t="str">
        <f t="shared" si="1"/>
        <v/>
      </c>
      <c r="AA21" s="415" t="str">
        <f t="shared" si="1"/>
        <v/>
      </c>
      <c r="AB21" s="415" t="str">
        <f t="shared" si="1"/>
        <v/>
      </c>
      <c r="AC21" s="415" t="str">
        <f t="shared" si="2"/>
        <v/>
      </c>
      <c r="AD21" s="415" t="str">
        <f t="shared" si="2"/>
        <v/>
      </c>
      <c r="AE21" s="415" t="str">
        <f t="shared" si="2"/>
        <v/>
      </c>
      <c r="AF21" s="415" t="str">
        <f t="shared" si="3"/>
        <v/>
      </c>
      <c r="AG21" s="415" t="str">
        <f t="shared" si="3"/>
        <v/>
      </c>
      <c r="AH21" s="415" t="str">
        <f t="shared" si="3"/>
        <v/>
      </c>
      <c r="AI21" s="400"/>
      <c r="AJ21" s="415">
        <f>IF($BH21=0,0,$BH21*AJ$8/($BH$8-$BB$8))</f>
        <v>0</v>
      </c>
      <c r="AK21" s="415">
        <f>IF($BI21=0,0,$BI21*AK$8/($BI$8-$BB$8))</f>
        <v>0</v>
      </c>
      <c r="AL21" s="415">
        <f>IF($BJ21=0,0,$BJ21*AL$8/($BJ$8-$BB$8))</f>
        <v>0</v>
      </c>
      <c r="AM21" s="415">
        <f>IF($BH21=0,0,$BH21*AM$8/($BH$8-$BB$8))</f>
        <v>0</v>
      </c>
      <c r="AN21" s="415">
        <f>IF($BI21=0,0,$BI21*AN$8/($BI$8-$BB$8))</f>
        <v>0</v>
      </c>
      <c r="AO21" s="415">
        <f>IF($BJ21=0,0,$BJ21*AO$8/($BJ$8-$BB$8))</f>
        <v>0</v>
      </c>
      <c r="AP21" s="415">
        <f>IF($BH21=0,0,$BH21*AP$8/($BH$8-$BB$8))</f>
        <v>0</v>
      </c>
      <c r="AQ21" s="415">
        <f>IF($BI21=0,0,$BI21*AQ$8/($BI$8-$BB$8))</f>
        <v>0</v>
      </c>
      <c r="AR21" s="415">
        <f>IF($BJ21=0,0,$BJ21*AR$8/($BJ$8-$BB$8))</f>
        <v>0</v>
      </c>
      <c r="AS21" s="415">
        <f>IF($BH21=0,0,$BH21*AS$8/($BH$8-$BB$8))</f>
        <v>0</v>
      </c>
      <c r="AT21" s="415">
        <f>IF($BI21=0,0,$BI21*AT$8/($BI$8-$BB$8))</f>
        <v>0</v>
      </c>
      <c r="AU21" s="415">
        <f>IF($BJ21=0,0,$BJ21*AU$8/($BJ$8-$BB$8))</f>
        <v>0</v>
      </c>
      <c r="AV21" s="415">
        <f>IF($BH21=0,0,$BH21*AV$8/($BH$8-$BB$8))</f>
        <v>0</v>
      </c>
      <c r="AW21" s="415">
        <f>IF($BI21=0,0,$BI21*AW$8/($BI$8-$BB$8))</f>
        <v>0</v>
      </c>
      <c r="AX21" s="415">
        <f>IF($BJ21=0,0,$BJ21*AX$8/($BJ$8-$BB$8))</f>
        <v>0</v>
      </c>
      <c r="AY21" s="415">
        <f>IF($BH21=0,0,$BH21*AY$8/($BH$8-$BB$8))</f>
        <v>0</v>
      </c>
      <c r="AZ21" s="415">
        <f>IF($BI21=0,0,$BI21*AZ$8/($BI$8-$BB$8))</f>
        <v>0</v>
      </c>
      <c r="BA21" s="415">
        <f>IF($BJ21=0,0,$BJ21*BA$8/($BJ$8-$BB$8))</f>
        <v>0</v>
      </c>
      <c r="BB21" s="415"/>
      <c r="BC21" s="415"/>
      <c r="BD21" s="415"/>
      <c r="BE21" s="415"/>
      <c r="BF21" s="415"/>
      <c r="BG21" s="415"/>
      <c r="BH21" s="415">
        <f>'3-公摊费用及期间费（本期）'!O107</f>
        <v>0</v>
      </c>
      <c r="BI21" s="421">
        <f>'3-公摊费用及期间费（本期）'!M107</f>
        <v>0</v>
      </c>
      <c r="BJ21" s="421">
        <f>'3-公摊费用及期间费（本期）'!N107</f>
        <v>0</v>
      </c>
      <c r="BK21" s="422"/>
      <c r="BL21" s="423" t="s">
        <v>2398</v>
      </c>
      <c r="BM21" s="402">
        <f>+'3-公摊费用及期间费（本期）'!O107</f>
        <v>0</v>
      </c>
      <c r="BN21" s="402">
        <f t="shared" si="6"/>
        <v>0</v>
      </c>
      <c r="BO21" s="402"/>
    </row>
    <row r="22" spans="2:68" ht="15.75" customHeight="1" outlineLevel="1">
      <c r="B22" s="412" t="s">
        <v>2418</v>
      </c>
      <c r="C22" s="413">
        <v>4</v>
      </c>
      <c r="D22" s="420" t="s">
        <v>2419</v>
      </c>
      <c r="E22" s="415" t="str">
        <f t="shared" si="0"/>
        <v/>
      </c>
      <c r="F22" s="415" t="str">
        <f t="shared" si="0"/>
        <v/>
      </c>
      <c r="G22" s="415" t="str">
        <f t="shared" si="0"/>
        <v/>
      </c>
      <c r="H22" s="415" t="str">
        <f t="shared" si="0"/>
        <v/>
      </c>
      <c r="I22" s="415" t="str">
        <f t="shared" si="0"/>
        <v/>
      </c>
      <c r="J22" s="415" t="str">
        <f t="shared" si="0"/>
        <v/>
      </c>
      <c r="K22" s="415" t="str">
        <f t="shared" si="0"/>
        <v/>
      </c>
      <c r="L22" s="415" t="str">
        <f t="shared" si="0"/>
        <v/>
      </c>
      <c r="M22" s="415" t="str">
        <f t="shared" si="0"/>
        <v/>
      </c>
      <c r="N22" s="415" t="str">
        <f t="shared" si="0"/>
        <v/>
      </c>
      <c r="O22" s="415" t="str">
        <f t="shared" si="0"/>
        <v/>
      </c>
      <c r="P22" s="415" t="str">
        <f t="shared" si="0"/>
        <v/>
      </c>
      <c r="Q22" s="415" t="str">
        <f t="shared" si="0"/>
        <v/>
      </c>
      <c r="R22" s="415" t="str">
        <f t="shared" si="0"/>
        <v/>
      </c>
      <c r="S22" s="415" t="str">
        <f t="shared" si="0"/>
        <v/>
      </c>
      <c r="T22" s="415" t="str">
        <f t="shared" si="0"/>
        <v/>
      </c>
      <c r="U22" s="415" t="str">
        <f t="shared" si="1"/>
        <v/>
      </c>
      <c r="V22" s="415" t="str">
        <f t="shared" si="1"/>
        <v/>
      </c>
      <c r="W22" s="415" t="str">
        <f t="shared" si="1"/>
        <v/>
      </c>
      <c r="X22" s="415" t="str">
        <f t="shared" si="1"/>
        <v/>
      </c>
      <c r="Y22" s="415" t="str">
        <f t="shared" si="1"/>
        <v/>
      </c>
      <c r="Z22" s="415" t="str">
        <f t="shared" si="1"/>
        <v/>
      </c>
      <c r="AA22" s="415" t="str">
        <f t="shared" si="1"/>
        <v/>
      </c>
      <c r="AB22" s="415" t="str">
        <f t="shared" si="1"/>
        <v/>
      </c>
      <c r="AC22" s="415" t="str">
        <f t="shared" si="2"/>
        <v/>
      </c>
      <c r="AD22" s="415" t="str">
        <f t="shared" si="2"/>
        <v/>
      </c>
      <c r="AE22" s="415" t="str">
        <f t="shared" si="2"/>
        <v/>
      </c>
      <c r="AF22" s="415" t="str">
        <f t="shared" si="3"/>
        <v/>
      </c>
      <c r="AG22" s="415" t="str">
        <f t="shared" si="3"/>
        <v/>
      </c>
      <c r="AH22" s="415" t="str">
        <f t="shared" si="3"/>
        <v/>
      </c>
      <c r="AI22" s="400"/>
      <c r="AJ22" s="415">
        <f>IF($BH22=0,0,$BH22*AJ$7/($BH$7-$BB$7))</f>
        <v>0</v>
      </c>
      <c r="AK22" s="415">
        <f>IF($BI22=0,0,$BI22*AK$7/($BI$7-$BB$7))</f>
        <v>0</v>
      </c>
      <c r="AL22" s="415">
        <f>IF($BJ22=0,0,$BJ22*AL$7/($BJ$7-$BB$7))</f>
        <v>0</v>
      </c>
      <c r="AM22" s="415">
        <f>IF($BH22=0,0,$BH22*AM$7/($BH$7-$BB$7))</f>
        <v>0</v>
      </c>
      <c r="AN22" s="415">
        <f>IF($BI22=0,0,$BI22*AN$7/($BI$7-$BB$7))</f>
        <v>0</v>
      </c>
      <c r="AO22" s="415">
        <f>IF($BJ22=0,0,$BJ22*AO$7/($BJ$7-$BB$7))</f>
        <v>0</v>
      </c>
      <c r="AP22" s="415">
        <f>IF($BH22=0,0,$BH22*AP$7/($BH$7-$BB$7))</f>
        <v>0</v>
      </c>
      <c r="AQ22" s="415">
        <f>IF($BI22=0,0,$BI22*AQ$7/($BI$7-$BB$7))</f>
        <v>0</v>
      </c>
      <c r="AR22" s="415">
        <f>IF($BJ22=0,0,$BJ22*AR$7/($BJ$7-$BB$7))</f>
        <v>0</v>
      </c>
      <c r="AS22" s="415">
        <f>IF($BH22=0,0,$BH22*AS$7/($BH$7-$BB$7))</f>
        <v>0</v>
      </c>
      <c r="AT22" s="415">
        <f>IF($BI22=0,0,$BI22*AT$7/($BI$7-$BB$7))</f>
        <v>0</v>
      </c>
      <c r="AU22" s="415">
        <f>IF($BJ22=0,0,$BJ22*AU$7/($BJ$7-$BB$7))</f>
        <v>0</v>
      </c>
      <c r="AV22" s="415">
        <f>IF($BH22=0,0,$BH22*AV$7/($BH$7-$BB$7))</f>
        <v>0</v>
      </c>
      <c r="AW22" s="415">
        <f>IF($BI22=0,0,$BI22*AW$7/($BI$7-$BB$7))</f>
        <v>0</v>
      </c>
      <c r="AX22" s="415">
        <f>IF($BJ22=0,0,$BJ22*AX$7/($BJ$7-$BB$7))</f>
        <v>0</v>
      </c>
      <c r="AY22" s="415">
        <f>IF($BH22=0,0,$BH22*AY$7/($BH$7-$BB$7))</f>
        <v>0</v>
      </c>
      <c r="AZ22" s="415">
        <f>IF($BI22=0,0,$BI22*AZ$7/($BI$7-$BB$7))</f>
        <v>0</v>
      </c>
      <c r="BA22" s="415">
        <f>IF($BJ22=0,0,$BJ22*BA$7/($BJ$7-$BB$7))</f>
        <v>0</v>
      </c>
      <c r="BB22" s="415"/>
      <c r="BC22" s="415"/>
      <c r="BD22" s="415"/>
      <c r="BE22" s="415"/>
      <c r="BF22" s="415"/>
      <c r="BG22" s="415"/>
      <c r="BH22" s="415">
        <f>'3-公摊费用及期间费（本期）'!O125</f>
        <v>0</v>
      </c>
      <c r="BI22" s="415">
        <f>'3-公摊费用及期间费（本期）'!M125</f>
        <v>0</v>
      </c>
      <c r="BJ22" s="415">
        <f>'3-公摊费用及期间费（本期）'!N125</f>
        <v>0</v>
      </c>
      <c r="BK22" s="422"/>
      <c r="BL22" s="419" t="s">
        <v>105</v>
      </c>
      <c r="BM22" s="402">
        <f>+'3-公摊费用及期间费（本期）'!O125</f>
        <v>0</v>
      </c>
      <c r="BN22" s="402">
        <f t="shared" si="6"/>
        <v>0</v>
      </c>
      <c r="BO22" s="402"/>
    </row>
    <row r="23" spans="2:68" ht="15.75" customHeight="1" outlineLevel="1">
      <c r="B23" s="412" t="s">
        <v>2420</v>
      </c>
      <c r="C23" s="413">
        <v>5</v>
      </c>
      <c r="D23" s="420" t="s">
        <v>43</v>
      </c>
      <c r="E23" s="415" t="str">
        <f t="shared" si="0"/>
        <v/>
      </c>
      <c r="F23" s="415" t="str">
        <f t="shared" si="0"/>
        <v/>
      </c>
      <c r="G23" s="415" t="str">
        <f t="shared" si="0"/>
        <v/>
      </c>
      <c r="H23" s="415" t="str">
        <f t="shared" si="0"/>
        <v/>
      </c>
      <c r="I23" s="415" t="str">
        <f t="shared" si="0"/>
        <v/>
      </c>
      <c r="J23" s="415" t="str">
        <f t="shared" si="0"/>
        <v/>
      </c>
      <c r="K23" s="415" t="str">
        <f t="shared" si="0"/>
        <v/>
      </c>
      <c r="L23" s="415" t="str">
        <f t="shared" si="0"/>
        <v/>
      </c>
      <c r="M23" s="415" t="str">
        <f t="shared" si="0"/>
        <v/>
      </c>
      <c r="N23" s="415" t="str">
        <f t="shared" si="0"/>
        <v/>
      </c>
      <c r="O23" s="415" t="str">
        <f t="shared" si="0"/>
        <v/>
      </c>
      <c r="P23" s="415" t="str">
        <f t="shared" si="0"/>
        <v/>
      </c>
      <c r="Q23" s="415" t="str">
        <f t="shared" si="0"/>
        <v/>
      </c>
      <c r="R23" s="415" t="str">
        <f t="shared" si="0"/>
        <v/>
      </c>
      <c r="S23" s="415" t="str">
        <f t="shared" si="0"/>
        <v/>
      </c>
      <c r="T23" s="415" t="str">
        <f t="shared" si="0"/>
        <v/>
      </c>
      <c r="U23" s="415" t="str">
        <f t="shared" si="1"/>
        <v/>
      </c>
      <c r="V23" s="415" t="str">
        <f t="shared" si="1"/>
        <v/>
      </c>
      <c r="W23" s="415" t="str">
        <f t="shared" si="1"/>
        <v/>
      </c>
      <c r="X23" s="415" t="str">
        <f t="shared" si="1"/>
        <v/>
      </c>
      <c r="Y23" s="415" t="str">
        <f t="shared" si="1"/>
        <v/>
      </c>
      <c r="Z23" s="415" t="str">
        <f t="shared" si="1"/>
        <v/>
      </c>
      <c r="AA23" s="415" t="str">
        <f t="shared" si="1"/>
        <v/>
      </c>
      <c r="AB23" s="415" t="str">
        <f t="shared" si="1"/>
        <v/>
      </c>
      <c r="AC23" s="415" t="str">
        <f t="shared" si="2"/>
        <v/>
      </c>
      <c r="AD23" s="415" t="str">
        <f t="shared" si="2"/>
        <v/>
      </c>
      <c r="AE23" s="415" t="str">
        <f t="shared" si="2"/>
        <v/>
      </c>
      <c r="AF23" s="415" t="str">
        <f t="shared" si="3"/>
        <v/>
      </c>
      <c r="AG23" s="415" t="str">
        <f t="shared" si="3"/>
        <v/>
      </c>
      <c r="AH23" s="415" t="str">
        <f t="shared" si="3"/>
        <v/>
      </c>
      <c r="AI23" s="400"/>
      <c r="AJ23" s="415">
        <f>IF($BH23=0,0,$BH23*AJ$7/($BH$7-$BB$7))</f>
        <v>0</v>
      </c>
      <c r="AK23" s="415">
        <f>IF($BI23=0,0,$BI23*AK$7/($BI$7-$BB$7))</f>
        <v>0</v>
      </c>
      <c r="AL23" s="415">
        <f>IF($BJ23=0,0,$BJ23*AL$7/($BJ$7-$BB$7))</f>
        <v>0</v>
      </c>
      <c r="AM23" s="415">
        <f>IF($BH23=0,0,$BH23*AM$7/($BH$7-$BB$7))</f>
        <v>0</v>
      </c>
      <c r="AN23" s="415">
        <f>IF($BI23=0,0,$BI23*AN$7/($BI$7-$BB$7))</f>
        <v>0</v>
      </c>
      <c r="AO23" s="415">
        <f>IF($BJ23=0,0,$BJ23*AO$7/($BJ$7-$BB$7))</f>
        <v>0</v>
      </c>
      <c r="AP23" s="415">
        <f>IF($BH23=0,0,$BH23*AP$7/($BH$7-$BB$7))</f>
        <v>0</v>
      </c>
      <c r="AQ23" s="415">
        <f>IF($BI23=0,0,$BI23*AQ$7/($BI$7-$BB$7))</f>
        <v>0</v>
      </c>
      <c r="AR23" s="415">
        <f>IF($BJ23=0,0,$BJ23*AR$7/($BJ$7-$BB$7))</f>
        <v>0</v>
      </c>
      <c r="AS23" s="415">
        <f>IF($BH23=0,0,$BH23*AS$7/($BH$7-$BB$7))</f>
        <v>0</v>
      </c>
      <c r="AT23" s="415">
        <f>IF($BI23=0,0,$BI23*AT$7/($BI$7-$BB$7))</f>
        <v>0</v>
      </c>
      <c r="AU23" s="415">
        <f>IF($BJ23=0,0,$BJ23*AU$7/($BJ$7-$BB$7))</f>
        <v>0</v>
      </c>
      <c r="AV23" s="415">
        <f>IF($BH23=0,0,$BH23*AV$7/($BH$7-$BB$7))</f>
        <v>0</v>
      </c>
      <c r="AW23" s="415">
        <f>IF($BI23=0,0,$BI23*AW$7/($BI$7-$BB$7))</f>
        <v>0</v>
      </c>
      <c r="AX23" s="415">
        <f>IF($BJ23=0,0,$BJ23*AX$7/($BJ$7-$BB$7))</f>
        <v>0</v>
      </c>
      <c r="AY23" s="415">
        <f>IF($BH23=0,0,$BH23*AY$7/($BH$7-$BB$7))</f>
        <v>0</v>
      </c>
      <c r="AZ23" s="415">
        <f>IF($BI23=0,0,$BI23*AZ$7/($BI$7-$BB$7))</f>
        <v>0</v>
      </c>
      <c r="BA23" s="415">
        <f>IF($BJ23=0,0,$BJ23*BA$7/($BJ$7-$BB$7))</f>
        <v>0</v>
      </c>
      <c r="BB23" s="415"/>
      <c r="BC23" s="415"/>
      <c r="BD23" s="415"/>
      <c r="BE23" s="415"/>
      <c r="BF23" s="415"/>
      <c r="BG23" s="415"/>
      <c r="BH23" s="415">
        <f>'3-公摊费用及期间费（本期）'!O126</f>
        <v>0</v>
      </c>
      <c r="BI23" s="415">
        <f>'3-公摊费用及期间费（本期）'!M126</f>
        <v>0</v>
      </c>
      <c r="BJ23" s="415">
        <f>'3-公摊费用及期间费（本期）'!N126</f>
        <v>0</v>
      </c>
      <c r="BK23" s="422"/>
      <c r="BL23" s="419" t="s">
        <v>105</v>
      </c>
      <c r="BM23" s="402"/>
      <c r="BN23" s="402">
        <f t="shared" si="6"/>
        <v>0</v>
      </c>
      <c r="BO23" s="402"/>
    </row>
    <row r="24" spans="2:68" s="403" customFormat="1" ht="15.75" customHeight="1">
      <c r="B24" s="404">
        <v>5001.04</v>
      </c>
      <c r="C24" s="405" t="s">
        <v>2421</v>
      </c>
      <c r="D24" s="406" t="s">
        <v>2422</v>
      </c>
      <c r="E24" s="407" t="str">
        <f t="shared" si="0"/>
        <v/>
      </c>
      <c r="F24" s="407" t="str">
        <f t="shared" si="0"/>
        <v/>
      </c>
      <c r="G24" s="407" t="str">
        <f t="shared" si="0"/>
        <v/>
      </c>
      <c r="H24" s="407" t="str">
        <f t="shared" si="0"/>
        <v/>
      </c>
      <c r="I24" s="407" t="str">
        <f t="shared" si="0"/>
        <v/>
      </c>
      <c r="J24" s="407" t="str">
        <f t="shared" si="0"/>
        <v/>
      </c>
      <c r="K24" s="407" t="str">
        <f t="shared" si="0"/>
        <v/>
      </c>
      <c r="L24" s="407" t="str">
        <f t="shared" si="0"/>
        <v/>
      </c>
      <c r="M24" s="407" t="str">
        <f t="shared" si="0"/>
        <v/>
      </c>
      <c r="N24" s="407" t="str">
        <f t="shared" si="0"/>
        <v/>
      </c>
      <c r="O24" s="407" t="str">
        <f t="shared" si="0"/>
        <v/>
      </c>
      <c r="P24" s="407" t="str">
        <f t="shared" si="0"/>
        <v/>
      </c>
      <c r="Q24" s="407" t="str">
        <f t="shared" si="0"/>
        <v/>
      </c>
      <c r="R24" s="407" t="str">
        <f t="shared" si="0"/>
        <v/>
      </c>
      <c r="S24" s="407" t="str">
        <f t="shared" si="0"/>
        <v/>
      </c>
      <c r="T24" s="407" t="str">
        <f t="shared" si="0"/>
        <v/>
      </c>
      <c r="U24" s="407" t="str">
        <f t="shared" si="1"/>
        <v/>
      </c>
      <c r="V24" s="407" t="str">
        <f t="shared" si="1"/>
        <v/>
      </c>
      <c r="W24" s="407" t="str">
        <f t="shared" si="1"/>
        <v/>
      </c>
      <c r="X24" s="407" t="str">
        <f t="shared" si="1"/>
        <v/>
      </c>
      <c r="Y24" s="407" t="str">
        <f t="shared" si="1"/>
        <v/>
      </c>
      <c r="Z24" s="407" t="str">
        <f t="shared" si="1"/>
        <v/>
      </c>
      <c r="AA24" s="407" t="str">
        <f t="shared" si="1"/>
        <v/>
      </c>
      <c r="AB24" s="407" t="str">
        <f t="shared" si="1"/>
        <v/>
      </c>
      <c r="AC24" s="407" t="str">
        <f t="shared" si="2"/>
        <v/>
      </c>
      <c r="AD24" s="407" t="str">
        <f t="shared" si="2"/>
        <v/>
      </c>
      <c r="AE24" s="407" t="str">
        <f t="shared" si="2"/>
        <v/>
      </c>
      <c r="AF24" s="407" t="str">
        <f t="shared" si="3"/>
        <v/>
      </c>
      <c r="AG24" s="407" t="str">
        <f t="shared" si="3"/>
        <v/>
      </c>
      <c r="AH24" s="407" t="str">
        <f t="shared" si="3"/>
        <v/>
      </c>
      <c r="AI24" s="408"/>
      <c r="AJ24" s="409">
        <v>0</v>
      </c>
      <c r="AK24" s="409">
        <v>0</v>
      </c>
      <c r="AL24" s="409">
        <v>0</v>
      </c>
      <c r="AM24" s="409">
        <v>0</v>
      </c>
      <c r="AN24" s="409">
        <v>0</v>
      </c>
      <c r="AO24" s="409">
        <v>0</v>
      </c>
      <c r="AP24" s="409">
        <f>'3-大商业'!O69</f>
        <v>0</v>
      </c>
      <c r="AQ24" s="409">
        <f>'3-大商业'!M69</f>
        <v>0</v>
      </c>
      <c r="AR24" s="409">
        <f>'3-大商业'!N69</f>
        <v>0</v>
      </c>
      <c r="AS24" s="409">
        <v>0</v>
      </c>
      <c r="AT24" s="409">
        <v>0</v>
      </c>
      <c r="AU24" s="409">
        <v>0</v>
      </c>
      <c r="AV24" s="409">
        <f>'3-商墅'!O69</f>
        <v>0</v>
      </c>
      <c r="AW24" s="409">
        <f>'3-商墅'!M69</f>
        <v>0</v>
      </c>
      <c r="AX24" s="409">
        <f>'3-商墅'!N69</f>
        <v>0</v>
      </c>
      <c r="AY24" s="409">
        <f>+'3-高层公寓'!O69</f>
        <v>0</v>
      </c>
      <c r="AZ24" s="409">
        <f>+'3-高层公寓'!M69</f>
        <v>0</v>
      </c>
      <c r="BA24" s="409">
        <f>+'3-高层公寓'!N69</f>
        <v>0</v>
      </c>
      <c r="BB24" s="409">
        <v>0</v>
      </c>
      <c r="BC24" s="409">
        <v>0</v>
      </c>
      <c r="BD24" s="409">
        <v>0</v>
      </c>
      <c r="BE24" s="409"/>
      <c r="BF24" s="409"/>
      <c r="BG24" s="409"/>
      <c r="BH24" s="409">
        <f>AJ24+AM24+AP24+AS24+AV24+BB24+BE24+AY24</f>
        <v>0</v>
      </c>
      <c r="BI24" s="409">
        <f>AK24+AN24+AQ24+AT24+AW24+BC24+BF24+AZ24</f>
        <v>0</v>
      </c>
      <c r="BJ24" s="409">
        <f>AL24+AO24+AR24+AU24+AX24+BD24+BG24+BA24</f>
        <v>0</v>
      </c>
      <c r="BK24" s="410"/>
      <c r="BL24" s="411" t="s">
        <v>2413</v>
      </c>
      <c r="BM24" s="402"/>
      <c r="BN24" s="402">
        <f t="shared" si="6"/>
        <v>0</v>
      </c>
      <c r="BO24" s="402"/>
    </row>
    <row r="25" spans="2:68" s="403" customFormat="1" ht="15.75" customHeight="1">
      <c r="B25" s="404">
        <v>5001.05</v>
      </c>
      <c r="C25" s="405" t="s">
        <v>2423</v>
      </c>
      <c r="D25" s="406" t="s">
        <v>2424</v>
      </c>
      <c r="E25" s="407" t="str">
        <f t="shared" ref="E25:T40" si="9">IF(AJ$7=0,"",AJ25*10000/AJ$7)</f>
        <v/>
      </c>
      <c r="F25" s="407" t="str">
        <f t="shared" si="9"/>
        <v/>
      </c>
      <c r="G25" s="407" t="str">
        <f t="shared" si="9"/>
        <v/>
      </c>
      <c r="H25" s="407" t="str">
        <f t="shared" si="9"/>
        <v/>
      </c>
      <c r="I25" s="407" t="str">
        <f t="shared" si="9"/>
        <v/>
      </c>
      <c r="J25" s="407" t="str">
        <f t="shared" si="9"/>
        <v/>
      </c>
      <c r="K25" s="407" t="str">
        <f t="shared" si="9"/>
        <v/>
      </c>
      <c r="L25" s="407" t="str">
        <f t="shared" si="9"/>
        <v/>
      </c>
      <c r="M25" s="407" t="str">
        <f t="shared" si="9"/>
        <v/>
      </c>
      <c r="N25" s="407" t="str">
        <f t="shared" si="9"/>
        <v/>
      </c>
      <c r="O25" s="407" t="str">
        <f t="shared" si="9"/>
        <v/>
      </c>
      <c r="P25" s="407" t="str">
        <f t="shared" si="9"/>
        <v/>
      </c>
      <c r="Q25" s="407" t="str">
        <f t="shared" si="9"/>
        <v/>
      </c>
      <c r="R25" s="407" t="str">
        <f t="shared" si="9"/>
        <v/>
      </c>
      <c r="S25" s="407" t="str">
        <f t="shared" si="9"/>
        <v/>
      </c>
      <c r="T25" s="407" t="str">
        <f t="shared" si="9"/>
        <v/>
      </c>
      <c r="U25" s="407" t="str">
        <f t="shared" si="1"/>
        <v/>
      </c>
      <c r="V25" s="407" t="str">
        <f t="shared" si="1"/>
        <v/>
      </c>
      <c r="W25" s="407" t="str">
        <f t="shared" si="1"/>
        <v/>
      </c>
      <c r="X25" s="407" t="str">
        <f t="shared" si="1"/>
        <v/>
      </c>
      <c r="Y25" s="407" t="str">
        <f t="shared" si="1"/>
        <v/>
      </c>
      <c r="Z25" s="407" t="str">
        <f t="shared" si="1"/>
        <v/>
      </c>
      <c r="AA25" s="407" t="str">
        <f t="shared" si="1"/>
        <v/>
      </c>
      <c r="AB25" s="407" t="str">
        <f t="shared" si="1"/>
        <v/>
      </c>
      <c r="AC25" s="407" t="str">
        <f t="shared" si="2"/>
        <v/>
      </c>
      <c r="AD25" s="407" t="str">
        <f t="shared" si="2"/>
        <v/>
      </c>
      <c r="AE25" s="407" t="str">
        <f t="shared" si="2"/>
        <v/>
      </c>
      <c r="AF25" s="407" t="str">
        <f t="shared" si="3"/>
        <v/>
      </c>
      <c r="AG25" s="407" t="str">
        <f t="shared" si="3"/>
        <v/>
      </c>
      <c r="AH25" s="407" t="str">
        <f t="shared" si="3"/>
        <v/>
      </c>
      <c r="AI25" s="408"/>
      <c r="AJ25" s="409">
        <f>AJ26+AJ27+AJ28+AJ29</f>
        <v>0</v>
      </c>
      <c r="AK25" s="409">
        <f t="shared" ref="AK25:BJ25" si="10">AK26+AK27+AK28+AK29</f>
        <v>0</v>
      </c>
      <c r="AL25" s="409">
        <f t="shared" si="10"/>
        <v>0</v>
      </c>
      <c r="AM25" s="409">
        <f t="shared" si="10"/>
        <v>0</v>
      </c>
      <c r="AN25" s="409">
        <f t="shared" si="10"/>
        <v>0</v>
      </c>
      <c r="AO25" s="409">
        <f t="shared" si="10"/>
        <v>0</v>
      </c>
      <c r="AP25" s="409">
        <f t="shared" si="10"/>
        <v>0</v>
      </c>
      <c r="AQ25" s="409">
        <f t="shared" si="10"/>
        <v>0</v>
      </c>
      <c r="AR25" s="409">
        <f t="shared" si="10"/>
        <v>0</v>
      </c>
      <c r="AS25" s="409">
        <f t="shared" si="10"/>
        <v>0</v>
      </c>
      <c r="AT25" s="409">
        <f t="shared" si="10"/>
        <v>0</v>
      </c>
      <c r="AU25" s="409">
        <f t="shared" si="10"/>
        <v>0</v>
      </c>
      <c r="AV25" s="409">
        <f t="shared" si="10"/>
        <v>0</v>
      </c>
      <c r="AW25" s="409">
        <f t="shared" si="10"/>
        <v>0</v>
      </c>
      <c r="AX25" s="409">
        <f t="shared" si="10"/>
        <v>0</v>
      </c>
      <c r="AY25" s="409">
        <f t="shared" si="10"/>
        <v>0</v>
      </c>
      <c r="AZ25" s="409">
        <f t="shared" si="10"/>
        <v>0</v>
      </c>
      <c r="BA25" s="409">
        <f t="shared" si="10"/>
        <v>0</v>
      </c>
      <c r="BB25" s="409">
        <f t="shared" si="10"/>
        <v>0</v>
      </c>
      <c r="BC25" s="409">
        <f t="shared" si="10"/>
        <v>0</v>
      </c>
      <c r="BD25" s="409">
        <f t="shared" si="10"/>
        <v>0</v>
      </c>
      <c r="BE25" s="409"/>
      <c r="BF25" s="409"/>
      <c r="BG25" s="409"/>
      <c r="BH25" s="409">
        <f>BH26+BH27+BH28+BH29</f>
        <v>0</v>
      </c>
      <c r="BI25" s="409">
        <f t="shared" si="10"/>
        <v>0</v>
      </c>
      <c r="BJ25" s="409">
        <f t="shared" si="10"/>
        <v>0</v>
      </c>
      <c r="BK25" s="410"/>
      <c r="BL25" s="411" t="s">
        <v>2413</v>
      </c>
      <c r="BM25" s="402"/>
      <c r="BN25" s="402">
        <f t="shared" si="6"/>
        <v>0</v>
      </c>
      <c r="BO25" s="402"/>
    </row>
    <row r="26" spans="2:68" ht="15.75" customHeight="1" outlineLevel="1">
      <c r="B26" s="412" t="s">
        <v>2425</v>
      </c>
      <c r="C26" s="413">
        <v>1</v>
      </c>
      <c r="D26" s="420" t="s">
        <v>2426</v>
      </c>
      <c r="E26" s="415" t="str">
        <f t="shared" si="9"/>
        <v/>
      </c>
      <c r="F26" s="415" t="str">
        <f t="shared" si="9"/>
        <v/>
      </c>
      <c r="G26" s="415" t="str">
        <f t="shared" si="9"/>
        <v/>
      </c>
      <c r="H26" s="415" t="str">
        <f t="shared" si="9"/>
        <v/>
      </c>
      <c r="I26" s="415" t="str">
        <f t="shared" si="9"/>
        <v/>
      </c>
      <c r="J26" s="415" t="str">
        <f t="shared" si="9"/>
        <v/>
      </c>
      <c r="K26" s="415" t="str">
        <f t="shared" si="9"/>
        <v/>
      </c>
      <c r="L26" s="415" t="str">
        <f t="shared" si="9"/>
        <v/>
      </c>
      <c r="M26" s="415" t="str">
        <f t="shared" si="9"/>
        <v/>
      </c>
      <c r="N26" s="415" t="str">
        <f t="shared" si="9"/>
        <v/>
      </c>
      <c r="O26" s="415" t="str">
        <f t="shared" si="9"/>
        <v/>
      </c>
      <c r="P26" s="415" t="str">
        <f t="shared" si="9"/>
        <v/>
      </c>
      <c r="Q26" s="415" t="str">
        <f t="shared" si="9"/>
        <v/>
      </c>
      <c r="R26" s="415" t="str">
        <f t="shared" si="9"/>
        <v/>
      </c>
      <c r="S26" s="415" t="str">
        <f t="shared" si="9"/>
        <v/>
      </c>
      <c r="T26" s="415" t="str">
        <f t="shared" si="9"/>
        <v/>
      </c>
      <c r="U26" s="415" t="str">
        <f t="shared" si="1"/>
        <v/>
      </c>
      <c r="V26" s="415" t="str">
        <f t="shared" si="1"/>
        <v/>
      </c>
      <c r="W26" s="415" t="str">
        <f t="shared" si="1"/>
        <v/>
      </c>
      <c r="X26" s="415" t="str">
        <f t="shared" si="1"/>
        <v/>
      </c>
      <c r="Y26" s="415" t="str">
        <f t="shared" si="1"/>
        <v/>
      </c>
      <c r="Z26" s="415" t="str">
        <f t="shared" si="1"/>
        <v/>
      </c>
      <c r="AA26" s="415" t="str">
        <f t="shared" si="1"/>
        <v/>
      </c>
      <c r="AB26" s="415" t="str">
        <f t="shared" si="1"/>
        <v/>
      </c>
      <c r="AC26" s="415" t="str">
        <f t="shared" si="2"/>
        <v/>
      </c>
      <c r="AD26" s="415" t="str">
        <f t="shared" si="2"/>
        <v/>
      </c>
      <c r="AE26" s="415" t="str">
        <f t="shared" si="2"/>
        <v/>
      </c>
      <c r="AF26" s="415" t="str">
        <f t="shared" si="3"/>
        <v/>
      </c>
      <c r="AG26" s="415" t="str">
        <f t="shared" si="3"/>
        <v/>
      </c>
      <c r="AH26" s="415" t="str">
        <f t="shared" si="3"/>
        <v/>
      </c>
      <c r="AI26" s="400"/>
      <c r="AJ26" s="415">
        <v>0</v>
      </c>
      <c r="AK26" s="415">
        <v>0</v>
      </c>
      <c r="AL26" s="415">
        <v>0</v>
      </c>
      <c r="AM26" s="415">
        <v>0</v>
      </c>
      <c r="AN26" s="415">
        <v>0</v>
      </c>
      <c r="AO26" s="415">
        <v>0</v>
      </c>
      <c r="AP26" s="415">
        <f>'3-大商业'!O89</f>
        <v>0</v>
      </c>
      <c r="AQ26" s="415">
        <f>'3-大商业'!M89</f>
        <v>0</v>
      </c>
      <c r="AR26" s="415">
        <f>'3-大商业'!N89</f>
        <v>0</v>
      </c>
      <c r="AS26" s="415">
        <f>'3-星级办公'!O89</f>
        <v>0</v>
      </c>
      <c r="AT26" s="415">
        <f>'3-星级办公'!M89</f>
        <v>0</v>
      </c>
      <c r="AU26" s="415">
        <f>'3-星级办公'!N89</f>
        <v>0</v>
      </c>
      <c r="AV26" s="415">
        <f>'3-商墅'!O89</f>
        <v>0</v>
      </c>
      <c r="AW26" s="415">
        <f>'3-商墅'!M89</f>
        <v>0</v>
      </c>
      <c r="AX26" s="415">
        <f>'3-商墅'!N89</f>
        <v>0</v>
      </c>
      <c r="AY26" s="415">
        <f>+'3-高层公寓'!O89</f>
        <v>0</v>
      </c>
      <c r="AZ26" s="415">
        <f>+'3-高层公寓'!M89</f>
        <v>0</v>
      </c>
      <c r="BA26" s="415">
        <f>+'3-高层公寓'!N89</f>
        <v>0</v>
      </c>
      <c r="BB26" s="415"/>
      <c r="BC26" s="415"/>
      <c r="BD26" s="415"/>
      <c r="BE26" s="415"/>
      <c r="BF26" s="415"/>
      <c r="BG26" s="415"/>
      <c r="BH26" s="415">
        <f t="shared" ref="BH26:BJ29" si="11">AJ26+AM26+AP26+AS26+AV26+BB26+BE26+AY26</f>
        <v>0</v>
      </c>
      <c r="BI26" s="415">
        <f t="shared" si="11"/>
        <v>0</v>
      </c>
      <c r="BJ26" s="415">
        <f t="shared" si="11"/>
        <v>0</v>
      </c>
      <c r="BK26" s="422"/>
      <c r="BL26" s="423" t="s">
        <v>500</v>
      </c>
      <c r="BM26" s="402"/>
      <c r="BN26" s="402">
        <f t="shared" si="6"/>
        <v>0</v>
      </c>
      <c r="BO26" s="402"/>
    </row>
    <row r="27" spans="2:68" ht="15.75" customHeight="1" outlineLevel="1">
      <c r="B27" s="412" t="s">
        <v>2427</v>
      </c>
      <c r="C27" s="413">
        <v>2</v>
      </c>
      <c r="D27" s="420" t="s">
        <v>2428</v>
      </c>
      <c r="E27" s="415" t="str">
        <f t="shared" si="9"/>
        <v/>
      </c>
      <c r="F27" s="415" t="str">
        <f t="shared" si="9"/>
        <v/>
      </c>
      <c r="G27" s="415" t="str">
        <f t="shared" si="9"/>
        <v/>
      </c>
      <c r="H27" s="415" t="str">
        <f t="shared" si="9"/>
        <v/>
      </c>
      <c r="I27" s="415" t="str">
        <f t="shared" si="9"/>
        <v/>
      </c>
      <c r="J27" s="415" t="str">
        <f t="shared" si="9"/>
        <v/>
      </c>
      <c r="K27" s="415" t="str">
        <f t="shared" si="9"/>
        <v/>
      </c>
      <c r="L27" s="415" t="str">
        <f t="shared" si="9"/>
        <v/>
      </c>
      <c r="M27" s="415" t="str">
        <f t="shared" si="9"/>
        <v/>
      </c>
      <c r="N27" s="415" t="str">
        <f t="shared" si="9"/>
        <v/>
      </c>
      <c r="O27" s="415" t="str">
        <f t="shared" si="9"/>
        <v/>
      </c>
      <c r="P27" s="415" t="str">
        <f t="shared" si="9"/>
        <v/>
      </c>
      <c r="Q27" s="415" t="str">
        <f t="shared" si="9"/>
        <v/>
      </c>
      <c r="R27" s="415" t="str">
        <f t="shared" si="9"/>
        <v/>
      </c>
      <c r="S27" s="415" t="str">
        <f t="shared" si="9"/>
        <v/>
      </c>
      <c r="T27" s="415" t="str">
        <f t="shared" si="9"/>
        <v/>
      </c>
      <c r="U27" s="415" t="str">
        <f t="shared" si="1"/>
        <v/>
      </c>
      <c r="V27" s="415" t="str">
        <f t="shared" si="1"/>
        <v/>
      </c>
      <c r="W27" s="415" t="str">
        <f t="shared" si="1"/>
        <v/>
      </c>
      <c r="X27" s="415" t="str">
        <f t="shared" si="1"/>
        <v/>
      </c>
      <c r="Y27" s="415" t="str">
        <f t="shared" si="1"/>
        <v/>
      </c>
      <c r="Z27" s="415" t="str">
        <f t="shared" si="1"/>
        <v/>
      </c>
      <c r="AA27" s="415" t="str">
        <f t="shared" si="1"/>
        <v/>
      </c>
      <c r="AB27" s="415" t="str">
        <f t="shared" si="1"/>
        <v/>
      </c>
      <c r="AC27" s="415" t="str">
        <f t="shared" si="2"/>
        <v/>
      </c>
      <c r="AD27" s="415" t="str">
        <f t="shared" si="2"/>
        <v/>
      </c>
      <c r="AE27" s="415" t="str">
        <f t="shared" si="2"/>
        <v/>
      </c>
      <c r="AF27" s="415" t="str">
        <f t="shared" si="3"/>
        <v/>
      </c>
      <c r="AG27" s="415" t="str">
        <f t="shared" si="3"/>
        <v/>
      </c>
      <c r="AH27" s="415" t="str">
        <f t="shared" si="3"/>
        <v/>
      </c>
      <c r="AI27" s="400"/>
      <c r="AJ27" s="415">
        <v>0</v>
      </c>
      <c r="AK27" s="415">
        <v>0</v>
      </c>
      <c r="AL27" s="415">
        <v>0</v>
      </c>
      <c r="AM27" s="415">
        <v>0</v>
      </c>
      <c r="AN27" s="415">
        <v>0</v>
      </c>
      <c r="AO27" s="415">
        <v>0</v>
      </c>
      <c r="AP27" s="415">
        <f>'3-大商业'!O129</f>
        <v>0</v>
      </c>
      <c r="AQ27" s="415">
        <f>'3-大商业'!M129</f>
        <v>0</v>
      </c>
      <c r="AR27" s="415">
        <f>'3-大商业'!N129</f>
        <v>0</v>
      </c>
      <c r="AS27" s="415">
        <f>'3-星级办公'!O129</f>
        <v>0</v>
      </c>
      <c r="AT27" s="415">
        <f>'3-星级办公'!M129</f>
        <v>0</v>
      </c>
      <c r="AU27" s="415">
        <f>'3-星级办公'!N129</f>
        <v>0</v>
      </c>
      <c r="AV27" s="415">
        <f>'3-商墅'!O129</f>
        <v>0</v>
      </c>
      <c r="AW27" s="415">
        <f>'3-商墅'!M129</f>
        <v>0</v>
      </c>
      <c r="AX27" s="415">
        <f>'3-商墅'!N129</f>
        <v>0</v>
      </c>
      <c r="AY27" s="415">
        <f>+'3-高层公寓'!O129</f>
        <v>0</v>
      </c>
      <c r="AZ27" s="415">
        <f>+'3-高层公寓'!M129</f>
        <v>0</v>
      </c>
      <c r="BA27" s="415">
        <f>+'3-高层公寓'!N129</f>
        <v>0</v>
      </c>
      <c r="BB27" s="415"/>
      <c r="BC27" s="415"/>
      <c r="BD27" s="415"/>
      <c r="BE27" s="415"/>
      <c r="BF27" s="415"/>
      <c r="BG27" s="415"/>
      <c r="BH27" s="415">
        <f t="shared" si="11"/>
        <v>0</v>
      </c>
      <c r="BI27" s="415">
        <f t="shared" si="11"/>
        <v>0</v>
      </c>
      <c r="BJ27" s="415">
        <f t="shared" si="11"/>
        <v>0</v>
      </c>
      <c r="BK27" s="422"/>
      <c r="BL27" s="423" t="s">
        <v>500</v>
      </c>
      <c r="BM27" s="402"/>
      <c r="BN27" s="402">
        <f t="shared" si="6"/>
        <v>0</v>
      </c>
      <c r="BO27" s="402"/>
    </row>
    <row r="28" spans="2:68" ht="15.75" customHeight="1" outlineLevel="1">
      <c r="B28" s="412" t="s">
        <v>2429</v>
      </c>
      <c r="C28" s="413">
        <v>3</v>
      </c>
      <c r="D28" s="420" t="s">
        <v>2430</v>
      </c>
      <c r="E28" s="415" t="str">
        <f t="shared" si="9"/>
        <v/>
      </c>
      <c r="F28" s="415" t="str">
        <f t="shared" si="9"/>
        <v/>
      </c>
      <c r="G28" s="415" t="str">
        <f t="shared" si="9"/>
        <v/>
      </c>
      <c r="H28" s="415" t="str">
        <f t="shared" si="9"/>
        <v/>
      </c>
      <c r="I28" s="415" t="str">
        <f t="shared" si="9"/>
        <v/>
      </c>
      <c r="J28" s="415" t="str">
        <f t="shared" si="9"/>
        <v/>
      </c>
      <c r="K28" s="415" t="str">
        <f t="shared" si="9"/>
        <v/>
      </c>
      <c r="L28" s="415" t="str">
        <f t="shared" si="9"/>
        <v/>
      </c>
      <c r="M28" s="415" t="str">
        <f t="shared" si="9"/>
        <v/>
      </c>
      <c r="N28" s="415" t="str">
        <f t="shared" si="9"/>
        <v/>
      </c>
      <c r="O28" s="415" t="str">
        <f t="shared" si="9"/>
        <v/>
      </c>
      <c r="P28" s="415" t="str">
        <f t="shared" si="9"/>
        <v/>
      </c>
      <c r="Q28" s="415" t="str">
        <f t="shared" si="9"/>
        <v/>
      </c>
      <c r="R28" s="415" t="str">
        <f t="shared" si="9"/>
        <v/>
      </c>
      <c r="S28" s="415" t="str">
        <f t="shared" si="9"/>
        <v/>
      </c>
      <c r="T28" s="415" t="str">
        <f t="shared" si="9"/>
        <v/>
      </c>
      <c r="U28" s="415" t="str">
        <f t="shared" si="1"/>
        <v/>
      </c>
      <c r="V28" s="415" t="str">
        <f t="shared" si="1"/>
        <v/>
      </c>
      <c r="W28" s="415" t="str">
        <f t="shared" si="1"/>
        <v/>
      </c>
      <c r="X28" s="415" t="str">
        <f t="shared" si="1"/>
        <v/>
      </c>
      <c r="Y28" s="415" t="str">
        <f t="shared" si="1"/>
        <v/>
      </c>
      <c r="Z28" s="415" t="str">
        <f t="shared" si="1"/>
        <v/>
      </c>
      <c r="AA28" s="415" t="str">
        <f t="shared" si="1"/>
        <v/>
      </c>
      <c r="AB28" s="415" t="str">
        <f t="shared" si="1"/>
        <v/>
      </c>
      <c r="AC28" s="415" t="str">
        <f t="shared" si="2"/>
        <v/>
      </c>
      <c r="AD28" s="415" t="str">
        <f t="shared" si="2"/>
        <v/>
      </c>
      <c r="AE28" s="415" t="str">
        <f t="shared" si="2"/>
        <v/>
      </c>
      <c r="AF28" s="415" t="str">
        <f t="shared" si="3"/>
        <v/>
      </c>
      <c r="AG28" s="415" t="str">
        <f t="shared" si="3"/>
        <v/>
      </c>
      <c r="AH28" s="415" t="str">
        <f t="shared" si="3"/>
        <v/>
      </c>
      <c r="AI28" s="400"/>
      <c r="AJ28" s="415">
        <v>0</v>
      </c>
      <c r="AK28" s="415">
        <v>0</v>
      </c>
      <c r="AL28" s="415">
        <v>0</v>
      </c>
      <c r="AM28" s="415">
        <v>0</v>
      </c>
      <c r="AN28" s="415">
        <v>0</v>
      </c>
      <c r="AO28" s="415">
        <v>0</v>
      </c>
      <c r="AP28" s="415">
        <f>'3-大商业'!O149</f>
        <v>0</v>
      </c>
      <c r="AQ28" s="415">
        <f>'3-大商业'!M149</f>
        <v>0</v>
      </c>
      <c r="AR28" s="415">
        <f>'3-大商业'!N19</f>
        <v>0</v>
      </c>
      <c r="AS28" s="415">
        <f>'3-星级办公'!O149</f>
        <v>0</v>
      </c>
      <c r="AT28" s="415">
        <f>'3-星级办公'!M149</f>
        <v>0</v>
      </c>
      <c r="AU28" s="415">
        <f>'3-星级办公'!N149</f>
        <v>0</v>
      </c>
      <c r="AV28" s="415">
        <f>'3-商墅'!O149</f>
        <v>0</v>
      </c>
      <c r="AW28" s="415">
        <f>'3-商墅'!M149</f>
        <v>0</v>
      </c>
      <c r="AX28" s="415">
        <f>'3-商墅'!N149</f>
        <v>0</v>
      </c>
      <c r="AY28" s="415">
        <f>+'3-高层公寓'!O149</f>
        <v>0</v>
      </c>
      <c r="AZ28" s="415">
        <f>+'3-高层公寓'!M149</f>
        <v>0</v>
      </c>
      <c r="BA28" s="415">
        <f>+'3-高层公寓'!N149</f>
        <v>0</v>
      </c>
      <c r="BB28" s="415"/>
      <c r="BC28" s="415"/>
      <c r="BD28" s="415"/>
      <c r="BE28" s="415"/>
      <c r="BF28" s="415"/>
      <c r="BG28" s="415"/>
      <c r="BH28" s="415">
        <f t="shared" si="11"/>
        <v>0</v>
      </c>
      <c r="BI28" s="415">
        <f t="shared" si="11"/>
        <v>0</v>
      </c>
      <c r="BJ28" s="415">
        <f t="shared" si="11"/>
        <v>0</v>
      </c>
      <c r="BK28" s="422"/>
      <c r="BL28" s="423" t="s">
        <v>500</v>
      </c>
      <c r="BM28" s="402"/>
      <c r="BN28" s="402">
        <f t="shared" si="6"/>
        <v>0</v>
      </c>
      <c r="BO28" s="402"/>
    </row>
    <row r="29" spans="2:68" ht="15.75" customHeight="1" outlineLevel="1">
      <c r="B29" s="412" t="s">
        <v>2431</v>
      </c>
      <c r="C29" s="413">
        <v>4</v>
      </c>
      <c r="D29" s="420" t="s">
        <v>2432</v>
      </c>
      <c r="E29" s="415" t="str">
        <f t="shared" si="9"/>
        <v/>
      </c>
      <c r="F29" s="415" t="str">
        <f t="shared" si="9"/>
        <v/>
      </c>
      <c r="G29" s="415" t="str">
        <f t="shared" si="9"/>
        <v/>
      </c>
      <c r="H29" s="415" t="str">
        <f t="shared" si="9"/>
        <v/>
      </c>
      <c r="I29" s="415" t="str">
        <f t="shared" si="9"/>
        <v/>
      </c>
      <c r="J29" s="415" t="str">
        <f t="shared" si="9"/>
        <v/>
      </c>
      <c r="K29" s="415" t="str">
        <f t="shared" si="9"/>
        <v/>
      </c>
      <c r="L29" s="415" t="str">
        <f t="shared" si="9"/>
        <v/>
      </c>
      <c r="M29" s="415" t="str">
        <f t="shared" si="9"/>
        <v/>
      </c>
      <c r="N29" s="415" t="str">
        <f t="shared" si="9"/>
        <v/>
      </c>
      <c r="O29" s="415" t="str">
        <f t="shared" si="9"/>
        <v/>
      </c>
      <c r="P29" s="415" t="str">
        <f t="shared" si="9"/>
        <v/>
      </c>
      <c r="Q29" s="415" t="str">
        <f t="shared" si="9"/>
        <v/>
      </c>
      <c r="R29" s="415" t="str">
        <f t="shared" si="9"/>
        <v/>
      </c>
      <c r="S29" s="415" t="str">
        <f t="shared" si="9"/>
        <v/>
      </c>
      <c r="T29" s="415" t="str">
        <f t="shared" si="9"/>
        <v/>
      </c>
      <c r="U29" s="415" t="str">
        <f t="shared" si="1"/>
        <v/>
      </c>
      <c r="V29" s="415" t="str">
        <f t="shared" si="1"/>
        <v/>
      </c>
      <c r="W29" s="415" t="str">
        <f t="shared" si="1"/>
        <v/>
      </c>
      <c r="X29" s="415" t="str">
        <f t="shared" si="1"/>
        <v/>
      </c>
      <c r="Y29" s="415" t="str">
        <f t="shared" si="1"/>
        <v/>
      </c>
      <c r="Z29" s="415" t="str">
        <f t="shared" si="1"/>
        <v/>
      </c>
      <c r="AA29" s="415" t="str">
        <f t="shared" si="1"/>
        <v/>
      </c>
      <c r="AB29" s="415" t="str">
        <f t="shared" si="1"/>
        <v/>
      </c>
      <c r="AC29" s="415" t="str">
        <f t="shared" si="2"/>
        <v/>
      </c>
      <c r="AD29" s="415" t="str">
        <f t="shared" si="2"/>
        <v/>
      </c>
      <c r="AE29" s="415" t="str">
        <f t="shared" si="2"/>
        <v/>
      </c>
      <c r="AF29" s="415" t="str">
        <f t="shared" si="3"/>
        <v/>
      </c>
      <c r="AG29" s="415" t="str">
        <f t="shared" si="3"/>
        <v/>
      </c>
      <c r="AH29" s="415" t="str">
        <f t="shared" si="3"/>
        <v/>
      </c>
      <c r="AI29" s="400"/>
      <c r="AJ29" s="415">
        <v>0</v>
      </c>
      <c r="AK29" s="415">
        <v>0</v>
      </c>
      <c r="AL29" s="415">
        <v>0</v>
      </c>
      <c r="AM29" s="415">
        <v>0</v>
      </c>
      <c r="AN29" s="415">
        <v>0</v>
      </c>
      <c r="AO29" s="415">
        <v>0</v>
      </c>
      <c r="AP29" s="415">
        <f>'3-大商业'!O161</f>
        <v>0</v>
      </c>
      <c r="AQ29" s="415">
        <f>'3-大商业'!M161</f>
        <v>0</v>
      </c>
      <c r="AR29" s="415">
        <f>'3-大商业'!N161</f>
        <v>0</v>
      </c>
      <c r="AS29" s="415">
        <f>'3-星级办公'!O161</f>
        <v>0</v>
      </c>
      <c r="AT29" s="415">
        <f>'3-星级办公'!M161</f>
        <v>0</v>
      </c>
      <c r="AU29" s="415">
        <f>'3-星级办公'!N161</f>
        <v>0</v>
      </c>
      <c r="AV29" s="415">
        <f>'3-商墅'!O161</f>
        <v>0</v>
      </c>
      <c r="AW29" s="415">
        <f>'3-商墅'!M161</f>
        <v>0</v>
      </c>
      <c r="AX29" s="415">
        <f>'3-商墅'!N161</f>
        <v>0</v>
      </c>
      <c r="AY29" s="415">
        <f>+'3-高层公寓'!O161</f>
        <v>0</v>
      </c>
      <c r="AZ29" s="415">
        <f>+'3-高层公寓'!M161</f>
        <v>0</v>
      </c>
      <c r="BA29" s="415">
        <f>+'3-高层公寓'!N161</f>
        <v>0</v>
      </c>
      <c r="BB29" s="415"/>
      <c r="BC29" s="415"/>
      <c r="BD29" s="415"/>
      <c r="BE29" s="415"/>
      <c r="BF29" s="415"/>
      <c r="BG29" s="415"/>
      <c r="BH29" s="415">
        <f t="shared" si="11"/>
        <v>0</v>
      </c>
      <c r="BI29" s="415">
        <f t="shared" si="11"/>
        <v>0</v>
      </c>
      <c r="BJ29" s="415">
        <f t="shared" si="11"/>
        <v>0</v>
      </c>
      <c r="BK29" s="422"/>
      <c r="BL29" s="423" t="s">
        <v>500</v>
      </c>
      <c r="BM29" s="402"/>
      <c r="BN29" s="402">
        <f t="shared" si="6"/>
        <v>0</v>
      </c>
      <c r="BO29" s="402"/>
    </row>
    <row r="30" spans="2:68" s="403" customFormat="1" ht="15.75" customHeight="1" collapsed="1">
      <c r="B30" s="404">
        <v>5001.0600000000004</v>
      </c>
      <c r="C30" s="405" t="s">
        <v>2433</v>
      </c>
      <c r="D30" s="406" t="s">
        <v>2434</v>
      </c>
      <c r="E30" s="407" t="str">
        <f t="shared" si="9"/>
        <v/>
      </c>
      <c r="F30" s="407" t="str">
        <f t="shared" si="9"/>
        <v/>
      </c>
      <c r="G30" s="407" t="str">
        <f t="shared" si="9"/>
        <v/>
      </c>
      <c r="H30" s="407" t="str">
        <f t="shared" si="9"/>
        <v/>
      </c>
      <c r="I30" s="407" t="str">
        <f t="shared" si="9"/>
        <v/>
      </c>
      <c r="J30" s="407" t="str">
        <f t="shared" si="9"/>
        <v/>
      </c>
      <c r="K30" s="407" t="str">
        <f t="shared" si="9"/>
        <v/>
      </c>
      <c r="L30" s="407" t="str">
        <f t="shared" si="9"/>
        <v/>
      </c>
      <c r="M30" s="407" t="str">
        <f t="shared" si="9"/>
        <v/>
      </c>
      <c r="N30" s="407" t="str">
        <f t="shared" si="9"/>
        <v/>
      </c>
      <c r="O30" s="407" t="str">
        <f t="shared" si="9"/>
        <v/>
      </c>
      <c r="P30" s="407" t="str">
        <f t="shared" si="9"/>
        <v/>
      </c>
      <c r="Q30" s="407" t="str">
        <f t="shared" si="9"/>
        <v/>
      </c>
      <c r="R30" s="407" t="str">
        <f t="shared" si="9"/>
        <v/>
      </c>
      <c r="S30" s="407" t="str">
        <f t="shared" si="9"/>
        <v/>
      </c>
      <c r="T30" s="407" t="str">
        <f t="shared" si="9"/>
        <v/>
      </c>
      <c r="U30" s="407" t="str">
        <f t="shared" si="1"/>
        <v/>
      </c>
      <c r="V30" s="407" t="str">
        <f t="shared" si="1"/>
        <v/>
      </c>
      <c r="W30" s="407" t="str">
        <f t="shared" si="1"/>
        <v/>
      </c>
      <c r="X30" s="407" t="str">
        <f t="shared" si="1"/>
        <v/>
      </c>
      <c r="Y30" s="407" t="str">
        <f t="shared" si="1"/>
        <v/>
      </c>
      <c r="Z30" s="407" t="str">
        <f t="shared" si="1"/>
        <v/>
      </c>
      <c r="AA30" s="407" t="str">
        <f t="shared" si="1"/>
        <v/>
      </c>
      <c r="AB30" s="407" t="str">
        <f t="shared" si="1"/>
        <v/>
      </c>
      <c r="AC30" s="407" t="str">
        <f t="shared" si="2"/>
        <v/>
      </c>
      <c r="AD30" s="407" t="str">
        <f t="shared" si="2"/>
        <v/>
      </c>
      <c r="AE30" s="407" t="str">
        <f t="shared" si="2"/>
        <v/>
      </c>
      <c r="AF30" s="407" t="str">
        <f t="shared" si="3"/>
        <v/>
      </c>
      <c r="AG30" s="407" t="str">
        <f t="shared" si="3"/>
        <v/>
      </c>
      <c r="AH30" s="407" t="str">
        <f t="shared" si="3"/>
        <v/>
      </c>
      <c r="AI30" s="408"/>
      <c r="AJ30" s="409">
        <f>AJ31+AJ32+AJ33</f>
        <v>0</v>
      </c>
      <c r="AK30" s="409">
        <f t="shared" ref="AK30:BJ30" si="12">AK31+AK32+AK33</f>
        <v>0</v>
      </c>
      <c r="AL30" s="409">
        <f t="shared" si="12"/>
        <v>0</v>
      </c>
      <c r="AM30" s="409">
        <f t="shared" si="12"/>
        <v>0</v>
      </c>
      <c r="AN30" s="409">
        <f t="shared" si="12"/>
        <v>0</v>
      </c>
      <c r="AO30" s="409">
        <f t="shared" si="12"/>
        <v>0</v>
      </c>
      <c r="AP30" s="409">
        <f t="shared" si="12"/>
        <v>0</v>
      </c>
      <c r="AQ30" s="409">
        <f t="shared" si="12"/>
        <v>0</v>
      </c>
      <c r="AR30" s="409">
        <f t="shared" si="12"/>
        <v>0</v>
      </c>
      <c r="AS30" s="409">
        <f t="shared" si="12"/>
        <v>0</v>
      </c>
      <c r="AT30" s="409">
        <f t="shared" si="12"/>
        <v>0</v>
      </c>
      <c r="AU30" s="409">
        <f t="shared" si="12"/>
        <v>0</v>
      </c>
      <c r="AV30" s="409">
        <f t="shared" si="12"/>
        <v>0</v>
      </c>
      <c r="AW30" s="409">
        <f t="shared" si="12"/>
        <v>0</v>
      </c>
      <c r="AX30" s="409">
        <f t="shared" si="12"/>
        <v>0</v>
      </c>
      <c r="AY30" s="409">
        <f t="shared" si="12"/>
        <v>0</v>
      </c>
      <c r="AZ30" s="409">
        <f t="shared" si="12"/>
        <v>0</v>
      </c>
      <c r="BA30" s="409">
        <f t="shared" si="12"/>
        <v>0</v>
      </c>
      <c r="BB30" s="409">
        <f t="shared" si="12"/>
        <v>0</v>
      </c>
      <c r="BC30" s="409">
        <f t="shared" si="12"/>
        <v>0</v>
      </c>
      <c r="BD30" s="409">
        <f t="shared" si="12"/>
        <v>0</v>
      </c>
      <c r="BE30" s="409"/>
      <c r="BF30" s="409"/>
      <c r="BG30" s="409"/>
      <c r="BH30" s="409">
        <f>BH31+BH32+BH33</f>
        <v>0</v>
      </c>
      <c r="BI30" s="409">
        <f t="shared" si="12"/>
        <v>0</v>
      </c>
      <c r="BJ30" s="409">
        <f t="shared" si="12"/>
        <v>0</v>
      </c>
      <c r="BK30" s="410"/>
      <c r="BL30" s="411" t="s">
        <v>105</v>
      </c>
      <c r="BM30" s="402"/>
      <c r="BN30" s="402">
        <f t="shared" si="6"/>
        <v>0</v>
      </c>
      <c r="BO30" s="402"/>
    </row>
    <row r="31" spans="2:68" ht="15.75" hidden="1" customHeight="1" outlineLevel="1">
      <c r="B31" s="412" t="s">
        <v>2435</v>
      </c>
      <c r="C31" s="413">
        <v>1</v>
      </c>
      <c r="D31" s="420" t="s">
        <v>2436</v>
      </c>
      <c r="E31" s="415" t="str">
        <f t="shared" si="9"/>
        <v/>
      </c>
      <c r="F31" s="415" t="str">
        <f t="shared" si="9"/>
        <v/>
      </c>
      <c r="G31" s="415" t="str">
        <f t="shared" si="9"/>
        <v/>
      </c>
      <c r="H31" s="415" t="str">
        <f t="shared" si="9"/>
        <v/>
      </c>
      <c r="I31" s="415" t="str">
        <f t="shared" si="9"/>
        <v/>
      </c>
      <c r="J31" s="415" t="str">
        <f t="shared" si="9"/>
        <v/>
      </c>
      <c r="K31" s="415" t="str">
        <f t="shared" si="9"/>
        <v/>
      </c>
      <c r="L31" s="415" t="str">
        <f t="shared" si="9"/>
        <v/>
      </c>
      <c r="M31" s="415" t="str">
        <f t="shared" si="9"/>
        <v/>
      </c>
      <c r="N31" s="415" t="str">
        <f t="shared" si="9"/>
        <v/>
      </c>
      <c r="O31" s="415" t="str">
        <f t="shared" si="9"/>
        <v/>
      </c>
      <c r="P31" s="415" t="str">
        <f t="shared" si="9"/>
        <v/>
      </c>
      <c r="Q31" s="415" t="str">
        <f t="shared" si="9"/>
        <v/>
      </c>
      <c r="R31" s="415" t="str">
        <f t="shared" si="9"/>
        <v/>
      </c>
      <c r="S31" s="415" t="str">
        <f t="shared" si="9"/>
        <v/>
      </c>
      <c r="T31" s="415" t="str">
        <f t="shared" si="9"/>
        <v/>
      </c>
      <c r="U31" s="415" t="str">
        <f t="shared" si="1"/>
        <v/>
      </c>
      <c r="V31" s="415" t="str">
        <f t="shared" si="1"/>
        <v/>
      </c>
      <c r="W31" s="415" t="str">
        <f t="shared" si="1"/>
        <v/>
      </c>
      <c r="X31" s="415" t="str">
        <f t="shared" si="1"/>
        <v/>
      </c>
      <c r="Y31" s="415" t="str">
        <f t="shared" si="1"/>
        <v/>
      </c>
      <c r="Z31" s="415" t="str">
        <f t="shared" si="1"/>
        <v/>
      </c>
      <c r="AA31" s="415" t="str">
        <f t="shared" si="1"/>
        <v/>
      </c>
      <c r="AB31" s="415" t="str">
        <f t="shared" si="1"/>
        <v/>
      </c>
      <c r="AC31" s="415" t="str">
        <f t="shared" si="2"/>
        <v/>
      </c>
      <c r="AD31" s="415" t="str">
        <f t="shared" si="2"/>
        <v/>
      </c>
      <c r="AE31" s="415" t="str">
        <f t="shared" si="2"/>
        <v/>
      </c>
      <c r="AF31" s="415" t="str">
        <f t="shared" si="3"/>
        <v/>
      </c>
      <c r="AG31" s="415" t="str">
        <f t="shared" si="3"/>
        <v/>
      </c>
      <c r="AH31" s="415" t="str">
        <f t="shared" si="3"/>
        <v/>
      </c>
      <c r="AI31" s="400"/>
      <c r="AJ31" s="415">
        <f>IF($BH31=0,0,$BH31*AJ$7/($BH$7-$BB$7))</f>
        <v>0</v>
      </c>
      <c r="AK31" s="415">
        <f>IF($BI31=0,0,$BI31*AK$7/($BI$7-$BB$7))</f>
        <v>0</v>
      </c>
      <c r="AL31" s="415">
        <f>IF($BJ31=0,0,$BJ31*AL$7/($BJ$7-$BB$7))</f>
        <v>0</v>
      </c>
      <c r="AM31" s="415">
        <f>IF($BH31=0,0,$BH31*AM$7/($BH$7-$BB$7))</f>
        <v>0</v>
      </c>
      <c r="AN31" s="415">
        <f>IF($BI31=0,0,$BI31*AN$7/($BI$7-$BB$7))</f>
        <v>0</v>
      </c>
      <c r="AO31" s="415">
        <f>IF($BJ31=0,0,$BJ31*AO$7/($BJ$7-$BB$7))</f>
        <v>0</v>
      </c>
      <c r="AP31" s="415">
        <f>IF($BH31=0,0,$BH31*AP$7/($BH$7-$BB$7))</f>
        <v>0</v>
      </c>
      <c r="AQ31" s="415">
        <f>IF($BI31=0,0,$BI31*AQ$7/($BI$7-$BB$7))</f>
        <v>0</v>
      </c>
      <c r="AR31" s="415">
        <f>IF($BJ31=0,0,$BJ31*AR$7/($BJ$7-$BB$7))</f>
        <v>0</v>
      </c>
      <c r="AS31" s="415">
        <f>IF($BH31=0,0,$BH31*AS$7/($BH$7-$BB$7))</f>
        <v>0</v>
      </c>
      <c r="AT31" s="415">
        <f>IF($BI31=0,0,$BI31*AT$7/($BI$7-$BB$7))</f>
        <v>0</v>
      </c>
      <c r="AU31" s="415">
        <f>IF($BJ31=0,0,$BJ31*AU$7/($BJ$7-$BB$7))</f>
        <v>0</v>
      </c>
      <c r="AV31" s="415">
        <f>IF($BH31=0,0,$BH31*AV$7/($BH$7-$BB$7))</f>
        <v>0</v>
      </c>
      <c r="AW31" s="415">
        <f>IF($BI31=0,0,$BI31*AW$7/($BI$7-$BB$7))</f>
        <v>0</v>
      </c>
      <c r="AX31" s="415">
        <f>IF($BJ31=0,0,$BJ31*AX$7/($BJ$7-$BB$7))</f>
        <v>0</v>
      </c>
      <c r="AY31" s="415">
        <f>IF($BH31=0,0,$BH31*AY$7/($BH$7-$BB$7))</f>
        <v>0</v>
      </c>
      <c r="AZ31" s="415">
        <f>IF($BI31=0,0,$BI31*AZ$7/($BI$7-$BB$7))</f>
        <v>0</v>
      </c>
      <c r="BA31" s="415">
        <f>IF($BJ31=0,0,$BJ31*BA$7/($BJ$7-$BB$7))</f>
        <v>0</v>
      </c>
      <c r="BB31" s="415"/>
      <c r="BC31" s="415"/>
      <c r="BD31" s="415"/>
      <c r="BE31" s="415"/>
      <c r="BF31" s="415"/>
      <c r="BG31" s="415"/>
      <c r="BH31" s="415">
        <f>'3-公摊费用及期间费（本期）'!O128</f>
        <v>0</v>
      </c>
      <c r="BI31" s="415">
        <f>'3-公摊费用及期间费（本期）'!M128</f>
        <v>0</v>
      </c>
      <c r="BJ31" s="415">
        <f>'3-公摊费用及期间费（本期）'!N128</f>
        <v>0</v>
      </c>
      <c r="BK31" s="422"/>
      <c r="BL31" s="423" t="s">
        <v>105</v>
      </c>
      <c r="BM31" s="402">
        <f>+'3-公摊费用及期间费（本期）'!O128</f>
        <v>0</v>
      </c>
      <c r="BN31" s="402">
        <f t="shared" si="6"/>
        <v>0</v>
      </c>
      <c r="BO31" s="402"/>
    </row>
    <row r="32" spans="2:68" ht="15.75" hidden="1" customHeight="1" outlineLevel="1">
      <c r="B32" s="412" t="s">
        <v>2437</v>
      </c>
      <c r="C32" s="413">
        <v>2</v>
      </c>
      <c r="D32" s="420" t="s">
        <v>2438</v>
      </c>
      <c r="E32" s="415" t="str">
        <f t="shared" si="9"/>
        <v/>
      </c>
      <c r="F32" s="415" t="str">
        <f t="shared" si="9"/>
        <v/>
      </c>
      <c r="G32" s="415" t="str">
        <f t="shared" si="9"/>
        <v/>
      </c>
      <c r="H32" s="415" t="str">
        <f t="shared" si="9"/>
        <v/>
      </c>
      <c r="I32" s="415" t="str">
        <f t="shared" si="9"/>
        <v/>
      </c>
      <c r="J32" s="415" t="str">
        <f t="shared" si="9"/>
        <v/>
      </c>
      <c r="K32" s="415" t="str">
        <f t="shared" si="9"/>
        <v/>
      </c>
      <c r="L32" s="415" t="str">
        <f t="shared" si="9"/>
        <v/>
      </c>
      <c r="M32" s="415" t="str">
        <f t="shared" si="9"/>
        <v/>
      </c>
      <c r="N32" s="415" t="str">
        <f t="shared" si="9"/>
        <v/>
      </c>
      <c r="O32" s="415" t="str">
        <f t="shared" si="9"/>
        <v/>
      </c>
      <c r="P32" s="415" t="str">
        <f t="shared" si="9"/>
        <v/>
      </c>
      <c r="Q32" s="415" t="str">
        <f t="shared" si="9"/>
        <v/>
      </c>
      <c r="R32" s="415" t="str">
        <f t="shared" si="9"/>
        <v/>
      </c>
      <c r="S32" s="415" t="str">
        <f t="shared" si="9"/>
        <v/>
      </c>
      <c r="T32" s="415" t="str">
        <f t="shared" si="9"/>
        <v/>
      </c>
      <c r="U32" s="415" t="str">
        <f t="shared" si="1"/>
        <v/>
      </c>
      <c r="V32" s="415" t="str">
        <f t="shared" si="1"/>
        <v/>
      </c>
      <c r="W32" s="415" t="str">
        <f t="shared" si="1"/>
        <v/>
      </c>
      <c r="X32" s="415" t="str">
        <f t="shared" si="1"/>
        <v/>
      </c>
      <c r="Y32" s="415" t="str">
        <f t="shared" si="1"/>
        <v/>
      </c>
      <c r="Z32" s="415" t="str">
        <f t="shared" si="1"/>
        <v/>
      </c>
      <c r="AA32" s="415" t="str">
        <f t="shared" si="1"/>
        <v/>
      </c>
      <c r="AB32" s="415" t="str">
        <f t="shared" si="1"/>
        <v/>
      </c>
      <c r="AC32" s="415" t="str">
        <f t="shared" si="2"/>
        <v/>
      </c>
      <c r="AD32" s="415" t="str">
        <f t="shared" si="2"/>
        <v/>
      </c>
      <c r="AE32" s="415" t="str">
        <f t="shared" si="2"/>
        <v/>
      </c>
      <c r="AF32" s="415" t="str">
        <f t="shared" si="3"/>
        <v/>
      </c>
      <c r="AG32" s="415" t="str">
        <f t="shared" si="3"/>
        <v/>
      </c>
      <c r="AH32" s="415" t="str">
        <f t="shared" si="3"/>
        <v/>
      </c>
      <c r="AI32" s="400"/>
      <c r="AJ32" s="415">
        <f>IF($BH32=0,0,$BH32*AJ$8/($BH$8-$BB$8))</f>
        <v>0</v>
      </c>
      <c r="AK32" s="415">
        <f>IF($BI32=0,0,$BI32*AK$8/($BI$8-$BB$8))</f>
        <v>0</v>
      </c>
      <c r="AL32" s="415">
        <f>IF($BJ32=0,0,$BJ32*AL$8/($BJ$8-$BB$8))</f>
        <v>0</v>
      </c>
      <c r="AM32" s="415">
        <f>IF($BH32=0,0,$BH32*AM$8/($BH$8-$BB$8))</f>
        <v>0</v>
      </c>
      <c r="AN32" s="415">
        <f>IF($BI32=0,0,$BI32*AN$8/($BI$8-$BB$8))</f>
        <v>0</v>
      </c>
      <c r="AO32" s="415">
        <f>IF($BJ32=0,0,$BJ32*AO$8/($BJ$8-$BB$8))</f>
        <v>0</v>
      </c>
      <c r="AP32" s="415">
        <f>IF($BH32=0,0,$BH32*AP$8/($BH$8-$BB$8))</f>
        <v>0</v>
      </c>
      <c r="AQ32" s="415">
        <f>IF($BI32=0,0,$BI32*AQ$8/($BI$8-$BB$8))</f>
        <v>0</v>
      </c>
      <c r="AR32" s="415">
        <f>IF($BJ32=0,0,$BJ32*AR$8/($BJ$8-$BB$8))</f>
        <v>0</v>
      </c>
      <c r="AS32" s="415">
        <f>IF($BH32=0,0,$BH32*AS$8/($BH$8-$BB$8))</f>
        <v>0</v>
      </c>
      <c r="AT32" s="415">
        <f>IF($BI32=0,0,$BI32*AT$8/($BI$8-$BB$8))</f>
        <v>0</v>
      </c>
      <c r="AU32" s="415">
        <f>IF($BJ32=0,0,$BJ32*AU$8/($BJ$8-$BB$8))</f>
        <v>0</v>
      </c>
      <c r="AV32" s="415">
        <f>IF($BH32=0,0,$BH32*AV$8/($BH$8-$BB$8))</f>
        <v>0</v>
      </c>
      <c r="AW32" s="415">
        <f>IF($BI32=0,0,$BI32*AW$8/($BI$8-$BB$8))</f>
        <v>0</v>
      </c>
      <c r="AX32" s="415">
        <f>IF($BJ32=0,0,$BJ32*AX$8/($BJ$8-$BB$8))</f>
        <v>0</v>
      </c>
      <c r="AY32" s="415">
        <f>IF($BH32=0,0,$BH32*AY$8/($BH$8-$BB$8))</f>
        <v>0</v>
      </c>
      <c r="AZ32" s="415">
        <f>IF($BI32=0,0,$BI32*AZ$8/($BI$8-$BB$8))</f>
        <v>0</v>
      </c>
      <c r="BA32" s="415">
        <f>IF($BJ32=0,0,$BJ32*BA$8/($BJ$8-$BB$8))</f>
        <v>0</v>
      </c>
      <c r="BB32" s="415"/>
      <c r="BC32" s="415"/>
      <c r="BD32" s="415"/>
      <c r="BE32" s="415"/>
      <c r="BF32" s="415"/>
      <c r="BG32" s="415"/>
      <c r="BH32" s="415">
        <f>'3-公摊费用及期间费（本期）'!O142</f>
        <v>0</v>
      </c>
      <c r="BI32" s="415">
        <f>'3-公摊费用及期间费（本期）'!M142</f>
        <v>0</v>
      </c>
      <c r="BJ32" s="415">
        <f>'3-公摊费用及期间费（本期）'!N142</f>
        <v>0</v>
      </c>
      <c r="BK32" s="422"/>
      <c r="BL32" s="423" t="s">
        <v>2398</v>
      </c>
      <c r="BM32" s="402">
        <f>+'3-公摊费用及期间费（本期）'!O142</f>
        <v>0</v>
      </c>
      <c r="BN32" s="402">
        <f t="shared" si="6"/>
        <v>0</v>
      </c>
      <c r="BO32" s="402"/>
    </row>
    <row r="33" spans="2:67" ht="15.75" hidden="1" customHeight="1" outlineLevel="1">
      <c r="B33" s="412" t="s">
        <v>2439</v>
      </c>
      <c r="C33" s="413">
        <v>3</v>
      </c>
      <c r="D33" s="420" t="s">
        <v>2440</v>
      </c>
      <c r="E33" s="415" t="str">
        <f t="shared" si="9"/>
        <v/>
      </c>
      <c r="F33" s="415" t="str">
        <f t="shared" si="9"/>
        <v/>
      </c>
      <c r="G33" s="415" t="str">
        <f t="shared" si="9"/>
        <v/>
      </c>
      <c r="H33" s="415" t="str">
        <f t="shared" si="9"/>
        <v/>
      </c>
      <c r="I33" s="415" t="str">
        <f t="shared" si="9"/>
        <v/>
      </c>
      <c r="J33" s="415" t="str">
        <f t="shared" si="9"/>
        <v/>
      </c>
      <c r="K33" s="415" t="str">
        <f t="shared" si="9"/>
        <v/>
      </c>
      <c r="L33" s="415" t="str">
        <f t="shared" si="9"/>
        <v/>
      </c>
      <c r="M33" s="415" t="str">
        <f t="shared" si="9"/>
        <v/>
      </c>
      <c r="N33" s="415" t="str">
        <f t="shared" si="9"/>
        <v/>
      </c>
      <c r="O33" s="415" t="str">
        <f t="shared" si="9"/>
        <v/>
      </c>
      <c r="P33" s="415" t="str">
        <f t="shared" si="9"/>
        <v/>
      </c>
      <c r="Q33" s="415" t="str">
        <f t="shared" si="9"/>
        <v/>
      </c>
      <c r="R33" s="415" t="str">
        <f t="shared" si="9"/>
        <v/>
      </c>
      <c r="S33" s="415" t="str">
        <f t="shared" si="9"/>
        <v/>
      </c>
      <c r="T33" s="415" t="str">
        <f t="shared" si="9"/>
        <v/>
      </c>
      <c r="U33" s="415" t="str">
        <f t="shared" si="1"/>
        <v/>
      </c>
      <c r="V33" s="415" t="str">
        <f t="shared" si="1"/>
        <v/>
      </c>
      <c r="W33" s="415" t="str">
        <f t="shared" si="1"/>
        <v/>
      </c>
      <c r="X33" s="415" t="str">
        <f t="shared" si="1"/>
        <v/>
      </c>
      <c r="Y33" s="415" t="str">
        <f t="shared" si="1"/>
        <v/>
      </c>
      <c r="Z33" s="415" t="str">
        <f t="shared" si="1"/>
        <v/>
      </c>
      <c r="AA33" s="415" t="str">
        <f t="shared" si="1"/>
        <v/>
      </c>
      <c r="AB33" s="415" t="str">
        <f t="shared" si="1"/>
        <v/>
      </c>
      <c r="AC33" s="415" t="str">
        <f t="shared" si="2"/>
        <v/>
      </c>
      <c r="AD33" s="415" t="str">
        <f t="shared" si="2"/>
        <v/>
      </c>
      <c r="AE33" s="415" t="str">
        <f t="shared" si="2"/>
        <v/>
      </c>
      <c r="AF33" s="415" t="str">
        <f t="shared" si="3"/>
        <v/>
      </c>
      <c r="AG33" s="415" t="str">
        <f t="shared" si="3"/>
        <v/>
      </c>
      <c r="AH33" s="415" t="str">
        <f t="shared" si="3"/>
        <v/>
      </c>
      <c r="AI33" s="400"/>
      <c r="AJ33" s="415">
        <f>IF($BH33=0,0,$BH33*AJ$8/($BH$8-$BB$8))</f>
        <v>0</v>
      </c>
      <c r="AK33" s="415">
        <f>IF($BI33=0,0,$BI33*AK$8/($BI$8-$BB$8))</f>
        <v>0</v>
      </c>
      <c r="AL33" s="415">
        <f>IF($BJ33=0,0,$BJ33*AL$8/($BJ$8-$BB$8))</f>
        <v>0</v>
      </c>
      <c r="AM33" s="415">
        <f>IF($BH33=0,0,$BH33*AM$8/($BH$8-$BB$8))</f>
        <v>0</v>
      </c>
      <c r="AN33" s="415">
        <f>IF($BI33=0,0,$BI33*AN$8/($BI$8-$BB$8))</f>
        <v>0</v>
      </c>
      <c r="AO33" s="415">
        <f>IF($BJ33=0,0,$BJ33*AO$8/($BJ$8-$BB$8))</f>
        <v>0</v>
      </c>
      <c r="AP33" s="415">
        <f>IF($BH33=0,0,$BH33*AP$8/($BH$8-$BB$8))</f>
        <v>0</v>
      </c>
      <c r="AQ33" s="415">
        <f>IF($BI33=0,0,$BI33*AQ$8/($BI$8-$BB$8))</f>
        <v>0</v>
      </c>
      <c r="AR33" s="415">
        <f>IF($BJ33=0,0,$BJ33*AR$8/($BJ$8-$BB$8))</f>
        <v>0</v>
      </c>
      <c r="AS33" s="415">
        <f>IF($BH33=0,0,$BH33*AS$8/($BH$8-$BB$8))</f>
        <v>0</v>
      </c>
      <c r="AT33" s="415">
        <f>IF($BI33=0,0,$BI33*AT$8/($BI$8-$BB$8))</f>
        <v>0</v>
      </c>
      <c r="AU33" s="415">
        <f>IF($BJ33=0,0,$BJ33*AU$8/($BJ$8-$BB$8))</f>
        <v>0</v>
      </c>
      <c r="AV33" s="415">
        <f>IF($BH33=0,0,$BH33*AV$8/($BH$8-$BB$8))</f>
        <v>0</v>
      </c>
      <c r="AW33" s="415">
        <f>IF($BI33=0,0,$BI33*AW$8/($BI$8-$BB$8))</f>
        <v>0</v>
      </c>
      <c r="AX33" s="415">
        <f>IF($BJ33=0,0,$BJ33*AX$8/($BJ$8-$BB$8))</f>
        <v>0</v>
      </c>
      <c r="AY33" s="415">
        <f>IF($BH33=0,0,$BH33*AY$8/($BH$8-$BB$8))</f>
        <v>0</v>
      </c>
      <c r="AZ33" s="415">
        <f>IF($BI33=0,0,$BI33*AZ$8/($BI$8-$BB$8))</f>
        <v>0</v>
      </c>
      <c r="BA33" s="415">
        <f>IF($BJ33=0,0,$BJ33*BA$8/($BJ$8-$BB$8))</f>
        <v>0</v>
      </c>
      <c r="BB33" s="415"/>
      <c r="BC33" s="415"/>
      <c r="BD33" s="415"/>
      <c r="BE33" s="415"/>
      <c r="BF33" s="415"/>
      <c r="BG33" s="415"/>
      <c r="BH33" s="415">
        <f>'3-公摊费用及期间费（本期）'!O150</f>
        <v>0</v>
      </c>
      <c r="BI33" s="415">
        <f>'3-公摊费用及期间费（本期）'!M150</f>
        <v>0</v>
      </c>
      <c r="BJ33" s="415">
        <f>'3-公摊费用及期间费（本期）'!N150</f>
        <v>0</v>
      </c>
      <c r="BK33" s="422"/>
      <c r="BL33" s="423" t="s">
        <v>2398</v>
      </c>
      <c r="BM33" s="402">
        <f>+'3-公摊费用及期间费（本期）'!O150</f>
        <v>0</v>
      </c>
      <c r="BN33" s="402">
        <f t="shared" si="6"/>
        <v>0</v>
      </c>
      <c r="BO33" s="402"/>
    </row>
    <row r="34" spans="2:67" s="403" customFormat="1" ht="15.75" customHeight="1" collapsed="1">
      <c r="B34" s="404">
        <v>5001.07</v>
      </c>
      <c r="C34" s="405" t="s">
        <v>2441</v>
      </c>
      <c r="D34" s="406" t="s">
        <v>2442</v>
      </c>
      <c r="E34" s="407" t="str">
        <f t="shared" si="9"/>
        <v/>
      </c>
      <c r="F34" s="407" t="str">
        <f t="shared" si="9"/>
        <v/>
      </c>
      <c r="G34" s="407" t="str">
        <f t="shared" si="9"/>
        <v/>
      </c>
      <c r="H34" s="407" t="str">
        <f t="shared" si="9"/>
        <v/>
      </c>
      <c r="I34" s="407" t="str">
        <f t="shared" si="9"/>
        <v/>
      </c>
      <c r="J34" s="407" t="str">
        <f t="shared" si="9"/>
        <v/>
      </c>
      <c r="K34" s="407" t="str">
        <f t="shared" si="9"/>
        <v/>
      </c>
      <c r="L34" s="407" t="str">
        <f t="shared" si="9"/>
        <v/>
      </c>
      <c r="M34" s="407" t="str">
        <f t="shared" si="9"/>
        <v/>
      </c>
      <c r="N34" s="407" t="str">
        <f t="shared" si="9"/>
        <v/>
      </c>
      <c r="O34" s="407" t="str">
        <f t="shared" si="9"/>
        <v/>
      </c>
      <c r="P34" s="407" t="str">
        <f t="shared" si="9"/>
        <v/>
      </c>
      <c r="Q34" s="407" t="str">
        <f t="shared" si="9"/>
        <v/>
      </c>
      <c r="R34" s="407" t="str">
        <f t="shared" si="9"/>
        <v/>
      </c>
      <c r="S34" s="407" t="str">
        <f t="shared" si="9"/>
        <v/>
      </c>
      <c r="T34" s="407" t="str">
        <f t="shared" si="9"/>
        <v/>
      </c>
      <c r="U34" s="407" t="str">
        <f t="shared" si="1"/>
        <v/>
      </c>
      <c r="V34" s="407" t="str">
        <f t="shared" si="1"/>
        <v/>
      </c>
      <c r="W34" s="407" t="str">
        <f t="shared" si="1"/>
        <v/>
      </c>
      <c r="X34" s="407" t="str">
        <f t="shared" si="1"/>
        <v/>
      </c>
      <c r="Y34" s="407" t="str">
        <f t="shared" si="1"/>
        <v/>
      </c>
      <c r="Z34" s="407" t="str">
        <f t="shared" si="1"/>
        <v/>
      </c>
      <c r="AA34" s="407" t="str">
        <f t="shared" si="1"/>
        <v/>
      </c>
      <c r="AB34" s="407" t="str">
        <f t="shared" si="1"/>
        <v/>
      </c>
      <c r="AC34" s="407" t="str">
        <f t="shared" si="2"/>
        <v/>
      </c>
      <c r="AD34" s="407" t="str">
        <f t="shared" si="2"/>
        <v/>
      </c>
      <c r="AE34" s="407" t="str">
        <f t="shared" si="2"/>
        <v/>
      </c>
      <c r="AF34" s="407" t="str">
        <f t="shared" si="3"/>
        <v/>
      </c>
      <c r="AG34" s="407" t="str">
        <f t="shared" si="3"/>
        <v/>
      </c>
      <c r="AH34" s="407" t="str">
        <f t="shared" si="3"/>
        <v/>
      </c>
      <c r="AI34" s="408"/>
      <c r="AJ34" s="409">
        <f>AJ35+AJ36+AJ37+AJ38+AJ39+AJ40</f>
        <v>0</v>
      </c>
      <c r="AK34" s="409">
        <f t="shared" ref="AK34:BJ34" si="13">AK35+AK36+AK37+AK38+AK39+AK40</f>
        <v>0</v>
      </c>
      <c r="AL34" s="409">
        <f t="shared" si="13"/>
        <v>0</v>
      </c>
      <c r="AM34" s="409">
        <f t="shared" si="13"/>
        <v>0</v>
      </c>
      <c r="AN34" s="409">
        <f t="shared" si="13"/>
        <v>0</v>
      </c>
      <c r="AO34" s="409">
        <f t="shared" si="13"/>
        <v>0</v>
      </c>
      <c r="AP34" s="409">
        <f t="shared" si="13"/>
        <v>0</v>
      </c>
      <c r="AQ34" s="409">
        <f t="shared" si="13"/>
        <v>0</v>
      </c>
      <c r="AR34" s="409">
        <f t="shared" si="13"/>
        <v>0</v>
      </c>
      <c r="AS34" s="409">
        <f t="shared" si="13"/>
        <v>0</v>
      </c>
      <c r="AT34" s="409">
        <f t="shared" si="13"/>
        <v>0</v>
      </c>
      <c r="AU34" s="409">
        <f t="shared" si="13"/>
        <v>0</v>
      </c>
      <c r="AV34" s="409">
        <f t="shared" si="13"/>
        <v>0</v>
      </c>
      <c r="AW34" s="409">
        <f t="shared" si="13"/>
        <v>0</v>
      </c>
      <c r="AX34" s="409">
        <f t="shared" si="13"/>
        <v>0</v>
      </c>
      <c r="AY34" s="409">
        <f t="shared" si="13"/>
        <v>0</v>
      </c>
      <c r="AZ34" s="409">
        <f t="shared" si="13"/>
        <v>0</v>
      </c>
      <c r="BA34" s="409">
        <f t="shared" si="13"/>
        <v>0</v>
      </c>
      <c r="BB34" s="409">
        <f t="shared" si="13"/>
        <v>0</v>
      </c>
      <c r="BC34" s="409">
        <f t="shared" si="13"/>
        <v>0</v>
      </c>
      <c r="BD34" s="409">
        <f t="shared" si="13"/>
        <v>0</v>
      </c>
      <c r="BE34" s="409"/>
      <c r="BF34" s="409"/>
      <c r="BG34" s="409"/>
      <c r="BH34" s="409">
        <f>BH35+BH36+BH37+BH38+BH39+BH40</f>
        <v>0</v>
      </c>
      <c r="BI34" s="409">
        <f t="shared" si="13"/>
        <v>0</v>
      </c>
      <c r="BJ34" s="409">
        <f t="shared" si="13"/>
        <v>0</v>
      </c>
      <c r="BK34" s="410"/>
      <c r="BL34" s="411" t="s">
        <v>105</v>
      </c>
      <c r="BM34" s="402">
        <f>+'3-公摊费用及期间费（本期）'!O174</f>
        <v>0</v>
      </c>
      <c r="BN34" s="402">
        <f t="shared" si="6"/>
        <v>0</v>
      </c>
      <c r="BO34" s="402"/>
    </row>
    <row r="35" spans="2:67" ht="15.75" hidden="1" customHeight="1" outlineLevel="1">
      <c r="B35" s="412" t="s">
        <v>2443</v>
      </c>
      <c r="C35" s="413">
        <v>1</v>
      </c>
      <c r="D35" s="424" t="s">
        <v>65</v>
      </c>
      <c r="E35" s="415" t="str">
        <f t="shared" si="9"/>
        <v/>
      </c>
      <c r="F35" s="415" t="str">
        <f t="shared" si="9"/>
        <v/>
      </c>
      <c r="G35" s="415" t="str">
        <f t="shared" si="9"/>
        <v/>
      </c>
      <c r="H35" s="415" t="str">
        <f t="shared" si="9"/>
        <v/>
      </c>
      <c r="I35" s="415" t="str">
        <f t="shared" si="9"/>
        <v/>
      </c>
      <c r="J35" s="415" t="str">
        <f t="shared" si="9"/>
        <v/>
      </c>
      <c r="K35" s="415" t="str">
        <f t="shared" si="9"/>
        <v/>
      </c>
      <c r="L35" s="415" t="str">
        <f t="shared" si="9"/>
        <v/>
      </c>
      <c r="M35" s="415" t="str">
        <f t="shared" si="9"/>
        <v/>
      </c>
      <c r="N35" s="415" t="str">
        <f t="shared" si="9"/>
        <v/>
      </c>
      <c r="O35" s="415" t="str">
        <f t="shared" si="9"/>
        <v/>
      </c>
      <c r="P35" s="415" t="str">
        <f t="shared" si="9"/>
        <v/>
      </c>
      <c r="Q35" s="415" t="str">
        <f t="shared" si="9"/>
        <v/>
      </c>
      <c r="R35" s="415" t="str">
        <f t="shared" si="9"/>
        <v/>
      </c>
      <c r="S35" s="415" t="str">
        <f t="shared" si="9"/>
        <v/>
      </c>
      <c r="T35" s="415" t="str">
        <f t="shared" si="9"/>
        <v/>
      </c>
      <c r="U35" s="415" t="str">
        <f t="shared" si="1"/>
        <v/>
      </c>
      <c r="V35" s="415" t="str">
        <f t="shared" si="1"/>
        <v/>
      </c>
      <c r="W35" s="415" t="str">
        <f t="shared" si="1"/>
        <v/>
      </c>
      <c r="X35" s="415" t="str">
        <f t="shared" si="1"/>
        <v/>
      </c>
      <c r="Y35" s="415" t="str">
        <f t="shared" si="1"/>
        <v/>
      </c>
      <c r="Z35" s="415" t="str">
        <f t="shared" si="1"/>
        <v/>
      </c>
      <c r="AA35" s="415" t="str">
        <f t="shared" si="1"/>
        <v/>
      </c>
      <c r="AB35" s="415" t="str">
        <f t="shared" si="1"/>
        <v/>
      </c>
      <c r="AC35" s="415" t="str">
        <f t="shared" si="2"/>
        <v/>
      </c>
      <c r="AD35" s="415" t="str">
        <f t="shared" si="2"/>
        <v/>
      </c>
      <c r="AE35" s="415" t="str">
        <f t="shared" si="2"/>
        <v/>
      </c>
      <c r="AF35" s="415" t="str">
        <f t="shared" si="3"/>
        <v/>
      </c>
      <c r="AG35" s="415" t="str">
        <f t="shared" si="3"/>
        <v/>
      </c>
      <c r="AH35" s="415" t="str">
        <f t="shared" si="3"/>
        <v/>
      </c>
      <c r="AI35" s="400"/>
      <c r="AJ35" s="415">
        <f t="shared" ref="AJ35:AJ40" si="14">IF($BH35=0,0,$BH35*AJ$7/($BH$7-$BB$7))</f>
        <v>0</v>
      </c>
      <c r="AK35" s="415">
        <f t="shared" ref="AK35:AK40" si="15">IF($BI35=0,0,$BI35*AK$7/($BI$7-$BB$7))</f>
        <v>0</v>
      </c>
      <c r="AL35" s="415">
        <f t="shared" ref="AL35:AL40" si="16">IF($BJ35=0,0,$BJ35*AL$7/($BJ$7-$BB$7))</f>
        <v>0</v>
      </c>
      <c r="AM35" s="415">
        <f t="shared" ref="AM35:AM40" si="17">IF($BH35=0,0,$BH35*AM$7/($BH$7-$BB$7))</f>
        <v>0</v>
      </c>
      <c r="AN35" s="415">
        <f t="shared" ref="AN35:AN40" si="18">IF($BI35=0,0,$BI35*AN$7/($BI$7-$BB$7))</f>
        <v>0</v>
      </c>
      <c r="AO35" s="415">
        <f t="shared" ref="AO35:AO40" si="19">IF($BJ35=0,0,$BJ35*AO$7/($BJ$7-$BB$7))</f>
        <v>0</v>
      </c>
      <c r="AP35" s="415">
        <f t="shared" ref="AP35:AP40" si="20">IF($BH35=0,0,$BH35*AP$7/($BH$7-$BB$7))</f>
        <v>0</v>
      </c>
      <c r="AQ35" s="415">
        <f t="shared" ref="AQ35:AQ40" si="21">IF($BI35=0,0,$BI35*AQ$7/($BI$7-$BB$7))</f>
        <v>0</v>
      </c>
      <c r="AR35" s="415">
        <f t="shared" ref="AR35:AR40" si="22">IF($BJ35=0,0,$BJ35*AR$7/($BJ$7-$BB$7))</f>
        <v>0</v>
      </c>
      <c r="AS35" s="415">
        <f t="shared" ref="AS35:AS40" si="23">IF($BH35=0,0,$BH35*AS$7/($BH$7-$BB$7))</f>
        <v>0</v>
      </c>
      <c r="AT35" s="415">
        <f t="shared" ref="AT35:AT40" si="24">IF($BI35=0,0,$BI35*AT$7/($BI$7-$BB$7))</f>
        <v>0</v>
      </c>
      <c r="AU35" s="415">
        <f t="shared" ref="AU35:AU40" si="25">IF($BJ35=0,0,$BJ35*AU$7/($BJ$7-$BB$7))</f>
        <v>0</v>
      </c>
      <c r="AV35" s="415">
        <f t="shared" ref="AV35:AV40" si="26">IF($BH35=0,0,$BH35*AV$7/($BH$7-$BB$7))</f>
        <v>0</v>
      </c>
      <c r="AW35" s="415">
        <f t="shared" ref="AW35:AW40" si="27">IF($BI35=0,0,$BI35*AW$7/($BI$7-$BB$7))</f>
        <v>0</v>
      </c>
      <c r="AX35" s="415">
        <f t="shared" ref="AX35:AX40" si="28">IF($BJ35=0,0,$BJ35*AX$7/($BJ$7-$BB$7))</f>
        <v>0</v>
      </c>
      <c r="AY35" s="415">
        <f t="shared" ref="AY35:AY40" si="29">IF($BH35=0,0,$BH35*AY$7/($BH$7-$BB$7))</f>
        <v>0</v>
      </c>
      <c r="AZ35" s="415">
        <f t="shared" ref="AZ35:AZ40" si="30">IF($BI35=0,0,$BI35*AZ$7/($BI$7-$BB$7))</f>
        <v>0</v>
      </c>
      <c r="BA35" s="415">
        <f t="shared" ref="BA35:BA40" si="31">IF($BJ35=0,0,$BJ35*BA$7/($BJ$7-$BB$7))</f>
        <v>0</v>
      </c>
      <c r="BB35" s="415"/>
      <c r="BC35" s="415"/>
      <c r="BD35" s="415"/>
      <c r="BE35" s="415"/>
      <c r="BF35" s="415"/>
      <c r="BG35" s="415"/>
      <c r="BH35" s="415">
        <f>'3-公摊费用及期间费（本期）'!O175</f>
        <v>0</v>
      </c>
      <c r="BI35" s="415">
        <f>'3-公摊费用及期间费（本期）'!M175</f>
        <v>0</v>
      </c>
      <c r="BJ35" s="415">
        <f>'3-公摊费用及期间费（本期）'!N175</f>
        <v>0</v>
      </c>
      <c r="BK35" s="416"/>
      <c r="BL35" s="423" t="s">
        <v>105</v>
      </c>
      <c r="BM35" s="402"/>
      <c r="BN35" s="402"/>
      <c r="BO35" s="402"/>
    </row>
    <row r="36" spans="2:67" ht="15.75" hidden="1" customHeight="1" outlineLevel="1">
      <c r="B36" s="412" t="s">
        <v>2444</v>
      </c>
      <c r="C36" s="413">
        <v>2</v>
      </c>
      <c r="D36" s="424" t="s">
        <v>124</v>
      </c>
      <c r="E36" s="415" t="str">
        <f t="shared" si="9"/>
        <v/>
      </c>
      <c r="F36" s="415" t="str">
        <f t="shared" si="9"/>
        <v/>
      </c>
      <c r="G36" s="415" t="str">
        <f t="shared" si="9"/>
        <v/>
      </c>
      <c r="H36" s="415" t="str">
        <f t="shared" si="9"/>
        <v/>
      </c>
      <c r="I36" s="415" t="str">
        <f t="shared" si="9"/>
        <v/>
      </c>
      <c r="J36" s="415" t="str">
        <f t="shared" si="9"/>
        <v/>
      </c>
      <c r="K36" s="415" t="str">
        <f>IF(AP$7=0,"",AP36*10000/AP$7)</f>
        <v/>
      </c>
      <c r="L36" s="415" t="str">
        <f t="shared" si="9"/>
        <v/>
      </c>
      <c r="M36" s="415" t="str">
        <f t="shared" si="9"/>
        <v/>
      </c>
      <c r="N36" s="415" t="str">
        <f t="shared" si="9"/>
        <v/>
      </c>
      <c r="O36" s="415" t="str">
        <f t="shared" si="9"/>
        <v/>
      </c>
      <c r="P36" s="415" t="str">
        <f t="shared" si="9"/>
        <v/>
      </c>
      <c r="Q36" s="415" t="str">
        <f t="shared" si="9"/>
        <v/>
      </c>
      <c r="R36" s="415" t="str">
        <f t="shared" si="9"/>
        <v/>
      </c>
      <c r="S36" s="415" t="str">
        <f t="shared" si="9"/>
        <v/>
      </c>
      <c r="T36" s="415" t="str">
        <f t="shared" si="9"/>
        <v/>
      </c>
      <c r="U36" s="415" t="str">
        <f t="shared" si="1"/>
        <v/>
      </c>
      <c r="V36" s="415" t="str">
        <f t="shared" si="1"/>
        <v/>
      </c>
      <c r="W36" s="415" t="str">
        <f t="shared" si="1"/>
        <v/>
      </c>
      <c r="X36" s="415" t="str">
        <f t="shared" si="1"/>
        <v/>
      </c>
      <c r="Y36" s="415" t="str">
        <f t="shared" si="1"/>
        <v/>
      </c>
      <c r="Z36" s="415" t="str">
        <f t="shared" si="1"/>
        <v/>
      </c>
      <c r="AA36" s="415" t="str">
        <f t="shared" si="1"/>
        <v/>
      </c>
      <c r="AB36" s="415" t="str">
        <f t="shared" si="1"/>
        <v/>
      </c>
      <c r="AC36" s="415" t="str">
        <f t="shared" si="2"/>
        <v/>
      </c>
      <c r="AD36" s="415" t="str">
        <f t="shared" si="2"/>
        <v/>
      </c>
      <c r="AE36" s="415" t="str">
        <f t="shared" si="2"/>
        <v/>
      </c>
      <c r="AF36" s="415" t="str">
        <f t="shared" si="3"/>
        <v/>
      </c>
      <c r="AG36" s="415" t="str">
        <f t="shared" si="3"/>
        <v/>
      </c>
      <c r="AH36" s="415" t="str">
        <f t="shared" si="3"/>
        <v/>
      </c>
      <c r="AI36" s="400"/>
      <c r="AJ36" s="415">
        <f t="shared" si="14"/>
        <v>0</v>
      </c>
      <c r="AK36" s="415">
        <f t="shared" si="15"/>
        <v>0</v>
      </c>
      <c r="AL36" s="415">
        <f t="shared" si="16"/>
        <v>0</v>
      </c>
      <c r="AM36" s="415">
        <f t="shared" si="17"/>
        <v>0</v>
      </c>
      <c r="AN36" s="415">
        <f t="shared" si="18"/>
        <v>0</v>
      </c>
      <c r="AO36" s="415">
        <f t="shared" si="19"/>
        <v>0</v>
      </c>
      <c r="AP36" s="415">
        <f t="shared" si="20"/>
        <v>0</v>
      </c>
      <c r="AQ36" s="415">
        <f t="shared" si="21"/>
        <v>0</v>
      </c>
      <c r="AR36" s="415">
        <f t="shared" si="22"/>
        <v>0</v>
      </c>
      <c r="AS36" s="415">
        <f t="shared" si="23"/>
        <v>0</v>
      </c>
      <c r="AT36" s="415">
        <f t="shared" si="24"/>
        <v>0</v>
      </c>
      <c r="AU36" s="415">
        <f t="shared" si="25"/>
        <v>0</v>
      </c>
      <c r="AV36" s="415">
        <f t="shared" si="26"/>
        <v>0</v>
      </c>
      <c r="AW36" s="415">
        <f t="shared" si="27"/>
        <v>0</v>
      </c>
      <c r="AX36" s="415">
        <f t="shared" si="28"/>
        <v>0</v>
      </c>
      <c r="AY36" s="415">
        <f t="shared" si="29"/>
        <v>0</v>
      </c>
      <c r="AZ36" s="415">
        <f t="shared" si="30"/>
        <v>0</v>
      </c>
      <c r="BA36" s="415">
        <f t="shared" si="31"/>
        <v>0</v>
      </c>
      <c r="BB36" s="415"/>
      <c r="BC36" s="415"/>
      <c r="BD36" s="415"/>
      <c r="BE36" s="415"/>
      <c r="BF36" s="415"/>
      <c r="BG36" s="415"/>
      <c r="BH36" s="415">
        <f>'3-公摊费用及期间费（本期）'!O189</f>
        <v>0</v>
      </c>
      <c r="BI36" s="415">
        <f>'3-公摊费用及期间费（本期）'!M189</f>
        <v>0</v>
      </c>
      <c r="BJ36" s="415">
        <f>'3-公摊费用及期间费（本期）'!N189</f>
        <v>0</v>
      </c>
      <c r="BK36" s="416"/>
      <c r="BL36" s="423" t="s">
        <v>105</v>
      </c>
      <c r="BM36" s="402"/>
      <c r="BN36" s="402"/>
      <c r="BO36" s="402"/>
    </row>
    <row r="37" spans="2:67" ht="15.75" hidden="1" customHeight="1" outlineLevel="1">
      <c r="B37" s="412" t="s">
        <v>2445</v>
      </c>
      <c r="C37" s="413">
        <v>3</v>
      </c>
      <c r="D37" s="424" t="s">
        <v>66</v>
      </c>
      <c r="E37" s="415" t="str">
        <f t="shared" si="9"/>
        <v/>
      </c>
      <c r="F37" s="415" t="str">
        <f t="shared" si="9"/>
        <v/>
      </c>
      <c r="G37" s="415" t="str">
        <f t="shared" si="9"/>
        <v/>
      </c>
      <c r="H37" s="415" t="str">
        <f t="shared" si="9"/>
        <v/>
      </c>
      <c r="I37" s="415" t="str">
        <f t="shared" si="9"/>
        <v/>
      </c>
      <c r="J37" s="415" t="str">
        <f t="shared" si="9"/>
        <v/>
      </c>
      <c r="K37" s="415" t="str">
        <f t="shared" si="9"/>
        <v/>
      </c>
      <c r="L37" s="415" t="str">
        <f t="shared" si="9"/>
        <v/>
      </c>
      <c r="M37" s="415" t="str">
        <f t="shared" si="9"/>
        <v/>
      </c>
      <c r="N37" s="415" t="str">
        <f t="shared" si="9"/>
        <v/>
      </c>
      <c r="O37" s="415" t="str">
        <f t="shared" si="9"/>
        <v/>
      </c>
      <c r="P37" s="415" t="str">
        <f t="shared" si="9"/>
        <v/>
      </c>
      <c r="Q37" s="415" t="str">
        <f t="shared" si="9"/>
        <v/>
      </c>
      <c r="R37" s="415" t="str">
        <f t="shared" si="9"/>
        <v/>
      </c>
      <c r="S37" s="415" t="str">
        <f t="shared" si="9"/>
        <v/>
      </c>
      <c r="T37" s="415" t="str">
        <f t="shared" si="9"/>
        <v/>
      </c>
      <c r="U37" s="415" t="str">
        <f t="shared" si="1"/>
        <v/>
      </c>
      <c r="V37" s="415" t="str">
        <f t="shared" si="1"/>
        <v/>
      </c>
      <c r="W37" s="415" t="str">
        <f t="shared" si="1"/>
        <v/>
      </c>
      <c r="X37" s="415" t="str">
        <f t="shared" si="1"/>
        <v/>
      </c>
      <c r="Y37" s="415" t="str">
        <f t="shared" si="1"/>
        <v/>
      </c>
      <c r="Z37" s="415" t="str">
        <f t="shared" si="1"/>
        <v/>
      </c>
      <c r="AA37" s="415" t="str">
        <f t="shared" si="1"/>
        <v/>
      </c>
      <c r="AB37" s="415" t="str">
        <f t="shared" si="1"/>
        <v/>
      </c>
      <c r="AC37" s="415" t="str">
        <f t="shared" si="2"/>
        <v/>
      </c>
      <c r="AD37" s="415" t="str">
        <f t="shared" si="2"/>
        <v/>
      </c>
      <c r="AE37" s="415" t="str">
        <f t="shared" si="2"/>
        <v/>
      </c>
      <c r="AF37" s="415" t="str">
        <f t="shared" si="3"/>
        <v/>
      </c>
      <c r="AG37" s="415" t="str">
        <f t="shared" si="3"/>
        <v/>
      </c>
      <c r="AH37" s="415" t="str">
        <f t="shared" si="3"/>
        <v/>
      </c>
      <c r="AI37" s="400"/>
      <c r="AJ37" s="415">
        <f t="shared" si="14"/>
        <v>0</v>
      </c>
      <c r="AK37" s="415">
        <f t="shared" si="15"/>
        <v>0</v>
      </c>
      <c r="AL37" s="415">
        <f t="shared" si="16"/>
        <v>0</v>
      </c>
      <c r="AM37" s="415">
        <f t="shared" si="17"/>
        <v>0</v>
      </c>
      <c r="AN37" s="415">
        <f t="shared" si="18"/>
        <v>0</v>
      </c>
      <c r="AO37" s="415">
        <f t="shared" si="19"/>
        <v>0</v>
      </c>
      <c r="AP37" s="415">
        <f t="shared" si="20"/>
        <v>0</v>
      </c>
      <c r="AQ37" s="415">
        <f t="shared" si="21"/>
        <v>0</v>
      </c>
      <c r="AR37" s="415">
        <f t="shared" si="22"/>
        <v>0</v>
      </c>
      <c r="AS37" s="415">
        <f t="shared" si="23"/>
        <v>0</v>
      </c>
      <c r="AT37" s="415">
        <f t="shared" si="24"/>
        <v>0</v>
      </c>
      <c r="AU37" s="415">
        <f t="shared" si="25"/>
        <v>0</v>
      </c>
      <c r="AV37" s="415">
        <f t="shared" si="26"/>
        <v>0</v>
      </c>
      <c r="AW37" s="415">
        <f t="shared" si="27"/>
        <v>0</v>
      </c>
      <c r="AX37" s="415">
        <f t="shared" si="28"/>
        <v>0</v>
      </c>
      <c r="AY37" s="415">
        <f t="shared" si="29"/>
        <v>0</v>
      </c>
      <c r="AZ37" s="415">
        <f t="shared" si="30"/>
        <v>0</v>
      </c>
      <c r="BA37" s="415">
        <f t="shared" si="31"/>
        <v>0</v>
      </c>
      <c r="BB37" s="415"/>
      <c r="BC37" s="415"/>
      <c r="BD37" s="415"/>
      <c r="BE37" s="415"/>
      <c r="BF37" s="415"/>
      <c r="BG37" s="415"/>
      <c r="BH37" s="415">
        <f>'3-公摊费用及期间费（本期）'!O190</f>
        <v>0</v>
      </c>
      <c r="BI37" s="415">
        <f>'3-公摊费用及期间费（本期）'!M190</f>
        <v>0</v>
      </c>
      <c r="BJ37" s="415">
        <f>'3-公摊费用及期间费（本期）'!N190</f>
        <v>0</v>
      </c>
      <c r="BK37" s="416"/>
      <c r="BL37" s="423" t="s">
        <v>105</v>
      </c>
      <c r="BM37" s="402"/>
      <c r="BN37" s="402"/>
      <c r="BO37" s="402"/>
    </row>
    <row r="38" spans="2:67" ht="15.75" hidden="1" customHeight="1" outlineLevel="1">
      <c r="B38" s="412" t="s">
        <v>2446</v>
      </c>
      <c r="C38" s="413">
        <v>4</v>
      </c>
      <c r="D38" s="424" t="s">
        <v>2447</v>
      </c>
      <c r="E38" s="415" t="str">
        <f t="shared" si="9"/>
        <v/>
      </c>
      <c r="F38" s="415" t="str">
        <f t="shared" si="9"/>
        <v/>
      </c>
      <c r="G38" s="415" t="str">
        <f t="shared" si="9"/>
        <v/>
      </c>
      <c r="H38" s="415" t="str">
        <f t="shared" si="9"/>
        <v/>
      </c>
      <c r="I38" s="415" t="str">
        <f t="shared" si="9"/>
        <v/>
      </c>
      <c r="J38" s="415" t="str">
        <f t="shared" si="9"/>
        <v/>
      </c>
      <c r="K38" s="415" t="str">
        <f t="shared" si="9"/>
        <v/>
      </c>
      <c r="L38" s="415" t="str">
        <f t="shared" si="9"/>
        <v/>
      </c>
      <c r="M38" s="415" t="str">
        <f t="shared" si="9"/>
        <v/>
      </c>
      <c r="N38" s="415" t="str">
        <f t="shared" si="9"/>
        <v/>
      </c>
      <c r="O38" s="415" t="str">
        <f t="shared" si="9"/>
        <v/>
      </c>
      <c r="P38" s="415" t="str">
        <f t="shared" si="9"/>
        <v/>
      </c>
      <c r="Q38" s="415" t="str">
        <f t="shared" si="9"/>
        <v/>
      </c>
      <c r="R38" s="415" t="str">
        <f t="shared" si="9"/>
        <v/>
      </c>
      <c r="S38" s="415" t="str">
        <f t="shared" si="9"/>
        <v/>
      </c>
      <c r="T38" s="415" t="str">
        <f t="shared" si="9"/>
        <v/>
      </c>
      <c r="U38" s="415" t="str">
        <f t="shared" si="1"/>
        <v/>
      </c>
      <c r="V38" s="415" t="str">
        <f t="shared" si="1"/>
        <v/>
      </c>
      <c r="W38" s="415" t="str">
        <f t="shared" si="1"/>
        <v/>
      </c>
      <c r="X38" s="415" t="str">
        <f t="shared" si="1"/>
        <v/>
      </c>
      <c r="Y38" s="415" t="str">
        <f t="shared" si="1"/>
        <v/>
      </c>
      <c r="Z38" s="415" t="str">
        <f t="shared" si="1"/>
        <v/>
      </c>
      <c r="AA38" s="415" t="str">
        <f t="shared" si="1"/>
        <v/>
      </c>
      <c r="AB38" s="415" t="str">
        <f t="shared" si="1"/>
        <v/>
      </c>
      <c r="AC38" s="415" t="str">
        <f t="shared" si="2"/>
        <v/>
      </c>
      <c r="AD38" s="415" t="str">
        <f t="shared" si="2"/>
        <v/>
      </c>
      <c r="AE38" s="415" t="str">
        <f t="shared" si="2"/>
        <v/>
      </c>
      <c r="AF38" s="415" t="str">
        <f t="shared" si="3"/>
        <v/>
      </c>
      <c r="AG38" s="415" t="str">
        <f t="shared" si="3"/>
        <v/>
      </c>
      <c r="AH38" s="415" t="str">
        <f t="shared" si="3"/>
        <v/>
      </c>
      <c r="AI38" s="400"/>
      <c r="AJ38" s="415">
        <f t="shared" si="14"/>
        <v>0</v>
      </c>
      <c r="AK38" s="415">
        <f t="shared" si="15"/>
        <v>0</v>
      </c>
      <c r="AL38" s="415">
        <f t="shared" si="16"/>
        <v>0</v>
      </c>
      <c r="AM38" s="415">
        <f t="shared" si="17"/>
        <v>0</v>
      </c>
      <c r="AN38" s="415">
        <f t="shared" si="18"/>
        <v>0</v>
      </c>
      <c r="AO38" s="415">
        <f t="shared" si="19"/>
        <v>0</v>
      </c>
      <c r="AP38" s="415">
        <f t="shared" si="20"/>
        <v>0</v>
      </c>
      <c r="AQ38" s="415">
        <f t="shared" si="21"/>
        <v>0</v>
      </c>
      <c r="AR38" s="415">
        <f t="shared" si="22"/>
        <v>0</v>
      </c>
      <c r="AS38" s="415">
        <f t="shared" si="23"/>
        <v>0</v>
      </c>
      <c r="AT38" s="415">
        <f t="shared" si="24"/>
        <v>0</v>
      </c>
      <c r="AU38" s="415">
        <f t="shared" si="25"/>
        <v>0</v>
      </c>
      <c r="AV38" s="415">
        <f t="shared" si="26"/>
        <v>0</v>
      </c>
      <c r="AW38" s="415">
        <f t="shared" si="27"/>
        <v>0</v>
      </c>
      <c r="AX38" s="415">
        <f t="shared" si="28"/>
        <v>0</v>
      </c>
      <c r="AY38" s="415">
        <f t="shared" si="29"/>
        <v>0</v>
      </c>
      <c r="AZ38" s="415">
        <f t="shared" si="30"/>
        <v>0</v>
      </c>
      <c r="BA38" s="415">
        <f t="shared" si="31"/>
        <v>0</v>
      </c>
      <c r="BB38" s="415"/>
      <c r="BC38" s="415"/>
      <c r="BD38" s="415"/>
      <c r="BE38" s="415"/>
      <c r="BF38" s="415"/>
      <c r="BG38" s="415"/>
      <c r="BH38" s="415">
        <f>'3-公摊费用及期间费（本期）'!O207</f>
        <v>0</v>
      </c>
      <c r="BI38" s="415">
        <f>'3-公摊费用及期间费（本期）'!M207</f>
        <v>0</v>
      </c>
      <c r="BJ38" s="415">
        <f>'3-公摊费用及期间费（本期）'!N207</f>
        <v>0</v>
      </c>
      <c r="BK38" s="416"/>
      <c r="BL38" s="423" t="s">
        <v>105</v>
      </c>
      <c r="BM38" s="402"/>
      <c r="BN38" s="402"/>
      <c r="BO38" s="402"/>
    </row>
    <row r="39" spans="2:67" ht="15.75" hidden="1" customHeight="1" outlineLevel="1">
      <c r="B39" s="412" t="s">
        <v>2448</v>
      </c>
      <c r="C39" s="413">
        <v>5</v>
      </c>
      <c r="D39" s="424" t="s">
        <v>67</v>
      </c>
      <c r="E39" s="415" t="str">
        <f t="shared" si="9"/>
        <v/>
      </c>
      <c r="F39" s="415" t="str">
        <f t="shared" si="9"/>
        <v/>
      </c>
      <c r="G39" s="415" t="str">
        <f t="shared" si="9"/>
        <v/>
      </c>
      <c r="H39" s="415" t="str">
        <f t="shared" si="9"/>
        <v/>
      </c>
      <c r="I39" s="415" t="str">
        <f t="shared" si="9"/>
        <v/>
      </c>
      <c r="J39" s="415" t="str">
        <f t="shared" si="9"/>
        <v/>
      </c>
      <c r="K39" s="415" t="str">
        <f t="shared" si="9"/>
        <v/>
      </c>
      <c r="L39" s="415" t="str">
        <f t="shared" si="9"/>
        <v/>
      </c>
      <c r="M39" s="415" t="str">
        <f t="shared" si="9"/>
        <v/>
      </c>
      <c r="N39" s="415" t="str">
        <f t="shared" si="9"/>
        <v/>
      </c>
      <c r="O39" s="415" t="str">
        <f t="shared" si="9"/>
        <v/>
      </c>
      <c r="P39" s="415" t="str">
        <f t="shared" si="9"/>
        <v/>
      </c>
      <c r="Q39" s="415" t="str">
        <f t="shared" si="9"/>
        <v/>
      </c>
      <c r="R39" s="415" t="str">
        <f t="shared" si="9"/>
        <v/>
      </c>
      <c r="S39" s="415" t="str">
        <f t="shared" si="9"/>
        <v/>
      </c>
      <c r="T39" s="415" t="str">
        <f t="shared" si="9"/>
        <v/>
      </c>
      <c r="U39" s="415" t="str">
        <f t="shared" si="1"/>
        <v/>
      </c>
      <c r="V39" s="415" t="str">
        <f t="shared" si="1"/>
        <v/>
      </c>
      <c r="W39" s="415" t="str">
        <f t="shared" si="1"/>
        <v/>
      </c>
      <c r="X39" s="415" t="str">
        <f t="shared" si="1"/>
        <v/>
      </c>
      <c r="Y39" s="415" t="str">
        <f t="shared" si="1"/>
        <v/>
      </c>
      <c r="Z39" s="415" t="str">
        <f t="shared" si="1"/>
        <v/>
      </c>
      <c r="AA39" s="415" t="str">
        <f t="shared" si="1"/>
        <v/>
      </c>
      <c r="AB39" s="415" t="str">
        <f t="shared" si="1"/>
        <v/>
      </c>
      <c r="AC39" s="415" t="str">
        <f t="shared" si="2"/>
        <v/>
      </c>
      <c r="AD39" s="415" t="str">
        <f t="shared" si="2"/>
        <v/>
      </c>
      <c r="AE39" s="415" t="str">
        <f t="shared" si="2"/>
        <v/>
      </c>
      <c r="AF39" s="415" t="str">
        <f t="shared" si="3"/>
        <v/>
      </c>
      <c r="AG39" s="415" t="str">
        <f t="shared" si="3"/>
        <v/>
      </c>
      <c r="AH39" s="415" t="str">
        <f t="shared" si="3"/>
        <v/>
      </c>
      <c r="AI39" s="400"/>
      <c r="AJ39" s="415">
        <f t="shared" si="14"/>
        <v>0</v>
      </c>
      <c r="AK39" s="415">
        <f t="shared" si="15"/>
        <v>0</v>
      </c>
      <c r="AL39" s="415">
        <f t="shared" si="16"/>
        <v>0</v>
      </c>
      <c r="AM39" s="415">
        <f t="shared" si="17"/>
        <v>0</v>
      </c>
      <c r="AN39" s="415">
        <f t="shared" si="18"/>
        <v>0</v>
      </c>
      <c r="AO39" s="415">
        <f t="shared" si="19"/>
        <v>0</v>
      </c>
      <c r="AP39" s="415">
        <f t="shared" si="20"/>
        <v>0</v>
      </c>
      <c r="AQ39" s="415">
        <f t="shared" si="21"/>
        <v>0</v>
      </c>
      <c r="AR39" s="415">
        <f t="shared" si="22"/>
        <v>0</v>
      </c>
      <c r="AS39" s="415">
        <f t="shared" si="23"/>
        <v>0</v>
      </c>
      <c r="AT39" s="415">
        <f t="shared" si="24"/>
        <v>0</v>
      </c>
      <c r="AU39" s="415">
        <f t="shared" si="25"/>
        <v>0</v>
      </c>
      <c r="AV39" s="415">
        <f t="shared" si="26"/>
        <v>0</v>
      </c>
      <c r="AW39" s="415">
        <f t="shared" si="27"/>
        <v>0</v>
      </c>
      <c r="AX39" s="415">
        <f t="shared" si="28"/>
        <v>0</v>
      </c>
      <c r="AY39" s="415">
        <f t="shared" si="29"/>
        <v>0</v>
      </c>
      <c r="AZ39" s="415">
        <f t="shared" si="30"/>
        <v>0</v>
      </c>
      <c r="BA39" s="415">
        <f t="shared" si="31"/>
        <v>0</v>
      </c>
      <c r="BB39" s="415"/>
      <c r="BC39" s="415"/>
      <c r="BD39" s="415"/>
      <c r="BE39" s="415"/>
      <c r="BF39" s="415"/>
      <c r="BG39" s="415"/>
      <c r="BH39" s="415">
        <f>'3-公摊费用及期间费（本期）'!O227</f>
        <v>0</v>
      </c>
      <c r="BI39" s="415">
        <f>'3-公摊费用及期间费（本期）'!M227</f>
        <v>0</v>
      </c>
      <c r="BJ39" s="415">
        <f>'3-公摊费用及期间费（本期）'!N227</f>
        <v>0</v>
      </c>
      <c r="BK39" s="416"/>
      <c r="BL39" s="423" t="s">
        <v>105</v>
      </c>
      <c r="BM39" s="402"/>
      <c r="BN39" s="402"/>
      <c r="BO39" s="402"/>
    </row>
    <row r="40" spans="2:67" ht="15.75" hidden="1" customHeight="1" outlineLevel="1">
      <c r="B40" s="412" t="s">
        <v>2449</v>
      </c>
      <c r="C40" s="413">
        <v>6</v>
      </c>
      <c r="D40" s="424" t="s">
        <v>2450</v>
      </c>
      <c r="E40" s="415" t="str">
        <f t="shared" si="9"/>
        <v/>
      </c>
      <c r="F40" s="415" t="str">
        <f t="shared" si="9"/>
        <v/>
      </c>
      <c r="G40" s="415" t="str">
        <f t="shared" si="9"/>
        <v/>
      </c>
      <c r="H40" s="415" t="str">
        <f t="shared" si="9"/>
        <v/>
      </c>
      <c r="I40" s="415" t="str">
        <f t="shared" si="9"/>
        <v/>
      </c>
      <c r="J40" s="415" t="str">
        <f t="shared" si="9"/>
        <v/>
      </c>
      <c r="K40" s="415" t="str">
        <f t="shared" si="9"/>
        <v/>
      </c>
      <c r="L40" s="415" t="str">
        <f t="shared" si="9"/>
        <v/>
      </c>
      <c r="M40" s="415" t="str">
        <f t="shared" si="9"/>
        <v/>
      </c>
      <c r="N40" s="415" t="str">
        <f t="shared" si="9"/>
        <v/>
      </c>
      <c r="O40" s="415" t="str">
        <f t="shared" si="9"/>
        <v/>
      </c>
      <c r="P40" s="415" t="str">
        <f t="shared" si="9"/>
        <v/>
      </c>
      <c r="Q40" s="415" t="str">
        <f t="shared" si="9"/>
        <v/>
      </c>
      <c r="R40" s="415" t="str">
        <f t="shared" si="9"/>
        <v/>
      </c>
      <c r="S40" s="415" t="str">
        <f t="shared" si="9"/>
        <v/>
      </c>
      <c r="T40" s="415" t="str">
        <f t="shared" si="9"/>
        <v/>
      </c>
      <c r="U40" s="415" t="str">
        <f t="shared" si="1"/>
        <v/>
      </c>
      <c r="V40" s="415" t="str">
        <f t="shared" si="1"/>
        <v/>
      </c>
      <c r="W40" s="415" t="str">
        <f t="shared" si="1"/>
        <v/>
      </c>
      <c r="X40" s="415" t="str">
        <f t="shared" si="1"/>
        <v/>
      </c>
      <c r="Y40" s="415" t="str">
        <f t="shared" si="1"/>
        <v/>
      </c>
      <c r="Z40" s="415" t="str">
        <f t="shared" si="1"/>
        <v/>
      </c>
      <c r="AA40" s="415" t="str">
        <f t="shared" si="1"/>
        <v/>
      </c>
      <c r="AB40" s="415" t="str">
        <f t="shared" si="1"/>
        <v/>
      </c>
      <c r="AC40" s="415" t="str">
        <f t="shared" si="2"/>
        <v/>
      </c>
      <c r="AD40" s="415" t="str">
        <f t="shared" si="2"/>
        <v/>
      </c>
      <c r="AE40" s="415" t="str">
        <f t="shared" si="2"/>
        <v/>
      </c>
      <c r="AF40" s="415" t="str">
        <f t="shared" si="3"/>
        <v/>
      </c>
      <c r="AG40" s="415" t="str">
        <f t="shared" si="3"/>
        <v/>
      </c>
      <c r="AH40" s="415" t="str">
        <f t="shared" si="3"/>
        <v/>
      </c>
      <c r="AI40" s="400"/>
      <c r="AJ40" s="415">
        <f t="shared" si="14"/>
        <v>0</v>
      </c>
      <c r="AK40" s="415">
        <f t="shared" si="15"/>
        <v>0</v>
      </c>
      <c r="AL40" s="415">
        <f t="shared" si="16"/>
        <v>0</v>
      </c>
      <c r="AM40" s="415">
        <f t="shared" si="17"/>
        <v>0</v>
      </c>
      <c r="AN40" s="415">
        <f t="shared" si="18"/>
        <v>0</v>
      </c>
      <c r="AO40" s="415">
        <f t="shared" si="19"/>
        <v>0</v>
      </c>
      <c r="AP40" s="415">
        <f t="shared" si="20"/>
        <v>0</v>
      </c>
      <c r="AQ40" s="415">
        <f t="shared" si="21"/>
        <v>0</v>
      </c>
      <c r="AR40" s="415">
        <f t="shared" si="22"/>
        <v>0</v>
      </c>
      <c r="AS40" s="415">
        <f t="shared" si="23"/>
        <v>0</v>
      </c>
      <c r="AT40" s="415">
        <f t="shared" si="24"/>
        <v>0</v>
      </c>
      <c r="AU40" s="415">
        <f t="shared" si="25"/>
        <v>0</v>
      </c>
      <c r="AV40" s="415">
        <f t="shared" si="26"/>
        <v>0</v>
      </c>
      <c r="AW40" s="415">
        <f t="shared" si="27"/>
        <v>0</v>
      </c>
      <c r="AX40" s="415">
        <f t="shared" si="28"/>
        <v>0</v>
      </c>
      <c r="AY40" s="415">
        <f t="shared" si="29"/>
        <v>0</v>
      </c>
      <c r="AZ40" s="415">
        <f t="shared" si="30"/>
        <v>0</v>
      </c>
      <c r="BA40" s="415">
        <f t="shared" si="31"/>
        <v>0</v>
      </c>
      <c r="BB40" s="415"/>
      <c r="BC40" s="415"/>
      <c r="BD40" s="415"/>
      <c r="BE40" s="415"/>
      <c r="BF40" s="415"/>
      <c r="BG40" s="415"/>
      <c r="BH40" s="415">
        <f>'3-公摊费用及期间费（本期）'!O228</f>
        <v>0</v>
      </c>
      <c r="BI40" s="415">
        <f>'3-公摊费用及期间费（本期）'!M228</f>
        <v>0</v>
      </c>
      <c r="BJ40" s="415">
        <f>'3-公摊费用及期间费（本期）'!N228</f>
        <v>0</v>
      </c>
      <c r="BK40" s="416"/>
      <c r="BL40" s="423" t="s">
        <v>105</v>
      </c>
      <c r="BM40" s="402"/>
      <c r="BN40" s="402"/>
      <c r="BO40" s="402"/>
    </row>
    <row r="41" spans="2:67" s="403" customFormat="1" ht="15.75" customHeight="1">
      <c r="B41" s="404">
        <v>5001.08</v>
      </c>
      <c r="C41" s="405" t="s">
        <v>2451</v>
      </c>
      <c r="D41" s="406" t="s">
        <v>2452</v>
      </c>
      <c r="E41" s="407" t="str">
        <f t="shared" ref="E41:T42" si="32">IF(AJ$7=0,"",AJ41*10000/AJ$7)</f>
        <v/>
      </c>
      <c r="F41" s="407" t="str">
        <f t="shared" si="32"/>
        <v/>
      </c>
      <c r="G41" s="407" t="str">
        <f t="shared" si="32"/>
        <v/>
      </c>
      <c r="H41" s="407" t="str">
        <f t="shared" si="32"/>
        <v/>
      </c>
      <c r="I41" s="407" t="str">
        <f t="shared" si="32"/>
        <v/>
      </c>
      <c r="J41" s="407" t="str">
        <f t="shared" si="32"/>
        <v/>
      </c>
      <c r="K41" s="407" t="str">
        <f t="shared" si="32"/>
        <v/>
      </c>
      <c r="L41" s="407" t="str">
        <f t="shared" si="32"/>
        <v/>
      </c>
      <c r="M41" s="407" t="str">
        <f t="shared" si="32"/>
        <v/>
      </c>
      <c r="N41" s="407" t="str">
        <f t="shared" si="32"/>
        <v/>
      </c>
      <c r="O41" s="407" t="str">
        <f t="shared" si="32"/>
        <v/>
      </c>
      <c r="P41" s="407" t="str">
        <f t="shared" si="32"/>
        <v/>
      </c>
      <c r="Q41" s="407" t="str">
        <f t="shared" si="32"/>
        <v/>
      </c>
      <c r="R41" s="407" t="str">
        <f t="shared" si="32"/>
        <v/>
      </c>
      <c r="S41" s="407" t="str">
        <f t="shared" si="32"/>
        <v/>
      </c>
      <c r="T41" s="407" t="str">
        <f t="shared" si="32"/>
        <v/>
      </c>
      <c r="U41" s="407" t="str">
        <f t="shared" si="1"/>
        <v/>
      </c>
      <c r="V41" s="407" t="str">
        <f t="shared" si="1"/>
        <v/>
      </c>
      <c r="W41" s="407" t="str">
        <f t="shared" si="1"/>
        <v/>
      </c>
      <c r="X41" s="407" t="str">
        <f t="shared" si="1"/>
        <v/>
      </c>
      <c r="Y41" s="407" t="str">
        <f t="shared" si="1"/>
        <v/>
      </c>
      <c r="Z41" s="407" t="str">
        <f t="shared" ref="Z41:AB42" si="33">IF(BE$7=0,"",BE41*10000/BE$7)</f>
        <v/>
      </c>
      <c r="AA41" s="407" t="str">
        <f t="shared" si="33"/>
        <v/>
      </c>
      <c r="AB41" s="407" t="str">
        <f t="shared" si="33"/>
        <v/>
      </c>
      <c r="AC41" s="407" t="str">
        <f t="shared" si="2"/>
        <v/>
      </c>
      <c r="AD41" s="407" t="str">
        <f t="shared" si="2"/>
        <v/>
      </c>
      <c r="AE41" s="407" t="str">
        <f t="shared" si="2"/>
        <v/>
      </c>
      <c r="AF41" s="407" t="str">
        <f t="shared" si="3"/>
        <v/>
      </c>
      <c r="AG41" s="407" t="str">
        <f t="shared" si="3"/>
        <v/>
      </c>
      <c r="AH41" s="407" t="str">
        <f t="shared" si="3"/>
        <v/>
      </c>
      <c r="AI41" s="408"/>
      <c r="AJ41" s="409"/>
      <c r="AK41" s="409"/>
      <c r="AL41" s="409"/>
      <c r="AM41" s="409"/>
      <c r="AN41" s="409"/>
      <c r="AO41" s="409"/>
      <c r="AP41" s="409"/>
      <c r="AQ41" s="409"/>
      <c r="AR41" s="409"/>
      <c r="AS41" s="409"/>
      <c r="AT41" s="409"/>
      <c r="AU41" s="409"/>
      <c r="AV41" s="409"/>
      <c r="AW41" s="409"/>
      <c r="AX41" s="409"/>
      <c r="AY41" s="409"/>
      <c r="AZ41" s="409"/>
      <c r="BA41" s="409"/>
      <c r="BB41" s="409"/>
      <c r="BC41" s="409"/>
      <c r="BD41" s="409"/>
      <c r="BE41" s="409"/>
      <c r="BF41" s="409"/>
      <c r="BG41" s="409"/>
      <c r="BH41" s="409">
        <f>'3-公摊费用及期间费（本期）'!O231</f>
        <v>0</v>
      </c>
      <c r="BI41" s="409">
        <f>'3-公摊费用及期间费（本期）'!M231</f>
        <v>0</v>
      </c>
      <c r="BJ41" s="409">
        <f>'3-公摊费用及期间费（本期）'!N231</f>
        <v>0</v>
      </c>
      <c r="BK41" s="410"/>
      <c r="BL41" s="411" t="s">
        <v>105</v>
      </c>
      <c r="BM41" s="402"/>
      <c r="BN41" s="402">
        <f t="shared" si="6"/>
        <v>0</v>
      </c>
      <c r="BO41" s="402"/>
    </row>
    <row r="42" spans="2:67" s="403" customFormat="1" ht="15.75" customHeight="1">
      <c r="B42" s="425"/>
      <c r="C42" s="425"/>
      <c r="D42" s="426" t="s">
        <v>2453</v>
      </c>
      <c r="E42" s="427" t="str">
        <f t="shared" si="32"/>
        <v/>
      </c>
      <c r="F42" s="427" t="str">
        <f t="shared" si="32"/>
        <v/>
      </c>
      <c r="G42" s="427" t="str">
        <f t="shared" si="32"/>
        <v/>
      </c>
      <c r="H42" s="427" t="str">
        <f t="shared" si="32"/>
        <v/>
      </c>
      <c r="I42" s="427" t="str">
        <f t="shared" si="32"/>
        <v/>
      </c>
      <c r="J42" s="427" t="str">
        <f t="shared" si="32"/>
        <v/>
      </c>
      <c r="K42" s="427" t="str">
        <f t="shared" si="32"/>
        <v/>
      </c>
      <c r="L42" s="427" t="str">
        <f t="shared" si="32"/>
        <v/>
      </c>
      <c r="M42" s="427" t="str">
        <f t="shared" si="32"/>
        <v/>
      </c>
      <c r="N42" s="427" t="str">
        <f t="shared" si="32"/>
        <v/>
      </c>
      <c r="O42" s="427" t="str">
        <f t="shared" si="32"/>
        <v/>
      </c>
      <c r="P42" s="427" t="str">
        <f t="shared" si="32"/>
        <v/>
      </c>
      <c r="Q42" s="427" t="str">
        <f t="shared" si="32"/>
        <v/>
      </c>
      <c r="R42" s="427" t="str">
        <f t="shared" si="32"/>
        <v/>
      </c>
      <c r="S42" s="427" t="str">
        <f t="shared" si="32"/>
        <v/>
      </c>
      <c r="T42" s="427" t="str">
        <f t="shared" si="32"/>
        <v/>
      </c>
      <c r="U42" s="427" t="str">
        <f>IF(AZ$7=0,"",AZ42*10000/AZ$7)</f>
        <v/>
      </c>
      <c r="V42" s="427" t="str">
        <f>IF(BA$7=0,"",BA42*10000/BA$7)</f>
        <v/>
      </c>
      <c r="W42" s="427" t="str">
        <f>IF(BB$7=0,"",BB42*10000/BB$7)</f>
        <v/>
      </c>
      <c r="X42" s="427" t="str">
        <f>IF(BC$7=0,"",BC42*10000/BC$7)</f>
        <v/>
      </c>
      <c r="Y42" s="427" t="str">
        <f>IF(BD$7=0,"",BD42*10000/BD$7)</f>
        <v/>
      </c>
      <c r="Z42" s="427" t="str">
        <f t="shared" si="33"/>
        <v/>
      </c>
      <c r="AA42" s="427" t="str">
        <f t="shared" si="33"/>
        <v/>
      </c>
      <c r="AB42" s="427" t="str">
        <f t="shared" si="33"/>
        <v/>
      </c>
      <c r="AC42" s="427" t="str">
        <f t="shared" si="2"/>
        <v/>
      </c>
      <c r="AD42" s="427" t="str">
        <f t="shared" si="2"/>
        <v/>
      </c>
      <c r="AE42" s="427" t="str">
        <f t="shared" si="2"/>
        <v/>
      </c>
      <c r="AF42" s="427" t="str">
        <f t="shared" si="3"/>
        <v/>
      </c>
      <c r="AG42" s="427" t="str">
        <f t="shared" si="3"/>
        <v/>
      </c>
      <c r="AH42" s="427" t="str">
        <f t="shared" si="3"/>
        <v/>
      </c>
      <c r="AI42" s="428"/>
      <c r="AJ42" s="429">
        <f t="shared" ref="AJ42:BJ42" si="34">AJ9+AJ13+AJ18+AJ24+AJ25+AJ30+AJ34+AJ41</f>
        <v>0</v>
      </c>
      <c r="AK42" s="429">
        <f t="shared" si="34"/>
        <v>0</v>
      </c>
      <c r="AL42" s="429">
        <f t="shared" si="34"/>
        <v>0</v>
      </c>
      <c r="AM42" s="429">
        <f t="shared" ref="AM42:AR42" si="35">AM9+AM13+AM18+AM24+AM25+AM30+AM34+AM41</f>
        <v>0</v>
      </c>
      <c r="AN42" s="429">
        <f t="shared" si="35"/>
        <v>0</v>
      </c>
      <c r="AO42" s="429">
        <f t="shared" si="35"/>
        <v>0</v>
      </c>
      <c r="AP42" s="429">
        <f t="shared" si="35"/>
        <v>0</v>
      </c>
      <c r="AQ42" s="429">
        <f t="shared" si="35"/>
        <v>0</v>
      </c>
      <c r="AR42" s="429">
        <f t="shared" si="35"/>
        <v>0</v>
      </c>
      <c r="AS42" s="429">
        <f t="shared" si="34"/>
        <v>0</v>
      </c>
      <c r="AT42" s="429">
        <f t="shared" si="34"/>
        <v>0</v>
      </c>
      <c r="AU42" s="429">
        <f t="shared" si="34"/>
        <v>0</v>
      </c>
      <c r="AV42" s="429">
        <f t="shared" si="34"/>
        <v>0</v>
      </c>
      <c r="AW42" s="429">
        <f t="shared" si="34"/>
        <v>0</v>
      </c>
      <c r="AX42" s="429">
        <f t="shared" si="34"/>
        <v>0</v>
      </c>
      <c r="AY42" s="429">
        <f t="shared" si="34"/>
        <v>0</v>
      </c>
      <c r="AZ42" s="429">
        <f t="shared" si="34"/>
        <v>0</v>
      </c>
      <c r="BA42" s="429">
        <f t="shared" si="34"/>
        <v>0</v>
      </c>
      <c r="BB42" s="429">
        <f t="shared" si="34"/>
        <v>0</v>
      </c>
      <c r="BC42" s="429">
        <f t="shared" si="34"/>
        <v>0</v>
      </c>
      <c r="BD42" s="429">
        <f t="shared" si="34"/>
        <v>0</v>
      </c>
      <c r="BE42" s="429"/>
      <c r="BF42" s="429"/>
      <c r="BG42" s="429"/>
      <c r="BH42" s="429">
        <f>BH9+BH13+BH18+BH24+BH25+BH30+BH34+BH41</f>
        <v>0</v>
      </c>
      <c r="BI42" s="429">
        <f>BI9+BI13+BI18+BI24+BI25+BI30+BI34+BI41</f>
        <v>0</v>
      </c>
      <c r="BJ42" s="429">
        <f t="shared" si="34"/>
        <v>0</v>
      </c>
      <c r="BK42" s="428"/>
      <c r="BL42" s="430"/>
      <c r="BM42" s="402"/>
      <c r="BN42" s="402"/>
      <c r="BO42" s="402"/>
    </row>
    <row r="43" spans="2:67" s="403" customFormat="1" ht="15.75" customHeight="1" collapsed="1">
      <c r="B43" s="404">
        <v>5001.09</v>
      </c>
      <c r="C43" s="405" t="s">
        <v>2454</v>
      </c>
      <c r="D43" s="406" t="s">
        <v>2455</v>
      </c>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8"/>
      <c r="AJ43" s="409"/>
      <c r="AK43" s="409">
        <f>AK44+AK45+AK46</f>
        <v>0</v>
      </c>
      <c r="AL43" s="409"/>
      <c r="AM43" s="409"/>
      <c r="AN43" s="409">
        <f>AN44+AN45+AN46</f>
        <v>0</v>
      </c>
      <c r="AO43" s="409"/>
      <c r="AP43" s="409"/>
      <c r="AQ43" s="409">
        <f>AQ44+AQ45+AQ46</f>
        <v>0</v>
      </c>
      <c r="AR43" s="409"/>
      <c r="AS43" s="409"/>
      <c r="AT43" s="409">
        <f>AT44+AT45+AT46</f>
        <v>0</v>
      </c>
      <c r="AU43" s="409"/>
      <c r="AV43" s="409"/>
      <c r="AW43" s="409">
        <f>AW44+AW45+AW46</f>
        <v>0</v>
      </c>
      <c r="AX43" s="409"/>
      <c r="AY43" s="409"/>
      <c r="AZ43" s="409">
        <f>AZ44+AZ45+AZ46</f>
        <v>0</v>
      </c>
      <c r="BA43" s="409"/>
      <c r="BB43" s="409"/>
      <c r="BC43" s="409">
        <f>BC44+BC45+BC46</f>
        <v>0</v>
      </c>
      <c r="BD43" s="409"/>
      <c r="BE43" s="409"/>
      <c r="BF43" s="409"/>
      <c r="BG43" s="409"/>
      <c r="BH43" s="409"/>
      <c r="BI43" s="409">
        <f>BI44+BI45+BI46</f>
        <v>0</v>
      </c>
      <c r="BJ43" s="409"/>
      <c r="BK43" s="410"/>
      <c r="BL43" s="411" t="s">
        <v>105</v>
      </c>
      <c r="BM43" s="431"/>
      <c r="BN43" s="431"/>
      <c r="BO43" s="431"/>
    </row>
    <row r="44" spans="2:67" ht="15.75" hidden="1" customHeight="1" outlineLevel="1">
      <c r="B44" s="413"/>
      <c r="C44" s="413">
        <v>1</v>
      </c>
      <c r="D44" s="424" t="s">
        <v>29</v>
      </c>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00"/>
      <c r="AJ44" s="421"/>
      <c r="AK44" s="421"/>
      <c r="AL44" s="421"/>
      <c r="AM44" s="421"/>
      <c r="AN44" s="415"/>
      <c r="AO44" s="415"/>
      <c r="AP44" s="421"/>
      <c r="AQ44" s="421"/>
      <c r="AR44" s="421"/>
      <c r="AS44" s="421"/>
      <c r="AT44" s="415"/>
      <c r="AU44" s="415"/>
      <c r="AV44" s="421"/>
      <c r="AW44" s="415"/>
      <c r="AX44" s="415"/>
      <c r="AY44" s="421"/>
      <c r="AZ44" s="415"/>
      <c r="BA44" s="415"/>
      <c r="BB44" s="415"/>
      <c r="BC44" s="415"/>
      <c r="BD44" s="415"/>
      <c r="BE44" s="421"/>
      <c r="BF44" s="415"/>
      <c r="BG44" s="415"/>
      <c r="BH44" s="415"/>
      <c r="BI44" s="415"/>
      <c r="BJ44" s="415"/>
      <c r="BK44" s="416"/>
      <c r="BL44" s="419"/>
    </row>
    <row r="45" spans="2:67" ht="15.75" hidden="1" customHeight="1" outlineLevel="1">
      <c r="B45" s="413"/>
      <c r="C45" s="413">
        <v>2</v>
      </c>
      <c r="D45" s="424" t="s">
        <v>30</v>
      </c>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00"/>
      <c r="AJ45" s="421"/>
      <c r="AK45" s="421"/>
      <c r="AL45" s="421"/>
      <c r="AM45" s="421"/>
      <c r="AN45" s="415"/>
      <c r="AO45" s="415"/>
      <c r="AP45" s="421"/>
      <c r="AQ45" s="421"/>
      <c r="AR45" s="421"/>
      <c r="AS45" s="421"/>
      <c r="AT45" s="415"/>
      <c r="AU45" s="415"/>
      <c r="AV45" s="421"/>
      <c r="AW45" s="415"/>
      <c r="AX45" s="415"/>
      <c r="AY45" s="421"/>
      <c r="AZ45" s="415"/>
      <c r="BA45" s="415"/>
      <c r="BB45" s="415"/>
      <c r="BC45" s="415"/>
      <c r="BD45" s="415"/>
      <c r="BE45" s="421"/>
      <c r="BF45" s="415"/>
      <c r="BG45" s="415"/>
      <c r="BH45" s="415"/>
      <c r="BI45" s="415"/>
      <c r="BJ45" s="415"/>
      <c r="BK45" s="416"/>
      <c r="BL45" s="419"/>
    </row>
    <row r="46" spans="2:67" ht="15.75" hidden="1" customHeight="1" outlineLevel="1">
      <c r="B46" s="413"/>
      <c r="C46" s="413">
        <v>3</v>
      </c>
      <c r="D46" s="424" t="s">
        <v>31</v>
      </c>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00"/>
      <c r="AJ46" s="421"/>
      <c r="AK46" s="421"/>
      <c r="AL46" s="421"/>
      <c r="AM46" s="421"/>
      <c r="AN46" s="415"/>
      <c r="AO46" s="415"/>
      <c r="AP46" s="421"/>
      <c r="AQ46" s="421"/>
      <c r="AR46" s="421"/>
      <c r="AS46" s="421"/>
      <c r="AT46" s="415"/>
      <c r="AU46" s="415"/>
      <c r="AV46" s="421"/>
      <c r="AW46" s="415"/>
      <c r="AX46" s="415"/>
      <c r="AY46" s="421"/>
      <c r="AZ46" s="415"/>
      <c r="BA46" s="415"/>
      <c r="BB46" s="415"/>
      <c r="BC46" s="415"/>
      <c r="BD46" s="415"/>
      <c r="BE46" s="421"/>
      <c r="BF46" s="415"/>
      <c r="BG46" s="415"/>
      <c r="BH46" s="415"/>
      <c r="BI46" s="415"/>
      <c r="BJ46" s="415"/>
      <c r="BK46" s="416"/>
      <c r="BL46" s="419"/>
    </row>
    <row r="47" spans="2:67" s="403" customFormat="1" ht="15.75" customHeight="1">
      <c r="B47" s="425"/>
      <c r="C47" s="425"/>
      <c r="D47" s="426" t="s">
        <v>32</v>
      </c>
      <c r="E47" s="429"/>
      <c r="F47" s="429"/>
      <c r="G47" s="429"/>
      <c r="H47" s="429"/>
      <c r="I47" s="429"/>
      <c r="J47" s="429"/>
      <c r="K47" s="429"/>
      <c r="L47" s="429"/>
      <c r="M47" s="429"/>
      <c r="N47" s="429"/>
      <c r="O47" s="429"/>
      <c r="P47" s="429"/>
      <c r="Q47" s="429"/>
      <c r="R47" s="429"/>
      <c r="S47" s="429"/>
      <c r="T47" s="429"/>
      <c r="U47" s="429"/>
      <c r="V47" s="429"/>
      <c r="W47" s="429"/>
      <c r="X47" s="429"/>
      <c r="Y47" s="429"/>
      <c r="Z47" s="429"/>
      <c r="AA47" s="429"/>
      <c r="AB47" s="429"/>
      <c r="AC47" s="429"/>
      <c r="AD47" s="429"/>
      <c r="AE47" s="429"/>
      <c r="AF47" s="429"/>
      <c r="AG47" s="429"/>
      <c r="AH47" s="429"/>
      <c r="AI47" s="428"/>
      <c r="AJ47" s="432"/>
      <c r="AK47" s="432"/>
      <c r="AL47" s="432"/>
      <c r="AM47" s="432"/>
      <c r="AN47" s="432"/>
      <c r="AO47" s="432"/>
      <c r="AP47" s="432"/>
      <c r="AQ47" s="432"/>
      <c r="AR47" s="432"/>
      <c r="AS47" s="432"/>
      <c r="AT47" s="432"/>
      <c r="AU47" s="432"/>
      <c r="AV47" s="432"/>
      <c r="AW47" s="432"/>
      <c r="AX47" s="432"/>
      <c r="AY47" s="432"/>
      <c r="AZ47" s="432"/>
      <c r="BA47" s="432"/>
      <c r="BB47" s="432"/>
      <c r="BC47" s="432"/>
      <c r="BD47" s="432"/>
      <c r="BE47" s="432"/>
      <c r="BF47" s="432"/>
      <c r="BG47" s="432"/>
      <c r="BH47" s="432"/>
      <c r="BI47" s="432"/>
      <c r="BJ47" s="432"/>
      <c r="BK47" s="433"/>
      <c r="BL47" s="430"/>
      <c r="BM47" s="434"/>
      <c r="BN47" s="434"/>
      <c r="BO47" s="434"/>
    </row>
    <row r="48" spans="2:67" s="403" customFormat="1" ht="24.75" customHeight="1">
      <c r="B48" s="435"/>
      <c r="C48" s="377"/>
      <c r="D48" s="436"/>
      <c r="E48" s="437"/>
      <c r="F48" s="437"/>
      <c r="G48" s="437"/>
      <c r="H48" s="437"/>
      <c r="I48" s="437"/>
      <c r="J48" s="437"/>
      <c r="K48" s="437"/>
      <c r="L48" s="437"/>
      <c r="M48" s="437"/>
      <c r="N48" s="437"/>
      <c r="O48" s="437"/>
      <c r="P48" s="437"/>
      <c r="Q48" s="437"/>
      <c r="R48" s="437"/>
      <c r="S48" s="437"/>
      <c r="T48" s="437"/>
      <c r="U48" s="437"/>
      <c r="V48" s="437"/>
      <c r="W48" s="437"/>
      <c r="X48" s="437"/>
      <c r="Y48" s="437"/>
      <c r="Z48" s="437"/>
      <c r="AA48" s="437"/>
      <c r="AB48" s="437"/>
      <c r="AC48" s="437" t="e">
        <f>AC13+AC18+AC25+AC30</f>
        <v>#VALUE!</v>
      </c>
      <c r="AD48" s="437"/>
      <c r="AE48" s="437"/>
      <c r="AF48" s="437"/>
      <c r="AG48" s="438"/>
      <c r="AH48" s="438"/>
      <c r="AI48" s="439"/>
      <c r="AJ48" s="437">
        <f>+AJ19+AJ20+AJ24+AJ25</f>
        <v>0</v>
      </c>
      <c r="AK48" s="437"/>
      <c r="AL48" s="437"/>
      <c r="AM48" s="437">
        <f>+AM19+AM20+AM24+AM25</f>
        <v>0</v>
      </c>
      <c r="AN48" s="437"/>
      <c r="AO48" s="437"/>
      <c r="AP48" s="437">
        <f>+AP19+AP20+AP24+AP25</f>
        <v>0</v>
      </c>
      <c r="AQ48" s="437"/>
      <c r="AR48" s="437"/>
      <c r="AS48" s="437">
        <f>+AS19+AS20+AS24+AS25</f>
        <v>0</v>
      </c>
      <c r="AT48" s="437"/>
      <c r="AU48" s="437"/>
      <c r="AV48" s="437">
        <f>+AV19+AV20+AV24+AV25</f>
        <v>0</v>
      </c>
      <c r="AW48" s="437"/>
      <c r="AX48" s="437"/>
      <c r="AY48" s="437">
        <f>+AY19+AY20+AY24+AY25</f>
        <v>0</v>
      </c>
      <c r="AZ48" s="437"/>
      <c r="BA48" s="437"/>
      <c r="BB48" s="437">
        <f>+BB19+BB20+BB24+BB25+BH15-'3-公摊费用及期间费（本期）'!O87-'3-公摊费用及期间费（本期）'!O95-'3-公摊费用及期间费（本期）'!O96</f>
        <v>0</v>
      </c>
      <c r="BC48" s="440"/>
      <c r="BD48" s="440"/>
      <c r="BE48" s="437"/>
      <c r="BF48" s="437"/>
      <c r="BG48" s="437"/>
      <c r="BH48" s="440">
        <v>0</v>
      </c>
      <c r="BI48" s="440"/>
      <c r="BJ48" s="440"/>
      <c r="BK48" s="441"/>
      <c r="BL48" s="383"/>
      <c r="BM48" s="383"/>
      <c r="BN48" s="434"/>
      <c r="BO48" s="434"/>
    </row>
    <row r="49" spans="3:66" ht="14.25" customHeight="1">
      <c r="D49" s="436"/>
      <c r="E49" s="437"/>
      <c r="F49" s="437"/>
      <c r="G49" s="437"/>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8"/>
      <c r="AH49" s="438"/>
      <c r="AI49" s="439"/>
      <c r="AJ49" s="437">
        <f>+AJ42-AJ48</f>
        <v>0</v>
      </c>
      <c r="AK49" s="437"/>
      <c r="AL49" s="437"/>
      <c r="AM49" s="437">
        <f>+AM42-AM48</f>
        <v>0</v>
      </c>
      <c r="AN49" s="437"/>
      <c r="AO49" s="437"/>
      <c r="AP49" s="437">
        <f>+AP42-AP48</f>
        <v>0</v>
      </c>
      <c r="AQ49" s="437"/>
      <c r="AR49" s="437"/>
      <c r="AS49" s="437">
        <f>+AS42-AS48</f>
        <v>0</v>
      </c>
      <c r="AT49" s="437"/>
      <c r="AU49" s="437"/>
      <c r="AV49" s="437">
        <f>+AV42-AV48</f>
        <v>0</v>
      </c>
      <c r="AW49" s="437"/>
      <c r="AX49" s="437"/>
      <c r="AY49" s="437">
        <f>+AY42-AY48</f>
        <v>0</v>
      </c>
      <c r="AZ49" s="437"/>
      <c r="BA49" s="437"/>
      <c r="BB49" s="437"/>
      <c r="BC49" s="439"/>
      <c r="BD49" s="439"/>
      <c r="BE49" s="437"/>
      <c r="BF49" s="437"/>
      <c r="BG49" s="437"/>
      <c r="BH49" s="439">
        <f>+BH42-BH48</f>
        <v>0</v>
      </c>
      <c r="BI49" s="439"/>
      <c r="BJ49" s="439"/>
      <c r="BK49" s="442"/>
      <c r="BL49" s="443"/>
      <c r="BM49" s="443"/>
      <c r="BN49" s="443"/>
    </row>
    <row r="50" spans="3:66">
      <c r="E50" s="444"/>
      <c r="F50" s="444"/>
      <c r="G50" s="444"/>
      <c r="H50" s="444"/>
      <c r="I50" s="444"/>
      <c r="J50" s="444"/>
      <c r="K50" s="444"/>
      <c r="L50" s="444"/>
      <c r="M50" s="444"/>
      <c r="N50" s="444"/>
      <c r="O50" s="444"/>
      <c r="P50" s="444"/>
      <c r="Q50" s="444"/>
      <c r="R50" s="444"/>
      <c r="S50" s="444"/>
      <c r="T50" s="444"/>
      <c r="U50" s="444"/>
      <c r="V50" s="444"/>
      <c r="W50" s="444"/>
      <c r="X50" s="444"/>
      <c r="Y50" s="444"/>
      <c r="Z50" s="444"/>
      <c r="AA50" s="444"/>
      <c r="AB50" s="444"/>
      <c r="AC50" s="444"/>
      <c r="AD50" s="444"/>
      <c r="AE50" s="444"/>
      <c r="AF50" s="444"/>
      <c r="AG50" s="445"/>
      <c r="AH50" s="437"/>
      <c r="AJ50" s="380">
        <v>0</v>
      </c>
      <c r="AM50" s="380">
        <v>0</v>
      </c>
      <c r="AP50" s="380">
        <f>+'3-大商业'!M169</f>
        <v>0</v>
      </c>
      <c r="AS50" s="380">
        <f>+'3-星级办公'!M169</f>
        <v>0</v>
      </c>
      <c r="AV50" s="380">
        <f>+'3-商墅'!M169</f>
        <v>0</v>
      </c>
      <c r="AY50" s="380">
        <f>+'3-高层公寓'!M169</f>
        <v>0</v>
      </c>
      <c r="BB50" s="380">
        <f>+'3-地下车库'!O71</f>
        <v>0</v>
      </c>
      <c r="BC50" s="439"/>
      <c r="BD50" s="439"/>
      <c r="BH50" s="439"/>
      <c r="BI50" s="439"/>
      <c r="BJ50" s="439"/>
      <c r="BK50" s="442"/>
      <c r="BL50" s="446"/>
      <c r="BM50" s="443"/>
      <c r="BN50" s="443"/>
    </row>
    <row r="51" spans="3:66">
      <c r="C51" s="2517" t="s">
        <v>2456</v>
      </c>
      <c r="D51" s="447" t="s">
        <v>2457</v>
      </c>
      <c r="E51" s="448"/>
      <c r="F51" s="448" t="e">
        <f>F42-F10</f>
        <v>#VALUE!</v>
      </c>
      <c r="G51" s="448"/>
      <c r="H51" s="448"/>
      <c r="I51" s="448"/>
      <c r="J51" s="448"/>
      <c r="K51" s="448"/>
      <c r="L51" s="448" t="e">
        <f>L42-L10</f>
        <v>#VALUE!</v>
      </c>
      <c r="M51" s="448"/>
      <c r="N51" s="448"/>
      <c r="O51" s="448"/>
      <c r="P51" s="448"/>
      <c r="Q51" s="448"/>
      <c r="R51" s="448"/>
      <c r="S51" s="448"/>
      <c r="T51" s="448"/>
      <c r="U51" s="448"/>
      <c r="V51" s="448"/>
      <c r="W51" s="448"/>
      <c r="X51" s="448"/>
      <c r="Y51" s="448"/>
      <c r="Z51" s="448"/>
      <c r="AA51" s="448"/>
      <c r="AB51" s="448"/>
      <c r="AC51" s="448"/>
      <c r="AD51" s="448" t="e">
        <f>AD42-AE10</f>
        <v>#VALUE!</v>
      </c>
      <c r="AE51" s="448"/>
      <c r="AF51" s="448"/>
      <c r="AG51" s="448" t="e">
        <f>AG42-AG10</f>
        <v>#VALUE!</v>
      </c>
      <c r="AH51" s="379"/>
      <c r="AI51" s="449"/>
      <c r="AJ51" s="380">
        <f>+AJ50-AJ48</f>
        <v>0</v>
      </c>
      <c r="AK51" s="380">
        <f t="shared" ref="AK51:BD51" si="36">+AK50-AK48</f>
        <v>0</v>
      </c>
      <c r="AL51" s="380">
        <f t="shared" si="36"/>
        <v>0</v>
      </c>
      <c r="AM51" s="380">
        <f t="shared" si="36"/>
        <v>0</v>
      </c>
      <c r="AN51" s="380">
        <f t="shared" si="36"/>
        <v>0</v>
      </c>
      <c r="AO51" s="380">
        <f t="shared" si="36"/>
        <v>0</v>
      </c>
      <c r="AP51" s="380">
        <f t="shared" si="36"/>
        <v>0</v>
      </c>
      <c r="AQ51" s="380">
        <f t="shared" si="36"/>
        <v>0</v>
      </c>
      <c r="AR51" s="380">
        <f t="shared" si="36"/>
        <v>0</v>
      </c>
      <c r="AS51" s="380">
        <f t="shared" si="36"/>
        <v>0</v>
      </c>
      <c r="AT51" s="380">
        <f t="shared" si="36"/>
        <v>0</v>
      </c>
      <c r="AU51" s="380">
        <f t="shared" si="36"/>
        <v>0</v>
      </c>
      <c r="AV51" s="380">
        <f t="shared" si="36"/>
        <v>0</v>
      </c>
      <c r="AW51" s="380">
        <f t="shared" si="36"/>
        <v>0</v>
      </c>
      <c r="AX51" s="380">
        <f t="shared" si="36"/>
        <v>0</v>
      </c>
      <c r="AY51" s="380">
        <f t="shared" si="36"/>
        <v>0</v>
      </c>
      <c r="AZ51" s="380">
        <f t="shared" si="36"/>
        <v>0</v>
      </c>
      <c r="BA51" s="380">
        <f t="shared" si="36"/>
        <v>0</v>
      </c>
      <c r="BB51" s="380">
        <f t="shared" si="36"/>
        <v>0</v>
      </c>
      <c r="BC51" s="380">
        <f t="shared" si="36"/>
        <v>0</v>
      </c>
      <c r="BD51" s="380">
        <f t="shared" si="36"/>
        <v>0</v>
      </c>
      <c r="BH51" s="439"/>
      <c r="BI51" s="439"/>
      <c r="BJ51" s="439"/>
      <c r="BK51" s="450"/>
      <c r="BL51" s="451"/>
      <c r="BM51" s="452"/>
      <c r="BN51" s="452"/>
    </row>
    <row r="52" spans="3:66">
      <c r="C52" s="2518"/>
      <c r="D52" s="453" t="s">
        <v>2458</v>
      </c>
      <c r="E52" s="454"/>
      <c r="F52" s="454" t="e">
        <f>F42-F10-F41</f>
        <v>#VALUE!</v>
      </c>
      <c r="G52" s="454"/>
      <c r="H52" s="454"/>
      <c r="I52" s="454"/>
      <c r="J52" s="454"/>
      <c r="K52" s="454"/>
      <c r="L52" s="454" t="e">
        <f>L42-L10-L41</f>
        <v>#VALUE!</v>
      </c>
      <c r="M52" s="454"/>
      <c r="N52" s="454"/>
      <c r="O52" s="454"/>
      <c r="P52" s="454"/>
      <c r="Q52" s="454"/>
      <c r="R52" s="454"/>
      <c r="S52" s="454"/>
      <c r="T52" s="454"/>
      <c r="U52" s="454"/>
      <c r="V52" s="454"/>
      <c r="W52" s="454"/>
      <c r="X52" s="454"/>
      <c r="Y52" s="454"/>
      <c r="Z52" s="454"/>
      <c r="AA52" s="454"/>
      <c r="AB52" s="454"/>
      <c r="AC52" s="454"/>
      <c r="AD52" s="454" t="e">
        <f>AD42-AE10-AD41</f>
        <v>#VALUE!</v>
      </c>
      <c r="AE52" s="454"/>
      <c r="AF52" s="454"/>
      <c r="AG52" s="454" t="e">
        <f>AG42-AG10-AG41</f>
        <v>#VALUE!</v>
      </c>
      <c r="AH52" s="379"/>
      <c r="AI52" s="449"/>
      <c r="BC52" s="439"/>
      <c r="BD52" s="439"/>
      <c r="BH52" s="439" t="s">
        <v>2298</v>
      </c>
      <c r="BI52" s="439">
        <f>BH42</f>
        <v>0</v>
      </c>
      <c r="BJ52" s="439"/>
      <c r="BK52" s="455"/>
      <c r="BL52" s="456"/>
      <c r="BM52" s="457"/>
      <c r="BN52" s="458"/>
    </row>
    <row r="53" spans="3:66">
      <c r="C53" s="2519"/>
      <c r="D53" s="453" t="s">
        <v>2459</v>
      </c>
      <c r="E53" s="459"/>
      <c r="F53" s="459" t="e">
        <f>F52-F24</f>
        <v>#VALUE!</v>
      </c>
      <c r="G53" s="459"/>
      <c r="H53" s="459"/>
      <c r="I53" s="459"/>
      <c r="J53" s="459"/>
      <c r="K53" s="459"/>
      <c r="L53" s="459" t="e">
        <f>L52-L24</f>
        <v>#VALUE!</v>
      </c>
      <c r="M53" s="459"/>
      <c r="N53" s="459"/>
      <c r="O53" s="459"/>
      <c r="P53" s="459"/>
      <c r="Q53" s="459"/>
      <c r="R53" s="459"/>
      <c r="S53" s="459"/>
      <c r="T53" s="459"/>
      <c r="U53" s="459"/>
      <c r="V53" s="459"/>
      <c r="W53" s="459"/>
      <c r="X53" s="459"/>
      <c r="Y53" s="459"/>
      <c r="Z53" s="459"/>
      <c r="AA53" s="459"/>
      <c r="AB53" s="459"/>
      <c r="AC53" s="459"/>
      <c r="AD53" s="459" t="e">
        <f>AD52-AD24</f>
        <v>#VALUE!</v>
      </c>
      <c r="AE53" s="459"/>
      <c r="AF53" s="459"/>
      <c r="AG53" s="459" t="e">
        <f>AG52-AG24</f>
        <v>#VALUE!</v>
      </c>
      <c r="AH53" s="379"/>
      <c r="AI53" s="449"/>
      <c r="BC53" s="439"/>
      <c r="BD53" s="439"/>
      <c r="BH53" s="439" t="s">
        <v>2302</v>
      </c>
      <c r="BI53" s="439">
        <f>'3-规划指标'!I44</f>
        <v>0</v>
      </c>
      <c r="BJ53" s="439">
        <f>'3-规划指标'!H44</f>
        <v>0</v>
      </c>
      <c r="BK53" s="455"/>
      <c r="BL53" s="460" t="e">
        <f>BI42+'2-成本汇总（本期）'!BC42+#REF!</f>
        <v>#REF!</v>
      </c>
      <c r="BM53" s="460"/>
      <c r="BN53" s="461"/>
    </row>
    <row r="54" spans="3:66">
      <c r="C54" s="2519"/>
      <c r="D54" s="462" t="s">
        <v>2460</v>
      </c>
      <c r="E54" s="454"/>
      <c r="F54" s="454"/>
      <c r="G54" s="454"/>
      <c r="H54" s="454"/>
      <c r="I54" s="454"/>
      <c r="J54" s="454"/>
      <c r="K54" s="454"/>
      <c r="L54" s="454"/>
      <c r="M54" s="454"/>
      <c r="N54" s="454"/>
      <c r="O54" s="454"/>
      <c r="P54" s="454"/>
      <c r="Q54" s="454"/>
      <c r="R54" s="454"/>
      <c r="S54" s="454"/>
      <c r="T54" s="454"/>
      <c r="U54" s="454"/>
      <c r="V54" s="454"/>
      <c r="W54" s="454"/>
      <c r="X54" s="454"/>
      <c r="Y54" s="454"/>
      <c r="Z54" s="454"/>
      <c r="AA54" s="454"/>
      <c r="AB54" s="454"/>
      <c r="AC54" s="454"/>
      <c r="AD54" s="454"/>
      <c r="AE54" s="454"/>
      <c r="AF54" s="454"/>
      <c r="AG54" s="454"/>
      <c r="AH54" s="379"/>
      <c r="AI54" s="449"/>
      <c r="BC54" s="439"/>
      <c r="BD54" s="439"/>
      <c r="BH54" s="439"/>
      <c r="BI54" s="463" t="e">
        <f>BI52/BI53</f>
        <v>#DIV/0!</v>
      </c>
      <c r="BJ54" s="463" t="e">
        <f>BI52/BJ53</f>
        <v>#DIV/0!</v>
      </c>
      <c r="BK54" s="464"/>
      <c r="BL54" s="465"/>
      <c r="BM54" s="465"/>
      <c r="BN54" s="466"/>
    </row>
    <row r="55" spans="3:66">
      <c r="C55" s="2520"/>
      <c r="D55" s="467" t="s">
        <v>2461</v>
      </c>
      <c r="E55" s="468"/>
      <c r="F55" s="468"/>
      <c r="G55" s="468"/>
      <c r="H55" s="468"/>
      <c r="I55" s="468"/>
      <c r="J55" s="468"/>
      <c r="K55" s="468"/>
      <c r="L55" s="468"/>
      <c r="M55" s="468"/>
      <c r="N55" s="468"/>
      <c r="O55" s="468"/>
      <c r="P55" s="468"/>
      <c r="Q55" s="468"/>
      <c r="R55" s="468"/>
      <c r="S55" s="468"/>
      <c r="T55" s="468"/>
      <c r="U55" s="468"/>
      <c r="V55" s="468"/>
      <c r="W55" s="468"/>
      <c r="X55" s="468"/>
      <c r="Y55" s="468"/>
      <c r="Z55" s="468"/>
      <c r="AA55" s="468"/>
      <c r="AB55" s="468"/>
      <c r="AC55" s="468"/>
      <c r="AD55" s="468"/>
      <c r="AE55" s="468"/>
      <c r="AF55" s="468"/>
      <c r="AG55" s="468"/>
      <c r="AH55" s="379"/>
      <c r="AI55" s="449"/>
      <c r="BC55" s="439"/>
      <c r="BD55" s="439"/>
      <c r="BH55" s="439"/>
      <c r="BI55" s="439"/>
      <c r="BJ55" s="439"/>
      <c r="BK55" s="469"/>
      <c r="BL55" s="460"/>
      <c r="BM55" s="460"/>
      <c r="BN55" s="461"/>
    </row>
    <row r="56" spans="3:66">
      <c r="C56" s="470"/>
      <c r="BC56" s="439"/>
      <c r="BD56" s="439"/>
      <c r="BH56" s="439"/>
      <c r="BI56" s="439"/>
      <c r="BJ56" s="439"/>
      <c r="BK56" s="471"/>
      <c r="BL56" s="471"/>
      <c r="BM56" s="471"/>
      <c r="BN56" s="443"/>
    </row>
    <row r="57" spans="3:66" ht="23.5" customHeight="1">
      <c r="C57" s="470"/>
      <c r="BC57" s="439"/>
      <c r="BD57" s="439"/>
      <c r="BH57" s="439"/>
      <c r="BI57" s="439"/>
      <c r="BJ57" s="439"/>
      <c r="BK57" s="450"/>
      <c r="BL57" s="452"/>
      <c r="BM57" s="452"/>
      <c r="BN57" s="443"/>
    </row>
    <row r="58" spans="3:66" ht="25.5" customHeight="1">
      <c r="C58" s="470"/>
      <c r="BC58" s="439"/>
      <c r="BD58" s="439"/>
      <c r="BH58" s="439"/>
      <c r="BI58" s="439"/>
      <c r="BJ58" s="439"/>
      <c r="BK58" s="472"/>
      <c r="BL58" s="457"/>
      <c r="BM58" s="457"/>
      <c r="BN58" s="443"/>
    </row>
    <row r="59" spans="3:66" ht="25.5" customHeight="1">
      <c r="C59" s="470"/>
      <c r="BC59" s="439"/>
      <c r="BD59" s="439"/>
      <c r="BH59" s="439"/>
      <c r="BI59" s="439"/>
      <c r="BJ59" s="439"/>
      <c r="BK59" s="472"/>
      <c r="BL59" s="457"/>
      <c r="BM59" s="457"/>
      <c r="BN59" s="443"/>
    </row>
    <row r="60" spans="3:66" ht="25.5" customHeight="1">
      <c r="C60" s="470"/>
      <c r="BC60" s="439"/>
      <c r="BD60" s="439"/>
      <c r="BH60" s="439"/>
      <c r="BI60" s="439"/>
      <c r="BJ60" s="439"/>
      <c r="BK60" s="472"/>
      <c r="BL60" s="457"/>
      <c r="BM60" s="457"/>
      <c r="BN60" s="443"/>
    </row>
    <row r="61" spans="3:66" ht="25.5" customHeight="1">
      <c r="C61" s="470"/>
      <c r="BC61" s="439"/>
      <c r="BD61" s="439"/>
      <c r="BH61" s="439"/>
      <c r="BI61" s="439"/>
      <c r="BJ61" s="439"/>
      <c r="BK61" s="473"/>
      <c r="BL61" s="457"/>
      <c r="BM61" s="457"/>
      <c r="BN61" s="443"/>
    </row>
    <row r="62" spans="3:66">
      <c r="C62" s="470"/>
      <c r="BC62" s="439"/>
      <c r="BD62" s="439"/>
      <c r="BH62" s="439"/>
      <c r="BI62" s="439"/>
      <c r="BJ62" s="439"/>
      <c r="BK62" s="471"/>
      <c r="BL62" s="471"/>
      <c r="BM62" s="471"/>
      <c r="BN62" s="443"/>
    </row>
    <row r="63" spans="3:66" ht="27.75" customHeight="1">
      <c r="C63" s="470"/>
      <c r="BC63" s="439"/>
      <c r="BD63" s="439"/>
      <c r="BH63" s="439"/>
      <c r="BI63" s="439"/>
      <c r="BJ63" s="439"/>
      <c r="BK63" s="450"/>
      <c r="BL63" s="452"/>
      <c r="BM63" s="452"/>
      <c r="BN63" s="443"/>
    </row>
    <row r="64" spans="3:66" ht="21" customHeight="1">
      <c r="C64" s="470"/>
      <c r="BC64" s="439"/>
      <c r="BD64" s="439"/>
      <c r="BH64" s="439"/>
      <c r="BI64" s="439"/>
      <c r="BJ64" s="439"/>
      <c r="BK64" s="472"/>
      <c r="BL64" s="457"/>
      <c r="BM64" s="457"/>
      <c r="BN64" s="443"/>
    </row>
    <row r="65" spans="3:66" ht="21" customHeight="1">
      <c r="C65" s="470"/>
      <c r="BC65" s="439"/>
      <c r="BD65" s="439"/>
      <c r="BH65" s="439"/>
      <c r="BI65" s="439"/>
      <c r="BJ65" s="439"/>
      <c r="BK65" s="472"/>
      <c r="BL65" s="457"/>
      <c r="BM65" s="457"/>
      <c r="BN65" s="443"/>
    </row>
    <row r="66" spans="3:66" ht="21" customHeight="1">
      <c r="C66" s="470"/>
      <c r="BC66" s="439"/>
      <c r="BD66" s="439"/>
      <c r="BH66" s="439"/>
      <c r="BI66" s="439"/>
      <c r="BJ66" s="439"/>
      <c r="BK66" s="472"/>
      <c r="BL66" s="457"/>
      <c r="BM66" s="457"/>
      <c r="BN66" s="443"/>
    </row>
    <row r="67" spans="3:66" ht="21" customHeight="1">
      <c r="C67" s="470"/>
      <c r="BC67" s="439"/>
      <c r="BD67" s="439"/>
      <c r="BH67" s="439"/>
      <c r="BI67" s="439"/>
      <c r="BJ67" s="439"/>
      <c r="BK67" s="473"/>
      <c r="BL67" s="474"/>
      <c r="BM67" s="474"/>
      <c r="BN67" s="443"/>
    </row>
    <row r="68" spans="3:66">
      <c r="C68" s="470"/>
      <c r="BC68" s="439"/>
      <c r="BD68" s="439"/>
      <c r="BH68" s="439"/>
      <c r="BI68" s="439"/>
      <c r="BJ68" s="439"/>
      <c r="BK68" s="442"/>
      <c r="BL68" s="443"/>
      <c r="BM68" s="443"/>
      <c r="BN68" s="443"/>
    </row>
    <row r="69" spans="3:66" ht="27.25" customHeight="1">
      <c r="C69" s="470"/>
      <c r="BC69" s="439"/>
      <c r="BD69" s="439"/>
      <c r="BH69" s="439"/>
      <c r="BI69" s="439"/>
      <c r="BJ69" s="439"/>
      <c r="BK69" s="442"/>
      <c r="BL69" s="443"/>
      <c r="BM69" s="443"/>
      <c r="BN69" s="443"/>
    </row>
    <row r="70" spans="3:66">
      <c r="C70" s="470"/>
    </row>
    <row r="71" spans="3:66">
      <c r="C71" s="470"/>
    </row>
    <row r="72" spans="3:66">
      <c r="C72" s="470"/>
    </row>
    <row r="73" spans="3:66">
      <c r="C73" s="470"/>
    </row>
  </sheetData>
  <mergeCells count="27">
    <mergeCell ref="C51:C55"/>
    <mergeCell ref="C3:C4"/>
    <mergeCell ref="BE4:BG4"/>
    <mergeCell ref="K4:M4"/>
    <mergeCell ref="AJ3:BK3"/>
    <mergeCell ref="AM4:AO4"/>
    <mergeCell ref="Z4:AB4"/>
    <mergeCell ref="T4:V4"/>
    <mergeCell ref="W4:Y4"/>
    <mergeCell ref="AC4:AE4"/>
    <mergeCell ref="AF4:AH4"/>
    <mergeCell ref="B3:B4"/>
    <mergeCell ref="AJ4:AL4"/>
    <mergeCell ref="BL3:BL4"/>
    <mergeCell ref="H4:J4"/>
    <mergeCell ref="C1:D1"/>
    <mergeCell ref="BH4:BJ4"/>
    <mergeCell ref="E3:AH3"/>
    <mergeCell ref="AY4:BA4"/>
    <mergeCell ref="BB4:BD4"/>
    <mergeCell ref="AV4:AX4"/>
    <mergeCell ref="D3:D4"/>
    <mergeCell ref="E4:G4"/>
    <mergeCell ref="AP4:AR4"/>
    <mergeCell ref="AS4:AU4"/>
    <mergeCell ref="Q4:S4"/>
    <mergeCell ref="N4:P4"/>
  </mergeCells>
  <phoneticPr fontId="19" type="noConversion"/>
  <printOptions horizontalCentered="1"/>
  <pageMargins left="0" right="0" top="0.6692913385826772" bottom="0.98425196850393704" header="0.11811023622047245" footer="0.11811023622047245"/>
  <pageSetup paperSize="9" scale="93" orientation="landscape"/>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55"/>
  <sheetViews>
    <sheetView showGridLines="0" topLeftCell="D1" workbookViewId="0">
      <selection activeCell="J14" sqref="J14"/>
    </sheetView>
  </sheetViews>
  <sheetFormatPr defaultColWidth="9" defaultRowHeight="15.5"/>
  <cols>
    <col min="1" max="1" width="1.5" style="475" customWidth="1"/>
    <col min="2" max="2" width="6.58203125" style="475" customWidth="1"/>
    <col min="3" max="3" width="5.1640625" style="322" customWidth="1"/>
    <col min="4" max="4" width="35.6640625" style="322" customWidth="1"/>
    <col min="5" max="5" width="14.33203125" style="322" customWidth="1"/>
    <col min="6" max="6" width="10.5" style="322" customWidth="1"/>
    <col min="7" max="7" width="9" style="322" customWidth="1"/>
    <col min="8" max="8" width="8" style="322" customWidth="1"/>
    <col min="9" max="10" width="9.33203125" style="322" customWidth="1"/>
    <col min="11" max="11" width="8.5" style="322" customWidth="1"/>
    <col min="12" max="12" width="9.08203125" style="322" customWidth="1"/>
    <col min="13" max="13" width="11.33203125" style="322" customWidth="1"/>
    <col min="14" max="14" width="11.1640625" style="322" customWidth="1"/>
    <col min="15" max="15" width="13.6640625" style="322" customWidth="1"/>
    <col min="16" max="17" width="11.58203125" style="322" customWidth="1"/>
    <col min="18" max="18" width="10.58203125" style="322" customWidth="1"/>
    <col min="19" max="256" width="9" style="322" customWidth="1"/>
  </cols>
  <sheetData>
    <row r="1" spans="1:19" ht="19.5" customHeight="1">
      <c r="C1" s="2527" t="s">
        <v>2462</v>
      </c>
      <c r="D1" s="2527"/>
      <c r="E1" s="2527"/>
      <c r="F1" s="2527"/>
      <c r="G1" s="2527"/>
      <c r="H1" s="2527"/>
      <c r="I1" s="2527"/>
      <c r="J1" s="2527"/>
      <c r="K1" s="2527"/>
      <c r="L1" s="2527"/>
      <c r="M1" s="2527"/>
      <c r="N1" s="2527"/>
      <c r="O1" s="2527"/>
      <c r="P1" s="2527"/>
      <c r="Q1" s="2526"/>
      <c r="R1" s="2526"/>
    </row>
    <row r="2" spans="1:19" ht="30" customHeight="1">
      <c r="C2" s="476" t="s">
        <v>25</v>
      </c>
      <c r="D2" s="476" t="s">
        <v>23</v>
      </c>
      <c r="E2" s="476" t="s">
        <v>2463</v>
      </c>
      <c r="F2" s="476" t="s">
        <v>2464</v>
      </c>
      <c r="G2" s="476" t="s">
        <v>2465</v>
      </c>
      <c r="H2" s="476" t="s">
        <v>2466</v>
      </c>
      <c r="I2" s="477" t="s">
        <v>2467</v>
      </c>
      <c r="J2" s="478" t="s">
        <v>2468</v>
      </c>
      <c r="K2" s="478" t="s">
        <v>974</v>
      </c>
      <c r="L2" s="478" t="s">
        <v>515</v>
      </c>
      <c r="M2" s="476" t="s">
        <v>975</v>
      </c>
      <c r="N2" s="476" t="s">
        <v>1019</v>
      </c>
      <c r="O2" s="476" t="s">
        <v>1020</v>
      </c>
      <c r="P2" s="476" t="s">
        <v>2469</v>
      </c>
    </row>
    <row r="3" spans="1:19">
      <c r="C3" s="479" t="s">
        <v>2470</v>
      </c>
      <c r="D3" s="480" t="s">
        <v>2399</v>
      </c>
      <c r="E3" s="481"/>
      <c r="F3" s="482"/>
      <c r="G3" s="483"/>
      <c r="H3" s="483"/>
      <c r="I3" s="484"/>
      <c r="J3" s="485"/>
      <c r="K3" s="485"/>
      <c r="L3" s="485"/>
      <c r="M3" s="486"/>
      <c r="N3" s="486"/>
      <c r="O3" s="486"/>
      <c r="P3" s="481"/>
    </row>
    <row r="4" spans="1:19">
      <c r="C4" s="487">
        <v>1</v>
      </c>
      <c r="D4" s="488" t="s">
        <v>2471</v>
      </c>
      <c r="E4" s="489"/>
      <c r="F4" s="490"/>
      <c r="G4" s="491"/>
      <c r="H4" s="491"/>
      <c r="I4" s="492"/>
      <c r="J4" s="493"/>
      <c r="K4" s="493"/>
      <c r="L4" s="493"/>
      <c r="M4" s="494">
        <f>M5+M6+M7+M8+M9+M13</f>
        <v>0</v>
      </c>
      <c r="N4" s="494">
        <f>N5+N6+N7+N8+N9+N13</f>
        <v>0</v>
      </c>
      <c r="O4" s="494">
        <f>O5+O6+O7+O8+O9+O13</f>
        <v>0</v>
      </c>
      <c r="P4" s="489"/>
    </row>
    <row r="5" spans="1:19">
      <c r="C5" s="495" t="s">
        <v>2472</v>
      </c>
      <c r="D5" s="496" t="s">
        <v>2473</v>
      </c>
      <c r="E5" s="497" t="s">
        <v>2474</v>
      </c>
      <c r="F5" s="498"/>
      <c r="G5" s="497"/>
      <c r="H5" s="495" t="s">
        <v>2475</v>
      </c>
      <c r="I5" s="499">
        <f>'3-规划指标'!D4-'3-规划指标'!H31</f>
        <v>0</v>
      </c>
      <c r="J5" s="499">
        <v>1854.5558254129696</v>
      </c>
      <c r="K5" s="499">
        <f>J5/(1+L5)</f>
        <v>1670.771013885558</v>
      </c>
      <c r="L5" s="500">
        <v>0.11</v>
      </c>
      <c r="M5" s="501">
        <f>I5*K5/10000</f>
        <v>0</v>
      </c>
      <c r="N5" s="501">
        <f>L5*M5</f>
        <v>0</v>
      </c>
      <c r="O5" s="501">
        <f>M5+N5</f>
        <v>0</v>
      </c>
      <c r="P5" s="497"/>
      <c r="R5" s="322">
        <f>I5/666.7</f>
        <v>0</v>
      </c>
      <c r="S5" s="322" t="s">
        <v>2476</v>
      </c>
    </row>
    <row r="6" spans="1:19" s="502" customFormat="1" ht="12">
      <c r="A6" s="503"/>
      <c r="B6" s="503"/>
      <c r="C6" s="495" t="s">
        <v>2477</v>
      </c>
      <c r="D6" s="496" t="s">
        <v>2478</v>
      </c>
      <c r="E6" s="497" t="s">
        <v>2474</v>
      </c>
      <c r="F6" s="498"/>
      <c r="G6" s="497"/>
      <c r="H6" s="495" t="s">
        <v>2475</v>
      </c>
      <c r="I6" s="499">
        <f>I5</f>
        <v>0</v>
      </c>
      <c r="J6" s="499">
        <v>741.15</v>
      </c>
      <c r="K6" s="499">
        <f>J6</f>
        <v>741.15</v>
      </c>
      <c r="L6" s="500">
        <v>0</v>
      </c>
      <c r="M6" s="501">
        <f>J6*I6/10000-M7</f>
        <v>0</v>
      </c>
      <c r="N6" s="501">
        <f>L6*M6</f>
        <v>0</v>
      </c>
      <c r="O6" s="501">
        <f>M6+N6</f>
        <v>0</v>
      </c>
      <c r="P6" s="497"/>
      <c r="R6" s="502" t="e">
        <f>O5/R5</f>
        <v>#DIV/0!</v>
      </c>
      <c r="S6" s="502" t="s">
        <v>2479</v>
      </c>
    </row>
    <row r="7" spans="1:19">
      <c r="C7" s="495" t="s">
        <v>2480</v>
      </c>
      <c r="D7" s="504" t="s">
        <v>2481</v>
      </c>
      <c r="E7" s="497" t="s">
        <v>2482</v>
      </c>
      <c r="F7" s="498"/>
      <c r="G7" s="505">
        <v>0.04</v>
      </c>
      <c r="H7" s="501"/>
      <c r="I7" s="499">
        <f>O5</f>
        <v>0</v>
      </c>
      <c r="J7" s="499"/>
      <c r="K7" s="499"/>
      <c r="L7" s="500">
        <v>0</v>
      </c>
      <c r="M7" s="501">
        <f>G7*I7</f>
        <v>0</v>
      </c>
      <c r="N7" s="501">
        <f>L7*M7</f>
        <v>0</v>
      </c>
      <c r="O7" s="501">
        <f>M7+N7</f>
        <v>0</v>
      </c>
      <c r="P7" s="497"/>
    </row>
    <row r="8" spans="1:19">
      <c r="C8" s="495" t="s">
        <v>2483</v>
      </c>
      <c r="D8" s="506" t="s">
        <v>2484</v>
      </c>
      <c r="E8" s="497" t="s">
        <v>2484</v>
      </c>
      <c r="F8" s="507"/>
      <c r="G8" s="497">
        <v>1</v>
      </c>
      <c r="H8" s="495" t="s">
        <v>2475</v>
      </c>
      <c r="I8" s="497">
        <f>'3-规划指标'!D2</f>
        <v>0</v>
      </c>
      <c r="J8" s="499">
        <v>48</v>
      </c>
      <c r="K8" s="499">
        <f>J8/(1+L8)</f>
        <v>48</v>
      </c>
      <c r="L8" s="500">
        <v>0</v>
      </c>
      <c r="M8" s="508">
        <f>G8*I8*J8/10000</f>
        <v>0</v>
      </c>
      <c r="N8" s="501">
        <f>L8*M8</f>
        <v>0</v>
      </c>
      <c r="O8" s="501">
        <f>M8+N8</f>
        <v>0</v>
      </c>
      <c r="P8" s="497"/>
    </row>
    <row r="9" spans="1:19">
      <c r="C9" s="495" t="s">
        <v>2485</v>
      </c>
      <c r="D9" s="506" t="s">
        <v>2486</v>
      </c>
      <c r="E9" s="497"/>
      <c r="F9" s="507"/>
      <c r="G9" s="497"/>
      <c r="H9" s="495"/>
      <c r="I9" s="497"/>
      <c r="J9" s="499"/>
      <c r="K9" s="499"/>
      <c r="L9" s="500"/>
      <c r="M9" s="508">
        <f>SUM(M10:M12)</f>
        <v>0</v>
      </c>
      <c r="N9" s="508"/>
      <c r="O9" s="508"/>
      <c r="P9" s="497"/>
    </row>
    <row r="10" spans="1:19" ht="11" customHeight="1">
      <c r="C10" s="509" t="s">
        <v>2487</v>
      </c>
      <c r="D10" s="510" t="s">
        <v>1025</v>
      </c>
      <c r="E10" s="511"/>
      <c r="F10" s="512"/>
      <c r="G10" s="511">
        <v>1</v>
      </c>
      <c r="H10" s="307" t="s">
        <v>2310</v>
      </c>
      <c r="I10" s="511"/>
      <c r="J10" s="513"/>
      <c r="K10" s="513"/>
      <c r="L10" s="513"/>
      <c r="M10" s="1008">
        <f>G10*I10*J10/10000</f>
        <v>0</v>
      </c>
      <c r="N10" s="1008"/>
      <c r="O10" s="1008"/>
      <c r="P10" s="511"/>
    </row>
    <row r="11" spans="1:19" ht="11" customHeight="1">
      <c r="C11" s="509" t="s">
        <v>2487</v>
      </c>
      <c r="D11" s="510" t="s">
        <v>1026</v>
      </c>
      <c r="E11" s="511"/>
      <c r="F11" s="512"/>
      <c r="G11" s="511">
        <v>1</v>
      </c>
      <c r="H11" s="307" t="s">
        <v>2310</v>
      </c>
      <c r="I11" s="511"/>
      <c r="J11" s="513"/>
      <c r="K11" s="513"/>
      <c r="L11" s="513"/>
      <c r="M11" s="1008">
        <f>G11*I11*J11/10000</f>
        <v>0</v>
      </c>
      <c r="N11" s="1008"/>
      <c r="O11" s="1008"/>
      <c r="P11" s="511"/>
    </row>
    <row r="12" spans="1:19" ht="11" customHeight="1">
      <c r="C12" s="509" t="s">
        <v>2487</v>
      </c>
      <c r="D12" s="510" t="s">
        <v>1027</v>
      </c>
      <c r="E12" s="511"/>
      <c r="F12" s="512"/>
      <c r="G12" s="511">
        <v>1</v>
      </c>
      <c r="H12" s="307" t="s">
        <v>143</v>
      </c>
      <c r="I12" s="511"/>
      <c r="J12" s="513"/>
      <c r="K12" s="513"/>
      <c r="L12" s="513"/>
      <c r="M12" s="1008">
        <f>G12*I12*J12/10000</f>
        <v>0</v>
      </c>
      <c r="N12" s="1008"/>
      <c r="O12" s="1008"/>
      <c r="P12" s="511"/>
    </row>
    <row r="13" spans="1:19">
      <c r="C13" s="495" t="s">
        <v>2488</v>
      </c>
      <c r="D13" s="506" t="s">
        <v>2489</v>
      </c>
      <c r="E13" s="497" t="s">
        <v>2490</v>
      </c>
      <c r="F13" s="498"/>
      <c r="G13" s="497"/>
      <c r="H13" s="495"/>
      <c r="I13" s="497"/>
      <c r="J13" s="499"/>
      <c r="K13" s="499"/>
      <c r="L13" s="499"/>
      <c r="M13" s="501"/>
      <c r="N13" s="501"/>
      <c r="O13" s="501"/>
      <c r="P13" s="497"/>
    </row>
    <row r="14" spans="1:19">
      <c r="C14" s="479"/>
      <c r="D14" s="480" t="s">
        <v>2491</v>
      </c>
      <c r="E14" s="481"/>
      <c r="F14" s="481"/>
      <c r="G14" s="483"/>
      <c r="H14" s="483" t="s">
        <v>2310</v>
      </c>
      <c r="I14" s="484">
        <f>SUM(I15:I16)</f>
        <v>0</v>
      </c>
      <c r="J14" s="411" t="e">
        <f>M14/I14*10000</f>
        <v>#DIV/0!</v>
      </c>
      <c r="K14" s="411"/>
      <c r="L14" s="411"/>
      <c r="M14" s="486">
        <f>M4</f>
        <v>0</v>
      </c>
      <c r="N14" s="486">
        <f>N4</f>
        <v>0</v>
      </c>
      <c r="O14" s="486">
        <f>O4</f>
        <v>0</v>
      </c>
      <c r="P14" s="481"/>
    </row>
    <row r="15" spans="1:19">
      <c r="C15" s="307" t="s">
        <v>136</v>
      </c>
      <c r="D15" s="300" t="s">
        <v>2492</v>
      </c>
      <c r="E15" s="511"/>
      <c r="F15" s="514" t="s">
        <v>2493</v>
      </c>
      <c r="G15" s="511"/>
      <c r="H15" s="307"/>
      <c r="I15" s="515">
        <f>'3-规划指标'!I23+'3-规划指标'!I28</f>
        <v>0</v>
      </c>
      <c r="J15" s="513"/>
      <c r="K15" s="513"/>
      <c r="L15" s="513"/>
      <c r="M15" s="516">
        <f>M14-M16</f>
        <v>0</v>
      </c>
      <c r="N15" s="516">
        <f>N14-N16</f>
        <v>0</v>
      </c>
      <c r="O15" s="516">
        <f>M15+N15</f>
        <v>0</v>
      </c>
      <c r="P15" s="511"/>
    </row>
    <row r="16" spans="1:19">
      <c r="C16" s="307" t="s">
        <v>137</v>
      </c>
      <c r="D16" s="300" t="s">
        <v>2494</v>
      </c>
      <c r="E16" s="511"/>
      <c r="F16" s="514" t="s">
        <v>2495</v>
      </c>
      <c r="G16" s="511"/>
      <c r="H16" s="307"/>
      <c r="I16" s="515">
        <v>0</v>
      </c>
      <c r="J16" s="513"/>
      <c r="K16" s="513"/>
      <c r="L16" s="513"/>
      <c r="M16" s="516">
        <f>J16*I16/10000</f>
        <v>0</v>
      </c>
      <c r="N16" s="516">
        <f>M16*0.11</f>
        <v>0</v>
      </c>
      <c r="O16" s="516">
        <f>M16+N16</f>
        <v>0</v>
      </c>
      <c r="P16" s="511"/>
    </row>
    <row r="17" spans="3:18">
      <c r="C17" s="307"/>
      <c r="D17" s="300" t="s">
        <v>2496</v>
      </c>
      <c r="E17" s="511"/>
      <c r="F17" s="514" t="s">
        <v>2497</v>
      </c>
      <c r="G17" s="511"/>
      <c r="H17" s="307"/>
      <c r="I17" s="515"/>
      <c r="J17" s="515"/>
      <c r="K17" s="515"/>
      <c r="L17" s="515"/>
      <c r="M17" s="516"/>
      <c r="N17" s="516"/>
      <c r="O17" s="516"/>
      <c r="P17" s="511"/>
    </row>
    <row r="18" spans="3:18">
      <c r="D18" s="517"/>
      <c r="E18" s="517"/>
      <c r="F18" s="518"/>
      <c r="G18" s="518"/>
      <c r="H18" s="518"/>
      <c r="I18" s="518"/>
      <c r="J18" s="518"/>
      <c r="K18" s="518"/>
      <c r="L18" s="518"/>
      <c r="M18" s="518"/>
      <c r="N18" s="518"/>
      <c r="O18" s="518"/>
      <c r="P18" s="518"/>
      <c r="Q18" s="518"/>
    </row>
    <row r="19" spans="3:18">
      <c r="C19" s="2529"/>
      <c r="D19" s="2529"/>
      <c r="E19" s="2529"/>
      <c r="F19" s="2529"/>
      <c r="G19" s="2529"/>
      <c r="H19" s="2529"/>
      <c r="I19" s="2529"/>
      <c r="J19" s="2529"/>
      <c r="K19" s="2529"/>
      <c r="L19" s="2529"/>
      <c r="M19" s="2529"/>
      <c r="N19" s="2529"/>
      <c r="O19" s="2529"/>
      <c r="P19" s="1017"/>
      <c r="Q19" s="1017"/>
      <c r="R19" s="1017"/>
    </row>
    <row r="20" spans="3:18" ht="18.25" customHeight="1">
      <c r="C20" s="475"/>
      <c r="D20" s="2527" t="s">
        <v>2498</v>
      </c>
      <c r="E20" s="2527"/>
      <c r="F20" s="2527"/>
      <c r="G20" s="2527"/>
      <c r="H20" s="2527"/>
      <c r="I20" s="2527"/>
      <c r="J20" s="2527"/>
      <c r="K20" s="2527"/>
      <c r="L20" s="2527"/>
      <c r="M20" s="1018"/>
      <c r="N20" s="1018"/>
      <c r="O20" s="519">
        <f>J6/0.75</f>
        <v>988.19999999999993</v>
      </c>
      <c r="P20" s="520">
        <f>O20+J5</f>
        <v>2842.7558254129694</v>
      </c>
      <c r="Q20" s="519"/>
    </row>
    <row r="21" spans="3:18" ht="24">
      <c r="C21" s="475"/>
      <c r="D21" s="2475" t="s">
        <v>1029</v>
      </c>
      <c r="E21" s="495" t="s">
        <v>524</v>
      </c>
      <c r="F21" s="495" t="s">
        <v>2499</v>
      </c>
      <c r="G21" s="2475" t="s">
        <v>2500</v>
      </c>
      <c r="H21" s="2475"/>
      <c r="I21" s="2475"/>
      <c r="J21" s="999"/>
      <c r="K21" s="999"/>
      <c r="L21" s="2475" t="s">
        <v>1032</v>
      </c>
      <c r="M21" s="1019"/>
      <c r="N21" s="1019"/>
      <c r="O21" s="521">
        <f>'3-成本汇总（本期）'!BI9-'3-地价分摊表'!M5</f>
        <v>0</v>
      </c>
      <c r="P21" s="518"/>
      <c r="Q21" s="518"/>
    </row>
    <row r="22" spans="3:18">
      <c r="C22" s="475"/>
      <c r="D22" s="2475"/>
      <c r="E22" s="495"/>
      <c r="F22" s="495"/>
      <c r="G22" s="522" t="s">
        <v>2501</v>
      </c>
      <c r="H22" s="522" t="s">
        <v>2502</v>
      </c>
      <c r="I22" s="522" t="s">
        <v>2503</v>
      </c>
      <c r="J22" s="522"/>
      <c r="K22" s="522"/>
      <c r="L22" s="2475"/>
      <c r="M22" s="1019"/>
      <c r="N22" s="1019"/>
    </row>
    <row r="23" spans="3:18" ht="15" customHeight="1">
      <c r="C23" s="475"/>
      <c r="D23" s="523" t="s">
        <v>2504</v>
      </c>
      <c r="E23" s="524">
        <f>'3-规划指标'!D2</f>
        <v>0</v>
      </c>
      <c r="F23" s="524">
        <f>I14</f>
        <v>0</v>
      </c>
      <c r="G23" s="524">
        <f>E23</f>
        <v>0</v>
      </c>
      <c r="H23" s="524"/>
      <c r="I23" s="525"/>
      <c r="J23" s="525"/>
      <c r="K23" s="525"/>
      <c r="L23" s="526"/>
      <c r="M23" s="527"/>
      <c r="N23" s="527"/>
    </row>
    <row r="24" spans="3:18" ht="15" customHeight="1">
      <c r="C24" s="475"/>
      <c r="D24" s="523" t="s">
        <v>2505</v>
      </c>
      <c r="E24" s="524"/>
      <c r="F24" s="524"/>
      <c r="G24" s="524"/>
      <c r="H24" s="524"/>
      <c r="I24" s="525"/>
      <c r="J24" s="525"/>
      <c r="K24" s="525"/>
      <c r="L24" s="526"/>
      <c r="M24" s="527"/>
      <c r="N24" s="527"/>
    </row>
    <row r="25" spans="3:18" ht="15" customHeight="1">
      <c r="C25" s="475"/>
      <c r="D25" s="523" t="s">
        <v>2506</v>
      </c>
      <c r="E25" s="524"/>
      <c r="F25" s="524"/>
      <c r="G25" s="524"/>
      <c r="H25" s="528"/>
      <c r="I25" s="524"/>
      <c r="J25" s="524"/>
      <c r="K25" s="524"/>
      <c r="L25" s="526"/>
      <c r="M25" s="527"/>
      <c r="N25" s="527"/>
    </row>
    <row r="26" spans="3:18" ht="15" customHeight="1">
      <c r="C26" s="475"/>
      <c r="D26" s="523" t="s">
        <v>2507</v>
      </c>
      <c r="E26" s="524"/>
      <c r="F26" s="524"/>
      <c r="G26" s="524"/>
      <c r="H26" s="524"/>
      <c r="I26" s="525"/>
      <c r="J26" s="525"/>
      <c r="K26" s="525"/>
      <c r="L26" s="526"/>
      <c r="M26" s="527"/>
      <c r="N26" s="527"/>
    </row>
    <row r="27" spans="3:18" ht="15" customHeight="1">
      <c r="C27" s="475"/>
      <c r="D27" s="523" t="s">
        <v>1037</v>
      </c>
      <c r="E27" s="524"/>
      <c r="F27" s="529"/>
      <c r="G27" s="524" t="str">
        <f>IF($E27=0,"",IF(#REF!=0,"",$E27*#REF!/#REF!))</f>
        <v/>
      </c>
      <c r="H27" s="524" t="str">
        <f>IF($E27=0,"",IF(#REF!=0,"",$E27*#REF!/#REF!))</f>
        <v/>
      </c>
      <c r="I27" s="525"/>
      <c r="J27" s="525"/>
      <c r="K27" s="525"/>
      <c r="L27" s="2546" t="s">
        <v>2508</v>
      </c>
      <c r="M27" s="530"/>
      <c r="N27" s="530"/>
    </row>
    <row r="28" spans="3:18" ht="15" customHeight="1">
      <c r="C28" s="475"/>
      <c r="D28" s="523" t="s">
        <v>2509</v>
      </c>
      <c r="E28" s="524"/>
      <c r="F28" s="529"/>
      <c r="G28" s="524"/>
      <c r="H28" s="524"/>
      <c r="I28" s="525"/>
      <c r="J28" s="525"/>
      <c r="K28" s="525"/>
      <c r="L28" s="2546"/>
      <c r="M28" s="530"/>
      <c r="N28" s="530"/>
    </row>
    <row r="29" spans="3:18" ht="15" customHeight="1">
      <c r="C29" s="475"/>
      <c r="D29" s="523" t="s">
        <v>2510</v>
      </c>
      <c r="E29" s="524"/>
      <c r="F29" s="529"/>
      <c r="G29" s="524" t="str">
        <f>IF($E29=0,"",IF($F$31=0,"",$E29*F$23/$F$31))</f>
        <v/>
      </c>
      <c r="H29" s="524" t="str">
        <f>IF($E29=0,"",IF($F$31=0,"",$E29*F$24/$F$31))</f>
        <v/>
      </c>
      <c r="I29" s="525"/>
      <c r="J29" s="525"/>
      <c r="K29" s="525"/>
      <c r="L29" s="2546"/>
      <c r="M29" s="530"/>
      <c r="N29" s="530"/>
    </row>
    <row r="30" spans="3:18" ht="15" customHeight="1">
      <c r="C30" s="475"/>
      <c r="D30" s="523" t="s">
        <v>2511</v>
      </c>
      <c r="E30" s="524"/>
      <c r="F30" s="529"/>
      <c r="G30" s="524" t="str">
        <f>IF($E30=0,"",IF(#REF!=0,"",$E30*#REF!/#REF!))</f>
        <v/>
      </c>
      <c r="H30" s="524" t="str">
        <f>IF($E30=0,"",IF(#REF!=0,"",$E30*#REF!/#REF!))</f>
        <v/>
      </c>
      <c r="I30" s="525"/>
      <c r="J30" s="525"/>
      <c r="K30" s="525"/>
      <c r="L30" s="2546"/>
      <c r="M30" s="530"/>
      <c r="N30" s="530"/>
    </row>
    <row r="31" spans="3:18" ht="15" customHeight="1">
      <c r="C31" s="475"/>
      <c r="D31" s="531" t="s">
        <v>1042</v>
      </c>
      <c r="E31" s="532">
        <f>SUM(E23:E30)</f>
        <v>0</v>
      </c>
      <c r="F31" s="532">
        <f>SUM(F23:F30)</f>
        <v>0</v>
      </c>
      <c r="G31" s="532">
        <f>SUM(G23:G30)</f>
        <v>0</v>
      </c>
      <c r="H31" s="532">
        <f>SUM(H23:H30)</f>
        <v>0</v>
      </c>
      <c r="I31" s="533">
        <f>SUM(I23:I30)</f>
        <v>0</v>
      </c>
      <c r="J31" s="533"/>
      <c r="K31" s="533"/>
      <c r="L31" s="531" t="s">
        <v>525</v>
      </c>
      <c r="M31" s="534"/>
      <c r="N31" s="534"/>
    </row>
    <row r="32" spans="3:18">
      <c r="C32" s="535"/>
      <c r="D32" s="535"/>
      <c r="E32" s="535"/>
      <c r="F32" s="535"/>
      <c r="G32" s="535"/>
      <c r="H32" s="535"/>
      <c r="I32" s="535"/>
      <c r="J32" s="535"/>
      <c r="K32" s="535"/>
      <c r="L32" s="535"/>
      <c r="M32" s="535"/>
      <c r="N32" s="535"/>
      <c r="O32" s="535"/>
      <c r="P32" s="535"/>
      <c r="Q32" s="535"/>
      <c r="R32" s="536"/>
    </row>
    <row r="33" spans="3:18" ht="15" customHeight="1">
      <c r="C33" s="475"/>
      <c r="D33" s="2527" t="s">
        <v>1043</v>
      </c>
      <c r="E33" s="2527"/>
      <c r="F33" s="2527"/>
      <c r="G33" s="2527"/>
      <c r="H33" s="2527"/>
      <c r="I33" s="537"/>
      <c r="J33" s="537"/>
      <c r="K33" s="537"/>
      <c r="L33" s="537"/>
      <c r="M33" s="537"/>
      <c r="N33" s="537"/>
      <c r="O33" s="537"/>
      <c r="P33" s="537"/>
      <c r="Q33" s="537"/>
    </row>
    <row r="34" spans="3:18" ht="25.5" customHeight="1">
      <c r="C34" s="475"/>
      <c r="D34" s="999" t="s">
        <v>381</v>
      </c>
      <c r="E34" s="495" t="s">
        <v>526</v>
      </c>
      <c r="F34" s="495" t="s">
        <v>134</v>
      </c>
      <c r="G34" s="495" t="s">
        <v>524</v>
      </c>
      <c r="H34" s="518"/>
    </row>
    <row r="35" spans="3:18" ht="15" customHeight="1">
      <c r="C35" s="475"/>
      <c r="D35" s="538">
        <f>'3-规划指标'!C20</f>
        <v>0</v>
      </c>
      <c r="E35" s="1002">
        <f>'3-规划指标'!I20</f>
        <v>0</v>
      </c>
      <c r="F35" s="540">
        <v>0</v>
      </c>
      <c r="G35" s="1002">
        <f>'3-规划指标'!D20</f>
        <v>0</v>
      </c>
    </row>
    <row r="36" spans="3:18" ht="15" customHeight="1">
      <c r="C36" s="475"/>
      <c r="D36" s="538">
        <f>'3-规划指标'!C21</f>
        <v>0</v>
      </c>
      <c r="E36" s="1002">
        <f>'3-规划指标'!I21</f>
        <v>0</v>
      </c>
      <c r="F36" s="540">
        <f>'3-规划指标'!E21</f>
        <v>0</v>
      </c>
      <c r="G36" s="1002">
        <f>IF(F36=0,0,E36/F36)</f>
        <v>0</v>
      </c>
    </row>
    <row r="37" spans="3:18" ht="15" customHeight="1">
      <c r="C37" s="475"/>
      <c r="D37" s="538" t="str">
        <f>'3-规划指标'!C26</f>
        <v>大商业（4-5F）</v>
      </c>
      <c r="E37" s="1002">
        <f>'3-规划指标'!I26</f>
        <v>0</v>
      </c>
      <c r="F37" s="540">
        <f>'3-规划指标'!E26</f>
        <v>0</v>
      </c>
      <c r="G37" s="1002">
        <f>IF(F37=0,0,E37/F37)</f>
        <v>0</v>
      </c>
    </row>
    <row r="38" spans="3:18" ht="15" customHeight="1">
      <c r="C38" s="475"/>
      <c r="D38" s="538" t="str">
        <f>'3-规划指标'!C24</f>
        <v>星级办公（22-26F）</v>
      </c>
      <c r="E38" s="1002">
        <f>'3-规划指标'!I24</f>
        <v>0</v>
      </c>
      <c r="F38" s="540">
        <f>'3-规划指标'!E24</f>
        <v>0</v>
      </c>
      <c r="G38" s="1002">
        <f>IF(F38=0,0,E38/F38)</f>
        <v>0</v>
      </c>
    </row>
    <row r="39" spans="3:18" ht="15" customHeight="1">
      <c r="C39" s="475"/>
      <c r="D39" s="538" t="str">
        <f>'3-规划指标'!C25</f>
        <v>商墅（3-5F）</v>
      </c>
      <c r="E39" s="1002">
        <f>'3-规划指标'!I25</f>
        <v>0</v>
      </c>
      <c r="F39" s="540">
        <f>'3-规划指标'!E25</f>
        <v>0</v>
      </c>
      <c r="G39" s="1002">
        <f>IF(F39=0,0,E39/F39)</f>
        <v>0</v>
      </c>
    </row>
    <row r="40" spans="3:18" ht="15" customHeight="1">
      <c r="C40" s="475"/>
      <c r="D40" s="538" t="str">
        <f>'3-规划指标'!C27</f>
        <v>高层公寓(16F)</v>
      </c>
      <c r="E40" s="1002">
        <f>'3-规划指标'!I27</f>
        <v>0</v>
      </c>
      <c r="F40" s="540">
        <f>'3-规划指标'!E27</f>
        <v>0</v>
      </c>
      <c r="G40" s="1002">
        <f>IF(F40=0,0,E40/F40)</f>
        <v>0</v>
      </c>
    </row>
    <row r="41" spans="3:18" ht="15" customHeight="1">
      <c r="C41" s="475"/>
      <c r="D41" s="531" t="s">
        <v>56</v>
      </c>
      <c r="E41" s="353">
        <f>SUM(E35:E40)</f>
        <v>0</v>
      </c>
      <c r="F41" s="542" t="e">
        <f>E41/G41</f>
        <v>#DIV/0!</v>
      </c>
      <c r="G41" s="353">
        <f>SUM(G35:G40)</f>
        <v>0</v>
      </c>
      <c r="H41" s="543"/>
      <c r="I41" s="544"/>
      <c r="J41" s="544"/>
      <c r="K41" s="544"/>
    </row>
    <row r="42" spans="3:18">
      <c r="C42" s="535"/>
      <c r="D42" s="535"/>
      <c r="E42" s="535"/>
      <c r="F42" s="535"/>
      <c r="G42" s="535"/>
      <c r="H42" s="535"/>
      <c r="R42" s="536"/>
    </row>
    <row r="43" spans="3:18" ht="19.5" customHeight="1">
      <c r="C43" s="475"/>
      <c r="D43" s="2527" t="s">
        <v>2512</v>
      </c>
      <c r="E43" s="2527"/>
      <c r="F43" s="2527"/>
      <c r="G43" s="2527"/>
      <c r="H43" s="2527"/>
      <c r="I43" s="2527"/>
      <c r="J43" s="2527"/>
      <c r="K43" s="2527"/>
      <c r="L43" s="2527"/>
      <c r="M43" s="2527"/>
      <c r="N43" s="2527"/>
      <c r="O43" s="2527"/>
      <c r="P43" s="1018"/>
      <c r="Q43" s="1018"/>
    </row>
    <row r="44" spans="3:18" ht="36">
      <c r="C44" s="475"/>
      <c r="D44" s="999" t="s">
        <v>381</v>
      </c>
      <c r="E44" s="495" t="s">
        <v>2513</v>
      </c>
      <c r="F44" s="495" t="s">
        <v>2315</v>
      </c>
      <c r="G44" s="495" t="s">
        <v>2514</v>
      </c>
      <c r="H44" s="545" t="s">
        <v>2515</v>
      </c>
      <c r="I44" s="495" t="s">
        <v>2516</v>
      </c>
      <c r="J44" s="495" t="s">
        <v>2517</v>
      </c>
      <c r="K44" s="495" t="s">
        <v>2518</v>
      </c>
      <c r="L44" s="495" t="s">
        <v>2519</v>
      </c>
      <c r="M44" s="546"/>
      <c r="N44" s="546"/>
    </row>
    <row r="45" spans="3:18" ht="15" customHeight="1">
      <c r="C45" s="475"/>
      <c r="D45" s="547" t="s">
        <v>2520</v>
      </c>
      <c r="E45" s="548"/>
      <c r="F45" s="548"/>
      <c r="G45" s="548"/>
      <c r="H45" s="548"/>
      <c r="I45" s="549">
        <f>SUM(I46:I51)</f>
        <v>0</v>
      </c>
      <c r="J45" s="549">
        <f>SUM(J46:J51)</f>
        <v>0</v>
      </c>
      <c r="K45" s="549">
        <f>SUM(K46:K51)</f>
        <v>0</v>
      </c>
      <c r="L45" s="550"/>
      <c r="M45" s="551"/>
      <c r="N45" s="551"/>
    </row>
    <row r="46" spans="3:18" ht="15" customHeight="1">
      <c r="C46" s="475"/>
      <c r="D46" s="552">
        <f t="shared" ref="D46:F51" si="0">D35</f>
        <v>0</v>
      </c>
      <c r="E46" s="1002">
        <f t="shared" si="0"/>
        <v>0</v>
      </c>
      <c r="F46" s="1002">
        <f t="shared" si="0"/>
        <v>0</v>
      </c>
      <c r="G46" s="1002">
        <f t="shared" ref="G46:G51" si="1">IF(F46=0,0,E46/F46)</f>
        <v>0</v>
      </c>
      <c r="H46" s="1002">
        <f t="shared" ref="H46:H51" si="2">IF($O$15=0,0,$O$15/$G$52)</f>
        <v>0</v>
      </c>
      <c r="I46" s="553">
        <f t="shared" ref="I46:I51" si="3">G46*H46</f>
        <v>0</v>
      </c>
      <c r="J46" s="553">
        <f t="shared" ref="J46:J51" si="4">IF($M$15=0,0,$M$15/$G$52)*G46</f>
        <v>0</v>
      </c>
      <c r="K46" s="553">
        <f t="shared" ref="K46:K51" si="5">IF($N$15=0,0,$N$15/$G$52)*G46</f>
        <v>0</v>
      </c>
      <c r="L46" s="554" t="e">
        <f t="shared" ref="L46:L51" si="6">I46/E46*10000</f>
        <v>#DIV/0!</v>
      </c>
      <c r="M46" s="555"/>
      <c r="N46" s="555"/>
    </row>
    <row r="47" spans="3:18" ht="15" customHeight="1">
      <c r="C47" s="475"/>
      <c r="D47" s="552">
        <f t="shared" si="0"/>
        <v>0</v>
      </c>
      <c r="E47" s="1002">
        <f t="shared" si="0"/>
        <v>0</v>
      </c>
      <c r="F47" s="1002">
        <f t="shared" si="0"/>
        <v>0</v>
      </c>
      <c r="G47" s="1002">
        <f t="shared" si="1"/>
        <v>0</v>
      </c>
      <c r="H47" s="1002">
        <f t="shared" si="2"/>
        <v>0</v>
      </c>
      <c r="I47" s="553">
        <f t="shared" si="3"/>
        <v>0</v>
      </c>
      <c r="J47" s="553">
        <f t="shared" si="4"/>
        <v>0</v>
      </c>
      <c r="K47" s="553">
        <f t="shared" si="5"/>
        <v>0</v>
      </c>
      <c r="L47" s="554" t="e">
        <f t="shared" si="6"/>
        <v>#DIV/0!</v>
      </c>
      <c r="M47" s="555"/>
      <c r="N47" s="555"/>
    </row>
    <row r="48" spans="3:18" ht="15" customHeight="1">
      <c r="C48" s="475"/>
      <c r="D48" s="552" t="str">
        <f t="shared" si="0"/>
        <v>大商业（4-5F）</v>
      </c>
      <c r="E48" s="1002">
        <f t="shared" si="0"/>
        <v>0</v>
      </c>
      <c r="F48" s="1002">
        <f t="shared" si="0"/>
        <v>0</v>
      </c>
      <c r="G48" s="1002">
        <f t="shared" si="1"/>
        <v>0</v>
      </c>
      <c r="H48" s="1002">
        <f t="shared" si="2"/>
        <v>0</v>
      </c>
      <c r="I48" s="553">
        <f t="shared" si="3"/>
        <v>0</v>
      </c>
      <c r="J48" s="553">
        <f t="shared" si="4"/>
        <v>0</v>
      </c>
      <c r="K48" s="553">
        <f t="shared" si="5"/>
        <v>0</v>
      </c>
      <c r="L48" s="554" t="e">
        <f t="shared" si="6"/>
        <v>#DIV/0!</v>
      </c>
      <c r="M48" s="555"/>
      <c r="N48" s="555"/>
    </row>
    <row r="49" spans="3:18" ht="15" customHeight="1">
      <c r="C49" s="475"/>
      <c r="D49" s="552" t="str">
        <f t="shared" si="0"/>
        <v>星级办公（22-26F）</v>
      </c>
      <c r="E49" s="1002">
        <f t="shared" si="0"/>
        <v>0</v>
      </c>
      <c r="F49" s="1002">
        <f t="shared" si="0"/>
        <v>0</v>
      </c>
      <c r="G49" s="1002">
        <f t="shared" si="1"/>
        <v>0</v>
      </c>
      <c r="H49" s="1002">
        <f t="shared" si="2"/>
        <v>0</v>
      </c>
      <c r="I49" s="553">
        <f t="shared" si="3"/>
        <v>0</v>
      </c>
      <c r="J49" s="553">
        <f t="shared" si="4"/>
        <v>0</v>
      </c>
      <c r="K49" s="553">
        <f t="shared" si="5"/>
        <v>0</v>
      </c>
      <c r="L49" s="554" t="e">
        <f t="shared" si="6"/>
        <v>#DIV/0!</v>
      </c>
      <c r="M49" s="555"/>
      <c r="N49" s="555"/>
    </row>
    <row r="50" spans="3:18" ht="15" customHeight="1">
      <c r="C50" s="475"/>
      <c r="D50" s="552" t="str">
        <f t="shared" si="0"/>
        <v>商墅（3-5F）</v>
      </c>
      <c r="E50" s="1002">
        <f t="shared" si="0"/>
        <v>0</v>
      </c>
      <c r="F50" s="1002">
        <f t="shared" si="0"/>
        <v>0</v>
      </c>
      <c r="G50" s="1002">
        <f t="shared" si="1"/>
        <v>0</v>
      </c>
      <c r="H50" s="1002">
        <f t="shared" si="2"/>
        <v>0</v>
      </c>
      <c r="I50" s="553">
        <f t="shared" si="3"/>
        <v>0</v>
      </c>
      <c r="J50" s="553">
        <f t="shared" si="4"/>
        <v>0</v>
      </c>
      <c r="K50" s="553">
        <f t="shared" si="5"/>
        <v>0</v>
      </c>
      <c r="L50" s="554" t="e">
        <f t="shared" si="6"/>
        <v>#DIV/0!</v>
      </c>
      <c r="M50" s="555"/>
      <c r="N50" s="555"/>
    </row>
    <row r="51" spans="3:18" ht="15" customHeight="1">
      <c r="C51" s="475"/>
      <c r="D51" s="552" t="str">
        <f t="shared" si="0"/>
        <v>高层公寓(16F)</v>
      </c>
      <c r="E51" s="1002">
        <f t="shared" si="0"/>
        <v>0</v>
      </c>
      <c r="F51" s="1002">
        <f t="shared" si="0"/>
        <v>0</v>
      </c>
      <c r="G51" s="1002">
        <f t="shared" si="1"/>
        <v>0</v>
      </c>
      <c r="H51" s="1002">
        <f t="shared" si="2"/>
        <v>0</v>
      </c>
      <c r="I51" s="553">
        <f t="shared" si="3"/>
        <v>0</v>
      </c>
      <c r="J51" s="553">
        <f t="shared" si="4"/>
        <v>0</v>
      </c>
      <c r="K51" s="553">
        <f t="shared" si="5"/>
        <v>0</v>
      </c>
      <c r="L51" s="554" t="e">
        <f t="shared" si="6"/>
        <v>#DIV/0!</v>
      </c>
      <c r="M51" s="555"/>
      <c r="N51" s="555"/>
    </row>
    <row r="52" spans="3:18" ht="15" customHeight="1">
      <c r="C52" s="475"/>
      <c r="D52" s="531" t="s">
        <v>56</v>
      </c>
      <c r="E52" s="353">
        <f>SUM(E46:E51)</f>
        <v>0</v>
      </c>
      <c r="F52" s="531"/>
      <c r="G52" s="353">
        <f>SUM(G46:G51)</f>
        <v>0</v>
      </c>
      <c r="H52" s="353"/>
      <c r="I52" s="556">
        <f>I45</f>
        <v>0</v>
      </c>
      <c r="J52" s="556">
        <f>J45</f>
        <v>0</v>
      </c>
      <c r="K52" s="556">
        <f>K45</f>
        <v>0</v>
      </c>
      <c r="L52" s="557" t="e">
        <f>I52/E52*10000</f>
        <v>#DIV/0!</v>
      </c>
      <c r="M52" s="558"/>
      <c r="N52" s="558"/>
      <c r="R52" s="518"/>
    </row>
    <row r="53" spans="3:18">
      <c r="C53" s="535"/>
      <c r="D53" s="535"/>
      <c r="E53" s="535"/>
      <c r="F53" s="535"/>
      <c r="G53" s="535"/>
      <c r="H53" s="535"/>
      <c r="I53" s="535"/>
      <c r="J53" s="535"/>
      <c r="K53" s="535"/>
      <c r="L53" s="535"/>
      <c r="M53" s="535"/>
      <c r="N53" s="535"/>
      <c r="O53" s="535"/>
      <c r="P53" s="535"/>
      <c r="Q53" s="535"/>
      <c r="R53" s="536"/>
    </row>
    <row r="54" spans="3:18">
      <c r="C54" s="2528"/>
      <c r="D54" s="2528"/>
      <c r="E54" s="2528"/>
      <c r="F54" s="2528"/>
      <c r="G54" s="2528"/>
      <c r="H54" s="2528"/>
      <c r="I54" s="2528"/>
      <c r="J54" s="2528"/>
      <c r="K54" s="2528"/>
      <c r="L54" s="2528"/>
      <c r="M54" s="2528"/>
      <c r="N54" s="2528"/>
      <c r="O54" s="2528"/>
      <c r="P54" s="1020"/>
      <c r="Q54" s="1020"/>
      <c r="R54" s="559"/>
    </row>
    <row r="55" spans="3:18">
      <c r="R55" s="518"/>
    </row>
  </sheetData>
  <mergeCells count="10">
    <mergeCell ref="L27:L30"/>
    <mergeCell ref="D33:H33"/>
    <mergeCell ref="D43:O43"/>
    <mergeCell ref="C54:O54"/>
    <mergeCell ref="C1:R1"/>
    <mergeCell ref="C19:O19"/>
    <mergeCell ref="D20:L20"/>
    <mergeCell ref="D21:D22"/>
    <mergeCell ref="G21:I21"/>
    <mergeCell ref="L21:L22"/>
  </mergeCells>
  <phoneticPr fontId="19" type="noConversion"/>
  <printOptions horizontalCentered="1"/>
  <pageMargins left="0" right="0" top="0.39370078740157483" bottom="0.19685039370078741" header="0.11811023622047245" footer="0.11811023622047245"/>
  <pageSetup paperSize="9" fitToWidth="0" fitToHeight="0" orientation="landscape"/>
  <headerFooter alignWithMargins="0"/>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2:IV237"/>
  <sheetViews>
    <sheetView workbookViewId="0">
      <pane xSplit="4" ySplit="4" topLeftCell="I125" activePane="bottomRight" state="frozen"/>
      <selection pane="topRight"/>
      <selection pane="bottomLeft"/>
      <selection pane="bottomRight" activeCell="S190" sqref="S190"/>
    </sheetView>
  </sheetViews>
  <sheetFormatPr defaultColWidth="9" defaultRowHeight="24" customHeight="1" outlineLevelRow="3"/>
  <cols>
    <col min="1" max="1" width="2.83203125" style="560" customWidth="1"/>
    <col min="2" max="2" width="15.6640625" style="561" customWidth="1"/>
    <col min="3" max="3" width="8.83203125" style="561" customWidth="1"/>
    <col min="4" max="4" width="17.5" style="562" customWidth="1"/>
    <col min="5" max="5" width="16.5" style="563" customWidth="1"/>
    <col min="6" max="6" width="12.5" style="562" customWidth="1"/>
    <col min="7" max="7" width="9.5" style="564" customWidth="1"/>
    <col min="8" max="8" width="9.1640625" style="565" customWidth="1"/>
    <col min="9" max="9" width="10.33203125" style="566" customWidth="1"/>
    <col min="10" max="10" width="9" style="566" customWidth="1"/>
    <col min="11" max="12" width="7.58203125" style="566" customWidth="1"/>
    <col min="13" max="13" width="12.83203125" style="563" customWidth="1"/>
    <col min="14" max="14" width="10.08203125" style="563" customWidth="1"/>
    <col min="15" max="15" width="9.5" style="563" customWidth="1"/>
    <col min="16" max="16" width="11.1640625" style="563" customWidth="1"/>
    <col min="17" max="17" width="11.6640625" style="563" customWidth="1"/>
    <col min="18" max="18" width="10" style="563" customWidth="1"/>
    <col min="19" max="256" width="9" style="560" customWidth="1"/>
  </cols>
  <sheetData>
    <row r="2" spans="1:52" ht="36">
      <c r="B2" s="2537" t="s">
        <v>2521</v>
      </c>
      <c r="C2" s="983" t="s">
        <v>2522</v>
      </c>
      <c r="D2" s="984" t="s">
        <v>2523</v>
      </c>
      <c r="E2" s="983" t="s">
        <v>2524</v>
      </c>
      <c r="F2" s="984" t="s">
        <v>2525</v>
      </c>
      <c r="G2" s="983" t="s">
        <v>2526</v>
      </c>
      <c r="H2" s="985" t="s">
        <v>2527</v>
      </c>
      <c r="I2" s="986" t="s">
        <v>2528</v>
      </c>
      <c r="J2" s="984" t="s">
        <v>2529</v>
      </c>
      <c r="K2" s="984"/>
      <c r="L2" s="984"/>
      <c r="M2" s="983" t="s">
        <v>2530</v>
      </c>
      <c r="N2" s="987"/>
      <c r="O2" s="987"/>
      <c r="P2" s="988" t="s">
        <v>2531</v>
      </c>
      <c r="Q2" s="988" t="s">
        <v>2532</v>
      </c>
    </row>
    <row r="3" spans="1:52" ht="26.25" customHeight="1">
      <c r="B3" s="2538"/>
      <c r="C3" s="567">
        <f>'3-规划指标'!D2</f>
        <v>0</v>
      </c>
      <c r="D3" s="567">
        <f>'3-规划指标'!M2</f>
        <v>0</v>
      </c>
      <c r="E3" s="567">
        <f>'3-规划指标'!D4</f>
        <v>0</v>
      </c>
      <c r="F3" s="567">
        <f>'3-规划指标'!I23+'3-规划指标'!I28</f>
        <v>0</v>
      </c>
      <c r="G3" s="567">
        <f>'3-规划指标'!D3</f>
        <v>0</v>
      </c>
      <c r="H3" s="989">
        <f>'3-规划指标'!H43</f>
        <v>0</v>
      </c>
      <c r="I3" s="567">
        <f>'3-规划指标'!F23+'3-规划指标'!F28</f>
        <v>0</v>
      </c>
      <c r="J3" s="567">
        <f>'3-规划指标'!M23+'3-规划指标'!M28</f>
        <v>0</v>
      </c>
      <c r="K3" s="567"/>
      <c r="L3" s="567"/>
      <c r="M3" s="567">
        <f>'3-规划指标'!N23+'3-规划指标'!N28</f>
        <v>0</v>
      </c>
      <c r="N3" s="987"/>
      <c r="O3" s="987"/>
      <c r="P3" s="990">
        <f>'3-规划指标'!B6+'3-规划指标'!B8</f>
        <v>0</v>
      </c>
      <c r="Q3" s="991"/>
      <c r="R3" s="992"/>
    </row>
    <row r="4" spans="1:52" s="570" customFormat="1" ht="27.65" customHeight="1">
      <c r="B4" s="571" t="s">
        <v>25</v>
      </c>
      <c r="C4" s="1021"/>
      <c r="D4" s="574" t="s">
        <v>2386</v>
      </c>
      <c r="E4" s="574" t="s">
        <v>2533</v>
      </c>
      <c r="F4" s="572" t="s">
        <v>2464</v>
      </c>
      <c r="G4" s="573" t="s">
        <v>2534</v>
      </c>
      <c r="H4" s="572" t="s">
        <v>2535</v>
      </c>
      <c r="I4" s="572" t="s">
        <v>2536</v>
      </c>
      <c r="J4" s="763" t="s">
        <v>2537</v>
      </c>
      <c r="K4" s="476" t="s">
        <v>2538</v>
      </c>
      <c r="L4" s="476" t="s">
        <v>515</v>
      </c>
      <c r="M4" s="764" t="s">
        <v>2539</v>
      </c>
      <c r="N4" s="764" t="s">
        <v>1019</v>
      </c>
      <c r="O4" s="764" t="s">
        <v>1071</v>
      </c>
      <c r="P4" s="1015" t="s">
        <v>1072</v>
      </c>
      <c r="Q4" s="574" t="s">
        <v>2540</v>
      </c>
      <c r="R4" s="574" t="s">
        <v>2541</v>
      </c>
    </row>
    <row r="5" spans="1:52" s="575" customFormat="1" ht="23.9" customHeight="1">
      <c r="A5" s="576"/>
      <c r="B5" s="577">
        <v>5001.01</v>
      </c>
      <c r="C5" s="578" t="s">
        <v>2542</v>
      </c>
      <c r="D5" s="480" t="s">
        <v>2543</v>
      </c>
      <c r="E5" s="481"/>
      <c r="F5" s="482"/>
      <c r="G5" s="411"/>
      <c r="H5" s="483"/>
      <c r="I5" s="484"/>
      <c r="J5" s="579"/>
      <c r="K5" s="579"/>
      <c r="L5" s="580"/>
      <c r="M5" s="581">
        <f>SUBTOTAL(9,M6:M71)</f>
        <v>0</v>
      </c>
      <c r="N5" s="581">
        <f>SUBTOTAL(9,N6:N71)</f>
        <v>0</v>
      </c>
      <c r="O5" s="581">
        <f>SUBTOTAL(9,O6:O71)</f>
        <v>0</v>
      </c>
      <c r="P5" s="581" t="e">
        <f>IF(O5="","",O5*10000/F$3)</f>
        <v>#DIV/0!</v>
      </c>
      <c r="Q5" s="581">
        <f>M5</f>
        <v>0</v>
      </c>
      <c r="R5" s="581"/>
    </row>
    <row r="6" spans="1:52" s="582" customFormat="1" ht="16" customHeight="1" outlineLevel="1" collapsed="1">
      <c r="A6" s="583"/>
      <c r="B6" s="584" t="s">
        <v>2544</v>
      </c>
      <c r="C6" s="585">
        <v>1</v>
      </c>
      <c r="D6" s="586" t="s">
        <v>2545</v>
      </c>
      <c r="E6" s="586"/>
      <c r="F6" s="587"/>
      <c r="G6" s="587"/>
      <c r="H6" s="587"/>
      <c r="I6" s="587"/>
      <c r="J6" s="587"/>
      <c r="K6" s="587"/>
      <c r="L6" s="588"/>
      <c r="M6" s="589">
        <f>SUBTOTAL(9,M7:M16)</f>
        <v>0</v>
      </c>
      <c r="N6" s="589">
        <f>SUBTOTAL(9,N7:N16)</f>
        <v>0</v>
      </c>
      <c r="O6" s="589">
        <f>SUBTOTAL(9,O7:O16)</f>
        <v>0</v>
      </c>
      <c r="P6" s="489" t="e">
        <f>IF(O6="","",O6*10000/F$3)</f>
        <v>#DIV/0!</v>
      </c>
      <c r="Q6" s="590" t="s">
        <v>2546</v>
      </c>
      <c r="R6" s="589">
        <f>SUBTOTAL(9,R7:R16)</f>
        <v>0</v>
      </c>
    </row>
    <row r="7" spans="1:52" s="591" customFormat="1" ht="16.25" hidden="1" customHeight="1" outlineLevel="2">
      <c r="A7" s="583"/>
      <c r="B7" s="510" t="s">
        <v>2547</v>
      </c>
      <c r="C7" s="509" t="s">
        <v>2548</v>
      </c>
      <c r="D7" s="510" t="s">
        <v>376</v>
      </c>
      <c r="E7" s="509" t="s">
        <v>2482</v>
      </c>
      <c r="F7" s="592"/>
      <c r="G7" s="593"/>
      <c r="H7" s="593"/>
      <c r="I7" s="593"/>
      <c r="J7" s="593"/>
      <c r="K7" s="593"/>
      <c r="L7" s="594"/>
      <c r="M7" s="595">
        <v>0</v>
      </c>
      <c r="N7" s="595"/>
      <c r="O7" s="595"/>
      <c r="P7" s="595" t="str">
        <f>IF(O7="","",O7*10000/F$3)</f>
        <v/>
      </c>
      <c r="Q7" s="596"/>
      <c r="R7" s="595">
        <v>0</v>
      </c>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582"/>
      <c r="AT7" s="582"/>
      <c r="AU7" s="582"/>
      <c r="AV7" s="582"/>
      <c r="AW7" s="582"/>
      <c r="AX7" s="582"/>
      <c r="AY7" s="582"/>
      <c r="AZ7" s="582"/>
    </row>
    <row r="8" spans="1:52" s="591" customFormat="1" ht="16.25" hidden="1" customHeight="1" outlineLevel="3">
      <c r="A8" s="583"/>
      <c r="B8" s="510" t="s">
        <v>2549</v>
      </c>
      <c r="C8" s="509" t="s">
        <v>2550</v>
      </c>
      <c r="D8" s="510" t="s">
        <v>528</v>
      </c>
      <c r="E8" s="509" t="s">
        <v>2482</v>
      </c>
      <c r="F8" s="592"/>
      <c r="G8" s="593"/>
      <c r="H8" s="593"/>
      <c r="I8" s="593"/>
      <c r="J8" s="593"/>
      <c r="K8" s="593"/>
      <c r="L8" s="597">
        <v>0.11</v>
      </c>
      <c r="M8" s="595">
        <f>'3-地价分摊表'!M5</f>
        <v>0</v>
      </c>
      <c r="N8" s="595">
        <f>'3-地价分摊表'!N5</f>
        <v>0</v>
      </c>
      <c r="O8" s="595">
        <f>M8+N8</f>
        <v>0</v>
      </c>
      <c r="P8" s="595" t="e">
        <f>IF(O8="","",O8*10000/F$3)</f>
        <v>#DIV/0!</v>
      </c>
      <c r="Q8" s="596"/>
      <c r="R8" s="595"/>
      <c r="S8" s="582"/>
      <c r="T8" s="582"/>
      <c r="U8" s="582"/>
      <c r="V8" s="582"/>
      <c r="W8" s="582"/>
      <c r="X8" s="582"/>
      <c r="Y8" s="582"/>
      <c r="Z8" s="582"/>
      <c r="AA8" s="582"/>
      <c r="AB8" s="582"/>
      <c r="AC8" s="582"/>
      <c r="AD8" s="582"/>
      <c r="AE8" s="582"/>
      <c r="AF8" s="582"/>
      <c r="AG8" s="582"/>
      <c r="AH8" s="582"/>
      <c r="AI8" s="582"/>
      <c r="AJ8" s="582"/>
      <c r="AK8" s="582"/>
      <c r="AL8" s="582"/>
      <c r="AM8" s="582"/>
      <c r="AN8" s="582"/>
      <c r="AO8" s="582"/>
      <c r="AP8" s="582"/>
      <c r="AQ8" s="582"/>
      <c r="AR8" s="582"/>
      <c r="AS8" s="582"/>
      <c r="AT8" s="582"/>
      <c r="AU8" s="582"/>
      <c r="AV8" s="582"/>
      <c r="AW8" s="582"/>
      <c r="AX8" s="582"/>
      <c r="AY8" s="582"/>
      <c r="AZ8" s="582"/>
    </row>
    <row r="9" spans="1:52" s="591" customFormat="1" ht="16.25" hidden="1" customHeight="1" outlineLevel="3">
      <c r="A9" s="583"/>
      <c r="B9" s="510" t="s">
        <v>2551</v>
      </c>
      <c r="C9" s="509" t="s">
        <v>2487</v>
      </c>
      <c r="D9" s="510" t="s">
        <v>529</v>
      </c>
      <c r="E9" s="509" t="s">
        <v>2552</v>
      </c>
      <c r="F9" s="592"/>
      <c r="G9" s="593"/>
      <c r="H9" s="593"/>
      <c r="I9" s="593"/>
      <c r="J9" s="593"/>
      <c r="K9" s="593"/>
      <c r="L9" s="597">
        <v>0</v>
      </c>
      <c r="M9" s="595">
        <f>'3-地价分摊表'!M6</f>
        <v>0</v>
      </c>
      <c r="N9" s="595">
        <f>'3-地价分摊表'!N6</f>
        <v>0</v>
      </c>
      <c r="O9" s="595">
        <f>M9+N9</f>
        <v>0</v>
      </c>
      <c r="P9" s="595" t="e">
        <f t="shared" ref="P9:P16" si="0">IF(O9="","",O9*10000/F$3)</f>
        <v>#DIV/0!</v>
      </c>
      <c r="Q9" s="596"/>
      <c r="R9" s="595"/>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row>
    <row r="10" spans="1:52" s="591" customFormat="1" ht="16.25" hidden="1" customHeight="1" outlineLevel="3">
      <c r="A10" s="583"/>
      <c r="B10" s="510" t="s">
        <v>2553</v>
      </c>
      <c r="C10" s="509" t="s">
        <v>2487</v>
      </c>
      <c r="D10" s="510" t="s">
        <v>530</v>
      </c>
      <c r="E10" s="509" t="s">
        <v>2552</v>
      </c>
      <c r="F10" s="592"/>
      <c r="G10" s="593"/>
      <c r="H10" s="593"/>
      <c r="I10" s="593"/>
      <c r="J10" s="593"/>
      <c r="K10" s="593"/>
      <c r="L10" s="597">
        <v>0</v>
      </c>
      <c r="M10" s="595">
        <f>'3-地价分摊表'!M7</f>
        <v>0</v>
      </c>
      <c r="N10" s="595">
        <f>'3-地价分摊表'!N7</f>
        <v>0</v>
      </c>
      <c r="O10" s="595">
        <f>M10+N10</f>
        <v>0</v>
      </c>
      <c r="P10" s="595" t="e">
        <f t="shared" si="0"/>
        <v>#DIV/0!</v>
      </c>
      <c r="Q10" s="596"/>
      <c r="R10" s="595"/>
      <c r="S10" s="582"/>
      <c r="T10" s="582"/>
      <c r="U10" s="582"/>
      <c r="V10" s="582"/>
      <c r="W10" s="582"/>
      <c r="X10" s="582"/>
      <c r="Y10" s="582"/>
      <c r="Z10" s="582"/>
      <c r="AA10" s="582"/>
      <c r="AB10" s="582"/>
      <c r="AC10" s="582"/>
      <c r="AD10" s="582"/>
      <c r="AE10" s="582"/>
      <c r="AF10" s="582"/>
      <c r="AG10" s="582"/>
      <c r="AH10" s="582"/>
      <c r="AI10" s="582"/>
      <c r="AJ10" s="582"/>
      <c r="AK10" s="582"/>
      <c r="AL10" s="582"/>
      <c r="AM10" s="582"/>
      <c r="AN10" s="582"/>
      <c r="AO10" s="582"/>
      <c r="AP10" s="582"/>
      <c r="AQ10" s="582"/>
      <c r="AR10" s="582"/>
      <c r="AS10" s="582"/>
      <c r="AT10" s="582"/>
      <c r="AU10" s="582"/>
      <c r="AV10" s="582"/>
      <c r="AW10" s="582"/>
      <c r="AX10" s="582"/>
      <c r="AY10" s="582"/>
      <c r="AZ10" s="582"/>
    </row>
    <row r="11" spans="1:52" s="591" customFormat="1" ht="16.25" hidden="1" customHeight="1" outlineLevel="3">
      <c r="A11" s="583"/>
      <c r="B11" s="510" t="s">
        <v>2554</v>
      </c>
      <c r="C11" s="509" t="s">
        <v>2487</v>
      </c>
      <c r="D11" s="510" t="s">
        <v>465</v>
      </c>
      <c r="E11" s="509" t="s">
        <v>465</v>
      </c>
      <c r="F11" s="592"/>
      <c r="G11" s="593"/>
      <c r="H11" s="593"/>
      <c r="I11" s="593"/>
      <c r="J11" s="593"/>
      <c r="K11" s="593"/>
      <c r="L11" s="597">
        <v>0</v>
      </c>
      <c r="M11" s="595">
        <f>'3-地价分摊表'!M8</f>
        <v>0</v>
      </c>
      <c r="N11" s="595">
        <f>'3-地价分摊表'!N8</f>
        <v>0</v>
      </c>
      <c r="O11" s="595">
        <f>M11+N11</f>
        <v>0</v>
      </c>
      <c r="P11" s="595" t="e">
        <f t="shared" si="0"/>
        <v>#DIV/0!</v>
      </c>
      <c r="Q11" s="596"/>
      <c r="R11" s="595"/>
      <c r="S11" s="582"/>
      <c r="T11" s="582"/>
      <c r="U11" s="582"/>
      <c r="V11" s="582"/>
      <c r="W11" s="582"/>
      <c r="X11" s="582"/>
      <c r="Y11" s="582"/>
      <c r="Z11" s="582"/>
      <c r="AA11" s="582"/>
      <c r="AB11" s="582"/>
      <c r="AC11" s="582"/>
      <c r="AD11" s="582"/>
      <c r="AE11" s="582"/>
      <c r="AF11" s="582"/>
      <c r="AG11" s="582"/>
      <c r="AH11" s="582"/>
      <c r="AI11" s="582"/>
      <c r="AJ11" s="582"/>
      <c r="AK11" s="582"/>
      <c r="AL11" s="582"/>
      <c r="AM11" s="582"/>
      <c r="AN11" s="582"/>
      <c r="AO11" s="582"/>
      <c r="AP11" s="582"/>
      <c r="AQ11" s="582"/>
      <c r="AR11" s="582"/>
      <c r="AS11" s="582"/>
      <c r="AT11" s="582"/>
      <c r="AU11" s="582"/>
      <c r="AV11" s="582"/>
      <c r="AW11" s="582"/>
      <c r="AX11" s="582"/>
      <c r="AY11" s="582"/>
      <c r="AZ11" s="582"/>
    </row>
    <row r="12" spans="1:52" s="591" customFormat="1" ht="16.25" hidden="1" customHeight="1" outlineLevel="2">
      <c r="A12" s="583"/>
      <c r="B12" s="510" t="s">
        <v>2555</v>
      </c>
      <c r="C12" s="509" t="s">
        <v>2556</v>
      </c>
      <c r="D12" s="510" t="s">
        <v>531</v>
      </c>
      <c r="E12" s="509"/>
      <c r="F12" s="592"/>
      <c r="G12" s="593"/>
      <c r="H12" s="593"/>
      <c r="I12" s="593"/>
      <c r="J12" s="593"/>
      <c r="K12" s="593"/>
      <c r="L12" s="594"/>
      <c r="M12" s="595"/>
      <c r="N12" s="595"/>
      <c r="O12" s="595"/>
      <c r="P12" s="595" t="str">
        <f t="shared" si="0"/>
        <v/>
      </c>
      <c r="Q12" s="596"/>
      <c r="R12" s="595">
        <f>SUBTOTAL(9,R13:R15)</f>
        <v>0</v>
      </c>
      <c r="S12" s="582"/>
      <c r="T12" s="582"/>
      <c r="U12" s="582"/>
      <c r="V12" s="582"/>
      <c r="W12" s="582"/>
      <c r="X12" s="582"/>
      <c r="Y12" s="582"/>
      <c r="Z12" s="582"/>
      <c r="AA12" s="582"/>
      <c r="AB12" s="582"/>
      <c r="AC12" s="582"/>
      <c r="AD12" s="582"/>
      <c r="AE12" s="582"/>
      <c r="AF12" s="582"/>
      <c r="AG12" s="582"/>
      <c r="AH12" s="582"/>
      <c r="AI12" s="582"/>
      <c r="AJ12" s="582"/>
      <c r="AK12" s="582"/>
      <c r="AL12" s="582"/>
      <c r="AM12" s="582"/>
      <c r="AN12" s="582"/>
      <c r="AO12" s="582"/>
      <c r="AP12" s="582"/>
      <c r="AQ12" s="582"/>
      <c r="AR12" s="582"/>
      <c r="AS12" s="582"/>
      <c r="AT12" s="582"/>
      <c r="AU12" s="582"/>
      <c r="AV12" s="582"/>
      <c r="AW12" s="582"/>
      <c r="AX12" s="582"/>
      <c r="AY12" s="582"/>
      <c r="AZ12" s="582"/>
    </row>
    <row r="13" spans="1:52" s="591" customFormat="1" ht="16.25" hidden="1" customHeight="1" outlineLevel="3">
      <c r="A13" s="583"/>
      <c r="B13" s="510" t="s">
        <v>2557</v>
      </c>
      <c r="C13" s="509" t="s">
        <v>2487</v>
      </c>
      <c r="D13" s="510" t="s">
        <v>1025</v>
      </c>
      <c r="E13" s="598" t="s">
        <v>1091</v>
      </c>
      <c r="F13" s="592"/>
      <c r="G13" s="593"/>
      <c r="H13" s="593"/>
      <c r="I13" s="593"/>
      <c r="J13" s="593"/>
      <c r="K13" s="593"/>
      <c r="L13" s="597">
        <v>0.11</v>
      </c>
      <c r="M13" s="599"/>
      <c r="N13" s="599"/>
      <c r="O13" s="599"/>
      <c r="P13" s="595" t="str">
        <f t="shared" si="0"/>
        <v/>
      </c>
      <c r="Q13" s="596"/>
      <c r="R13" s="595">
        <f>M13*$R$3</f>
        <v>0</v>
      </c>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c r="AY13" s="582"/>
      <c r="AZ13" s="582"/>
    </row>
    <row r="14" spans="1:52" s="591" customFormat="1" ht="16.25" hidden="1" customHeight="1" outlineLevel="3">
      <c r="A14" s="583"/>
      <c r="B14" s="510" t="s">
        <v>2558</v>
      </c>
      <c r="C14" s="509" t="s">
        <v>2487</v>
      </c>
      <c r="D14" s="510" t="s">
        <v>1026</v>
      </c>
      <c r="E14" s="598" t="s">
        <v>1091</v>
      </c>
      <c r="F14" s="592"/>
      <c r="G14" s="593"/>
      <c r="H14" s="593"/>
      <c r="I14" s="593"/>
      <c r="J14" s="593"/>
      <c r="K14" s="593"/>
      <c r="L14" s="597">
        <v>0.11</v>
      </c>
      <c r="M14" s="599"/>
      <c r="N14" s="599"/>
      <c r="O14" s="582"/>
      <c r="P14" s="595" t="str">
        <f t="shared" si="0"/>
        <v/>
      </c>
      <c r="Q14" s="596"/>
      <c r="R14" s="595">
        <f>M14*$R$3</f>
        <v>0</v>
      </c>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c r="AY14" s="582"/>
      <c r="AZ14" s="582"/>
    </row>
    <row r="15" spans="1:52" s="591" customFormat="1" ht="16.25" hidden="1" customHeight="1" outlineLevel="3">
      <c r="A15" s="583"/>
      <c r="B15" s="510" t="s">
        <v>2559</v>
      </c>
      <c r="C15" s="509" t="s">
        <v>2487</v>
      </c>
      <c r="D15" s="510" t="s">
        <v>1027</v>
      </c>
      <c r="E15" s="598" t="s">
        <v>1091</v>
      </c>
      <c r="F15" s="592"/>
      <c r="G15" s="593"/>
      <c r="H15" s="593"/>
      <c r="I15" s="593"/>
      <c r="J15" s="593"/>
      <c r="K15" s="593"/>
      <c r="L15" s="597">
        <v>0.11</v>
      </c>
      <c r="M15" s="599"/>
      <c r="N15" s="599"/>
      <c r="O15" s="599"/>
      <c r="P15" s="595" t="str">
        <f t="shared" si="0"/>
        <v/>
      </c>
      <c r="Q15" s="596"/>
      <c r="R15" s="595"/>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c r="AY15" s="582"/>
      <c r="AZ15" s="582"/>
    </row>
    <row r="16" spans="1:52" s="591" customFormat="1" ht="16.25" hidden="1" customHeight="1" outlineLevel="2">
      <c r="A16" s="583"/>
      <c r="B16" s="510" t="s">
        <v>2560</v>
      </c>
      <c r="C16" s="509" t="s">
        <v>2561</v>
      </c>
      <c r="D16" s="510" t="s">
        <v>532</v>
      </c>
      <c r="E16" s="509" t="s">
        <v>2490</v>
      </c>
      <c r="F16" s="592"/>
      <c r="G16" s="593"/>
      <c r="H16" s="593"/>
      <c r="I16" s="593"/>
      <c r="J16" s="593"/>
      <c r="K16" s="593"/>
      <c r="L16" s="594"/>
      <c r="M16" s="595"/>
      <c r="N16" s="595"/>
      <c r="O16" s="595"/>
      <c r="P16" s="595" t="str">
        <f t="shared" si="0"/>
        <v/>
      </c>
      <c r="Q16" s="596"/>
      <c r="R16" s="595"/>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row>
    <row r="17" spans="1:18" ht="16" customHeight="1" outlineLevel="1">
      <c r="A17" s="600"/>
      <c r="B17" s="601" t="s">
        <v>2402</v>
      </c>
      <c r="C17" s="585">
        <v>2</v>
      </c>
      <c r="D17" s="586" t="s">
        <v>2562</v>
      </c>
      <c r="E17" s="602"/>
      <c r="F17" s="490"/>
      <c r="G17" s="493"/>
      <c r="H17" s="491"/>
      <c r="I17" s="492"/>
      <c r="J17" s="492"/>
      <c r="K17" s="492"/>
      <c r="L17" s="588"/>
      <c r="M17" s="589">
        <f>'3-地价分摊表'!M6</f>
        <v>0</v>
      </c>
      <c r="N17" s="589">
        <v>0</v>
      </c>
      <c r="O17" s="589">
        <f>'3-地价分摊表'!O6</f>
        <v>0</v>
      </c>
      <c r="P17" s="589" t="e">
        <f>IF(O17="","",O17*10000/F$3)</f>
        <v>#DIV/0!</v>
      </c>
      <c r="Q17" s="589"/>
      <c r="R17" s="589"/>
    </row>
    <row r="18" spans="1:18" ht="16" customHeight="1" outlineLevel="1" collapsed="1">
      <c r="A18" s="600"/>
      <c r="B18" s="601" t="s">
        <v>2402</v>
      </c>
      <c r="C18" s="585">
        <v>3</v>
      </c>
      <c r="D18" s="586" t="s">
        <v>2563</v>
      </c>
      <c r="E18" s="602"/>
      <c r="F18" s="490"/>
      <c r="G18" s="493"/>
      <c r="H18" s="491"/>
      <c r="I18" s="492"/>
      <c r="J18" s="492"/>
      <c r="K18" s="492"/>
      <c r="L18" s="588"/>
      <c r="M18" s="589">
        <f>SUBTOTAL(9,M19:M71)</f>
        <v>0</v>
      </c>
      <c r="N18" s="589">
        <f>SUBTOTAL(9,N19:N71)</f>
        <v>0</v>
      </c>
      <c r="O18" s="589">
        <f>SUBTOTAL(9,O19:O71)</f>
        <v>0</v>
      </c>
      <c r="P18" s="589" t="e">
        <f>IF(O18="","",O18*10000/F$3)</f>
        <v>#DIV/0!</v>
      </c>
      <c r="Q18" s="589">
        <f t="shared" ref="Q18:Q28" si="1">M18</f>
        <v>0</v>
      </c>
      <c r="R18" s="589"/>
    </row>
    <row r="19" spans="1:18" ht="16" hidden="1" customHeight="1" outlineLevel="2">
      <c r="A19" s="600"/>
      <c r="B19" s="603" t="s">
        <v>1095</v>
      </c>
      <c r="C19" s="604" t="s">
        <v>1096</v>
      </c>
      <c r="D19" s="605" t="s">
        <v>1097</v>
      </c>
      <c r="E19" s="606"/>
      <c r="F19" s="607"/>
      <c r="G19" s="608"/>
      <c r="H19" s="609"/>
      <c r="I19" s="610"/>
      <c r="J19" s="611"/>
      <c r="K19" s="611"/>
      <c r="L19" s="612"/>
      <c r="M19" s="613">
        <f>SUBTOTAL(9,M20:M28)</f>
        <v>0</v>
      </c>
      <c r="N19" s="613">
        <f>SUBTOTAL(9,N20:N28)</f>
        <v>0</v>
      </c>
      <c r="O19" s="613">
        <f>SUBTOTAL(9,O20:O28)</f>
        <v>0</v>
      </c>
      <c r="P19" s="599" t="e">
        <f>IF(O19="","",O19*10000/F$3)</f>
        <v>#DIV/0!</v>
      </c>
      <c r="Q19" s="614">
        <f t="shared" si="1"/>
        <v>0</v>
      </c>
      <c r="R19" s="614"/>
    </row>
    <row r="20" spans="1:18" ht="15.5" hidden="1" outlineLevel="3">
      <c r="A20" s="600"/>
      <c r="B20" s="603" t="s">
        <v>1098</v>
      </c>
      <c r="C20" s="615" t="s">
        <v>39</v>
      </c>
      <c r="D20" s="616" t="s">
        <v>1099</v>
      </c>
      <c r="E20" s="606" t="s">
        <v>1100</v>
      </c>
      <c r="F20" s="606" t="s">
        <v>2398</v>
      </c>
      <c r="G20" s="617">
        <v>1</v>
      </c>
      <c r="H20" s="618" t="s">
        <v>2564</v>
      </c>
      <c r="I20" s="618">
        <f>C3</f>
        <v>0</v>
      </c>
      <c r="J20" s="619">
        <v>1</v>
      </c>
      <c r="K20" s="617">
        <f>J20/(1+L20)</f>
        <v>0.94339622641509424</v>
      </c>
      <c r="L20" s="620">
        <v>0.06</v>
      </c>
      <c r="M20" s="599">
        <f>K20*I20*G20/10000</f>
        <v>0</v>
      </c>
      <c r="N20" s="599">
        <f>M20*L20</f>
        <v>0</v>
      </c>
      <c r="O20" s="599">
        <f>M20+N20</f>
        <v>0</v>
      </c>
      <c r="P20" s="599" t="e">
        <f t="shared" ref="P20:P83" si="2">IF(O20="","",O20*10000/F$3)</f>
        <v>#DIV/0!</v>
      </c>
      <c r="Q20" s="599">
        <f t="shared" si="1"/>
        <v>0</v>
      </c>
      <c r="R20" s="621"/>
    </row>
    <row r="21" spans="1:18" ht="15.5" hidden="1" outlineLevel="3">
      <c r="A21" s="600"/>
      <c r="B21" s="603" t="s">
        <v>1101</v>
      </c>
      <c r="C21" s="615" t="s">
        <v>39</v>
      </c>
      <c r="D21" s="616" t="s">
        <v>1102</v>
      </c>
      <c r="E21" s="606" t="s">
        <v>1100</v>
      </c>
      <c r="F21" s="606" t="s">
        <v>2398</v>
      </c>
      <c r="G21" s="617">
        <v>2</v>
      </c>
      <c r="H21" s="618" t="s">
        <v>2564</v>
      </c>
      <c r="I21" s="618">
        <f>C3</f>
        <v>0</v>
      </c>
      <c r="J21" s="619">
        <v>2</v>
      </c>
      <c r="K21" s="619">
        <f t="shared" ref="K21:K71" si="3">J21/(1+L21)</f>
        <v>1.8867924528301885</v>
      </c>
      <c r="L21" s="620">
        <v>0.06</v>
      </c>
      <c r="M21" s="599">
        <f t="shared" ref="M21:M71" si="4">K21*I21*G21/10000</f>
        <v>0</v>
      </c>
      <c r="N21" s="599">
        <f t="shared" ref="N21:N28" si="5">M21*L21</f>
        <v>0</v>
      </c>
      <c r="O21" s="599">
        <f t="shared" ref="O21:O28" si="6">M21+N21</f>
        <v>0</v>
      </c>
      <c r="P21" s="599" t="e">
        <f t="shared" si="2"/>
        <v>#DIV/0!</v>
      </c>
      <c r="Q21" s="599">
        <f t="shared" si="1"/>
        <v>0</v>
      </c>
      <c r="R21" s="621"/>
    </row>
    <row r="22" spans="1:18" ht="16" hidden="1" customHeight="1" outlineLevel="3">
      <c r="A22" s="600"/>
      <c r="B22" s="603" t="s">
        <v>1103</v>
      </c>
      <c r="C22" s="615" t="s">
        <v>39</v>
      </c>
      <c r="D22" s="616" t="s">
        <v>1104</v>
      </c>
      <c r="E22" s="606" t="s">
        <v>1100</v>
      </c>
      <c r="F22" s="606" t="s">
        <v>2565</v>
      </c>
      <c r="G22" s="617">
        <v>30</v>
      </c>
      <c r="H22" s="606" t="s">
        <v>2566</v>
      </c>
      <c r="I22" s="618">
        <f>J3</f>
        <v>0</v>
      </c>
      <c r="J22" s="619">
        <v>180</v>
      </c>
      <c r="K22" s="619">
        <f t="shared" si="3"/>
        <v>169.81132075471697</v>
      </c>
      <c r="L22" s="620">
        <v>0.06</v>
      </c>
      <c r="M22" s="599">
        <f t="shared" si="4"/>
        <v>0</v>
      </c>
      <c r="N22" s="599">
        <f t="shared" si="5"/>
        <v>0</v>
      </c>
      <c r="O22" s="599">
        <f t="shared" si="6"/>
        <v>0</v>
      </c>
      <c r="P22" s="599" t="e">
        <f t="shared" si="2"/>
        <v>#DIV/0!</v>
      </c>
      <c r="Q22" s="599">
        <f t="shared" si="1"/>
        <v>0</v>
      </c>
      <c r="R22" s="621"/>
    </row>
    <row r="23" spans="1:18" ht="16" hidden="1" customHeight="1" outlineLevel="3">
      <c r="A23" s="600"/>
      <c r="B23" s="603" t="s">
        <v>1108</v>
      </c>
      <c r="C23" s="615" t="s">
        <v>39</v>
      </c>
      <c r="D23" s="616" t="s">
        <v>1109</v>
      </c>
      <c r="E23" s="606" t="s">
        <v>1100</v>
      </c>
      <c r="F23" s="606" t="s">
        <v>2565</v>
      </c>
      <c r="G23" s="617">
        <v>120</v>
      </c>
      <c r="H23" s="606" t="s">
        <v>2566</v>
      </c>
      <c r="I23" s="618">
        <f>J3</f>
        <v>0</v>
      </c>
      <c r="J23" s="619">
        <v>180</v>
      </c>
      <c r="K23" s="619">
        <f t="shared" si="3"/>
        <v>169.81132075471697</v>
      </c>
      <c r="L23" s="620">
        <v>0.06</v>
      </c>
      <c r="M23" s="599">
        <f t="shared" si="4"/>
        <v>0</v>
      </c>
      <c r="N23" s="599">
        <f t="shared" si="5"/>
        <v>0</v>
      </c>
      <c r="O23" s="599">
        <f t="shared" si="6"/>
        <v>0</v>
      </c>
      <c r="P23" s="599" t="e">
        <f t="shared" si="2"/>
        <v>#DIV/0!</v>
      </c>
      <c r="Q23" s="599">
        <f t="shared" si="1"/>
        <v>0</v>
      </c>
      <c r="R23" s="621"/>
    </row>
    <row r="24" spans="1:18" ht="16" hidden="1" customHeight="1" outlineLevel="3">
      <c r="A24" s="600"/>
      <c r="B24" s="603" t="s">
        <v>1110</v>
      </c>
      <c r="C24" s="615" t="s">
        <v>39</v>
      </c>
      <c r="D24" s="616" t="s">
        <v>1111</v>
      </c>
      <c r="E24" s="606" t="s">
        <v>1100</v>
      </c>
      <c r="F24" s="606" t="s">
        <v>2567</v>
      </c>
      <c r="G24" s="622">
        <v>1</v>
      </c>
      <c r="H24" s="606" t="s">
        <v>2568</v>
      </c>
      <c r="I24" s="618">
        <f>I3</f>
        <v>0</v>
      </c>
      <c r="J24" s="623">
        <v>12000</v>
      </c>
      <c r="K24" s="623">
        <f t="shared" si="3"/>
        <v>11320.754716981131</v>
      </c>
      <c r="L24" s="620">
        <v>0.06</v>
      </c>
      <c r="M24" s="599">
        <f t="shared" si="4"/>
        <v>0</v>
      </c>
      <c r="N24" s="599">
        <f t="shared" si="5"/>
        <v>0</v>
      </c>
      <c r="O24" s="599">
        <f t="shared" si="6"/>
        <v>0</v>
      </c>
      <c r="P24" s="599" t="e">
        <f t="shared" si="2"/>
        <v>#DIV/0!</v>
      </c>
      <c r="Q24" s="599">
        <f t="shared" si="1"/>
        <v>0</v>
      </c>
      <c r="R24" s="621"/>
    </row>
    <row r="25" spans="1:18" s="600" customFormat="1" ht="16" hidden="1" customHeight="1" outlineLevel="3">
      <c r="B25" s="603" t="s">
        <v>1113</v>
      </c>
      <c r="C25" s="604" t="s">
        <v>39</v>
      </c>
      <c r="D25" s="616" t="s">
        <v>1114</v>
      </c>
      <c r="E25" s="606" t="s">
        <v>1100</v>
      </c>
      <c r="F25" s="606" t="s">
        <v>2398</v>
      </c>
      <c r="G25" s="617">
        <v>1</v>
      </c>
      <c r="H25" s="618" t="s">
        <v>2564</v>
      </c>
      <c r="I25" s="618">
        <f>C3</f>
        <v>0</v>
      </c>
      <c r="J25" s="623">
        <v>0.5</v>
      </c>
      <c r="K25" s="623">
        <f t="shared" si="3"/>
        <v>0.47169811320754712</v>
      </c>
      <c r="L25" s="620">
        <v>0.06</v>
      </c>
      <c r="M25" s="599">
        <f t="shared" si="4"/>
        <v>0</v>
      </c>
      <c r="N25" s="599">
        <f t="shared" si="5"/>
        <v>0</v>
      </c>
      <c r="O25" s="599">
        <f t="shared" si="6"/>
        <v>0</v>
      </c>
      <c r="P25" s="599" t="e">
        <f t="shared" si="2"/>
        <v>#DIV/0!</v>
      </c>
      <c r="Q25" s="599">
        <f t="shared" si="1"/>
        <v>0</v>
      </c>
      <c r="R25" s="614"/>
    </row>
    <row r="26" spans="1:18" s="600" customFormat="1" ht="16" hidden="1" customHeight="1" outlineLevel="3">
      <c r="B26" s="603" t="s">
        <v>1117</v>
      </c>
      <c r="C26" s="1012" t="s">
        <v>39</v>
      </c>
      <c r="D26" s="616" t="s">
        <v>1118</v>
      </c>
      <c r="E26" s="606" t="s">
        <v>1100</v>
      </c>
      <c r="F26" s="606" t="s">
        <v>2567</v>
      </c>
      <c r="G26" s="617"/>
      <c r="H26" s="606" t="s">
        <v>2568</v>
      </c>
      <c r="I26" s="618">
        <f>I3</f>
        <v>0</v>
      </c>
      <c r="J26" s="623">
        <v>8000</v>
      </c>
      <c r="K26" s="623">
        <f t="shared" si="3"/>
        <v>7207.2072072072069</v>
      </c>
      <c r="L26" s="620">
        <v>0.11</v>
      </c>
      <c r="M26" s="599">
        <f t="shared" si="4"/>
        <v>0</v>
      </c>
      <c r="N26" s="599">
        <f t="shared" si="5"/>
        <v>0</v>
      </c>
      <c r="O26" s="599">
        <f t="shared" si="6"/>
        <v>0</v>
      </c>
      <c r="P26" s="599" t="e">
        <f t="shared" si="2"/>
        <v>#DIV/0!</v>
      </c>
      <c r="Q26" s="599">
        <f t="shared" si="1"/>
        <v>0</v>
      </c>
      <c r="R26" s="614"/>
    </row>
    <row r="27" spans="1:18" s="600" customFormat="1" ht="16" hidden="1" customHeight="1" outlineLevel="3">
      <c r="B27" s="603" t="s">
        <v>1119</v>
      </c>
      <c r="C27" s="1012" t="s">
        <v>39</v>
      </c>
      <c r="D27" s="616" t="s">
        <v>1120</v>
      </c>
      <c r="E27" s="606" t="s">
        <v>1121</v>
      </c>
      <c r="F27" s="606" t="s">
        <v>2394</v>
      </c>
      <c r="G27" s="622"/>
      <c r="H27" s="618" t="s">
        <v>2564</v>
      </c>
      <c r="I27" s="618">
        <f t="shared" ref="I27:I62" si="7">$D$3</f>
        <v>0</v>
      </c>
      <c r="J27" s="619">
        <v>3</v>
      </c>
      <c r="K27" s="619">
        <f t="shared" si="3"/>
        <v>2.7027027027027026</v>
      </c>
      <c r="L27" s="620">
        <v>0.11</v>
      </c>
      <c r="M27" s="599">
        <f t="shared" si="4"/>
        <v>0</v>
      </c>
      <c r="N27" s="599">
        <f t="shared" si="5"/>
        <v>0</v>
      </c>
      <c r="O27" s="599">
        <f t="shared" si="6"/>
        <v>0</v>
      </c>
      <c r="P27" s="599" t="e">
        <f t="shared" si="2"/>
        <v>#DIV/0!</v>
      </c>
      <c r="Q27" s="599">
        <f t="shared" si="1"/>
        <v>0</v>
      </c>
      <c r="R27" s="614"/>
    </row>
    <row r="28" spans="1:18" s="600" customFormat="1" ht="16" hidden="1" customHeight="1" outlineLevel="3">
      <c r="B28" s="603" t="s">
        <v>1122</v>
      </c>
      <c r="C28" s="1012" t="s">
        <v>39</v>
      </c>
      <c r="D28" s="616" t="s">
        <v>1123</v>
      </c>
      <c r="E28" s="606" t="s">
        <v>1100</v>
      </c>
      <c r="F28" s="606" t="s">
        <v>2394</v>
      </c>
      <c r="G28" s="617">
        <v>8</v>
      </c>
      <c r="H28" s="618" t="s">
        <v>2569</v>
      </c>
      <c r="I28" s="618">
        <f>I3</f>
        <v>0</v>
      </c>
      <c r="J28" s="619">
        <v>900</v>
      </c>
      <c r="K28" s="619">
        <f t="shared" si="3"/>
        <v>849.05660377358481</v>
      </c>
      <c r="L28" s="620">
        <v>0.06</v>
      </c>
      <c r="M28" s="599">
        <f t="shared" si="4"/>
        <v>0</v>
      </c>
      <c r="N28" s="599">
        <f t="shared" si="5"/>
        <v>0</v>
      </c>
      <c r="O28" s="599">
        <f t="shared" si="6"/>
        <v>0</v>
      </c>
      <c r="P28" s="599" t="e">
        <f t="shared" si="2"/>
        <v>#DIV/0!</v>
      </c>
      <c r="Q28" s="599">
        <f t="shared" si="1"/>
        <v>0</v>
      </c>
      <c r="R28" s="614"/>
    </row>
    <row r="29" spans="1:18" s="600" customFormat="1" ht="16" hidden="1" customHeight="1" outlineLevel="2">
      <c r="B29" s="603" t="s">
        <v>1124</v>
      </c>
      <c r="C29" s="1012" t="s">
        <v>68</v>
      </c>
      <c r="D29" s="616" t="s">
        <v>1125</v>
      </c>
      <c r="E29" s="606"/>
      <c r="F29" s="606" t="s">
        <v>2394</v>
      </c>
      <c r="G29" s="617"/>
      <c r="H29" s="618"/>
      <c r="I29" s="618"/>
      <c r="J29" s="619"/>
      <c r="K29" s="619"/>
      <c r="L29" s="620"/>
      <c r="M29" s="613">
        <f>SUBTOTAL(9,M30:M67)</f>
        <v>0</v>
      </c>
      <c r="N29" s="613">
        <f>SUBTOTAL(9,N30:N67)</f>
        <v>0</v>
      </c>
      <c r="O29" s="613">
        <f>SUBTOTAL(9,O30:O67)</f>
        <v>0</v>
      </c>
      <c r="P29" s="599" t="e">
        <f t="shared" si="2"/>
        <v>#DIV/0!</v>
      </c>
      <c r="Q29" s="599"/>
      <c r="R29" s="614"/>
    </row>
    <row r="30" spans="1:18" s="600" customFormat="1" ht="16" hidden="1" customHeight="1" outlineLevel="3">
      <c r="B30" s="603" t="s">
        <v>1126</v>
      </c>
      <c r="C30" s="1012" t="s">
        <v>39</v>
      </c>
      <c r="D30" s="616" t="s">
        <v>1127</v>
      </c>
      <c r="E30" s="606" t="s">
        <v>1128</v>
      </c>
      <c r="F30" s="606" t="s">
        <v>2394</v>
      </c>
      <c r="G30" s="617">
        <v>1</v>
      </c>
      <c r="H30" s="618" t="s">
        <v>2564</v>
      </c>
      <c r="I30" s="618">
        <f>D3</f>
        <v>0</v>
      </c>
      <c r="J30" s="619">
        <v>1</v>
      </c>
      <c r="K30" s="619">
        <v>0.8</v>
      </c>
      <c r="L30" s="620">
        <v>0.06</v>
      </c>
      <c r="M30" s="599">
        <f t="shared" si="4"/>
        <v>0</v>
      </c>
      <c r="N30" s="599">
        <f t="shared" ref="N30:N67" si="8">M30*L30</f>
        <v>0</v>
      </c>
      <c r="O30" s="599">
        <f t="shared" ref="O30:O67" si="9">M30+N30</f>
        <v>0</v>
      </c>
      <c r="P30" s="599" t="e">
        <f t="shared" si="2"/>
        <v>#DIV/0!</v>
      </c>
      <c r="Q30" s="599">
        <f>M30</f>
        <v>0</v>
      </c>
      <c r="R30" s="614"/>
    </row>
    <row r="31" spans="1:18" s="600" customFormat="1" ht="16" hidden="1" customHeight="1" outlineLevel="3">
      <c r="B31" s="603" t="s">
        <v>1129</v>
      </c>
      <c r="C31" s="1012" t="s">
        <v>39</v>
      </c>
      <c r="D31" s="616" t="s">
        <v>1130</v>
      </c>
      <c r="E31" s="606" t="s">
        <v>1128</v>
      </c>
      <c r="F31" s="606" t="s">
        <v>2394</v>
      </c>
      <c r="G31" s="622">
        <v>1</v>
      </c>
      <c r="H31" s="618" t="s">
        <v>2564</v>
      </c>
      <c r="I31" s="618">
        <f t="shared" si="7"/>
        <v>0</v>
      </c>
      <c r="J31" s="619">
        <v>3</v>
      </c>
      <c r="K31" s="619">
        <v>2</v>
      </c>
      <c r="L31" s="620">
        <v>0.06</v>
      </c>
      <c r="M31" s="599">
        <f t="shared" si="4"/>
        <v>0</v>
      </c>
      <c r="N31" s="599">
        <f t="shared" si="8"/>
        <v>0</v>
      </c>
      <c r="O31" s="599">
        <f t="shared" si="9"/>
        <v>0</v>
      </c>
      <c r="P31" s="599" t="e">
        <f t="shared" si="2"/>
        <v>#DIV/0!</v>
      </c>
      <c r="Q31" s="599">
        <f>M31</f>
        <v>0</v>
      </c>
      <c r="R31" s="614"/>
    </row>
    <row r="32" spans="1:18" s="600" customFormat="1" ht="16" hidden="1" customHeight="1" outlineLevel="3">
      <c r="B32" s="603" t="s">
        <v>1131</v>
      </c>
      <c r="C32" s="1012" t="s">
        <v>39</v>
      </c>
      <c r="D32" s="616" t="s">
        <v>1132</v>
      </c>
      <c r="E32" s="606" t="s">
        <v>1133</v>
      </c>
      <c r="F32" s="606" t="s">
        <v>2398</v>
      </c>
      <c r="G32" s="622">
        <v>1</v>
      </c>
      <c r="H32" s="618" t="s">
        <v>2564</v>
      </c>
      <c r="I32" s="618">
        <f>C3</f>
        <v>0</v>
      </c>
      <c r="J32" s="619">
        <v>1.0349999999999999</v>
      </c>
      <c r="K32" s="619">
        <f t="shared" si="3"/>
        <v>1.0349999999999999</v>
      </c>
      <c r="L32" s="620">
        <v>0</v>
      </c>
      <c r="M32" s="599">
        <f t="shared" si="4"/>
        <v>0</v>
      </c>
      <c r="N32" s="599">
        <f t="shared" si="8"/>
        <v>0</v>
      </c>
      <c r="O32" s="599">
        <f t="shared" si="9"/>
        <v>0</v>
      </c>
      <c r="P32" s="599" t="e">
        <f t="shared" si="2"/>
        <v>#DIV/0!</v>
      </c>
      <c r="Q32" s="599">
        <f>M32</f>
        <v>0</v>
      </c>
      <c r="R32" s="614"/>
    </row>
    <row r="33" spans="2:18" s="600" customFormat="1" ht="16" hidden="1" customHeight="1" outlineLevel="3">
      <c r="B33" s="603" t="s">
        <v>1134</v>
      </c>
      <c r="C33" s="1012" t="s">
        <v>39</v>
      </c>
      <c r="D33" s="616" t="s">
        <v>1135</v>
      </c>
      <c r="E33" s="606" t="s">
        <v>1133</v>
      </c>
      <c r="F33" s="606" t="s">
        <v>2570</v>
      </c>
      <c r="G33" s="622">
        <v>1</v>
      </c>
      <c r="H33" s="618" t="s">
        <v>2564</v>
      </c>
      <c r="I33" s="618">
        <f>D3</f>
        <v>0</v>
      </c>
      <c r="J33" s="619">
        <v>2</v>
      </c>
      <c r="K33" s="619">
        <f t="shared" si="3"/>
        <v>2</v>
      </c>
      <c r="L33" s="620">
        <v>0</v>
      </c>
      <c r="M33" s="599">
        <f t="shared" si="4"/>
        <v>0</v>
      </c>
      <c r="N33" s="599">
        <f t="shared" si="8"/>
        <v>0</v>
      </c>
      <c r="O33" s="599">
        <f t="shared" si="9"/>
        <v>0</v>
      </c>
      <c r="P33" s="599" t="e">
        <f t="shared" si="2"/>
        <v>#DIV/0!</v>
      </c>
      <c r="Q33" s="599">
        <f>M33</f>
        <v>0</v>
      </c>
      <c r="R33" s="614"/>
    </row>
    <row r="34" spans="2:18" s="600" customFormat="1" ht="16" hidden="1" customHeight="1" outlineLevel="3">
      <c r="B34" s="603" t="s">
        <v>1137</v>
      </c>
      <c r="C34" s="1012" t="s">
        <v>39</v>
      </c>
      <c r="D34" s="616" t="s">
        <v>1138</v>
      </c>
      <c r="E34" s="606" t="s">
        <v>1133</v>
      </c>
      <c r="F34" s="606" t="s">
        <v>2570</v>
      </c>
      <c r="G34" s="622">
        <v>1</v>
      </c>
      <c r="H34" s="618" t="s">
        <v>2564</v>
      </c>
      <c r="I34" s="618">
        <f>I33</f>
        <v>0</v>
      </c>
      <c r="J34" s="619">
        <v>10</v>
      </c>
      <c r="K34" s="619">
        <f t="shared" si="3"/>
        <v>10</v>
      </c>
      <c r="L34" s="620">
        <v>0</v>
      </c>
      <c r="M34" s="599">
        <f t="shared" si="4"/>
        <v>0</v>
      </c>
      <c r="N34" s="599">
        <f t="shared" si="8"/>
        <v>0</v>
      </c>
      <c r="O34" s="599">
        <f t="shared" si="9"/>
        <v>0</v>
      </c>
      <c r="P34" s="599" t="e">
        <f t="shared" si="2"/>
        <v>#DIV/0!</v>
      </c>
      <c r="Q34" s="599">
        <f>M34</f>
        <v>0</v>
      </c>
      <c r="R34" s="614"/>
    </row>
    <row r="35" spans="2:18" s="600" customFormat="1" ht="16" hidden="1" customHeight="1" outlineLevel="3">
      <c r="B35" s="603" t="s">
        <v>1141</v>
      </c>
      <c r="C35" s="1012" t="s">
        <v>39</v>
      </c>
      <c r="D35" s="616" t="s">
        <v>1142</v>
      </c>
      <c r="E35" s="606" t="s">
        <v>1143</v>
      </c>
      <c r="F35" s="606" t="s">
        <v>2394</v>
      </c>
      <c r="G35" s="622">
        <v>2.5999999999999999E-2</v>
      </c>
      <c r="H35" s="618" t="s">
        <v>2564</v>
      </c>
      <c r="I35" s="618">
        <f t="shared" si="7"/>
        <v>0</v>
      </c>
      <c r="J35" s="619">
        <v>2400</v>
      </c>
      <c r="K35" s="619">
        <f t="shared" si="3"/>
        <v>2162.1621621621621</v>
      </c>
      <c r="L35" s="620">
        <v>0.11</v>
      </c>
      <c r="M35" s="599">
        <f t="shared" si="4"/>
        <v>0</v>
      </c>
      <c r="N35" s="599">
        <f t="shared" si="8"/>
        <v>0</v>
      </c>
      <c r="O35" s="599">
        <f t="shared" si="9"/>
        <v>0</v>
      </c>
      <c r="P35" s="599" t="e">
        <f t="shared" si="2"/>
        <v>#DIV/0!</v>
      </c>
      <c r="Q35" s="599">
        <f t="shared" ref="Q35:Q97" si="10">M35</f>
        <v>0</v>
      </c>
      <c r="R35" s="614"/>
    </row>
    <row r="36" spans="2:18" s="600" customFormat="1" ht="16" hidden="1" customHeight="1" outlineLevel="3">
      <c r="B36" s="603" t="s">
        <v>1144</v>
      </c>
      <c r="C36" s="1012" t="s">
        <v>39</v>
      </c>
      <c r="D36" s="616" t="s">
        <v>1145</v>
      </c>
      <c r="E36" s="606" t="s">
        <v>1133</v>
      </c>
      <c r="F36" s="606" t="s">
        <v>2394</v>
      </c>
      <c r="G36" s="622">
        <v>5.9999999999999995E-4</v>
      </c>
      <c r="H36" s="618" t="s">
        <v>2564</v>
      </c>
      <c r="I36" s="618">
        <f t="shared" si="7"/>
        <v>0</v>
      </c>
      <c r="J36" s="619"/>
      <c r="K36" s="619">
        <f t="shared" si="3"/>
        <v>0</v>
      </c>
      <c r="L36" s="620"/>
      <c r="M36" s="599">
        <f t="shared" si="4"/>
        <v>0</v>
      </c>
      <c r="N36" s="599">
        <f t="shared" si="8"/>
        <v>0</v>
      </c>
      <c r="O36" s="599">
        <f t="shared" si="9"/>
        <v>0</v>
      </c>
      <c r="P36" s="599" t="e">
        <f t="shared" si="2"/>
        <v>#DIV/0!</v>
      </c>
      <c r="Q36" s="599">
        <f t="shared" si="10"/>
        <v>0</v>
      </c>
      <c r="R36" s="614"/>
    </row>
    <row r="37" spans="2:18" s="600" customFormat="1" ht="16" hidden="1" customHeight="1" outlineLevel="3">
      <c r="B37" s="603" t="s">
        <v>1146</v>
      </c>
      <c r="C37" s="1012" t="s">
        <v>39</v>
      </c>
      <c r="D37" s="616" t="s">
        <v>1147</v>
      </c>
      <c r="E37" s="606" t="s">
        <v>1133</v>
      </c>
      <c r="F37" s="606" t="s">
        <v>2394</v>
      </c>
      <c r="G37" s="622">
        <v>1</v>
      </c>
      <c r="H37" s="618" t="s">
        <v>2564</v>
      </c>
      <c r="I37" s="618">
        <f t="shared" si="7"/>
        <v>0</v>
      </c>
      <c r="J37" s="619">
        <v>1</v>
      </c>
      <c r="K37" s="619">
        <f t="shared" si="3"/>
        <v>0.94339622641509424</v>
      </c>
      <c r="L37" s="620">
        <v>0.06</v>
      </c>
      <c r="M37" s="599">
        <f t="shared" si="4"/>
        <v>0</v>
      </c>
      <c r="N37" s="599">
        <f t="shared" si="8"/>
        <v>0</v>
      </c>
      <c r="O37" s="599">
        <f t="shared" si="9"/>
        <v>0</v>
      </c>
      <c r="P37" s="599" t="e">
        <f t="shared" si="2"/>
        <v>#DIV/0!</v>
      </c>
      <c r="Q37" s="599">
        <f t="shared" si="10"/>
        <v>0</v>
      </c>
      <c r="R37" s="614"/>
    </row>
    <row r="38" spans="2:18" s="600" customFormat="1" ht="16" hidden="1" customHeight="1" outlineLevel="3">
      <c r="B38" s="603" t="s">
        <v>1148</v>
      </c>
      <c r="C38" s="1012" t="s">
        <v>39</v>
      </c>
      <c r="D38" s="616" t="s">
        <v>1149</v>
      </c>
      <c r="E38" s="606" t="s">
        <v>1133</v>
      </c>
      <c r="F38" s="606" t="s">
        <v>2394</v>
      </c>
      <c r="G38" s="622">
        <v>1</v>
      </c>
      <c r="H38" s="618" t="s">
        <v>2564</v>
      </c>
      <c r="I38" s="618">
        <f t="shared" si="7"/>
        <v>0</v>
      </c>
      <c r="J38" s="619">
        <v>1.3</v>
      </c>
      <c r="K38" s="619">
        <f t="shared" si="3"/>
        <v>1.3</v>
      </c>
      <c r="L38" s="620">
        <v>0</v>
      </c>
      <c r="M38" s="599">
        <f t="shared" si="4"/>
        <v>0</v>
      </c>
      <c r="N38" s="599">
        <f t="shared" si="8"/>
        <v>0</v>
      </c>
      <c r="O38" s="599">
        <f t="shared" si="9"/>
        <v>0</v>
      </c>
      <c r="P38" s="599" t="e">
        <f t="shared" si="2"/>
        <v>#DIV/0!</v>
      </c>
      <c r="Q38" s="599">
        <f t="shared" si="10"/>
        <v>0</v>
      </c>
      <c r="R38" s="614"/>
    </row>
    <row r="39" spans="2:18" s="600" customFormat="1" ht="16" hidden="1" customHeight="1" outlineLevel="3">
      <c r="B39" s="603" t="s">
        <v>1150</v>
      </c>
      <c r="C39" s="1012" t="s">
        <v>39</v>
      </c>
      <c r="D39" s="616" t="s">
        <v>466</v>
      </c>
      <c r="E39" s="606" t="s">
        <v>1133</v>
      </c>
      <c r="F39" s="606" t="s">
        <v>2394</v>
      </c>
      <c r="G39" s="622">
        <v>1</v>
      </c>
      <c r="H39" s="618" t="s">
        <v>2564</v>
      </c>
      <c r="I39" s="618">
        <f t="shared" si="7"/>
        <v>0</v>
      </c>
      <c r="J39" s="619">
        <v>0</v>
      </c>
      <c r="K39" s="619">
        <f t="shared" si="3"/>
        <v>0</v>
      </c>
      <c r="L39" s="620">
        <v>0</v>
      </c>
      <c r="M39" s="599">
        <f t="shared" si="4"/>
        <v>0</v>
      </c>
      <c r="N39" s="599">
        <f t="shared" si="8"/>
        <v>0</v>
      </c>
      <c r="O39" s="599">
        <f t="shared" si="9"/>
        <v>0</v>
      </c>
      <c r="P39" s="599" t="e">
        <f t="shared" si="2"/>
        <v>#DIV/0!</v>
      </c>
      <c r="Q39" s="599">
        <f t="shared" si="10"/>
        <v>0</v>
      </c>
      <c r="R39" s="614"/>
    </row>
    <row r="40" spans="2:18" s="600" customFormat="1" ht="16" hidden="1" customHeight="1" outlineLevel="3">
      <c r="B40" s="603" t="s">
        <v>1151</v>
      </c>
      <c r="C40" s="1012" t="s">
        <v>39</v>
      </c>
      <c r="D40" s="616" t="s">
        <v>1152</v>
      </c>
      <c r="E40" s="606" t="s">
        <v>1133</v>
      </c>
      <c r="F40" s="606" t="s">
        <v>2394</v>
      </c>
      <c r="G40" s="622">
        <v>1</v>
      </c>
      <c r="H40" s="618" t="s">
        <v>2564</v>
      </c>
      <c r="I40" s="618">
        <f t="shared" si="7"/>
        <v>0</v>
      </c>
      <c r="J40" s="619"/>
      <c r="K40" s="619">
        <f t="shared" si="3"/>
        <v>0</v>
      </c>
      <c r="L40" s="620">
        <v>0</v>
      </c>
      <c r="M40" s="599">
        <f t="shared" si="4"/>
        <v>0</v>
      </c>
      <c r="N40" s="599">
        <f t="shared" si="8"/>
        <v>0</v>
      </c>
      <c r="O40" s="599">
        <f t="shared" si="9"/>
        <v>0</v>
      </c>
      <c r="P40" s="599" t="e">
        <f t="shared" si="2"/>
        <v>#DIV/0!</v>
      </c>
      <c r="Q40" s="599">
        <f t="shared" si="10"/>
        <v>0</v>
      </c>
      <c r="R40" s="614"/>
    </row>
    <row r="41" spans="2:18" s="600" customFormat="1" ht="16" hidden="1" customHeight="1" outlineLevel="3">
      <c r="B41" s="603" t="s">
        <v>1153</v>
      </c>
      <c r="C41" s="1012" t="s">
        <v>39</v>
      </c>
      <c r="D41" s="616" t="s">
        <v>1154</v>
      </c>
      <c r="E41" s="606" t="s">
        <v>1133</v>
      </c>
      <c r="F41" s="606" t="s">
        <v>2571</v>
      </c>
      <c r="G41" s="622">
        <v>1</v>
      </c>
      <c r="H41" s="618" t="s">
        <v>2572</v>
      </c>
      <c r="I41" s="618">
        <f>M3</f>
        <v>0</v>
      </c>
      <c r="J41" s="619">
        <v>1</v>
      </c>
      <c r="K41" s="619">
        <f t="shared" si="3"/>
        <v>1</v>
      </c>
      <c r="L41" s="620">
        <v>0</v>
      </c>
      <c r="M41" s="599">
        <f t="shared" si="4"/>
        <v>0</v>
      </c>
      <c r="N41" s="599">
        <f t="shared" si="8"/>
        <v>0</v>
      </c>
      <c r="O41" s="599">
        <f t="shared" si="9"/>
        <v>0</v>
      </c>
      <c r="P41" s="599" t="e">
        <f t="shared" si="2"/>
        <v>#DIV/0!</v>
      </c>
      <c r="Q41" s="599">
        <f t="shared" si="10"/>
        <v>0</v>
      </c>
      <c r="R41" s="614"/>
    </row>
    <row r="42" spans="2:18" s="600" customFormat="1" ht="16" hidden="1" customHeight="1" outlineLevel="3">
      <c r="B42" s="603" t="s">
        <v>1155</v>
      </c>
      <c r="C42" s="1012" t="s">
        <v>39</v>
      </c>
      <c r="D42" s="616" t="s">
        <v>1156</v>
      </c>
      <c r="E42" s="606" t="s">
        <v>1133</v>
      </c>
      <c r="F42" s="606" t="s">
        <v>2394</v>
      </c>
      <c r="G42" s="622">
        <v>1</v>
      </c>
      <c r="H42" s="618" t="s">
        <v>2564</v>
      </c>
      <c r="I42" s="618">
        <f t="shared" si="7"/>
        <v>0</v>
      </c>
      <c r="J42" s="619">
        <v>1.6</v>
      </c>
      <c r="K42" s="619">
        <f t="shared" si="3"/>
        <v>1.5094339622641511</v>
      </c>
      <c r="L42" s="620">
        <v>0.06</v>
      </c>
      <c r="M42" s="599">
        <f t="shared" si="4"/>
        <v>0</v>
      </c>
      <c r="N42" s="599">
        <f t="shared" si="8"/>
        <v>0</v>
      </c>
      <c r="O42" s="599">
        <f t="shared" si="9"/>
        <v>0</v>
      </c>
      <c r="P42" s="599" t="e">
        <f t="shared" si="2"/>
        <v>#DIV/0!</v>
      </c>
      <c r="Q42" s="599">
        <f t="shared" si="10"/>
        <v>0</v>
      </c>
      <c r="R42" s="614"/>
    </row>
    <row r="43" spans="2:18" s="600" customFormat="1" ht="16" hidden="1" customHeight="1" outlineLevel="3">
      <c r="B43" s="603" t="s">
        <v>1157</v>
      </c>
      <c r="C43" s="1012" t="s">
        <v>39</v>
      </c>
      <c r="D43" s="616" t="s">
        <v>1158</v>
      </c>
      <c r="E43" s="606" t="s">
        <v>1133</v>
      </c>
      <c r="F43" s="606" t="s">
        <v>2394</v>
      </c>
      <c r="G43" s="622">
        <v>1</v>
      </c>
      <c r="H43" s="618" t="s">
        <v>2564</v>
      </c>
      <c r="I43" s="618">
        <f t="shared" si="7"/>
        <v>0</v>
      </c>
      <c r="J43" s="619"/>
      <c r="K43" s="619">
        <f t="shared" si="3"/>
        <v>0</v>
      </c>
      <c r="L43" s="620">
        <v>0.06</v>
      </c>
      <c r="M43" s="599">
        <f t="shared" si="4"/>
        <v>0</v>
      </c>
      <c r="N43" s="599">
        <f t="shared" si="8"/>
        <v>0</v>
      </c>
      <c r="O43" s="599">
        <f t="shared" si="9"/>
        <v>0</v>
      </c>
      <c r="P43" s="599" t="e">
        <f t="shared" si="2"/>
        <v>#DIV/0!</v>
      </c>
      <c r="Q43" s="599">
        <f t="shared" si="10"/>
        <v>0</v>
      </c>
      <c r="R43" s="614"/>
    </row>
    <row r="44" spans="2:18" s="600" customFormat="1" hidden="1" outlineLevel="3">
      <c r="B44" s="603" t="s">
        <v>1159</v>
      </c>
      <c r="C44" s="1012" t="s">
        <v>39</v>
      </c>
      <c r="D44" s="616" t="s">
        <v>1160</v>
      </c>
      <c r="E44" s="606" t="s">
        <v>1133</v>
      </c>
      <c r="F44" s="606" t="s">
        <v>2394</v>
      </c>
      <c r="G44" s="622">
        <v>1</v>
      </c>
      <c r="H44" s="618" t="s">
        <v>2564</v>
      </c>
      <c r="I44" s="618">
        <f>'3-规划指标'!I23</f>
        <v>0</v>
      </c>
      <c r="J44" s="619">
        <v>3</v>
      </c>
      <c r="K44" s="619">
        <f t="shared" si="3"/>
        <v>3</v>
      </c>
      <c r="L44" s="620">
        <v>0</v>
      </c>
      <c r="M44" s="599">
        <f t="shared" si="4"/>
        <v>0</v>
      </c>
      <c r="N44" s="599">
        <f t="shared" si="8"/>
        <v>0</v>
      </c>
      <c r="O44" s="599">
        <f t="shared" si="9"/>
        <v>0</v>
      </c>
      <c r="P44" s="599" t="e">
        <f t="shared" si="2"/>
        <v>#DIV/0!</v>
      </c>
      <c r="Q44" s="599">
        <f t="shared" si="10"/>
        <v>0</v>
      </c>
      <c r="R44" s="614"/>
    </row>
    <row r="45" spans="2:18" s="600" customFormat="1" hidden="1" outlineLevel="3">
      <c r="B45" s="603" t="s">
        <v>1161</v>
      </c>
      <c r="C45" s="1012" t="s">
        <v>39</v>
      </c>
      <c r="D45" s="616" t="s">
        <v>1162</v>
      </c>
      <c r="E45" s="606" t="s">
        <v>1133</v>
      </c>
      <c r="F45" s="606" t="s">
        <v>2394</v>
      </c>
      <c r="G45" s="622">
        <v>1</v>
      </c>
      <c r="H45" s="618" t="s">
        <v>2564</v>
      </c>
      <c r="I45" s="618">
        <f>'3-规划指标'!I28</f>
        <v>0</v>
      </c>
      <c r="J45" s="619">
        <v>10</v>
      </c>
      <c r="K45" s="619">
        <f t="shared" si="3"/>
        <v>10</v>
      </c>
      <c r="L45" s="620">
        <v>0</v>
      </c>
      <c r="M45" s="599">
        <f t="shared" si="4"/>
        <v>0</v>
      </c>
      <c r="N45" s="599">
        <f t="shared" si="8"/>
        <v>0</v>
      </c>
      <c r="O45" s="599">
        <f t="shared" si="9"/>
        <v>0</v>
      </c>
      <c r="P45" s="599" t="e">
        <f t="shared" si="2"/>
        <v>#DIV/0!</v>
      </c>
      <c r="Q45" s="599">
        <f t="shared" si="10"/>
        <v>0</v>
      </c>
      <c r="R45" s="614"/>
    </row>
    <row r="46" spans="2:18" s="600" customFormat="1" ht="16" hidden="1" customHeight="1" outlineLevel="3">
      <c r="B46" s="603" t="s">
        <v>1163</v>
      </c>
      <c r="C46" s="1012" t="s">
        <v>39</v>
      </c>
      <c r="D46" s="616" t="s">
        <v>1164</v>
      </c>
      <c r="E46" s="606" t="s">
        <v>1133</v>
      </c>
      <c r="F46" s="606" t="s">
        <v>2571</v>
      </c>
      <c r="G46" s="622">
        <v>1</v>
      </c>
      <c r="H46" s="618" t="s">
        <v>2572</v>
      </c>
      <c r="I46" s="618">
        <f>M3</f>
        <v>0</v>
      </c>
      <c r="J46" s="619">
        <v>80</v>
      </c>
      <c r="K46" s="619">
        <f t="shared" si="3"/>
        <v>80</v>
      </c>
      <c r="L46" s="620">
        <v>0</v>
      </c>
      <c r="M46" s="599">
        <f t="shared" si="4"/>
        <v>0</v>
      </c>
      <c r="N46" s="599">
        <f t="shared" si="8"/>
        <v>0</v>
      </c>
      <c r="O46" s="599">
        <f t="shared" si="9"/>
        <v>0</v>
      </c>
      <c r="P46" s="599" t="e">
        <f t="shared" si="2"/>
        <v>#DIV/0!</v>
      </c>
      <c r="Q46" s="599">
        <f t="shared" si="10"/>
        <v>0</v>
      </c>
      <c r="R46" s="614"/>
    </row>
    <row r="47" spans="2:18" s="600" customFormat="1" ht="16" hidden="1" customHeight="1" outlineLevel="3">
      <c r="B47" s="603" t="s">
        <v>1165</v>
      </c>
      <c r="C47" s="1012" t="s">
        <v>39</v>
      </c>
      <c r="D47" s="616" t="s">
        <v>1166</v>
      </c>
      <c r="E47" s="606" t="s">
        <v>1133</v>
      </c>
      <c r="F47" s="606" t="s">
        <v>2571</v>
      </c>
      <c r="G47" s="622">
        <v>1</v>
      </c>
      <c r="H47" s="618" t="s">
        <v>2572</v>
      </c>
      <c r="I47" s="618">
        <v>0</v>
      </c>
      <c r="J47" s="619">
        <v>550</v>
      </c>
      <c r="K47" s="619">
        <f t="shared" si="3"/>
        <v>550</v>
      </c>
      <c r="L47" s="620">
        <v>0</v>
      </c>
      <c r="M47" s="599">
        <f t="shared" si="4"/>
        <v>0</v>
      </c>
      <c r="N47" s="599">
        <f t="shared" si="8"/>
        <v>0</v>
      </c>
      <c r="O47" s="599">
        <f t="shared" si="9"/>
        <v>0</v>
      </c>
      <c r="P47" s="599" t="e">
        <f t="shared" si="2"/>
        <v>#DIV/0!</v>
      </c>
      <c r="Q47" s="599">
        <f t="shared" si="10"/>
        <v>0</v>
      </c>
      <c r="R47" s="614"/>
    </row>
    <row r="48" spans="2:18" s="600" customFormat="1" ht="16" hidden="1" customHeight="1" outlineLevel="3">
      <c r="B48" s="603" t="s">
        <v>1167</v>
      </c>
      <c r="C48" s="1012" t="s">
        <v>39</v>
      </c>
      <c r="D48" s="616" t="s">
        <v>1168</v>
      </c>
      <c r="E48" s="606" t="s">
        <v>1133</v>
      </c>
      <c r="F48" s="606" t="s">
        <v>2570</v>
      </c>
      <c r="G48" s="622">
        <v>1</v>
      </c>
      <c r="H48" s="618" t="s">
        <v>2564</v>
      </c>
      <c r="I48" s="618">
        <f>E3</f>
        <v>0</v>
      </c>
      <c r="J48" s="619">
        <v>1</v>
      </c>
      <c r="K48" s="619">
        <f t="shared" si="3"/>
        <v>1</v>
      </c>
      <c r="L48" s="620">
        <v>0</v>
      </c>
      <c r="M48" s="599">
        <f t="shared" si="4"/>
        <v>0</v>
      </c>
      <c r="N48" s="599">
        <f t="shared" si="8"/>
        <v>0</v>
      </c>
      <c r="O48" s="599">
        <f t="shared" si="9"/>
        <v>0</v>
      </c>
      <c r="P48" s="599" t="e">
        <f t="shared" si="2"/>
        <v>#DIV/0!</v>
      </c>
      <c r="Q48" s="599">
        <f t="shared" si="10"/>
        <v>0</v>
      </c>
      <c r="R48" s="614"/>
    </row>
    <row r="49" spans="1:18" s="600" customFormat="1" ht="16" hidden="1" customHeight="1" outlineLevel="3">
      <c r="B49" s="603" t="s">
        <v>1169</v>
      </c>
      <c r="C49" s="1012" t="s">
        <v>39</v>
      </c>
      <c r="D49" s="616" t="s">
        <v>1170</v>
      </c>
      <c r="E49" s="606" t="s">
        <v>1133</v>
      </c>
      <c r="F49" s="606" t="s">
        <v>2394</v>
      </c>
      <c r="G49" s="622">
        <v>1</v>
      </c>
      <c r="H49" s="618" t="s">
        <v>2564</v>
      </c>
      <c r="I49" s="618">
        <f t="shared" si="7"/>
        <v>0</v>
      </c>
      <c r="J49" s="619"/>
      <c r="K49" s="619">
        <f t="shared" si="3"/>
        <v>0</v>
      </c>
      <c r="L49" s="620">
        <v>0</v>
      </c>
      <c r="M49" s="599">
        <f t="shared" si="4"/>
        <v>0</v>
      </c>
      <c r="N49" s="599">
        <f t="shared" si="8"/>
        <v>0</v>
      </c>
      <c r="O49" s="599">
        <f t="shared" si="9"/>
        <v>0</v>
      </c>
      <c r="P49" s="599" t="e">
        <f t="shared" si="2"/>
        <v>#DIV/0!</v>
      </c>
      <c r="Q49" s="599">
        <f t="shared" si="10"/>
        <v>0</v>
      </c>
      <c r="R49" s="614"/>
    </row>
    <row r="50" spans="1:18" s="600" customFormat="1" ht="16" hidden="1" customHeight="1" outlineLevel="3">
      <c r="B50" s="603" t="s">
        <v>1171</v>
      </c>
      <c r="C50" s="1012" t="s">
        <v>39</v>
      </c>
      <c r="D50" s="616" t="s">
        <v>1172</v>
      </c>
      <c r="E50" s="606" t="s">
        <v>1133</v>
      </c>
      <c r="F50" s="606" t="s">
        <v>2394</v>
      </c>
      <c r="G50" s="622">
        <v>1</v>
      </c>
      <c r="H50" s="618" t="s">
        <v>2564</v>
      </c>
      <c r="I50" s="618">
        <f t="shared" si="7"/>
        <v>0</v>
      </c>
      <c r="J50" s="619">
        <v>2</v>
      </c>
      <c r="K50" s="619">
        <f t="shared" si="3"/>
        <v>2</v>
      </c>
      <c r="L50" s="620">
        <v>0</v>
      </c>
      <c r="M50" s="599">
        <f t="shared" si="4"/>
        <v>0</v>
      </c>
      <c r="N50" s="599">
        <f t="shared" si="8"/>
        <v>0</v>
      </c>
      <c r="O50" s="599">
        <f t="shared" si="9"/>
        <v>0</v>
      </c>
      <c r="P50" s="599" t="e">
        <f t="shared" si="2"/>
        <v>#DIV/0!</v>
      </c>
      <c r="Q50" s="599">
        <f t="shared" si="10"/>
        <v>0</v>
      </c>
      <c r="R50" s="614"/>
    </row>
    <row r="51" spans="1:18" s="600" customFormat="1" ht="16" hidden="1" customHeight="1" outlineLevel="3">
      <c r="B51" s="603" t="s">
        <v>1173</v>
      </c>
      <c r="C51" s="1012" t="s">
        <v>39</v>
      </c>
      <c r="D51" s="616" t="s">
        <v>1174</v>
      </c>
      <c r="E51" s="606" t="s">
        <v>1133</v>
      </c>
      <c r="F51" s="606" t="s">
        <v>2394</v>
      </c>
      <c r="G51" s="622">
        <v>1</v>
      </c>
      <c r="H51" s="618" t="s">
        <v>2564</v>
      </c>
      <c r="I51" s="618">
        <f t="shared" si="7"/>
        <v>0</v>
      </c>
      <c r="J51" s="619">
        <v>7</v>
      </c>
      <c r="K51" s="619">
        <f t="shared" si="3"/>
        <v>6.6037735849056602</v>
      </c>
      <c r="L51" s="620">
        <v>0.06</v>
      </c>
      <c r="M51" s="599">
        <f t="shared" si="4"/>
        <v>0</v>
      </c>
      <c r="N51" s="599">
        <f t="shared" si="8"/>
        <v>0</v>
      </c>
      <c r="O51" s="599">
        <f t="shared" si="9"/>
        <v>0</v>
      </c>
      <c r="P51" s="599" t="e">
        <f t="shared" si="2"/>
        <v>#DIV/0!</v>
      </c>
      <c r="Q51" s="599">
        <f t="shared" si="10"/>
        <v>0</v>
      </c>
      <c r="R51" s="614"/>
    </row>
    <row r="52" spans="1:18" s="600" customFormat="1" ht="16" hidden="1" customHeight="1" outlineLevel="3">
      <c r="B52" s="603" t="s">
        <v>1175</v>
      </c>
      <c r="C52" s="1012" t="s">
        <v>39</v>
      </c>
      <c r="D52" s="616" t="s">
        <v>1176</v>
      </c>
      <c r="E52" s="606" t="s">
        <v>1133</v>
      </c>
      <c r="F52" s="606" t="s">
        <v>2394</v>
      </c>
      <c r="G52" s="622">
        <v>1</v>
      </c>
      <c r="H52" s="618" t="s">
        <v>2564</v>
      </c>
      <c r="I52" s="618">
        <f t="shared" si="7"/>
        <v>0</v>
      </c>
      <c r="J52" s="619">
        <v>4.1500000000000004</v>
      </c>
      <c r="K52" s="619">
        <f t="shared" si="3"/>
        <v>4.1500000000000004</v>
      </c>
      <c r="L52" s="620">
        <v>0</v>
      </c>
      <c r="M52" s="599">
        <f t="shared" si="4"/>
        <v>0</v>
      </c>
      <c r="N52" s="599">
        <f t="shared" si="8"/>
        <v>0</v>
      </c>
      <c r="O52" s="599">
        <f t="shared" si="9"/>
        <v>0</v>
      </c>
      <c r="P52" s="599" t="e">
        <f t="shared" si="2"/>
        <v>#DIV/0!</v>
      </c>
      <c r="Q52" s="599">
        <f t="shared" si="10"/>
        <v>0</v>
      </c>
      <c r="R52" s="614"/>
    </row>
    <row r="53" spans="1:18" s="600" customFormat="1" ht="16" hidden="1" customHeight="1" outlineLevel="3">
      <c r="B53" s="603" t="s">
        <v>1177</v>
      </c>
      <c r="C53" s="1012" t="s">
        <v>39</v>
      </c>
      <c r="D53" s="616" t="s">
        <v>1178</v>
      </c>
      <c r="E53" s="606" t="s">
        <v>1133</v>
      </c>
      <c r="F53" s="606" t="s">
        <v>2394</v>
      </c>
      <c r="G53" s="622">
        <v>1</v>
      </c>
      <c r="H53" s="618" t="s">
        <v>2564</v>
      </c>
      <c r="I53" s="618">
        <f t="shared" si="7"/>
        <v>0</v>
      </c>
      <c r="J53" s="619"/>
      <c r="K53" s="619">
        <f t="shared" si="3"/>
        <v>0</v>
      </c>
      <c r="L53" s="620">
        <v>0</v>
      </c>
      <c r="M53" s="599">
        <f t="shared" si="4"/>
        <v>0</v>
      </c>
      <c r="N53" s="599">
        <f t="shared" si="8"/>
        <v>0</v>
      </c>
      <c r="O53" s="599">
        <f t="shared" si="9"/>
        <v>0</v>
      </c>
      <c r="P53" s="599" t="e">
        <f t="shared" si="2"/>
        <v>#DIV/0!</v>
      </c>
      <c r="Q53" s="599">
        <f t="shared" si="10"/>
        <v>0</v>
      </c>
      <c r="R53" s="614"/>
    </row>
    <row r="54" spans="1:18" s="600" customFormat="1" ht="16" hidden="1" customHeight="1" outlineLevel="3">
      <c r="B54" s="603" t="s">
        <v>1179</v>
      </c>
      <c r="C54" s="1012" t="s">
        <v>39</v>
      </c>
      <c r="D54" s="616" t="s">
        <v>1180</v>
      </c>
      <c r="E54" s="606" t="s">
        <v>1133</v>
      </c>
      <c r="F54" s="606" t="s">
        <v>2394</v>
      </c>
      <c r="G54" s="622">
        <v>1</v>
      </c>
      <c r="H54" s="618" t="s">
        <v>2564</v>
      </c>
      <c r="I54" s="618">
        <f t="shared" si="7"/>
        <v>0</v>
      </c>
      <c r="J54" s="619"/>
      <c r="K54" s="619">
        <f t="shared" si="3"/>
        <v>0</v>
      </c>
      <c r="L54" s="620">
        <v>0</v>
      </c>
      <c r="M54" s="599">
        <f t="shared" si="4"/>
        <v>0</v>
      </c>
      <c r="N54" s="599">
        <f t="shared" si="8"/>
        <v>0</v>
      </c>
      <c r="O54" s="599">
        <f t="shared" si="9"/>
        <v>0</v>
      </c>
      <c r="P54" s="599" t="e">
        <f t="shared" si="2"/>
        <v>#DIV/0!</v>
      </c>
      <c r="Q54" s="599">
        <f t="shared" si="10"/>
        <v>0</v>
      </c>
      <c r="R54" s="614"/>
    </row>
    <row r="55" spans="1:18" s="600" customFormat="1" ht="16" hidden="1" customHeight="1" outlineLevel="3">
      <c r="B55" s="603" t="s">
        <v>1181</v>
      </c>
      <c r="C55" s="1012" t="s">
        <v>39</v>
      </c>
      <c r="D55" s="616" t="s">
        <v>1182</v>
      </c>
      <c r="E55" s="606" t="s">
        <v>1133</v>
      </c>
      <c r="F55" s="606" t="s">
        <v>2394</v>
      </c>
      <c r="G55" s="622">
        <v>1</v>
      </c>
      <c r="H55" s="618" t="s">
        <v>2564</v>
      </c>
      <c r="I55" s="618">
        <f t="shared" si="7"/>
        <v>0</v>
      </c>
      <c r="J55" s="619">
        <v>1.2</v>
      </c>
      <c r="K55" s="619">
        <f t="shared" si="3"/>
        <v>1.1320754716981132</v>
      </c>
      <c r="L55" s="620">
        <v>0.06</v>
      </c>
      <c r="M55" s="599">
        <f t="shared" si="4"/>
        <v>0</v>
      </c>
      <c r="N55" s="599">
        <f t="shared" si="8"/>
        <v>0</v>
      </c>
      <c r="O55" s="599">
        <f t="shared" si="9"/>
        <v>0</v>
      </c>
      <c r="P55" s="599" t="e">
        <f t="shared" si="2"/>
        <v>#DIV/0!</v>
      </c>
      <c r="Q55" s="599">
        <f t="shared" si="10"/>
        <v>0</v>
      </c>
      <c r="R55" s="614"/>
    </row>
    <row r="56" spans="1:18" s="600" customFormat="1" ht="16" hidden="1" customHeight="1" outlineLevel="3">
      <c r="B56" s="603" t="s">
        <v>1183</v>
      </c>
      <c r="C56" s="1012" t="s">
        <v>39</v>
      </c>
      <c r="D56" s="616" t="s">
        <v>1184</v>
      </c>
      <c r="E56" s="606" t="s">
        <v>1133</v>
      </c>
      <c r="F56" s="606" t="s">
        <v>2394</v>
      </c>
      <c r="G56" s="622">
        <v>1</v>
      </c>
      <c r="H56" s="618" t="s">
        <v>2564</v>
      </c>
      <c r="I56" s="618">
        <f t="shared" si="7"/>
        <v>0</v>
      </c>
      <c r="J56" s="619">
        <v>0.5</v>
      </c>
      <c r="K56" s="619">
        <f t="shared" si="3"/>
        <v>0.47169811320754712</v>
      </c>
      <c r="L56" s="620">
        <v>0.06</v>
      </c>
      <c r="M56" s="599">
        <f t="shared" si="4"/>
        <v>0</v>
      </c>
      <c r="N56" s="599">
        <f t="shared" si="8"/>
        <v>0</v>
      </c>
      <c r="O56" s="599">
        <f t="shared" si="9"/>
        <v>0</v>
      </c>
      <c r="P56" s="599" t="e">
        <f t="shared" si="2"/>
        <v>#DIV/0!</v>
      </c>
      <c r="Q56" s="599">
        <f t="shared" si="10"/>
        <v>0</v>
      </c>
      <c r="R56" s="614"/>
    </row>
    <row r="57" spans="1:18" s="600" customFormat="1" ht="16" hidden="1" customHeight="1" outlineLevel="3">
      <c r="B57" s="603" t="s">
        <v>1185</v>
      </c>
      <c r="C57" s="1012" t="s">
        <v>39</v>
      </c>
      <c r="D57" s="616" t="s">
        <v>1186</v>
      </c>
      <c r="E57" s="606" t="s">
        <v>1133</v>
      </c>
      <c r="F57" s="606" t="s">
        <v>2398</v>
      </c>
      <c r="G57" s="622">
        <v>1</v>
      </c>
      <c r="H57" s="618" t="s">
        <v>2564</v>
      </c>
      <c r="I57" s="618">
        <f>C3</f>
        <v>0</v>
      </c>
      <c r="J57" s="619">
        <v>0.45</v>
      </c>
      <c r="K57" s="619">
        <f t="shared" si="3"/>
        <v>0.45</v>
      </c>
      <c r="L57" s="620">
        <v>0</v>
      </c>
      <c r="M57" s="599">
        <f t="shared" si="4"/>
        <v>0</v>
      </c>
      <c r="N57" s="599">
        <f t="shared" si="8"/>
        <v>0</v>
      </c>
      <c r="O57" s="599">
        <f t="shared" si="9"/>
        <v>0</v>
      </c>
      <c r="P57" s="599" t="e">
        <f t="shared" si="2"/>
        <v>#DIV/0!</v>
      </c>
      <c r="Q57" s="599">
        <f t="shared" si="10"/>
        <v>0</v>
      </c>
      <c r="R57" s="614"/>
    </row>
    <row r="58" spans="1:18" s="600" customFormat="1" ht="16" hidden="1" customHeight="1" outlineLevel="3">
      <c r="B58" s="603" t="s">
        <v>1187</v>
      </c>
      <c r="C58" s="1012" t="s">
        <v>39</v>
      </c>
      <c r="D58" s="616" t="s">
        <v>1188</v>
      </c>
      <c r="E58" s="606" t="s">
        <v>1133</v>
      </c>
      <c r="F58" s="606" t="s">
        <v>2571</v>
      </c>
      <c r="G58" s="622">
        <v>1</v>
      </c>
      <c r="H58" s="618" t="s">
        <v>2572</v>
      </c>
      <c r="I58" s="618">
        <f>M3</f>
        <v>0</v>
      </c>
      <c r="J58" s="619">
        <v>50</v>
      </c>
      <c r="K58" s="619">
        <f t="shared" si="3"/>
        <v>50</v>
      </c>
      <c r="L58" s="620">
        <v>0</v>
      </c>
      <c r="M58" s="599">
        <f t="shared" si="4"/>
        <v>0</v>
      </c>
      <c r="N58" s="599">
        <f t="shared" si="8"/>
        <v>0</v>
      </c>
      <c r="O58" s="599">
        <f t="shared" si="9"/>
        <v>0</v>
      </c>
      <c r="P58" s="599" t="e">
        <f t="shared" si="2"/>
        <v>#DIV/0!</v>
      </c>
      <c r="Q58" s="599">
        <f t="shared" si="10"/>
        <v>0</v>
      </c>
      <c r="R58" s="614"/>
    </row>
    <row r="59" spans="1:18" s="600" customFormat="1" ht="16" hidden="1" customHeight="1" outlineLevel="3">
      <c r="B59" s="603" t="s">
        <v>1189</v>
      </c>
      <c r="C59" s="1012" t="s">
        <v>39</v>
      </c>
      <c r="D59" s="616" t="s">
        <v>1190</v>
      </c>
      <c r="E59" s="606" t="s">
        <v>1133</v>
      </c>
      <c r="F59" s="606" t="s">
        <v>2394</v>
      </c>
      <c r="G59" s="622">
        <v>1</v>
      </c>
      <c r="H59" s="618" t="s">
        <v>2564</v>
      </c>
      <c r="I59" s="618">
        <f t="shared" si="7"/>
        <v>0</v>
      </c>
      <c r="J59" s="619">
        <v>2.1</v>
      </c>
      <c r="K59" s="619">
        <f t="shared" si="3"/>
        <v>2.1</v>
      </c>
      <c r="L59" s="620">
        <v>0</v>
      </c>
      <c r="M59" s="599">
        <f t="shared" si="4"/>
        <v>0</v>
      </c>
      <c r="N59" s="599">
        <f t="shared" si="8"/>
        <v>0</v>
      </c>
      <c r="O59" s="599">
        <f t="shared" si="9"/>
        <v>0</v>
      </c>
      <c r="P59" s="599" t="e">
        <f t="shared" si="2"/>
        <v>#DIV/0!</v>
      </c>
      <c r="Q59" s="599">
        <f t="shared" si="10"/>
        <v>0</v>
      </c>
      <c r="R59" s="614"/>
    </row>
    <row r="60" spans="1:18" s="600" customFormat="1" ht="16" hidden="1" customHeight="1" outlineLevel="3">
      <c r="B60" s="603" t="s">
        <v>1191</v>
      </c>
      <c r="C60" s="1012" t="s">
        <v>39</v>
      </c>
      <c r="D60" s="616" t="s">
        <v>1192</v>
      </c>
      <c r="E60" s="606" t="s">
        <v>1133</v>
      </c>
      <c r="F60" s="606" t="s">
        <v>2394</v>
      </c>
      <c r="G60" s="622">
        <v>1</v>
      </c>
      <c r="H60" s="618" t="s">
        <v>2564</v>
      </c>
      <c r="I60" s="618">
        <f>E3</f>
        <v>0</v>
      </c>
      <c r="J60" s="619">
        <v>2.2999999999999998</v>
      </c>
      <c r="K60" s="619">
        <f t="shared" si="3"/>
        <v>2.1698113207547167</v>
      </c>
      <c r="L60" s="620">
        <v>0.06</v>
      </c>
      <c r="M60" s="599">
        <f t="shared" si="4"/>
        <v>0</v>
      </c>
      <c r="N60" s="599">
        <f t="shared" si="8"/>
        <v>0</v>
      </c>
      <c r="O60" s="599">
        <f t="shared" si="9"/>
        <v>0</v>
      </c>
      <c r="P60" s="599" t="e">
        <f t="shared" si="2"/>
        <v>#DIV/0!</v>
      </c>
      <c r="Q60" s="599">
        <f t="shared" si="10"/>
        <v>0</v>
      </c>
      <c r="R60" s="614"/>
    </row>
    <row r="61" spans="1:18" s="600" customFormat="1" ht="16" hidden="1" customHeight="1" outlineLevel="3">
      <c r="B61" s="603" t="s">
        <v>1193</v>
      </c>
      <c r="C61" s="1012" t="s">
        <v>39</v>
      </c>
      <c r="D61" s="616" t="s">
        <v>1194</v>
      </c>
      <c r="E61" s="606" t="s">
        <v>1133</v>
      </c>
      <c r="F61" s="606" t="s">
        <v>2394</v>
      </c>
      <c r="G61" s="622">
        <v>1</v>
      </c>
      <c r="H61" s="618" t="s">
        <v>2564</v>
      </c>
      <c r="I61" s="618">
        <f t="shared" si="7"/>
        <v>0</v>
      </c>
      <c r="J61" s="619"/>
      <c r="K61" s="619">
        <f t="shared" si="3"/>
        <v>0</v>
      </c>
      <c r="L61" s="620">
        <v>0</v>
      </c>
      <c r="M61" s="599">
        <f t="shared" si="4"/>
        <v>0</v>
      </c>
      <c r="N61" s="599">
        <f t="shared" si="8"/>
        <v>0</v>
      </c>
      <c r="O61" s="599">
        <f t="shared" si="9"/>
        <v>0</v>
      </c>
      <c r="P61" s="599" t="e">
        <f t="shared" si="2"/>
        <v>#DIV/0!</v>
      </c>
      <c r="Q61" s="599">
        <f t="shared" si="10"/>
        <v>0</v>
      </c>
      <c r="R61" s="614"/>
    </row>
    <row r="62" spans="1:18" s="600" customFormat="1" ht="16" hidden="1" customHeight="1" outlineLevel="3">
      <c r="B62" s="603" t="s">
        <v>1195</v>
      </c>
      <c r="C62" s="1012" t="s">
        <v>39</v>
      </c>
      <c r="D62" s="616" t="s">
        <v>1196</v>
      </c>
      <c r="E62" s="606" t="s">
        <v>1133</v>
      </c>
      <c r="F62" s="606" t="s">
        <v>2394</v>
      </c>
      <c r="G62" s="622">
        <v>1</v>
      </c>
      <c r="H62" s="618" t="s">
        <v>2564</v>
      </c>
      <c r="I62" s="618">
        <f t="shared" si="7"/>
        <v>0</v>
      </c>
      <c r="J62" s="619"/>
      <c r="K62" s="619">
        <f t="shared" si="3"/>
        <v>0</v>
      </c>
      <c r="L62" s="620">
        <v>0</v>
      </c>
      <c r="M62" s="599">
        <f t="shared" si="4"/>
        <v>0</v>
      </c>
      <c r="N62" s="599">
        <f t="shared" si="8"/>
        <v>0</v>
      </c>
      <c r="O62" s="599">
        <f t="shared" si="9"/>
        <v>0</v>
      </c>
      <c r="P62" s="599" t="e">
        <f t="shared" si="2"/>
        <v>#DIV/0!</v>
      </c>
      <c r="Q62" s="599">
        <f t="shared" si="10"/>
        <v>0</v>
      </c>
      <c r="R62" s="614"/>
    </row>
    <row r="63" spans="1:18" s="600" customFormat="1" ht="21.75" hidden="1" customHeight="1" outlineLevel="3">
      <c r="B63" s="603" t="s">
        <v>1197</v>
      </c>
      <c r="C63" s="1012" t="s">
        <v>39</v>
      </c>
      <c r="D63" s="616" t="s">
        <v>1198</v>
      </c>
      <c r="E63" s="606" t="s">
        <v>1133</v>
      </c>
      <c r="F63" s="606" t="s">
        <v>2394</v>
      </c>
      <c r="G63" s="622">
        <v>1</v>
      </c>
      <c r="H63" s="618" t="s">
        <v>2564</v>
      </c>
      <c r="I63" s="618">
        <f>D3</f>
        <v>0</v>
      </c>
      <c r="J63" s="619">
        <v>1.5</v>
      </c>
      <c r="K63" s="619">
        <f t="shared" si="3"/>
        <v>1.5</v>
      </c>
      <c r="L63" s="620">
        <v>0</v>
      </c>
      <c r="M63" s="599">
        <f t="shared" si="4"/>
        <v>0</v>
      </c>
      <c r="N63" s="599">
        <f t="shared" si="8"/>
        <v>0</v>
      </c>
      <c r="O63" s="599">
        <f t="shared" si="9"/>
        <v>0</v>
      </c>
      <c r="P63" s="599" t="e">
        <f t="shared" si="2"/>
        <v>#DIV/0!</v>
      </c>
      <c r="Q63" s="599">
        <f t="shared" si="10"/>
        <v>0</v>
      </c>
      <c r="R63" s="614"/>
    </row>
    <row r="64" spans="1:18" ht="16" hidden="1" customHeight="1" outlineLevel="3">
      <c r="A64" s="600"/>
      <c r="B64" s="603" t="s">
        <v>1199</v>
      </c>
      <c r="C64" s="615" t="s">
        <v>39</v>
      </c>
      <c r="D64" s="616" t="s">
        <v>467</v>
      </c>
      <c r="E64" s="606" t="s">
        <v>467</v>
      </c>
      <c r="F64" s="606" t="s">
        <v>2394</v>
      </c>
      <c r="G64" s="622">
        <v>1.04</v>
      </c>
      <c r="H64" s="618" t="s">
        <v>2564</v>
      </c>
      <c r="I64" s="618">
        <f>E3</f>
        <v>0</v>
      </c>
      <c r="J64" s="619">
        <v>400</v>
      </c>
      <c r="K64" s="619">
        <f t="shared" si="3"/>
        <v>400</v>
      </c>
      <c r="L64" s="620">
        <v>0</v>
      </c>
      <c r="M64" s="599">
        <f>K64*I64*G64/10000</f>
        <v>0</v>
      </c>
      <c r="N64" s="599">
        <f t="shared" si="8"/>
        <v>0</v>
      </c>
      <c r="O64" s="599">
        <f t="shared" si="9"/>
        <v>0</v>
      </c>
      <c r="P64" s="599" t="e">
        <f t="shared" si="2"/>
        <v>#DIV/0!</v>
      </c>
      <c r="Q64" s="599">
        <f t="shared" si="10"/>
        <v>0</v>
      </c>
      <c r="R64" s="614"/>
    </row>
    <row r="65" spans="1:18" ht="16" hidden="1" customHeight="1" outlineLevel="3">
      <c r="A65" s="600"/>
      <c r="B65" s="603" t="s">
        <v>1202</v>
      </c>
      <c r="C65" s="615" t="s">
        <v>39</v>
      </c>
      <c r="D65" s="616" t="s">
        <v>2573</v>
      </c>
      <c r="E65" s="606" t="s">
        <v>1133</v>
      </c>
      <c r="F65" s="606" t="s">
        <v>2398</v>
      </c>
      <c r="G65" s="622">
        <v>1</v>
      </c>
      <c r="H65" s="618" t="s">
        <v>2564</v>
      </c>
      <c r="I65" s="618">
        <f>C3</f>
        <v>0</v>
      </c>
      <c r="J65" s="619">
        <v>2</v>
      </c>
      <c r="K65" s="619">
        <f t="shared" si="3"/>
        <v>2</v>
      </c>
      <c r="L65" s="620">
        <v>0</v>
      </c>
      <c r="M65" s="599">
        <f t="shared" si="4"/>
        <v>0</v>
      </c>
      <c r="N65" s="599">
        <f t="shared" si="8"/>
        <v>0</v>
      </c>
      <c r="O65" s="599">
        <f t="shared" si="9"/>
        <v>0</v>
      </c>
      <c r="P65" s="599" t="e">
        <f t="shared" si="2"/>
        <v>#DIV/0!</v>
      </c>
      <c r="Q65" s="599">
        <f t="shared" si="10"/>
        <v>0</v>
      </c>
      <c r="R65" s="621"/>
    </row>
    <row r="66" spans="1:18" ht="16" hidden="1" customHeight="1" outlineLevel="3">
      <c r="A66" s="600"/>
      <c r="B66" s="603" t="s">
        <v>1205</v>
      </c>
      <c r="C66" s="615" t="s">
        <v>39</v>
      </c>
      <c r="D66" s="616" t="s">
        <v>2574</v>
      </c>
      <c r="E66" s="606" t="s">
        <v>1133</v>
      </c>
      <c r="F66" s="606" t="s">
        <v>2570</v>
      </c>
      <c r="G66" s="622">
        <v>1</v>
      </c>
      <c r="H66" s="618" t="s">
        <v>2564</v>
      </c>
      <c r="I66" s="618">
        <f>E3</f>
        <v>0</v>
      </c>
      <c r="J66" s="619">
        <v>0.4</v>
      </c>
      <c r="K66" s="619">
        <f t="shared" si="3"/>
        <v>0.4</v>
      </c>
      <c r="L66" s="620">
        <v>0</v>
      </c>
      <c r="M66" s="599">
        <f t="shared" si="4"/>
        <v>0</v>
      </c>
      <c r="N66" s="599">
        <f t="shared" si="8"/>
        <v>0</v>
      </c>
      <c r="O66" s="599">
        <f t="shared" si="9"/>
        <v>0</v>
      </c>
      <c r="P66" s="599" t="e">
        <f t="shared" si="2"/>
        <v>#DIV/0!</v>
      </c>
      <c r="Q66" s="599">
        <f t="shared" si="10"/>
        <v>0</v>
      </c>
      <c r="R66" s="621"/>
    </row>
    <row r="67" spans="1:18" ht="16" hidden="1" customHeight="1" outlineLevel="3">
      <c r="A67" s="600"/>
      <c r="B67" s="603" t="s">
        <v>1208</v>
      </c>
      <c r="C67" s="615" t="s">
        <v>39</v>
      </c>
      <c r="D67" s="616" t="s">
        <v>2575</v>
      </c>
      <c r="E67" s="606" t="s">
        <v>1133</v>
      </c>
      <c r="F67" s="606" t="s">
        <v>2394</v>
      </c>
      <c r="G67" s="622">
        <v>8.9999999999999993E-3</v>
      </c>
      <c r="H67" s="618" t="s">
        <v>2564</v>
      </c>
      <c r="I67" s="618">
        <f>D3</f>
        <v>0</v>
      </c>
      <c r="J67" s="619"/>
      <c r="K67" s="619">
        <f t="shared" si="3"/>
        <v>0</v>
      </c>
      <c r="L67" s="620">
        <v>0</v>
      </c>
      <c r="M67" s="599">
        <f t="shared" si="4"/>
        <v>0</v>
      </c>
      <c r="N67" s="599">
        <f t="shared" si="8"/>
        <v>0</v>
      </c>
      <c r="O67" s="599">
        <f t="shared" si="9"/>
        <v>0</v>
      </c>
      <c r="P67" s="599" t="e">
        <f t="shared" si="2"/>
        <v>#DIV/0!</v>
      </c>
      <c r="Q67" s="599">
        <f t="shared" si="10"/>
        <v>0</v>
      </c>
      <c r="R67" s="621"/>
    </row>
    <row r="68" spans="1:18" ht="16" hidden="1" customHeight="1" outlineLevel="2">
      <c r="A68" s="600"/>
      <c r="B68" s="603" t="s">
        <v>1210</v>
      </c>
      <c r="C68" s="615" t="s">
        <v>69</v>
      </c>
      <c r="D68" s="616" t="s">
        <v>1211</v>
      </c>
      <c r="E68" s="606" t="s">
        <v>1211</v>
      </c>
      <c r="F68" s="606"/>
      <c r="G68" s="622"/>
      <c r="H68" s="618"/>
      <c r="I68" s="618"/>
      <c r="J68" s="619"/>
      <c r="K68" s="619"/>
      <c r="L68" s="620"/>
      <c r="M68" s="613">
        <f>SUBTOTAL(9,M69:M71)</f>
        <v>0</v>
      </c>
      <c r="N68" s="613">
        <f>SUBTOTAL(9,N69:N71)</f>
        <v>0</v>
      </c>
      <c r="O68" s="613">
        <f>SUBTOTAL(9,O69:O71)</f>
        <v>0</v>
      </c>
      <c r="P68" s="599" t="e">
        <f t="shared" si="2"/>
        <v>#DIV/0!</v>
      </c>
      <c r="Q68" s="599">
        <f t="shared" si="10"/>
        <v>0</v>
      </c>
      <c r="R68" s="621"/>
    </row>
    <row r="69" spans="1:18" ht="16" hidden="1" customHeight="1" outlineLevel="3">
      <c r="A69" s="600"/>
      <c r="B69" s="603" t="s">
        <v>1212</v>
      </c>
      <c r="C69" s="615" t="s">
        <v>39</v>
      </c>
      <c r="D69" s="616" t="s">
        <v>447</v>
      </c>
      <c r="E69" s="606"/>
      <c r="F69" s="606" t="s">
        <v>2394</v>
      </c>
      <c r="G69" s="622">
        <v>1</v>
      </c>
      <c r="H69" s="618" t="s">
        <v>2564</v>
      </c>
      <c r="I69" s="618">
        <f>D3</f>
        <v>0</v>
      </c>
      <c r="J69" s="619"/>
      <c r="K69" s="619">
        <f t="shared" si="3"/>
        <v>0</v>
      </c>
      <c r="L69" s="620">
        <v>0</v>
      </c>
      <c r="M69" s="599">
        <f t="shared" si="4"/>
        <v>0</v>
      </c>
      <c r="N69" s="599">
        <f>M69*L69</f>
        <v>0</v>
      </c>
      <c r="O69" s="599">
        <f>M69+N69</f>
        <v>0</v>
      </c>
      <c r="P69" s="599" t="e">
        <f t="shared" si="2"/>
        <v>#DIV/0!</v>
      </c>
      <c r="Q69" s="599">
        <f t="shared" si="10"/>
        <v>0</v>
      </c>
      <c r="R69" s="621"/>
    </row>
    <row r="70" spans="1:18" ht="16" hidden="1" customHeight="1" outlineLevel="3">
      <c r="A70" s="600"/>
      <c r="B70" s="603" t="s">
        <v>1213</v>
      </c>
      <c r="C70" s="604" t="s">
        <v>39</v>
      </c>
      <c r="D70" s="616" t="s">
        <v>448</v>
      </c>
      <c r="E70" s="606"/>
      <c r="F70" s="606" t="s">
        <v>2394</v>
      </c>
      <c r="G70" s="622">
        <v>1</v>
      </c>
      <c r="H70" s="618" t="s">
        <v>2564</v>
      </c>
      <c r="I70" s="625"/>
      <c r="J70" s="626"/>
      <c r="K70" s="619">
        <f t="shared" si="3"/>
        <v>0</v>
      </c>
      <c r="L70" s="620">
        <v>0</v>
      </c>
      <c r="M70" s="599">
        <f t="shared" si="4"/>
        <v>0</v>
      </c>
      <c r="N70" s="599">
        <f>M70*L70</f>
        <v>0</v>
      </c>
      <c r="O70" s="599">
        <f>M70+N70</f>
        <v>0</v>
      </c>
      <c r="P70" s="599" t="e">
        <f t="shared" si="2"/>
        <v>#DIV/0!</v>
      </c>
      <c r="Q70" s="599">
        <f t="shared" si="10"/>
        <v>0</v>
      </c>
      <c r="R70" s="621"/>
    </row>
    <row r="71" spans="1:18" ht="16" hidden="1" customHeight="1" outlineLevel="3">
      <c r="A71" s="600"/>
      <c r="B71" s="603" t="s">
        <v>1215</v>
      </c>
      <c r="C71" s="615" t="s">
        <v>39</v>
      </c>
      <c r="D71" s="627" t="s">
        <v>449</v>
      </c>
      <c r="E71" s="606"/>
      <c r="F71" s="606" t="s">
        <v>2394</v>
      </c>
      <c r="G71" s="622">
        <v>1</v>
      </c>
      <c r="H71" s="618" t="s">
        <v>2564</v>
      </c>
      <c r="I71" s="625"/>
      <c r="J71" s="626"/>
      <c r="K71" s="619">
        <f t="shared" si="3"/>
        <v>0</v>
      </c>
      <c r="L71" s="620">
        <v>0</v>
      </c>
      <c r="M71" s="599">
        <f t="shared" si="4"/>
        <v>0</v>
      </c>
      <c r="N71" s="599">
        <f>M71*L71</f>
        <v>0</v>
      </c>
      <c r="O71" s="599">
        <f>M71+N71</f>
        <v>0</v>
      </c>
      <c r="P71" s="599" t="e">
        <f t="shared" si="2"/>
        <v>#DIV/0!</v>
      </c>
      <c r="Q71" s="599">
        <f t="shared" si="10"/>
        <v>0</v>
      </c>
      <c r="R71" s="621"/>
    </row>
    <row r="72" spans="1:18" s="575" customFormat="1" ht="23.9" customHeight="1">
      <c r="A72" s="576"/>
      <c r="B72" s="577">
        <v>5001.0200000000004</v>
      </c>
      <c r="C72" s="578" t="s">
        <v>2576</v>
      </c>
      <c r="D72" s="480" t="s">
        <v>2405</v>
      </c>
      <c r="E72" s="481"/>
      <c r="F72" s="482"/>
      <c r="G72" s="411"/>
      <c r="H72" s="483"/>
      <c r="I72" s="484"/>
      <c r="J72" s="628"/>
      <c r="K72" s="628"/>
      <c r="L72" s="580"/>
      <c r="M72" s="581">
        <f>SUBTOTAL(9,M73:M105)</f>
        <v>0</v>
      </c>
      <c r="N72" s="581">
        <f>SUBTOTAL(9,N73:N105)</f>
        <v>0</v>
      </c>
      <c r="O72" s="581">
        <f>SUBTOTAL(9,O73:O105)</f>
        <v>0</v>
      </c>
      <c r="P72" s="581" t="e">
        <f t="shared" si="2"/>
        <v>#DIV/0!</v>
      </c>
      <c r="Q72" s="486">
        <f t="shared" si="10"/>
        <v>0</v>
      </c>
      <c r="R72" s="486"/>
    </row>
    <row r="73" spans="1:18" ht="16" customHeight="1" outlineLevel="1" collapsed="1">
      <c r="A73" s="600"/>
      <c r="B73" s="629" t="s">
        <v>2406</v>
      </c>
      <c r="C73" s="587">
        <v>1</v>
      </c>
      <c r="D73" s="630" t="s">
        <v>2577</v>
      </c>
      <c r="E73" s="494"/>
      <c r="F73" s="587"/>
      <c r="G73" s="587"/>
      <c r="H73" s="587"/>
      <c r="I73" s="587"/>
      <c r="J73" s="631"/>
      <c r="K73" s="631"/>
      <c r="L73" s="588"/>
      <c r="M73" s="589">
        <f>SUBTOTAL(9,M74:M84)</f>
        <v>0</v>
      </c>
      <c r="N73" s="589">
        <f>SUBTOTAL(9,N74:N84)</f>
        <v>0</v>
      </c>
      <c r="O73" s="589">
        <f>SUBTOTAL(9,O74:O84)</f>
        <v>0</v>
      </c>
      <c r="P73" s="494" t="e">
        <f t="shared" si="2"/>
        <v>#DIV/0!</v>
      </c>
      <c r="Q73" s="494">
        <f t="shared" si="10"/>
        <v>0</v>
      </c>
      <c r="R73" s="494"/>
    </row>
    <row r="74" spans="1:18" s="632" customFormat="1" ht="16" hidden="1" customHeight="1" outlineLevel="2">
      <c r="A74" s="633"/>
      <c r="B74" s="603" t="s">
        <v>1221</v>
      </c>
      <c r="C74" s="1012" t="s">
        <v>1096</v>
      </c>
      <c r="D74" s="605" t="s">
        <v>149</v>
      </c>
      <c r="E74" s="1012"/>
      <c r="F74" s="1012" t="s">
        <v>2394</v>
      </c>
      <c r="G74" s="1012">
        <v>1</v>
      </c>
      <c r="H74" s="618" t="s">
        <v>2564</v>
      </c>
      <c r="I74" s="1012"/>
      <c r="J74" s="634"/>
      <c r="K74" s="619">
        <f>J74/(1+L74)</f>
        <v>0</v>
      </c>
      <c r="L74" s="569"/>
      <c r="M74" s="614"/>
      <c r="N74" s="599">
        <f>M74*L74</f>
        <v>0</v>
      </c>
      <c r="O74" s="599">
        <f>M74+N74</f>
        <v>0</v>
      </c>
      <c r="P74" s="614" t="e">
        <f t="shared" si="2"/>
        <v>#DIV/0!</v>
      </c>
      <c r="Q74" s="614">
        <f t="shared" si="10"/>
        <v>0</v>
      </c>
      <c r="R74" s="613"/>
    </row>
    <row r="75" spans="1:18" s="632" customFormat="1" ht="16" hidden="1" customHeight="1" outlineLevel="2">
      <c r="A75" s="633"/>
      <c r="B75" s="603" t="s">
        <v>1224</v>
      </c>
      <c r="C75" s="1012" t="s">
        <v>68</v>
      </c>
      <c r="D75" s="635" t="s">
        <v>2578</v>
      </c>
      <c r="E75" s="1012"/>
      <c r="F75" s="1012" t="s">
        <v>2394</v>
      </c>
      <c r="G75" s="1012">
        <v>1</v>
      </c>
      <c r="H75" s="618" t="s">
        <v>2564</v>
      </c>
      <c r="I75" s="1012"/>
      <c r="J75" s="634"/>
      <c r="K75" s="634"/>
      <c r="L75" s="569"/>
      <c r="M75" s="613">
        <f>SUBTOTAL(9,M76:M77)</f>
        <v>0</v>
      </c>
      <c r="N75" s="613">
        <f>SUBTOTAL(9,N76:N77)</f>
        <v>0</v>
      </c>
      <c r="O75" s="613">
        <f>SUBTOTAL(9,O76:O77)</f>
        <v>0</v>
      </c>
      <c r="P75" s="614" t="e">
        <f t="shared" si="2"/>
        <v>#DIV/0!</v>
      </c>
      <c r="Q75" s="614">
        <f t="shared" si="10"/>
        <v>0</v>
      </c>
      <c r="R75" s="613"/>
    </row>
    <row r="76" spans="1:18" s="636" customFormat="1" ht="18.75" hidden="1" customHeight="1" outlineLevel="3">
      <c r="B76" s="637" t="s">
        <v>1226</v>
      </c>
      <c r="C76" s="638" t="s">
        <v>39</v>
      </c>
      <c r="D76" s="639" t="s">
        <v>1227</v>
      </c>
      <c r="E76" s="638" t="s">
        <v>1228</v>
      </c>
      <c r="F76" s="638" t="s">
        <v>2394</v>
      </c>
      <c r="G76" s="638">
        <v>1</v>
      </c>
      <c r="H76" s="640" t="s">
        <v>2564</v>
      </c>
      <c r="I76" s="641">
        <f>'3-配套用房'!E2</f>
        <v>0</v>
      </c>
      <c r="J76" s="642"/>
      <c r="K76" s="643" t="e">
        <f>M76*10000/I76</f>
        <v>#DIV/0!</v>
      </c>
      <c r="L76" s="644" t="e">
        <f>N76/M76</f>
        <v>#DIV/0!</v>
      </c>
      <c r="M76" s="645">
        <f>'3-配套用房'!M4+'3-配套用房'!M88</f>
        <v>0</v>
      </c>
      <c r="N76" s="645">
        <f>'3-配套用房'!N4+'3-配套用房'!N88</f>
        <v>0</v>
      </c>
      <c r="O76" s="645">
        <f>M76+N76</f>
        <v>0</v>
      </c>
      <c r="P76" s="646" t="e">
        <f t="shared" si="2"/>
        <v>#DIV/0!</v>
      </c>
      <c r="Q76" s="646">
        <f t="shared" si="10"/>
        <v>0</v>
      </c>
      <c r="R76" s="647"/>
    </row>
    <row r="77" spans="1:18" s="633" customFormat="1" ht="18.75" hidden="1" customHeight="1" outlineLevel="3">
      <c r="B77" s="603" t="s">
        <v>1229</v>
      </c>
      <c r="C77" s="1012" t="s">
        <v>39</v>
      </c>
      <c r="D77" s="635" t="s">
        <v>1230</v>
      </c>
      <c r="E77" s="648" t="s">
        <v>452</v>
      </c>
      <c r="F77" s="1012" t="s">
        <v>2394</v>
      </c>
      <c r="G77" s="1012">
        <v>1</v>
      </c>
      <c r="H77" s="618" t="s">
        <v>2564</v>
      </c>
      <c r="I77" s="649">
        <f>'3-配套用房'!E2</f>
        <v>0</v>
      </c>
      <c r="J77" s="634"/>
      <c r="K77" s="619" t="e">
        <f>M77*10000/I77</f>
        <v>#DIV/0!</v>
      </c>
      <c r="L77" s="569" t="e">
        <f>N77/M77</f>
        <v>#DIV/0!</v>
      </c>
      <c r="M77" s="599">
        <f>'3-配套用房'!M69</f>
        <v>0</v>
      </c>
      <c r="N77" s="599">
        <f>'3-配套用房'!N69</f>
        <v>0</v>
      </c>
      <c r="O77" s="599">
        <f>M77+N77</f>
        <v>0</v>
      </c>
      <c r="P77" s="614" t="e">
        <f t="shared" si="2"/>
        <v>#DIV/0!</v>
      </c>
      <c r="Q77" s="614">
        <f t="shared" si="10"/>
        <v>0</v>
      </c>
      <c r="R77" s="613"/>
    </row>
    <row r="78" spans="1:18" s="632" customFormat="1" ht="16" hidden="1" customHeight="1" outlineLevel="2">
      <c r="A78" s="633"/>
      <c r="B78" s="603" t="s">
        <v>1231</v>
      </c>
      <c r="C78" s="1012" t="s">
        <v>69</v>
      </c>
      <c r="D78" s="635" t="s">
        <v>150</v>
      </c>
      <c r="E78" s="598"/>
      <c r="F78" s="1012"/>
      <c r="G78" s="1012">
        <v>1</v>
      </c>
      <c r="H78" s="618" t="s">
        <v>2564</v>
      </c>
      <c r="I78" s="1012"/>
      <c r="J78" s="634"/>
      <c r="K78" s="634"/>
      <c r="L78" s="569"/>
      <c r="M78" s="613">
        <f>SUBTOTAL(9,M79:M80)</f>
        <v>0</v>
      </c>
      <c r="N78" s="613">
        <f>SUBTOTAL(9,N79:N80)</f>
        <v>0</v>
      </c>
      <c r="O78" s="613">
        <f>SUBTOTAL(9,O79:O80)</f>
        <v>0</v>
      </c>
      <c r="P78" s="614" t="e">
        <f t="shared" si="2"/>
        <v>#DIV/0!</v>
      </c>
      <c r="Q78" s="614">
        <f t="shared" si="10"/>
        <v>0</v>
      </c>
      <c r="R78" s="613"/>
    </row>
    <row r="79" spans="1:18" s="633" customFormat="1" ht="16" hidden="1" customHeight="1" outlineLevel="3">
      <c r="B79" s="603" t="s">
        <v>1232</v>
      </c>
      <c r="C79" s="1012" t="s">
        <v>39</v>
      </c>
      <c r="D79" s="650" t="s">
        <v>1233</v>
      </c>
      <c r="E79" s="1012"/>
      <c r="F79" s="1012" t="s">
        <v>2394</v>
      </c>
      <c r="G79" s="1012">
        <v>1</v>
      </c>
      <c r="H79" s="618" t="s">
        <v>2564</v>
      </c>
      <c r="I79" s="649"/>
      <c r="J79" s="634"/>
      <c r="K79" s="619"/>
      <c r="L79" s="569"/>
      <c r="M79" s="599"/>
      <c r="N79" s="599"/>
      <c r="O79" s="599">
        <f t="shared" ref="O79:O84" si="11">M79+N79</f>
        <v>0</v>
      </c>
      <c r="P79" s="614" t="e">
        <f t="shared" si="2"/>
        <v>#DIV/0!</v>
      </c>
      <c r="Q79" s="614">
        <f>M79</f>
        <v>0</v>
      </c>
      <c r="R79" s="613"/>
    </row>
    <row r="80" spans="1:18" s="632" customFormat="1" ht="16" hidden="1" customHeight="1" outlineLevel="3">
      <c r="A80" s="600"/>
      <c r="B80" s="603" t="s">
        <v>1234</v>
      </c>
      <c r="C80" s="615" t="s">
        <v>39</v>
      </c>
      <c r="D80" s="650" t="s">
        <v>1235</v>
      </c>
      <c r="E80" s="1012"/>
      <c r="F80" s="1012" t="s">
        <v>2394</v>
      </c>
      <c r="G80" s="1012">
        <v>1</v>
      </c>
      <c r="H80" s="618" t="s">
        <v>2564</v>
      </c>
      <c r="I80" s="1012"/>
      <c r="J80" s="634"/>
      <c r="K80" s="619">
        <f>J80/(1+L80)</f>
        <v>0</v>
      </c>
      <c r="L80" s="569"/>
      <c r="M80" s="614"/>
      <c r="N80" s="599">
        <f>M80*L80</f>
        <v>0</v>
      </c>
      <c r="O80" s="599">
        <f t="shared" si="11"/>
        <v>0</v>
      </c>
      <c r="P80" s="614" t="e">
        <f t="shared" si="2"/>
        <v>#DIV/0!</v>
      </c>
      <c r="Q80" s="614">
        <f t="shared" si="10"/>
        <v>0</v>
      </c>
      <c r="R80" s="613"/>
    </row>
    <row r="81" spans="1:18" s="632" customFormat="1" ht="16" hidden="1" customHeight="1" outlineLevel="2">
      <c r="A81" s="600"/>
      <c r="B81" s="603" t="s">
        <v>1236</v>
      </c>
      <c r="C81" s="1012" t="s">
        <v>70</v>
      </c>
      <c r="D81" s="635" t="s">
        <v>1237</v>
      </c>
      <c r="E81" s="1012" t="s">
        <v>453</v>
      </c>
      <c r="F81" s="1012" t="s">
        <v>2394</v>
      </c>
      <c r="G81" s="1012">
        <v>1</v>
      </c>
      <c r="H81" s="618" t="s">
        <v>2564</v>
      </c>
      <c r="I81" s="1012"/>
      <c r="J81" s="634"/>
      <c r="K81" s="619">
        <f>J81/(1+L81)</f>
        <v>0</v>
      </c>
      <c r="L81" s="569"/>
      <c r="M81" s="614"/>
      <c r="N81" s="599">
        <f>M81*L81</f>
        <v>0</v>
      </c>
      <c r="O81" s="599">
        <f t="shared" si="11"/>
        <v>0</v>
      </c>
      <c r="P81" s="614" t="e">
        <f t="shared" si="2"/>
        <v>#DIV/0!</v>
      </c>
      <c r="Q81" s="614">
        <f t="shared" si="10"/>
        <v>0</v>
      </c>
      <c r="R81" s="613"/>
    </row>
    <row r="82" spans="1:18" s="632" customFormat="1" ht="16" hidden="1" customHeight="1" outlineLevel="2">
      <c r="A82" s="600"/>
      <c r="B82" s="603" t="s">
        <v>1238</v>
      </c>
      <c r="C82" s="1012" t="s">
        <v>71</v>
      </c>
      <c r="D82" s="635" t="s">
        <v>1239</v>
      </c>
      <c r="E82" s="1012" t="s">
        <v>1228</v>
      </c>
      <c r="F82" s="1012" t="s">
        <v>2394</v>
      </c>
      <c r="G82" s="1012">
        <v>1</v>
      </c>
      <c r="H82" s="618" t="s">
        <v>2564</v>
      </c>
      <c r="I82" s="1012"/>
      <c r="J82" s="634"/>
      <c r="K82" s="619">
        <f>J82/(1+L82)</f>
        <v>0</v>
      </c>
      <c r="L82" s="569"/>
      <c r="M82" s="614"/>
      <c r="N82" s="599">
        <f>M82*L82</f>
        <v>0</v>
      </c>
      <c r="O82" s="599">
        <f t="shared" si="11"/>
        <v>0</v>
      </c>
      <c r="P82" s="614" t="e">
        <f t="shared" si="2"/>
        <v>#DIV/0!</v>
      </c>
      <c r="Q82" s="614">
        <f t="shared" si="10"/>
        <v>0</v>
      </c>
      <c r="R82" s="613"/>
    </row>
    <row r="83" spans="1:18" s="632" customFormat="1" ht="16" hidden="1" customHeight="1" outlineLevel="2">
      <c r="A83" s="633"/>
      <c r="B83" s="603" t="s">
        <v>1240</v>
      </c>
      <c r="C83" s="1012" t="s">
        <v>144</v>
      </c>
      <c r="D83" s="651" t="s">
        <v>1241</v>
      </c>
      <c r="E83" s="1012"/>
      <c r="F83" s="1012" t="s">
        <v>2394</v>
      </c>
      <c r="G83" s="1012">
        <v>1</v>
      </c>
      <c r="H83" s="618" t="s">
        <v>2564</v>
      </c>
      <c r="I83" s="1012"/>
      <c r="J83" s="634"/>
      <c r="K83" s="619">
        <f>J83/(1+L83)</f>
        <v>0</v>
      </c>
      <c r="L83" s="569"/>
      <c r="M83" s="614"/>
      <c r="N83" s="599">
        <f>M83*L83</f>
        <v>0</v>
      </c>
      <c r="O83" s="599">
        <f t="shared" si="11"/>
        <v>0</v>
      </c>
      <c r="P83" s="614" t="e">
        <f t="shared" si="2"/>
        <v>#DIV/0!</v>
      </c>
      <c r="Q83" s="614">
        <f t="shared" si="10"/>
        <v>0</v>
      </c>
      <c r="R83" s="613"/>
    </row>
    <row r="84" spans="1:18" s="632" customFormat="1" ht="16" hidden="1" customHeight="1" outlineLevel="2">
      <c r="A84" s="633"/>
      <c r="B84" s="603" t="s">
        <v>1242</v>
      </c>
      <c r="C84" s="1012" t="s">
        <v>72</v>
      </c>
      <c r="D84" s="652" t="s">
        <v>1243</v>
      </c>
      <c r="E84" s="1012" t="s">
        <v>1228</v>
      </c>
      <c r="F84" s="1012" t="s">
        <v>2394</v>
      </c>
      <c r="G84" s="1012">
        <v>1</v>
      </c>
      <c r="H84" s="618" t="s">
        <v>2564</v>
      </c>
      <c r="I84" s="1012"/>
      <c r="J84" s="634"/>
      <c r="K84" s="619">
        <f>J84/(1+L84)</f>
        <v>0</v>
      </c>
      <c r="L84" s="569"/>
      <c r="M84" s="614"/>
      <c r="N84" s="599">
        <f>M84*L84</f>
        <v>0</v>
      </c>
      <c r="O84" s="599">
        <f t="shared" si="11"/>
        <v>0</v>
      </c>
      <c r="P84" s="614" t="e">
        <f>IF(O84="","",O84*10000/F$3)</f>
        <v>#DIV/0!</v>
      </c>
      <c r="Q84" s="614">
        <f t="shared" si="10"/>
        <v>0</v>
      </c>
      <c r="R84" s="613"/>
    </row>
    <row r="85" spans="1:18" s="632" customFormat="1" ht="27" customHeight="1" outlineLevel="1" collapsed="1">
      <c r="A85" s="633"/>
      <c r="B85" s="629" t="s">
        <v>2407</v>
      </c>
      <c r="C85" s="587">
        <v>2</v>
      </c>
      <c r="D85" s="630" t="s">
        <v>2579</v>
      </c>
      <c r="E85" s="494"/>
      <c r="F85" s="587"/>
      <c r="G85" s="587"/>
      <c r="H85" s="587"/>
      <c r="I85" s="587"/>
      <c r="J85" s="631"/>
      <c r="K85" s="631"/>
      <c r="L85" s="588"/>
      <c r="M85" s="589">
        <f>SUBTOTAL(9,M86:M96)</f>
        <v>0</v>
      </c>
      <c r="N85" s="589">
        <f>SUBTOTAL(9,N86:N96)</f>
        <v>0</v>
      </c>
      <c r="O85" s="589">
        <f>SUBTOTAL(9,O86:O96)</f>
        <v>0</v>
      </c>
      <c r="P85" s="653" t="e">
        <f>IF(O85="","",O85*10000/F$3)</f>
        <v>#DIV/0!</v>
      </c>
      <c r="Q85" s="653">
        <f t="shared" si="10"/>
        <v>0</v>
      </c>
      <c r="R85" s="587"/>
    </row>
    <row r="86" spans="1:18" s="632" customFormat="1" ht="25.5" hidden="1" customHeight="1" outlineLevel="2">
      <c r="A86" s="633"/>
      <c r="B86" s="603" t="s">
        <v>1246</v>
      </c>
      <c r="C86" s="1012" t="s">
        <v>1096</v>
      </c>
      <c r="D86" s="605" t="s">
        <v>1247</v>
      </c>
      <c r="E86" s="1012"/>
      <c r="F86" s="1012" t="s">
        <v>2394</v>
      </c>
      <c r="G86" s="654">
        <v>0</v>
      </c>
      <c r="H86" s="1012" t="s">
        <v>2310</v>
      </c>
      <c r="I86" s="655">
        <v>0</v>
      </c>
      <c r="J86" s="656"/>
      <c r="K86" s="657">
        <v>0</v>
      </c>
      <c r="L86" s="658"/>
      <c r="M86" s="599"/>
      <c r="N86" s="599"/>
      <c r="O86" s="599"/>
      <c r="P86" s="614" t="str">
        <f>IF(O86="","",O86*10000/F$3)</f>
        <v/>
      </c>
      <c r="Q86" s="614">
        <f t="shared" si="10"/>
        <v>0</v>
      </c>
      <c r="R86" s="613"/>
    </row>
    <row r="87" spans="1:18" s="632" customFormat="1" ht="22.5" hidden="1" customHeight="1" outlineLevel="2">
      <c r="A87" s="633"/>
      <c r="B87" s="603" t="s">
        <v>1249</v>
      </c>
      <c r="C87" s="615" t="s">
        <v>68</v>
      </c>
      <c r="D87" s="659" t="s">
        <v>1250</v>
      </c>
      <c r="E87" s="1012" t="s">
        <v>2580</v>
      </c>
      <c r="F87" s="1012" t="s">
        <v>2394</v>
      </c>
      <c r="G87" s="638">
        <v>1</v>
      </c>
      <c r="H87" s="1012" t="s">
        <v>2310</v>
      </c>
      <c r="I87" s="655">
        <f>'3-地下车库'!$E$2</f>
        <v>0</v>
      </c>
      <c r="J87" s="634">
        <v>10</v>
      </c>
      <c r="K87" s="619">
        <f>J87/(1+L87)</f>
        <v>8.5470085470085468</v>
      </c>
      <c r="L87" s="569">
        <v>0.17</v>
      </c>
      <c r="M87" s="599"/>
      <c r="N87" s="599"/>
      <c r="O87" s="599"/>
      <c r="P87" s="614" t="str">
        <f t="shared" ref="P87:P141" si="12">IF(O87="","",O87*10000/F$3)</f>
        <v/>
      </c>
      <c r="Q87" s="621">
        <f t="shared" si="10"/>
        <v>0</v>
      </c>
      <c r="R87" s="660"/>
    </row>
    <row r="88" spans="1:18" s="633" customFormat="1" ht="23.25" hidden="1" customHeight="1" outlineLevel="2">
      <c r="B88" s="603" t="s">
        <v>1253</v>
      </c>
      <c r="C88" s="615" t="s">
        <v>69</v>
      </c>
      <c r="D88" s="659" t="s">
        <v>1254</v>
      </c>
      <c r="E88" s="1012"/>
      <c r="F88" s="1012" t="s">
        <v>2394</v>
      </c>
      <c r="G88" s="654">
        <v>0.57999999999999996</v>
      </c>
      <c r="H88" s="1012" t="s">
        <v>2310</v>
      </c>
      <c r="I88" s="655">
        <f>'3-地下车库'!$E$2</f>
        <v>0</v>
      </c>
      <c r="J88" s="634"/>
      <c r="K88" s="657" t="e">
        <f>M88*10000/I88</f>
        <v>#DIV/0!</v>
      </c>
      <c r="L88" s="658" t="e">
        <f>N88/M88</f>
        <v>#DIV/0!</v>
      </c>
      <c r="M88" s="599"/>
      <c r="N88" s="599"/>
      <c r="O88" s="599"/>
      <c r="P88" s="614" t="str">
        <f t="shared" si="12"/>
        <v/>
      </c>
      <c r="Q88" s="614">
        <f t="shared" si="10"/>
        <v>0</v>
      </c>
      <c r="R88" s="613"/>
    </row>
    <row r="89" spans="1:18" s="632" customFormat="1" ht="16" hidden="1" customHeight="1" outlineLevel="2">
      <c r="A89" s="633"/>
      <c r="B89" s="603" t="s">
        <v>1255</v>
      </c>
      <c r="C89" s="1012" t="s">
        <v>70</v>
      </c>
      <c r="D89" s="605" t="s">
        <v>1256</v>
      </c>
      <c r="E89" s="661"/>
      <c r="F89" s="1012" t="s">
        <v>2394</v>
      </c>
      <c r="G89" s="654">
        <v>0.57999999999999996</v>
      </c>
      <c r="H89" s="1012" t="s">
        <v>2310</v>
      </c>
      <c r="I89" s="655">
        <f>'3-地下车库'!$E$2</f>
        <v>0</v>
      </c>
      <c r="J89" s="634"/>
      <c r="K89" s="634"/>
      <c r="L89" s="569"/>
      <c r="M89" s="599"/>
      <c r="N89" s="599"/>
      <c r="O89" s="599"/>
      <c r="P89" s="614" t="str">
        <f t="shared" si="12"/>
        <v/>
      </c>
      <c r="Q89" s="614">
        <f t="shared" si="10"/>
        <v>0</v>
      </c>
      <c r="R89" s="613"/>
    </row>
    <row r="90" spans="1:18" s="632" customFormat="1" ht="13" hidden="1" outlineLevel="2">
      <c r="A90" s="633"/>
      <c r="B90" s="603" t="s">
        <v>1258</v>
      </c>
      <c r="C90" s="615" t="s">
        <v>71</v>
      </c>
      <c r="D90" s="659" t="s">
        <v>1259</v>
      </c>
      <c r="E90" s="648"/>
      <c r="F90" s="1012" t="s">
        <v>2394</v>
      </c>
      <c r="G90" s="654">
        <v>0.57999999999999996</v>
      </c>
      <c r="H90" s="1012" t="s">
        <v>2310</v>
      </c>
      <c r="I90" s="655">
        <f>'3-地下车库'!$E$2</f>
        <v>0</v>
      </c>
      <c r="J90" s="634"/>
      <c r="K90" s="657" t="e">
        <f>M90*10000/I90</f>
        <v>#DIV/0!</v>
      </c>
      <c r="L90" s="658" t="e">
        <f>N90/M90</f>
        <v>#DIV/0!</v>
      </c>
      <c r="M90" s="599"/>
      <c r="N90" s="599"/>
      <c r="O90" s="599"/>
      <c r="P90" s="614" t="str">
        <f t="shared" si="12"/>
        <v/>
      </c>
      <c r="Q90" s="614">
        <f t="shared" si="10"/>
        <v>0</v>
      </c>
      <c r="R90" s="613"/>
    </row>
    <row r="91" spans="1:18" s="632" customFormat="1" ht="13" hidden="1" outlineLevel="2">
      <c r="A91" s="633"/>
      <c r="B91" s="603" t="s">
        <v>1261</v>
      </c>
      <c r="C91" s="615" t="s">
        <v>144</v>
      </c>
      <c r="D91" s="659" t="s">
        <v>1262</v>
      </c>
      <c r="E91" s="648"/>
      <c r="F91" s="1012" t="s">
        <v>2394</v>
      </c>
      <c r="G91" s="654">
        <v>0.57999999999999996</v>
      </c>
      <c r="H91" s="1012" t="s">
        <v>2310</v>
      </c>
      <c r="I91" s="655">
        <f>'3-地下车库'!$E$2</f>
        <v>0</v>
      </c>
      <c r="J91" s="657"/>
      <c r="K91" s="657" t="e">
        <f>M91*10000/I91</f>
        <v>#DIV/0!</v>
      </c>
      <c r="L91" s="658" t="e">
        <f>N91/M91</f>
        <v>#DIV/0!</v>
      </c>
      <c r="M91" s="599"/>
      <c r="N91" s="599"/>
      <c r="O91" s="599"/>
      <c r="P91" s="614" t="str">
        <f t="shared" si="12"/>
        <v/>
      </c>
      <c r="Q91" s="614">
        <f t="shared" si="10"/>
        <v>0</v>
      </c>
      <c r="R91" s="613"/>
    </row>
    <row r="92" spans="1:18" s="632" customFormat="1" hidden="1" outlineLevel="2">
      <c r="A92" s="633"/>
      <c r="B92" s="603" t="s">
        <v>1263</v>
      </c>
      <c r="C92" s="1012" t="s">
        <v>72</v>
      </c>
      <c r="D92" s="662" t="s">
        <v>1264</v>
      </c>
      <c r="E92" s="307"/>
      <c r="F92" s="1012" t="s">
        <v>2394</v>
      </c>
      <c r="G92" s="654">
        <v>0.57999999999999996</v>
      </c>
      <c r="H92" s="1012" t="s">
        <v>2310</v>
      </c>
      <c r="I92" s="655">
        <f>'3-地下车库'!$E$2</f>
        <v>0</v>
      </c>
      <c r="J92" s="656"/>
      <c r="K92" s="657" t="e">
        <f>M92*10000/I92</f>
        <v>#DIV/0!</v>
      </c>
      <c r="L92" s="658" t="e">
        <f>N92/M92</f>
        <v>#DIV/0!</v>
      </c>
      <c r="M92" s="599"/>
      <c r="N92" s="599"/>
      <c r="O92" s="599"/>
      <c r="P92" s="614" t="str">
        <f t="shared" si="12"/>
        <v/>
      </c>
      <c r="Q92" s="614">
        <f t="shared" si="10"/>
        <v>0</v>
      </c>
      <c r="R92" s="613"/>
    </row>
    <row r="93" spans="1:18" s="632" customFormat="1" ht="13" hidden="1" outlineLevel="2">
      <c r="A93" s="633"/>
      <c r="B93" s="603" t="s">
        <v>1265</v>
      </c>
      <c r="C93" s="615" t="s">
        <v>73</v>
      </c>
      <c r="D93" s="659" t="s">
        <v>1266</v>
      </c>
      <c r="E93" s="1012"/>
      <c r="F93" s="1012" t="s">
        <v>2394</v>
      </c>
      <c r="G93" s="654">
        <v>0.57999999999999996</v>
      </c>
      <c r="H93" s="1012" t="s">
        <v>2310</v>
      </c>
      <c r="I93" s="655">
        <f>'3-地下车库'!$E$2</f>
        <v>0</v>
      </c>
      <c r="J93" s="634"/>
      <c r="K93" s="634"/>
      <c r="L93" s="569"/>
      <c r="M93" s="599"/>
      <c r="N93" s="599"/>
      <c r="O93" s="599"/>
      <c r="P93" s="614" t="str">
        <f t="shared" si="12"/>
        <v/>
      </c>
      <c r="Q93" s="614">
        <f t="shared" si="10"/>
        <v>0</v>
      </c>
      <c r="R93" s="613"/>
    </row>
    <row r="94" spans="1:18" s="632" customFormat="1" hidden="1" outlineLevel="2">
      <c r="A94" s="633"/>
      <c r="B94" s="603" t="s">
        <v>1267</v>
      </c>
      <c r="C94" s="615" t="s">
        <v>74</v>
      </c>
      <c r="D94" s="659" t="s">
        <v>1268</v>
      </c>
      <c r="E94" s="1012"/>
      <c r="F94" s="1012" t="s">
        <v>2394</v>
      </c>
      <c r="G94" s="654">
        <v>0.57999999999999996</v>
      </c>
      <c r="H94" s="1012" t="s">
        <v>2310</v>
      </c>
      <c r="I94" s="655">
        <f>'3-地下车库'!$E$2</f>
        <v>0</v>
      </c>
      <c r="J94" s="656"/>
      <c r="K94" s="656"/>
      <c r="L94" s="597"/>
      <c r="M94" s="599"/>
      <c r="N94" s="599"/>
      <c r="O94" s="599"/>
      <c r="P94" s="614" t="str">
        <f t="shared" si="12"/>
        <v/>
      </c>
      <c r="Q94" s="614">
        <f t="shared" si="10"/>
        <v>0</v>
      </c>
      <c r="R94" s="613"/>
    </row>
    <row r="95" spans="1:18" s="632" customFormat="1" ht="16" hidden="1" customHeight="1" outlineLevel="2">
      <c r="A95" s="633"/>
      <c r="B95" s="603" t="s">
        <v>1269</v>
      </c>
      <c r="C95" s="1012" t="s">
        <v>75</v>
      </c>
      <c r="D95" s="662" t="s">
        <v>1270</v>
      </c>
      <c r="E95" s="661" t="s">
        <v>2581</v>
      </c>
      <c r="F95" s="1012" t="s">
        <v>2394</v>
      </c>
      <c r="G95" s="638">
        <v>1</v>
      </c>
      <c r="H95" s="1012" t="s">
        <v>2310</v>
      </c>
      <c r="I95" s="655">
        <f>'3-地下车库'!$E$2</f>
        <v>0</v>
      </c>
      <c r="J95" s="656">
        <v>20</v>
      </c>
      <c r="K95" s="619">
        <f>J95/(1+L95)</f>
        <v>17.094017094017094</v>
      </c>
      <c r="L95" s="597">
        <v>0.17</v>
      </c>
      <c r="M95" s="599"/>
      <c r="N95" s="599"/>
      <c r="O95" s="599"/>
      <c r="P95" s="614" t="str">
        <f t="shared" si="12"/>
        <v/>
      </c>
      <c r="Q95" s="614">
        <f t="shared" si="10"/>
        <v>0</v>
      </c>
      <c r="R95" s="613"/>
    </row>
    <row r="96" spans="1:18" s="632" customFormat="1" ht="16" hidden="1" customHeight="1" outlineLevel="2">
      <c r="A96" s="633"/>
      <c r="B96" s="603" t="s">
        <v>1272</v>
      </c>
      <c r="C96" s="1012" t="s">
        <v>2582</v>
      </c>
      <c r="D96" s="662" t="s">
        <v>2583</v>
      </c>
      <c r="E96" s="661" t="s">
        <v>2584</v>
      </c>
      <c r="F96" s="1012" t="s">
        <v>2394</v>
      </c>
      <c r="G96" s="638">
        <v>1</v>
      </c>
      <c r="H96" s="1012" t="s">
        <v>2310</v>
      </c>
      <c r="I96" s="655">
        <f>'3-地下车库'!$E$2</f>
        <v>0</v>
      </c>
      <c r="J96" s="656">
        <v>25</v>
      </c>
      <c r="K96" s="619">
        <f>J96/(1+L96)</f>
        <v>22.522522522522522</v>
      </c>
      <c r="L96" s="597">
        <v>0.11</v>
      </c>
      <c r="M96" s="599"/>
      <c r="N96" s="599"/>
      <c r="O96" s="599"/>
      <c r="P96" s="614" t="str">
        <f t="shared" si="12"/>
        <v/>
      </c>
      <c r="Q96" s="614">
        <f t="shared" si="10"/>
        <v>0</v>
      </c>
      <c r="R96" s="613"/>
    </row>
    <row r="97" spans="1:19" ht="25.75" customHeight="1" outlineLevel="1" collapsed="1">
      <c r="A97" s="600"/>
      <c r="B97" s="629" t="s">
        <v>2408</v>
      </c>
      <c r="C97" s="587">
        <v>3</v>
      </c>
      <c r="D97" s="488" t="s">
        <v>2409</v>
      </c>
      <c r="E97" s="487"/>
      <c r="F97" s="587"/>
      <c r="G97" s="587"/>
      <c r="H97" s="587"/>
      <c r="I97" s="587"/>
      <c r="J97" s="631"/>
      <c r="K97" s="631"/>
      <c r="L97" s="588"/>
      <c r="M97" s="589">
        <f>SUBTOTAL(9,M98:M102)</f>
        <v>0</v>
      </c>
      <c r="N97" s="589">
        <f>SUBTOTAL(9,N98:N102)</f>
        <v>0</v>
      </c>
      <c r="O97" s="589">
        <f>SUBTOTAL(9,O98:O102)</f>
        <v>0</v>
      </c>
      <c r="P97" s="494" t="e">
        <f t="shared" si="12"/>
        <v>#DIV/0!</v>
      </c>
      <c r="Q97" s="494">
        <f t="shared" si="10"/>
        <v>0</v>
      </c>
      <c r="R97" s="494"/>
      <c r="S97" s="560" t="e">
        <f>+O97*10000/H3</f>
        <v>#DIV/0!</v>
      </c>
    </row>
    <row r="98" spans="1:19" s="632" customFormat="1" ht="24" hidden="1" customHeight="1" outlineLevel="2">
      <c r="A98" s="633"/>
      <c r="B98" s="603" t="s">
        <v>1276</v>
      </c>
      <c r="C98" s="1012" t="s">
        <v>1096</v>
      </c>
      <c r="D98" s="663" t="s">
        <v>1277</v>
      </c>
      <c r="E98" s="664" t="s">
        <v>1278</v>
      </c>
      <c r="F98" s="665" t="s">
        <v>2585</v>
      </c>
      <c r="G98" s="666">
        <v>6</v>
      </c>
      <c r="H98" s="666" t="s">
        <v>2586</v>
      </c>
      <c r="I98" s="667">
        <f>H3</f>
        <v>0</v>
      </c>
      <c r="J98" s="668">
        <v>45</v>
      </c>
      <c r="K98" s="619">
        <f t="shared" ref="K98:K104" si="13">J98/(1+L98)</f>
        <v>40.54054054054054</v>
      </c>
      <c r="L98" s="620">
        <v>0.11</v>
      </c>
      <c r="M98" s="599">
        <f t="shared" ref="M98:M105" si="14">K98*I98*G98/10000</f>
        <v>0</v>
      </c>
      <c r="N98" s="599">
        <f>M98*L98</f>
        <v>0</v>
      </c>
      <c r="O98" s="599">
        <f>M98+N98</f>
        <v>0</v>
      </c>
      <c r="P98" s="614" t="e">
        <f t="shared" si="12"/>
        <v>#DIV/0!</v>
      </c>
      <c r="Q98" s="1022">
        <f>M98</f>
        <v>0</v>
      </c>
      <c r="R98" s="1022"/>
    </row>
    <row r="99" spans="1:19" s="632" customFormat="1" ht="19.75" hidden="1" customHeight="1" outlineLevel="2">
      <c r="A99" s="633"/>
      <c r="B99" s="603" t="s">
        <v>1281</v>
      </c>
      <c r="C99" s="615" t="s">
        <v>68</v>
      </c>
      <c r="D99" s="663" t="s">
        <v>385</v>
      </c>
      <c r="E99" s="665" t="s">
        <v>1282</v>
      </c>
      <c r="F99" s="665" t="s">
        <v>2585</v>
      </c>
      <c r="G99" s="666">
        <f>2*1.2</f>
        <v>2.4</v>
      </c>
      <c r="H99" s="666" t="s">
        <v>2586</v>
      </c>
      <c r="I99" s="667">
        <f>H3</f>
        <v>0</v>
      </c>
      <c r="J99" s="668">
        <v>40</v>
      </c>
      <c r="K99" s="619">
        <f t="shared" si="13"/>
        <v>36.03603603603603</v>
      </c>
      <c r="L99" s="620">
        <v>0.11</v>
      </c>
      <c r="M99" s="599">
        <f t="shared" si="14"/>
        <v>0</v>
      </c>
      <c r="N99" s="599">
        <f>M99*L99</f>
        <v>0</v>
      </c>
      <c r="O99" s="599">
        <f>M99+N99</f>
        <v>0</v>
      </c>
      <c r="P99" s="614" t="e">
        <f t="shared" si="12"/>
        <v>#DIV/0!</v>
      </c>
      <c r="Q99" s="614">
        <f t="shared" ref="Q99:Q162" si="15">M99</f>
        <v>0</v>
      </c>
      <c r="R99" s="614"/>
    </row>
    <row r="100" spans="1:19" s="632" customFormat="1" ht="19.75" hidden="1" customHeight="1" outlineLevel="2">
      <c r="A100" s="633"/>
      <c r="B100" s="603" t="s">
        <v>1284</v>
      </c>
      <c r="C100" s="615" t="s">
        <v>69</v>
      </c>
      <c r="D100" s="663" t="s">
        <v>1285</v>
      </c>
      <c r="E100" s="665" t="s">
        <v>1228</v>
      </c>
      <c r="F100" s="665" t="s">
        <v>2585</v>
      </c>
      <c r="G100" s="666">
        <v>2</v>
      </c>
      <c r="H100" s="666" t="s">
        <v>2587</v>
      </c>
      <c r="I100" s="667">
        <f>H3</f>
        <v>0</v>
      </c>
      <c r="J100" s="668">
        <v>45</v>
      </c>
      <c r="K100" s="619">
        <f t="shared" si="13"/>
        <v>40.54054054054054</v>
      </c>
      <c r="L100" s="620">
        <v>0.11</v>
      </c>
      <c r="M100" s="599">
        <f t="shared" si="14"/>
        <v>0</v>
      </c>
      <c r="N100" s="599">
        <f>M100*L100</f>
        <v>0</v>
      </c>
      <c r="O100" s="599">
        <f>M100+N100</f>
        <v>0</v>
      </c>
      <c r="P100" s="614" t="e">
        <f t="shared" si="12"/>
        <v>#DIV/0!</v>
      </c>
      <c r="Q100" s="614">
        <f t="shared" si="15"/>
        <v>0</v>
      </c>
      <c r="R100" s="614"/>
    </row>
    <row r="101" spans="1:19" s="632" customFormat="1" ht="19.75" hidden="1" customHeight="1" outlineLevel="2">
      <c r="A101" s="633"/>
      <c r="B101" s="603" t="s">
        <v>1286</v>
      </c>
      <c r="C101" s="615" t="s">
        <v>70</v>
      </c>
      <c r="D101" s="663" t="s">
        <v>1287</v>
      </c>
      <c r="E101" s="665" t="s">
        <v>1288</v>
      </c>
      <c r="F101" s="665" t="s">
        <v>2585</v>
      </c>
      <c r="G101" s="666">
        <v>1</v>
      </c>
      <c r="H101" s="666" t="s">
        <v>2586</v>
      </c>
      <c r="I101" s="667">
        <f>H3</f>
        <v>0</v>
      </c>
      <c r="J101" s="668">
        <v>70</v>
      </c>
      <c r="K101" s="619">
        <f t="shared" si="13"/>
        <v>63.063063063063055</v>
      </c>
      <c r="L101" s="620">
        <v>0.11</v>
      </c>
      <c r="M101" s="599">
        <f t="shared" si="14"/>
        <v>0</v>
      </c>
      <c r="N101" s="599">
        <f>M101*L101</f>
        <v>0</v>
      </c>
      <c r="O101" s="599">
        <f>M101+N101</f>
        <v>0</v>
      </c>
      <c r="P101" s="614" t="e">
        <f t="shared" si="12"/>
        <v>#DIV/0!</v>
      </c>
      <c r="Q101" s="614">
        <f t="shared" si="15"/>
        <v>0</v>
      </c>
      <c r="R101" s="614"/>
    </row>
    <row r="102" spans="1:19" s="632" customFormat="1" ht="19.75" hidden="1" customHeight="1" outlineLevel="2">
      <c r="A102" s="633"/>
      <c r="B102" s="603" t="s">
        <v>1289</v>
      </c>
      <c r="C102" s="1012" t="s">
        <v>71</v>
      </c>
      <c r="D102" s="663" t="s">
        <v>1290</v>
      </c>
      <c r="E102" s="665" t="s">
        <v>1121</v>
      </c>
      <c r="F102" s="670"/>
      <c r="G102" s="666"/>
      <c r="H102" s="666"/>
      <c r="I102" s="667"/>
      <c r="J102" s="668"/>
      <c r="K102" s="619">
        <f t="shared" si="13"/>
        <v>0</v>
      </c>
      <c r="L102" s="620">
        <v>0.06</v>
      </c>
      <c r="M102" s="599">
        <f t="shared" si="14"/>
        <v>0</v>
      </c>
      <c r="N102" s="599">
        <f>M102*L102</f>
        <v>0</v>
      </c>
      <c r="O102" s="599">
        <f>M102+N102</f>
        <v>0</v>
      </c>
      <c r="P102" s="614" t="e">
        <f t="shared" si="12"/>
        <v>#DIV/0!</v>
      </c>
      <c r="Q102" s="614">
        <f t="shared" si="15"/>
        <v>0</v>
      </c>
      <c r="R102" s="614"/>
    </row>
    <row r="103" spans="1:19" s="632" customFormat="1" ht="24" customHeight="1" outlineLevel="1" collapsed="1">
      <c r="A103" s="633"/>
      <c r="B103" s="601" t="s">
        <v>2410</v>
      </c>
      <c r="C103" s="587">
        <v>4</v>
      </c>
      <c r="D103" s="488" t="s">
        <v>2588</v>
      </c>
      <c r="E103" s="487"/>
      <c r="F103" s="587"/>
      <c r="G103" s="587"/>
      <c r="H103" s="587"/>
      <c r="I103" s="587"/>
      <c r="J103" s="631"/>
      <c r="K103" s="631"/>
      <c r="L103" s="588"/>
      <c r="M103" s="589">
        <f>SUBTOTAL(9,M104:M105)</f>
        <v>0</v>
      </c>
      <c r="N103" s="589">
        <f>SUBTOTAL(9,N104:N105)</f>
        <v>0</v>
      </c>
      <c r="O103" s="589">
        <f>SUBTOTAL(9,O104:O105)</f>
        <v>0</v>
      </c>
      <c r="P103" s="494" t="e">
        <f t="shared" si="12"/>
        <v>#DIV/0!</v>
      </c>
      <c r="Q103" s="494">
        <f t="shared" si="15"/>
        <v>0</v>
      </c>
      <c r="R103" s="494"/>
    </row>
    <row r="104" spans="1:19" s="632" customFormat="1" ht="24" hidden="1" customHeight="1" outlineLevel="2">
      <c r="A104" s="633"/>
      <c r="B104" s="603" t="s">
        <v>585</v>
      </c>
      <c r="C104" s="604" t="s">
        <v>2589</v>
      </c>
      <c r="D104" s="671" t="s">
        <v>535</v>
      </c>
      <c r="E104" s="664" t="s">
        <v>1278</v>
      </c>
      <c r="F104" s="665" t="s">
        <v>2398</v>
      </c>
      <c r="G104" s="1012">
        <v>1</v>
      </c>
      <c r="H104" s="1012" t="s">
        <v>2310</v>
      </c>
      <c r="I104" s="655">
        <f>C3</f>
        <v>0</v>
      </c>
      <c r="J104" s="656">
        <v>15</v>
      </c>
      <c r="K104" s="619">
        <f t="shared" si="13"/>
        <v>13.513513513513512</v>
      </c>
      <c r="L104" s="597">
        <v>0.11</v>
      </c>
      <c r="M104" s="599">
        <f t="shared" si="14"/>
        <v>0</v>
      </c>
      <c r="N104" s="599">
        <f>M104*L104</f>
        <v>0</v>
      </c>
      <c r="O104" s="599">
        <f>M104+N104</f>
        <v>0</v>
      </c>
      <c r="P104" s="614" t="e">
        <f t="shared" si="12"/>
        <v>#DIV/0!</v>
      </c>
      <c r="Q104" s="672">
        <f t="shared" si="15"/>
        <v>0</v>
      </c>
      <c r="R104" s="673"/>
    </row>
    <row r="105" spans="1:19" s="632" customFormat="1" ht="24" hidden="1" customHeight="1" outlineLevel="2">
      <c r="A105" s="633"/>
      <c r="B105" s="603" t="s">
        <v>2590</v>
      </c>
      <c r="C105" s="604" t="s">
        <v>2556</v>
      </c>
      <c r="D105" s="671" t="s">
        <v>1291</v>
      </c>
      <c r="E105" s="674" t="s">
        <v>1278</v>
      </c>
      <c r="F105" s="593"/>
      <c r="G105" s="1012"/>
      <c r="H105" s="1012"/>
      <c r="I105" s="1012"/>
      <c r="J105" s="634"/>
      <c r="K105" s="634"/>
      <c r="L105" s="569"/>
      <c r="M105" s="599">
        <f t="shared" si="14"/>
        <v>0</v>
      </c>
      <c r="N105" s="675"/>
      <c r="O105" s="675"/>
      <c r="P105" s="614" t="str">
        <f t="shared" si="12"/>
        <v/>
      </c>
      <c r="Q105" s="672">
        <f t="shared" si="15"/>
        <v>0</v>
      </c>
      <c r="R105" s="673"/>
    </row>
    <row r="106" spans="1:19" s="575" customFormat="1" ht="24.75" customHeight="1">
      <c r="A106" s="576"/>
      <c r="B106" s="577" t="s">
        <v>2591</v>
      </c>
      <c r="C106" s="578" t="s">
        <v>2592</v>
      </c>
      <c r="D106" s="480" t="s">
        <v>2411</v>
      </c>
      <c r="E106" s="481"/>
      <c r="F106" s="482"/>
      <c r="G106" s="411"/>
      <c r="H106" s="483"/>
      <c r="I106" s="484"/>
      <c r="J106" s="628"/>
      <c r="K106" s="628"/>
      <c r="L106" s="580"/>
      <c r="M106" s="581">
        <f>SUBTOTAL(9,M107:M126)</f>
        <v>0</v>
      </c>
      <c r="N106" s="581">
        <f>SUBTOTAL(9,N107:N126)</f>
        <v>0</v>
      </c>
      <c r="O106" s="581">
        <f>SUBTOTAL(9,O107:O126)</f>
        <v>0</v>
      </c>
      <c r="P106" s="581" t="e">
        <f t="shared" si="12"/>
        <v>#DIV/0!</v>
      </c>
      <c r="Q106" s="486">
        <f t="shared" si="15"/>
        <v>0</v>
      </c>
      <c r="R106" s="486"/>
    </row>
    <row r="107" spans="1:19" ht="24" customHeight="1" outlineLevel="1" collapsed="1">
      <c r="A107" s="600"/>
      <c r="B107" s="601" t="s">
        <v>2416</v>
      </c>
      <c r="C107" s="585">
        <v>3</v>
      </c>
      <c r="D107" s="676" t="s">
        <v>2417</v>
      </c>
      <c r="E107" s="677"/>
      <c r="F107" s="678"/>
      <c r="G107" s="493"/>
      <c r="H107" s="491"/>
      <c r="I107" s="492"/>
      <c r="J107" s="679"/>
      <c r="K107" s="679"/>
      <c r="L107" s="588"/>
      <c r="M107" s="589">
        <f>SUBTOTAL(9,M108:M124)</f>
        <v>0</v>
      </c>
      <c r="N107" s="589">
        <f>SUBTOTAL(9,N108:N124)</f>
        <v>0</v>
      </c>
      <c r="O107" s="589">
        <f>SUBTOTAL(9,O108:O124)</f>
        <v>0</v>
      </c>
      <c r="P107" s="494" t="e">
        <f t="shared" si="12"/>
        <v>#DIV/0!</v>
      </c>
      <c r="Q107" s="494">
        <f t="shared" si="15"/>
        <v>0</v>
      </c>
      <c r="R107" s="494"/>
    </row>
    <row r="108" spans="1:19" s="632" customFormat="1" ht="24" hidden="1" customHeight="1" outlineLevel="2">
      <c r="A108" s="633"/>
      <c r="B108" s="603" t="s">
        <v>586</v>
      </c>
      <c r="C108" s="604" t="s">
        <v>1096</v>
      </c>
      <c r="D108" s="635" t="s">
        <v>1292</v>
      </c>
      <c r="E108" s="680"/>
      <c r="F108" s="648"/>
      <c r="G108" s="672"/>
      <c r="H108" s="681"/>
      <c r="I108" s="681"/>
      <c r="J108" s="682"/>
      <c r="K108" s="682"/>
      <c r="L108" s="569"/>
      <c r="M108" s="613">
        <f>SUBTOTAL(9,M109:M111)</f>
        <v>0</v>
      </c>
      <c r="N108" s="613">
        <f>SUBTOTAL(9,N109:N111)</f>
        <v>0</v>
      </c>
      <c r="O108" s="613">
        <f>SUBTOTAL(9,O109:O111)</f>
        <v>0</v>
      </c>
      <c r="P108" s="614" t="e">
        <f t="shared" si="12"/>
        <v>#DIV/0!</v>
      </c>
      <c r="Q108" s="1022">
        <f t="shared" si="15"/>
        <v>0</v>
      </c>
      <c r="R108" s="1022"/>
    </row>
    <row r="109" spans="1:19" s="632" customFormat="1" ht="24" hidden="1" customHeight="1" outlineLevel="3">
      <c r="A109" s="633"/>
      <c r="B109" s="603" t="s">
        <v>587</v>
      </c>
      <c r="C109" s="615" t="s">
        <v>39</v>
      </c>
      <c r="D109" s="651" t="s">
        <v>538</v>
      </c>
      <c r="E109" s="683" t="s">
        <v>1293</v>
      </c>
      <c r="F109" s="684" t="s">
        <v>2394</v>
      </c>
      <c r="G109" s="568">
        <v>1</v>
      </c>
      <c r="H109" s="685" t="s">
        <v>2564</v>
      </c>
      <c r="I109" s="685">
        <f>D3</f>
        <v>0</v>
      </c>
      <c r="J109" s="686">
        <v>34</v>
      </c>
      <c r="K109" s="619">
        <f>J109/(1+L109)</f>
        <v>30.630630630630627</v>
      </c>
      <c r="L109" s="569">
        <v>0.11</v>
      </c>
      <c r="M109" s="599">
        <f t="shared" ref="M109:M124" si="16">K109*I109*G109/10000</f>
        <v>0</v>
      </c>
      <c r="N109" s="599">
        <f>M109*L109</f>
        <v>0</v>
      </c>
      <c r="O109" s="599">
        <f>M109+N109</f>
        <v>0</v>
      </c>
      <c r="P109" s="614" t="e">
        <f t="shared" si="12"/>
        <v>#DIV/0!</v>
      </c>
      <c r="Q109" s="672">
        <f t="shared" si="15"/>
        <v>0</v>
      </c>
      <c r="R109" s="673"/>
    </row>
    <row r="110" spans="1:19" s="632" customFormat="1" ht="24" hidden="1" customHeight="1" outlineLevel="3">
      <c r="A110" s="633"/>
      <c r="B110" s="603" t="s">
        <v>588</v>
      </c>
      <c r="C110" s="615" t="s">
        <v>39</v>
      </c>
      <c r="D110" s="651" t="s">
        <v>539</v>
      </c>
      <c r="E110" s="684" t="s">
        <v>1294</v>
      </c>
      <c r="F110" s="684" t="s">
        <v>2394</v>
      </c>
      <c r="G110" s="568">
        <v>1</v>
      </c>
      <c r="H110" s="685" t="s">
        <v>2564</v>
      </c>
      <c r="I110" s="685">
        <f>D3</f>
        <v>0</v>
      </c>
      <c r="J110" s="682">
        <v>10</v>
      </c>
      <c r="K110" s="619">
        <f>J110/(1+L110)</f>
        <v>9.0090090090090076</v>
      </c>
      <c r="L110" s="569">
        <v>0.11</v>
      </c>
      <c r="M110" s="599">
        <f t="shared" si="16"/>
        <v>0</v>
      </c>
      <c r="N110" s="599">
        <f>M110*L110</f>
        <v>0</v>
      </c>
      <c r="O110" s="599">
        <f>M110+N110</f>
        <v>0</v>
      </c>
      <c r="P110" s="614" t="e">
        <f t="shared" si="12"/>
        <v>#DIV/0!</v>
      </c>
      <c r="Q110" s="672">
        <f t="shared" si="15"/>
        <v>0</v>
      </c>
      <c r="R110" s="673"/>
    </row>
    <row r="111" spans="1:19" s="632" customFormat="1" ht="24" hidden="1" customHeight="1" outlineLevel="3">
      <c r="A111" s="633"/>
      <c r="B111" s="603" t="s">
        <v>589</v>
      </c>
      <c r="C111" s="615" t="s">
        <v>39</v>
      </c>
      <c r="D111" s="651" t="s">
        <v>540</v>
      </c>
      <c r="E111" s="684" t="s">
        <v>1295</v>
      </c>
      <c r="F111" s="684" t="s">
        <v>2398</v>
      </c>
      <c r="G111" s="568">
        <v>1</v>
      </c>
      <c r="H111" s="685" t="s">
        <v>2564</v>
      </c>
      <c r="I111" s="685">
        <f>+I110</f>
        <v>0</v>
      </c>
      <c r="J111" s="682">
        <v>2</v>
      </c>
      <c r="K111" s="619">
        <f>J111/(1+L111)</f>
        <v>1.7094017094017095</v>
      </c>
      <c r="L111" s="569">
        <v>0.17</v>
      </c>
      <c r="M111" s="599">
        <f t="shared" si="16"/>
        <v>0</v>
      </c>
      <c r="N111" s="599">
        <f>M111*L111</f>
        <v>0</v>
      </c>
      <c r="O111" s="599">
        <f>M111+N111</f>
        <v>0</v>
      </c>
      <c r="P111" s="614" t="e">
        <f t="shared" si="12"/>
        <v>#DIV/0!</v>
      </c>
      <c r="Q111" s="672">
        <f t="shared" si="15"/>
        <v>0</v>
      </c>
      <c r="R111" s="673"/>
    </row>
    <row r="112" spans="1:19" s="632" customFormat="1" ht="24" hidden="1" customHeight="1" outlineLevel="2">
      <c r="A112" s="633"/>
      <c r="B112" s="603" t="s">
        <v>590</v>
      </c>
      <c r="C112" s="615" t="s">
        <v>68</v>
      </c>
      <c r="D112" s="651" t="s">
        <v>1296</v>
      </c>
      <c r="E112" s="665"/>
      <c r="F112" s="684" t="s">
        <v>2394</v>
      </c>
      <c r="G112" s="568">
        <v>1</v>
      </c>
      <c r="H112" s="685" t="s">
        <v>2564</v>
      </c>
      <c r="I112" s="685">
        <f>D3</f>
        <v>0</v>
      </c>
      <c r="J112" s="686"/>
      <c r="K112" s="686"/>
      <c r="L112" s="569"/>
      <c r="M112" s="613">
        <f>SUBTOTAL(9,M113:M114)</f>
        <v>0</v>
      </c>
      <c r="N112" s="613">
        <f>SUBTOTAL(9,N113:N114)</f>
        <v>0</v>
      </c>
      <c r="O112" s="613">
        <f>SUBTOTAL(9,O113:O114)</f>
        <v>0</v>
      </c>
      <c r="P112" s="614" t="e">
        <f t="shared" si="12"/>
        <v>#DIV/0!</v>
      </c>
      <c r="Q112" s="672">
        <f t="shared" si="15"/>
        <v>0</v>
      </c>
      <c r="R112" s="673"/>
    </row>
    <row r="113" spans="1:18" s="632" customFormat="1" ht="24" hidden="1" customHeight="1" outlineLevel="3">
      <c r="A113" s="633"/>
      <c r="B113" s="603" t="s">
        <v>591</v>
      </c>
      <c r="C113" s="615" t="s">
        <v>39</v>
      </c>
      <c r="D113" s="651" t="s">
        <v>1297</v>
      </c>
      <c r="E113" s="684" t="s">
        <v>467</v>
      </c>
      <c r="F113" s="684" t="s">
        <v>2394</v>
      </c>
      <c r="G113" s="568">
        <v>1</v>
      </c>
      <c r="H113" s="685" t="s">
        <v>2564</v>
      </c>
      <c r="I113" s="685">
        <f>D3</f>
        <v>0</v>
      </c>
      <c r="J113" s="682"/>
      <c r="K113" s="619">
        <f>J113/(1+L113)</f>
        <v>0</v>
      </c>
      <c r="L113" s="569"/>
      <c r="M113" s="599">
        <f t="shared" si="16"/>
        <v>0</v>
      </c>
      <c r="N113" s="599">
        <f>M113*L113</f>
        <v>0</v>
      </c>
      <c r="O113" s="599">
        <f>M113+N113</f>
        <v>0</v>
      </c>
      <c r="P113" s="614" t="e">
        <f t="shared" si="12"/>
        <v>#DIV/0!</v>
      </c>
      <c r="Q113" s="614">
        <f t="shared" si="15"/>
        <v>0</v>
      </c>
      <c r="R113" s="614"/>
    </row>
    <row r="114" spans="1:18" s="632" customFormat="1" ht="24" hidden="1" customHeight="1" outlineLevel="3">
      <c r="A114" s="633"/>
      <c r="B114" s="603" t="s">
        <v>592</v>
      </c>
      <c r="C114" s="604" t="s">
        <v>39</v>
      </c>
      <c r="D114" s="635" t="s">
        <v>541</v>
      </c>
      <c r="E114" s="598" t="s">
        <v>1091</v>
      </c>
      <c r="F114" s="648"/>
      <c r="G114" s="672"/>
      <c r="H114" s="681"/>
      <c r="I114" s="681"/>
      <c r="J114" s="682"/>
      <c r="K114" s="619">
        <f>J114/(1+L114)</f>
        <v>0</v>
      </c>
      <c r="L114" s="569"/>
      <c r="M114" s="599">
        <f t="shared" si="16"/>
        <v>0</v>
      </c>
      <c r="N114" s="599">
        <f>M114*L114</f>
        <v>0</v>
      </c>
      <c r="O114" s="599">
        <f>M114+N114</f>
        <v>0</v>
      </c>
      <c r="P114" s="614" t="e">
        <f t="shared" si="12"/>
        <v>#DIV/0!</v>
      </c>
      <c r="Q114" s="1022">
        <f t="shared" si="15"/>
        <v>0</v>
      </c>
      <c r="R114" s="1022"/>
    </row>
    <row r="115" spans="1:18" s="632" customFormat="1" ht="24" hidden="1" customHeight="1" outlineLevel="2">
      <c r="A115" s="633"/>
      <c r="B115" s="603" t="s">
        <v>593</v>
      </c>
      <c r="C115" s="615" t="s">
        <v>69</v>
      </c>
      <c r="D115" s="687" t="s">
        <v>1298</v>
      </c>
      <c r="E115" s="688"/>
      <c r="F115" s="684" t="s">
        <v>2394</v>
      </c>
      <c r="G115" s="568">
        <v>1</v>
      </c>
      <c r="H115" s="685" t="s">
        <v>2564</v>
      </c>
      <c r="I115" s="685">
        <f>D3</f>
        <v>0</v>
      </c>
      <c r="J115" s="686"/>
      <c r="K115" s="686"/>
      <c r="L115" s="569"/>
      <c r="M115" s="613">
        <f>SUBTOTAL(9,M116:M118)</f>
        <v>0</v>
      </c>
      <c r="N115" s="613">
        <f>SUBTOTAL(9,N116:N118)</f>
        <v>0</v>
      </c>
      <c r="O115" s="613">
        <f>SUBTOTAL(9,O116:O118)</f>
        <v>0</v>
      </c>
      <c r="P115" s="614" t="e">
        <f t="shared" si="12"/>
        <v>#DIV/0!</v>
      </c>
      <c r="Q115" s="672">
        <f t="shared" si="15"/>
        <v>0</v>
      </c>
      <c r="R115" s="673"/>
    </row>
    <row r="116" spans="1:18" s="632" customFormat="1" ht="24" hidden="1" customHeight="1" outlineLevel="3">
      <c r="A116" s="633"/>
      <c r="B116" s="603" t="s">
        <v>594</v>
      </c>
      <c r="C116" s="615" t="s">
        <v>39</v>
      </c>
      <c r="D116" s="687" t="s">
        <v>1299</v>
      </c>
      <c r="E116" s="607" t="s">
        <v>1300</v>
      </c>
      <c r="F116" s="684" t="s">
        <v>2394</v>
      </c>
      <c r="G116" s="568">
        <v>1</v>
      </c>
      <c r="H116" s="685" t="s">
        <v>2564</v>
      </c>
      <c r="I116" s="685">
        <f>D3</f>
        <v>0</v>
      </c>
      <c r="J116" s="686">
        <v>18</v>
      </c>
      <c r="K116" s="619">
        <f>J116/(1+L116)</f>
        <v>18</v>
      </c>
      <c r="L116" s="569">
        <v>0</v>
      </c>
      <c r="M116" s="599">
        <f t="shared" si="16"/>
        <v>0</v>
      </c>
      <c r="N116" s="599">
        <f>M116*L116</f>
        <v>0</v>
      </c>
      <c r="O116" s="599">
        <f>M116+N116</f>
        <v>0</v>
      </c>
      <c r="P116" s="614" t="e">
        <f t="shared" si="12"/>
        <v>#DIV/0!</v>
      </c>
      <c r="Q116" s="672">
        <f t="shared" si="15"/>
        <v>0</v>
      </c>
      <c r="R116" s="673"/>
    </row>
    <row r="117" spans="1:18" s="632" customFormat="1" ht="24" hidden="1" customHeight="1" outlineLevel="3">
      <c r="A117" s="633"/>
      <c r="B117" s="603" t="s">
        <v>595</v>
      </c>
      <c r="C117" s="615" t="s">
        <v>39</v>
      </c>
      <c r="D117" s="687" t="s">
        <v>1301</v>
      </c>
      <c r="E117" s="607" t="s">
        <v>1300</v>
      </c>
      <c r="F117" s="684" t="s">
        <v>2394</v>
      </c>
      <c r="G117" s="568">
        <v>1</v>
      </c>
      <c r="H117" s="685" t="s">
        <v>2564</v>
      </c>
      <c r="I117" s="685">
        <f>D3</f>
        <v>0</v>
      </c>
      <c r="J117" s="686"/>
      <c r="K117" s="619">
        <f>J117/(1+L117)</f>
        <v>0</v>
      </c>
      <c r="L117" s="569"/>
      <c r="M117" s="599">
        <f t="shared" si="16"/>
        <v>0</v>
      </c>
      <c r="N117" s="599">
        <f>M117*L117</f>
        <v>0</v>
      </c>
      <c r="O117" s="599">
        <f>M117+N117</f>
        <v>0</v>
      </c>
      <c r="P117" s="614" t="e">
        <f t="shared" si="12"/>
        <v>#DIV/0!</v>
      </c>
      <c r="Q117" s="672">
        <f t="shared" si="15"/>
        <v>0</v>
      </c>
      <c r="R117" s="673"/>
    </row>
    <row r="118" spans="1:18" s="632" customFormat="1" ht="24" hidden="1" customHeight="1" outlineLevel="3">
      <c r="A118" s="633"/>
      <c r="B118" s="603" t="s">
        <v>1302</v>
      </c>
      <c r="C118" s="604" t="s">
        <v>39</v>
      </c>
      <c r="D118" s="635" t="s">
        <v>542</v>
      </c>
      <c r="E118" s="598" t="s">
        <v>2593</v>
      </c>
      <c r="F118" s="648"/>
      <c r="G118" s="672"/>
      <c r="H118" s="681"/>
      <c r="I118" s="681"/>
      <c r="J118" s="682"/>
      <c r="K118" s="619">
        <f>J118/(1+L118)</f>
        <v>0</v>
      </c>
      <c r="L118" s="569"/>
      <c r="M118" s="599">
        <f t="shared" si="16"/>
        <v>0</v>
      </c>
      <c r="N118" s="599">
        <f>M118*L118</f>
        <v>0</v>
      </c>
      <c r="O118" s="599">
        <f>M118+N118</f>
        <v>0</v>
      </c>
      <c r="P118" s="614" t="e">
        <f t="shared" si="12"/>
        <v>#DIV/0!</v>
      </c>
      <c r="Q118" s="1022">
        <f t="shared" si="15"/>
        <v>0</v>
      </c>
      <c r="R118" s="1022"/>
    </row>
    <row r="119" spans="1:18" s="632" customFormat="1" ht="24" hidden="1" customHeight="1" outlineLevel="2">
      <c r="A119" s="633"/>
      <c r="B119" s="603" t="s">
        <v>1304</v>
      </c>
      <c r="C119" s="615" t="s">
        <v>70</v>
      </c>
      <c r="D119" s="687" t="s">
        <v>1305</v>
      </c>
      <c r="E119" s="684"/>
      <c r="F119" s="684" t="s">
        <v>2394</v>
      </c>
      <c r="G119" s="568">
        <v>1</v>
      </c>
      <c r="H119" s="685" t="s">
        <v>2564</v>
      </c>
      <c r="I119" s="685">
        <f t="shared" ref="I119:I124" si="17">$D$3</f>
        <v>0</v>
      </c>
      <c r="J119" s="686"/>
      <c r="K119" s="686"/>
      <c r="L119" s="569"/>
      <c r="M119" s="613">
        <f>SUBTOTAL(9,M120:M124)</f>
        <v>0</v>
      </c>
      <c r="N119" s="613">
        <f>SUBTOTAL(9,N120:N124)</f>
        <v>0</v>
      </c>
      <c r="O119" s="613">
        <f>SUBTOTAL(9,O120:O124)</f>
        <v>0</v>
      </c>
      <c r="P119" s="614" t="e">
        <f t="shared" si="12"/>
        <v>#DIV/0!</v>
      </c>
      <c r="Q119" s="672">
        <f t="shared" si="15"/>
        <v>0</v>
      </c>
      <c r="R119" s="673"/>
    </row>
    <row r="120" spans="1:18" s="632" customFormat="1" ht="24" hidden="1" customHeight="1" outlineLevel="3">
      <c r="A120" s="633"/>
      <c r="B120" s="603" t="s">
        <v>596</v>
      </c>
      <c r="C120" s="615" t="s">
        <v>39</v>
      </c>
      <c r="D120" s="687" t="s">
        <v>1306</v>
      </c>
      <c r="E120" s="689" t="s">
        <v>1307</v>
      </c>
      <c r="F120" s="684" t="s">
        <v>42</v>
      </c>
      <c r="G120" s="568">
        <v>1</v>
      </c>
      <c r="H120" s="685" t="s">
        <v>2564</v>
      </c>
      <c r="I120" s="685">
        <f t="shared" si="17"/>
        <v>0</v>
      </c>
      <c r="J120" s="686">
        <v>123</v>
      </c>
      <c r="K120" s="619">
        <f t="shared" ref="K120:K125" si="18">J120/(1+L120)</f>
        <v>123</v>
      </c>
      <c r="L120" s="569">
        <v>0</v>
      </c>
      <c r="M120" s="599">
        <f t="shared" si="16"/>
        <v>0</v>
      </c>
      <c r="N120" s="599">
        <f t="shared" ref="N120:N126" si="19">M120*L120</f>
        <v>0</v>
      </c>
      <c r="O120" s="599">
        <f t="shared" ref="O120:O126" si="20">M120+N120</f>
        <v>0</v>
      </c>
      <c r="P120" s="614" t="e">
        <f t="shared" si="12"/>
        <v>#DIV/0!</v>
      </c>
      <c r="Q120" s="672">
        <f t="shared" si="15"/>
        <v>0</v>
      </c>
      <c r="R120" s="673"/>
    </row>
    <row r="121" spans="1:18" s="632" customFormat="1" ht="27.75" hidden="1" customHeight="1" outlineLevel="3">
      <c r="A121" s="633"/>
      <c r="B121" s="603" t="s">
        <v>597</v>
      </c>
      <c r="C121" s="604" t="s">
        <v>39</v>
      </c>
      <c r="D121" s="635" t="s">
        <v>1309</v>
      </c>
      <c r="E121" s="680" t="s">
        <v>1310</v>
      </c>
      <c r="F121" s="684" t="s">
        <v>42</v>
      </c>
      <c r="G121" s="672">
        <v>1</v>
      </c>
      <c r="H121" s="685" t="s">
        <v>2564</v>
      </c>
      <c r="I121" s="685">
        <f t="shared" si="17"/>
        <v>0</v>
      </c>
      <c r="J121" s="682">
        <v>12</v>
      </c>
      <c r="K121" s="619">
        <f t="shared" si="18"/>
        <v>10.810810810810811</v>
      </c>
      <c r="L121" s="569">
        <v>0.11</v>
      </c>
      <c r="M121" s="599">
        <f t="shared" si="16"/>
        <v>0</v>
      </c>
      <c r="N121" s="599">
        <f t="shared" si="19"/>
        <v>0</v>
      </c>
      <c r="O121" s="599">
        <f t="shared" si="20"/>
        <v>0</v>
      </c>
      <c r="P121" s="614" t="e">
        <f t="shared" si="12"/>
        <v>#DIV/0!</v>
      </c>
      <c r="Q121" s="1022">
        <f t="shared" si="15"/>
        <v>0</v>
      </c>
      <c r="R121" s="1022"/>
    </row>
    <row r="122" spans="1:18" s="632" customFormat="1" ht="24" hidden="1" customHeight="1" outlineLevel="3">
      <c r="A122" s="633"/>
      <c r="B122" s="603" t="s">
        <v>598</v>
      </c>
      <c r="C122" s="615" t="s">
        <v>39</v>
      </c>
      <c r="D122" s="663" t="s">
        <v>1311</v>
      </c>
      <c r="E122" s="664" t="s">
        <v>1312</v>
      </c>
      <c r="F122" s="684" t="s">
        <v>2394</v>
      </c>
      <c r="G122" s="568">
        <v>1</v>
      </c>
      <c r="H122" s="685" t="s">
        <v>2564</v>
      </c>
      <c r="I122" s="685">
        <f t="shared" si="17"/>
        <v>0</v>
      </c>
      <c r="J122" s="686">
        <v>5</v>
      </c>
      <c r="K122" s="619">
        <f t="shared" si="18"/>
        <v>4.5045045045045038</v>
      </c>
      <c r="L122" s="569">
        <v>0.11</v>
      </c>
      <c r="M122" s="599">
        <f t="shared" si="16"/>
        <v>0</v>
      </c>
      <c r="N122" s="599">
        <f t="shared" si="19"/>
        <v>0</v>
      </c>
      <c r="O122" s="599">
        <f t="shared" si="20"/>
        <v>0</v>
      </c>
      <c r="P122" s="614" t="e">
        <f t="shared" si="12"/>
        <v>#DIV/0!</v>
      </c>
      <c r="Q122" s="672">
        <f t="shared" si="15"/>
        <v>0</v>
      </c>
      <c r="R122" s="673"/>
    </row>
    <row r="123" spans="1:18" s="632" customFormat="1" ht="24" hidden="1" customHeight="1" outlineLevel="3">
      <c r="A123" s="633"/>
      <c r="B123" s="603" t="s">
        <v>599</v>
      </c>
      <c r="C123" s="615" t="s">
        <v>39</v>
      </c>
      <c r="D123" s="663" t="s">
        <v>543</v>
      </c>
      <c r="E123" s="664" t="s">
        <v>458</v>
      </c>
      <c r="F123" s="684" t="s">
        <v>2394</v>
      </c>
      <c r="G123" s="568">
        <v>1</v>
      </c>
      <c r="H123" s="685" t="s">
        <v>2564</v>
      </c>
      <c r="I123" s="685">
        <f t="shared" si="17"/>
        <v>0</v>
      </c>
      <c r="J123" s="686">
        <v>5</v>
      </c>
      <c r="K123" s="619">
        <f t="shared" si="18"/>
        <v>4.5045045045045038</v>
      </c>
      <c r="L123" s="569">
        <v>0.11</v>
      </c>
      <c r="M123" s="599">
        <f t="shared" si="16"/>
        <v>0</v>
      </c>
      <c r="N123" s="599">
        <f t="shared" si="19"/>
        <v>0</v>
      </c>
      <c r="O123" s="599">
        <f t="shared" si="20"/>
        <v>0</v>
      </c>
      <c r="P123" s="614" t="e">
        <f t="shared" si="12"/>
        <v>#DIV/0!</v>
      </c>
      <c r="Q123" s="614">
        <f t="shared" si="15"/>
        <v>0</v>
      </c>
      <c r="R123" s="614"/>
    </row>
    <row r="124" spans="1:18" s="632" customFormat="1" ht="24" hidden="1" customHeight="1" outlineLevel="3">
      <c r="A124" s="633"/>
      <c r="B124" s="603" t="s">
        <v>600</v>
      </c>
      <c r="C124" s="615" t="s">
        <v>39</v>
      </c>
      <c r="D124" s="663" t="s">
        <v>1314</v>
      </c>
      <c r="E124" s="690" t="s">
        <v>1314</v>
      </c>
      <c r="F124" s="684" t="s">
        <v>2394</v>
      </c>
      <c r="G124" s="568">
        <v>1</v>
      </c>
      <c r="H124" s="685" t="s">
        <v>2564</v>
      </c>
      <c r="I124" s="685">
        <f t="shared" si="17"/>
        <v>0</v>
      </c>
      <c r="J124" s="686">
        <v>18</v>
      </c>
      <c r="K124" s="619">
        <f t="shared" si="18"/>
        <v>15.384615384615385</v>
      </c>
      <c r="L124" s="569">
        <v>0.17</v>
      </c>
      <c r="M124" s="599">
        <f t="shared" si="16"/>
        <v>0</v>
      </c>
      <c r="N124" s="599">
        <f t="shared" si="19"/>
        <v>0</v>
      </c>
      <c r="O124" s="599">
        <f t="shared" si="20"/>
        <v>0</v>
      </c>
      <c r="P124" s="614" t="e">
        <f t="shared" si="12"/>
        <v>#DIV/0!</v>
      </c>
      <c r="Q124" s="614">
        <f t="shared" si="15"/>
        <v>0</v>
      </c>
      <c r="R124" s="614"/>
    </row>
    <row r="125" spans="1:18" s="632" customFormat="1" ht="24" customHeight="1" outlineLevel="1">
      <c r="A125" s="633"/>
      <c r="B125" s="601" t="s">
        <v>2418</v>
      </c>
      <c r="C125" s="585">
        <v>4</v>
      </c>
      <c r="D125" s="691" t="s">
        <v>2419</v>
      </c>
      <c r="E125" s="677" t="s">
        <v>1228</v>
      </c>
      <c r="F125" s="491" t="s">
        <v>2394</v>
      </c>
      <c r="G125" s="492">
        <v>1</v>
      </c>
      <c r="H125" s="491" t="s">
        <v>2594</v>
      </c>
      <c r="I125" s="692">
        <f>D3</f>
        <v>0</v>
      </c>
      <c r="J125" s="692">
        <v>20</v>
      </c>
      <c r="K125" s="692">
        <f t="shared" si="18"/>
        <v>18.018018018018015</v>
      </c>
      <c r="L125" s="588">
        <v>0.11</v>
      </c>
      <c r="M125" s="589">
        <f>J125*I125*G125/10000</f>
        <v>0</v>
      </c>
      <c r="N125" s="589">
        <f t="shared" si="19"/>
        <v>0</v>
      </c>
      <c r="O125" s="589">
        <f t="shared" si="20"/>
        <v>0</v>
      </c>
      <c r="P125" s="494" t="e">
        <f t="shared" si="12"/>
        <v>#DIV/0!</v>
      </c>
      <c r="Q125" s="493">
        <f t="shared" si="15"/>
        <v>0</v>
      </c>
      <c r="R125" s="493"/>
    </row>
    <row r="126" spans="1:18" s="632" customFormat="1" ht="24" customHeight="1" outlineLevel="1">
      <c r="A126" s="633"/>
      <c r="B126" s="601" t="s">
        <v>2420</v>
      </c>
      <c r="C126" s="585">
        <v>5</v>
      </c>
      <c r="D126" s="691" t="s">
        <v>2595</v>
      </c>
      <c r="E126" s="677"/>
      <c r="F126" s="491" t="s">
        <v>2394</v>
      </c>
      <c r="G126" s="492">
        <v>1</v>
      </c>
      <c r="H126" s="491" t="s">
        <v>2594</v>
      </c>
      <c r="I126" s="692">
        <f>D3</f>
        <v>0</v>
      </c>
      <c r="J126" s="679"/>
      <c r="K126" s="679"/>
      <c r="L126" s="588"/>
      <c r="M126" s="589">
        <f>J126*I126*G126/10000</f>
        <v>0</v>
      </c>
      <c r="N126" s="589">
        <f t="shared" si="19"/>
        <v>0</v>
      </c>
      <c r="O126" s="589">
        <f t="shared" si="20"/>
        <v>0</v>
      </c>
      <c r="P126" s="494" t="e">
        <f t="shared" si="12"/>
        <v>#DIV/0!</v>
      </c>
      <c r="Q126" s="493">
        <f t="shared" si="15"/>
        <v>0</v>
      </c>
      <c r="R126" s="493"/>
    </row>
    <row r="127" spans="1:18" s="575" customFormat="1" ht="24" customHeight="1">
      <c r="A127" s="576"/>
      <c r="B127" s="577" t="s">
        <v>2596</v>
      </c>
      <c r="C127" s="578" t="s">
        <v>2433</v>
      </c>
      <c r="D127" s="480" t="s">
        <v>2434</v>
      </c>
      <c r="E127" s="481"/>
      <c r="F127" s="482"/>
      <c r="G127" s="411"/>
      <c r="H127" s="483"/>
      <c r="I127" s="484"/>
      <c r="J127" s="628"/>
      <c r="K127" s="628"/>
      <c r="L127" s="580"/>
      <c r="M127" s="581">
        <f>SUBTOTAL(9,M128:M173)</f>
        <v>0</v>
      </c>
      <c r="N127" s="581">
        <f>SUBTOTAL(9,N128:N173)</f>
        <v>0</v>
      </c>
      <c r="O127" s="581">
        <f>SUBTOTAL(9,O128:O173)</f>
        <v>0</v>
      </c>
      <c r="P127" s="486" t="e">
        <f t="shared" si="12"/>
        <v>#DIV/0!</v>
      </c>
      <c r="Q127" s="486">
        <f t="shared" si="15"/>
        <v>0</v>
      </c>
      <c r="R127" s="486"/>
    </row>
    <row r="128" spans="1:18" s="632" customFormat="1" ht="24" customHeight="1" outlineLevel="1" collapsed="1">
      <c r="A128" s="633"/>
      <c r="B128" s="601" t="s">
        <v>2435</v>
      </c>
      <c r="C128" s="585">
        <v>1</v>
      </c>
      <c r="D128" s="691" t="s">
        <v>2436</v>
      </c>
      <c r="E128" s="677"/>
      <c r="F128" s="491"/>
      <c r="G128" s="493"/>
      <c r="H128" s="491"/>
      <c r="I128" s="492"/>
      <c r="J128" s="679"/>
      <c r="K128" s="679"/>
      <c r="L128" s="588"/>
      <c r="M128" s="589">
        <f>SUBTOTAL(9,M129:M141)</f>
        <v>0</v>
      </c>
      <c r="N128" s="589">
        <f>SUBTOTAL(9,N129:N141)</f>
        <v>0</v>
      </c>
      <c r="O128" s="589">
        <f>SUBTOTAL(9,O129:O141)</f>
        <v>0</v>
      </c>
      <c r="P128" s="494" t="e">
        <f t="shared" si="12"/>
        <v>#DIV/0!</v>
      </c>
      <c r="Q128" s="494">
        <f t="shared" si="15"/>
        <v>0</v>
      </c>
      <c r="R128" s="494"/>
    </row>
    <row r="129" spans="1:18" s="632" customFormat="1" ht="24" hidden="1" customHeight="1" outlineLevel="2">
      <c r="A129" s="633"/>
      <c r="B129" s="603" t="s">
        <v>1320</v>
      </c>
      <c r="C129" s="604" t="s">
        <v>1096</v>
      </c>
      <c r="D129" s="635" t="s">
        <v>1321</v>
      </c>
      <c r="E129" s="598" t="s">
        <v>1091</v>
      </c>
      <c r="F129" s="607" t="s">
        <v>2394</v>
      </c>
      <c r="G129" s="672"/>
      <c r="H129" s="1012"/>
      <c r="I129" s="681"/>
      <c r="J129" s="682"/>
      <c r="K129" s="682"/>
      <c r="L129" s="569"/>
      <c r="M129" s="599">
        <f>K129*I129*G129/10000</f>
        <v>0</v>
      </c>
      <c r="N129" s="599">
        <f>M129*L129</f>
        <v>0</v>
      </c>
      <c r="O129" s="599">
        <f>M129+N129</f>
        <v>0</v>
      </c>
      <c r="P129" s="614" t="e">
        <f t="shared" si="12"/>
        <v>#DIV/0!</v>
      </c>
      <c r="Q129" s="693">
        <f t="shared" si="15"/>
        <v>0</v>
      </c>
      <c r="R129" s="614"/>
    </row>
    <row r="130" spans="1:18" s="632" customFormat="1" ht="24" hidden="1" customHeight="1" outlineLevel="2">
      <c r="A130" s="633"/>
      <c r="B130" s="603" t="s">
        <v>1322</v>
      </c>
      <c r="C130" s="615" t="s">
        <v>68</v>
      </c>
      <c r="D130" s="627" t="s">
        <v>1323</v>
      </c>
      <c r="E130" s="607"/>
      <c r="F130" s="607"/>
      <c r="G130" s="672"/>
      <c r="H130" s="1012"/>
      <c r="I130" s="681"/>
      <c r="J130" s="682"/>
      <c r="K130" s="682"/>
      <c r="L130" s="569"/>
      <c r="M130" s="613">
        <f>SUBTOTAL(9,M131:M133)</f>
        <v>0</v>
      </c>
      <c r="N130" s="613">
        <f>SUBTOTAL(9,N131:N133)</f>
        <v>0</v>
      </c>
      <c r="O130" s="613">
        <f>SUBTOTAL(9,O131:O133)</f>
        <v>0</v>
      </c>
      <c r="P130" s="614" t="e">
        <f t="shared" si="12"/>
        <v>#DIV/0!</v>
      </c>
      <c r="Q130" s="693">
        <f t="shared" si="15"/>
        <v>0</v>
      </c>
      <c r="R130" s="614"/>
    </row>
    <row r="131" spans="1:18" s="632" customFormat="1" ht="24" hidden="1" customHeight="1" outlineLevel="3">
      <c r="A131" s="633"/>
      <c r="B131" s="603" t="s">
        <v>1324</v>
      </c>
      <c r="C131" s="615" t="s">
        <v>39</v>
      </c>
      <c r="D131" s="627" t="s">
        <v>1325</v>
      </c>
      <c r="E131" s="607" t="s">
        <v>1228</v>
      </c>
      <c r="F131" s="607"/>
      <c r="G131" s="672">
        <v>1</v>
      </c>
      <c r="H131" s="1012" t="s">
        <v>2310</v>
      </c>
      <c r="I131" s="681">
        <f>I130</f>
        <v>0</v>
      </c>
      <c r="J131" s="682"/>
      <c r="K131" s="682"/>
      <c r="L131" s="569">
        <v>0.11</v>
      </c>
      <c r="M131" s="599">
        <f t="shared" ref="M131:M137" si="21">K131*I131*G131/10000</f>
        <v>0</v>
      </c>
      <c r="N131" s="599">
        <f t="shared" ref="N131:N137" si="22">M131*L131</f>
        <v>0</v>
      </c>
      <c r="O131" s="599">
        <f t="shared" ref="O131:O137" si="23">M131+N131</f>
        <v>0</v>
      </c>
      <c r="P131" s="614" t="e">
        <f t="shared" si="12"/>
        <v>#DIV/0!</v>
      </c>
      <c r="Q131" s="693">
        <f t="shared" si="15"/>
        <v>0</v>
      </c>
      <c r="R131" s="614"/>
    </row>
    <row r="132" spans="1:18" s="632" customFormat="1" ht="24" hidden="1" customHeight="1" outlineLevel="3">
      <c r="A132" s="633"/>
      <c r="B132" s="603" t="s">
        <v>603</v>
      </c>
      <c r="C132" s="615" t="s">
        <v>39</v>
      </c>
      <c r="D132" s="627" t="s">
        <v>1326</v>
      </c>
      <c r="E132" s="648" t="s">
        <v>452</v>
      </c>
      <c r="F132" s="607"/>
      <c r="G132" s="672">
        <v>1</v>
      </c>
      <c r="H132" s="1012" t="s">
        <v>2310</v>
      </c>
      <c r="I132" s="681">
        <f>I131</f>
        <v>0</v>
      </c>
      <c r="J132" s="682"/>
      <c r="K132" s="682"/>
      <c r="L132" s="569">
        <v>0.11</v>
      </c>
      <c r="M132" s="599">
        <f t="shared" si="21"/>
        <v>0</v>
      </c>
      <c r="N132" s="599">
        <f t="shared" si="22"/>
        <v>0</v>
      </c>
      <c r="O132" s="599">
        <f t="shared" si="23"/>
        <v>0</v>
      </c>
      <c r="P132" s="614" t="e">
        <f t="shared" si="12"/>
        <v>#DIV/0!</v>
      </c>
      <c r="Q132" s="693">
        <f t="shared" si="15"/>
        <v>0</v>
      </c>
      <c r="R132" s="614"/>
    </row>
    <row r="133" spans="1:18" s="632" customFormat="1" ht="24" hidden="1" customHeight="1" outlineLevel="3">
      <c r="A133" s="633"/>
      <c r="B133" s="603" t="s">
        <v>604</v>
      </c>
      <c r="C133" s="604" t="s">
        <v>39</v>
      </c>
      <c r="D133" s="635" t="s">
        <v>1328</v>
      </c>
      <c r="E133" s="648" t="s">
        <v>1329</v>
      </c>
      <c r="F133" s="648"/>
      <c r="G133" s="672"/>
      <c r="H133" s="1012"/>
      <c r="I133" s="681"/>
      <c r="J133" s="682"/>
      <c r="K133" s="682"/>
      <c r="L133" s="569">
        <v>0.17</v>
      </c>
      <c r="M133" s="599">
        <f t="shared" si="21"/>
        <v>0</v>
      </c>
      <c r="N133" s="599">
        <f t="shared" si="22"/>
        <v>0</v>
      </c>
      <c r="O133" s="599">
        <f t="shared" si="23"/>
        <v>0</v>
      </c>
      <c r="P133" s="614" t="e">
        <f t="shared" si="12"/>
        <v>#DIV/0!</v>
      </c>
      <c r="Q133" s="693">
        <f t="shared" si="15"/>
        <v>0</v>
      </c>
      <c r="R133" s="614"/>
    </row>
    <row r="134" spans="1:18" s="632" customFormat="1" ht="24" hidden="1" customHeight="1" outlineLevel="2">
      <c r="A134" s="633"/>
      <c r="B134" s="603" t="s">
        <v>1330</v>
      </c>
      <c r="C134" s="615" t="s">
        <v>572</v>
      </c>
      <c r="D134" s="627" t="s">
        <v>1331</v>
      </c>
      <c r="E134" s="598" t="s">
        <v>1091</v>
      </c>
      <c r="F134" s="648"/>
      <c r="G134" s="672">
        <v>1</v>
      </c>
      <c r="H134" s="1012" t="s">
        <v>2310</v>
      </c>
      <c r="I134" s="681"/>
      <c r="J134" s="682"/>
      <c r="K134" s="682"/>
      <c r="L134" s="569"/>
      <c r="M134" s="599">
        <f t="shared" si="21"/>
        <v>0</v>
      </c>
      <c r="N134" s="599">
        <f t="shared" si="22"/>
        <v>0</v>
      </c>
      <c r="O134" s="599">
        <f t="shared" si="23"/>
        <v>0</v>
      </c>
      <c r="P134" s="614" t="e">
        <f t="shared" si="12"/>
        <v>#DIV/0!</v>
      </c>
      <c r="Q134" s="693">
        <f t="shared" si="15"/>
        <v>0</v>
      </c>
      <c r="R134" s="614"/>
    </row>
    <row r="135" spans="1:18" s="632" customFormat="1" ht="24" hidden="1" customHeight="1" outlineLevel="2">
      <c r="A135" s="633"/>
      <c r="B135" s="603" t="s">
        <v>1332</v>
      </c>
      <c r="C135" s="615" t="s">
        <v>574</v>
      </c>
      <c r="D135" s="627" t="s">
        <v>1333</v>
      </c>
      <c r="E135" s="598" t="s">
        <v>1091</v>
      </c>
      <c r="F135" s="648"/>
      <c r="G135" s="672">
        <v>1</v>
      </c>
      <c r="H135" s="1012" t="s">
        <v>2310</v>
      </c>
      <c r="I135" s="681"/>
      <c r="J135" s="682"/>
      <c r="K135" s="682"/>
      <c r="L135" s="569"/>
      <c r="M135" s="599">
        <f t="shared" si="21"/>
        <v>0</v>
      </c>
      <c r="N135" s="599">
        <f t="shared" si="22"/>
        <v>0</v>
      </c>
      <c r="O135" s="599">
        <f t="shared" si="23"/>
        <v>0</v>
      </c>
      <c r="P135" s="614" t="e">
        <f t="shared" si="12"/>
        <v>#DIV/0!</v>
      </c>
      <c r="Q135" s="693">
        <f t="shared" si="15"/>
        <v>0</v>
      </c>
      <c r="R135" s="614"/>
    </row>
    <row r="136" spans="1:18" s="632" customFormat="1" ht="24" hidden="1" customHeight="1" outlineLevel="2">
      <c r="A136" s="633"/>
      <c r="B136" s="603" t="s">
        <v>1334</v>
      </c>
      <c r="C136" s="615" t="s">
        <v>576</v>
      </c>
      <c r="D136" s="627" t="s">
        <v>1335</v>
      </c>
      <c r="E136" s="598" t="s">
        <v>1091</v>
      </c>
      <c r="F136" s="648"/>
      <c r="G136" s="672">
        <v>1</v>
      </c>
      <c r="H136" s="1012" t="s">
        <v>2310</v>
      </c>
      <c r="I136" s="681"/>
      <c r="J136" s="682"/>
      <c r="K136" s="682"/>
      <c r="L136" s="569"/>
      <c r="M136" s="599">
        <f t="shared" si="21"/>
        <v>0</v>
      </c>
      <c r="N136" s="599">
        <f t="shared" si="22"/>
        <v>0</v>
      </c>
      <c r="O136" s="599">
        <f t="shared" si="23"/>
        <v>0</v>
      </c>
      <c r="P136" s="614" t="e">
        <f t="shared" si="12"/>
        <v>#DIV/0!</v>
      </c>
      <c r="Q136" s="693">
        <f t="shared" si="15"/>
        <v>0</v>
      </c>
      <c r="R136" s="614"/>
    </row>
    <row r="137" spans="1:18" s="632" customFormat="1" ht="24" hidden="1" customHeight="1" outlineLevel="2">
      <c r="A137" s="633"/>
      <c r="B137" s="603" t="s">
        <v>1336</v>
      </c>
      <c r="C137" s="604" t="s">
        <v>144</v>
      </c>
      <c r="D137" s="635" t="s">
        <v>1337</v>
      </c>
      <c r="E137" s="607" t="s">
        <v>1228</v>
      </c>
      <c r="F137" s="607"/>
      <c r="G137" s="672">
        <v>1</v>
      </c>
      <c r="H137" s="1012"/>
      <c r="I137" s="681"/>
      <c r="J137" s="682"/>
      <c r="K137" s="682"/>
      <c r="L137" s="569"/>
      <c r="M137" s="599">
        <f t="shared" si="21"/>
        <v>0</v>
      </c>
      <c r="N137" s="599">
        <f t="shared" si="22"/>
        <v>0</v>
      </c>
      <c r="O137" s="599">
        <f t="shared" si="23"/>
        <v>0</v>
      </c>
      <c r="P137" s="614" t="e">
        <f t="shared" si="12"/>
        <v>#DIV/0!</v>
      </c>
      <c r="Q137" s="693">
        <f t="shared" si="15"/>
        <v>0</v>
      </c>
      <c r="R137" s="614"/>
    </row>
    <row r="138" spans="1:18" s="632" customFormat="1" ht="24" hidden="1" customHeight="1" outlineLevel="2">
      <c r="A138" s="633"/>
      <c r="B138" s="603" t="s">
        <v>1338</v>
      </c>
      <c r="C138" s="604" t="s">
        <v>72</v>
      </c>
      <c r="D138" s="635" t="s">
        <v>1339</v>
      </c>
      <c r="E138" s="607"/>
      <c r="F138" s="607"/>
      <c r="G138" s="672">
        <v>1</v>
      </c>
      <c r="H138" s="1012"/>
      <c r="I138" s="681"/>
      <c r="J138" s="682"/>
      <c r="K138" s="682"/>
      <c r="L138" s="569"/>
      <c r="M138" s="613">
        <f>SUBTOTAL(9,M139:M140)</f>
        <v>0</v>
      </c>
      <c r="N138" s="613">
        <f>SUBTOTAL(9,N139:N140)</f>
        <v>0</v>
      </c>
      <c r="O138" s="613">
        <f>SUBTOTAL(9,O139:O140)</f>
        <v>0</v>
      </c>
      <c r="P138" s="614" t="e">
        <f t="shared" si="12"/>
        <v>#DIV/0!</v>
      </c>
      <c r="Q138" s="693">
        <f t="shared" si="15"/>
        <v>0</v>
      </c>
      <c r="R138" s="614"/>
    </row>
    <row r="139" spans="1:18" s="632" customFormat="1" ht="24" hidden="1" customHeight="1" outlineLevel="3">
      <c r="A139" s="633"/>
      <c r="B139" s="603" t="s">
        <v>1340</v>
      </c>
      <c r="C139" s="604" t="s">
        <v>39</v>
      </c>
      <c r="D139" s="635" t="s">
        <v>1341</v>
      </c>
      <c r="E139" s="607" t="s">
        <v>453</v>
      </c>
      <c r="F139" s="607"/>
      <c r="G139" s="672">
        <v>1</v>
      </c>
      <c r="H139" s="1012" t="s">
        <v>2310</v>
      </c>
      <c r="I139" s="681">
        <v>1000</v>
      </c>
      <c r="J139" s="682"/>
      <c r="K139" s="619">
        <f>J139/(1+L139)</f>
        <v>0</v>
      </c>
      <c r="L139" s="569">
        <v>0.11</v>
      </c>
      <c r="M139" s="599">
        <f t="shared" ref="M139:M149" si="24">K139*I139*G139/10000</f>
        <v>0</v>
      </c>
      <c r="N139" s="599">
        <f>M139*L139</f>
        <v>0</v>
      </c>
      <c r="O139" s="599">
        <f>M139+N139</f>
        <v>0</v>
      </c>
      <c r="P139" s="614" t="e">
        <f t="shared" si="12"/>
        <v>#DIV/0!</v>
      </c>
      <c r="Q139" s="693">
        <f>M139</f>
        <v>0</v>
      </c>
      <c r="R139" s="614"/>
    </row>
    <row r="140" spans="1:18" s="632" customFormat="1" ht="24" hidden="1" customHeight="1" outlineLevel="3">
      <c r="A140" s="633"/>
      <c r="B140" s="603" t="s">
        <v>1342</v>
      </c>
      <c r="C140" s="615" t="s">
        <v>39</v>
      </c>
      <c r="D140" s="694" t="s">
        <v>1343</v>
      </c>
      <c r="E140" s="607" t="s">
        <v>453</v>
      </c>
      <c r="F140" s="607"/>
      <c r="G140" s="672"/>
      <c r="H140" s="1012"/>
      <c r="I140" s="681"/>
      <c r="J140" s="682"/>
      <c r="K140" s="682"/>
      <c r="L140" s="569">
        <v>0.11</v>
      </c>
      <c r="M140" s="599">
        <f t="shared" si="24"/>
        <v>0</v>
      </c>
      <c r="N140" s="599">
        <f>M140*L140</f>
        <v>0</v>
      </c>
      <c r="O140" s="599">
        <f>M140+N140</f>
        <v>0</v>
      </c>
      <c r="P140" s="614" t="e">
        <f t="shared" si="12"/>
        <v>#DIV/0!</v>
      </c>
      <c r="Q140" s="693"/>
      <c r="R140" s="614"/>
    </row>
    <row r="141" spans="1:18" s="632" customFormat="1" ht="24" hidden="1" customHeight="1" outlineLevel="2">
      <c r="A141" s="633"/>
      <c r="B141" s="603" t="s">
        <v>1344</v>
      </c>
      <c r="C141" s="615" t="s">
        <v>73</v>
      </c>
      <c r="D141" s="694" t="s">
        <v>1345</v>
      </c>
      <c r="E141" s="607" t="s">
        <v>1228</v>
      </c>
      <c r="F141" s="607"/>
      <c r="G141" s="672"/>
      <c r="H141" s="1012" t="s">
        <v>2310</v>
      </c>
      <c r="I141" s="681"/>
      <c r="J141" s="682"/>
      <c r="K141" s="619">
        <f>J141/(1+L141)</f>
        <v>0</v>
      </c>
      <c r="L141" s="569">
        <v>0.11</v>
      </c>
      <c r="M141" s="614">
        <f t="shared" si="24"/>
        <v>0</v>
      </c>
      <c r="N141" s="614">
        <f>M141*L141</f>
        <v>0</v>
      </c>
      <c r="O141" s="614">
        <f>M141+N141</f>
        <v>0</v>
      </c>
      <c r="P141" s="614" t="e">
        <f t="shared" si="12"/>
        <v>#DIV/0!</v>
      </c>
      <c r="Q141" s="693"/>
      <c r="R141" s="614"/>
    </row>
    <row r="142" spans="1:18" s="632" customFormat="1" ht="24" customHeight="1" outlineLevel="1" collapsed="1">
      <c r="A142" s="633"/>
      <c r="B142" s="601" t="s">
        <v>2437</v>
      </c>
      <c r="C142" s="585">
        <v>2</v>
      </c>
      <c r="D142" s="691" t="s">
        <v>2597</v>
      </c>
      <c r="E142" s="677"/>
      <c r="F142" s="491"/>
      <c r="G142" s="493"/>
      <c r="H142" s="491"/>
      <c r="I142" s="492"/>
      <c r="J142" s="679"/>
      <c r="K142" s="679"/>
      <c r="L142" s="588"/>
      <c r="M142" s="589">
        <f>SUBTOTAL(9,M143:M149)</f>
        <v>0</v>
      </c>
      <c r="N142" s="589">
        <f>SUBTOTAL(9,N143:N149)</f>
        <v>0</v>
      </c>
      <c r="O142" s="589">
        <f>SUBTOTAL(9,O143:O149)</f>
        <v>0</v>
      </c>
      <c r="P142" s="494" t="e">
        <f>IF(O142="","",O142*10000/F$3)</f>
        <v>#DIV/0!</v>
      </c>
      <c r="Q142" s="494">
        <f t="shared" si="15"/>
        <v>0</v>
      </c>
      <c r="R142" s="494"/>
    </row>
    <row r="143" spans="1:18" s="695" customFormat="1" ht="24" hidden="1" customHeight="1" outlineLevel="2">
      <c r="A143" s="633"/>
      <c r="B143" s="603" t="s">
        <v>605</v>
      </c>
      <c r="C143" s="604" t="s">
        <v>2589</v>
      </c>
      <c r="D143" s="663" t="s">
        <v>2598</v>
      </c>
      <c r="E143" s="607" t="s">
        <v>458</v>
      </c>
      <c r="F143" s="607" t="s">
        <v>2394</v>
      </c>
      <c r="G143" s="568">
        <v>1</v>
      </c>
      <c r="H143" s="685" t="s">
        <v>2564</v>
      </c>
      <c r="I143" s="685">
        <f>D3</f>
        <v>0</v>
      </c>
      <c r="J143" s="686">
        <v>5</v>
      </c>
      <c r="K143" s="619">
        <f t="shared" ref="K143:K149" si="25">J143/(1+L143)</f>
        <v>4.5045045045045038</v>
      </c>
      <c r="L143" s="569">
        <v>0.11</v>
      </c>
      <c r="M143" s="614">
        <f t="shared" si="24"/>
        <v>0</v>
      </c>
      <c r="N143" s="599">
        <f t="shared" ref="N143:N149" si="26">M143*L143</f>
        <v>0</v>
      </c>
      <c r="O143" s="599">
        <f t="shared" ref="O143:O149" si="27">M143+N143</f>
        <v>0</v>
      </c>
      <c r="P143" s="614" t="e">
        <f>IF(O143="","",O143*10000/F$3)</f>
        <v>#DIV/0!</v>
      </c>
      <c r="Q143" s="614">
        <f t="shared" si="15"/>
        <v>0</v>
      </c>
      <c r="R143" s="614"/>
    </row>
    <row r="144" spans="1:18" s="695" customFormat="1" ht="24" hidden="1" customHeight="1" outlineLevel="2">
      <c r="A144" s="633"/>
      <c r="B144" s="603" t="s">
        <v>606</v>
      </c>
      <c r="C144" s="604" t="s">
        <v>2556</v>
      </c>
      <c r="D144" s="663" t="s">
        <v>2599</v>
      </c>
      <c r="E144" s="607" t="s">
        <v>458</v>
      </c>
      <c r="F144" s="607" t="s">
        <v>2394</v>
      </c>
      <c r="G144" s="568">
        <v>1</v>
      </c>
      <c r="H144" s="685" t="s">
        <v>2564</v>
      </c>
      <c r="I144" s="685">
        <f>D3</f>
        <v>0</v>
      </c>
      <c r="J144" s="686">
        <v>6</v>
      </c>
      <c r="K144" s="619">
        <f t="shared" si="25"/>
        <v>5.4054054054054053</v>
      </c>
      <c r="L144" s="569">
        <v>0.11</v>
      </c>
      <c r="M144" s="614">
        <f t="shared" si="24"/>
        <v>0</v>
      </c>
      <c r="N144" s="599">
        <f t="shared" si="26"/>
        <v>0</v>
      </c>
      <c r="O144" s="599">
        <f t="shared" si="27"/>
        <v>0</v>
      </c>
      <c r="P144" s="614" t="e">
        <f t="shared" ref="P144:P149" si="28">IF(O144="","",O144*10000/F$3)</f>
        <v>#DIV/0!</v>
      </c>
      <c r="Q144" s="614">
        <f t="shared" si="15"/>
        <v>0</v>
      </c>
      <c r="R144" s="614"/>
    </row>
    <row r="145" spans="1:18" s="695" customFormat="1" ht="24" hidden="1" customHeight="1" outlineLevel="2">
      <c r="A145" s="633"/>
      <c r="B145" s="603" t="s">
        <v>607</v>
      </c>
      <c r="C145" s="604" t="s">
        <v>2561</v>
      </c>
      <c r="D145" s="663" t="s">
        <v>2600</v>
      </c>
      <c r="E145" s="607" t="s">
        <v>458</v>
      </c>
      <c r="F145" s="607" t="s">
        <v>2394</v>
      </c>
      <c r="G145" s="568">
        <v>1</v>
      </c>
      <c r="H145" s="685" t="s">
        <v>2564</v>
      </c>
      <c r="I145" s="685">
        <f>D3</f>
        <v>0</v>
      </c>
      <c r="J145" s="686">
        <v>2</v>
      </c>
      <c r="K145" s="619">
        <f t="shared" si="25"/>
        <v>1.8018018018018016</v>
      </c>
      <c r="L145" s="569">
        <v>0.11</v>
      </c>
      <c r="M145" s="614">
        <f t="shared" si="24"/>
        <v>0</v>
      </c>
      <c r="N145" s="599">
        <f t="shared" si="26"/>
        <v>0</v>
      </c>
      <c r="O145" s="599">
        <f t="shared" si="27"/>
        <v>0</v>
      </c>
      <c r="P145" s="614" t="e">
        <f t="shared" si="28"/>
        <v>#DIV/0!</v>
      </c>
      <c r="Q145" s="614">
        <f t="shared" si="15"/>
        <v>0</v>
      </c>
      <c r="R145" s="614"/>
    </row>
    <row r="146" spans="1:18" s="695" customFormat="1" ht="24" hidden="1" customHeight="1" outlineLevel="2">
      <c r="A146" s="633"/>
      <c r="B146" s="603" t="s">
        <v>608</v>
      </c>
      <c r="C146" s="604" t="s">
        <v>2601</v>
      </c>
      <c r="D146" s="663" t="s">
        <v>2602</v>
      </c>
      <c r="E146" s="607" t="s">
        <v>458</v>
      </c>
      <c r="F146" s="607" t="s">
        <v>2394</v>
      </c>
      <c r="G146" s="568">
        <v>1</v>
      </c>
      <c r="H146" s="685" t="s">
        <v>2564</v>
      </c>
      <c r="I146" s="685">
        <f>D3</f>
        <v>0</v>
      </c>
      <c r="J146" s="686">
        <v>2</v>
      </c>
      <c r="K146" s="619">
        <f t="shared" si="25"/>
        <v>1.8018018018018016</v>
      </c>
      <c r="L146" s="569">
        <v>0.11</v>
      </c>
      <c r="M146" s="614">
        <f t="shared" si="24"/>
        <v>0</v>
      </c>
      <c r="N146" s="599">
        <f t="shared" si="26"/>
        <v>0</v>
      </c>
      <c r="O146" s="599">
        <f t="shared" si="27"/>
        <v>0</v>
      </c>
      <c r="P146" s="614" t="e">
        <f t="shared" si="28"/>
        <v>#DIV/0!</v>
      </c>
      <c r="Q146" s="614">
        <f t="shared" si="15"/>
        <v>0</v>
      </c>
      <c r="R146" s="614"/>
    </row>
    <row r="147" spans="1:18" s="695" customFormat="1" ht="24" hidden="1" customHeight="1" outlineLevel="2">
      <c r="A147" s="633"/>
      <c r="B147" s="603" t="s">
        <v>609</v>
      </c>
      <c r="C147" s="604" t="s">
        <v>2603</v>
      </c>
      <c r="D147" s="663" t="s">
        <v>2604</v>
      </c>
      <c r="E147" s="607" t="s">
        <v>458</v>
      </c>
      <c r="F147" s="607" t="s">
        <v>2394</v>
      </c>
      <c r="G147" s="568">
        <v>1</v>
      </c>
      <c r="H147" s="685" t="s">
        <v>2564</v>
      </c>
      <c r="I147" s="685">
        <f>D3</f>
        <v>0</v>
      </c>
      <c r="J147" s="686">
        <v>0.5</v>
      </c>
      <c r="K147" s="619">
        <f t="shared" si="25"/>
        <v>0.4504504504504504</v>
      </c>
      <c r="L147" s="569">
        <v>0.11</v>
      </c>
      <c r="M147" s="614">
        <f t="shared" si="24"/>
        <v>0</v>
      </c>
      <c r="N147" s="599">
        <f t="shared" si="26"/>
        <v>0</v>
      </c>
      <c r="O147" s="599">
        <f t="shared" si="27"/>
        <v>0</v>
      </c>
      <c r="P147" s="614" t="e">
        <f t="shared" si="28"/>
        <v>#DIV/0!</v>
      </c>
      <c r="Q147" s="614">
        <f t="shared" si="15"/>
        <v>0</v>
      </c>
      <c r="R147" s="614"/>
    </row>
    <row r="148" spans="1:18" s="695" customFormat="1" ht="24" hidden="1" customHeight="1" outlineLevel="2">
      <c r="A148" s="633"/>
      <c r="B148" s="603" t="s">
        <v>610</v>
      </c>
      <c r="C148" s="604" t="s">
        <v>2605</v>
      </c>
      <c r="D148" s="663" t="s">
        <v>2606</v>
      </c>
      <c r="E148" s="607" t="s">
        <v>458</v>
      </c>
      <c r="F148" s="607" t="s">
        <v>2394</v>
      </c>
      <c r="G148" s="568">
        <v>1</v>
      </c>
      <c r="H148" s="685" t="s">
        <v>2564</v>
      </c>
      <c r="I148" s="685">
        <f>D3</f>
        <v>0</v>
      </c>
      <c r="J148" s="686">
        <v>0.5</v>
      </c>
      <c r="K148" s="619">
        <f t="shared" si="25"/>
        <v>0.4504504504504504</v>
      </c>
      <c r="L148" s="569">
        <v>0.11</v>
      </c>
      <c r="M148" s="614">
        <f t="shared" si="24"/>
        <v>0</v>
      </c>
      <c r="N148" s="599">
        <f t="shared" si="26"/>
        <v>0</v>
      </c>
      <c r="O148" s="599">
        <f t="shared" si="27"/>
        <v>0</v>
      </c>
      <c r="P148" s="614" t="e">
        <f t="shared" si="28"/>
        <v>#DIV/0!</v>
      </c>
      <c r="Q148" s="614">
        <f t="shared" si="15"/>
        <v>0</v>
      </c>
      <c r="R148" s="614"/>
    </row>
    <row r="149" spans="1:18" ht="24" hidden="1" customHeight="1" outlineLevel="2">
      <c r="A149" s="600"/>
      <c r="B149" s="603" t="s">
        <v>2607</v>
      </c>
      <c r="C149" s="604" t="s">
        <v>2608</v>
      </c>
      <c r="D149" s="663" t="s">
        <v>2609</v>
      </c>
      <c r="E149" s="607" t="s">
        <v>458</v>
      </c>
      <c r="F149" s="607" t="s">
        <v>2610</v>
      </c>
      <c r="G149" s="568">
        <v>1</v>
      </c>
      <c r="H149" s="685" t="s">
        <v>2611</v>
      </c>
      <c r="I149" s="685">
        <f>D3</f>
        <v>0</v>
      </c>
      <c r="J149" s="686">
        <v>0.5</v>
      </c>
      <c r="K149" s="619">
        <f t="shared" si="25"/>
        <v>0.4504504504504504</v>
      </c>
      <c r="L149" s="569">
        <v>0.11</v>
      </c>
      <c r="M149" s="614">
        <f t="shared" si="24"/>
        <v>0</v>
      </c>
      <c r="N149" s="599">
        <f t="shared" si="26"/>
        <v>0</v>
      </c>
      <c r="O149" s="599">
        <f t="shared" si="27"/>
        <v>0</v>
      </c>
      <c r="P149" s="614" t="e">
        <f t="shared" si="28"/>
        <v>#DIV/0!</v>
      </c>
      <c r="Q149" s="614">
        <f t="shared" si="15"/>
        <v>0</v>
      </c>
      <c r="R149" s="614"/>
    </row>
    <row r="150" spans="1:18" s="632" customFormat="1" ht="24" customHeight="1" outlineLevel="1" collapsed="1">
      <c r="A150" s="633"/>
      <c r="B150" s="601" t="s">
        <v>2439</v>
      </c>
      <c r="C150" s="585">
        <v>3</v>
      </c>
      <c r="D150" s="691" t="s">
        <v>2440</v>
      </c>
      <c r="E150" s="677"/>
      <c r="F150" s="491"/>
      <c r="G150" s="493"/>
      <c r="H150" s="696"/>
      <c r="I150" s="696"/>
      <c r="J150" s="492" t="e">
        <f>+O150*10000/P3</f>
        <v>#DIV/0!</v>
      </c>
      <c r="K150" s="679"/>
      <c r="L150" s="588"/>
      <c r="M150" s="589">
        <f>SUBTOTAL(9,M151:M173)</f>
        <v>0</v>
      </c>
      <c r="N150" s="589">
        <f>SUBTOTAL(9,N151:N173)</f>
        <v>0</v>
      </c>
      <c r="O150" s="589">
        <f>SUBTOTAL(9,O151:O173)</f>
        <v>0</v>
      </c>
      <c r="P150" s="589" t="e">
        <f>IF(O150="","",O150*10000/F$3)</f>
        <v>#DIV/0!</v>
      </c>
      <c r="Q150" s="589">
        <f t="shared" si="15"/>
        <v>0</v>
      </c>
      <c r="R150" s="589"/>
    </row>
    <row r="151" spans="1:18" ht="24" hidden="1" customHeight="1" outlineLevel="2">
      <c r="A151" s="600"/>
      <c r="B151" s="603" t="s">
        <v>1355</v>
      </c>
      <c r="C151" s="604" t="s">
        <v>1096</v>
      </c>
      <c r="D151" s="635" t="s">
        <v>1356</v>
      </c>
      <c r="E151" s="680"/>
      <c r="F151" s="607"/>
      <c r="G151" s="568"/>
      <c r="H151" s="685"/>
      <c r="I151" s="685"/>
      <c r="J151" s="686"/>
      <c r="K151" s="686"/>
      <c r="L151" s="569"/>
      <c r="M151" s="613">
        <f>SUBTOTAL(9,M152:M153)</f>
        <v>0</v>
      </c>
      <c r="N151" s="613">
        <f>SUBTOTAL(9,N152:N153)</f>
        <v>0</v>
      </c>
      <c r="O151" s="613">
        <f>SUBTOTAL(9,O152:O153)</f>
        <v>0</v>
      </c>
      <c r="P151" s="614" t="e">
        <f>IF(O151="","",O151*10000/F$3)</f>
        <v>#DIV/0!</v>
      </c>
      <c r="Q151" s="1022">
        <f t="shared" si="15"/>
        <v>0</v>
      </c>
      <c r="R151" s="1022"/>
    </row>
    <row r="152" spans="1:18" s="632" customFormat="1" ht="24" hidden="1" customHeight="1" outlineLevel="3">
      <c r="A152" s="633"/>
      <c r="B152" s="603" t="s">
        <v>1357</v>
      </c>
      <c r="C152" s="615" t="s">
        <v>39</v>
      </c>
      <c r="D152" s="697" t="s">
        <v>1358</v>
      </c>
      <c r="E152" s="615" t="s">
        <v>1359</v>
      </c>
      <c r="F152" s="615" t="s">
        <v>2612</v>
      </c>
      <c r="G152" s="672">
        <v>0.2</v>
      </c>
      <c r="H152" s="681" t="s">
        <v>2613</v>
      </c>
      <c r="I152" s="681">
        <f>$P$3</f>
        <v>0</v>
      </c>
      <c r="J152" s="698">
        <v>132</v>
      </c>
      <c r="K152" s="619">
        <f>J152/(1+L152)</f>
        <v>118.91891891891891</v>
      </c>
      <c r="L152" s="569">
        <v>0.11</v>
      </c>
      <c r="M152" s="614">
        <f t="shared" ref="M152:M173" si="29">K152*I152*G152/10000</f>
        <v>0</v>
      </c>
      <c r="N152" s="599">
        <f>M152*L152</f>
        <v>0</v>
      </c>
      <c r="O152" s="599">
        <f>M152+N152</f>
        <v>0</v>
      </c>
      <c r="P152" s="614" t="e">
        <f>IF(O152="","",O152*10000/F$3)</f>
        <v>#DIV/0!</v>
      </c>
      <c r="Q152" s="614">
        <f t="shared" si="15"/>
        <v>0</v>
      </c>
      <c r="R152" s="614"/>
    </row>
    <row r="153" spans="1:18" s="632" customFormat="1" ht="24" hidden="1" customHeight="1" outlineLevel="3">
      <c r="A153" s="633"/>
      <c r="B153" s="603" t="s">
        <v>1360</v>
      </c>
      <c r="C153" s="615" t="s">
        <v>39</v>
      </c>
      <c r="D153" s="697" t="s">
        <v>1361</v>
      </c>
      <c r="E153" s="615" t="s">
        <v>453</v>
      </c>
      <c r="F153" s="615" t="s">
        <v>2612</v>
      </c>
      <c r="G153" s="672">
        <v>0.8</v>
      </c>
      <c r="H153" s="1012" t="s">
        <v>2587</v>
      </c>
      <c r="I153" s="681">
        <f>$P$3</f>
        <v>0</v>
      </c>
      <c r="J153" s="682">
        <v>180</v>
      </c>
      <c r="K153" s="619">
        <f>J153/(1+L153)</f>
        <v>162.16216216216216</v>
      </c>
      <c r="L153" s="569">
        <v>0.11</v>
      </c>
      <c r="M153" s="614">
        <f t="shared" si="29"/>
        <v>0</v>
      </c>
      <c r="N153" s="599">
        <f>M153*L153</f>
        <v>0</v>
      </c>
      <c r="O153" s="599">
        <f>M153+N153</f>
        <v>0</v>
      </c>
      <c r="P153" s="614" t="e">
        <f t="shared" ref="P153:P173" si="30">IF(O153="","",O153*10000/F$3)</f>
        <v>#DIV/0!</v>
      </c>
      <c r="Q153" s="614">
        <f t="shared" si="15"/>
        <v>0</v>
      </c>
      <c r="R153" s="614"/>
    </row>
    <row r="154" spans="1:18" s="632" customFormat="1" ht="24" hidden="1" customHeight="1" outlineLevel="2">
      <c r="A154" s="633"/>
      <c r="B154" s="603" t="s">
        <v>612</v>
      </c>
      <c r="C154" s="615" t="s">
        <v>68</v>
      </c>
      <c r="D154" s="697" t="s">
        <v>1362</v>
      </c>
      <c r="E154" s="615"/>
      <c r="F154" s="615"/>
      <c r="G154" s="672"/>
      <c r="H154" s="1012"/>
      <c r="I154" s="681"/>
      <c r="J154" s="682"/>
      <c r="K154" s="682"/>
      <c r="L154" s="569"/>
      <c r="M154" s="613">
        <f>SUBTOTAL(9,M155:M157)</f>
        <v>0</v>
      </c>
      <c r="N154" s="613">
        <f>SUBTOTAL(9,N155:N157)</f>
        <v>0</v>
      </c>
      <c r="O154" s="613">
        <f>SUBTOTAL(9,O155:O157)</f>
        <v>0</v>
      </c>
      <c r="P154" s="614" t="e">
        <f t="shared" si="30"/>
        <v>#DIV/0!</v>
      </c>
      <c r="Q154" s="614">
        <f t="shared" si="15"/>
        <v>0</v>
      </c>
      <c r="R154" s="614"/>
    </row>
    <row r="155" spans="1:18" s="632" customFormat="1" ht="24" hidden="1" customHeight="1" outlineLevel="3">
      <c r="A155" s="633"/>
      <c r="B155" s="603" t="s">
        <v>613</v>
      </c>
      <c r="C155" s="615" t="s">
        <v>39</v>
      </c>
      <c r="D155" s="697" t="s">
        <v>549</v>
      </c>
      <c r="E155" s="615" t="s">
        <v>1363</v>
      </c>
      <c r="F155" s="615" t="s">
        <v>2612</v>
      </c>
      <c r="G155" s="672">
        <v>1</v>
      </c>
      <c r="H155" s="1012" t="s">
        <v>101</v>
      </c>
      <c r="I155" s="681">
        <f>P3</f>
        <v>0</v>
      </c>
      <c r="J155" s="682"/>
      <c r="K155" s="619">
        <f>J155/(1+L155)</f>
        <v>0</v>
      </c>
      <c r="L155" s="569">
        <v>0.11</v>
      </c>
      <c r="M155" s="614">
        <f t="shared" si="29"/>
        <v>0</v>
      </c>
      <c r="N155" s="599">
        <f>M155*L155</f>
        <v>0</v>
      </c>
      <c r="O155" s="599">
        <f>M155+N155</f>
        <v>0</v>
      </c>
      <c r="P155" s="614" t="e">
        <f t="shared" si="30"/>
        <v>#DIV/0!</v>
      </c>
      <c r="Q155" s="614">
        <f t="shared" si="15"/>
        <v>0</v>
      </c>
      <c r="R155" s="614"/>
    </row>
    <row r="156" spans="1:18" ht="24" hidden="1" customHeight="1" outlineLevel="3">
      <c r="A156" s="600"/>
      <c r="B156" s="603" t="s">
        <v>614</v>
      </c>
      <c r="C156" s="604" t="s">
        <v>39</v>
      </c>
      <c r="D156" s="635" t="s">
        <v>550</v>
      </c>
      <c r="E156" s="607" t="s">
        <v>453</v>
      </c>
      <c r="F156" s="615" t="s">
        <v>611</v>
      </c>
      <c r="G156" s="672">
        <v>1</v>
      </c>
      <c r="H156" s="1012" t="s">
        <v>101</v>
      </c>
      <c r="I156" s="681">
        <f>P3</f>
        <v>0</v>
      </c>
      <c r="J156" s="682"/>
      <c r="K156" s="619">
        <f>J156/(1+L156)</f>
        <v>0</v>
      </c>
      <c r="L156" s="569">
        <v>0.11</v>
      </c>
      <c r="M156" s="614">
        <f t="shared" si="29"/>
        <v>0</v>
      </c>
      <c r="N156" s="599">
        <f>M156*L156</f>
        <v>0</v>
      </c>
      <c r="O156" s="599">
        <f>M156+N156</f>
        <v>0</v>
      </c>
      <c r="P156" s="614" t="e">
        <f t="shared" si="30"/>
        <v>#DIV/0!</v>
      </c>
      <c r="Q156" s="614">
        <f t="shared" si="15"/>
        <v>0</v>
      </c>
      <c r="R156" s="614"/>
    </row>
    <row r="157" spans="1:18" ht="24" hidden="1" customHeight="1" outlineLevel="3">
      <c r="A157" s="600"/>
      <c r="B157" s="603" t="s">
        <v>615</v>
      </c>
      <c r="C157" s="615" t="s">
        <v>39</v>
      </c>
      <c r="D157" s="699" t="s">
        <v>551</v>
      </c>
      <c r="E157" s="615" t="s">
        <v>1363</v>
      </c>
      <c r="F157" s="615"/>
      <c r="G157" s="672">
        <v>1</v>
      </c>
      <c r="H157" s="1012" t="s">
        <v>584</v>
      </c>
      <c r="I157" s="681">
        <v>10000</v>
      </c>
      <c r="J157" s="682"/>
      <c r="K157" s="619">
        <f>J157/(1+L157)</f>
        <v>0</v>
      </c>
      <c r="L157" s="569">
        <v>0.11</v>
      </c>
      <c r="M157" s="614">
        <f t="shared" si="29"/>
        <v>0</v>
      </c>
      <c r="N157" s="599">
        <f>M157*L157</f>
        <v>0</v>
      </c>
      <c r="O157" s="599">
        <f>M157+N157</f>
        <v>0</v>
      </c>
      <c r="P157" s="614" t="e">
        <f t="shared" si="30"/>
        <v>#DIV/0!</v>
      </c>
      <c r="Q157" s="614">
        <f t="shared" si="15"/>
        <v>0</v>
      </c>
      <c r="R157" s="614"/>
    </row>
    <row r="158" spans="1:18" ht="24" hidden="1" customHeight="1" outlineLevel="2">
      <c r="A158" s="600"/>
      <c r="B158" s="603" t="s">
        <v>616</v>
      </c>
      <c r="C158" s="615" t="s">
        <v>69</v>
      </c>
      <c r="D158" s="699" t="s">
        <v>1364</v>
      </c>
      <c r="E158" s="665"/>
      <c r="F158" s="665"/>
      <c r="G158" s="693"/>
      <c r="H158" s="693"/>
      <c r="I158" s="700"/>
      <c r="J158" s="686"/>
      <c r="K158" s="686"/>
      <c r="L158" s="569"/>
      <c r="M158" s="613">
        <f>SUBTOTAL(9,M159:M163)</f>
        <v>0</v>
      </c>
      <c r="N158" s="613">
        <f>SUBTOTAL(9,N159:N163)</f>
        <v>0</v>
      </c>
      <c r="O158" s="613">
        <f>SUBTOTAL(9,O159:O163)</f>
        <v>0</v>
      </c>
      <c r="P158" s="614" t="e">
        <f t="shared" si="30"/>
        <v>#DIV/0!</v>
      </c>
      <c r="Q158" s="614">
        <f t="shared" si="15"/>
        <v>0</v>
      </c>
      <c r="R158" s="614"/>
    </row>
    <row r="159" spans="1:18" s="600" customFormat="1" ht="24" hidden="1" customHeight="1" outlineLevel="3" collapsed="1">
      <c r="B159" s="603" t="s">
        <v>617</v>
      </c>
      <c r="C159" s="1012" t="s">
        <v>39</v>
      </c>
      <c r="D159" s="701" t="s">
        <v>552</v>
      </c>
      <c r="E159" s="648" t="s">
        <v>1294</v>
      </c>
      <c r="F159" s="648"/>
      <c r="G159" s="693">
        <v>1</v>
      </c>
      <c r="H159" s="1012" t="s">
        <v>111</v>
      </c>
      <c r="I159" s="681">
        <f>'3-规划指标'!D6</f>
        <v>0</v>
      </c>
      <c r="J159" s="702">
        <v>150</v>
      </c>
      <c r="K159" s="619">
        <f t="shared" ref="K159:K166" si="31">J159/(1+L159)</f>
        <v>135.13513513513513</v>
      </c>
      <c r="L159" s="703">
        <v>0.11</v>
      </c>
      <c r="M159" s="614">
        <f t="shared" si="29"/>
        <v>0</v>
      </c>
      <c r="N159" s="599">
        <f>M159*L159</f>
        <v>0</v>
      </c>
      <c r="O159" s="599">
        <f>M159+N159</f>
        <v>0</v>
      </c>
      <c r="P159" s="614" t="e">
        <f t="shared" si="30"/>
        <v>#DIV/0!</v>
      </c>
      <c r="Q159" s="614">
        <f t="shared" si="15"/>
        <v>0</v>
      </c>
      <c r="R159" s="614"/>
    </row>
    <row r="160" spans="1:18" s="600" customFormat="1" ht="24" hidden="1" customHeight="1" outlineLevel="3">
      <c r="B160" s="603" t="s">
        <v>618</v>
      </c>
      <c r="C160" s="604" t="s">
        <v>39</v>
      </c>
      <c r="D160" s="635" t="s">
        <v>553</v>
      </c>
      <c r="E160" s="607" t="s">
        <v>453</v>
      </c>
      <c r="F160" s="607"/>
      <c r="G160" s="568">
        <v>1</v>
      </c>
      <c r="H160" s="1012" t="s">
        <v>111</v>
      </c>
      <c r="I160" s="700">
        <f>'3-规划指标'!F6</f>
        <v>0</v>
      </c>
      <c r="J160" s="686">
        <v>100</v>
      </c>
      <c r="K160" s="619">
        <f t="shared" si="31"/>
        <v>90.090090090090087</v>
      </c>
      <c r="L160" s="569">
        <v>0.11</v>
      </c>
      <c r="M160" s="614">
        <f t="shared" si="29"/>
        <v>0</v>
      </c>
      <c r="N160" s="599">
        <f>M160*L160</f>
        <v>0</v>
      </c>
      <c r="O160" s="599">
        <f>M160+N160</f>
        <v>0</v>
      </c>
      <c r="P160" s="614" t="e">
        <f t="shared" si="30"/>
        <v>#DIV/0!</v>
      </c>
      <c r="Q160" s="1022">
        <f t="shared" si="15"/>
        <v>0</v>
      </c>
      <c r="R160" s="1022"/>
    </row>
    <row r="161" spans="1:18" s="600" customFormat="1" ht="24" hidden="1" customHeight="1" outlineLevel="3">
      <c r="B161" s="603" t="s">
        <v>619</v>
      </c>
      <c r="C161" s="1012" t="s">
        <v>39</v>
      </c>
      <c r="D161" s="701" t="s">
        <v>554</v>
      </c>
      <c r="E161" s="648" t="s">
        <v>453</v>
      </c>
      <c r="F161" s="648"/>
      <c r="G161" s="686">
        <v>0.2</v>
      </c>
      <c r="H161" s="1012" t="s">
        <v>111</v>
      </c>
      <c r="I161" s="700">
        <f>P3</f>
        <v>0</v>
      </c>
      <c r="J161" s="686">
        <v>50</v>
      </c>
      <c r="K161" s="619">
        <f t="shared" si="31"/>
        <v>45.045045045045043</v>
      </c>
      <c r="L161" s="569">
        <v>0.11</v>
      </c>
      <c r="M161" s="614">
        <f t="shared" si="29"/>
        <v>0</v>
      </c>
      <c r="N161" s="599">
        <f>M161*L161</f>
        <v>0</v>
      </c>
      <c r="O161" s="599">
        <f>M161+N161</f>
        <v>0</v>
      </c>
      <c r="P161" s="614" t="e">
        <f t="shared" si="30"/>
        <v>#DIV/0!</v>
      </c>
      <c r="Q161" s="614">
        <f t="shared" si="15"/>
        <v>0</v>
      </c>
      <c r="R161" s="614"/>
    </row>
    <row r="162" spans="1:18" s="600" customFormat="1" ht="24" hidden="1" customHeight="1" outlineLevel="3">
      <c r="B162" s="603" t="s">
        <v>620</v>
      </c>
      <c r="C162" s="1012" t="s">
        <v>39</v>
      </c>
      <c r="D162" s="701" t="s">
        <v>555</v>
      </c>
      <c r="E162" s="648" t="s">
        <v>453</v>
      </c>
      <c r="F162" s="648"/>
      <c r="G162" s="686">
        <v>1</v>
      </c>
      <c r="H162" s="1012" t="s">
        <v>111</v>
      </c>
      <c r="I162" s="700">
        <f>'3-规划指标'!G8</f>
        <v>0</v>
      </c>
      <c r="J162" s="686">
        <v>200</v>
      </c>
      <c r="K162" s="619">
        <f t="shared" si="31"/>
        <v>180.18018018018017</v>
      </c>
      <c r="L162" s="569">
        <v>0.11</v>
      </c>
      <c r="M162" s="614">
        <f t="shared" si="29"/>
        <v>0</v>
      </c>
      <c r="N162" s="599">
        <f>M162*L162</f>
        <v>0</v>
      </c>
      <c r="O162" s="599">
        <f>M162+N162</f>
        <v>0</v>
      </c>
      <c r="P162" s="614" t="e">
        <f t="shared" si="30"/>
        <v>#DIV/0!</v>
      </c>
      <c r="Q162" s="614">
        <f t="shared" si="15"/>
        <v>0</v>
      </c>
      <c r="R162" s="614"/>
    </row>
    <row r="163" spans="1:18" s="600" customFormat="1" ht="24" hidden="1" customHeight="1" outlineLevel="3">
      <c r="B163" s="603" t="s">
        <v>621</v>
      </c>
      <c r="C163" s="1012" t="s">
        <v>39</v>
      </c>
      <c r="D163" s="701" t="s">
        <v>556</v>
      </c>
      <c r="E163" s="648" t="s">
        <v>453</v>
      </c>
      <c r="F163" s="648"/>
      <c r="G163" s="686">
        <v>1</v>
      </c>
      <c r="H163" s="1012" t="s">
        <v>111</v>
      </c>
      <c r="I163" s="700">
        <f>'3-规划指标'!H8</f>
        <v>0</v>
      </c>
      <c r="J163" s="686">
        <v>150</v>
      </c>
      <c r="K163" s="619">
        <f t="shared" si="31"/>
        <v>135.13513513513513</v>
      </c>
      <c r="L163" s="569">
        <v>0.11</v>
      </c>
      <c r="M163" s="614">
        <f t="shared" si="29"/>
        <v>0</v>
      </c>
      <c r="N163" s="599">
        <f>M163*L163</f>
        <v>0</v>
      </c>
      <c r="O163" s="599">
        <f>M163+N163</f>
        <v>0</v>
      </c>
      <c r="P163" s="614" t="e">
        <f t="shared" si="30"/>
        <v>#DIV/0!</v>
      </c>
      <c r="Q163" s="614">
        <f t="shared" ref="Q163:Q226" si="32">M163</f>
        <v>0</v>
      </c>
      <c r="R163" s="614"/>
    </row>
    <row r="164" spans="1:18" s="600" customFormat="1" ht="24" hidden="1" customHeight="1" outlineLevel="2">
      <c r="B164" s="603" t="s">
        <v>622</v>
      </c>
      <c r="C164" s="1012" t="s">
        <v>70</v>
      </c>
      <c r="D164" s="701" t="s">
        <v>1365</v>
      </c>
      <c r="E164" s="648"/>
      <c r="F164" s="648"/>
      <c r="G164" s="686"/>
      <c r="H164" s="1012"/>
      <c r="I164" s="700"/>
      <c r="J164" s="686"/>
      <c r="K164" s="686"/>
      <c r="L164" s="569"/>
      <c r="M164" s="613">
        <f>SUBTOTAL(9,M165:M166)</f>
        <v>0</v>
      </c>
      <c r="N164" s="613">
        <f>SUBTOTAL(9,N165:N166)</f>
        <v>0</v>
      </c>
      <c r="O164" s="613">
        <f>SUBTOTAL(9,O165:O166)</f>
        <v>0</v>
      </c>
      <c r="P164" s="614" t="e">
        <f t="shared" si="30"/>
        <v>#DIV/0!</v>
      </c>
      <c r="Q164" s="614">
        <f t="shared" si="32"/>
        <v>0</v>
      </c>
      <c r="R164" s="614"/>
    </row>
    <row r="165" spans="1:18" s="600" customFormat="1" ht="24" hidden="1" customHeight="1" outlineLevel="3">
      <c r="B165" s="603" t="s">
        <v>623</v>
      </c>
      <c r="C165" s="1012" t="s">
        <v>39</v>
      </c>
      <c r="D165" s="701" t="s">
        <v>1366</v>
      </c>
      <c r="E165" s="648" t="s">
        <v>453</v>
      </c>
      <c r="F165" s="648" t="s">
        <v>443</v>
      </c>
      <c r="G165" s="686">
        <v>1</v>
      </c>
      <c r="H165" s="1012" t="s">
        <v>135</v>
      </c>
      <c r="I165" s="700">
        <f>'3-规划指标'!M8</f>
        <v>0</v>
      </c>
      <c r="J165" s="686"/>
      <c r="K165" s="619">
        <f t="shared" si="31"/>
        <v>0</v>
      </c>
      <c r="L165" s="569"/>
      <c r="M165" s="614">
        <f t="shared" si="29"/>
        <v>0</v>
      </c>
      <c r="N165" s="599">
        <f>M165*L165</f>
        <v>0</v>
      </c>
      <c r="O165" s="599">
        <f>M165+N165</f>
        <v>0</v>
      </c>
      <c r="P165" s="614" t="e">
        <f t="shared" si="30"/>
        <v>#DIV/0!</v>
      </c>
      <c r="Q165" s="614">
        <f t="shared" si="32"/>
        <v>0</v>
      </c>
      <c r="R165" s="614"/>
    </row>
    <row r="166" spans="1:18" s="600" customFormat="1" ht="24" hidden="1" customHeight="1" outlineLevel="3">
      <c r="B166" s="603" t="s">
        <v>1367</v>
      </c>
      <c r="C166" s="1012" t="s">
        <v>39</v>
      </c>
      <c r="D166" s="701" t="s">
        <v>1368</v>
      </c>
      <c r="E166" s="648" t="s">
        <v>453</v>
      </c>
      <c r="F166" s="648" t="s">
        <v>443</v>
      </c>
      <c r="G166" s="686">
        <v>1</v>
      </c>
      <c r="H166" s="1012" t="s">
        <v>135</v>
      </c>
      <c r="I166" s="700">
        <f>'3-规划指标'!M4</f>
        <v>0</v>
      </c>
      <c r="J166" s="686">
        <v>320</v>
      </c>
      <c r="K166" s="619">
        <f t="shared" si="31"/>
        <v>288.28828828828824</v>
      </c>
      <c r="L166" s="569">
        <v>0.11</v>
      </c>
      <c r="M166" s="614">
        <f t="shared" si="29"/>
        <v>0</v>
      </c>
      <c r="N166" s="599">
        <f>M166*L166</f>
        <v>0</v>
      </c>
      <c r="O166" s="599">
        <f>M166+N166</f>
        <v>0</v>
      </c>
      <c r="P166" s="614" t="e">
        <f t="shared" si="30"/>
        <v>#DIV/0!</v>
      </c>
      <c r="Q166" s="614"/>
      <c r="R166" s="614"/>
    </row>
    <row r="167" spans="1:18" ht="24" hidden="1" customHeight="1" outlineLevel="2">
      <c r="A167" s="600"/>
      <c r="B167" s="603" t="s">
        <v>1369</v>
      </c>
      <c r="C167" s="615" t="s">
        <v>71</v>
      </c>
      <c r="D167" s="699" t="s">
        <v>557</v>
      </c>
      <c r="E167" s="665"/>
      <c r="F167" s="665"/>
      <c r="G167" s="686"/>
      <c r="H167" s="1012"/>
      <c r="I167" s="700"/>
      <c r="J167" s="686"/>
      <c r="K167" s="686"/>
      <c r="L167" s="569"/>
      <c r="M167" s="613">
        <f>SUBTOTAL(9,M168:M169)</f>
        <v>0</v>
      </c>
      <c r="N167" s="613">
        <f>SUBTOTAL(9,N168:N169)</f>
        <v>0</v>
      </c>
      <c r="O167" s="613">
        <f>SUBTOTAL(9,O168:O169)</f>
        <v>0</v>
      </c>
      <c r="P167" s="614" t="e">
        <f t="shared" si="30"/>
        <v>#DIV/0!</v>
      </c>
      <c r="Q167" s="614"/>
      <c r="R167" s="614"/>
    </row>
    <row r="168" spans="1:18" ht="24" hidden="1" customHeight="1" outlineLevel="3">
      <c r="A168" s="600"/>
      <c r="B168" s="603" t="s">
        <v>1370</v>
      </c>
      <c r="C168" s="615" t="s">
        <v>39</v>
      </c>
      <c r="D168" s="699" t="s">
        <v>558</v>
      </c>
      <c r="E168" s="615" t="s">
        <v>453</v>
      </c>
      <c r="F168" s="615"/>
      <c r="G168" s="686">
        <v>1</v>
      </c>
      <c r="H168" s="1012" t="s">
        <v>111</v>
      </c>
      <c r="I168" s="681">
        <f>$P$3</f>
        <v>0</v>
      </c>
      <c r="J168" s="686">
        <v>25</v>
      </c>
      <c r="K168" s="619">
        <f t="shared" ref="K168:K173" si="33">J168/(1+L168)</f>
        <v>22.522522522522522</v>
      </c>
      <c r="L168" s="569">
        <v>0.11</v>
      </c>
      <c r="M168" s="614">
        <f t="shared" si="29"/>
        <v>0</v>
      </c>
      <c r="N168" s="599">
        <f>M168*L168</f>
        <v>0</v>
      </c>
      <c r="O168" s="599">
        <f>M168+N168</f>
        <v>0</v>
      </c>
      <c r="P168" s="614" t="e">
        <f t="shared" si="30"/>
        <v>#DIV/0!</v>
      </c>
      <c r="Q168" s="614">
        <f t="shared" si="32"/>
        <v>0</v>
      </c>
      <c r="R168" s="614"/>
    </row>
    <row r="169" spans="1:18" ht="24" hidden="1" customHeight="1" outlineLevel="3">
      <c r="A169" s="600"/>
      <c r="B169" s="603" t="s">
        <v>1371</v>
      </c>
      <c r="C169" s="604" t="s">
        <v>39</v>
      </c>
      <c r="D169" s="635" t="s">
        <v>559</v>
      </c>
      <c r="E169" s="607" t="s">
        <v>453</v>
      </c>
      <c r="F169" s="607"/>
      <c r="G169" s="568">
        <v>1</v>
      </c>
      <c r="H169" s="1012" t="s">
        <v>111</v>
      </c>
      <c r="I169" s="681">
        <f>$P$3</f>
        <v>0</v>
      </c>
      <c r="J169" s="686">
        <v>25</v>
      </c>
      <c r="K169" s="619">
        <f t="shared" si="33"/>
        <v>22.522522522522522</v>
      </c>
      <c r="L169" s="569">
        <v>0.11</v>
      </c>
      <c r="M169" s="614">
        <f t="shared" si="29"/>
        <v>0</v>
      </c>
      <c r="N169" s="599">
        <f>M169*L169</f>
        <v>0</v>
      </c>
      <c r="O169" s="599">
        <f>M169+N169</f>
        <v>0</v>
      </c>
      <c r="P169" s="614" t="e">
        <f t="shared" si="30"/>
        <v>#DIV/0!</v>
      </c>
      <c r="Q169" s="1022">
        <f t="shared" si="32"/>
        <v>0</v>
      </c>
      <c r="R169" s="1022"/>
    </row>
    <row r="170" spans="1:18" s="632" customFormat="1" ht="24" hidden="1" customHeight="1" outlineLevel="2">
      <c r="A170" s="633"/>
      <c r="B170" s="603" t="s">
        <v>1372</v>
      </c>
      <c r="C170" s="615" t="s">
        <v>144</v>
      </c>
      <c r="D170" s="704" t="s">
        <v>560</v>
      </c>
      <c r="E170" s="615"/>
      <c r="F170" s="615"/>
      <c r="G170" s="648"/>
      <c r="H170" s="1012"/>
      <c r="I170" s="681"/>
      <c r="J170" s="682"/>
      <c r="K170" s="682"/>
      <c r="L170" s="569"/>
      <c r="M170" s="613">
        <f>SUBTOTAL(9,M171:M173)</f>
        <v>0</v>
      </c>
      <c r="N170" s="613">
        <f>SUBTOTAL(9,N171:N173)</f>
        <v>0</v>
      </c>
      <c r="O170" s="613">
        <f>SUBTOTAL(9,O171:O173)</f>
        <v>0</v>
      </c>
      <c r="P170" s="614" t="e">
        <f t="shared" si="30"/>
        <v>#DIV/0!</v>
      </c>
      <c r="Q170" s="614">
        <f t="shared" si="32"/>
        <v>0</v>
      </c>
      <c r="R170" s="614"/>
    </row>
    <row r="171" spans="1:18" s="632" customFormat="1" ht="24" hidden="1" customHeight="1" outlineLevel="3">
      <c r="A171" s="633"/>
      <c r="B171" s="603" t="s">
        <v>626</v>
      </c>
      <c r="C171" s="615" t="s">
        <v>39</v>
      </c>
      <c r="D171" s="704" t="s">
        <v>561</v>
      </c>
      <c r="E171" s="615" t="s">
        <v>1363</v>
      </c>
      <c r="F171" s="615"/>
      <c r="G171" s="648">
        <v>1</v>
      </c>
      <c r="H171" s="1012" t="s">
        <v>135</v>
      </c>
      <c r="I171" s="681">
        <v>100</v>
      </c>
      <c r="J171" s="682"/>
      <c r="K171" s="619">
        <f t="shared" si="33"/>
        <v>0</v>
      </c>
      <c r="L171" s="569">
        <v>0.17</v>
      </c>
      <c r="M171" s="614">
        <f t="shared" si="29"/>
        <v>0</v>
      </c>
      <c r="N171" s="599">
        <f>M171*L171</f>
        <v>0</v>
      </c>
      <c r="O171" s="599">
        <f>M171+N171</f>
        <v>0</v>
      </c>
      <c r="P171" s="614" t="e">
        <f t="shared" si="30"/>
        <v>#DIV/0!</v>
      </c>
      <c r="Q171" s="614">
        <f t="shared" si="32"/>
        <v>0</v>
      </c>
      <c r="R171" s="614"/>
    </row>
    <row r="172" spans="1:18" ht="24" hidden="1" customHeight="1" outlineLevel="3">
      <c r="A172" s="600"/>
      <c r="B172" s="603" t="s">
        <v>627</v>
      </c>
      <c r="C172" s="604" t="s">
        <v>39</v>
      </c>
      <c r="D172" s="635" t="s">
        <v>562</v>
      </c>
      <c r="E172" s="607" t="s">
        <v>1363</v>
      </c>
      <c r="F172" s="607"/>
      <c r="G172" s="567"/>
      <c r="H172" s="685"/>
      <c r="I172" s="685"/>
      <c r="J172" s="686"/>
      <c r="K172" s="686"/>
      <c r="L172" s="569"/>
      <c r="M172" s="614">
        <f t="shared" si="29"/>
        <v>0</v>
      </c>
      <c r="N172" s="599">
        <f>M172*L172</f>
        <v>0</v>
      </c>
      <c r="O172" s="599">
        <f>M172+N172</f>
        <v>0</v>
      </c>
      <c r="P172" s="614" t="e">
        <f t="shared" si="30"/>
        <v>#DIV/0!</v>
      </c>
      <c r="Q172" s="1022">
        <f t="shared" si="32"/>
        <v>0</v>
      </c>
      <c r="R172" s="1022"/>
    </row>
    <row r="173" spans="1:18" s="575" customFormat="1" ht="24" hidden="1" customHeight="1" outlineLevel="3">
      <c r="A173" s="576"/>
      <c r="B173" s="603" t="s">
        <v>628</v>
      </c>
      <c r="C173" s="615" t="s">
        <v>39</v>
      </c>
      <c r="D173" s="704" t="s">
        <v>563</v>
      </c>
      <c r="E173" s="615" t="s">
        <v>1363</v>
      </c>
      <c r="F173" s="615" t="s">
        <v>624</v>
      </c>
      <c r="G173" s="681">
        <v>1</v>
      </c>
      <c r="H173" s="685" t="s">
        <v>111</v>
      </c>
      <c r="I173" s="700">
        <f>C3-G3</f>
        <v>0</v>
      </c>
      <c r="J173" s="682">
        <v>15</v>
      </c>
      <c r="K173" s="619">
        <f t="shared" si="33"/>
        <v>12.820512820512821</v>
      </c>
      <c r="L173" s="569">
        <v>0.17</v>
      </c>
      <c r="M173" s="614">
        <f t="shared" si="29"/>
        <v>0</v>
      </c>
      <c r="N173" s="599">
        <f>M173*L173</f>
        <v>0</v>
      </c>
      <c r="O173" s="599">
        <f>M173+N173</f>
        <v>0</v>
      </c>
      <c r="P173" s="614" t="e">
        <f t="shared" si="30"/>
        <v>#DIV/0!</v>
      </c>
      <c r="Q173" s="614">
        <f t="shared" si="32"/>
        <v>0</v>
      </c>
      <c r="R173" s="614"/>
    </row>
    <row r="174" spans="1:18" ht="24" customHeight="1">
      <c r="A174" s="600"/>
      <c r="B174" s="577" t="s">
        <v>564</v>
      </c>
      <c r="C174" s="578" t="s">
        <v>380</v>
      </c>
      <c r="D174" s="480" t="s">
        <v>82</v>
      </c>
      <c r="E174" s="481"/>
      <c r="F174" s="705"/>
      <c r="G174" s="706"/>
      <c r="H174" s="707"/>
      <c r="I174" s="708"/>
      <c r="J174" s="709"/>
      <c r="K174" s="709"/>
      <c r="L174" s="710"/>
      <c r="M174" s="581">
        <f>SUBTOTAL(9,M175:M230)</f>
        <v>0</v>
      </c>
      <c r="N174" s="581">
        <f>SUBTOTAL(9,N175:N230)</f>
        <v>0</v>
      </c>
      <c r="O174" s="581">
        <f>SUBTOTAL(9,O175:O230)</f>
        <v>0</v>
      </c>
      <c r="P174" s="581" t="e">
        <f>IF(O174="","",O174*10000/F$3)</f>
        <v>#DIV/0!</v>
      </c>
      <c r="Q174" s="581">
        <f t="shared" si="32"/>
        <v>0</v>
      </c>
      <c r="R174" s="711"/>
    </row>
    <row r="175" spans="1:18" ht="24" customHeight="1" outlineLevel="1" collapsed="1">
      <c r="A175" s="600"/>
      <c r="B175" s="601" t="s">
        <v>509</v>
      </c>
      <c r="C175" s="585">
        <v>1</v>
      </c>
      <c r="D175" s="691" t="s">
        <v>565</v>
      </c>
      <c r="E175" s="677"/>
      <c r="F175" s="712"/>
      <c r="G175" s="493"/>
      <c r="H175" s="491"/>
      <c r="I175" s="492"/>
      <c r="J175" s="679"/>
      <c r="K175" s="679"/>
      <c r="L175" s="588"/>
      <c r="M175" s="589">
        <f>SUBTOTAL(9,M176:M188)</f>
        <v>0</v>
      </c>
      <c r="N175" s="589">
        <f>SUBTOTAL(9,N176:N188)</f>
        <v>0</v>
      </c>
      <c r="O175" s="589">
        <f>SUBTOTAL(9,O176:O188)</f>
        <v>0</v>
      </c>
      <c r="P175" s="589" t="e">
        <f>IF(O175="","",O175*10000/F$3)</f>
        <v>#DIV/0!</v>
      </c>
      <c r="Q175" s="713">
        <f t="shared" si="32"/>
        <v>0</v>
      </c>
      <c r="R175" s="713"/>
    </row>
    <row r="176" spans="1:18" ht="22.5" hidden="1" customHeight="1" outlineLevel="2">
      <c r="A176" s="600"/>
      <c r="B176" s="603" t="s">
        <v>629</v>
      </c>
      <c r="C176" s="604" t="s">
        <v>1096</v>
      </c>
      <c r="D176" s="635" t="s">
        <v>1373</v>
      </c>
      <c r="E176" s="714" t="s">
        <v>1374</v>
      </c>
      <c r="F176" s="607" t="s">
        <v>10</v>
      </c>
      <c r="G176" s="567">
        <v>1</v>
      </c>
      <c r="H176" s="685"/>
      <c r="I176" s="685">
        <f>D3</f>
        <v>0</v>
      </c>
      <c r="J176" s="686">
        <v>6</v>
      </c>
      <c r="K176" s="619">
        <f t="shared" ref="K176:K185" si="34">J176/(1+L176)</f>
        <v>5.6603773584905657</v>
      </c>
      <c r="L176" s="569">
        <v>0.06</v>
      </c>
      <c r="M176" s="614">
        <f t="shared" ref="M176:M188" si="35">K176*I176*G176/10000</f>
        <v>0</v>
      </c>
      <c r="N176" s="599">
        <f t="shared" ref="N176:N188" si="36">M176*L176</f>
        <v>0</v>
      </c>
      <c r="O176" s="599">
        <f t="shared" ref="O176:O189" si="37">M176+N176</f>
        <v>0</v>
      </c>
      <c r="P176" s="614" t="e">
        <f>IF(O176="","",O176*10000/F$3)</f>
        <v>#DIV/0!</v>
      </c>
      <c r="Q176" s="1022">
        <f t="shared" si="32"/>
        <v>0</v>
      </c>
      <c r="R176" s="1022"/>
    </row>
    <row r="177" spans="1:18" ht="22.5" hidden="1" customHeight="1" outlineLevel="2">
      <c r="A177" s="600"/>
      <c r="B177" s="603" t="s">
        <v>630</v>
      </c>
      <c r="C177" s="604" t="s">
        <v>68</v>
      </c>
      <c r="D177" s="635" t="s">
        <v>1375</v>
      </c>
      <c r="E177" s="714" t="s">
        <v>1374</v>
      </c>
      <c r="F177" s="607" t="s">
        <v>10</v>
      </c>
      <c r="G177" s="567">
        <v>1</v>
      </c>
      <c r="H177" s="685"/>
      <c r="I177" s="685">
        <f>D3</f>
        <v>0</v>
      </c>
      <c r="J177" s="686">
        <v>2.5</v>
      </c>
      <c r="K177" s="619">
        <f t="shared" si="34"/>
        <v>2.3584905660377355</v>
      </c>
      <c r="L177" s="569">
        <v>0.06</v>
      </c>
      <c r="M177" s="614">
        <f t="shared" si="35"/>
        <v>0</v>
      </c>
      <c r="N177" s="599">
        <f t="shared" si="36"/>
        <v>0</v>
      </c>
      <c r="O177" s="599">
        <f t="shared" si="37"/>
        <v>0</v>
      </c>
      <c r="P177" s="614" t="e">
        <f t="shared" ref="P177:P188" si="38">IF(O177="","",O177*10000/F$3)</f>
        <v>#DIV/0!</v>
      </c>
      <c r="Q177" s="1022">
        <f t="shared" si="32"/>
        <v>0</v>
      </c>
      <c r="R177" s="1022"/>
    </row>
    <row r="178" spans="1:18" ht="22.5" hidden="1" customHeight="1" outlineLevel="2">
      <c r="A178" s="600"/>
      <c r="B178" s="603" t="s">
        <v>631</v>
      </c>
      <c r="C178" s="604" t="s">
        <v>69</v>
      </c>
      <c r="D178" s="635" t="s">
        <v>1376</v>
      </c>
      <c r="E178" s="714" t="s">
        <v>1377</v>
      </c>
      <c r="F178" s="607" t="s">
        <v>10</v>
      </c>
      <c r="G178" s="700">
        <v>1</v>
      </c>
      <c r="H178" s="685"/>
      <c r="I178" s="685">
        <f>D3</f>
        <v>0</v>
      </c>
      <c r="J178" s="682">
        <v>22</v>
      </c>
      <c r="K178" s="619">
        <f t="shared" si="34"/>
        <v>20.754716981132074</v>
      </c>
      <c r="L178" s="569">
        <v>0.06</v>
      </c>
      <c r="M178" s="614">
        <f t="shared" si="35"/>
        <v>0</v>
      </c>
      <c r="N178" s="599">
        <f t="shared" si="36"/>
        <v>0</v>
      </c>
      <c r="O178" s="599">
        <f t="shared" si="37"/>
        <v>0</v>
      </c>
      <c r="P178" s="614" t="e">
        <f t="shared" si="38"/>
        <v>#DIV/0!</v>
      </c>
      <c r="Q178" s="614">
        <f t="shared" si="32"/>
        <v>0</v>
      </c>
      <c r="R178" s="614"/>
    </row>
    <row r="179" spans="1:18" ht="22.5" hidden="1" customHeight="1" outlineLevel="2">
      <c r="A179" s="600"/>
      <c r="B179" s="603" t="s">
        <v>632</v>
      </c>
      <c r="C179" s="604" t="s">
        <v>70</v>
      </c>
      <c r="D179" s="635" t="s">
        <v>1378</v>
      </c>
      <c r="E179" s="714" t="s">
        <v>1379</v>
      </c>
      <c r="F179" s="615" t="s">
        <v>566</v>
      </c>
      <c r="G179" s="700">
        <v>1</v>
      </c>
      <c r="H179" s="685"/>
      <c r="I179" s="700">
        <f>P3</f>
        <v>0</v>
      </c>
      <c r="J179" s="682">
        <v>25</v>
      </c>
      <c r="K179" s="619">
        <f t="shared" si="34"/>
        <v>23.584905660377359</v>
      </c>
      <c r="L179" s="569">
        <v>0.06</v>
      </c>
      <c r="M179" s="614">
        <f t="shared" si="35"/>
        <v>0</v>
      </c>
      <c r="N179" s="599">
        <f t="shared" si="36"/>
        <v>0</v>
      </c>
      <c r="O179" s="599">
        <f t="shared" si="37"/>
        <v>0</v>
      </c>
      <c r="P179" s="614" t="e">
        <f t="shared" si="38"/>
        <v>#DIV/0!</v>
      </c>
      <c r="Q179" s="614">
        <f t="shared" si="32"/>
        <v>0</v>
      </c>
      <c r="R179" s="614"/>
    </row>
    <row r="180" spans="1:18" ht="22.5" hidden="1" customHeight="1" outlineLevel="2">
      <c r="A180" s="600"/>
      <c r="B180" s="603" t="s">
        <v>633</v>
      </c>
      <c r="C180" s="604" t="s">
        <v>71</v>
      </c>
      <c r="D180" s="635" t="s">
        <v>1380</v>
      </c>
      <c r="E180" s="714" t="s">
        <v>1381</v>
      </c>
      <c r="F180" s="607" t="s">
        <v>10</v>
      </c>
      <c r="G180" s="1012">
        <v>1</v>
      </c>
      <c r="H180" s="685"/>
      <c r="I180" s="715">
        <f>D3</f>
        <v>0</v>
      </c>
      <c r="J180" s="682">
        <v>1</v>
      </c>
      <c r="K180" s="619">
        <f t="shared" si="34"/>
        <v>0.94339622641509424</v>
      </c>
      <c r="L180" s="569">
        <v>0.06</v>
      </c>
      <c r="M180" s="614">
        <f t="shared" si="35"/>
        <v>0</v>
      </c>
      <c r="N180" s="599">
        <f t="shared" si="36"/>
        <v>0</v>
      </c>
      <c r="O180" s="599">
        <f t="shared" si="37"/>
        <v>0</v>
      </c>
      <c r="P180" s="614" t="e">
        <f t="shared" si="38"/>
        <v>#DIV/0!</v>
      </c>
      <c r="Q180" s="614">
        <f t="shared" si="32"/>
        <v>0</v>
      </c>
      <c r="R180" s="614"/>
    </row>
    <row r="181" spans="1:18" ht="22.5" hidden="1" customHeight="1" outlineLevel="2">
      <c r="A181" s="600"/>
      <c r="B181" s="603" t="s">
        <v>634</v>
      </c>
      <c r="C181" s="604" t="s">
        <v>144</v>
      </c>
      <c r="D181" s="635" t="s">
        <v>1382</v>
      </c>
      <c r="E181" s="714" t="s">
        <v>1383</v>
      </c>
      <c r="F181" s="607" t="s">
        <v>431</v>
      </c>
      <c r="G181" s="1012">
        <v>1</v>
      </c>
      <c r="H181" s="685"/>
      <c r="I181" s="715">
        <f>C3</f>
        <v>0</v>
      </c>
      <c r="J181" s="682">
        <v>6</v>
      </c>
      <c r="K181" s="619">
        <f t="shared" si="34"/>
        <v>5.6603773584905657</v>
      </c>
      <c r="L181" s="569">
        <v>0.06</v>
      </c>
      <c r="M181" s="614">
        <f t="shared" si="35"/>
        <v>0</v>
      </c>
      <c r="N181" s="599">
        <f t="shared" si="36"/>
        <v>0</v>
      </c>
      <c r="O181" s="599">
        <f t="shared" si="37"/>
        <v>0</v>
      </c>
      <c r="P181" s="614" t="e">
        <f t="shared" si="38"/>
        <v>#DIV/0!</v>
      </c>
      <c r="Q181" s="614">
        <f t="shared" si="32"/>
        <v>0</v>
      </c>
      <c r="R181" s="614"/>
    </row>
    <row r="182" spans="1:18" ht="22.5" hidden="1" customHeight="1" outlineLevel="2">
      <c r="A182" s="600"/>
      <c r="B182" s="603" t="s">
        <v>635</v>
      </c>
      <c r="C182" s="604" t="s">
        <v>72</v>
      </c>
      <c r="D182" s="635" t="s">
        <v>1384</v>
      </c>
      <c r="E182" s="714" t="s">
        <v>1385</v>
      </c>
      <c r="F182" s="665" t="s">
        <v>567</v>
      </c>
      <c r="G182" s="1012">
        <v>1</v>
      </c>
      <c r="H182" s="685"/>
      <c r="I182" s="681">
        <f>'3-规划指标'!H36</f>
        <v>0</v>
      </c>
      <c r="J182" s="682">
        <v>60</v>
      </c>
      <c r="K182" s="619">
        <f t="shared" si="34"/>
        <v>56.60377358490566</v>
      </c>
      <c r="L182" s="569">
        <v>0.06</v>
      </c>
      <c r="M182" s="614">
        <f t="shared" si="35"/>
        <v>0</v>
      </c>
      <c r="N182" s="599">
        <f t="shared" si="36"/>
        <v>0</v>
      </c>
      <c r="O182" s="599">
        <f t="shared" si="37"/>
        <v>0</v>
      </c>
      <c r="P182" s="614" t="e">
        <f t="shared" si="38"/>
        <v>#DIV/0!</v>
      </c>
      <c r="Q182" s="614">
        <f t="shared" si="32"/>
        <v>0</v>
      </c>
      <c r="R182" s="614"/>
    </row>
    <row r="183" spans="1:18" ht="22.5" hidden="1" customHeight="1" outlineLevel="2">
      <c r="A183" s="600"/>
      <c r="B183" s="603" t="s">
        <v>636</v>
      </c>
      <c r="C183" s="604" t="s">
        <v>73</v>
      </c>
      <c r="D183" s="635" t="s">
        <v>1386</v>
      </c>
      <c r="E183" s="714" t="s">
        <v>1387</v>
      </c>
      <c r="F183" s="665" t="s">
        <v>567</v>
      </c>
      <c r="G183" s="1012">
        <v>1</v>
      </c>
      <c r="H183" s="685"/>
      <c r="I183" s="681">
        <f>$D$3*(1+$Q$3)</f>
        <v>0</v>
      </c>
      <c r="J183" s="682">
        <v>5</v>
      </c>
      <c r="K183" s="619">
        <f t="shared" si="34"/>
        <v>4.7169811320754711</v>
      </c>
      <c r="L183" s="569">
        <v>0.06</v>
      </c>
      <c r="M183" s="614">
        <f t="shared" si="35"/>
        <v>0</v>
      </c>
      <c r="N183" s="599">
        <f t="shared" si="36"/>
        <v>0</v>
      </c>
      <c r="O183" s="599">
        <f t="shared" si="37"/>
        <v>0</v>
      </c>
      <c r="P183" s="614" t="e">
        <f t="shared" si="38"/>
        <v>#DIV/0!</v>
      </c>
      <c r="Q183" s="614">
        <f t="shared" si="32"/>
        <v>0</v>
      </c>
      <c r="R183" s="614"/>
    </row>
    <row r="184" spans="1:18" ht="22.5" hidden="1" customHeight="1" outlineLevel="2">
      <c r="A184" s="600"/>
      <c r="B184" s="603" t="s">
        <v>637</v>
      </c>
      <c r="C184" s="604" t="s">
        <v>74</v>
      </c>
      <c r="D184" s="635" t="s">
        <v>1388</v>
      </c>
      <c r="E184" s="680"/>
      <c r="F184" s="615"/>
      <c r="G184" s="648"/>
      <c r="H184" s="685"/>
      <c r="I184" s="681"/>
      <c r="J184" s="682"/>
      <c r="K184" s="682"/>
      <c r="L184" s="569"/>
      <c r="M184" s="614">
        <f t="shared" si="35"/>
        <v>0</v>
      </c>
      <c r="N184" s="599">
        <f t="shared" si="36"/>
        <v>0</v>
      </c>
      <c r="O184" s="599">
        <f t="shared" si="37"/>
        <v>0</v>
      </c>
      <c r="P184" s="614" t="e">
        <f t="shared" si="38"/>
        <v>#DIV/0!</v>
      </c>
      <c r="Q184" s="614">
        <f t="shared" si="32"/>
        <v>0</v>
      </c>
      <c r="R184" s="614"/>
    </row>
    <row r="185" spans="1:18" ht="22.5" hidden="1" customHeight="1" outlineLevel="2">
      <c r="A185" s="600"/>
      <c r="B185" s="603" t="s">
        <v>638</v>
      </c>
      <c r="C185" s="604" t="s">
        <v>75</v>
      </c>
      <c r="D185" s="635" t="s">
        <v>451</v>
      </c>
      <c r="E185" s="714" t="s">
        <v>1387</v>
      </c>
      <c r="F185" s="665" t="s">
        <v>567</v>
      </c>
      <c r="G185" s="1012">
        <v>1</v>
      </c>
      <c r="H185" s="685"/>
      <c r="I185" s="681">
        <f>$D$3*(1+$Q$3)</f>
        <v>0</v>
      </c>
      <c r="J185" s="682">
        <v>1</v>
      </c>
      <c r="K185" s="619">
        <f t="shared" si="34"/>
        <v>1</v>
      </c>
      <c r="L185" s="569">
        <v>0</v>
      </c>
      <c r="M185" s="614">
        <f t="shared" si="35"/>
        <v>0</v>
      </c>
      <c r="N185" s="599">
        <f t="shared" si="36"/>
        <v>0</v>
      </c>
      <c r="O185" s="599">
        <f t="shared" si="37"/>
        <v>0</v>
      </c>
      <c r="P185" s="614" t="e">
        <f t="shared" si="38"/>
        <v>#DIV/0!</v>
      </c>
      <c r="Q185" s="614">
        <f t="shared" si="32"/>
        <v>0</v>
      </c>
      <c r="R185" s="614"/>
    </row>
    <row r="186" spans="1:18" ht="22.5" hidden="1" customHeight="1" outlineLevel="2">
      <c r="A186" s="600"/>
      <c r="B186" s="603" t="s">
        <v>639</v>
      </c>
      <c r="C186" s="604" t="s">
        <v>146</v>
      </c>
      <c r="D186" s="635" t="s">
        <v>1389</v>
      </c>
      <c r="E186" s="680"/>
      <c r="F186" s="665"/>
      <c r="G186" s="1012"/>
      <c r="H186" s="685"/>
      <c r="I186" s="681"/>
      <c r="J186" s="682"/>
      <c r="K186" s="682"/>
      <c r="L186" s="569"/>
      <c r="M186" s="614">
        <f t="shared" si="35"/>
        <v>0</v>
      </c>
      <c r="N186" s="599">
        <f t="shared" si="36"/>
        <v>0</v>
      </c>
      <c r="O186" s="599">
        <f t="shared" si="37"/>
        <v>0</v>
      </c>
      <c r="P186" s="614" t="e">
        <f t="shared" si="38"/>
        <v>#DIV/0!</v>
      </c>
      <c r="Q186" s="614"/>
      <c r="R186" s="614"/>
    </row>
    <row r="187" spans="1:18" ht="22.5" hidden="1" customHeight="1" outlineLevel="2">
      <c r="A187" s="600"/>
      <c r="B187" s="603" t="s">
        <v>1390</v>
      </c>
      <c r="C187" s="604" t="s">
        <v>147</v>
      </c>
      <c r="D187" s="635" t="s">
        <v>1391</v>
      </c>
      <c r="E187" s="680"/>
      <c r="F187" s="665"/>
      <c r="G187" s="1012"/>
      <c r="H187" s="685"/>
      <c r="I187" s="681"/>
      <c r="J187" s="682"/>
      <c r="K187" s="682"/>
      <c r="L187" s="569"/>
      <c r="M187" s="614">
        <f t="shared" si="35"/>
        <v>0</v>
      </c>
      <c r="N187" s="599">
        <f t="shared" si="36"/>
        <v>0</v>
      </c>
      <c r="O187" s="599">
        <f t="shared" si="37"/>
        <v>0</v>
      </c>
      <c r="P187" s="614" t="e">
        <f t="shared" si="38"/>
        <v>#DIV/0!</v>
      </c>
      <c r="Q187" s="614"/>
      <c r="R187" s="614"/>
    </row>
    <row r="188" spans="1:18" ht="22.5" hidden="1" customHeight="1" outlineLevel="2">
      <c r="A188" s="600"/>
      <c r="B188" s="603" t="s">
        <v>1392</v>
      </c>
      <c r="C188" s="604" t="s">
        <v>148</v>
      </c>
      <c r="D188" s="635" t="s">
        <v>1393</v>
      </c>
      <c r="E188" s="714" t="s">
        <v>1387</v>
      </c>
      <c r="F188" s="615"/>
      <c r="G188" s="648">
        <v>1</v>
      </c>
      <c r="H188" s="685"/>
      <c r="I188" s="681">
        <f>$D$3*(1+$Q$3)</f>
        <v>0</v>
      </c>
      <c r="J188" s="682">
        <v>1</v>
      </c>
      <c r="K188" s="619">
        <f>J188/(1+L188)</f>
        <v>1</v>
      </c>
      <c r="L188" s="569">
        <v>0</v>
      </c>
      <c r="M188" s="614">
        <f t="shared" si="35"/>
        <v>0</v>
      </c>
      <c r="N188" s="599">
        <f t="shared" si="36"/>
        <v>0</v>
      </c>
      <c r="O188" s="599">
        <f t="shared" si="37"/>
        <v>0</v>
      </c>
      <c r="P188" s="614" t="e">
        <f t="shared" si="38"/>
        <v>#DIV/0!</v>
      </c>
      <c r="Q188" s="614">
        <f t="shared" si="32"/>
        <v>0</v>
      </c>
      <c r="R188" s="614"/>
    </row>
    <row r="189" spans="1:18" ht="24.75" customHeight="1" outlineLevel="1">
      <c r="A189" s="600"/>
      <c r="B189" s="601" t="s">
        <v>510</v>
      </c>
      <c r="C189" s="585">
        <v>2</v>
      </c>
      <c r="D189" s="691" t="s">
        <v>445</v>
      </c>
      <c r="E189" s="677"/>
      <c r="F189" s="712"/>
      <c r="G189" s="493"/>
      <c r="H189" s="716"/>
      <c r="I189" s="492"/>
      <c r="J189" s="679"/>
      <c r="K189" s="679"/>
      <c r="L189" s="588"/>
      <c r="M189" s="679">
        <v>0</v>
      </c>
      <c r="N189" s="679">
        <f>I189*J189/10000</f>
        <v>0</v>
      </c>
      <c r="O189" s="679">
        <f t="shared" si="37"/>
        <v>0</v>
      </c>
      <c r="P189" s="679" t="e">
        <f>IF(O189="","",O189*10000/F$3)</f>
        <v>#DIV/0!</v>
      </c>
      <c r="Q189" s="679">
        <f t="shared" si="32"/>
        <v>0</v>
      </c>
      <c r="R189" s="679"/>
    </row>
    <row r="190" spans="1:18" ht="24" customHeight="1" outlineLevel="1" collapsed="1">
      <c r="A190" s="600"/>
      <c r="B190" s="601" t="s">
        <v>511</v>
      </c>
      <c r="C190" s="585">
        <v>3</v>
      </c>
      <c r="D190" s="691" t="s">
        <v>568</v>
      </c>
      <c r="E190" s="677"/>
      <c r="F190" s="712"/>
      <c r="G190" s="493"/>
      <c r="H190" s="491"/>
      <c r="I190" s="492"/>
      <c r="J190" s="679"/>
      <c r="K190" s="679"/>
      <c r="L190" s="588"/>
      <c r="M190" s="589">
        <f>SUBTOTAL(9,M191:M206)</f>
        <v>0</v>
      </c>
      <c r="N190" s="589">
        <f>SUBTOTAL(9,N191:N206)</f>
        <v>0</v>
      </c>
      <c r="O190" s="589">
        <f>SUBTOTAL(9,O191:O206)</f>
        <v>0</v>
      </c>
      <c r="P190" s="589" t="e">
        <f>IF(O190="","",O190*10000/F$3)</f>
        <v>#DIV/0!</v>
      </c>
      <c r="Q190" s="717">
        <f>M190</f>
        <v>0</v>
      </c>
      <c r="R190" s="717"/>
    </row>
    <row r="191" spans="1:18" ht="24" hidden="1" customHeight="1" outlineLevel="2">
      <c r="A191" s="600"/>
      <c r="B191" s="603" t="s">
        <v>569</v>
      </c>
      <c r="C191" s="604" t="s">
        <v>1096</v>
      </c>
      <c r="D191" s="635" t="s">
        <v>1394</v>
      </c>
      <c r="E191" s="665" t="s">
        <v>1395</v>
      </c>
      <c r="F191" s="665" t="s">
        <v>567</v>
      </c>
      <c r="G191" s="567">
        <v>1</v>
      </c>
      <c r="H191" s="685" t="s">
        <v>111</v>
      </c>
      <c r="I191" s="681">
        <f>$D$3*(1+$Q$3)</f>
        <v>0</v>
      </c>
      <c r="J191" s="686">
        <v>12</v>
      </c>
      <c r="K191" s="619">
        <f>J191/(1+L191)</f>
        <v>11.320754716981131</v>
      </c>
      <c r="L191" s="569">
        <v>0.06</v>
      </c>
      <c r="M191" s="614">
        <f t="shared" ref="M191:M205" si="39">K191*I191*G191/10000</f>
        <v>0</v>
      </c>
      <c r="N191" s="599">
        <f>M191*L191</f>
        <v>0</v>
      </c>
      <c r="O191" s="599">
        <f>M191+N191</f>
        <v>0</v>
      </c>
      <c r="P191" s="614" t="e">
        <f>IF(O191="","",O191*10000/F$3)</f>
        <v>#DIV/0!</v>
      </c>
      <c r="Q191" s="1022">
        <f t="shared" si="32"/>
        <v>0</v>
      </c>
      <c r="R191" s="1022"/>
    </row>
    <row r="192" spans="1:18" ht="24" hidden="1" customHeight="1" outlineLevel="2">
      <c r="A192" s="600"/>
      <c r="B192" s="603" t="s">
        <v>1396</v>
      </c>
      <c r="C192" s="604" t="s">
        <v>68</v>
      </c>
      <c r="D192" s="635" t="s">
        <v>1397</v>
      </c>
      <c r="E192" s="665" t="s">
        <v>1395</v>
      </c>
      <c r="F192" s="665" t="s">
        <v>567</v>
      </c>
      <c r="G192" s="693">
        <v>1</v>
      </c>
      <c r="H192" s="685" t="s">
        <v>111</v>
      </c>
      <c r="I192" s="681">
        <f>$D$3*(1+$Q$3)</f>
        <v>0</v>
      </c>
      <c r="J192" s="682"/>
      <c r="K192" s="619">
        <f>J192/(1+L192)</f>
        <v>0</v>
      </c>
      <c r="L192" s="569">
        <v>0</v>
      </c>
      <c r="M192" s="614">
        <f t="shared" si="39"/>
        <v>0</v>
      </c>
      <c r="N192" s="599">
        <f>M192*L192</f>
        <v>0</v>
      </c>
      <c r="O192" s="599">
        <f>M192+N192</f>
        <v>0</v>
      </c>
      <c r="P192" s="614" t="e">
        <f t="shared" ref="P192:P206" si="40">IF(O192="","",O192*10000/F$3)</f>
        <v>#DIV/0!</v>
      </c>
      <c r="Q192" s="718">
        <f t="shared" si="32"/>
        <v>0</v>
      </c>
      <c r="R192" s="718"/>
    </row>
    <row r="193" spans="1:18" ht="24" hidden="1" customHeight="1" outlineLevel="2">
      <c r="A193" s="600"/>
      <c r="B193" s="603" t="s">
        <v>571</v>
      </c>
      <c r="C193" s="604" t="s">
        <v>69</v>
      </c>
      <c r="D193" s="635" t="s">
        <v>1398</v>
      </c>
      <c r="E193" s="665" t="s">
        <v>1395</v>
      </c>
      <c r="F193" s="665" t="s">
        <v>567</v>
      </c>
      <c r="G193" s="693">
        <v>1</v>
      </c>
      <c r="H193" s="685" t="s">
        <v>111</v>
      </c>
      <c r="I193" s="681">
        <f>$D$3*(1+$Q$3)</f>
        <v>0</v>
      </c>
      <c r="J193" s="682">
        <v>1.8</v>
      </c>
      <c r="K193" s="619">
        <f>J193/(1+L193)</f>
        <v>1.8</v>
      </c>
      <c r="L193" s="569">
        <v>0</v>
      </c>
      <c r="M193" s="614">
        <f t="shared" si="39"/>
        <v>0</v>
      </c>
      <c r="N193" s="599">
        <f>M193*L193</f>
        <v>0</v>
      </c>
      <c r="O193" s="599">
        <f>M193+N193</f>
        <v>0</v>
      </c>
      <c r="P193" s="614" t="e">
        <f t="shared" si="40"/>
        <v>#DIV/0!</v>
      </c>
      <c r="Q193" s="718">
        <f t="shared" si="32"/>
        <v>0</v>
      </c>
      <c r="R193" s="718"/>
    </row>
    <row r="194" spans="1:18" ht="24" hidden="1" customHeight="1" outlineLevel="2">
      <c r="A194" s="600"/>
      <c r="B194" s="603" t="s">
        <v>573</v>
      </c>
      <c r="C194" s="604" t="s">
        <v>70</v>
      </c>
      <c r="D194" s="635" t="s">
        <v>1401</v>
      </c>
      <c r="E194" s="665" t="s">
        <v>1395</v>
      </c>
      <c r="F194" s="665" t="s">
        <v>567</v>
      </c>
      <c r="G194" s="567">
        <v>10</v>
      </c>
      <c r="H194" s="685" t="s">
        <v>111</v>
      </c>
      <c r="I194" s="681">
        <f>$D$3*(1+$Q$3)</f>
        <v>0</v>
      </c>
      <c r="J194" s="686">
        <v>1</v>
      </c>
      <c r="K194" s="619">
        <f>J194/(1+L194)</f>
        <v>1</v>
      </c>
      <c r="L194" s="569">
        <v>0</v>
      </c>
      <c r="M194" s="614">
        <f t="shared" si="39"/>
        <v>0</v>
      </c>
      <c r="N194" s="599">
        <f>M194*L194</f>
        <v>0</v>
      </c>
      <c r="O194" s="599">
        <f>M194+N194</f>
        <v>0</v>
      </c>
      <c r="P194" s="614" t="e">
        <f t="shared" si="40"/>
        <v>#DIV/0!</v>
      </c>
      <c r="Q194" s="1022">
        <f t="shared" si="32"/>
        <v>0</v>
      </c>
      <c r="R194" s="1022"/>
    </row>
    <row r="195" spans="1:18" ht="24" hidden="1" customHeight="1" outlineLevel="2">
      <c r="A195" s="600"/>
      <c r="B195" s="603" t="s">
        <v>575</v>
      </c>
      <c r="C195" s="604" t="s">
        <v>71</v>
      </c>
      <c r="D195" s="635" t="s">
        <v>1403</v>
      </c>
      <c r="E195" s="665" t="s">
        <v>1395</v>
      </c>
      <c r="F195" s="607"/>
      <c r="G195" s="567"/>
      <c r="H195" s="685"/>
      <c r="I195" s="685"/>
      <c r="J195" s="686"/>
      <c r="K195" s="686"/>
      <c r="L195" s="569"/>
      <c r="M195" s="614">
        <f t="shared" si="39"/>
        <v>0</v>
      </c>
      <c r="N195" s="599">
        <f>M195*L195</f>
        <v>0</v>
      </c>
      <c r="O195" s="599">
        <f>M195+N195</f>
        <v>0</v>
      </c>
      <c r="P195" s="614" t="e">
        <f t="shared" si="40"/>
        <v>#DIV/0!</v>
      </c>
      <c r="Q195" s="1022">
        <f t="shared" si="32"/>
        <v>0</v>
      </c>
      <c r="R195" s="1022"/>
    </row>
    <row r="196" spans="1:18" ht="24" hidden="1" customHeight="1" outlineLevel="2">
      <c r="A196" s="600"/>
      <c r="B196" s="603" t="s">
        <v>577</v>
      </c>
      <c r="C196" s="615" t="s">
        <v>144</v>
      </c>
      <c r="D196" s="635" t="s">
        <v>1404</v>
      </c>
      <c r="E196" s="665"/>
      <c r="F196" s="607"/>
      <c r="G196" s="567"/>
      <c r="H196" s="685"/>
      <c r="I196" s="685"/>
      <c r="J196" s="686"/>
      <c r="K196" s="686"/>
      <c r="L196" s="569"/>
      <c r="M196" s="613">
        <f>SUBTOTAL(9,M197:M205)</f>
        <v>0</v>
      </c>
      <c r="N196" s="613">
        <f>SUBTOTAL(9,N197:N205)</f>
        <v>0</v>
      </c>
      <c r="O196" s="613">
        <f>SUBTOTAL(9,O197:O205)</f>
        <v>0</v>
      </c>
      <c r="P196" s="614" t="e">
        <f t="shared" si="40"/>
        <v>#DIV/0!</v>
      </c>
      <c r="Q196" s="1022">
        <f t="shared" si="32"/>
        <v>0</v>
      </c>
      <c r="R196" s="1022"/>
    </row>
    <row r="197" spans="1:18" ht="24" hidden="1" customHeight="1" outlineLevel="3">
      <c r="A197" s="600"/>
      <c r="B197" s="603" t="s">
        <v>1405</v>
      </c>
      <c r="C197" s="615" t="s">
        <v>39</v>
      </c>
      <c r="D197" s="635" t="s">
        <v>1406</v>
      </c>
      <c r="E197" s="719" t="s">
        <v>1407</v>
      </c>
      <c r="F197" s="607"/>
      <c r="G197" s="1012"/>
      <c r="H197" s="685"/>
      <c r="I197" s="1012"/>
      <c r="J197" s="686"/>
      <c r="K197" s="686"/>
      <c r="L197" s="569">
        <v>0.11</v>
      </c>
      <c r="M197" s="614">
        <f t="shared" si="39"/>
        <v>0</v>
      </c>
      <c r="N197" s="599">
        <f>M197*L197</f>
        <v>0</v>
      </c>
      <c r="O197" s="599">
        <f>M197+N197</f>
        <v>0</v>
      </c>
      <c r="P197" s="614" t="e">
        <f t="shared" si="40"/>
        <v>#DIV/0!</v>
      </c>
      <c r="Q197" s="1022">
        <f t="shared" si="32"/>
        <v>0</v>
      </c>
      <c r="R197" s="1022"/>
    </row>
    <row r="198" spans="1:18" ht="24" hidden="1" customHeight="1" outlineLevel="3">
      <c r="A198" s="600"/>
      <c r="B198" s="603" t="s">
        <v>1408</v>
      </c>
      <c r="C198" s="615" t="s">
        <v>39</v>
      </c>
      <c r="D198" s="635" t="s">
        <v>1409</v>
      </c>
      <c r="E198" s="719" t="s">
        <v>1407</v>
      </c>
      <c r="F198" s="607"/>
      <c r="G198" s="567">
        <v>1</v>
      </c>
      <c r="H198" s="685" t="s">
        <v>111</v>
      </c>
      <c r="I198" s="685">
        <v>300</v>
      </c>
      <c r="J198" s="686"/>
      <c r="K198" s="619">
        <f>J198/(1+L198)</f>
        <v>0</v>
      </c>
      <c r="L198" s="569">
        <v>0.11</v>
      </c>
      <c r="M198" s="614">
        <f t="shared" si="39"/>
        <v>0</v>
      </c>
      <c r="N198" s="599">
        <f>M198*L198</f>
        <v>0</v>
      </c>
      <c r="O198" s="599">
        <f>M198+N198</f>
        <v>0</v>
      </c>
      <c r="P198" s="614" t="e">
        <f t="shared" si="40"/>
        <v>#DIV/0!</v>
      </c>
      <c r="Q198" s="1022">
        <f t="shared" si="32"/>
        <v>0</v>
      </c>
      <c r="R198" s="1022"/>
    </row>
    <row r="199" spans="1:18" ht="26.25" hidden="1" customHeight="1" outlineLevel="3">
      <c r="A199" s="600"/>
      <c r="B199" s="603" t="s">
        <v>1410</v>
      </c>
      <c r="C199" s="615" t="s">
        <v>39</v>
      </c>
      <c r="D199" s="635" t="s">
        <v>1411</v>
      </c>
      <c r="E199" s="719" t="s">
        <v>1407</v>
      </c>
      <c r="F199" s="665"/>
      <c r="G199" s="567">
        <v>1</v>
      </c>
      <c r="H199" s="685" t="s">
        <v>111</v>
      </c>
      <c r="I199" s="685">
        <v>1000</v>
      </c>
      <c r="J199" s="686"/>
      <c r="K199" s="619">
        <f>J199/(1+L199)</f>
        <v>0</v>
      </c>
      <c r="L199" s="569">
        <v>0.11</v>
      </c>
      <c r="M199" s="614">
        <f t="shared" si="39"/>
        <v>0</v>
      </c>
      <c r="N199" s="599">
        <f>M199*L199</f>
        <v>0</v>
      </c>
      <c r="O199" s="599">
        <f>M199+N199</f>
        <v>0</v>
      </c>
      <c r="P199" s="614" t="e">
        <f t="shared" si="40"/>
        <v>#DIV/0!</v>
      </c>
      <c r="Q199" s="718">
        <f t="shared" si="32"/>
        <v>0</v>
      </c>
      <c r="R199" s="718"/>
    </row>
    <row r="200" spans="1:18" ht="26.25" hidden="1" customHeight="1" outlineLevel="3">
      <c r="A200" s="600"/>
      <c r="B200" s="603" t="s">
        <v>1412</v>
      </c>
      <c r="C200" s="615" t="s">
        <v>39</v>
      </c>
      <c r="D200" s="635" t="s">
        <v>1413</v>
      </c>
      <c r="E200" s="665"/>
      <c r="F200" s="665"/>
      <c r="G200" s="1012"/>
      <c r="H200" s="685"/>
      <c r="I200" s="1012"/>
      <c r="J200" s="682"/>
      <c r="K200" s="682"/>
      <c r="L200" s="569"/>
      <c r="M200" s="614">
        <f>SUBTOTAL(9,M201:M202)</f>
        <v>0</v>
      </c>
      <c r="N200" s="614">
        <f>SUBTOTAL(9,N201:N202)</f>
        <v>0</v>
      </c>
      <c r="O200" s="614">
        <f>SUBTOTAL(9,O201:O202)</f>
        <v>0</v>
      </c>
      <c r="P200" s="614" t="e">
        <f t="shared" si="40"/>
        <v>#DIV/0!</v>
      </c>
      <c r="Q200" s="718">
        <f t="shared" si="32"/>
        <v>0</v>
      </c>
      <c r="R200" s="718"/>
    </row>
    <row r="201" spans="1:18" ht="26.25" hidden="1" customHeight="1" outlineLevel="3">
      <c r="A201" s="600"/>
      <c r="B201" s="603" t="s">
        <v>1414</v>
      </c>
      <c r="C201" s="615"/>
      <c r="D201" s="720" t="s">
        <v>578</v>
      </c>
      <c r="E201" s="665" t="s">
        <v>1415</v>
      </c>
      <c r="F201" s="665" t="s">
        <v>567</v>
      </c>
      <c r="G201" s="567">
        <v>1</v>
      </c>
      <c r="H201" s="685" t="s">
        <v>111</v>
      </c>
      <c r="I201" s="681">
        <f>$D$3*(1+$Q$3)</f>
        <v>0</v>
      </c>
      <c r="J201" s="686">
        <v>3</v>
      </c>
      <c r="K201" s="619">
        <f t="shared" ref="K201:K206" si="41">J201/(1+L201)</f>
        <v>2.7027027027027026</v>
      </c>
      <c r="L201" s="569">
        <v>0.11</v>
      </c>
      <c r="M201" s="614">
        <f t="shared" si="39"/>
        <v>0</v>
      </c>
      <c r="N201" s="599">
        <f t="shared" ref="N201:N206" si="42">M201*L201</f>
        <v>0</v>
      </c>
      <c r="O201" s="599">
        <f t="shared" ref="O201:O206" si="43">M201+N201</f>
        <v>0</v>
      </c>
      <c r="P201" s="614" t="e">
        <f t="shared" si="40"/>
        <v>#DIV/0!</v>
      </c>
      <c r="Q201" s="718">
        <f>M201</f>
        <v>0</v>
      </c>
      <c r="R201" s="718"/>
    </row>
    <row r="202" spans="1:18" ht="26.25" hidden="1" customHeight="1" outlineLevel="3">
      <c r="A202" s="600"/>
      <c r="B202" s="603" t="s">
        <v>1416</v>
      </c>
      <c r="C202" s="615"/>
      <c r="D202" s="720" t="s">
        <v>579</v>
      </c>
      <c r="E202" s="665" t="s">
        <v>1415</v>
      </c>
      <c r="F202" s="665" t="s">
        <v>567</v>
      </c>
      <c r="G202" s="567">
        <v>1</v>
      </c>
      <c r="H202" s="685" t="s">
        <v>111</v>
      </c>
      <c r="I202" s="681">
        <f>$D$3*(1+$Q$3)</f>
        <v>0</v>
      </c>
      <c r="J202" s="686">
        <v>2</v>
      </c>
      <c r="K202" s="619">
        <f t="shared" si="41"/>
        <v>1.8018018018018016</v>
      </c>
      <c r="L202" s="569">
        <v>0.11</v>
      </c>
      <c r="M202" s="614">
        <f t="shared" si="39"/>
        <v>0</v>
      </c>
      <c r="N202" s="599">
        <f t="shared" si="42"/>
        <v>0</v>
      </c>
      <c r="O202" s="599">
        <f t="shared" si="43"/>
        <v>0</v>
      </c>
      <c r="P202" s="614" t="e">
        <f t="shared" si="40"/>
        <v>#DIV/0!</v>
      </c>
      <c r="Q202" s="718">
        <f t="shared" si="32"/>
        <v>0</v>
      </c>
      <c r="R202" s="718"/>
    </row>
    <row r="203" spans="1:18" ht="26.25" hidden="1" customHeight="1" outlineLevel="3">
      <c r="A203" s="600"/>
      <c r="B203" s="603" t="s">
        <v>1417</v>
      </c>
      <c r="C203" s="615" t="s">
        <v>39</v>
      </c>
      <c r="D203" s="635" t="s">
        <v>1418</v>
      </c>
      <c r="E203" s="665" t="s">
        <v>1228</v>
      </c>
      <c r="F203" s="665" t="s">
        <v>567</v>
      </c>
      <c r="G203" s="567">
        <v>1</v>
      </c>
      <c r="H203" s="685" t="s">
        <v>111</v>
      </c>
      <c r="I203" s="681">
        <f>$D$3*(1+$Q$3)</f>
        <v>0</v>
      </c>
      <c r="J203" s="682">
        <v>5</v>
      </c>
      <c r="K203" s="619">
        <f t="shared" si="41"/>
        <v>4.5045045045045038</v>
      </c>
      <c r="L203" s="569">
        <v>0.11</v>
      </c>
      <c r="M203" s="614">
        <f t="shared" si="39"/>
        <v>0</v>
      </c>
      <c r="N203" s="599">
        <f t="shared" si="42"/>
        <v>0</v>
      </c>
      <c r="O203" s="599">
        <f t="shared" si="43"/>
        <v>0</v>
      </c>
      <c r="P203" s="614" t="e">
        <f t="shared" si="40"/>
        <v>#DIV/0!</v>
      </c>
      <c r="Q203" s="718">
        <f t="shared" si="32"/>
        <v>0</v>
      </c>
      <c r="R203" s="718"/>
    </row>
    <row r="204" spans="1:18" ht="26.25" hidden="1" customHeight="1" outlineLevel="3">
      <c r="A204" s="600"/>
      <c r="B204" s="603" t="s">
        <v>1419</v>
      </c>
      <c r="C204" s="615" t="s">
        <v>39</v>
      </c>
      <c r="D204" s="635" t="s">
        <v>1420</v>
      </c>
      <c r="E204" s="665" t="s">
        <v>462</v>
      </c>
      <c r="F204" s="665" t="s">
        <v>567</v>
      </c>
      <c r="G204" s="567">
        <v>1</v>
      </c>
      <c r="H204" s="685" t="s">
        <v>111</v>
      </c>
      <c r="I204" s="681">
        <f>$D$3*(1+$Q$3)</f>
        <v>0</v>
      </c>
      <c r="J204" s="682">
        <v>3</v>
      </c>
      <c r="K204" s="619">
        <f t="shared" si="41"/>
        <v>2.7027027027027026</v>
      </c>
      <c r="L204" s="569">
        <v>0.11</v>
      </c>
      <c r="M204" s="614">
        <f t="shared" si="39"/>
        <v>0</v>
      </c>
      <c r="N204" s="599">
        <f t="shared" si="42"/>
        <v>0</v>
      </c>
      <c r="O204" s="599">
        <f t="shared" si="43"/>
        <v>0</v>
      </c>
      <c r="P204" s="614" t="e">
        <f t="shared" si="40"/>
        <v>#DIV/0!</v>
      </c>
      <c r="Q204" s="718">
        <f>M204</f>
        <v>0</v>
      </c>
      <c r="R204" s="718"/>
    </row>
    <row r="205" spans="1:18" ht="26.25" hidden="1" customHeight="1" outlineLevel="3">
      <c r="A205" s="600"/>
      <c r="B205" s="603" t="s">
        <v>1421</v>
      </c>
      <c r="C205" s="615" t="s">
        <v>39</v>
      </c>
      <c r="D205" s="635" t="s">
        <v>1422</v>
      </c>
      <c r="E205" s="680" t="s">
        <v>464</v>
      </c>
      <c r="F205" s="665" t="s">
        <v>567</v>
      </c>
      <c r="G205" s="567">
        <v>1</v>
      </c>
      <c r="H205" s="685" t="s">
        <v>111</v>
      </c>
      <c r="I205" s="681">
        <f>$D$3*(1+$Q$3)</f>
        <v>0</v>
      </c>
      <c r="J205" s="682">
        <v>3</v>
      </c>
      <c r="K205" s="619">
        <f t="shared" si="41"/>
        <v>2.7027027027027026</v>
      </c>
      <c r="L205" s="569">
        <v>0.11</v>
      </c>
      <c r="M205" s="614">
        <f t="shared" si="39"/>
        <v>0</v>
      </c>
      <c r="N205" s="599">
        <f t="shared" si="42"/>
        <v>0</v>
      </c>
      <c r="O205" s="599">
        <f t="shared" si="43"/>
        <v>0</v>
      </c>
      <c r="P205" s="614" t="e">
        <f t="shared" si="40"/>
        <v>#DIV/0!</v>
      </c>
      <c r="Q205" s="718">
        <f t="shared" si="32"/>
        <v>0</v>
      </c>
      <c r="R205" s="718"/>
    </row>
    <row r="206" spans="1:18" s="600" customFormat="1" ht="26.25" hidden="1" customHeight="1" outlineLevel="2">
      <c r="B206" s="603" t="s">
        <v>1423</v>
      </c>
      <c r="C206" s="1012" t="s">
        <v>72</v>
      </c>
      <c r="D206" s="635" t="s">
        <v>1424</v>
      </c>
      <c r="E206" s="680"/>
      <c r="F206" s="648"/>
      <c r="G206" s="567">
        <v>1</v>
      </c>
      <c r="H206" s="685"/>
      <c r="I206" s="681">
        <f>+F3</f>
        <v>0</v>
      </c>
      <c r="J206" s="682">
        <v>200</v>
      </c>
      <c r="K206" s="619">
        <f t="shared" si="41"/>
        <v>180.18018018018017</v>
      </c>
      <c r="L206" s="569">
        <v>0.11</v>
      </c>
      <c r="M206" s="614">
        <f>K206*I206*G206/10000</f>
        <v>0</v>
      </c>
      <c r="N206" s="599">
        <f t="shared" si="42"/>
        <v>0</v>
      </c>
      <c r="O206" s="599">
        <f t="shared" si="43"/>
        <v>0</v>
      </c>
      <c r="P206" s="614" t="e">
        <f t="shared" si="40"/>
        <v>#DIV/0!</v>
      </c>
      <c r="Q206" s="718">
        <f t="shared" si="32"/>
        <v>0</v>
      </c>
      <c r="R206" s="718"/>
    </row>
    <row r="207" spans="1:18" ht="24" customHeight="1" outlineLevel="1" collapsed="1">
      <c r="A207" s="600"/>
      <c r="B207" s="601" t="s">
        <v>512</v>
      </c>
      <c r="C207" s="585">
        <v>4</v>
      </c>
      <c r="D207" s="691" t="s">
        <v>513</v>
      </c>
      <c r="E207" s="677"/>
      <c r="F207" s="491"/>
      <c r="G207" s="493"/>
      <c r="H207" s="491"/>
      <c r="I207" s="721"/>
      <c r="J207" s="722"/>
      <c r="K207" s="722"/>
      <c r="L207" s="340"/>
      <c r="M207" s="713">
        <f>SUBTOTAL(9,M208:M226)</f>
        <v>0</v>
      </c>
      <c r="N207" s="713">
        <f>SUBTOTAL(9,N208:N226)</f>
        <v>0</v>
      </c>
      <c r="O207" s="713">
        <f>SUBTOTAL(9,O208:O226)</f>
        <v>0</v>
      </c>
      <c r="P207" s="589" t="e">
        <f>IF(O207="","",O207*10000/F$3)</f>
        <v>#DIV/0!</v>
      </c>
      <c r="Q207" s="713">
        <f>M207</f>
        <v>0</v>
      </c>
      <c r="R207" s="713"/>
    </row>
    <row r="208" spans="1:18" ht="24" hidden="1" customHeight="1" outlineLevel="2">
      <c r="A208" s="600"/>
      <c r="B208" s="603" t="s">
        <v>1427</v>
      </c>
      <c r="C208" s="604" t="s">
        <v>1096</v>
      </c>
      <c r="D208" s="635" t="s">
        <v>1428</v>
      </c>
      <c r="E208" s="680"/>
      <c r="F208" s="607"/>
      <c r="G208" s="1012"/>
      <c r="H208" s="685"/>
      <c r="I208" s="1012"/>
      <c r="J208" s="686"/>
      <c r="K208" s="686"/>
      <c r="L208" s="569"/>
      <c r="M208" s="613">
        <f>SUBTOTAL(9,M209:M213)</f>
        <v>0</v>
      </c>
      <c r="N208" s="613">
        <f>SUBTOTAL(9,N209:N213)</f>
        <v>0</v>
      </c>
      <c r="O208" s="613">
        <f>SUBTOTAL(9,O209:O213)</f>
        <v>0</v>
      </c>
      <c r="P208" s="614" t="e">
        <f>IF(O208="","",O208*10000/F$3)</f>
        <v>#DIV/0!</v>
      </c>
      <c r="Q208" s="1022">
        <f t="shared" si="32"/>
        <v>0</v>
      </c>
      <c r="R208" s="1022"/>
    </row>
    <row r="209" spans="1:18" ht="24" hidden="1" customHeight="1" outlineLevel="3">
      <c r="A209" s="600"/>
      <c r="B209" s="603" t="s">
        <v>1429</v>
      </c>
      <c r="C209" s="615" t="s">
        <v>39</v>
      </c>
      <c r="D209" s="635" t="s">
        <v>1430</v>
      </c>
      <c r="E209" s="714" t="s">
        <v>1431</v>
      </c>
      <c r="F209" s="665"/>
      <c r="G209" s="567">
        <v>1</v>
      </c>
      <c r="H209" s="685" t="s">
        <v>111</v>
      </c>
      <c r="I209" s="685">
        <v>2000</v>
      </c>
      <c r="J209" s="686"/>
      <c r="K209" s="619">
        <f>J209/(1+L209)</f>
        <v>0</v>
      </c>
      <c r="L209" s="569">
        <v>0.11</v>
      </c>
      <c r="M209" s="614">
        <f t="shared" ref="M209:M230" si="44">K209*I209*G209/10000</f>
        <v>0</v>
      </c>
      <c r="N209" s="599">
        <f>M209*L209</f>
        <v>0</v>
      </c>
      <c r="O209" s="599">
        <f>M209+N209</f>
        <v>0</v>
      </c>
      <c r="P209" s="614" t="e">
        <f t="shared" ref="P209:P234" si="45">IF(O209="","",O209*10000/F$3)</f>
        <v>#DIV/0!</v>
      </c>
      <c r="Q209" s="718">
        <f t="shared" si="32"/>
        <v>0</v>
      </c>
      <c r="R209" s="718"/>
    </row>
    <row r="210" spans="1:18" ht="24" hidden="1" customHeight="1" outlineLevel="3">
      <c r="A210" s="600"/>
      <c r="B210" s="603" t="s">
        <v>641</v>
      </c>
      <c r="C210" s="615" t="s">
        <v>39</v>
      </c>
      <c r="D210" s="635" t="s">
        <v>1432</v>
      </c>
      <c r="E210" s="714" t="s">
        <v>1431</v>
      </c>
      <c r="F210" s="648"/>
      <c r="G210" s="567">
        <v>1</v>
      </c>
      <c r="H210" s="685" t="s">
        <v>111</v>
      </c>
      <c r="I210" s="685">
        <v>2000</v>
      </c>
      <c r="J210" s="686"/>
      <c r="K210" s="619">
        <f>J210/(1+L210)</f>
        <v>0</v>
      </c>
      <c r="L210" s="569">
        <v>0.06</v>
      </c>
      <c r="M210" s="614">
        <f t="shared" si="44"/>
        <v>0</v>
      </c>
      <c r="N210" s="599">
        <f>M210*L210</f>
        <v>0</v>
      </c>
      <c r="O210" s="599">
        <f>M210+N210</f>
        <v>0</v>
      </c>
      <c r="P210" s="614" t="e">
        <f t="shared" si="45"/>
        <v>#DIV/0!</v>
      </c>
      <c r="Q210" s="718">
        <f t="shared" si="32"/>
        <v>0</v>
      </c>
      <c r="R210" s="718"/>
    </row>
    <row r="211" spans="1:18" ht="24" hidden="1" customHeight="1" outlineLevel="3">
      <c r="A211" s="600"/>
      <c r="B211" s="603" t="s">
        <v>642</v>
      </c>
      <c r="C211" s="615" t="s">
        <v>39</v>
      </c>
      <c r="D211" s="635" t="s">
        <v>1433</v>
      </c>
      <c r="E211" s="714" t="s">
        <v>1431</v>
      </c>
      <c r="F211" s="648"/>
      <c r="G211" s="567">
        <v>1</v>
      </c>
      <c r="H211" s="685" t="s">
        <v>111</v>
      </c>
      <c r="I211" s="685">
        <v>2000</v>
      </c>
      <c r="J211" s="686"/>
      <c r="K211" s="619">
        <f>J211/(1+L211)</f>
        <v>0</v>
      </c>
      <c r="L211" s="569">
        <v>0.11</v>
      </c>
      <c r="M211" s="614">
        <f t="shared" si="44"/>
        <v>0</v>
      </c>
      <c r="N211" s="599">
        <f>M211*L211</f>
        <v>0</v>
      </c>
      <c r="O211" s="599">
        <f>M211+N211</f>
        <v>0</v>
      </c>
      <c r="P211" s="614" t="e">
        <f t="shared" si="45"/>
        <v>#DIV/0!</v>
      </c>
      <c r="Q211" s="718">
        <f t="shared" si="32"/>
        <v>0</v>
      </c>
      <c r="R211" s="718"/>
    </row>
    <row r="212" spans="1:18" ht="24" hidden="1" customHeight="1" outlineLevel="3">
      <c r="A212" s="600"/>
      <c r="B212" s="603" t="s">
        <v>643</v>
      </c>
      <c r="C212" s="615" t="s">
        <v>39</v>
      </c>
      <c r="D212" s="635" t="s">
        <v>1434</v>
      </c>
      <c r="E212" s="714" t="s">
        <v>1431</v>
      </c>
      <c r="F212" s="648"/>
      <c r="G212" s="567">
        <v>1</v>
      </c>
      <c r="H212" s="685" t="s">
        <v>111</v>
      </c>
      <c r="I212" s="685">
        <v>2000</v>
      </c>
      <c r="J212" s="686"/>
      <c r="K212" s="619">
        <f>J212/(1+L212)</f>
        <v>0</v>
      </c>
      <c r="L212" s="569">
        <v>0.11</v>
      </c>
      <c r="M212" s="614">
        <f t="shared" si="44"/>
        <v>0</v>
      </c>
      <c r="N212" s="599">
        <f>M212*L212</f>
        <v>0</v>
      </c>
      <c r="O212" s="599">
        <f>M212+N212</f>
        <v>0</v>
      </c>
      <c r="P212" s="614" t="e">
        <f t="shared" si="45"/>
        <v>#DIV/0!</v>
      </c>
      <c r="Q212" s="718">
        <f t="shared" si="32"/>
        <v>0</v>
      </c>
      <c r="R212" s="718"/>
    </row>
    <row r="213" spans="1:18" ht="24" hidden="1" customHeight="1" outlineLevel="3">
      <c r="A213" s="600"/>
      <c r="B213" s="603" t="s">
        <v>644</v>
      </c>
      <c r="C213" s="615" t="s">
        <v>39</v>
      </c>
      <c r="D213" s="635" t="s">
        <v>1435</v>
      </c>
      <c r="E213" s="680"/>
      <c r="F213" s="648"/>
      <c r="G213" s="672"/>
      <c r="H213" s="1012"/>
      <c r="I213" s="681"/>
      <c r="J213" s="682"/>
      <c r="K213" s="682"/>
      <c r="L213" s="569"/>
      <c r="M213" s="614">
        <f t="shared" si="44"/>
        <v>0</v>
      </c>
      <c r="N213" s="599">
        <f>M213*L213</f>
        <v>0</v>
      </c>
      <c r="O213" s="599">
        <f>M213+N213</f>
        <v>0</v>
      </c>
      <c r="P213" s="614" t="e">
        <f t="shared" si="45"/>
        <v>#DIV/0!</v>
      </c>
      <c r="Q213" s="718">
        <f t="shared" si="32"/>
        <v>0</v>
      </c>
      <c r="R213" s="718"/>
    </row>
    <row r="214" spans="1:18" ht="24" hidden="1" customHeight="1" outlineLevel="2">
      <c r="A214" s="600"/>
      <c r="B214" s="603" t="s">
        <v>1436</v>
      </c>
      <c r="C214" s="615" t="s">
        <v>68</v>
      </c>
      <c r="D214" s="635" t="s">
        <v>1437</v>
      </c>
      <c r="E214" s="680"/>
      <c r="F214" s="648"/>
      <c r="G214" s="672"/>
      <c r="H214" s="685"/>
      <c r="I214" s="681"/>
      <c r="J214" s="682"/>
      <c r="K214" s="682"/>
      <c r="L214" s="569"/>
      <c r="M214" s="613">
        <f>SUBTOTAL(9,M215:M219)</f>
        <v>0</v>
      </c>
      <c r="N214" s="613">
        <f>SUBTOTAL(9,N215:N219)</f>
        <v>0</v>
      </c>
      <c r="O214" s="613">
        <f>SUBTOTAL(9,O215:O219)</f>
        <v>0</v>
      </c>
      <c r="P214" s="614" t="e">
        <f t="shared" si="45"/>
        <v>#DIV/0!</v>
      </c>
      <c r="Q214" s="718">
        <f t="shared" si="32"/>
        <v>0</v>
      </c>
      <c r="R214" s="718"/>
    </row>
    <row r="215" spans="1:18" ht="24" hidden="1" customHeight="1" outlineLevel="3">
      <c r="A215" s="600"/>
      <c r="B215" s="603" t="s">
        <v>1438</v>
      </c>
      <c r="C215" s="604" t="s">
        <v>39</v>
      </c>
      <c r="D215" s="635" t="s">
        <v>1439</v>
      </c>
      <c r="E215" s="680"/>
      <c r="F215" s="648"/>
      <c r="G215" s="1012">
        <v>1</v>
      </c>
      <c r="H215" s="685"/>
      <c r="I215" s="1012">
        <v>2000</v>
      </c>
      <c r="J215" s="686"/>
      <c r="K215" s="619">
        <f>J215/(1+L215)</f>
        <v>0</v>
      </c>
      <c r="L215" s="569">
        <v>0.11</v>
      </c>
      <c r="M215" s="614">
        <f t="shared" si="44"/>
        <v>0</v>
      </c>
      <c r="N215" s="599">
        <f>M215*L215</f>
        <v>0</v>
      </c>
      <c r="O215" s="599">
        <f>M215+N215</f>
        <v>0</v>
      </c>
      <c r="P215" s="614" t="e">
        <f t="shared" si="45"/>
        <v>#DIV/0!</v>
      </c>
      <c r="Q215" s="718">
        <f t="shared" si="32"/>
        <v>0</v>
      </c>
      <c r="R215" s="718"/>
    </row>
    <row r="216" spans="1:18" ht="24" hidden="1" customHeight="1" outlineLevel="3">
      <c r="A216" s="600"/>
      <c r="B216" s="603" t="s">
        <v>645</v>
      </c>
      <c r="C216" s="615" t="s">
        <v>39</v>
      </c>
      <c r="D216" s="635" t="s">
        <v>1440</v>
      </c>
      <c r="E216" s="680"/>
      <c r="F216" s="648"/>
      <c r="G216" s="672"/>
      <c r="H216" s="1012"/>
      <c r="I216" s="681"/>
      <c r="J216" s="682"/>
      <c r="K216" s="682"/>
      <c r="L216" s="569"/>
      <c r="M216" s="614">
        <f t="shared" si="44"/>
        <v>0</v>
      </c>
      <c r="N216" s="599">
        <f>M216*L216</f>
        <v>0</v>
      </c>
      <c r="O216" s="599">
        <f>M216+N216</f>
        <v>0</v>
      </c>
      <c r="P216" s="614" t="e">
        <f t="shared" si="45"/>
        <v>#DIV/0!</v>
      </c>
      <c r="Q216" s="718">
        <f t="shared" si="32"/>
        <v>0</v>
      </c>
      <c r="R216" s="718"/>
    </row>
    <row r="217" spans="1:18" ht="24" hidden="1" customHeight="1" outlineLevel="3">
      <c r="A217" s="600"/>
      <c r="B217" s="603" t="s">
        <v>646</v>
      </c>
      <c r="C217" s="615" t="s">
        <v>39</v>
      </c>
      <c r="D217" s="635" t="s">
        <v>1441</v>
      </c>
      <c r="E217" s="680"/>
      <c r="F217" s="1012"/>
      <c r="G217" s="1012">
        <v>1</v>
      </c>
      <c r="H217" s="685"/>
      <c r="I217" s="1012">
        <v>2000</v>
      </c>
      <c r="J217" s="686"/>
      <c r="K217" s="619">
        <f>J217/(1+L217)</f>
        <v>0</v>
      </c>
      <c r="L217" s="569">
        <v>0.11</v>
      </c>
      <c r="M217" s="614">
        <f t="shared" si="44"/>
        <v>0</v>
      </c>
      <c r="N217" s="599">
        <f>M217*L217</f>
        <v>0</v>
      </c>
      <c r="O217" s="599">
        <f>M217+N217</f>
        <v>0</v>
      </c>
      <c r="P217" s="614" t="e">
        <f t="shared" si="45"/>
        <v>#DIV/0!</v>
      </c>
      <c r="Q217" s="718">
        <f t="shared" si="32"/>
        <v>0</v>
      </c>
      <c r="R217" s="718"/>
    </row>
    <row r="218" spans="1:18" ht="24" hidden="1" customHeight="1" outlineLevel="3">
      <c r="A218" s="600"/>
      <c r="B218" s="603" t="s">
        <v>647</v>
      </c>
      <c r="C218" s="615" t="s">
        <v>39</v>
      </c>
      <c r="D218" s="635" t="s">
        <v>1442</v>
      </c>
      <c r="E218" s="680"/>
      <c r="F218" s="1012"/>
      <c r="G218" s="1012">
        <v>1</v>
      </c>
      <c r="H218" s="685"/>
      <c r="I218" s="1012">
        <v>2000</v>
      </c>
      <c r="J218" s="686"/>
      <c r="K218" s="619">
        <f>J218/(1+L218)</f>
        <v>0</v>
      </c>
      <c r="L218" s="569">
        <v>0.11</v>
      </c>
      <c r="M218" s="614">
        <f t="shared" si="44"/>
        <v>0</v>
      </c>
      <c r="N218" s="599">
        <f>M218*L218</f>
        <v>0</v>
      </c>
      <c r="O218" s="599">
        <f>M218+N218</f>
        <v>0</v>
      </c>
      <c r="P218" s="614" t="e">
        <f t="shared" si="45"/>
        <v>#DIV/0!</v>
      </c>
      <c r="Q218" s="718">
        <f t="shared" si="32"/>
        <v>0</v>
      </c>
      <c r="R218" s="718"/>
    </row>
    <row r="219" spans="1:18" ht="24" hidden="1" customHeight="1" outlineLevel="3">
      <c r="A219" s="600"/>
      <c r="B219" s="603" t="s">
        <v>648</v>
      </c>
      <c r="C219" s="615" t="s">
        <v>39</v>
      </c>
      <c r="D219" s="635" t="s">
        <v>1443</v>
      </c>
      <c r="E219" s="680"/>
      <c r="F219" s="1012"/>
      <c r="G219" s="672"/>
      <c r="H219" s="1012"/>
      <c r="I219" s="681"/>
      <c r="J219" s="682"/>
      <c r="K219" s="682"/>
      <c r="L219" s="569"/>
      <c r="M219" s="614">
        <f t="shared" si="44"/>
        <v>0</v>
      </c>
      <c r="N219" s="599">
        <f>M219*L219</f>
        <v>0</v>
      </c>
      <c r="O219" s="599">
        <f>M219+N219</f>
        <v>0</v>
      </c>
      <c r="P219" s="614" t="e">
        <f t="shared" si="45"/>
        <v>#DIV/0!</v>
      </c>
      <c r="Q219" s="718">
        <f t="shared" si="32"/>
        <v>0</v>
      </c>
      <c r="R219" s="718"/>
    </row>
    <row r="220" spans="1:18" ht="24" hidden="1" customHeight="1" outlineLevel="2">
      <c r="A220" s="600"/>
      <c r="B220" s="603" t="s">
        <v>1444</v>
      </c>
      <c r="C220" s="615" t="s">
        <v>69</v>
      </c>
      <c r="D220" s="635" t="s">
        <v>1445</v>
      </c>
      <c r="E220" s="714"/>
      <c r="F220" s="1012"/>
      <c r="G220" s="672"/>
      <c r="H220" s="685"/>
      <c r="I220" s="681"/>
      <c r="J220" s="682"/>
      <c r="K220" s="682"/>
      <c r="L220" s="569"/>
      <c r="M220" s="613">
        <f>SUBTOTAL(9,M221:M223)</f>
        <v>0</v>
      </c>
      <c r="N220" s="613">
        <f>SUBTOTAL(9,N221:N223)</f>
        <v>0</v>
      </c>
      <c r="O220" s="613">
        <f>SUBTOTAL(9,O221:O223)</f>
        <v>0</v>
      </c>
      <c r="P220" s="614" t="e">
        <f t="shared" si="45"/>
        <v>#DIV/0!</v>
      </c>
      <c r="Q220" s="718">
        <f t="shared" si="32"/>
        <v>0</v>
      </c>
      <c r="R220" s="718"/>
    </row>
    <row r="221" spans="1:18" ht="24" hidden="1" customHeight="1" outlineLevel="3">
      <c r="A221" s="600"/>
      <c r="B221" s="603" t="s">
        <v>1446</v>
      </c>
      <c r="C221" s="615" t="s">
        <v>39</v>
      </c>
      <c r="D221" s="635" t="s">
        <v>1447</v>
      </c>
      <c r="E221" s="714" t="s">
        <v>1431</v>
      </c>
      <c r="F221" s="1012"/>
      <c r="G221" s="672">
        <v>1</v>
      </c>
      <c r="H221" s="1012"/>
      <c r="I221" s="681">
        <v>4</v>
      </c>
      <c r="J221" s="682"/>
      <c r="K221" s="619">
        <f>J221/(1+L221)</f>
        <v>0</v>
      </c>
      <c r="L221" s="569">
        <v>0.17</v>
      </c>
      <c r="M221" s="614">
        <f t="shared" si="44"/>
        <v>0</v>
      </c>
      <c r="N221" s="599">
        <f>M221*L221</f>
        <v>0</v>
      </c>
      <c r="O221" s="599">
        <f>M221+N221</f>
        <v>0</v>
      </c>
      <c r="P221" s="614" t="e">
        <f t="shared" si="45"/>
        <v>#DIV/0!</v>
      </c>
      <c r="Q221" s="718">
        <f t="shared" si="32"/>
        <v>0</v>
      </c>
      <c r="R221" s="718"/>
    </row>
    <row r="222" spans="1:18" ht="24" hidden="1" customHeight="1" outlineLevel="3">
      <c r="A222" s="600"/>
      <c r="B222" s="603" t="s">
        <v>1448</v>
      </c>
      <c r="C222" s="604" t="s">
        <v>39</v>
      </c>
      <c r="D222" s="635" t="s">
        <v>1449</v>
      </c>
      <c r="E222" s="714" t="s">
        <v>1431</v>
      </c>
      <c r="F222" s="607"/>
      <c r="G222" s="1012">
        <v>1</v>
      </c>
      <c r="H222" s="685"/>
      <c r="I222" s="1012">
        <v>1000</v>
      </c>
      <c r="J222" s="686"/>
      <c r="K222" s="619">
        <f>J222/(1+L222)</f>
        <v>0</v>
      </c>
      <c r="L222" s="569">
        <v>0.11</v>
      </c>
      <c r="M222" s="614">
        <f t="shared" si="44"/>
        <v>0</v>
      </c>
      <c r="N222" s="599">
        <f>M222*L222</f>
        <v>0</v>
      </c>
      <c r="O222" s="599">
        <f>M222+N222</f>
        <v>0</v>
      </c>
      <c r="P222" s="614" t="e">
        <f t="shared" si="45"/>
        <v>#DIV/0!</v>
      </c>
      <c r="Q222" s="1022">
        <f t="shared" si="32"/>
        <v>0</v>
      </c>
      <c r="R222" s="1022"/>
    </row>
    <row r="223" spans="1:18" ht="24" hidden="1" customHeight="1" outlineLevel="3">
      <c r="A223" s="600"/>
      <c r="B223" s="603" t="s">
        <v>1450</v>
      </c>
      <c r="C223" s="615" t="s">
        <v>39</v>
      </c>
      <c r="D223" s="635" t="s">
        <v>1451</v>
      </c>
      <c r="E223" s="714" t="s">
        <v>1431</v>
      </c>
      <c r="F223" s="723"/>
      <c r="G223" s="614">
        <v>1</v>
      </c>
      <c r="H223" s="723"/>
      <c r="I223" s="1012">
        <v>1000</v>
      </c>
      <c r="J223" s="634"/>
      <c r="K223" s="619">
        <f>J223/(1+L223)</f>
        <v>0</v>
      </c>
      <c r="L223" s="569">
        <v>0.11</v>
      </c>
      <c r="M223" s="614">
        <f t="shared" si="44"/>
        <v>0</v>
      </c>
      <c r="N223" s="599">
        <f>M223*L223</f>
        <v>0</v>
      </c>
      <c r="O223" s="599">
        <f>M223+N223</f>
        <v>0</v>
      </c>
      <c r="P223" s="614" t="e">
        <f t="shared" si="45"/>
        <v>#DIV/0!</v>
      </c>
      <c r="Q223" s="718">
        <f t="shared" si="32"/>
        <v>0</v>
      </c>
      <c r="R223" s="718"/>
    </row>
    <row r="224" spans="1:18" ht="24" hidden="1" customHeight="1" outlineLevel="2">
      <c r="A224" s="600"/>
      <c r="B224" s="603" t="s">
        <v>1452</v>
      </c>
      <c r="C224" s="615" t="s">
        <v>70</v>
      </c>
      <c r="D224" s="635" t="s">
        <v>1453</v>
      </c>
      <c r="E224" s="714"/>
      <c r="F224" s="723"/>
      <c r="G224" s="614"/>
      <c r="H224" s="685"/>
      <c r="I224" s="723"/>
      <c r="J224" s="634"/>
      <c r="K224" s="634"/>
      <c r="L224" s="569"/>
      <c r="M224" s="613">
        <f>SUBTOTAL(9,M225:M226)</f>
        <v>0</v>
      </c>
      <c r="N224" s="613">
        <f>SUBTOTAL(9,N225:N226)</f>
        <v>0</v>
      </c>
      <c r="O224" s="613">
        <f>SUBTOTAL(9,O225:O226)</f>
        <v>0</v>
      </c>
      <c r="P224" s="614" t="e">
        <f t="shared" si="45"/>
        <v>#DIV/0!</v>
      </c>
      <c r="Q224" s="718">
        <f t="shared" si="32"/>
        <v>0</v>
      </c>
      <c r="R224" s="718"/>
    </row>
    <row r="225" spans="1:18" ht="24" hidden="1" customHeight="1" outlineLevel="3">
      <c r="A225" s="600"/>
      <c r="B225" s="603" t="s">
        <v>1454</v>
      </c>
      <c r="C225" s="604" t="s">
        <v>39</v>
      </c>
      <c r="D225" s="635" t="s">
        <v>1455</v>
      </c>
      <c r="E225" s="714" t="s">
        <v>1431</v>
      </c>
      <c r="F225" s="648"/>
      <c r="G225" s="1012">
        <v>1</v>
      </c>
      <c r="H225" s="685"/>
      <c r="I225" s="1012">
        <v>1000</v>
      </c>
      <c r="J225" s="686"/>
      <c r="K225" s="619">
        <f>J225/(1+L225)</f>
        <v>0</v>
      </c>
      <c r="L225" s="569">
        <v>0.11</v>
      </c>
      <c r="M225" s="614">
        <f t="shared" si="44"/>
        <v>0</v>
      </c>
      <c r="N225" s="599">
        <f>M225*L225</f>
        <v>0</v>
      </c>
      <c r="O225" s="599">
        <f>M225+N225</f>
        <v>0</v>
      </c>
      <c r="P225" s="614" t="e">
        <f t="shared" si="45"/>
        <v>#DIV/0!</v>
      </c>
      <c r="Q225" s="718">
        <f t="shared" si="32"/>
        <v>0</v>
      </c>
      <c r="R225" s="718"/>
    </row>
    <row r="226" spans="1:18" ht="24" hidden="1" customHeight="1" outlineLevel="3">
      <c r="A226" s="600"/>
      <c r="B226" s="603" t="s">
        <v>1456</v>
      </c>
      <c r="C226" s="615" t="s">
        <v>39</v>
      </c>
      <c r="D226" s="635" t="s">
        <v>1457</v>
      </c>
      <c r="E226" s="714" t="s">
        <v>1431</v>
      </c>
      <c r="F226" s="648"/>
      <c r="G226" s="672">
        <v>1</v>
      </c>
      <c r="H226" s="1012"/>
      <c r="I226" s="681">
        <v>1000</v>
      </c>
      <c r="J226" s="682"/>
      <c r="K226" s="619">
        <f>J226/(1+L226)</f>
        <v>0</v>
      </c>
      <c r="L226" s="569">
        <v>0.03</v>
      </c>
      <c r="M226" s="614">
        <f t="shared" si="44"/>
        <v>0</v>
      </c>
      <c r="N226" s="599">
        <f>M226*L226</f>
        <v>0</v>
      </c>
      <c r="O226" s="599">
        <f>M226+N226</f>
        <v>0</v>
      </c>
      <c r="P226" s="614" t="e">
        <f t="shared" si="45"/>
        <v>#DIV/0!</v>
      </c>
      <c r="Q226" s="718">
        <f t="shared" si="32"/>
        <v>0</v>
      </c>
      <c r="R226" s="718"/>
    </row>
    <row r="227" spans="1:18" ht="24" customHeight="1" outlineLevel="1">
      <c r="A227" s="600"/>
      <c r="B227" s="601" t="s">
        <v>514</v>
      </c>
      <c r="C227" s="585">
        <v>5</v>
      </c>
      <c r="D227" s="691" t="s">
        <v>1459</v>
      </c>
      <c r="E227" s="677" t="s">
        <v>818</v>
      </c>
      <c r="F227" s="491"/>
      <c r="G227" s="716">
        <v>1</v>
      </c>
      <c r="H227" s="716" t="s">
        <v>143</v>
      </c>
      <c r="I227" s="721">
        <f>D3</f>
        <v>0</v>
      </c>
      <c r="J227" s="722">
        <v>8</v>
      </c>
      <c r="K227" s="722">
        <f>J227/(1+L227)</f>
        <v>7.5471698113207539</v>
      </c>
      <c r="L227" s="340">
        <v>0.06</v>
      </c>
      <c r="M227" s="679">
        <f t="shared" si="44"/>
        <v>0</v>
      </c>
      <c r="N227" s="679">
        <f>M227*L227</f>
        <v>0</v>
      </c>
      <c r="O227" s="679">
        <f>M227+N227</f>
        <v>0</v>
      </c>
      <c r="P227" s="589" t="e">
        <f t="shared" si="45"/>
        <v>#DIV/0!</v>
      </c>
      <c r="Q227" s="589">
        <f>M227</f>
        <v>0</v>
      </c>
      <c r="R227" s="589"/>
    </row>
    <row r="228" spans="1:18" ht="24" customHeight="1" outlineLevel="1" collapsed="1">
      <c r="A228" s="600"/>
      <c r="B228" s="601" t="s">
        <v>1010</v>
      </c>
      <c r="C228" s="585">
        <v>6</v>
      </c>
      <c r="D228" s="691" t="s">
        <v>1011</v>
      </c>
      <c r="E228" s="677" t="s">
        <v>1011</v>
      </c>
      <c r="F228" s="491"/>
      <c r="G228" s="716"/>
      <c r="H228" s="716"/>
      <c r="I228" s="721"/>
      <c r="J228" s="722"/>
      <c r="K228" s="722"/>
      <c r="L228" s="340"/>
      <c r="M228" s="589">
        <f>SUBTOTAL(9,M229:M230)</f>
        <v>0</v>
      </c>
      <c r="N228" s="589">
        <f>SUBTOTAL(9,N229:N230)</f>
        <v>0</v>
      </c>
      <c r="O228" s="589">
        <f>SUBTOTAL(9,O229:O230)</f>
        <v>0</v>
      </c>
      <c r="P228" s="589" t="e">
        <f t="shared" si="45"/>
        <v>#DIV/0!</v>
      </c>
      <c r="Q228" s="713">
        <f>M228</f>
        <v>0</v>
      </c>
      <c r="R228" s="713"/>
    </row>
    <row r="229" spans="1:18" ht="24" hidden="1" customHeight="1" outlineLevel="2" collapsed="1">
      <c r="A229" s="600"/>
      <c r="B229" s="603" t="s">
        <v>1463</v>
      </c>
      <c r="C229" s="604" t="s">
        <v>36</v>
      </c>
      <c r="D229" s="697" t="s">
        <v>1465</v>
      </c>
      <c r="E229" s="724"/>
      <c r="F229" s="607"/>
      <c r="G229" s="567"/>
      <c r="H229" s="685"/>
      <c r="I229" s="685"/>
      <c r="J229" s="686"/>
      <c r="K229" s="619">
        <f>J229/(1+L229)</f>
        <v>0</v>
      </c>
      <c r="L229" s="569">
        <v>0.06</v>
      </c>
      <c r="M229" s="614">
        <f t="shared" si="44"/>
        <v>0</v>
      </c>
      <c r="N229" s="614"/>
      <c r="O229" s="614"/>
      <c r="P229" s="614" t="str">
        <f t="shared" si="45"/>
        <v/>
      </c>
      <c r="Q229" s="1022">
        <f>M229</f>
        <v>0</v>
      </c>
      <c r="R229" s="1022"/>
    </row>
    <row r="230" spans="1:18" ht="24" hidden="1" customHeight="1" outlineLevel="2" collapsed="1">
      <c r="A230" s="600"/>
      <c r="B230" s="603" t="s">
        <v>1466</v>
      </c>
      <c r="C230" s="604" t="s">
        <v>33</v>
      </c>
      <c r="D230" s="697" t="s">
        <v>1468</v>
      </c>
      <c r="E230" s="724"/>
      <c r="F230" s="607" t="s">
        <v>10</v>
      </c>
      <c r="G230" s="567">
        <v>1</v>
      </c>
      <c r="H230" s="685" t="s">
        <v>111</v>
      </c>
      <c r="I230" s="685">
        <f>D3</f>
        <v>0</v>
      </c>
      <c r="J230" s="686">
        <v>10</v>
      </c>
      <c r="K230" s="619">
        <f>J230/(1+L230)</f>
        <v>9.4339622641509422</v>
      </c>
      <c r="L230" s="569">
        <v>0.06</v>
      </c>
      <c r="M230" s="614">
        <f t="shared" si="44"/>
        <v>0</v>
      </c>
      <c r="N230" s="599">
        <f>M230*L230</f>
        <v>0</v>
      </c>
      <c r="O230" s="599">
        <f>M230+N230</f>
        <v>0</v>
      </c>
      <c r="P230" s="614" t="e">
        <f t="shared" si="45"/>
        <v>#DIV/0!</v>
      </c>
      <c r="Q230" s="1022">
        <f>M230</f>
        <v>0</v>
      </c>
      <c r="R230" s="1022"/>
    </row>
    <row r="231" spans="1:18" ht="24" customHeight="1">
      <c r="A231" s="600"/>
      <c r="B231" s="577" t="s">
        <v>1469</v>
      </c>
      <c r="C231" s="578" t="s">
        <v>141</v>
      </c>
      <c r="D231" s="725" t="s">
        <v>142</v>
      </c>
      <c r="E231" s="726"/>
      <c r="F231" s="727"/>
      <c r="G231" s="728"/>
      <c r="H231" s="728"/>
      <c r="I231" s="728"/>
      <c r="J231" s="728"/>
      <c r="K231" s="728"/>
      <c r="L231" s="580"/>
      <c r="M231" s="581"/>
      <c r="N231" s="729"/>
      <c r="O231" s="729"/>
      <c r="P231" s="730" t="str">
        <f t="shared" si="45"/>
        <v/>
      </c>
      <c r="Q231" s="730">
        <f>M231</f>
        <v>0</v>
      </c>
      <c r="R231" s="730"/>
    </row>
    <row r="232" spans="1:18" ht="24" customHeight="1" outlineLevel="1">
      <c r="A232" s="600"/>
      <c r="B232" s="731" t="s">
        <v>1472</v>
      </c>
      <c r="C232" s="732">
        <v>1</v>
      </c>
      <c r="D232" s="733" t="s">
        <v>1473</v>
      </c>
      <c r="E232" s="677"/>
      <c r="F232" s="491"/>
      <c r="G232" s="716"/>
      <c r="H232" s="716"/>
      <c r="I232" s="721"/>
      <c r="J232" s="722"/>
      <c r="K232" s="722"/>
      <c r="L232" s="340"/>
      <c r="M232" s="589"/>
      <c r="N232" s="589"/>
      <c r="O232" s="589"/>
      <c r="P232" s="589" t="str">
        <f t="shared" si="45"/>
        <v/>
      </c>
      <c r="Q232" s="713"/>
      <c r="R232" s="713"/>
    </row>
    <row r="233" spans="1:18" ht="24" customHeight="1" outlineLevel="1">
      <c r="A233" s="600"/>
      <c r="B233" s="731" t="s">
        <v>1474</v>
      </c>
      <c r="C233" s="732">
        <v>2</v>
      </c>
      <c r="D233" s="733" t="s">
        <v>1475</v>
      </c>
      <c r="E233" s="677"/>
      <c r="F233" s="491"/>
      <c r="G233" s="716"/>
      <c r="H233" s="716"/>
      <c r="I233" s="721"/>
      <c r="J233" s="722"/>
      <c r="K233" s="722"/>
      <c r="L233" s="340"/>
      <c r="M233" s="589"/>
      <c r="N233" s="589"/>
      <c r="O233" s="589"/>
      <c r="P233" s="589" t="str">
        <f t="shared" si="45"/>
        <v/>
      </c>
      <c r="Q233" s="713"/>
      <c r="R233" s="713"/>
    </row>
    <row r="234" spans="1:18" ht="24" customHeight="1" outlineLevel="1">
      <c r="A234" s="600"/>
      <c r="B234" s="731" t="s">
        <v>1476</v>
      </c>
      <c r="C234" s="732">
        <v>3</v>
      </c>
      <c r="D234" s="733" t="s">
        <v>1477</v>
      </c>
      <c r="E234" s="677"/>
      <c r="F234" s="491"/>
      <c r="G234" s="716"/>
      <c r="H234" s="716"/>
      <c r="I234" s="721"/>
      <c r="J234" s="722"/>
      <c r="K234" s="722"/>
      <c r="L234" s="340"/>
      <c r="M234" s="589"/>
      <c r="N234" s="589"/>
      <c r="O234" s="589"/>
      <c r="P234" s="589" t="str">
        <f t="shared" si="45"/>
        <v/>
      </c>
      <c r="Q234" s="713"/>
      <c r="R234" s="713"/>
    </row>
    <row r="235" spans="1:18" ht="24" customHeight="1">
      <c r="B235" s="734"/>
      <c r="C235" s="734"/>
      <c r="D235" s="735"/>
      <c r="F235" s="736"/>
      <c r="G235" s="737"/>
      <c r="H235" s="738"/>
      <c r="I235" s="739"/>
      <c r="J235" s="740" t="s">
        <v>24</v>
      </c>
      <c r="K235" s="740"/>
      <c r="L235" s="740"/>
      <c r="M235" s="737">
        <f>M5+M72+M106+M127+M174+M231-M86-M90-M91-M92-M83</f>
        <v>0</v>
      </c>
      <c r="N235" s="737"/>
      <c r="O235" s="737">
        <f>O5+O72+O106+O127+O174+O231-O86-O90-O91-O92-O88</f>
        <v>0</v>
      </c>
      <c r="P235" s="741"/>
      <c r="Q235" s="741"/>
      <c r="R235" s="741"/>
    </row>
    <row r="236" spans="1:18" ht="24" customHeight="1">
      <c r="B236" s="742"/>
      <c r="C236" s="742"/>
      <c r="D236" s="743"/>
      <c r="F236" s="743"/>
      <c r="G236" s="744"/>
      <c r="H236" s="745"/>
      <c r="I236" s="746"/>
      <c r="J236" s="747"/>
      <c r="K236" s="747"/>
      <c r="L236" s="747"/>
    </row>
    <row r="237" spans="1:18" ht="24" customHeight="1">
      <c r="B237" s="742"/>
      <c r="C237" s="742"/>
      <c r="D237" s="743"/>
      <c r="F237" s="743"/>
      <c r="G237" s="744"/>
      <c r="H237" s="745"/>
      <c r="I237" s="746"/>
      <c r="J237" s="747"/>
      <c r="K237" s="747"/>
      <c r="L237" s="747"/>
    </row>
  </sheetData>
  <autoFilter ref="A4:R237"/>
  <mergeCells count="1">
    <mergeCell ref="B2:B3"/>
  </mergeCells>
  <phoneticPr fontId="19" type="noConversion"/>
  <conditionalFormatting sqref="B190">
    <cfRule type="duplicateValues" dxfId="124" priority="14"/>
  </conditionalFormatting>
  <conditionalFormatting sqref="B103">
    <cfRule type="duplicateValues" dxfId="123" priority="23"/>
  </conditionalFormatting>
  <conditionalFormatting sqref="D96">
    <cfRule type="duplicateValues" dxfId="122" priority="8"/>
  </conditionalFormatting>
  <conditionalFormatting sqref="B150">
    <cfRule type="duplicateValues" dxfId="121" priority="17"/>
  </conditionalFormatting>
  <conditionalFormatting sqref="B5">
    <cfRule type="duplicateValues" dxfId="120" priority="25"/>
  </conditionalFormatting>
  <conditionalFormatting sqref="B175">
    <cfRule type="duplicateValues" dxfId="119" priority="16"/>
  </conditionalFormatting>
  <conditionalFormatting sqref="D17">
    <cfRule type="duplicateValues" dxfId="118" priority="2"/>
  </conditionalFormatting>
  <conditionalFormatting sqref="D235:D65536 D202:D231 F2:F3 D4:D5 D97:D199 D18:D64 D68:D95">
    <cfRule type="duplicateValues" dxfId="117" priority="26"/>
  </conditionalFormatting>
  <conditionalFormatting sqref="E96">
    <cfRule type="duplicateValues" dxfId="116" priority="7"/>
  </conditionalFormatting>
  <conditionalFormatting sqref="D66">
    <cfRule type="duplicateValues" dxfId="115" priority="5"/>
  </conditionalFormatting>
  <conditionalFormatting sqref="B126">
    <cfRule type="duplicateValues" dxfId="114" priority="20"/>
  </conditionalFormatting>
  <conditionalFormatting sqref="B207">
    <cfRule type="duplicateValues" dxfId="113" priority="13"/>
  </conditionalFormatting>
  <conditionalFormatting sqref="B125">
    <cfRule type="duplicateValues" dxfId="112" priority="21"/>
  </conditionalFormatting>
  <conditionalFormatting sqref="E17">
    <cfRule type="duplicateValues" dxfId="111" priority="3"/>
  </conditionalFormatting>
  <conditionalFormatting sqref="B128">
    <cfRule type="duplicateValues" dxfId="110" priority="19"/>
  </conditionalFormatting>
  <conditionalFormatting sqref="B18">
    <cfRule type="duplicateValues" dxfId="109" priority="24"/>
  </conditionalFormatting>
  <conditionalFormatting sqref="E72:E73 E4:E5 E18">
    <cfRule type="duplicateValues" dxfId="108" priority="27"/>
  </conditionalFormatting>
  <conditionalFormatting sqref="B227">
    <cfRule type="duplicateValues" dxfId="107" priority="12"/>
  </conditionalFormatting>
  <conditionalFormatting sqref="B228">
    <cfRule type="duplicateValues" dxfId="106" priority="11"/>
  </conditionalFormatting>
  <conditionalFormatting sqref="B17">
    <cfRule type="duplicateValues" dxfId="105" priority="1"/>
  </conditionalFormatting>
  <conditionalFormatting sqref="D67">
    <cfRule type="duplicateValues" dxfId="104" priority="4"/>
  </conditionalFormatting>
  <conditionalFormatting sqref="D65">
    <cfRule type="duplicateValues" dxfId="103" priority="6"/>
  </conditionalFormatting>
  <conditionalFormatting sqref="B142">
    <cfRule type="duplicateValues" dxfId="102" priority="18"/>
  </conditionalFormatting>
  <conditionalFormatting sqref="D201">
    <cfRule type="duplicateValues" dxfId="101" priority="10"/>
  </conditionalFormatting>
  <conditionalFormatting sqref="B107">
    <cfRule type="duplicateValues" dxfId="100" priority="22"/>
  </conditionalFormatting>
  <conditionalFormatting sqref="D200">
    <cfRule type="duplicateValues" dxfId="99" priority="9"/>
  </conditionalFormatting>
  <conditionalFormatting sqref="B189">
    <cfRule type="duplicateValues" dxfId="98" priority="15"/>
  </conditionalFormatting>
  <printOptions horizontalCentered="1"/>
  <pageMargins left="0" right="0" top="0.59055118110236227" bottom="0.59055118110236227" header="0.31496062992125984" footer="0.31496062992125984"/>
  <pageSetup paperSize="9" scale="81"/>
  <headerFooter alignWithMargins="0"/>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F55" activePane="bottomRight" state="frozen"/>
      <selection pane="topRight"/>
      <selection pane="bottomLeft"/>
      <selection pane="bottomRight" activeCell="I67" sqref="I67"/>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2030</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2614</v>
      </c>
      <c r="E2" s="757">
        <f>'3-规划指标'!H26</f>
        <v>0</v>
      </c>
      <c r="F2" s="758">
        <v>0</v>
      </c>
      <c r="G2" s="759">
        <f>'3-规划指标'!G26</f>
        <v>0</v>
      </c>
      <c r="H2" s="759">
        <f>'3-规划指标'!N26</f>
        <v>0</v>
      </c>
      <c r="I2" s="759">
        <f>'3-规划指标'!M26</f>
        <v>0</v>
      </c>
      <c r="J2" s="759"/>
      <c r="K2" s="759">
        <f>'3-规划指标'!O26</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2615</v>
      </c>
      <c r="C6" s="777" t="s">
        <v>2616</v>
      </c>
      <c r="D6" s="776" t="s">
        <v>2617</v>
      </c>
      <c r="E6" s="648"/>
      <c r="F6" s="307"/>
      <c r="G6" s="511"/>
      <c r="H6" s="511"/>
      <c r="I6" s="614"/>
      <c r="J6" s="614"/>
      <c r="K6" s="778"/>
      <c r="L6" s="569"/>
      <c r="M6" s="779">
        <f>SUBTOTAL(9,M7:M8)</f>
        <v>0</v>
      </c>
      <c r="N6" s="779">
        <f>SUBTOTAL(9,N7:N8)</f>
        <v>0</v>
      </c>
      <c r="O6" s="779">
        <f>SUBTOTAL(9,O7:O8)</f>
        <v>0</v>
      </c>
      <c r="P6" s="780" t="e">
        <f t="shared" si="0"/>
        <v>#DIV/0!</v>
      </c>
      <c r="Q6" s="781"/>
      <c r="AA6" s="632"/>
    </row>
    <row r="7" spans="2:27" ht="16.5" customHeight="1" outlineLevel="3">
      <c r="B7" s="776" t="s">
        <v>2618</v>
      </c>
      <c r="C7" s="782" t="s">
        <v>39</v>
      </c>
      <c r="D7" s="783" t="s">
        <v>1480</v>
      </c>
      <c r="E7" s="307" t="s">
        <v>1278</v>
      </c>
      <c r="F7" s="307" t="s">
        <v>2619</v>
      </c>
      <c r="G7" s="784">
        <v>0.5</v>
      </c>
      <c r="H7" s="785" t="s">
        <v>384</v>
      </c>
      <c r="I7" s="614">
        <f>$G$2</f>
        <v>0</v>
      </c>
      <c r="J7" s="778">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2620</v>
      </c>
      <c r="G8" s="784">
        <v>0.5</v>
      </c>
      <c r="H8" s="785" t="s">
        <v>384</v>
      </c>
      <c r="I8" s="614">
        <f>$G$2</f>
        <v>0</v>
      </c>
      <c r="J8" s="778">
        <v>52</v>
      </c>
      <c r="K8" s="778">
        <f>J8/(1+L8)</f>
        <v>46.846846846846844</v>
      </c>
      <c r="L8" s="569">
        <v>0.11</v>
      </c>
      <c r="M8" s="779">
        <f>G8*I8*K8/10000</f>
        <v>0</v>
      </c>
      <c r="N8" s="779">
        <f>L8*M8</f>
        <v>0</v>
      </c>
      <c r="O8" s="779">
        <f>M8+N8</f>
        <v>0</v>
      </c>
      <c r="P8" s="780" t="e">
        <f t="shared" si="0"/>
        <v>#DIV/0!</v>
      </c>
      <c r="Q8" s="781">
        <f t="shared" ref="Q8:Q35" si="1">G8*I8*J8/10000-O8</f>
        <v>0</v>
      </c>
      <c r="AA8" s="632"/>
    </row>
    <row r="9" spans="2:27" ht="16.5" customHeight="1" outlineLevel="2">
      <c r="B9" s="776" t="s">
        <v>2621</v>
      </c>
      <c r="C9" s="777" t="s">
        <v>2622</v>
      </c>
      <c r="D9" s="776" t="s">
        <v>2623</v>
      </c>
      <c r="E9" s="307"/>
      <c r="F9" s="307"/>
      <c r="G9" s="511"/>
      <c r="H9" s="511"/>
      <c r="I9" s="614"/>
      <c r="J9" s="786"/>
      <c r="K9" s="786"/>
      <c r="L9" s="569"/>
      <c r="M9" s="779">
        <f>SUBTOTAL(9,M10:M35)</f>
        <v>0</v>
      </c>
      <c r="N9" s="779">
        <f>SUBTOTAL(9,N10:N35)</f>
        <v>0</v>
      </c>
      <c r="O9" s="779">
        <f>SUBTOTAL(9,O10:O35)</f>
        <v>0</v>
      </c>
      <c r="P9" s="780" t="e">
        <f t="shared" si="0"/>
        <v>#DIV/0!</v>
      </c>
      <c r="Q9" s="781"/>
      <c r="AA9" s="632"/>
    </row>
    <row r="10" spans="2:27" ht="16.5" customHeight="1" outlineLevel="3">
      <c r="B10" s="776" t="s">
        <v>2624</v>
      </c>
      <c r="C10" s="782" t="s">
        <v>39</v>
      </c>
      <c r="D10" s="776" t="s">
        <v>2625</v>
      </c>
      <c r="E10" s="648"/>
      <c r="F10" s="648"/>
      <c r="G10" s="672"/>
      <c r="H10" s="787"/>
      <c r="I10" s="672"/>
      <c r="J10" s="786"/>
      <c r="K10" s="786"/>
      <c r="L10" s="569"/>
      <c r="M10" s="779">
        <f>SUBTOTAL(9,M11:M12)</f>
        <v>0</v>
      </c>
      <c r="N10" s="779">
        <f>SUBTOTAL(9,N11:N12)</f>
        <v>0</v>
      </c>
      <c r="O10" s="779">
        <f>SUBTOTAL(9,O11:O12)</f>
        <v>0</v>
      </c>
      <c r="P10" s="780" t="e">
        <f t="shared" si="0"/>
        <v>#DIV/0!</v>
      </c>
      <c r="Q10" s="781"/>
      <c r="AA10" s="632"/>
    </row>
    <row r="11" spans="2:27" ht="16.5" customHeight="1" outlineLevel="3">
      <c r="B11" s="776" t="s">
        <v>2626</v>
      </c>
      <c r="C11" s="782"/>
      <c r="D11" s="783" t="s">
        <v>2627</v>
      </c>
      <c r="E11" s="648" t="s">
        <v>1228</v>
      </c>
      <c r="F11" s="648" t="s">
        <v>657</v>
      </c>
      <c r="G11" s="672">
        <v>0.4</v>
      </c>
      <c r="H11" s="787" t="s">
        <v>384</v>
      </c>
      <c r="I11" s="672">
        <f>$E$2*(1+$F$2)</f>
        <v>0</v>
      </c>
      <c r="J11" s="786"/>
      <c r="K11" s="778">
        <f>J11/(1+L11)</f>
        <v>0</v>
      </c>
      <c r="L11" s="569">
        <v>0.11</v>
      </c>
      <c r="M11" s="779">
        <f>G11*I11*K11/10000</f>
        <v>0</v>
      </c>
      <c r="N11" s="779">
        <f>L11*M11</f>
        <v>0</v>
      </c>
      <c r="O11" s="779">
        <f>M11+N11</f>
        <v>0</v>
      </c>
      <c r="P11" s="780" t="e">
        <f t="shared" si="0"/>
        <v>#DIV/0!</v>
      </c>
      <c r="Q11" s="781">
        <f t="shared" si="1"/>
        <v>0</v>
      </c>
      <c r="AA11" s="632"/>
    </row>
    <row r="12" spans="2:27" ht="16.5" customHeight="1" outlineLevel="3">
      <c r="B12" s="776" t="s">
        <v>2628</v>
      </c>
      <c r="C12" s="782"/>
      <c r="D12" s="783" t="s">
        <v>2629</v>
      </c>
      <c r="E12" s="648" t="s">
        <v>1228</v>
      </c>
      <c r="F12" s="648" t="s">
        <v>657</v>
      </c>
      <c r="G12" s="672">
        <v>0.4</v>
      </c>
      <c r="H12" s="787" t="s">
        <v>143</v>
      </c>
      <c r="I12" s="672">
        <f t="shared" ref="I12:I17" si="2">$E$2*(1+$F$2)</f>
        <v>0</v>
      </c>
      <c r="J12" s="786">
        <v>480</v>
      </c>
      <c r="K12" s="778">
        <f>J12/(1+L12)</f>
        <v>432.43243243243239</v>
      </c>
      <c r="L12" s="569">
        <v>0.11</v>
      </c>
      <c r="M12" s="779">
        <f>G12*I12*K12/10000</f>
        <v>0</v>
      </c>
      <c r="N12" s="779">
        <f>L12*M12</f>
        <v>0</v>
      </c>
      <c r="O12" s="779">
        <f>M12+N12</f>
        <v>0</v>
      </c>
      <c r="P12" s="780" t="e">
        <f t="shared" si="0"/>
        <v>#DIV/0!</v>
      </c>
      <c r="Q12" s="781">
        <f t="shared" si="1"/>
        <v>0</v>
      </c>
      <c r="AA12" s="632"/>
    </row>
    <row r="13" spans="2:27" ht="16.5" customHeight="1" outlineLevel="3">
      <c r="B13" s="776" t="s">
        <v>2630</v>
      </c>
      <c r="C13" s="782" t="s">
        <v>39</v>
      </c>
      <c r="D13" s="776" t="s">
        <v>658</v>
      </c>
      <c r="E13" s="648"/>
      <c r="F13" s="648"/>
      <c r="G13" s="672"/>
      <c r="H13" s="787"/>
      <c r="I13" s="672"/>
      <c r="J13" s="786"/>
      <c r="K13" s="786"/>
      <c r="L13" s="569"/>
      <c r="M13" s="779">
        <f>SUBTOTAL(9,M14:M15)</f>
        <v>0</v>
      </c>
      <c r="N13" s="779">
        <f>SUBTOTAL(9,N14:N15)</f>
        <v>0</v>
      </c>
      <c r="O13" s="779">
        <f>SUBTOTAL(9,O14:O15)</f>
        <v>0</v>
      </c>
      <c r="P13" s="780" t="e">
        <f t="shared" si="0"/>
        <v>#DIV/0!</v>
      </c>
      <c r="Q13" s="781"/>
      <c r="AA13" s="632"/>
    </row>
    <row r="14" spans="2:27" ht="16.5" customHeight="1" outlineLevel="3">
      <c r="B14" s="776" t="s">
        <v>2631</v>
      </c>
      <c r="C14" s="782"/>
      <c r="D14" s="776" t="s">
        <v>2632</v>
      </c>
      <c r="E14" s="648" t="s">
        <v>1228</v>
      </c>
      <c r="F14" s="648" t="s">
        <v>657</v>
      </c>
      <c r="G14" s="672">
        <v>55</v>
      </c>
      <c r="H14" s="787" t="s">
        <v>1927</v>
      </c>
      <c r="I14" s="672">
        <f t="shared" si="2"/>
        <v>0</v>
      </c>
      <c r="J14" s="786"/>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2633</v>
      </c>
      <c r="E15" s="648" t="s">
        <v>1228</v>
      </c>
      <c r="F15" s="648" t="s">
        <v>657</v>
      </c>
      <c r="G15" s="672">
        <v>55</v>
      </c>
      <c r="H15" s="787" t="s">
        <v>1927</v>
      </c>
      <c r="I15" s="672">
        <f t="shared" si="2"/>
        <v>0</v>
      </c>
      <c r="J15" s="786">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2634</v>
      </c>
      <c r="C16" s="782" t="s">
        <v>39</v>
      </c>
      <c r="D16" s="776" t="s">
        <v>659</v>
      </c>
      <c r="E16" s="648" t="s">
        <v>1228</v>
      </c>
      <c r="F16" s="648" t="s">
        <v>657</v>
      </c>
      <c r="G16" s="672">
        <v>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2635</v>
      </c>
      <c r="E17" s="648" t="s">
        <v>1228</v>
      </c>
      <c r="F17" s="648" t="s">
        <v>657</v>
      </c>
      <c r="G17" s="672">
        <v>0.18</v>
      </c>
      <c r="H17" s="787" t="s">
        <v>384</v>
      </c>
      <c r="I17" s="672">
        <f t="shared" si="2"/>
        <v>0</v>
      </c>
      <c r="J17" s="791">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5</v>
      </c>
      <c r="H18" s="790" t="s">
        <v>384</v>
      </c>
      <c r="I18" s="672">
        <f>$E$2*(1+$F$2)</f>
        <v>0</v>
      </c>
      <c r="J18" s="786">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2636</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2637</v>
      </c>
      <c r="C20" s="782"/>
      <c r="D20" s="783" t="s">
        <v>2638</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2639</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2640</v>
      </c>
      <c r="C22" s="782" t="s">
        <v>39</v>
      </c>
      <c r="D22" s="776" t="s">
        <v>2641</v>
      </c>
      <c r="E22" s="648"/>
      <c r="F22" s="648"/>
      <c r="G22" s="789"/>
      <c r="H22" s="790"/>
      <c r="I22" s="672"/>
      <c r="J22" s="791"/>
      <c r="K22" s="791"/>
      <c r="L22" s="788"/>
      <c r="M22" s="779">
        <f>SUBTOTAL(9,M23:M26)</f>
        <v>0</v>
      </c>
      <c r="N22" s="779">
        <f>SUBTOTAL(9,N23:N26)</f>
        <v>0</v>
      </c>
      <c r="O22" s="779">
        <f>SUBTOTAL(9,O23:O26)</f>
        <v>0</v>
      </c>
      <c r="P22" s="780" t="e">
        <f t="shared" si="0"/>
        <v>#DIV/0!</v>
      </c>
      <c r="Q22" s="781"/>
      <c r="AA22" s="632"/>
    </row>
    <row r="23" spans="2:27" ht="16.5" customHeight="1" outlineLevel="3">
      <c r="B23" s="776" t="s">
        <v>2642</v>
      </c>
      <c r="C23" s="782"/>
      <c r="D23" s="783" t="s">
        <v>2643</v>
      </c>
      <c r="E23" s="648" t="s">
        <v>1228</v>
      </c>
      <c r="F23" s="648" t="s">
        <v>657</v>
      </c>
      <c r="G23" s="789">
        <v>1</v>
      </c>
      <c r="H23" s="790" t="s">
        <v>145</v>
      </c>
      <c r="I23" s="672">
        <f t="shared" si="5"/>
        <v>0</v>
      </c>
      <c r="J23" s="672">
        <v>200</v>
      </c>
      <c r="K23" s="778">
        <f>J23/(1+L23)</f>
        <v>180.18018018018017</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2644</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2645</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2646</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2647</v>
      </c>
      <c r="C27" s="782" t="s">
        <v>39</v>
      </c>
      <c r="D27" s="776" t="s">
        <v>2648</v>
      </c>
      <c r="E27" s="665"/>
      <c r="F27" s="665"/>
      <c r="G27" s="789"/>
      <c r="H27" s="790"/>
      <c r="I27" s="672"/>
      <c r="J27" s="791"/>
      <c r="K27" s="791"/>
      <c r="L27" s="788"/>
      <c r="M27" s="779">
        <f>SUBTOTAL(9,M28:M30)</f>
        <v>0</v>
      </c>
      <c r="N27" s="779">
        <f>SUBTOTAL(9,N28:N30)</f>
        <v>0</v>
      </c>
      <c r="O27" s="779">
        <f>SUBTOTAL(9,O28:O30)</f>
        <v>0</v>
      </c>
      <c r="P27" s="780" t="e">
        <f t="shared" si="0"/>
        <v>#DIV/0!</v>
      </c>
      <c r="Q27" s="781"/>
      <c r="AA27" s="632"/>
    </row>
    <row r="28" spans="2:27" ht="16.5" customHeight="1" outlineLevel="3">
      <c r="B28" s="776" t="s">
        <v>2649</v>
      </c>
      <c r="C28" s="782"/>
      <c r="D28" s="783" t="s">
        <v>2650</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2651</v>
      </c>
      <c r="E29" s="648" t="s">
        <v>1493</v>
      </c>
      <c r="F29" s="648" t="s">
        <v>657</v>
      </c>
      <c r="G29" s="672">
        <v>1.3</v>
      </c>
      <c r="H29" s="790" t="s">
        <v>145</v>
      </c>
      <c r="I29" s="672">
        <f t="shared" si="5"/>
        <v>0</v>
      </c>
      <c r="J29" s="672">
        <v>170</v>
      </c>
      <c r="K29" s="778">
        <f t="shared" si="6"/>
        <v>153.15315315315314</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2652</v>
      </c>
      <c r="E30" s="648" t="s">
        <v>1228</v>
      </c>
      <c r="F30" s="648" t="s">
        <v>2653</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2654</v>
      </c>
      <c r="C31" s="782" t="s">
        <v>39</v>
      </c>
      <c r="D31" s="776" t="s">
        <v>2655</v>
      </c>
      <c r="E31" s="648" t="s">
        <v>1496</v>
      </c>
      <c r="F31" s="648" t="s">
        <v>657</v>
      </c>
      <c r="G31" s="672">
        <v>1</v>
      </c>
      <c r="H31" s="787" t="s">
        <v>143</v>
      </c>
      <c r="I31" s="672">
        <f>$E$2*(1+$F$2)</f>
        <v>0</v>
      </c>
      <c r="J31" s="672">
        <v>30</v>
      </c>
      <c r="K31" s="778">
        <f t="shared" si="6"/>
        <v>25.641025641025642</v>
      </c>
      <c r="L31" s="569">
        <v>0.17</v>
      </c>
      <c r="M31" s="779">
        <f t="shared" si="7"/>
        <v>0</v>
      </c>
      <c r="N31" s="779">
        <f t="shared" si="3"/>
        <v>0</v>
      </c>
      <c r="O31" s="779">
        <f t="shared" si="4"/>
        <v>0</v>
      </c>
      <c r="P31" s="780" t="e">
        <f t="shared" si="0"/>
        <v>#DIV/0!</v>
      </c>
      <c r="Q31" s="781">
        <f t="shared" si="1"/>
        <v>0</v>
      </c>
      <c r="AA31" s="632"/>
    </row>
    <row r="32" spans="2:27" ht="24.75" customHeight="1" outlineLevel="3">
      <c r="B32" s="776" t="s">
        <v>2656</v>
      </c>
      <c r="C32" s="782" t="s">
        <v>39</v>
      </c>
      <c r="D32" s="776" t="s">
        <v>2657</v>
      </c>
      <c r="E32" s="648" t="s">
        <v>2658</v>
      </c>
      <c r="F32" s="648" t="s">
        <v>657</v>
      </c>
      <c r="G32" s="672">
        <v>1</v>
      </c>
      <c r="H32" s="790" t="s">
        <v>143</v>
      </c>
      <c r="I32" s="672">
        <f>$E$2*(1+$F$2)</f>
        <v>0</v>
      </c>
      <c r="J32" s="672">
        <v>500</v>
      </c>
      <c r="K32" s="778">
        <f t="shared" si="6"/>
        <v>450.45045045045043</v>
      </c>
      <c r="L32" s="569">
        <v>0.11</v>
      </c>
      <c r="M32" s="779">
        <f t="shared" si="7"/>
        <v>0</v>
      </c>
      <c r="N32" s="779">
        <f t="shared" si="3"/>
        <v>0</v>
      </c>
      <c r="O32" s="779">
        <f t="shared" si="4"/>
        <v>0</v>
      </c>
      <c r="P32" s="780" t="e">
        <f t="shared" si="0"/>
        <v>#DIV/0!</v>
      </c>
      <c r="Q32" s="781" t="s">
        <v>2659</v>
      </c>
      <c r="AA32" s="632"/>
    </row>
    <row r="33" spans="2:27" ht="16.5" customHeight="1" outlineLevel="3">
      <c r="B33" s="776" t="s">
        <v>2660</v>
      </c>
      <c r="C33" s="782" t="s">
        <v>39</v>
      </c>
      <c r="D33" s="776" t="s">
        <v>2661</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2662</v>
      </c>
      <c r="C34" s="782" t="s">
        <v>39</v>
      </c>
      <c r="D34" s="776" t="s">
        <v>2663</v>
      </c>
      <c r="E34" s="648" t="s">
        <v>1228</v>
      </c>
      <c r="F34" s="648" t="s">
        <v>657</v>
      </c>
      <c r="G34" s="672">
        <v>1</v>
      </c>
      <c r="H34" s="790" t="s">
        <v>143</v>
      </c>
      <c r="I34" s="672">
        <f>$E$2*(1+$F$2)</f>
        <v>0</v>
      </c>
      <c r="J34" s="791">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2664</v>
      </c>
      <c r="E35" s="648" t="s">
        <v>1228</v>
      </c>
      <c r="F35" s="648" t="s">
        <v>657</v>
      </c>
      <c r="G35" s="672">
        <v>1</v>
      </c>
      <c r="H35" s="790" t="s">
        <v>143</v>
      </c>
      <c r="I35" s="672">
        <f>$E$2*(1+$F$2)</f>
        <v>0</v>
      </c>
      <c r="J35" s="791"/>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2665</v>
      </c>
      <c r="C36" s="712">
        <v>2</v>
      </c>
      <c r="D36" s="771" t="s">
        <v>2666</v>
      </c>
      <c r="E36" s="712"/>
      <c r="F36" s="712"/>
      <c r="G36" s="712"/>
      <c r="H36" s="772"/>
      <c r="I36" s="713"/>
      <c r="J36" s="772"/>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2616</v>
      </c>
      <c r="D37" s="776" t="s">
        <v>2667</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2668</v>
      </c>
      <c r="E38" s="648"/>
      <c r="F38" s="648"/>
      <c r="G38" s="791"/>
      <c r="H38" s="795"/>
      <c r="I38" s="672"/>
      <c r="J38" s="791"/>
      <c r="K38" s="791"/>
      <c r="L38" s="788"/>
      <c r="M38" s="779">
        <f>SUBTOTAL(9,M39:M40)</f>
        <v>0</v>
      </c>
      <c r="N38" s="779">
        <f>SUBTOTAL(9,N39:N40)</f>
        <v>0</v>
      </c>
      <c r="O38" s="779">
        <f>SUBTOTAL(9,O39:O40)</f>
        <v>0</v>
      </c>
      <c r="P38" s="780" t="e">
        <f t="shared" si="0"/>
        <v>#DIV/0!</v>
      </c>
      <c r="Q38" s="511"/>
      <c r="AA38" s="632"/>
    </row>
    <row r="39" spans="2:27" ht="16.5" customHeight="1" outlineLevel="3">
      <c r="B39" s="776" t="s">
        <v>2669</v>
      </c>
      <c r="C39" s="782"/>
      <c r="D39" s="796" t="s">
        <v>1498</v>
      </c>
      <c r="E39" s="648" t="s">
        <v>1228</v>
      </c>
      <c r="F39" s="648" t="s">
        <v>2670</v>
      </c>
      <c r="G39" s="791">
        <v>1</v>
      </c>
      <c r="H39" s="790" t="s">
        <v>143</v>
      </c>
      <c r="I39" s="672">
        <f>$E$2*(1+$F$2)</f>
        <v>0</v>
      </c>
      <c r="J39" s="672">
        <v>40</v>
      </c>
      <c r="K39" s="778">
        <f>J39/(1+L39)</f>
        <v>36.03603603603603</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2670</v>
      </c>
      <c r="G40" s="791">
        <v>1</v>
      </c>
      <c r="H40" s="790" t="s">
        <v>143</v>
      </c>
      <c r="I40" s="672">
        <f>$E$2*(1+$F$2)</f>
        <v>0</v>
      </c>
      <c r="J40" s="672">
        <v>50</v>
      </c>
      <c r="K40" s="778">
        <f>J40/(1+L40)</f>
        <v>42.73504273504274</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780" t="e">
        <f t="shared" si="0"/>
        <v>#DIV/0!</v>
      </c>
      <c r="Q41" s="511"/>
      <c r="AA41" s="632"/>
    </row>
    <row r="42" spans="2:27" ht="16.5" customHeight="1" outlineLevel="3">
      <c r="B42" s="776" t="s">
        <v>2671</v>
      </c>
      <c r="C42" s="782"/>
      <c r="D42" s="796" t="s">
        <v>1501</v>
      </c>
      <c r="E42" s="665" t="s">
        <v>1502</v>
      </c>
      <c r="F42" s="648" t="s">
        <v>2670</v>
      </c>
      <c r="G42" s="791">
        <v>1</v>
      </c>
      <c r="H42" s="787" t="s">
        <v>143</v>
      </c>
      <c r="I42" s="672">
        <f>$E$2*(1+$F$2)</f>
        <v>0</v>
      </c>
      <c r="J42" s="791"/>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65"/>
      <c r="G43" s="791">
        <v>1</v>
      </c>
      <c r="H43" s="787" t="s">
        <v>741</v>
      </c>
      <c r="I43" s="672">
        <f>$H$2</f>
        <v>0</v>
      </c>
      <c r="J43" s="791"/>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65"/>
      <c r="G44" s="791"/>
      <c r="H44" s="787"/>
      <c r="I44" s="672"/>
      <c r="J44" s="791"/>
      <c r="K44" s="672"/>
      <c r="L44" s="569"/>
      <c r="M44" s="779">
        <f>SUBTOTAL(9,M45:M46)</f>
        <v>0</v>
      </c>
      <c r="N44" s="779">
        <f>SUBTOTAL(9,N45:N46)</f>
        <v>0</v>
      </c>
      <c r="O44" s="779">
        <f>SUBTOTAL(9,O45:O46)</f>
        <v>0</v>
      </c>
      <c r="P44" s="780" t="e">
        <f t="shared" si="0"/>
        <v>#DIV/0!</v>
      </c>
      <c r="Q44" s="511"/>
      <c r="AA44" s="632"/>
    </row>
    <row r="45" spans="2:27" ht="16.5" customHeight="1" outlineLevel="3">
      <c r="B45" s="776" t="s">
        <v>2672</v>
      </c>
      <c r="C45" s="782"/>
      <c r="D45" s="796" t="s">
        <v>1506</v>
      </c>
      <c r="E45" s="665" t="s">
        <v>1300</v>
      </c>
      <c r="F45" s="648" t="s">
        <v>2670</v>
      </c>
      <c r="G45" s="791">
        <v>1</v>
      </c>
      <c r="H45" s="787" t="s">
        <v>143</v>
      </c>
      <c r="I45" s="672">
        <f>$E$2*(1+$F$2)</f>
        <v>0</v>
      </c>
      <c r="J45" s="791"/>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2673</v>
      </c>
      <c r="E46" s="665" t="s">
        <v>1300</v>
      </c>
      <c r="F46" s="665" t="s">
        <v>2353</v>
      </c>
      <c r="G46" s="791">
        <v>1</v>
      </c>
      <c r="H46" s="787" t="s">
        <v>741</v>
      </c>
      <c r="I46" s="672">
        <f>$H$2</f>
        <v>0</v>
      </c>
      <c r="J46" s="791"/>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780" t="e">
        <f t="shared" si="0"/>
        <v>#DIV/0!</v>
      </c>
      <c r="Q47" s="511"/>
      <c r="AA47" s="632"/>
    </row>
    <row r="48" spans="2:27" ht="16.5" customHeight="1" outlineLevel="3">
      <c r="B48" s="776" t="s">
        <v>2674</v>
      </c>
      <c r="C48" s="782"/>
      <c r="D48" s="796" t="s">
        <v>1509</v>
      </c>
      <c r="E48" s="648" t="s">
        <v>1228</v>
      </c>
      <c r="F48" s="648" t="s">
        <v>2670</v>
      </c>
      <c r="G48" s="791">
        <v>1</v>
      </c>
      <c r="H48" s="790" t="s">
        <v>143</v>
      </c>
      <c r="I48" s="672">
        <f t="shared" ref="I48:I55" si="9">$E$2*(1+$F$2)</f>
        <v>0</v>
      </c>
      <c r="J48" s="672">
        <v>200</v>
      </c>
      <c r="K48" s="778">
        <f t="shared" ref="K48:K54" si="10">J48/(1+L48)</f>
        <v>180.18018018018017</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2675</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2676</v>
      </c>
      <c r="F50" s="648" t="s">
        <v>2675</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2677</v>
      </c>
      <c r="F51" s="648" t="s">
        <v>2675</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2678</v>
      </c>
      <c r="F52" s="648" t="s">
        <v>2675</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2675</v>
      </c>
      <c r="G53" s="791"/>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s="633" customFormat="1" ht="16.5" customHeight="1" outlineLevel="3">
      <c r="B54" s="776" t="s">
        <v>1521</v>
      </c>
      <c r="C54" s="792"/>
      <c r="D54" s="796" t="s">
        <v>1522</v>
      </c>
      <c r="E54" s="648" t="s">
        <v>2678</v>
      </c>
      <c r="F54" s="648" t="s">
        <v>2675</v>
      </c>
      <c r="G54" s="791">
        <v>1</v>
      </c>
      <c r="H54" s="787" t="s">
        <v>741</v>
      </c>
      <c r="I54" s="672">
        <f>+H2</f>
        <v>0</v>
      </c>
      <c r="J54" s="672">
        <v>10</v>
      </c>
      <c r="K54" s="778">
        <f t="shared" si="10"/>
        <v>8.5470085470085468</v>
      </c>
      <c r="L54" s="569">
        <v>0.17</v>
      </c>
      <c r="M54" s="779">
        <f t="shared" si="11"/>
        <v>0</v>
      </c>
      <c r="N54" s="779">
        <f t="shared" si="12"/>
        <v>0</v>
      </c>
      <c r="O54" s="779">
        <f t="shared" si="13"/>
        <v>0</v>
      </c>
      <c r="P54" s="780" t="e">
        <f t="shared" si="0"/>
        <v>#DIV/0!</v>
      </c>
      <c r="Q54" s="781">
        <f t="shared" si="8"/>
        <v>0</v>
      </c>
    </row>
    <row r="55" spans="2:27" s="633" customFormat="1" ht="16.5" customHeight="1" outlineLevel="3">
      <c r="B55" s="776" t="s">
        <v>1523</v>
      </c>
      <c r="C55" s="792"/>
      <c r="D55" s="796" t="s">
        <v>1524</v>
      </c>
      <c r="E55" s="648" t="s">
        <v>1228</v>
      </c>
      <c r="F55" s="648" t="s">
        <v>2675</v>
      </c>
      <c r="G55" s="791">
        <v>1</v>
      </c>
      <c r="H55" s="787" t="s">
        <v>143</v>
      </c>
      <c r="I55" s="672">
        <f t="shared" si="9"/>
        <v>0</v>
      </c>
      <c r="J55" s="672"/>
      <c r="K55" s="672"/>
      <c r="L55" s="569">
        <v>0.17</v>
      </c>
      <c r="M55" s="779">
        <f t="shared" si="11"/>
        <v>0</v>
      </c>
      <c r="N55" s="779">
        <f t="shared" si="12"/>
        <v>0</v>
      </c>
      <c r="O55" s="779">
        <f t="shared" si="13"/>
        <v>0</v>
      </c>
      <c r="P55" s="780" t="e">
        <f t="shared" si="0"/>
        <v>#DIV/0!</v>
      </c>
      <c r="Q55" s="781">
        <f t="shared" si="8"/>
        <v>0</v>
      </c>
    </row>
    <row r="56" spans="2:27" s="633" customFormat="1" ht="16.5" customHeight="1" outlineLevel="2">
      <c r="B56" s="776" t="s">
        <v>670</v>
      </c>
      <c r="C56" s="777" t="s">
        <v>2622</v>
      </c>
      <c r="D56" s="776" t="s">
        <v>2679</v>
      </c>
      <c r="E56" s="648"/>
      <c r="F56" s="648"/>
      <c r="G56" s="794"/>
      <c r="H56" s="787"/>
      <c r="I56" s="672"/>
      <c r="J56" s="791"/>
      <c r="K56" s="672"/>
      <c r="L56" s="569"/>
      <c r="M56" s="779">
        <f>SUBTOTAL(9,M57:M68)</f>
        <v>0</v>
      </c>
      <c r="N56" s="779">
        <f>SUBTOTAL(9,N57:N68)</f>
        <v>0</v>
      </c>
      <c r="O56" s="779">
        <f>SUBTOTAL(9,O57:O68)</f>
        <v>0</v>
      </c>
      <c r="P56" s="780" t="e">
        <f t="shared" si="0"/>
        <v>#DIV/0!</v>
      </c>
      <c r="Q56" s="781"/>
    </row>
    <row r="57" spans="2:27" s="633" customFormat="1" ht="16.5" customHeight="1" outlineLevel="3">
      <c r="B57" s="776" t="s">
        <v>671</v>
      </c>
      <c r="C57" s="792" t="s">
        <v>39</v>
      </c>
      <c r="D57" s="776" t="s">
        <v>2680</v>
      </c>
      <c r="E57" s="648"/>
      <c r="F57" s="648"/>
      <c r="G57" s="791"/>
      <c r="H57" s="787"/>
      <c r="I57" s="672"/>
      <c r="J57" s="798"/>
      <c r="K57" s="681"/>
      <c r="L57" s="569"/>
      <c r="M57" s="779">
        <f>SUBTOTAL(9,M58:M59)</f>
        <v>0</v>
      </c>
      <c r="N57" s="779">
        <f>SUBTOTAL(9,N58:N59)</f>
        <v>0</v>
      </c>
      <c r="O57" s="779">
        <f>SUBTOTAL(9,O58:O59)</f>
        <v>0</v>
      </c>
      <c r="P57" s="780" t="e">
        <f t="shared" si="0"/>
        <v>#DIV/0!</v>
      </c>
      <c r="Q57" s="781"/>
    </row>
    <row r="58" spans="2:27" s="633" customFormat="1" ht="16.5" customHeight="1" outlineLevel="3">
      <c r="B58" s="776" t="s">
        <v>2681</v>
      </c>
      <c r="C58" s="792"/>
      <c r="D58" s="796" t="s">
        <v>1525</v>
      </c>
      <c r="E58" s="648" t="s">
        <v>456</v>
      </c>
      <c r="F58" s="648" t="s">
        <v>2352</v>
      </c>
      <c r="G58" s="791">
        <v>8</v>
      </c>
      <c r="H58" s="787" t="s">
        <v>1920</v>
      </c>
      <c r="I58" s="672">
        <f>$I$2</f>
        <v>0</v>
      </c>
      <c r="J58" s="798">
        <v>30</v>
      </c>
      <c r="K58" s="778">
        <f>J58/(1+L58)</f>
        <v>25.641025641025642</v>
      </c>
      <c r="L58" s="569">
        <v>0.17</v>
      </c>
      <c r="M58" s="779">
        <f>G58*I58*K58/10000</f>
        <v>0</v>
      </c>
      <c r="N58" s="779">
        <f>L58*M58</f>
        <v>0</v>
      </c>
      <c r="O58" s="779">
        <f>M58+N58</f>
        <v>0</v>
      </c>
      <c r="P58" s="780" t="e">
        <f t="shared" si="0"/>
        <v>#DIV/0!</v>
      </c>
      <c r="Q58" s="781">
        <f t="shared" si="8"/>
        <v>0</v>
      </c>
    </row>
    <row r="59" spans="2:27" s="633" customFormat="1" ht="16.5" customHeight="1" outlineLevel="3">
      <c r="B59" s="776" t="s">
        <v>1526</v>
      </c>
      <c r="C59" s="792"/>
      <c r="D59" s="796" t="s">
        <v>1527</v>
      </c>
      <c r="E59" s="719" t="s">
        <v>2682</v>
      </c>
      <c r="F59" s="648" t="s">
        <v>2352</v>
      </c>
      <c r="G59" s="791">
        <v>8</v>
      </c>
      <c r="H59" s="787" t="s">
        <v>1920</v>
      </c>
      <c r="I59" s="672">
        <f>$I$2</f>
        <v>0</v>
      </c>
      <c r="J59" s="798">
        <v>10</v>
      </c>
      <c r="K59" s="778">
        <f>J59/(1+L59)</f>
        <v>9.0090090090090076</v>
      </c>
      <c r="L59" s="569">
        <v>0.11</v>
      </c>
      <c r="M59" s="779">
        <f>G59*I59*K59/10000</f>
        <v>0</v>
      </c>
      <c r="N59" s="779">
        <f>L59*M59</f>
        <v>0</v>
      </c>
      <c r="O59" s="779">
        <f>M59+N59</f>
        <v>0</v>
      </c>
      <c r="P59" s="780" t="e">
        <f t="shared" si="0"/>
        <v>#DIV/0!</v>
      </c>
      <c r="Q59" s="781">
        <f t="shared" si="8"/>
        <v>0</v>
      </c>
    </row>
    <row r="60" spans="2:27" ht="16.5" customHeight="1" outlineLevel="3">
      <c r="B60" s="776" t="s">
        <v>672</v>
      </c>
      <c r="C60" s="782" t="s">
        <v>39</v>
      </c>
      <c r="D60" s="776" t="s">
        <v>2683</v>
      </c>
      <c r="E60" s="665"/>
      <c r="F60" s="665"/>
      <c r="G60" s="791"/>
      <c r="H60" s="795"/>
      <c r="I60" s="791"/>
      <c r="J60" s="798"/>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2684</v>
      </c>
      <c r="C61" s="782"/>
      <c r="D61" s="796" t="s">
        <v>2685</v>
      </c>
      <c r="E61" s="665" t="s">
        <v>1528</v>
      </c>
      <c r="F61" s="665"/>
      <c r="G61" s="791"/>
      <c r="H61" s="795"/>
      <c r="I61" s="791"/>
      <c r="J61" s="798"/>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2686</v>
      </c>
      <c r="E62" s="665" t="s">
        <v>1530</v>
      </c>
      <c r="F62" s="665"/>
      <c r="G62" s="791"/>
      <c r="H62" s="795"/>
      <c r="I62" s="791"/>
      <c r="J62" s="798"/>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2687</v>
      </c>
      <c r="E63" s="648"/>
      <c r="F63" s="648"/>
      <c r="G63" s="791"/>
      <c r="H63" s="795"/>
      <c r="I63" s="672"/>
      <c r="J63" s="791"/>
      <c r="K63" s="791"/>
      <c r="L63" s="788"/>
      <c r="M63" s="779">
        <f>SUBTOTAL(9,M64:M65)</f>
        <v>0</v>
      </c>
      <c r="N63" s="779">
        <f>SUBTOTAL(9,N64:N65)</f>
        <v>0</v>
      </c>
      <c r="O63" s="779">
        <f>SUBTOTAL(9,O64:O65)</f>
        <v>0</v>
      </c>
      <c r="P63" s="780" t="e">
        <f t="shared" si="0"/>
        <v>#DIV/0!</v>
      </c>
      <c r="Q63" s="511"/>
      <c r="AA63" s="632"/>
    </row>
    <row r="64" spans="2:27" ht="16.5" customHeight="1" outlineLevel="3">
      <c r="B64" s="776" t="s">
        <v>2688</v>
      </c>
      <c r="C64" s="782"/>
      <c r="D64" s="796" t="s">
        <v>1531</v>
      </c>
      <c r="E64" s="648" t="s">
        <v>455</v>
      </c>
      <c r="F64" s="648" t="s">
        <v>657</v>
      </c>
      <c r="G64" s="791">
        <v>1</v>
      </c>
      <c r="H64" s="795" t="s">
        <v>143</v>
      </c>
      <c r="I64" s="672">
        <f>$E$2*(1+$F$2)</f>
        <v>0</v>
      </c>
      <c r="J64" s="672">
        <v>100</v>
      </c>
      <c r="K64" s="778">
        <f>J64/(1+L64)</f>
        <v>90.090090090090087</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2689</v>
      </c>
      <c r="C66" s="782" t="s">
        <v>39</v>
      </c>
      <c r="D66" s="776" t="s">
        <v>2690</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2691</v>
      </c>
      <c r="C67" s="782"/>
      <c r="D67" s="796" t="s">
        <v>1534</v>
      </c>
      <c r="E67" s="665" t="s">
        <v>1535</v>
      </c>
      <c r="F67" s="648" t="s">
        <v>657</v>
      </c>
      <c r="G67" s="791">
        <v>1</v>
      </c>
      <c r="H67" s="795" t="s">
        <v>143</v>
      </c>
      <c r="I67" s="672">
        <f>$E$2*(1+$F$2)</f>
        <v>0</v>
      </c>
      <c r="J67" s="791">
        <v>450</v>
      </c>
      <c r="K67" s="791">
        <f>J67/(1+L67)</f>
        <v>384.61538461538464</v>
      </c>
      <c r="L67" s="569">
        <v>0.17</v>
      </c>
      <c r="M67" s="779">
        <f>G67*I67*K67/10000</f>
        <v>0</v>
      </c>
      <c r="N67" s="779">
        <f>L67*M67</f>
        <v>0</v>
      </c>
      <c r="O67" s="779">
        <f>M67+N67</f>
        <v>0</v>
      </c>
      <c r="P67" s="780" t="e">
        <f t="shared" si="0"/>
        <v>#DIV/0!</v>
      </c>
      <c r="Q67" s="511">
        <f t="shared" si="8"/>
        <v>0</v>
      </c>
      <c r="AA67" s="632"/>
    </row>
    <row r="68" spans="2:27" ht="16.5" customHeight="1" outlineLevel="3">
      <c r="B68" s="776" t="s">
        <v>2692</v>
      </c>
      <c r="C68" s="782"/>
      <c r="D68" s="796" t="s">
        <v>2693</v>
      </c>
      <c r="E68" s="648" t="s">
        <v>455</v>
      </c>
      <c r="F68" s="648" t="s">
        <v>657</v>
      </c>
      <c r="G68" s="791">
        <v>1</v>
      </c>
      <c r="H68" s="795" t="s">
        <v>143</v>
      </c>
      <c r="I68" s="672">
        <f>$E$2*(1+$F$2)</f>
        <v>0</v>
      </c>
      <c r="J68" s="791">
        <v>50</v>
      </c>
      <c r="K68" s="791">
        <f>J68/(1+L68)</f>
        <v>45.045045045045043</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2694</v>
      </c>
      <c r="C69" s="481" t="s">
        <v>2695</v>
      </c>
      <c r="D69" s="480" t="s">
        <v>2696</v>
      </c>
      <c r="E69" s="765"/>
      <c r="F69" s="765"/>
      <c r="G69" s="765"/>
      <c r="H69" s="800"/>
      <c r="I69" s="766"/>
      <c r="J69" s="800"/>
      <c r="K69" s="800"/>
      <c r="L69" s="767"/>
      <c r="M69" s="768">
        <f>SUBTOTAL(9,M70:M87)</f>
        <v>0</v>
      </c>
      <c r="N69" s="768">
        <f>SUBTOTAL(9,N70:N87)</f>
        <v>0</v>
      </c>
      <c r="O69" s="768">
        <f>SUBTOTAL(9,O70:O87)</f>
        <v>0</v>
      </c>
      <c r="P69" s="769" t="e">
        <f t="shared" si="14"/>
        <v>#DIV/0!</v>
      </c>
      <c r="Q69" s="801"/>
      <c r="AA69" s="632"/>
    </row>
    <row r="70" spans="2:27" ht="16.5" customHeight="1" outlineLevel="1">
      <c r="B70" s="802" t="s">
        <v>2697</v>
      </c>
      <c r="C70" s="803">
        <v>1</v>
      </c>
      <c r="D70" s="802" t="s">
        <v>2698</v>
      </c>
      <c r="E70" s="712"/>
      <c r="F70" s="712"/>
      <c r="G70" s="712"/>
      <c r="H70" s="772"/>
      <c r="I70" s="713"/>
      <c r="J70" s="772"/>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2699</v>
      </c>
      <c r="C71" s="777" t="s">
        <v>2616</v>
      </c>
      <c r="D71" s="776" t="s">
        <v>1537</v>
      </c>
      <c r="E71" s="648" t="s">
        <v>1538</v>
      </c>
      <c r="F71" s="648" t="s">
        <v>657</v>
      </c>
      <c r="G71" s="791">
        <v>1</v>
      </c>
      <c r="H71" s="795" t="s">
        <v>143</v>
      </c>
      <c r="I71" s="672">
        <f>$E$2*(1+$F$2)</f>
        <v>0</v>
      </c>
      <c r="J71" s="672"/>
      <c r="K71" s="791">
        <f>J71/(1+L71)</f>
        <v>0</v>
      </c>
      <c r="L71" s="569">
        <v>0.17</v>
      </c>
      <c r="M71" s="779">
        <f t="shared" ref="M71:M81" si="15">G71*I71*K71/10000</f>
        <v>0</v>
      </c>
      <c r="N71" s="779">
        <f t="shared" ref="N71:N81" si="16">L71*M71</f>
        <v>0</v>
      </c>
      <c r="O71" s="779">
        <f t="shared" ref="O71:O81" si="17">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ref="I72:I78" si="18">$E$2*(1+$F$2)</f>
        <v>0</v>
      </c>
      <c r="J72" s="672"/>
      <c r="K72" s="791">
        <f t="shared" ref="K72:K81" si="19">J72/(1+L72)</f>
        <v>0</v>
      </c>
      <c r="L72" s="569">
        <v>0.17</v>
      </c>
      <c r="M72" s="779">
        <f t="shared" si="15"/>
        <v>0</v>
      </c>
      <c r="N72" s="779">
        <f t="shared" si="16"/>
        <v>0</v>
      </c>
      <c r="O72" s="779">
        <f t="shared" si="17"/>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8"/>
        <v>0</v>
      </c>
      <c r="J73" s="672"/>
      <c r="K73" s="791">
        <f t="shared" si="19"/>
        <v>0</v>
      </c>
      <c r="L73" s="569">
        <v>0.17</v>
      </c>
      <c r="M73" s="779">
        <f t="shared" si="15"/>
        <v>0</v>
      </c>
      <c r="N73" s="779">
        <f t="shared" si="16"/>
        <v>0</v>
      </c>
      <c r="O73" s="779">
        <f t="shared" si="17"/>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8"/>
        <v>0</v>
      </c>
      <c r="J74" s="672"/>
      <c r="K74" s="791">
        <f t="shared" si="19"/>
        <v>0</v>
      </c>
      <c r="L74" s="569">
        <v>0.17</v>
      </c>
      <c r="M74" s="779">
        <f t="shared" si="15"/>
        <v>0</v>
      </c>
      <c r="N74" s="779">
        <f t="shared" si="16"/>
        <v>0</v>
      </c>
      <c r="O74" s="779">
        <f t="shared" si="17"/>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8"/>
        <v>0</v>
      </c>
      <c r="J75" s="672"/>
      <c r="K75" s="791">
        <f t="shared" si="19"/>
        <v>0</v>
      </c>
      <c r="L75" s="569">
        <v>0.17</v>
      </c>
      <c r="M75" s="779">
        <f t="shared" si="15"/>
        <v>0</v>
      </c>
      <c r="N75" s="779">
        <f t="shared" si="16"/>
        <v>0</v>
      </c>
      <c r="O75" s="779">
        <f t="shared" si="17"/>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8"/>
        <v>0</v>
      </c>
      <c r="J76" s="672"/>
      <c r="K76" s="791">
        <f t="shared" si="19"/>
        <v>0</v>
      </c>
      <c r="L76" s="569">
        <v>0.11</v>
      </c>
      <c r="M76" s="779">
        <f t="shared" si="15"/>
        <v>0</v>
      </c>
      <c r="N76" s="779">
        <f t="shared" si="16"/>
        <v>0</v>
      </c>
      <c r="O76" s="779">
        <f t="shared" si="17"/>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8"/>
        <v>0</v>
      </c>
      <c r="J77" s="672"/>
      <c r="K77" s="791">
        <f t="shared" si="19"/>
        <v>0</v>
      </c>
      <c r="L77" s="569">
        <v>0.17</v>
      </c>
      <c r="M77" s="779">
        <f t="shared" si="15"/>
        <v>0</v>
      </c>
      <c r="N77" s="779">
        <f t="shared" si="16"/>
        <v>0</v>
      </c>
      <c r="O77" s="779">
        <f t="shared" si="17"/>
        <v>0</v>
      </c>
      <c r="P77" s="780" t="e">
        <f t="shared" si="14"/>
        <v>#DIV/0!</v>
      </c>
      <c r="Q77" s="781">
        <f t="shared" si="8"/>
        <v>0</v>
      </c>
      <c r="AA77" s="632"/>
    </row>
    <row r="78" spans="2:27" ht="16.5" customHeight="1" outlineLevel="2">
      <c r="B78" s="776" t="s">
        <v>1549</v>
      </c>
      <c r="C78" s="777" t="s">
        <v>73</v>
      </c>
      <c r="D78" s="776" t="s">
        <v>1550</v>
      </c>
      <c r="E78" s="648" t="s">
        <v>2700</v>
      </c>
      <c r="F78" s="648" t="s">
        <v>657</v>
      </c>
      <c r="G78" s="791">
        <v>1</v>
      </c>
      <c r="H78" s="795" t="s">
        <v>1930</v>
      </c>
      <c r="I78" s="672">
        <f t="shared" si="18"/>
        <v>0</v>
      </c>
      <c r="J78" s="672"/>
      <c r="K78" s="791">
        <f t="shared" si="19"/>
        <v>0</v>
      </c>
      <c r="L78" s="569">
        <v>0.17</v>
      </c>
      <c r="M78" s="779">
        <f t="shared" si="15"/>
        <v>0</v>
      </c>
      <c r="N78" s="779">
        <f t="shared" si="16"/>
        <v>0</v>
      </c>
      <c r="O78" s="779">
        <f t="shared" si="17"/>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5"/>
        <v>0</v>
      </c>
      <c r="N79" s="779">
        <f t="shared" si="16"/>
        <v>0</v>
      </c>
      <c r="O79" s="779">
        <f t="shared" si="17"/>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5"/>
        <v>0</v>
      </c>
      <c r="N80" s="779">
        <f t="shared" si="16"/>
        <v>0</v>
      </c>
      <c r="O80" s="779">
        <f t="shared" si="17"/>
        <v>0</v>
      </c>
      <c r="P80" s="780" t="e">
        <f t="shared" si="14"/>
        <v>#DIV/0!</v>
      </c>
      <c r="Q80" s="781">
        <f t="shared" si="8"/>
        <v>0</v>
      </c>
      <c r="AA80" s="632"/>
    </row>
    <row r="81" spans="2:27" ht="16.5" customHeight="1" outlineLevel="2">
      <c r="B81" s="776" t="s">
        <v>686</v>
      </c>
      <c r="C81" s="777" t="s">
        <v>146</v>
      </c>
      <c r="D81" s="776" t="s">
        <v>2701</v>
      </c>
      <c r="E81" s="648" t="s">
        <v>2702</v>
      </c>
      <c r="F81" s="648" t="s">
        <v>657</v>
      </c>
      <c r="G81" s="791">
        <v>1</v>
      </c>
      <c r="H81" s="795" t="s">
        <v>143</v>
      </c>
      <c r="I81" s="672">
        <f>$E$2*(1+$F$2)</f>
        <v>0</v>
      </c>
      <c r="J81" s="672"/>
      <c r="K81" s="791">
        <f t="shared" si="19"/>
        <v>0</v>
      </c>
      <c r="L81" s="569">
        <v>0.17</v>
      </c>
      <c r="M81" s="779">
        <f t="shared" si="15"/>
        <v>0</v>
      </c>
      <c r="N81" s="779">
        <f t="shared" si="16"/>
        <v>0</v>
      </c>
      <c r="O81" s="779">
        <f t="shared" si="17"/>
        <v>0</v>
      </c>
      <c r="P81" s="780" t="e">
        <f t="shared" si="14"/>
        <v>#DIV/0!</v>
      </c>
      <c r="Q81" s="781">
        <f t="shared" si="8"/>
        <v>0</v>
      </c>
      <c r="AA81" s="632"/>
    </row>
    <row r="82" spans="2:27" ht="25.5" customHeight="1" outlineLevel="1">
      <c r="B82" s="802" t="s">
        <v>2703</v>
      </c>
      <c r="C82" s="803">
        <v>2</v>
      </c>
      <c r="D82" s="802" t="s">
        <v>2704</v>
      </c>
      <c r="E82" s="712"/>
      <c r="F82" s="712"/>
      <c r="G82" s="712"/>
      <c r="H82" s="772"/>
      <c r="I82" s="713"/>
      <c r="J82" s="772"/>
      <c r="K82" s="772"/>
      <c r="L82" s="588"/>
      <c r="M82" s="773">
        <f>SUBTOTAL(9,M83:M85)</f>
        <v>0</v>
      </c>
      <c r="N82" s="773"/>
      <c r="O82" s="773"/>
      <c r="P82" s="774" t="str">
        <f t="shared" si="14"/>
        <v/>
      </c>
      <c r="Q82" s="775">
        <f t="shared" si="8"/>
        <v>0</v>
      </c>
      <c r="AA82" s="632"/>
    </row>
    <row r="83" spans="2:27" ht="16.5" customHeight="1" outlineLevel="2">
      <c r="B83" s="776" t="s">
        <v>689</v>
      </c>
      <c r="C83" s="777" t="s">
        <v>2616</v>
      </c>
      <c r="D83" s="804" t="s">
        <v>2705</v>
      </c>
      <c r="E83" s="648" t="s">
        <v>2702</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2706</v>
      </c>
      <c r="E84" s="648" t="s">
        <v>2702</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2707</v>
      </c>
      <c r="E85" s="648" t="s">
        <v>2702</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G85*I85*K85/10000</f>
        <v>0</v>
      </c>
      <c r="N85" s="779"/>
      <c r="O85" s="779"/>
      <c r="P85" s="780" t="str">
        <f t="shared" si="14"/>
        <v/>
      </c>
      <c r="Q85" s="781">
        <f t="shared" si="8"/>
        <v>0</v>
      </c>
      <c r="AA85" s="632"/>
    </row>
    <row r="86" spans="2:27" ht="16.5" customHeight="1" outlineLevel="1">
      <c r="B86" s="802" t="s">
        <v>2708</v>
      </c>
      <c r="C86" s="803">
        <v>3</v>
      </c>
      <c r="D86" s="802" t="s">
        <v>2709</v>
      </c>
      <c r="E86" s="712"/>
      <c r="F86" s="712"/>
      <c r="G86" s="712"/>
      <c r="H86" s="772"/>
      <c r="I86" s="713"/>
      <c r="J86" s="772"/>
      <c r="K86" s="772"/>
      <c r="L86" s="588"/>
      <c r="M86" s="773">
        <f>G86*I86*K86/10000</f>
        <v>0</v>
      </c>
      <c r="N86" s="773"/>
      <c r="O86" s="773"/>
      <c r="P86" s="774" t="str">
        <f t="shared" si="14"/>
        <v/>
      </c>
      <c r="Q86" s="775">
        <f t="shared" si="8"/>
        <v>0</v>
      </c>
      <c r="AA86" s="632"/>
    </row>
    <row r="87" spans="2:27" ht="16.5" customHeight="1" outlineLevel="1">
      <c r="B87" s="802" t="s">
        <v>2710</v>
      </c>
      <c r="C87" s="803">
        <v>4</v>
      </c>
      <c r="D87" s="802" t="s">
        <v>2711</v>
      </c>
      <c r="E87" s="712"/>
      <c r="F87" s="712"/>
      <c r="G87" s="712"/>
      <c r="H87" s="772"/>
      <c r="I87" s="713"/>
      <c r="J87" s="772"/>
      <c r="K87" s="772"/>
      <c r="L87" s="588"/>
      <c r="M87" s="773">
        <f>G87*I87*K87/10000</f>
        <v>0</v>
      </c>
      <c r="N87" s="773"/>
      <c r="O87" s="773"/>
      <c r="P87" s="774" t="str">
        <f t="shared" si="14"/>
        <v/>
      </c>
      <c r="Q87" s="775">
        <f t="shared" si="8"/>
        <v>0</v>
      </c>
      <c r="AA87" s="632"/>
    </row>
    <row r="88" spans="2:27" ht="16.5" customHeight="1">
      <c r="B88" s="480" t="s">
        <v>2712</v>
      </c>
      <c r="C88" s="481" t="s">
        <v>2713</v>
      </c>
      <c r="D88" s="480" t="s">
        <v>2714</v>
      </c>
      <c r="E88" s="765"/>
      <c r="F88" s="765"/>
      <c r="G88" s="765"/>
      <c r="H88" s="765"/>
      <c r="I88" s="766"/>
      <c r="J88" s="765"/>
      <c r="K88" s="765"/>
      <c r="L88" s="767"/>
      <c r="M88" s="768">
        <f>SUBTOTAL(9,M89:M167)</f>
        <v>0</v>
      </c>
      <c r="N88" s="768">
        <f>SUBTOTAL(9,N89:N167)</f>
        <v>0</v>
      </c>
      <c r="O88" s="768">
        <f>SUBTOTAL(9,O89:O167)</f>
        <v>0</v>
      </c>
      <c r="P88" s="769" t="e">
        <f t="shared" si="14"/>
        <v>#DIV/0!</v>
      </c>
      <c r="Q88" s="770"/>
      <c r="AA88" s="632"/>
    </row>
    <row r="89" spans="2:27" ht="16.5" customHeight="1" outlineLevel="1">
      <c r="B89" s="802" t="s">
        <v>2425</v>
      </c>
      <c r="C89" s="803">
        <v>1</v>
      </c>
      <c r="D89" s="802" t="s">
        <v>2426</v>
      </c>
      <c r="E89" s="712"/>
      <c r="F89" s="712"/>
      <c r="G89" s="712"/>
      <c r="H89" s="772"/>
      <c r="I89" s="713"/>
      <c r="J89" s="772"/>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2616</v>
      </c>
      <c r="D90" s="804" t="s">
        <v>2715</v>
      </c>
      <c r="E90" s="648"/>
      <c r="F90" s="648"/>
      <c r="G90" s="787"/>
      <c r="H90" s="787"/>
      <c r="I90" s="672"/>
      <c r="J90" s="681"/>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2716</v>
      </c>
      <c r="E91" s="648"/>
      <c r="F91" s="648"/>
      <c r="G91" s="791"/>
      <c r="H91" s="805"/>
      <c r="I91" s="789"/>
      <c r="J91" s="790"/>
      <c r="K91" s="790"/>
      <c r="L91" s="658"/>
      <c r="M91" s="779">
        <f>SUBTOTAL(9,M92:M93)</f>
        <v>0</v>
      </c>
      <c r="N91" s="779">
        <f>SUBTOTAL(9,N92:N93)</f>
        <v>0</v>
      </c>
      <c r="O91" s="779">
        <f>SUBTOTAL(9,O92:O93)</f>
        <v>0</v>
      </c>
      <c r="P91" s="780" t="e">
        <f t="shared" si="14"/>
        <v>#DIV/0!</v>
      </c>
      <c r="Q91" s="806"/>
      <c r="AA91" s="632"/>
    </row>
    <row r="92" spans="2:27" ht="16.5" customHeight="1" outlineLevel="4">
      <c r="B92" s="776" t="s">
        <v>2717</v>
      </c>
      <c r="C92" s="782"/>
      <c r="D92" s="807" t="s">
        <v>1556</v>
      </c>
      <c r="E92" s="648" t="s">
        <v>459</v>
      </c>
      <c r="F92" s="648" t="s">
        <v>657</v>
      </c>
      <c r="G92" s="808">
        <v>1.05</v>
      </c>
      <c r="H92" s="805" t="s">
        <v>145</v>
      </c>
      <c r="I92" s="672">
        <f t="shared" ref="I92:I103" si="20">$E$2*(1+$F$2)</f>
        <v>0</v>
      </c>
      <c r="J92" s="790"/>
      <c r="K92" s="791">
        <f>J92/(1+L92)</f>
        <v>0</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1.05</v>
      </c>
      <c r="H93" s="805" t="s">
        <v>145</v>
      </c>
      <c r="I93" s="672">
        <f t="shared" si="20"/>
        <v>0</v>
      </c>
      <c r="J93" s="790"/>
      <c r="K93" s="791">
        <f>J93/(1+L93)</f>
        <v>0</v>
      </c>
      <c r="L93" s="569">
        <v>0.11</v>
      </c>
      <c r="M93" s="779">
        <f>G93*I93*K93/10000</f>
        <v>0</v>
      </c>
      <c r="N93" s="779">
        <f>L93*M93</f>
        <v>0</v>
      </c>
      <c r="O93" s="779">
        <f>M93+N93</f>
        <v>0</v>
      </c>
      <c r="P93" s="780" t="e">
        <f t="shared" si="14"/>
        <v>#DIV/0!</v>
      </c>
      <c r="Q93" s="806">
        <f t="shared" si="8"/>
        <v>0</v>
      </c>
      <c r="AA93" s="632"/>
    </row>
    <row r="94" spans="2:27" ht="16.5" customHeight="1" outlineLevel="3">
      <c r="B94" s="776" t="s">
        <v>2718</v>
      </c>
      <c r="C94" s="782" t="s">
        <v>39</v>
      </c>
      <c r="D94" s="804" t="s">
        <v>2719</v>
      </c>
      <c r="E94" s="665"/>
      <c r="F94" s="665"/>
      <c r="G94" s="809"/>
      <c r="H94" s="790"/>
      <c r="I94" s="789"/>
      <c r="J94" s="790"/>
      <c r="K94" s="790"/>
      <c r="L94" s="569"/>
      <c r="M94" s="779">
        <f>SUBTOTAL(9,M95:M98)</f>
        <v>0</v>
      </c>
      <c r="N94" s="779">
        <f>SUBTOTAL(9,N95:N98)</f>
        <v>0</v>
      </c>
      <c r="O94" s="779">
        <f>SUBTOTAL(9,O95:O98)</f>
        <v>0</v>
      </c>
      <c r="P94" s="780" t="e">
        <f t="shared" si="14"/>
        <v>#DIV/0!</v>
      </c>
      <c r="Q94" s="806">
        <f t="shared" si="8"/>
        <v>0</v>
      </c>
      <c r="AA94" s="632"/>
    </row>
    <row r="95" spans="2:27" ht="16.5" customHeight="1" outlineLevel="4">
      <c r="B95" s="776" t="s">
        <v>2720</v>
      </c>
      <c r="C95" s="782"/>
      <c r="D95" s="807" t="s">
        <v>1560</v>
      </c>
      <c r="E95" s="719" t="s">
        <v>2721</v>
      </c>
      <c r="F95" s="648" t="s">
        <v>657</v>
      </c>
      <c r="G95" s="809">
        <v>1</v>
      </c>
      <c r="H95" s="805" t="s">
        <v>145</v>
      </c>
      <c r="I95" s="672">
        <f t="shared" si="20"/>
        <v>0</v>
      </c>
      <c r="J95" s="790">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2721</v>
      </c>
      <c r="F96" s="648" t="s">
        <v>657</v>
      </c>
      <c r="G96" s="809">
        <v>0</v>
      </c>
      <c r="H96" s="805" t="s">
        <v>145</v>
      </c>
      <c r="I96" s="672">
        <f t="shared" si="20"/>
        <v>0</v>
      </c>
      <c r="J96" s="790"/>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2721</v>
      </c>
      <c r="F97" s="648" t="s">
        <v>657</v>
      </c>
      <c r="G97" s="809">
        <v>0</v>
      </c>
      <c r="H97" s="805" t="s">
        <v>145</v>
      </c>
      <c r="I97" s="672">
        <f t="shared" si="20"/>
        <v>0</v>
      </c>
      <c r="J97" s="790"/>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2721</v>
      </c>
      <c r="F98" s="648" t="s">
        <v>657</v>
      </c>
      <c r="G98" s="809">
        <v>0</v>
      </c>
      <c r="H98" s="805" t="s">
        <v>145</v>
      </c>
      <c r="I98" s="672">
        <f t="shared" si="20"/>
        <v>0</v>
      </c>
      <c r="J98" s="790"/>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2722</v>
      </c>
      <c r="C99" s="782" t="s">
        <v>39</v>
      </c>
      <c r="D99" s="804" t="s">
        <v>2723</v>
      </c>
      <c r="E99" s="665"/>
      <c r="F99" s="665"/>
      <c r="G99" s="809"/>
      <c r="H99" s="790"/>
      <c r="I99" s="789"/>
      <c r="J99" s="790"/>
      <c r="K99" s="790"/>
      <c r="L99" s="569"/>
      <c r="M99" s="779">
        <f>SUBTOTAL(9,M100:M101)</f>
        <v>0</v>
      </c>
      <c r="N99" s="779">
        <f>SUBTOTAL(9,N100:N101)</f>
        <v>0</v>
      </c>
      <c r="O99" s="779">
        <f>SUBTOTAL(9,O100:O101)</f>
        <v>0</v>
      </c>
      <c r="P99" s="780" t="e">
        <f t="shared" si="14"/>
        <v>#DIV/0!</v>
      </c>
      <c r="Q99" s="806">
        <f t="shared" si="8"/>
        <v>0</v>
      </c>
      <c r="AA99" s="632"/>
    </row>
    <row r="100" spans="2:27" ht="16.5" customHeight="1" outlineLevel="4">
      <c r="B100" s="776" t="s">
        <v>2724</v>
      </c>
      <c r="C100" s="782"/>
      <c r="D100" s="807" t="s">
        <v>1569</v>
      </c>
      <c r="E100" s="665" t="s">
        <v>469</v>
      </c>
      <c r="F100" s="648" t="s">
        <v>657</v>
      </c>
      <c r="G100" s="809">
        <v>0.25</v>
      </c>
      <c r="H100" s="805" t="s">
        <v>145</v>
      </c>
      <c r="I100" s="672">
        <f t="shared" si="20"/>
        <v>0</v>
      </c>
      <c r="J100" s="790"/>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0.25</v>
      </c>
      <c r="H101" s="805" t="s">
        <v>145</v>
      </c>
      <c r="I101" s="672">
        <f t="shared" si="20"/>
        <v>0</v>
      </c>
      <c r="J101" s="790"/>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2725</v>
      </c>
      <c r="C102" s="782" t="s">
        <v>39</v>
      </c>
      <c r="D102" s="804" t="s">
        <v>2726</v>
      </c>
      <c r="E102" s="665"/>
      <c r="F102" s="665"/>
      <c r="G102" s="809"/>
      <c r="H102" s="790"/>
      <c r="I102" s="672"/>
      <c r="J102" s="790"/>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2727</v>
      </c>
      <c r="C103" s="782"/>
      <c r="D103" s="804" t="s">
        <v>1575</v>
      </c>
      <c r="E103" s="665" t="s">
        <v>468</v>
      </c>
      <c r="F103" s="648" t="s">
        <v>657</v>
      </c>
      <c r="G103" s="809">
        <v>0</v>
      </c>
      <c r="H103" s="805" t="s">
        <v>143</v>
      </c>
      <c r="I103" s="672">
        <f t="shared" si="20"/>
        <v>0</v>
      </c>
      <c r="J103" s="790"/>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v>0.15</v>
      </c>
      <c r="H104" s="805" t="s">
        <v>143</v>
      </c>
      <c r="I104" s="672">
        <f>$E$2*(1+$F$2)</f>
        <v>0</v>
      </c>
      <c r="J104" s="790">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2728</v>
      </c>
      <c r="C105" s="782" t="s">
        <v>39</v>
      </c>
      <c r="D105" s="804" t="s">
        <v>2729</v>
      </c>
      <c r="E105" s="648" t="s">
        <v>2730</v>
      </c>
      <c r="F105" s="648" t="s">
        <v>657</v>
      </c>
      <c r="G105" s="809"/>
      <c r="H105" s="790"/>
      <c r="I105" s="672"/>
      <c r="J105" s="790"/>
      <c r="K105" s="791">
        <f t="shared" si="21"/>
        <v>0</v>
      </c>
      <c r="L105" s="569">
        <v>0.11</v>
      </c>
      <c r="M105" s="779">
        <f t="shared" si="22"/>
        <v>0</v>
      </c>
      <c r="N105" s="779">
        <f t="shared" si="23"/>
        <v>0</v>
      </c>
      <c r="O105" s="779">
        <f t="shared" si="24"/>
        <v>0</v>
      </c>
      <c r="P105" s="780" t="e">
        <f>IF(O105="","",O105*10000/E$2)</f>
        <v>#DIV/0!</v>
      </c>
      <c r="Q105" s="806">
        <f t="shared" si="25"/>
        <v>0</v>
      </c>
      <c r="AA105" s="632"/>
    </row>
    <row r="106" spans="2:27" ht="16.5" customHeight="1" outlineLevel="3">
      <c r="B106" s="776" t="s">
        <v>705</v>
      </c>
      <c r="C106" s="782" t="s">
        <v>39</v>
      </c>
      <c r="D106" s="804" t="s">
        <v>2731</v>
      </c>
      <c r="E106" s="648" t="s">
        <v>1580</v>
      </c>
      <c r="F106" s="665" t="s">
        <v>2352</v>
      </c>
      <c r="G106" s="810">
        <v>1</v>
      </c>
      <c r="H106" s="795"/>
      <c r="I106" s="789">
        <f>I2</f>
        <v>0</v>
      </c>
      <c r="J106" s="790">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2658</v>
      </c>
      <c r="F107" s="648" t="s">
        <v>657</v>
      </c>
      <c r="G107" s="809"/>
      <c r="H107" s="805" t="s">
        <v>145</v>
      </c>
      <c r="I107" s="672">
        <f>$E$2*(1+$F$2)</f>
        <v>0</v>
      </c>
      <c r="J107" s="790"/>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2658</v>
      </c>
      <c r="F108" s="665" t="s">
        <v>2352</v>
      </c>
      <c r="G108" s="811">
        <v>0</v>
      </c>
      <c r="H108" s="805" t="s">
        <v>1921</v>
      </c>
      <c r="I108" s="672">
        <f>$I$2</f>
        <v>0</v>
      </c>
      <c r="J108" s="787"/>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2732</v>
      </c>
      <c r="E109" s="648" t="s">
        <v>470</v>
      </c>
      <c r="F109" s="648" t="s">
        <v>657</v>
      </c>
      <c r="G109" s="808">
        <v>1</v>
      </c>
      <c r="H109" s="805" t="s">
        <v>143</v>
      </c>
      <c r="I109" s="672">
        <f>$E$2*(1+$F$2)</f>
        <v>0</v>
      </c>
      <c r="J109" s="812">
        <v>100</v>
      </c>
      <c r="K109" s="791">
        <f t="shared" si="21"/>
        <v>90.090090090090087</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2733</v>
      </c>
      <c r="C110" s="782" t="s">
        <v>39</v>
      </c>
      <c r="D110" s="804" t="s">
        <v>2734</v>
      </c>
      <c r="E110" s="648" t="s">
        <v>2658</v>
      </c>
      <c r="F110" s="648" t="s">
        <v>657</v>
      </c>
      <c r="G110" s="808"/>
      <c r="H110" s="812"/>
      <c r="I110" s="672"/>
      <c r="J110" s="81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2622</v>
      </c>
      <c r="D111" s="804" t="s">
        <v>2735</v>
      </c>
      <c r="E111" s="648"/>
      <c r="F111" s="648"/>
      <c r="G111" s="787"/>
      <c r="H111" s="787"/>
      <c r="I111" s="672"/>
      <c r="J111" s="681"/>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2736</v>
      </c>
      <c r="E112" s="665" t="s">
        <v>1583</v>
      </c>
      <c r="F112" s="665" t="s">
        <v>2737</v>
      </c>
      <c r="G112" s="813">
        <v>6</v>
      </c>
      <c r="H112" s="805" t="s">
        <v>716</v>
      </c>
      <c r="I112" s="672">
        <f>($K$2+1)*$I$2</f>
        <v>0</v>
      </c>
      <c r="J112" s="81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2354</v>
      </c>
      <c r="G113" s="813"/>
      <c r="H113" s="805"/>
      <c r="I113" s="672">
        <f>I112</f>
        <v>0</v>
      </c>
      <c r="J113" s="787"/>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2738</v>
      </c>
      <c r="E114" s="665" t="s">
        <v>1583</v>
      </c>
      <c r="F114" s="665" t="s">
        <v>2353</v>
      </c>
      <c r="G114" s="813">
        <v>5.5</v>
      </c>
      <c r="H114" s="787" t="s">
        <v>660</v>
      </c>
      <c r="I114" s="672">
        <f>$H$2</f>
        <v>0</v>
      </c>
      <c r="J114" s="787">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2739</v>
      </c>
      <c r="C115" s="782" t="s">
        <v>39</v>
      </c>
      <c r="D115" s="804" t="s">
        <v>2740</v>
      </c>
      <c r="E115" s="665" t="s">
        <v>1583</v>
      </c>
      <c r="F115" s="665" t="s">
        <v>2353</v>
      </c>
      <c r="G115" s="808">
        <v>3</v>
      </c>
      <c r="H115" s="812" t="s">
        <v>660</v>
      </c>
      <c r="I115" s="672">
        <f>$H$2</f>
        <v>0</v>
      </c>
      <c r="J115" s="81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2741</v>
      </c>
      <c r="C116" s="782" t="s">
        <v>39</v>
      </c>
      <c r="D116" s="804" t="s">
        <v>2742</v>
      </c>
      <c r="E116" s="665" t="s">
        <v>1583</v>
      </c>
      <c r="F116" s="665" t="s">
        <v>2353</v>
      </c>
      <c r="G116" s="809">
        <v>4</v>
      </c>
      <c r="H116" s="787" t="s">
        <v>722</v>
      </c>
      <c r="I116" s="672">
        <f>$H$2</f>
        <v>0</v>
      </c>
      <c r="J116" s="787">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2743</v>
      </c>
      <c r="D117" s="804" t="s">
        <v>2744</v>
      </c>
      <c r="E117" s="648"/>
      <c r="F117" s="648"/>
      <c r="G117" s="787"/>
      <c r="H117" s="787"/>
      <c r="I117" s="672"/>
      <c r="J117" s="681"/>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2745</v>
      </c>
      <c r="E118" s="665" t="s">
        <v>1580</v>
      </c>
      <c r="F118" s="665" t="s">
        <v>2352</v>
      </c>
      <c r="G118" s="814">
        <v>10</v>
      </c>
      <c r="H118" s="805" t="s">
        <v>7</v>
      </c>
      <c r="I118" s="672">
        <f>$I$2</f>
        <v>0</v>
      </c>
      <c r="J118" s="81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2746</v>
      </c>
      <c r="E119" s="665"/>
      <c r="F119" s="665"/>
      <c r="G119" s="813"/>
      <c r="H119" s="787"/>
      <c r="I119" s="672"/>
      <c r="J119" s="787"/>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2747</v>
      </c>
      <c r="C120" s="782"/>
      <c r="D120" s="807" t="s">
        <v>2748</v>
      </c>
      <c r="E120" s="665" t="s">
        <v>1587</v>
      </c>
      <c r="F120" s="665" t="s">
        <v>2749</v>
      </c>
      <c r="G120" s="813">
        <v>1</v>
      </c>
      <c r="H120" s="787" t="s">
        <v>727</v>
      </c>
      <c r="I120" s="672">
        <f>$H$2</f>
        <v>0</v>
      </c>
      <c r="J120" s="787">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2750</v>
      </c>
      <c r="E121" s="665" t="s">
        <v>1589</v>
      </c>
      <c r="F121" s="665" t="s">
        <v>2749</v>
      </c>
      <c r="G121" s="813">
        <v>0</v>
      </c>
      <c r="H121" s="787" t="s">
        <v>727</v>
      </c>
      <c r="I121" s="672">
        <f>$H$2</f>
        <v>0</v>
      </c>
      <c r="J121" s="787">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2751</v>
      </c>
      <c r="E122" s="648" t="s">
        <v>1590</v>
      </c>
      <c r="F122" s="665" t="s">
        <v>2737</v>
      </c>
      <c r="G122" s="813">
        <v>4.4999999999999998E-2</v>
      </c>
      <c r="H122" s="805" t="s">
        <v>1923</v>
      </c>
      <c r="I122" s="672">
        <f>$I$2*($K$2+1)</f>
        <v>0</v>
      </c>
      <c r="J122" s="812">
        <v>450</v>
      </c>
      <c r="K122" s="791">
        <f>J122/(1+L122)</f>
        <v>384.61538461538464</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2752</v>
      </c>
      <c r="C123" s="782" t="s">
        <v>39</v>
      </c>
      <c r="D123" s="804" t="s">
        <v>2753</v>
      </c>
      <c r="E123" s="665" t="s">
        <v>1580</v>
      </c>
      <c r="F123" s="648" t="s">
        <v>657</v>
      </c>
      <c r="G123" s="808">
        <v>0.39</v>
      </c>
      <c r="H123" s="805" t="s">
        <v>145</v>
      </c>
      <c r="I123" s="672">
        <f>$E$2*(1+$F$2)</f>
        <v>0</v>
      </c>
      <c r="J123" s="812">
        <v>700</v>
      </c>
      <c r="K123" s="791">
        <f>J123/(1+L123)</f>
        <v>598.29059829059838</v>
      </c>
      <c r="L123" s="620">
        <v>0.17</v>
      </c>
      <c r="M123" s="779">
        <f>G123*I123*K123/10000</f>
        <v>0</v>
      </c>
      <c r="N123" s="779">
        <f>L123*M123</f>
        <v>0</v>
      </c>
      <c r="O123" s="779">
        <f>M123+N123</f>
        <v>0</v>
      </c>
      <c r="P123" s="780" t="e">
        <f t="shared" si="14"/>
        <v>#DIV/0!</v>
      </c>
      <c r="Q123" s="781">
        <f t="shared" si="25"/>
        <v>0</v>
      </c>
      <c r="R123" s="632" t="s">
        <v>2754</v>
      </c>
      <c r="AA123" s="632"/>
    </row>
    <row r="124" spans="2:27" ht="16.5" customHeight="1" outlineLevel="2">
      <c r="B124" s="776" t="s">
        <v>731</v>
      </c>
      <c r="C124" s="777" t="s">
        <v>2755</v>
      </c>
      <c r="D124" s="804" t="s">
        <v>2756</v>
      </c>
      <c r="E124" s="648"/>
      <c r="F124" s="648"/>
      <c r="G124" s="787"/>
      <c r="H124" s="787"/>
      <c r="I124" s="672"/>
      <c r="J124" s="681"/>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2757</v>
      </c>
      <c r="E125" s="814" t="s">
        <v>1228</v>
      </c>
      <c r="F125" s="814" t="s">
        <v>2620</v>
      </c>
      <c r="G125" s="814">
        <v>0</v>
      </c>
      <c r="H125" s="787" t="s">
        <v>145</v>
      </c>
      <c r="I125" s="672">
        <f>$G$2</f>
        <v>0</v>
      </c>
      <c r="J125" s="816">
        <v>130</v>
      </c>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2758</v>
      </c>
      <c r="E126" s="814" t="s">
        <v>471</v>
      </c>
      <c r="F126" s="814"/>
      <c r="G126" s="814"/>
      <c r="H126" s="812"/>
      <c r="I126" s="672"/>
      <c r="J126" s="816"/>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2759</v>
      </c>
      <c r="C127" s="782" t="s">
        <v>39</v>
      </c>
      <c r="D127" s="815" t="s">
        <v>2760</v>
      </c>
      <c r="E127" s="648" t="s">
        <v>2761</v>
      </c>
      <c r="F127" s="648" t="s">
        <v>657</v>
      </c>
      <c r="G127" s="808">
        <v>1</v>
      </c>
      <c r="H127" s="805" t="s">
        <v>143</v>
      </c>
      <c r="I127" s="672">
        <f>$E$2*(1+$F$2)</f>
        <v>0</v>
      </c>
      <c r="J127" s="837">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2762</v>
      </c>
      <c r="E128" s="665" t="s">
        <v>463</v>
      </c>
      <c r="F128" s="665" t="s">
        <v>2353</v>
      </c>
      <c r="G128" s="814">
        <v>1</v>
      </c>
      <c r="H128" s="812" t="s">
        <v>741</v>
      </c>
      <c r="I128" s="672">
        <f>$H$2</f>
        <v>0</v>
      </c>
      <c r="J128" s="816">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2763</v>
      </c>
      <c r="C129" s="712">
        <v>2</v>
      </c>
      <c r="D129" s="771" t="s">
        <v>2764</v>
      </c>
      <c r="E129" s="712"/>
      <c r="F129" s="712"/>
      <c r="G129" s="712"/>
      <c r="H129" s="772"/>
      <c r="I129" s="713"/>
      <c r="J129" s="772"/>
      <c r="K129" s="772"/>
      <c r="L129" s="772"/>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2616</v>
      </c>
      <c r="D130" s="817" t="s">
        <v>2765</v>
      </c>
      <c r="E130" s="648"/>
      <c r="F130" s="648"/>
      <c r="G130" s="787"/>
      <c r="H130" s="787"/>
      <c r="I130" s="672"/>
      <c r="J130" s="681"/>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2766</v>
      </c>
      <c r="C131" s="782" t="s">
        <v>39</v>
      </c>
      <c r="D131" s="815" t="s">
        <v>2767</v>
      </c>
      <c r="E131" s="648" t="s">
        <v>2768</v>
      </c>
      <c r="F131" s="648" t="s">
        <v>2352</v>
      </c>
      <c r="G131" s="787">
        <v>1</v>
      </c>
      <c r="H131" s="805" t="s">
        <v>1921</v>
      </c>
      <c r="I131" s="672">
        <f>E2</f>
        <v>0</v>
      </c>
      <c r="J131" s="681">
        <v>400</v>
      </c>
      <c r="K131" s="791">
        <f>J131/(1+L131)</f>
        <v>360.36036036036035</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2769</v>
      </c>
      <c r="E132" s="648" t="s">
        <v>457</v>
      </c>
      <c r="F132" s="648" t="s">
        <v>2352</v>
      </c>
      <c r="G132" s="787">
        <v>1</v>
      </c>
      <c r="H132" s="805" t="s">
        <v>1921</v>
      </c>
      <c r="I132" s="672">
        <f>I131</f>
        <v>0</v>
      </c>
      <c r="J132" s="681">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2770</v>
      </c>
      <c r="E133" s="648" t="s">
        <v>1329</v>
      </c>
      <c r="F133" s="648" t="s">
        <v>2352</v>
      </c>
      <c r="G133" s="787">
        <v>1</v>
      </c>
      <c r="H133" s="805" t="s">
        <v>1921</v>
      </c>
      <c r="I133" s="672">
        <f>I131</f>
        <v>0</v>
      </c>
      <c r="J133" s="681">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2771</v>
      </c>
      <c r="C134" s="777" t="s">
        <v>2622</v>
      </c>
      <c r="D134" s="817" t="s">
        <v>2772</v>
      </c>
      <c r="E134" s="648"/>
      <c r="F134" s="648"/>
      <c r="G134" s="787"/>
      <c r="H134" s="787"/>
      <c r="I134" s="672"/>
      <c r="J134" s="681"/>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2773</v>
      </c>
      <c r="C135" s="782" t="s">
        <v>39</v>
      </c>
      <c r="D135" s="815" t="s">
        <v>2774</v>
      </c>
      <c r="E135" s="648" t="s">
        <v>2768</v>
      </c>
      <c r="F135" s="648" t="s">
        <v>2352</v>
      </c>
      <c r="G135" s="787"/>
      <c r="H135" s="805" t="s">
        <v>1921</v>
      </c>
      <c r="I135" s="672">
        <f>$I$2</f>
        <v>0</v>
      </c>
      <c r="J135" s="681">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2775</v>
      </c>
      <c r="E136" s="648" t="s">
        <v>457</v>
      </c>
      <c r="F136" s="648" t="s">
        <v>2352</v>
      </c>
      <c r="G136" s="787"/>
      <c r="H136" s="805" t="s">
        <v>1921</v>
      </c>
      <c r="I136" s="672">
        <f>$I$2</f>
        <v>0</v>
      </c>
      <c r="J136" s="681">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2776</v>
      </c>
      <c r="E137" s="648" t="s">
        <v>1329</v>
      </c>
      <c r="F137" s="648" t="s">
        <v>2352</v>
      </c>
      <c r="G137" s="787"/>
      <c r="H137" s="805" t="s">
        <v>1921</v>
      </c>
      <c r="I137" s="672">
        <f>$I$2</f>
        <v>0</v>
      </c>
      <c r="J137" s="681">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2777</v>
      </c>
      <c r="C138" s="777" t="s">
        <v>2743</v>
      </c>
      <c r="D138" s="817" t="s">
        <v>2778</v>
      </c>
      <c r="E138" s="648" t="s">
        <v>2768</v>
      </c>
      <c r="F138" s="648" t="s">
        <v>2352</v>
      </c>
      <c r="G138" s="787"/>
      <c r="H138" s="805" t="s">
        <v>1921</v>
      </c>
      <c r="I138" s="672">
        <f>$I$2</f>
        <v>0</v>
      </c>
      <c r="J138" s="681"/>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2779</v>
      </c>
      <c r="E139" s="648" t="s">
        <v>2768</v>
      </c>
      <c r="F139" s="648" t="s">
        <v>2352</v>
      </c>
      <c r="G139" s="787"/>
      <c r="H139" s="805" t="s">
        <v>1921</v>
      </c>
      <c r="I139" s="672">
        <f>$I$2</f>
        <v>0</v>
      </c>
      <c r="J139" s="681"/>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2780</v>
      </c>
      <c r="E140" s="648" t="s">
        <v>2768</v>
      </c>
      <c r="F140" s="665" t="s">
        <v>2737</v>
      </c>
      <c r="G140" s="813"/>
      <c r="H140" s="805" t="s">
        <v>1924</v>
      </c>
      <c r="I140" s="672">
        <f>$K$2+1</f>
        <v>1</v>
      </c>
      <c r="J140" s="681">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2781</v>
      </c>
      <c r="C141" s="777" t="s">
        <v>144</v>
      </c>
      <c r="D141" s="817" t="s">
        <v>2782</v>
      </c>
      <c r="E141" s="648"/>
      <c r="F141" s="648"/>
      <c r="G141" s="787"/>
      <c r="H141" s="787"/>
      <c r="I141" s="672"/>
      <c r="J141" s="681"/>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2783</v>
      </c>
      <c r="C142" s="782" t="s">
        <v>39</v>
      </c>
      <c r="D142" s="815" t="s">
        <v>2784</v>
      </c>
      <c r="E142" s="648" t="s">
        <v>2785</v>
      </c>
      <c r="F142" s="665" t="s">
        <v>2786</v>
      </c>
      <c r="G142" s="813"/>
      <c r="H142" s="805" t="s">
        <v>1924</v>
      </c>
      <c r="I142" s="672">
        <f>($K$2-1)*$I$2</f>
        <v>0</v>
      </c>
      <c r="J142" s="681">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2787</v>
      </c>
      <c r="E143" s="648" t="s">
        <v>457</v>
      </c>
      <c r="F143" s="665" t="s">
        <v>2786</v>
      </c>
      <c r="G143" s="813"/>
      <c r="H143" s="805" t="s">
        <v>1924</v>
      </c>
      <c r="I143" s="672">
        <f>($K$2-1)*$I$2</f>
        <v>0</v>
      </c>
      <c r="J143" s="681">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2788</v>
      </c>
      <c r="E144" s="648" t="s">
        <v>1329</v>
      </c>
      <c r="F144" s="665" t="s">
        <v>2786</v>
      </c>
      <c r="G144" s="813"/>
      <c r="H144" s="805" t="s">
        <v>1924</v>
      </c>
      <c r="I144" s="672">
        <f>($K$2-1)*$I$2</f>
        <v>0</v>
      </c>
      <c r="J144" s="681">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2608</v>
      </c>
      <c r="D145" s="804" t="s">
        <v>2789</v>
      </c>
      <c r="E145" s="648" t="s">
        <v>2785</v>
      </c>
      <c r="F145" s="648"/>
      <c r="G145" s="787"/>
      <c r="H145" s="787"/>
      <c r="I145" s="672"/>
      <c r="J145" s="681"/>
      <c r="K145" s="681"/>
      <c r="L145" s="569">
        <v>0.11</v>
      </c>
      <c r="M145" s="779"/>
      <c r="N145" s="779"/>
      <c r="O145" s="779"/>
      <c r="P145" s="780" t="str">
        <f t="shared" si="26"/>
        <v/>
      </c>
      <c r="Q145" s="781">
        <f t="shared" si="25"/>
        <v>0</v>
      </c>
      <c r="AA145" s="632"/>
    </row>
    <row r="146" spans="1:27" ht="16.5" customHeight="1" outlineLevel="2">
      <c r="B146" s="776" t="s">
        <v>764</v>
      </c>
      <c r="C146" s="777" t="s">
        <v>73</v>
      </c>
      <c r="D146" s="804" t="s">
        <v>2790</v>
      </c>
      <c r="E146" s="648" t="s">
        <v>2785</v>
      </c>
      <c r="F146" s="648"/>
      <c r="G146" s="787"/>
      <c r="H146" s="787"/>
      <c r="I146" s="672"/>
      <c r="J146" s="681"/>
      <c r="K146" s="681"/>
      <c r="L146" s="569">
        <v>0.11</v>
      </c>
      <c r="M146" s="779"/>
      <c r="N146" s="779"/>
      <c r="O146" s="779"/>
      <c r="P146" s="780" t="str">
        <f t="shared" si="26"/>
        <v/>
      </c>
      <c r="Q146" s="781">
        <f t="shared" si="25"/>
        <v>0</v>
      </c>
      <c r="AA146" s="632"/>
    </row>
    <row r="147" spans="1:27" ht="16.5" customHeight="1" outlineLevel="2">
      <c r="B147" s="776" t="s">
        <v>765</v>
      </c>
      <c r="C147" s="777" t="s">
        <v>74</v>
      </c>
      <c r="D147" s="804" t="s">
        <v>2791</v>
      </c>
      <c r="E147" s="648" t="s">
        <v>2785</v>
      </c>
      <c r="F147" s="648"/>
      <c r="G147" s="787"/>
      <c r="H147" s="787"/>
      <c r="I147" s="672"/>
      <c r="J147" s="681"/>
      <c r="K147" s="681"/>
      <c r="L147" s="569">
        <v>0.11</v>
      </c>
      <c r="M147" s="779"/>
      <c r="N147" s="779"/>
      <c r="O147" s="779"/>
      <c r="P147" s="780" t="str">
        <f t="shared" si="26"/>
        <v/>
      </c>
      <c r="Q147" s="781">
        <f t="shared" si="25"/>
        <v>0</v>
      </c>
      <c r="AA147" s="632"/>
    </row>
    <row r="148" spans="1:27" ht="16.5" customHeight="1" outlineLevel="2">
      <c r="B148" s="776" t="s">
        <v>2792</v>
      </c>
      <c r="C148" s="777" t="s">
        <v>75</v>
      </c>
      <c r="D148" s="804" t="s">
        <v>2793</v>
      </c>
      <c r="E148" s="648" t="s">
        <v>1329</v>
      </c>
      <c r="F148" s="648"/>
      <c r="G148" s="787"/>
      <c r="H148" s="787"/>
      <c r="I148" s="672"/>
      <c r="J148" s="681"/>
      <c r="K148" s="681"/>
      <c r="L148" s="569">
        <v>0.11</v>
      </c>
      <c r="M148" s="779"/>
      <c r="N148" s="779"/>
      <c r="O148" s="779"/>
      <c r="P148" s="780" t="str">
        <f t="shared" si="26"/>
        <v/>
      </c>
      <c r="Q148" s="781">
        <f t="shared" si="25"/>
        <v>0</v>
      </c>
      <c r="AA148" s="632"/>
    </row>
    <row r="149" spans="1:27" s="633" customFormat="1" ht="16.5" customHeight="1" outlineLevel="1">
      <c r="B149" s="818" t="s">
        <v>2794</v>
      </c>
      <c r="C149" s="819">
        <v>3</v>
      </c>
      <c r="D149" s="818" t="s">
        <v>2795</v>
      </c>
      <c r="E149" s="819"/>
      <c r="F149" s="819"/>
      <c r="G149" s="819"/>
      <c r="H149" s="820"/>
      <c r="I149" s="821"/>
      <c r="J149" s="820"/>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2548</v>
      </c>
      <c r="D150" s="804" t="s">
        <v>2796</v>
      </c>
      <c r="E150" s="665"/>
      <c r="F150" s="665"/>
      <c r="G150" s="787"/>
      <c r="H150" s="787"/>
      <c r="I150" s="672"/>
      <c r="J150" s="681"/>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2797</v>
      </c>
      <c r="G151" s="813">
        <v>1</v>
      </c>
      <c r="H151" s="787" t="s">
        <v>1925</v>
      </c>
      <c r="I151" s="672">
        <f t="shared" ref="I151:I156" si="30">$H$2</f>
        <v>0</v>
      </c>
      <c r="J151" s="681">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26.25" customHeight="1" outlineLevel="3">
      <c r="B152" s="776" t="s">
        <v>769</v>
      </c>
      <c r="C152" s="782" t="s">
        <v>39</v>
      </c>
      <c r="D152" s="804" t="s">
        <v>2798</v>
      </c>
      <c r="E152" s="665" t="s">
        <v>1596</v>
      </c>
      <c r="F152" s="665" t="s">
        <v>2353</v>
      </c>
      <c r="G152" s="813">
        <v>1</v>
      </c>
      <c r="H152" s="787" t="s">
        <v>1925</v>
      </c>
      <c r="I152" s="672">
        <f t="shared" si="30"/>
        <v>0</v>
      </c>
      <c r="J152" s="787">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2799</v>
      </c>
      <c r="F153" s="665" t="s">
        <v>2353</v>
      </c>
      <c r="G153" s="813">
        <v>1</v>
      </c>
      <c r="H153" s="787" t="s">
        <v>1925</v>
      </c>
      <c r="I153" s="672">
        <f t="shared" si="30"/>
        <v>0</v>
      </c>
      <c r="J153" s="787">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2800</v>
      </c>
      <c r="E154" s="665" t="s">
        <v>458</v>
      </c>
      <c r="F154" s="665" t="s">
        <v>2353</v>
      </c>
      <c r="G154" s="813">
        <v>1</v>
      </c>
      <c r="H154" s="787" t="s">
        <v>1925</v>
      </c>
      <c r="I154" s="672">
        <f t="shared" si="30"/>
        <v>0</v>
      </c>
      <c r="J154" s="787"/>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2801</v>
      </c>
      <c r="E155" s="665" t="s">
        <v>2802</v>
      </c>
      <c r="F155" s="665" t="s">
        <v>2797</v>
      </c>
      <c r="G155" s="813">
        <v>1</v>
      </c>
      <c r="H155" s="787" t="s">
        <v>1925</v>
      </c>
      <c r="I155" s="672">
        <f t="shared" si="30"/>
        <v>0</v>
      </c>
      <c r="J155" s="787">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2803</v>
      </c>
      <c r="E156" s="665" t="s">
        <v>458</v>
      </c>
      <c r="F156" s="665" t="s">
        <v>2797</v>
      </c>
      <c r="G156" s="813">
        <v>1</v>
      </c>
      <c r="H156" s="787" t="s">
        <v>1925</v>
      </c>
      <c r="I156" s="672">
        <f t="shared" si="30"/>
        <v>0</v>
      </c>
      <c r="J156" s="787"/>
      <c r="K156" s="791">
        <f t="shared" si="31"/>
        <v>0</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2804</v>
      </c>
      <c r="E157" s="665" t="s">
        <v>458</v>
      </c>
      <c r="F157" s="648"/>
      <c r="G157" s="825"/>
      <c r="H157" s="787"/>
      <c r="I157" s="672"/>
      <c r="J157" s="787"/>
      <c r="K157" s="787"/>
      <c r="L157" s="569"/>
      <c r="M157" s="779">
        <f t="shared" si="32"/>
        <v>0</v>
      </c>
      <c r="N157" s="779"/>
      <c r="O157" s="779"/>
      <c r="P157" s="780" t="str">
        <f t="shared" si="26"/>
        <v/>
      </c>
      <c r="Q157" s="781">
        <f t="shared" si="25"/>
        <v>0</v>
      </c>
      <c r="AA157" s="632"/>
    </row>
    <row r="158" spans="1:27" ht="16.5" customHeight="1" outlineLevel="3">
      <c r="A158" s="633"/>
      <c r="B158" s="776" t="s">
        <v>2805</v>
      </c>
      <c r="C158" s="782" t="s">
        <v>39</v>
      </c>
      <c r="D158" s="804" t="s">
        <v>776</v>
      </c>
      <c r="E158" s="665" t="s">
        <v>458</v>
      </c>
      <c r="F158" s="648"/>
      <c r="G158" s="825"/>
      <c r="H158" s="787"/>
      <c r="I158" s="672"/>
      <c r="J158" s="787"/>
      <c r="K158" s="787"/>
      <c r="L158" s="569"/>
      <c r="M158" s="779">
        <f t="shared" si="32"/>
        <v>0</v>
      </c>
      <c r="N158" s="779"/>
      <c r="O158" s="779"/>
      <c r="P158" s="780" t="str">
        <f t="shared" si="26"/>
        <v/>
      </c>
      <c r="Q158" s="781">
        <f t="shared" si="25"/>
        <v>0</v>
      </c>
      <c r="AA158" s="632"/>
    </row>
    <row r="159" spans="1:27" s="695" customFormat="1" ht="16.5" customHeight="1" outlineLevel="2">
      <c r="A159" s="633"/>
      <c r="B159" s="776" t="s">
        <v>777</v>
      </c>
      <c r="C159" s="777" t="s">
        <v>2806</v>
      </c>
      <c r="D159" s="804" t="s">
        <v>2807</v>
      </c>
      <c r="E159" s="665" t="s">
        <v>458</v>
      </c>
      <c r="F159" s="826"/>
      <c r="G159" s="826"/>
      <c r="H159" s="827"/>
      <c r="I159" s="828"/>
      <c r="J159" s="827"/>
      <c r="K159" s="827"/>
      <c r="L159" s="612"/>
      <c r="M159" s="779">
        <f t="shared" si="32"/>
        <v>0</v>
      </c>
      <c r="N159" s="779"/>
      <c r="O159" s="779"/>
      <c r="P159" s="780" t="str">
        <f t="shared" si="26"/>
        <v/>
      </c>
      <c r="Q159" s="781">
        <f t="shared" si="25"/>
        <v>0</v>
      </c>
    </row>
    <row r="160" spans="1:27" s="695" customFormat="1" ht="16.5" customHeight="1" outlineLevel="2">
      <c r="A160" s="633"/>
      <c r="B160" s="776" t="s">
        <v>778</v>
      </c>
      <c r="C160" s="777" t="s">
        <v>69</v>
      </c>
      <c r="D160" s="804" t="s">
        <v>2808</v>
      </c>
      <c r="E160" s="665" t="s">
        <v>458</v>
      </c>
      <c r="F160" s="826"/>
      <c r="G160" s="826"/>
      <c r="H160" s="827"/>
      <c r="I160" s="828"/>
      <c r="J160" s="827"/>
      <c r="K160" s="827"/>
      <c r="L160" s="612"/>
      <c r="M160" s="779">
        <f t="shared" si="32"/>
        <v>0</v>
      </c>
      <c r="N160" s="779"/>
      <c r="O160" s="779"/>
      <c r="P160" s="780" t="str">
        <f t="shared" si="26"/>
        <v/>
      </c>
      <c r="Q160" s="781">
        <f t="shared" si="25"/>
        <v>0</v>
      </c>
    </row>
    <row r="161" spans="2:27" ht="16.5" customHeight="1" outlineLevel="1">
      <c r="B161" s="771" t="s">
        <v>2809</v>
      </c>
      <c r="C161" s="712">
        <v>4</v>
      </c>
      <c r="D161" s="771" t="s">
        <v>2810</v>
      </c>
      <c r="E161" s="712"/>
      <c r="F161" s="712"/>
      <c r="G161" s="712"/>
      <c r="H161" s="772"/>
      <c r="I161" s="713"/>
      <c r="J161" s="772"/>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2548</v>
      </c>
      <c r="D162" s="804" t="s">
        <v>2811</v>
      </c>
      <c r="E162" s="665" t="s">
        <v>461</v>
      </c>
      <c r="F162" s="665" t="s">
        <v>2797</v>
      </c>
      <c r="G162" s="813"/>
      <c r="H162" s="787" t="s">
        <v>143</v>
      </c>
      <c r="I162" s="672">
        <f>$H$2</f>
        <v>0</v>
      </c>
      <c r="J162" s="787">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2812</v>
      </c>
      <c r="E163" s="648" t="s">
        <v>1602</v>
      </c>
      <c r="F163" s="665" t="s">
        <v>2797</v>
      </c>
      <c r="G163" s="813">
        <v>1</v>
      </c>
      <c r="H163" s="787" t="s">
        <v>1926</v>
      </c>
      <c r="I163" s="672">
        <f>$H$2</f>
        <v>0</v>
      </c>
      <c r="J163" s="681">
        <v>5900</v>
      </c>
      <c r="K163" s="791">
        <f>J163/(1+L163)</f>
        <v>5042.735042735043</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2813</v>
      </c>
      <c r="E164" s="648" t="s">
        <v>2814</v>
      </c>
      <c r="F164" s="648"/>
      <c r="G164" s="787">
        <v>1</v>
      </c>
      <c r="H164" s="787" t="s">
        <v>1926</v>
      </c>
      <c r="I164" s="672"/>
      <c r="J164" s="681">
        <v>6800</v>
      </c>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2815</v>
      </c>
      <c r="E165" s="648" t="s">
        <v>2814</v>
      </c>
      <c r="F165" s="648"/>
      <c r="G165" s="787"/>
      <c r="H165" s="787"/>
      <c r="I165" s="672"/>
      <c r="J165" s="681"/>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2816</v>
      </c>
      <c r="E166" s="648" t="s">
        <v>2814</v>
      </c>
      <c r="F166" s="648"/>
      <c r="G166" s="787"/>
      <c r="H166" s="787"/>
      <c r="I166" s="672"/>
      <c r="J166" s="681"/>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2817</v>
      </c>
      <c r="E167" s="648" t="s">
        <v>2814</v>
      </c>
      <c r="F167" s="648"/>
      <c r="G167" s="787"/>
      <c r="H167" s="787"/>
      <c r="I167" s="672"/>
      <c r="J167" s="681"/>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2818</v>
      </c>
      <c r="M168" s="829" t="s">
        <v>2819</v>
      </c>
      <c r="N168" s="829" t="s">
        <v>2820</v>
      </c>
      <c r="AA168" s="632"/>
    </row>
    <row r="169" spans="2:27" ht="15.5">
      <c r="C169" s="632"/>
      <c r="G169" s="632"/>
      <c r="H169" s="632"/>
      <c r="I169" s="632"/>
      <c r="J169" s="632"/>
      <c r="K169" s="748" t="s">
        <v>2821</v>
      </c>
      <c r="L169" s="830" t="s">
        <v>2822</v>
      </c>
      <c r="M169" s="750">
        <f>O4+O69+O88</f>
        <v>0</v>
      </c>
      <c r="N169" s="750">
        <f>+O4+O88</f>
        <v>0</v>
      </c>
      <c r="O169" s="829"/>
      <c r="Z169" s="831">
        <f>SUM(Z4:Z168)</f>
        <v>0</v>
      </c>
      <c r="AA169" s="632"/>
    </row>
    <row r="170" spans="2:27" ht="24" customHeight="1">
      <c r="L170" s="748" t="s">
        <v>2823</v>
      </c>
      <c r="M170" s="750" t="e">
        <f>M169/$E$2*10000</f>
        <v>#DIV/0!</v>
      </c>
      <c r="N170" s="832" t="e">
        <f>N169/$E$2*10000</f>
        <v>#DIV/0!</v>
      </c>
      <c r="O170" s="750" t="e">
        <f>N170-700</f>
        <v>#DIV/0!</v>
      </c>
    </row>
    <row r="171" spans="2:27" ht="24" customHeight="1">
      <c r="K171" s="748" t="s">
        <v>2824</v>
      </c>
      <c r="L171" s="830" t="s">
        <v>2825</v>
      </c>
      <c r="M171" s="750">
        <f>+M4+M69+M88</f>
        <v>0</v>
      </c>
      <c r="N171" s="750">
        <f>+M4+M88</f>
        <v>0</v>
      </c>
    </row>
    <row r="172" spans="2:27" ht="24" customHeight="1">
      <c r="L172" s="748" t="s">
        <v>2826</v>
      </c>
      <c r="M172" s="750" t="e">
        <f>M171/$E$2*10000</f>
        <v>#DIV/0!</v>
      </c>
      <c r="N172" s="750" t="e">
        <f>N171/$E$2*10000</f>
        <v>#DIV/0!</v>
      </c>
    </row>
  </sheetData>
  <autoFilter ref="A3:AA168"/>
  <phoneticPr fontId="19" type="noConversion"/>
  <conditionalFormatting sqref="I48:I55">
    <cfRule type="cellIs" priority="95" operator="equal">
      <formula>0</formula>
    </cfRule>
    <cfRule type="cellIs" dxfId="97" priority="96" operator="equal">
      <formula>0</formula>
    </cfRule>
  </conditionalFormatting>
  <conditionalFormatting sqref="B4:C4">
    <cfRule type="duplicateValues" dxfId="96" priority="168"/>
  </conditionalFormatting>
  <conditionalFormatting sqref="B88:C88">
    <cfRule type="duplicateValues" dxfId="95" priority="161"/>
  </conditionalFormatting>
  <conditionalFormatting sqref="B161:C161">
    <cfRule type="duplicateValues" dxfId="94" priority="157"/>
  </conditionalFormatting>
  <conditionalFormatting sqref="B82:C82">
    <cfRule type="duplicateValues" dxfId="93" priority="163"/>
  </conditionalFormatting>
  <conditionalFormatting sqref="B70:C70">
    <cfRule type="duplicateValues" dxfId="92" priority="164"/>
  </conditionalFormatting>
  <conditionalFormatting sqref="D1:D5 D9:D65536">
    <cfRule type="duplicateValues" dxfId="91" priority="171"/>
  </conditionalFormatting>
  <conditionalFormatting sqref="B86:C87">
    <cfRule type="duplicateValues" dxfId="90" priority="162"/>
  </conditionalFormatting>
  <conditionalFormatting sqref="B36:C36">
    <cfRule type="duplicateValues" dxfId="89" priority="166"/>
  </conditionalFormatting>
  <conditionalFormatting sqref="B149:C149">
    <cfRule type="duplicateValues" dxfId="88" priority="158"/>
  </conditionalFormatting>
  <conditionalFormatting sqref="D6:D8">
    <cfRule type="duplicateValues" dxfId="87" priority="172"/>
  </conditionalFormatting>
  <conditionalFormatting sqref="B129:C129">
    <cfRule type="duplicateValues" dxfId="86" priority="159"/>
  </conditionalFormatting>
  <conditionalFormatting sqref="B5:C5">
    <cfRule type="duplicateValues" dxfId="85" priority="167"/>
  </conditionalFormatting>
  <conditionalFormatting sqref="B89:C89">
    <cfRule type="duplicateValues" dxfId="84" priority="160"/>
  </conditionalFormatting>
  <conditionalFormatting sqref="B69:C69">
    <cfRule type="duplicateValues" dxfId="83" priority="165"/>
  </conditionalFormatting>
  <conditionalFormatting sqref="I36:I37 I66 I113 I117:I119 I124:I126 I128:I131 I145:I150 I141 I168:J65536 I157:I161 I31 I18:I19 I23:I26 I41 I82:I91 I94 I134 I4:J6 I44 I46:I47 I56:I57 I69:I70 I99 I102 I105:I106 I110:I111 I108 I7:I10 I164:I167">
    <cfRule type="cellIs" dxfId="82" priority="170" operator="equal">
      <formula>0</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30" activePane="bottomRight" state="frozen"/>
      <selection pane="topRight"/>
      <selection pane="bottomLeft"/>
      <selection pane="bottomRight" activeCell="G58" sqref="G58:G59"/>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21.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783</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17</v>
      </c>
      <c r="E2" s="757">
        <f>'3-规划指标'!H24</f>
        <v>0</v>
      </c>
      <c r="F2" s="758">
        <v>0</v>
      </c>
      <c r="G2" s="759">
        <f>'3-规划指标'!G24</f>
        <v>0</v>
      </c>
      <c r="H2" s="759">
        <f>'3-规划指标'!N24</f>
        <v>0</v>
      </c>
      <c r="I2" s="759">
        <v>0</v>
      </c>
      <c r="J2" s="759"/>
      <c r="K2" s="759">
        <f>'3-规划指标'!O24</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customHeight="1" outlineLevel="3">
      <c r="B7" s="776" t="s">
        <v>652</v>
      </c>
      <c r="C7" s="782" t="s">
        <v>39</v>
      </c>
      <c r="D7" s="783" t="s">
        <v>1480</v>
      </c>
      <c r="E7" s="307" t="s">
        <v>1278</v>
      </c>
      <c r="F7" s="307" t="s">
        <v>9</v>
      </c>
      <c r="G7" s="784">
        <v>0.5</v>
      </c>
      <c r="H7" s="785" t="s">
        <v>384</v>
      </c>
      <c r="I7" s="614">
        <f>$G$2</f>
        <v>0</v>
      </c>
      <c r="J7" s="614">
        <v>35</v>
      </c>
      <c r="K7" s="778">
        <f>J7/(1+L7)</f>
        <v>31.531531531531527</v>
      </c>
      <c r="L7" s="569">
        <v>0.11</v>
      </c>
      <c r="M7" s="779">
        <f>G7*I7*K7/10000</f>
        <v>0</v>
      </c>
      <c r="N7" s="779">
        <f>L7*M7</f>
        <v>0</v>
      </c>
      <c r="O7" s="779">
        <f>M7+N7</f>
        <v>0</v>
      </c>
      <c r="P7" s="780" t="e">
        <f t="shared" si="0"/>
        <v>#DIV/0!</v>
      </c>
      <c r="Q7" s="781"/>
      <c r="AA7" s="632"/>
    </row>
    <row r="8" spans="2:27" ht="16.5" customHeight="1" outlineLevel="3">
      <c r="B8" s="776" t="s">
        <v>653</v>
      </c>
      <c r="C8" s="782" t="s">
        <v>39</v>
      </c>
      <c r="D8" s="783" t="s">
        <v>1481</v>
      </c>
      <c r="E8" s="648" t="s">
        <v>1228</v>
      </c>
      <c r="F8" s="307" t="s">
        <v>9</v>
      </c>
      <c r="G8" s="784">
        <v>0.5</v>
      </c>
      <c r="H8" s="785" t="s">
        <v>384</v>
      </c>
      <c r="I8" s="614">
        <f>$G$2</f>
        <v>0</v>
      </c>
      <c r="J8" s="614">
        <v>52</v>
      </c>
      <c r="K8" s="778">
        <f>J8/(1+L8)</f>
        <v>46.846846846846844</v>
      </c>
      <c r="L8" s="569">
        <v>0.11</v>
      </c>
      <c r="M8" s="779">
        <f>G8*I8*K8/10000</f>
        <v>0</v>
      </c>
      <c r="N8" s="779">
        <f>L8*M8</f>
        <v>0</v>
      </c>
      <c r="O8" s="779">
        <f>M8+N8</f>
        <v>0</v>
      </c>
      <c r="P8" s="780" t="e">
        <f t="shared" si="0"/>
        <v>#DIV/0!</v>
      </c>
      <c r="Q8" s="781">
        <f>G8*I8*J8/10000-O8</f>
        <v>0</v>
      </c>
      <c r="AA8" s="632"/>
    </row>
    <row r="9" spans="2:27" ht="16.5"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customHeight="1" outlineLevel="3">
      <c r="B10" s="776" t="s">
        <v>1718</v>
      </c>
      <c r="C10" s="782" t="s">
        <v>39</v>
      </c>
      <c r="D10" s="776" t="s">
        <v>59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customHeight="1" outlineLevel="3">
      <c r="B11" s="776" t="s">
        <v>1720</v>
      </c>
      <c r="C11" s="782"/>
      <c r="D11" s="783" t="s">
        <v>1721</v>
      </c>
      <c r="E11" s="648" t="s">
        <v>1228</v>
      </c>
      <c r="F11" s="648" t="s">
        <v>657</v>
      </c>
      <c r="G11" s="672">
        <v>0.4</v>
      </c>
      <c r="H11" s="787" t="s">
        <v>384</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customHeight="1" outlineLevel="3">
      <c r="B12" s="776" t="s">
        <v>1722</v>
      </c>
      <c r="C12" s="782"/>
      <c r="D12" s="783" t="s">
        <v>1723</v>
      </c>
      <c r="E12" s="648" t="s">
        <v>1228</v>
      </c>
      <c r="F12" s="648" t="s">
        <v>657</v>
      </c>
      <c r="G12" s="672">
        <v>0.4</v>
      </c>
      <c r="H12" s="787" t="s">
        <v>143</v>
      </c>
      <c r="I12" s="672">
        <f t="shared" ref="I12:I17" si="2">$E$2*(1+$F$2)</f>
        <v>0</v>
      </c>
      <c r="J12" s="672">
        <v>480</v>
      </c>
      <c r="K12" s="778">
        <f>J12/(1+L12)</f>
        <v>432.43243243243239</v>
      </c>
      <c r="L12" s="569">
        <v>0.11</v>
      </c>
      <c r="M12" s="779">
        <f>G12*I12*K12/10000</f>
        <v>0</v>
      </c>
      <c r="N12" s="779">
        <f>L12*M12</f>
        <v>0</v>
      </c>
      <c r="O12" s="779">
        <f>M12+N12</f>
        <v>0</v>
      </c>
      <c r="P12" s="780" t="e">
        <f t="shared" si="0"/>
        <v>#DIV/0!</v>
      </c>
      <c r="Q12" s="781">
        <f t="shared" si="1"/>
        <v>0</v>
      </c>
      <c r="AA12" s="632"/>
    </row>
    <row r="13" spans="2:27" ht="16.5"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customHeight="1" outlineLevel="3">
      <c r="B14" s="776" t="s">
        <v>1725</v>
      </c>
      <c r="C14" s="782"/>
      <c r="D14" s="776" t="s">
        <v>1726</v>
      </c>
      <c r="E14" s="648" t="s">
        <v>1228</v>
      </c>
      <c r="F14" s="648" t="s">
        <v>657</v>
      </c>
      <c r="G14" s="672">
        <v>55</v>
      </c>
      <c r="H14" s="787" t="s">
        <v>1927</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customHeight="1" outlineLevel="3">
      <c r="B15" s="776" t="s">
        <v>1483</v>
      </c>
      <c r="C15" s="782"/>
      <c r="D15" s="776" t="s">
        <v>1727</v>
      </c>
      <c r="E15" s="648" t="s">
        <v>1228</v>
      </c>
      <c r="F15" s="648" t="s">
        <v>657</v>
      </c>
      <c r="G15" s="672">
        <v>55</v>
      </c>
      <c r="H15" s="787" t="s">
        <v>1927</v>
      </c>
      <c r="I15" s="672">
        <f t="shared" si="2"/>
        <v>0</v>
      </c>
      <c r="J15" s="672">
        <v>5</v>
      </c>
      <c r="K15" s="778">
        <f>J15/(1+L15)</f>
        <v>4.5045045045045038</v>
      </c>
      <c r="L15" s="569">
        <v>0.11</v>
      </c>
      <c r="M15" s="779">
        <f>G15*I15*K15/10000</f>
        <v>0</v>
      </c>
      <c r="N15" s="779">
        <f t="shared" ref="N15:N35" si="3">L15*M15</f>
        <v>0</v>
      </c>
      <c r="O15" s="779">
        <f>M15+N15</f>
        <v>0</v>
      </c>
      <c r="P15" s="780" t="e">
        <f t="shared" si="0"/>
        <v>#DIV/0!</v>
      </c>
      <c r="Q15" s="781">
        <f t="shared" si="1"/>
        <v>0</v>
      </c>
      <c r="AA15" s="632"/>
    </row>
    <row r="16" spans="2:27" ht="16.5" customHeight="1" outlineLevel="3">
      <c r="B16" s="776" t="s">
        <v>1728</v>
      </c>
      <c r="C16" s="782" t="s">
        <v>39</v>
      </c>
      <c r="D16" s="776" t="s">
        <v>659</v>
      </c>
      <c r="E16" s="648" t="s">
        <v>1228</v>
      </c>
      <c r="F16" s="648" t="s">
        <v>657</v>
      </c>
      <c r="G16" s="672">
        <v>3</v>
      </c>
      <c r="H16" s="787" t="s">
        <v>145</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customHeight="1" outlineLevel="3">
      <c r="B17" s="776" t="s">
        <v>1484</v>
      </c>
      <c r="C17" s="782" t="s">
        <v>39</v>
      </c>
      <c r="D17" s="776" t="s">
        <v>1729</v>
      </c>
      <c r="E17" s="648" t="s">
        <v>1228</v>
      </c>
      <c r="F17" s="648" t="s">
        <v>657</v>
      </c>
      <c r="G17" s="672">
        <v>0.18</v>
      </c>
      <c r="H17" s="787" t="s">
        <v>384</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customHeight="1" outlineLevel="3">
      <c r="B18" s="776" t="s">
        <v>1485</v>
      </c>
      <c r="C18" s="782" t="s">
        <v>39</v>
      </c>
      <c r="D18" s="776" t="s">
        <v>386</v>
      </c>
      <c r="E18" s="648" t="s">
        <v>1228</v>
      </c>
      <c r="F18" s="648" t="s">
        <v>657</v>
      </c>
      <c r="G18" s="789">
        <v>5</v>
      </c>
      <c r="H18" s="790" t="s">
        <v>384</v>
      </c>
      <c r="I18" s="672">
        <f>$E$2*(1+$F$2)</f>
        <v>0</v>
      </c>
      <c r="J18" s="672">
        <v>35</v>
      </c>
      <c r="K18" s="778">
        <f>J18/(1+L18)</f>
        <v>31.531531531531527</v>
      </c>
      <c r="L18" s="569">
        <v>0.11</v>
      </c>
      <c r="M18" s="779">
        <f>G18*I18*K18/10000</f>
        <v>0</v>
      </c>
      <c r="N18" s="779">
        <f t="shared" si="3"/>
        <v>0</v>
      </c>
      <c r="O18" s="779">
        <f t="shared" si="4"/>
        <v>0</v>
      </c>
      <c r="P18" s="780" t="e">
        <f t="shared" si="0"/>
        <v>#DIV/0!</v>
      </c>
      <c r="Q18" s="781">
        <f t="shared" si="1"/>
        <v>0</v>
      </c>
      <c r="AA18" s="632"/>
    </row>
    <row r="19" spans="2:27" ht="16.5"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customHeight="1" outlineLevel="3">
      <c r="B20" s="776" t="s">
        <v>1732</v>
      </c>
      <c r="C20" s="782"/>
      <c r="D20" s="783" t="s">
        <v>1487</v>
      </c>
      <c r="E20" s="648" t="s">
        <v>1488</v>
      </c>
      <c r="F20" s="648" t="s">
        <v>657</v>
      </c>
      <c r="G20" s="672">
        <v>0.4</v>
      </c>
      <c r="H20" s="787" t="s">
        <v>145</v>
      </c>
      <c r="I20" s="672">
        <f t="shared" ref="I20:I29" si="5">$E$2*(1+$F$2)</f>
        <v>0</v>
      </c>
      <c r="J20" s="672">
        <v>30</v>
      </c>
      <c r="K20" s="778">
        <f>J20/(1+L20)</f>
        <v>25.641025641025642</v>
      </c>
      <c r="L20" s="569">
        <v>0.17</v>
      </c>
      <c r="M20" s="779">
        <f>G20*I20*K20/10000</f>
        <v>0</v>
      </c>
      <c r="N20" s="779">
        <f t="shared" si="3"/>
        <v>0</v>
      </c>
      <c r="O20" s="779">
        <f t="shared" si="4"/>
        <v>0</v>
      </c>
      <c r="P20" s="780" t="e">
        <f t="shared" si="0"/>
        <v>#DIV/0!</v>
      </c>
      <c r="Q20" s="781">
        <f t="shared" si="1"/>
        <v>0</v>
      </c>
      <c r="AA20" s="632"/>
    </row>
    <row r="21" spans="2:27" ht="16.5" customHeight="1" outlineLevel="3">
      <c r="B21" s="776" t="s">
        <v>1489</v>
      </c>
      <c r="C21" s="782"/>
      <c r="D21" s="783" t="s">
        <v>1734</v>
      </c>
      <c r="E21" s="648" t="s">
        <v>1228</v>
      </c>
      <c r="F21" s="648" t="s">
        <v>657</v>
      </c>
      <c r="G21" s="672">
        <v>0.4</v>
      </c>
      <c r="H21" s="787" t="s">
        <v>145</v>
      </c>
      <c r="I21" s="672">
        <f t="shared" si="5"/>
        <v>0</v>
      </c>
      <c r="J21" s="672">
        <v>20</v>
      </c>
      <c r="K21" s="778">
        <f>J21/(1+L21)</f>
        <v>18.018018018018015</v>
      </c>
      <c r="L21" s="569">
        <v>0.11</v>
      </c>
      <c r="M21" s="779">
        <f>G21*I21*K21/10000</f>
        <v>0</v>
      </c>
      <c r="N21" s="779">
        <f t="shared" si="3"/>
        <v>0</v>
      </c>
      <c r="O21" s="779">
        <f t="shared" si="4"/>
        <v>0</v>
      </c>
      <c r="P21" s="780" t="e">
        <f t="shared" si="0"/>
        <v>#DIV/0!</v>
      </c>
      <c r="Q21" s="781">
        <f t="shared" si="1"/>
        <v>0</v>
      </c>
      <c r="AA21" s="632"/>
    </row>
    <row r="22" spans="2:27" ht="16.5"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customHeight="1" outlineLevel="3">
      <c r="B23" s="776" t="s">
        <v>1737</v>
      </c>
      <c r="C23" s="782"/>
      <c r="D23" s="783" t="s">
        <v>1738</v>
      </c>
      <c r="E23" s="648" t="s">
        <v>1228</v>
      </c>
      <c r="F23" s="648" t="s">
        <v>657</v>
      </c>
      <c r="G23" s="789">
        <v>1</v>
      </c>
      <c r="H23" s="790" t="s">
        <v>145</v>
      </c>
      <c r="I23" s="672">
        <f t="shared" si="5"/>
        <v>0</v>
      </c>
      <c r="J23" s="672">
        <v>200</v>
      </c>
      <c r="K23" s="778">
        <f>J23/(1+L23)</f>
        <v>180.18018018018017</v>
      </c>
      <c r="L23" s="569">
        <v>0.11</v>
      </c>
      <c r="M23" s="779">
        <f>G23*I23*K23/10000</f>
        <v>0</v>
      </c>
      <c r="N23" s="779">
        <f t="shared" si="3"/>
        <v>0</v>
      </c>
      <c r="O23" s="779">
        <f t="shared" si="4"/>
        <v>0</v>
      </c>
      <c r="P23" s="780" t="e">
        <f t="shared" si="0"/>
        <v>#DIV/0!</v>
      </c>
      <c r="Q23" s="781">
        <f t="shared" si="1"/>
        <v>0</v>
      </c>
      <c r="AA23" s="632"/>
    </row>
    <row r="24" spans="2:27" ht="16.5" customHeight="1" outlineLevel="3">
      <c r="B24" s="776" t="s">
        <v>1490</v>
      </c>
      <c r="C24" s="782"/>
      <c r="D24" s="783" t="s">
        <v>1739</v>
      </c>
      <c r="E24" s="648" t="s">
        <v>1228</v>
      </c>
      <c r="F24" s="648" t="s">
        <v>657</v>
      </c>
      <c r="G24" s="789">
        <v>1</v>
      </c>
      <c r="H24" s="790" t="s">
        <v>145</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customHeight="1" outlineLevel="3">
      <c r="B25" s="776" t="s">
        <v>1491</v>
      </c>
      <c r="C25" s="782"/>
      <c r="D25" s="783" t="s">
        <v>1740</v>
      </c>
      <c r="E25" s="648" t="s">
        <v>1228</v>
      </c>
      <c r="F25" s="648" t="s">
        <v>657</v>
      </c>
      <c r="G25" s="789">
        <v>1</v>
      </c>
      <c r="H25" s="790" t="s">
        <v>145</v>
      </c>
      <c r="I25" s="672">
        <f t="shared" si="5"/>
        <v>0</v>
      </c>
      <c r="J25" s="672"/>
      <c r="K25" s="778">
        <f>J25/(1+L25)</f>
        <v>0</v>
      </c>
      <c r="L25" s="569">
        <v>0.11</v>
      </c>
      <c r="M25" s="779">
        <f>G25*I25*K25/10000</f>
        <v>0</v>
      </c>
      <c r="N25" s="779">
        <f t="shared" si="3"/>
        <v>0</v>
      </c>
      <c r="O25" s="779">
        <f t="shared" si="4"/>
        <v>0</v>
      </c>
      <c r="P25" s="780" t="e">
        <f t="shared" si="0"/>
        <v>#DIV/0!</v>
      </c>
      <c r="Q25" s="781">
        <f t="shared" si="1"/>
        <v>0</v>
      </c>
      <c r="AA25" s="632"/>
    </row>
    <row r="26" spans="2:27" ht="16.5" customHeight="1" outlineLevel="3">
      <c r="B26" s="776" t="s">
        <v>1492</v>
      </c>
      <c r="C26" s="782"/>
      <c r="D26" s="783" t="s">
        <v>1741</v>
      </c>
      <c r="E26" s="648" t="s">
        <v>1228</v>
      </c>
      <c r="F26" s="648" t="s">
        <v>657</v>
      </c>
      <c r="G26" s="789">
        <v>1</v>
      </c>
      <c r="H26" s="790" t="s">
        <v>145</v>
      </c>
      <c r="I26" s="672">
        <f t="shared" si="5"/>
        <v>0</v>
      </c>
      <c r="J26" s="672"/>
      <c r="K26" s="778">
        <f>J26/(1+L26)</f>
        <v>0</v>
      </c>
      <c r="L26" s="569">
        <v>0.11</v>
      </c>
      <c r="M26" s="779">
        <f>G26*I26*K26/10000</f>
        <v>0</v>
      </c>
      <c r="N26" s="779">
        <f t="shared" si="3"/>
        <v>0</v>
      </c>
      <c r="O26" s="779">
        <f t="shared" si="4"/>
        <v>0</v>
      </c>
      <c r="P26" s="780" t="e">
        <f t="shared" si="0"/>
        <v>#DIV/0!</v>
      </c>
      <c r="Q26" s="781">
        <f t="shared" si="1"/>
        <v>0</v>
      </c>
      <c r="AA26" s="632"/>
    </row>
    <row r="27" spans="2:27" ht="16.5"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customHeight="1" outlineLevel="3">
      <c r="B28" s="776" t="s">
        <v>1744</v>
      </c>
      <c r="C28" s="782"/>
      <c r="D28" s="783" t="s">
        <v>1745</v>
      </c>
      <c r="E28" s="648" t="s">
        <v>1493</v>
      </c>
      <c r="F28" s="648" t="s">
        <v>657</v>
      </c>
      <c r="G28" s="672">
        <v>1.3</v>
      </c>
      <c r="H28" s="790" t="s">
        <v>145</v>
      </c>
      <c r="I28" s="672">
        <f t="shared" si="5"/>
        <v>0</v>
      </c>
      <c r="J28" s="672"/>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customHeight="1" outlineLevel="3">
      <c r="B29" s="776" t="s">
        <v>1494</v>
      </c>
      <c r="C29" s="782"/>
      <c r="D29" s="783" t="s">
        <v>1746</v>
      </c>
      <c r="E29" s="648" t="s">
        <v>1493</v>
      </c>
      <c r="F29" s="648" t="s">
        <v>657</v>
      </c>
      <c r="G29" s="672">
        <v>1.3</v>
      </c>
      <c r="H29" s="790" t="s">
        <v>145</v>
      </c>
      <c r="I29" s="672">
        <f t="shared" si="5"/>
        <v>0</v>
      </c>
      <c r="J29" s="672">
        <v>170</v>
      </c>
      <c r="K29" s="778">
        <f t="shared" si="6"/>
        <v>153.15315315315314</v>
      </c>
      <c r="L29" s="569">
        <v>0.11</v>
      </c>
      <c r="M29" s="779">
        <f t="shared" si="7"/>
        <v>0</v>
      </c>
      <c r="N29" s="779">
        <f t="shared" si="3"/>
        <v>0</v>
      </c>
      <c r="O29" s="779">
        <f t="shared" si="4"/>
        <v>0</v>
      </c>
      <c r="P29" s="780" t="e">
        <f t="shared" si="0"/>
        <v>#DIV/0!</v>
      </c>
      <c r="Q29" s="781">
        <f t="shared" si="1"/>
        <v>0</v>
      </c>
      <c r="AA29" s="632"/>
    </row>
    <row r="30" spans="2:27" ht="16.5" customHeight="1" outlineLevel="3">
      <c r="B30" s="776" t="s">
        <v>1495</v>
      </c>
      <c r="C30" s="782"/>
      <c r="D30" s="783" t="s">
        <v>1747</v>
      </c>
      <c r="E30" s="648" t="s">
        <v>1228</v>
      </c>
      <c r="F30" s="648" t="s">
        <v>1605</v>
      </c>
      <c r="G30" s="672">
        <v>1.5</v>
      </c>
      <c r="H30" s="790" t="s">
        <v>143</v>
      </c>
      <c r="I30" s="672">
        <f>$G$2</f>
        <v>0</v>
      </c>
      <c r="J30" s="672"/>
      <c r="K30" s="778">
        <f t="shared" si="6"/>
        <v>0</v>
      </c>
      <c r="L30" s="569">
        <v>0.11</v>
      </c>
      <c r="M30" s="779">
        <f t="shared" si="7"/>
        <v>0</v>
      </c>
      <c r="N30" s="779">
        <f t="shared" si="3"/>
        <v>0</v>
      </c>
      <c r="O30" s="779">
        <f t="shared" si="4"/>
        <v>0</v>
      </c>
      <c r="P30" s="780" t="e">
        <f t="shared" si="0"/>
        <v>#DIV/0!</v>
      </c>
      <c r="Q30" s="781">
        <f t="shared" si="1"/>
        <v>0</v>
      </c>
      <c r="AA30" s="632"/>
    </row>
    <row r="31" spans="2:27" ht="16.5" customHeight="1" outlineLevel="3">
      <c r="B31" s="776" t="s">
        <v>1749</v>
      </c>
      <c r="C31" s="782" t="s">
        <v>39</v>
      </c>
      <c r="D31" s="776" t="s">
        <v>1750</v>
      </c>
      <c r="E31" s="648" t="s">
        <v>1496</v>
      </c>
      <c r="F31" s="648" t="s">
        <v>657</v>
      </c>
      <c r="G31" s="672">
        <v>1</v>
      </c>
      <c r="H31" s="787" t="s">
        <v>143</v>
      </c>
      <c r="I31" s="672">
        <f>$E$2*(1+$F$2)</f>
        <v>0</v>
      </c>
      <c r="J31" s="672">
        <v>30</v>
      </c>
      <c r="K31" s="778">
        <f t="shared" si="6"/>
        <v>25.641025641025642</v>
      </c>
      <c r="L31" s="569">
        <v>0.17</v>
      </c>
      <c r="M31" s="779">
        <f t="shared" si="7"/>
        <v>0</v>
      </c>
      <c r="N31" s="779">
        <f t="shared" si="3"/>
        <v>0</v>
      </c>
      <c r="O31" s="779">
        <f t="shared" si="4"/>
        <v>0</v>
      </c>
      <c r="P31" s="780" t="e">
        <f t="shared" si="0"/>
        <v>#DIV/0!</v>
      </c>
      <c r="Q31" s="781">
        <f t="shared" si="1"/>
        <v>0</v>
      </c>
      <c r="AA31" s="632"/>
    </row>
    <row r="32" spans="2:27" ht="24.75" customHeight="1" outlineLevel="3">
      <c r="B32" s="776" t="s">
        <v>1751</v>
      </c>
      <c r="C32" s="782" t="s">
        <v>39</v>
      </c>
      <c r="D32" s="776" t="s">
        <v>1752</v>
      </c>
      <c r="E32" s="648" t="s">
        <v>1606</v>
      </c>
      <c r="F32" s="648" t="s">
        <v>657</v>
      </c>
      <c r="G32" s="672">
        <v>1</v>
      </c>
      <c r="H32" s="790" t="s">
        <v>143</v>
      </c>
      <c r="I32" s="672">
        <f>$E$2*(1+$F$2)</f>
        <v>0</v>
      </c>
      <c r="J32" s="672"/>
      <c r="K32" s="778">
        <f t="shared" si="6"/>
        <v>0</v>
      </c>
      <c r="L32" s="569">
        <v>0.11</v>
      </c>
      <c r="M32" s="779">
        <f t="shared" si="7"/>
        <v>0</v>
      </c>
      <c r="N32" s="779">
        <f t="shared" si="3"/>
        <v>0</v>
      </c>
      <c r="O32" s="779">
        <f t="shared" si="4"/>
        <v>0</v>
      </c>
      <c r="P32" s="780" t="e">
        <f t="shared" si="0"/>
        <v>#DIV/0!</v>
      </c>
      <c r="Q32" s="781" t="s">
        <v>1754</v>
      </c>
      <c r="AA32" s="632"/>
    </row>
    <row r="33" spans="2:27" ht="16.5" customHeight="1" outlineLevel="3">
      <c r="B33" s="776" t="s">
        <v>1755</v>
      </c>
      <c r="C33" s="782" t="s">
        <v>39</v>
      </c>
      <c r="D33" s="776" t="s">
        <v>1756</v>
      </c>
      <c r="E33" s="648" t="s">
        <v>1228</v>
      </c>
      <c r="F33" s="648" t="s">
        <v>657</v>
      </c>
      <c r="G33" s="672">
        <v>1</v>
      </c>
      <c r="H33" s="790" t="s">
        <v>143</v>
      </c>
      <c r="I33" s="672">
        <f>$E$2*(1+$F$2)</f>
        <v>0</v>
      </c>
      <c r="J33" s="672">
        <v>5</v>
      </c>
      <c r="K33" s="778">
        <f t="shared" si="6"/>
        <v>4.5045045045045038</v>
      </c>
      <c r="L33" s="569">
        <v>0.11</v>
      </c>
      <c r="M33" s="779">
        <f t="shared" si="7"/>
        <v>0</v>
      </c>
      <c r="N33" s="779">
        <f t="shared" si="3"/>
        <v>0</v>
      </c>
      <c r="O33" s="779">
        <f t="shared" si="4"/>
        <v>0</v>
      </c>
      <c r="P33" s="780" t="e">
        <f t="shared" si="0"/>
        <v>#DIV/0!</v>
      </c>
      <c r="Q33" s="781">
        <f t="shared" si="1"/>
        <v>0</v>
      </c>
      <c r="AA33" s="632"/>
    </row>
    <row r="34" spans="2:27" ht="16.5" customHeight="1" outlineLevel="3">
      <c r="B34" s="776" t="s">
        <v>1757</v>
      </c>
      <c r="C34" s="782" t="s">
        <v>39</v>
      </c>
      <c r="D34" s="776" t="s">
        <v>1758</v>
      </c>
      <c r="E34" s="648" t="s">
        <v>1228</v>
      </c>
      <c r="F34" s="648" t="s">
        <v>657</v>
      </c>
      <c r="G34" s="672">
        <v>1</v>
      </c>
      <c r="H34" s="790" t="s">
        <v>143</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customHeight="1" outlineLevel="3">
      <c r="B35" s="776" t="s">
        <v>1497</v>
      </c>
      <c r="C35" s="782" t="s">
        <v>39</v>
      </c>
      <c r="D35" s="776" t="s">
        <v>1759</v>
      </c>
      <c r="E35" s="648" t="s">
        <v>1228</v>
      </c>
      <c r="F35" s="648" t="s">
        <v>657</v>
      </c>
      <c r="G35" s="672">
        <v>1</v>
      </c>
      <c r="H35" s="790" t="s">
        <v>143</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IF(O36="","",O36*10000/E$2)</f>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143</v>
      </c>
      <c r="I40" s="672">
        <f>$E$2*(1+$F$2)</f>
        <v>0</v>
      </c>
      <c r="J40" s="672">
        <v>50</v>
      </c>
      <c r="K40" s="778">
        <f>J40/(1+L40)</f>
        <v>42.73504273504274</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143</v>
      </c>
      <c r="I42" s="672">
        <f>$E$2*(1+$F$2)</f>
        <v>0</v>
      </c>
      <c r="J42" s="672"/>
      <c r="K42" s="778">
        <f>J42/(1+L42)</f>
        <v>0</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741</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v>1</v>
      </c>
      <c r="H45" s="787" t="s">
        <v>143</v>
      </c>
      <c r="I45" s="672">
        <f>$E$2*(1+$F$2)</f>
        <v>0</v>
      </c>
      <c r="J45" s="672"/>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5</v>
      </c>
      <c r="G46" s="672">
        <v>1</v>
      </c>
      <c r="H46" s="787" t="s">
        <v>741</v>
      </c>
      <c r="I46" s="672">
        <f>$H$2</f>
        <v>0</v>
      </c>
      <c r="J46" s="672"/>
      <c r="K46" s="778">
        <f>J46/(1+L46)</f>
        <v>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143</v>
      </c>
      <c r="I48" s="672">
        <f t="shared" ref="I48:I55" si="9">$E$2*(1+$F$2)</f>
        <v>0</v>
      </c>
      <c r="J48" s="672">
        <v>200</v>
      </c>
      <c r="K48" s="778">
        <f t="shared" ref="K48:K54" si="10">J48/(1+L48)</f>
        <v>180.18018018018017</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143</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143</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143</v>
      </c>
      <c r="I51" s="672">
        <f t="shared" si="9"/>
        <v>0</v>
      </c>
      <c r="J51" s="672"/>
      <c r="K51" s="778">
        <f t="shared" si="10"/>
        <v>0</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143</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c r="H53" s="787" t="s">
        <v>143</v>
      </c>
      <c r="I53" s="672">
        <f t="shared" si="9"/>
        <v>0</v>
      </c>
      <c r="J53" s="672"/>
      <c r="K53" s="672">
        <f t="shared" si="10"/>
        <v>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143</v>
      </c>
      <c r="I54" s="672">
        <f t="shared" si="9"/>
        <v>0</v>
      </c>
      <c r="J54" s="672">
        <v>10</v>
      </c>
      <c r="K54" s="778">
        <f t="shared" si="10"/>
        <v>8.5470085470085468</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143</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18</v>
      </c>
      <c r="G58" s="791"/>
      <c r="H58" s="795" t="s">
        <v>1920</v>
      </c>
      <c r="I58" s="791">
        <v>10</v>
      </c>
      <c r="J58" s="791">
        <v>30</v>
      </c>
      <c r="K58" s="778">
        <f>J58/(1+L58)</f>
        <v>25.641025641025642</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18</v>
      </c>
      <c r="G59" s="791"/>
      <c r="H59" s="795" t="s">
        <v>1920</v>
      </c>
      <c r="I59" s="791">
        <v>10</v>
      </c>
      <c r="J59" s="791">
        <v>10</v>
      </c>
      <c r="K59" s="778">
        <f>J59/(1+L59)</f>
        <v>9.0090090090090076</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100</v>
      </c>
      <c r="K64" s="778">
        <f>J64/(1+L64)</f>
        <v>90.090090090090087</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450</v>
      </c>
      <c r="K67" s="791">
        <f>J67/(1+L67)</f>
        <v>384.61538461538464</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50</v>
      </c>
      <c r="K68" s="791">
        <f>J68/(1+L68)</f>
        <v>45.045045045045043</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customHeight="1" outlineLevel="2">
      <c r="B76" s="776" t="s">
        <v>682</v>
      </c>
      <c r="C76" s="777" t="s">
        <v>144</v>
      </c>
      <c r="D76" s="776" t="s">
        <v>1546</v>
      </c>
      <c r="E76" s="648" t="s">
        <v>452</v>
      </c>
      <c r="F76" s="648" t="s">
        <v>657</v>
      </c>
      <c r="G76" s="791">
        <v>1</v>
      </c>
      <c r="H76" s="795" t="s">
        <v>1928</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customHeight="1" outlineLevel="2">
      <c r="B77" s="776" t="s">
        <v>683</v>
      </c>
      <c r="C77" s="777" t="s">
        <v>72</v>
      </c>
      <c r="D77" s="776" t="s">
        <v>1547</v>
      </c>
      <c r="E77" s="648" t="s">
        <v>1548</v>
      </c>
      <c r="F77" s="648" t="s">
        <v>657</v>
      </c>
      <c r="G77" s="791">
        <v>1</v>
      </c>
      <c r="H77" s="795" t="s">
        <v>1929</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customHeight="1" outlineLevel="2">
      <c r="B78" s="776" t="s">
        <v>1549</v>
      </c>
      <c r="C78" s="777" t="s">
        <v>73</v>
      </c>
      <c r="D78" s="776" t="s">
        <v>1550</v>
      </c>
      <c r="E78" s="648" t="s">
        <v>1607</v>
      </c>
      <c r="F78" s="648" t="s">
        <v>657</v>
      </c>
      <c r="G78" s="791">
        <v>1</v>
      </c>
      <c r="H78" s="795" t="s">
        <v>1930</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customHeight="1" outlineLevel="4">
      <c r="B92" s="776" t="s">
        <v>801</v>
      </c>
      <c r="C92" s="782"/>
      <c r="D92" s="807" t="s">
        <v>1556</v>
      </c>
      <c r="E92" s="648" t="s">
        <v>459</v>
      </c>
      <c r="F92" s="648" t="s">
        <v>657</v>
      </c>
      <c r="G92" s="808">
        <v>0.2</v>
      </c>
      <c r="H92" s="805" t="s">
        <v>145</v>
      </c>
      <c r="I92" s="672">
        <f t="shared" ref="I92:I103" si="20">$E$2*(1+$F$2)</f>
        <v>0</v>
      </c>
      <c r="J92" s="672">
        <v>35</v>
      </c>
      <c r="K92" s="791">
        <f>J92/(1+L92)</f>
        <v>29.914529914529915</v>
      </c>
      <c r="L92" s="569">
        <v>0.17</v>
      </c>
      <c r="M92" s="779">
        <f>G92*I92*K92/10000</f>
        <v>0</v>
      </c>
      <c r="N92" s="779">
        <f>L92*M92</f>
        <v>0</v>
      </c>
      <c r="O92" s="779">
        <f>M92+N92</f>
        <v>0</v>
      </c>
      <c r="P92" s="780" t="e">
        <f t="shared" si="14"/>
        <v>#DIV/0!</v>
      </c>
      <c r="Q92" s="806">
        <f t="shared" si="8"/>
        <v>0</v>
      </c>
      <c r="AA92" s="632"/>
    </row>
    <row r="93" spans="2:27" ht="16.5" customHeight="1" outlineLevel="4">
      <c r="B93" s="776" t="s">
        <v>703</v>
      </c>
      <c r="C93" s="782"/>
      <c r="D93" s="807" t="s">
        <v>1557</v>
      </c>
      <c r="E93" s="648" t="s">
        <v>1493</v>
      </c>
      <c r="F93" s="648" t="s">
        <v>657</v>
      </c>
      <c r="G93" s="808">
        <v>0.2</v>
      </c>
      <c r="H93" s="805" t="s">
        <v>145</v>
      </c>
      <c r="I93" s="672">
        <f t="shared" si="20"/>
        <v>0</v>
      </c>
      <c r="J93" s="672">
        <v>25</v>
      </c>
      <c r="K93" s="791">
        <f>J93/(1+L93)</f>
        <v>22.522522522522522</v>
      </c>
      <c r="L93" s="569">
        <v>0.11</v>
      </c>
      <c r="M93" s="779">
        <f>G93*I93*K93/10000</f>
        <v>0</v>
      </c>
      <c r="N93" s="779">
        <f>L93*M93</f>
        <v>0</v>
      </c>
      <c r="O93" s="779">
        <f>M93+N93</f>
        <v>0</v>
      </c>
      <c r="P93" s="780" t="e">
        <f t="shared" si="14"/>
        <v>#DIV/0!</v>
      </c>
      <c r="Q93" s="806">
        <f t="shared" si="8"/>
        <v>0</v>
      </c>
      <c r="AA93" s="632"/>
    </row>
    <row r="94" spans="2:27" ht="16.5"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customHeight="1" outlineLevel="4">
      <c r="B95" s="776" t="s">
        <v>802</v>
      </c>
      <c r="C95" s="782"/>
      <c r="D95" s="807" t="s">
        <v>1560</v>
      </c>
      <c r="E95" s="719" t="s">
        <v>1609</v>
      </c>
      <c r="F95" s="648" t="s">
        <v>657</v>
      </c>
      <c r="G95" s="809">
        <v>1</v>
      </c>
      <c r="H95" s="805" t="s">
        <v>145</v>
      </c>
      <c r="I95" s="672">
        <f t="shared" si="20"/>
        <v>0</v>
      </c>
      <c r="J95" s="672">
        <v>800</v>
      </c>
      <c r="K95" s="791">
        <f t="shared" ref="K95:K109" si="21">J95/(1+L95)</f>
        <v>720.72072072072069</v>
      </c>
      <c r="L95" s="569">
        <v>0.11</v>
      </c>
      <c r="M95" s="779">
        <f>G95*I95*K95/10000</f>
        <v>0</v>
      </c>
      <c r="N95" s="779">
        <f>L95*M95</f>
        <v>0</v>
      </c>
      <c r="O95" s="779">
        <f>M95+N95</f>
        <v>0</v>
      </c>
      <c r="P95" s="780" t="e">
        <f t="shared" si="14"/>
        <v>#DIV/0!</v>
      </c>
      <c r="Q95" s="806">
        <f t="shared" si="8"/>
        <v>0</v>
      </c>
      <c r="AA95" s="632"/>
    </row>
    <row r="96" spans="2:27" ht="16.5" customHeight="1" outlineLevel="4">
      <c r="B96" s="776" t="s">
        <v>704</v>
      </c>
      <c r="C96" s="782"/>
      <c r="D96" s="807" t="s">
        <v>1561</v>
      </c>
      <c r="E96" s="719" t="s">
        <v>1609</v>
      </c>
      <c r="F96" s="648" t="s">
        <v>657</v>
      </c>
      <c r="G96" s="809">
        <v>0</v>
      </c>
      <c r="H96" s="805" t="s">
        <v>145</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customHeight="1" outlineLevel="4">
      <c r="B97" s="776" t="s">
        <v>1562</v>
      </c>
      <c r="C97" s="782"/>
      <c r="D97" s="807" t="s">
        <v>1563</v>
      </c>
      <c r="E97" s="719" t="s">
        <v>1609</v>
      </c>
      <c r="F97" s="648" t="s">
        <v>657</v>
      </c>
      <c r="G97" s="809">
        <v>0</v>
      </c>
      <c r="H97" s="805" t="s">
        <v>145</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customHeight="1" outlineLevel="4">
      <c r="B98" s="776" t="s">
        <v>1564</v>
      </c>
      <c r="C98" s="782"/>
      <c r="D98" s="807" t="s">
        <v>1565</v>
      </c>
      <c r="E98" s="719" t="s">
        <v>1609</v>
      </c>
      <c r="F98" s="648" t="s">
        <v>657</v>
      </c>
      <c r="G98" s="809">
        <v>0</v>
      </c>
      <c r="H98" s="805" t="s">
        <v>145</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customHeight="1" outlineLevel="4">
      <c r="B100" s="776" t="s">
        <v>1568</v>
      </c>
      <c r="C100" s="782"/>
      <c r="D100" s="807" t="s">
        <v>1569</v>
      </c>
      <c r="E100" s="665" t="s">
        <v>469</v>
      </c>
      <c r="F100" s="648" t="s">
        <v>657</v>
      </c>
      <c r="G100" s="809">
        <v>0</v>
      </c>
      <c r="H100" s="805" t="s">
        <v>145</v>
      </c>
      <c r="I100" s="672">
        <f t="shared" si="20"/>
        <v>0</v>
      </c>
      <c r="J100" s="672"/>
      <c r="K100" s="791">
        <f t="shared" si="21"/>
        <v>0</v>
      </c>
      <c r="L100" s="569">
        <v>0.17</v>
      </c>
      <c r="M100" s="779">
        <f>G100*I100*K100/10000</f>
        <v>0</v>
      </c>
      <c r="N100" s="779">
        <f>L100*M100</f>
        <v>0</v>
      </c>
      <c r="O100" s="779">
        <f>M100+N100</f>
        <v>0</v>
      </c>
      <c r="P100" s="780" t="e">
        <f t="shared" si="14"/>
        <v>#DIV/0!</v>
      </c>
      <c r="Q100" s="806">
        <f t="shared" si="8"/>
        <v>0</v>
      </c>
      <c r="AA100" s="632"/>
    </row>
    <row r="101" spans="2:27" ht="16.5" customHeight="1" outlineLevel="4">
      <c r="B101" s="776" t="s">
        <v>1570</v>
      </c>
      <c r="C101" s="782"/>
      <c r="D101" s="807" t="s">
        <v>1571</v>
      </c>
      <c r="E101" s="665" t="s">
        <v>1228</v>
      </c>
      <c r="F101" s="648" t="s">
        <v>657</v>
      </c>
      <c r="G101" s="809">
        <v>0</v>
      </c>
      <c r="H101" s="805" t="s">
        <v>145</v>
      </c>
      <c r="I101" s="672">
        <f t="shared" si="20"/>
        <v>0</v>
      </c>
      <c r="J101" s="672"/>
      <c r="K101" s="791">
        <f t="shared" si="21"/>
        <v>0</v>
      </c>
      <c r="L101" s="569">
        <v>0.11</v>
      </c>
      <c r="M101" s="779">
        <f>G101*I101*K101/10000</f>
        <v>0</v>
      </c>
      <c r="N101" s="779">
        <f>L101*M101</f>
        <v>0</v>
      </c>
      <c r="O101" s="779">
        <f>M101+N101</f>
        <v>0</v>
      </c>
      <c r="P101" s="780" t="e">
        <f t="shared" si="14"/>
        <v>#DIV/0!</v>
      </c>
      <c r="Q101" s="806">
        <f t="shared" si="8"/>
        <v>0</v>
      </c>
      <c r="AA101" s="632"/>
    </row>
    <row r="102" spans="2:27" ht="16.5"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customHeight="1" outlineLevel="4">
      <c r="B103" s="776" t="s">
        <v>1574</v>
      </c>
      <c r="C103" s="782"/>
      <c r="D103" s="804" t="s">
        <v>1575</v>
      </c>
      <c r="E103" s="665" t="s">
        <v>468</v>
      </c>
      <c r="F103" s="648" t="s">
        <v>657</v>
      </c>
      <c r="G103" s="809">
        <v>0</v>
      </c>
      <c r="H103" s="805" t="s">
        <v>143</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customHeight="1" outlineLevel="4">
      <c r="B104" s="776" t="s">
        <v>1576</v>
      </c>
      <c r="C104" s="782"/>
      <c r="D104" s="804" t="s">
        <v>1577</v>
      </c>
      <c r="E104" s="665" t="s">
        <v>468</v>
      </c>
      <c r="F104" s="648" t="s">
        <v>657</v>
      </c>
      <c r="G104" s="809"/>
      <c r="H104" s="805" t="s">
        <v>143</v>
      </c>
      <c r="I104" s="672">
        <f>$E$2*(1+$F$2)</f>
        <v>0</v>
      </c>
      <c r="J104" s="672"/>
      <c r="K104" s="791">
        <f t="shared" si="21"/>
        <v>0</v>
      </c>
      <c r="L104" s="569">
        <v>0.11</v>
      </c>
      <c r="M104" s="779">
        <f t="shared" si="22"/>
        <v>0</v>
      </c>
      <c r="N104" s="779">
        <f t="shared" si="23"/>
        <v>0</v>
      </c>
      <c r="O104" s="779">
        <f t="shared" si="24"/>
        <v>0</v>
      </c>
      <c r="P104" s="780" t="e">
        <f t="shared" si="14"/>
        <v>#DIV/0!</v>
      </c>
      <c r="Q104" s="806">
        <f t="shared" si="25"/>
        <v>0</v>
      </c>
      <c r="AA104" s="632"/>
    </row>
    <row r="105" spans="2:27" ht="16.5"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customHeight="1" outlineLevel="3">
      <c r="B106" s="776" t="s">
        <v>705</v>
      </c>
      <c r="C106" s="782" t="s">
        <v>39</v>
      </c>
      <c r="D106" s="804" t="s">
        <v>708</v>
      </c>
      <c r="E106" s="648" t="s">
        <v>1580</v>
      </c>
      <c r="F106" s="665" t="s">
        <v>18</v>
      </c>
      <c r="G106" s="810"/>
      <c r="H106" s="795"/>
      <c r="I106" s="789">
        <f>I2</f>
        <v>0</v>
      </c>
      <c r="J106" s="789"/>
      <c r="K106" s="791">
        <f t="shared" si="21"/>
        <v>0</v>
      </c>
      <c r="L106" s="569">
        <v>0.11</v>
      </c>
      <c r="M106" s="779">
        <f t="shared" si="22"/>
        <v>0</v>
      </c>
      <c r="N106" s="779">
        <f t="shared" si="23"/>
        <v>0</v>
      </c>
      <c r="O106" s="779">
        <f t="shared" si="24"/>
        <v>0</v>
      </c>
      <c r="P106" s="780" t="e">
        <f t="shared" si="14"/>
        <v>#DIV/0!</v>
      </c>
      <c r="Q106" s="806">
        <f t="shared" si="25"/>
        <v>0</v>
      </c>
      <c r="AA106" s="632"/>
    </row>
    <row r="107" spans="2:27" ht="16.5" customHeight="1" outlineLevel="3">
      <c r="B107" s="776" t="s">
        <v>706</v>
      </c>
      <c r="C107" s="782" t="s">
        <v>39</v>
      </c>
      <c r="D107" s="804" t="s">
        <v>1581</v>
      </c>
      <c r="E107" s="648" t="s">
        <v>1606</v>
      </c>
      <c r="F107" s="648" t="s">
        <v>657</v>
      </c>
      <c r="G107" s="809"/>
      <c r="H107" s="805"/>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customHeight="1" outlineLevel="3">
      <c r="B108" s="776" t="s">
        <v>707</v>
      </c>
      <c r="C108" s="782" t="s">
        <v>39</v>
      </c>
      <c r="D108" s="804" t="s">
        <v>1582</v>
      </c>
      <c r="E108" s="648" t="s">
        <v>1606</v>
      </c>
      <c r="F108" s="665" t="s">
        <v>18</v>
      </c>
      <c r="G108" s="811"/>
      <c r="H108" s="805" t="s">
        <v>1921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customHeight="1" outlineLevel="3">
      <c r="B109" s="776" t="s">
        <v>709</v>
      </c>
      <c r="C109" s="782" t="s">
        <v>39</v>
      </c>
      <c r="D109" s="804" t="s">
        <v>97</v>
      </c>
      <c r="E109" s="648" t="s">
        <v>470</v>
      </c>
      <c r="F109" s="648" t="s">
        <v>657</v>
      </c>
      <c r="G109" s="808">
        <v>1</v>
      </c>
      <c r="H109" s="805" t="s">
        <v>143</v>
      </c>
      <c r="I109" s="672">
        <f>$E$2*(1+$F$2)</f>
        <v>0</v>
      </c>
      <c r="J109" s="672">
        <v>20</v>
      </c>
      <c r="K109" s="791">
        <f t="shared" si="21"/>
        <v>18.018018018018015</v>
      </c>
      <c r="L109" s="620">
        <v>0.11</v>
      </c>
      <c r="M109" s="779">
        <f t="shared" si="22"/>
        <v>0</v>
      </c>
      <c r="N109" s="779">
        <f t="shared" si="23"/>
        <v>0</v>
      </c>
      <c r="O109" s="779">
        <f t="shared" si="24"/>
        <v>0</v>
      </c>
      <c r="P109" s="780" t="e">
        <f t="shared" si="14"/>
        <v>#DIV/0!</v>
      </c>
      <c r="Q109" s="781">
        <f t="shared" si="25"/>
        <v>0</v>
      </c>
      <c r="AA109" s="632"/>
    </row>
    <row r="110" spans="2:27" ht="16.5"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customHeight="1" outlineLevel="3">
      <c r="B112" s="776" t="s">
        <v>714</v>
      </c>
      <c r="C112" s="782" t="s">
        <v>39</v>
      </c>
      <c r="D112" s="804" t="s">
        <v>715</v>
      </c>
      <c r="E112" s="665" t="s">
        <v>1583</v>
      </c>
      <c r="F112" s="665" t="s">
        <v>803</v>
      </c>
      <c r="G112" s="813">
        <v>6</v>
      </c>
      <c r="H112" s="805" t="s">
        <v>716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customHeight="1" outlineLevel="3">
      <c r="B113" s="776" t="s">
        <v>717</v>
      </c>
      <c r="C113" s="782" t="s">
        <v>39</v>
      </c>
      <c r="D113" s="804" t="s">
        <v>1584</v>
      </c>
      <c r="E113" s="665" t="s">
        <v>1583</v>
      </c>
      <c r="F113" s="665" t="s">
        <v>0</v>
      </c>
      <c r="G113" s="813"/>
      <c r="H113" s="805"/>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customHeight="1" outlineLevel="3">
      <c r="B114" s="776" t="s">
        <v>718</v>
      </c>
      <c r="C114" s="782" t="s">
        <v>39</v>
      </c>
      <c r="D114" s="804" t="s">
        <v>719</v>
      </c>
      <c r="E114" s="665" t="s">
        <v>1583</v>
      </c>
      <c r="F114" s="665" t="s">
        <v>5</v>
      </c>
      <c r="G114" s="813">
        <v>0</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customHeight="1" outlineLevel="3">
      <c r="B115" s="776" t="s">
        <v>1585</v>
      </c>
      <c r="C115" s="782" t="s">
        <v>39</v>
      </c>
      <c r="D115" s="804" t="s">
        <v>720</v>
      </c>
      <c r="E115" s="665" t="s">
        <v>1583</v>
      </c>
      <c r="F115" s="665" t="s">
        <v>5</v>
      </c>
      <c r="G115" s="808">
        <v>10</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customHeight="1" outlineLevel="3">
      <c r="B116" s="776" t="s">
        <v>1586</v>
      </c>
      <c r="C116" s="782" t="s">
        <v>39</v>
      </c>
      <c r="D116" s="804" t="s">
        <v>721</v>
      </c>
      <c r="E116" s="665" t="s">
        <v>1583</v>
      </c>
      <c r="F116" s="665" t="s">
        <v>5</v>
      </c>
      <c r="G116" s="809">
        <v>10</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customHeight="1" outlineLevel="2">
      <c r="B117" s="776" t="s">
        <v>723</v>
      </c>
      <c r="C117" s="777" t="s">
        <v>88</v>
      </c>
      <c r="D117" s="804" t="s">
        <v>21</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customHeight="1" outlineLevel="3">
      <c r="B118" s="776" t="s">
        <v>724</v>
      </c>
      <c r="C118" s="782" t="s">
        <v>39</v>
      </c>
      <c r="D118" s="804" t="s">
        <v>725</v>
      </c>
      <c r="E118" s="665" t="s">
        <v>1580</v>
      </c>
      <c r="F118" s="665" t="s">
        <v>18</v>
      </c>
      <c r="G118" s="814">
        <v>20</v>
      </c>
      <c r="H118" s="805" t="s">
        <v>7</v>
      </c>
      <c r="I118" s="672">
        <f>$I$2</f>
        <v>0</v>
      </c>
      <c r="J118" s="672"/>
      <c r="K118" s="791">
        <f>J118/(1+L118)</f>
        <v>0</v>
      </c>
      <c r="L118" s="620">
        <v>0.11</v>
      </c>
      <c r="M118" s="779">
        <f>G118*I118*K118/10000</f>
        <v>0</v>
      </c>
      <c r="N118" s="779">
        <f>L118*M118</f>
        <v>0</v>
      </c>
      <c r="O118" s="779">
        <f>M118+N118</f>
        <v>0</v>
      </c>
      <c r="P118" s="780" t="e">
        <f t="shared" si="14"/>
        <v>#DIV/0!</v>
      </c>
      <c r="Q118" s="781">
        <f t="shared" si="25"/>
        <v>0</v>
      </c>
      <c r="AA118" s="632"/>
    </row>
    <row r="119" spans="2:27" ht="16.5" customHeight="1" outlineLevel="3">
      <c r="B119" s="776" t="s">
        <v>726</v>
      </c>
      <c r="C119" s="782" t="s">
        <v>39</v>
      </c>
      <c r="D119" s="804" t="s">
        <v>2827</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customHeight="1" outlineLevel="4">
      <c r="B120" s="776" t="s">
        <v>2828</v>
      </c>
      <c r="C120" s="782"/>
      <c r="D120" s="807" t="s">
        <v>2829</v>
      </c>
      <c r="E120" s="665" t="s">
        <v>1587</v>
      </c>
      <c r="F120" s="665" t="s">
        <v>2830</v>
      </c>
      <c r="G120" s="813">
        <v>1</v>
      </c>
      <c r="H120" s="787" t="s">
        <v>727</v>
      </c>
      <c r="I120" s="672">
        <f>$H$2</f>
        <v>0</v>
      </c>
      <c r="J120" s="672"/>
      <c r="K120" s="791">
        <f>J120/(1+L120)</f>
        <v>0</v>
      </c>
      <c r="L120" s="569">
        <v>0.17</v>
      </c>
      <c r="M120" s="779">
        <f>G120*I120*K120/10000</f>
        <v>0</v>
      </c>
      <c r="N120" s="779">
        <f>L120*M120</f>
        <v>0</v>
      </c>
      <c r="O120" s="779">
        <f>M120+N120</f>
        <v>0</v>
      </c>
      <c r="P120" s="780" t="e">
        <f t="shared" si="14"/>
        <v>#DIV/0!</v>
      </c>
      <c r="Q120" s="781">
        <f t="shared" si="25"/>
        <v>0</v>
      </c>
      <c r="AA120" s="632"/>
    </row>
    <row r="121" spans="2:27" ht="16.5" customHeight="1" outlineLevel="4">
      <c r="B121" s="776" t="s">
        <v>1588</v>
      </c>
      <c r="C121" s="782"/>
      <c r="D121" s="807" t="s">
        <v>2831</v>
      </c>
      <c r="E121" s="665" t="s">
        <v>1589</v>
      </c>
      <c r="F121" s="665" t="s">
        <v>2832</v>
      </c>
      <c r="G121" s="813">
        <v>1</v>
      </c>
      <c r="H121" s="787" t="s">
        <v>727</v>
      </c>
      <c r="I121" s="672">
        <f>$H$2</f>
        <v>0</v>
      </c>
      <c r="J121" s="672"/>
      <c r="K121" s="791">
        <f>J121/(1+L121)</f>
        <v>0</v>
      </c>
      <c r="L121" s="569">
        <v>0.17</v>
      </c>
      <c r="M121" s="779">
        <f>G121*I121*K121/10000</f>
        <v>0</v>
      </c>
      <c r="N121" s="779">
        <f>L121*M121</f>
        <v>0</v>
      </c>
      <c r="O121" s="779">
        <f>M121+N121</f>
        <v>0</v>
      </c>
      <c r="P121" s="780" t="e">
        <f t="shared" si="14"/>
        <v>#DIV/0!</v>
      </c>
      <c r="Q121" s="781">
        <f t="shared" si="25"/>
        <v>0</v>
      </c>
      <c r="AA121" s="632"/>
    </row>
    <row r="122" spans="2:27" ht="16.5" customHeight="1" outlineLevel="3">
      <c r="B122" s="776" t="s">
        <v>728</v>
      </c>
      <c r="C122" s="782" t="s">
        <v>39</v>
      </c>
      <c r="D122" s="804" t="s">
        <v>2751</v>
      </c>
      <c r="E122" s="648" t="s">
        <v>1590</v>
      </c>
      <c r="F122" s="665" t="s">
        <v>2737</v>
      </c>
      <c r="G122" s="813">
        <v>1</v>
      </c>
      <c r="H122" s="805" t="s">
        <v>1923</v>
      </c>
      <c r="I122" s="672">
        <f>$I$2*($K$2+1)</f>
        <v>0</v>
      </c>
      <c r="J122" s="672"/>
      <c r="K122" s="791">
        <f>J122/(1+L122)</f>
        <v>0</v>
      </c>
      <c r="L122" s="620">
        <v>0.17</v>
      </c>
      <c r="M122" s="779">
        <f>G122*I122*K122/10000</f>
        <v>0</v>
      </c>
      <c r="N122" s="779">
        <f>L122*M122</f>
        <v>0</v>
      </c>
      <c r="O122" s="779">
        <f>M122+N122</f>
        <v>0</v>
      </c>
      <c r="P122" s="780" t="e">
        <f t="shared" si="14"/>
        <v>#DIV/0!</v>
      </c>
      <c r="Q122" s="781">
        <f t="shared" si="25"/>
        <v>0</v>
      </c>
      <c r="AA122" s="632"/>
    </row>
    <row r="123" spans="2:27" ht="16.5" customHeight="1" outlineLevel="3">
      <c r="B123" s="776" t="s">
        <v>2752</v>
      </c>
      <c r="C123" s="782" t="s">
        <v>39</v>
      </c>
      <c r="D123" s="804" t="s">
        <v>2753</v>
      </c>
      <c r="E123" s="665" t="s">
        <v>1580</v>
      </c>
      <c r="F123" s="648" t="s">
        <v>657</v>
      </c>
      <c r="G123" s="808">
        <v>0.4</v>
      </c>
      <c r="H123" s="805" t="s">
        <v>145</v>
      </c>
      <c r="I123" s="672">
        <f>$E$2*(1+$F$2)</f>
        <v>0</v>
      </c>
      <c r="J123" s="672"/>
      <c r="K123" s="791">
        <f>J123/(1+L123)</f>
        <v>0</v>
      </c>
      <c r="L123" s="620">
        <v>0.17</v>
      </c>
      <c r="M123" s="779">
        <f>G123*I123*K123/10000</f>
        <v>0</v>
      </c>
      <c r="N123" s="779">
        <f>L123*M123</f>
        <v>0</v>
      </c>
      <c r="O123" s="779">
        <f>M123+N123</f>
        <v>0</v>
      </c>
      <c r="P123" s="780" t="e">
        <f t="shared" si="14"/>
        <v>#DIV/0!</v>
      </c>
      <c r="Q123" s="781">
        <f t="shared" si="25"/>
        <v>0</v>
      </c>
      <c r="R123" s="632" t="s">
        <v>2754</v>
      </c>
      <c r="AA123" s="632"/>
    </row>
    <row r="124" spans="2:27" ht="16.5" customHeight="1" outlineLevel="2">
      <c r="B124" s="776" t="s">
        <v>731</v>
      </c>
      <c r="C124" s="777" t="s">
        <v>2755</v>
      </c>
      <c r="D124" s="804" t="s">
        <v>2756</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customHeight="1" outlineLevel="3">
      <c r="B125" s="776" t="s">
        <v>733</v>
      </c>
      <c r="C125" s="782" t="s">
        <v>39</v>
      </c>
      <c r="D125" s="815" t="s">
        <v>2757</v>
      </c>
      <c r="E125" s="814" t="s">
        <v>1228</v>
      </c>
      <c r="F125" s="814" t="s">
        <v>2620</v>
      </c>
      <c r="G125" s="814">
        <v>1</v>
      </c>
      <c r="H125" s="787" t="s">
        <v>145</v>
      </c>
      <c r="I125" s="672">
        <f>$G$2</f>
        <v>0</v>
      </c>
      <c r="J125" s="672"/>
      <c r="K125" s="816"/>
      <c r="L125" s="620">
        <v>0.11</v>
      </c>
      <c r="M125" s="779">
        <f>G125*I125*K125/10000</f>
        <v>0</v>
      </c>
      <c r="N125" s="779">
        <f>L125*M125</f>
        <v>0</v>
      </c>
      <c r="O125" s="779">
        <f>M125+N125</f>
        <v>0</v>
      </c>
      <c r="P125" s="780" t="e">
        <f t="shared" si="14"/>
        <v>#DIV/0!</v>
      </c>
      <c r="Q125" s="781">
        <f t="shared" si="25"/>
        <v>0</v>
      </c>
      <c r="AA125" s="632"/>
    </row>
    <row r="126" spans="2:27" ht="16.5" customHeight="1" outlineLevel="3">
      <c r="B126" s="776" t="s">
        <v>735</v>
      </c>
      <c r="C126" s="782" t="s">
        <v>39</v>
      </c>
      <c r="D126" s="815" t="s">
        <v>2758</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customHeight="1" outlineLevel="3">
      <c r="B127" s="776" t="s">
        <v>2759</v>
      </c>
      <c r="C127" s="782" t="s">
        <v>39</v>
      </c>
      <c r="D127" s="815" t="s">
        <v>2760</v>
      </c>
      <c r="E127" s="648" t="s">
        <v>2761</v>
      </c>
      <c r="F127" s="648" t="s">
        <v>657</v>
      </c>
      <c r="G127" s="808"/>
      <c r="H127" s="805" t="s">
        <v>143</v>
      </c>
      <c r="I127" s="672">
        <f>$E$2*(1+$F$2)</f>
        <v>0</v>
      </c>
      <c r="J127" s="672">
        <v>5</v>
      </c>
      <c r="K127" s="791">
        <f>J127/(1+L127)</f>
        <v>4.2735042735042734</v>
      </c>
      <c r="L127" s="620">
        <v>0.17</v>
      </c>
      <c r="M127" s="779">
        <f>G127*I127*K127/10000</f>
        <v>0</v>
      </c>
      <c r="N127" s="779">
        <f>L127*M127</f>
        <v>0</v>
      </c>
      <c r="O127" s="779">
        <f>M127+N127</f>
        <v>0</v>
      </c>
      <c r="P127" s="780" t="e">
        <f t="shared" si="14"/>
        <v>#DIV/0!</v>
      </c>
      <c r="Q127" s="781">
        <f t="shared" si="25"/>
        <v>0</v>
      </c>
      <c r="AA127" s="632"/>
    </row>
    <row r="128" spans="2:27" ht="16.5" customHeight="1" outlineLevel="3">
      <c r="B128" s="776" t="s">
        <v>739</v>
      </c>
      <c r="C128" s="782" t="s">
        <v>39</v>
      </c>
      <c r="D128" s="815" t="s">
        <v>2762</v>
      </c>
      <c r="E128" s="665" t="s">
        <v>463</v>
      </c>
      <c r="F128" s="665" t="s">
        <v>2353</v>
      </c>
      <c r="G128" s="814"/>
      <c r="H128" s="812" t="s">
        <v>741</v>
      </c>
      <c r="I128" s="672">
        <v>200</v>
      </c>
      <c r="J128" s="672">
        <v>80</v>
      </c>
      <c r="K128" s="791">
        <f>J128/(1+L128)</f>
        <v>68.376068376068375</v>
      </c>
      <c r="L128" s="620">
        <v>0.17</v>
      </c>
      <c r="M128" s="779">
        <f>G128*I128*K128/10000</f>
        <v>0</v>
      </c>
      <c r="N128" s="779">
        <f>L128*M128</f>
        <v>0</v>
      </c>
      <c r="O128" s="779">
        <f>M128+N128</f>
        <v>0</v>
      </c>
      <c r="P128" s="780" t="e">
        <f t="shared" si="14"/>
        <v>#DIV/0!</v>
      </c>
      <c r="Q128" s="781">
        <f t="shared" si="25"/>
        <v>0</v>
      </c>
      <c r="AA128" s="632"/>
    </row>
    <row r="129" spans="2:27" ht="16.5" customHeight="1" outlineLevel="1">
      <c r="B129" s="771" t="s">
        <v>2763</v>
      </c>
      <c r="C129" s="712">
        <v>2</v>
      </c>
      <c r="D129" s="771" t="s">
        <v>2764</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customHeight="1" outlineLevel="2">
      <c r="B130" s="776" t="s">
        <v>742</v>
      </c>
      <c r="C130" s="777" t="s">
        <v>2616</v>
      </c>
      <c r="D130" s="817" t="s">
        <v>2765</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customHeight="1" outlineLevel="3">
      <c r="B131" s="776" t="s">
        <v>2766</v>
      </c>
      <c r="C131" s="782" t="s">
        <v>39</v>
      </c>
      <c r="D131" s="815" t="s">
        <v>2767</v>
      </c>
      <c r="E131" s="648" t="s">
        <v>2768</v>
      </c>
      <c r="F131" s="648" t="s">
        <v>2352</v>
      </c>
      <c r="G131" s="787"/>
      <c r="H131" s="805" t="s">
        <v>1921</v>
      </c>
      <c r="I131" s="672">
        <v>1</v>
      </c>
      <c r="J131" s="672">
        <v>1700</v>
      </c>
      <c r="K131" s="791">
        <f>J131/(1+L131)</f>
        <v>1531.5315315315313</v>
      </c>
      <c r="L131" s="569">
        <v>0.11</v>
      </c>
      <c r="M131" s="779">
        <f>G131*I131*K131/10000</f>
        <v>0</v>
      </c>
      <c r="N131" s="779">
        <f>L131*M131</f>
        <v>0</v>
      </c>
      <c r="O131" s="779">
        <f>M131+N131</f>
        <v>0</v>
      </c>
      <c r="P131" s="780" t="e">
        <f t="shared" si="14"/>
        <v>#DIV/0!</v>
      </c>
      <c r="Q131" s="781">
        <f t="shared" si="25"/>
        <v>0</v>
      </c>
      <c r="AA131" s="632"/>
    </row>
    <row r="132" spans="2:27" ht="16.5" customHeight="1" outlineLevel="3">
      <c r="B132" s="776" t="s">
        <v>744</v>
      </c>
      <c r="C132" s="782" t="s">
        <v>39</v>
      </c>
      <c r="D132" s="815" t="s">
        <v>2769</v>
      </c>
      <c r="E132" s="648" t="s">
        <v>457</v>
      </c>
      <c r="F132" s="648" t="s">
        <v>2352</v>
      </c>
      <c r="G132" s="787"/>
      <c r="H132" s="805" t="s">
        <v>1921</v>
      </c>
      <c r="I132" s="672">
        <v>1</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customHeight="1" outlineLevel="3">
      <c r="B133" s="776" t="s">
        <v>745</v>
      </c>
      <c r="C133" s="782" t="s">
        <v>39</v>
      </c>
      <c r="D133" s="815" t="s">
        <v>2770</v>
      </c>
      <c r="E133" s="648" t="s">
        <v>1329</v>
      </c>
      <c r="F133" s="648" t="s">
        <v>2352</v>
      </c>
      <c r="G133" s="787"/>
      <c r="H133" s="805" t="s">
        <v>1921</v>
      </c>
      <c r="I133" s="672">
        <v>1</v>
      </c>
      <c r="J133" s="672">
        <v>50</v>
      </c>
      <c r="K133" s="791">
        <f>J133/(1+L133)</f>
        <v>42.73504273504274</v>
      </c>
      <c r="L133" s="569">
        <v>0.17</v>
      </c>
      <c r="M133" s="779">
        <f>G133*I133*K133/10000</f>
        <v>0</v>
      </c>
      <c r="N133" s="779">
        <f>L133*M133</f>
        <v>0</v>
      </c>
      <c r="O133" s="779">
        <f>M133+N133</f>
        <v>0</v>
      </c>
      <c r="P133" s="780" t="e">
        <f t="shared" si="26"/>
        <v>#DIV/0!</v>
      </c>
      <c r="Q133" s="781">
        <f t="shared" si="25"/>
        <v>0</v>
      </c>
      <c r="AA133" s="632"/>
    </row>
    <row r="134" spans="2:27" ht="16.5" customHeight="1" outlineLevel="2">
      <c r="B134" s="776" t="s">
        <v>2771</v>
      </c>
      <c r="C134" s="777" t="s">
        <v>2622</v>
      </c>
      <c r="D134" s="817" t="s">
        <v>2772</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customHeight="1" outlineLevel="3">
      <c r="B135" s="776" t="s">
        <v>2773</v>
      </c>
      <c r="C135" s="782" t="s">
        <v>39</v>
      </c>
      <c r="D135" s="815" t="s">
        <v>2774</v>
      </c>
      <c r="E135" s="648" t="s">
        <v>2768</v>
      </c>
      <c r="F135" s="648" t="s">
        <v>2352</v>
      </c>
      <c r="G135" s="787"/>
      <c r="H135" s="805" t="s">
        <v>1921</v>
      </c>
      <c r="I135" s="672">
        <v>10</v>
      </c>
      <c r="J135" s="672">
        <v>500</v>
      </c>
      <c r="K135" s="791">
        <f>J135/(1+L135)</f>
        <v>450.45045045045043</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customHeight="1" outlineLevel="3">
      <c r="B136" s="776" t="s">
        <v>749</v>
      </c>
      <c r="C136" s="782" t="s">
        <v>39</v>
      </c>
      <c r="D136" s="815" t="s">
        <v>2775</v>
      </c>
      <c r="E136" s="648" t="s">
        <v>457</v>
      </c>
      <c r="F136" s="648" t="s">
        <v>2352</v>
      </c>
      <c r="G136" s="787"/>
      <c r="H136" s="805" t="s">
        <v>1921</v>
      </c>
      <c r="I136" s="672">
        <v>10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customHeight="1" outlineLevel="3">
      <c r="B137" s="776" t="s">
        <v>751</v>
      </c>
      <c r="C137" s="782" t="s">
        <v>39</v>
      </c>
      <c r="D137" s="815" t="s">
        <v>2776</v>
      </c>
      <c r="E137" s="648" t="s">
        <v>1329</v>
      </c>
      <c r="F137" s="648" t="s">
        <v>2352</v>
      </c>
      <c r="G137" s="787"/>
      <c r="H137" s="805" t="s">
        <v>1921</v>
      </c>
      <c r="I137" s="672">
        <v>10</v>
      </c>
      <c r="J137" s="672">
        <v>50</v>
      </c>
      <c r="K137" s="791">
        <f>J137/(1+L137)</f>
        <v>42.73504273504274</v>
      </c>
      <c r="L137" s="569">
        <v>0.17</v>
      </c>
      <c r="M137" s="779">
        <f t="shared" si="27"/>
        <v>0</v>
      </c>
      <c r="N137" s="779">
        <f t="shared" si="28"/>
        <v>0</v>
      </c>
      <c r="O137" s="779">
        <f t="shared" si="29"/>
        <v>0</v>
      </c>
      <c r="P137" s="780" t="e">
        <f t="shared" si="26"/>
        <v>#DIV/0!</v>
      </c>
      <c r="Q137" s="781">
        <f t="shared" si="25"/>
        <v>0</v>
      </c>
      <c r="AA137" s="632"/>
    </row>
    <row r="138" spans="2:27" ht="16.5" customHeight="1" outlineLevel="2">
      <c r="B138" s="776" t="s">
        <v>2777</v>
      </c>
      <c r="C138" s="777" t="s">
        <v>2743</v>
      </c>
      <c r="D138" s="817" t="s">
        <v>2778</v>
      </c>
      <c r="E138" s="648" t="s">
        <v>2768</v>
      </c>
      <c r="F138" s="648" t="s">
        <v>2352</v>
      </c>
      <c r="G138" s="787"/>
      <c r="H138" s="805" t="s">
        <v>1921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customHeight="1" outlineLevel="2">
      <c r="B139" s="776" t="s">
        <v>755</v>
      </c>
      <c r="C139" s="777" t="s">
        <v>70</v>
      </c>
      <c r="D139" s="817" t="s">
        <v>2779</v>
      </c>
      <c r="E139" s="648" t="s">
        <v>2768</v>
      </c>
      <c r="F139" s="648" t="s">
        <v>2352</v>
      </c>
      <c r="G139" s="787"/>
      <c r="H139" s="805" t="s">
        <v>1921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customHeight="1" outlineLevel="2">
      <c r="B140" s="776" t="s">
        <v>756</v>
      </c>
      <c r="C140" s="777" t="s">
        <v>71</v>
      </c>
      <c r="D140" s="817" t="s">
        <v>2780</v>
      </c>
      <c r="E140" s="648" t="s">
        <v>2768</v>
      </c>
      <c r="F140" s="665" t="s">
        <v>2737</v>
      </c>
      <c r="G140" s="813"/>
      <c r="H140" s="805" t="s">
        <v>1924</v>
      </c>
      <c r="I140" s="672"/>
      <c r="J140" s="672"/>
      <c r="K140" s="791">
        <f>J140/(1+L140)</f>
        <v>0</v>
      </c>
      <c r="L140" s="569">
        <v>0.11</v>
      </c>
      <c r="M140" s="779">
        <f t="shared" si="27"/>
        <v>0</v>
      </c>
      <c r="N140" s="779">
        <f t="shared" si="28"/>
        <v>0</v>
      </c>
      <c r="O140" s="779">
        <f t="shared" si="29"/>
        <v>0</v>
      </c>
      <c r="P140" s="780" t="e">
        <f t="shared" si="26"/>
        <v>#DIV/0!</v>
      </c>
      <c r="Q140" s="781">
        <f t="shared" si="25"/>
        <v>0</v>
      </c>
      <c r="AA140" s="632"/>
    </row>
    <row r="141" spans="2:27" ht="16.5" customHeight="1" outlineLevel="2">
      <c r="B141" s="776" t="s">
        <v>2781</v>
      </c>
      <c r="C141" s="777" t="s">
        <v>144</v>
      </c>
      <c r="D141" s="817" t="s">
        <v>2833</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customHeight="1" outlineLevel="3">
      <c r="B142" s="776" t="s">
        <v>2834</v>
      </c>
      <c r="C142" s="782" t="s">
        <v>39</v>
      </c>
      <c r="D142" s="815" t="s">
        <v>2835</v>
      </c>
      <c r="E142" s="648" t="s">
        <v>2768</v>
      </c>
      <c r="F142" s="665" t="s">
        <v>2836</v>
      </c>
      <c r="G142" s="813"/>
      <c r="H142" s="805" t="s">
        <v>1924</v>
      </c>
      <c r="I142" s="672">
        <v>26</v>
      </c>
      <c r="J142" s="672">
        <v>1200</v>
      </c>
      <c r="K142" s="791">
        <f>J142/(1+L142)</f>
        <v>1081.081081081081</v>
      </c>
      <c r="L142" s="569">
        <v>0.11</v>
      </c>
      <c r="M142" s="779">
        <f>G142*I142*K142/10000</f>
        <v>0</v>
      </c>
      <c r="N142" s="779">
        <f>L142*M142</f>
        <v>0</v>
      </c>
      <c r="O142" s="779">
        <f>M142+N142</f>
        <v>0</v>
      </c>
      <c r="P142" s="780" t="e">
        <f t="shared" si="26"/>
        <v>#DIV/0!</v>
      </c>
      <c r="Q142" s="806">
        <f t="shared" si="25"/>
        <v>0</v>
      </c>
      <c r="AA142" s="632"/>
    </row>
    <row r="143" spans="2:27" ht="16.5" customHeight="1" outlineLevel="3">
      <c r="B143" s="776" t="s">
        <v>761</v>
      </c>
      <c r="C143" s="782" t="s">
        <v>39</v>
      </c>
      <c r="D143" s="815" t="s">
        <v>2837</v>
      </c>
      <c r="E143" s="648" t="s">
        <v>457</v>
      </c>
      <c r="F143" s="665" t="s">
        <v>2836</v>
      </c>
      <c r="G143" s="813"/>
      <c r="H143" s="805" t="s">
        <v>1924</v>
      </c>
      <c r="I143" s="672">
        <v>26</v>
      </c>
      <c r="J143" s="672">
        <v>300</v>
      </c>
      <c r="K143" s="791">
        <f>J143/(1+L143)</f>
        <v>256.41025641025641</v>
      </c>
      <c r="L143" s="569">
        <v>0.17</v>
      </c>
      <c r="M143" s="779">
        <f>G143*I143*K143/10000</f>
        <v>0</v>
      </c>
      <c r="N143" s="779">
        <f>L143*M143</f>
        <v>0</v>
      </c>
      <c r="O143" s="779">
        <f>M143+N143</f>
        <v>0</v>
      </c>
      <c r="P143" s="780" t="e">
        <f t="shared" si="26"/>
        <v>#DIV/0!</v>
      </c>
      <c r="Q143" s="806">
        <f t="shared" si="25"/>
        <v>0</v>
      </c>
      <c r="AA143" s="632"/>
    </row>
    <row r="144" spans="2:27" ht="16.5" customHeight="1" outlineLevel="3">
      <c r="B144" s="776" t="s">
        <v>762</v>
      </c>
      <c r="C144" s="782" t="s">
        <v>39</v>
      </c>
      <c r="D144" s="815" t="s">
        <v>2838</v>
      </c>
      <c r="E144" s="648" t="s">
        <v>1329</v>
      </c>
      <c r="F144" s="665" t="s">
        <v>2836</v>
      </c>
      <c r="G144" s="813"/>
      <c r="H144" s="805" t="s">
        <v>1924</v>
      </c>
      <c r="I144" s="672">
        <v>26</v>
      </c>
      <c r="J144" s="672">
        <v>50</v>
      </c>
      <c r="K144" s="791">
        <f>J144/(1+L144)</f>
        <v>42.73504273504274</v>
      </c>
      <c r="L144" s="569">
        <v>0.17</v>
      </c>
      <c r="M144" s="779">
        <f>G144*I144*K144/10000</f>
        <v>0</v>
      </c>
      <c r="N144" s="779">
        <f>L144*M144</f>
        <v>0</v>
      </c>
      <c r="O144" s="779">
        <f>M144+N144</f>
        <v>0</v>
      </c>
      <c r="P144" s="780" t="e">
        <f t="shared" si="26"/>
        <v>#DIV/0!</v>
      </c>
      <c r="Q144" s="806">
        <f t="shared" si="25"/>
        <v>0</v>
      </c>
      <c r="AA144" s="632"/>
    </row>
    <row r="145" spans="1:27" ht="16.5" customHeight="1" outlineLevel="2">
      <c r="B145" s="776" t="s">
        <v>763</v>
      </c>
      <c r="C145" s="777" t="s">
        <v>2839</v>
      </c>
      <c r="D145" s="804" t="s">
        <v>2840</v>
      </c>
      <c r="E145" s="648" t="s">
        <v>2768</v>
      </c>
      <c r="F145" s="648"/>
      <c r="G145" s="787"/>
      <c r="H145" s="787"/>
      <c r="I145" s="672"/>
      <c r="J145" s="672"/>
      <c r="K145" s="681"/>
      <c r="L145" s="569">
        <v>0.11</v>
      </c>
      <c r="M145" s="779"/>
      <c r="N145" s="779"/>
      <c r="O145" s="779"/>
      <c r="P145" s="780" t="str">
        <f t="shared" si="26"/>
        <v/>
      </c>
      <c r="Q145" s="781">
        <f t="shared" si="25"/>
        <v>0</v>
      </c>
      <c r="AA145" s="632"/>
    </row>
    <row r="146" spans="1:27" ht="16.5" customHeight="1" outlineLevel="2">
      <c r="B146" s="776" t="s">
        <v>764</v>
      </c>
      <c r="C146" s="777" t="s">
        <v>73</v>
      </c>
      <c r="D146" s="804" t="s">
        <v>2841</v>
      </c>
      <c r="E146" s="648" t="s">
        <v>2768</v>
      </c>
      <c r="F146" s="648"/>
      <c r="G146" s="787"/>
      <c r="H146" s="787"/>
      <c r="I146" s="672"/>
      <c r="J146" s="672"/>
      <c r="K146" s="681"/>
      <c r="L146" s="569">
        <v>0.11</v>
      </c>
      <c r="M146" s="779"/>
      <c r="N146" s="779"/>
      <c r="O146" s="779"/>
      <c r="P146" s="780" t="str">
        <f t="shared" si="26"/>
        <v/>
      </c>
      <c r="Q146" s="781">
        <f t="shared" si="25"/>
        <v>0</v>
      </c>
      <c r="AA146" s="632"/>
    </row>
    <row r="147" spans="1:27" ht="16.5" customHeight="1" outlineLevel="2">
      <c r="B147" s="776" t="s">
        <v>765</v>
      </c>
      <c r="C147" s="777" t="s">
        <v>74</v>
      </c>
      <c r="D147" s="804" t="s">
        <v>2842</v>
      </c>
      <c r="E147" s="648" t="s">
        <v>2768</v>
      </c>
      <c r="F147" s="648"/>
      <c r="G147" s="787"/>
      <c r="H147" s="787"/>
      <c r="I147" s="672"/>
      <c r="J147" s="672"/>
      <c r="K147" s="681"/>
      <c r="L147" s="569">
        <v>0.11</v>
      </c>
      <c r="M147" s="779"/>
      <c r="N147" s="779"/>
      <c r="O147" s="779"/>
      <c r="P147" s="780" t="str">
        <f t="shared" si="26"/>
        <v/>
      </c>
      <c r="Q147" s="781">
        <f t="shared" si="25"/>
        <v>0</v>
      </c>
      <c r="AA147" s="632"/>
    </row>
    <row r="148" spans="1:27" ht="16.5" customHeight="1" outlineLevel="2">
      <c r="B148" s="776" t="s">
        <v>2843</v>
      </c>
      <c r="C148" s="777" t="s">
        <v>75</v>
      </c>
      <c r="D148" s="804" t="s">
        <v>2844</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 r="B149" s="818" t="s">
        <v>2845</v>
      </c>
      <c r="C149" s="819">
        <v>3</v>
      </c>
      <c r="D149" s="818" t="s">
        <v>2846</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customHeight="1" outlineLevel="2">
      <c r="B150" s="776" t="s">
        <v>766</v>
      </c>
      <c r="C150" s="777" t="s">
        <v>2616</v>
      </c>
      <c r="D150" s="804" t="s">
        <v>2847</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customHeight="1" outlineLevel="3">
      <c r="B151" s="776" t="s">
        <v>767</v>
      </c>
      <c r="C151" s="782" t="s">
        <v>39</v>
      </c>
      <c r="D151" s="804" t="s">
        <v>768</v>
      </c>
      <c r="E151" s="665" t="s">
        <v>458</v>
      </c>
      <c r="F151" s="665" t="s">
        <v>2353</v>
      </c>
      <c r="G151" s="813">
        <v>1</v>
      </c>
      <c r="H151" s="787" t="s">
        <v>1925</v>
      </c>
      <c r="I151" s="672">
        <f t="shared" ref="I151:I156" si="30">$H$2</f>
        <v>0</v>
      </c>
      <c r="J151" s="672"/>
      <c r="K151" s="791">
        <f t="shared" ref="K151:K156" si="31">J151/(1+L151)</f>
        <v>0</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customHeight="1" outlineLevel="3">
      <c r="B152" s="776" t="s">
        <v>769</v>
      </c>
      <c r="C152" s="782" t="s">
        <v>39</v>
      </c>
      <c r="D152" s="804" t="s">
        <v>2798</v>
      </c>
      <c r="E152" s="665" t="s">
        <v>1596</v>
      </c>
      <c r="F152" s="665" t="s">
        <v>2353</v>
      </c>
      <c r="G152" s="813">
        <v>1</v>
      </c>
      <c r="H152" s="787" t="s">
        <v>1925</v>
      </c>
      <c r="I152" s="672">
        <f t="shared" si="30"/>
        <v>0</v>
      </c>
      <c r="J152" s="672">
        <v>500</v>
      </c>
      <c r="K152" s="791">
        <f t="shared" si="31"/>
        <v>450.45045045045043</v>
      </c>
      <c r="L152" s="569">
        <v>0.11</v>
      </c>
      <c r="M152" s="779">
        <f t="shared" si="32"/>
        <v>0</v>
      </c>
      <c r="N152" s="779">
        <f t="shared" si="33"/>
        <v>0</v>
      </c>
      <c r="O152" s="779">
        <f t="shared" si="34"/>
        <v>0</v>
      </c>
      <c r="P152" s="780" t="e">
        <f t="shared" si="26"/>
        <v>#DIV/0!</v>
      </c>
      <c r="Q152" s="806">
        <f t="shared" si="25"/>
        <v>0</v>
      </c>
      <c r="AA152" s="632"/>
    </row>
    <row r="153" spans="1:27" ht="16.5" customHeight="1" outlineLevel="3">
      <c r="B153" s="776" t="s">
        <v>770</v>
      </c>
      <c r="C153" s="782" t="s">
        <v>39</v>
      </c>
      <c r="D153" s="804" t="s">
        <v>771</v>
      </c>
      <c r="E153" s="665" t="s">
        <v>2799</v>
      </c>
      <c r="F153" s="665" t="s">
        <v>2353</v>
      </c>
      <c r="G153" s="813">
        <v>1</v>
      </c>
      <c r="H153" s="787" t="s">
        <v>1925</v>
      </c>
      <c r="I153" s="672">
        <f t="shared" si="30"/>
        <v>0</v>
      </c>
      <c r="J153" s="672">
        <v>1000</v>
      </c>
      <c r="K153" s="791">
        <f t="shared" si="31"/>
        <v>900.90090090090087</v>
      </c>
      <c r="L153" s="569">
        <v>0.11</v>
      </c>
      <c r="M153" s="779">
        <f t="shared" si="32"/>
        <v>0</v>
      </c>
      <c r="N153" s="779">
        <f t="shared" si="33"/>
        <v>0</v>
      </c>
      <c r="O153" s="779">
        <f t="shared" si="34"/>
        <v>0</v>
      </c>
      <c r="P153" s="780" t="e">
        <f t="shared" si="26"/>
        <v>#DIV/0!</v>
      </c>
      <c r="Q153" s="781">
        <f t="shared" si="25"/>
        <v>0</v>
      </c>
      <c r="AA153" s="632"/>
    </row>
    <row r="154" spans="1:27" ht="16.5" customHeight="1" outlineLevel="3">
      <c r="B154" s="776" t="s">
        <v>772</v>
      </c>
      <c r="C154" s="782" t="s">
        <v>39</v>
      </c>
      <c r="D154" s="804" t="s">
        <v>2800</v>
      </c>
      <c r="E154" s="665" t="s">
        <v>458</v>
      </c>
      <c r="F154" s="665" t="s">
        <v>2353</v>
      </c>
      <c r="G154" s="813">
        <v>1</v>
      </c>
      <c r="H154" s="787" t="s">
        <v>1925</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customHeight="1" outlineLevel="3">
      <c r="B155" s="776" t="s">
        <v>773</v>
      </c>
      <c r="C155" s="782" t="s">
        <v>39</v>
      </c>
      <c r="D155" s="804" t="s">
        <v>2848</v>
      </c>
      <c r="E155" s="665" t="s">
        <v>2849</v>
      </c>
      <c r="F155" s="665" t="s">
        <v>2353</v>
      </c>
      <c r="G155" s="813">
        <v>1</v>
      </c>
      <c r="H155" s="787" t="s">
        <v>1925</v>
      </c>
      <c r="I155" s="672">
        <f t="shared" si="30"/>
        <v>0</v>
      </c>
      <c r="J155" s="672"/>
      <c r="K155" s="791">
        <f t="shared" si="31"/>
        <v>0</v>
      </c>
      <c r="L155" s="569">
        <v>0.17</v>
      </c>
      <c r="M155" s="779">
        <f t="shared" si="32"/>
        <v>0</v>
      </c>
      <c r="N155" s="779">
        <f t="shared" si="33"/>
        <v>0</v>
      </c>
      <c r="O155" s="779">
        <f t="shared" si="34"/>
        <v>0</v>
      </c>
      <c r="P155" s="780" t="e">
        <f t="shared" si="26"/>
        <v>#DIV/0!</v>
      </c>
      <c r="Q155" s="781">
        <f t="shared" si="25"/>
        <v>0</v>
      </c>
      <c r="AA155" s="632"/>
    </row>
    <row r="156" spans="1:27" ht="16.5" customHeight="1" outlineLevel="3">
      <c r="B156" s="776" t="s">
        <v>774</v>
      </c>
      <c r="C156" s="782" t="s">
        <v>39</v>
      </c>
      <c r="D156" s="804" t="s">
        <v>2850</v>
      </c>
      <c r="E156" s="665" t="s">
        <v>458</v>
      </c>
      <c r="F156" s="665" t="s">
        <v>2353</v>
      </c>
      <c r="G156" s="813">
        <v>1</v>
      </c>
      <c r="H156" s="787" t="s">
        <v>1925</v>
      </c>
      <c r="I156" s="672">
        <f t="shared" si="30"/>
        <v>0</v>
      </c>
      <c r="J156" s="672">
        <v>300</v>
      </c>
      <c r="K156" s="791">
        <f t="shared" si="31"/>
        <v>270.27027027027026</v>
      </c>
      <c r="L156" s="569">
        <v>0.11</v>
      </c>
      <c r="M156" s="779">
        <f t="shared" si="32"/>
        <v>0</v>
      </c>
      <c r="N156" s="779">
        <f t="shared" si="33"/>
        <v>0</v>
      </c>
      <c r="O156" s="779">
        <f t="shared" si="34"/>
        <v>0</v>
      </c>
      <c r="P156" s="780" t="e">
        <f t="shared" si="26"/>
        <v>#DIV/0!</v>
      </c>
      <c r="Q156" s="781">
        <f t="shared" si="25"/>
        <v>0</v>
      </c>
      <c r="AA156" s="632"/>
    </row>
    <row r="157" spans="1:27" ht="16.5" customHeight="1" outlineLevel="3">
      <c r="B157" s="776" t="s">
        <v>775</v>
      </c>
      <c r="C157" s="782" t="s">
        <v>39</v>
      </c>
      <c r="D157" s="804" t="s">
        <v>2851</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customHeight="1" outlineLevel="3">
      <c r="A158" s="633"/>
      <c r="B158" s="776" t="s">
        <v>2852</v>
      </c>
      <c r="C158" s="782" t="s">
        <v>39</v>
      </c>
      <c r="D158" s="804" t="s">
        <v>776</v>
      </c>
      <c r="E158" s="665" t="s">
        <v>458</v>
      </c>
      <c r="F158" s="648"/>
      <c r="G158" s="825">
        <v>1</v>
      </c>
      <c r="H158" s="787" t="s">
        <v>145</v>
      </c>
      <c r="I158" s="672"/>
      <c r="J158" s="672"/>
      <c r="K158" s="787"/>
      <c r="L158" s="569">
        <v>0.11</v>
      </c>
      <c r="M158" s="779">
        <f t="shared" si="32"/>
        <v>0</v>
      </c>
      <c r="N158" s="779"/>
      <c r="O158" s="779"/>
      <c r="P158" s="780" t="str">
        <f t="shared" si="26"/>
        <v/>
      </c>
      <c r="Q158" s="781">
        <f t="shared" si="25"/>
        <v>0</v>
      </c>
      <c r="AA158" s="632"/>
    </row>
    <row r="159" spans="1:27" s="695" customFormat="1" ht="16.5" customHeight="1" outlineLevel="2">
      <c r="A159" s="633"/>
      <c r="B159" s="776" t="s">
        <v>777</v>
      </c>
      <c r="C159" s="777" t="s">
        <v>2622</v>
      </c>
      <c r="D159" s="804" t="s">
        <v>2853</v>
      </c>
      <c r="E159" s="665" t="s">
        <v>458</v>
      </c>
      <c r="F159" s="826"/>
      <c r="G159" s="825">
        <v>1</v>
      </c>
      <c r="H159" s="787" t="s">
        <v>145</v>
      </c>
      <c r="I159" s="672">
        <f>E2</f>
        <v>0</v>
      </c>
      <c r="J159" s="672">
        <v>200</v>
      </c>
      <c r="K159" s="791">
        <f>J159/(1+L159)</f>
        <v>180.18018018018017</v>
      </c>
      <c r="L159" s="569">
        <v>0.11</v>
      </c>
      <c r="M159" s="779">
        <f t="shared" si="32"/>
        <v>0</v>
      </c>
      <c r="N159" s="779">
        <f>L159*M159</f>
        <v>0</v>
      </c>
      <c r="O159" s="779">
        <f>M159+N159</f>
        <v>0</v>
      </c>
      <c r="P159" s="780" t="e">
        <f t="shared" si="26"/>
        <v>#DIV/0!</v>
      </c>
      <c r="Q159" s="781">
        <f t="shared" si="25"/>
        <v>0</v>
      </c>
    </row>
    <row r="160" spans="1:27" s="695" customFormat="1" ht="16.5" customHeight="1" outlineLevel="2">
      <c r="A160" s="633"/>
      <c r="B160" s="776" t="s">
        <v>778</v>
      </c>
      <c r="C160" s="777" t="s">
        <v>69</v>
      </c>
      <c r="D160" s="804" t="s">
        <v>2854</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 r="B161" s="771" t="s">
        <v>2855</v>
      </c>
      <c r="C161" s="712">
        <v>4</v>
      </c>
      <c r="D161" s="771" t="s">
        <v>2856</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customHeight="1" outlineLevel="2">
      <c r="B162" s="776" t="s">
        <v>1600</v>
      </c>
      <c r="C162" s="777" t="s">
        <v>2616</v>
      </c>
      <c r="D162" s="804" t="s">
        <v>2857</v>
      </c>
      <c r="E162" s="665" t="s">
        <v>461</v>
      </c>
      <c r="F162" s="665" t="s">
        <v>2353</v>
      </c>
      <c r="G162" s="813">
        <v>1</v>
      </c>
      <c r="H162" s="787" t="s">
        <v>1926</v>
      </c>
      <c r="I162" s="672">
        <f>$H$2</f>
        <v>0</v>
      </c>
      <c r="J162" s="672"/>
      <c r="K162" s="791">
        <f>J162/(1+L162)</f>
        <v>0</v>
      </c>
      <c r="L162" s="569">
        <v>0.17</v>
      </c>
      <c r="M162" s="779">
        <f t="shared" si="32"/>
        <v>0</v>
      </c>
      <c r="N162" s="779">
        <f>L162*M162</f>
        <v>0</v>
      </c>
      <c r="O162" s="779">
        <f>M162+N162</f>
        <v>0</v>
      </c>
      <c r="P162" s="780" t="e">
        <f t="shared" si="26"/>
        <v>#DIV/0!</v>
      </c>
      <c r="Q162" s="781">
        <f t="shared" si="25"/>
        <v>0</v>
      </c>
      <c r="AA162" s="632"/>
    </row>
    <row r="163" spans="2:27" ht="16.5" customHeight="1" outlineLevel="2">
      <c r="B163" s="776" t="s">
        <v>1601</v>
      </c>
      <c r="C163" s="777" t="s">
        <v>68</v>
      </c>
      <c r="D163" s="804" t="s">
        <v>2858</v>
      </c>
      <c r="E163" s="648" t="s">
        <v>1602</v>
      </c>
      <c r="F163" s="665" t="s">
        <v>2353</v>
      </c>
      <c r="G163" s="813">
        <v>0.7</v>
      </c>
      <c r="H163" s="787" t="s">
        <v>1926</v>
      </c>
      <c r="I163" s="672">
        <f>$H$2</f>
        <v>0</v>
      </c>
      <c r="J163" s="672"/>
      <c r="K163" s="791">
        <f>J163/(1+L163)</f>
        <v>0</v>
      </c>
      <c r="L163" s="569">
        <v>0.17</v>
      </c>
      <c r="M163" s="779">
        <f t="shared" si="32"/>
        <v>0</v>
      </c>
      <c r="N163" s="779">
        <f>L163*M163</f>
        <v>0</v>
      </c>
      <c r="O163" s="779">
        <f>M163+N163</f>
        <v>0</v>
      </c>
      <c r="P163" s="780" t="e">
        <f t="shared" si="26"/>
        <v>#DIV/0!</v>
      </c>
      <c r="Q163" s="781">
        <f t="shared" si="25"/>
        <v>0</v>
      </c>
      <c r="AA163" s="632"/>
    </row>
    <row r="164" spans="2:27" ht="16.5" customHeight="1" outlineLevel="2">
      <c r="B164" s="776" t="s">
        <v>779</v>
      </c>
      <c r="C164" s="777" t="s">
        <v>69</v>
      </c>
      <c r="D164" s="804" t="s">
        <v>2859</v>
      </c>
      <c r="E164" s="648" t="s">
        <v>2860</v>
      </c>
      <c r="F164" s="648"/>
      <c r="G164" s="787">
        <v>0.3</v>
      </c>
      <c r="H164" s="787" t="s">
        <v>1926</v>
      </c>
      <c r="I164" s="672"/>
      <c r="J164" s="672"/>
      <c r="K164" s="681"/>
      <c r="L164" s="569">
        <v>0.11</v>
      </c>
      <c r="M164" s="779">
        <f t="shared" si="32"/>
        <v>0</v>
      </c>
      <c r="N164" s="779"/>
      <c r="O164" s="779"/>
      <c r="P164" s="780" t="str">
        <f t="shared" si="26"/>
        <v/>
      </c>
      <c r="Q164" s="781">
        <f t="shared" si="25"/>
        <v>0</v>
      </c>
      <c r="AA164" s="632"/>
    </row>
    <row r="165" spans="2:27" ht="16.5" customHeight="1" outlineLevel="2">
      <c r="B165" s="776" t="s">
        <v>780</v>
      </c>
      <c r="C165" s="777" t="s">
        <v>70</v>
      </c>
      <c r="D165" s="804" t="s">
        <v>2861</v>
      </c>
      <c r="E165" s="648" t="s">
        <v>2860</v>
      </c>
      <c r="F165" s="648"/>
      <c r="G165" s="787"/>
      <c r="H165" s="787"/>
      <c r="I165" s="672"/>
      <c r="J165" s="672"/>
      <c r="K165" s="681"/>
      <c r="L165" s="569"/>
      <c r="M165" s="779">
        <f t="shared" si="32"/>
        <v>0</v>
      </c>
      <c r="N165" s="779"/>
      <c r="O165" s="779"/>
      <c r="P165" s="780" t="str">
        <f t="shared" si="26"/>
        <v/>
      </c>
      <c r="Q165" s="781">
        <f t="shared" si="25"/>
        <v>0</v>
      </c>
      <c r="AA165" s="632"/>
    </row>
    <row r="166" spans="2:27" ht="16.5" customHeight="1" outlineLevel="2">
      <c r="B166" s="776" t="s">
        <v>781</v>
      </c>
      <c r="C166" s="777" t="s">
        <v>71</v>
      </c>
      <c r="D166" s="804" t="s">
        <v>2862</v>
      </c>
      <c r="E166" s="648" t="s">
        <v>2860</v>
      </c>
      <c r="F166" s="648"/>
      <c r="G166" s="787"/>
      <c r="H166" s="787"/>
      <c r="I166" s="672"/>
      <c r="J166" s="672"/>
      <c r="K166" s="681"/>
      <c r="L166" s="569"/>
      <c r="M166" s="779">
        <f t="shared" si="32"/>
        <v>0</v>
      </c>
      <c r="N166" s="779"/>
      <c r="O166" s="779"/>
      <c r="P166" s="780" t="str">
        <f t="shared" si="26"/>
        <v/>
      </c>
      <c r="Q166" s="781">
        <f t="shared" si="25"/>
        <v>0</v>
      </c>
      <c r="AA166" s="632"/>
    </row>
    <row r="167" spans="2:27" ht="16.5" customHeight="1" outlineLevel="2">
      <c r="B167" s="776" t="s">
        <v>782</v>
      </c>
      <c r="C167" s="777" t="s">
        <v>144</v>
      </c>
      <c r="D167" s="804" t="s">
        <v>2863</v>
      </c>
      <c r="E167" s="648" t="s">
        <v>2860</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2384</v>
      </c>
      <c r="M168" s="829" t="s">
        <v>2864</v>
      </c>
      <c r="N168" s="829" t="s">
        <v>2865</v>
      </c>
      <c r="AA168" s="632"/>
    </row>
    <row r="169" spans="2:27" ht="15.5">
      <c r="C169" s="632"/>
      <c r="G169" s="632"/>
      <c r="H169" s="632"/>
      <c r="I169" s="632"/>
      <c r="J169" s="632"/>
      <c r="K169" s="748" t="s">
        <v>2866</v>
      </c>
      <c r="L169" s="830" t="s">
        <v>2825</v>
      </c>
      <c r="M169" s="750">
        <f>O4+O69+O88</f>
        <v>0</v>
      </c>
      <c r="N169" s="750">
        <f>+O4+O88</f>
        <v>0</v>
      </c>
      <c r="O169" s="829"/>
      <c r="Z169" s="831">
        <f>SUM(Z4:Z168)</f>
        <v>0</v>
      </c>
      <c r="AA169" s="632"/>
    </row>
    <row r="170" spans="2:27" ht="24" customHeight="1">
      <c r="L170" s="748" t="s">
        <v>2826</v>
      </c>
      <c r="M170" s="750" t="e">
        <f>M169/$E$2*10000</f>
        <v>#DIV/0!</v>
      </c>
      <c r="N170" s="832" t="e">
        <f>N169/$E$2*10000</f>
        <v>#DIV/0!</v>
      </c>
    </row>
    <row r="171" spans="2:27" ht="24" customHeight="1">
      <c r="K171" s="748" t="s">
        <v>2824</v>
      </c>
      <c r="L171" s="830" t="s">
        <v>2825</v>
      </c>
      <c r="M171" s="750">
        <f>+M4+M69+M88</f>
        <v>0</v>
      </c>
      <c r="N171" s="750">
        <f>+M4+M88</f>
        <v>0</v>
      </c>
    </row>
    <row r="172" spans="2:27" ht="24" customHeight="1">
      <c r="L172" s="748" t="s">
        <v>2826</v>
      </c>
      <c r="M172" s="750" t="e">
        <f>M171/$E$2*10000</f>
        <v>#DIV/0!</v>
      </c>
      <c r="N172" s="750" t="e">
        <f>N171/$E$2*10000</f>
        <v>#DIV/0!</v>
      </c>
    </row>
  </sheetData>
  <autoFilter ref="A3:AA168"/>
  <phoneticPr fontId="19" type="noConversion"/>
  <conditionalFormatting sqref="I121:J121">
    <cfRule type="cellIs" priority="29" operator="equal">
      <formula>0</formula>
    </cfRule>
    <cfRule type="cellIs" dxfId="81" priority="30" operator="equal">
      <formula>0</formula>
    </cfRule>
  </conditionalFormatting>
  <conditionalFormatting sqref="B161:C161">
    <cfRule type="duplicateValues" dxfId="80" priority="145"/>
  </conditionalFormatting>
  <conditionalFormatting sqref="D6:D8">
    <cfRule type="duplicateValues" dxfId="79" priority="160"/>
  </conditionalFormatting>
  <conditionalFormatting sqref="B86:C87">
    <cfRule type="duplicateValues" dxfId="78" priority="150"/>
  </conditionalFormatting>
  <conditionalFormatting sqref="B4:C4">
    <cfRule type="duplicateValues" dxfId="77" priority="156"/>
  </conditionalFormatting>
  <conditionalFormatting sqref="B36:C36">
    <cfRule type="duplicateValues" dxfId="76" priority="154"/>
  </conditionalFormatting>
  <conditionalFormatting sqref="D1:D5 D9:D65536">
    <cfRule type="duplicateValues" dxfId="75" priority="159"/>
  </conditionalFormatting>
  <conditionalFormatting sqref="B129:C129">
    <cfRule type="duplicateValues" dxfId="74" priority="147"/>
  </conditionalFormatting>
  <conditionalFormatting sqref="B88:C88">
    <cfRule type="duplicateValues" dxfId="73" priority="149"/>
  </conditionalFormatting>
  <conditionalFormatting sqref="B5:C5">
    <cfRule type="duplicateValues" dxfId="72" priority="155"/>
  </conditionalFormatting>
  <conditionalFormatting sqref="I36:J37 I66:J66 I113:J113 I117:J119 I124:J126 I128:J131 I145:J150 I141:J141 I164:J65536 I157:J158 I31:J31 I18:J19 I23:J26 I41:J41 I82:J91 I94:J94 I134:J134 I4:J10 I44:J44 I46:J47 I56:J57 I69:J70 I99:J99 I102:J102 I105:J106 I110:J111 I108:J108 I160:J161">
    <cfRule type="cellIs" dxfId="71" priority="158" operator="equal">
      <formula>0</formula>
    </cfRule>
  </conditionalFormatting>
  <conditionalFormatting sqref="B89:C89">
    <cfRule type="duplicateValues" dxfId="70" priority="148"/>
  </conditionalFormatting>
  <conditionalFormatting sqref="B82:C82">
    <cfRule type="duplicateValues" dxfId="69" priority="151"/>
  </conditionalFormatting>
  <conditionalFormatting sqref="B70:C70">
    <cfRule type="duplicateValues" dxfId="68" priority="152"/>
  </conditionalFormatting>
  <conditionalFormatting sqref="B149:C149">
    <cfRule type="duplicateValues" dxfId="67" priority="146"/>
  </conditionalFormatting>
  <conditionalFormatting sqref="B69:C69">
    <cfRule type="duplicateValues" dxfId="66" priority="153"/>
  </conditionalFormatting>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54" activePane="bottomRight" state="frozen"/>
      <selection pane="topRight"/>
      <selection pane="bottomLeft"/>
      <selection pane="bottomRight" activeCell="Q68" sqref="Q68"/>
    </sheetView>
  </sheetViews>
  <sheetFormatPr defaultColWidth="9" defaultRowHeight="24" customHeight="1" outlineLevelRow="4"/>
  <cols>
    <col min="1" max="1" width="3.33203125" style="632" customWidth="1"/>
    <col min="2" max="2" width="17.33203125" style="632" customWidth="1"/>
    <col min="3" max="3" width="5.08203125" style="748" customWidth="1"/>
    <col min="4" max="4" width="17.6640625" style="632" customWidth="1"/>
    <col min="5" max="5" width="16.08203125" style="748" customWidth="1"/>
    <col min="6" max="6" width="12.5" style="748" customWidth="1"/>
    <col min="7" max="7" width="8.33203125" style="748" customWidth="1"/>
    <col min="8" max="8" width="7.33203125" style="748" customWidth="1"/>
    <col min="9" max="10" width="9" style="749" customWidth="1"/>
    <col min="11" max="12" width="7.6640625" style="748" customWidth="1"/>
    <col min="13" max="15" width="9.6640625" style="750" customWidth="1"/>
    <col min="16" max="16" width="10.33203125" style="563" customWidth="1"/>
    <col min="17" max="17" width="13.33203125" style="563" customWidth="1"/>
    <col min="18" max="18" width="9" style="632" customWidth="1"/>
    <col min="19" max="19" width="12.33203125" style="632" customWidth="1"/>
    <col min="20" max="20" width="20.58203125" style="632" customWidth="1"/>
    <col min="21" max="21" width="9.33203125" style="632" customWidth="1"/>
    <col min="22" max="22" width="26.6640625" style="632" customWidth="1"/>
    <col min="23" max="25" width="9.1640625" style="632" hidden="1"/>
    <col min="26" max="26" width="9.1640625" style="632" customWidth="1"/>
    <col min="27" max="27" width="9.1640625" style="751" customWidth="1"/>
    <col min="28" max="28" width="9.1640625" style="632" customWidth="1"/>
    <col min="29" max="256" width="9" style="632" customWidth="1"/>
  </cols>
  <sheetData>
    <row r="1" spans="2:27" s="633" customFormat="1" ht="21.75" customHeight="1">
      <c r="C1" s="752"/>
      <c r="D1" s="753" t="s">
        <v>2031</v>
      </c>
      <c r="E1" s="1012" t="s">
        <v>10</v>
      </c>
      <c r="F1" s="1012" t="s">
        <v>581</v>
      </c>
      <c r="G1" s="1012" t="s">
        <v>9</v>
      </c>
      <c r="H1" s="1012" t="s">
        <v>5</v>
      </c>
      <c r="I1" s="1012" t="s">
        <v>18</v>
      </c>
      <c r="J1" s="1012"/>
      <c r="K1" s="1012" t="s">
        <v>0</v>
      </c>
      <c r="L1" s="1012"/>
      <c r="M1" s="1012"/>
      <c r="N1" s="754"/>
      <c r="O1" s="754"/>
      <c r="P1" s="754"/>
      <c r="Q1" s="755"/>
      <c r="U1" s="633">
        <v>418</v>
      </c>
      <c r="AA1" s="756"/>
    </row>
    <row r="2" spans="2:27" s="633" customFormat="1" ht="17.25" customHeight="1">
      <c r="C2" s="752"/>
      <c r="D2" s="753" t="s">
        <v>17</v>
      </c>
      <c r="E2" s="757">
        <f>'3-规划指标'!H25</f>
        <v>0</v>
      </c>
      <c r="F2" s="758">
        <v>0</v>
      </c>
      <c r="G2" s="759">
        <f>'3-规划指标'!G25</f>
        <v>0</v>
      </c>
      <c r="H2" s="759">
        <f>'3-规划指标'!N25</f>
        <v>0</v>
      </c>
      <c r="I2" s="759">
        <f>'3-规划指标'!M25</f>
        <v>0</v>
      </c>
      <c r="J2" s="759"/>
      <c r="K2" s="759">
        <f>'3-规划指标'!O25</f>
        <v>0</v>
      </c>
      <c r="L2" s="759"/>
      <c r="M2" s="760"/>
      <c r="N2" s="761"/>
      <c r="O2" s="761"/>
      <c r="P2" s="761"/>
      <c r="Q2" s="755"/>
      <c r="AA2" s="756"/>
    </row>
    <row r="3" spans="2:27" s="748" customFormat="1" ht="24" customHeight="1">
      <c r="B3" s="476" t="s">
        <v>25</v>
      </c>
      <c r="C3" s="476"/>
      <c r="D3" s="476" t="s">
        <v>23</v>
      </c>
      <c r="E3" s="762" t="s">
        <v>444</v>
      </c>
      <c r="F3" s="762" t="s">
        <v>13</v>
      </c>
      <c r="G3" s="762" t="s">
        <v>108</v>
      </c>
      <c r="H3" s="762" t="s">
        <v>109</v>
      </c>
      <c r="I3" s="762" t="s">
        <v>110</v>
      </c>
      <c r="J3" s="763" t="s">
        <v>1067</v>
      </c>
      <c r="K3" s="476" t="s">
        <v>15</v>
      </c>
      <c r="L3" s="476" t="s">
        <v>515</v>
      </c>
      <c r="M3" s="764" t="s">
        <v>1069</v>
      </c>
      <c r="N3" s="764" t="s">
        <v>1019</v>
      </c>
      <c r="O3" s="764" t="s">
        <v>1071</v>
      </c>
      <c r="P3" s="1015" t="s">
        <v>1072</v>
      </c>
      <c r="Q3" s="476" t="s">
        <v>16</v>
      </c>
    </row>
    <row r="4" spans="2:27" ht="16.5" customHeight="1">
      <c r="B4" s="480" t="s">
        <v>537</v>
      </c>
      <c r="C4" s="481" t="s">
        <v>77</v>
      </c>
      <c r="D4" s="480" t="s">
        <v>486</v>
      </c>
      <c r="E4" s="765"/>
      <c r="F4" s="765"/>
      <c r="G4" s="765"/>
      <c r="H4" s="765"/>
      <c r="I4" s="766"/>
      <c r="J4" s="766"/>
      <c r="K4" s="765"/>
      <c r="L4" s="767"/>
      <c r="M4" s="768">
        <f>SUBTOTAL(9,M5:M68)</f>
        <v>0</v>
      </c>
      <c r="N4" s="768">
        <f>SUBTOTAL(9,N5:N68)</f>
        <v>0</v>
      </c>
      <c r="O4" s="768">
        <f>SUBTOTAL(9,O5:O68)</f>
        <v>0</v>
      </c>
      <c r="P4" s="769" t="e">
        <f t="shared" ref="P4:P67" si="0">IF(O4="","",O4*10000/E$2)</f>
        <v>#DIV/0!</v>
      </c>
      <c r="Q4" s="770"/>
      <c r="AA4" s="632"/>
    </row>
    <row r="5" spans="2:27" ht="16.5" customHeight="1" outlineLevel="1" collapsed="1">
      <c r="B5" s="771" t="s">
        <v>487</v>
      </c>
      <c r="C5" s="712">
        <v>1</v>
      </c>
      <c r="D5" s="771" t="s">
        <v>650</v>
      </c>
      <c r="E5" s="712"/>
      <c r="F5" s="712"/>
      <c r="G5" s="712"/>
      <c r="H5" s="772"/>
      <c r="I5" s="713"/>
      <c r="J5" s="713"/>
      <c r="K5" s="772"/>
      <c r="L5" s="588"/>
      <c r="M5" s="773">
        <f>SUBTOTAL(9,M6:M35)</f>
        <v>0</v>
      </c>
      <c r="N5" s="773">
        <f>SUBTOTAL(9,N6:N35)</f>
        <v>0</v>
      </c>
      <c r="O5" s="773">
        <f>SUBTOTAL(9,O6:O35)</f>
        <v>0</v>
      </c>
      <c r="P5" s="774" t="e">
        <f t="shared" si="0"/>
        <v>#DIV/0!</v>
      </c>
      <c r="Q5" s="775"/>
      <c r="AA5" s="632"/>
    </row>
    <row r="6" spans="2:27" ht="16.5" hidden="1" customHeight="1" outlineLevel="2">
      <c r="B6" s="776" t="s">
        <v>651</v>
      </c>
      <c r="C6" s="777" t="s">
        <v>36</v>
      </c>
      <c r="D6" s="776" t="s">
        <v>1479</v>
      </c>
      <c r="E6" s="648"/>
      <c r="F6" s="307"/>
      <c r="G6" s="511"/>
      <c r="H6" s="511"/>
      <c r="I6" s="614"/>
      <c r="J6" s="614"/>
      <c r="K6" s="778"/>
      <c r="L6" s="569"/>
      <c r="M6" s="779">
        <f>SUBTOTAL(9,M7:M8)</f>
        <v>0</v>
      </c>
      <c r="N6" s="779">
        <f>SUBTOTAL(9,N7:N8)</f>
        <v>0</v>
      </c>
      <c r="O6" s="779">
        <f>SUBTOTAL(9,O7:O8)</f>
        <v>0</v>
      </c>
      <c r="P6" s="780" t="e">
        <f>IF(O6="","",O6*10000/E$2)</f>
        <v>#DIV/0!</v>
      </c>
      <c r="Q6" s="781"/>
      <c r="AA6" s="632"/>
    </row>
    <row r="7" spans="2:27" ht="16.5" hidden="1" customHeight="1" outlineLevel="3">
      <c r="B7" s="776" t="s">
        <v>652</v>
      </c>
      <c r="C7" s="782" t="s">
        <v>39</v>
      </c>
      <c r="D7" s="783" t="s">
        <v>1480</v>
      </c>
      <c r="E7" s="307" t="s">
        <v>1278</v>
      </c>
      <c r="F7" s="307" t="s">
        <v>9</v>
      </c>
      <c r="G7" s="784">
        <v>3.5</v>
      </c>
      <c r="H7" s="785" t="s">
        <v>103</v>
      </c>
      <c r="I7" s="614">
        <f>$G$2</f>
        <v>0</v>
      </c>
      <c r="J7" s="614">
        <v>50</v>
      </c>
      <c r="K7" s="778">
        <f>J7/(1+L7)</f>
        <v>45.045045045045043</v>
      </c>
      <c r="L7" s="569">
        <v>0.11</v>
      </c>
      <c r="M7" s="779">
        <f>G7*I7*K7/10000</f>
        <v>0</v>
      </c>
      <c r="N7" s="779">
        <f>L7*M7</f>
        <v>0</v>
      </c>
      <c r="O7" s="779">
        <f>M7+N7</f>
        <v>0</v>
      </c>
      <c r="P7" s="780" t="e">
        <f t="shared" si="0"/>
        <v>#DIV/0!</v>
      </c>
      <c r="Q7" s="781"/>
      <c r="AA7" s="632"/>
    </row>
    <row r="8" spans="2:27" ht="16.5" hidden="1" customHeight="1" outlineLevel="3">
      <c r="B8" s="776" t="s">
        <v>653</v>
      </c>
      <c r="C8" s="782" t="s">
        <v>39</v>
      </c>
      <c r="D8" s="783" t="s">
        <v>1481</v>
      </c>
      <c r="E8" s="648" t="s">
        <v>1228</v>
      </c>
      <c r="F8" s="307" t="s">
        <v>9</v>
      </c>
      <c r="G8" s="784">
        <v>1.5</v>
      </c>
      <c r="H8" s="785" t="s">
        <v>103</v>
      </c>
      <c r="I8" s="614">
        <f>$G$2</f>
        <v>0</v>
      </c>
      <c r="J8" s="614">
        <v>50</v>
      </c>
      <c r="K8" s="778">
        <f>J8/(1+L8)</f>
        <v>45.045045045045043</v>
      </c>
      <c r="L8" s="569">
        <v>0.11</v>
      </c>
      <c r="M8" s="779">
        <f>G8*I8*K8/10000</f>
        <v>0</v>
      </c>
      <c r="N8" s="779">
        <f>L8*M8</f>
        <v>0</v>
      </c>
      <c r="O8" s="779">
        <f>M8+N8</f>
        <v>0</v>
      </c>
      <c r="P8" s="780" t="e">
        <f t="shared" si="0"/>
        <v>#DIV/0!</v>
      </c>
      <c r="Q8" s="781">
        <f>G8*I8*J8/10000-O8</f>
        <v>0</v>
      </c>
      <c r="AA8" s="632"/>
    </row>
    <row r="9" spans="2:27" ht="16.5" hidden="1" customHeight="1" outlineLevel="2">
      <c r="B9" s="776" t="s">
        <v>655</v>
      </c>
      <c r="C9" s="777" t="s">
        <v>33</v>
      </c>
      <c r="D9" s="776" t="s">
        <v>656</v>
      </c>
      <c r="E9" s="307"/>
      <c r="F9" s="307"/>
      <c r="G9" s="511"/>
      <c r="H9" s="511"/>
      <c r="I9" s="614"/>
      <c r="J9" s="614"/>
      <c r="K9" s="786"/>
      <c r="L9" s="569"/>
      <c r="M9" s="779">
        <f>SUBTOTAL(9,M10:M35)</f>
        <v>0</v>
      </c>
      <c r="N9" s="779">
        <f>SUBTOTAL(9,N10:N35)</f>
        <v>0</v>
      </c>
      <c r="O9" s="779">
        <f>SUBTOTAL(9,O10:O35)</f>
        <v>0</v>
      </c>
      <c r="P9" s="780" t="e">
        <f t="shared" si="0"/>
        <v>#DIV/0!</v>
      </c>
      <c r="Q9" s="781"/>
      <c r="AA9" s="632"/>
    </row>
    <row r="10" spans="2:27" ht="16.5" hidden="1" customHeight="1" outlineLevel="3">
      <c r="B10" s="776" t="s">
        <v>1718</v>
      </c>
      <c r="C10" s="782" t="s">
        <v>39</v>
      </c>
      <c r="D10" s="776" t="s">
        <v>59</v>
      </c>
      <c r="E10" s="648"/>
      <c r="F10" s="648"/>
      <c r="G10" s="672"/>
      <c r="H10" s="787"/>
      <c r="I10" s="672"/>
      <c r="J10" s="672"/>
      <c r="K10" s="786"/>
      <c r="L10" s="569"/>
      <c r="M10" s="779">
        <f>SUBTOTAL(9,M11:M12)</f>
        <v>0</v>
      </c>
      <c r="N10" s="779">
        <f>SUBTOTAL(9,N11:N12)</f>
        <v>0</v>
      </c>
      <c r="O10" s="779">
        <f>SUBTOTAL(9,O11:O12)</f>
        <v>0</v>
      </c>
      <c r="P10" s="780" t="e">
        <f t="shared" si="0"/>
        <v>#DIV/0!</v>
      </c>
      <c r="Q10" s="781"/>
      <c r="AA10" s="632"/>
    </row>
    <row r="11" spans="2:27" ht="16.5" hidden="1" customHeight="1" outlineLevel="3">
      <c r="B11" s="776" t="s">
        <v>1720</v>
      </c>
      <c r="C11" s="782"/>
      <c r="D11" s="783" t="s">
        <v>1721</v>
      </c>
      <c r="E11" s="648" t="s">
        <v>1228</v>
      </c>
      <c r="F11" s="648" t="s">
        <v>657</v>
      </c>
      <c r="G11" s="672">
        <v>0</v>
      </c>
      <c r="H11" s="787" t="s">
        <v>103</v>
      </c>
      <c r="I11" s="672">
        <f>$E$2*(1+$F$2)</f>
        <v>0</v>
      </c>
      <c r="J11" s="672"/>
      <c r="K11" s="778">
        <f>J11/(1+L11)</f>
        <v>0</v>
      </c>
      <c r="L11" s="569">
        <v>0.11</v>
      </c>
      <c r="M11" s="779">
        <f>G11*I11*K11/10000</f>
        <v>0</v>
      </c>
      <c r="N11" s="779">
        <f>L11*M11</f>
        <v>0</v>
      </c>
      <c r="O11" s="779">
        <f>M11+N11</f>
        <v>0</v>
      </c>
      <c r="P11" s="780" t="e">
        <f t="shared" si="0"/>
        <v>#DIV/0!</v>
      </c>
      <c r="Q11" s="781">
        <f t="shared" ref="Q11:Q35" si="1">G11*I11*J11/10000-O11</f>
        <v>0</v>
      </c>
      <c r="AA11" s="632"/>
    </row>
    <row r="12" spans="2:27" ht="16.5" hidden="1" customHeight="1" outlineLevel="3">
      <c r="B12" s="776" t="s">
        <v>1722</v>
      </c>
      <c r="C12" s="782"/>
      <c r="D12" s="783" t="s">
        <v>1723</v>
      </c>
      <c r="E12" s="648" t="s">
        <v>1228</v>
      </c>
      <c r="F12" s="648" t="s">
        <v>657</v>
      </c>
      <c r="G12" s="672">
        <v>0.47</v>
      </c>
      <c r="H12" s="787" t="s">
        <v>103</v>
      </c>
      <c r="I12" s="672">
        <f t="shared" ref="I12:I17" si="2">$E$2*(1+$F$2)</f>
        <v>0</v>
      </c>
      <c r="J12" s="672">
        <v>700</v>
      </c>
      <c r="K12" s="778">
        <f>J12/(1+L12)</f>
        <v>630.63063063063055</v>
      </c>
      <c r="L12" s="569">
        <v>0.11</v>
      </c>
      <c r="M12" s="779">
        <f>G12*I12*K12/10000</f>
        <v>0</v>
      </c>
      <c r="N12" s="779">
        <f>L12*M12</f>
        <v>0</v>
      </c>
      <c r="O12" s="779">
        <f>M12+N12</f>
        <v>0</v>
      </c>
      <c r="P12" s="780" t="e">
        <f t="shared" si="0"/>
        <v>#DIV/0!</v>
      </c>
      <c r="Q12" s="781">
        <f t="shared" si="1"/>
        <v>0</v>
      </c>
      <c r="AA12" s="632"/>
    </row>
    <row r="13" spans="2:27" ht="16.5" hidden="1" customHeight="1" outlineLevel="3">
      <c r="B13" s="776" t="s">
        <v>1482</v>
      </c>
      <c r="C13" s="782" t="s">
        <v>39</v>
      </c>
      <c r="D13" s="776" t="s">
        <v>658</v>
      </c>
      <c r="E13" s="648"/>
      <c r="F13" s="648"/>
      <c r="G13" s="672"/>
      <c r="H13" s="787"/>
      <c r="I13" s="672"/>
      <c r="J13" s="672"/>
      <c r="K13" s="786"/>
      <c r="L13" s="569"/>
      <c r="M13" s="779">
        <f>SUBTOTAL(9,M14:M15)</f>
        <v>0</v>
      </c>
      <c r="N13" s="779">
        <f>SUBTOTAL(9,N14:N15)</f>
        <v>0</v>
      </c>
      <c r="O13" s="779">
        <f>SUBTOTAL(9,O14:O15)</f>
        <v>0</v>
      </c>
      <c r="P13" s="780" t="e">
        <f t="shared" si="0"/>
        <v>#DIV/0!</v>
      </c>
      <c r="Q13" s="781"/>
      <c r="AA13" s="632"/>
    </row>
    <row r="14" spans="2:27" ht="16.5" hidden="1" customHeight="1" outlineLevel="3">
      <c r="B14" s="776" t="s">
        <v>1725</v>
      </c>
      <c r="C14" s="782"/>
      <c r="D14" s="776" t="s">
        <v>1726</v>
      </c>
      <c r="E14" s="648" t="s">
        <v>1228</v>
      </c>
      <c r="F14" s="648" t="s">
        <v>657</v>
      </c>
      <c r="G14" s="672">
        <v>0</v>
      </c>
      <c r="H14" s="787" t="s">
        <v>104</v>
      </c>
      <c r="I14" s="672">
        <f t="shared" si="2"/>
        <v>0</v>
      </c>
      <c r="J14" s="672"/>
      <c r="K14" s="778">
        <f>J14/(1+L14)</f>
        <v>0</v>
      </c>
      <c r="L14" s="569">
        <v>0.11</v>
      </c>
      <c r="M14" s="779">
        <f>G14*I14*K14/10000</f>
        <v>0</v>
      </c>
      <c r="N14" s="779">
        <f>L14*M14</f>
        <v>0</v>
      </c>
      <c r="O14" s="779">
        <f>M14+N14</f>
        <v>0</v>
      </c>
      <c r="P14" s="780" t="e">
        <f t="shared" si="0"/>
        <v>#DIV/0!</v>
      </c>
      <c r="Q14" s="781">
        <f t="shared" si="1"/>
        <v>0</v>
      </c>
      <c r="AA14" s="632"/>
    </row>
    <row r="15" spans="2:27" ht="16.5" hidden="1" customHeight="1" outlineLevel="3">
      <c r="B15" s="776" t="s">
        <v>1483</v>
      </c>
      <c r="C15" s="782"/>
      <c r="D15" s="776" t="s">
        <v>1727</v>
      </c>
      <c r="E15" s="648" t="s">
        <v>1228</v>
      </c>
      <c r="F15" s="648" t="s">
        <v>657</v>
      </c>
      <c r="G15" s="672">
        <v>49</v>
      </c>
      <c r="H15" s="787" t="s">
        <v>104</v>
      </c>
      <c r="I15" s="672">
        <f t="shared" si="2"/>
        <v>0</v>
      </c>
      <c r="J15" s="672">
        <v>7.5</v>
      </c>
      <c r="K15" s="778">
        <f>J15/(1+L15)</f>
        <v>6.7567567567567561</v>
      </c>
      <c r="L15" s="569">
        <v>0.11</v>
      </c>
      <c r="M15" s="779">
        <f>G15*I15*K15/10000</f>
        <v>0</v>
      </c>
      <c r="N15" s="779">
        <f t="shared" ref="N15:N35" si="3">L15*M15</f>
        <v>0</v>
      </c>
      <c r="O15" s="779">
        <f>M15+N15</f>
        <v>0</v>
      </c>
      <c r="P15" s="780" t="e">
        <f t="shared" si="0"/>
        <v>#DIV/0!</v>
      </c>
      <c r="Q15" s="781">
        <f t="shared" si="1"/>
        <v>0</v>
      </c>
      <c r="AA15" s="632"/>
    </row>
    <row r="16" spans="2:27" ht="16.5" hidden="1" customHeight="1" outlineLevel="3">
      <c r="B16" s="776" t="s">
        <v>1728</v>
      </c>
      <c r="C16" s="782" t="s">
        <v>39</v>
      </c>
      <c r="D16" s="776" t="s">
        <v>659</v>
      </c>
      <c r="E16" s="648" t="s">
        <v>1228</v>
      </c>
      <c r="F16" s="648" t="s">
        <v>657</v>
      </c>
      <c r="G16" s="672">
        <v>3.3</v>
      </c>
      <c r="H16" s="787" t="s">
        <v>101</v>
      </c>
      <c r="I16" s="672">
        <f>$E$2*(1+$F$2)</f>
        <v>0</v>
      </c>
      <c r="J16" s="672">
        <v>65</v>
      </c>
      <c r="K16" s="778">
        <f>J16/(1+L16)</f>
        <v>58.558558558558552</v>
      </c>
      <c r="L16" s="569">
        <v>0.11</v>
      </c>
      <c r="M16" s="779">
        <f>G16*I16*K16/10000</f>
        <v>0</v>
      </c>
      <c r="N16" s="779">
        <f t="shared" si="3"/>
        <v>0</v>
      </c>
      <c r="O16" s="779">
        <f t="shared" ref="O16:O35" si="4">M16+N16</f>
        <v>0</v>
      </c>
      <c r="P16" s="780" t="e">
        <f t="shared" si="0"/>
        <v>#DIV/0!</v>
      </c>
      <c r="Q16" s="781">
        <f t="shared" si="1"/>
        <v>0</v>
      </c>
      <c r="AA16" s="632"/>
    </row>
    <row r="17" spans="2:27" ht="16.5" hidden="1" customHeight="1" outlineLevel="3">
      <c r="B17" s="776" t="s">
        <v>1484</v>
      </c>
      <c r="C17" s="782" t="s">
        <v>39</v>
      </c>
      <c r="D17" s="776" t="s">
        <v>1729</v>
      </c>
      <c r="E17" s="648" t="s">
        <v>1228</v>
      </c>
      <c r="F17" s="648" t="s">
        <v>657</v>
      </c>
      <c r="G17" s="672">
        <v>0.28999999999999998</v>
      </c>
      <c r="H17" s="787" t="s">
        <v>103</v>
      </c>
      <c r="I17" s="672">
        <f t="shared" si="2"/>
        <v>0</v>
      </c>
      <c r="J17" s="672">
        <v>550</v>
      </c>
      <c r="K17" s="778">
        <f>J17/(1+L17)</f>
        <v>495.49549549549545</v>
      </c>
      <c r="L17" s="788">
        <v>0.11</v>
      </c>
      <c r="M17" s="779">
        <f>G17*I17*K17/10000</f>
        <v>0</v>
      </c>
      <c r="N17" s="779">
        <f t="shared" si="3"/>
        <v>0</v>
      </c>
      <c r="O17" s="779">
        <f t="shared" si="4"/>
        <v>0</v>
      </c>
      <c r="P17" s="780" t="e">
        <f t="shared" si="0"/>
        <v>#DIV/0!</v>
      </c>
      <c r="Q17" s="781">
        <f t="shared" si="1"/>
        <v>0</v>
      </c>
      <c r="AA17" s="632"/>
    </row>
    <row r="18" spans="2:27" ht="16.5" hidden="1" customHeight="1" outlineLevel="3">
      <c r="B18" s="776" t="s">
        <v>1485</v>
      </c>
      <c r="C18" s="782" t="s">
        <v>39</v>
      </c>
      <c r="D18" s="776" t="s">
        <v>386</v>
      </c>
      <c r="E18" s="648" t="s">
        <v>1228</v>
      </c>
      <c r="F18" s="648" t="s">
        <v>657</v>
      </c>
      <c r="G18" s="789">
        <v>3</v>
      </c>
      <c r="H18" s="790" t="s">
        <v>1730</v>
      </c>
      <c r="I18" s="672">
        <f>$E$2*(1+$F$2)</f>
        <v>0</v>
      </c>
      <c r="J18" s="672">
        <v>45</v>
      </c>
      <c r="K18" s="778">
        <f>J18/(1+L18)</f>
        <v>40.54054054054054</v>
      </c>
      <c r="L18" s="569">
        <v>0.11</v>
      </c>
      <c r="M18" s="779">
        <f>G18*I18*K18/10000</f>
        <v>0</v>
      </c>
      <c r="N18" s="779">
        <f t="shared" si="3"/>
        <v>0</v>
      </c>
      <c r="O18" s="779">
        <f t="shared" si="4"/>
        <v>0</v>
      </c>
      <c r="P18" s="780" t="e">
        <f t="shared" si="0"/>
        <v>#DIV/0!</v>
      </c>
      <c r="Q18" s="781">
        <f t="shared" si="1"/>
        <v>0</v>
      </c>
      <c r="AA18" s="632"/>
    </row>
    <row r="19" spans="2:27" ht="16.5" hidden="1" customHeight="1" outlineLevel="3">
      <c r="B19" s="776" t="s">
        <v>1486</v>
      </c>
      <c r="C19" s="782" t="s">
        <v>39</v>
      </c>
      <c r="D19" s="776" t="s">
        <v>19</v>
      </c>
      <c r="E19" s="665"/>
      <c r="F19" s="665"/>
      <c r="G19" s="789"/>
      <c r="H19" s="790"/>
      <c r="I19" s="791"/>
      <c r="J19" s="791"/>
      <c r="K19" s="791"/>
      <c r="L19" s="788"/>
      <c r="M19" s="779">
        <f>SUBTOTAL(9,M20:M21)</f>
        <v>0</v>
      </c>
      <c r="N19" s="779">
        <f>SUBTOTAL(9,N20:N21)</f>
        <v>0</v>
      </c>
      <c r="O19" s="779">
        <f>SUBTOTAL(9,O20:O21)</f>
        <v>0</v>
      </c>
      <c r="P19" s="780" t="e">
        <f t="shared" si="0"/>
        <v>#DIV/0!</v>
      </c>
      <c r="Q19" s="781"/>
      <c r="AA19" s="632"/>
    </row>
    <row r="20" spans="2:27" ht="16.5" hidden="1" customHeight="1" outlineLevel="3">
      <c r="B20" s="776" t="s">
        <v>1732</v>
      </c>
      <c r="C20" s="782"/>
      <c r="D20" s="783" t="s">
        <v>1487</v>
      </c>
      <c r="E20" s="648" t="s">
        <v>1488</v>
      </c>
      <c r="F20" s="648" t="s">
        <v>657</v>
      </c>
      <c r="G20" s="672">
        <v>0.89</v>
      </c>
      <c r="H20" s="787" t="s">
        <v>101</v>
      </c>
      <c r="I20" s="672">
        <f t="shared" ref="I20:I29" si="5">$E$2*(1+$F$2)</f>
        <v>0</v>
      </c>
      <c r="J20" s="672">
        <v>45.5035862018402</v>
      </c>
      <c r="K20" s="778">
        <f>J20/(1+L20)</f>
        <v>38.891954018666837</v>
      </c>
      <c r="L20" s="569">
        <v>0.17</v>
      </c>
      <c r="M20" s="779">
        <f>G20*I20*K20/10000</f>
        <v>0</v>
      </c>
      <c r="N20" s="779">
        <f t="shared" si="3"/>
        <v>0</v>
      </c>
      <c r="O20" s="779">
        <f t="shared" si="4"/>
        <v>0</v>
      </c>
      <c r="P20" s="780" t="e">
        <f t="shared" si="0"/>
        <v>#DIV/0!</v>
      </c>
      <c r="Q20" s="781">
        <f t="shared" si="1"/>
        <v>0</v>
      </c>
      <c r="AA20" s="632"/>
    </row>
    <row r="21" spans="2:27" ht="16.5" hidden="1" customHeight="1" outlineLevel="3">
      <c r="B21" s="776" t="s">
        <v>1489</v>
      </c>
      <c r="C21" s="782"/>
      <c r="D21" s="783" t="s">
        <v>1734</v>
      </c>
      <c r="E21" s="648" t="s">
        <v>1228</v>
      </c>
      <c r="F21" s="648" t="s">
        <v>657</v>
      </c>
      <c r="G21" s="672">
        <v>0.89</v>
      </c>
      <c r="H21" s="787" t="s">
        <v>101</v>
      </c>
      <c r="I21" s="672">
        <f t="shared" si="5"/>
        <v>0</v>
      </c>
      <c r="J21" s="672">
        <v>30</v>
      </c>
      <c r="K21" s="778">
        <f>J21/(1+L21)</f>
        <v>27.027027027027025</v>
      </c>
      <c r="L21" s="569">
        <v>0.11</v>
      </c>
      <c r="M21" s="779">
        <f>G21*I21*K21/10000</f>
        <v>0</v>
      </c>
      <c r="N21" s="779">
        <f t="shared" si="3"/>
        <v>0</v>
      </c>
      <c r="O21" s="779">
        <f t="shared" si="4"/>
        <v>0</v>
      </c>
      <c r="P21" s="780" t="e">
        <f t="shared" si="0"/>
        <v>#DIV/0!</v>
      </c>
      <c r="Q21" s="781">
        <f t="shared" si="1"/>
        <v>0</v>
      </c>
      <c r="AA21" s="632"/>
    </row>
    <row r="22" spans="2:27" ht="16.5" hidden="1" customHeight="1" outlineLevel="3">
      <c r="B22" s="776" t="s">
        <v>1735</v>
      </c>
      <c r="C22" s="782" t="s">
        <v>39</v>
      </c>
      <c r="D22" s="776" t="s">
        <v>1736</v>
      </c>
      <c r="E22" s="648"/>
      <c r="F22" s="648"/>
      <c r="G22" s="789"/>
      <c r="H22" s="790"/>
      <c r="I22" s="672"/>
      <c r="J22" s="672"/>
      <c r="K22" s="791"/>
      <c r="L22" s="788"/>
      <c r="M22" s="779">
        <f>SUBTOTAL(9,M23:M26)</f>
        <v>0</v>
      </c>
      <c r="N22" s="779">
        <f>SUBTOTAL(9,N23:N26)</f>
        <v>0</v>
      </c>
      <c r="O22" s="779">
        <f>SUBTOTAL(9,O23:O26)</f>
        <v>0</v>
      </c>
      <c r="P22" s="780" t="e">
        <f t="shared" si="0"/>
        <v>#DIV/0!</v>
      </c>
      <c r="Q22" s="781"/>
      <c r="AA22" s="632"/>
    </row>
    <row r="23" spans="2:27" ht="16.5" hidden="1" customHeight="1" outlineLevel="3">
      <c r="B23" s="776" t="s">
        <v>1737</v>
      </c>
      <c r="C23" s="782"/>
      <c r="D23" s="783" t="s">
        <v>1738</v>
      </c>
      <c r="E23" s="648" t="s">
        <v>1228</v>
      </c>
      <c r="F23" s="648" t="s">
        <v>657</v>
      </c>
      <c r="G23" s="789">
        <v>1</v>
      </c>
      <c r="H23" s="790" t="s">
        <v>101</v>
      </c>
      <c r="I23" s="672">
        <f t="shared" si="5"/>
        <v>0</v>
      </c>
      <c r="J23" s="672"/>
      <c r="K23" s="778">
        <f>J23/(1+L23)</f>
        <v>0</v>
      </c>
      <c r="L23" s="569">
        <v>0.11</v>
      </c>
      <c r="M23" s="779">
        <f>G23*I23*K23/10000</f>
        <v>0</v>
      </c>
      <c r="N23" s="779">
        <f t="shared" si="3"/>
        <v>0</v>
      </c>
      <c r="O23" s="779">
        <f t="shared" si="4"/>
        <v>0</v>
      </c>
      <c r="P23" s="780" t="e">
        <f t="shared" si="0"/>
        <v>#DIV/0!</v>
      </c>
      <c r="Q23" s="781">
        <f t="shared" si="1"/>
        <v>0</v>
      </c>
      <c r="AA23" s="632"/>
    </row>
    <row r="24" spans="2:27" ht="16.5" hidden="1" customHeight="1" outlineLevel="3">
      <c r="B24" s="776" t="s">
        <v>1490</v>
      </c>
      <c r="C24" s="782"/>
      <c r="D24" s="783" t="s">
        <v>1739</v>
      </c>
      <c r="E24" s="648" t="s">
        <v>1228</v>
      </c>
      <c r="F24" s="648" t="s">
        <v>657</v>
      </c>
      <c r="G24" s="789">
        <v>1</v>
      </c>
      <c r="H24" s="790" t="s">
        <v>101</v>
      </c>
      <c r="I24" s="672">
        <f t="shared" si="5"/>
        <v>0</v>
      </c>
      <c r="J24" s="672"/>
      <c r="K24" s="778">
        <f>J24/(1+L24)</f>
        <v>0</v>
      </c>
      <c r="L24" s="569">
        <v>0.11</v>
      </c>
      <c r="M24" s="779">
        <f>G24*I24*K24/10000</f>
        <v>0</v>
      </c>
      <c r="N24" s="779">
        <f t="shared" si="3"/>
        <v>0</v>
      </c>
      <c r="O24" s="779">
        <f t="shared" si="4"/>
        <v>0</v>
      </c>
      <c r="P24" s="780" t="e">
        <f t="shared" si="0"/>
        <v>#DIV/0!</v>
      </c>
      <c r="Q24" s="781">
        <f t="shared" si="1"/>
        <v>0</v>
      </c>
      <c r="AA24" s="632"/>
    </row>
    <row r="25" spans="2:27" ht="16.5" hidden="1" customHeight="1" outlineLevel="3">
      <c r="B25" s="776" t="s">
        <v>1491</v>
      </c>
      <c r="C25" s="782"/>
      <c r="D25" s="783" t="s">
        <v>1740</v>
      </c>
      <c r="E25" s="648" t="s">
        <v>1228</v>
      </c>
      <c r="F25" s="648" t="s">
        <v>657</v>
      </c>
      <c r="G25" s="789">
        <v>1</v>
      </c>
      <c r="H25" s="790" t="s">
        <v>101</v>
      </c>
      <c r="I25" s="672">
        <f t="shared" si="5"/>
        <v>0</v>
      </c>
      <c r="J25" s="672">
        <v>780</v>
      </c>
      <c r="K25" s="778">
        <f>J25/(1+L25)</f>
        <v>702.7027027027026</v>
      </c>
      <c r="L25" s="569">
        <v>0.11</v>
      </c>
      <c r="M25" s="779">
        <f>G25*I25*K25/10000</f>
        <v>0</v>
      </c>
      <c r="N25" s="779">
        <f t="shared" si="3"/>
        <v>0</v>
      </c>
      <c r="O25" s="779">
        <f t="shared" si="4"/>
        <v>0</v>
      </c>
      <c r="P25" s="780" t="e">
        <f t="shared" si="0"/>
        <v>#DIV/0!</v>
      </c>
      <c r="Q25" s="781">
        <f t="shared" si="1"/>
        <v>0</v>
      </c>
      <c r="AA25" s="632"/>
    </row>
    <row r="26" spans="2:27" ht="16.5" hidden="1" customHeight="1" outlineLevel="3">
      <c r="B26" s="776" t="s">
        <v>1492</v>
      </c>
      <c r="C26" s="782"/>
      <c r="D26" s="783" t="s">
        <v>1741</v>
      </c>
      <c r="E26" s="648" t="s">
        <v>1228</v>
      </c>
      <c r="F26" s="648" t="s">
        <v>657</v>
      </c>
      <c r="G26" s="789">
        <v>1</v>
      </c>
      <c r="H26" s="790" t="s">
        <v>101</v>
      </c>
      <c r="I26" s="672">
        <f t="shared" si="5"/>
        <v>0</v>
      </c>
      <c r="J26" s="672">
        <v>25</v>
      </c>
      <c r="K26" s="778">
        <f>J26/(1+L26)</f>
        <v>22.522522522522522</v>
      </c>
      <c r="L26" s="569">
        <v>0.11</v>
      </c>
      <c r="M26" s="779">
        <f>G26*I26*K26/10000</f>
        <v>0</v>
      </c>
      <c r="N26" s="779">
        <f t="shared" si="3"/>
        <v>0</v>
      </c>
      <c r="O26" s="779">
        <f t="shared" si="4"/>
        <v>0</v>
      </c>
      <c r="P26" s="780" t="e">
        <f t="shared" si="0"/>
        <v>#DIV/0!</v>
      </c>
      <c r="Q26" s="781">
        <f t="shared" si="1"/>
        <v>0</v>
      </c>
      <c r="AA26" s="632"/>
    </row>
    <row r="27" spans="2:27" ht="16.5" hidden="1" customHeight="1" outlineLevel="3">
      <c r="B27" s="776" t="s">
        <v>1742</v>
      </c>
      <c r="C27" s="782" t="s">
        <v>39</v>
      </c>
      <c r="D27" s="776" t="s">
        <v>1743</v>
      </c>
      <c r="E27" s="665"/>
      <c r="F27" s="665"/>
      <c r="G27" s="789"/>
      <c r="H27" s="790"/>
      <c r="I27" s="672"/>
      <c r="J27" s="672"/>
      <c r="K27" s="791"/>
      <c r="L27" s="788"/>
      <c r="M27" s="779">
        <f>SUBTOTAL(9,M28:M30)</f>
        <v>0</v>
      </c>
      <c r="N27" s="779">
        <f>SUBTOTAL(9,N28:N30)</f>
        <v>0</v>
      </c>
      <c r="O27" s="779">
        <f>SUBTOTAL(9,O28:O30)</f>
        <v>0</v>
      </c>
      <c r="P27" s="780" t="e">
        <f t="shared" si="0"/>
        <v>#DIV/0!</v>
      </c>
      <c r="Q27" s="781"/>
      <c r="AA27" s="632"/>
    </row>
    <row r="28" spans="2:27" ht="16.5" hidden="1" customHeight="1" outlineLevel="3">
      <c r="B28" s="776" t="s">
        <v>1744</v>
      </c>
      <c r="C28" s="782"/>
      <c r="D28" s="783" t="s">
        <v>1745</v>
      </c>
      <c r="E28" s="648" t="s">
        <v>1493</v>
      </c>
      <c r="F28" s="648" t="s">
        <v>657</v>
      </c>
      <c r="G28" s="672"/>
      <c r="H28" s="790" t="s">
        <v>101</v>
      </c>
      <c r="I28" s="672">
        <f t="shared" si="5"/>
        <v>0</v>
      </c>
      <c r="J28" s="672">
        <v>0</v>
      </c>
      <c r="K28" s="778">
        <f t="shared" ref="K28:K34" si="6">J28/(1+L28)</f>
        <v>0</v>
      </c>
      <c r="L28" s="569">
        <v>0.11</v>
      </c>
      <c r="M28" s="779">
        <f t="shared" ref="M28:M35" si="7">G28*I28*K28/10000</f>
        <v>0</v>
      </c>
      <c r="N28" s="779">
        <f t="shared" si="3"/>
        <v>0</v>
      </c>
      <c r="O28" s="779">
        <f t="shared" si="4"/>
        <v>0</v>
      </c>
      <c r="P28" s="780" t="e">
        <f t="shared" si="0"/>
        <v>#DIV/0!</v>
      </c>
      <c r="Q28" s="781">
        <f t="shared" si="1"/>
        <v>0</v>
      </c>
      <c r="AA28" s="632"/>
    </row>
    <row r="29" spans="2:27" ht="16.5" hidden="1" customHeight="1" outlineLevel="3">
      <c r="B29" s="776" t="s">
        <v>1494</v>
      </c>
      <c r="C29" s="782"/>
      <c r="D29" s="783" t="s">
        <v>1746</v>
      </c>
      <c r="E29" s="648" t="s">
        <v>1493</v>
      </c>
      <c r="F29" s="648" t="s">
        <v>657</v>
      </c>
      <c r="G29" s="672">
        <v>1.35</v>
      </c>
      <c r="H29" s="790" t="s">
        <v>101</v>
      </c>
      <c r="I29" s="672">
        <f t="shared" si="5"/>
        <v>0</v>
      </c>
      <c r="J29" s="672">
        <v>100</v>
      </c>
      <c r="K29" s="778">
        <f t="shared" si="6"/>
        <v>90.090090090090087</v>
      </c>
      <c r="L29" s="569">
        <v>0.11</v>
      </c>
      <c r="M29" s="779">
        <f t="shared" si="7"/>
        <v>0</v>
      </c>
      <c r="N29" s="779">
        <f t="shared" si="3"/>
        <v>0</v>
      </c>
      <c r="O29" s="779">
        <f t="shared" si="4"/>
        <v>0</v>
      </c>
      <c r="P29" s="780" t="e">
        <f t="shared" si="0"/>
        <v>#DIV/0!</v>
      </c>
      <c r="Q29" s="781">
        <f t="shared" si="1"/>
        <v>0</v>
      </c>
      <c r="AA29" s="632"/>
    </row>
    <row r="30" spans="2:27" ht="16.5" hidden="1" customHeight="1" outlineLevel="3">
      <c r="B30" s="776" t="s">
        <v>1495</v>
      </c>
      <c r="C30" s="782"/>
      <c r="D30" s="783" t="s">
        <v>1747</v>
      </c>
      <c r="E30" s="648" t="s">
        <v>1228</v>
      </c>
      <c r="F30" s="648" t="s">
        <v>1605</v>
      </c>
      <c r="G30" s="672">
        <v>1</v>
      </c>
      <c r="H30" s="790" t="s">
        <v>111</v>
      </c>
      <c r="I30" s="672">
        <f>$G$2</f>
        <v>0</v>
      </c>
      <c r="J30" s="672">
        <v>90</v>
      </c>
      <c r="K30" s="778">
        <f t="shared" si="6"/>
        <v>81.081081081081081</v>
      </c>
      <c r="L30" s="569">
        <v>0.11</v>
      </c>
      <c r="M30" s="779">
        <f t="shared" si="7"/>
        <v>0</v>
      </c>
      <c r="N30" s="779">
        <f t="shared" si="3"/>
        <v>0</v>
      </c>
      <c r="O30" s="779">
        <f t="shared" si="4"/>
        <v>0</v>
      </c>
      <c r="P30" s="780" t="e">
        <f t="shared" si="0"/>
        <v>#DIV/0!</v>
      </c>
      <c r="Q30" s="781">
        <f t="shared" si="1"/>
        <v>0</v>
      </c>
      <c r="AA30" s="632"/>
    </row>
    <row r="31" spans="2:27" ht="16.5" hidden="1" customHeight="1" outlineLevel="3">
      <c r="B31" s="776" t="s">
        <v>1749</v>
      </c>
      <c r="C31" s="782" t="s">
        <v>39</v>
      </c>
      <c r="D31" s="776" t="s">
        <v>1750</v>
      </c>
      <c r="E31" s="648" t="s">
        <v>1496</v>
      </c>
      <c r="F31" s="648" t="s">
        <v>657</v>
      </c>
      <c r="G31" s="672">
        <v>1</v>
      </c>
      <c r="H31" s="787" t="s">
        <v>111</v>
      </c>
      <c r="I31" s="672">
        <f>$E$2*(1+$F$2)</f>
        <v>0</v>
      </c>
      <c r="J31" s="672">
        <v>0</v>
      </c>
      <c r="K31" s="778">
        <f t="shared" si="6"/>
        <v>0</v>
      </c>
      <c r="L31" s="569">
        <v>0.17</v>
      </c>
      <c r="M31" s="779">
        <f t="shared" si="7"/>
        <v>0</v>
      </c>
      <c r="N31" s="779">
        <f t="shared" si="3"/>
        <v>0</v>
      </c>
      <c r="O31" s="779">
        <f t="shared" si="4"/>
        <v>0</v>
      </c>
      <c r="P31" s="780" t="e">
        <f t="shared" si="0"/>
        <v>#DIV/0!</v>
      </c>
      <c r="Q31" s="781">
        <f t="shared" si="1"/>
        <v>0</v>
      </c>
      <c r="AA31" s="632"/>
    </row>
    <row r="32" spans="2:27" ht="24.75" hidden="1" customHeight="1" outlineLevel="3">
      <c r="B32" s="776" t="s">
        <v>1751</v>
      </c>
      <c r="C32" s="782" t="s">
        <v>39</v>
      </c>
      <c r="D32" s="776" t="s">
        <v>1752</v>
      </c>
      <c r="E32" s="648" t="s">
        <v>1606</v>
      </c>
      <c r="F32" s="648" t="s">
        <v>657</v>
      </c>
      <c r="G32" s="672">
        <v>1</v>
      </c>
      <c r="H32" s="790" t="s">
        <v>111</v>
      </c>
      <c r="I32" s="672">
        <f>$E$2*(1+$F$2)</f>
        <v>0</v>
      </c>
      <c r="J32" s="672"/>
      <c r="K32" s="778">
        <f t="shared" si="6"/>
        <v>0</v>
      </c>
      <c r="L32" s="569">
        <v>0.17</v>
      </c>
      <c r="M32" s="779">
        <f t="shared" si="7"/>
        <v>0</v>
      </c>
      <c r="N32" s="779">
        <f t="shared" si="3"/>
        <v>0</v>
      </c>
      <c r="O32" s="779">
        <f t="shared" si="4"/>
        <v>0</v>
      </c>
      <c r="P32" s="780" t="e">
        <f t="shared" si="0"/>
        <v>#DIV/0!</v>
      </c>
      <c r="Q32" s="781" t="s">
        <v>1754</v>
      </c>
      <c r="AA32" s="632"/>
    </row>
    <row r="33" spans="2:27" ht="16.5" hidden="1" customHeight="1" outlineLevel="3">
      <c r="B33" s="776" t="s">
        <v>1755</v>
      </c>
      <c r="C33" s="782" t="s">
        <v>39</v>
      </c>
      <c r="D33" s="776" t="s">
        <v>1756</v>
      </c>
      <c r="E33" s="648" t="s">
        <v>1228</v>
      </c>
      <c r="F33" s="648" t="s">
        <v>657</v>
      </c>
      <c r="G33" s="672">
        <v>1</v>
      </c>
      <c r="H33" s="790" t="s">
        <v>111</v>
      </c>
      <c r="I33" s="672">
        <f>$E$2*(1+$F$2)</f>
        <v>0</v>
      </c>
      <c r="J33" s="672">
        <v>10</v>
      </c>
      <c r="K33" s="778">
        <f t="shared" si="6"/>
        <v>9.0090090090090076</v>
      </c>
      <c r="L33" s="569">
        <v>0.11</v>
      </c>
      <c r="M33" s="779">
        <f t="shared" si="7"/>
        <v>0</v>
      </c>
      <c r="N33" s="779">
        <f t="shared" si="3"/>
        <v>0</v>
      </c>
      <c r="O33" s="779">
        <f t="shared" si="4"/>
        <v>0</v>
      </c>
      <c r="P33" s="780" t="e">
        <f t="shared" si="0"/>
        <v>#DIV/0!</v>
      </c>
      <c r="Q33" s="781">
        <f t="shared" si="1"/>
        <v>0</v>
      </c>
      <c r="AA33" s="632"/>
    </row>
    <row r="34" spans="2:27" ht="16.5" hidden="1" customHeight="1" outlineLevel="3">
      <c r="B34" s="776" t="s">
        <v>1757</v>
      </c>
      <c r="C34" s="782" t="s">
        <v>39</v>
      </c>
      <c r="D34" s="776" t="s">
        <v>1758</v>
      </c>
      <c r="E34" s="648" t="s">
        <v>1228</v>
      </c>
      <c r="F34" s="648" t="s">
        <v>657</v>
      </c>
      <c r="G34" s="672">
        <v>1</v>
      </c>
      <c r="H34" s="790" t="s">
        <v>111</v>
      </c>
      <c r="I34" s="672">
        <f>$E$2*(1+$F$2)</f>
        <v>0</v>
      </c>
      <c r="J34" s="672">
        <v>20</v>
      </c>
      <c r="K34" s="778">
        <f t="shared" si="6"/>
        <v>18.018018018018015</v>
      </c>
      <c r="L34" s="569">
        <v>0.11</v>
      </c>
      <c r="M34" s="779">
        <f t="shared" si="7"/>
        <v>0</v>
      </c>
      <c r="N34" s="779">
        <f t="shared" si="3"/>
        <v>0</v>
      </c>
      <c r="O34" s="779">
        <f t="shared" si="4"/>
        <v>0</v>
      </c>
      <c r="P34" s="780" t="e">
        <f t="shared" si="0"/>
        <v>#DIV/0!</v>
      </c>
      <c r="Q34" s="781">
        <f t="shared" si="1"/>
        <v>0</v>
      </c>
      <c r="AA34" s="632"/>
    </row>
    <row r="35" spans="2:27" ht="16.5" hidden="1" customHeight="1" outlineLevel="3">
      <c r="B35" s="776" t="s">
        <v>1497</v>
      </c>
      <c r="C35" s="782" t="s">
        <v>39</v>
      </c>
      <c r="D35" s="776" t="s">
        <v>1759</v>
      </c>
      <c r="E35" s="648" t="s">
        <v>1228</v>
      </c>
      <c r="F35" s="648" t="s">
        <v>657</v>
      </c>
      <c r="G35" s="672">
        <v>1</v>
      </c>
      <c r="H35" s="790" t="s">
        <v>111</v>
      </c>
      <c r="I35" s="672">
        <f>$E$2*(1+$F$2)</f>
        <v>0</v>
      </c>
      <c r="J35" s="672"/>
      <c r="K35" s="672"/>
      <c r="L35" s="569">
        <v>0.11</v>
      </c>
      <c r="M35" s="779">
        <f t="shared" si="7"/>
        <v>0</v>
      </c>
      <c r="N35" s="779">
        <f t="shared" si="3"/>
        <v>0</v>
      </c>
      <c r="O35" s="779">
        <f t="shared" si="4"/>
        <v>0</v>
      </c>
      <c r="P35" s="780" t="e">
        <f t="shared" si="0"/>
        <v>#DIV/0!</v>
      </c>
      <c r="Q35" s="781">
        <f t="shared" si="1"/>
        <v>0</v>
      </c>
      <c r="AA35" s="632"/>
    </row>
    <row r="36" spans="2:27" ht="16.5" customHeight="1" outlineLevel="1">
      <c r="B36" s="771" t="s">
        <v>490</v>
      </c>
      <c r="C36" s="712">
        <v>2</v>
      </c>
      <c r="D36" s="771" t="s">
        <v>491</v>
      </c>
      <c r="E36" s="712"/>
      <c r="F36" s="712"/>
      <c r="G36" s="712"/>
      <c r="H36" s="772"/>
      <c r="I36" s="713"/>
      <c r="J36" s="713"/>
      <c r="K36" s="772"/>
      <c r="L36" s="588"/>
      <c r="M36" s="773">
        <f>SUBTOTAL(9,M37:M68)</f>
        <v>0</v>
      </c>
      <c r="N36" s="773">
        <f>SUBTOTAL(9,N37:N68)</f>
        <v>0</v>
      </c>
      <c r="O36" s="773">
        <f>SUBTOTAL(9,O37:O68)</f>
        <v>0</v>
      </c>
      <c r="P36" s="774" t="e">
        <f t="shared" si="0"/>
        <v>#DIV/0!</v>
      </c>
      <c r="Q36" s="793"/>
      <c r="AA36" s="632"/>
    </row>
    <row r="37" spans="2:27" ht="16.5" customHeight="1" outlineLevel="2">
      <c r="B37" s="776" t="s">
        <v>661</v>
      </c>
      <c r="C37" s="777" t="s">
        <v>36</v>
      </c>
      <c r="D37" s="776" t="s">
        <v>1762</v>
      </c>
      <c r="E37" s="665"/>
      <c r="F37" s="665"/>
      <c r="G37" s="794"/>
      <c r="H37" s="795"/>
      <c r="I37" s="791"/>
      <c r="J37" s="791"/>
      <c r="K37" s="791"/>
      <c r="L37" s="788"/>
      <c r="M37" s="779">
        <f>SUBTOTAL(9,M38:M55)</f>
        <v>0</v>
      </c>
      <c r="N37" s="779">
        <f>SUBTOTAL(9,N38:N55)</f>
        <v>0</v>
      </c>
      <c r="O37" s="779">
        <f>SUBTOTAL(9,O38:O55)</f>
        <v>0</v>
      </c>
      <c r="P37" s="780" t="e">
        <f t="shared" si="0"/>
        <v>#DIV/0!</v>
      </c>
      <c r="Q37" s="511"/>
      <c r="AA37" s="632"/>
    </row>
    <row r="38" spans="2:27" ht="16.5" customHeight="1" outlineLevel="3">
      <c r="B38" s="776" t="s">
        <v>662</v>
      </c>
      <c r="C38" s="782" t="s">
        <v>39</v>
      </c>
      <c r="D38" s="776" t="s">
        <v>1763</v>
      </c>
      <c r="E38" s="648"/>
      <c r="F38" s="648"/>
      <c r="G38" s="791"/>
      <c r="H38" s="795"/>
      <c r="I38" s="672"/>
      <c r="J38" s="672"/>
      <c r="K38" s="791"/>
      <c r="L38" s="788"/>
      <c r="M38" s="779">
        <f>SUBTOTAL(9,M39:M40)</f>
        <v>0</v>
      </c>
      <c r="N38" s="779">
        <f>SUBTOTAL(9,N39:N40)</f>
        <v>0</v>
      </c>
      <c r="O38" s="779">
        <f>SUBTOTAL(9,O39:O40)</f>
        <v>0</v>
      </c>
      <c r="P38" s="780" t="e">
        <f t="shared" si="0"/>
        <v>#DIV/0!</v>
      </c>
      <c r="Q38" s="511"/>
      <c r="AA38" s="632"/>
    </row>
    <row r="39" spans="2:27" ht="16.5" customHeight="1" outlineLevel="3">
      <c r="B39" s="776" t="s">
        <v>1764</v>
      </c>
      <c r="C39" s="782"/>
      <c r="D39" s="796" t="s">
        <v>1498</v>
      </c>
      <c r="E39" s="648" t="s">
        <v>1228</v>
      </c>
      <c r="F39" s="648" t="s">
        <v>663</v>
      </c>
      <c r="G39" s="791">
        <v>1</v>
      </c>
      <c r="H39" s="790" t="s">
        <v>111</v>
      </c>
      <c r="I39" s="672">
        <f>$E$2*(1+$F$2)</f>
        <v>0</v>
      </c>
      <c r="J39" s="672">
        <v>43</v>
      </c>
      <c r="K39" s="778">
        <f>J39/(1+L39)</f>
        <v>38.738738738738732</v>
      </c>
      <c r="L39" s="569">
        <v>0.11</v>
      </c>
      <c r="M39" s="779">
        <f>G39*I39*K39/10000</f>
        <v>0</v>
      </c>
      <c r="N39" s="779">
        <f>L39*M39</f>
        <v>0</v>
      </c>
      <c r="O39" s="779">
        <f>M39+N39</f>
        <v>0</v>
      </c>
      <c r="P39" s="780" t="e">
        <f t="shared" si="0"/>
        <v>#DIV/0!</v>
      </c>
      <c r="Q39" s="781">
        <f t="shared" ref="Q39:Q102" si="8">G39*I39*J39/10000-O39</f>
        <v>0</v>
      </c>
      <c r="AA39" s="632"/>
    </row>
    <row r="40" spans="2:27" ht="16.5" customHeight="1" outlineLevel="3">
      <c r="B40" s="776" t="s">
        <v>1499</v>
      </c>
      <c r="C40" s="782"/>
      <c r="D40" s="796" t="s">
        <v>1500</v>
      </c>
      <c r="E40" s="648" t="s">
        <v>1295</v>
      </c>
      <c r="F40" s="648" t="s">
        <v>663</v>
      </c>
      <c r="G40" s="672">
        <v>1</v>
      </c>
      <c r="H40" s="787" t="s">
        <v>111</v>
      </c>
      <c r="I40" s="672">
        <f>$E$2*(1+$F$2)</f>
        <v>0</v>
      </c>
      <c r="J40" s="672">
        <v>45</v>
      </c>
      <c r="K40" s="778">
        <f>J40/(1+L40)</f>
        <v>38.461538461538467</v>
      </c>
      <c r="L40" s="569">
        <v>0.17</v>
      </c>
      <c r="M40" s="779">
        <f>G40*I40*K40/10000</f>
        <v>0</v>
      </c>
      <c r="N40" s="779">
        <f>L40*M40</f>
        <v>0</v>
      </c>
      <c r="O40" s="779">
        <f>M40+N40</f>
        <v>0</v>
      </c>
      <c r="P40" s="780" t="e">
        <f t="shared" si="0"/>
        <v>#DIV/0!</v>
      </c>
      <c r="Q40" s="781">
        <f t="shared" si="8"/>
        <v>0</v>
      </c>
      <c r="AA40" s="632"/>
    </row>
    <row r="41" spans="2:27" ht="16.5" customHeight="1" outlineLevel="3">
      <c r="B41" s="776" t="s">
        <v>664</v>
      </c>
      <c r="C41" s="782" t="s">
        <v>39</v>
      </c>
      <c r="D41" s="776" t="s">
        <v>667</v>
      </c>
      <c r="E41" s="665"/>
      <c r="F41" s="648"/>
      <c r="G41" s="672"/>
      <c r="H41" s="787"/>
      <c r="I41" s="672"/>
      <c r="J41" s="672"/>
      <c r="K41" s="672"/>
      <c r="L41" s="569"/>
      <c r="M41" s="779">
        <f>SUBTOTAL(9,M42:M43)</f>
        <v>0</v>
      </c>
      <c r="N41" s="779">
        <f>SUBTOTAL(9,N42:N43)</f>
        <v>0</v>
      </c>
      <c r="O41" s="779">
        <f>SUBTOTAL(9,O42:O43)</f>
        <v>0</v>
      </c>
      <c r="P41" s="780" t="e">
        <f t="shared" si="0"/>
        <v>#DIV/0!</v>
      </c>
      <c r="Q41" s="511"/>
      <c r="AA41" s="632"/>
    </row>
    <row r="42" spans="2:27" ht="16.5" customHeight="1" outlineLevel="3">
      <c r="B42" s="776" t="s">
        <v>1766</v>
      </c>
      <c r="C42" s="782"/>
      <c r="D42" s="796" t="s">
        <v>1501</v>
      </c>
      <c r="E42" s="665" t="s">
        <v>1502</v>
      </c>
      <c r="F42" s="648" t="s">
        <v>663</v>
      </c>
      <c r="G42" s="672">
        <v>1</v>
      </c>
      <c r="H42" s="787" t="s">
        <v>111</v>
      </c>
      <c r="I42" s="672">
        <f>$E$2*(1+$F$2)</f>
        <v>0</v>
      </c>
      <c r="J42" s="672">
        <v>80</v>
      </c>
      <c r="K42" s="778">
        <f>J42/(1+L42)</f>
        <v>72.072072072072061</v>
      </c>
      <c r="L42" s="569">
        <v>0.11</v>
      </c>
      <c r="M42" s="779">
        <f>G42*I42*K42/10000</f>
        <v>0</v>
      </c>
      <c r="N42" s="779">
        <f>L42*M42</f>
        <v>0</v>
      </c>
      <c r="O42" s="779">
        <f>M42+N42</f>
        <v>0</v>
      </c>
      <c r="P42" s="780" t="e">
        <f t="shared" si="0"/>
        <v>#DIV/0!</v>
      </c>
      <c r="Q42" s="781">
        <f t="shared" si="8"/>
        <v>0</v>
      </c>
      <c r="AA42" s="632"/>
    </row>
    <row r="43" spans="2:27" ht="16.5" customHeight="1" outlineLevel="3">
      <c r="B43" s="776" t="s">
        <v>1503</v>
      </c>
      <c r="C43" s="782"/>
      <c r="D43" s="796" t="s">
        <v>1504</v>
      </c>
      <c r="E43" s="665" t="s">
        <v>1505</v>
      </c>
      <c r="F43" s="648"/>
      <c r="G43" s="672">
        <v>1</v>
      </c>
      <c r="H43" s="787" t="s">
        <v>6</v>
      </c>
      <c r="I43" s="672">
        <f>$H$2</f>
        <v>0</v>
      </c>
      <c r="J43" s="672"/>
      <c r="K43" s="778">
        <f>J43/(1+L43)</f>
        <v>0</v>
      </c>
      <c r="L43" s="569">
        <v>0</v>
      </c>
      <c r="M43" s="779">
        <f>G43*I43*K43/10000</f>
        <v>0</v>
      </c>
      <c r="N43" s="779">
        <f>L43*M43</f>
        <v>0</v>
      </c>
      <c r="O43" s="779">
        <f>M43+N43</f>
        <v>0</v>
      </c>
      <c r="P43" s="780" t="e">
        <f t="shared" si="0"/>
        <v>#DIV/0!</v>
      </c>
      <c r="Q43" s="781">
        <f t="shared" si="8"/>
        <v>0</v>
      </c>
      <c r="AA43" s="632"/>
    </row>
    <row r="44" spans="2:27" ht="16.5" customHeight="1" outlineLevel="3">
      <c r="B44" s="776" t="s">
        <v>665</v>
      </c>
      <c r="C44" s="782" t="s">
        <v>39</v>
      </c>
      <c r="D44" s="776" t="s">
        <v>668</v>
      </c>
      <c r="E44" s="665"/>
      <c r="F44" s="648"/>
      <c r="G44" s="672"/>
      <c r="H44" s="787"/>
      <c r="I44" s="672"/>
      <c r="J44" s="672"/>
      <c r="K44" s="672"/>
      <c r="L44" s="569"/>
      <c r="M44" s="779">
        <f>SUBTOTAL(9,M45:M46)</f>
        <v>0</v>
      </c>
      <c r="N44" s="779">
        <f>SUBTOTAL(9,N45:N46)</f>
        <v>0</v>
      </c>
      <c r="O44" s="779">
        <f>SUBTOTAL(9,O45:O46)</f>
        <v>0</v>
      </c>
      <c r="P44" s="780" t="e">
        <f t="shared" si="0"/>
        <v>#DIV/0!</v>
      </c>
      <c r="Q44" s="511"/>
      <c r="AA44" s="632"/>
    </row>
    <row r="45" spans="2:27" ht="16.5" customHeight="1" outlineLevel="3">
      <c r="B45" s="776" t="s">
        <v>1767</v>
      </c>
      <c r="C45" s="782"/>
      <c r="D45" s="796" t="s">
        <v>1506</v>
      </c>
      <c r="E45" s="665" t="s">
        <v>1300</v>
      </c>
      <c r="F45" s="648" t="s">
        <v>663</v>
      </c>
      <c r="G45" s="672"/>
      <c r="H45" s="787" t="s">
        <v>111</v>
      </c>
      <c r="I45" s="672">
        <f>$E$2*(1+$F$2)</f>
        <v>0</v>
      </c>
      <c r="J45" s="672">
        <v>30</v>
      </c>
      <c r="K45" s="672">
        <v>0</v>
      </c>
      <c r="L45" s="569">
        <v>0.11</v>
      </c>
      <c r="M45" s="779">
        <f>G45*I45*K45/10000</f>
        <v>0</v>
      </c>
      <c r="N45" s="779">
        <f>L45*M45</f>
        <v>0</v>
      </c>
      <c r="O45" s="779">
        <f>M45+N45</f>
        <v>0</v>
      </c>
      <c r="P45" s="780" t="e">
        <f t="shared" si="0"/>
        <v>#DIV/0!</v>
      </c>
      <c r="Q45" s="781">
        <f t="shared" si="8"/>
        <v>0</v>
      </c>
      <c r="AA45" s="632"/>
    </row>
    <row r="46" spans="2:27" ht="16.5" customHeight="1" outlineLevel="3">
      <c r="B46" s="776" t="s">
        <v>1507</v>
      </c>
      <c r="C46" s="782"/>
      <c r="D46" s="796" t="s">
        <v>1768</v>
      </c>
      <c r="E46" s="665" t="s">
        <v>1300</v>
      </c>
      <c r="F46" s="648" t="s">
        <v>5</v>
      </c>
      <c r="G46" s="672">
        <v>1</v>
      </c>
      <c r="H46" s="787" t="s">
        <v>6</v>
      </c>
      <c r="I46" s="672">
        <f>$H$2</f>
        <v>0</v>
      </c>
      <c r="J46" s="672">
        <v>1150</v>
      </c>
      <c r="K46" s="778">
        <f>J46/(1+L46)</f>
        <v>1150</v>
      </c>
      <c r="L46" s="569">
        <v>0</v>
      </c>
      <c r="M46" s="779">
        <f>G46*I46*K46/10000</f>
        <v>0</v>
      </c>
      <c r="N46" s="779">
        <f>L46*M46</f>
        <v>0</v>
      </c>
      <c r="O46" s="779">
        <f>M46+N46</f>
        <v>0</v>
      </c>
      <c r="P46" s="780" t="e">
        <f t="shared" si="0"/>
        <v>#DIV/0!</v>
      </c>
      <c r="Q46" s="781">
        <f t="shared" si="8"/>
        <v>0</v>
      </c>
      <c r="AA46" s="632"/>
    </row>
    <row r="47" spans="2:27" ht="16.5" customHeight="1" outlineLevel="3">
      <c r="B47" s="776" t="s">
        <v>666</v>
      </c>
      <c r="C47" s="782" t="s">
        <v>39</v>
      </c>
      <c r="D47" s="776" t="s">
        <v>1508</v>
      </c>
      <c r="E47" s="665"/>
      <c r="F47" s="648"/>
      <c r="G47" s="672"/>
      <c r="H47" s="787"/>
      <c r="I47" s="672"/>
      <c r="J47" s="672"/>
      <c r="K47" s="672"/>
      <c r="L47" s="569"/>
      <c r="M47" s="779">
        <f>SUBTOTAL(9,M48:M55)</f>
        <v>0</v>
      </c>
      <c r="N47" s="779">
        <f>SUBTOTAL(9,N48:N55)</f>
        <v>0</v>
      </c>
      <c r="O47" s="779">
        <f>SUBTOTAL(9,O48:O55)</f>
        <v>0</v>
      </c>
      <c r="P47" s="780" t="e">
        <f t="shared" si="0"/>
        <v>#DIV/0!</v>
      </c>
      <c r="Q47" s="511"/>
      <c r="AA47" s="632"/>
    </row>
    <row r="48" spans="2:27" ht="16.5" customHeight="1" outlineLevel="3">
      <c r="B48" s="776" t="s">
        <v>1769</v>
      </c>
      <c r="C48" s="782"/>
      <c r="D48" s="796" t="s">
        <v>1509</v>
      </c>
      <c r="E48" s="648" t="s">
        <v>1228</v>
      </c>
      <c r="F48" s="648" t="s">
        <v>663</v>
      </c>
      <c r="G48" s="791">
        <v>1</v>
      </c>
      <c r="H48" s="790" t="s">
        <v>111</v>
      </c>
      <c r="I48" s="672">
        <f t="shared" ref="I48:I55" si="9">$E$2*(1+$F$2)</f>
        <v>0</v>
      </c>
      <c r="J48" s="672">
        <v>90</v>
      </c>
      <c r="K48" s="778">
        <f t="shared" ref="K48:K54" si="10">J48/(1+L48)</f>
        <v>81.081081081081081</v>
      </c>
      <c r="L48" s="569">
        <v>0.11</v>
      </c>
      <c r="M48" s="779">
        <f t="shared" ref="M48:M55" si="11">G48*I48*K48/10000</f>
        <v>0</v>
      </c>
      <c r="N48" s="779">
        <f t="shared" ref="N48:N55" si="12">L48*M48</f>
        <v>0</v>
      </c>
      <c r="O48" s="779">
        <f t="shared" ref="O48:O55" si="13">M48+N48</f>
        <v>0</v>
      </c>
      <c r="P48" s="780" t="e">
        <f t="shared" si="0"/>
        <v>#DIV/0!</v>
      </c>
      <c r="Q48" s="781">
        <f t="shared" si="8"/>
        <v>0</v>
      </c>
      <c r="AA48" s="632"/>
    </row>
    <row r="49" spans="2:27" ht="16.5" customHeight="1" outlineLevel="3">
      <c r="B49" s="776" t="s">
        <v>1510</v>
      </c>
      <c r="C49" s="782"/>
      <c r="D49" s="796" t="s">
        <v>1511</v>
      </c>
      <c r="E49" s="648" t="s">
        <v>1295</v>
      </c>
      <c r="F49" s="648" t="s">
        <v>1770</v>
      </c>
      <c r="G49" s="791">
        <v>1</v>
      </c>
      <c r="H49" s="790" t="s">
        <v>111</v>
      </c>
      <c r="I49" s="672">
        <f t="shared" si="9"/>
        <v>0</v>
      </c>
      <c r="J49" s="672">
        <v>5</v>
      </c>
      <c r="K49" s="778">
        <f t="shared" si="10"/>
        <v>4.2735042735042734</v>
      </c>
      <c r="L49" s="569">
        <v>0.17</v>
      </c>
      <c r="M49" s="779">
        <f t="shared" si="11"/>
        <v>0</v>
      </c>
      <c r="N49" s="779">
        <f t="shared" si="12"/>
        <v>0</v>
      </c>
      <c r="O49" s="779">
        <f t="shared" si="13"/>
        <v>0</v>
      </c>
      <c r="P49" s="780" t="e">
        <f t="shared" si="0"/>
        <v>#DIV/0!</v>
      </c>
      <c r="Q49" s="781">
        <f t="shared" si="8"/>
        <v>0</v>
      </c>
      <c r="AA49" s="632"/>
    </row>
    <row r="50" spans="2:27" ht="16.5" customHeight="1" outlineLevel="3">
      <c r="B50" s="776" t="s">
        <v>1512</v>
      </c>
      <c r="C50" s="782"/>
      <c r="D50" s="796" t="s">
        <v>1513</v>
      </c>
      <c r="E50" s="797" t="s">
        <v>1771</v>
      </c>
      <c r="F50" s="648" t="s">
        <v>1770</v>
      </c>
      <c r="G50" s="791">
        <v>1</v>
      </c>
      <c r="H50" s="790" t="s">
        <v>111</v>
      </c>
      <c r="I50" s="672">
        <f t="shared" si="9"/>
        <v>0</v>
      </c>
      <c r="J50" s="672">
        <v>30</v>
      </c>
      <c r="K50" s="778">
        <f t="shared" si="10"/>
        <v>25.641025641025642</v>
      </c>
      <c r="L50" s="569">
        <v>0.17</v>
      </c>
      <c r="M50" s="779">
        <f t="shared" si="11"/>
        <v>0</v>
      </c>
      <c r="N50" s="779">
        <f t="shared" si="12"/>
        <v>0</v>
      </c>
      <c r="O50" s="779">
        <f t="shared" si="13"/>
        <v>0</v>
      </c>
      <c r="P50" s="780" t="e">
        <f t="shared" si="0"/>
        <v>#DIV/0!</v>
      </c>
      <c r="Q50" s="781">
        <f t="shared" si="8"/>
        <v>0</v>
      </c>
      <c r="AA50" s="632"/>
    </row>
    <row r="51" spans="2:27" ht="16.5" customHeight="1" outlineLevel="3">
      <c r="B51" s="776" t="s">
        <v>1514</v>
      </c>
      <c r="C51" s="782"/>
      <c r="D51" s="796" t="s">
        <v>1515</v>
      </c>
      <c r="E51" s="665" t="s">
        <v>1516</v>
      </c>
      <c r="F51" s="648" t="s">
        <v>1770</v>
      </c>
      <c r="G51" s="791">
        <v>1</v>
      </c>
      <c r="H51" s="790" t="s">
        <v>111</v>
      </c>
      <c r="I51" s="672">
        <f t="shared" si="9"/>
        <v>0</v>
      </c>
      <c r="J51" s="672">
        <v>11</v>
      </c>
      <c r="K51" s="778">
        <f t="shared" si="10"/>
        <v>9.4017094017094021</v>
      </c>
      <c r="L51" s="569">
        <v>0.17</v>
      </c>
      <c r="M51" s="779">
        <f t="shared" si="11"/>
        <v>0</v>
      </c>
      <c r="N51" s="779">
        <f t="shared" si="12"/>
        <v>0</v>
      </c>
      <c r="O51" s="779">
        <f t="shared" si="13"/>
        <v>0</v>
      </c>
      <c r="P51" s="780" t="e">
        <f t="shared" si="0"/>
        <v>#DIV/0!</v>
      </c>
      <c r="Q51" s="781">
        <f t="shared" si="8"/>
        <v>0</v>
      </c>
      <c r="AA51" s="632"/>
    </row>
    <row r="52" spans="2:27" ht="16.5" customHeight="1" outlineLevel="3">
      <c r="B52" s="776" t="s">
        <v>1517</v>
      </c>
      <c r="C52" s="782"/>
      <c r="D52" s="796" t="s">
        <v>1518</v>
      </c>
      <c r="E52" s="665" t="s">
        <v>1773</v>
      </c>
      <c r="F52" s="648" t="s">
        <v>1770</v>
      </c>
      <c r="G52" s="791">
        <v>1</v>
      </c>
      <c r="H52" s="790" t="s">
        <v>111</v>
      </c>
      <c r="I52" s="672">
        <f t="shared" si="9"/>
        <v>0</v>
      </c>
      <c r="J52" s="672">
        <v>10</v>
      </c>
      <c r="K52" s="778">
        <f t="shared" si="10"/>
        <v>8.5470085470085468</v>
      </c>
      <c r="L52" s="569">
        <v>0.17</v>
      </c>
      <c r="M52" s="779">
        <f t="shared" si="11"/>
        <v>0</v>
      </c>
      <c r="N52" s="779">
        <f t="shared" si="12"/>
        <v>0</v>
      </c>
      <c r="O52" s="779">
        <f t="shared" si="13"/>
        <v>0</v>
      </c>
      <c r="P52" s="780" t="e">
        <f t="shared" si="0"/>
        <v>#DIV/0!</v>
      </c>
      <c r="Q52" s="781">
        <f t="shared" si="8"/>
        <v>0</v>
      </c>
      <c r="AA52" s="632"/>
    </row>
    <row r="53" spans="2:27" s="633" customFormat="1" ht="16.5" customHeight="1" outlineLevel="3">
      <c r="B53" s="776" t="s">
        <v>1519</v>
      </c>
      <c r="C53" s="792"/>
      <c r="D53" s="796" t="s">
        <v>1520</v>
      </c>
      <c r="E53" s="648" t="s">
        <v>1228</v>
      </c>
      <c r="F53" s="648" t="s">
        <v>1770</v>
      </c>
      <c r="G53" s="672">
        <v>1</v>
      </c>
      <c r="H53" s="787" t="s">
        <v>111</v>
      </c>
      <c r="I53" s="672">
        <f t="shared" si="9"/>
        <v>0</v>
      </c>
      <c r="J53" s="672">
        <v>50</v>
      </c>
      <c r="K53" s="672">
        <f t="shared" si="10"/>
        <v>50</v>
      </c>
      <c r="L53" s="569">
        <v>0</v>
      </c>
      <c r="M53" s="779">
        <f t="shared" si="11"/>
        <v>0</v>
      </c>
      <c r="N53" s="779">
        <f t="shared" si="12"/>
        <v>0</v>
      </c>
      <c r="O53" s="779">
        <f t="shared" si="13"/>
        <v>0</v>
      </c>
      <c r="P53" s="780" t="e">
        <f t="shared" si="0"/>
        <v>#DIV/0!</v>
      </c>
      <c r="Q53" s="781">
        <f t="shared" si="8"/>
        <v>0</v>
      </c>
    </row>
    <row r="54" spans="2:27" ht="16.5" customHeight="1" outlineLevel="3">
      <c r="B54" s="776" t="s">
        <v>1521</v>
      </c>
      <c r="C54" s="782"/>
      <c r="D54" s="796" t="s">
        <v>1522</v>
      </c>
      <c r="E54" s="665" t="s">
        <v>1773</v>
      </c>
      <c r="F54" s="648" t="s">
        <v>1770</v>
      </c>
      <c r="G54" s="791">
        <v>1</v>
      </c>
      <c r="H54" s="790" t="s">
        <v>111</v>
      </c>
      <c r="I54" s="672">
        <f>+H2</f>
        <v>0</v>
      </c>
      <c r="J54" s="672">
        <v>350</v>
      </c>
      <c r="K54" s="778">
        <f t="shared" si="10"/>
        <v>299.14529914529919</v>
      </c>
      <c r="L54" s="569">
        <v>0.17</v>
      </c>
      <c r="M54" s="779">
        <f t="shared" si="11"/>
        <v>0</v>
      </c>
      <c r="N54" s="779">
        <f t="shared" si="12"/>
        <v>0</v>
      </c>
      <c r="O54" s="779">
        <f t="shared" si="13"/>
        <v>0</v>
      </c>
      <c r="P54" s="780" t="e">
        <f t="shared" si="0"/>
        <v>#DIV/0!</v>
      </c>
      <c r="Q54" s="781">
        <f t="shared" si="8"/>
        <v>0</v>
      </c>
      <c r="AA54" s="632"/>
    </row>
    <row r="55" spans="2:27" ht="16.5" customHeight="1" outlineLevel="3">
      <c r="B55" s="776" t="s">
        <v>1523</v>
      </c>
      <c r="C55" s="782"/>
      <c r="D55" s="796" t="s">
        <v>1524</v>
      </c>
      <c r="E55" s="648" t="s">
        <v>1228</v>
      </c>
      <c r="F55" s="648" t="s">
        <v>1770</v>
      </c>
      <c r="G55" s="791">
        <v>1</v>
      </c>
      <c r="H55" s="790" t="s">
        <v>111</v>
      </c>
      <c r="I55" s="672">
        <f t="shared" si="9"/>
        <v>0</v>
      </c>
      <c r="J55" s="672"/>
      <c r="K55" s="672"/>
      <c r="L55" s="569">
        <v>0.17</v>
      </c>
      <c r="M55" s="779">
        <f t="shared" si="11"/>
        <v>0</v>
      </c>
      <c r="N55" s="779">
        <f t="shared" si="12"/>
        <v>0</v>
      </c>
      <c r="O55" s="779">
        <f t="shared" si="13"/>
        <v>0</v>
      </c>
      <c r="P55" s="780" t="e">
        <f t="shared" si="0"/>
        <v>#DIV/0!</v>
      </c>
      <c r="Q55" s="781">
        <f t="shared" si="8"/>
        <v>0</v>
      </c>
      <c r="AA55" s="632"/>
    </row>
    <row r="56" spans="2:27" ht="16.5" customHeight="1" outlineLevel="2">
      <c r="B56" s="776" t="s">
        <v>670</v>
      </c>
      <c r="C56" s="777" t="s">
        <v>33</v>
      </c>
      <c r="D56" s="776" t="s">
        <v>1774</v>
      </c>
      <c r="E56" s="665"/>
      <c r="F56" s="665"/>
      <c r="G56" s="794"/>
      <c r="H56" s="795"/>
      <c r="I56" s="791"/>
      <c r="J56" s="791"/>
      <c r="K56" s="791"/>
      <c r="L56" s="788"/>
      <c r="M56" s="779">
        <f>SUBTOTAL(9,M57:M68)</f>
        <v>0</v>
      </c>
      <c r="N56" s="779">
        <f>SUBTOTAL(9,N57:N68)</f>
        <v>0</v>
      </c>
      <c r="O56" s="779">
        <f>SUBTOTAL(9,O57:O68)</f>
        <v>0</v>
      </c>
      <c r="P56" s="780" t="e">
        <f t="shared" si="0"/>
        <v>#DIV/0!</v>
      </c>
      <c r="Q56" s="511"/>
      <c r="AA56" s="632"/>
    </row>
    <row r="57" spans="2:27" ht="16.5" customHeight="1" outlineLevel="3">
      <c r="B57" s="776" t="s">
        <v>671</v>
      </c>
      <c r="C57" s="782" t="s">
        <v>39</v>
      </c>
      <c r="D57" s="776" t="s">
        <v>1775</v>
      </c>
      <c r="E57" s="665"/>
      <c r="F57" s="665"/>
      <c r="G57" s="791"/>
      <c r="H57" s="795"/>
      <c r="I57" s="791"/>
      <c r="J57" s="791"/>
      <c r="K57" s="798"/>
      <c r="L57" s="788"/>
      <c r="M57" s="779">
        <f>SUBTOTAL(9,M58:M59)</f>
        <v>0</v>
      </c>
      <c r="N57" s="779">
        <f>SUBTOTAL(9,N58:N59)</f>
        <v>0</v>
      </c>
      <c r="O57" s="779">
        <f>SUBTOTAL(9,O58:O59)</f>
        <v>0</v>
      </c>
      <c r="P57" s="780" t="e">
        <f t="shared" si="0"/>
        <v>#DIV/0!</v>
      </c>
      <c r="Q57" s="511"/>
      <c r="AA57" s="632"/>
    </row>
    <row r="58" spans="2:27" ht="16.5" customHeight="1" outlineLevel="3">
      <c r="B58" s="776" t="s">
        <v>1776</v>
      </c>
      <c r="C58" s="782"/>
      <c r="D58" s="796" t="s">
        <v>1525</v>
      </c>
      <c r="E58" s="665" t="s">
        <v>456</v>
      </c>
      <c r="F58" s="665" t="s">
        <v>18</v>
      </c>
      <c r="G58" s="791">
        <v>2</v>
      </c>
      <c r="H58" s="795" t="s">
        <v>100</v>
      </c>
      <c r="I58" s="791">
        <f>$I$2</f>
        <v>0</v>
      </c>
      <c r="J58" s="791"/>
      <c r="K58" s="778">
        <f>J58/(1+L58)</f>
        <v>0</v>
      </c>
      <c r="L58" s="569">
        <v>0.17</v>
      </c>
      <c r="M58" s="779">
        <f>G58*I58*K58/10000</f>
        <v>0</v>
      </c>
      <c r="N58" s="779">
        <f>L58*M58</f>
        <v>0</v>
      </c>
      <c r="O58" s="779">
        <f>M58+N58</f>
        <v>0</v>
      </c>
      <c r="P58" s="780" t="e">
        <f t="shared" si="0"/>
        <v>#DIV/0!</v>
      </c>
      <c r="Q58" s="511">
        <f t="shared" si="8"/>
        <v>0</v>
      </c>
      <c r="AA58" s="632"/>
    </row>
    <row r="59" spans="2:27" ht="16.5" customHeight="1" outlineLevel="3">
      <c r="B59" s="776" t="s">
        <v>1526</v>
      </c>
      <c r="C59" s="782"/>
      <c r="D59" s="796" t="s">
        <v>1527</v>
      </c>
      <c r="E59" s="799" t="s">
        <v>1778</v>
      </c>
      <c r="F59" s="665" t="s">
        <v>18</v>
      </c>
      <c r="G59" s="791">
        <v>2</v>
      </c>
      <c r="H59" s="795" t="s">
        <v>100</v>
      </c>
      <c r="I59" s="791">
        <f>$I$2</f>
        <v>0</v>
      </c>
      <c r="J59" s="791"/>
      <c r="K59" s="778">
        <f>J59/(1+L59)</f>
        <v>0</v>
      </c>
      <c r="L59" s="569">
        <v>0.11</v>
      </c>
      <c r="M59" s="779">
        <f>G59*I59*K59/10000</f>
        <v>0</v>
      </c>
      <c r="N59" s="779">
        <f>L59*M59</f>
        <v>0</v>
      </c>
      <c r="O59" s="779">
        <f>M59+N59</f>
        <v>0</v>
      </c>
      <c r="P59" s="780" t="e">
        <f t="shared" si="0"/>
        <v>#DIV/0!</v>
      </c>
      <c r="Q59" s="511">
        <f t="shared" si="8"/>
        <v>0</v>
      </c>
      <c r="AA59" s="632"/>
    </row>
    <row r="60" spans="2:27" ht="16.5" customHeight="1" outlineLevel="3">
      <c r="B60" s="776" t="s">
        <v>672</v>
      </c>
      <c r="C60" s="782" t="s">
        <v>39</v>
      </c>
      <c r="D60" s="776" t="s">
        <v>1779</v>
      </c>
      <c r="E60" s="665"/>
      <c r="F60" s="665"/>
      <c r="G60" s="791"/>
      <c r="H60" s="795"/>
      <c r="I60" s="791"/>
      <c r="J60" s="791"/>
      <c r="K60" s="798"/>
      <c r="L60" s="788"/>
      <c r="M60" s="779">
        <f>SUBTOTAL(9,M61:M62)</f>
        <v>0</v>
      </c>
      <c r="N60" s="779">
        <f>SUBTOTAL(9,N61:N62)</f>
        <v>0</v>
      </c>
      <c r="O60" s="779">
        <f>SUBTOTAL(9,O61:O62)</f>
        <v>0</v>
      </c>
      <c r="P60" s="780" t="e">
        <f t="shared" si="0"/>
        <v>#DIV/0!</v>
      </c>
      <c r="Q60" s="511">
        <f t="shared" si="8"/>
        <v>0</v>
      </c>
      <c r="AA60" s="632"/>
    </row>
    <row r="61" spans="2:27" ht="16.5" customHeight="1" outlineLevel="3">
      <c r="B61" s="776" t="s">
        <v>1780</v>
      </c>
      <c r="C61" s="782"/>
      <c r="D61" s="796" t="s">
        <v>1781</v>
      </c>
      <c r="E61" s="665" t="s">
        <v>1528</v>
      </c>
      <c r="F61" s="665"/>
      <c r="G61" s="791"/>
      <c r="H61" s="795"/>
      <c r="I61" s="791"/>
      <c r="J61" s="791"/>
      <c r="K61" s="798"/>
      <c r="L61" s="788"/>
      <c r="M61" s="779">
        <f>G61*I61*K61/10000</f>
        <v>0</v>
      </c>
      <c r="N61" s="779">
        <f>L61*M61</f>
        <v>0</v>
      </c>
      <c r="O61" s="779">
        <f>M61+N61</f>
        <v>0</v>
      </c>
      <c r="P61" s="780" t="e">
        <f t="shared" si="0"/>
        <v>#DIV/0!</v>
      </c>
      <c r="Q61" s="511">
        <f t="shared" si="8"/>
        <v>0</v>
      </c>
      <c r="AA61" s="632"/>
    </row>
    <row r="62" spans="2:27" ht="16.5" customHeight="1" outlineLevel="3">
      <c r="B62" s="776" t="s">
        <v>1529</v>
      </c>
      <c r="C62" s="782"/>
      <c r="D62" s="796" t="s">
        <v>1782</v>
      </c>
      <c r="E62" s="665" t="s">
        <v>1530</v>
      </c>
      <c r="F62" s="665"/>
      <c r="G62" s="791"/>
      <c r="H62" s="795"/>
      <c r="I62" s="791"/>
      <c r="J62" s="791"/>
      <c r="K62" s="798"/>
      <c r="L62" s="788"/>
      <c r="M62" s="779">
        <f>G62*I62*K62/10000</f>
        <v>0</v>
      </c>
      <c r="N62" s="779">
        <f>L62*M62</f>
        <v>0</v>
      </c>
      <c r="O62" s="779">
        <f>M62+N62</f>
        <v>0</v>
      </c>
      <c r="P62" s="780" t="e">
        <f t="shared" si="0"/>
        <v>#DIV/0!</v>
      </c>
      <c r="Q62" s="511">
        <f t="shared" si="8"/>
        <v>0</v>
      </c>
      <c r="AA62" s="632"/>
    </row>
    <row r="63" spans="2:27" ht="16.5" customHeight="1" outlineLevel="3">
      <c r="B63" s="776" t="s">
        <v>673</v>
      </c>
      <c r="C63" s="782" t="s">
        <v>39</v>
      </c>
      <c r="D63" s="776" t="s">
        <v>1783</v>
      </c>
      <c r="E63" s="648"/>
      <c r="F63" s="648"/>
      <c r="G63" s="791"/>
      <c r="H63" s="795"/>
      <c r="I63" s="672"/>
      <c r="J63" s="672"/>
      <c r="K63" s="791"/>
      <c r="L63" s="788"/>
      <c r="M63" s="779">
        <f>SUBTOTAL(9,M64:M65)</f>
        <v>0</v>
      </c>
      <c r="N63" s="779">
        <f>SUBTOTAL(9,N64:N65)</f>
        <v>0</v>
      </c>
      <c r="O63" s="779">
        <f>SUBTOTAL(9,O64:O65)</f>
        <v>0</v>
      </c>
      <c r="P63" s="780" t="e">
        <f t="shared" si="0"/>
        <v>#DIV/0!</v>
      </c>
      <c r="Q63" s="511"/>
      <c r="AA63" s="632"/>
    </row>
    <row r="64" spans="2:27" ht="16.5" customHeight="1" outlineLevel="3">
      <c r="B64" s="776" t="s">
        <v>1784</v>
      </c>
      <c r="C64" s="782"/>
      <c r="D64" s="796" t="s">
        <v>1531</v>
      </c>
      <c r="E64" s="648" t="s">
        <v>455</v>
      </c>
      <c r="F64" s="648" t="s">
        <v>657</v>
      </c>
      <c r="G64" s="791">
        <v>1</v>
      </c>
      <c r="H64" s="795" t="s">
        <v>143</v>
      </c>
      <c r="I64" s="672">
        <f>$E$2*(1+$F$2)</f>
        <v>0</v>
      </c>
      <c r="J64" s="672">
        <v>10</v>
      </c>
      <c r="K64" s="778">
        <f>J64/(1+L64)</f>
        <v>9.0090090090090076</v>
      </c>
      <c r="L64" s="569">
        <v>0.11</v>
      </c>
      <c r="M64" s="779">
        <f>G64*I64*K64/10000</f>
        <v>0</v>
      </c>
      <c r="N64" s="779">
        <f>L64*M64</f>
        <v>0</v>
      </c>
      <c r="O64" s="779">
        <f>M64+N64</f>
        <v>0</v>
      </c>
      <c r="P64" s="780" t="e">
        <f t="shared" si="0"/>
        <v>#DIV/0!</v>
      </c>
      <c r="Q64" s="511">
        <f t="shared" si="8"/>
        <v>0</v>
      </c>
      <c r="AA64" s="632"/>
    </row>
    <row r="65" spans="2:27" ht="16.5" customHeight="1" outlineLevel="3">
      <c r="B65" s="776" t="s">
        <v>1532</v>
      </c>
      <c r="C65" s="782"/>
      <c r="D65" s="796" t="s">
        <v>1533</v>
      </c>
      <c r="E65" s="648" t="s">
        <v>455</v>
      </c>
      <c r="F65" s="648" t="s">
        <v>657</v>
      </c>
      <c r="G65" s="791">
        <v>1</v>
      </c>
      <c r="H65" s="795" t="s">
        <v>143</v>
      </c>
      <c r="I65" s="672">
        <f>$E$2*(1+$F$2)</f>
        <v>0</v>
      </c>
      <c r="J65" s="672">
        <v>0</v>
      </c>
      <c r="K65" s="778">
        <f>J65/(1+L65)</f>
        <v>0</v>
      </c>
      <c r="L65" s="569">
        <v>0.17</v>
      </c>
      <c r="M65" s="779">
        <f>G65*I65*K65/10000</f>
        <v>0</v>
      </c>
      <c r="N65" s="779">
        <f>L65*M65</f>
        <v>0</v>
      </c>
      <c r="O65" s="779">
        <f>M65+N65</f>
        <v>0</v>
      </c>
      <c r="P65" s="780" t="e">
        <f t="shared" si="0"/>
        <v>#DIV/0!</v>
      </c>
      <c r="Q65" s="511">
        <f t="shared" si="8"/>
        <v>0</v>
      </c>
      <c r="AA65" s="632"/>
    </row>
    <row r="66" spans="2:27" ht="16.5" customHeight="1" outlineLevel="3">
      <c r="B66" s="776" t="s">
        <v>1785</v>
      </c>
      <c r="C66" s="782" t="s">
        <v>39</v>
      </c>
      <c r="D66" s="776" t="s">
        <v>1786</v>
      </c>
      <c r="E66" s="665"/>
      <c r="F66" s="665"/>
      <c r="G66" s="791">
        <v>1</v>
      </c>
      <c r="H66" s="795" t="s">
        <v>143</v>
      </c>
      <c r="I66" s="791"/>
      <c r="J66" s="791"/>
      <c r="K66" s="791"/>
      <c r="L66" s="788"/>
      <c r="M66" s="779">
        <f>SUBTOTAL(9,M67:M68)</f>
        <v>0</v>
      </c>
      <c r="N66" s="779">
        <f>SUBTOTAL(9,N67:N68)</f>
        <v>0</v>
      </c>
      <c r="O66" s="779">
        <f>SUBTOTAL(9,O67:O68)</f>
        <v>0</v>
      </c>
      <c r="P66" s="780" t="e">
        <f t="shared" si="0"/>
        <v>#DIV/0!</v>
      </c>
      <c r="Q66" s="511">
        <f t="shared" si="8"/>
        <v>0</v>
      </c>
      <c r="AA66" s="632"/>
    </row>
    <row r="67" spans="2:27" ht="16.5" customHeight="1" outlineLevel="3">
      <c r="B67" s="776" t="s">
        <v>1787</v>
      </c>
      <c r="C67" s="782"/>
      <c r="D67" s="796" t="s">
        <v>1534</v>
      </c>
      <c r="E67" s="665" t="s">
        <v>1535</v>
      </c>
      <c r="F67" s="648" t="s">
        <v>657</v>
      </c>
      <c r="G67" s="791">
        <v>1</v>
      </c>
      <c r="H67" s="795" t="s">
        <v>143</v>
      </c>
      <c r="I67" s="672">
        <f>$E$2*(1+$F$2)</f>
        <v>0</v>
      </c>
      <c r="J67" s="672">
        <v>0</v>
      </c>
      <c r="K67" s="791">
        <f>J67/(1+L67)</f>
        <v>0</v>
      </c>
      <c r="L67" s="569">
        <v>0.17</v>
      </c>
      <c r="M67" s="779">
        <f>G67*I67*K67/10000</f>
        <v>0</v>
      </c>
      <c r="N67" s="779">
        <f>L67*M67</f>
        <v>0</v>
      </c>
      <c r="O67" s="779">
        <f>M67+N67</f>
        <v>0</v>
      </c>
      <c r="P67" s="780" t="e">
        <f t="shared" si="0"/>
        <v>#DIV/0!</v>
      </c>
      <c r="Q67" s="511">
        <f t="shared" si="8"/>
        <v>0</v>
      </c>
      <c r="AA67" s="632"/>
    </row>
    <row r="68" spans="2:27" ht="16.5" customHeight="1" outlineLevel="3">
      <c r="B68" s="776" t="s">
        <v>1788</v>
      </c>
      <c r="C68" s="782"/>
      <c r="D68" s="796" t="s">
        <v>1536</v>
      </c>
      <c r="E68" s="648" t="s">
        <v>455</v>
      </c>
      <c r="F68" s="648" t="s">
        <v>657</v>
      </c>
      <c r="G68" s="791">
        <v>1</v>
      </c>
      <c r="H68" s="795" t="s">
        <v>143</v>
      </c>
      <c r="I68" s="672">
        <f>$E$2*(1+$F$2)</f>
        <v>0</v>
      </c>
      <c r="J68" s="672">
        <v>0</v>
      </c>
      <c r="K68" s="791">
        <f>J68/(1+L68)</f>
        <v>0</v>
      </c>
      <c r="L68" s="569">
        <v>0.11</v>
      </c>
      <c r="M68" s="779">
        <f>G68*I68*K68/10000</f>
        <v>0</v>
      </c>
      <c r="N68" s="779">
        <f>L68*M68</f>
        <v>0</v>
      </c>
      <c r="O68" s="779">
        <f>M68+N68</f>
        <v>0</v>
      </c>
      <c r="P68" s="780" t="e">
        <f t="shared" ref="P68:P131" si="14">IF(O68="","",O68*10000/E$2)</f>
        <v>#DIV/0!</v>
      </c>
      <c r="Q68" s="511">
        <f t="shared" si="8"/>
        <v>0</v>
      </c>
      <c r="AA68" s="632"/>
    </row>
    <row r="69" spans="2:27" ht="16.5" customHeight="1">
      <c r="B69" s="480" t="s">
        <v>675</v>
      </c>
      <c r="C69" s="481" t="s">
        <v>34</v>
      </c>
      <c r="D69" s="480" t="s">
        <v>497</v>
      </c>
      <c r="E69" s="765"/>
      <c r="F69" s="765"/>
      <c r="G69" s="765"/>
      <c r="H69" s="800"/>
      <c r="I69" s="766"/>
      <c r="J69" s="766"/>
      <c r="K69" s="800"/>
      <c r="L69" s="767"/>
      <c r="M69" s="768">
        <f>SUBTOTAL(9,M70:M87)</f>
        <v>0</v>
      </c>
      <c r="N69" s="768">
        <f>SUBTOTAL(9,N70:N87)</f>
        <v>0</v>
      </c>
      <c r="O69" s="768">
        <f>SUBTOTAL(9,O70:O87)</f>
        <v>0</v>
      </c>
      <c r="P69" s="769" t="e">
        <f t="shared" si="14"/>
        <v>#DIV/0!</v>
      </c>
      <c r="Q69" s="801"/>
      <c r="AA69" s="632"/>
    </row>
    <row r="70" spans="2:27" ht="16.5" customHeight="1" outlineLevel="1" collapsed="1">
      <c r="B70" s="802" t="s">
        <v>676</v>
      </c>
      <c r="C70" s="803">
        <v>1</v>
      </c>
      <c r="D70" s="802" t="s">
        <v>22</v>
      </c>
      <c r="E70" s="712"/>
      <c r="F70" s="712"/>
      <c r="G70" s="712"/>
      <c r="H70" s="772"/>
      <c r="I70" s="713"/>
      <c r="J70" s="713"/>
      <c r="K70" s="772"/>
      <c r="L70" s="588"/>
      <c r="M70" s="773">
        <f>SUBTOTAL(9,M71:M81)</f>
        <v>0</v>
      </c>
      <c r="N70" s="773">
        <f>SUBTOTAL(9,N71:N81)</f>
        <v>0</v>
      </c>
      <c r="O70" s="773">
        <f>SUBTOTAL(9,O71:O81)</f>
        <v>0</v>
      </c>
      <c r="P70" s="774" t="e">
        <f t="shared" si="14"/>
        <v>#DIV/0!</v>
      </c>
      <c r="Q70" s="775"/>
      <c r="R70" s="632">
        <v>700</v>
      </c>
      <c r="AA70" s="632"/>
    </row>
    <row r="71" spans="2:27" ht="16.5" hidden="1" customHeight="1" outlineLevel="2">
      <c r="B71" s="776" t="s">
        <v>677</v>
      </c>
      <c r="C71" s="777" t="s">
        <v>36</v>
      </c>
      <c r="D71" s="776" t="s">
        <v>1537</v>
      </c>
      <c r="E71" s="648" t="s">
        <v>1538</v>
      </c>
      <c r="F71" s="648" t="s">
        <v>657</v>
      </c>
      <c r="G71" s="791">
        <v>1</v>
      </c>
      <c r="H71" s="795" t="s">
        <v>143</v>
      </c>
      <c r="I71" s="672">
        <f t="shared" ref="I71:I78" si="15">$E$2*(1+$F$2)</f>
        <v>0</v>
      </c>
      <c r="J71" s="672"/>
      <c r="K71" s="791">
        <f>J71/(1+L71)</f>
        <v>0</v>
      </c>
      <c r="L71" s="569">
        <v>0.17</v>
      </c>
      <c r="M71" s="779">
        <f t="shared" ref="M71:M81" si="16">G71*I71*K71/10000</f>
        <v>0</v>
      </c>
      <c r="N71" s="779">
        <f t="shared" ref="N71:N81" si="17">L71*M71</f>
        <v>0</v>
      </c>
      <c r="O71" s="779">
        <f t="shared" ref="O71:O81" si="18">M71+N71</f>
        <v>0</v>
      </c>
      <c r="P71" s="780" t="e">
        <f t="shared" si="14"/>
        <v>#DIV/0!</v>
      </c>
      <c r="Q71" s="781">
        <f t="shared" si="8"/>
        <v>0</v>
      </c>
      <c r="AA71" s="632"/>
    </row>
    <row r="72" spans="2:27" ht="16.5" hidden="1" customHeight="1" outlineLevel="2">
      <c r="B72" s="776" t="s">
        <v>678</v>
      </c>
      <c r="C72" s="777" t="s">
        <v>68</v>
      </c>
      <c r="D72" s="776" t="s">
        <v>1539</v>
      </c>
      <c r="E72" s="648" t="s">
        <v>1540</v>
      </c>
      <c r="F72" s="648" t="s">
        <v>657</v>
      </c>
      <c r="G72" s="791">
        <v>1</v>
      </c>
      <c r="H72" s="795" t="s">
        <v>143</v>
      </c>
      <c r="I72" s="672">
        <f t="shared" si="15"/>
        <v>0</v>
      </c>
      <c r="J72" s="672"/>
      <c r="K72" s="791">
        <f t="shared" ref="K72:K81" si="19">J72/(1+L72)</f>
        <v>0</v>
      </c>
      <c r="L72" s="569">
        <v>0.17</v>
      </c>
      <c r="M72" s="779">
        <f t="shared" si="16"/>
        <v>0</v>
      </c>
      <c r="N72" s="779">
        <f t="shared" si="17"/>
        <v>0</v>
      </c>
      <c r="O72" s="779">
        <f t="shared" si="18"/>
        <v>0</v>
      </c>
      <c r="P72" s="780" t="e">
        <f t="shared" si="14"/>
        <v>#DIV/0!</v>
      </c>
      <c r="Q72" s="781">
        <f t="shared" si="8"/>
        <v>0</v>
      </c>
      <c r="AA72" s="632"/>
    </row>
    <row r="73" spans="2:27" ht="16.5" hidden="1" customHeight="1" outlineLevel="2">
      <c r="B73" s="776" t="s">
        <v>679</v>
      </c>
      <c r="C73" s="777" t="s">
        <v>69</v>
      </c>
      <c r="D73" s="776" t="s">
        <v>1541</v>
      </c>
      <c r="E73" s="648" t="s">
        <v>1542</v>
      </c>
      <c r="F73" s="648" t="s">
        <v>657</v>
      </c>
      <c r="G73" s="791">
        <v>1</v>
      </c>
      <c r="H73" s="795" t="s">
        <v>143</v>
      </c>
      <c r="I73" s="672">
        <f t="shared" si="15"/>
        <v>0</v>
      </c>
      <c r="J73" s="672"/>
      <c r="K73" s="791">
        <f t="shared" si="19"/>
        <v>0</v>
      </c>
      <c r="L73" s="569">
        <v>0.17</v>
      </c>
      <c r="M73" s="779">
        <f t="shared" si="16"/>
        <v>0</v>
      </c>
      <c r="N73" s="779">
        <f t="shared" si="17"/>
        <v>0</v>
      </c>
      <c r="O73" s="779">
        <f t="shared" si="18"/>
        <v>0</v>
      </c>
      <c r="P73" s="780" t="e">
        <f t="shared" si="14"/>
        <v>#DIV/0!</v>
      </c>
      <c r="Q73" s="781">
        <f t="shared" si="8"/>
        <v>0</v>
      </c>
      <c r="AA73" s="632"/>
    </row>
    <row r="74" spans="2:27" ht="16.5" hidden="1" customHeight="1" outlineLevel="2">
      <c r="B74" s="776" t="s">
        <v>680</v>
      </c>
      <c r="C74" s="777" t="s">
        <v>70</v>
      </c>
      <c r="D74" s="776" t="s">
        <v>1543</v>
      </c>
      <c r="E74" s="648" t="s">
        <v>1544</v>
      </c>
      <c r="F74" s="648" t="s">
        <v>657</v>
      </c>
      <c r="G74" s="791">
        <v>1</v>
      </c>
      <c r="H74" s="795" t="s">
        <v>143</v>
      </c>
      <c r="I74" s="672">
        <f t="shared" si="15"/>
        <v>0</v>
      </c>
      <c r="J74" s="672"/>
      <c r="K74" s="791">
        <f t="shared" si="19"/>
        <v>0</v>
      </c>
      <c r="L74" s="569">
        <v>0.17</v>
      </c>
      <c r="M74" s="779">
        <f t="shared" si="16"/>
        <v>0</v>
      </c>
      <c r="N74" s="779">
        <f t="shared" si="17"/>
        <v>0</v>
      </c>
      <c r="O74" s="779">
        <f t="shared" si="18"/>
        <v>0</v>
      </c>
      <c r="P74" s="780" t="e">
        <f t="shared" si="14"/>
        <v>#DIV/0!</v>
      </c>
      <c r="Q74" s="781">
        <f t="shared" si="8"/>
        <v>0</v>
      </c>
      <c r="AA74" s="632"/>
    </row>
    <row r="75" spans="2:27" ht="16.5" hidden="1" customHeight="1" outlineLevel="2">
      <c r="B75" s="776" t="s">
        <v>681</v>
      </c>
      <c r="C75" s="777" t="s">
        <v>71</v>
      </c>
      <c r="D75" s="776" t="s">
        <v>1545</v>
      </c>
      <c r="E75" s="648" t="s">
        <v>450</v>
      </c>
      <c r="F75" s="648" t="s">
        <v>657</v>
      </c>
      <c r="G75" s="791">
        <v>1</v>
      </c>
      <c r="H75" s="795" t="s">
        <v>143</v>
      </c>
      <c r="I75" s="672">
        <f t="shared" si="15"/>
        <v>0</v>
      </c>
      <c r="J75" s="672"/>
      <c r="K75" s="791">
        <f t="shared" si="19"/>
        <v>0</v>
      </c>
      <c r="L75" s="569">
        <v>0.17</v>
      </c>
      <c r="M75" s="779">
        <f t="shared" si="16"/>
        <v>0</v>
      </c>
      <c r="N75" s="779">
        <f t="shared" si="17"/>
        <v>0</v>
      </c>
      <c r="O75" s="779">
        <f t="shared" si="18"/>
        <v>0</v>
      </c>
      <c r="P75" s="780" t="e">
        <f t="shared" si="14"/>
        <v>#DIV/0!</v>
      </c>
      <c r="Q75" s="781">
        <f t="shared" si="8"/>
        <v>0</v>
      </c>
      <c r="AA75" s="632"/>
    </row>
    <row r="76" spans="2:27" ht="16.5" hidden="1" customHeight="1" outlineLevel="2">
      <c r="B76" s="776" t="s">
        <v>682</v>
      </c>
      <c r="C76" s="777" t="s">
        <v>144</v>
      </c>
      <c r="D76" s="776" t="s">
        <v>1546</v>
      </c>
      <c r="E76" s="648" t="s">
        <v>452</v>
      </c>
      <c r="F76" s="648" t="s">
        <v>657</v>
      </c>
      <c r="G76" s="791">
        <v>1</v>
      </c>
      <c r="H76" s="795" t="s">
        <v>143</v>
      </c>
      <c r="I76" s="672">
        <f t="shared" si="15"/>
        <v>0</v>
      </c>
      <c r="J76" s="672"/>
      <c r="K76" s="791">
        <f t="shared" si="19"/>
        <v>0</v>
      </c>
      <c r="L76" s="569">
        <v>0.11</v>
      </c>
      <c r="M76" s="779">
        <f t="shared" si="16"/>
        <v>0</v>
      </c>
      <c r="N76" s="779">
        <f t="shared" si="17"/>
        <v>0</v>
      </c>
      <c r="O76" s="779">
        <f t="shared" si="18"/>
        <v>0</v>
      </c>
      <c r="P76" s="780" t="e">
        <f t="shared" si="14"/>
        <v>#DIV/0!</v>
      </c>
      <c r="Q76" s="781">
        <f t="shared" si="8"/>
        <v>0</v>
      </c>
      <c r="AA76" s="632"/>
    </row>
    <row r="77" spans="2:27" ht="16.5" hidden="1" customHeight="1" outlineLevel="2">
      <c r="B77" s="776" t="s">
        <v>683</v>
      </c>
      <c r="C77" s="777" t="s">
        <v>72</v>
      </c>
      <c r="D77" s="776" t="s">
        <v>1547</v>
      </c>
      <c r="E77" s="648" t="s">
        <v>1548</v>
      </c>
      <c r="F77" s="648" t="s">
        <v>657</v>
      </c>
      <c r="G77" s="791">
        <v>1</v>
      </c>
      <c r="H77" s="795" t="s">
        <v>143</v>
      </c>
      <c r="I77" s="672">
        <f t="shared" si="15"/>
        <v>0</v>
      </c>
      <c r="J77" s="672"/>
      <c r="K77" s="791">
        <f t="shared" si="19"/>
        <v>0</v>
      </c>
      <c r="L77" s="569">
        <v>0.17</v>
      </c>
      <c r="M77" s="779">
        <f t="shared" si="16"/>
        <v>0</v>
      </c>
      <c r="N77" s="779">
        <f t="shared" si="17"/>
        <v>0</v>
      </c>
      <c r="O77" s="779">
        <f t="shared" si="18"/>
        <v>0</v>
      </c>
      <c r="P77" s="780" t="e">
        <f t="shared" si="14"/>
        <v>#DIV/0!</v>
      </c>
      <c r="Q77" s="781">
        <f t="shared" si="8"/>
        <v>0</v>
      </c>
      <c r="AA77" s="632"/>
    </row>
    <row r="78" spans="2:27" ht="16.5" hidden="1" customHeight="1" outlineLevel="2">
      <c r="B78" s="776" t="s">
        <v>1549</v>
      </c>
      <c r="C78" s="777" t="s">
        <v>73</v>
      </c>
      <c r="D78" s="776" t="s">
        <v>1550</v>
      </c>
      <c r="E78" s="648" t="s">
        <v>1607</v>
      </c>
      <c r="F78" s="648" t="s">
        <v>657</v>
      </c>
      <c r="G78" s="791">
        <v>1</v>
      </c>
      <c r="H78" s="795" t="s">
        <v>143</v>
      </c>
      <c r="I78" s="672">
        <f t="shared" si="15"/>
        <v>0</v>
      </c>
      <c r="J78" s="672"/>
      <c r="K78" s="791">
        <f t="shared" si="19"/>
        <v>0</v>
      </c>
      <c r="L78" s="569">
        <v>0.17</v>
      </c>
      <c r="M78" s="779">
        <f t="shared" si="16"/>
        <v>0</v>
      </c>
      <c r="N78" s="779">
        <f t="shared" si="17"/>
        <v>0</v>
      </c>
      <c r="O78" s="779">
        <f t="shared" si="18"/>
        <v>0</v>
      </c>
      <c r="P78" s="780" t="e">
        <f t="shared" si="14"/>
        <v>#DIV/0!</v>
      </c>
      <c r="Q78" s="781">
        <f t="shared" si="8"/>
        <v>0</v>
      </c>
      <c r="AA78" s="632"/>
    </row>
    <row r="79" spans="2:27" ht="16.5" hidden="1" customHeight="1" outlineLevel="2">
      <c r="B79" s="776" t="s">
        <v>684</v>
      </c>
      <c r="C79" s="777" t="s">
        <v>74</v>
      </c>
      <c r="D79" s="776" t="s">
        <v>1551</v>
      </c>
      <c r="E79" s="648" t="s">
        <v>457</v>
      </c>
      <c r="F79" s="648" t="s">
        <v>657</v>
      </c>
      <c r="G79" s="791">
        <v>1</v>
      </c>
      <c r="H79" s="795" t="s">
        <v>143</v>
      </c>
      <c r="I79" s="672">
        <f>$E$2*(1+$F$2)</f>
        <v>0</v>
      </c>
      <c r="J79" s="672"/>
      <c r="K79" s="791">
        <f t="shared" si="19"/>
        <v>0</v>
      </c>
      <c r="L79" s="569">
        <v>0.17</v>
      </c>
      <c r="M79" s="779">
        <f t="shared" si="16"/>
        <v>0</v>
      </c>
      <c r="N79" s="779">
        <f t="shared" si="17"/>
        <v>0</v>
      </c>
      <c r="O79" s="779">
        <f t="shared" si="18"/>
        <v>0</v>
      </c>
      <c r="P79" s="780" t="e">
        <f t="shared" si="14"/>
        <v>#DIV/0!</v>
      </c>
      <c r="Q79" s="781">
        <f t="shared" si="8"/>
        <v>0</v>
      </c>
      <c r="AA79" s="632"/>
    </row>
    <row r="80" spans="2:27" ht="16.5" hidden="1" customHeight="1" outlineLevel="2">
      <c r="B80" s="776" t="s">
        <v>685</v>
      </c>
      <c r="C80" s="777" t="s">
        <v>75</v>
      </c>
      <c r="D80" s="776" t="s">
        <v>1552</v>
      </c>
      <c r="E80" s="648" t="s">
        <v>1553</v>
      </c>
      <c r="F80" s="648" t="s">
        <v>657</v>
      </c>
      <c r="G80" s="791">
        <v>1</v>
      </c>
      <c r="H80" s="795" t="s">
        <v>143</v>
      </c>
      <c r="I80" s="672">
        <f>$E$2*(1+$F$2)</f>
        <v>0</v>
      </c>
      <c r="J80" s="672"/>
      <c r="K80" s="791">
        <f t="shared" si="19"/>
        <v>0</v>
      </c>
      <c r="L80" s="569">
        <v>0.17</v>
      </c>
      <c r="M80" s="779">
        <f t="shared" si="16"/>
        <v>0</v>
      </c>
      <c r="N80" s="779">
        <f t="shared" si="17"/>
        <v>0</v>
      </c>
      <c r="O80" s="779">
        <f t="shared" si="18"/>
        <v>0</v>
      </c>
      <c r="P80" s="780" t="e">
        <f t="shared" si="14"/>
        <v>#DIV/0!</v>
      </c>
      <c r="Q80" s="781">
        <f t="shared" si="8"/>
        <v>0</v>
      </c>
      <c r="AA80" s="632"/>
    </row>
    <row r="81" spans="2:27" ht="16.5" hidden="1" customHeight="1" outlineLevel="2">
      <c r="B81" s="776" t="s">
        <v>686</v>
      </c>
      <c r="C81" s="777" t="s">
        <v>146</v>
      </c>
      <c r="D81" s="776" t="s">
        <v>1554</v>
      </c>
      <c r="E81" s="648" t="s">
        <v>1608</v>
      </c>
      <c r="F81" s="648" t="s">
        <v>657</v>
      </c>
      <c r="G81" s="791">
        <v>1</v>
      </c>
      <c r="H81" s="795" t="s">
        <v>143</v>
      </c>
      <c r="I81" s="672">
        <f>$E$2*(1+$F$2)</f>
        <v>0</v>
      </c>
      <c r="J81" s="672"/>
      <c r="K81" s="791">
        <f t="shared" si="19"/>
        <v>0</v>
      </c>
      <c r="L81" s="569">
        <v>0.17</v>
      </c>
      <c r="M81" s="779">
        <f t="shared" si="16"/>
        <v>0</v>
      </c>
      <c r="N81" s="779">
        <f t="shared" si="17"/>
        <v>0</v>
      </c>
      <c r="O81" s="779">
        <f t="shared" si="18"/>
        <v>0</v>
      </c>
      <c r="P81" s="780" t="e">
        <f t="shared" si="14"/>
        <v>#DIV/0!</v>
      </c>
      <c r="Q81" s="781">
        <f t="shared" si="8"/>
        <v>0</v>
      </c>
      <c r="AA81" s="632"/>
    </row>
    <row r="82" spans="2:27" ht="25.5" customHeight="1" outlineLevel="1" collapsed="1">
      <c r="B82" s="802" t="s">
        <v>687</v>
      </c>
      <c r="C82" s="803">
        <v>2</v>
      </c>
      <c r="D82" s="802" t="s">
        <v>688</v>
      </c>
      <c r="E82" s="712"/>
      <c r="F82" s="712"/>
      <c r="G82" s="712"/>
      <c r="H82" s="772"/>
      <c r="I82" s="713"/>
      <c r="J82" s="713"/>
      <c r="K82" s="772"/>
      <c r="L82" s="588"/>
      <c r="M82" s="773">
        <f>SUBTOTAL(9,M83:M85)</f>
        <v>0</v>
      </c>
      <c r="N82" s="773"/>
      <c r="O82" s="773"/>
      <c r="P82" s="774" t="str">
        <f t="shared" si="14"/>
        <v/>
      </c>
      <c r="Q82" s="775">
        <f t="shared" si="8"/>
        <v>0</v>
      </c>
      <c r="AA82" s="632"/>
    </row>
    <row r="83" spans="2:27"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72"/>
      <c r="K83" s="681"/>
      <c r="L83" s="569"/>
      <c r="M83" s="779">
        <f>G83*I83*K83/10000</f>
        <v>0</v>
      </c>
      <c r="N83" s="779"/>
      <c r="O83" s="779"/>
      <c r="P83" s="780" t="str">
        <f t="shared" si="14"/>
        <v/>
      </c>
      <c r="Q83" s="781">
        <f t="shared" si="8"/>
        <v>0</v>
      </c>
      <c r="AA83" s="632"/>
    </row>
    <row r="84" spans="2:27"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72"/>
      <c r="K84" s="681"/>
      <c r="L84" s="569"/>
      <c r="M84" s="779">
        <f>G84*I84*K84/10000</f>
        <v>0</v>
      </c>
      <c r="N84" s="779"/>
      <c r="O84" s="779"/>
      <c r="P84" s="780" t="str">
        <f t="shared" si="14"/>
        <v/>
      </c>
      <c r="Q84" s="781">
        <f t="shared" si="8"/>
        <v>0</v>
      </c>
      <c r="AA84" s="632"/>
    </row>
    <row r="85" spans="2:27"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72"/>
      <c r="K85" s="681"/>
      <c r="L85" s="569"/>
      <c r="M85" s="779">
        <f>G85*I85*K85/10000</f>
        <v>0</v>
      </c>
      <c r="N85" s="779"/>
      <c r="O85" s="779"/>
      <c r="P85" s="780" t="str">
        <f t="shared" si="14"/>
        <v/>
      </c>
      <c r="Q85" s="781">
        <f t="shared" si="8"/>
        <v>0</v>
      </c>
      <c r="AA85" s="632"/>
    </row>
    <row r="86" spans="2:27" ht="16.5" customHeight="1" outlineLevel="1">
      <c r="B86" s="802" t="s">
        <v>695</v>
      </c>
      <c r="C86" s="803">
        <v>3</v>
      </c>
      <c r="D86" s="802" t="s">
        <v>696</v>
      </c>
      <c r="E86" s="712"/>
      <c r="F86" s="712"/>
      <c r="G86" s="712"/>
      <c r="H86" s="772"/>
      <c r="I86" s="713"/>
      <c r="J86" s="713"/>
      <c r="K86" s="772"/>
      <c r="L86" s="588"/>
      <c r="M86" s="773">
        <f>G86*I86*K86/10000</f>
        <v>0</v>
      </c>
      <c r="N86" s="773"/>
      <c r="O86" s="773"/>
      <c r="P86" s="774" t="str">
        <f t="shared" si="14"/>
        <v/>
      </c>
      <c r="Q86" s="775">
        <f t="shared" si="8"/>
        <v>0</v>
      </c>
      <c r="AA86" s="632"/>
    </row>
    <row r="87" spans="2:27" ht="16.5" customHeight="1" outlineLevel="1">
      <c r="B87" s="802" t="s">
        <v>697</v>
      </c>
      <c r="C87" s="803">
        <v>4</v>
      </c>
      <c r="D87" s="802" t="s">
        <v>698</v>
      </c>
      <c r="E87" s="712"/>
      <c r="F87" s="712"/>
      <c r="G87" s="712"/>
      <c r="H87" s="772"/>
      <c r="I87" s="713"/>
      <c r="J87" s="713"/>
      <c r="K87" s="772"/>
      <c r="L87" s="588"/>
      <c r="M87" s="773">
        <f>G87*I87*K87/10000</f>
        <v>0</v>
      </c>
      <c r="N87" s="773"/>
      <c r="O87" s="773"/>
      <c r="P87" s="774" t="str">
        <f t="shared" si="14"/>
        <v/>
      </c>
      <c r="Q87" s="775">
        <f t="shared" si="8"/>
        <v>0</v>
      </c>
      <c r="AA87" s="632"/>
    </row>
    <row r="88" spans="2:27" ht="16.5" customHeight="1">
      <c r="B88" s="480" t="s">
        <v>699</v>
      </c>
      <c r="C88" s="481" t="s">
        <v>379</v>
      </c>
      <c r="D88" s="480" t="s">
        <v>498</v>
      </c>
      <c r="E88" s="765"/>
      <c r="F88" s="765"/>
      <c r="G88" s="765"/>
      <c r="H88" s="765"/>
      <c r="I88" s="766"/>
      <c r="J88" s="766"/>
      <c r="K88" s="765"/>
      <c r="L88" s="767"/>
      <c r="M88" s="768">
        <f>SUBTOTAL(9,M89:M167)</f>
        <v>0</v>
      </c>
      <c r="N88" s="768">
        <f>SUBTOTAL(9,N89:N167)</f>
        <v>0</v>
      </c>
      <c r="O88" s="768">
        <f>SUBTOTAL(9,O89:O167)</f>
        <v>0</v>
      </c>
      <c r="P88" s="769" t="e">
        <f t="shared" si="14"/>
        <v>#DIV/0!</v>
      </c>
      <c r="Q88" s="770"/>
      <c r="AA88" s="632"/>
    </row>
    <row r="89" spans="2:27" ht="16.5" customHeight="1" outlineLevel="1" collapsed="1">
      <c r="B89" s="802" t="s">
        <v>499</v>
      </c>
      <c r="C89" s="803">
        <v>1</v>
      </c>
      <c r="D89" s="802" t="s">
        <v>35</v>
      </c>
      <c r="E89" s="712"/>
      <c r="F89" s="712"/>
      <c r="G89" s="712"/>
      <c r="H89" s="772"/>
      <c r="I89" s="713"/>
      <c r="J89" s="713"/>
      <c r="K89" s="772"/>
      <c r="L89" s="588"/>
      <c r="M89" s="773">
        <f>SUBTOTAL(9,M90:M128)</f>
        <v>0</v>
      </c>
      <c r="N89" s="773">
        <f>SUBTOTAL(9,N90:N128)</f>
        <v>0</v>
      </c>
      <c r="O89" s="773">
        <f>SUBTOTAL(9,O90:O128)</f>
        <v>0</v>
      </c>
      <c r="P89" s="774" t="e">
        <f t="shared" si="14"/>
        <v>#DIV/0!</v>
      </c>
      <c r="Q89" s="775"/>
      <c r="AA89" s="632"/>
    </row>
    <row r="90" spans="2:27" ht="16.5" hidden="1" customHeight="1" outlineLevel="2">
      <c r="B90" s="776" t="s">
        <v>700</v>
      </c>
      <c r="C90" s="777" t="s">
        <v>36</v>
      </c>
      <c r="D90" s="804" t="s">
        <v>701</v>
      </c>
      <c r="E90" s="648"/>
      <c r="F90" s="648"/>
      <c r="G90" s="787"/>
      <c r="H90" s="787"/>
      <c r="I90" s="672"/>
      <c r="J90" s="672"/>
      <c r="K90" s="681"/>
      <c r="L90" s="569"/>
      <c r="M90" s="779">
        <f>SUBTOTAL(9,M91:M110)</f>
        <v>0</v>
      </c>
      <c r="N90" s="779">
        <f>SUBTOTAL(9,N91:N110)</f>
        <v>0</v>
      </c>
      <c r="O90" s="779">
        <f>SUBTOTAL(9,O91:O110)</f>
        <v>0</v>
      </c>
      <c r="P90" s="780" t="e">
        <f t="shared" si="14"/>
        <v>#DIV/0!</v>
      </c>
      <c r="Q90" s="781"/>
      <c r="AA90" s="632"/>
    </row>
    <row r="91" spans="2:27" ht="16.5" hidden="1" customHeight="1" outlineLevel="3">
      <c r="B91" s="776" t="s">
        <v>702</v>
      </c>
      <c r="C91" s="782" t="s">
        <v>39</v>
      </c>
      <c r="D91" s="804" t="s">
        <v>1555</v>
      </c>
      <c r="E91" s="648"/>
      <c r="F91" s="648"/>
      <c r="G91" s="791"/>
      <c r="H91" s="805"/>
      <c r="I91" s="789"/>
      <c r="J91" s="789"/>
      <c r="K91" s="790"/>
      <c r="L91" s="658"/>
      <c r="M91" s="779">
        <f>SUBTOTAL(9,M92:M93)</f>
        <v>0</v>
      </c>
      <c r="N91" s="779">
        <f>SUBTOTAL(9,N92:N93)</f>
        <v>0</v>
      </c>
      <c r="O91" s="779">
        <f>SUBTOTAL(9,O92:O93)</f>
        <v>0</v>
      </c>
      <c r="P91" s="780" t="e">
        <f t="shared" si="14"/>
        <v>#DIV/0!</v>
      </c>
      <c r="Q91" s="806"/>
      <c r="AA91" s="632"/>
    </row>
    <row r="92" spans="2:27" ht="16.5" hidden="1" customHeight="1" outlineLevel="4">
      <c r="B92" s="776" t="s">
        <v>801</v>
      </c>
      <c r="C92" s="782"/>
      <c r="D92" s="807" t="s">
        <v>1556</v>
      </c>
      <c r="E92" s="648" t="s">
        <v>459</v>
      </c>
      <c r="F92" s="648" t="s">
        <v>657</v>
      </c>
      <c r="G92" s="808">
        <v>1.05</v>
      </c>
      <c r="H92" s="805" t="s">
        <v>101</v>
      </c>
      <c r="I92" s="672">
        <f t="shared" ref="I92:I103" si="20">$E$2*(1+$F$2)</f>
        <v>0</v>
      </c>
      <c r="J92" s="672">
        <v>30</v>
      </c>
      <c r="K92" s="791">
        <f>J92/(1+L92)</f>
        <v>25.641025641025642</v>
      </c>
      <c r="L92" s="569">
        <v>0.17</v>
      </c>
      <c r="M92" s="779">
        <f>G92*I92*K92/10000</f>
        <v>0</v>
      </c>
      <c r="N92" s="779">
        <f>L92*M92</f>
        <v>0</v>
      </c>
      <c r="O92" s="779">
        <f>M92+N92</f>
        <v>0</v>
      </c>
      <c r="P92" s="780" t="e">
        <f t="shared" si="14"/>
        <v>#DIV/0!</v>
      </c>
      <c r="Q92" s="806">
        <f t="shared" si="8"/>
        <v>0</v>
      </c>
      <c r="AA92" s="632"/>
    </row>
    <row r="93" spans="2:27" ht="16.5" hidden="1" customHeight="1" outlineLevel="4">
      <c r="B93" s="776" t="s">
        <v>703</v>
      </c>
      <c r="C93" s="782"/>
      <c r="D93" s="807" t="s">
        <v>1557</v>
      </c>
      <c r="E93" s="648" t="s">
        <v>1493</v>
      </c>
      <c r="F93" s="648" t="s">
        <v>657</v>
      </c>
      <c r="G93" s="808">
        <v>1.05</v>
      </c>
      <c r="H93" s="805" t="s">
        <v>101</v>
      </c>
      <c r="I93" s="672">
        <f t="shared" si="20"/>
        <v>0</v>
      </c>
      <c r="J93" s="672">
        <v>50</v>
      </c>
      <c r="K93" s="791">
        <f>J93/(1+L93)</f>
        <v>45.045045045045043</v>
      </c>
      <c r="L93" s="569">
        <v>0.11</v>
      </c>
      <c r="M93" s="779">
        <f>G93*I93*K93/10000</f>
        <v>0</v>
      </c>
      <c r="N93" s="779">
        <f>L93*M93</f>
        <v>0</v>
      </c>
      <c r="O93" s="779">
        <f>M93+N93</f>
        <v>0</v>
      </c>
      <c r="P93" s="780" t="e">
        <f t="shared" si="14"/>
        <v>#DIV/0!</v>
      </c>
      <c r="Q93" s="806">
        <f t="shared" si="8"/>
        <v>0</v>
      </c>
      <c r="AA93" s="632"/>
    </row>
    <row r="94" spans="2:27" ht="16.5" hidden="1" customHeight="1" outlineLevel="3">
      <c r="B94" s="776" t="s">
        <v>1558</v>
      </c>
      <c r="C94" s="782" t="s">
        <v>39</v>
      </c>
      <c r="D94" s="804" t="s">
        <v>1559</v>
      </c>
      <c r="E94" s="665"/>
      <c r="F94" s="665"/>
      <c r="G94" s="809"/>
      <c r="H94" s="790"/>
      <c r="I94" s="789"/>
      <c r="J94" s="789"/>
      <c r="K94" s="790"/>
      <c r="L94" s="658"/>
      <c r="M94" s="779">
        <f>SUBTOTAL(9,M95:M98)</f>
        <v>0</v>
      </c>
      <c r="N94" s="779">
        <f>SUBTOTAL(9,N95:N98)</f>
        <v>0</v>
      </c>
      <c r="O94" s="779">
        <f>SUBTOTAL(9,O95:O98)</f>
        <v>0</v>
      </c>
      <c r="P94" s="780" t="e">
        <f t="shared" si="14"/>
        <v>#DIV/0!</v>
      </c>
      <c r="Q94" s="806">
        <f t="shared" si="8"/>
        <v>0</v>
      </c>
      <c r="AA94" s="632"/>
    </row>
    <row r="95" spans="2:27" ht="16.5" hidden="1" customHeight="1" outlineLevel="4">
      <c r="B95" s="776" t="s">
        <v>802</v>
      </c>
      <c r="C95" s="782"/>
      <c r="D95" s="807" t="s">
        <v>1560</v>
      </c>
      <c r="E95" s="719" t="s">
        <v>1609</v>
      </c>
      <c r="F95" s="648" t="s">
        <v>657</v>
      </c>
      <c r="G95" s="809">
        <v>0</v>
      </c>
      <c r="H95" s="805" t="s">
        <v>101</v>
      </c>
      <c r="I95" s="672">
        <f t="shared" si="20"/>
        <v>0</v>
      </c>
      <c r="J95" s="672"/>
      <c r="K95" s="791">
        <f t="shared" ref="K95:K109" si="21">J95/(1+L95)</f>
        <v>0</v>
      </c>
      <c r="L95" s="569">
        <v>0.11</v>
      </c>
      <c r="M95" s="779">
        <f>G95*I95*K95/10000</f>
        <v>0</v>
      </c>
      <c r="N95" s="779">
        <f>L95*M95</f>
        <v>0</v>
      </c>
      <c r="O95" s="779">
        <f>M95+N95</f>
        <v>0</v>
      </c>
      <c r="P95" s="780" t="e">
        <f t="shared" si="14"/>
        <v>#DIV/0!</v>
      </c>
      <c r="Q95" s="806">
        <f t="shared" si="8"/>
        <v>0</v>
      </c>
      <c r="AA95" s="632"/>
    </row>
    <row r="96" spans="2:27" ht="16.5" hidden="1" customHeight="1" outlineLevel="4">
      <c r="B96" s="776" t="s">
        <v>704</v>
      </c>
      <c r="C96" s="782"/>
      <c r="D96" s="807" t="s">
        <v>1561</v>
      </c>
      <c r="E96" s="719" t="s">
        <v>1609</v>
      </c>
      <c r="F96" s="648" t="s">
        <v>657</v>
      </c>
      <c r="G96" s="809">
        <v>0</v>
      </c>
      <c r="H96" s="805" t="s">
        <v>101</v>
      </c>
      <c r="I96" s="672">
        <f t="shared" si="20"/>
        <v>0</v>
      </c>
      <c r="J96" s="672"/>
      <c r="K96" s="791">
        <f t="shared" si="21"/>
        <v>0</v>
      </c>
      <c r="L96" s="569">
        <v>0.11</v>
      </c>
      <c r="M96" s="779">
        <f>G96*I96*K96/10000</f>
        <v>0</v>
      </c>
      <c r="N96" s="779">
        <f>L96*M96</f>
        <v>0</v>
      </c>
      <c r="O96" s="779">
        <f>M96+N96</f>
        <v>0</v>
      </c>
      <c r="P96" s="780" t="e">
        <f t="shared" si="14"/>
        <v>#DIV/0!</v>
      </c>
      <c r="Q96" s="806">
        <f t="shared" si="8"/>
        <v>0</v>
      </c>
      <c r="AA96" s="632"/>
    </row>
    <row r="97" spans="2:27" ht="16.5" hidden="1" customHeight="1" outlineLevel="4">
      <c r="B97" s="776" t="s">
        <v>1562</v>
      </c>
      <c r="C97" s="782"/>
      <c r="D97" s="807" t="s">
        <v>1563</v>
      </c>
      <c r="E97" s="719" t="s">
        <v>1609</v>
      </c>
      <c r="F97" s="648" t="s">
        <v>657</v>
      </c>
      <c r="G97" s="809">
        <v>0</v>
      </c>
      <c r="H97" s="805" t="s">
        <v>101</v>
      </c>
      <c r="I97" s="672">
        <f t="shared" si="20"/>
        <v>0</v>
      </c>
      <c r="J97" s="672"/>
      <c r="K97" s="791">
        <f t="shared" si="21"/>
        <v>0</v>
      </c>
      <c r="L97" s="569">
        <v>0.11</v>
      </c>
      <c r="M97" s="779">
        <f>G97*I97*K97/10000</f>
        <v>0</v>
      </c>
      <c r="N97" s="779">
        <f>L97*M97</f>
        <v>0</v>
      </c>
      <c r="O97" s="779">
        <f>M97+N97</f>
        <v>0</v>
      </c>
      <c r="P97" s="780" t="e">
        <f t="shared" si="14"/>
        <v>#DIV/0!</v>
      </c>
      <c r="Q97" s="806">
        <f t="shared" si="8"/>
        <v>0</v>
      </c>
      <c r="AA97" s="632"/>
    </row>
    <row r="98" spans="2:27" ht="16.5" hidden="1" customHeight="1" outlineLevel="4">
      <c r="B98" s="776" t="s">
        <v>1564</v>
      </c>
      <c r="C98" s="782"/>
      <c r="D98" s="807" t="s">
        <v>1565</v>
      </c>
      <c r="E98" s="719" t="s">
        <v>1609</v>
      </c>
      <c r="F98" s="648" t="s">
        <v>657</v>
      </c>
      <c r="G98" s="809">
        <v>0</v>
      </c>
      <c r="H98" s="805" t="s">
        <v>101</v>
      </c>
      <c r="I98" s="672">
        <f t="shared" si="20"/>
        <v>0</v>
      </c>
      <c r="J98" s="672"/>
      <c r="K98" s="791">
        <f t="shared" si="21"/>
        <v>0</v>
      </c>
      <c r="L98" s="569">
        <v>0.11</v>
      </c>
      <c r="M98" s="779">
        <f>G98*I98*K98/10000</f>
        <v>0</v>
      </c>
      <c r="N98" s="779">
        <f>L98*M98</f>
        <v>0</v>
      </c>
      <c r="O98" s="779">
        <f>M98+N98</f>
        <v>0</v>
      </c>
      <c r="P98" s="780" t="e">
        <f t="shared" si="14"/>
        <v>#DIV/0!</v>
      </c>
      <c r="Q98" s="806">
        <f t="shared" si="8"/>
        <v>0</v>
      </c>
      <c r="AA98" s="632"/>
    </row>
    <row r="99" spans="2:27" ht="16.5" hidden="1" customHeight="1" outlineLevel="3">
      <c r="B99" s="776" t="s">
        <v>1566</v>
      </c>
      <c r="C99" s="782" t="s">
        <v>39</v>
      </c>
      <c r="D99" s="804" t="s">
        <v>1567</v>
      </c>
      <c r="E99" s="665"/>
      <c r="F99" s="665"/>
      <c r="G99" s="809"/>
      <c r="H99" s="790"/>
      <c r="I99" s="789"/>
      <c r="J99" s="789"/>
      <c r="K99" s="790"/>
      <c r="L99" s="658"/>
      <c r="M99" s="779">
        <f>SUBTOTAL(9,M100:M101)</f>
        <v>0</v>
      </c>
      <c r="N99" s="779">
        <f>SUBTOTAL(9,N100:N101)</f>
        <v>0</v>
      </c>
      <c r="O99" s="779">
        <f>SUBTOTAL(9,O100:O101)</f>
        <v>0</v>
      </c>
      <c r="P99" s="780" t="e">
        <f t="shared" si="14"/>
        <v>#DIV/0!</v>
      </c>
      <c r="Q99" s="806">
        <f t="shared" si="8"/>
        <v>0</v>
      </c>
      <c r="AA99" s="632"/>
    </row>
    <row r="100" spans="2:27" ht="16.5" hidden="1" customHeight="1" outlineLevel="4">
      <c r="B100" s="776" t="s">
        <v>1568</v>
      </c>
      <c r="C100" s="782"/>
      <c r="D100" s="807" t="s">
        <v>1569</v>
      </c>
      <c r="E100" s="665" t="s">
        <v>469</v>
      </c>
      <c r="F100" s="648" t="s">
        <v>657</v>
      </c>
      <c r="G100" s="809">
        <v>0.25</v>
      </c>
      <c r="H100" s="805" t="s">
        <v>101</v>
      </c>
      <c r="I100" s="672">
        <f t="shared" si="20"/>
        <v>0</v>
      </c>
      <c r="J100" s="672">
        <v>50</v>
      </c>
      <c r="K100" s="791">
        <f t="shared" si="21"/>
        <v>42.73504273504274</v>
      </c>
      <c r="L100" s="569">
        <v>0.17</v>
      </c>
      <c r="M100" s="779">
        <f>G100*I100*K100/10000</f>
        <v>0</v>
      </c>
      <c r="N100" s="779">
        <f>L100*M100</f>
        <v>0</v>
      </c>
      <c r="O100" s="779">
        <f>M100+N100</f>
        <v>0</v>
      </c>
      <c r="P100" s="780" t="e">
        <f t="shared" si="14"/>
        <v>#DIV/0!</v>
      </c>
      <c r="Q100" s="806">
        <f t="shared" si="8"/>
        <v>0</v>
      </c>
      <c r="AA100" s="632"/>
    </row>
    <row r="101" spans="2:27" ht="16.5" hidden="1" customHeight="1" outlineLevel="4">
      <c r="B101" s="776" t="s">
        <v>1570</v>
      </c>
      <c r="C101" s="782"/>
      <c r="D101" s="807" t="s">
        <v>1571</v>
      </c>
      <c r="E101" s="665" t="s">
        <v>1228</v>
      </c>
      <c r="F101" s="648" t="s">
        <v>657</v>
      </c>
      <c r="G101" s="809">
        <v>0.25</v>
      </c>
      <c r="H101" s="805" t="s">
        <v>101</v>
      </c>
      <c r="I101" s="672">
        <f t="shared" si="20"/>
        <v>0</v>
      </c>
      <c r="J101" s="672">
        <v>150</v>
      </c>
      <c r="K101" s="791">
        <f t="shared" si="21"/>
        <v>135.13513513513513</v>
      </c>
      <c r="L101" s="569">
        <v>0.11</v>
      </c>
      <c r="M101" s="779">
        <f>G101*I101*K101/10000</f>
        <v>0</v>
      </c>
      <c r="N101" s="779">
        <f>L101*M101</f>
        <v>0</v>
      </c>
      <c r="O101" s="779">
        <f>M101+N101</f>
        <v>0</v>
      </c>
      <c r="P101" s="780" t="e">
        <f t="shared" si="14"/>
        <v>#DIV/0!</v>
      </c>
      <c r="Q101" s="806">
        <f t="shared" si="8"/>
        <v>0</v>
      </c>
      <c r="AA101" s="632"/>
    </row>
    <row r="102" spans="2:27" ht="16.5" hidden="1" customHeight="1" outlineLevel="3">
      <c r="B102" s="776" t="s">
        <v>1572</v>
      </c>
      <c r="C102" s="782" t="s">
        <v>39</v>
      </c>
      <c r="D102" s="804" t="s">
        <v>1573</v>
      </c>
      <c r="E102" s="665"/>
      <c r="F102" s="665"/>
      <c r="G102" s="809"/>
      <c r="H102" s="790"/>
      <c r="I102" s="672"/>
      <c r="J102" s="672"/>
      <c r="K102" s="790"/>
      <c r="L102" s="569"/>
      <c r="M102" s="779">
        <f>SUBTOTAL(9,M103:M104)</f>
        <v>0</v>
      </c>
      <c r="N102" s="779">
        <f>SUBTOTAL(9,N103:N104)</f>
        <v>0</v>
      </c>
      <c r="O102" s="779">
        <f>SUBTOTAL(9,O103:O104)</f>
        <v>0</v>
      </c>
      <c r="P102" s="780" t="e">
        <f t="shared" si="14"/>
        <v>#DIV/0!</v>
      </c>
      <c r="Q102" s="806">
        <f t="shared" si="8"/>
        <v>0</v>
      </c>
      <c r="AA102" s="632"/>
    </row>
    <row r="103" spans="2:27" ht="16.5" hidden="1" customHeight="1" outlineLevel="4">
      <c r="B103" s="776" t="s">
        <v>1574</v>
      </c>
      <c r="C103" s="782"/>
      <c r="D103" s="804" t="s">
        <v>1575</v>
      </c>
      <c r="E103" s="665" t="s">
        <v>468</v>
      </c>
      <c r="F103" s="648" t="s">
        <v>657</v>
      </c>
      <c r="G103" s="809">
        <v>0</v>
      </c>
      <c r="H103" s="805" t="s">
        <v>111</v>
      </c>
      <c r="I103" s="672">
        <f t="shared" si="20"/>
        <v>0</v>
      </c>
      <c r="J103" s="672"/>
      <c r="K103" s="791">
        <f t="shared" si="21"/>
        <v>0</v>
      </c>
      <c r="L103" s="569">
        <v>0.11</v>
      </c>
      <c r="M103" s="779">
        <f t="shared" ref="M103:M110" si="22">G103*I103*K103/10000</f>
        <v>0</v>
      </c>
      <c r="N103" s="779">
        <f t="shared" ref="N103:N110" si="23">L103*M103</f>
        <v>0</v>
      </c>
      <c r="O103" s="779">
        <f t="shared" ref="O103:O110" si="24">M103+N103</f>
        <v>0</v>
      </c>
      <c r="P103" s="780" t="e">
        <f t="shared" si="14"/>
        <v>#DIV/0!</v>
      </c>
      <c r="Q103" s="806">
        <f t="shared" ref="Q103:Q166" si="25">G103*I103*J103/10000-O103</f>
        <v>0</v>
      </c>
      <c r="AA103" s="632"/>
    </row>
    <row r="104" spans="2:27" ht="16.5" hidden="1" customHeight="1" outlineLevel="4">
      <c r="B104" s="776" t="s">
        <v>1576</v>
      </c>
      <c r="C104" s="782"/>
      <c r="D104" s="804" t="s">
        <v>1577</v>
      </c>
      <c r="E104" s="665" t="s">
        <v>468</v>
      </c>
      <c r="F104" s="648" t="s">
        <v>657</v>
      </c>
      <c r="G104" s="809">
        <v>0.15</v>
      </c>
      <c r="H104" s="805" t="s">
        <v>111</v>
      </c>
      <c r="I104" s="672">
        <f>$E$2*(1+$F$2)</f>
        <v>0</v>
      </c>
      <c r="J104" s="672">
        <v>360</v>
      </c>
      <c r="K104" s="791">
        <f t="shared" si="21"/>
        <v>324.32432432432432</v>
      </c>
      <c r="L104" s="569">
        <v>0.11</v>
      </c>
      <c r="M104" s="779">
        <f t="shared" si="22"/>
        <v>0</v>
      </c>
      <c r="N104" s="779">
        <f t="shared" si="23"/>
        <v>0</v>
      </c>
      <c r="O104" s="779">
        <f t="shared" si="24"/>
        <v>0</v>
      </c>
      <c r="P104" s="780" t="e">
        <f t="shared" si="14"/>
        <v>#DIV/0!</v>
      </c>
      <c r="Q104" s="806">
        <f t="shared" si="25"/>
        <v>0</v>
      </c>
      <c r="AA104" s="632"/>
    </row>
    <row r="105" spans="2:27" ht="16.5" hidden="1" customHeight="1" outlineLevel="3">
      <c r="B105" s="776" t="s">
        <v>1578</v>
      </c>
      <c r="C105" s="782" t="s">
        <v>39</v>
      </c>
      <c r="D105" s="804" t="s">
        <v>1579</v>
      </c>
      <c r="E105" s="648" t="s">
        <v>1610</v>
      </c>
      <c r="F105" s="648" t="s">
        <v>657</v>
      </c>
      <c r="G105" s="809"/>
      <c r="H105" s="790"/>
      <c r="I105" s="672"/>
      <c r="J105" s="672"/>
      <c r="K105" s="791">
        <f t="shared" si="21"/>
        <v>0</v>
      </c>
      <c r="L105" s="569">
        <v>0.11</v>
      </c>
      <c r="M105" s="779">
        <f t="shared" si="22"/>
        <v>0</v>
      </c>
      <c r="N105" s="779">
        <f t="shared" si="23"/>
        <v>0</v>
      </c>
      <c r="O105" s="779">
        <f t="shared" si="24"/>
        <v>0</v>
      </c>
      <c r="P105" s="780" t="e">
        <f t="shared" si="14"/>
        <v>#DIV/0!</v>
      </c>
      <c r="Q105" s="806">
        <f t="shared" si="25"/>
        <v>0</v>
      </c>
      <c r="AA105" s="632"/>
    </row>
    <row r="106" spans="2:27" ht="16.5" hidden="1" customHeight="1" outlineLevel="3">
      <c r="B106" s="776" t="s">
        <v>705</v>
      </c>
      <c r="C106" s="782" t="s">
        <v>39</v>
      </c>
      <c r="D106" s="804" t="s">
        <v>708</v>
      </c>
      <c r="E106" s="648" t="s">
        <v>1580</v>
      </c>
      <c r="F106" s="665" t="s">
        <v>18</v>
      </c>
      <c r="G106" s="810">
        <v>1</v>
      </c>
      <c r="H106" s="795"/>
      <c r="I106" s="789">
        <f>I2</f>
        <v>0</v>
      </c>
      <c r="J106" s="789">
        <v>5000</v>
      </c>
      <c r="K106" s="791">
        <f t="shared" si="21"/>
        <v>4504.5045045045044</v>
      </c>
      <c r="L106" s="569">
        <v>0.11</v>
      </c>
      <c r="M106" s="779">
        <f t="shared" si="22"/>
        <v>0</v>
      </c>
      <c r="N106" s="779">
        <f t="shared" si="23"/>
        <v>0</v>
      </c>
      <c r="O106" s="779">
        <f t="shared" si="24"/>
        <v>0</v>
      </c>
      <c r="P106" s="780" t="e">
        <f t="shared" si="14"/>
        <v>#DIV/0!</v>
      </c>
      <c r="Q106" s="806">
        <f t="shared" si="25"/>
        <v>0</v>
      </c>
      <c r="AA106" s="632"/>
    </row>
    <row r="107" spans="2:27" ht="16.5" hidden="1" customHeight="1" outlineLevel="3">
      <c r="B107" s="776" t="s">
        <v>706</v>
      </c>
      <c r="C107" s="782" t="s">
        <v>39</v>
      </c>
      <c r="D107" s="804" t="s">
        <v>1581</v>
      </c>
      <c r="E107" s="648" t="s">
        <v>1606</v>
      </c>
      <c r="F107" s="648" t="s">
        <v>657</v>
      </c>
      <c r="G107" s="809"/>
      <c r="H107" s="805" t="s">
        <v>101</v>
      </c>
      <c r="I107" s="672">
        <f>$E$2*(1+$F$2)</f>
        <v>0</v>
      </c>
      <c r="J107" s="672"/>
      <c r="K107" s="791">
        <f t="shared" si="21"/>
        <v>0</v>
      </c>
      <c r="L107" s="569">
        <v>0.11</v>
      </c>
      <c r="M107" s="779">
        <f t="shared" si="22"/>
        <v>0</v>
      </c>
      <c r="N107" s="779">
        <f t="shared" si="23"/>
        <v>0</v>
      </c>
      <c r="O107" s="779">
        <f t="shared" si="24"/>
        <v>0</v>
      </c>
      <c r="P107" s="780" t="e">
        <f t="shared" si="14"/>
        <v>#DIV/0!</v>
      </c>
      <c r="Q107" s="806">
        <f t="shared" si="25"/>
        <v>0</v>
      </c>
      <c r="AA107" s="632"/>
    </row>
    <row r="108" spans="2:27" ht="16.5" hidden="1" customHeight="1" outlineLevel="3">
      <c r="B108" s="776" t="s">
        <v>707</v>
      </c>
      <c r="C108" s="782" t="s">
        <v>39</v>
      </c>
      <c r="D108" s="804" t="s">
        <v>1582</v>
      </c>
      <c r="E108" s="648" t="s">
        <v>1606</v>
      </c>
      <c r="F108" s="665" t="s">
        <v>18</v>
      </c>
      <c r="G108" s="811">
        <v>0</v>
      </c>
      <c r="H108" s="805" t="s">
        <v>1</v>
      </c>
      <c r="I108" s="672">
        <f>$I$2</f>
        <v>0</v>
      </c>
      <c r="J108" s="672"/>
      <c r="K108" s="791">
        <f t="shared" si="21"/>
        <v>0</v>
      </c>
      <c r="L108" s="569">
        <v>0.11</v>
      </c>
      <c r="M108" s="779">
        <f t="shared" si="22"/>
        <v>0</v>
      </c>
      <c r="N108" s="779">
        <f t="shared" si="23"/>
        <v>0</v>
      </c>
      <c r="O108" s="779">
        <f t="shared" si="24"/>
        <v>0</v>
      </c>
      <c r="P108" s="780" t="e">
        <f t="shared" si="14"/>
        <v>#DIV/0!</v>
      </c>
      <c r="Q108" s="781">
        <f t="shared" si="25"/>
        <v>0</v>
      </c>
      <c r="AA108" s="632"/>
    </row>
    <row r="109" spans="2:27" ht="16.5" hidden="1" customHeight="1" outlineLevel="3">
      <c r="B109" s="776" t="s">
        <v>709</v>
      </c>
      <c r="C109" s="782" t="s">
        <v>39</v>
      </c>
      <c r="D109" s="804" t="s">
        <v>97</v>
      </c>
      <c r="E109" s="648" t="s">
        <v>470</v>
      </c>
      <c r="F109" s="648" t="s">
        <v>657</v>
      </c>
      <c r="G109" s="808">
        <v>0</v>
      </c>
      <c r="H109" s="805" t="s">
        <v>111</v>
      </c>
      <c r="I109" s="672">
        <f>$E$2*(1+$F$2)</f>
        <v>0</v>
      </c>
      <c r="J109" s="672">
        <v>10</v>
      </c>
      <c r="K109" s="791">
        <f t="shared" si="21"/>
        <v>9.0090090090090076</v>
      </c>
      <c r="L109" s="620">
        <v>0.11</v>
      </c>
      <c r="M109" s="779">
        <f t="shared" si="22"/>
        <v>0</v>
      </c>
      <c r="N109" s="779">
        <f t="shared" si="23"/>
        <v>0</v>
      </c>
      <c r="O109" s="779">
        <f t="shared" si="24"/>
        <v>0</v>
      </c>
      <c r="P109" s="780" t="e">
        <f t="shared" si="14"/>
        <v>#DIV/0!</v>
      </c>
      <c r="Q109" s="781">
        <f t="shared" si="25"/>
        <v>0</v>
      </c>
      <c r="AA109" s="632"/>
    </row>
    <row r="110" spans="2:27" ht="16.5" hidden="1" customHeight="1" outlineLevel="3">
      <c r="B110" s="776" t="s">
        <v>710</v>
      </c>
      <c r="C110" s="782" t="s">
        <v>39</v>
      </c>
      <c r="D110" s="804" t="s">
        <v>711</v>
      </c>
      <c r="E110" s="648" t="s">
        <v>1606</v>
      </c>
      <c r="F110" s="648" t="s">
        <v>657</v>
      </c>
      <c r="G110" s="808"/>
      <c r="H110" s="812"/>
      <c r="I110" s="672"/>
      <c r="J110" s="672"/>
      <c r="K110" s="812"/>
      <c r="L110" s="620">
        <v>0.11</v>
      </c>
      <c r="M110" s="779">
        <f t="shared" si="22"/>
        <v>0</v>
      </c>
      <c r="N110" s="779">
        <f t="shared" si="23"/>
        <v>0</v>
      </c>
      <c r="O110" s="779">
        <f t="shared" si="24"/>
        <v>0</v>
      </c>
      <c r="P110" s="780" t="e">
        <f t="shared" si="14"/>
        <v>#DIV/0!</v>
      </c>
      <c r="Q110" s="781">
        <f t="shared" si="25"/>
        <v>0</v>
      </c>
      <c r="AA110" s="632"/>
    </row>
    <row r="111" spans="2:27" ht="16.5" hidden="1" customHeight="1" outlineLevel="2">
      <c r="B111" s="776" t="s">
        <v>712</v>
      </c>
      <c r="C111" s="777" t="s">
        <v>33</v>
      </c>
      <c r="D111" s="804" t="s">
        <v>713</v>
      </c>
      <c r="E111" s="648"/>
      <c r="F111" s="648"/>
      <c r="G111" s="787"/>
      <c r="H111" s="787"/>
      <c r="I111" s="672"/>
      <c r="J111" s="672"/>
      <c r="K111" s="681"/>
      <c r="L111" s="569"/>
      <c r="M111" s="779">
        <f>SUBTOTAL(9,M112:M116)</f>
        <v>0</v>
      </c>
      <c r="N111" s="779">
        <f>SUBTOTAL(9,N112:N116)</f>
        <v>0</v>
      </c>
      <c r="O111" s="779">
        <f>SUBTOTAL(9,O112:O116)</f>
        <v>0</v>
      </c>
      <c r="P111" s="780" t="e">
        <f t="shared" si="14"/>
        <v>#DIV/0!</v>
      </c>
      <c r="Q111" s="781"/>
      <c r="AA111" s="632"/>
    </row>
    <row r="112" spans="2:27" ht="16.5" hidden="1" customHeight="1" outlineLevel="3">
      <c r="B112" s="776" t="s">
        <v>714</v>
      </c>
      <c r="C112" s="782" t="s">
        <v>39</v>
      </c>
      <c r="D112" s="804" t="s">
        <v>715</v>
      </c>
      <c r="E112" s="665" t="s">
        <v>1583</v>
      </c>
      <c r="F112" s="665" t="s">
        <v>803</v>
      </c>
      <c r="G112" s="813">
        <v>6</v>
      </c>
      <c r="H112" s="805" t="s">
        <v>1836</v>
      </c>
      <c r="I112" s="672">
        <f>($K$2+1)*$I$2</f>
        <v>0</v>
      </c>
      <c r="J112" s="672">
        <v>60</v>
      </c>
      <c r="K112" s="791">
        <f>J112/(1+L112)</f>
        <v>54.054054054054049</v>
      </c>
      <c r="L112" s="620">
        <v>0.11</v>
      </c>
      <c r="M112" s="779">
        <f>G112*I112*K112/10000</f>
        <v>0</v>
      </c>
      <c r="N112" s="779">
        <f>L112*M112</f>
        <v>0</v>
      </c>
      <c r="O112" s="779">
        <f>M112+N112</f>
        <v>0</v>
      </c>
      <c r="P112" s="780" t="e">
        <f t="shared" si="14"/>
        <v>#DIV/0!</v>
      </c>
      <c r="Q112" s="781">
        <f t="shared" si="25"/>
        <v>0</v>
      </c>
      <c r="AA112" s="632"/>
    </row>
    <row r="113" spans="2:27" ht="16.5" hidden="1" customHeight="1" outlineLevel="3">
      <c r="B113" s="776" t="s">
        <v>717</v>
      </c>
      <c r="C113" s="782" t="s">
        <v>39</v>
      </c>
      <c r="D113" s="804" t="s">
        <v>1584</v>
      </c>
      <c r="E113" s="665" t="s">
        <v>1583</v>
      </c>
      <c r="F113" s="665" t="s">
        <v>0</v>
      </c>
      <c r="G113" s="813"/>
      <c r="H113" s="805" t="s">
        <v>1836</v>
      </c>
      <c r="I113" s="672">
        <f>I112</f>
        <v>0</v>
      </c>
      <c r="J113" s="672"/>
      <c r="K113" s="791">
        <f>J113/(1+L113)</f>
        <v>0</v>
      </c>
      <c r="L113" s="569">
        <v>0.11</v>
      </c>
      <c r="M113" s="779">
        <f>G113*I113*K113/10000</f>
        <v>0</v>
      </c>
      <c r="N113" s="779">
        <f>L113*M113</f>
        <v>0</v>
      </c>
      <c r="O113" s="779">
        <f>M113+N113</f>
        <v>0</v>
      </c>
      <c r="P113" s="780" t="e">
        <f t="shared" si="14"/>
        <v>#DIV/0!</v>
      </c>
      <c r="Q113" s="781">
        <f t="shared" si="25"/>
        <v>0</v>
      </c>
      <c r="AA113" s="632"/>
    </row>
    <row r="114" spans="2:27" ht="16.5" hidden="1" customHeight="1" outlineLevel="3">
      <c r="B114" s="776" t="s">
        <v>718</v>
      </c>
      <c r="C114" s="782" t="s">
        <v>39</v>
      </c>
      <c r="D114" s="804" t="s">
        <v>719</v>
      </c>
      <c r="E114" s="665" t="s">
        <v>1583</v>
      </c>
      <c r="F114" s="665" t="s">
        <v>5</v>
      </c>
      <c r="G114" s="813">
        <v>5.5</v>
      </c>
      <c r="H114" s="787" t="s">
        <v>660</v>
      </c>
      <c r="I114" s="672">
        <f>$H$2</f>
        <v>0</v>
      </c>
      <c r="J114" s="672">
        <v>145</v>
      </c>
      <c r="K114" s="791">
        <f>J114/(1+L114)</f>
        <v>130.63063063063061</v>
      </c>
      <c r="L114" s="569">
        <v>0.11</v>
      </c>
      <c r="M114" s="779">
        <f>G114*I114*K114/10000</f>
        <v>0</v>
      </c>
      <c r="N114" s="779">
        <f>L114*M114</f>
        <v>0</v>
      </c>
      <c r="O114" s="779">
        <f>M114+N114</f>
        <v>0</v>
      </c>
      <c r="P114" s="780" t="e">
        <f t="shared" si="14"/>
        <v>#DIV/0!</v>
      </c>
      <c r="Q114" s="781">
        <f t="shared" si="25"/>
        <v>0</v>
      </c>
      <c r="AA114" s="632"/>
    </row>
    <row r="115" spans="2:27" ht="16.5" hidden="1" customHeight="1" outlineLevel="3">
      <c r="B115" s="776" t="s">
        <v>1585</v>
      </c>
      <c r="C115" s="782" t="s">
        <v>39</v>
      </c>
      <c r="D115" s="804" t="s">
        <v>720</v>
      </c>
      <c r="E115" s="665" t="s">
        <v>1583</v>
      </c>
      <c r="F115" s="665" t="s">
        <v>5</v>
      </c>
      <c r="G115" s="808">
        <v>3</v>
      </c>
      <c r="H115" s="812" t="s">
        <v>660</v>
      </c>
      <c r="I115" s="672">
        <f>$H$2</f>
        <v>0</v>
      </c>
      <c r="J115" s="672">
        <v>90</v>
      </c>
      <c r="K115" s="791">
        <f>J115/(1+L115)</f>
        <v>81.081081081081081</v>
      </c>
      <c r="L115" s="620">
        <v>0.11</v>
      </c>
      <c r="M115" s="779">
        <f>G115*I115*K115/10000</f>
        <v>0</v>
      </c>
      <c r="N115" s="779">
        <f>L115*M115</f>
        <v>0</v>
      </c>
      <c r="O115" s="779">
        <f>M115+N115</f>
        <v>0</v>
      </c>
      <c r="P115" s="780" t="e">
        <f t="shared" si="14"/>
        <v>#DIV/0!</v>
      </c>
      <c r="Q115" s="781">
        <f t="shared" si="25"/>
        <v>0</v>
      </c>
      <c r="AA115" s="632"/>
    </row>
    <row r="116" spans="2:27" ht="16.5" hidden="1" customHeight="1" outlineLevel="3">
      <c r="B116" s="776" t="s">
        <v>1586</v>
      </c>
      <c r="C116" s="782" t="s">
        <v>39</v>
      </c>
      <c r="D116" s="804" t="s">
        <v>721</v>
      </c>
      <c r="E116" s="665" t="s">
        <v>1583</v>
      </c>
      <c r="F116" s="665" t="s">
        <v>5</v>
      </c>
      <c r="G116" s="809">
        <v>4</v>
      </c>
      <c r="H116" s="787" t="s">
        <v>722</v>
      </c>
      <c r="I116" s="672">
        <f>$H$2</f>
        <v>0</v>
      </c>
      <c r="J116" s="672">
        <v>220</v>
      </c>
      <c r="K116" s="791">
        <f>J116/(1+L116)</f>
        <v>198.19819819819818</v>
      </c>
      <c r="L116" s="569">
        <v>0.11</v>
      </c>
      <c r="M116" s="779">
        <f>G116*I116*K116/10000</f>
        <v>0</v>
      </c>
      <c r="N116" s="779">
        <f>L116*M116</f>
        <v>0</v>
      </c>
      <c r="O116" s="779">
        <f>M116+N116</f>
        <v>0</v>
      </c>
      <c r="P116" s="780" t="e">
        <f t="shared" si="14"/>
        <v>#DIV/0!</v>
      </c>
      <c r="Q116" s="781">
        <f t="shared" si="25"/>
        <v>0</v>
      </c>
      <c r="AA116" s="632"/>
    </row>
    <row r="117" spans="2:27" ht="16.5" hidden="1" customHeight="1" outlineLevel="2">
      <c r="B117" s="776" t="s">
        <v>723</v>
      </c>
      <c r="C117" s="777" t="s">
        <v>88</v>
      </c>
      <c r="D117" s="804" t="s">
        <v>21</v>
      </c>
      <c r="E117" s="648"/>
      <c r="F117" s="648"/>
      <c r="G117" s="787"/>
      <c r="H117" s="787"/>
      <c r="I117" s="672"/>
      <c r="J117" s="672"/>
      <c r="K117" s="681"/>
      <c r="L117" s="569"/>
      <c r="M117" s="779">
        <f>SUBTOTAL(9,M118:M123)</f>
        <v>0</v>
      </c>
      <c r="N117" s="779">
        <f>SUBTOTAL(9,N118:N123)</f>
        <v>0</v>
      </c>
      <c r="O117" s="779">
        <f>SUBTOTAL(9,O118:O123)</f>
        <v>0</v>
      </c>
      <c r="P117" s="780" t="e">
        <f t="shared" si="14"/>
        <v>#DIV/0!</v>
      </c>
      <c r="Q117" s="781"/>
      <c r="AA117" s="632"/>
    </row>
    <row r="118" spans="2:27" ht="16.5" hidden="1" customHeight="1" outlineLevel="3">
      <c r="B118" s="776" t="s">
        <v>724</v>
      </c>
      <c r="C118" s="782" t="s">
        <v>39</v>
      </c>
      <c r="D118" s="804" t="s">
        <v>725</v>
      </c>
      <c r="E118" s="665" t="s">
        <v>1580</v>
      </c>
      <c r="F118" s="665" t="s">
        <v>18</v>
      </c>
      <c r="G118" s="814"/>
      <c r="H118" s="805" t="s">
        <v>1611</v>
      </c>
      <c r="I118" s="672">
        <f>$I$2</f>
        <v>0</v>
      </c>
      <c r="J118" s="672">
        <v>5000</v>
      </c>
      <c r="K118" s="791">
        <f>J118/(1+L118)</f>
        <v>4504.5045045045044</v>
      </c>
      <c r="L118" s="620">
        <v>0.11</v>
      </c>
      <c r="M118" s="779">
        <f>G118*I118*K118/10000</f>
        <v>0</v>
      </c>
      <c r="N118" s="779">
        <f>L118*M118</f>
        <v>0</v>
      </c>
      <c r="O118" s="779">
        <f>M118+N118</f>
        <v>0</v>
      </c>
      <c r="P118" s="780" t="e">
        <f t="shared" si="14"/>
        <v>#DIV/0!</v>
      </c>
      <c r="Q118" s="781">
        <f t="shared" si="25"/>
        <v>0</v>
      </c>
      <c r="AA118" s="632"/>
    </row>
    <row r="119" spans="2:27" ht="16.5" hidden="1" customHeight="1" outlineLevel="3">
      <c r="B119" s="776" t="s">
        <v>726</v>
      </c>
      <c r="C119" s="782" t="s">
        <v>39</v>
      </c>
      <c r="D119" s="804" t="s">
        <v>61</v>
      </c>
      <c r="E119" s="665"/>
      <c r="F119" s="665"/>
      <c r="G119" s="813"/>
      <c r="H119" s="787"/>
      <c r="I119" s="672"/>
      <c r="J119" s="672"/>
      <c r="K119" s="787"/>
      <c r="L119" s="569"/>
      <c r="M119" s="779">
        <f>SUBTOTAL(9,M120:M121)</f>
        <v>0</v>
      </c>
      <c r="N119" s="779">
        <f>SUBTOTAL(9,N120:N121)</f>
        <v>0</v>
      </c>
      <c r="O119" s="779">
        <f>SUBTOTAL(9,O120:O121)</f>
        <v>0</v>
      </c>
      <c r="P119" s="780" t="e">
        <f t="shared" si="14"/>
        <v>#DIV/0!</v>
      </c>
      <c r="Q119" s="781"/>
      <c r="AA119" s="632"/>
    </row>
    <row r="120" spans="2:27" ht="16.5" hidden="1" customHeight="1" outlineLevel="4">
      <c r="B120" s="776" t="s">
        <v>1612</v>
      </c>
      <c r="C120" s="782"/>
      <c r="D120" s="807" t="s">
        <v>1613</v>
      </c>
      <c r="E120" s="665" t="s">
        <v>1587</v>
      </c>
      <c r="F120" s="665" t="s">
        <v>1614</v>
      </c>
      <c r="G120" s="813">
        <v>1</v>
      </c>
      <c r="H120" s="787" t="s">
        <v>727</v>
      </c>
      <c r="I120" s="672">
        <f>$H$2</f>
        <v>0</v>
      </c>
      <c r="J120" s="672">
        <v>3700</v>
      </c>
      <c r="K120" s="791">
        <f>J120/(1+L120)</f>
        <v>3162.3931623931626</v>
      </c>
      <c r="L120" s="569">
        <v>0.17</v>
      </c>
      <c r="M120" s="779">
        <f>G120*I120*K120/10000</f>
        <v>0</v>
      </c>
      <c r="N120" s="779">
        <f>L120*M120</f>
        <v>0</v>
      </c>
      <c r="O120" s="779">
        <f>M120+N120</f>
        <v>0</v>
      </c>
      <c r="P120" s="780" t="e">
        <f t="shared" si="14"/>
        <v>#DIV/0!</v>
      </c>
      <c r="Q120" s="781">
        <f t="shared" si="25"/>
        <v>0</v>
      </c>
      <c r="AA120" s="632"/>
    </row>
    <row r="121" spans="2:27" ht="16.5" hidden="1" customHeight="1" outlineLevel="4">
      <c r="B121" s="776" t="s">
        <v>1588</v>
      </c>
      <c r="C121" s="782"/>
      <c r="D121" s="807" t="s">
        <v>1615</v>
      </c>
      <c r="E121" s="665" t="s">
        <v>1589</v>
      </c>
      <c r="F121" s="665" t="s">
        <v>1614</v>
      </c>
      <c r="G121" s="813">
        <v>0</v>
      </c>
      <c r="H121" s="787" t="s">
        <v>727</v>
      </c>
      <c r="I121" s="672">
        <f>$H$2</f>
        <v>0</v>
      </c>
      <c r="J121" s="672">
        <v>500</v>
      </c>
      <c r="K121" s="791">
        <f>J121/(1+L121)</f>
        <v>427.35042735042737</v>
      </c>
      <c r="L121" s="569">
        <v>0.17</v>
      </c>
      <c r="M121" s="779">
        <f>G121*I121*K121/10000</f>
        <v>0</v>
      </c>
      <c r="N121" s="779">
        <f>L121*M121</f>
        <v>0</v>
      </c>
      <c r="O121" s="779">
        <f>M121+N121</f>
        <v>0</v>
      </c>
      <c r="P121" s="780" t="e">
        <f t="shared" si="14"/>
        <v>#DIV/0!</v>
      </c>
      <c r="Q121" s="781">
        <f t="shared" si="25"/>
        <v>0</v>
      </c>
      <c r="AA121" s="632"/>
    </row>
    <row r="122" spans="2:27" ht="16.5" hidden="1" customHeight="1" outlineLevel="3">
      <c r="B122" s="776" t="s">
        <v>728</v>
      </c>
      <c r="C122" s="782" t="s">
        <v>39</v>
      </c>
      <c r="D122" s="804" t="s">
        <v>729</v>
      </c>
      <c r="E122" s="648" t="s">
        <v>1590</v>
      </c>
      <c r="F122" s="665" t="s">
        <v>803</v>
      </c>
      <c r="G122" s="813">
        <v>4.4999999999999998E-2</v>
      </c>
      <c r="H122" s="805" t="s">
        <v>1591</v>
      </c>
      <c r="I122" s="672">
        <f>$I$2*($K$2+1)</f>
        <v>0</v>
      </c>
      <c r="J122" s="672">
        <v>450</v>
      </c>
      <c r="K122" s="791">
        <f>J122/(1+L122)</f>
        <v>405.40540540540536</v>
      </c>
      <c r="L122" s="620">
        <v>0.11</v>
      </c>
      <c r="M122" s="779">
        <f>G122*I122*K122/10000</f>
        <v>0</v>
      </c>
      <c r="N122" s="779">
        <f>L122*M122</f>
        <v>0</v>
      </c>
      <c r="O122" s="779">
        <f>M122+N122</f>
        <v>0</v>
      </c>
      <c r="P122" s="780" t="e">
        <f t="shared" si="14"/>
        <v>#DIV/0!</v>
      </c>
      <c r="Q122" s="781">
        <f t="shared" si="25"/>
        <v>0</v>
      </c>
      <c r="AA122" s="632"/>
    </row>
    <row r="123" spans="2:27" ht="16.5" hidden="1" customHeight="1" outlineLevel="3">
      <c r="B123" s="776" t="s">
        <v>730</v>
      </c>
      <c r="C123" s="782" t="s">
        <v>39</v>
      </c>
      <c r="D123" s="804" t="s">
        <v>62</v>
      </c>
      <c r="E123" s="665" t="s">
        <v>1580</v>
      </c>
      <c r="F123" s="648" t="s">
        <v>657</v>
      </c>
      <c r="G123" s="808">
        <v>0.39</v>
      </c>
      <c r="H123" s="805" t="s">
        <v>101</v>
      </c>
      <c r="I123" s="672">
        <f>$E$2*(1+$F$2)</f>
        <v>0</v>
      </c>
      <c r="J123" s="672">
        <v>700</v>
      </c>
      <c r="K123" s="791">
        <f>J123/(1+L123)</f>
        <v>598.29059829059838</v>
      </c>
      <c r="L123" s="620">
        <v>0.17</v>
      </c>
      <c r="M123" s="779">
        <f>G123*I123*K123/10000</f>
        <v>0</v>
      </c>
      <c r="N123" s="779">
        <f>L123*M123</f>
        <v>0</v>
      </c>
      <c r="O123" s="779">
        <f>M123+N123</f>
        <v>0</v>
      </c>
      <c r="P123" s="780" t="e">
        <f t="shared" si="14"/>
        <v>#DIV/0!</v>
      </c>
      <c r="Q123" s="781">
        <f t="shared" si="25"/>
        <v>0</v>
      </c>
      <c r="R123" s="632" t="s">
        <v>1853</v>
      </c>
      <c r="AA123" s="632"/>
    </row>
    <row r="124" spans="2:27" ht="16.5" hidden="1" customHeight="1" outlineLevel="2">
      <c r="B124" s="776" t="s">
        <v>731</v>
      </c>
      <c r="C124" s="777" t="s">
        <v>78</v>
      </c>
      <c r="D124" s="804" t="s">
        <v>732</v>
      </c>
      <c r="E124" s="648"/>
      <c r="F124" s="648"/>
      <c r="G124" s="787"/>
      <c r="H124" s="787"/>
      <c r="I124" s="672"/>
      <c r="J124" s="672"/>
      <c r="K124" s="681"/>
      <c r="L124" s="569"/>
      <c r="M124" s="779">
        <f>SUBTOTAL(9,M125:M128)</f>
        <v>0</v>
      </c>
      <c r="N124" s="779">
        <f>SUBTOTAL(9,N125:N128)</f>
        <v>0</v>
      </c>
      <c r="O124" s="779">
        <f>SUBTOTAL(9,O125:O128)</f>
        <v>0</v>
      </c>
      <c r="P124" s="780" t="e">
        <f t="shared" si="14"/>
        <v>#DIV/0!</v>
      </c>
      <c r="Q124" s="781"/>
      <c r="AA124" s="632"/>
    </row>
    <row r="125" spans="2:27" ht="16.5" hidden="1" customHeight="1" outlineLevel="3">
      <c r="B125" s="776" t="s">
        <v>733</v>
      </c>
      <c r="C125" s="782" t="s">
        <v>39</v>
      </c>
      <c r="D125" s="815" t="s">
        <v>734</v>
      </c>
      <c r="E125" s="814" t="s">
        <v>1228</v>
      </c>
      <c r="F125" s="814" t="s">
        <v>9</v>
      </c>
      <c r="G125" s="814">
        <v>0</v>
      </c>
      <c r="H125" s="787" t="s">
        <v>145</v>
      </c>
      <c r="I125" s="672">
        <f>$G$2</f>
        <v>0</v>
      </c>
      <c r="J125" s="672">
        <v>130</v>
      </c>
      <c r="K125" s="816"/>
      <c r="L125" s="620">
        <v>0.11</v>
      </c>
      <c r="M125" s="779">
        <f>G125*I125*K125/10000</f>
        <v>0</v>
      </c>
      <c r="N125" s="779">
        <f>L125*M125</f>
        <v>0</v>
      </c>
      <c r="O125" s="779">
        <f>M125+N125</f>
        <v>0</v>
      </c>
      <c r="P125" s="780" t="e">
        <f t="shared" si="14"/>
        <v>#DIV/0!</v>
      </c>
      <c r="Q125" s="781">
        <f t="shared" si="25"/>
        <v>0</v>
      </c>
      <c r="AA125" s="632"/>
    </row>
    <row r="126" spans="2:27" ht="16.5" hidden="1" customHeight="1" outlineLevel="3">
      <c r="B126" s="776" t="s">
        <v>735</v>
      </c>
      <c r="C126" s="782" t="s">
        <v>39</v>
      </c>
      <c r="D126" s="815" t="s">
        <v>736</v>
      </c>
      <c r="E126" s="814" t="s">
        <v>471</v>
      </c>
      <c r="F126" s="814"/>
      <c r="G126" s="814"/>
      <c r="H126" s="812"/>
      <c r="I126" s="672"/>
      <c r="J126" s="672"/>
      <c r="K126" s="816"/>
      <c r="L126" s="620">
        <v>0.17</v>
      </c>
      <c r="M126" s="779">
        <f>G126*I126*K126/10000</f>
        <v>0</v>
      </c>
      <c r="N126" s="779">
        <f>L126*M126</f>
        <v>0</v>
      </c>
      <c r="O126" s="779">
        <f>M126+N126</f>
        <v>0</v>
      </c>
      <c r="P126" s="780" t="e">
        <f t="shared" si="14"/>
        <v>#DIV/0!</v>
      </c>
      <c r="Q126" s="781">
        <f t="shared" si="25"/>
        <v>0</v>
      </c>
      <c r="AA126" s="632"/>
    </row>
    <row r="127" spans="2:27" ht="16.5" hidden="1" customHeight="1" outlineLevel="3">
      <c r="B127" s="776" t="s">
        <v>737</v>
      </c>
      <c r="C127" s="782" t="s">
        <v>39</v>
      </c>
      <c r="D127" s="815" t="s">
        <v>738</v>
      </c>
      <c r="E127" s="648" t="s">
        <v>1616</v>
      </c>
      <c r="F127" s="648" t="s">
        <v>657</v>
      </c>
      <c r="G127" s="808">
        <v>1</v>
      </c>
      <c r="H127" s="805" t="s">
        <v>111</v>
      </c>
      <c r="I127" s="672">
        <f>$E$2*(1+$F$2)</f>
        <v>0</v>
      </c>
      <c r="J127" s="672">
        <v>3</v>
      </c>
      <c r="K127" s="791">
        <f>J127/(1+L127)</f>
        <v>2.5641025641025643</v>
      </c>
      <c r="L127" s="620">
        <v>0.17</v>
      </c>
      <c r="M127" s="779">
        <f>G127*I127*K127/10000</f>
        <v>0</v>
      </c>
      <c r="N127" s="779">
        <f>L127*M127</f>
        <v>0</v>
      </c>
      <c r="O127" s="779">
        <f>M127+N127</f>
        <v>0</v>
      </c>
      <c r="P127" s="780" t="e">
        <f t="shared" si="14"/>
        <v>#DIV/0!</v>
      </c>
      <c r="Q127" s="781">
        <f t="shared" si="25"/>
        <v>0</v>
      </c>
      <c r="AA127" s="632"/>
    </row>
    <row r="128" spans="2:27" ht="16.5" hidden="1" customHeight="1" outlineLevel="3">
      <c r="B128" s="776" t="s">
        <v>739</v>
      </c>
      <c r="C128" s="782" t="s">
        <v>39</v>
      </c>
      <c r="D128" s="815" t="s">
        <v>740</v>
      </c>
      <c r="E128" s="665" t="s">
        <v>463</v>
      </c>
      <c r="F128" s="665" t="s">
        <v>5</v>
      </c>
      <c r="G128" s="814">
        <v>1</v>
      </c>
      <c r="H128" s="812" t="s">
        <v>741</v>
      </c>
      <c r="I128" s="672">
        <f>$H$2</f>
        <v>0</v>
      </c>
      <c r="J128" s="672">
        <v>120</v>
      </c>
      <c r="K128" s="791">
        <f>J128/(1+L128)</f>
        <v>102.56410256410257</v>
      </c>
      <c r="L128" s="620">
        <v>0.17</v>
      </c>
      <c r="M128" s="779">
        <f>G128*I128*K128/10000</f>
        <v>0</v>
      </c>
      <c r="N128" s="779">
        <f>L128*M128</f>
        <v>0</v>
      </c>
      <c r="O128" s="779">
        <f>M128+N128</f>
        <v>0</v>
      </c>
      <c r="P128" s="780" t="e">
        <f t="shared" si="14"/>
        <v>#DIV/0!</v>
      </c>
      <c r="Q128" s="781">
        <f t="shared" si="25"/>
        <v>0</v>
      </c>
      <c r="AA128" s="632"/>
    </row>
    <row r="129" spans="2:27" ht="16.5" customHeight="1" outlineLevel="1" collapsed="1">
      <c r="B129" s="771" t="s">
        <v>501</v>
      </c>
      <c r="C129" s="712">
        <v>2</v>
      </c>
      <c r="D129" s="771" t="s">
        <v>83</v>
      </c>
      <c r="E129" s="712"/>
      <c r="F129" s="712"/>
      <c r="G129" s="712"/>
      <c r="H129" s="772"/>
      <c r="I129" s="713"/>
      <c r="J129" s="713"/>
      <c r="K129" s="772"/>
      <c r="L129" s="588"/>
      <c r="M129" s="773">
        <f>SUBTOTAL(9,M130:M148)</f>
        <v>0</v>
      </c>
      <c r="N129" s="773">
        <f>SUBTOTAL(9,N130:N148)</f>
        <v>0</v>
      </c>
      <c r="O129" s="773">
        <f>SUBTOTAL(9,O130:O148)</f>
        <v>0</v>
      </c>
      <c r="P129" s="774" t="e">
        <f t="shared" si="14"/>
        <v>#DIV/0!</v>
      </c>
      <c r="Q129" s="775"/>
      <c r="AA129" s="632"/>
    </row>
    <row r="130" spans="2:27" ht="16.5" hidden="1" customHeight="1" outlineLevel="2">
      <c r="B130" s="776" t="s">
        <v>742</v>
      </c>
      <c r="C130" s="777" t="s">
        <v>36</v>
      </c>
      <c r="D130" s="817" t="s">
        <v>51</v>
      </c>
      <c r="E130" s="648"/>
      <c r="F130" s="648"/>
      <c r="G130" s="787"/>
      <c r="H130" s="787"/>
      <c r="I130" s="672"/>
      <c r="J130" s="672"/>
      <c r="K130" s="681"/>
      <c r="L130" s="569"/>
      <c r="M130" s="779">
        <f>SUBTOTAL(9,M131:M133)</f>
        <v>0</v>
      </c>
      <c r="N130" s="779">
        <f>SUBTOTAL(9,N131:N133)</f>
        <v>0</v>
      </c>
      <c r="O130" s="779">
        <f>SUBTOTAL(9,O131:O133)</f>
        <v>0</v>
      </c>
      <c r="P130" s="780" t="e">
        <f t="shared" si="14"/>
        <v>#DIV/0!</v>
      </c>
      <c r="Q130" s="781"/>
      <c r="AA130" s="632"/>
    </row>
    <row r="131" spans="2:27" ht="16.5" hidden="1" customHeight="1" outlineLevel="3">
      <c r="B131" s="776" t="s">
        <v>743</v>
      </c>
      <c r="C131" s="782" t="s">
        <v>39</v>
      </c>
      <c r="D131" s="815" t="s">
        <v>1592</v>
      </c>
      <c r="E131" s="648" t="s">
        <v>1617</v>
      </c>
      <c r="F131" s="648" t="s">
        <v>18</v>
      </c>
      <c r="G131" s="787"/>
      <c r="H131" s="805" t="s">
        <v>1</v>
      </c>
      <c r="I131" s="672">
        <f>$I$2</f>
        <v>0</v>
      </c>
      <c r="J131" s="672">
        <v>900</v>
      </c>
      <c r="K131" s="791">
        <f>J131/(1+L131)</f>
        <v>810.81081081081072</v>
      </c>
      <c r="L131" s="569">
        <v>0.11</v>
      </c>
      <c r="M131" s="779">
        <f>G131*I131*K131/10000</f>
        <v>0</v>
      </c>
      <c r="N131" s="779">
        <f>L131*M131</f>
        <v>0</v>
      </c>
      <c r="O131" s="779">
        <f>M131+N131</f>
        <v>0</v>
      </c>
      <c r="P131" s="780" t="e">
        <f t="shared" si="14"/>
        <v>#DIV/0!</v>
      </c>
      <c r="Q131" s="781">
        <f t="shared" si="25"/>
        <v>0</v>
      </c>
      <c r="AA131" s="632"/>
    </row>
    <row r="132" spans="2:27" ht="16.5" hidden="1" customHeight="1" outlineLevel="3">
      <c r="B132" s="776" t="s">
        <v>744</v>
      </c>
      <c r="C132" s="782" t="s">
        <v>39</v>
      </c>
      <c r="D132" s="815" t="s">
        <v>1593</v>
      </c>
      <c r="E132" s="648" t="s">
        <v>457</v>
      </c>
      <c r="F132" s="648" t="s">
        <v>18</v>
      </c>
      <c r="G132" s="787"/>
      <c r="H132" s="805" t="s">
        <v>1</v>
      </c>
      <c r="I132" s="672">
        <f>$I$2</f>
        <v>0</v>
      </c>
      <c r="J132" s="672">
        <v>200</v>
      </c>
      <c r="K132" s="791">
        <f>J132/(1+L132)</f>
        <v>170.94017094017096</v>
      </c>
      <c r="L132" s="569">
        <v>0.17</v>
      </c>
      <c r="M132" s="779">
        <f>G132*I132*K132/10000</f>
        <v>0</v>
      </c>
      <c r="N132" s="779">
        <f>L132*M132</f>
        <v>0</v>
      </c>
      <c r="O132" s="779">
        <f>M132+N132</f>
        <v>0</v>
      </c>
      <c r="P132" s="780" t="e">
        <f t="shared" ref="P132:P167" si="26">IF(O132="","",O132*10000/E$2)</f>
        <v>#DIV/0!</v>
      </c>
      <c r="Q132" s="781">
        <f t="shared" si="25"/>
        <v>0</v>
      </c>
      <c r="AA132" s="632"/>
    </row>
    <row r="133" spans="2:27" ht="16.5" hidden="1" customHeight="1" outlineLevel="3">
      <c r="B133" s="776" t="s">
        <v>745</v>
      </c>
      <c r="C133" s="782" t="s">
        <v>39</v>
      </c>
      <c r="D133" s="815" t="s">
        <v>1594</v>
      </c>
      <c r="E133" s="648" t="s">
        <v>1329</v>
      </c>
      <c r="F133" s="648" t="s">
        <v>18</v>
      </c>
      <c r="G133" s="787"/>
      <c r="H133" s="805" t="s">
        <v>1</v>
      </c>
      <c r="I133" s="672">
        <f>$I$2</f>
        <v>0</v>
      </c>
      <c r="J133" s="672">
        <v>100</v>
      </c>
      <c r="K133" s="791">
        <f>J133/(1+L133)</f>
        <v>85.470085470085479</v>
      </c>
      <c r="L133" s="569">
        <v>0.17</v>
      </c>
      <c r="M133" s="779">
        <f>G133*I133*K133/10000</f>
        <v>0</v>
      </c>
      <c r="N133" s="779">
        <f>L133*M133</f>
        <v>0</v>
      </c>
      <c r="O133" s="779">
        <f>M133+N133</f>
        <v>0</v>
      </c>
      <c r="P133" s="780" t="e">
        <f t="shared" si="26"/>
        <v>#DIV/0!</v>
      </c>
      <c r="Q133" s="781">
        <f t="shared" si="25"/>
        <v>0</v>
      </c>
      <c r="AA133" s="632"/>
    </row>
    <row r="134" spans="2:27" ht="16.5" hidden="1" customHeight="1" outlineLevel="2">
      <c r="B134" s="776" t="s">
        <v>746</v>
      </c>
      <c r="C134" s="777" t="s">
        <v>33</v>
      </c>
      <c r="D134" s="817" t="s">
        <v>89</v>
      </c>
      <c r="E134" s="648"/>
      <c r="F134" s="648"/>
      <c r="G134" s="787"/>
      <c r="H134" s="787"/>
      <c r="I134" s="672"/>
      <c r="J134" s="672"/>
      <c r="K134" s="681"/>
      <c r="L134" s="569"/>
      <c r="M134" s="779">
        <f>SUBTOTAL(9,M135:M137)</f>
        <v>0</v>
      </c>
      <c r="N134" s="779">
        <f>SUBTOTAL(9,N135:N137)</f>
        <v>0</v>
      </c>
      <c r="O134" s="779">
        <f>SUBTOTAL(9,O135:O137)</f>
        <v>0</v>
      </c>
      <c r="P134" s="780" t="e">
        <f t="shared" si="26"/>
        <v>#DIV/0!</v>
      </c>
      <c r="Q134" s="781"/>
      <c r="AA134" s="632"/>
    </row>
    <row r="135" spans="2:27" ht="16.5" hidden="1" customHeight="1" outlineLevel="3">
      <c r="B135" s="776" t="s">
        <v>747</v>
      </c>
      <c r="C135" s="782" t="s">
        <v>39</v>
      </c>
      <c r="D135" s="815" t="s">
        <v>748</v>
      </c>
      <c r="E135" s="648" t="s">
        <v>1617</v>
      </c>
      <c r="F135" s="648" t="s">
        <v>18</v>
      </c>
      <c r="G135" s="787"/>
      <c r="H135" s="805" t="s">
        <v>1</v>
      </c>
      <c r="I135" s="672">
        <f>$I$2</f>
        <v>0</v>
      </c>
      <c r="J135" s="672">
        <v>300</v>
      </c>
      <c r="K135" s="791">
        <f>J135/(1+L135)</f>
        <v>270.27027027027026</v>
      </c>
      <c r="L135" s="569">
        <v>0.11</v>
      </c>
      <c r="M135" s="779">
        <f t="shared" ref="M135:M140" si="27">G135*I135*K135/10000</f>
        <v>0</v>
      </c>
      <c r="N135" s="779">
        <f t="shared" ref="N135:N140" si="28">L135*M135</f>
        <v>0</v>
      </c>
      <c r="O135" s="779">
        <f t="shared" ref="O135:O140" si="29">M135+N135</f>
        <v>0</v>
      </c>
      <c r="P135" s="780" t="e">
        <f t="shared" si="26"/>
        <v>#DIV/0!</v>
      </c>
      <c r="Q135" s="781">
        <f t="shared" si="25"/>
        <v>0</v>
      </c>
      <c r="AA135" s="632"/>
    </row>
    <row r="136" spans="2:27" ht="16.5" hidden="1" customHeight="1" outlineLevel="3">
      <c r="B136" s="776" t="s">
        <v>749</v>
      </c>
      <c r="C136" s="782" t="s">
        <v>39</v>
      </c>
      <c r="D136" s="815" t="s">
        <v>750</v>
      </c>
      <c r="E136" s="648" t="s">
        <v>457</v>
      </c>
      <c r="F136" s="648" t="s">
        <v>18</v>
      </c>
      <c r="G136" s="787"/>
      <c r="H136" s="805" t="s">
        <v>1</v>
      </c>
      <c r="I136" s="672">
        <f>$I$2</f>
        <v>0</v>
      </c>
      <c r="J136" s="672">
        <v>200</v>
      </c>
      <c r="K136" s="791">
        <f>J136/(1+L136)</f>
        <v>170.94017094017096</v>
      </c>
      <c r="L136" s="569">
        <v>0.17</v>
      </c>
      <c r="M136" s="779">
        <f t="shared" si="27"/>
        <v>0</v>
      </c>
      <c r="N136" s="779">
        <f t="shared" si="28"/>
        <v>0</v>
      </c>
      <c r="O136" s="779">
        <f t="shared" si="29"/>
        <v>0</v>
      </c>
      <c r="P136" s="780" t="e">
        <f t="shared" si="26"/>
        <v>#DIV/0!</v>
      </c>
      <c r="Q136" s="781">
        <f t="shared" si="25"/>
        <v>0</v>
      </c>
      <c r="AA136" s="632"/>
    </row>
    <row r="137" spans="2:27" ht="16.5" hidden="1" customHeight="1" outlineLevel="3">
      <c r="B137" s="776" t="s">
        <v>751</v>
      </c>
      <c r="C137" s="782" t="s">
        <v>39</v>
      </c>
      <c r="D137" s="815" t="s">
        <v>752</v>
      </c>
      <c r="E137" s="648" t="s">
        <v>1329</v>
      </c>
      <c r="F137" s="648" t="s">
        <v>18</v>
      </c>
      <c r="G137" s="787"/>
      <c r="H137" s="805" t="s">
        <v>1</v>
      </c>
      <c r="I137" s="672">
        <f>$I$2</f>
        <v>0</v>
      </c>
      <c r="J137" s="672">
        <v>100</v>
      </c>
      <c r="K137" s="791">
        <f>J137/(1+L137)</f>
        <v>85.470085470085479</v>
      </c>
      <c r="L137" s="569">
        <v>0.17</v>
      </c>
      <c r="M137" s="779">
        <f t="shared" si="27"/>
        <v>0</v>
      </c>
      <c r="N137" s="779">
        <f t="shared" si="28"/>
        <v>0</v>
      </c>
      <c r="O137" s="779">
        <f t="shared" si="29"/>
        <v>0</v>
      </c>
      <c r="P137" s="780" t="e">
        <f t="shared" si="26"/>
        <v>#DIV/0!</v>
      </c>
      <c r="Q137" s="781">
        <f t="shared" si="25"/>
        <v>0</v>
      </c>
      <c r="AA137" s="632"/>
    </row>
    <row r="138" spans="2:27" ht="16.5" hidden="1" customHeight="1" outlineLevel="2">
      <c r="B138" s="776" t="s">
        <v>753</v>
      </c>
      <c r="C138" s="777" t="s">
        <v>88</v>
      </c>
      <c r="D138" s="817" t="s">
        <v>754</v>
      </c>
      <c r="E138" s="648" t="s">
        <v>1617</v>
      </c>
      <c r="F138" s="648" t="s">
        <v>18</v>
      </c>
      <c r="G138" s="787"/>
      <c r="H138" s="805" t="s">
        <v>1</v>
      </c>
      <c r="I138" s="672">
        <f>$I$2</f>
        <v>0</v>
      </c>
      <c r="J138" s="672"/>
      <c r="K138" s="681"/>
      <c r="L138" s="569">
        <v>0.11</v>
      </c>
      <c r="M138" s="779">
        <f t="shared" si="27"/>
        <v>0</v>
      </c>
      <c r="N138" s="779">
        <f t="shared" si="28"/>
        <v>0</v>
      </c>
      <c r="O138" s="779">
        <f t="shared" si="29"/>
        <v>0</v>
      </c>
      <c r="P138" s="780" t="e">
        <f t="shared" si="26"/>
        <v>#DIV/0!</v>
      </c>
      <c r="Q138" s="781">
        <f t="shared" si="25"/>
        <v>0</v>
      </c>
      <c r="AA138" s="632"/>
    </row>
    <row r="139" spans="2:27" ht="16.5" hidden="1" customHeight="1" outlineLevel="2">
      <c r="B139" s="776" t="s">
        <v>755</v>
      </c>
      <c r="C139" s="777" t="s">
        <v>70</v>
      </c>
      <c r="D139" s="817" t="s">
        <v>90</v>
      </c>
      <c r="E139" s="648" t="s">
        <v>1617</v>
      </c>
      <c r="F139" s="648" t="s">
        <v>18</v>
      </c>
      <c r="G139" s="787"/>
      <c r="H139" s="805" t="s">
        <v>1</v>
      </c>
      <c r="I139" s="672">
        <f>$I$2</f>
        <v>0</v>
      </c>
      <c r="J139" s="672"/>
      <c r="K139" s="681"/>
      <c r="L139" s="569">
        <v>0.11</v>
      </c>
      <c r="M139" s="779">
        <f t="shared" si="27"/>
        <v>0</v>
      </c>
      <c r="N139" s="779">
        <f t="shared" si="28"/>
        <v>0</v>
      </c>
      <c r="O139" s="779">
        <f t="shared" si="29"/>
        <v>0</v>
      </c>
      <c r="P139" s="780" t="e">
        <f t="shared" si="26"/>
        <v>#DIV/0!</v>
      </c>
      <c r="Q139" s="781">
        <f t="shared" si="25"/>
        <v>0</v>
      </c>
      <c r="AA139" s="632"/>
    </row>
    <row r="140" spans="2:27" ht="16.5" hidden="1" customHeight="1" outlineLevel="2">
      <c r="B140" s="776" t="s">
        <v>756</v>
      </c>
      <c r="C140" s="777" t="s">
        <v>71</v>
      </c>
      <c r="D140" s="817" t="s">
        <v>757</v>
      </c>
      <c r="E140" s="648" t="s">
        <v>1617</v>
      </c>
      <c r="F140" s="665" t="s">
        <v>803</v>
      </c>
      <c r="G140" s="813"/>
      <c r="H140" s="805" t="s">
        <v>2</v>
      </c>
      <c r="I140" s="672"/>
      <c r="J140" s="672">
        <v>200</v>
      </c>
      <c r="K140" s="791">
        <f>J140/(1+L140)</f>
        <v>180.18018018018017</v>
      </c>
      <c r="L140" s="569">
        <v>0.11</v>
      </c>
      <c r="M140" s="779">
        <f t="shared" si="27"/>
        <v>0</v>
      </c>
      <c r="N140" s="779">
        <f t="shared" si="28"/>
        <v>0</v>
      </c>
      <c r="O140" s="779">
        <f t="shared" si="29"/>
        <v>0</v>
      </c>
      <c r="P140" s="780" t="e">
        <f t="shared" si="26"/>
        <v>#DIV/0!</v>
      </c>
      <c r="Q140" s="781">
        <f t="shared" si="25"/>
        <v>0</v>
      </c>
      <c r="AA140" s="632"/>
    </row>
    <row r="141" spans="2:27" ht="16.5" hidden="1" customHeight="1" outlineLevel="2">
      <c r="B141" s="776" t="s">
        <v>758</v>
      </c>
      <c r="C141" s="777" t="s">
        <v>144</v>
      </c>
      <c r="D141" s="817" t="s">
        <v>118</v>
      </c>
      <c r="E141" s="648"/>
      <c r="F141" s="648"/>
      <c r="G141" s="787"/>
      <c r="H141" s="787"/>
      <c r="I141" s="672"/>
      <c r="J141" s="672"/>
      <c r="K141" s="681"/>
      <c r="L141" s="569"/>
      <c r="M141" s="779">
        <f>SUBTOTAL(9,M142:M144)</f>
        <v>0</v>
      </c>
      <c r="N141" s="779">
        <f>SUBTOTAL(9,N142:N144)</f>
        <v>0</v>
      </c>
      <c r="O141" s="779">
        <f>SUBTOTAL(9,O142:O144)</f>
        <v>0</v>
      </c>
      <c r="P141" s="780" t="e">
        <f t="shared" si="26"/>
        <v>#DIV/0!</v>
      </c>
      <c r="Q141" s="781"/>
      <c r="AA141" s="632"/>
    </row>
    <row r="142" spans="2:27" ht="16.5" hidden="1" customHeight="1" outlineLevel="3">
      <c r="B142" s="776" t="s">
        <v>759</v>
      </c>
      <c r="C142" s="782" t="s">
        <v>39</v>
      </c>
      <c r="D142" s="815" t="s">
        <v>760</v>
      </c>
      <c r="E142" s="648" t="s">
        <v>1617</v>
      </c>
      <c r="F142" s="665" t="s">
        <v>804</v>
      </c>
      <c r="G142" s="813"/>
      <c r="H142" s="805" t="s">
        <v>2</v>
      </c>
      <c r="I142" s="672">
        <f>($K$2-1)*$I$2</f>
        <v>0</v>
      </c>
      <c r="J142" s="672">
        <v>500</v>
      </c>
      <c r="K142" s="791">
        <f>J142/(1+L142)</f>
        <v>450.45045045045043</v>
      </c>
      <c r="L142" s="569">
        <v>0.11</v>
      </c>
      <c r="M142" s="779">
        <f>G142*I142*K142/10000</f>
        <v>0</v>
      </c>
      <c r="N142" s="779">
        <f>L142*M142</f>
        <v>0</v>
      </c>
      <c r="O142" s="779">
        <f>M142+N142</f>
        <v>0</v>
      </c>
      <c r="P142" s="780" t="e">
        <f t="shared" si="26"/>
        <v>#DIV/0!</v>
      </c>
      <c r="Q142" s="806">
        <f t="shared" si="25"/>
        <v>0</v>
      </c>
      <c r="AA142" s="632"/>
    </row>
    <row r="143" spans="2:27" ht="16.5" hidden="1" customHeight="1" outlineLevel="3">
      <c r="B143" s="776" t="s">
        <v>761</v>
      </c>
      <c r="C143" s="782" t="s">
        <v>39</v>
      </c>
      <c r="D143" s="815" t="s">
        <v>805</v>
      </c>
      <c r="E143" s="648" t="s">
        <v>457</v>
      </c>
      <c r="F143" s="665" t="s">
        <v>804</v>
      </c>
      <c r="G143" s="813"/>
      <c r="H143" s="805" t="s">
        <v>2</v>
      </c>
      <c r="I143" s="672">
        <f>($K$2-1)*$I$2</f>
        <v>0</v>
      </c>
      <c r="J143" s="672">
        <v>200</v>
      </c>
      <c r="K143" s="791">
        <f>J143/(1+L143)</f>
        <v>170.94017094017096</v>
      </c>
      <c r="L143" s="569">
        <v>0.17</v>
      </c>
      <c r="M143" s="779">
        <f>G143*I143*K143/10000</f>
        <v>0</v>
      </c>
      <c r="N143" s="779">
        <f>L143*M143</f>
        <v>0</v>
      </c>
      <c r="O143" s="779">
        <f>M143+N143</f>
        <v>0</v>
      </c>
      <c r="P143" s="780" t="e">
        <f t="shared" si="26"/>
        <v>#DIV/0!</v>
      </c>
      <c r="Q143" s="806">
        <f t="shared" si="25"/>
        <v>0</v>
      </c>
      <c r="AA143" s="632"/>
    </row>
    <row r="144" spans="2:27" ht="16.5" hidden="1" customHeight="1" outlineLevel="3">
      <c r="B144" s="776" t="s">
        <v>762</v>
      </c>
      <c r="C144" s="782" t="s">
        <v>39</v>
      </c>
      <c r="D144" s="815" t="s">
        <v>806</v>
      </c>
      <c r="E144" s="648" t="s">
        <v>1329</v>
      </c>
      <c r="F144" s="665" t="s">
        <v>804</v>
      </c>
      <c r="G144" s="813"/>
      <c r="H144" s="805" t="s">
        <v>2</v>
      </c>
      <c r="I144" s="672">
        <f>($K$2-1)*$I$2</f>
        <v>0</v>
      </c>
      <c r="J144" s="672">
        <v>100</v>
      </c>
      <c r="K144" s="791">
        <f>J144/(1+L144)</f>
        <v>85.470085470085479</v>
      </c>
      <c r="L144" s="569">
        <v>0.17</v>
      </c>
      <c r="M144" s="779">
        <f>G144*I144*K144/10000</f>
        <v>0</v>
      </c>
      <c r="N144" s="779">
        <f>L144*M144</f>
        <v>0</v>
      </c>
      <c r="O144" s="779">
        <f>M144+N144</f>
        <v>0</v>
      </c>
      <c r="P144" s="780" t="e">
        <f t="shared" si="26"/>
        <v>#DIV/0!</v>
      </c>
      <c r="Q144" s="806">
        <f t="shared" si="25"/>
        <v>0</v>
      </c>
      <c r="AA144" s="632"/>
    </row>
    <row r="145" spans="1:27" ht="16.5" hidden="1" customHeight="1" outlineLevel="2">
      <c r="B145" s="776" t="s">
        <v>763</v>
      </c>
      <c r="C145" s="777" t="s">
        <v>91</v>
      </c>
      <c r="D145" s="804" t="s">
        <v>807</v>
      </c>
      <c r="E145" s="648" t="s">
        <v>1617</v>
      </c>
      <c r="F145" s="648"/>
      <c r="G145" s="787"/>
      <c r="H145" s="787"/>
      <c r="I145" s="672"/>
      <c r="J145" s="672"/>
      <c r="K145" s="681"/>
      <c r="L145" s="569">
        <v>0.11</v>
      </c>
      <c r="M145" s="779"/>
      <c r="N145" s="779"/>
      <c r="O145" s="779"/>
      <c r="P145" s="780" t="str">
        <f t="shared" si="26"/>
        <v/>
      </c>
      <c r="Q145" s="781">
        <f t="shared" si="25"/>
        <v>0</v>
      </c>
      <c r="AA145" s="632"/>
    </row>
    <row r="146" spans="1:27" ht="16.5" hidden="1" customHeight="1" outlineLevel="2">
      <c r="B146" s="776" t="s">
        <v>764</v>
      </c>
      <c r="C146" s="777" t="s">
        <v>73</v>
      </c>
      <c r="D146" s="804" t="s">
        <v>808</v>
      </c>
      <c r="E146" s="648" t="s">
        <v>1617</v>
      </c>
      <c r="F146" s="648"/>
      <c r="G146" s="787"/>
      <c r="H146" s="787"/>
      <c r="I146" s="672"/>
      <c r="J146" s="672"/>
      <c r="K146" s="681"/>
      <c r="L146" s="569">
        <v>0.11</v>
      </c>
      <c r="M146" s="779"/>
      <c r="N146" s="779"/>
      <c r="O146" s="779"/>
      <c r="P146" s="780" t="str">
        <f t="shared" si="26"/>
        <v/>
      </c>
      <c r="Q146" s="781">
        <f t="shared" si="25"/>
        <v>0</v>
      </c>
      <c r="AA146" s="632"/>
    </row>
    <row r="147" spans="1:27" ht="16.5" hidden="1" customHeight="1" outlineLevel="2">
      <c r="B147" s="776" t="s">
        <v>765</v>
      </c>
      <c r="C147" s="777" t="s">
        <v>74</v>
      </c>
      <c r="D147" s="804" t="s">
        <v>809</v>
      </c>
      <c r="E147" s="648" t="s">
        <v>1617</v>
      </c>
      <c r="F147" s="648"/>
      <c r="G147" s="787"/>
      <c r="H147" s="787"/>
      <c r="I147" s="672"/>
      <c r="J147" s="672"/>
      <c r="K147" s="681"/>
      <c r="L147" s="569">
        <v>0.11</v>
      </c>
      <c r="M147" s="779"/>
      <c r="N147" s="779"/>
      <c r="O147" s="779"/>
      <c r="P147" s="780" t="str">
        <f t="shared" si="26"/>
        <v/>
      </c>
      <c r="Q147" s="781">
        <f t="shared" si="25"/>
        <v>0</v>
      </c>
      <c r="AA147" s="632"/>
    </row>
    <row r="148" spans="1:27" ht="16.5" hidden="1" customHeight="1" outlineLevel="2">
      <c r="B148" s="776" t="s">
        <v>810</v>
      </c>
      <c r="C148" s="777" t="s">
        <v>75</v>
      </c>
      <c r="D148" s="804" t="s">
        <v>811</v>
      </c>
      <c r="E148" s="648" t="s">
        <v>1329</v>
      </c>
      <c r="F148" s="648"/>
      <c r="G148" s="787"/>
      <c r="H148" s="787"/>
      <c r="I148" s="672"/>
      <c r="J148" s="672"/>
      <c r="K148" s="681"/>
      <c r="L148" s="569">
        <v>0.11</v>
      </c>
      <c r="M148" s="779"/>
      <c r="N148" s="779"/>
      <c r="O148" s="779"/>
      <c r="P148" s="780" t="str">
        <f t="shared" si="26"/>
        <v/>
      </c>
      <c r="Q148" s="781">
        <f t="shared" si="25"/>
        <v>0</v>
      </c>
      <c r="AA148" s="632"/>
    </row>
    <row r="149" spans="1:27" s="633" customFormat="1" ht="16.5" customHeight="1" outlineLevel="1" collapsed="1">
      <c r="B149" s="818" t="s">
        <v>502</v>
      </c>
      <c r="C149" s="819">
        <v>3</v>
      </c>
      <c r="D149" s="818" t="s">
        <v>84</v>
      </c>
      <c r="E149" s="819"/>
      <c r="F149" s="819"/>
      <c r="G149" s="819"/>
      <c r="H149" s="820"/>
      <c r="I149" s="821"/>
      <c r="J149" s="821"/>
      <c r="K149" s="820"/>
      <c r="L149" s="822"/>
      <c r="M149" s="773">
        <f>SUBTOTAL(9,M150:M160)</f>
        <v>0</v>
      </c>
      <c r="N149" s="773">
        <f>SUBTOTAL(9,N150:N160)</f>
        <v>0</v>
      </c>
      <c r="O149" s="773">
        <f>SUBTOTAL(9,O150:O160)</f>
        <v>0</v>
      </c>
      <c r="P149" s="823" t="e">
        <f t="shared" si="26"/>
        <v>#DIV/0!</v>
      </c>
      <c r="Q149" s="824"/>
    </row>
    <row r="150" spans="1:27" ht="16.5" hidden="1" customHeight="1" outlineLevel="2">
      <c r="B150" s="776" t="s">
        <v>766</v>
      </c>
      <c r="C150" s="777" t="s">
        <v>36</v>
      </c>
      <c r="D150" s="804" t="s">
        <v>812</v>
      </c>
      <c r="E150" s="665"/>
      <c r="F150" s="665"/>
      <c r="G150" s="787"/>
      <c r="H150" s="787"/>
      <c r="I150" s="672"/>
      <c r="J150" s="672"/>
      <c r="K150" s="681"/>
      <c r="L150" s="569"/>
      <c r="M150" s="779">
        <f>SUBTOTAL(9,M151:M160)</f>
        <v>0</v>
      </c>
      <c r="N150" s="779">
        <f>SUBTOTAL(9,N151:N160)</f>
        <v>0</v>
      </c>
      <c r="O150" s="779">
        <f>SUBTOTAL(9,O151:O160)</f>
        <v>0</v>
      </c>
      <c r="P150" s="780" t="e">
        <f t="shared" si="26"/>
        <v>#DIV/0!</v>
      </c>
      <c r="Q150" s="781"/>
      <c r="AA150" s="632"/>
    </row>
    <row r="151" spans="1:27" ht="16.5" hidden="1" customHeight="1" outlineLevel="3">
      <c r="B151" s="776" t="s">
        <v>767</v>
      </c>
      <c r="C151" s="782" t="s">
        <v>39</v>
      </c>
      <c r="D151" s="804" t="s">
        <v>768</v>
      </c>
      <c r="E151" s="665" t="s">
        <v>458</v>
      </c>
      <c r="F151" s="665" t="s">
        <v>5</v>
      </c>
      <c r="G151" s="813">
        <v>1</v>
      </c>
      <c r="H151" s="787" t="s">
        <v>669</v>
      </c>
      <c r="I151" s="672">
        <f t="shared" ref="I151:I156" si="30">$H$2</f>
        <v>0</v>
      </c>
      <c r="J151" s="672">
        <v>800</v>
      </c>
      <c r="K151" s="791">
        <f t="shared" ref="K151:K156" si="31">J151/(1+L151)</f>
        <v>720.72072072072069</v>
      </c>
      <c r="L151" s="569">
        <v>0.11</v>
      </c>
      <c r="M151" s="779">
        <f t="shared" ref="M151:M167" si="32">G151*I151*K151/10000</f>
        <v>0</v>
      </c>
      <c r="N151" s="779">
        <f t="shared" ref="N151:N156" si="33">L151*M151</f>
        <v>0</v>
      </c>
      <c r="O151" s="779">
        <f t="shared" ref="O151:O156" si="34">M151+N151</f>
        <v>0</v>
      </c>
      <c r="P151" s="780" t="e">
        <f t="shared" si="26"/>
        <v>#DIV/0!</v>
      </c>
      <c r="Q151" s="806">
        <f t="shared" si="25"/>
        <v>0</v>
      </c>
      <c r="AA151" s="632"/>
    </row>
    <row r="152" spans="1:27" ht="16.5" hidden="1" customHeight="1" outlineLevel="3">
      <c r="B152" s="776" t="s">
        <v>769</v>
      </c>
      <c r="C152" s="782" t="s">
        <v>39</v>
      </c>
      <c r="D152" s="804" t="s">
        <v>1595</v>
      </c>
      <c r="E152" s="665" t="s">
        <v>1596</v>
      </c>
      <c r="F152" s="665" t="s">
        <v>5</v>
      </c>
      <c r="G152" s="813">
        <v>1</v>
      </c>
      <c r="H152" s="787" t="s">
        <v>669</v>
      </c>
      <c r="I152" s="672">
        <f t="shared" si="30"/>
        <v>0</v>
      </c>
      <c r="J152" s="672">
        <v>400</v>
      </c>
      <c r="K152" s="791">
        <f t="shared" si="31"/>
        <v>360.36036036036035</v>
      </c>
      <c r="L152" s="569">
        <v>0.11</v>
      </c>
      <c r="M152" s="779">
        <f t="shared" si="32"/>
        <v>0</v>
      </c>
      <c r="N152" s="779">
        <f t="shared" si="33"/>
        <v>0</v>
      </c>
      <c r="O152" s="779">
        <f t="shared" si="34"/>
        <v>0</v>
      </c>
      <c r="P152" s="780" t="e">
        <f t="shared" si="26"/>
        <v>#DIV/0!</v>
      </c>
      <c r="Q152" s="806">
        <f t="shared" si="25"/>
        <v>0</v>
      </c>
      <c r="AA152" s="632"/>
    </row>
    <row r="153" spans="1:27" ht="16.5" hidden="1" customHeight="1" outlineLevel="3">
      <c r="B153" s="776" t="s">
        <v>770</v>
      </c>
      <c r="C153" s="782" t="s">
        <v>39</v>
      </c>
      <c r="D153" s="804" t="s">
        <v>771</v>
      </c>
      <c r="E153" s="665" t="s">
        <v>1618</v>
      </c>
      <c r="F153" s="665" t="s">
        <v>5</v>
      </c>
      <c r="G153" s="813">
        <v>1</v>
      </c>
      <c r="H153" s="787" t="s">
        <v>669</v>
      </c>
      <c r="I153" s="672">
        <f t="shared" si="30"/>
        <v>0</v>
      </c>
      <c r="J153" s="672">
        <v>1500</v>
      </c>
      <c r="K153" s="791">
        <f t="shared" si="31"/>
        <v>1351.3513513513512</v>
      </c>
      <c r="L153" s="569">
        <v>0.11</v>
      </c>
      <c r="M153" s="779">
        <f t="shared" si="32"/>
        <v>0</v>
      </c>
      <c r="N153" s="779">
        <f t="shared" si="33"/>
        <v>0</v>
      </c>
      <c r="O153" s="779">
        <f t="shared" si="34"/>
        <v>0</v>
      </c>
      <c r="P153" s="780" t="e">
        <f t="shared" si="26"/>
        <v>#DIV/0!</v>
      </c>
      <c r="Q153" s="781">
        <f t="shared" si="25"/>
        <v>0</v>
      </c>
      <c r="AA153" s="632"/>
    </row>
    <row r="154" spans="1:27" ht="16.5" hidden="1" customHeight="1" outlineLevel="3">
      <c r="B154" s="776" t="s">
        <v>772</v>
      </c>
      <c r="C154" s="782" t="s">
        <v>39</v>
      </c>
      <c r="D154" s="804" t="s">
        <v>1619</v>
      </c>
      <c r="E154" s="665" t="s">
        <v>458</v>
      </c>
      <c r="F154" s="665" t="s">
        <v>5</v>
      </c>
      <c r="G154" s="813">
        <v>1</v>
      </c>
      <c r="H154" s="787" t="s">
        <v>669</v>
      </c>
      <c r="I154" s="672">
        <f t="shared" si="30"/>
        <v>0</v>
      </c>
      <c r="J154" s="672"/>
      <c r="K154" s="791">
        <f t="shared" si="31"/>
        <v>0</v>
      </c>
      <c r="L154" s="569">
        <v>0.11</v>
      </c>
      <c r="M154" s="779">
        <f t="shared" si="32"/>
        <v>0</v>
      </c>
      <c r="N154" s="779">
        <f t="shared" si="33"/>
        <v>0</v>
      </c>
      <c r="O154" s="779">
        <f t="shared" si="34"/>
        <v>0</v>
      </c>
      <c r="P154" s="780" t="e">
        <f t="shared" si="26"/>
        <v>#DIV/0!</v>
      </c>
      <c r="Q154" s="781">
        <f t="shared" si="25"/>
        <v>0</v>
      </c>
      <c r="AA154" s="632"/>
    </row>
    <row r="155" spans="1:27" ht="16.5" hidden="1" customHeight="1" outlineLevel="3">
      <c r="B155" s="776" t="s">
        <v>773</v>
      </c>
      <c r="C155" s="782" t="s">
        <v>39</v>
      </c>
      <c r="D155" s="804" t="s">
        <v>1597</v>
      </c>
      <c r="E155" s="665" t="s">
        <v>1620</v>
      </c>
      <c r="F155" s="665" t="s">
        <v>5</v>
      </c>
      <c r="G155" s="813">
        <v>1</v>
      </c>
      <c r="H155" s="787" t="s">
        <v>669</v>
      </c>
      <c r="I155" s="672">
        <f t="shared" si="30"/>
        <v>0</v>
      </c>
      <c r="J155" s="672">
        <v>500</v>
      </c>
      <c r="K155" s="791">
        <f t="shared" si="31"/>
        <v>427.35042735042737</v>
      </c>
      <c r="L155" s="569">
        <v>0.17</v>
      </c>
      <c r="M155" s="779">
        <f t="shared" si="32"/>
        <v>0</v>
      </c>
      <c r="N155" s="779">
        <f t="shared" si="33"/>
        <v>0</v>
      </c>
      <c r="O155" s="779">
        <f t="shared" si="34"/>
        <v>0</v>
      </c>
      <c r="P155" s="780" t="e">
        <f t="shared" si="26"/>
        <v>#DIV/0!</v>
      </c>
      <c r="Q155" s="781">
        <f t="shared" si="25"/>
        <v>0</v>
      </c>
      <c r="AA155" s="632"/>
    </row>
    <row r="156" spans="1:27" ht="16.5" hidden="1" customHeight="1" outlineLevel="3">
      <c r="B156" s="776" t="s">
        <v>774</v>
      </c>
      <c r="C156" s="782" t="s">
        <v>39</v>
      </c>
      <c r="D156" s="804" t="s">
        <v>1598</v>
      </c>
      <c r="E156" s="665" t="s">
        <v>458</v>
      </c>
      <c r="F156" s="665" t="s">
        <v>5</v>
      </c>
      <c r="G156" s="813">
        <v>1</v>
      </c>
      <c r="H156" s="787" t="s">
        <v>669</v>
      </c>
      <c r="I156" s="672">
        <f t="shared" si="30"/>
        <v>0</v>
      </c>
      <c r="J156" s="672"/>
      <c r="K156" s="791">
        <f t="shared" si="31"/>
        <v>0</v>
      </c>
      <c r="L156" s="569">
        <v>0.11</v>
      </c>
      <c r="M156" s="779">
        <f t="shared" si="32"/>
        <v>0</v>
      </c>
      <c r="N156" s="779">
        <f t="shared" si="33"/>
        <v>0</v>
      </c>
      <c r="O156" s="779">
        <f t="shared" si="34"/>
        <v>0</v>
      </c>
      <c r="P156" s="780" t="e">
        <f t="shared" si="26"/>
        <v>#DIV/0!</v>
      </c>
      <c r="Q156" s="781">
        <f t="shared" si="25"/>
        <v>0</v>
      </c>
      <c r="AA156" s="632"/>
    </row>
    <row r="157" spans="1:27" ht="16.5" hidden="1" customHeight="1" outlineLevel="3">
      <c r="B157" s="776" t="s">
        <v>775</v>
      </c>
      <c r="C157" s="782" t="s">
        <v>39</v>
      </c>
      <c r="D157" s="804" t="s">
        <v>1599</v>
      </c>
      <c r="E157" s="665" t="s">
        <v>458</v>
      </c>
      <c r="F157" s="648"/>
      <c r="G157" s="825"/>
      <c r="H157" s="787"/>
      <c r="I157" s="672"/>
      <c r="J157" s="672"/>
      <c r="K157" s="787"/>
      <c r="L157" s="569"/>
      <c r="M157" s="779">
        <f t="shared" si="32"/>
        <v>0</v>
      </c>
      <c r="N157" s="779"/>
      <c r="O157" s="779"/>
      <c r="P157" s="780" t="str">
        <f t="shared" si="26"/>
        <v/>
      </c>
      <c r="Q157" s="781">
        <f t="shared" si="25"/>
        <v>0</v>
      </c>
      <c r="AA157" s="632"/>
    </row>
    <row r="158" spans="1:27" ht="16.5" hidden="1" customHeight="1" outlineLevel="3">
      <c r="A158" s="633"/>
      <c r="B158" s="776" t="s">
        <v>813</v>
      </c>
      <c r="C158" s="782" t="s">
        <v>39</v>
      </c>
      <c r="D158" s="804" t="s">
        <v>776</v>
      </c>
      <c r="E158" s="665" t="s">
        <v>458</v>
      </c>
      <c r="F158" s="648"/>
      <c r="G158" s="825"/>
      <c r="H158" s="787"/>
      <c r="I158" s="672"/>
      <c r="J158" s="672"/>
      <c r="K158" s="787"/>
      <c r="L158" s="569"/>
      <c r="M158" s="779">
        <f t="shared" si="32"/>
        <v>0</v>
      </c>
      <c r="N158" s="779"/>
      <c r="O158" s="779"/>
      <c r="P158" s="780" t="str">
        <f t="shared" si="26"/>
        <v/>
      </c>
      <c r="Q158" s="781">
        <f t="shared" si="25"/>
        <v>0</v>
      </c>
      <c r="AA158" s="632"/>
    </row>
    <row r="159" spans="1:27" s="695" customFormat="1" ht="16.5" hidden="1" customHeight="1" outlineLevel="2">
      <c r="A159" s="633"/>
      <c r="B159" s="776" t="s">
        <v>777</v>
      </c>
      <c r="C159" s="777" t="s">
        <v>33</v>
      </c>
      <c r="D159" s="804" t="s">
        <v>814</v>
      </c>
      <c r="E159" s="665" t="s">
        <v>458</v>
      </c>
      <c r="F159" s="826"/>
      <c r="G159" s="826"/>
      <c r="H159" s="827"/>
      <c r="I159" s="828"/>
      <c r="J159" s="828"/>
      <c r="K159" s="827"/>
      <c r="L159" s="612"/>
      <c r="M159" s="779">
        <f t="shared" si="32"/>
        <v>0</v>
      </c>
      <c r="N159" s="779"/>
      <c r="O159" s="779"/>
      <c r="P159" s="780" t="str">
        <f t="shared" si="26"/>
        <v/>
      </c>
      <c r="Q159" s="781">
        <f t="shared" si="25"/>
        <v>0</v>
      </c>
    </row>
    <row r="160" spans="1:27" s="695" customFormat="1" ht="16.5" hidden="1" customHeight="1" outlineLevel="2">
      <c r="A160" s="633"/>
      <c r="B160" s="776" t="s">
        <v>778</v>
      </c>
      <c r="C160" s="777" t="s">
        <v>69</v>
      </c>
      <c r="D160" s="804" t="s">
        <v>815</v>
      </c>
      <c r="E160" s="665" t="s">
        <v>458</v>
      </c>
      <c r="F160" s="826"/>
      <c r="G160" s="826"/>
      <c r="H160" s="827"/>
      <c r="I160" s="828"/>
      <c r="J160" s="828"/>
      <c r="K160" s="827"/>
      <c r="L160" s="612"/>
      <c r="M160" s="779">
        <f t="shared" si="32"/>
        <v>0</v>
      </c>
      <c r="N160" s="779"/>
      <c r="O160" s="779"/>
      <c r="P160" s="780" t="str">
        <f t="shared" si="26"/>
        <v/>
      </c>
      <c r="Q160" s="781">
        <f t="shared" si="25"/>
        <v>0</v>
      </c>
    </row>
    <row r="161" spans="2:27" ht="16.5" customHeight="1" outlineLevel="1" collapsed="1">
      <c r="B161" s="771" t="s">
        <v>503</v>
      </c>
      <c r="C161" s="712">
        <v>4</v>
      </c>
      <c r="D161" s="771" t="s">
        <v>92</v>
      </c>
      <c r="E161" s="712"/>
      <c r="F161" s="712"/>
      <c r="G161" s="712"/>
      <c r="H161" s="772"/>
      <c r="I161" s="713"/>
      <c r="J161" s="713"/>
      <c r="K161" s="772"/>
      <c r="L161" s="588"/>
      <c r="M161" s="773">
        <f>SUBTOTAL(9,M162:M167)</f>
        <v>0</v>
      </c>
      <c r="N161" s="773">
        <f>SUBTOTAL(9,N162:N167)</f>
        <v>0</v>
      </c>
      <c r="O161" s="773">
        <f>SUBTOTAL(9,O162:O167)</f>
        <v>0</v>
      </c>
      <c r="P161" s="774" t="e">
        <f t="shared" si="26"/>
        <v>#DIV/0!</v>
      </c>
      <c r="Q161" s="775"/>
      <c r="AA161" s="632"/>
    </row>
    <row r="162" spans="2:27" ht="16.5" hidden="1" customHeight="1" outlineLevel="2">
      <c r="B162" s="776" t="s">
        <v>1600</v>
      </c>
      <c r="C162" s="777" t="s">
        <v>36</v>
      </c>
      <c r="D162" s="804" t="s">
        <v>93</v>
      </c>
      <c r="E162" s="665" t="s">
        <v>461</v>
      </c>
      <c r="F162" s="665" t="s">
        <v>5</v>
      </c>
      <c r="G162" s="813"/>
      <c r="H162" s="787" t="s">
        <v>4</v>
      </c>
      <c r="I162" s="672">
        <f>$H$2</f>
        <v>0</v>
      </c>
      <c r="J162" s="672">
        <v>25</v>
      </c>
      <c r="K162" s="791">
        <f>J162/(1+L162)</f>
        <v>21.36752136752137</v>
      </c>
      <c r="L162" s="569">
        <v>0.17</v>
      </c>
      <c r="M162" s="779">
        <f t="shared" si="32"/>
        <v>0</v>
      </c>
      <c r="N162" s="779">
        <f>L162*M162</f>
        <v>0</v>
      </c>
      <c r="O162" s="779">
        <f>M162+N162</f>
        <v>0</v>
      </c>
      <c r="P162" s="780" t="e">
        <f t="shared" si="26"/>
        <v>#DIV/0!</v>
      </c>
      <c r="Q162" s="781">
        <f t="shared" si="25"/>
        <v>0</v>
      </c>
      <c r="AA162" s="632"/>
    </row>
    <row r="163" spans="2:27" ht="16.5" hidden="1" customHeight="1" outlineLevel="2">
      <c r="B163" s="776" t="s">
        <v>1601</v>
      </c>
      <c r="C163" s="777" t="s">
        <v>68</v>
      </c>
      <c r="D163" s="804" t="s">
        <v>94</v>
      </c>
      <c r="E163" s="648" t="s">
        <v>1602</v>
      </c>
      <c r="F163" s="665" t="s">
        <v>5</v>
      </c>
      <c r="G163" s="813">
        <v>1</v>
      </c>
      <c r="H163" s="787" t="s">
        <v>4</v>
      </c>
      <c r="I163" s="672">
        <f>$H$2</f>
        <v>0</v>
      </c>
      <c r="J163" s="672">
        <v>5900</v>
      </c>
      <c r="K163" s="791">
        <f>J163/(1+L163)</f>
        <v>5121.5277777777783</v>
      </c>
      <c r="L163" s="569">
        <f>17%*0.7+11%*0.3</f>
        <v>0.152</v>
      </c>
      <c r="M163" s="779">
        <f t="shared" si="32"/>
        <v>0</v>
      </c>
      <c r="N163" s="779">
        <f>L163*M163</f>
        <v>0</v>
      </c>
      <c r="O163" s="779">
        <f>M163+N163</f>
        <v>0</v>
      </c>
      <c r="P163" s="780" t="e">
        <f t="shared" si="26"/>
        <v>#DIV/0!</v>
      </c>
      <c r="Q163" s="781">
        <f t="shared" si="25"/>
        <v>0</v>
      </c>
      <c r="AA163" s="632"/>
    </row>
    <row r="164" spans="2:27" ht="16.5" hidden="1" customHeight="1" outlineLevel="2">
      <c r="B164" s="776" t="s">
        <v>779</v>
      </c>
      <c r="C164" s="777" t="s">
        <v>69</v>
      </c>
      <c r="D164" s="804" t="s">
        <v>95</v>
      </c>
      <c r="E164" s="648" t="s">
        <v>1621</v>
      </c>
      <c r="F164" s="648"/>
      <c r="G164" s="787">
        <v>1</v>
      </c>
      <c r="H164" s="787"/>
      <c r="I164" s="672"/>
      <c r="J164" s="672">
        <v>6800</v>
      </c>
      <c r="K164" s="681"/>
      <c r="L164" s="569"/>
      <c r="M164" s="779">
        <f t="shared" si="32"/>
        <v>0</v>
      </c>
      <c r="N164" s="779"/>
      <c r="O164" s="779"/>
      <c r="P164" s="780" t="str">
        <f t="shared" si="26"/>
        <v/>
      </c>
      <c r="Q164" s="781">
        <f t="shared" si="25"/>
        <v>0</v>
      </c>
      <c r="AA164" s="632"/>
    </row>
    <row r="165" spans="2:27" ht="16.5" hidden="1" customHeight="1" outlineLevel="2">
      <c r="B165" s="776" t="s">
        <v>780</v>
      </c>
      <c r="C165" s="777" t="s">
        <v>70</v>
      </c>
      <c r="D165" s="804" t="s">
        <v>96</v>
      </c>
      <c r="E165" s="648" t="s">
        <v>1621</v>
      </c>
      <c r="F165" s="648"/>
      <c r="G165" s="787"/>
      <c r="H165" s="787"/>
      <c r="I165" s="672"/>
      <c r="J165" s="672"/>
      <c r="K165" s="681"/>
      <c r="L165" s="569"/>
      <c r="M165" s="779">
        <f t="shared" si="32"/>
        <v>0</v>
      </c>
      <c r="N165" s="779"/>
      <c r="O165" s="779"/>
      <c r="P165" s="780" t="str">
        <f t="shared" si="26"/>
        <v/>
      </c>
      <c r="Q165" s="781">
        <f t="shared" si="25"/>
        <v>0</v>
      </c>
      <c r="AA165" s="632"/>
    </row>
    <row r="166" spans="2:27" ht="16.5" hidden="1" customHeight="1" outlineLevel="2">
      <c r="B166" s="776" t="s">
        <v>781</v>
      </c>
      <c r="C166" s="777" t="s">
        <v>71</v>
      </c>
      <c r="D166" s="804" t="s">
        <v>98</v>
      </c>
      <c r="E166" s="648" t="s">
        <v>1621</v>
      </c>
      <c r="F166" s="648"/>
      <c r="G166" s="787"/>
      <c r="H166" s="787"/>
      <c r="I166" s="672"/>
      <c r="J166" s="672"/>
      <c r="K166" s="681"/>
      <c r="L166" s="569"/>
      <c r="M166" s="779">
        <f t="shared" si="32"/>
        <v>0</v>
      </c>
      <c r="N166" s="779"/>
      <c r="O166" s="779"/>
      <c r="P166" s="780" t="str">
        <f t="shared" si="26"/>
        <v/>
      </c>
      <c r="Q166" s="781">
        <f t="shared" si="25"/>
        <v>0</v>
      </c>
      <c r="AA166" s="632"/>
    </row>
    <row r="167" spans="2:27" ht="16.5" hidden="1" customHeight="1" outlineLevel="2">
      <c r="B167" s="776" t="s">
        <v>782</v>
      </c>
      <c r="C167" s="777" t="s">
        <v>144</v>
      </c>
      <c r="D167" s="804" t="s">
        <v>816</v>
      </c>
      <c r="E167" s="648" t="s">
        <v>1621</v>
      </c>
      <c r="F167" s="648"/>
      <c r="G167" s="787"/>
      <c r="H167" s="787"/>
      <c r="I167" s="672"/>
      <c r="J167" s="672"/>
      <c r="K167" s="681"/>
      <c r="L167" s="569"/>
      <c r="M167" s="779">
        <f t="shared" si="32"/>
        <v>0</v>
      </c>
      <c r="N167" s="779"/>
      <c r="O167" s="779"/>
      <c r="P167" s="780" t="str">
        <f t="shared" si="26"/>
        <v/>
      </c>
      <c r="Q167" s="781">
        <f>G167*I167*J167/10000-O167</f>
        <v>0</v>
      </c>
      <c r="AA167" s="632"/>
    </row>
    <row r="168" spans="2:27" ht="16.5" customHeight="1" collapsed="1">
      <c r="C168" s="632"/>
      <c r="G168" s="632"/>
      <c r="H168" s="632"/>
      <c r="I168" s="632"/>
      <c r="J168" s="632"/>
      <c r="L168" s="748" t="s">
        <v>24</v>
      </c>
      <c r="M168" s="829" t="s">
        <v>1931</v>
      </c>
      <c r="N168" s="829" t="s">
        <v>1932</v>
      </c>
      <c r="AA168" s="632"/>
    </row>
    <row r="169" spans="2:27" ht="15.5">
      <c r="C169" s="632"/>
      <c r="G169" s="632"/>
      <c r="H169" s="632"/>
      <c r="I169" s="632"/>
      <c r="J169" s="632"/>
      <c r="K169" s="748" t="s">
        <v>1933</v>
      </c>
      <c r="L169" s="830" t="s">
        <v>1935</v>
      </c>
      <c r="M169" s="750">
        <f>O4+O69+O88</f>
        <v>0</v>
      </c>
      <c r="N169" s="750">
        <f>+O4+O88</f>
        <v>0</v>
      </c>
      <c r="O169" s="829"/>
      <c r="Z169" s="831">
        <f>SUM(Z4:Z168)</f>
        <v>0</v>
      </c>
      <c r="AA169" s="632"/>
    </row>
    <row r="170" spans="2:27" ht="24" customHeight="1">
      <c r="L170" s="748" t="s">
        <v>1936</v>
      </c>
      <c r="M170" s="750" t="e">
        <f>M169/$E$2*10000</f>
        <v>#DIV/0!</v>
      </c>
      <c r="N170" s="832" t="e">
        <f>N169/$E$2*10000</f>
        <v>#DIV/0!</v>
      </c>
    </row>
    <row r="171" spans="2:27" ht="24" customHeight="1">
      <c r="K171" s="748" t="s">
        <v>1934</v>
      </c>
      <c r="L171" s="830" t="s">
        <v>1935</v>
      </c>
      <c r="M171" s="750">
        <f>+M4+M69+M88</f>
        <v>0</v>
      </c>
      <c r="N171" s="750">
        <f>+M4+M88</f>
        <v>0</v>
      </c>
    </row>
    <row r="172" spans="2:27" ht="24" customHeight="1">
      <c r="L172" s="748" t="s">
        <v>1936</v>
      </c>
      <c r="M172" s="750" t="e">
        <f>M171/$E$2*10000</f>
        <v>#DIV/0!</v>
      </c>
      <c r="N172" s="750" t="e">
        <f>N171/$E$2*10000</f>
        <v>#DIV/0!</v>
      </c>
    </row>
  </sheetData>
  <autoFilter ref="A3:AA168"/>
  <phoneticPr fontId="19" type="noConversion"/>
  <conditionalFormatting sqref="I28:J28">
    <cfRule type="cellIs" priority="79" operator="equal">
      <formula>0</formula>
    </cfRule>
    <cfRule type="cellIs" dxfId="65" priority="80" operator="equal">
      <formula>0</formula>
    </cfRule>
  </conditionalFormatting>
  <conditionalFormatting sqref="B129:C129">
    <cfRule type="duplicateValues" dxfId="64" priority="137"/>
  </conditionalFormatting>
  <conditionalFormatting sqref="D6:D8">
    <cfRule type="duplicateValues" dxfId="63" priority="150"/>
  </conditionalFormatting>
  <conditionalFormatting sqref="B88:C88">
    <cfRule type="duplicateValues" dxfId="62" priority="139"/>
  </conditionalFormatting>
  <conditionalFormatting sqref="B69:C69">
    <cfRule type="duplicateValues" dxfId="61" priority="143"/>
  </conditionalFormatting>
  <conditionalFormatting sqref="B149:C149">
    <cfRule type="duplicateValues" dxfId="60" priority="136"/>
  </conditionalFormatting>
  <conditionalFormatting sqref="B36:C36">
    <cfRule type="duplicateValues" dxfId="59" priority="144"/>
  </conditionalFormatting>
  <conditionalFormatting sqref="B4:C4">
    <cfRule type="duplicateValues" dxfId="58" priority="146"/>
  </conditionalFormatting>
  <conditionalFormatting sqref="B70:C70">
    <cfRule type="duplicateValues" dxfId="57" priority="142"/>
  </conditionalFormatting>
  <conditionalFormatting sqref="I36:J37 I66:J66 I113:J113 I117:J119 I124:J126 I128:J131 I145:J150 I141:J141 I164:J65536 I157:J161 I31:J31 I18:J19 I23:J26 I41:J41 I82:J91 I94:J94 I134:J134 I4:J10 I44:J44 I46:J47 I56:J57 I69:J70 I99:J99 I102:J102 I105:J106 I110:J111 I108:J108">
    <cfRule type="cellIs" dxfId="56" priority="148" operator="equal">
      <formula>0</formula>
    </cfRule>
  </conditionalFormatting>
  <conditionalFormatting sqref="B161:C161">
    <cfRule type="duplicateValues" dxfId="55" priority="135"/>
  </conditionalFormatting>
  <conditionalFormatting sqref="B5:C5">
    <cfRule type="duplicateValues" dxfId="54" priority="145"/>
  </conditionalFormatting>
  <conditionalFormatting sqref="B89:C89">
    <cfRule type="duplicateValues" dxfId="53" priority="138"/>
  </conditionalFormatting>
  <conditionalFormatting sqref="B86:C87">
    <cfRule type="duplicateValues" dxfId="52" priority="140"/>
  </conditionalFormatting>
  <conditionalFormatting sqref="B82:C82">
    <cfRule type="duplicateValues" dxfId="51" priority="141"/>
  </conditionalFormatting>
  <conditionalFormatting sqref="D1:D5 D9:D65536">
    <cfRule type="duplicateValues" dxfId="50" priority="149"/>
  </conditionalFormatting>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G4" activePane="bottomRight" state="frozen"/>
      <selection pane="topRight"/>
      <selection pane="bottomLeft"/>
      <selection pane="bottomRight" activeCell="J169" sqref="J169"/>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1688</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5" customHeight="1">
      <c r="C2" s="752"/>
      <c r="D2" s="753" t="s">
        <v>1622</v>
      </c>
      <c r="E2" s="757">
        <f>'3-规划指标'!H27</f>
        <v>0</v>
      </c>
      <c r="F2" s="758">
        <v>0</v>
      </c>
      <c r="G2" s="759">
        <f>'3-规划指标'!G27</f>
        <v>0</v>
      </c>
      <c r="H2" s="759">
        <f>'3-规划指标'!N27</f>
        <v>0</v>
      </c>
      <c r="I2" s="759">
        <f>'3-规划指标'!M27</f>
        <v>0</v>
      </c>
      <c r="J2" s="759">
        <f>'3-规划指标'!O27</f>
        <v>0</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38</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3.2</v>
      </c>
      <c r="H16" s="787" t="s">
        <v>101</v>
      </c>
      <c r="I16" s="672">
        <f>$E$2</f>
        <v>0</v>
      </c>
      <c r="J16" s="672">
        <v>60</v>
      </c>
      <c r="K16" s="778">
        <f t="shared" si="1"/>
        <v>54.054054054054049</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0.15</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0.35</v>
      </c>
      <c r="H20" s="787" t="s">
        <v>101</v>
      </c>
      <c r="I20" s="672">
        <f>$E$2</f>
        <v>0</v>
      </c>
      <c r="J20" s="672">
        <v>40</v>
      </c>
      <c r="K20" s="778">
        <f t="shared" si="1"/>
        <v>34.188034188034187</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0.35</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101</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101</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1.2</v>
      </c>
      <c r="H28" s="790" t="s">
        <v>101</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1.2</v>
      </c>
      <c r="H29" s="790" t="s">
        <v>101</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1605</v>
      </c>
      <c r="G30" s="672">
        <v>1.5</v>
      </c>
      <c r="H30" s="790" t="s">
        <v>111</v>
      </c>
      <c r="I30" s="672">
        <f t="shared" si="2"/>
        <v>0</v>
      </c>
      <c r="J30" s="672">
        <v>90</v>
      </c>
      <c r="K30" s="778">
        <f t="shared" si="1"/>
        <v>81.081081081081081</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111</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1606</v>
      </c>
      <c r="F32" s="648" t="s">
        <v>657</v>
      </c>
      <c r="G32" s="672">
        <v>1</v>
      </c>
      <c r="H32" s="790" t="s">
        <v>111</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111</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111</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111</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111</v>
      </c>
      <c r="I39" s="672">
        <f>$E$2*(1+$F$2)</f>
        <v>0</v>
      </c>
      <c r="J39" s="672">
        <v>30</v>
      </c>
      <c r="K39" s="778">
        <f>J39/(1+L39)</f>
        <v>27.027027027027025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111</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111</v>
      </c>
      <c r="I42" s="672">
        <f>$E$2*(1+$F$2)</f>
        <v>0</v>
      </c>
      <c r="J42" s="791">
        <v>80</v>
      </c>
      <c r="K42" s="778">
        <f>J42/(1+L42)</f>
        <v>72.072072072072061</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6</v>
      </c>
      <c r="I43" s="791">
        <f>$H$2</f>
        <v>0</v>
      </c>
      <c r="J43" s="791">
        <v>1800</v>
      </c>
      <c r="K43" s="778">
        <f>J43/(1+L43)</f>
        <v>1800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111</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6</v>
      </c>
      <c r="I46" s="791">
        <f>$H$2</f>
        <v>0</v>
      </c>
      <c r="J46" s="791">
        <v>1753</v>
      </c>
      <c r="K46" s="778">
        <f>J46/(1+L46)</f>
        <v>1753</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111</v>
      </c>
      <c r="I48" s="672">
        <f t="shared" ref="I48:I55" si="6">$E$2*(1+$F$2)</f>
        <v>0</v>
      </c>
      <c r="J48" s="672">
        <v>80</v>
      </c>
      <c r="K48" s="778">
        <f t="shared" ref="K48:K54" si="7">J48/(1+L48)</f>
        <v>72.072072072072061</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111</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111</v>
      </c>
      <c r="I50" s="672">
        <f t="shared" si="6"/>
        <v>0</v>
      </c>
      <c r="J50" s="672">
        <v>20</v>
      </c>
      <c r="K50" s="778">
        <f t="shared" si="7"/>
        <v>17.094017094017094</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111</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111</v>
      </c>
      <c r="I52" s="672">
        <f t="shared" si="6"/>
        <v>0</v>
      </c>
      <c r="J52" s="672">
        <v>15</v>
      </c>
      <c r="K52" s="778">
        <f t="shared" si="7"/>
        <v>12.820512820512821</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111</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111</v>
      </c>
      <c r="I54" s="672">
        <f>+H2</f>
        <v>0</v>
      </c>
      <c r="J54" s="672">
        <v>700</v>
      </c>
      <c r="K54" s="778">
        <f t="shared" si="7"/>
        <v>598.29059829059838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111</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18</v>
      </c>
      <c r="G58" s="791">
        <v>1</v>
      </c>
      <c r="H58" s="795" t="s">
        <v>100</v>
      </c>
      <c r="I58" s="791">
        <f>$I$2</f>
        <v>0</v>
      </c>
      <c r="J58" s="798">
        <v>310000</v>
      </c>
      <c r="K58" s="778">
        <f>J58/(1+L58)</f>
        <v>264957.264957265</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18</v>
      </c>
      <c r="G59" s="791">
        <v>1</v>
      </c>
      <c r="H59" s="795" t="s">
        <v>100</v>
      </c>
      <c r="I59" s="791">
        <f>$I$2</f>
        <v>0</v>
      </c>
      <c r="J59" s="798">
        <v>55000</v>
      </c>
      <c r="K59" s="778">
        <f>J59/(1+L59)</f>
        <v>49549.549549549542</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50</v>
      </c>
      <c r="K64" s="672">
        <f>J64/(1+L64)</f>
        <v>45.045045045045043</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675</v>
      </c>
      <c r="C69" s="481" t="s">
        <v>34</v>
      </c>
      <c r="D69" s="480" t="s">
        <v>497</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676</v>
      </c>
      <c r="C70" s="803">
        <v>1</v>
      </c>
      <c r="D70" s="802" t="s">
        <v>22</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677</v>
      </c>
      <c r="C71" s="777" t="s">
        <v>36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v>90</v>
      </c>
      <c r="K72" s="778">
        <f t="shared" si="13"/>
        <v>76.923076923076934</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v>70</v>
      </c>
      <c r="K74" s="778">
        <f t="shared" si="13"/>
        <v>63.063063063063055</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v>70</v>
      </c>
      <c r="K75" s="778">
        <f t="shared" si="13"/>
        <v>59.82905982905983</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v>620</v>
      </c>
      <c r="K76" s="778">
        <f t="shared" si="13"/>
        <v>558.5585585585585</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v>40</v>
      </c>
      <c r="K77" s="778">
        <f t="shared" si="13"/>
        <v>34.188034188034187</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1607</v>
      </c>
      <c r="F78" s="648" t="s">
        <v>657</v>
      </c>
      <c r="G78" s="791">
        <v>1</v>
      </c>
      <c r="H78" s="795" t="s">
        <v>143</v>
      </c>
      <c r="I78" s="672">
        <f t="shared" si="12"/>
        <v>0</v>
      </c>
      <c r="J78" s="672">
        <v>50</v>
      </c>
      <c r="K78" s="778">
        <f t="shared" si="13"/>
        <v>42.73504273504274</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v>50</v>
      </c>
      <c r="K79" s="778">
        <f t="shared" si="13"/>
        <v>42.73504273504274</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1554</v>
      </c>
      <c r="E81" s="648" t="s">
        <v>1608</v>
      </c>
      <c r="F81" s="648" t="s">
        <v>657</v>
      </c>
      <c r="G81" s="791">
        <v>1</v>
      </c>
      <c r="H81" s="795" t="s">
        <v>143</v>
      </c>
      <c r="I81" s="672">
        <f t="shared" si="12"/>
        <v>0</v>
      </c>
      <c r="J81" s="672">
        <v>10</v>
      </c>
      <c r="K81" s="778">
        <f t="shared" si="13"/>
        <v>8.5470085470085468</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687</v>
      </c>
      <c r="C82" s="803">
        <v>2</v>
      </c>
      <c r="D82" s="802" t="s">
        <v>688</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36</v>
      </c>
      <c r="D83" s="804" t="s">
        <v>690</v>
      </c>
      <c r="E83" s="648" t="s">
        <v>1608</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692</v>
      </c>
      <c r="E84" s="648" t="s">
        <v>1608</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694</v>
      </c>
      <c r="E85" s="648" t="s">
        <v>1608</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695</v>
      </c>
      <c r="C86" s="803">
        <v>3</v>
      </c>
      <c r="D86" s="802" t="s">
        <v>696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697</v>
      </c>
      <c r="C87" s="803">
        <v>4</v>
      </c>
      <c r="D87" s="802" t="s">
        <v>698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699</v>
      </c>
      <c r="C88" s="481" t="s">
        <v>379</v>
      </c>
      <c r="D88" s="480" t="s">
        <v>498</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499</v>
      </c>
      <c r="C89" s="803">
        <v>1</v>
      </c>
      <c r="D89" s="802" t="s">
        <v>35</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36</v>
      </c>
      <c r="D90" s="804" t="s">
        <v>701</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1555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801</v>
      </c>
      <c r="C92" s="782"/>
      <c r="D92" s="807" t="s">
        <v>1556</v>
      </c>
      <c r="E92" s="648" t="s">
        <v>459</v>
      </c>
      <c r="F92" s="648" t="s">
        <v>657</v>
      </c>
      <c r="G92" s="808">
        <v>1.3</v>
      </c>
      <c r="H92" s="805" t="s">
        <v>101</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1.3</v>
      </c>
      <c r="H93" s="805" t="s">
        <v>101</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1558</v>
      </c>
      <c r="C94" s="782" t="s">
        <v>39</v>
      </c>
      <c r="D94" s="804" t="s">
        <v>1559</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802</v>
      </c>
      <c r="C95" s="782"/>
      <c r="D95" s="807" t="s">
        <v>1560</v>
      </c>
      <c r="E95" s="719" t="s">
        <v>1609</v>
      </c>
      <c r="F95" s="648" t="s">
        <v>657</v>
      </c>
      <c r="G95" s="809">
        <v>0</v>
      </c>
      <c r="H95" s="805" t="s">
        <v>101</v>
      </c>
      <c r="I95" s="672">
        <f t="shared" si="17"/>
        <v>0</v>
      </c>
      <c r="J95" s="790"/>
      <c r="K95" s="778">
        <f t="shared" ref="K95:K128" si="18">J95/(1+L95)</f>
        <v>0</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1609</v>
      </c>
      <c r="F96" s="648" t="s">
        <v>657</v>
      </c>
      <c r="G96" s="809">
        <v>0</v>
      </c>
      <c r="H96" s="805" t="s">
        <v>101</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1609</v>
      </c>
      <c r="F97" s="648" t="s">
        <v>657</v>
      </c>
      <c r="G97" s="809">
        <v>0</v>
      </c>
      <c r="H97" s="805" t="s">
        <v>101</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1609</v>
      </c>
      <c r="F98" s="648" t="s">
        <v>657</v>
      </c>
      <c r="G98" s="809">
        <v>0</v>
      </c>
      <c r="H98" s="805" t="s">
        <v>101</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1566</v>
      </c>
      <c r="C99" s="782" t="s">
        <v>39</v>
      </c>
      <c r="D99" s="804" t="s">
        <v>1567</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1568</v>
      </c>
      <c r="C100" s="782"/>
      <c r="D100" s="807" t="s">
        <v>1569</v>
      </c>
      <c r="E100" s="665" t="s">
        <v>469</v>
      </c>
      <c r="F100" s="648" t="s">
        <v>657</v>
      </c>
      <c r="G100" s="809">
        <v>0</v>
      </c>
      <c r="H100" s="805" t="s">
        <v>101</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101</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1572</v>
      </c>
      <c r="C102" s="782" t="s">
        <v>39</v>
      </c>
      <c r="D102" s="804" t="s">
        <v>1573</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1574</v>
      </c>
      <c r="C103" s="782"/>
      <c r="D103" s="804" t="s">
        <v>1575</v>
      </c>
      <c r="E103" s="665" t="s">
        <v>468</v>
      </c>
      <c r="F103" s="648" t="s">
        <v>657</v>
      </c>
      <c r="G103" s="809">
        <v>1</v>
      </c>
      <c r="H103" s="805" t="s">
        <v>111</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111</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1578</v>
      </c>
      <c r="C105" s="782" t="s">
        <v>39</v>
      </c>
      <c r="D105" s="804" t="s">
        <v>1579</v>
      </c>
      <c r="E105" s="648" t="s">
        <v>1610</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708</v>
      </c>
      <c r="E106" s="648" t="s">
        <v>1580</v>
      </c>
      <c r="F106" s="665" t="s">
        <v>18</v>
      </c>
      <c r="G106" s="810">
        <v>10</v>
      </c>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1606</v>
      </c>
      <c r="F107" s="648" t="s">
        <v>657</v>
      </c>
      <c r="G107" s="809">
        <v>1</v>
      </c>
      <c r="H107" s="805" t="s">
        <v>101</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1606</v>
      </c>
      <c r="F108" s="665" t="s">
        <v>18</v>
      </c>
      <c r="G108" s="811">
        <v>0</v>
      </c>
      <c r="H108" s="805" t="s">
        <v>1</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97</v>
      </c>
      <c r="E109" s="648" t="s">
        <v>470</v>
      </c>
      <c r="F109" s="648" t="s">
        <v>657</v>
      </c>
      <c r="G109" s="808">
        <v>1</v>
      </c>
      <c r="H109" s="805" t="s">
        <v>111</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710</v>
      </c>
      <c r="C110" s="782" t="s">
        <v>39</v>
      </c>
      <c r="D110" s="804" t="s">
        <v>711</v>
      </c>
      <c r="E110" s="648" t="s">
        <v>1606</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33</v>
      </c>
      <c r="D111" s="804" t="s">
        <v>713</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715</v>
      </c>
      <c r="E112" s="665" t="s">
        <v>1583</v>
      </c>
      <c r="F112" s="665" t="s">
        <v>803</v>
      </c>
      <c r="G112" s="813">
        <v>7</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0</v>
      </c>
      <c r="G113" s="813">
        <v>5</v>
      </c>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719</v>
      </c>
      <c r="E114" s="665" t="s">
        <v>1583</v>
      </c>
      <c r="F114" s="665" t="s">
        <v>5</v>
      </c>
      <c r="G114" s="813">
        <v>10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6</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6</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18</v>
      </c>
      <c r="G118" s="814">
        <v>1</v>
      </c>
      <c r="H118" s="805" t="s">
        <v>1611</v>
      </c>
      <c r="I118" s="672">
        <f>$I$2</f>
        <v>0</v>
      </c>
      <c r="J118" s="812">
        <v>5000</v>
      </c>
      <c r="K118" s="778">
        <f t="shared" si="18"/>
        <v>4504.5045045045044</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v>1700</v>
      </c>
      <c r="K121" s="778">
        <f t="shared" si="18"/>
        <v>1452.9914529914531</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7</v>
      </c>
      <c r="H122" s="805" t="s">
        <v>1591</v>
      </c>
      <c r="I122" s="672">
        <f>$I$2*($J$2+1)</f>
        <v>0</v>
      </c>
      <c r="J122" s="812">
        <v>450</v>
      </c>
      <c r="K122" s="778">
        <f t="shared" si="18"/>
        <v>405.40540540540536</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0.19</v>
      </c>
      <c r="H123" s="805" t="s">
        <v>101</v>
      </c>
      <c r="I123" s="672">
        <f>$E$2*(1+$F$2)</f>
        <v>0</v>
      </c>
      <c r="J123" s="812">
        <v>700</v>
      </c>
      <c r="K123" s="778">
        <f t="shared" si="18"/>
        <v>598.29059829059838</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18</v>
      </c>
      <c r="G131" s="787">
        <v>50</v>
      </c>
      <c r="H131" s="805" t="s">
        <v>1</v>
      </c>
      <c r="I131" s="672">
        <f>$I$2</f>
        <v>0</v>
      </c>
      <c r="J131" s="681">
        <v>900</v>
      </c>
      <c r="K131" s="778">
        <f>J131/(1+L131)</f>
        <v>810.81081081081072</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18</v>
      </c>
      <c r="G132" s="787">
        <v>50</v>
      </c>
      <c r="H132" s="805" t="s">
        <v>1</v>
      </c>
      <c r="I132" s="672">
        <f>$I$2</f>
        <v>0</v>
      </c>
      <c r="J132" s="681">
        <v>800</v>
      </c>
      <c r="K132" s="778">
        <f>J132/(1+L132)</f>
        <v>683.76068376068383</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18</v>
      </c>
      <c r="G133" s="787">
        <v>50</v>
      </c>
      <c r="H133" s="805" t="s">
        <v>1</v>
      </c>
      <c r="I133" s="672">
        <f>$I$2</f>
        <v>0</v>
      </c>
      <c r="J133" s="681">
        <v>100</v>
      </c>
      <c r="K133" s="778">
        <f>J133/(1+L133)</f>
        <v>85.470085470085479</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18</v>
      </c>
      <c r="G135" s="787">
        <v>30</v>
      </c>
      <c r="H135" s="805" t="s">
        <v>1</v>
      </c>
      <c r="I135" s="672">
        <f>$I$2</f>
        <v>0</v>
      </c>
      <c r="J135" s="681">
        <v>300</v>
      </c>
      <c r="K135" s="778">
        <f>J135/(1+L135)</f>
        <v>270.27027027027026</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18</v>
      </c>
      <c r="G136" s="787">
        <v>30</v>
      </c>
      <c r="H136" s="805" t="s">
        <v>1</v>
      </c>
      <c r="I136" s="672">
        <f>$I$2</f>
        <v>0</v>
      </c>
      <c r="J136" s="681">
        <v>200</v>
      </c>
      <c r="K136" s="778">
        <f>J136/(1+L136)</f>
        <v>170.94017094017096</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18</v>
      </c>
      <c r="G137" s="787">
        <v>30</v>
      </c>
      <c r="H137" s="805" t="s">
        <v>1</v>
      </c>
      <c r="I137" s="672">
        <f>$I$2</f>
        <v>0</v>
      </c>
      <c r="J137" s="681">
        <v>100</v>
      </c>
      <c r="K137" s="778">
        <f>J137/(1+L137)</f>
        <v>85.470085470085479</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18</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18</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15</v>
      </c>
      <c r="H140" s="805" t="s">
        <v>2</v>
      </c>
      <c r="I140" s="672">
        <f>$J$2+1</f>
        <v>1</v>
      </c>
      <c r="J140" s="681">
        <v>150</v>
      </c>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15</v>
      </c>
      <c r="H142" s="805" t="s">
        <v>2</v>
      </c>
      <c r="I142" s="672">
        <f>($J$2-1)*$I$2</f>
        <v>0</v>
      </c>
      <c r="J142" s="681">
        <v>350</v>
      </c>
      <c r="K142" s="778">
        <f>J142/(1+L142)</f>
        <v>315.31531531531527</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15</v>
      </c>
      <c r="H143" s="805" t="s">
        <v>2</v>
      </c>
      <c r="I143" s="672">
        <f>($J$2-1)*$I$2</f>
        <v>0</v>
      </c>
      <c r="J143" s="681">
        <v>200</v>
      </c>
      <c r="K143" s="778">
        <f>J143/(1+L143)</f>
        <v>170.94017094017096</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15</v>
      </c>
      <c r="H144" s="805" t="s">
        <v>2</v>
      </c>
      <c r="I144" s="672">
        <f>($J$2-1)*$I$2</f>
        <v>0</v>
      </c>
      <c r="J144" s="681">
        <v>100</v>
      </c>
      <c r="K144" s="778">
        <f>J144/(1+L144)</f>
        <v>85.470085470085479</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v>200</v>
      </c>
      <c r="K151" s="778">
        <f t="shared" ref="K151:K158" si="30">J151/(1+L151)</f>
        <v>180.18018018018017</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v>200</v>
      </c>
      <c r="K154" s="778">
        <f t="shared" si="30"/>
        <v>180.18018018018017</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v>500</v>
      </c>
      <c r="K155" s="778">
        <f t="shared" si="30"/>
        <v>427.35042735042737</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200</v>
      </c>
      <c r="K156" s="778">
        <f t="shared" si="30"/>
        <v>180.18018018018017</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v>20</v>
      </c>
      <c r="K162" s="778">
        <f>J162/(1+L162)</f>
        <v>17.094017094017094</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24</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832"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52">
    <cfRule type="cellIs" priority="67" operator="equal">
      <formula>0</formula>
    </cfRule>
    <cfRule type="cellIs" dxfId="49" priority="68" operator="equal">
      <formula>0</formula>
    </cfRule>
  </conditionalFormatting>
  <conditionalFormatting sqref="B36:C36">
    <cfRule type="duplicateValues" dxfId="48" priority="188"/>
  </conditionalFormatting>
  <conditionalFormatting sqref="B86:C87">
    <cfRule type="duplicateValues" dxfId="47" priority="112"/>
  </conditionalFormatting>
  <conditionalFormatting sqref="B4:C4">
    <cfRule type="duplicateValues" dxfId="46" priority="190"/>
  </conditionalFormatting>
  <conditionalFormatting sqref="B82:C82">
    <cfRule type="duplicateValues" dxfId="45" priority="113"/>
  </conditionalFormatting>
  <conditionalFormatting sqref="B5:C5">
    <cfRule type="duplicateValues" dxfId="44" priority="189"/>
  </conditionalFormatting>
  <conditionalFormatting sqref="D6:D8">
    <cfRule type="duplicateValues" dxfId="43" priority="193"/>
  </conditionalFormatting>
  <conditionalFormatting sqref="I168:I65536">
    <cfRule type="cellIs" dxfId="42" priority="191" operator="equal">
      <formula>0</formula>
    </cfRule>
  </conditionalFormatting>
  <conditionalFormatting sqref="D37:D68">
    <cfRule type="duplicateValues" dxfId="41" priority="194"/>
  </conditionalFormatting>
  <conditionalFormatting sqref="B69:C69">
    <cfRule type="duplicateValues" dxfId="40" priority="115"/>
  </conditionalFormatting>
  <conditionalFormatting sqref="D168:D65536 D9 D1:D5 D36">
    <cfRule type="duplicateValues" dxfId="39" priority="192"/>
  </conditionalFormatting>
  <conditionalFormatting sqref="I19 I4:I10">
    <cfRule type="cellIs" dxfId="38" priority="186" operator="equal">
      <formula>0</formula>
    </cfRule>
  </conditionalFormatting>
  <conditionalFormatting sqref="D69:D167">
    <cfRule type="duplicateValues" dxfId="37" priority="118"/>
  </conditionalFormatting>
  <conditionalFormatting sqref="B88:C88">
    <cfRule type="duplicateValues" dxfId="36" priority="111"/>
  </conditionalFormatting>
  <conditionalFormatting sqref="B161:C161">
    <cfRule type="duplicateValues" dxfId="35" priority="107"/>
  </conditionalFormatting>
  <conditionalFormatting sqref="B149:C149">
    <cfRule type="duplicateValues" dxfId="34" priority="108"/>
  </conditionalFormatting>
  <conditionalFormatting sqref="B70:C70">
    <cfRule type="duplicateValues" dxfId="33" priority="114"/>
  </conditionalFormatting>
  <conditionalFormatting sqref="B89:C89">
    <cfRule type="duplicateValues" dxfId="32" priority="110"/>
  </conditionalFormatting>
  <conditionalFormatting sqref="D10:D35">
    <cfRule type="duplicateValues" dxfId="31" priority="187"/>
  </conditionalFormatting>
  <conditionalFormatting sqref="B129:C129">
    <cfRule type="duplicateValues" dxfId="30" priority="10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75"/>
  <sheetViews>
    <sheetView workbookViewId="0">
      <pane xSplit="4" ySplit="3" topLeftCell="G4" activePane="bottomRight" state="frozen"/>
      <selection pane="topRight"/>
      <selection pane="bottomLeft"/>
      <selection pane="bottomRight" activeCell="J169" sqref="J169"/>
    </sheetView>
  </sheetViews>
  <sheetFormatPr defaultColWidth="9" defaultRowHeight="24" customHeight="1" outlineLevelRow="3"/>
  <cols>
    <col min="1" max="1" width="3.33203125" style="632" customWidth="1"/>
    <col min="2" max="2" width="17.58203125" style="632" customWidth="1"/>
    <col min="3" max="3" width="5.08203125" style="748" customWidth="1"/>
    <col min="4" max="4" width="19.58203125" style="632" customWidth="1"/>
    <col min="5" max="5" width="18.8320312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3" width="12.1640625" style="750" customWidth="1"/>
    <col min="14" max="15" width="10"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446</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5" customHeight="1">
      <c r="C2" s="752"/>
      <c r="D2" s="753" t="s">
        <v>1622</v>
      </c>
      <c r="E2" s="757">
        <f>'3-规划指标'!H43</f>
        <v>0</v>
      </c>
      <c r="F2" s="758">
        <v>0</v>
      </c>
      <c r="G2" s="759">
        <f>E2</f>
        <v>0</v>
      </c>
      <c r="H2" s="759"/>
      <c r="I2" s="759"/>
      <c r="J2" s="759">
        <v>1</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838" t="s">
        <v>1623</v>
      </c>
      <c r="K3" s="476" t="s">
        <v>1624</v>
      </c>
      <c r="L3" s="476" t="s">
        <v>515</v>
      </c>
      <c r="M3" s="764" t="s">
        <v>1069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2</v>
      </c>
      <c r="H7" s="785" t="s">
        <v>384</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1.5</v>
      </c>
      <c r="H8" s="785" t="s">
        <v>384</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c r="H11" s="787" t="s">
        <v>384</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1.1000000000000001</v>
      </c>
      <c r="H12" s="790" t="s">
        <v>143</v>
      </c>
      <c r="I12" s="672">
        <f>$E$2</f>
        <v>0</v>
      </c>
      <c r="J12" s="786">
        <v>540</v>
      </c>
      <c r="K12" s="778">
        <v>500</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c r="H14" s="787" t="s">
        <v>1927</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130</v>
      </c>
      <c r="H15" s="787" t="s">
        <v>1927</v>
      </c>
      <c r="I15" s="672">
        <f>$E$2</f>
        <v>0</v>
      </c>
      <c r="J15" s="786">
        <v>4.5</v>
      </c>
      <c r="K15" s="778">
        <f>J15/(1+L15)</f>
        <v>4.0540540540540535</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3</v>
      </c>
      <c r="H16" s="787" t="s">
        <v>145</v>
      </c>
      <c r="I16" s="672">
        <f>$E$2</f>
        <v>0</v>
      </c>
      <c r="J16" s="672">
        <v>68</v>
      </c>
      <c r="K16" s="778">
        <f>J16/(1+L16)</f>
        <v>61.261261261261254</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0.08</v>
      </c>
      <c r="H17" s="787" t="s">
        <v>384</v>
      </c>
      <c r="I17" s="672">
        <f>$E$2</f>
        <v>0</v>
      </c>
      <c r="J17" s="791">
        <v>550</v>
      </c>
      <c r="K17" s="778">
        <f>J17/(1+L17)</f>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v>
      </c>
      <c r="H18" s="790" t="s">
        <v>145</v>
      </c>
      <c r="I18" s="672">
        <f>$E$2</f>
        <v>0</v>
      </c>
      <c r="J18" s="786">
        <v>35</v>
      </c>
      <c r="K18" s="778">
        <f>J18/(1+L18)</f>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1.5</v>
      </c>
      <c r="H20" s="787" t="s">
        <v>145</v>
      </c>
      <c r="I20" s="672">
        <f>$E$2</f>
        <v>0</v>
      </c>
      <c r="J20" s="672">
        <v>80</v>
      </c>
      <c r="K20" s="778">
        <f>J20/(1+L20)</f>
        <v>68.376068376068375</v>
      </c>
      <c r="L20" s="569">
        <v>0.17</v>
      </c>
      <c r="M20" s="779">
        <f>G20*I20*K20/10000</f>
        <v>0</v>
      </c>
      <c r="N20" s="779">
        <f>L20*M20</f>
        <v>0</v>
      </c>
      <c r="O20" s="779">
        <f>M20+N20</f>
        <v>0</v>
      </c>
      <c r="P20" s="614" t="e">
        <f t="shared" si="0"/>
        <v>#DIV/0!</v>
      </c>
      <c r="Q20" s="511"/>
      <c r="R20" s="632"/>
      <c r="AB20" s="632"/>
    </row>
    <row r="21" spans="2:28" ht="15.75" hidden="1" customHeight="1" outlineLevel="3">
      <c r="B21" s="776" t="s">
        <v>1489</v>
      </c>
      <c r="C21" s="782"/>
      <c r="D21" s="796" t="s">
        <v>1639</v>
      </c>
      <c r="E21" s="648" t="s">
        <v>1228</v>
      </c>
      <c r="F21" s="648" t="s">
        <v>657</v>
      </c>
      <c r="G21" s="672">
        <v>1.5</v>
      </c>
      <c r="H21" s="787" t="s">
        <v>145</v>
      </c>
      <c r="I21" s="672">
        <f>$E$2</f>
        <v>0</v>
      </c>
      <c r="J21" s="672">
        <v>20</v>
      </c>
      <c r="K21" s="778">
        <f>J21/(1+L21)</f>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145</v>
      </c>
      <c r="I23" s="672">
        <f>$E$2</f>
        <v>0</v>
      </c>
      <c r="J23" s="672">
        <v>165</v>
      </c>
      <c r="K23" s="778">
        <f>J23/(1+L23)</f>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145</v>
      </c>
      <c r="I24" s="672">
        <f>$E$2</f>
        <v>0</v>
      </c>
      <c r="J24" s="672"/>
      <c r="K24" s="778">
        <f t="shared" ref="K24:K35" si="1">J24/(1+L24)</f>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145</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145</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c r="H28" s="790" t="s">
        <v>145</v>
      </c>
      <c r="I28" s="672">
        <f t="shared" ref="I28:I35" si="2">$E$2</f>
        <v>0</v>
      </c>
      <c r="J28" s="672"/>
      <c r="K28" s="778">
        <f t="shared" si="1"/>
        <v>0</v>
      </c>
      <c r="L28" s="569">
        <v>0.11</v>
      </c>
      <c r="M28" s="779">
        <f t="shared" ref="M28:M35" si="3">G28*I28*K28/10000</f>
        <v>0</v>
      </c>
      <c r="N28" s="779">
        <f t="shared" ref="N28:N35" si="4">L28*M28</f>
        <v>0</v>
      </c>
      <c r="O28" s="779">
        <f t="shared" ref="O28:O35" si="5">M28+N28</f>
        <v>0</v>
      </c>
      <c r="P28" s="614" t="e">
        <f t="shared" si="0"/>
        <v>#DIV/0!</v>
      </c>
      <c r="Q28" s="511"/>
      <c r="R28" s="632"/>
      <c r="AB28" s="632"/>
    </row>
    <row r="29" spans="2:28" ht="15.75" hidden="1" customHeight="1" outlineLevel="3">
      <c r="B29" s="776" t="s">
        <v>1494</v>
      </c>
      <c r="C29" s="782"/>
      <c r="D29" s="796" t="s">
        <v>1651</v>
      </c>
      <c r="E29" s="665" t="s">
        <v>1493</v>
      </c>
      <c r="F29" s="648" t="s">
        <v>657</v>
      </c>
      <c r="G29" s="672"/>
      <c r="H29" s="790" t="s">
        <v>145</v>
      </c>
      <c r="I29" s="672">
        <f t="shared" si="2"/>
        <v>0</v>
      </c>
      <c r="J29" s="672"/>
      <c r="K29" s="778">
        <f t="shared" si="1"/>
        <v>0</v>
      </c>
      <c r="L29" s="569">
        <v>0.11</v>
      </c>
      <c r="M29" s="779">
        <f t="shared" si="3"/>
        <v>0</v>
      </c>
      <c r="N29" s="779">
        <f t="shared" si="4"/>
        <v>0</v>
      </c>
      <c r="O29" s="779">
        <f t="shared" si="5"/>
        <v>0</v>
      </c>
      <c r="P29" s="614" t="e">
        <f t="shared" si="0"/>
        <v>#DIV/0!</v>
      </c>
      <c r="Q29" s="511"/>
      <c r="R29" s="632"/>
      <c r="AB29" s="632"/>
    </row>
    <row r="30" spans="2:28" ht="15.75" hidden="1" customHeight="1" outlineLevel="3">
      <c r="B30" s="776" t="s">
        <v>1495</v>
      </c>
      <c r="C30" s="782"/>
      <c r="D30" s="796" t="s">
        <v>1652</v>
      </c>
      <c r="E30" s="648" t="s">
        <v>1228</v>
      </c>
      <c r="F30" s="648" t="s">
        <v>1605</v>
      </c>
      <c r="G30" s="672">
        <v>0.5</v>
      </c>
      <c r="H30" s="790" t="s">
        <v>143</v>
      </c>
      <c r="I30" s="672">
        <f>G2</f>
        <v>0</v>
      </c>
      <c r="J30" s="672">
        <v>90</v>
      </c>
      <c r="K30" s="778">
        <f t="shared" si="1"/>
        <v>81.081081081081081</v>
      </c>
      <c r="L30" s="569">
        <v>0.11</v>
      </c>
      <c r="M30" s="779">
        <f t="shared" si="3"/>
        <v>0</v>
      </c>
      <c r="N30" s="779">
        <f t="shared" si="4"/>
        <v>0</v>
      </c>
      <c r="O30" s="779">
        <f t="shared" si="5"/>
        <v>0</v>
      </c>
      <c r="P30" s="614" t="e">
        <f t="shared" si="0"/>
        <v>#DIV/0!</v>
      </c>
      <c r="Q30" s="511"/>
      <c r="R30" s="632"/>
      <c r="AB30" s="632"/>
    </row>
    <row r="31" spans="2:28" ht="15.75" hidden="1" customHeight="1" outlineLevel="3">
      <c r="B31" s="776" t="s">
        <v>1653</v>
      </c>
      <c r="C31" s="782" t="s">
        <v>39</v>
      </c>
      <c r="D31" s="783" t="s">
        <v>1654</v>
      </c>
      <c r="E31" s="648" t="s">
        <v>1496</v>
      </c>
      <c r="F31" s="648" t="s">
        <v>657</v>
      </c>
      <c r="G31" s="672"/>
      <c r="H31" s="787" t="s">
        <v>143</v>
      </c>
      <c r="I31" s="672">
        <f t="shared" si="2"/>
        <v>0</v>
      </c>
      <c r="J31" s="672"/>
      <c r="K31" s="778">
        <f t="shared" si="1"/>
        <v>0</v>
      </c>
      <c r="L31" s="569">
        <v>0.17</v>
      </c>
      <c r="M31" s="779">
        <f t="shared" si="3"/>
        <v>0</v>
      </c>
      <c r="N31" s="779">
        <f t="shared" si="4"/>
        <v>0</v>
      </c>
      <c r="O31" s="779">
        <f t="shared" si="5"/>
        <v>0</v>
      </c>
      <c r="P31" s="614" t="e">
        <f t="shared" si="0"/>
        <v>#DIV/0!</v>
      </c>
      <c r="Q31" s="511"/>
      <c r="R31" s="632"/>
      <c r="AB31" s="632"/>
    </row>
    <row r="32" spans="2:28" s="633" customFormat="1" ht="15.75" hidden="1" customHeight="1" outlineLevel="3">
      <c r="B32" s="776" t="s">
        <v>1655</v>
      </c>
      <c r="C32" s="792" t="s">
        <v>39</v>
      </c>
      <c r="D32" s="783" t="s">
        <v>1656</v>
      </c>
      <c r="E32" s="648" t="s">
        <v>1606</v>
      </c>
      <c r="F32" s="648" t="s">
        <v>657</v>
      </c>
      <c r="G32" s="672"/>
      <c r="H32" s="787" t="s">
        <v>143</v>
      </c>
      <c r="I32" s="672">
        <f t="shared" si="2"/>
        <v>0</v>
      </c>
      <c r="J32" s="672"/>
      <c r="K32" s="778">
        <f t="shared" si="1"/>
        <v>0</v>
      </c>
      <c r="L32" s="569">
        <v>0.11</v>
      </c>
      <c r="M32" s="779">
        <f t="shared" si="3"/>
        <v>0</v>
      </c>
      <c r="N32" s="779">
        <f t="shared" si="4"/>
        <v>0</v>
      </c>
      <c r="O32" s="779">
        <f t="shared" si="5"/>
        <v>0</v>
      </c>
      <c r="P32" s="614" t="e">
        <f t="shared" si="0"/>
        <v>#DIV/0!</v>
      </c>
      <c r="Q32" s="781"/>
    </row>
    <row r="33" spans="2:28" ht="15.75" hidden="1" customHeight="1" outlineLevel="3">
      <c r="B33" s="776" t="s">
        <v>1657</v>
      </c>
      <c r="C33" s="782" t="s">
        <v>39</v>
      </c>
      <c r="D33" s="783" t="s">
        <v>1658</v>
      </c>
      <c r="E33" s="648" t="s">
        <v>1228</v>
      </c>
      <c r="F33" s="648" t="s">
        <v>657</v>
      </c>
      <c r="G33" s="672">
        <v>1</v>
      </c>
      <c r="H33" s="790" t="s">
        <v>143</v>
      </c>
      <c r="I33" s="672">
        <f t="shared" si="2"/>
        <v>0</v>
      </c>
      <c r="J33" s="791">
        <v>5</v>
      </c>
      <c r="K33" s="778">
        <f t="shared" si="1"/>
        <v>4.5045045045045038</v>
      </c>
      <c r="L33" s="569">
        <v>0.11</v>
      </c>
      <c r="M33" s="779">
        <f t="shared" si="3"/>
        <v>0</v>
      </c>
      <c r="N33" s="779">
        <f t="shared" si="4"/>
        <v>0</v>
      </c>
      <c r="O33" s="779">
        <f t="shared" si="5"/>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143</v>
      </c>
      <c r="I34" s="672">
        <f t="shared" si="2"/>
        <v>0</v>
      </c>
      <c r="J34" s="791">
        <v>20</v>
      </c>
      <c r="K34" s="778">
        <f t="shared" si="1"/>
        <v>18.018018018018015</v>
      </c>
      <c r="L34" s="569">
        <v>0.11</v>
      </c>
      <c r="M34" s="779">
        <f t="shared" si="3"/>
        <v>0</v>
      </c>
      <c r="N34" s="779">
        <f t="shared" si="4"/>
        <v>0</v>
      </c>
      <c r="O34" s="779">
        <f t="shared" si="5"/>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143</v>
      </c>
      <c r="I35" s="672">
        <f t="shared" si="2"/>
        <v>0</v>
      </c>
      <c r="J35" s="791"/>
      <c r="K35" s="778">
        <f t="shared" si="1"/>
        <v>0</v>
      </c>
      <c r="L35" s="569">
        <v>0.11</v>
      </c>
      <c r="M35" s="779">
        <f t="shared" si="3"/>
        <v>0</v>
      </c>
      <c r="N35" s="779">
        <f t="shared" si="4"/>
        <v>0</v>
      </c>
      <c r="O35" s="779">
        <f t="shared" si="5"/>
        <v>0</v>
      </c>
      <c r="P35" s="614" t="e">
        <f t="shared" si="0"/>
        <v>#DIV/0!</v>
      </c>
      <c r="Q35" s="511"/>
      <c r="R35" s="632"/>
      <c r="AB35" s="632"/>
    </row>
    <row r="36" spans="2:28" ht="15.75" customHeight="1" outlineLevel="1" collapsed="1">
      <c r="B36" s="771" t="s">
        <v>490</v>
      </c>
      <c r="C36" s="712">
        <v>2</v>
      </c>
      <c r="D36" s="771" t="s">
        <v>491</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663</v>
      </c>
      <c r="G39" s="791">
        <v>1</v>
      </c>
      <c r="H39" s="790" t="s">
        <v>143</v>
      </c>
      <c r="I39" s="672">
        <f>$E$2*(1+$F$2)</f>
        <v>0</v>
      </c>
      <c r="J39" s="672">
        <v>40</v>
      </c>
      <c r="K39" s="778">
        <f>J39/(1+L39)</f>
        <v>36.03603603603603</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663</v>
      </c>
      <c r="G40" s="791">
        <v>1</v>
      </c>
      <c r="H40" s="790" t="s">
        <v>143</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663</v>
      </c>
      <c r="G42" s="791">
        <v>1</v>
      </c>
      <c r="H42" s="790" t="s">
        <v>143</v>
      </c>
      <c r="I42" s="672">
        <f>$E$2*(1+$F$2)</f>
        <v>0</v>
      </c>
      <c r="J42" s="791"/>
      <c r="K42" s="778">
        <f t="shared" ref="K42:K55" si="6">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741</v>
      </c>
      <c r="I43" s="791">
        <f>$H$2</f>
        <v>0</v>
      </c>
      <c r="J43" s="791"/>
      <c r="K43" s="778">
        <f t="shared" si="6"/>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663</v>
      </c>
      <c r="G45" s="791">
        <v>1</v>
      </c>
      <c r="H45" s="790" t="s">
        <v>143</v>
      </c>
      <c r="I45" s="672">
        <f>$E$2*(1+$F$2)</f>
        <v>0</v>
      </c>
      <c r="J45" s="791"/>
      <c r="K45" s="778">
        <f t="shared" si="6"/>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5</v>
      </c>
      <c r="G46" s="791">
        <v>1</v>
      </c>
      <c r="H46" s="795" t="s">
        <v>741</v>
      </c>
      <c r="I46" s="791">
        <f>$H$2</f>
        <v>0</v>
      </c>
      <c r="J46" s="791"/>
      <c r="K46" s="778">
        <f t="shared" si="6"/>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663</v>
      </c>
      <c r="G48" s="791">
        <v>1</v>
      </c>
      <c r="H48" s="790" t="s">
        <v>143</v>
      </c>
      <c r="I48" s="672">
        <f t="shared" ref="I48:I55" si="7">$E$2*(1+$F$2)</f>
        <v>0</v>
      </c>
      <c r="J48" s="672">
        <v>120</v>
      </c>
      <c r="K48" s="778">
        <f t="shared" si="6"/>
        <v>108.1081081081081</v>
      </c>
      <c r="L48" s="569">
        <v>0.11</v>
      </c>
      <c r="M48" s="779">
        <f t="shared" ref="M48:M55" si="8">G48*I48*K48/10000</f>
        <v>0</v>
      </c>
      <c r="N48" s="779">
        <f t="shared" ref="N48:N55" si="9">L48*M48</f>
        <v>0</v>
      </c>
      <c r="O48" s="779">
        <f t="shared" ref="O48:O55" si="10">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143</v>
      </c>
      <c r="I49" s="672">
        <f t="shared" si="7"/>
        <v>0</v>
      </c>
      <c r="J49" s="672">
        <v>10</v>
      </c>
      <c r="K49" s="778">
        <f t="shared" si="6"/>
        <v>8.5470085470085468</v>
      </c>
      <c r="L49" s="569">
        <v>0.17</v>
      </c>
      <c r="M49" s="779">
        <f t="shared" si="8"/>
        <v>0</v>
      </c>
      <c r="N49" s="779">
        <f t="shared" si="9"/>
        <v>0</v>
      </c>
      <c r="O49" s="779">
        <f t="shared" si="10"/>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143</v>
      </c>
      <c r="I50" s="672">
        <f t="shared" si="7"/>
        <v>0</v>
      </c>
      <c r="J50" s="672">
        <v>30</v>
      </c>
      <c r="K50" s="778">
        <f t="shared" si="6"/>
        <v>25.641025641025642</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143</v>
      </c>
      <c r="I51" s="672">
        <f t="shared" si="7"/>
        <v>0</v>
      </c>
      <c r="J51" s="672">
        <v>10</v>
      </c>
      <c r="K51" s="778">
        <f t="shared" si="6"/>
        <v>8.5470085470085468</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143</v>
      </c>
      <c r="I52" s="672">
        <f t="shared" si="7"/>
        <v>0</v>
      </c>
      <c r="J52" s="672">
        <v>25</v>
      </c>
      <c r="K52" s="778">
        <f t="shared" si="6"/>
        <v>21.36752136752137</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143</v>
      </c>
      <c r="I53" s="672">
        <f t="shared" si="7"/>
        <v>0</v>
      </c>
      <c r="J53" s="672"/>
      <c r="K53" s="778">
        <f t="shared" si="6"/>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143</v>
      </c>
      <c r="I54" s="672">
        <f t="shared" si="7"/>
        <v>0</v>
      </c>
      <c r="J54" s="672"/>
      <c r="K54" s="778">
        <f t="shared" si="6"/>
        <v>0</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143</v>
      </c>
      <c r="I55" s="672">
        <f t="shared" si="7"/>
        <v>0</v>
      </c>
      <c r="J55" s="672"/>
      <c r="K55" s="778">
        <f t="shared" si="6"/>
        <v>0</v>
      </c>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18</v>
      </c>
      <c r="G58" s="791">
        <v>2</v>
      </c>
      <c r="H58" s="795" t="s">
        <v>1920</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18</v>
      </c>
      <c r="G59" s="791">
        <v>2</v>
      </c>
      <c r="H59" s="795" t="s">
        <v>1920</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569"/>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569"/>
      <c r="M61" s="779">
        <f>G61*I61*K61/10000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G62*I62*K62/10000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78"/>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791">
        <v>290</v>
      </c>
      <c r="K64" s="778">
        <f>J64/(1+L64)</f>
        <v>261.26126126126121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791"/>
      <c r="K65" s="778">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1536</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24" customHeight="1">
      <c r="C69" s="632"/>
      <c r="E69" s="632"/>
      <c r="F69" s="632"/>
      <c r="G69" s="632"/>
      <c r="H69" s="632"/>
      <c r="I69" s="632"/>
      <c r="J69" s="829" t="s">
        <v>817</v>
      </c>
      <c r="K69" s="829"/>
      <c r="L69" s="829"/>
      <c r="M69" s="829"/>
      <c r="N69" s="829"/>
      <c r="O69" s="829"/>
      <c r="AA69" s="831">
        <f>SUM(AA4:AA68)</f>
        <v>0</v>
      </c>
      <c r="AB69" s="632"/>
    </row>
    <row r="70" spans="2:28" ht="24" customHeight="1">
      <c r="J70" s="750" t="s">
        <v>24</v>
      </c>
      <c r="K70" s="750"/>
      <c r="L70" s="750"/>
    </row>
    <row r="71" spans="2:28" ht="24" customHeight="1">
      <c r="L71" s="748" t="s">
        <v>1938</v>
      </c>
      <c r="M71" s="750">
        <f>'3-规划指标'!E39+'3-规划指标'!E36</f>
        <v>0</v>
      </c>
      <c r="N71" s="750" t="s">
        <v>1943</v>
      </c>
      <c r="O71" s="750">
        <f>O4</f>
        <v>0</v>
      </c>
    </row>
    <row r="72" spans="2:28" ht="24" customHeight="1">
      <c r="L72" s="748" t="s">
        <v>1939</v>
      </c>
      <c r="M72" s="750">
        <f>M71*6*0.65</f>
        <v>0</v>
      </c>
      <c r="N72" s="750" t="s">
        <v>1944</v>
      </c>
      <c r="O72" s="832" t="e">
        <f>O71/$E$2*10000</f>
        <v>#DIV/0!</v>
      </c>
    </row>
    <row r="73" spans="2:28" ht="24" customHeight="1">
      <c r="L73" s="748" t="s">
        <v>1940</v>
      </c>
      <c r="M73" s="750" t="e">
        <f>M72/O71</f>
        <v>#DIV/0!</v>
      </c>
      <c r="N73" s="750" t="s">
        <v>1945</v>
      </c>
      <c r="O73" s="750">
        <f>+M4</f>
        <v>0</v>
      </c>
    </row>
    <row r="74" spans="2:28" ht="24" customHeight="1">
      <c r="L74" s="748" t="s">
        <v>1941</v>
      </c>
      <c r="M74" s="750">
        <f>O71-M72</f>
        <v>0</v>
      </c>
      <c r="N74" s="750" t="s">
        <v>1946</v>
      </c>
      <c r="O74" s="750" t="e">
        <f>O73/$E$2*10000</f>
        <v>#DIV/0!</v>
      </c>
    </row>
    <row r="75" spans="2:28" ht="24" customHeight="1">
      <c r="L75" s="748" t="s">
        <v>1942</v>
      </c>
      <c r="M75" s="750" t="e">
        <f>M74/O71</f>
        <v>#DIV/0!</v>
      </c>
    </row>
  </sheetData>
  <autoFilter ref="A3:AC68"/>
  <phoneticPr fontId="19" type="noConversion"/>
  <conditionalFormatting sqref="I30">
    <cfRule type="cellIs" priority="39" operator="equal">
      <formula>0</formula>
    </cfRule>
    <cfRule type="cellIs" dxfId="29" priority="40" operator="equal">
      <formula>0</formula>
    </cfRule>
  </conditionalFormatting>
  <conditionalFormatting sqref="B5:C5">
    <cfRule type="duplicateValues" dxfId="28" priority="71"/>
  </conditionalFormatting>
  <conditionalFormatting sqref="D37:D68">
    <cfRule type="duplicateValues" dxfId="27" priority="76"/>
  </conditionalFormatting>
  <conditionalFormatting sqref="I19 I4:I10">
    <cfRule type="cellIs" dxfId="26" priority="68" operator="equal">
      <formula>0</formula>
    </cfRule>
  </conditionalFormatting>
  <conditionalFormatting sqref="I69:I65536">
    <cfRule type="cellIs" dxfId="25" priority="73" operator="equal">
      <formula>0</formula>
    </cfRule>
  </conditionalFormatting>
  <conditionalFormatting sqref="B4:C4">
    <cfRule type="duplicateValues" dxfId="24" priority="72"/>
  </conditionalFormatting>
  <conditionalFormatting sqref="D69:D65536 D9 D1:D5 D36">
    <cfRule type="duplicateValues" dxfId="23" priority="74"/>
  </conditionalFormatting>
  <conditionalFormatting sqref="D6:D8">
    <cfRule type="duplicateValues" dxfId="22" priority="75"/>
  </conditionalFormatting>
  <conditionalFormatting sqref="B36:C36">
    <cfRule type="duplicateValues" dxfId="21" priority="70"/>
  </conditionalFormatting>
  <conditionalFormatting sqref="D10:D35">
    <cfRule type="duplicateValues" dxfId="20" priority="69"/>
  </conditionalFormatting>
  <printOptions horizontalCentered="1"/>
  <pageMargins left="0" right="0" top="0.59055118110236227" bottom="0.78740157480314965" header="0.11811023622047245" footer="0.11811023622047245"/>
  <pageSetup paperSize="9" scale="86"/>
  <headerFooter alignWithMargins="0"/>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68FD4"/>
  </sheetPr>
  <dimension ref="A1:IV172"/>
  <sheetViews>
    <sheetView workbookViewId="0">
      <pane xSplit="4" ySplit="3" topLeftCell="E4" activePane="bottomRight" state="frozen"/>
      <selection pane="topRight"/>
      <selection pane="bottomLeft"/>
      <selection pane="bottomRight" activeCell="J169" sqref="J169"/>
    </sheetView>
  </sheetViews>
  <sheetFormatPr defaultColWidth="9" defaultRowHeight="24" customHeight="1" outlineLevelRow="4"/>
  <cols>
    <col min="1" max="1" width="3.33203125" style="632" customWidth="1"/>
    <col min="2" max="2" width="17.58203125" style="632" customWidth="1"/>
    <col min="3" max="3" width="5.08203125" style="748" customWidth="1"/>
    <col min="4" max="4" width="21.33203125" style="632" customWidth="1"/>
    <col min="5" max="5" width="19.5" style="748" customWidth="1"/>
    <col min="6" max="6" width="19.83203125" style="748" customWidth="1"/>
    <col min="7" max="7" width="8.33203125" style="748" customWidth="1"/>
    <col min="8" max="8" width="7.08203125" style="748" customWidth="1"/>
    <col min="9" max="9" width="9" style="749" customWidth="1"/>
    <col min="10" max="12" width="7.83203125" style="748" customWidth="1"/>
    <col min="13" max="15" width="11" style="750" customWidth="1"/>
    <col min="16" max="16" width="10.6640625" style="563" customWidth="1"/>
    <col min="17" max="17" width="12.08203125" style="563" customWidth="1"/>
    <col min="18" max="18" width="2.6640625" style="563" customWidth="1"/>
    <col min="19" max="19" width="9" style="632" customWidth="1"/>
    <col min="20" max="20" width="12.33203125" style="632" customWidth="1"/>
    <col min="21" max="21" width="20.58203125" style="632" customWidth="1"/>
    <col min="22" max="22" width="9.33203125" style="632" customWidth="1"/>
    <col min="23" max="23" width="26.6640625" style="632" customWidth="1"/>
    <col min="24" max="26" width="9.1640625" style="632" hidden="1"/>
    <col min="27" max="27" width="9.1640625" style="632" customWidth="1"/>
    <col min="28" max="28" width="9.1640625" style="751" customWidth="1"/>
    <col min="29" max="29" width="9.1640625" style="632" customWidth="1"/>
    <col min="30" max="256" width="9" style="632" customWidth="1"/>
  </cols>
  <sheetData>
    <row r="1" spans="2:28" s="633" customFormat="1" ht="23.5" customHeight="1">
      <c r="C1" s="752"/>
      <c r="D1" s="753" t="s">
        <v>1688</v>
      </c>
      <c r="E1" s="1012" t="s">
        <v>10</v>
      </c>
      <c r="F1" s="1012" t="s">
        <v>581</v>
      </c>
      <c r="G1" s="1012" t="s">
        <v>9</v>
      </c>
      <c r="H1" s="1012" t="s">
        <v>5</v>
      </c>
      <c r="I1" s="1012" t="s">
        <v>18</v>
      </c>
      <c r="J1" s="1012" t="s">
        <v>0</v>
      </c>
      <c r="K1" s="1012"/>
      <c r="L1" s="1012"/>
      <c r="M1" s="1012"/>
      <c r="N1" s="754"/>
      <c r="O1" s="754"/>
      <c r="P1" s="754"/>
      <c r="Q1" s="755"/>
      <c r="R1" s="834"/>
      <c r="V1" s="633">
        <v>418</v>
      </c>
      <c r="AB1" s="756"/>
    </row>
    <row r="2" spans="2:28" s="633" customFormat="1" ht="23.5" customHeight="1">
      <c r="C2" s="752"/>
      <c r="D2" s="753" t="s">
        <v>1622</v>
      </c>
      <c r="E2" s="757">
        <f>'3-规划指标'!H30+'3-规划指标'!H29</f>
        <v>0</v>
      </c>
      <c r="F2" s="758">
        <v>0</v>
      </c>
      <c r="G2" s="759">
        <f>'3-规划指标'!G30+'3-规划指标'!G29</f>
        <v>0</v>
      </c>
      <c r="H2" s="759"/>
      <c r="I2" s="759"/>
      <c r="J2" s="759">
        <v>2</v>
      </c>
      <c r="K2" s="759"/>
      <c r="L2" s="759"/>
      <c r="M2" s="760"/>
      <c r="N2" s="761"/>
      <c r="O2" s="761"/>
      <c r="P2" s="754"/>
      <c r="Q2" s="755"/>
      <c r="R2" s="834"/>
      <c r="AB2" s="756"/>
    </row>
    <row r="3" spans="2:28" s="748" customFormat="1" ht="24" customHeight="1">
      <c r="B3" s="476" t="s">
        <v>25</v>
      </c>
      <c r="C3" s="476"/>
      <c r="D3" s="476" t="s">
        <v>23</v>
      </c>
      <c r="E3" s="762" t="s">
        <v>444</v>
      </c>
      <c r="F3" s="762" t="s">
        <v>13</v>
      </c>
      <c r="G3" s="762" t="s">
        <v>108</v>
      </c>
      <c r="H3" s="762" t="s">
        <v>109</v>
      </c>
      <c r="I3" s="762" t="s">
        <v>649</v>
      </c>
      <c r="J3" s="476" t="s">
        <v>1623</v>
      </c>
      <c r="K3" s="476" t="s">
        <v>1624</v>
      </c>
      <c r="L3" s="476" t="s">
        <v>515</v>
      </c>
      <c r="M3" s="764" t="s">
        <v>1689</v>
      </c>
      <c r="N3" s="764" t="s">
        <v>1019</v>
      </c>
      <c r="O3" s="764" t="s">
        <v>1071</v>
      </c>
      <c r="P3" s="1015" t="s">
        <v>1072</v>
      </c>
      <c r="Q3" s="476" t="s">
        <v>16</v>
      </c>
    </row>
    <row r="4" spans="2:28" ht="15.75" customHeight="1">
      <c r="B4" s="480" t="s">
        <v>537</v>
      </c>
      <c r="C4" s="481" t="s">
        <v>77</v>
      </c>
      <c r="D4" s="480" t="s">
        <v>486</v>
      </c>
      <c r="E4" s="765"/>
      <c r="F4" s="765"/>
      <c r="G4" s="765"/>
      <c r="H4" s="765"/>
      <c r="I4" s="766"/>
      <c r="J4" s="765"/>
      <c r="K4" s="765"/>
      <c r="L4" s="767"/>
      <c r="M4" s="768">
        <f>SUBTOTAL(9,M5:M68)</f>
        <v>0</v>
      </c>
      <c r="N4" s="768">
        <f>SUBTOTAL(9,N5:N68)</f>
        <v>0</v>
      </c>
      <c r="O4" s="768">
        <f>SUBTOTAL(9,O5:O68)</f>
        <v>0</v>
      </c>
      <c r="P4" s="769" t="e">
        <f>IF(O4="","",O4*10000/E$2)</f>
        <v>#DIV/0!</v>
      </c>
      <c r="Q4" s="770"/>
      <c r="R4" s="632"/>
      <c r="AB4" s="632"/>
    </row>
    <row r="5" spans="2:28" ht="15.75" customHeight="1" outlineLevel="1" collapsed="1">
      <c r="B5" s="771" t="s">
        <v>487</v>
      </c>
      <c r="C5" s="712">
        <v>1</v>
      </c>
      <c r="D5" s="771" t="s">
        <v>650</v>
      </c>
      <c r="E5" s="712"/>
      <c r="F5" s="712"/>
      <c r="G5" s="712"/>
      <c r="H5" s="772"/>
      <c r="I5" s="713"/>
      <c r="J5" s="772"/>
      <c r="K5" s="772"/>
      <c r="L5" s="588"/>
      <c r="M5" s="773">
        <f>SUBTOTAL(9,M6:M35)</f>
        <v>0</v>
      </c>
      <c r="N5" s="773">
        <f>SUBTOTAL(9,N6:N35)</f>
        <v>0</v>
      </c>
      <c r="O5" s="773">
        <f>SUBTOTAL(9,O6:O35)</f>
        <v>0</v>
      </c>
      <c r="P5" s="589" t="e">
        <f t="shared" ref="P5:P68" si="0">IF(O5="","",O5*10000/E$2)</f>
        <v>#DIV/0!</v>
      </c>
      <c r="Q5" s="775"/>
      <c r="R5" s="632"/>
      <c r="AB5" s="632"/>
    </row>
    <row r="6" spans="2:28" ht="15.75" hidden="1" customHeight="1" outlineLevel="3">
      <c r="B6" s="776" t="s">
        <v>651</v>
      </c>
      <c r="C6" s="777" t="s">
        <v>36</v>
      </c>
      <c r="D6" s="776" t="s">
        <v>1479</v>
      </c>
      <c r="E6" s="307"/>
      <c r="F6" s="307"/>
      <c r="G6" s="511"/>
      <c r="H6" s="511"/>
      <c r="I6" s="614"/>
      <c r="J6" s="778"/>
      <c r="K6" s="778"/>
      <c r="L6" s="569"/>
      <c r="M6" s="779">
        <f>SUBTOTAL(9,M7:M8)</f>
        <v>0</v>
      </c>
      <c r="N6" s="779">
        <f>SUBTOTAL(9,N7:N8)</f>
        <v>0</v>
      </c>
      <c r="O6" s="779">
        <f>SUBTOTAL(9,O7:O8)</f>
        <v>0</v>
      </c>
      <c r="P6" s="614" t="e">
        <f t="shared" si="0"/>
        <v>#DIV/0!</v>
      </c>
      <c r="Q6" s="781"/>
      <c r="R6" s="632"/>
      <c r="AB6" s="632"/>
    </row>
    <row r="7" spans="2:28" ht="15.75" hidden="1" customHeight="1" outlineLevel="3">
      <c r="B7" s="776" t="s">
        <v>652</v>
      </c>
      <c r="C7" s="782" t="s">
        <v>39</v>
      </c>
      <c r="D7" s="783" t="s">
        <v>654</v>
      </c>
      <c r="E7" s="307" t="s">
        <v>1278</v>
      </c>
      <c r="F7" s="307" t="s">
        <v>9</v>
      </c>
      <c r="G7" s="784">
        <v>0.5</v>
      </c>
      <c r="H7" s="785" t="s">
        <v>103</v>
      </c>
      <c r="I7" s="614">
        <f>$G$2</f>
        <v>0</v>
      </c>
      <c r="J7" s="778">
        <v>35</v>
      </c>
      <c r="K7" s="778">
        <f>J7/(1+L7)</f>
        <v>31.531531531531527</v>
      </c>
      <c r="L7" s="569">
        <v>0.11</v>
      </c>
      <c r="M7" s="779">
        <f>G7*I7*K7/10000</f>
        <v>0</v>
      </c>
      <c r="N7" s="779">
        <f>L7*M7</f>
        <v>0</v>
      </c>
      <c r="O7" s="779">
        <f>M7+N7</f>
        <v>0</v>
      </c>
      <c r="P7" s="614" t="e">
        <f t="shared" si="0"/>
        <v>#DIV/0!</v>
      </c>
      <c r="Q7" s="781"/>
      <c r="R7" s="632"/>
      <c r="AB7" s="632"/>
    </row>
    <row r="8" spans="2:28" ht="15.75" hidden="1" customHeight="1" outlineLevel="3">
      <c r="B8" s="776" t="s">
        <v>653</v>
      </c>
      <c r="C8" s="782" t="s">
        <v>39</v>
      </c>
      <c r="D8" s="783" t="s">
        <v>1625</v>
      </c>
      <c r="E8" s="307" t="s">
        <v>1228</v>
      </c>
      <c r="F8" s="307" t="s">
        <v>9</v>
      </c>
      <c r="G8" s="784">
        <v>0.5</v>
      </c>
      <c r="H8" s="785" t="s">
        <v>103</v>
      </c>
      <c r="I8" s="614">
        <f>$G$2</f>
        <v>0</v>
      </c>
      <c r="J8" s="778">
        <v>52</v>
      </c>
      <c r="K8" s="778">
        <f>J8/(1+L8)</f>
        <v>46.846846846846844</v>
      </c>
      <c r="L8" s="569">
        <v>0.11</v>
      </c>
      <c r="M8" s="779">
        <f>G8*I8*K8/10000</f>
        <v>0</v>
      </c>
      <c r="N8" s="779">
        <f>L8*M8</f>
        <v>0</v>
      </c>
      <c r="O8" s="779">
        <f>M8+N8</f>
        <v>0</v>
      </c>
      <c r="P8" s="614" t="e">
        <f t="shared" si="0"/>
        <v>#DIV/0!</v>
      </c>
      <c r="Q8" s="781"/>
      <c r="R8" s="632"/>
      <c r="AB8" s="632"/>
    </row>
    <row r="9" spans="2:28" ht="15.75" hidden="1" customHeight="1" outlineLevel="3" collapsed="1">
      <c r="B9" s="776" t="s">
        <v>655</v>
      </c>
      <c r="C9" s="777" t="s">
        <v>33</v>
      </c>
      <c r="D9" s="776" t="s">
        <v>656</v>
      </c>
      <c r="E9" s="511"/>
      <c r="F9" s="307"/>
      <c r="G9" s="511"/>
      <c r="H9" s="511"/>
      <c r="I9" s="614"/>
      <c r="J9" s="786"/>
      <c r="K9" s="786"/>
      <c r="L9" s="569"/>
      <c r="M9" s="779">
        <f>SUBTOTAL(9,M10:M35)</f>
        <v>0</v>
      </c>
      <c r="N9" s="779">
        <f>SUBTOTAL(9,N10:N35)</f>
        <v>0</v>
      </c>
      <c r="O9" s="779">
        <f>SUBTOTAL(9,O10:O35)</f>
        <v>0</v>
      </c>
      <c r="P9" s="614" t="e">
        <f t="shared" si="0"/>
        <v>#DIV/0!</v>
      </c>
      <c r="Q9" s="781"/>
      <c r="R9" s="632"/>
      <c r="AB9" s="632"/>
    </row>
    <row r="10" spans="2:28" ht="15.75" hidden="1" customHeight="1" outlineLevel="3">
      <c r="B10" s="776" t="s">
        <v>1626</v>
      </c>
      <c r="C10" s="782" t="s">
        <v>39</v>
      </c>
      <c r="D10" s="783" t="s">
        <v>1627</v>
      </c>
      <c r="E10" s="648"/>
      <c r="F10" s="648"/>
      <c r="G10" s="672"/>
      <c r="H10" s="787"/>
      <c r="I10" s="672"/>
      <c r="J10" s="786"/>
      <c r="K10" s="786"/>
      <c r="L10" s="569"/>
      <c r="M10" s="779">
        <f>SUBTOTAL(9,M11:M12)</f>
        <v>0</v>
      </c>
      <c r="N10" s="779">
        <f>SUBTOTAL(9,N11:N12)</f>
        <v>0</v>
      </c>
      <c r="O10" s="779">
        <f>SUBTOTAL(9,O11:O12)</f>
        <v>0</v>
      </c>
      <c r="P10" s="614" t="e">
        <f t="shared" si="0"/>
        <v>#DIV/0!</v>
      </c>
      <c r="Q10" s="781"/>
      <c r="R10" s="632"/>
      <c r="AB10" s="632"/>
    </row>
    <row r="11" spans="2:28" ht="15.75" hidden="1" customHeight="1" outlineLevel="3">
      <c r="B11" s="776" t="s">
        <v>1628</v>
      </c>
      <c r="C11" s="782"/>
      <c r="D11" s="796" t="s">
        <v>1629</v>
      </c>
      <c r="E11" s="648" t="s">
        <v>1603</v>
      </c>
      <c r="F11" s="648" t="s">
        <v>657</v>
      </c>
      <c r="G11" s="672">
        <v>0.35</v>
      </c>
      <c r="H11" s="787" t="s">
        <v>103</v>
      </c>
      <c r="I11" s="672">
        <f>$E$2</f>
        <v>0</v>
      </c>
      <c r="J11" s="786"/>
      <c r="K11" s="778">
        <f>J11/(1+L11)</f>
        <v>0</v>
      </c>
      <c r="L11" s="569">
        <v>0.11</v>
      </c>
      <c r="M11" s="779">
        <f>G11*I11*K11/10000</f>
        <v>0</v>
      </c>
      <c r="N11" s="779">
        <f>L11*M11</f>
        <v>0</v>
      </c>
      <c r="O11" s="779">
        <f>M11+N11</f>
        <v>0</v>
      </c>
      <c r="P11" s="614" t="e">
        <f t="shared" si="0"/>
        <v>#DIV/0!</v>
      </c>
      <c r="Q11" s="781"/>
      <c r="R11" s="632"/>
      <c r="AB11" s="632"/>
    </row>
    <row r="12" spans="2:28" ht="15.75" hidden="1" customHeight="1" outlineLevel="3">
      <c r="B12" s="776" t="s">
        <v>1630</v>
      </c>
      <c r="C12" s="792"/>
      <c r="D12" s="796" t="s">
        <v>1631</v>
      </c>
      <c r="E12" s="648" t="s">
        <v>1228</v>
      </c>
      <c r="F12" s="648" t="s">
        <v>657</v>
      </c>
      <c r="G12" s="672">
        <v>0.35</v>
      </c>
      <c r="H12" s="790" t="s">
        <v>111</v>
      </c>
      <c r="I12" s="672">
        <f>$E$2</f>
        <v>0</v>
      </c>
      <c r="J12" s="786">
        <v>460</v>
      </c>
      <c r="K12" s="778">
        <f>J12/(1+L12)</f>
        <v>414.41441441441435</v>
      </c>
      <c r="L12" s="569">
        <v>0.11</v>
      </c>
      <c r="M12" s="779">
        <f>G12*I12*K12/10000</f>
        <v>0</v>
      </c>
      <c r="N12" s="779">
        <f>L12*M12</f>
        <v>0</v>
      </c>
      <c r="O12" s="779">
        <f>M12+N12</f>
        <v>0</v>
      </c>
      <c r="P12" s="614" t="e">
        <f t="shared" si="0"/>
        <v>#DIV/0!</v>
      </c>
      <c r="Q12" s="511"/>
      <c r="R12" s="632"/>
      <c r="AB12" s="632"/>
    </row>
    <row r="13" spans="2:28" ht="15.75" hidden="1" customHeight="1" outlineLevel="3">
      <c r="B13" s="776" t="s">
        <v>1482</v>
      </c>
      <c r="C13" s="782" t="s">
        <v>39</v>
      </c>
      <c r="D13" s="783" t="s">
        <v>658</v>
      </c>
      <c r="E13" s="648"/>
      <c r="F13" s="648"/>
      <c r="G13" s="672"/>
      <c r="H13" s="787"/>
      <c r="I13" s="672"/>
      <c r="J13" s="786"/>
      <c r="K13" s="786"/>
      <c r="L13" s="569"/>
      <c r="M13" s="779">
        <f>SUBTOTAL(9,M14:M15)</f>
        <v>0</v>
      </c>
      <c r="N13" s="779">
        <f>SUBTOTAL(9,N14:N15)</f>
        <v>0</v>
      </c>
      <c r="O13" s="779">
        <f>SUBTOTAL(9,O14:O15)</f>
        <v>0</v>
      </c>
      <c r="P13" s="614" t="e">
        <f t="shared" si="0"/>
        <v>#DIV/0!</v>
      </c>
      <c r="Q13" s="511"/>
      <c r="R13" s="632"/>
      <c r="AB13" s="632"/>
    </row>
    <row r="14" spans="2:28" ht="15.75" hidden="1" customHeight="1" outlineLevel="3">
      <c r="B14" s="776" t="s">
        <v>1632</v>
      </c>
      <c r="C14" s="782"/>
      <c r="D14" s="796" t="s">
        <v>1633</v>
      </c>
      <c r="E14" s="648" t="s">
        <v>1604</v>
      </c>
      <c r="F14" s="648" t="s">
        <v>657</v>
      </c>
      <c r="G14" s="672">
        <v>45</v>
      </c>
      <c r="H14" s="787" t="s">
        <v>104</v>
      </c>
      <c r="I14" s="672">
        <f>$E$2</f>
        <v>0</v>
      </c>
      <c r="J14" s="786"/>
      <c r="K14" s="778">
        <f>J14/(1+L14)</f>
        <v>0</v>
      </c>
      <c r="L14" s="569">
        <v>0.11</v>
      </c>
      <c r="M14" s="779">
        <f>G14*I14*K14/10000</f>
        <v>0</v>
      </c>
      <c r="N14" s="779">
        <f>L14*M14</f>
        <v>0</v>
      </c>
      <c r="O14" s="779">
        <f>M14+N14</f>
        <v>0</v>
      </c>
      <c r="P14" s="614" t="e">
        <f t="shared" si="0"/>
        <v>#DIV/0!</v>
      </c>
      <c r="Q14" s="511"/>
      <c r="R14" s="632"/>
      <c r="AB14" s="632"/>
    </row>
    <row r="15" spans="2:28" ht="15.75" hidden="1" customHeight="1" outlineLevel="3">
      <c r="B15" s="776" t="s">
        <v>1483</v>
      </c>
      <c r="C15" s="782"/>
      <c r="D15" s="796" t="s">
        <v>1634</v>
      </c>
      <c r="E15" s="648" t="s">
        <v>1228</v>
      </c>
      <c r="F15" s="648" t="s">
        <v>657</v>
      </c>
      <c r="G15" s="672">
        <v>45</v>
      </c>
      <c r="H15" s="787" t="s">
        <v>104</v>
      </c>
      <c r="I15" s="672">
        <f>$E$2</f>
        <v>0</v>
      </c>
      <c r="J15" s="786">
        <v>5</v>
      </c>
      <c r="K15" s="778">
        <f t="shared" ref="K15:K35" si="1">J15/(1+L15)</f>
        <v>4.5045045045045038</v>
      </c>
      <c r="L15" s="569">
        <v>0.11</v>
      </c>
      <c r="M15" s="779">
        <f>G15*I15*K15/10000</f>
        <v>0</v>
      </c>
      <c r="N15" s="779">
        <f>L15*M15</f>
        <v>0</v>
      </c>
      <c r="O15" s="779">
        <f>M15+N15</f>
        <v>0</v>
      </c>
      <c r="P15" s="614" t="e">
        <f t="shared" si="0"/>
        <v>#DIV/0!</v>
      </c>
      <c r="Q15" s="781"/>
      <c r="R15" s="632"/>
      <c r="AB15" s="632"/>
    </row>
    <row r="16" spans="2:28" ht="15.75" hidden="1" customHeight="1" outlineLevel="3">
      <c r="B16" s="776" t="s">
        <v>1635</v>
      </c>
      <c r="C16" s="782" t="s">
        <v>39</v>
      </c>
      <c r="D16" s="783" t="s">
        <v>659</v>
      </c>
      <c r="E16" s="648" t="s">
        <v>1228</v>
      </c>
      <c r="F16" s="648" t="s">
        <v>657</v>
      </c>
      <c r="G16" s="672">
        <v>2.8</v>
      </c>
      <c r="H16" s="787" t="s">
        <v>101</v>
      </c>
      <c r="I16" s="672">
        <f>$E$2</f>
        <v>0</v>
      </c>
      <c r="J16" s="672">
        <v>65</v>
      </c>
      <c r="K16" s="778">
        <f t="shared" si="1"/>
        <v>58.558558558558552</v>
      </c>
      <c r="L16" s="569">
        <v>0.11</v>
      </c>
      <c r="M16" s="779">
        <f>G16*I16*K16/10000</f>
        <v>0</v>
      </c>
      <c r="N16" s="779">
        <f>L16*M16</f>
        <v>0</v>
      </c>
      <c r="O16" s="779">
        <f>M16+N16</f>
        <v>0</v>
      </c>
      <c r="P16" s="614" t="e">
        <f t="shared" si="0"/>
        <v>#DIV/0!</v>
      </c>
      <c r="Q16" s="781"/>
      <c r="R16" s="632"/>
      <c r="AB16" s="632"/>
    </row>
    <row r="17" spans="2:28" ht="15.75" hidden="1" customHeight="1" outlineLevel="3">
      <c r="B17" s="776" t="s">
        <v>1484</v>
      </c>
      <c r="C17" s="792" t="s">
        <v>39</v>
      </c>
      <c r="D17" s="783" t="s">
        <v>1636</v>
      </c>
      <c r="E17" s="648" t="s">
        <v>1228</v>
      </c>
      <c r="F17" s="648" t="s">
        <v>657</v>
      </c>
      <c r="G17" s="672">
        <v>0.18</v>
      </c>
      <c r="H17" s="787" t="s">
        <v>103</v>
      </c>
      <c r="I17" s="672">
        <f>$E$2</f>
        <v>0</v>
      </c>
      <c r="J17" s="791">
        <v>550</v>
      </c>
      <c r="K17" s="778">
        <f t="shared" si="1"/>
        <v>495.49549549549545</v>
      </c>
      <c r="L17" s="788">
        <v>0.11</v>
      </c>
      <c r="M17" s="779">
        <f>G17*I17*K17/10000</f>
        <v>0</v>
      </c>
      <c r="N17" s="779">
        <f>L17*M17</f>
        <v>0</v>
      </c>
      <c r="O17" s="779">
        <f>M17+N17</f>
        <v>0</v>
      </c>
      <c r="P17" s="614" t="e">
        <f t="shared" si="0"/>
        <v>#DIV/0!</v>
      </c>
      <c r="Q17" s="781"/>
      <c r="R17" s="632"/>
      <c r="AB17" s="632"/>
    </row>
    <row r="18" spans="2:28" ht="15.75" hidden="1" customHeight="1" outlineLevel="3">
      <c r="B18" s="776" t="s">
        <v>1485</v>
      </c>
      <c r="C18" s="782" t="s">
        <v>39</v>
      </c>
      <c r="D18" s="783" t="s">
        <v>386</v>
      </c>
      <c r="E18" s="648" t="s">
        <v>1228</v>
      </c>
      <c r="F18" s="648" t="s">
        <v>657</v>
      </c>
      <c r="G18" s="789">
        <v>4.5</v>
      </c>
      <c r="H18" s="790" t="s">
        <v>384</v>
      </c>
      <c r="I18" s="672">
        <f>$E$2</f>
        <v>0</v>
      </c>
      <c r="J18" s="786">
        <v>35</v>
      </c>
      <c r="K18" s="778">
        <f t="shared" si="1"/>
        <v>31.531531531531527</v>
      </c>
      <c r="L18" s="569">
        <v>0.11</v>
      </c>
      <c r="M18" s="779">
        <f>G18*I18*K18/10000</f>
        <v>0</v>
      </c>
      <c r="N18" s="779">
        <f>L18*M18</f>
        <v>0</v>
      </c>
      <c r="O18" s="779">
        <f>M18+N18</f>
        <v>0</v>
      </c>
      <c r="P18" s="614" t="e">
        <f t="shared" si="0"/>
        <v>#DIV/0!</v>
      </c>
      <c r="Q18" s="781"/>
      <c r="R18" s="632"/>
      <c r="AB18" s="632"/>
    </row>
    <row r="19" spans="2:28" ht="15.75" hidden="1" customHeight="1" outlineLevel="3">
      <c r="B19" s="776" t="s">
        <v>1486</v>
      </c>
      <c r="C19" s="782" t="s">
        <v>39</v>
      </c>
      <c r="D19" s="783" t="s">
        <v>1637</v>
      </c>
      <c r="E19" s="665"/>
      <c r="F19" s="665"/>
      <c r="G19" s="789"/>
      <c r="H19" s="790"/>
      <c r="I19" s="791"/>
      <c r="J19" s="791"/>
      <c r="K19" s="791"/>
      <c r="L19" s="788"/>
      <c r="M19" s="779">
        <f>SUBTOTAL(9,M20:M21)</f>
        <v>0</v>
      </c>
      <c r="N19" s="779">
        <f>SUBTOTAL(9,N20:N21)</f>
        <v>0</v>
      </c>
      <c r="O19" s="779">
        <f>SUBTOTAL(9,O20:O21)</f>
        <v>0</v>
      </c>
      <c r="P19" s="614" t="e">
        <f t="shared" si="0"/>
        <v>#DIV/0!</v>
      </c>
      <c r="Q19" s="511"/>
      <c r="R19" s="632"/>
      <c r="AB19" s="632"/>
    </row>
    <row r="20" spans="2:28" ht="15.75" hidden="1" customHeight="1" outlineLevel="3">
      <c r="B20" s="776" t="s">
        <v>1638</v>
      </c>
      <c r="C20" s="782"/>
      <c r="D20" s="796" t="s">
        <v>1487</v>
      </c>
      <c r="E20" s="648" t="s">
        <v>1488</v>
      </c>
      <c r="F20" s="648" t="s">
        <v>657</v>
      </c>
      <c r="G20" s="672">
        <v>0.4</v>
      </c>
      <c r="H20" s="787" t="s">
        <v>101</v>
      </c>
      <c r="I20" s="672">
        <f>$E$2</f>
        <v>0</v>
      </c>
      <c r="J20" s="672">
        <v>30</v>
      </c>
      <c r="K20" s="778">
        <f t="shared" si="1"/>
        <v>25.641025641025642</v>
      </c>
      <c r="L20" s="569">
        <v>0.17</v>
      </c>
      <c r="M20" s="779">
        <f>G20*I20*K20/10000</f>
        <v>0</v>
      </c>
      <c r="N20" s="779">
        <f>L20*M20</f>
        <v>0</v>
      </c>
      <c r="O20" s="779">
        <f>M20+N20</f>
        <v>0</v>
      </c>
      <c r="P20" s="614" t="e">
        <f>IF(O20="","",O20*10000/E$2)</f>
        <v>#DIV/0!</v>
      </c>
      <c r="Q20" s="511"/>
      <c r="R20" s="632"/>
      <c r="AB20" s="632"/>
    </row>
    <row r="21" spans="2:28" ht="15.75" hidden="1" customHeight="1" outlineLevel="3">
      <c r="B21" s="776" t="s">
        <v>1489</v>
      </c>
      <c r="C21" s="782"/>
      <c r="D21" s="796" t="s">
        <v>1639</v>
      </c>
      <c r="E21" s="648" t="s">
        <v>1228</v>
      </c>
      <c r="F21" s="648" t="s">
        <v>657</v>
      </c>
      <c r="G21" s="672">
        <v>0.4</v>
      </c>
      <c r="H21" s="787" t="s">
        <v>101</v>
      </c>
      <c r="I21" s="672">
        <f>$E$2</f>
        <v>0</v>
      </c>
      <c r="J21" s="672">
        <v>20</v>
      </c>
      <c r="K21" s="778">
        <f t="shared" si="1"/>
        <v>18.018018018018015</v>
      </c>
      <c r="L21" s="569">
        <v>0.11</v>
      </c>
      <c r="M21" s="779">
        <f>G21*I21*K21/10000</f>
        <v>0</v>
      </c>
      <c r="N21" s="779">
        <f>L21*M21</f>
        <v>0</v>
      </c>
      <c r="O21" s="779">
        <f>M21+N21</f>
        <v>0</v>
      </c>
      <c r="P21" s="614" t="e">
        <f t="shared" si="0"/>
        <v>#DIV/0!</v>
      </c>
      <c r="Q21" s="511"/>
      <c r="R21" s="632"/>
      <c r="AB21" s="632"/>
    </row>
    <row r="22" spans="2:28" ht="15.75" hidden="1" customHeight="1" outlineLevel="3">
      <c r="B22" s="776" t="s">
        <v>1640</v>
      </c>
      <c r="C22" s="782" t="s">
        <v>39</v>
      </c>
      <c r="D22" s="783" t="s">
        <v>1641</v>
      </c>
      <c r="E22" s="648"/>
      <c r="F22" s="648"/>
      <c r="G22" s="789"/>
      <c r="H22" s="790"/>
      <c r="I22" s="672"/>
      <c r="J22" s="791"/>
      <c r="K22" s="791"/>
      <c r="L22" s="788"/>
      <c r="M22" s="779">
        <f>SUBTOTAL(9,M23:M26)</f>
        <v>0</v>
      </c>
      <c r="N22" s="779">
        <f>SUBTOTAL(9,N23:N26)</f>
        <v>0</v>
      </c>
      <c r="O22" s="779">
        <f>SUBTOTAL(9,O23:O26)</f>
        <v>0</v>
      </c>
      <c r="P22" s="614" t="e">
        <f t="shared" si="0"/>
        <v>#DIV/0!</v>
      </c>
      <c r="Q22" s="511"/>
      <c r="R22" s="632"/>
      <c r="AB22" s="632"/>
    </row>
    <row r="23" spans="2:28" ht="15.75" hidden="1" customHeight="1" outlineLevel="3">
      <c r="B23" s="776" t="s">
        <v>1642</v>
      </c>
      <c r="C23" s="782"/>
      <c r="D23" s="796" t="s">
        <v>1643</v>
      </c>
      <c r="E23" s="648" t="s">
        <v>1228</v>
      </c>
      <c r="F23" s="648" t="s">
        <v>657</v>
      </c>
      <c r="G23" s="789">
        <v>1</v>
      </c>
      <c r="H23" s="790" t="s">
        <v>101</v>
      </c>
      <c r="I23" s="672">
        <f>$E$2</f>
        <v>0</v>
      </c>
      <c r="J23" s="672">
        <v>165</v>
      </c>
      <c r="K23" s="778">
        <f t="shared" si="1"/>
        <v>148.64864864864865</v>
      </c>
      <c r="L23" s="569">
        <v>0.11</v>
      </c>
      <c r="M23" s="779">
        <f>G23*I23*K23/10000</f>
        <v>0</v>
      </c>
      <c r="N23" s="779">
        <f>L23*M23</f>
        <v>0</v>
      </c>
      <c r="O23" s="779">
        <f>M23+N23</f>
        <v>0</v>
      </c>
      <c r="P23" s="614" t="e">
        <f t="shared" si="0"/>
        <v>#DIV/0!</v>
      </c>
      <c r="Q23" s="511"/>
      <c r="R23" s="632"/>
      <c r="AB23" s="632"/>
    </row>
    <row r="24" spans="2:28" ht="15.75" hidden="1" customHeight="1" outlineLevel="3">
      <c r="B24" s="776" t="s">
        <v>1490</v>
      </c>
      <c r="C24" s="782"/>
      <c r="D24" s="796" t="s">
        <v>1644</v>
      </c>
      <c r="E24" s="648" t="s">
        <v>1228</v>
      </c>
      <c r="F24" s="648" t="s">
        <v>657</v>
      </c>
      <c r="G24" s="789">
        <v>1</v>
      </c>
      <c r="H24" s="790" t="s">
        <v>101</v>
      </c>
      <c r="I24" s="672">
        <f>$E$2</f>
        <v>0</v>
      </c>
      <c r="J24" s="672"/>
      <c r="K24" s="778">
        <f t="shared" si="1"/>
        <v>0</v>
      </c>
      <c r="L24" s="569">
        <v>0.11</v>
      </c>
      <c r="M24" s="779">
        <f>G24*I24*K24/10000</f>
        <v>0</v>
      </c>
      <c r="N24" s="779">
        <f>L24*M24</f>
        <v>0</v>
      </c>
      <c r="O24" s="779">
        <f>M24+N24</f>
        <v>0</v>
      </c>
      <c r="P24" s="614" t="e">
        <f t="shared" si="0"/>
        <v>#DIV/0!</v>
      </c>
      <c r="Q24" s="511"/>
      <c r="R24" s="632"/>
      <c r="AB24" s="632"/>
    </row>
    <row r="25" spans="2:28" ht="15.75" hidden="1" customHeight="1" outlineLevel="3">
      <c r="B25" s="776" t="s">
        <v>1491</v>
      </c>
      <c r="C25" s="792"/>
      <c r="D25" s="796" t="s">
        <v>1645</v>
      </c>
      <c r="E25" s="648" t="s">
        <v>1228</v>
      </c>
      <c r="F25" s="648" t="s">
        <v>657</v>
      </c>
      <c r="G25" s="789">
        <v>1</v>
      </c>
      <c r="H25" s="790" t="s">
        <v>2867</v>
      </c>
      <c r="I25" s="672">
        <f>$E$2</f>
        <v>0</v>
      </c>
      <c r="J25" s="672"/>
      <c r="K25" s="778">
        <f t="shared" si="1"/>
        <v>0</v>
      </c>
      <c r="L25" s="569">
        <v>0.11</v>
      </c>
      <c r="M25" s="779">
        <f>G25*I25*K25/10000</f>
        <v>0</v>
      </c>
      <c r="N25" s="779">
        <f>L25*M25</f>
        <v>0</v>
      </c>
      <c r="O25" s="779">
        <f>M25+N25</f>
        <v>0</v>
      </c>
      <c r="P25" s="614" t="e">
        <f t="shared" si="0"/>
        <v>#DIV/0!</v>
      </c>
      <c r="Q25" s="511"/>
      <c r="R25" s="632"/>
      <c r="AB25" s="632"/>
    </row>
    <row r="26" spans="2:28" ht="15.75" hidden="1" customHeight="1" outlineLevel="3">
      <c r="B26" s="776" t="s">
        <v>1492</v>
      </c>
      <c r="C26" s="782"/>
      <c r="D26" s="796" t="s">
        <v>1646</v>
      </c>
      <c r="E26" s="665" t="s">
        <v>1228</v>
      </c>
      <c r="F26" s="648" t="s">
        <v>657</v>
      </c>
      <c r="G26" s="789">
        <v>1</v>
      </c>
      <c r="H26" s="790" t="s">
        <v>2867</v>
      </c>
      <c r="I26" s="672">
        <f>$E$2</f>
        <v>0</v>
      </c>
      <c r="J26" s="672"/>
      <c r="K26" s="778">
        <f t="shared" si="1"/>
        <v>0</v>
      </c>
      <c r="L26" s="569">
        <v>0.11</v>
      </c>
      <c r="M26" s="779">
        <f>G26*I26*K26/10000</f>
        <v>0</v>
      </c>
      <c r="N26" s="779">
        <f>L26*M26</f>
        <v>0</v>
      </c>
      <c r="O26" s="779">
        <f>M26+N26</f>
        <v>0</v>
      </c>
      <c r="P26" s="614" t="e">
        <f t="shared" si="0"/>
        <v>#DIV/0!</v>
      </c>
      <c r="Q26" s="511"/>
      <c r="R26" s="632"/>
      <c r="AB26" s="632"/>
    </row>
    <row r="27" spans="2:28" ht="15.75" hidden="1" customHeight="1" outlineLevel="3">
      <c r="B27" s="776" t="s">
        <v>1647</v>
      </c>
      <c r="C27" s="782" t="s">
        <v>39</v>
      </c>
      <c r="D27" s="783" t="s">
        <v>1648</v>
      </c>
      <c r="E27" s="648"/>
      <c r="F27" s="665"/>
      <c r="G27" s="789"/>
      <c r="H27" s="790"/>
      <c r="I27" s="672"/>
      <c r="J27" s="791"/>
      <c r="K27" s="791"/>
      <c r="L27" s="788"/>
      <c r="M27" s="779">
        <f>SUBTOTAL(9,M28:M30)</f>
        <v>0</v>
      </c>
      <c r="N27" s="779">
        <f>SUBTOTAL(9,N28:N30)</f>
        <v>0</v>
      </c>
      <c r="O27" s="779">
        <f>SUBTOTAL(9,O28:O30)</f>
        <v>0</v>
      </c>
      <c r="P27" s="614" t="e">
        <f t="shared" si="0"/>
        <v>#DIV/0!</v>
      </c>
      <c r="Q27" s="511"/>
      <c r="R27" s="632"/>
      <c r="AB27" s="632"/>
    </row>
    <row r="28" spans="2:28" ht="15.75" hidden="1" customHeight="1" outlineLevel="3">
      <c r="B28" s="776" t="s">
        <v>1649</v>
      </c>
      <c r="C28" s="782"/>
      <c r="D28" s="796" t="s">
        <v>1650</v>
      </c>
      <c r="E28" s="648" t="s">
        <v>1493</v>
      </c>
      <c r="F28" s="648" t="s">
        <v>657</v>
      </c>
      <c r="G28" s="672">
        <v>1.3</v>
      </c>
      <c r="H28" s="790" t="s">
        <v>2868</v>
      </c>
      <c r="I28" s="672">
        <f t="shared" ref="I28:I35" si="2">$E$2</f>
        <v>0</v>
      </c>
      <c r="J28" s="672"/>
      <c r="K28" s="778">
        <f t="shared" si="1"/>
        <v>0</v>
      </c>
      <c r="L28" s="569">
        <v>0.11</v>
      </c>
      <c r="M28" s="779">
        <f>G28*I28*K28/10000</f>
        <v>0</v>
      </c>
      <c r="N28" s="779">
        <f t="shared" ref="N28:N35" si="3">L28*M28</f>
        <v>0</v>
      </c>
      <c r="O28" s="779">
        <f t="shared" ref="O28:O35" si="4">M28+N28</f>
        <v>0</v>
      </c>
      <c r="P28" s="614" t="e">
        <f t="shared" si="0"/>
        <v>#DIV/0!</v>
      </c>
      <c r="Q28" s="511"/>
      <c r="R28" s="632"/>
      <c r="AB28" s="632"/>
    </row>
    <row r="29" spans="2:28" ht="15.75" hidden="1" customHeight="1" outlineLevel="3">
      <c r="B29" s="776" t="s">
        <v>1494</v>
      </c>
      <c r="C29" s="782"/>
      <c r="D29" s="796" t="s">
        <v>1651</v>
      </c>
      <c r="E29" s="665" t="s">
        <v>1493</v>
      </c>
      <c r="F29" s="648" t="s">
        <v>657</v>
      </c>
      <c r="G29" s="672">
        <v>1.3</v>
      </c>
      <c r="H29" s="790" t="s">
        <v>2868</v>
      </c>
      <c r="I29" s="672">
        <f t="shared" si="2"/>
        <v>0</v>
      </c>
      <c r="J29" s="672">
        <v>110</v>
      </c>
      <c r="K29" s="778">
        <f t="shared" si="1"/>
        <v>99.099099099099092</v>
      </c>
      <c r="L29" s="569">
        <v>0.11</v>
      </c>
      <c r="M29" s="779">
        <f t="shared" ref="M29:M35" si="5">G29*I29*K29/10000</f>
        <v>0</v>
      </c>
      <c r="N29" s="779">
        <f t="shared" si="3"/>
        <v>0</v>
      </c>
      <c r="O29" s="779">
        <f t="shared" si="4"/>
        <v>0</v>
      </c>
      <c r="P29" s="614" t="e">
        <f t="shared" si="0"/>
        <v>#DIV/0!</v>
      </c>
      <c r="Q29" s="511"/>
      <c r="R29" s="632"/>
      <c r="AB29" s="632"/>
    </row>
    <row r="30" spans="2:28" ht="15.75" hidden="1" customHeight="1" outlineLevel="3">
      <c r="B30" s="776" t="s">
        <v>1495</v>
      </c>
      <c r="C30" s="782"/>
      <c r="D30" s="796" t="s">
        <v>1652</v>
      </c>
      <c r="E30" s="648" t="s">
        <v>1228</v>
      </c>
      <c r="F30" s="648" t="s">
        <v>2869</v>
      </c>
      <c r="G30" s="672">
        <v>1.5</v>
      </c>
      <c r="H30" s="790" t="s">
        <v>2870</v>
      </c>
      <c r="I30" s="672">
        <f t="shared" si="2"/>
        <v>0</v>
      </c>
      <c r="J30" s="672"/>
      <c r="K30" s="778">
        <f t="shared" si="1"/>
        <v>0</v>
      </c>
      <c r="L30" s="569">
        <v>0.11</v>
      </c>
      <c r="M30" s="779">
        <f t="shared" si="5"/>
        <v>0</v>
      </c>
      <c r="N30" s="779">
        <f t="shared" si="3"/>
        <v>0</v>
      </c>
      <c r="O30" s="779">
        <f t="shared" si="4"/>
        <v>0</v>
      </c>
      <c r="P30" s="614" t="e">
        <f t="shared" si="0"/>
        <v>#DIV/0!</v>
      </c>
      <c r="Q30" s="511"/>
      <c r="R30" s="632"/>
      <c r="AB30" s="632"/>
    </row>
    <row r="31" spans="2:28" ht="15.75" hidden="1" customHeight="1" outlineLevel="3">
      <c r="B31" s="776" t="s">
        <v>1653</v>
      </c>
      <c r="C31" s="782" t="s">
        <v>39</v>
      </c>
      <c r="D31" s="783" t="s">
        <v>1654</v>
      </c>
      <c r="E31" s="648" t="s">
        <v>1496</v>
      </c>
      <c r="F31" s="648" t="s">
        <v>657</v>
      </c>
      <c r="G31" s="672">
        <v>1</v>
      </c>
      <c r="H31" s="787" t="s">
        <v>2870</v>
      </c>
      <c r="I31" s="672">
        <f t="shared" si="2"/>
        <v>0</v>
      </c>
      <c r="J31" s="672"/>
      <c r="K31" s="778">
        <f t="shared" si="1"/>
        <v>0</v>
      </c>
      <c r="L31" s="569">
        <v>0.17</v>
      </c>
      <c r="M31" s="779">
        <f t="shared" si="5"/>
        <v>0</v>
      </c>
      <c r="N31" s="779">
        <f t="shared" si="3"/>
        <v>0</v>
      </c>
      <c r="O31" s="779">
        <f t="shared" si="4"/>
        <v>0</v>
      </c>
      <c r="P31" s="614" t="e">
        <f t="shared" si="0"/>
        <v>#DIV/0!</v>
      </c>
      <c r="Q31" s="511"/>
      <c r="R31" s="632"/>
      <c r="AB31" s="632"/>
    </row>
    <row r="32" spans="2:28" ht="15.75" hidden="1" customHeight="1" outlineLevel="3">
      <c r="B32" s="776" t="s">
        <v>1655</v>
      </c>
      <c r="C32" s="782" t="s">
        <v>39</v>
      </c>
      <c r="D32" s="783" t="s">
        <v>1656</v>
      </c>
      <c r="E32" s="835" t="s">
        <v>2871</v>
      </c>
      <c r="F32" s="648" t="s">
        <v>657</v>
      </c>
      <c r="G32" s="672">
        <v>1</v>
      </c>
      <c r="H32" s="790" t="s">
        <v>2870</v>
      </c>
      <c r="I32" s="672">
        <f t="shared" si="2"/>
        <v>0</v>
      </c>
      <c r="J32" s="672"/>
      <c r="K32" s="778">
        <f t="shared" si="1"/>
        <v>0</v>
      </c>
      <c r="L32" s="569">
        <v>0.17</v>
      </c>
      <c r="M32" s="779">
        <f t="shared" si="5"/>
        <v>0</v>
      </c>
      <c r="N32" s="779">
        <f t="shared" si="3"/>
        <v>0</v>
      </c>
      <c r="O32" s="779">
        <f t="shared" si="4"/>
        <v>0</v>
      </c>
      <c r="P32" s="614" t="e">
        <f t="shared" si="0"/>
        <v>#DIV/0!</v>
      </c>
      <c r="Q32" s="511"/>
      <c r="R32" s="632"/>
      <c r="AB32" s="632"/>
    </row>
    <row r="33" spans="2:28" ht="15.75" hidden="1" customHeight="1" outlineLevel="3">
      <c r="B33" s="776" t="s">
        <v>1657</v>
      </c>
      <c r="C33" s="782" t="s">
        <v>39</v>
      </c>
      <c r="D33" s="783" t="s">
        <v>1658</v>
      </c>
      <c r="E33" s="648" t="s">
        <v>1228</v>
      </c>
      <c r="F33" s="648" t="s">
        <v>657</v>
      </c>
      <c r="G33" s="672">
        <v>1</v>
      </c>
      <c r="H33" s="790" t="s">
        <v>2870</v>
      </c>
      <c r="I33" s="672">
        <f t="shared" si="2"/>
        <v>0</v>
      </c>
      <c r="J33" s="791">
        <v>5</v>
      </c>
      <c r="K33" s="778">
        <f t="shared" si="1"/>
        <v>4.5045045045045038</v>
      </c>
      <c r="L33" s="569">
        <v>0.11</v>
      </c>
      <c r="M33" s="779">
        <f t="shared" si="5"/>
        <v>0</v>
      </c>
      <c r="N33" s="779">
        <f t="shared" si="3"/>
        <v>0</v>
      </c>
      <c r="O33" s="779">
        <f t="shared" si="4"/>
        <v>0</v>
      </c>
      <c r="P33" s="614" t="e">
        <f t="shared" si="0"/>
        <v>#DIV/0!</v>
      </c>
      <c r="Q33" s="511"/>
      <c r="R33" s="632"/>
      <c r="AB33" s="632"/>
    </row>
    <row r="34" spans="2:28" ht="15.75" hidden="1" customHeight="1" outlineLevel="3">
      <c r="B34" s="776" t="s">
        <v>1659</v>
      </c>
      <c r="C34" s="782" t="s">
        <v>39</v>
      </c>
      <c r="D34" s="783" t="s">
        <v>1660</v>
      </c>
      <c r="E34" s="648" t="s">
        <v>1228</v>
      </c>
      <c r="F34" s="648" t="s">
        <v>657</v>
      </c>
      <c r="G34" s="672">
        <v>1</v>
      </c>
      <c r="H34" s="790" t="s">
        <v>2870</v>
      </c>
      <c r="I34" s="672">
        <f t="shared" si="2"/>
        <v>0</v>
      </c>
      <c r="J34" s="791">
        <v>20</v>
      </c>
      <c r="K34" s="778">
        <f t="shared" si="1"/>
        <v>18.018018018018015</v>
      </c>
      <c r="L34" s="569">
        <v>0.11</v>
      </c>
      <c r="M34" s="779">
        <f t="shared" si="5"/>
        <v>0</v>
      </c>
      <c r="N34" s="779">
        <f t="shared" si="3"/>
        <v>0</v>
      </c>
      <c r="O34" s="779">
        <f t="shared" si="4"/>
        <v>0</v>
      </c>
      <c r="P34" s="614" t="e">
        <f t="shared" si="0"/>
        <v>#DIV/0!</v>
      </c>
      <c r="Q34" s="511"/>
      <c r="R34" s="632"/>
      <c r="AB34" s="632"/>
    </row>
    <row r="35" spans="2:28" ht="15.75" hidden="1" customHeight="1" outlineLevel="3">
      <c r="B35" s="776" t="s">
        <v>1497</v>
      </c>
      <c r="C35" s="782" t="s">
        <v>39</v>
      </c>
      <c r="D35" s="783" t="s">
        <v>1661</v>
      </c>
      <c r="E35" s="665" t="s">
        <v>1228</v>
      </c>
      <c r="F35" s="648" t="s">
        <v>657</v>
      </c>
      <c r="G35" s="672">
        <v>1</v>
      </c>
      <c r="H35" s="790" t="s">
        <v>2870</v>
      </c>
      <c r="I35" s="672">
        <f t="shared" si="2"/>
        <v>0</v>
      </c>
      <c r="J35" s="791"/>
      <c r="K35" s="778">
        <f t="shared" si="1"/>
        <v>0</v>
      </c>
      <c r="L35" s="569">
        <v>0.11</v>
      </c>
      <c r="M35" s="779">
        <f t="shared" si="5"/>
        <v>0</v>
      </c>
      <c r="N35" s="779">
        <f t="shared" si="3"/>
        <v>0</v>
      </c>
      <c r="O35" s="779">
        <f t="shared" si="4"/>
        <v>0</v>
      </c>
      <c r="P35" s="614" t="e">
        <f t="shared" si="0"/>
        <v>#DIV/0!</v>
      </c>
      <c r="Q35" s="511"/>
      <c r="R35" s="632"/>
      <c r="AB35" s="632"/>
    </row>
    <row r="36" spans="2:28" ht="15.75" customHeight="1" outlineLevel="1" collapsed="1">
      <c r="B36" s="771" t="s">
        <v>2872</v>
      </c>
      <c r="C36" s="712">
        <v>2</v>
      </c>
      <c r="D36" s="771" t="s">
        <v>2873</v>
      </c>
      <c r="E36" s="712"/>
      <c r="F36" s="712"/>
      <c r="G36" s="712"/>
      <c r="H36" s="772"/>
      <c r="I36" s="713"/>
      <c r="J36" s="772"/>
      <c r="K36" s="772"/>
      <c r="L36" s="588"/>
      <c r="M36" s="773">
        <f>SUBTOTAL(9,M37:M68)</f>
        <v>0</v>
      </c>
      <c r="N36" s="773">
        <f>SUBTOTAL(9,N37:N68)</f>
        <v>0</v>
      </c>
      <c r="O36" s="773">
        <f>SUBTOTAL(9,O37:O68)</f>
        <v>0</v>
      </c>
      <c r="P36" s="589" t="e">
        <f t="shared" si="0"/>
        <v>#DIV/0!</v>
      </c>
      <c r="Q36" s="775"/>
      <c r="R36" s="632"/>
      <c r="AB36" s="632"/>
    </row>
    <row r="37" spans="2:28" ht="15.75" hidden="1" customHeight="1" outlineLevel="2">
      <c r="B37" s="776" t="s">
        <v>661</v>
      </c>
      <c r="C37" s="777" t="s">
        <v>1096</v>
      </c>
      <c r="D37" s="776" t="s">
        <v>1662</v>
      </c>
      <c r="E37" s="665"/>
      <c r="F37" s="665"/>
      <c r="G37" s="794"/>
      <c r="H37" s="795"/>
      <c r="I37" s="791"/>
      <c r="J37" s="791"/>
      <c r="K37" s="791"/>
      <c r="L37" s="788"/>
      <c r="M37" s="779">
        <f>SUBTOTAL(9,M38:M55)</f>
        <v>0</v>
      </c>
      <c r="N37" s="779">
        <f>SUBTOTAL(9,N38:N55)</f>
        <v>0</v>
      </c>
      <c r="O37" s="779">
        <f>SUBTOTAL(9,O38:O55)</f>
        <v>0</v>
      </c>
      <c r="P37" s="614" t="e">
        <f t="shared" si="0"/>
        <v>#DIV/0!</v>
      </c>
      <c r="Q37" s="511"/>
      <c r="R37" s="632"/>
      <c r="AB37" s="632"/>
    </row>
    <row r="38" spans="2:28" ht="15.75" hidden="1" customHeight="1" outlineLevel="3">
      <c r="B38" s="776" t="s">
        <v>662</v>
      </c>
      <c r="C38" s="782" t="s">
        <v>39</v>
      </c>
      <c r="D38" s="776" t="s">
        <v>1663</v>
      </c>
      <c r="E38" s="648"/>
      <c r="F38" s="648"/>
      <c r="G38" s="791"/>
      <c r="H38" s="795"/>
      <c r="I38" s="672"/>
      <c r="J38" s="791"/>
      <c r="K38" s="791"/>
      <c r="L38" s="788"/>
      <c r="M38" s="779">
        <f>SUBTOTAL(9,M39:M40)</f>
        <v>0</v>
      </c>
      <c r="N38" s="779">
        <f>SUBTOTAL(9,N39:N40)</f>
        <v>0</v>
      </c>
      <c r="O38" s="779">
        <f>SUBTOTAL(9,O39:O40)</f>
        <v>0</v>
      </c>
      <c r="P38" s="614" t="e">
        <f t="shared" si="0"/>
        <v>#DIV/0!</v>
      </c>
      <c r="Q38" s="511"/>
      <c r="R38" s="632"/>
      <c r="AB38" s="632"/>
    </row>
    <row r="39" spans="2:28" ht="15.75" hidden="1" customHeight="1" outlineLevel="3">
      <c r="B39" s="776" t="s">
        <v>1664</v>
      </c>
      <c r="C39" s="782"/>
      <c r="D39" s="796" t="s">
        <v>1498</v>
      </c>
      <c r="E39" s="665" t="s">
        <v>1228</v>
      </c>
      <c r="F39" s="648" t="s">
        <v>2874</v>
      </c>
      <c r="G39" s="791">
        <v>1</v>
      </c>
      <c r="H39" s="790" t="s">
        <v>2870</v>
      </c>
      <c r="I39" s="672">
        <f>$E$2*(1+$F$2)</f>
        <v>0</v>
      </c>
      <c r="J39" s="672">
        <v>20</v>
      </c>
      <c r="K39" s="778">
        <f>J39/(1+L39)</f>
        <v>18.018018018018015</v>
      </c>
      <c r="L39" s="569">
        <v>0.11</v>
      </c>
      <c r="M39" s="779">
        <f>G39*I39*K39/10000</f>
        <v>0</v>
      </c>
      <c r="N39" s="779">
        <f>L39*M39</f>
        <v>0</v>
      </c>
      <c r="O39" s="779">
        <f>M39+N39</f>
        <v>0</v>
      </c>
      <c r="P39" s="614" t="e">
        <f t="shared" si="0"/>
        <v>#DIV/0!</v>
      </c>
      <c r="Q39" s="511"/>
      <c r="R39" s="632"/>
      <c r="AB39" s="632"/>
    </row>
    <row r="40" spans="2:28" ht="15.75" hidden="1" customHeight="1" outlineLevel="3">
      <c r="B40" s="776" t="s">
        <v>1499</v>
      </c>
      <c r="C40" s="782"/>
      <c r="D40" s="796" t="s">
        <v>1500</v>
      </c>
      <c r="E40" s="665" t="s">
        <v>1295</v>
      </c>
      <c r="F40" s="648" t="s">
        <v>2874</v>
      </c>
      <c r="G40" s="791">
        <v>1</v>
      </c>
      <c r="H40" s="790" t="s">
        <v>2870</v>
      </c>
      <c r="I40" s="672">
        <f>$E$2*(1+$F$2)</f>
        <v>0</v>
      </c>
      <c r="J40" s="672">
        <v>25</v>
      </c>
      <c r="K40" s="778">
        <f>J40/(1+L40)</f>
        <v>21.36752136752137</v>
      </c>
      <c r="L40" s="569">
        <v>0.17</v>
      </c>
      <c r="M40" s="779">
        <f>G40*I40*K40/10000</f>
        <v>0</v>
      </c>
      <c r="N40" s="779">
        <f>L40*M40</f>
        <v>0</v>
      </c>
      <c r="O40" s="779">
        <f>M40+N40</f>
        <v>0</v>
      </c>
      <c r="P40" s="614" t="e">
        <f t="shared" si="0"/>
        <v>#DIV/0!</v>
      </c>
      <c r="Q40" s="511"/>
      <c r="R40" s="632"/>
      <c r="AB40" s="632"/>
    </row>
    <row r="41" spans="2:28" ht="15.75" hidden="1" customHeight="1" outlineLevel="3">
      <c r="B41" s="776" t="s">
        <v>664</v>
      </c>
      <c r="C41" s="782" t="s">
        <v>39</v>
      </c>
      <c r="D41" s="776" t="s">
        <v>667</v>
      </c>
      <c r="E41" s="665"/>
      <c r="F41" s="665"/>
      <c r="G41" s="791"/>
      <c r="H41" s="795"/>
      <c r="I41" s="791"/>
      <c r="J41" s="791"/>
      <c r="K41" s="791"/>
      <c r="L41" s="788"/>
      <c r="M41" s="779">
        <f>SUBTOTAL(9,M42:M43)</f>
        <v>0</v>
      </c>
      <c r="N41" s="779">
        <f>SUBTOTAL(9,N42:N43)</f>
        <v>0</v>
      </c>
      <c r="O41" s="779">
        <f>SUBTOTAL(9,O42:O43)</f>
        <v>0</v>
      </c>
      <c r="P41" s="614" t="e">
        <f t="shared" si="0"/>
        <v>#DIV/0!</v>
      </c>
      <c r="Q41" s="511"/>
      <c r="R41" s="632"/>
      <c r="AB41" s="632"/>
    </row>
    <row r="42" spans="2:28" ht="15.75" hidden="1" customHeight="1" outlineLevel="3">
      <c r="B42" s="776" t="s">
        <v>1665</v>
      </c>
      <c r="C42" s="792"/>
      <c r="D42" s="796" t="s">
        <v>1501</v>
      </c>
      <c r="E42" s="648" t="s">
        <v>1502</v>
      </c>
      <c r="F42" s="648" t="s">
        <v>2874</v>
      </c>
      <c r="G42" s="791">
        <v>1</v>
      </c>
      <c r="H42" s="790" t="s">
        <v>2870</v>
      </c>
      <c r="I42" s="672">
        <f>$E$2*(1+$F$2)</f>
        <v>0</v>
      </c>
      <c r="J42" s="791"/>
      <c r="K42" s="778">
        <f>J42/(1+L42)</f>
        <v>0</v>
      </c>
      <c r="L42" s="569">
        <v>0.11</v>
      </c>
      <c r="M42" s="779">
        <f>G42*I42*K42/10000</f>
        <v>0</v>
      </c>
      <c r="N42" s="779">
        <f>L42*M42</f>
        <v>0</v>
      </c>
      <c r="O42" s="779">
        <f>M42+N42</f>
        <v>0</v>
      </c>
      <c r="P42" s="614" t="e">
        <f t="shared" si="0"/>
        <v>#DIV/0!</v>
      </c>
      <c r="Q42" s="511"/>
      <c r="R42" s="632"/>
      <c r="AB42" s="632"/>
    </row>
    <row r="43" spans="2:28" ht="15.75" hidden="1" customHeight="1" outlineLevel="3">
      <c r="B43" s="776" t="s">
        <v>1503</v>
      </c>
      <c r="C43" s="782"/>
      <c r="D43" s="796" t="s">
        <v>1504</v>
      </c>
      <c r="E43" s="648" t="s">
        <v>1505</v>
      </c>
      <c r="F43" s="665"/>
      <c r="G43" s="791">
        <v>1</v>
      </c>
      <c r="H43" s="795" t="s">
        <v>2875</v>
      </c>
      <c r="I43" s="791">
        <f>$H$2</f>
        <v>0</v>
      </c>
      <c r="J43" s="791"/>
      <c r="K43" s="778">
        <f>J43/(1+L43)</f>
        <v>0</v>
      </c>
      <c r="L43" s="569">
        <v>0</v>
      </c>
      <c r="M43" s="779">
        <f>G43*I43*K43/10000</f>
        <v>0</v>
      </c>
      <c r="N43" s="779">
        <f>L43*M43</f>
        <v>0</v>
      </c>
      <c r="O43" s="779">
        <f>M43+N43</f>
        <v>0</v>
      </c>
      <c r="P43" s="614" t="e">
        <f t="shared" si="0"/>
        <v>#DIV/0!</v>
      </c>
      <c r="Q43" s="511"/>
      <c r="R43" s="632"/>
      <c r="AB43" s="632"/>
    </row>
    <row r="44" spans="2:28" ht="15.75" hidden="1" customHeight="1" outlineLevel="3">
      <c r="B44" s="776" t="s">
        <v>665</v>
      </c>
      <c r="C44" s="782" t="s">
        <v>39</v>
      </c>
      <c r="D44" s="776" t="s">
        <v>668</v>
      </c>
      <c r="E44" s="665"/>
      <c r="F44" s="665"/>
      <c r="G44" s="791"/>
      <c r="H44" s="795"/>
      <c r="I44" s="791"/>
      <c r="J44" s="791"/>
      <c r="K44" s="791"/>
      <c r="L44" s="788"/>
      <c r="M44" s="779">
        <f>SUBTOTAL(9,M45:M46)</f>
        <v>0</v>
      </c>
      <c r="N44" s="779">
        <f>SUBTOTAL(9,N45:N46)</f>
        <v>0</v>
      </c>
      <c r="O44" s="779">
        <f>SUBTOTAL(9,O45:O46)</f>
        <v>0</v>
      </c>
      <c r="P44" s="614" t="e">
        <f t="shared" si="0"/>
        <v>#DIV/0!</v>
      </c>
      <c r="Q44" s="511"/>
      <c r="R44" s="632"/>
      <c r="AB44" s="632"/>
    </row>
    <row r="45" spans="2:28" ht="15.75" hidden="1" customHeight="1" outlineLevel="3">
      <c r="B45" s="776" t="s">
        <v>1666</v>
      </c>
      <c r="C45" s="782"/>
      <c r="D45" s="796" t="s">
        <v>1506</v>
      </c>
      <c r="E45" s="665" t="s">
        <v>1300</v>
      </c>
      <c r="F45" s="648" t="s">
        <v>2874</v>
      </c>
      <c r="G45" s="791">
        <v>1</v>
      </c>
      <c r="H45" s="790" t="s">
        <v>2870</v>
      </c>
      <c r="I45" s="672">
        <f>$E$2*(1+$F$2)</f>
        <v>0</v>
      </c>
      <c r="J45" s="791"/>
      <c r="K45" s="778">
        <f>J45/(1+L45)</f>
        <v>0</v>
      </c>
      <c r="L45" s="788">
        <v>0.11</v>
      </c>
      <c r="M45" s="779">
        <f>G45*I45*K45/10000</f>
        <v>0</v>
      </c>
      <c r="N45" s="779">
        <f>L45*M45</f>
        <v>0</v>
      </c>
      <c r="O45" s="779">
        <f>M45+N45</f>
        <v>0</v>
      </c>
      <c r="P45" s="614" t="e">
        <f t="shared" si="0"/>
        <v>#DIV/0!</v>
      </c>
      <c r="Q45" s="511"/>
      <c r="R45" s="632"/>
      <c r="AB45" s="632"/>
    </row>
    <row r="46" spans="2:28" ht="15.75" hidden="1" customHeight="1" outlineLevel="3">
      <c r="B46" s="776" t="s">
        <v>1507</v>
      </c>
      <c r="C46" s="782"/>
      <c r="D46" s="796" t="s">
        <v>1301</v>
      </c>
      <c r="E46" s="648" t="s">
        <v>1300</v>
      </c>
      <c r="F46" s="665" t="s">
        <v>2876</v>
      </c>
      <c r="G46" s="791">
        <v>1</v>
      </c>
      <c r="H46" s="795" t="s">
        <v>2875</v>
      </c>
      <c r="I46" s="791">
        <f>$H$2</f>
        <v>0</v>
      </c>
      <c r="J46" s="791"/>
      <c r="K46" s="778">
        <f>J46/(1+L46)</f>
        <v>0</v>
      </c>
      <c r="L46" s="569">
        <v>0</v>
      </c>
      <c r="M46" s="779">
        <f>G46*I46*K46/10000</f>
        <v>0</v>
      </c>
      <c r="N46" s="779">
        <f>L46*M46</f>
        <v>0</v>
      </c>
      <c r="O46" s="779">
        <f>M46+N46</f>
        <v>0</v>
      </c>
      <c r="P46" s="614" t="e">
        <f t="shared" si="0"/>
        <v>#DIV/0!</v>
      </c>
      <c r="Q46" s="511"/>
      <c r="R46" s="632"/>
      <c r="AB46" s="632"/>
    </row>
    <row r="47" spans="2:28" ht="15.75" hidden="1" customHeight="1" outlineLevel="3">
      <c r="B47" s="776" t="s">
        <v>666</v>
      </c>
      <c r="C47" s="782" t="s">
        <v>39</v>
      </c>
      <c r="D47" s="776" t="s">
        <v>1508</v>
      </c>
      <c r="E47" s="665"/>
      <c r="F47" s="665"/>
      <c r="G47" s="791"/>
      <c r="H47" s="795"/>
      <c r="I47" s="791"/>
      <c r="J47" s="791"/>
      <c r="K47" s="791"/>
      <c r="L47" s="788"/>
      <c r="M47" s="779">
        <f>SUBTOTAL(9,M48:M55)</f>
        <v>0</v>
      </c>
      <c r="N47" s="779">
        <f>SUBTOTAL(9,N48:N55)</f>
        <v>0</v>
      </c>
      <c r="O47" s="779">
        <f>SUBTOTAL(9,O48:O55)</f>
        <v>0</v>
      </c>
      <c r="P47" s="614" t="e">
        <f t="shared" si="0"/>
        <v>#DIV/0!</v>
      </c>
      <c r="Q47" s="511"/>
      <c r="R47" s="632"/>
      <c r="AB47" s="632"/>
    </row>
    <row r="48" spans="2:28" ht="15.75" hidden="1" customHeight="1" outlineLevel="3">
      <c r="B48" s="776" t="s">
        <v>1667</v>
      </c>
      <c r="C48" s="782"/>
      <c r="D48" s="796" t="s">
        <v>1509</v>
      </c>
      <c r="E48" s="665" t="s">
        <v>1228</v>
      </c>
      <c r="F48" s="648" t="s">
        <v>2874</v>
      </c>
      <c r="G48" s="791">
        <v>1</v>
      </c>
      <c r="H48" s="790" t="s">
        <v>2870</v>
      </c>
      <c r="I48" s="672">
        <f t="shared" ref="I48:I55" si="6">$E$2*(1+$F$2)</f>
        <v>0</v>
      </c>
      <c r="J48" s="672">
        <v>50</v>
      </c>
      <c r="K48" s="778">
        <f t="shared" ref="K48:K54" si="7">J48/(1+L48)</f>
        <v>45.045045045045043</v>
      </c>
      <c r="L48" s="569">
        <v>0.11</v>
      </c>
      <c r="M48" s="779">
        <f t="shared" ref="M48:M55" si="8">G48*I48*K48/10000</f>
        <v>0</v>
      </c>
      <c r="N48" s="779">
        <f>L48*M48</f>
        <v>0</v>
      </c>
      <c r="O48" s="779">
        <f>M48+N48</f>
        <v>0</v>
      </c>
      <c r="P48" s="614" t="e">
        <f t="shared" si="0"/>
        <v>#DIV/0!</v>
      </c>
      <c r="Q48" s="511"/>
      <c r="R48" s="632"/>
      <c r="AB48" s="632"/>
    </row>
    <row r="49" spans="2:28" ht="15.75" hidden="1" customHeight="1" outlineLevel="3">
      <c r="B49" s="776" t="s">
        <v>1510</v>
      </c>
      <c r="C49" s="782"/>
      <c r="D49" s="796" t="s">
        <v>1511</v>
      </c>
      <c r="E49" s="665" t="s">
        <v>1295</v>
      </c>
      <c r="F49" s="648" t="s">
        <v>1668</v>
      </c>
      <c r="G49" s="791">
        <v>1</v>
      </c>
      <c r="H49" s="790" t="s">
        <v>2870</v>
      </c>
      <c r="I49" s="672">
        <f t="shared" si="6"/>
        <v>0</v>
      </c>
      <c r="J49" s="672">
        <v>5</v>
      </c>
      <c r="K49" s="778">
        <f t="shared" si="7"/>
        <v>4.2735042735042734</v>
      </c>
      <c r="L49" s="569">
        <v>0.17</v>
      </c>
      <c r="M49" s="779">
        <f t="shared" si="8"/>
        <v>0</v>
      </c>
      <c r="N49" s="779">
        <f t="shared" ref="N49:N55" si="9">L49*M49</f>
        <v>0</v>
      </c>
      <c r="O49" s="779">
        <f t="shared" ref="O49:O55" si="10">M49+N49</f>
        <v>0</v>
      </c>
      <c r="P49" s="614" t="e">
        <f t="shared" si="0"/>
        <v>#DIV/0!</v>
      </c>
      <c r="Q49" s="511"/>
      <c r="R49" s="632"/>
      <c r="AB49" s="632"/>
    </row>
    <row r="50" spans="2:28" ht="15.75" hidden="1" customHeight="1" outlineLevel="3">
      <c r="B50" s="776" t="s">
        <v>1512</v>
      </c>
      <c r="C50" s="782"/>
      <c r="D50" s="796" t="s">
        <v>1513</v>
      </c>
      <c r="E50" s="665" t="s">
        <v>454</v>
      </c>
      <c r="F50" s="648" t="s">
        <v>1669</v>
      </c>
      <c r="G50" s="791">
        <v>1</v>
      </c>
      <c r="H50" s="790" t="s">
        <v>2870</v>
      </c>
      <c r="I50" s="672">
        <f t="shared" si="6"/>
        <v>0</v>
      </c>
      <c r="J50" s="672">
        <v>15</v>
      </c>
      <c r="K50" s="778">
        <f t="shared" si="7"/>
        <v>12.820512820512821</v>
      </c>
      <c r="L50" s="569">
        <v>0.17</v>
      </c>
      <c r="M50" s="779">
        <f t="shared" si="8"/>
        <v>0</v>
      </c>
      <c r="N50" s="779">
        <f t="shared" si="9"/>
        <v>0</v>
      </c>
      <c r="O50" s="779">
        <f t="shared" si="10"/>
        <v>0</v>
      </c>
      <c r="P50" s="614" t="e">
        <f t="shared" si="0"/>
        <v>#DIV/0!</v>
      </c>
      <c r="Q50" s="511"/>
      <c r="R50" s="632"/>
      <c r="AB50" s="632"/>
    </row>
    <row r="51" spans="2:28" ht="15.75" hidden="1" customHeight="1" outlineLevel="3">
      <c r="B51" s="776" t="s">
        <v>1514</v>
      </c>
      <c r="C51" s="782"/>
      <c r="D51" s="796" t="s">
        <v>1515</v>
      </c>
      <c r="E51" s="665" t="s">
        <v>1329</v>
      </c>
      <c r="F51" s="648" t="s">
        <v>1670</v>
      </c>
      <c r="G51" s="791">
        <v>1</v>
      </c>
      <c r="H51" s="790" t="s">
        <v>2870</v>
      </c>
      <c r="I51" s="672">
        <f t="shared" si="6"/>
        <v>0</v>
      </c>
      <c r="J51" s="672"/>
      <c r="K51" s="778">
        <f t="shared" si="7"/>
        <v>0</v>
      </c>
      <c r="L51" s="569">
        <v>0.17</v>
      </c>
      <c r="M51" s="779">
        <f t="shared" si="8"/>
        <v>0</v>
      </c>
      <c r="N51" s="779">
        <f t="shared" si="9"/>
        <v>0</v>
      </c>
      <c r="O51" s="779">
        <f t="shared" si="10"/>
        <v>0</v>
      </c>
      <c r="P51" s="614" t="e">
        <f t="shared" si="0"/>
        <v>#DIV/0!</v>
      </c>
      <c r="Q51" s="511"/>
      <c r="R51" s="632"/>
      <c r="AB51" s="632"/>
    </row>
    <row r="52" spans="2:28" ht="15.75" hidden="1" customHeight="1" outlineLevel="3">
      <c r="B52" s="776" t="s">
        <v>1517</v>
      </c>
      <c r="C52" s="782"/>
      <c r="D52" s="796" t="s">
        <v>1518</v>
      </c>
      <c r="E52" s="665" t="s">
        <v>1671</v>
      </c>
      <c r="F52" s="648" t="s">
        <v>1672</v>
      </c>
      <c r="G52" s="791">
        <v>1</v>
      </c>
      <c r="H52" s="790" t="s">
        <v>2870</v>
      </c>
      <c r="I52" s="672">
        <f t="shared" si="6"/>
        <v>0</v>
      </c>
      <c r="J52" s="672">
        <v>10</v>
      </c>
      <c r="K52" s="778">
        <f t="shared" si="7"/>
        <v>8.5470085470085468</v>
      </c>
      <c r="L52" s="569">
        <v>0.17</v>
      </c>
      <c r="M52" s="779">
        <f t="shared" si="8"/>
        <v>0</v>
      </c>
      <c r="N52" s="779">
        <f t="shared" si="9"/>
        <v>0</v>
      </c>
      <c r="O52" s="779">
        <f t="shared" si="10"/>
        <v>0</v>
      </c>
      <c r="P52" s="614" t="e">
        <f t="shared" si="0"/>
        <v>#DIV/0!</v>
      </c>
      <c r="Q52" s="511"/>
      <c r="R52" s="632"/>
      <c r="AB52" s="632"/>
    </row>
    <row r="53" spans="2:28" ht="15.75" hidden="1" customHeight="1" outlineLevel="3">
      <c r="B53" s="776" t="s">
        <v>1519</v>
      </c>
      <c r="C53" s="782"/>
      <c r="D53" s="796" t="s">
        <v>1520</v>
      </c>
      <c r="E53" s="665" t="s">
        <v>1228</v>
      </c>
      <c r="F53" s="648" t="s">
        <v>1673</v>
      </c>
      <c r="G53" s="791"/>
      <c r="H53" s="790" t="s">
        <v>2870</v>
      </c>
      <c r="I53" s="672">
        <f t="shared" si="6"/>
        <v>0</v>
      </c>
      <c r="J53" s="672"/>
      <c r="K53" s="778">
        <f t="shared" si="7"/>
        <v>0</v>
      </c>
      <c r="L53" s="569">
        <v>0</v>
      </c>
      <c r="M53" s="779">
        <f t="shared" si="8"/>
        <v>0</v>
      </c>
      <c r="N53" s="779">
        <f t="shared" si="9"/>
        <v>0</v>
      </c>
      <c r="O53" s="779">
        <f t="shared" si="10"/>
        <v>0</v>
      </c>
      <c r="P53" s="614" t="e">
        <f t="shared" si="0"/>
        <v>#DIV/0!</v>
      </c>
      <c r="Q53" s="511"/>
      <c r="R53" s="632"/>
      <c r="AB53" s="632"/>
    </row>
    <row r="54" spans="2:28" ht="15.75" hidden="1" customHeight="1" outlineLevel="3">
      <c r="B54" s="776" t="s">
        <v>1521</v>
      </c>
      <c r="C54" s="782"/>
      <c r="D54" s="796" t="s">
        <v>1522</v>
      </c>
      <c r="E54" s="665" t="s">
        <v>1671</v>
      </c>
      <c r="F54" s="648" t="s">
        <v>1674</v>
      </c>
      <c r="G54" s="791">
        <v>1</v>
      </c>
      <c r="H54" s="790" t="s">
        <v>2870</v>
      </c>
      <c r="I54" s="672">
        <f t="shared" si="6"/>
        <v>0</v>
      </c>
      <c r="J54" s="672">
        <v>10</v>
      </c>
      <c r="K54" s="778">
        <f t="shared" si="7"/>
        <v>8.5470085470085468</v>
      </c>
      <c r="L54" s="569">
        <v>0.17</v>
      </c>
      <c r="M54" s="779">
        <f t="shared" si="8"/>
        <v>0</v>
      </c>
      <c r="N54" s="779">
        <f t="shared" si="9"/>
        <v>0</v>
      </c>
      <c r="O54" s="779">
        <f t="shared" si="10"/>
        <v>0</v>
      </c>
      <c r="P54" s="614" t="e">
        <f t="shared" si="0"/>
        <v>#DIV/0!</v>
      </c>
      <c r="Q54" s="511"/>
      <c r="R54" s="632"/>
      <c r="AB54" s="632"/>
    </row>
    <row r="55" spans="2:28" ht="15.75" hidden="1" customHeight="1" outlineLevel="3">
      <c r="B55" s="776" t="s">
        <v>1523</v>
      </c>
      <c r="C55" s="782"/>
      <c r="D55" s="796" t="s">
        <v>1524</v>
      </c>
      <c r="E55" s="665" t="s">
        <v>1228</v>
      </c>
      <c r="F55" s="648" t="s">
        <v>1675</v>
      </c>
      <c r="G55" s="791">
        <v>1</v>
      </c>
      <c r="H55" s="790" t="s">
        <v>2870</v>
      </c>
      <c r="I55" s="672">
        <f t="shared" si="6"/>
        <v>0</v>
      </c>
      <c r="J55" s="672"/>
      <c r="K55" s="672"/>
      <c r="L55" s="569">
        <v>0.17</v>
      </c>
      <c r="M55" s="779">
        <f t="shared" si="8"/>
        <v>0</v>
      </c>
      <c r="N55" s="779">
        <f t="shared" si="9"/>
        <v>0</v>
      </c>
      <c r="O55" s="779">
        <f t="shared" si="10"/>
        <v>0</v>
      </c>
      <c r="P55" s="614" t="e">
        <f t="shared" si="0"/>
        <v>#DIV/0!</v>
      </c>
      <c r="Q55" s="511"/>
      <c r="R55" s="632"/>
      <c r="AB55" s="632"/>
    </row>
    <row r="56" spans="2:28" ht="15.75" hidden="1" customHeight="1" outlineLevel="3">
      <c r="B56" s="776" t="s">
        <v>670</v>
      </c>
      <c r="C56" s="782" t="s">
        <v>68</v>
      </c>
      <c r="D56" s="776" t="s">
        <v>1676</v>
      </c>
      <c r="E56" s="665"/>
      <c r="F56" s="665"/>
      <c r="G56" s="794"/>
      <c r="H56" s="795"/>
      <c r="I56" s="791"/>
      <c r="J56" s="791"/>
      <c r="K56" s="791"/>
      <c r="L56" s="569"/>
      <c r="M56" s="779">
        <f>SUBTOTAL(9,M57:M68)</f>
        <v>0</v>
      </c>
      <c r="N56" s="779">
        <f>SUBTOTAL(9,N57:N68)</f>
        <v>0</v>
      </c>
      <c r="O56" s="779">
        <f>SUBTOTAL(9,O57:O68)</f>
        <v>0</v>
      </c>
      <c r="P56" s="614" t="e">
        <f t="shared" si="0"/>
        <v>#DIV/0!</v>
      </c>
      <c r="Q56" s="511"/>
      <c r="R56" s="632"/>
      <c r="AB56" s="632"/>
    </row>
    <row r="57" spans="2:28" ht="15.75" hidden="1" customHeight="1" outlineLevel="3">
      <c r="B57" s="776" t="s">
        <v>671</v>
      </c>
      <c r="C57" s="782" t="s">
        <v>39</v>
      </c>
      <c r="D57" s="776" t="s">
        <v>1677</v>
      </c>
      <c r="E57" s="665"/>
      <c r="F57" s="665"/>
      <c r="G57" s="791"/>
      <c r="H57" s="795"/>
      <c r="I57" s="791"/>
      <c r="J57" s="798"/>
      <c r="K57" s="798"/>
      <c r="L57" s="569"/>
      <c r="M57" s="779">
        <f>SUBTOTAL(9,M58:M59)</f>
        <v>0</v>
      </c>
      <c r="N57" s="779">
        <f>SUBTOTAL(9,N58:N59)</f>
        <v>0</v>
      </c>
      <c r="O57" s="779">
        <f>SUBTOTAL(9,O58:O59)</f>
        <v>0</v>
      </c>
      <c r="P57" s="614" t="e">
        <f t="shared" si="0"/>
        <v>#DIV/0!</v>
      </c>
      <c r="Q57" s="511"/>
      <c r="R57" s="632"/>
      <c r="AB57" s="632"/>
    </row>
    <row r="58" spans="2:28" ht="15.75" hidden="1" customHeight="1" outlineLevel="3">
      <c r="B58" s="776" t="s">
        <v>1678</v>
      </c>
      <c r="C58" s="782"/>
      <c r="D58" s="796" t="s">
        <v>1525</v>
      </c>
      <c r="E58" s="665" t="s">
        <v>456</v>
      </c>
      <c r="F58" s="665" t="s">
        <v>2877</v>
      </c>
      <c r="G58" s="791">
        <v>2</v>
      </c>
      <c r="H58" s="795" t="s">
        <v>2878</v>
      </c>
      <c r="I58" s="791">
        <f>$I$2</f>
        <v>0</v>
      </c>
      <c r="J58" s="798"/>
      <c r="K58" s="778">
        <f>J58/(1+L58)</f>
        <v>0</v>
      </c>
      <c r="L58" s="569">
        <v>0.17</v>
      </c>
      <c r="M58" s="779">
        <f>G58*I58*K58/10000</f>
        <v>0</v>
      </c>
      <c r="N58" s="779">
        <f>L58*M58</f>
        <v>0</v>
      </c>
      <c r="O58" s="779">
        <f>M58+N58</f>
        <v>0</v>
      </c>
      <c r="P58" s="614" t="e">
        <f t="shared" si="0"/>
        <v>#DIV/0!</v>
      </c>
      <c r="Q58" s="511"/>
      <c r="R58" s="632"/>
      <c r="AB58" s="632"/>
    </row>
    <row r="59" spans="2:28" ht="15.75" hidden="1" customHeight="1" outlineLevel="3">
      <c r="B59" s="776" t="s">
        <v>1526</v>
      </c>
      <c r="C59" s="782"/>
      <c r="D59" s="796" t="s">
        <v>1527</v>
      </c>
      <c r="E59" s="665" t="s">
        <v>460</v>
      </c>
      <c r="F59" s="665" t="s">
        <v>2877</v>
      </c>
      <c r="G59" s="791">
        <v>2</v>
      </c>
      <c r="H59" s="795" t="s">
        <v>2878</v>
      </c>
      <c r="I59" s="791">
        <f>$I$2</f>
        <v>0</v>
      </c>
      <c r="J59" s="798"/>
      <c r="K59" s="778">
        <f>J59/(1+L59)</f>
        <v>0</v>
      </c>
      <c r="L59" s="569">
        <v>0.11</v>
      </c>
      <c r="M59" s="779">
        <f>G59*I59*K59/10000</f>
        <v>0</v>
      </c>
      <c r="N59" s="779">
        <f>L59*M59</f>
        <v>0</v>
      </c>
      <c r="O59" s="779">
        <f>M59+N59</f>
        <v>0</v>
      </c>
      <c r="P59" s="614" t="e">
        <f t="shared" si="0"/>
        <v>#DIV/0!</v>
      </c>
      <c r="Q59" s="511"/>
      <c r="R59" s="632"/>
      <c r="AB59" s="632"/>
    </row>
    <row r="60" spans="2:28" ht="15.75" hidden="1" customHeight="1" outlineLevel="3">
      <c r="B60" s="776" t="s">
        <v>672</v>
      </c>
      <c r="C60" s="782" t="s">
        <v>39</v>
      </c>
      <c r="D60" s="776" t="s">
        <v>1679</v>
      </c>
      <c r="E60" s="665"/>
      <c r="F60" s="665"/>
      <c r="G60" s="791"/>
      <c r="H60" s="795"/>
      <c r="I60" s="791"/>
      <c r="J60" s="798"/>
      <c r="K60" s="798"/>
      <c r="L60" s="788"/>
      <c r="M60" s="779">
        <f>SUBTOTAL(9,M61:M62)</f>
        <v>0</v>
      </c>
      <c r="N60" s="779">
        <f>SUBTOTAL(9,N61:N62)</f>
        <v>0</v>
      </c>
      <c r="O60" s="779">
        <f>SUBTOTAL(9,O61:O62)</f>
        <v>0</v>
      </c>
      <c r="P60" s="614" t="e">
        <f t="shared" si="0"/>
        <v>#DIV/0!</v>
      </c>
      <c r="Q60" s="511"/>
      <c r="R60" s="632"/>
      <c r="AB60" s="632"/>
    </row>
    <row r="61" spans="2:28" ht="15.75" hidden="1" customHeight="1" outlineLevel="3">
      <c r="B61" s="776" t="s">
        <v>1680</v>
      </c>
      <c r="C61" s="782"/>
      <c r="D61" s="796" t="s">
        <v>1681</v>
      </c>
      <c r="E61" s="665" t="s">
        <v>1528</v>
      </c>
      <c r="F61" s="665"/>
      <c r="G61" s="791"/>
      <c r="H61" s="795"/>
      <c r="I61" s="791"/>
      <c r="J61" s="798"/>
      <c r="K61" s="778">
        <f>J61/(1+L61)</f>
        <v>0</v>
      </c>
      <c r="L61" s="788"/>
      <c r="M61" s="779">
        <f>G61*I61*J61/10000</f>
        <v>0</v>
      </c>
      <c r="N61" s="779">
        <f>L61*M61</f>
        <v>0</v>
      </c>
      <c r="O61" s="779">
        <f>M61+N61</f>
        <v>0</v>
      </c>
      <c r="P61" s="614" t="e">
        <f t="shared" si="0"/>
        <v>#DIV/0!</v>
      </c>
      <c r="Q61" s="511"/>
      <c r="R61" s="632"/>
      <c r="AB61" s="632"/>
    </row>
    <row r="62" spans="2:28" ht="15.75" hidden="1" customHeight="1" outlineLevel="3">
      <c r="B62" s="776" t="s">
        <v>1529</v>
      </c>
      <c r="C62" s="782"/>
      <c r="D62" s="796" t="s">
        <v>1682</v>
      </c>
      <c r="E62" s="665" t="s">
        <v>1530</v>
      </c>
      <c r="F62" s="665"/>
      <c r="G62" s="791"/>
      <c r="H62" s="795"/>
      <c r="I62" s="791"/>
      <c r="J62" s="798"/>
      <c r="K62" s="778">
        <f>J62/(1+L62)</f>
        <v>0</v>
      </c>
      <c r="L62" s="788"/>
      <c r="M62" s="779">
        <f>G62*I62*J62/10000</f>
        <v>0</v>
      </c>
      <c r="N62" s="779">
        <f>L62*M62</f>
        <v>0</v>
      </c>
      <c r="O62" s="779">
        <f>M62+N62</f>
        <v>0</v>
      </c>
      <c r="P62" s="614" t="e">
        <f t="shared" si="0"/>
        <v>#DIV/0!</v>
      </c>
      <c r="Q62" s="511"/>
      <c r="R62" s="632"/>
      <c r="AB62" s="632"/>
    </row>
    <row r="63" spans="2:28" ht="15.75" hidden="1" customHeight="1" outlineLevel="3">
      <c r="B63" s="776" t="s">
        <v>673</v>
      </c>
      <c r="C63" s="782" t="s">
        <v>39</v>
      </c>
      <c r="D63" s="776" t="s">
        <v>1683</v>
      </c>
      <c r="E63" s="836"/>
      <c r="F63" s="648"/>
      <c r="G63" s="791"/>
      <c r="H63" s="795"/>
      <c r="I63" s="672"/>
      <c r="J63" s="791"/>
      <c r="K63" s="791"/>
      <c r="L63" s="788"/>
      <c r="M63" s="779">
        <f>SUBTOTAL(9,M64:M65)</f>
        <v>0</v>
      </c>
      <c r="N63" s="779">
        <f>SUBTOTAL(9,N64:N65)</f>
        <v>0</v>
      </c>
      <c r="O63" s="779">
        <f>SUBTOTAL(9,O64:O65)</f>
        <v>0</v>
      </c>
      <c r="P63" s="614" t="e">
        <f t="shared" si="0"/>
        <v>#DIV/0!</v>
      </c>
      <c r="Q63" s="511"/>
      <c r="R63" s="632"/>
      <c r="AB63" s="632"/>
    </row>
    <row r="64" spans="2:28" ht="15.75" hidden="1" customHeight="1" outlineLevel="3">
      <c r="B64" s="776" t="s">
        <v>1684</v>
      </c>
      <c r="C64" s="782"/>
      <c r="D64" s="796" t="s">
        <v>1531</v>
      </c>
      <c r="E64" s="665" t="s">
        <v>455</v>
      </c>
      <c r="F64" s="648" t="s">
        <v>657</v>
      </c>
      <c r="G64" s="791">
        <v>1</v>
      </c>
      <c r="H64" s="795" t="s">
        <v>143</v>
      </c>
      <c r="I64" s="672">
        <f>$E$2*(1+$F$2)</f>
        <v>0</v>
      </c>
      <c r="J64" s="672">
        <v>80</v>
      </c>
      <c r="K64" s="672">
        <f>J64/(1+L64)</f>
        <v>72.072072072072061</v>
      </c>
      <c r="L64" s="569">
        <v>0.11</v>
      </c>
      <c r="M64" s="779">
        <f>G64*I64*K64/10000</f>
        <v>0</v>
      </c>
      <c r="N64" s="779">
        <f>L64*M64</f>
        <v>0</v>
      </c>
      <c r="O64" s="779">
        <f>M64+N64</f>
        <v>0</v>
      </c>
      <c r="P64" s="614" t="e">
        <f t="shared" si="0"/>
        <v>#DIV/0!</v>
      </c>
      <c r="Q64" s="511"/>
      <c r="R64" s="632"/>
      <c r="AB64" s="632"/>
    </row>
    <row r="65" spans="2:28" ht="15.75" hidden="1" customHeight="1" outlineLevel="3">
      <c r="B65" s="776" t="s">
        <v>1532</v>
      </c>
      <c r="C65" s="777"/>
      <c r="D65" s="796" t="s">
        <v>1533</v>
      </c>
      <c r="E65" s="665" t="s">
        <v>455</v>
      </c>
      <c r="F65" s="648" t="s">
        <v>657</v>
      </c>
      <c r="G65" s="791">
        <v>1</v>
      </c>
      <c r="H65" s="795" t="s">
        <v>143</v>
      </c>
      <c r="I65" s="672">
        <f>$E$2*(1+$F$2)</f>
        <v>0</v>
      </c>
      <c r="J65" s="672"/>
      <c r="K65" s="672">
        <f>J65/(1+L65)</f>
        <v>0</v>
      </c>
      <c r="L65" s="569">
        <v>0.17</v>
      </c>
      <c r="M65" s="779">
        <f>G65*I65*K65/10000</f>
        <v>0</v>
      </c>
      <c r="N65" s="779">
        <f>L65*M65</f>
        <v>0</v>
      </c>
      <c r="O65" s="779">
        <f>M65+N65</f>
        <v>0</v>
      </c>
      <c r="P65" s="614" t="e">
        <f t="shared" si="0"/>
        <v>#DIV/0!</v>
      </c>
      <c r="Q65" s="511"/>
      <c r="R65" s="632"/>
      <c r="AB65" s="632"/>
    </row>
    <row r="66" spans="2:28" ht="15.75" hidden="1" customHeight="1" outlineLevel="2">
      <c r="B66" s="776" t="s">
        <v>674</v>
      </c>
      <c r="C66" s="782" t="s">
        <v>39</v>
      </c>
      <c r="D66" s="776" t="s">
        <v>1685</v>
      </c>
      <c r="E66" s="648"/>
      <c r="F66" s="665"/>
      <c r="G66" s="791">
        <v>1</v>
      </c>
      <c r="H66" s="795" t="s">
        <v>143</v>
      </c>
      <c r="I66" s="791"/>
      <c r="J66" s="791"/>
      <c r="K66" s="791"/>
      <c r="L66" s="788"/>
      <c r="M66" s="779">
        <f>SUBTOTAL(9,M67:M68)</f>
        <v>0</v>
      </c>
      <c r="N66" s="779">
        <f>SUBTOTAL(9,N67:N68)</f>
        <v>0</v>
      </c>
      <c r="O66" s="779">
        <f>SUBTOTAL(9,O67:O68)</f>
        <v>0</v>
      </c>
      <c r="P66" s="614" t="e">
        <f t="shared" si="0"/>
        <v>#DIV/0!</v>
      </c>
      <c r="Q66" s="511"/>
      <c r="R66" s="632"/>
      <c r="AB66" s="632"/>
    </row>
    <row r="67" spans="2:28" ht="15.75" hidden="1" customHeight="1" outlineLevel="3">
      <c r="B67" s="776" t="s">
        <v>1686</v>
      </c>
      <c r="C67" s="782"/>
      <c r="D67" s="796" t="s">
        <v>1534</v>
      </c>
      <c r="E67" s="665" t="s">
        <v>1535</v>
      </c>
      <c r="F67" s="648" t="s">
        <v>657</v>
      </c>
      <c r="G67" s="791">
        <v>1</v>
      </c>
      <c r="H67" s="795" t="s">
        <v>143</v>
      </c>
      <c r="I67" s="672">
        <f>$E$2*(1+$F$2)</f>
        <v>0</v>
      </c>
      <c r="J67" s="791"/>
      <c r="K67" s="778">
        <f>J67/(1+L67)</f>
        <v>0</v>
      </c>
      <c r="L67" s="569">
        <v>0.17</v>
      </c>
      <c r="M67" s="779">
        <f>G67*I67*K67/10000</f>
        <v>0</v>
      </c>
      <c r="N67" s="779">
        <f>L67*M67</f>
        <v>0</v>
      </c>
      <c r="O67" s="779">
        <f>M67+N67</f>
        <v>0</v>
      </c>
      <c r="P67" s="614" t="e">
        <f t="shared" si="0"/>
        <v>#DIV/0!</v>
      </c>
      <c r="Q67" s="511"/>
      <c r="R67" s="632"/>
      <c r="AB67" s="632"/>
    </row>
    <row r="68" spans="2:28" ht="15.75" hidden="1" customHeight="1" outlineLevel="3">
      <c r="B68" s="776" t="s">
        <v>1687</v>
      </c>
      <c r="C68" s="782"/>
      <c r="D68" s="796" t="s">
        <v>2879</v>
      </c>
      <c r="E68" s="665" t="s">
        <v>455</v>
      </c>
      <c r="F68" s="648" t="s">
        <v>657</v>
      </c>
      <c r="G68" s="791">
        <v>1</v>
      </c>
      <c r="H68" s="795" t="s">
        <v>143</v>
      </c>
      <c r="I68" s="672">
        <f>$E$2*(1+$F$2)</f>
        <v>0</v>
      </c>
      <c r="J68" s="791"/>
      <c r="K68" s="778">
        <f>J68/(1+L68)</f>
        <v>0</v>
      </c>
      <c r="L68" s="569">
        <v>0.11</v>
      </c>
      <c r="M68" s="779">
        <f>G68*I68*K68/10000</f>
        <v>0</v>
      </c>
      <c r="N68" s="779">
        <f>L68*M68</f>
        <v>0</v>
      </c>
      <c r="O68" s="779">
        <f>M68+N68</f>
        <v>0</v>
      </c>
      <c r="P68" s="614" t="e">
        <f t="shared" si="0"/>
        <v>#DIV/0!</v>
      </c>
      <c r="Q68" s="511"/>
      <c r="R68" s="632"/>
      <c r="AB68" s="632"/>
    </row>
    <row r="69" spans="2:28" ht="16.5" customHeight="1">
      <c r="B69" s="480" t="s">
        <v>2880</v>
      </c>
      <c r="C69" s="481" t="s">
        <v>2881</v>
      </c>
      <c r="D69" s="480" t="s">
        <v>2882</v>
      </c>
      <c r="E69" s="765"/>
      <c r="F69" s="765"/>
      <c r="G69" s="765"/>
      <c r="H69" s="800"/>
      <c r="I69" s="766"/>
      <c r="J69" s="800"/>
      <c r="K69" s="800"/>
      <c r="L69" s="767"/>
      <c r="M69" s="768">
        <f>SUBTOTAL(9,M70:M87)</f>
        <v>0</v>
      </c>
      <c r="N69" s="768">
        <f>SUBTOTAL(9,N70:N87)</f>
        <v>0</v>
      </c>
      <c r="O69" s="768">
        <f>SUBTOTAL(9,O70:O87)</f>
        <v>0</v>
      </c>
      <c r="P69" s="769" t="e">
        <f t="shared" ref="P69:P132" si="11">IF(O69="","",O69*10000/E$2)</f>
        <v>#DIV/0!</v>
      </c>
      <c r="Q69" s="801"/>
      <c r="R69" s="632"/>
      <c r="AB69" s="632"/>
    </row>
    <row r="70" spans="2:28" ht="16.5" customHeight="1" outlineLevel="1" collapsed="1">
      <c r="B70" s="802" t="s">
        <v>2883</v>
      </c>
      <c r="C70" s="803">
        <v>1</v>
      </c>
      <c r="D70" s="802" t="s">
        <v>2884</v>
      </c>
      <c r="E70" s="712"/>
      <c r="F70" s="712"/>
      <c r="G70" s="712"/>
      <c r="H70" s="772"/>
      <c r="I70" s="713"/>
      <c r="J70" s="772"/>
      <c r="K70" s="772"/>
      <c r="L70" s="588"/>
      <c r="M70" s="773">
        <f>SUBTOTAL(9,M71:M81)</f>
        <v>0</v>
      </c>
      <c r="N70" s="773">
        <f>SUBTOTAL(9,N71:N81)</f>
        <v>0</v>
      </c>
      <c r="O70" s="773">
        <f>SUBTOTAL(9,O71:O81)</f>
        <v>0</v>
      </c>
      <c r="P70" s="774" t="e">
        <f t="shared" si="11"/>
        <v>#DIV/0!</v>
      </c>
      <c r="Q70" s="775"/>
      <c r="R70" s="632">
        <v>700</v>
      </c>
      <c r="AB70" s="632"/>
    </row>
    <row r="71" spans="2:28" ht="16.5" hidden="1" customHeight="1" outlineLevel="2">
      <c r="B71" s="776" t="s">
        <v>2885</v>
      </c>
      <c r="C71" s="777" t="s">
        <v>2886</v>
      </c>
      <c r="D71" s="776" t="s">
        <v>1537</v>
      </c>
      <c r="E71" s="648" t="s">
        <v>1538</v>
      </c>
      <c r="F71" s="648" t="s">
        <v>657</v>
      </c>
      <c r="G71" s="791">
        <v>1</v>
      </c>
      <c r="H71" s="795" t="s">
        <v>143</v>
      </c>
      <c r="I71" s="672">
        <f t="shared" ref="I71:I81" si="12">$E$2*(1+$F$2)</f>
        <v>0</v>
      </c>
      <c r="J71" s="672"/>
      <c r="K71" s="778">
        <f t="shared" ref="K71:K81" si="13">J71/(1+L71)</f>
        <v>0</v>
      </c>
      <c r="L71" s="569">
        <v>0.17</v>
      </c>
      <c r="M71" s="779">
        <f t="shared" ref="M71:M81" si="14">G71*I71*K71/10000</f>
        <v>0</v>
      </c>
      <c r="N71" s="779">
        <f t="shared" ref="N71:N81" si="15">L71*M71</f>
        <v>0</v>
      </c>
      <c r="O71" s="779">
        <f t="shared" ref="O71:O81" si="16">M71+N71</f>
        <v>0</v>
      </c>
      <c r="P71" s="780" t="e">
        <f t="shared" si="11"/>
        <v>#DIV/0!</v>
      </c>
      <c r="Q71" s="781"/>
      <c r="R71" s="632"/>
      <c r="AB71" s="632"/>
    </row>
    <row r="72" spans="2:28" ht="16.5" hidden="1" customHeight="1" outlineLevel="2">
      <c r="B72" s="776" t="s">
        <v>678</v>
      </c>
      <c r="C72" s="777" t="s">
        <v>68</v>
      </c>
      <c r="D72" s="776" t="s">
        <v>1539</v>
      </c>
      <c r="E72" s="648" t="s">
        <v>1540</v>
      </c>
      <c r="F72" s="648" t="s">
        <v>657</v>
      </c>
      <c r="G72" s="791">
        <v>1</v>
      </c>
      <c r="H72" s="795" t="s">
        <v>143</v>
      </c>
      <c r="I72" s="672">
        <f t="shared" si="12"/>
        <v>0</v>
      </c>
      <c r="J72" s="672"/>
      <c r="K72" s="778">
        <f t="shared" si="13"/>
        <v>0</v>
      </c>
      <c r="L72" s="569">
        <v>0.17</v>
      </c>
      <c r="M72" s="779">
        <f t="shared" si="14"/>
        <v>0</v>
      </c>
      <c r="N72" s="779">
        <f t="shared" si="15"/>
        <v>0</v>
      </c>
      <c r="O72" s="779">
        <f t="shared" si="16"/>
        <v>0</v>
      </c>
      <c r="P72" s="780" t="e">
        <f t="shared" si="11"/>
        <v>#DIV/0!</v>
      </c>
      <c r="Q72" s="781"/>
      <c r="R72" s="632"/>
      <c r="AB72" s="632"/>
    </row>
    <row r="73" spans="2:28" ht="16.5" hidden="1" customHeight="1" outlineLevel="2">
      <c r="B73" s="776" t="s">
        <v>679</v>
      </c>
      <c r="C73" s="777" t="s">
        <v>69</v>
      </c>
      <c r="D73" s="776" t="s">
        <v>1541</v>
      </c>
      <c r="E73" s="648" t="s">
        <v>1542</v>
      </c>
      <c r="F73" s="648" t="s">
        <v>657</v>
      </c>
      <c r="G73" s="791">
        <v>1</v>
      </c>
      <c r="H73" s="795" t="s">
        <v>143</v>
      </c>
      <c r="I73" s="672">
        <f t="shared" si="12"/>
        <v>0</v>
      </c>
      <c r="J73" s="672"/>
      <c r="K73" s="778">
        <f t="shared" si="13"/>
        <v>0</v>
      </c>
      <c r="L73" s="569">
        <v>0.17</v>
      </c>
      <c r="M73" s="779">
        <f t="shared" si="14"/>
        <v>0</v>
      </c>
      <c r="N73" s="779">
        <f t="shared" si="15"/>
        <v>0</v>
      </c>
      <c r="O73" s="779">
        <f t="shared" si="16"/>
        <v>0</v>
      </c>
      <c r="P73" s="780" t="e">
        <f t="shared" si="11"/>
        <v>#DIV/0!</v>
      </c>
      <c r="Q73" s="781"/>
      <c r="R73" s="632"/>
      <c r="AB73" s="632"/>
    </row>
    <row r="74" spans="2:28" ht="16.5" hidden="1" customHeight="1" outlineLevel="2">
      <c r="B74" s="776" t="s">
        <v>680</v>
      </c>
      <c r="C74" s="777" t="s">
        <v>70</v>
      </c>
      <c r="D74" s="776" t="s">
        <v>1543</v>
      </c>
      <c r="E74" s="648" t="s">
        <v>1544</v>
      </c>
      <c r="F74" s="648" t="s">
        <v>657</v>
      </c>
      <c r="G74" s="791">
        <v>1</v>
      </c>
      <c r="H74" s="795" t="s">
        <v>143</v>
      </c>
      <c r="I74" s="672">
        <f>$E$2*(1+$F$2)</f>
        <v>0</v>
      </c>
      <c r="J74" s="672"/>
      <c r="K74" s="778">
        <f t="shared" si="13"/>
        <v>0</v>
      </c>
      <c r="L74" s="569">
        <v>0.11</v>
      </c>
      <c r="M74" s="779">
        <f t="shared" si="14"/>
        <v>0</v>
      </c>
      <c r="N74" s="779">
        <f t="shared" si="15"/>
        <v>0</v>
      </c>
      <c r="O74" s="779">
        <f t="shared" si="16"/>
        <v>0</v>
      </c>
      <c r="P74" s="780" t="e">
        <f t="shared" si="11"/>
        <v>#DIV/0!</v>
      </c>
      <c r="Q74" s="781"/>
      <c r="R74" s="632"/>
      <c r="AB74" s="632"/>
    </row>
    <row r="75" spans="2:28" ht="16.5" hidden="1" customHeight="1" outlineLevel="2">
      <c r="B75" s="776" t="s">
        <v>681</v>
      </c>
      <c r="C75" s="777" t="s">
        <v>71</v>
      </c>
      <c r="D75" s="776" t="s">
        <v>1545</v>
      </c>
      <c r="E75" s="648" t="s">
        <v>450</v>
      </c>
      <c r="F75" s="648" t="s">
        <v>657</v>
      </c>
      <c r="G75" s="791">
        <v>1</v>
      </c>
      <c r="H75" s="795" t="s">
        <v>143</v>
      </c>
      <c r="I75" s="672">
        <f t="shared" si="12"/>
        <v>0</v>
      </c>
      <c r="J75" s="672"/>
      <c r="K75" s="778">
        <f t="shared" si="13"/>
        <v>0</v>
      </c>
      <c r="L75" s="569">
        <v>0.17</v>
      </c>
      <c r="M75" s="779">
        <f t="shared" si="14"/>
        <v>0</v>
      </c>
      <c r="N75" s="779">
        <f t="shared" si="15"/>
        <v>0</v>
      </c>
      <c r="O75" s="779">
        <f t="shared" si="16"/>
        <v>0</v>
      </c>
      <c r="P75" s="780" t="e">
        <f t="shared" si="11"/>
        <v>#DIV/0!</v>
      </c>
      <c r="Q75" s="781"/>
      <c r="R75" s="632"/>
      <c r="AB75" s="632"/>
    </row>
    <row r="76" spans="2:28" ht="16.5" hidden="1" customHeight="1" outlineLevel="2">
      <c r="B76" s="776" t="s">
        <v>682</v>
      </c>
      <c r="C76" s="777" t="s">
        <v>144</v>
      </c>
      <c r="D76" s="776" t="s">
        <v>1546</v>
      </c>
      <c r="E76" s="648" t="s">
        <v>452</v>
      </c>
      <c r="F76" s="648" t="s">
        <v>657</v>
      </c>
      <c r="G76" s="791">
        <v>1</v>
      </c>
      <c r="H76" s="795" t="s">
        <v>143</v>
      </c>
      <c r="I76" s="672">
        <f t="shared" si="12"/>
        <v>0</v>
      </c>
      <c r="J76" s="672"/>
      <c r="K76" s="778">
        <f t="shared" si="13"/>
        <v>0</v>
      </c>
      <c r="L76" s="569">
        <v>0.11</v>
      </c>
      <c r="M76" s="779">
        <f t="shared" si="14"/>
        <v>0</v>
      </c>
      <c r="N76" s="779">
        <f t="shared" si="15"/>
        <v>0</v>
      </c>
      <c r="O76" s="779">
        <f t="shared" si="16"/>
        <v>0</v>
      </c>
      <c r="P76" s="780" t="e">
        <f t="shared" si="11"/>
        <v>#DIV/0!</v>
      </c>
      <c r="Q76" s="781"/>
      <c r="R76" s="632"/>
      <c r="AB76" s="632"/>
    </row>
    <row r="77" spans="2:28" ht="16.5" hidden="1" customHeight="1" outlineLevel="2">
      <c r="B77" s="776" t="s">
        <v>683</v>
      </c>
      <c r="C77" s="777" t="s">
        <v>72</v>
      </c>
      <c r="D77" s="776" t="s">
        <v>1547</v>
      </c>
      <c r="E77" s="648" t="s">
        <v>1548</v>
      </c>
      <c r="F77" s="648" t="s">
        <v>657</v>
      </c>
      <c r="G77" s="791">
        <v>1</v>
      </c>
      <c r="H77" s="795" t="s">
        <v>143</v>
      </c>
      <c r="I77" s="672">
        <f t="shared" si="12"/>
        <v>0</v>
      </c>
      <c r="J77" s="672"/>
      <c r="K77" s="778">
        <f t="shared" si="13"/>
        <v>0</v>
      </c>
      <c r="L77" s="569">
        <v>0.17</v>
      </c>
      <c r="M77" s="779">
        <f t="shared" si="14"/>
        <v>0</v>
      </c>
      <c r="N77" s="779">
        <f t="shared" si="15"/>
        <v>0</v>
      </c>
      <c r="O77" s="779">
        <f t="shared" si="16"/>
        <v>0</v>
      </c>
      <c r="P77" s="780" t="e">
        <f t="shared" si="11"/>
        <v>#DIV/0!</v>
      </c>
      <c r="Q77" s="781"/>
      <c r="R77" s="632"/>
      <c r="AB77" s="632"/>
    </row>
    <row r="78" spans="2:28" ht="16.5" hidden="1" customHeight="1" outlineLevel="2">
      <c r="B78" s="776" t="s">
        <v>1549</v>
      </c>
      <c r="C78" s="777" t="s">
        <v>73</v>
      </c>
      <c r="D78" s="776" t="s">
        <v>1550</v>
      </c>
      <c r="E78" s="648" t="s">
        <v>2887</v>
      </c>
      <c r="F78" s="648" t="s">
        <v>657</v>
      </c>
      <c r="G78" s="791">
        <v>1</v>
      </c>
      <c r="H78" s="795" t="s">
        <v>143</v>
      </c>
      <c r="I78" s="672">
        <f t="shared" si="12"/>
        <v>0</v>
      </c>
      <c r="J78" s="672"/>
      <c r="K78" s="778">
        <f t="shared" si="13"/>
        <v>0</v>
      </c>
      <c r="L78" s="569">
        <v>0.17</v>
      </c>
      <c r="M78" s="779">
        <f t="shared" si="14"/>
        <v>0</v>
      </c>
      <c r="N78" s="779">
        <f t="shared" si="15"/>
        <v>0</v>
      </c>
      <c r="O78" s="779">
        <f t="shared" si="16"/>
        <v>0</v>
      </c>
      <c r="P78" s="780" t="e">
        <f t="shared" si="11"/>
        <v>#DIV/0!</v>
      </c>
      <c r="Q78" s="781"/>
      <c r="R78" s="632"/>
      <c r="AB78" s="632"/>
    </row>
    <row r="79" spans="2:28" ht="16.5" hidden="1" customHeight="1" outlineLevel="2">
      <c r="B79" s="776" t="s">
        <v>684</v>
      </c>
      <c r="C79" s="777" t="s">
        <v>74</v>
      </c>
      <c r="D79" s="776" t="s">
        <v>1551</v>
      </c>
      <c r="E79" s="648" t="s">
        <v>457</v>
      </c>
      <c r="F79" s="648" t="s">
        <v>657</v>
      </c>
      <c r="G79" s="791">
        <v>1</v>
      </c>
      <c r="H79" s="795" t="s">
        <v>143</v>
      </c>
      <c r="I79" s="672">
        <f t="shared" si="12"/>
        <v>0</v>
      </c>
      <c r="J79" s="672"/>
      <c r="K79" s="778">
        <f t="shared" si="13"/>
        <v>0</v>
      </c>
      <c r="L79" s="569">
        <v>0.17</v>
      </c>
      <c r="M79" s="779">
        <f t="shared" si="14"/>
        <v>0</v>
      </c>
      <c r="N79" s="779">
        <f t="shared" si="15"/>
        <v>0</v>
      </c>
      <c r="O79" s="779">
        <f t="shared" si="16"/>
        <v>0</v>
      </c>
      <c r="P79" s="780" t="e">
        <f t="shared" si="11"/>
        <v>#DIV/0!</v>
      </c>
      <c r="Q79" s="781"/>
      <c r="R79" s="632"/>
      <c r="AB79" s="632"/>
    </row>
    <row r="80" spans="2:28" ht="16.5" hidden="1" customHeight="1" outlineLevel="2">
      <c r="B80" s="776" t="s">
        <v>685</v>
      </c>
      <c r="C80" s="777" t="s">
        <v>75</v>
      </c>
      <c r="D80" s="776" t="s">
        <v>1552</v>
      </c>
      <c r="E80" s="648" t="s">
        <v>1553</v>
      </c>
      <c r="F80" s="648" t="s">
        <v>657</v>
      </c>
      <c r="G80" s="791">
        <v>1</v>
      </c>
      <c r="H80" s="795" t="s">
        <v>143</v>
      </c>
      <c r="I80" s="672">
        <f t="shared" si="12"/>
        <v>0</v>
      </c>
      <c r="J80" s="672"/>
      <c r="K80" s="778">
        <f t="shared" si="13"/>
        <v>0</v>
      </c>
      <c r="L80" s="569">
        <v>0.17</v>
      </c>
      <c r="M80" s="779">
        <f t="shared" si="14"/>
        <v>0</v>
      </c>
      <c r="N80" s="779">
        <f t="shared" si="15"/>
        <v>0</v>
      </c>
      <c r="O80" s="779">
        <f t="shared" si="16"/>
        <v>0</v>
      </c>
      <c r="P80" s="780" t="e">
        <f t="shared" si="11"/>
        <v>#DIV/0!</v>
      </c>
      <c r="Q80" s="781"/>
      <c r="R80" s="632"/>
      <c r="AB80" s="632"/>
    </row>
    <row r="81" spans="2:28" ht="16.5" hidden="1" customHeight="1" outlineLevel="2">
      <c r="B81" s="776" t="s">
        <v>686</v>
      </c>
      <c r="C81" s="777" t="s">
        <v>146</v>
      </c>
      <c r="D81" s="776" t="s">
        <v>2888</v>
      </c>
      <c r="E81" s="648" t="s">
        <v>2889</v>
      </c>
      <c r="F81" s="648" t="s">
        <v>657</v>
      </c>
      <c r="G81" s="791">
        <v>1</v>
      </c>
      <c r="H81" s="795" t="s">
        <v>143</v>
      </c>
      <c r="I81" s="672">
        <f t="shared" si="12"/>
        <v>0</v>
      </c>
      <c r="J81" s="672"/>
      <c r="K81" s="778">
        <f t="shared" si="13"/>
        <v>0</v>
      </c>
      <c r="L81" s="569">
        <v>0.17</v>
      </c>
      <c r="M81" s="779">
        <f t="shared" si="14"/>
        <v>0</v>
      </c>
      <c r="N81" s="779">
        <f t="shared" si="15"/>
        <v>0</v>
      </c>
      <c r="O81" s="779">
        <f t="shared" si="16"/>
        <v>0</v>
      </c>
      <c r="P81" s="780" t="e">
        <f t="shared" si="11"/>
        <v>#DIV/0!</v>
      </c>
      <c r="Q81" s="781"/>
      <c r="R81" s="632"/>
      <c r="AB81" s="632"/>
    </row>
    <row r="82" spans="2:28" ht="25.5" customHeight="1" outlineLevel="1" collapsed="1">
      <c r="B82" s="802" t="s">
        <v>2890</v>
      </c>
      <c r="C82" s="803">
        <v>2</v>
      </c>
      <c r="D82" s="802" t="s">
        <v>2891</v>
      </c>
      <c r="E82" s="712"/>
      <c r="F82" s="712"/>
      <c r="G82" s="712"/>
      <c r="H82" s="772"/>
      <c r="I82" s="713"/>
      <c r="J82" s="772"/>
      <c r="K82" s="772"/>
      <c r="L82" s="588"/>
      <c r="M82" s="773">
        <f>SUBTOTAL(9,M83:M85)</f>
        <v>0</v>
      </c>
      <c r="N82" s="773"/>
      <c r="O82" s="773"/>
      <c r="P82" s="774" t="str">
        <f t="shared" si="11"/>
        <v/>
      </c>
      <c r="Q82" s="775"/>
      <c r="R82" s="632"/>
      <c r="AB82" s="632"/>
    </row>
    <row r="83" spans="2:28" ht="16.5" hidden="1" customHeight="1" outlineLevel="2">
      <c r="B83" s="776" t="s">
        <v>689</v>
      </c>
      <c r="C83" s="777" t="s">
        <v>2886</v>
      </c>
      <c r="D83" s="804" t="s">
        <v>2892</v>
      </c>
      <c r="E83" s="648" t="s">
        <v>2889</v>
      </c>
      <c r="F83" s="648"/>
      <c r="G83" s="787"/>
      <c r="H83" s="787"/>
      <c r="I83" s="672">
        <f>IF(F83="", ,(IF(F83="层数",#REF!,(IF(F83="单元数",#REF!,IF(F83="建筑面积",#REF!,IF(F83="建筑面积*（1+赠送比例）",#REF!+#REF!,IF(F83="建筑物基底面积",$G$2,IF(F83="单元数",#REF!,IF(F83="住宅户数(户)",#REF!,IF(F83="装修面积",#REF!,IF(F83="总层数(层)",#REF!,""))))))))))))</f>
        <v>0</v>
      </c>
      <c r="J83" s="681"/>
      <c r="K83" s="681"/>
      <c r="L83" s="569"/>
      <c r="M83" s="779">
        <f>G83*I83*J83/10000</f>
        <v>0</v>
      </c>
      <c r="N83" s="779"/>
      <c r="O83" s="779"/>
      <c r="P83" s="780" t="str">
        <f t="shared" si="11"/>
        <v/>
      </c>
      <c r="Q83" s="781"/>
      <c r="R83" s="632"/>
      <c r="AB83" s="632"/>
    </row>
    <row r="84" spans="2:28" ht="16.5" hidden="1" customHeight="1" outlineLevel="2">
      <c r="B84" s="776" t="s">
        <v>691</v>
      </c>
      <c r="C84" s="777" t="s">
        <v>68</v>
      </c>
      <c r="D84" s="804" t="s">
        <v>2893</v>
      </c>
      <c r="E84" s="648" t="s">
        <v>2889</v>
      </c>
      <c r="F84" s="648"/>
      <c r="G84" s="787"/>
      <c r="H84" s="787"/>
      <c r="I84" s="672">
        <f>IF(F84="", ,(IF(F84="层数",#REF!,(IF(F84="单元数",#REF!,IF(F84="建筑面积",#REF!,IF(F84="建筑面积*（1+赠送比例）",#REF!+#REF!,IF(F84="建筑物基底面积",$G$2,IF(F84="单元数",#REF!,IF(F84="住宅户数(户)",#REF!,IF(F84="装修面积",#REF!,IF(F84="总层数(层)",#REF!,""))))))))))))</f>
        <v>0</v>
      </c>
      <c r="J84" s="681"/>
      <c r="K84" s="681"/>
      <c r="L84" s="569"/>
      <c r="M84" s="779">
        <f>G84*I84*J84/10000</f>
        <v>0</v>
      </c>
      <c r="N84" s="779"/>
      <c r="O84" s="779"/>
      <c r="P84" s="780" t="str">
        <f t="shared" si="11"/>
        <v/>
      </c>
      <c r="Q84" s="781"/>
      <c r="R84" s="632"/>
      <c r="AB84" s="632"/>
    </row>
    <row r="85" spans="2:28" ht="16.5" hidden="1" customHeight="1" outlineLevel="2">
      <c r="B85" s="776" t="s">
        <v>693</v>
      </c>
      <c r="C85" s="777" t="s">
        <v>69</v>
      </c>
      <c r="D85" s="804" t="s">
        <v>2894</v>
      </c>
      <c r="E85" s="648" t="s">
        <v>2889</v>
      </c>
      <c r="F85" s="648"/>
      <c r="G85" s="787"/>
      <c r="H85" s="787"/>
      <c r="I85" s="672">
        <f>IF(F85="", ,(IF(F85="层数",#REF!,(IF(F85="单元数",#REF!,IF(F85="建筑面积",#REF!,IF(F85="建筑面积*（1+赠送比例）",#REF!+#REF!,IF(F85="建筑物基底面积",$G$2,IF(F85="单元数",#REF!,IF(F85="住宅户数(户)",#REF!,IF(F85="装修面积",#REF!,IF(F85="总层数(层)",#REF!,""))))))))))))</f>
        <v>0</v>
      </c>
      <c r="J85" s="681"/>
      <c r="K85" s="681"/>
      <c r="L85" s="569"/>
      <c r="M85" s="779">
        <f>G85*I85*J85/10000</f>
        <v>0</v>
      </c>
      <c r="N85" s="779"/>
      <c r="O85" s="779"/>
      <c r="P85" s="780" t="str">
        <f t="shared" si="11"/>
        <v/>
      </c>
      <c r="Q85" s="781"/>
      <c r="R85" s="632"/>
      <c r="AB85" s="632"/>
    </row>
    <row r="86" spans="2:28" ht="16.5" customHeight="1" outlineLevel="1">
      <c r="B86" s="802" t="s">
        <v>2895</v>
      </c>
      <c r="C86" s="803">
        <v>3</v>
      </c>
      <c r="D86" s="802" t="s">
        <v>2896</v>
      </c>
      <c r="E86" s="712"/>
      <c r="F86" s="712"/>
      <c r="G86" s="712"/>
      <c r="H86" s="772"/>
      <c r="I86" s="713"/>
      <c r="J86" s="772"/>
      <c r="K86" s="772"/>
      <c r="L86" s="588"/>
      <c r="M86" s="773">
        <f>G86*I86*J86/10000</f>
        <v>0</v>
      </c>
      <c r="N86" s="773"/>
      <c r="O86" s="773"/>
      <c r="P86" s="774" t="str">
        <f t="shared" si="11"/>
        <v/>
      </c>
      <c r="Q86" s="775"/>
      <c r="R86" s="632"/>
      <c r="AB86" s="632"/>
    </row>
    <row r="87" spans="2:28" ht="16.5" customHeight="1" outlineLevel="1">
      <c r="B87" s="802" t="s">
        <v>2897</v>
      </c>
      <c r="C87" s="803">
        <v>4</v>
      </c>
      <c r="D87" s="802" t="s">
        <v>2898</v>
      </c>
      <c r="E87" s="712"/>
      <c r="F87" s="712"/>
      <c r="G87" s="712"/>
      <c r="H87" s="772"/>
      <c r="I87" s="713"/>
      <c r="J87" s="772"/>
      <c r="K87" s="772"/>
      <c r="L87" s="588"/>
      <c r="M87" s="773">
        <f>G87*I87*J87/10000</f>
        <v>0</v>
      </c>
      <c r="N87" s="773"/>
      <c r="O87" s="773"/>
      <c r="P87" s="774" t="str">
        <f t="shared" si="11"/>
        <v/>
      </c>
      <c r="Q87" s="775"/>
      <c r="R87" s="632"/>
      <c r="AB87" s="632"/>
    </row>
    <row r="88" spans="2:28" ht="16.5" customHeight="1">
      <c r="B88" s="480" t="s">
        <v>2899</v>
      </c>
      <c r="C88" s="481" t="s">
        <v>2900</v>
      </c>
      <c r="D88" s="480" t="s">
        <v>2901</v>
      </c>
      <c r="E88" s="765"/>
      <c r="F88" s="765"/>
      <c r="G88" s="765"/>
      <c r="H88" s="765"/>
      <c r="I88" s="766"/>
      <c r="J88" s="765"/>
      <c r="K88" s="765"/>
      <c r="L88" s="767"/>
      <c r="M88" s="768">
        <f>SUBTOTAL(9,M89:M167)</f>
        <v>0</v>
      </c>
      <c r="N88" s="768">
        <f>SUBTOTAL(9,N89:N167)</f>
        <v>0</v>
      </c>
      <c r="O88" s="768">
        <f>SUBTOTAL(9,O89:O167)</f>
        <v>0</v>
      </c>
      <c r="P88" s="769" t="e">
        <f t="shared" si="11"/>
        <v>#DIV/0!</v>
      </c>
      <c r="Q88" s="770"/>
      <c r="R88" s="632"/>
      <c r="AB88" s="632"/>
    </row>
    <row r="89" spans="2:28" ht="16.5" customHeight="1" outlineLevel="1" collapsed="1">
      <c r="B89" s="802" t="s">
        <v>2902</v>
      </c>
      <c r="C89" s="803">
        <v>1</v>
      </c>
      <c r="D89" s="802" t="s">
        <v>2903</v>
      </c>
      <c r="E89" s="712"/>
      <c r="F89" s="712"/>
      <c r="G89" s="712"/>
      <c r="H89" s="772"/>
      <c r="I89" s="713"/>
      <c r="J89" s="772"/>
      <c r="K89" s="772"/>
      <c r="L89" s="588"/>
      <c r="M89" s="773">
        <f>SUBTOTAL(9,M90:M128)</f>
        <v>0</v>
      </c>
      <c r="N89" s="773">
        <f>SUBTOTAL(9,N90:N128)</f>
        <v>0</v>
      </c>
      <c r="O89" s="773">
        <f>SUBTOTAL(9,O90:O128)</f>
        <v>0</v>
      </c>
      <c r="P89" s="774" t="e">
        <f t="shared" si="11"/>
        <v>#DIV/0!</v>
      </c>
      <c r="Q89" s="775"/>
      <c r="R89" s="632"/>
      <c r="AB89" s="632"/>
    </row>
    <row r="90" spans="2:28" ht="16.5" hidden="1" customHeight="1" outlineLevel="2">
      <c r="B90" s="776" t="s">
        <v>700</v>
      </c>
      <c r="C90" s="777" t="s">
        <v>2886</v>
      </c>
      <c r="D90" s="804" t="s">
        <v>2904</v>
      </c>
      <c r="E90" s="648"/>
      <c r="F90" s="648"/>
      <c r="G90" s="787"/>
      <c r="H90" s="787"/>
      <c r="I90" s="672"/>
      <c r="J90" s="681"/>
      <c r="K90" s="681"/>
      <c r="L90" s="569"/>
      <c r="M90" s="779">
        <f>SUBTOTAL(9,M91:M110)</f>
        <v>0</v>
      </c>
      <c r="N90" s="779">
        <f>SUBTOTAL(9,N91:N110)</f>
        <v>0</v>
      </c>
      <c r="O90" s="779">
        <f>SUBTOTAL(9,O91:O110)</f>
        <v>0</v>
      </c>
      <c r="P90" s="780" t="e">
        <f t="shared" si="11"/>
        <v>#DIV/0!</v>
      </c>
      <c r="Q90" s="781"/>
      <c r="R90" s="632"/>
      <c r="AB90" s="632"/>
    </row>
    <row r="91" spans="2:28" ht="16.5" hidden="1" customHeight="1" outlineLevel="3">
      <c r="B91" s="776" t="s">
        <v>702</v>
      </c>
      <c r="C91" s="782" t="s">
        <v>39</v>
      </c>
      <c r="D91" s="804" t="s">
        <v>2905</v>
      </c>
      <c r="E91" s="648"/>
      <c r="F91" s="648"/>
      <c r="G91" s="791"/>
      <c r="H91" s="805"/>
      <c r="I91" s="789"/>
      <c r="J91" s="790"/>
      <c r="K91" s="790"/>
      <c r="L91" s="658"/>
      <c r="M91" s="779">
        <f>SUBTOTAL(9,M92:M93)</f>
        <v>0</v>
      </c>
      <c r="N91" s="779">
        <f>SUBTOTAL(9,N92:N93)</f>
        <v>0</v>
      </c>
      <c r="O91" s="779">
        <f>SUBTOTAL(9,O92:O93)</f>
        <v>0</v>
      </c>
      <c r="P91" s="780" t="e">
        <f t="shared" si="11"/>
        <v>#DIV/0!</v>
      </c>
      <c r="Q91" s="806"/>
      <c r="R91" s="632"/>
      <c r="AB91" s="632"/>
    </row>
    <row r="92" spans="2:28" ht="16.5" hidden="1" customHeight="1" outlineLevel="4">
      <c r="B92" s="776" t="s">
        <v>2906</v>
      </c>
      <c r="C92" s="782"/>
      <c r="D92" s="807" t="s">
        <v>1556</v>
      </c>
      <c r="E92" s="648" t="s">
        <v>459</v>
      </c>
      <c r="F92" s="648" t="s">
        <v>657</v>
      </c>
      <c r="G92" s="808">
        <v>0.2</v>
      </c>
      <c r="H92" s="805" t="s">
        <v>2868</v>
      </c>
      <c r="I92" s="672">
        <f t="shared" ref="I92:I103" si="17">$E$2*(1+$F$2)</f>
        <v>0</v>
      </c>
      <c r="J92" s="790">
        <v>35</v>
      </c>
      <c r="K92" s="778">
        <f>J92/(1+L92)</f>
        <v>29.914529914529915</v>
      </c>
      <c r="L92" s="569">
        <v>0.17</v>
      </c>
      <c r="M92" s="779">
        <f>G92*I92*K92/10000</f>
        <v>0</v>
      </c>
      <c r="N92" s="779">
        <f>L92*M92</f>
        <v>0</v>
      </c>
      <c r="O92" s="779">
        <f>M92+N92</f>
        <v>0</v>
      </c>
      <c r="P92" s="780" t="e">
        <f t="shared" si="11"/>
        <v>#DIV/0!</v>
      </c>
      <c r="Q92" s="806"/>
      <c r="R92" s="632"/>
      <c r="AB92" s="632"/>
    </row>
    <row r="93" spans="2:28" ht="16.5" hidden="1" customHeight="1" outlineLevel="4">
      <c r="B93" s="776" t="s">
        <v>703</v>
      </c>
      <c r="C93" s="782"/>
      <c r="D93" s="807" t="s">
        <v>1557</v>
      </c>
      <c r="E93" s="648" t="s">
        <v>1493</v>
      </c>
      <c r="F93" s="648" t="s">
        <v>657</v>
      </c>
      <c r="G93" s="808">
        <v>0.2</v>
      </c>
      <c r="H93" s="805" t="s">
        <v>2868</v>
      </c>
      <c r="I93" s="672">
        <f t="shared" si="17"/>
        <v>0</v>
      </c>
      <c r="J93" s="790">
        <v>25</v>
      </c>
      <c r="K93" s="778">
        <f>J93/(1+L93)</f>
        <v>22.522522522522522</v>
      </c>
      <c r="L93" s="569">
        <v>0.11</v>
      </c>
      <c r="M93" s="779">
        <f>G93*I93*K93/10000</f>
        <v>0</v>
      </c>
      <c r="N93" s="779">
        <f>L93*M93</f>
        <v>0</v>
      </c>
      <c r="O93" s="779">
        <f>M93+N93</f>
        <v>0</v>
      </c>
      <c r="P93" s="780" t="e">
        <f t="shared" si="11"/>
        <v>#DIV/0!</v>
      </c>
      <c r="Q93" s="806"/>
      <c r="R93" s="632"/>
      <c r="AB93" s="632"/>
    </row>
    <row r="94" spans="2:28" ht="16.5" hidden="1" customHeight="1" outlineLevel="3">
      <c r="B94" s="776" t="s">
        <v>2907</v>
      </c>
      <c r="C94" s="782" t="s">
        <v>39</v>
      </c>
      <c r="D94" s="804" t="s">
        <v>2908</v>
      </c>
      <c r="E94" s="665"/>
      <c r="F94" s="665"/>
      <c r="G94" s="809"/>
      <c r="H94" s="790"/>
      <c r="I94" s="789"/>
      <c r="J94" s="790"/>
      <c r="K94" s="790"/>
      <c r="L94" s="569"/>
      <c r="M94" s="779">
        <f>SUBTOTAL(9,M95:M98)</f>
        <v>0</v>
      </c>
      <c r="N94" s="779">
        <f>SUBTOTAL(9,N95:N98)</f>
        <v>0</v>
      </c>
      <c r="O94" s="779">
        <f>SUBTOTAL(9,O95:O98)</f>
        <v>0</v>
      </c>
      <c r="P94" s="780" t="e">
        <f t="shared" si="11"/>
        <v>#DIV/0!</v>
      </c>
      <c r="Q94" s="806"/>
      <c r="R94" s="632"/>
      <c r="AB94" s="632"/>
    </row>
    <row r="95" spans="2:28" ht="16.5" hidden="1" customHeight="1" outlineLevel="4">
      <c r="B95" s="776" t="s">
        <v>2909</v>
      </c>
      <c r="C95" s="782"/>
      <c r="D95" s="807" t="s">
        <v>1560</v>
      </c>
      <c r="E95" s="719" t="s">
        <v>2910</v>
      </c>
      <c r="F95" s="648" t="s">
        <v>657</v>
      </c>
      <c r="G95" s="809">
        <v>1</v>
      </c>
      <c r="H95" s="805" t="s">
        <v>2868</v>
      </c>
      <c r="I95" s="672">
        <f t="shared" si="17"/>
        <v>0</v>
      </c>
      <c r="J95" s="790">
        <v>800</v>
      </c>
      <c r="K95" s="778">
        <f t="shared" ref="K95:K128" si="18">J95/(1+L95)</f>
        <v>720.72072072072069</v>
      </c>
      <c r="L95" s="569">
        <v>0.11</v>
      </c>
      <c r="M95" s="779">
        <f t="shared" ref="M95:M128" si="19">G95*I95*K95/10000</f>
        <v>0</v>
      </c>
      <c r="N95" s="779">
        <f>L95*M95</f>
        <v>0</v>
      </c>
      <c r="O95" s="779">
        <f>M95+N95</f>
        <v>0</v>
      </c>
      <c r="P95" s="780" t="e">
        <f t="shared" si="11"/>
        <v>#DIV/0!</v>
      </c>
      <c r="Q95" s="806"/>
      <c r="R95" s="632"/>
      <c r="AB95" s="632"/>
    </row>
    <row r="96" spans="2:28" ht="16.5" hidden="1" customHeight="1" outlineLevel="4">
      <c r="B96" s="776" t="s">
        <v>704</v>
      </c>
      <c r="C96" s="782"/>
      <c r="D96" s="807" t="s">
        <v>1561</v>
      </c>
      <c r="E96" s="719" t="s">
        <v>2910</v>
      </c>
      <c r="F96" s="648" t="s">
        <v>657</v>
      </c>
      <c r="G96" s="809">
        <v>0</v>
      </c>
      <c r="H96" s="805" t="s">
        <v>2868</v>
      </c>
      <c r="I96" s="672">
        <f t="shared" si="17"/>
        <v>0</v>
      </c>
      <c r="J96" s="790"/>
      <c r="K96" s="778">
        <f t="shared" si="18"/>
        <v>0</v>
      </c>
      <c r="L96" s="569">
        <v>0.11</v>
      </c>
      <c r="M96" s="779">
        <f t="shared" si="19"/>
        <v>0</v>
      </c>
      <c r="N96" s="779">
        <f>L96*M96</f>
        <v>0</v>
      </c>
      <c r="O96" s="779">
        <f>M96+N96</f>
        <v>0</v>
      </c>
      <c r="P96" s="780" t="e">
        <f t="shared" si="11"/>
        <v>#DIV/0!</v>
      </c>
      <c r="Q96" s="806"/>
      <c r="R96" s="632"/>
      <c r="AB96" s="632"/>
    </row>
    <row r="97" spans="2:28" ht="16.5" hidden="1" customHeight="1" outlineLevel="4">
      <c r="B97" s="776" t="s">
        <v>1562</v>
      </c>
      <c r="C97" s="782"/>
      <c r="D97" s="807" t="s">
        <v>1563</v>
      </c>
      <c r="E97" s="719" t="s">
        <v>2910</v>
      </c>
      <c r="F97" s="648" t="s">
        <v>657</v>
      </c>
      <c r="G97" s="809">
        <v>0</v>
      </c>
      <c r="H97" s="805" t="s">
        <v>2868</v>
      </c>
      <c r="I97" s="672">
        <f t="shared" si="17"/>
        <v>0</v>
      </c>
      <c r="J97" s="790"/>
      <c r="K97" s="778">
        <f t="shared" si="18"/>
        <v>0</v>
      </c>
      <c r="L97" s="569">
        <v>0.11</v>
      </c>
      <c r="M97" s="779">
        <f t="shared" si="19"/>
        <v>0</v>
      </c>
      <c r="N97" s="779">
        <f>L97*M97</f>
        <v>0</v>
      </c>
      <c r="O97" s="779">
        <f>M97+N97</f>
        <v>0</v>
      </c>
      <c r="P97" s="780" t="e">
        <f t="shared" si="11"/>
        <v>#DIV/0!</v>
      </c>
      <c r="Q97" s="806"/>
      <c r="R97" s="632"/>
      <c r="AB97" s="632"/>
    </row>
    <row r="98" spans="2:28" ht="16.5" hidden="1" customHeight="1" outlineLevel="4">
      <c r="B98" s="776" t="s">
        <v>1564</v>
      </c>
      <c r="C98" s="782"/>
      <c r="D98" s="807" t="s">
        <v>1565</v>
      </c>
      <c r="E98" s="719" t="s">
        <v>2910</v>
      </c>
      <c r="F98" s="648" t="s">
        <v>657</v>
      </c>
      <c r="G98" s="809">
        <v>0</v>
      </c>
      <c r="H98" s="805" t="s">
        <v>2868</v>
      </c>
      <c r="I98" s="672">
        <f t="shared" si="17"/>
        <v>0</v>
      </c>
      <c r="J98" s="790"/>
      <c r="K98" s="778">
        <f t="shared" si="18"/>
        <v>0</v>
      </c>
      <c r="L98" s="569">
        <v>0.11</v>
      </c>
      <c r="M98" s="779">
        <f t="shared" si="19"/>
        <v>0</v>
      </c>
      <c r="N98" s="779">
        <f>L98*M98</f>
        <v>0</v>
      </c>
      <c r="O98" s="779">
        <f>M98+N98</f>
        <v>0</v>
      </c>
      <c r="P98" s="780" t="e">
        <f t="shared" si="11"/>
        <v>#DIV/0!</v>
      </c>
      <c r="Q98" s="806"/>
      <c r="R98" s="632"/>
      <c r="AB98" s="632"/>
    </row>
    <row r="99" spans="2:28" ht="16.5" hidden="1" customHeight="1" outlineLevel="3">
      <c r="B99" s="776" t="s">
        <v>2911</v>
      </c>
      <c r="C99" s="782" t="s">
        <v>39</v>
      </c>
      <c r="D99" s="804" t="s">
        <v>2912</v>
      </c>
      <c r="E99" s="665"/>
      <c r="F99" s="665"/>
      <c r="G99" s="809"/>
      <c r="H99" s="790"/>
      <c r="I99" s="789"/>
      <c r="J99" s="790"/>
      <c r="K99" s="778"/>
      <c r="L99" s="569"/>
      <c r="M99" s="779">
        <f>SUBTOTAL(9,M100:M101)</f>
        <v>0</v>
      </c>
      <c r="N99" s="779">
        <f>SUBTOTAL(9,N100:N101)</f>
        <v>0</v>
      </c>
      <c r="O99" s="779">
        <f>SUBTOTAL(9,O100:O101)</f>
        <v>0</v>
      </c>
      <c r="P99" s="780" t="e">
        <f t="shared" si="11"/>
        <v>#DIV/0!</v>
      </c>
      <c r="Q99" s="806"/>
      <c r="R99" s="632"/>
      <c r="AB99" s="632"/>
    </row>
    <row r="100" spans="2:28" ht="16.5" hidden="1" customHeight="1" outlineLevel="4">
      <c r="B100" s="776" t="s">
        <v>2913</v>
      </c>
      <c r="C100" s="782"/>
      <c r="D100" s="807" t="s">
        <v>1569</v>
      </c>
      <c r="E100" s="665" t="s">
        <v>469</v>
      </c>
      <c r="F100" s="648" t="s">
        <v>657</v>
      </c>
      <c r="G100" s="809">
        <v>0</v>
      </c>
      <c r="H100" s="805" t="s">
        <v>2868</v>
      </c>
      <c r="I100" s="672">
        <f t="shared" si="17"/>
        <v>0</v>
      </c>
      <c r="J100" s="790"/>
      <c r="K100" s="778">
        <f t="shared" si="18"/>
        <v>0</v>
      </c>
      <c r="L100" s="569">
        <v>0.17</v>
      </c>
      <c r="M100" s="779">
        <f t="shared" si="19"/>
        <v>0</v>
      </c>
      <c r="N100" s="779">
        <f>L100*M100</f>
        <v>0</v>
      </c>
      <c r="O100" s="779">
        <f>M100+N100</f>
        <v>0</v>
      </c>
      <c r="P100" s="780" t="e">
        <f t="shared" si="11"/>
        <v>#DIV/0!</v>
      </c>
      <c r="Q100" s="806"/>
      <c r="R100" s="632"/>
      <c r="AB100" s="632"/>
    </row>
    <row r="101" spans="2:28" ht="16.5" hidden="1" customHeight="1" outlineLevel="4">
      <c r="B101" s="776" t="s">
        <v>1570</v>
      </c>
      <c r="C101" s="782"/>
      <c r="D101" s="807" t="s">
        <v>1571</v>
      </c>
      <c r="E101" s="665" t="s">
        <v>1228</v>
      </c>
      <c r="F101" s="648" t="s">
        <v>657</v>
      </c>
      <c r="G101" s="809">
        <v>0</v>
      </c>
      <c r="H101" s="805" t="s">
        <v>2868</v>
      </c>
      <c r="I101" s="672">
        <f t="shared" si="17"/>
        <v>0</v>
      </c>
      <c r="J101" s="790"/>
      <c r="K101" s="778">
        <f t="shared" si="18"/>
        <v>0</v>
      </c>
      <c r="L101" s="569">
        <v>0.11</v>
      </c>
      <c r="M101" s="779">
        <f t="shared" si="19"/>
        <v>0</v>
      </c>
      <c r="N101" s="779">
        <f>L101*M101</f>
        <v>0</v>
      </c>
      <c r="O101" s="779">
        <f>M101+N101</f>
        <v>0</v>
      </c>
      <c r="P101" s="780" t="e">
        <f t="shared" si="11"/>
        <v>#DIV/0!</v>
      </c>
      <c r="Q101" s="806"/>
      <c r="R101" s="632"/>
      <c r="AB101" s="632"/>
    </row>
    <row r="102" spans="2:28" ht="16.5" hidden="1" customHeight="1" outlineLevel="3">
      <c r="B102" s="776" t="s">
        <v>2914</v>
      </c>
      <c r="C102" s="782" t="s">
        <v>39</v>
      </c>
      <c r="D102" s="804" t="s">
        <v>2915</v>
      </c>
      <c r="E102" s="665"/>
      <c r="F102" s="665"/>
      <c r="G102" s="809"/>
      <c r="H102" s="790"/>
      <c r="I102" s="672"/>
      <c r="J102" s="790"/>
      <c r="K102" s="790"/>
      <c r="L102" s="569"/>
      <c r="M102" s="779">
        <f>SUBTOTAL(9,M103:M104)</f>
        <v>0</v>
      </c>
      <c r="N102" s="779">
        <f>SUBTOTAL(9,N103:N104)</f>
        <v>0</v>
      </c>
      <c r="O102" s="779">
        <f>SUBTOTAL(9,O103:O104)</f>
        <v>0</v>
      </c>
      <c r="P102" s="780" t="e">
        <f t="shared" si="11"/>
        <v>#DIV/0!</v>
      </c>
      <c r="Q102" s="806"/>
      <c r="R102" s="632"/>
      <c r="AB102" s="632"/>
    </row>
    <row r="103" spans="2:28" ht="16.5" hidden="1" customHeight="1" outlineLevel="4">
      <c r="B103" s="776" t="s">
        <v>2916</v>
      </c>
      <c r="C103" s="782"/>
      <c r="D103" s="804" t="s">
        <v>1575</v>
      </c>
      <c r="E103" s="665" t="s">
        <v>468</v>
      </c>
      <c r="F103" s="648" t="s">
        <v>657</v>
      </c>
      <c r="G103" s="809">
        <v>0</v>
      </c>
      <c r="H103" s="805" t="s">
        <v>2870</v>
      </c>
      <c r="I103" s="672">
        <f t="shared" si="17"/>
        <v>0</v>
      </c>
      <c r="J103" s="790"/>
      <c r="K103" s="778">
        <f t="shared" si="18"/>
        <v>0</v>
      </c>
      <c r="L103" s="569">
        <v>0.11</v>
      </c>
      <c r="M103" s="779">
        <f t="shared" si="19"/>
        <v>0</v>
      </c>
      <c r="N103" s="779">
        <f t="shared" ref="N103:N110" si="20">L103*M103</f>
        <v>0</v>
      </c>
      <c r="O103" s="779">
        <f t="shared" ref="O103:O110" si="21">M103+N103</f>
        <v>0</v>
      </c>
      <c r="P103" s="780" t="e">
        <f t="shared" si="11"/>
        <v>#DIV/0!</v>
      </c>
      <c r="Q103" s="806"/>
      <c r="R103" s="632"/>
      <c r="AB103" s="632"/>
    </row>
    <row r="104" spans="2:28" ht="16.5" hidden="1" customHeight="1" outlineLevel="4">
      <c r="B104" s="776" t="s">
        <v>1576</v>
      </c>
      <c r="C104" s="782"/>
      <c r="D104" s="804" t="s">
        <v>1577</v>
      </c>
      <c r="E104" s="665" t="s">
        <v>468</v>
      </c>
      <c r="F104" s="648" t="s">
        <v>657</v>
      </c>
      <c r="G104" s="809"/>
      <c r="H104" s="805" t="s">
        <v>2870</v>
      </c>
      <c r="I104" s="672">
        <f>$E$2*(1+$F$2)</f>
        <v>0</v>
      </c>
      <c r="J104" s="790"/>
      <c r="K104" s="778">
        <f t="shared" si="18"/>
        <v>0</v>
      </c>
      <c r="L104" s="569">
        <v>0.11</v>
      </c>
      <c r="M104" s="779">
        <f t="shared" si="19"/>
        <v>0</v>
      </c>
      <c r="N104" s="779">
        <f t="shared" si="20"/>
        <v>0</v>
      </c>
      <c r="O104" s="779">
        <f t="shared" si="21"/>
        <v>0</v>
      </c>
      <c r="P104" s="780" t="e">
        <f t="shared" si="11"/>
        <v>#DIV/0!</v>
      </c>
      <c r="Q104" s="806"/>
      <c r="R104" s="632"/>
      <c r="AB104" s="632"/>
    </row>
    <row r="105" spans="2:28" ht="16.5" hidden="1" customHeight="1" outlineLevel="3">
      <c r="B105" s="776" t="s">
        <v>2917</v>
      </c>
      <c r="C105" s="782" t="s">
        <v>39</v>
      </c>
      <c r="D105" s="804" t="s">
        <v>2918</v>
      </c>
      <c r="E105" s="648" t="s">
        <v>2919</v>
      </c>
      <c r="F105" s="648" t="s">
        <v>657</v>
      </c>
      <c r="G105" s="809"/>
      <c r="H105" s="790"/>
      <c r="I105" s="672"/>
      <c r="J105" s="790"/>
      <c r="K105" s="778">
        <f t="shared" si="18"/>
        <v>0</v>
      </c>
      <c r="L105" s="569">
        <v>0.11</v>
      </c>
      <c r="M105" s="779">
        <f t="shared" si="19"/>
        <v>0</v>
      </c>
      <c r="N105" s="779">
        <f t="shared" si="20"/>
        <v>0</v>
      </c>
      <c r="O105" s="779">
        <f t="shared" si="21"/>
        <v>0</v>
      </c>
      <c r="P105" s="780" t="e">
        <f t="shared" si="11"/>
        <v>#DIV/0!</v>
      </c>
      <c r="Q105" s="806"/>
      <c r="R105" s="632"/>
      <c r="AB105" s="632"/>
    </row>
    <row r="106" spans="2:28" ht="16.5" hidden="1" customHeight="1" outlineLevel="3">
      <c r="B106" s="776" t="s">
        <v>705</v>
      </c>
      <c r="C106" s="782" t="s">
        <v>39</v>
      </c>
      <c r="D106" s="804" t="s">
        <v>2920</v>
      </c>
      <c r="E106" s="648" t="s">
        <v>1580</v>
      </c>
      <c r="F106" s="665" t="s">
        <v>2877</v>
      </c>
      <c r="G106" s="810"/>
      <c r="H106" s="795"/>
      <c r="I106" s="789">
        <f>I2</f>
        <v>0</v>
      </c>
      <c r="J106" s="790"/>
      <c r="K106" s="778">
        <f t="shared" si="18"/>
        <v>0</v>
      </c>
      <c r="L106" s="569">
        <v>0.11</v>
      </c>
      <c r="M106" s="779">
        <f t="shared" si="19"/>
        <v>0</v>
      </c>
      <c r="N106" s="779">
        <f t="shared" si="20"/>
        <v>0</v>
      </c>
      <c r="O106" s="779">
        <f t="shared" si="21"/>
        <v>0</v>
      </c>
      <c r="P106" s="780" t="e">
        <f t="shared" si="11"/>
        <v>#DIV/0!</v>
      </c>
      <c r="Q106" s="806"/>
      <c r="R106" s="632"/>
      <c r="AB106" s="632"/>
    </row>
    <row r="107" spans="2:28" ht="16.5" hidden="1" customHeight="1" outlineLevel="3">
      <c r="B107" s="776" t="s">
        <v>706</v>
      </c>
      <c r="C107" s="782" t="s">
        <v>39</v>
      </c>
      <c r="D107" s="804" t="s">
        <v>1581</v>
      </c>
      <c r="E107" s="648" t="s">
        <v>2921</v>
      </c>
      <c r="F107" s="648" t="s">
        <v>657</v>
      </c>
      <c r="G107" s="809"/>
      <c r="H107" s="805" t="s">
        <v>2922</v>
      </c>
      <c r="I107" s="672">
        <f>$E$2*(1+$F$2)</f>
        <v>0</v>
      </c>
      <c r="J107" s="790"/>
      <c r="K107" s="778">
        <f t="shared" si="18"/>
        <v>0</v>
      </c>
      <c r="L107" s="569">
        <v>0.11</v>
      </c>
      <c r="M107" s="779">
        <f t="shared" si="19"/>
        <v>0</v>
      </c>
      <c r="N107" s="779">
        <f t="shared" si="20"/>
        <v>0</v>
      </c>
      <c r="O107" s="779">
        <f t="shared" si="21"/>
        <v>0</v>
      </c>
      <c r="P107" s="780" t="e">
        <f t="shared" si="11"/>
        <v>#DIV/0!</v>
      </c>
      <c r="Q107" s="806"/>
      <c r="R107" s="632"/>
      <c r="AB107" s="632"/>
    </row>
    <row r="108" spans="2:28" ht="16.5" hidden="1" customHeight="1" outlineLevel="3">
      <c r="B108" s="776" t="s">
        <v>707</v>
      </c>
      <c r="C108" s="782" t="s">
        <v>39</v>
      </c>
      <c r="D108" s="804" t="s">
        <v>1582</v>
      </c>
      <c r="E108" s="648" t="s">
        <v>2921</v>
      </c>
      <c r="F108" s="665" t="s">
        <v>2923</v>
      </c>
      <c r="G108" s="811"/>
      <c r="H108" s="805" t="s">
        <v>2924</v>
      </c>
      <c r="I108" s="672">
        <f>$I$2</f>
        <v>0</v>
      </c>
      <c r="J108" s="787"/>
      <c r="K108" s="778">
        <f t="shared" si="18"/>
        <v>0</v>
      </c>
      <c r="L108" s="569">
        <v>0.11</v>
      </c>
      <c r="M108" s="779">
        <f t="shared" si="19"/>
        <v>0</v>
      </c>
      <c r="N108" s="779">
        <f t="shared" si="20"/>
        <v>0</v>
      </c>
      <c r="O108" s="779">
        <f t="shared" si="21"/>
        <v>0</v>
      </c>
      <c r="P108" s="780" t="e">
        <f t="shared" si="11"/>
        <v>#DIV/0!</v>
      </c>
      <c r="Q108" s="781"/>
      <c r="R108" s="632"/>
      <c r="AB108" s="632"/>
    </row>
    <row r="109" spans="2:28" ht="16.5" hidden="1" customHeight="1" outlineLevel="3">
      <c r="B109" s="776" t="s">
        <v>709</v>
      </c>
      <c r="C109" s="782" t="s">
        <v>39</v>
      </c>
      <c r="D109" s="804" t="s">
        <v>2925</v>
      </c>
      <c r="E109" s="648" t="s">
        <v>470</v>
      </c>
      <c r="F109" s="648" t="s">
        <v>657</v>
      </c>
      <c r="G109" s="808">
        <v>1</v>
      </c>
      <c r="H109" s="805" t="s">
        <v>2870</v>
      </c>
      <c r="I109" s="672">
        <f>$E$2*(1+$F$2)</f>
        <v>0</v>
      </c>
      <c r="J109" s="812">
        <v>10</v>
      </c>
      <c r="K109" s="778">
        <f t="shared" si="18"/>
        <v>8.8495575221238951</v>
      </c>
      <c r="L109" s="620">
        <v>0.13</v>
      </c>
      <c r="M109" s="779">
        <f t="shared" si="19"/>
        <v>0</v>
      </c>
      <c r="N109" s="779">
        <f t="shared" si="20"/>
        <v>0</v>
      </c>
      <c r="O109" s="779">
        <f t="shared" si="21"/>
        <v>0</v>
      </c>
      <c r="P109" s="780" t="e">
        <f t="shared" si="11"/>
        <v>#DIV/0!</v>
      </c>
      <c r="Q109" s="781"/>
      <c r="R109" s="632"/>
      <c r="AB109" s="632"/>
    </row>
    <row r="110" spans="2:28" ht="16.5" hidden="1" customHeight="1" outlineLevel="3">
      <c r="B110" s="776" t="s">
        <v>2926</v>
      </c>
      <c r="C110" s="782" t="s">
        <v>39</v>
      </c>
      <c r="D110" s="804" t="s">
        <v>2927</v>
      </c>
      <c r="E110" s="648" t="s">
        <v>2871</v>
      </c>
      <c r="F110" s="648" t="s">
        <v>657</v>
      </c>
      <c r="G110" s="808"/>
      <c r="H110" s="812"/>
      <c r="I110" s="672"/>
      <c r="J110" s="812"/>
      <c r="K110" s="778">
        <f t="shared" si="18"/>
        <v>0</v>
      </c>
      <c r="L110" s="620">
        <v>0.11</v>
      </c>
      <c r="M110" s="779">
        <f t="shared" si="19"/>
        <v>0</v>
      </c>
      <c r="N110" s="779">
        <f t="shared" si="20"/>
        <v>0</v>
      </c>
      <c r="O110" s="779">
        <f t="shared" si="21"/>
        <v>0</v>
      </c>
      <c r="P110" s="780" t="e">
        <f t="shared" si="11"/>
        <v>#DIV/0!</v>
      </c>
      <c r="Q110" s="781"/>
      <c r="R110" s="632"/>
      <c r="AB110" s="632"/>
    </row>
    <row r="111" spans="2:28" ht="16.5" hidden="1" customHeight="1" outlineLevel="2">
      <c r="B111" s="776" t="s">
        <v>712</v>
      </c>
      <c r="C111" s="777" t="s">
        <v>2928</v>
      </c>
      <c r="D111" s="804" t="s">
        <v>2929</v>
      </c>
      <c r="E111" s="648"/>
      <c r="F111" s="648"/>
      <c r="G111" s="787"/>
      <c r="H111" s="787"/>
      <c r="I111" s="672"/>
      <c r="J111" s="681"/>
      <c r="K111" s="681"/>
      <c r="L111" s="569"/>
      <c r="M111" s="779">
        <f>SUBTOTAL(9,M112:M116)</f>
        <v>0</v>
      </c>
      <c r="N111" s="779">
        <f>SUBTOTAL(9,N112:N116)</f>
        <v>0</v>
      </c>
      <c r="O111" s="779">
        <f>SUBTOTAL(9,O112:O116)</f>
        <v>0</v>
      </c>
      <c r="P111" s="780" t="e">
        <f t="shared" si="11"/>
        <v>#DIV/0!</v>
      </c>
      <c r="Q111" s="781"/>
      <c r="R111" s="632"/>
      <c r="AB111" s="632"/>
    </row>
    <row r="112" spans="2:28" ht="16.5" hidden="1" customHeight="1" outlineLevel="3">
      <c r="B112" s="776" t="s">
        <v>714</v>
      </c>
      <c r="C112" s="782" t="s">
        <v>39</v>
      </c>
      <c r="D112" s="804" t="s">
        <v>2930</v>
      </c>
      <c r="E112" s="665" t="s">
        <v>1583</v>
      </c>
      <c r="F112" s="665" t="s">
        <v>2931</v>
      </c>
      <c r="G112" s="813">
        <v>6</v>
      </c>
      <c r="H112" s="805" t="s">
        <v>716</v>
      </c>
      <c r="I112" s="672">
        <f>($J$2+1)*$I$2</f>
        <v>0</v>
      </c>
      <c r="J112" s="812">
        <v>60</v>
      </c>
      <c r="K112" s="778">
        <f t="shared" si="18"/>
        <v>54.054054054054049</v>
      </c>
      <c r="L112" s="620">
        <v>0.11</v>
      </c>
      <c r="M112" s="779">
        <f t="shared" si="19"/>
        <v>0</v>
      </c>
      <c r="N112" s="779">
        <f>L112*M112</f>
        <v>0</v>
      </c>
      <c r="O112" s="779">
        <f>M112+N112</f>
        <v>0</v>
      </c>
      <c r="P112" s="780" t="e">
        <f t="shared" si="11"/>
        <v>#DIV/0!</v>
      </c>
      <c r="Q112" s="781"/>
      <c r="R112" s="632"/>
      <c r="AB112" s="632"/>
    </row>
    <row r="113" spans="2:28" ht="16.5" hidden="1" customHeight="1" outlineLevel="3">
      <c r="B113" s="776" t="s">
        <v>717</v>
      </c>
      <c r="C113" s="782" t="s">
        <v>39</v>
      </c>
      <c r="D113" s="804" t="s">
        <v>1584</v>
      </c>
      <c r="E113" s="665" t="s">
        <v>1583</v>
      </c>
      <c r="F113" s="665" t="s">
        <v>2932</v>
      </c>
      <c r="G113" s="813"/>
      <c r="H113" s="787"/>
      <c r="I113" s="672"/>
      <c r="J113" s="787"/>
      <c r="K113" s="778">
        <f t="shared" si="18"/>
        <v>0</v>
      </c>
      <c r="L113" s="569">
        <v>0.11</v>
      </c>
      <c r="M113" s="779">
        <f t="shared" si="19"/>
        <v>0</v>
      </c>
      <c r="N113" s="779">
        <f>L113*M113</f>
        <v>0</v>
      </c>
      <c r="O113" s="779">
        <f>M113+N113</f>
        <v>0</v>
      </c>
      <c r="P113" s="780" t="e">
        <f t="shared" si="11"/>
        <v>#DIV/0!</v>
      </c>
      <c r="Q113" s="781"/>
      <c r="R113" s="632"/>
      <c r="AB113" s="632"/>
    </row>
    <row r="114" spans="2:28" ht="16.5" hidden="1" customHeight="1" outlineLevel="3">
      <c r="B114" s="776" t="s">
        <v>718</v>
      </c>
      <c r="C114" s="782" t="s">
        <v>39</v>
      </c>
      <c r="D114" s="804" t="s">
        <v>2933</v>
      </c>
      <c r="E114" s="665" t="s">
        <v>1583</v>
      </c>
      <c r="F114" s="665" t="s">
        <v>2876</v>
      </c>
      <c r="G114" s="813">
        <v>0</v>
      </c>
      <c r="H114" s="787" t="s">
        <v>660</v>
      </c>
      <c r="I114" s="672">
        <f>$H$2</f>
        <v>0</v>
      </c>
      <c r="J114" s="787">
        <v>145</v>
      </c>
      <c r="K114" s="778">
        <f t="shared" si="18"/>
        <v>130.63063063063061</v>
      </c>
      <c r="L114" s="569">
        <v>0.11</v>
      </c>
      <c r="M114" s="779">
        <f t="shared" si="19"/>
        <v>0</v>
      </c>
      <c r="N114" s="779">
        <f>L114*M114</f>
        <v>0</v>
      </c>
      <c r="O114" s="779">
        <f>M114+N114</f>
        <v>0</v>
      </c>
      <c r="P114" s="780" t="e">
        <f t="shared" si="11"/>
        <v>#DIV/0!</v>
      </c>
      <c r="Q114" s="781"/>
      <c r="R114" s="632"/>
      <c r="AB114" s="632"/>
    </row>
    <row r="115" spans="2:28" ht="16.5" hidden="1" customHeight="1" outlineLevel="3">
      <c r="B115" s="776" t="s">
        <v>1585</v>
      </c>
      <c r="C115" s="782" t="s">
        <v>39</v>
      </c>
      <c r="D115" s="804" t="s">
        <v>720</v>
      </c>
      <c r="E115" s="665" t="s">
        <v>1583</v>
      </c>
      <c r="F115" s="665" t="s">
        <v>5</v>
      </c>
      <c r="G115" s="808">
        <v>10</v>
      </c>
      <c r="H115" s="812" t="s">
        <v>660</v>
      </c>
      <c r="I115" s="672">
        <f>$H$2</f>
        <v>0</v>
      </c>
      <c r="J115" s="812">
        <v>90</v>
      </c>
      <c r="K115" s="778">
        <f t="shared" si="18"/>
        <v>81.081081081081081</v>
      </c>
      <c r="L115" s="620">
        <v>0.11</v>
      </c>
      <c r="M115" s="779">
        <f t="shared" si="19"/>
        <v>0</v>
      </c>
      <c r="N115" s="779">
        <f>L115*M115</f>
        <v>0</v>
      </c>
      <c r="O115" s="779">
        <f>M115+N115</f>
        <v>0</v>
      </c>
      <c r="P115" s="780" t="e">
        <f t="shared" si="11"/>
        <v>#DIV/0!</v>
      </c>
      <c r="Q115" s="781"/>
      <c r="R115" s="632"/>
      <c r="AB115" s="632"/>
    </row>
    <row r="116" spans="2:28" ht="16.5" hidden="1" customHeight="1" outlineLevel="3">
      <c r="B116" s="776" t="s">
        <v>1586</v>
      </c>
      <c r="C116" s="782" t="s">
        <v>39</v>
      </c>
      <c r="D116" s="804" t="s">
        <v>721</v>
      </c>
      <c r="E116" s="665" t="s">
        <v>1583</v>
      </c>
      <c r="F116" s="665" t="s">
        <v>5</v>
      </c>
      <c r="G116" s="809">
        <v>10</v>
      </c>
      <c r="H116" s="787" t="s">
        <v>722</v>
      </c>
      <c r="I116" s="672">
        <f>$H$2</f>
        <v>0</v>
      </c>
      <c r="J116" s="787">
        <v>220</v>
      </c>
      <c r="K116" s="778">
        <f t="shared" si="18"/>
        <v>198.19819819819818</v>
      </c>
      <c r="L116" s="569">
        <v>0.11</v>
      </c>
      <c r="M116" s="779">
        <f t="shared" si="19"/>
        <v>0</v>
      </c>
      <c r="N116" s="779">
        <f>L116*M116</f>
        <v>0</v>
      </c>
      <c r="O116" s="779">
        <f>M116+N116</f>
        <v>0</v>
      </c>
      <c r="P116" s="780" t="e">
        <f t="shared" si="11"/>
        <v>#DIV/0!</v>
      </c>
      <c r="Q116" s="781"/>
      <c r="R116" s="632"/>
      <c r="AB116" s="632"/>
    </row>
    <row r="117" spans="2:28" ht="16.5" hidden="1" customHeight="1" outlineLevel="2">
      <c r="B117" s="776" t="s">
        <v>723</v>
      </c>
      <c r="C117" s="777" t="s">
        <v>88</v>
      </c>
      <c r="D117" s="804" t="s">
        <v>21</v>
      </c>
      <c r="E117" s="648"/>
      <c r="F117" s="648"/>
      <c r="G117" s="787"/>
      <c r="H117" s="787"/>
      <c r="I117" s="672"/>
      <c r="J117" s="681"/>
      <c r="K117" s="681"/>
      <c r="L117" s="569"/>
      <c r="M117" s="779">
        <f>SUBTOTAL(9,M118:M123)</f>
        <v>0</v>
      </c>
      <c r="N117" s="779">
        <f>SUBTOTAL(9,N118:N123)</f>
        <v>0</v>
      </c>
      <c r="O117" s="779">
        <f>SUBTOTAL(9,O118:O123)</f>
        <v>0</v>
      </c>
      <c r="P117" s="780" t="e">
        <f t="shared" si="11"/>
        <v>#DIV/0!</v>
      </c>
      <c r="Q117" s="781"/>
      <c r="R117" s="632"/>
      <c r="AB117" s="632"/>
    </row>
    <row r="118" spans="2:28" ht="16.5" hidden="1" customHeight="1" outlineLevel="3">
      <c r="B118" s="776" t="s">
        <v>724</v>
      </c>
      <c r="C118" s="782" t="s">
        <v>39</v>
      </c>
      <c r="D118" s="804" t="s">
        <v>725</v>
      </c>
      <c r="E118" s="665" t="s">
        <v>1580</v>
      </c>
      <c r="F118" s="665" t="s">
        <v>18</v>
      </c>
      <c r="G118" s="814">
        <v>20</v>
      </c>
      <c r="H118" s="805" t="s">
        <v>1611</v>
      </c>
      <c r="I118" s="672">
        <f>$I$2</f>
        <v>0</v>
      </c>
      <c r="J118" s="812"/>
      <c r="K118" s="778">
        <f t="shared" si="18"/>
        <v>0</v>
      </c>
      <c r="L118" s="620">
        <v>0.11</v>
      </c>
      <c r="M118" s="779">
        <f t="shared" si="19"/>
        <v>0</v>
      </c>
      <c r="N118" s="779">
        <f>L118*M118</f>
        <v>0</v>
      </c>
      <c r="O118" s="779">
        <f>M118+N118</f>
        <v>0</v>
      </c>
      <c r="P118" s="780" t="e">
        <f t="shared" si="11"/>
        <v>#DIV/0!</v>
      </c>
      <c r="Q118" s="781"/>
      <c r="R118" s="632"/>
      <c r="AB118" s="632"/>
    </row>
    <row r="119" spans="2:28" ht="16.5" hidden="1" customHeight="1" outlineLevel="3">
      <c r="B119" s="776" t="s">
        <v>726</v>
      </c>
      <c r="C119" s="782" t="s">
        <v>39</v>
      </c>
      <c r="D119" s="804" t="s">
        <v>61</v>
      </c>
      <c r="E119" s="665"/>
      <c r="F119" s="665"/>
      <c r="G119" s="813"/>
      <c r="H119" s="787"/>
      <c r="I119" s="672"/>
      <c r="J119" s="787"/>
      <c r="K119" s="787"/>
      <c r="L119" s="569"/>
      <c r="M119" s="779">
        <f>SUBTOTAL(9,M120:M121)</f>
        <v>0</v>
      </c>
      <c r="N119" s="779">
        <f>SUBTOTAL(9,N120:N121)</f>
        <v>0</v>
      </c>
      <c r="O119" s="779">
        <f>SUBTOTAL(9,O120:O121)</f>
        <v>0</v>
      </c>
      <c r="P119" s="780" t="e">
        <f t="shared" si="11"/>
        <v>#DIV/0!</v>
      </c>
      <c r="Q119" s="781"/>
      <c r="R119" s="632"/>
      <c r="AB119" s="632"/>
    </row>
    <row r="120" spans="2:28" ht="16.5" hidden="1" customHeight="1" outlineLevel="4">
      <c r="B120" s="776" t="s">
        <v>1612</v>
      </c>
      <c r="C120" s="782"/>
      <c r="D120" s="807" t="s">
        <v>1613</v>
      </c>
      <c r="E120" s="665" t="s">
        <v>1587</v>
      </c>
      <c r="F120" s="665" t="s">
        <v>1614</v>
      </c>
      <c r="G120" s="813">
        <v>1</v>
      </c>
      <c r="H120" s="787" t="s">
        <v>727</v>
      </c>
      <c r="I120" s="672">
        <f>$H$2</f>
        <v>0</v>
      </c>
      <c r="J120" s="787"/>
      <c r="K120" s="778">
        <f t="shared" si="18"/>
        <v>0</v>
      </c>
      <c r="L120" s="569">
        <v>0.17</v>
      </c>
      <c r="M120" s="779">
        <f t="shared" si="19"/>
        <v>0</v>
      </c>
      <c r="N120" s="779">
        <f>L120*M120</f>
        <v>0</v>
      </c>
      <c r="O120" s="779">
        <f>M120+N120</f>
        <v>0</v>
      </c>
      <c r="P120" s="780" t="e">
        <f t="shared" si="11"/>
        <v>#DIV/0!</v>
      </c>
      <c r="Q120" s="781"/>
      <c r="R120" s="632"/>
      <c r="AB120" s="632"/>
    </row>
    <row r="121" spans="2:28" ht="16.5" hidden="1" customHeight="1" outlineLevel="4">
      <c r="B121" s="776" t="s">
        <v>1588</v>
      </c>
      <c r="C121" s="782"/>
      <c r="D121" s="807" t="s">
        <v>1615</v>
      </c>
      <c r="E121" s="665" t="s">
        <v>1589</v>
      </c>
      <c r="F121" s="665" t="s">
        <v>1614</v>
      </c>
      <c r="G121" s="813">
        <v>1</v>
      </c>
      <c r="H121" s="787" t="s">
        <v>727</v>
      </c>
      <c r="I121" s="672">
        <f>$H$2</f>
        <v>0</v>
      </c>
      <c r="J121" s="787"/>
      <c r="K121" s="778">
        <f t="shared" si="18"/>
        <v>0</v>
      </c>
      <c r="L121" s="569">
        <v>0.17</v>
      </c>
      <c r="M121" s="779">
        <f t="shared" si="19"/>
        <v>0</v>
      </c>
      <c r="N121" s="779">
        <f>L121*M121</f>
        <v>0</v>
      </c>
      <c r="O121" s="779">
        <f>M121+N121</f>
        <v>0</v>
      </c>
      <c r="P121" s="780" t="e">
        <f t="shared" si="11"/>
        <v>#DIV/0!</v>
      </c>
      <c r="Q121" s="781"/>
      <c r="R121" s="632"/>
      <c r="AB121" s="632"/>
    </row>
    <row r="122" spans="2:28" ht="16.5" hidden="1" customHeight="1" outlineLevel="3">
      <c r="B122" s="776" t="s">
        <v>728</v>
      </c>
      <c r="C122" s="782" t="s">
        <v>39</v>
      </c>
      <c r="D122" s="804" t="s">
        <v>729</v>
      </c>
      <c r="E122" s="648" t="s">
        <v>1590</v>
      </c>
      <c r="F122" s="665" t="s">
        <v>803</v>
      </c>
      <c r="G122" s="813">
        <v>1</v>
      </c>
      <c r="H122" s="805" t="s">
        <v>1591</v>
      </c>
      <c r="I122" s="672">
        <f>$I$2*($J$2+1)</f>
        <v>0</v>
      </c>
      <c r="J122" s="812"/>
      <c r="K122" s="778">
        <f t="shared" si="18"/>
        <v>0</v>
      </c>
      <c r="L122" s="620">
        <v>0.11</v>
      </c>
      <c r="M122" s="779">
        <f t="shared" si="19"/>
        <v>0</v>
      </c>
      <c r="N122" s="779">
        <f>L122*M122</f>
        <v>0</v>
      </c>
      <c r="O122" s="779">
        <f>M122+N122</f>
        <v>0</v>
      </c>
      <c r="P122" s="780" t="e">
        <f t="shared" si="11"/>
        <v>#DIV/0!</v>
      </c>
      <c r="Q122" s="781"/>
      <c r="R122" s="632"/>
      <c r="AB122" s="632"/>
    </row>
    <row r="123" spans="2:28" ht="16.5" hidden="1" customHeight="1" outlineLevel="3">
      <c r="B123" s="776" t="s">
        <v>730</v>
      </c>
      <c r="C123" s="782" t="s">
        <v>39</v>
      </c>
      <c r="D123" s="804" t="s">
        <v>62</v>
      </c>
      <c r="E123" s="665" t="s">
        <v>1580</v>
      </c>
      <c r="F123" s="648" t="s">
        <v>657</v>
      </c>
      <c r="G123" s="808">
        <v>0.4</v>
      </c>
      <c r="H123" s="805" t="s">
        <v>101</v>
      </c>
      <c r="I123" s="672">
        <f>$E$2*(1+$F$2)</f>
        <v>0</v>
      </c>
      <c r="J123" s="812"/>
      <c r="K123" s="778">
        <f t="shared" si="18"/>
        <v>0</v>
      </c>
      <c r="L123" s="620">
        <v>0.17</v>
      </c>
      <c r="M123" s="779">
        <f t="shared" si="19"/>
        <v>0</v>
      </c>
      <c r="N123" s="779">
        <f>L123*M123</f>
        <v>0</v>
      </c>
      <c r="O123" s="779">
        <f>M123+N123</f>
        <v>0</v>
      </c>
      <c r="P123" s="780" t="e">
        <f t="shared" si="11"/>
        <v>#DIV/0!</v>
      </c>
      <c r="Q123" s="781"/>
      <c r="R123" s="632"/>
      <c r="AB123" s="632"/>
    </row>
    <row r="124" spans="2:28" ht="16.5" hidden="1" customHeight="1" outlineLevel="2">
      <c r="B124" s="776" t="s">
        <v>731</v>
      </c>
      <c r="C124" s="777" t="s">
        <v>78</v>
      </c>
      <c r="D124" s="804" t="s">
        <v>732</v>
      </c>
      <c r="E124" s="648"/>
      <c r="F124" s="648"/>
      <c r="G124" s="787"/>
      <c r="H124" s="787"/>
      <c r="I124" s="672"/>
      <c r="J124" s="681"/>
      <c r="K124" s="681"/>
      <c r="L124" s="569"/>
      <c r="M124" s="779">
        <f>SUBTOTAL(9,M125:M128)</f>
        <v>0</v>
      </c>
      <c r="N124" s="779">
        <f>SUBTOTAL(9,N125:N128)</f>
        <v>0</v>
      </c>
      <c r="O124" s="779">
        <f>SUBTOTAL(9,O125:O128)</f>
        <v>0</v>
      </c>
      <c r="P124" s="780" t="e">
        <f t="shared" si="11"/>
        <v>#DIV/0!</v>
      </c>
      <c r="Q124" s="781"/>
      <c r="R124" s="632"/>
      <c r="AB124" s="632"/>
    </row>
    <row r="125" spans="2:28" ht="16.5" hidden="1" customHeight="1" outlineLevel="3">
      <c r="B125" s="776" t="s">
        <v>733</v>
      </c>
      <c r="C125" s="782" t="s">
        <v>39</v>
      </c>
      <c r="D125" s="815" t="s">
        <v>734</v>
      </c>
      <c r="E125" s="814" t="s">
        <v>1228</v>
      </c>
      <c r="F125" s="814" t="s">
        <v>9</v>
      </c>
      <c r="G125" s="814">
        <v>1</v>
      </c>
      <c r="H125" s="787" t="s">
        <v>145</v>
      </c>
      <c r="I125" s="672">
        <f>$G$2</f>
        <v>0</v>
      </c>
      <c r="J125" s="816"/>
      <c r="K125" s="778">
        <f t="shared" si="18"/>
        <v>0</v>
      </c>
      <c r="L125" s="620">
        <v>0.11</v>
      </c>
      <c r="M125" s="779">
        <f t="shared" si="19"/>
        <v>0</v>
      </c>
      <c r="N125" s="779">
        <f>L125*M125</f>
        <v>0</v>
      </c>
      <c r="O125" s="779">
        <f>M125+N125</f>
        <v>0</v>
      </c>
      <c r="P125" s="780" t="e">
        <f t="shared" si="11"/>
        <v>#DIV/0!</v>
      </c>
      <c r="Q125" s="781"/>
      <c r="R125" s="632"/>
      <c r="AB125" s="632"/>
    </row>
    <row r="126" spans="2:28" ht="16.5" hidden="1" customHeight="1" outlineLevel="3">
      <c r="B126" s="776" t="s">
        <v>735</v>
      </c>
      <c r="C126" s="782" t="s">
        <v>39</v>
      </c>
      <c r="D126" s="815" t="s">
        <v>736</v>
      </c>
      <c r="E126" s="814" t="s">
        <v>471</v>
      </c>
      <c r="F126" s="814"/>
      <c r="G126" s="814"/>
      <c r="H126" s="812"/>
      <c r="I126" s="672"/>
      <c r="J126" s="816"/>
      <c r="K126" s="778">
        <f t="shared" si="18"/>
        <v>0</v>
      </c>
      <c r="L126" s="620">
        <v>0.17</v>
      </c>
      <c r="M126" s="779">
        <f t="shared" si="19"/>
        <v>0</v>
      </c>
      <c r="N126" s="779">
        <f>L126*M126</f>
        <v>0</v>
      </c>
      <c r="O126" s="779">
        <f>M126+N126</f>
        <v>0</v>
      </c>
      <c r="P126" s="780" t="e">
        <f t="shared" si="11"/>
        <v>#DIV/0!</v>
      </c>
      <c r="Q126" s="781"/>
      <c r="R126" s="632"/>
      <c r="AB126" s="632"/>
    </row>
    <row r="127" spans="2:28" ht="16.5" hidden="1" customHeight="1" outlineLevel="3">
      <c r="B127" s="776" t="s">
        <v>737</v>
      </c>
      <c r="C127" s="782" t="s">
        <v>39</v>
      </c>
      <c r="D127" s="815" t="s">
        <v>738</v>
      </c>
      <c r="E127" s="648" t="s">
        <v>1616</v>
      </c>
      <c r="F127" s="648" t="s">
        <v>657</v>
      </c>
      <c r="G127" s="808">
        <v>1</v>
      </c>
      <c r="H127" s="805" t="s">
        <v>111</v>
      </c>
      <c r="I127" s="672">
        <f>$E$2*(1+$F$2)</f>
        <v>0</v>
      </c>
      <c r="J127" s="837">
        <v>5</v>
      </c>
      <c r="K127" s="778">
        <f t="shared" si="18"/>
        <v>4.5045045045045038</v>
      </c>
      <c r="L127" s="620">
        <v>0.11</v>
      </c>
      <c r="M127" s="779">
        <f t="shared" si="19"/>
        <v>0</v>
      </c>
      <c r="N127" s="779">
        <f>L127*M127</f>
        <v>0</v>
      </c>
      <c r="O127" s="779">
        <f>M127+N127</f>
        <v>0</v>
      </c>
      <c r="P127" s="780" t="e">
        <f t="shared" si="11"/>
        <v>#DIV/0!</v>
      </c>
      <c r="Q127" s="781"/>
      <c r="R127" s="632"/>
      <c r="AB127" s="632"/>
    </row>
    <row r="128" spans="2:28" ht="16.5" hidden="1" customHeight="1" outlineLevel="3">
      <c r="B128" s="776" t="s">
        <v>739</v>
      </c>
      <c r="C128" s="782" t="s">
        <v>39</v>
      </c>
      <c r="D128" s="815" t="s">
        <v>740</v>
      </c>
      <c r="E128" s="665" t="s">
        <v>463</v>
      </c>
      <c r="F128" s="665" t="s">
        <v>5</v>
      </c>
      <c r="G128" s="814">
        <v>1</v>
      </c>
      <c r="H128" s="812" t="s">
        <v>741</v>
      </c>
      <c r="I128" s="672">
        <f>$H$2</f>
        <v>0</v>
      </c>
      <c r="J128" s="816">
        <v>80</v>
      </c>
      <c r="K128" s="778">
        <f t="shared" si="18"/>
        <v>68.376068376068375</v>
      </c>
      <c r="L128" s="620">
        <v>0.17</v>
      </c>
      <c r="M128" s="779">
        <f t="shared" si="19"/>
        <v>0</v>
      </c>
      <c r="N128" s="779">
        <f>L128*M128</f>
        <v>0</v>
      </c>
      <c r="O128" s="779">
        <f>M128+N128</f>
        <v>0</v>
      </c>
      <c r="P128" s="780" t="e">
        <f t="shared" si="11"/>
        <v>#DIV/0!</v>
      </c>
      <c r="Q128" s="781"/>
      <c r="R128" s="632"/>
      <c r="AB128" s="632"/>
    </row>
    <row r="129" spans="2:28" ht="16.5" customHeight="1" outlineLevel="1" collapsed="1">
      <c r="B129" s="771" t="s">
        <v>501</v>
      </c>
      <c r="C129" s="712">
        <v>2</v>
      </c>
      <c r="D129" s="771" t="s">
        <v>83</v>
      </c>
      <c r="E129" s="712"/>
      <c r="F129" s="712"/>
      <c r="G129" s="712"/>
      <c r="H129" s="772"/>
      <c r="I129" s="713"/>
      <c r="J129" s="772"/>
      <c r="K129" s="772"/>
      <c r="L129" s="588"/>
      <c r="M129" s="773">
        <f>SUBTOTAL(9,M130:M148)</f>
        <v>0</v>
      </c>
      <c r="N129" s="773">
        <f>SUBTOTAL(9,N130:N148)</f>
        <v>0</v>
      </c>
      <c r="O129" s="773">
        <f>SUBTOTAL(9,O130:O148)</f>
        <v>0</v>
      </c>
      <c r="P129" s="774" t="e">
        <f t="shared" si="11"/>
        <v>#DIV/0!</v>
      </c>
      <c r="Q129" s="775"/>
      <c r="R129" s="632"/>
      <c r="AB129" s="632"/>
    </row>
    <row r="130" spans="2:28" ht="16.5" hidden="1" customHeight="1" outlineLevel="2">
      <c r="B130" s="776" t="s">
        <v>742</v>
      </c>
      <c r="C130" s="777" t="s">
        <v>36</v>
      </c>
      <c r="D130" s="817" t="s">
        <v>51</v>
      </c>
      <c r="E130" s="648"/>
      <c r="F130" s="648"/>
      <c r="G130" s="787"/>
      <c r="H130" s="787"/>
      <c r="I130" s="672"/>
      <c r="J130" s="681"/>
      <c r="K130" s="681"/>
      <c r="L130" s="569"/>
      <c r="M130" s="779">
        <f>SUBTOTAL(9,M131:M133)</f>
        <v>0</v>
      </c>
      <c r="N130" s="779">
        <f>SUBTOTAL(9,N131:N133)</f>
        <v>0</v>
      </c>
      <c r="O130" s="779">
        <f>SUBTOTAL(9,O131:O133)</f>
        <v>0</v>
      </c>
      <c r="P130" s="780" t="e">
        <f t="shared" si="11"/>
        <v>#DIV/0!</v>
      </c>
      <c r="Q130" s="781"/>
      <c r="R130" s="632"/>
      <c r="AB130" s="632"/>
    </row>
    <row r="131" spans="2:28" ht="16.5" hidden="1" customHeight="1" outlineLevel="3">
      <c r="B131" s="776" t="s">
        <v>743</v>
      </c>
      <c r="C131" s="782" t="s">
        <v>39</v>
      </c>
      <c r="D131" s="815" t="s">
        <v>1592</v>
      </c>
      <c r="E131" s="648" t="s">
        <v>1617</v>
      </c>
      <c r="F131" s="648" t="s">
        <v>18</v>
      </c>
      <c r="G131" s="787">
        <v>55</v>
      </c>
      <c r="H131" s="805" t="s">
        <v>1</v>
      </c>
      <c r="I131" s="672">
        <f>$I$2</f>
        <v>0</v>
      </c>
      <c r="J131" s="681"/>
      <c r="K131" s="778">
        <f>J131/(1+L131)</f>
        <v>0</v>
      </c>
      <c r="L131" s="569">
        <v>0.11</v>
      </c>
      <c r="M131" s="779">
        <f>G131*I131*K131/10000</f>
        <v>0</v>
      </c>
      <c r="N131" s="779">
        <f>L131*M131</f>
        <v>0</v>
      </c>
      <c r="O131" s="779">
        <f>M131+N131</f>
        <v>0</v>
      </c>
      <c r="P131" s="780" t="e">
        <f t="shared" si="11"/>
        <v>#DIV/0!</v>
      </c>
      <c r="Q131" s="781"/>
      <c r="R131" s="632"/>
      <c r="AB131" s="632"/>
    </row>
    <row r="132" spans="2:28" ht="16.5" hidden="1" customHeight="1" outlineLevel="3">
      <c r="B132" s="776" t="s">
        <v>744</v>
      </c>
      <c r="C132" s="782" t="s">
        <v>39</v>
      </c>
      <c r="D132" s="815" t="s">
        <v>1593</v>
      </c>
      <c r="E132" s="648" t="s">
        <v>457</v>
      </c>
      <c r="F132" s="648" t="s">
        <v>18</v>
      </c>
      <c r="G132" s="787">
        <v>55</v>
      </c>
      <c r="H132" s="805" t="s">
        <v>1</v>
      </c>
      <c r="I132" s="672">
        <f>$I$2</f>
        <v>0</v>
      </c>
      <c r="J132" s="681"/>
      <c r="K132" s="778">
        <f>J132/(1+L132)</f>
        <v>0</v>
      </c>
      <c r="L132" s="569">
        <v>0.17</v>
      </c>
      <c r="M132" s="779">
        <f>G132*I132*K132/10000</f>
        <v>0</v>
      </c>
      <c r="N132" s="779">
        <f>L132*M132</f>
        <v>0</v>
      </c>
      <c r="O132" s="779">
        <f>M132+N132</f>
        <v>0</v>
      </c>
      <c r="P132" s="780" t="e">
        <f t="shared" si="11"/>
        <v>#DIV/0!</v>
      </c>
      <c r="Q132" s="781"/>
      <c r="R132" s="632"/>
      <c r="AB132" s="632"/>
    </row>
    <row r="133" spans="2:28" ht="16.5" hidden="1" customHeight="1" outlineLevel="3">
      <c r="B133" s="776" t="s">
        <v>745</v>
      </c>
      <c r="C133" s="782" t="s">
        <v>39</v>
      </c>
      <c r="D133" s="815" t="s">
        <v>1594</v>
      </c>
      <c r="E133" s="648" t="s">
        <v>1329</v>
      </c>
      <c r="F133" s="648" t="s">
        <v>18</v>
      </c>
      <c r="G133" s="787">
        <v>55</v>
      </c>
      <c r="H133" s="805" t="s">
        <v>1</v>
      </c>
      <c r="I133" s="672">
        <f>$I$2</f>
        <v>0</v>
      </c>
      <c r="J133" s="681"/>
      <c r="K133" s="778">
        <f>J133/(1+L133)</f>
        <v>0</v>
      </c>
      <c r="L133" s="569">
        <v>0.17</v>
      </c>
      <c r="M133" s="779">
        <f>G133*I133*K133/10000</f>
        <v>0</v>
      </c>
      <c r="N133" s="779">
        <f>L133*M133</f>
        <v>0</v>
      </c>
      <c r="O133" s="779">
        <f>M133+N133</f>
        <v>0</v>
      </c>
      <c r="P133" s="780" t="e">
        <f t="shared" ref="P133:P167" si="22">IF(O133="","",O133*10000/E$2)</f>
        <v>#DIV/0!</v>
      </c>
      <c r="Q133" s="781"/>
      <c r="R133" s="632"/>
      <c r="AB133" s="632"/>
    </row>
    <row r="134" spans="2:28" ht="16.5" hidden="1" customHeight="1" outlineLevel="2">
      <c r="B134" s="776" t="s">
        <v>746</v>
      </c>
      <c r="C134" s="777" t="s">
        <v>33</v>
      </c>
      <c r="D134" s="817" t="s">
        <v>89</v>
      </c>
      <c r="E134" s="648"/>
      <c r="F134" s="648"/>
      <c r="G134" s="787"/>
      <c r="H134" s="787"/>
      <c r="I134" s="672"/>
      <c r="J134" s="681"/>
      <c r="K134" s="681"/>
      <c r="L134" s="569"/>
      <c r="M134" s="779">
        <f>SUBTOTAL(9,M135:M137)</f>
        <v>0</v>
      </c>
      <c r="N134" s="779">
        <f>SUBTOTAL(9,N135:N137)</f>
        <v>0</v>
      </c>
      <c r="O134" s="779">
        <f>SUBTOTAL(9,O135:O137)</f>
        <v>0</v>
      </c>
      <c r="P134" s="780" t="e">
        <f t="shared" si="22"/>
        <v>#DIV/0!</v>
      </c>
      <c r="Q134" s="781"/>
      <c r="R134" s="632"/>
      <c r="AB134" s="632"/>
    </row>
    <row r="135" spans="2:28" ht="16.5" hidden="1" customHeight="1" outlineLevel="3">
      <c r="B135" s="776" t="s">
        <v>747</v>
      </c>
      <c r="C135" s="782" t="s">
        <v>39</v>
      </c>
      <c r="D135" s="815" t="s">
        <v>748</v>
      </c>
      <c r="E135" s="648" t="s">
        <v>1617</v>
      </c>
      <c r="F135" s="648" t="s">
        <v>18</v>
      </c>
      <c r="G135" s="787">
        <v>50</v>
      </c>
      <c r="H135" s="805" t="s">
        <v>1</v>
      </c>
      <c r="I135" s="672">
        <f>$I$2</f>
        <v>0</v>
      </c>
      <c r="J135" s="681"/>
      <c r="K135" s="778">
        <f>J135/(1+L135)</f>
        <v>0</v>
      </c>
      <c r="L135" s="569">
        <v>0.11</v>
      </c>
      <c r="M135" s="779">
        <f t="shared" ref="M135:M140" si="23">G135*I135*K135/10000</f>
        <v>0</v>
      </c>
      <c r="N135" s="779">
        <f t="shared" ref="N135:N140" si="24">L135*M135</f>
        <v>0</v>
      </c>
      <c r="O135" s="779">
        <f t="shared" ref="O135:O140" si="25">M135+N135</f>
        <v>0</v>
      </c>
      <c r="P135" s="780" t="e">
        <f t="shared" si="22"/>
        <v>#DIV/0!</v>
      </c>
      <c r="Q135" s="781"/>
      <c r="R135" s="632"/>
      <c r="AB135" s="632"/>
    </row>
    <row r="136" spans="2:28" ht="16.5" hidden="1" customHeight="1" outlineLevel="3">
      <c r="B136" s="776" t="s">
        <v>749</v>
      </c>
      <c r="C136" s="782" t="s">
        <v>39</v>
      </c>
      <c r="D136" s="815" t="s">
        <v>750</v>
      </c>
      <c r="E136" s="648" t="s">
        <v>457</v>
      </c>
      <c r="F136" s="648" t="s">
        <v>18</v>
      </c>
      <c r="G136" s="787">
        <v>50</v>
      </c>
      <c r="H136" s="805" t="s">
        <v>1</v>
      </c>
      <c r="I136" s="672">
        <f>$I$2</f>
        <v>0</v>
      </c>
      <c r="J136" s="681"/>
      <c r="K136" s="778">
        <f>J136/(1+L136)</f>
        <v>0</v>
      </c>
      <c r="L136" s="569">
        <v>0.17</v>
      </c>
      <c r="M136" s="779">
        <f t="shared" si="23"/>
        <v>0</v>
      </c>
      <c r="N136" s="779">
        <f t="shared" si="24"/>
        <v>0</v>
      </c>
      <c r="O136" s="779">
        <f t="shared" si="25"/>
        <v>0</v>
      </c>
      <c r="P136" s="780" t="e">
        <f t="shared" si="22"/>
        <v>#DIV/0!</v>
      </c>
      <c r="Q136" s="781"/>
      <c r="R136" s="632"/>
      <c r="AB136" s="632"/>
    </row>
    <row r="137" spans="2:28" ht="16.5" hidden="1" customHeight="1" outlineLevel="3">
      <c r="B137" s="776" t="s">
        <v>751</v>
      </c>
      <c r="C137" s="782" t="s">
        <v>39</v>
      </c>
      <c r="D137" s="815" t="s">
        <v>752</v>
      </c>
      <c r="E137" s="648" t="s">
        <v>1329</v>
      </c>
      <c r="F137" s="648" t="s">
        <v>18</v>
      </c>
      <c r="G137" s="787">
        <v>50</v>
      </c>
      <c r="H137" s="805" t="s">
        <v>1</v>
      </c>
      <c r="I137" s="672">
        <f>$I$2</f>
        <v>0</v>
      </c>
      <c r="J137" s="681"/>
      <c r="K137" s="778">
        <f>J137/(1+L137)</f>
        <v>0</v>
      </c>
      <c r="L137" s="569">
        <v>0.17</v>
      </c>
      <c r="M137" s="779">
        <f t="shared" si="23"/>
        <v>0</v>
      </c>
      <c r="N137" s="779">
        <f t="shared" si="24"/>
        <v>0</v>
      </c>
      <c r="O137" s="779">
        <f t="shared" si="25"/>
        <v>0</v>
      </c>
      <c r="P137" s="780" t="e">
        <f t="shared" si="22"/>
        <v>#DIV/0!</v>
      </c>
      <c r="Q137" s="781"/>
      <c r="R137" s="632"/>
      <c r="AB137" s="632"/>
    </row>
    <row r="138" spans="2:28" ht="16.5" hidden="1" customHeight="1" outlineLevel="2">
      <c r="B138" s="776" t="s">
        <v>753</v>
      </c>
      <c r="C138" s="777" t="s">
        <v>88</v>
      </c>
      <c r="D138" s="817" t="s">
        <v>754</v>
      </c>
      <c r="E138" s="648" t="s">
        <v>1617</v>
      </c>
      <c r="F138" s="648" t="s">
        <v>18</v>
      </c>
      <c r="G138" s="787"/>
      <c r="H138" s="805" t="s">
        <v>1</v>
      </c>
      <c r="I138" s="672">
        <f>$I$2</f>
        <v>0</v>
      </c>
      <c r="J138" s="681"/>
      <c r="K138" s="681"/>
      <c r="L138" s="569">
        <v>0.11</v>
      </c>
      <c r="M138" s="779">
        <f t="shared" si="23"/>
        <v>0</v>
      </c>
      <c r="N138" s="779">
        <f t="shared" si="24"/>
        <v>0</v>
      </c>
      <c r="O138" s="779">
        <f t="shared" si="25"/>
        <v>0</v>
      </c>
      <c r="P138" s="780" t="e">
        <f t="shared" si="22"/>
        <v>#DIV/0!</v>
      </c>
      <c r="Q138" s="781"/>
      <c r="R138" s="632"/>
      <c r="AB138" s="632"/>
    </row>
    <row r="139" spans="2:28" ht="16.5" hidden="1" customHeight="1" outlineLevel="2">
      <c r="B139" s="776" t="s">
        <v>755</v>
      </c>
      <c r="C139" s="777" t="s">
        <v>70</v>
      </c>
      <c r="D139" s="817" t="s">
        <v>90</v>
      </c>
      <c r="E139" s="648" t="s">
        <v>1617</v>
      </c>
      <c r="F139" s="648" t="s">
        <v>18</v>
      </c>
      <c r="G139" s="787"/>
      <c r="H139" s="805" t="s">
        <v>1</v>
      </c>
      <c r="I139" s="672">
        <f>$I$2</f>
        <v>0</v>
      </c>
      <c r="J139" s="681"/>
      <c r="K139" s="681"/>
      <c r="L139" s="569">
        <v>0.11</v>
      </c>
      <c r="M139" s="779">
        <f t="shared" si="23"/>
        <v>0</v>
      </c>
      <c r="N139" s="779">
        <f t="shared" si="24"/>
        <v>0</v>
      </c>
      <c r="O139" s="779">
        <f t="shared" si="25"/>
        <v>0</v>
      </c>
      <c r="P139" s="780" t="e">
        <f t="shared" si="22"/>
        <v>#DIV/0!</v>
      </c>
      <c r="Q139" s="781"/>
      <c r="R139" s="632"/>
      <c r="AB139" s="632"/>
    </row>
    <row r="140" spans="2:28" ht="16.5" hidden="1" customHeight="1" outlineLevel="2">
      <c r="B140" s="776" t="s">
        <v>756</v>
      </c>
      <c r="C140" s="777" t="s">
        <v>71</v>
      </c>
      <c r="D140" s="817" t="s">
        <v>757</v>
      </c>
      <c r="E140" s="648" t="s">
        <v>1617</v>
      </c>
      <c r="F140" s="665" t="s">
        <v>803</v>
      </c>
      <c r="G140" s="813">
        <v>19.399999999999999</v>
      </c>
      <c r="H140" s="805" t="s">
        <v>2</v>
      </c>
      <c r="I140" s="672">
        <f>$J$2+1</f>
        <v>3</v>
      </c>
      <c r="J140" s="681"/>
      <c r="K140" s="681"/>
      <c r="L140" s="569">
        <v>0.11</v>
      </c>
      <c r="M140" s="779">
        <f t="shared" si="23"/>
        <v>0</v>
      </c>
      <c r="N140" s="779">
        <f t="shared" si="24"/>
        <v>0</v>
      </c>
      <c r="O140" s="779">
        <f t="shared" si="25"/>
        <v>0</v>
      </c>
      <c r="P140" s="780" t="e">
        <f t="shared" si="22"/>
        <v>#DIV/0!</v>
      </c>
      <c r="Q140" s="781"/>
      <c r="R140" s="632"/>
      <c r="AB140" s="632"/>
    </row>
    <row r="141" spans="2:28" ht="16.5" hidden="1" customHeight="1" outlineLevel="2">
      <c r="B141" s="776" t="s">
        <v>758</v>
      </c>
      <c r="C141" s="777" t="s">
        <v>144</v>
      </c>
      <c r="D141" s="817" t="s">
        <v>118</v>
      </c>
      <c r="E141" s="648"/>
      <c r="F141" s="648"/>
      <c r="G141" s="787"/>
      <c r="H141" s="787"/>
      <c r="I141" s="672"/>
      <c r="J141" s="681"/>
      <c r="K141" s="681"/>
      <c r="L141" s="569"/>
      <c r="M141" s="779">
        <f>SUBTOTAL(9,M142:M144)</f>
        <v>0</v>
      </c>
      <c r="N141" s="779">
        <f>SUBTOTAL(9,N142:N144)</f>
        <v>0</v>
      </c>
      <c r="O141" s="779">
        <f>SUBTOTAL(9,O142:O144)</f>
        <v>0</v>
      </c>
      <c r="P141" s="780" t="e">
        <f t="shared" si="22"/>
        <v>#DIV/0!</v>
      </c>
      <c r="Q141" s="781"/>
      <c r="R141" s="632"/>
      <c r="AB141" s="632"/>
    </row>
    <row r="142" spans="2:28" ht="16.5" hidden="1" customHeight="1" outlineLevel="3">
      <c r="B142" s="776" t="s">
        <v>759</v>
      </c>
      <c r="C142" s="782" t="s">
        <v>39</v>
      </c>
      <c r="D142" s="815" t="s">
        <v>760</v>
      </c>
      <c r="E142" s="648" t="s">
        <v>1617</v>
      </c>
      <c r="F142" s="665" t="s">
        <v>804</v>
      </c>
      <c r="G142" s="813">
        <v>26.6</v>
      </c>
      <c r="H142" s="805" t="s">
        <v>2</v>
      </c>
      <c r="I142" s="672">
        <f>($J$2-1)*$I$2</f>
        <v>0</v>
      </c>
      <c r="J142" s="681"/>
      <c r="K142" s="778">
        <f>J142/(1+L142)</f>
        <v>0</v>
      </c>
      <c r="L142" s="569">
        <v>0.11</v>
      </c>
      <c r="M142" s="779">
        <f t="shared" ref="M142:M148" si="26">G142*I142*K142/10000</f>
        <v>0</v>
      </c>
      <c r="N142" s="779">
        <f t="shared" ref="N142:N148" si="27">L142*M142</f>
        <v>0</v>
      </c>
      <c r="O142" s="779">
        <f t="shared" ref="O142:O148" si="28">M142+N142</f>
        <v>0</v>
      </c>
      <c r="P142" s="780" t="e">
        <f t="shared" si="22"/>
        <v>#DIV/0!</v>
      </c>
      <c r="Q142" s="806"/>
      <c r="R142" s="632"/>
      <c r="AB142" s="632"/>
    </row>
    <row r="143" spans="2:28" ht="16.5" hidden="1" customHeight="1" outlineLevel="3">
      <c r="B143" s="776" t="s">
        <v>761</v>
      </c>
      <c r="C143" s="782" t="s">
        <v>39</v>
      </c>
      <c r="D143" s="815" t="s">
        <v>805</v>
      </c>
      <c r="E143" s="648" t="s">
        <v>457</v>
      </c>
      <c r="F143" s="665" t="s">
        <v>804</v>
      </c>
      <c r="G143" s="813">
        <v>26.6</v>
      </c>
      <c r="H143" s="805" t="s">
        <v>2</v>
      </c>
      <c r="I143" s="672">
        <f>($J$2-1)*$I$2</f>
        <v>0</v>
      </c>
      <c r="J143" s="681"/>
      <c r="K143" s="778">
        <f>J143/(1+L143)</f>
        <v>0</v>
      </c>
      <c r="L143" s="569">
        <v>0.17</v>
      </c>
      <c r="M143" s="779">
        <f t="shared" si="26"/>
        <v>0</v>
      </c>
      <c r="N143" s="779">
        <f t="shared" si="27"/>
        <v>0</v>
      </c>
      <c r="O143" s="779">
        <f t="shared" si="28"/>
        <v>0</v>
      </c>
      <c r="P143" s="780" t="e">
        <f t="shared" si="22"/>
        <v>#DIV/0!</v>
      </c>
      <c r="Q143" s="806"/>
      <c r="R143" s="632"/>
      <c r="AB143" s="632"/>
    </row>
    <row r="144" spans="2:28" ht="16.5" hidden="1" customHeight="1" outlineLevel="3">
      <c r="B144" s="776" t="s">
        <v>762</v>
      </c>
      <c r="C144" s="782" t="s">
        <v>39</v>
      </c>
      <c r="D144" s="815" t="s">
        <v>806</v>
      </c>
      <c r="E144" s="648" t="s">
        <v>1329</v>
      </c>
      <c r="F144" s="665" t="s">
        <v>804</v>
      </c>
      <c r="G144" s="813">
        <v>26.6</v>
      </c>
      <c r="H144" s="805" t="s">
        <v>2</v>
      </c>
      <c r="I144" s="672">
        <f>($J$2-1)*$I$2</f>
        <v>0</v>
      </c>
      <c r="J144" s="681"/>
      <c r="K144" s="778">
        <f>J144/(1+L144)</f>
        <v>0</v>
      </c>
      <c r="L144" s="569">
        <v>0.17</v>
      </c>
      <c r="M144" s="779">
        <f t="shared" si="26"/>
        <v>0</v>
      </c>
      <c r="N144" s="779">
        <f t="shared" si="27"/>
        <v>0</v>
      </c>
      <c r="O144" s="779">
        <f t="shared" si="28"/>
        <v>0</v>
      </c>
      <c r="P144" s="780" t="e">
        <f t="shared" si="22"/>
        <v>#DIV/0!</v>
      </c>
      <c r="Q144" s="806"/>
      <c r="R144" s="632"/>
      <c r="AB144" s="632"/>
    </row>
    <row r="145" spans="1:28" ht="16.5" hidden="1" customHeight="1" outlineLevel="2">
      <c r="B145" s="776" t="s">
        <v>763</v>
      </c>
      <c r="C145" s="777" t="s">
        <v>91</v>
      </c>
      <c r="D145" s="804" t="s">
        <v>807</v>
      </c>
      <c r="E145" s="648" t="s">
        <v>1617</v>
      </c>
      <c r="F145" s="648"/>
      <c r="G145" s="787"/>
      <c r="H145" s="787"/>
      <c r="I145" s="672"/>
      <c r="J145" s="681"/>
      <c r="K145" s="681"/>
      <c r="L145" s="569">
        <v>0.11</v>
      </c>
      <c r="M145" s="779">
        <f t="shared" si="26"/>
        <v>0</v>
      </c>
      <c r="N145" s="779">
        <f t="shared" si="27"/>
        <v>0</v>
      </c>
      <c r="O145" s="779">
        <f t="shared" si="28"/>
        <v>0</v>
      </c>
      <c r="P145" s="780" t="e">
        <f t="shared" si="22"/>
        <v>#DIV/0!</v>
      </c>
      <c r="Q145" s="781"/>
      <c r="R145" s="632"/>
      <c r="AB145" s="632"/>
    </row>
    <row r="146" spans="1:28" ht="16.5" hidden="1" customHeight="1" outlineLevel="2">
      <c r="B146" s="776" t="s">
        <v>764</v>
      </c>
      <c r="C146" s="777" t="s">
        <v>73</v>
      </c>
      <c r="D146" s="804" t="s">
        <v>808</v>
      </c>
      <c r="E146" s="648" t="s">
        <v>1617</v>
      </c>
      <c r="F146" s="648"/>
      <c r="G146" s="787"/>
      <c r="H146" s="787"/>
      <c r="I146" s="672"/>
      <c r="J146" s="681"/>
      <c r="K146" s="681"/>
      <c r="L146" s="569">
        <v>0.11</v>
      </c>
      <c r="M146" s="779">
        <f t="shared" si="26"/>
        <v>0</v>
      </c>
      <c r="N146" s="779">
        <f t="shared" si="27"/>
        <v>0</v>
      </c>
      <c r="O146" s="779">
        <f t="shared" si="28"/>
        <v>0</v>
      </c>
      <c r="P146" s="780" t="e">
        <f t="shared" si="22"/>
        <v>#DIV/0!</v>
      </c>
      <c r="Q146" s="781"/>
      <c r="R146" s="632"/>
      <c r="AB146" s="632"/>
    </row>
    <row r="147" spans="1:28" ht="16.5" hidden="1" customHeight="1" outlineLevel="2">
      <c r="B147" s="776" t="s">
        <v>765</v>
      </c>
      <c r="C147" s="777" t="s">
        <v>74</v>
      </c>
      <c r="D147" s="804" t="s">
        <v>809</v>
      </c>
      <c r="E147" s="648" t="s">
        <v>1617</v>
      </c>
      <c r="F147" s="648"/>
      <c r="G147" s="787"/>
      <c r="H147" s="787"/>
      <c r="I147" s="672"/>
      <c r="J147" s="681"/>
      <c r="K147" s="681"/>
      <c r="L147" s="569">
        <v>0.11</v>
      </c>
      <c r="M147" s="779">
        <f t="shared" si="26"/>
        <v>0</v>
      </c>
      <c r="N147" s="779">
        <f t="shared" si="27"/>
        <v>0</v>
      </c>
      <c r="O147" s="779">
        <f t="shared" si="28"/>
        <v>0</v>
      </c>
      <c r="P147" s="780" t="e">
        <f t="shared" si="22"/>
        <v>#DIV/0!</v>
      </c>
      <c r="Q147" s="781"/>
      <c r="R147" s="632"/>
      <c r="AB147" s="632"/>
    </row>
    <row r="148" spans="1:28" ht="16.5" hidden="1" customHeight="1" outlineLevel="2">
      <c r="B148" s="776" t="s">
        <v>810</v>
      </c>
      <c r="C148" s="777" t="s">
        <v>75</v>
      </c>
      <c r="D148" s="804" t="s">
        <v>811</v>
      </c>
      <c r="E148" s="648" t="s">
        <v>1329</v>
      </c>
      <c r="F148" s="648"/>
      <c r="G148" s="787"/>
      <c r="H148" s="787"/>
      <c r="I148" s="672"/>
      <c r="J148" s="681"/>
      <c r="K148" s="681"/>
      <c r="L148" s="569">
        <v>0.11</v>
      </c>
      <c r="M148" s="779">
        <f t="shared" si="26"/>
        <v>0</v>
      </c>
      <c r="N148" s="779">
        <f t="shared" si="27"/>
        <v>0</v>
      </c>
      <c r="O148" s="779">
        <f t="shared" si="28"/>
        <v>0</v>
      </c>
      <c r="P148" s="780" t="e">
        <f t="shared" si="22"/>
        <v>#DIV/0!</v>
      </c>
      <c r="Q148" s="781"/>
      <c r="R148" s="632"/>
      <c r="AB148" s="632"/>
    </row>
    <row r="149" spans="1:28" s="633" customFormat="1" ht="16.5" customHeight="1" outlineLevel="1" collapsed="1">
      <c r="B149" s="818" t="s">
        <v>502</v>
      </c>
      <c r="C149" s="819">
        <v>3</v>
      </c>
      <c r="D149" s="818" t="s">
        <v>84</v>
      </c>
      <c r="E149" s="819"/>
      <c r="F149" s="819"/>
      <c r="G149" s="819"/>
      <c r="H149" s="820"/>
      <c r="I149" s="821"/>
      <c r="J149" s="820"/>
      <c r="K149" s="820"/>
      <c r="L149" s="822"/>
      <c r="M149" s="773">
        <f>SUBTOTAL(9,M150:M160)</f>
        <v>0</v>
      </c>
      <c r="N149" s="773">
        <f>SUBTOTAL(9,N150:N160)</f>
        <v>0</v>
      </c>
      <c r="O149" s="773">
        <f>SUBTOTAL(9,O150:O160)</f>
        <v>0</v>
      </c>
      <c r="P149" s="823" t="e">
        <f t="shared" si="22"/>
        <v>#DIV/0!</v>
      </c>
      <c r="Q149" s="824"/>
    </row>
    <row r="150" spans="1:28" ht="16.5" hidden="1" customHeight="1" outlineLevel="2">
      <c r="B150" s="776" t="s">
        <v>766</v>
      </c>
      <c r="C150" s="777" t="s">
        <v>36</v>
      </c>
      <c r="D150" s="804" t="s">
        <v>812</v>
      </c>
      <c r="E150" s="665"/>
      <c r="F150" s="665"/>
      <c r="G150" s="787"/>
      <c r="H150" s="787"/>
      <c r="I150" s="672"/>
      <c r="J150" s="681"/>
      <c r="K150" s="681"/>
      <c r="L150" s="569"/>
      <c r="M150" s="779">
        <f>SUBTOTAL(9,M151:M160)</f>
        <v>0</v>
      </c>
      <c r="N150" s="779">
        <f>SUBTOTAL(9,N151:N160)</f>
        <v>0</v>
      </c>
      <c r="O150" s="779">
        <f>SUBTOTAL(9,O151:O160)</f>
        <v>0</v>
      </c>
      <c r="P150" s="780" t="e">
        <f t="shared" si="22"/>
        <v>#DIV/0!</v>
      </c>
      <c r="Q150" s="781"/>
      <c r="R150" s="632"/>
      <c r="AB150" s="632"/>
    </row>
    <row r="151" spans="1:28" ht="16.5" hidden="1" customHeight="1" outlineLevel="3">
      <c r="B151" s="776" t="s">
        <v>767</v>
      </c>
      <c r="C151" s="782" t="s">
        <v>39</v>
      </c>
      <c r="D151" s="804" t="s">
        <v>768</v>
      </c>
      <c r="E151" s="665" t="s">
        <v>458</v>
      </c>
      <c r="F151" s="665" t="s">
        <v>5</v>
      </c>
      <c r="G151" s="813">
        <v>1</v>
      </c>
      <c r="H151" s="787" t="s">
        <v>669</v>
      </c>
      <c r="I151" s="672">
        <f t="shared" ref="I151:I156" si="29">$H$2</f>
        <v>0</v>
      </c>
      <c r="J151" s="681"/>
      <c r="K151" s="778">
        <f t="shared" ref="K151:K158" si="30">J151/(1+L151)</f>
        <v>0</v>
      </c>
      <c r="L151" s="569">
        <v>0.11</v>
      </c>
      <c r="M151" s="779">
        <f t="shared" ref="M151:M167" si="31">G151*I151*K151/10000</f>
        <v>0</v>
      </c>
      <c r="N151" s="779">
        <f t="shared" ref="N151:N160" si="32">L151*M151</f>
        <v>0</v>
      </c>
      <c r="O151" s="779">
        <f t="shared" ref="O151:O160" si="33">M151+N151</f>
        <v>0</v>
      </c>
      <c r="P151" s="780" t="e">
        <f t="shared" si="22"/>
        <v>#DIV/0!</v>
      </c>
      <c r="Q151" s="806"/>
      <c r="R151" s="632"/>
      <c r="AB151" s="632"/>
    </row>
    <row r="152" spans="1:28" ht="16.5" hidden="1" customHeight="1" outlineLevel="3">
      <c r="B152" s="776" t="s">
        <v>769</v>
      </c>
      <c r="C152" s="782" t="s">
        <v>39</v>
      </c>
      <c r="D152" s="804" t="s">
        <v>1595</v>
      </c>
      <c r="E152" s="665" t="s">
        <v>1596</v>
      </c>
      <c r="F152" s="665" t="s">
        <v>5</v>
      </c>
      <c r="G152" s="813">
        <v>1</v>
      </c>
      <c r="H152" s="787" t="s">
        <v>669</v>
      </c>
      <c r="I152" s="672">
        <f t="shared" si="29"/>
        <v>0</v>
      </c>
      <c r="J152" s="787">
        <v>500</v>
      </c>
      <c r="K152" s="778">
        <f t="shared" si="30"/>
        <v>450.45045045045043</v>
      </c>
      <c r="L152" s="569">
        <v>0.11</v>
      </c>
      <c r="M152" s="779">
        <f t="shared" si="31"/>
        <v>0</v>
      </c>
      <c r="N152" s="779">
        <f t="shared" si="32"/>
        <v>0</v>
      </c>
      <c r="O152" s="779">
        <f t="shared" si="33"/>
        <v>0</v>
      </c>
      <c r="P152" s="780" t="e">
        <f t="shared" si="22"/>
        <v>#DIV/0!</v>
      </c>
      <c r="Q152" s="806"/>
      <c r="R152" s="632"/>
      <c r="AB152" s="632"/>
    </row>
    <row r="153" spans="1:28" ht="16.5" hidden="1" customHeight="1" outlineLevel="3">
      <c r="B153" s="776" t="s">
        <v>770</v>
      </c>
      <c r="C153" s="782" t="s">
        <v>39</v>
      </c>
      <c r="D153" s="804" t="s">
        <v>771</v>
      </c>
      <c r="E153" s="665" t="s">
        <v>1618</v>
      </c>
      <c r="F153" s="665" t="s">
        <v>5</v>
      </c>
      <c r="G153" s="813">
        <v>1</v>
      </c>
      <c r="H153" s="787" t="s">
        <v>669</v>
      </c>
      <c r="I153" s="672">
        <f t="shared" si="29"/>
        <v>0</v>
      </c>
      <c r="J153" s="787">
        <v>1000</v>
      </c>
      <c r="K153" s="778">
        <f t="shared" si="30"/>
        <v>900.90090090090087</v>
      </c>
      <c r="L153" s="569">
        <v>0.11</v>
      </c>
      <c r="M153" s="779">
        <f t="shared" si="31"/>
        <v>0</v>
      </c>
      <c r="N153" s="779">
        <f t="shared" si="32"/>
        <v>0</v>
      </c>
      <c r="O153" s="779">
        <f t="shared" si="33"/>
        <v>0</v>
      </c>
      <c r="P153" s="780" t="e">
        <f t="shared" si="22"/>
        <v>#DIV/0!</v>
      </c>
      <c r="Q153" s="781"/>
      <c r="R153" s="632"/>
      <c r="AB153" s="632"/>
    </row>
    <row r="154" spans="1:28" ht="16.5" hidden="1" customHeight="1" outlineLevel="3">
      <c r="B154" s="776" t="s">
        <v>772</v>
      </c>
      <c r="C154" s="782" t="s">
        <v>39</v>
      </c>
      <c r="D154" s="804" t="s">
        <v>1619</v>
      </c>
      <c r="E154" s="665" t="s">
        <v>458</v>
      </c>
      <c r="F154" s="665" t="s">
        <v>5</v>
      </c>
      <c r="G154" s="813">
        <v>1</v>
      </c>
      <c r="H154" s="787" t="s">
        <v>669</v>
      </c>
      <c r="I154" s="672">
        <f t="shared" si="29"/>
        <v>0</v>
      </c>
      <c r="J154" s="787"/>
      <c r="K154" s="778">
        <f t="shared" si="30"/>
        <v>0</v>
      </c>
      <c r="L154" s="569">
        <v>0.11</v>
      </c>
      <c r="M154" s="779">
        <f t="shared" si="31"/>
        <v>0</v>
      </c>
      <c r="N154" s="779">
        <f t="shared" si="32"/>
        <v>0</v>
      </c>
      <c r="O154" s="779">
        <f t="shared" si="33"/>
        <v>0</v>
      </c>
      <c r="P154" s="780" t="e">
        <f t="shared" si="22"/>
        <v>#DIV/0!</v>
      </c>
      <c r="Q154" s="781"/>
      <c r="R154" s="632"/>
      <c r="AB154" s="632"/>
    </row>
    <row r="155" spans="1:28" ht="16.5" hidden="1" customHeight="1" outlineLevel="3">
      <c r="B155" s="776" t="s">
        <v>773</v>
      </c>
      <c r="C155" s="782" t="s">
        <v>39</v>
      </c>
      <c r="D155" s="804" t="s">
        <v>1597</v>
      </c>
      <c r="E155" s="665" t="s">
        <v>1620</v>
      </c>
      <c r="F155" s="665" t="s">
        <v>5</v>
      </c>
      <c r="G155" s="813">
        <v>1</v>
      </c>
      <c r="H155" s="787" t="s">
        <v>669</v>
      </c>
      <c r="I155" s="672">
        <f t="shared" si="29"/>
        <v>0</v>
      </c>
      <c r="J155" s="787"/>
      <c r="K155" s="778">
        <f t="shared" si="30"/>
        <v>0</v>
      </c>
      <c r="L155" s="569">
        <v>0.17</v>
      </c>
      <c r="M155" s="779">
        <f t="shared" si="31"/>
        <v>0</v>
      </c>
      <c r="N155" s="779">
        <f t="shared" si="32"/>
        <v>0</v>
      </c>
      <c r="O155" s="779">
        <f t="shared" si="33"/>
        <v>0</v>
      </c>
      <c r="P155" s="780" t="e">
        <f t="shared" si="22"/>
        <v>#DIV/0!</v>
      </c>
      <c r="Q155" s="781"/>
      <c r="R155" s="632"/>
      <c r="AB155" s="632"/>
    </row>
    <row r="156" spans="1:28" ht="16.5" hidden="1" customHeight="1" outlineLevel="3">
      <c r="B156" s="776" t="s">
        <v>774</v>
      </c>
      <c r="C156" s="782" t="s">
        <v>39</v>
      </c>
      <c r="D156" s="804" t="s">
        <v>1598</v>
      </c>
      <c r="E156" s="665" t="s">
        <v>458</v>
      </c>
      <c r="F156" s="665" t="s">
        <v>5</v>
      </c>
      <c r="G156" s="813">
        <v>1</v>
      </c>
      <c r="H156" s="787" t="s">
        <v>669</v>
      </c>
      <c r="I156" s="672">
        <f t="shared" si="29"/>
        <v>0</v>
      </c>
      <c r="J156" s="787">
        <v>300</v>
      </c>
      <c r="K156" s="778">
        <f t="shared" si="30"/>
        <v>270.27027027027026</v>
      </c>
      <c r="L156" s="569">
        <v>0.11</v>
      </c>
      <c r="M156" s="779">
        <f t="shared" si="31"/>
        <v>0</v>
      </c>
      <c r="N156" s="779">
        <f t="shared" si="32"/>
        <v>0</v>
      </c>
      <c r="O156" s="779">
        <f t="shared" si="33"/>
        <v>0</v>
      </c>
      <c r="P156" s="780" t="e">
        <f t="shared" si="22"/>
        <v>#DIV/0!</v>
      </c>
      <c r="Q156" s="781"/>
      <c r="R156" s="632"/>
      <c r="AB156" s="632"/>
    </row>
    <row r="157" spans="1:28" ht="16.5" hidden="1" customHeight="1" outlineLevel="3">
      <c r="B157" s="776" t="s">
        <v>775</v>
      </c>
      <c r="C157" s="782" t="s">
        <v>39</v>
      </c>
      <c r="D157" s="804" t="s">
        <v>1599</v>
      </c>
      <c r="E157" s="665" t="s">
        <v>458</v>
      </c>
      <c r="F157" s="648"/>
      <c r="G157" s="825"/>
      <c r="H157" s="787"/>
      <c r="I157" s="672"/>
      <c r="J157" s="787"/>
      <c r="K157" s="778">
        <f t="shared" si="30"/>
        <v>0</v>
      </c>
      <c r="L157" s="569"/>
      <c r="M157" s="779">
        <f t="shared" si="31"/>
        <v>0</v>
      </c>
      <c r="N157" s="779">
        <f t="shared" si="32"/>
        <v>0</v>
      </c>
      <c r="O157" s="779">
        <f t="shared" si="33"/>
        <v>0</v>
      </c>
      <c r="P157" s="780" t="e">
        <f t="shared" si="22"/>
        <v>#DIV/0!</v>
      </c>
      <c r="Q157" s="781"/>
      <c r="R157" s="632"/>
      <c r="AB157" s="632"/>
    </row>
    <row r="158" spans="1:28" ht="16.5" hidden="1" customHeight="1" outlineLevel="3">
      <c r="A158" s="633"/>
      <c r="B158" s="776" t="s">
        <v>813</v>
      </c>
      <c r="C158" s="782" t="s">
        <v>39</v>
      </c>
      <c r="D158" s="804" t="s">
        <v>776</v>
      </c>
      <c r="E158" s="665" t="s">
        <v>458</v>
      </c>
      <c r="F158" s="648"/>
      <c r="G158" s="825">
        <v>1</v>
      </c>
      <c r="H158" s="787"/>
      <c r="I158" s="672"/>
      <c r="J158" s="787"/>
      <c r="K158" s="778">
        <f t="shared" si="30"/>
        <v>0</v>
      </c>
      <c r="L158" s="569"/>
      <c r="M158" s="779">
        <f t="shared" si="31"/>
        <v>0</v>
      </c>
      <c r="N158" s="779">
        <f t="shared" si="32"/>
        <v>0</v>
      </c>
      <c r="O158" s="779">
        <f t="shared" si="33"/>
        <v>0</v>
      </c>
      <c r="P158" s="780" t="e">
        <f t="shared" si="22"/>
        <v>#DIV/0!</v>
      </c>
      <c r="Q158" s="781"/>
      <c r="R158" s="632"/>
      <c r="AB158" s="632"/>
    </row>
    <row r="159" spans="1:28" s="695" customFormat="1" ht="16.5" hidden="1" customHeight="1" outlineLevel="2">
      <c r="A159" s="633"/>
      <c r="B159" s="776" t="s">
        <v>777</v>
      </c>
      <c r="C159" s="777" t="s">
        <v>33</v>
      </c>
      <c r="D159" s="804" t="s">
        <v>814</v>
      </c>
      <c r="E159" s="665" t="s">
        <v>458</v>
      </c>
      <c r="F159" s="826"/>
      <c r="G159" s="826"/>
      <c r="H159" s="827"/>
      <c r="I159" s="828"/>
      <c r="J159" s="827"/>
      <c r="K159" s="827"/>
      <c r="L159" s="612"/>
      <c r="M159" s="779">
        <f t="shared" si="31"/>
        <v>0</v>
      </c>
      <c r="N159" s="779">
        <f t="shared" si="32"/>
        <v>0</v>
      </c>
      <c r="O159" s="779">
        <f t="shared" si="33"/>
        <v>0</v>
      </c>
      <c r="P159" s="780" t="e">
        <f t="shared" si="22"/>
        <v>#DIV/0!</v>
      </c>
      <c r="Q159" s="781"/>
    </row>
    <row r="160" spans="1:28" s="695" customFormat="1" ht="16.5" hidden="1" customHeight="1" outlineLevel="2">
      <c r="A160" s="633"/>
      <c r="B160" s="776" t="s">
        <v>778</v>
      </c>
      <c r="C160" s="777" t="s">
        <v>69</v>
      </c>
      <c r="D160" s="804" t="s">
        <v>815</v>
      </c>
      <c r="E160" s="665" t="s">
        <v>458</v>
      </c>
      <c r="F160" s="826"/>
      <c r="G160" s="826"/>
      <c r="H160" s="827"/>
      <c r="I160" s="828"/>
      <c r="J160" s="827"/>
      <c r="K160" s="827"/>
      <c r="L160" s="612"/>
      <c r="M160" s="779">
        <f t="shared" si="31"/>
        <v>0</v>
      </c>
      <c r="N160" s="779">
        <f t="shared" si="32"/>
        <v>0</v>
      </c>
      <c r="O160" s="779">
        <f t="shared" si="33"/>
        <v>0</v>
      </c>
      <c r="P160" s="780" t="e">
        <f t="shared" si="22"/>
        <v>#DIV/0!</v>
      </c>
      <c r="Q160" s="781"/>
    </row>
    <row r="161" spans="2:28" ht="16.5" customHeight="1" outlineLevel="1" collapsed="1">
      <c r="B161" s="771" t="s">
        <v>503</v>
      </c>
      <c r="C161" s="712">
        <v>4</v>
      </c>
      <c r="D161" s="771" t="s">
        <v>92</v>
      </c>
      <c r="E161" s="712"/>
      <c r="F161" s="712"/>
      <c r="G161" s="712"/>
      <c r="H161" s="772"/>
      <c r="I161" s="713"/>
      <c r="J161" s="772"/>
      <c r="K161" s="772"/>
      <c r="L161" s="588"/>
      <c r="M161" s="773">
        <f>SUBTOTAL(9,M162:M167)</f>
        <v>0</v>
      </c>
      <c r="N161" s="773">
        <f>SUBTOTAL(9,N162:N167)</f>
        <v>0</v>
      </c>
      <c r="O161" s="773">
        <f>SUBTOTAL(9,O162:O167)</f>
        <v>0</v>
      </c>
      <c r="P161" s="774" t="e">
        <f t="shared" si="22"/>
        <v>#DIV/0!</v>
      </c>
      <c r="Q161" s="775"/>
      <c r="R161" s="632"/>
      <c r="AB161" s="632"/>
    </row>
    <row r="162" spans="2:28" ht="16.5" hidden="1" customHeight="1" outlineLevel="2">
      <c r="B162" s="776" t="s">
        <v>1600</v>
      </c>
      <c r="C162" s="777" t="s">
        <v>36</v>
      </c>
      <c r="D162" s="804" t="s">
        <v>93</v>
      </c>
      <c r="E162" s="665" t="s">
        <v>461</v>
      </c>
      <c r="F162" s="665" t="s">
        <v>5</v>
      </c>
      <c r="G162" s="813">
        <v>1</v>
      </c>
      <c r="H162" s="787" t="s">
        <v>4</v>
      </c>
      <c r="I162" s="672">
        <f>$H$2</f>
        <v>0</v>
      </c>
      <c r="J162" s="787"/>
      <c r="K162" s="778">
        <f>J162/(1+L162)</f>
        <v>0</v>
      </c>
      <c r="L162" s="569">
        <v>0.17</v>
      </c>
      <c r="M162" s="779">
        <f t="shared" si="31"/>
        <v>0</v>
      </c>
      <c r="N162" s="779">
        <f>L162*M162</f>
        <v>0</v>
      </c>
      <c r="O162" s="779">
        <f>M162+N162</f>
        <v>0</v>
      </c>
      <c r="P162" s="780" t="e">
        <f t="shared" si="22"/>
        <v>#DIV/0!</v>
      </c>
      <c r="Q162" s="781"/>
      <c r="R162" s="632"/>
      <c r="AB162" s="632"/>
    </row>
    <row r="163" spans="2:28" ht="16.5" hidden="1" customHeight="1" outlineLevel="2">
      <c r="B163" s="776" t="s">
        <v>1601</v>
      </c>
      <c r="C163" s="777" t="s">
        <v>68</v>
      </c>
      <c r="D163" s="804" t="s">
        <v>94</v>
      </c>
      <c r="E163" s="648" t="s">
        <v>1602</v>
      </c>
      <c r="F163" s="665" t="s">
        <v>5</v>
      </c>
      <c r="G163" s="813">
        <v>0.7</v>
      </c>
      <c r="H163" s="787" t="s">
        <v>4</v>
      </c>
      <c r="I163" s="672">
        <f>$H$2</f>
        <v>0</v>
      </c>
      <c r="J163" s="681"/>
      <c r="K163" s="778">
        <f>J163/(1+L163)</f>
        <v>0</v>
      </c>
      <c r="L163" s="569">
        <f>17%*0.7+11%*0.3</f>
        <v>0.152</v>
      </c>
      <c r="M163" s="779">
        <f t="shared" si="31"/>
        <v>0</v>
      </c>
      <c r="N163" s="779">
        <f>L163*M163</f>
        <v>0</v>
      </c>
      <c r="O163" s="779">
        <f>M163+N163</f>
        <v>0</v>
      </c>
      <c r="P163" s="780" t="e">
        <f t="shared" si="22"/>
        <v>#DIV/0!</v>
      </c>
      <c r="Q163" s="781"/>
      <c r="R163" s="632"/>
      <c r="AB163" s="632"/>
    </row>
    <row r="164" spans="2:28" ht="16.5" hidden="1" customHeight="1" outlineLevel="2">
      <c r="B164" s="776" t="s">
        <v>779</v>
      </c>
      <c r="C164" s="777" t="s">
        <v>69</v>
      </c>
      <c r="D164" s="804" t="s">
        <v>95</v>
      </c>
      <c r="E164" s="648" t="s">
        <v>1621</v>
      </c>
      <c r="F164" s="648"/>
      <c r="G164" s="787">
        <v>0.3</v>
      </c>
      <c r="H164" s="787"/>
      <c r="I164" s="672"/>
      <c r="J164" s="681"/>
      <c r="K164" s="681"/>
      <c r="L164" s="569"/>
      <c r="M164" s="779">
        <f t="shared" si="31"/>
        <v>0</v>
      </c>
      <c r="N164" s="779"/>
      <c r="O164" s="779"/>
      <c r="P164" s="780" t="str">
        <f t="shared" si="22"/>
        <v/>
      </c>
      <c r="Q164" s="781"/>
      <c r="R164" s="632"/>
      <c r="AB164" s="632"/>
    </row>
    <row r="165" spans="2:28" ht="16.5" hidden="1" customHeight="1" outlineLevel="2">
      <c r="B165" s="776" t="s">
        <v>780</v>
      </c>
      <c r="C165" s="777" t="s">
        <v>70</v>
      </c>
      <c r="D165" s="804" t="s">
        <v>96</v>
      </c>
      <c r="E165" s="648" t="s">
        <v>1621</v>
      </c>
      <c r="F165" s="648"/>
      <c r="G165" s="787"/>
      <c r="H165" s="787"/>
      <c r="I165" s="672"/>
      <c r="J165" s="681"/>
      <c r="K165" s="681"/>
      <c r="L165" s="569"/>
      <c r="M165" s="779">
        <f t="shared" si="31"/>
        <v>0</v>
      </c>
      <c r="N165" s="779"/>
      <c r="O165" s="779"/>
      <c r="P165" s="780" t="str">
        <f t="shared" si="22"/>
        <v/>
      </c>
      <c r="Q165" s="781"/>
      <c r="R165" s="632"/>
      <c r="AB165" s="632"/>
    </row>
    <row r="166" spans="2:28" ht="16.5" hidden="1" customHeight="1" outlineLevel="2">
      <c r="B166" s="776" t="s">
        <v>781</v>
      </c>
      <c r="C166" s="777" t="s">
        <v>71</v>
      </c>
      <c r="D166" s="804" t="s">
        <v>98</v>
      </c>
      <c r="E166" s="648" t="s">
        <v>1621</v>
      </c>
      <c r="F166" s="648"/>
      <c r="G166" s="787"/>
      <c r="H166" s="787"/>
      <c r="I166" s="672"/>
      <c r="J166" s="681"/>
      <c r="K166" s="681"/>
      <c r="L166" s="569"/>
      <c r="M166" s="779">
        <f t="shared" si="31"/>
        <v>0</v>
      </c>
      <c r="N166" s="779"/>
      <c r="O166" s="779"/>
      <c r="P166" s="780" t="str">
        <f t="shared" si="22"/>
        <v/>
      </c>
      <c r="Q166" s="781"/>
      <c r="R166" s="632"/>
      <c r="AB166" s="632"/>
    </row>
    <row r="167" spans="2:28" ht="16.5" hidden="1" customHeight="1" outlineLevel="2">
      <c r="B167" s="776" t="s">
        <v>782</v>
      </c>
      <c r="C167" s="777" t="s">
        <v>144</v>
      </c>
      <c r="D167" s="804" t="s">
        <v>816</v>
      </c>
      <c r="E167" s="648" t="s">
        <v>1621</v>
      </c>
      <c r="F167" s="648"/>
      <c r="G167" s="787"/>
      <c r="H167" s="787"/>
      <c r="I167" s="672"/>
      <c r="J167" s="681"/>
      <c r="K167" s="681"/>
      <c r="L167" s="569"/>
      <c r="M167" s="779">
        <f t="shared" si="31"/>
        <v>0</v>
      </c>
      <c r="N167" s="779"/>
      <c r="O167" s="779"/>
      <c r="P167" s="780" t="str">
        <f t="shared" si="22"/>
        <v/>
      </c>
      <c r="Q167" s="781"/>
      <c r="R167" s="632"/>
      <c r="AB167" s="632"/>
    </row>
    <row r="168" spans="2:28" ht="24" customHeight="1">
      <c r="C168" s="632"/>
      <c r="E168" s="632"/>
      <c r="F168" s="632"/>
      <c r="G168" s="632"/>
      <c r="H168" s="632"/>
      <c r="I168" s="632"/>
      <c r="J168" s="829"/>
      <c r="L168" s="748" t="s">
        <v>24</v>
      </c>
      <c r="M168" s="829" t="s">
        <v>1931</v>
      </c>
      <c r="N168" s="829" t="s">
        <v>1932</v>
      </c>
      <c r="O168" s="829"/>
      <c r="AA168" s="831">
        <f>SUM(AA4:AA68)</f>
        <v>0</v>
      </c>
      <c r="AB168" s="632"/>
    </row>
    <row r="169" spans="2:28" ht="24" customHeight="1">
      <c r="J169" s="750"/>
      <c r="K169" s="748" t="s">
        <v>1933</v>
      </c>
      <c r="L169" s="830" t="s">
        <v>1935</v>
      </c>
      <c r="M169" s="750">
        <f>O4+O69+O88</f>
        <v>0</v>
      </c>
      <c r="N169" s="750">
        <f>+O4+O88</f>
        <v>0</v>
      </c>
    </row>
    <row r="170" spans="2:28" ht="24" customHeight="1">
      <c r="L170" s="748" t="s">
        <v>1936</v>
      </c>
      <c r="M170" s="750" t="e">
        <f>M169/$E$2*10000</f>
        <v>#DIV/0!</v>
      </c>
      <c r="N170" s="832" t="e">
        <f>N169/$E$2*10000</f>
        <v>#DIV/0!</v>
      </c>
    </row>
    <row r="171" spans="2:28" ht="24" customHeight="1">
      <c r="K171" s="748" t="s">
        <v>1934</v>
      </c>
      <c r="L171" s="830" t="s">
        <v>1935</v>
      </c>
      <c r="M171" s="750">
        <f>+M4+M69+M88</f>
        <v>0</v>
      </c>
      <c r="N171" s="750">
        <f>+M4+M88</f>
        <v>0</v>
      </c>
    </row>
    <row r="172" spans="2:28" ht="24" customHeight="1">
      <c r="L172" s="748" t="s">
        <v>1936</v>
      </c>
      <c r="M172" s="750" t="e">
        <f>M171/$E$2*10000</f>
        <v>#DIV/0!</v>
      </c>
      <c r="N172" s="750" t="e">
        <f>N171/$E$2*10000</f>
        <v>#DIV/0!</v>
      </c>
    </row>
  </sheetData>
  <autoFilter ref="A3:AC68"/>
  <phoneticPr fontId="19" type="noConversion"/>
  <conditionalFormatting sqref="I139">
    <cfRule type="cellIs" priority="73" operator="equal">
      <formula>0</formula>
    </cfRule>
    <cfRule type="cellIs" dxfId="19" priority="74" operator="equal">
      <formula>0</formula>
    </cfRule>
  </conditionalFormatting>
  <conditionalFormatting sqref="I168:I65536">
    <cfRule type="cellIs" dxfId="18" priority="191" operator="equal">
      <formula>0</formula>
    </cfRule>
  </conditionalFormatting>
  <conditionalFormatting sqref="B161:C161">
    <cfRule type="duplicateValues" dxfId="17" priority="107"/>
  </conditionalFormatting>
  <conditionalFormatting sqref="D6:D8">
    <cfRule type="duplicateValues" dxfId="16" priority="193"/>
  </conditionalFormatting>
  <conditionalFormatting sqref="B70:C70">
    <cfRule type="duplicateValues" dxfId="15" priority="114"/>
  </conditionalFormatting>
  <conditionalFormatting sqref="D168:D65536 D9 D1:D5 D36">
    <cfRule type="duplicateValues" dxfId="14" priority="192"/>
  </conditionalFormatting>
  <conditionalFormatting sqref="D37:D68">
    <cfRule type="duplicateValues" dxfId="13" priority="194"/>
  </conditionalFormatting>
  <conditionalFormatting sqref="D10:D35">
    <cfRule type="duplicateValues" dxfId="12" priority="187"/>
  </conditionalFormatting>
  <conditionalFormatting sqref="B36:C36">
    <cfRule type="duplicateValues" dxfId="11" priority="188"/>
  </conditionalFormatting>
  <conditionalFormatting sqref="D69:D167">
    <cfRule type="duplicateValues" dxfId="10" priority="118"/>
  </conditionalFormatting>
  <conditionalFormatting sqref="I19 I4:I10">
    <cfRule type="cellIs" dxfId="9" priority="186" operator="equal">
      <formula>0</formula>
    </cfRule>
  </conditionalFormatting>
  <conditionalFormatting sqref="B129:C129">
    <cfRule type="duplicateValues" dxfId="8" priority="109"/>
  </conditionalFormatting>
  <conditionalFormatting sqref="B89:C89">
    <cfRule type="duplicateValues" dxfId="7" priority="110"/>
  </conditionalFormatting>
  <conditionalFormatting sqref="B4:C4">
    <cfRule type="duplicateValues" dxfId="6" priority="190"/>
  </conditionalFormatting>
  <conditionalFormatting sqref="B86:C87">
    <cfRule type="duplicateValues" dxfId="5" priority="112"/>
  </conditionalFormatting>
  <conditionalFormatting sqref="B69:C69">
    <cfRule type="duplicateValues" dxfId="4" priority="115"/>
  </conditionalFormatting>
  <conditionalFormatting sqref="B5:C5">
    <cfRule type="duplicateValues" dxfId="3" priority="189"/>
  </conditionalFormatting>
  <conditionalFormatting sqref="B88:C88">
    <cfRule type="duplicateValues" dxfId="2" priority="111"/>
  </conditionalFormatting>
  <conditionalFormatting sqref="B149:C149">
    <cfRule type="duplicateValues" dxfId="1" priority="108"/>
  </conditionalFormatting>
  <conditionalFormatting sqref="B82:C82">
    <cfRule type="duplicateValues" dxfId="0" priority="113"/>
  </conditionalFormatting>
  <printOptions horizontalCentered="1"/>
  <pageMargins left="0" right="0" top="0.59055118110236227" bottom="0.78740157480314965" header="0.11811023622047245" footer="0.11811023622047245"/>
  <pageSetup paperSize="9" scale="86"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58</vt:i4>
      </vt:variant>
      <vt:variant>
        <vt:lpstr>命名范围</vt:lpstr>
      </vt:variant>
      <vt:variant>
        <vt:i4>19</vt:i4>
      </vt:variant>
    </vt:vector>
  </HeadingPairs>
  <TitlesOfParts>
    <vt:vector size="77" baseType="lpstr">
      <vt:lpstr>Sheet1</vt:lpstr>
      <vt:lpstr>填报指引</vt:lpstr>
      <vt:lpstr>经济指标</vt:lpstr>
      <vt:lpstr>基础信息</vt:lpstr>
      <vt:lpstr>现金流量</vt:lpstr>
      <vt:lpstr>跟投测算</vt:lpstr>
      <vt:lpstr>销售计划</vt:lpstr>
      <vt:lpstr>勾稽关系</vt:lpstr>
      <vt:lpstr>土地增值税</vt:lpstr>
      <vt:lpstr>创造利润</vt:lpstr>
      <vt:lpstr>结算计划</vt:lpstr>
      <vt:lpstr>结算利润</vt:lpstr>
      <vt:lpstr>工程款付款计划</vt:lpstr>
      <vt:lpstr>1-成本过渡</vt:lpstr>
      <vt:lpstr>全期规划指标 </vt:lpstr>
      <vt:lpstr>成本汇总（分摊）</vt:lpstr>
      <vt:lpstr>成本汇总（测算）</vt:lpstr>
      <vt:lpstr>地价分摊表</vt:lpstr>
      <vt:lpstr>当期公摊测算表（全期）</vt:lpstr>
      <vt:lpstr>车位</vt:lpstr>
      <vt:lpstr>人防车位</vt:lpstr>
      <vt:lpstr>高层</vt:lpstr>
      <vt:lpstr>临街商业</vt:lpstr>
      <vt:lpstr>小高层</vt:lpstr>
      <vt:lpstr>幼儿园</vt:lpstr>
      <vt:lpstr>人才公寓销售</vt:lpstr>
      <vt:lpstr>配套用房</vt:lpstr>
      <vt:lpstr>1-人才公寓==</vt:lpstr>
      <vt:lpstr>1-商墅</vt:lpstr>
      <vt:lpstr>1-办公</vt:lpstr>
      <vt:lpstr>2-商墅</vt:lpstr>
      <vt:lpstr>1-商业网点</vt:lpstr>
      <vt:lpstr>本期合约金额规划表</vt:lpstr>
      <vt:lpstr>Sheet2</vt:lpstr>
      <vt:lpstr>1-配套用房</vt:lpstr>
      <vt:lpstr>2-成本过渡</vt:lpstr>
      <vt:lpstr>2-规划指标</vt:lpstr>
      <vt:lpstr>2-成本汇总（本期）</vt:lpstr>
      <vt:lpstr>2-地价分摊表</vt:lpstr>
      <vt:lpstr>2-公摊费用及期间费（本期）</vt:lpstr>
      <vt:lpstr>2-高层</vt:lpstr>
      <vt:lpstr>2-小叠拼</vt:lpstr>
      <vt:lpstr>2-小联排</vt:lpstr>
      <vt:lpstr>2-底商</vt:lpstr>
      <vt:lpstr>2-地下车库</vt:lpstr>
      <vt:lpstr>2-高层公寓</vt:lpstr>
      <vt:lpstr>2-配套用房</vt:lpstr>
      <vt:lpstr>3-成本过渡</vt:lpstr>
      <vt:lpstr>3-规划指标</vt:lpstr>
      <vt:lpstr>3-成本汇总（本期）</vt:lpstr>
      <vt:lpstr>3-地价分摊表</vt:lpstr>
      <vt:lpstr>3-公摊费用及期间费（本期）</vt:lpstr>
      <vt:lpstr>3-大商业</vt:lpstr>
      <vt:lpstr>3-星级办公</vt:lpstr>
      <vt:lpstr>3-商墅</vt:lpstr>
      <vt:lpstr>3-高层公寓</vt:lpstr>
      <vt:lpstr>3-地下车库</vt:lpstr>
      <vt:lpstr>3-配套用房</vt:lpstr>
      <vt:lpstr>'2-公摊费用及期间费（本期）'!Print_Area</vt:lpstr>
      <vt:lpstr>'2-成本汇总（本期）'!Print_Area</vt:lpstr>
      <vt:lpstr>'3-公摊费用及期间费（本期）'!Print_Area</vt:lpstr>
      <vt:lpstr>'3-成本汇总（本期）'!Print_Area</vt:lpstr>
      <vt:lpstr>本期合约金额规划表!Print_Area</vt:lpstr>
      <vt:lpstr>'1-商业网点'!Print_Titles</vt:lpstr>
      <vt:lpstr>'1-配套用房'!Print_Titles</vt:lpstr>
      <vt:lpstr>'2-公摊费用及期间费（本期）'!Print_Titles</vt:lpstr>
      <vt:lpstr>'2-地下车库'!Print_Titles</vt:lpstr>
      <vt:lpstr>'2-小叠拼'!Print_Titles</vt:lpstr>
      <vt:lpstr>'2-成本汇总（本期）'!Print_Titles</vt:lpstr>
      <vt:lpstr>'2-配套用房'!Print_Titles</vt:lpstr>
      <vt:lpstr>'2-高层公寓'!Print_Titles</vt:lpstr>
      <vt:lpstr>'3-公摊费用及期间费（本期）'!Print_Titles</vt:lpstr>
      <vt:lpstr>'3-地下车库'!Print_Titles</vt:lpstr>
      <vt:lpstr>'3-成本汇总（本期）'!Print_Titles</vt:lpstr>
      <vt:lpstr>'3-配套用房'!Print_Titles</vt:lpstr>
      <vt:lpstr>'3-高层公寓'!Print_Titles</vt:lpstr>
      <vt:lpstr>本期合约金额规划表!Print_Titles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chexl@vanke.com</dc:creator>
  <cp:lastModifiedBy>A09.李谦</cp:lastModifiedBy>
  <cp:lastPrinted>2022-05-06T08:06:29Z</cp:lastPrinted>
  <dcterms:created xsi:type="dcterms:W3CDTF">2000-01-12T14:59:51Z</dcterms:created>
  <dcterms:modified xsi:type="dcterms:W3CDTF">2024-06-12T04:01:19Z</dcterms:modified>
</cp:coreProperties>
</file>